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1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1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ukasz.mazurkiewicz\Desktop\"/>
    </mc:Choice>
  </mc:AlternateContent>
  <bookViews>
    <workbookView xWindow="-120" yWindow="-120" windowWidth="29040" windowHeight="15720" tabRatio="963" firstSheet="16" activeTab="22"/>
  </bookViews>
  <sheets>
    <sheet name="1" sheetId="20" r:id="rId1"/>
    <sheet name="2" sheetId="13" r:id="rId2"/>
    <sheet name="3" sheetId="14" r:id="rId3"/>
    <sheet name="4" sheetId="15" r:id="rId4"/>
    <sheet name="5" sheetId="16" r:id="rId5"/>
    <sheet name="6" sheetId="17" r:id="rId6"/>
    <sheet name="7" sheetId="18" r:id="rId7"/>
    <sheet name="6+7" sheetId="21" r:id="rId8"/>
    <sheet name="8" sheetId="28" r:id="rId9"/>
    <sheet name="9" sheetId="32" r:id="rId10"/>
    <sheet name="10" sheetId="34" r:id="rId11"/>
    <sheet name="11" sheetId="37" r:id="rId12"/>
    <sheet name="12" sheetId="40" r:id="rId13"/>
    <sheet name="13" sheetId="42" r:id="rId14"/>
    <sheet name="14" sheetId="43" r:id="rId15"/>
    <sheet name="15" sheetId="46" r:id="rId16"/>
    <sheet name="16" sheetId="48" r:id="rId17"/>
    <sheet name="17" sheetId="51" r:id="rId18"/>
    <sheet name="18" sheetId="53" r:id="rId19"/>
    <sheet name="19" sheetId="54" r:id="rId20"/>
    <sheet name="20" sheetId="57" r:id="rId21"/>
    <sheet name="21" sheetId="59" r:id="rId22"/>
    <sheet name="22" sheetId="61" r:id="rId23"/>
    <sheet name="kw" sheetId="35" r:id="rId24"/>
    <sheet name="półr" sheetId="30" r:id="rId25"/>
    <sheet name="lata" sheetId="49" r:id="rId26"/>
    <sheet name="IIp.16" sheetId="12" r:id="rId27"/>
    <sheet name="Ip.17" sheetId="10" r:id="rId28"/>
    <sheet name="IIp.17" sheetId="6" r:id="rId29"/>
    <sheet name="Ip.18" sheetId="25" r:id="rId30"/>
    <sheet name="IIp.18" sheetId="8" r:id="rId31"/>
    <sheet name="I kw.19" sheetId="4" r:id="rId32"/>
    <sheet name="II kw.19" sheetId="3" r:id="rId33"/>
    <sheet name="III kw.19" sheetId="26" r:id="rId34"/>
    <sheet name="IV kw.19" sheetId="31" r:id="rId35"/>
    <sheet name="I kw.20" sheetId="33" r:id="rId36"/>
    <sheet name="II kw.20" sheetId="36" r:id="rId37"/>
    <sheet name="III kw.20" sheetId="39" r:id="rId38"/>
    <sheet name="IV kw.20" sheetId="41" r:id="rId39"/>
    <sheet name="I kw.21" sheetId="44" r:id="rId40"/>
    <sheet name="II kw.21" sheetId="45" r:id="rId41"/>
    <sheet name="III kw.21" sheetId="47" r:id="rId42"/>
    <sheet name="IV kw.21" sheetId="50" r:id="rId43"/>
    <sheet name="I kw.22" sheetId="52" r:id="rId44"/>
    <sheet name="II kw.22" sheetId="55" r:id="rId45"/>
    <sheet name="III kw.22" sheetId="56" r:id="rId46"/>
    <sheet name="IV kw.22" sheetId="58" r:id="rId47"/>
    <sheet name="I kw.23" sheetId="60" r:id="rId48"/>
    <sheet name="brudn." sheetId="2" r:id="rId49"/>
  </sheets>
  <definedNames>
    <definedName name="_xlnm._FilterDatabase" localSheetId="31" hidden="1">'I kw.19'!$A$1:$O$91</definedName>
    <definedName name="_xlnm._FilterDatabase" localSheetId="35" hidden="1">'I kw.20'!$A$1:$U$361</definedName>
    <definedName name="_xlnm._FilterDatabase" localSheetId="39" hidden="1">'I kw.21'!$A$1:$AK$158</definedName>
    <definedName name="_xlnm._FilterDatabase" localSheetId="43" hidden="1">'I kw.22'!$A$1:$AM$771</definedName>
    <definedName name="_xlnm._FilterDatabase" localSheetId="47" hidden="1">'I kw.23'!$A$1:$AV$799</definedName>
    <definedName name="_xlnm._FilterDatabase" localSheetId="32" hidden="1">'II kw.19'!$A$1:$O$378</definedName>
    <definedName name="_xlnm._FilterDatabase" localSheetId="36" hidden="1">'II kw.20'!$A$1:$U$175</definedName>
    <definedName name="_xlnm._FilterDatabase" localSheetId="40" hidden="1">'II kw.21'!$A$1:$AK$239</definedName>
    <definedName name="_xlnm._FilterDatabase" localSheetId="44" hidden="1">'II kw.22'!$A$1:$AR$767</definedName>
    <definedName name="_xlnm._FilterDatabase" localSheetId="33" hidden="1">'III kw.19'!$A$1:$M$181</definedName>
    <definedName name="_xlnm._FilterDatabase" localSheetId="41" hidden="1">'III kw.21'!$A$1:$AM$1024</definedName>
    <definedName name="_xlnm._FilterDatabase" localSheetId="45" hidden="1">'III kw.22'!$A$1:$AR$707</definedName>
    <definedName name="_xlnm._FilterDatabase" localSheetId="26" hidden="1">IIp.16!$A$1:$P$565</definedName>
    <definedName name="_xlnm._FilterDatabase" localSheetId="28" hidden="1">IIp.17!$A$1:$M$370</definedName>
    <definedName name="_xlnm._FilterDatabase" localSheetId="30" hidden="1">IIp.18!$A$1:$P$886</definedName>
    <definedName name="_xlnm._FilterDatabase" localSheetId="27" hidden="1">Ip.17!$A$1:$M$468</definedName>
    <definedName name="_xlnm._FilterDatabase" localSheetId="29" hidden="1">Ip.18!$A$1:$N$463</definedName>
    <definedName name="_xlnm._FilterDatabase" localSheetId="34" hidden="1">'IV kw.19'!$A$2:$U$363</definedName>
    <definedName name="_xlnm._FilterDatabase" localSheetId="38" hidden="1">'IV kw.20'!$A$1:$AJ$226</definedName>
    <definedName name="_xlnm._FilterDatabase" localSheetId="42" hidden="1">'IV kw.21'!$A$1:$AM$703</definedName>
    <definedName name="_xlnm._FilterDatabase" localSheetId="46" hidden="1">'IV kw.22'!$A$1:$AS$800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7" i="61" l="1"/>
  <c r="D11" i="61"/>
  <c r="E11" i="61"/>
  <c r="G34" i="61"/>
  <c r="G33" i="61"/>
  <c r="AL795" i="60"/>
  <c r="AL794" i="60"/>
  <c r="AL793" i="60"/>
  <c r="AV798" i="60"/>
  <c r="AV797" i="60"/>
  <c r="AT798" i="60"/>
  <c r="AT797" i="60"/>
  <c r="AL796" i="60"/>
  <c r="AJ797" i="60"/>
  <c r="AJ796" i="60"/>
  <c r="AJ795" i="60"/>
  <c r="AJ794" i="60"/>
  <c r="AJ793" i="60"/>
  <c r="AL792" i="60"/>
  <c r="AJ792" i="60"/>
  <c r="AL791" i="60"/>
  <c r="AJ791" i="60"/>
  <c r="AL790" i="60"/>
  <c r="AJ790" i="60"/>
  <c r="AL789" i="60"/>
  <c r="AJ789" i="60"/>
  <c r="AL788" i="60"/>
  <c r="AJ788" i="60"/>
  <c r="AL787" i="60"/>
  <c r="AJ787" i="60"/>
  <c r="AL786" i="60"/>
  <c r="AJ786" i="60"/>
  <c r="AL785" i="60"/>
  <c r="AJ785" i="60"/>
  <c r="AL784" i="60"/>
  <c r="AJ784" i="60"/>
  <c r="AL783" i="60"/>
  <c r="AJ783" i="60"/>
  <c r="AL782" i="60"/>
  <c r="AJ782" i="60"/>
  <c r="AL781" i="60"/>
  <c r="AJ781" i="60"/>
  <c r="AL780" i="60"/>
  <c r="AJ780" i="60"/>
  <c r="AL779" i="60"/>
  <c r="AJ779" i="60"/>
  <c r="AL778" i="60"/>
  <c r="AJ778" i="60"/>
  <c r="AL777" i="60"/>
  <c r="AJ777" i="60"/>
  <c r="AL776" i="60"/>
  <c r="AJ776" i="60"/>
  <c r="AL775" i="60"/>
  <c r="AJ775" i="60"/>
  <c r="AL774" i="60"/>
  <c r="AJ774" i="60"/>
  <c r="AL773" i="60"/>
  <c r="AJ773" i="60"/>
  <c r="AL772" i="60"/>
  <c r="AJ772" i="60"/>
  <c r="AL771" i="60"/>
  <c r="AJ771" i="60"/>
  <c r="AL770" i="60"/>
  <c r="AJ770" i="60"/>
  <c r="AL769" i="60"/>
  <c r="AJ769" i="60"/>
  <c r="AL768" i="60"/>
  <c r="AJ768" i="60"/>
  <c r="AL767" i="60"/>
  <c r="AJ767" i="60"/>
  <c r="AL766" i="60"/>
  <c r="AJ766" i="60"/>
  <c r="AL765" i="60"/>
  <c r="AJ765" i="60"/>
  <c r="AL764" i="60"/>
  <c r="AJ764" i="60"/>
  <c r="AL763" i="60"/>
  <c r="AJ763" i="60"/>
  <c r="AL762" i="60"/>
  <c r="AJ762" i="60"/>
  <c r="AL761" i="60"/>
  <c r="AJ761" i="60"/>
  <c r="AL760" i="60"/>
  <c r="AJ760" i="60"/>
  <c r="AL759" i="60"/>
  <c r="AJ759" i="60"/>
  <c r="AL758" i="60"/>
  <c r="AJ758" i="60"/>
  <c r="AL757" i="60"/>
  <c r="AJ757" i="60"/>
  <c r="AL756" i="60"/>
  <c r="AJ756" i="60"/>
  <c r="AL755" i="60"/>
  <c r="AJ755" i="60"/>
  <c r="AL754" i="60"/>
  <c r="AJ754" i="60"/>
  <c r="AL753" i="60"/>
  <c r="AJ753" i="60"/>
  <c r="AL752" i="60"/>
  <c r="AJ752" i="60"/>
  <c r="AL751" i="60"/>
  <c r="AJ751" i="60"/>
  <c r="AL750" i="60"/>
  <c r="AJ750" i="60"/>
  <c r="AL749" i="60"/>
  <c r="AJ749" i="60"/>
  <c r="AL748" i="60"/>
  <c r="AJ748" i="60"/>
  <c r="AL747" i="60"/>
  <c r="AJ747" i="60"/>
  <c r="AL746" i="60"/>
  <c r="AJ746" i="60"/>
  <c r="AL745" i="60"/>
  <c r="AJ745" i="60"/>
  <c r="AL744" i="60"/>
  <c r="AJ744" i="60"/>
  <c r="AL743" i="60"/>
  <c r="AJ743" i="60"/>
  <c r="AL742" i="60"/>
  <c r="AJ742" i="60"/>
  <c r="AL741" i="60"/>
  <c r="AJ741" i="60"/>
  <c r="AL740" i="60"/>
  <c r="AJ740" i="60"/>
  <c r="AL739" i="60"/>
  <c r="AJ739" i="60"/>
  <c r="AL738" i="60"/>
  <c r="AJ738" i="60"/>
  <c r="AL737" i="60"/>
  <c r="AJ737" i="60"/>
  <c r="AL736" i="60"/>
  <c r="AJ736" i="60"/>
  <c r="AL735" i="60"/>
  <c r="AJ735" i="60"/>
  <c r="AL734" i="60"/>
  <c r="AJ734" i="60"/>
  <c r="AL733" i="60"/>
  <c r="AJ733" i="60"/>
  <c r="AL732" i="60"/>
  <c r="AJ732" i="60"/>
  <c r="AL731" i="60"/>
  <c r="AJ731" i="60"/>
  <c r="AL730" i="60"/>
  <c r="AJ730" i="60"/>
  <c r="AL729" i="60"/>
  <c r="AJ729" i="60"/>
  <c r="AL728" i="60"/>
  <c r="AJ728" i="60"/>
  <c r="AL727" i="60"/>
  <c r="AJ727" i="60"/>
  <c r="AL726" i="60"/>
  <c r="AJ726" i="60"/>
  <c r="AL725" i="60"/>
  <c r="AJ725" i="60"/>
  <c r="AL724" i="60"/>
  <c r="AJ724" i="60"/>
  <c r="AL723" i="60"/>
  <c r="AJ723" i="60"/>
  <c r="AL722" i="60"/>
  <c r="AJ722" i="60"/>
  <c r="AL721" i="60"/>
  <c r="AJ721" i="60"/>
  <c r="AL720" i="60"/>
  <c r="AJ720" i="60"/>
  <c r="AL719" i="60"/>
  <c r="AJ719" i="60"/>
  <c r="AL718" i="60"/>
  <c r="AJ718" i="60"/>
  <c r="AL717" i="60"/>
  <c r="AJ717" i="60"/>
  <c r="AL716" i="60"/>
  <c r="AJ716" i="60"/>
  <c r="AL715" i="60"/>
  <c r="AJ715" i="60"/>
  <c r="AL714" i="60"/>
  <c r="AJ714" i="60"/>
  <c r="AL713" i="60"/>
  <c r="AJ713" i="60"/>
  <c r="AL712" i="60"/>
  <c r="AJ712" i="60"/>
  <c r="AL711" i="60"/>
  <c r="AJ711" i="60"/>
  <c r="AL710" i="60"/>
  <c r="AJ710" i="60"/>
  <c r="AL709" i="60"/>
  <c r="AJ709" i="60"/>
  <c r="AL708" i="60"/>
  <c r="AJ708" i="60"/>
  <c r="AL707" i="60"/>
  <c r="AJ707" i="60"/>
  <c r="AL706" i="60"/>
  <c r="AJ706" i="60"/>
  <c r="AL705" i="60"/>
  <c r="AJ705" i="60"/>
  <c r="AL704" i="60"/>
  <c r="AJ704" i="60"/>
  <c r="AL703" i="60"/>
  <c r="AJ703" i="60"/>
  <c r="AL702" i="60"/>
  <c r="AJ702" i="60"/>
  <c r="AL701" i="60"/>
  <c r="AJ701" i="60"/>
  <c r="AL700" i="60"/>
  <c r="AJ700" i="60"/>
  <c r="AL699" i="60"/>
  <c r="AJ699" i="60"/>
  <c r="AL698" i="60"/>
  <c r="AJ698" i="60"/>
  <c r="AL697" i="60"/>
  <c r="AJ697" i="60"/>
  <c r="AL696" i="60"/>
  <c r="AJ696" i="60"/>
  <c r="AL695" i="60"/>
  <c r="AJ695" i="60"/>
  <c r="AL694" i="60"/>
  <c r="AJ694" i="60"/>
  <c r="AL693" i="60"/>
  <c r="AJ693" i="60"/>
  <c r="AL692" i="60"/>
  <c r="AJ692" i="60"/>
  <c r="AL691" i="60"/>
  <c r="AJ691" i="60"/>
  <c r="AL690" i="60"/>
  <c r="AJ690" i="60"/>
  <c r="AL689" i="60"/>
  <c r="AJ689" i="60"/>
  <c r="AL688" i="60"/>
  <c r="AJ688" i="60"/>
  <c r="AL687" i="60"/>
  <c r="AJ687" i="60"/>
  <c r="AL686" i="60"/>
  <c r="AJ686" i="60"/>
  <c r="AL685" i="60"/>
  <c r="AJ685" i="60"/>
  <c r="AL684" i="60"/>
  <c r="AJ684" i="60"/>
  <c r="AL683" i="60"/>
  <c r="AJ683" i="60"/>
  <c r="AL682" i="60"/>
  <c r="AJ682" i="60"/>
  <c r="AL681" i="60"/>
  <c r="AJ681" i="60"/>
  <c r="AL680" i="60"/>
  <c r="AJ680" i="60"/>
  <c r="AL679" i="60"/>
  <c r="AJ679" i="60"/>
  <c r="AL678" i="60"/>
  <c r="AJ678" i="60"/>
  <c r="AL677" i="60"/>
  <c r="AJ677" i="60"/>
  <c r="AL676" i="60"/>
  <c r="AJ676" i="60"/>
  <c r="AL675" i="60"/>
  <c r="AJ675" i="60"/>
  <c r="AL674" i="60"/>
  <c r="AJ674" i="60"/>
  <c r="AL673" i="60"/>
  <c r="AJ673" i="60"/>
  <c r="AL672" i="60"/>
  <c r="AJ672" i="60"/>
  <c r="AL671" i="60"/>
  <c r="AJ671" i="60"/>
  <c r="AL670" i="60"/>
  <c r="AJ670" i="60"/>
  <c r="AL669" i="60"/>
  <c r="AJ669" i="60"/>
  <c r="AL668" i="60"/>
  <c r="AJ668" i="60"/>
  <c r="AL667" i="60"/>
  <c r="AJ667" i="60"/>
  <c r="AL666" i="60"/>
  <c r="AJ666" i="60"/>
  <c r="AL665" i="60"/>
  <c r="AJ665" i="60"/>
  <c r="AL664" i="60"/>
  <c r="AJ664" i="60"/>
  <c r="AL663" i="60"/>
  <c r="AJ663" i="60"/>
  <c r="AL662" i="60"/>
  <c r="AJ662" i="60"/>
  <c r="AL661" i="60"/>
  <c r="AJ661" i="60"/>
  <c r="AL660" i="60"/>
  <c r="AJ660" i="60"/>
  <c r="AL659" i="60"/>
  <c r="AJ659" i="60"/>
  <c r="AL658" i="60"/>
  <c r="AJ658" i="60"/>
  <c r="AL657" i="60"/>
  <c r="AJ657" i="60"/>
  <c r="AL656" i="60"/>
  <c r="AJ656" i="60"/>
  <c r="AL655" i="60"/>
  <c r="AJ655" i="60"/>
  <c r="AL654" i="60"/>
  <c r="AJ654" i="60"/>
  <c r="AL653" i="60"/>
  <c r="AJ653" i="60"/>
  <c r="AL652" i="60"/>
  <c r="AJ652" i="60"/>
  <c r="AL651" i="60"/>
  <c r="AJ651" i="60"/>
  <c r="AL650" i="60"/>
  <c r="AJ650" i="60"/>
  <c r="AL649" i="60"/>
  <c r="AJ649" i="60"/>
  <c r="AL648" i="60"/>
  <c r="AJ648" i="60"/>
  <c r="AL647" i="60"/>
  <c r="AJ647" i="60"/>
  <c r="AL646" i="60"/>
  <c r="AJ646" i="60"/>
  <c r="AL645" i="60"/>
  <c r="AJ645" i="60"/>
  <c r="AL644" i="60"/>
  <c r="AJ644" i="60"/>
  <c r="AL643" i="60"/>
  <c r="AJ643" i="60"/>
  <c r="AL642" i="60"/>
  <c r="AJ642" i="60"/>
  <c r="AL641" i="60"/>
  <c r="AJ641" i="60"/>
  <c r="AL640" i="60"/>
  <c r="AJ640" i="60"/>
  <c r="AL639" i="60"/>
  <c r="AJ639" i="60"/>
  <c r="AL638" i="60"/>
  <c r="AJ638" i="60"/>
  <c r="AL637" i="60"/>
  <c r="AJ637" i="60"/>
  <c r="AL636" i="60"/>
  <c r="AJ636" i="60"/>
  <c r="AL635" i="60"/>
  <c r="AJ635" i="60"/>
  <c r="AL634" i="60"/>
  <c r="AJ634" i="60"/>
  <c r="AL633" i="60"/>
  <c r="AJ633" i="60"/>
  <c r="AL632" i="60"/>
  <c r="AJ632" i="60"/>
  <c r="AL631" i="60"/>
  <c r="AJ631" i="60"/>
  <c r="AL630" i="60"/>
  <c r="AJ630" i="60"/>
  <c r="AL629" i="60"/>
  <c r="AJ629" i="60"/>
  <c r="AL628" i="60"/>
  <c r="AJ628" i="60"/>
  <c r="AL627" i="60"/>
  <c r="AJ627" i="60"/>
  <c r="AL626" i="60"/>
  <c r="AJ626" i="60"/>
  <c r="AL625" i="60"/>
  <c r="AJ625" i="60"/>
  <c r="AL624" i="60"/>
  <c r="AJ624" i="60"/>
  <c r="AL623" i="60"/>
  <c r="AJ623" i="60"/>
  <c r="AL622" i="60"/>
  <c r="AJ622" i="60"/>
  <c r="AL621" i="60"/>
  <c r="AJ621" i="60"/>
  <c r="AL620" i="60"/>
  <c r="AJ620" i="60"/>
  <c r="AL619" i="60"/>
  <c r="AJ619" i="60"/>
  <c r="AL618" i="60"/>
  <c r="AJ618" i="60"/>
  <c r="AL617" i="60"/>
  <c r="AJ617" i="60"/>
  <c r="AL616" i="60"/>
  <c r="AJ616" i="60"/>
  <c r="AL615" i="60"/>
  <c r="AJ615" i="60"/>
  <c r="AL614" i="60"/>
  <c r="AJ614" i="60"/>
  <c r="AL613" i="60"/>
  <c r="AJ613" i="60"/>
  <c r="AL612" i="60"/>
  <c r="AJ612" i="60"/>
  <c r="AL611" i="60"/>
  <c r="AJ611" i="60"/>
  <c r="AL610" i="60"/>
  <c r="AJ610" i="60"/>
  <c r="AL609" i="60"/>
  <c r="AJ609" i="60"/>
  <c r="AL608" i="60"/>
  <c r="AJ608" i="60"/>
  <c r="AL607" i="60"/>
  <c r="AJ607" i="60"/>
  <c r="AL606" i="60"/>
  <c r="AJ606" i="60"/>
  <c r="AL605" i="60"/>
  <c r="AJ605" i="60"/>
  <c r="AL604" i="60"/>
  <c r="AJ604" i="60"/>
  <c r="AL603" i="60"/>
  <c r="AJ603" i="60"/>
  <c r="AL602" i="60"/>
  <c r="AJ602" i="60"/>
  <c r="AL601" i="60"/>
  <c r="AJ601" i="60"/>
  <c r="AL600" i="60"/>
  <c r="AJ600" i="60"/>
  <c r="AL599" i="60"/>
  <c r="AJ599" i="60"/>
  <c r="AL598" i="60"/>
  <c r="AJ598" i="60"/>
  <c r="AL597" i="60"/>
  <c r="AJ597" i="60"/>
  <c r="AL596" i="60"/>
  <c r="AJ596" i="60"/>
  <c r="AL595" i="60"/>
  <c r="AJ595" i="60"/>
  <c r="AL594" i="60"/>
  <c r="AJ594" i="60"/>
  <c r="AL593" i="60"/>
  <c r="AJ593" i="60"/>
  <c r="AL592" i="60"/>
  <c r="AJ592" i="60"/>
  <c r="AL591" i="60"/>
  <c r="AJ591" i="60"/>
  <c r="AL590" i="60"/>
  <c r="AJ590" i="60"/>
  <c r="AL589" i="60"/>
  <c r="AJ589" i="60"/>
  <c r="AL588" i="60"/>
  <c r="AJ588" i="60"/>
  <c r="AL587" i="60"/>
  <c r="AJ587" i="60"/>
  <c r="AL586" i="60"/>
  <c r="AJ586" i="60"/>
  <c r="AL585" i="60"/>
  <c r="AJ585" i="60"/>
  <c r="AL584" i="60"/>
  <c r="AJ584" i="60"/>
  <c r="AL583" i="60"/>
  <c r="AJ583" i="60"/>
  <c r="AL582" i="60"/>
  <c r="AJ582" i="60"/>
  <c r="AL581" i="60"/>
  <c r="AJ581" i="60"/>
  <c r="AL580" i="60"/>
  <c r="AJ580" i="60"/>
  <c r="AL579" i="60"/>
  <c r="AJ579" i="60"/>
  <c r="AL578" i="60"/>
  <c r="AJ578" i="60"/>
  <c r="AL577" i="60"/>
  <c r="AJ577" i="60"/>
  <c r="AL576" i="60"/>
  <c r="AJ576" i="60"/>
  <c r="AL575" i="60"/>
  <c r="AJ575" i="60"/>
  <c r="AL574" i="60"/>
  <c r="AJ574" i="60"/>
  <c r="AL573" i="60"/>
  <c r="AJ573" i="60"/>
  <c r="AL572" i="60"/>
  <c r="AJ572" i="60"/>
  <c r="AL571" i="60"/>
  <c r="AJ571" i="60"/>
  <c r="AL570" i="60"/>
  <c r="AJ570" i="60"/>
  <c r="AL569" i="60"/>
  <c r="AJ569" i="60"/>
  <c r="AL568" i="60"/>
  <c r="AJ568" i="60"/>
  <c r="AL567" i="60"/>
  <c r="AJ567" i="60"/>
  <c r="AL566" i="60"/>
  <c r="AJ566" i="60"/>
  <c r="AL565" i="60"/>
  <c r="AJ565" i="60"/>
  <c r="AL564" i="60"/>
  <c r="AJ564" i="60"/>
  <c r="AL563" i="60"/>
  <c r="AJ563" i="60"/>
  <c r="AL562" i="60"/>
  <c r="AJ562" i="60"/>
  <c r="AL561" i="60"/>
  <c r="AJ561" i="60"/>
  <c r="AL560" i="60"/>
  <c r="AJ560" i="60"/>
  <c r="AL559" i="60"/>
  <c r="AJ559" i="60"/>
  <c r="AL558" i="60"/>
  <c r="AJ558" i="60"/>
  <c r="AL557" i="60"/>
  <c r="AJ557" i="60"/>
  <c r="AL556" i="60"/>
  <c r="AJ556" i="60"/>
  <c r="AL555" i="60"/>
  <c r="AJ555" i="60"/>
  <c r="AL554" i="60"/>
  <c r="AJ554" i="60"/>
  <c r="AL553" i="60"/>
  <c r="AJ553" i="60"/>
  <c r="AL552" i="60"/>
  <c r="AJ552" i="60"/>
  <c r="AL551" i="60"/>
  <c r="AJ551" i="60"/>
  <c r="AL550" i="60"/>
  <c r="AJ550" i="60"/>
  <c r="AL549" i="60"/>
  <c r="AJ549" i="60"/>
  <c r="AL548" i="60"/>
  <c r="AJ548" i="60"/>
  <c r="AL547" i="60"/>
  <c r="AJ547" i="60"/>
  <c r="AL546" i="60"/>
  <c r="AJ546" i="60"/>
  <c r="AL545" i="60"/>
  <c r="AJ545" i="60"/>
  <c r="AL544" i="60"/>
  <c r="AJ544" i="60"/>
  <c r="AL543" i="60"/>
  <c r="AJ543" i="60"/>
  <c r="AL542" i="60"/>
  <c r="AJ542" i="60"/>
  <c r="AL541" i="60"/>
  <c r="AJ541" i="60"/>
  <c r="AL540" i="60"/>
  <c r="AJ540" i="60"/>
  <c r="AL539" i="60"/>
  <c r="AJ539" i="60"/>
  <c r="AL538" i="60"/>
  <c r="AJ538" i="60"/>
  <c r="AL537" i="60"/>
  <c r="AJ537" i="60"/>
  <c r="AL536" i="60"/>
  <c r="AJ536" i="60"/>
  <c r="AL535" i="60"/>
  <c r="AJ535" i="60"/>
  <c r="AL534" i="60"/>
  <c r="AJ534" i="60"/>
  <c r="AL533" i="60"/>
  <c r="AJ533" i="60"/>
  <c r="AL532" i="60"/>
  <c r="AJ532" i="60"/>
  <c r="AL531" i="60"/>
  <c r="AJ531" i="60"/>
  <c r="AL530" i="60"/>
  <c r="AJ530" i="60"/>
  <c r="AL529" i="60"/>
  <c r="AJ529" i="60"/>
  <c r="AL528" i="60"/>
  <c r="AJ528" i="60"/>
  <c r="AL527" i="60"/>
  <c r="AJ527" i="60"/>
  <c r="AL526" i="60"/>
  <c r="AJ526" i="60"/>
  <c r="AL525" i="60"/>
  <c r="AJ525" i="60"/>
  <c r="AL524" i="60"/>
  <c r="AJ524" i="60"/>
  <c r="AL523" i="60"/>
  <c r="AJ523" i="60"/>
  <c r="AL522" i="60"/>
  <c r="AJ522" i="60"/>
  <c r="AL521" i="60"/>
  <c r="AJ521" i="60"/>
  <c r="AL520" i="60"/>
  <c r="AJ520" i="60"/>
  <c r="AL519" i="60"/>
  <c r="AJ519" i="60"/>
  <c r="AL518" i="60"/>
  <c r="AJ518" i="60"/>
  <c r="AL517" i="60"/>
  <c r="AJ517" i="60"/>
  <c r="AL516" i="60"/>
  <c r="AJ516" i="60"/>
  <c r="AL515" i="60"/>
  <c r="AJ515" i="60"/>
  <c r="AL514" i="60"/>
  <c r="AJ514" i="60"/>
  <c r="AL513" i="60"/>
  <c r="AJ513" i="60"/>
  <c r="AL512" i="60"/>
  <c r="AJ512" i="60"/>
  <c r="AL511" i="60"/>
  <c r="AJ511" i="60"/>
  <c r="AL510" i="60"/>
  <c r="AJ510" i="60"/>
  <c r="AL509" i="60"/>
  <c r="AJ509" i="60"/>
  <c r="AL508" i="60"/>
  <c r="AJ508" i="60"/>
  <c r="AL507" i="60"/>
  <c r="AJ507" i="60"/>
  <c r="AL506" i="60"/>
  <c r="AJ506" i="60"/>
  <c r="AL505" i="60"/>
  <c r="AJ505" i="60"/>
  <c r="AL504" i="60"/>
  <c r="AJ504" i="60"/>
  <c r="AL503" i="60"/>
  <c r="AJ503" i="60"/>
  <c r="AL502" i="60"/>
  <c r="AJ502" i="60"/>
  <c r="AL501" i="60"/>
  <c r="AJ501" i="60"/>
  <c r="AL500" i="60"/>
  <c r="AJ500" i="60"/>
  <c r="AL499" i="60"/>
  <c r="AJ499" i="60"/>
  <c r="AL498" i="60"/>
  <c r="AJ498" i="60"/>
  <c r="AL497" i="60"/>
  <c r="AJ497" i="60"/>
  <c r="AL496" i="60"/>
  <c r="AJ496" i="60"/>
  <c r="AL495" i="60"/>
  <c r="AJ495" i="60"/>
  <c r="AL494" i="60"/>
  <c r="AJ494" i="60"/>
  <c r="AL493" i="60"/>
  <c r="AJ493" i="60"/>
  <c r="AL492" i="60"/>
  <c r="AJ492" i="60"/>
  <c r="AL491" i="60"/>
  <c r="AJ491" i="60"/>
  <c r="AL490" i="60"/>
  <c r="AJ490" i="60"/>
  <c r="AL489" i="60"/>
  <c r="AJ489" i="60"/>
  <c r="AL488" i="60"/>
  <c r="AJ488" i="60"/>
  <c r="AL487" i="60"/>
  <c r="AJ487" i="60"/>
  <c r="AL486" i="60"/>
  <c r="AJ486" i="60"/>
  <c r="AL485" i="60"/>
  <c r="AJ485" i="60"/>
  <c r="AL484" i="60"/>
  <c r="AJ484" i="60"/>
  <c r="AL483" i="60"/>
  <c r="AJ483" i="60"/>
  <c r="AL482" i="60"/>
  <c r="AJ482" i="60"/>
  <c r="AL481" i="60"/>
  <c r="AJ481" i="60"/>
  <c r="AL480" i="60"/>
  <c r="AJ480" i="60"/>
  <c r="AL479" i="60"/>
  <c r="AJ479" i="60"/>
  <c r="AL478" i="60"/>
  <c r="AJ478" i="60"/>
  <c r="AL477" i="60"/>
  <c r="AJ477" i="60"/>
  <c r="AL476" i="60"/>
  <c r="AJ476" i="60"/>
  <c r="AL475" i="60"/>
  <c r="AJ475" i="60"/>
  <c r="AL474" i="60"/>
  <c r="AJ474" i="60"/>
  <c r="AL473" i="60"/>
  <c r="AJ473" i="60"/>
  <c r="AL472" i="60"/>
  <c r="AJ472" i="60"/>
  <c r="AL471" i="60"/>
  <c r="AJ471" i="60"/>
  <c r="AL470" i="60"/>
  <c r="AJ470" i="60"/>
  <c r="AL469" i="60"/>
  <c r="AJ469" i="60"/>
  <c r="AL468" i="60"/>
  <c r="AJ468" i="60"/>
  <c r="AL467" i="60"/>
  <c r="AJ467" i="60"/>
  <c r="AL466" i="60"/>
  <c r="AJ466" i="60"/>
  <c r="AL465" i="60"/>
  <c r="AJ465" i="60"/>
  <c r="AL464" i="60"/>
  <c r="AJ464" i="60"/>
  <c r="AL463" i="60"/>
  <c r="AJ463" i="60"/>
  <c r="AL462" i="60"/>
  <c r="AJ462" i="60"/>
  <c r="AL461" i="60"/>
  <c r="AJ461" i="60"/>
  <c r="AL460" i="60"/>
  <c r="AJ460" i="60"/>
  <c r="AL459" i="60"/>
  <c r="AJ459" i="60"/>
  <c r="AL458" i="60"/>
  <c r="AJ458" i="60"/>
  <c r="AL457" i="60"/>
  <c r="AJ457" i="60"/>
  <c r="AL456" i="60"/>
  <c r="AJ456" i="60"/>
  <c r="AL455" i="60"/>
  <c r="AJ455" i="60"/>
  <c r="AL454" i="60"/>
  <c r="AJ454" i="60"/>
  <c r="AL453" i="60"/>
  <c r="AJ453" i="60"/>
  <c r="AL452" i="60"/>
  <c r="AJ452" i="60"/>
  <c r="AL451" i="60"/>
  <c r="AJ451" i="60"/>
  <c r="AL450" i="60"/>
  <c r="AJ450" i="60"/>
  <c r="AL449" i="60"/>
  <c r="AJ449" i="60"/>
  <c r="AL448" i="60"/>
  <c r="AJ448" i="60"/>
  <c r="AL447" i="60"/>
  <c r="AJ447" i="60"/>
  <c r="AL446" i="60"/>
  <c r="AJ446" i="60"/>
  <c r="AL445" i="60"/>
  <c r="AJ445" i="60"/>
  <c r="AL444" i="60"/>
  <c r="AJ444" i="60"/>
  <c r="AL443" i="60"/>
  <c r="AJ443" i="60"/>
  <c r="AL442" i="60"/>
  <c r="AJ442" i="60"/>
  <c r="AL441" i="60"/>
  <c r="AJ441" i="60"/>
  <c r="AL440" i="60"/>
  <c r="AJ440" i="60"/>
  <c r="AL439" i="60"/>
  <c r="AJ439" i="60"/>
  <c r="AL438" i="60"/>
  <c r="AJ438" i="60"/>
  <c r="AL437" i="60"/>
  <c r="AJ437" i="60"/>
  <c r="AL436" i="60"/>
  <c r="AJ436" i="60"/>
  <c r="AL435" i="60"/>
  <c r="AJ435" i="60"/>
  <c r="AL434" i="60"/>
  <c r="AJ434" i="60"/>
  <c r="AL433" i="60"/>
  <c r="AJ433" i="60"/>
  <c r="AL432" i="60"/>
  <c r="AJ432" i="60"/>
  <c r="AL431" i="60"/>
  <c r="AJ431" i="60"/>
  <c r="AL430" i="60"/>
  <c r="AJ430" i="60"/>
  <c r="AL429" i="60"/>
  <c r="AJ429" i="60"/>
  <c r="AL428" i="60"/>
  <c r="AJ428" i="60"/>
  <c r="AL427" i="60"/>
  <c r="AJ427" i="60"/>
  <c r="AL426" i="60"/>
  <c r="AJ426" i="60"/>
  <c r="AL425" i="60"/>
  <c r="AJ425" i="60"/>
  <c r="AL424" i="60"/>
  <c r="AJ424" i="60"/>
  <c r="AL423" i="60"/>
  <c r="AJ423" i="60"/>
  <c r="AL422" i="60"/>
  <c r="AJ422" i="60"/>
  <c r="AL421" i="60"/>
  <c r="AJ421" i="60"/>
  <c r="AL420" i="60"/>
  <c r="AJ420" i="60"/>
  <c r="AL419" i="60"/>
  <c r="AJ419" i="60"/>
  <c r="AL418" i="60"/>
  <c r="AJ418" i="60"/>
  <c r="AL417" i="60"/>
  <c r="AJ417" i="60"/>
  <c r="AL416" i="60"/>
  <c r="AJ416" i="60"/>
  <c r="AL415" i="60"/>
  <c r="AJ415" i="60"/>
  <c r="AL414" i="60"/>
  <c r="AJ414" i="60"/>
  <c r="AL413" i="60"/>
  <c r="AJ413" i="60"/>
  <c r="AL412" i="60"/>
  <c r="AJ412" i="60"/>
  <c r="AL411" i="60"/>
  <c r="AJ411" i="60"/>
  <c r="AL410" i="60"/>
  <c r="AJ410" i="60"/>
  <c r="AL409" i="60"/>
  <c r="AJ409" i="60"/>
  <c r="AL408" i="60"/>
  <c r="AJ408" i="60"/>
  <c r="AL407" i="60"/>
  <c r="AJ407" i="60"/>
  <c r="AL406" i="60"/>
  <c r="AJ406" i="60"/>
  <c r="AL405" i="60"/>
  <c r="AJ405" i="60"/>
  <c r="AL404" i="60"/>
  <c r="AJ404" i="60"/>
  <c r="AL403" i="60"/>
  <c r="AJ403" i="60"/>
  <c r="AL402" i="60"/>
  <c r="AJ402" i="60"/>
  <c r="AL401" i="60"/>
  <c r="AJ401" i="60"/>
  <c r="AL400" i="60"/>
  <c r="AJ400" i="60"/>
  <c r="AL399" i="60"/>
  <c r="AJ399" i="60"/>
  <c r="AL398" i="60"/>
  <c r="AJ398" i="60"/>
  <c r="AL397" i="60"/>
  <c r="AJ397" i="60"/>
  <c r="AL396" i="60"/>
  <c r="AJ396" i="60"/>
  <c r="AL395" i="60"/>
  <c r="AJ395" i="60"/>
  <c r="AL394" i="60"/>
  <c r="AJ394" i="60"/>
  <c r="AL393" i="60"/>
  <c r="AJ393" i="60"/>
  <c r="AL392" i="60"/>
  <c r="AJ392" i="60"/>
  <c r="AL391" i="60"/>
  <c r="AJ391" i="60"/>
  <c r="AL390" i="60"/>
  <c r="AJ390" i="60"/>
  <c r="AL389" i="60"/>
  <c r="AJ389" i="60"/>
  <c r="AL388" i="60"/>
  <c r="AJ388" i="60"/>
  <c r="AL387" i="60"/>
  <c r="AJ387" i="60"/>
  <c r="AL386" i="60"/>
  <c r="AJ386" i="60"/>
  <c r="AL385" i="60"/>
  <c r="AJ385" i="60"/>
  <c r="AL384" i="60"/>
  <c r="AJ384" i="60"/>
  <c r="AL383" i="60"/>
  <c r="AJ383" i="60"/>
  <c r="AL382" i="60"/>
  <c r="AJ382" i="60"/>
  <c r="AL381" i="60"/>
  <c r="AJ381" i="60"/>
  <c r="AL380" i="60"/>
  <c r="AJ380" i="60"/>
  <c r="AL379" i="60"/>
  <c r="AJ379" i="60"/>
  <c r="AL378" i="60"/>
  <c r="AJ378" i="60"/>
  <c r="AL377" i="60"/>
  <c r="AJ377" i="60"/>
  <c r="AL376" i="60"/>
  <c r="AJ376" i="60"/>
  <c r="AL375" i="60"/>
  <c r="AJ375" i="60"/>
  <c r="AL374" i="60"/>
  <c r="AJ374" i="60"/>
  <c r="AL373" i="60"/>
  <c r="AJ373" i="60"/>
  <c r="AL372" i="60"/>
  <c r="AJ372" i="60"/>
  <c r="AL371" i="60"/>
  <c r="AJ371" i="60"/>
  <c r="AL370" i="60"/>
  <c r="AJ370" i="60"/>
  <c r="AL369" i="60"/>
  <c r="AJ369" i="60"/>
  <c r="AL368" i="60"/>
  <c r="AJ368" i="60"/>
  <c r="AL367" i="60"/>
  <c r="AJ367" i="60"/>
  <c r="AL366" i="60"/>
  <c r="AJ366" i="60"/>
  <c r="AL365" i="60"/>
  <c r="AJ365" i="60"/>
  <c r="AL364" i="60"/>
  <c r="AJ364" i="60"/>
  <c r="AL363" i="60"/>
  <c r="AJ363" i="60"/>
  <c r="AL362" i="60"/>
  <c r="AJ362" i="60"/>
  <c r="AL361" i="60"/>
  <c r="AJ361" i="60"/>
  <c r="AL360" i="60"/>
  <c r="AJ360" i="60"/>
  <c r="AL359" i="60"/>
  <c r="AJ359" i="60"/>
  <c r="AL358" i="60"/>
  <c r="AJ358" i="60"/>
  <c r="AL357" i="60"/>
  <c r="AJ357" i="60"/>
  <c r="AL356" i="60"/>
  <c r="AJ356" i="60"/>
  <c r="AL355" i="60"/>
  <c r="AJ355" i="60"/>
  <c r="AL354" i="60"/>
  <c r="AJ354" i="60"/>
  <c r="AL353" i="60"/>
  <c r="AJ353" i="60"/>
  <c r="AL352" i="60"/>
  <c r="AJ352" i="60"/>
  <c r="AL351" i="60"/>
  <c r="AJ351" i="60"/>
  <c r="AL350" i="60"/>
  <c r="AJ350" i="60"/>
  <c r="AL349" i="60"/>
  <c r="AJ349" i="60"/>
  <c r="AL348" i="60"/>
  <c r="AJ348" i="60"/>
  <c r="AL347" i="60"/>
  <c r="AJ347" i="60"/>
  <c r="AL346" i="60"/>
  <c r="AJ346" i="60"/>
  <c r="AL345" i="60"/>
  <c r="AJ345" i="60"/>
  <c r="AL344" i="60"/>
  <c r="AJ344" i="60"/>
  <c r="AL343" i="60"/>
  <c r="AJ343" i="60"/>
  <c r="AL342" i="60"/>
  <c r="AJ342" i="60"/>
  <c r="AL341" i="60"/>
  <c r="AJ341" i="60"/>
  <c r="AL340" i="60"/>
  <c r="AJ340" i="60"/>
  <c r="AL339" i="60"/>
  <c r="AJ339" i="60"/>
  <c r="AL338" i="60"/>
  <c r="AJ338" i="60"/>
  <c r="AL337" i="60"/>
  <c r="AJ337" i="60"/>
  <c r="AL336" i="60"/>
  <c r="AJ336" i="60"/>
  <c r="AL335" i="60"/>
  <c r="AJ335" i="60"/>
  <c r="AL334" i="60"/>
  <c r="AJ334" i="60"/>
  <c r="AL333" i="60"/>
  <c r="AJ333" i="60"/>
  <c r="AL332" i="60"/>
  <c r="AJ332" i="60"/>
  <c r="AL331" i="60"/>
  <c r="AJ331" i="60"/>
  <c r="AL330" i="60"/>
  <c r="AJ330" i="60"/>
  <c r="AL329" i="60"/>
  <c r="AJ329" i="60"/>
  <c r="AL328" i="60"/>
  <c r="AJ328" i="60"/>
  <c r="AL327" i="60"/>
  <c r="AJ327" i="60"/>
  <c r="AL326" i="60"/>
  <c r="AJ326" i="60"/>
  <c r="AL325" i="60"/>
  <c r="AJ325" i="60"/>
  <c r="AL324" i="60"/>
  <c r="AJ324" i="60"/>
  <c r="AL323" i="60"/>
  <c r="AJ323" i="60"/>
  <c r="AL322" i="60"/>
  <c r="AJ322" i="60"/>
  <c r="AL321" i="60"/>
  <c r="AJ321" i="60"/>
  <c r="AL320" i="60"/>
  <c r="AJ320" i="60"/>
  <c r="AL319" i="60"/>
  <c r="AJ319" i="60"/>
  <c r="AL318" i="60"/>
  <c r="AJ318" i="60"/>
  <c r="AL317" i="60"/>
  <c r="AJ317" i="60"/>
  <c r="AL316" i="60"/>
  <c r="AJ316" i="60"/>
  <c r="AL315" i="60"/>
  <c r="AJ315" i="60"/>
  <c r="AL314" i="60"/>
  <c r="AJ314" i="60"/>
  <c r="AL313" i="60"/>
  <c r="AJ313" i="60"/>
  <c r="AL312" i="60"/>
  <c r="AJ312" i="60"/>
  <c r="AL311" i="60"/>
  <c r="AJ311" i="60"/>
  <c r="AL310" i="60"/>
  <c r="AJ310" i="60"/>
  <c r="AL309" i="60"/>
  <c r="AJ309" i="60"/>
  <c r="AL308" i="60"/>
  <c r="AJ308" i="60"/>
  <c r="AL307" i="60"/>
  <c r="AJ307" i="60"/>
  <c r="AL306" i="60"/>
  <c r="AJ306" i="60"/>
  <c r="AL305" i="60"/>
  <c r="AJ305" i="60"/>
  <c r="AL304" i="60"/>
  <c r="AJ304" i="60"/>
  <c r="AL303" i="60"/>
  <c r="AJ303" i="60"/>
  <c r="AL302" i="60"/>
  <c r="AJ302" i="60"/>
  <c r="AL301" i="60"/>
  <c r="AJ301" i="60"/>
  <c r="AL300" i="60"/>
  <c r="AJ300" i="60"/>
  <c r="AL299" i="60"/>
  <c r="AJ299" i="60"/>
  <c r="AL298" i="60"/>
  <c r="AJ298" i="60"/>
  <c r="AL297" i="60"/>
  <c r="AJ297" i="60"/>
  <c r="AL296" i="60"/>
  <c r="AJ296" i="60"/>
  <c r="AL295" i="60"/>
  <c r="AJ295" i="60"/>
  <c r="AL294" i="60"/>
  <c r="AJ294" i="60"/>
  <c r="AL293" i="60"/>
  <c r="AJ293" i="60"/>
  <c r="AL292" i="60"/>
  <c r="AJ292" i="60"/>
  <c r="AL291" i="60"/>
  <c r="AJ291" i="60"/>
  <c r="AL290" i="60"/>
  <c r="AJ290" i="60"/>
  <c r="AL289" i="60"/>
  <c r="AJ289" i="60"/>
  <c r="AL288" i="60"/>
  <c r="AJ288" i="60"/>
  <c r="AL287" i="60"/>
  <c r="AJ287" i="60"/>
  <c r="AL286" i="60"/>
  <c r="AJ286" i="60"/>
  <c r="AL285" i="60"/>
  <c r="AJ285" i="60"/>
  <c r="AL284" i="60"/>
  <c r="AJ284" i="60"/>
  <c r="AL283" i="60"/>
  <c r="AJ283" i="60"/>
  <c r="AL282" i="60"/>
  <c r="AJ282" i="60"/>
  <c r="AL281" i="60"/>
  <c r="AJ281" i="60"/>
  <c r="AL280" i="60"/>
  <c r="AJ280" i="60"/>
  <c r="AL279" i="60"/>
  <c r="AJ279" i="60"/>
  <c r="AL278" i="60"/>
  <c r="AJ278" i="60"/>
  <c r="AL277" i="60"/>
  <c r="AJ277" i="60"/>
  <c r="AL276" i="60"/>
  <c r="AJ276" i="60"/>
  <c r="AL275" i="60"/>
  <c r="AJ275" i="60"/>
  <c r="AL274" i="60"/>
  <c r="AJ274" i="60"/>
  <c r="AL273" i="60"/>
  <c r="AJ273" i="60"/>
  <c r="AL272" i="60"/>
  <c r="AJ272" i="60"/>
  <c r="AL271" i="60"/>
  <c r="AJ271" i="60"/>
  <c r="AL270" i="60"/>
  <c r="AJ270" i="60"/>
  <c r="AL269" i="60"/>
  <c r="AJ269" i="60"/>
  <c r="AL268" i="60"/>
  <c r="AJ268" i="60"/>
  <c r="AL267" i="60"/>
  <c r="AJ267" i="60"/>
  <c r="AL266" i="60"/>
  <c r="AJ266" i="60"/>
  <c r="AL265" i="60"/>
  <c r="AJ265" i="60"/>
  <c r="AL264" i="60"/>
  <c r="AJ264" i="60"/>
  <c r="AL263" i="60"/>
  <c r="AJ263" i="60"/>
  <c r="AL262" i="60"/>
  <c r="AJ262" i="60"/>
  <c r="AL261" i="60"/>
  <c r="AJ261" i="60"/>
  <c r="AL260" i="60"/>
  <c r="AJ260" i="60"/>
  <c r="AL259" i="60"/>
  <c r="AJ259" i="60"/>
  <c r="AL258" i="60"/>
  <c r="AJ258" i="60"/>
  <c r="AL257" i="60"/>
  <c r="AJ257" i="60"/>
  <c r="AL256" i="60"/>
  <c r="AJ256" i="60"/>
  <c r="AL255" i="60"/>
  <c r="AJ255" i="60"/>
  <c r="AL254" i="60"/>
  <c r="AJ254" i="60"/>
  <c r="AL253" i="60"/>
  <c r="AJ253" i="60"/>
  <c r="AL252" i="60"/>
  <c r="AJ252" i="60"/>
  <c r="AL251" i="60"/>
  <c r="AJ251" i="60"/>
  <c r="AL250" i="60"/>
  <c r="AJ250" i="60"/>
  <c r="AL249" i="60"/>
  <c r="AJ249" i="60"/>
  <c r="AL248" i="60"/>
  <c r="AJ248" i="60"/>
  <c r="AL247" i="60"/>
  <c r="AJ247" i="60"/>
  <c r="AL246" i="60"/>
  <c r="AJ246" i="60"/>
  <c r="AL245" i="60"/>
  <c r="AJ245" i="60"/>
  <c r="AL244" i="60"/>
  <c r="AJ244" i="60"/>
  <c r="AL243" i="60"/>
  <c r="AJ243" i="60"/>
  <c r="AL242" i="60"/>
  <c r="AJ242" i="60"/>
  <c r="AL241" i="60"/>
  <c r="AJ241" i="60"/>
  <c r="AL240" i="60"/>
  <c r="AJ240" i="60"/>
  <c r="AL239" i="60"/>
  <c r="AJ239" i="60"/>
  <c r="AL238" i="60"/>
  <c r="AJ238" i="60"/>
  <c r="AL237" i="60"/>
  <c r="AJ237" i="60"/>
  <c r="AL236" i="60"/>
  <c r="AJ236" i="60"/>
  <c r="AL235" i="60"/>
  <c r="AJ235" i="60"/>
  <c r="AL234" i="60"/>
  <c r="AJ234" i="60"/>
  <c r="AL233" i="60"/>
  <c r="AJ233" i="60"/>
  <c r="AL232" i="60"/>
  <c r="AJ232" i="60"/>
  <c r="AL231" i="60"/>
  <c r="AJ231" i="60"/>
  <c r="AL230" i="60"/>
  <c r="AJ230" i="60"/>
  <c r="AL229" i="60"/>
  <c r="AJ229" i="60"/>
  <c r="AL228" i="60"/>
  <c r="AJ228" i="60"/>
  <c r="AL227" i="60"/>
  <c r="AJ227" i="60"/>
  <c r="AL226" i="60"/>
  <c r="AJ226" i="60"/>
  <c r="AL225" i="60"/>
  <c r="AJ225" i="60"/>
  <c r="AL224" i="60"/>
  <c r="AJ224" i="60"/>
  <c r="AL223" i="60"/>
  <c r="AJ223" i="60"/>
  <c r="AL222" i="60"/>
  <c r="AJ222" i="60"/>
  <c r="AL221" i="60"/>
  <c r="AJ221" i="60"/>
  <c r="AL220" i="60"/>
  <c r="AJ220" i="60"/>
  <c r="AL219" i="60"/>
  <c r="AJ219" i="60"/>
  <c r="AL218" i="60"/>
  <c r="AJ218" i="60"/>
  <c r="AL217" i="60"/>
  <c r="AJ217" i="60"/>
  <c r="AL216" i="60"/>
  <c r="AJ216" i="60"/>
  <c r="AL215" i="60"/>
  <c r="AJ215" i="60"/>
  <c r="AL214" i="60"/>
  <c r="AJ214" i="60"/>
  <c r="AL213" i="60"/>
  <c r="AJ213" i="60"/>
  <c r="AL212" i="60"/>
  <c r="AJ212" i="60"/>
  <c r="AL211" i="60"/>
  <c r="AJ211" i="60"/>
  <c r="AL210" i="60"/>
  <c r="AJ210" i="60"/>
  <c r="AL209" i="60"/>
  <c r="AJ209" i="60"/>
  <c r="AL208" i="60"/>
  <c r="AJ208" i="60"/>
  <c r="AL207" i="60"/>
  <c r="AJ207" i="60"/>
  <c r="AL206" i="60"/>
  <c r="AJ206" i="60"/>
  <c r="AL205" i="60"/>
  <c r="AJ205" i="60"/>
  <c r="AL204" i="60"/>
  <c r="AJ204" i="60"/>
  <c r="AL203" i="60"/>
  <c r="AJ203" i="60"/>
  <c r="AL202" i="60"/>
  <c r="AJ202" i="60"/>
  <c r="AL201" i="60"/>
  <c r="AJ201" i="60"/>
  <c r="AL200" i="60"/>
  <c r="AJ200" i="60"/>
  <c r="AL199" i="60"/>
  <c r="AJ199" i="60"/>
  <c r="AL198" i="60"/>
  <c r="AJ198" i="60"/>
  <c r="AL197" i="60"/>
  <c r="AJ197" i="60"/>
  <c r="AL196" i="60"/>
  <c r="AJ196" i="60"/>
  <c r="AL195" i="60"/>
  <c r="AJ195" i="60"/>
  <c r="AL194" i="60"/>
  <c r="AJ194" i="60"/>
  <c r="AL193" i="60"/>
  <c r="AJ193" i="60"/>
  <c r="AL192" i="60"/>
  <c r="AJ192" i="60"/>
  <c r="AL191" i="60"/>
  <c r="AJ191" i="60"/>
  <c r="AL190" i="60"/>
  <c r="AJ190" i="60"/>
  <c r="AL189" i="60"/>
  <c r="AJ189" i="60"/>
  <c r="AL188" i="60"/>
  <c r="AJ188" i="60"/>
  <c r="AL187" i="60"/>
  <c r="AJ187" i="60"/>
  <c r="AL186" i="60"/>
  <c r="AJ186" i="60"/>
  <c r="AL185" i="60"/>
  <c r="AJ185" i="60"/>
  <c r="AL184" i="60"/>
  <c r="AJ184" i="60"/>
  <c r="AL183" i="60"/>
  <c r="AJ183" i="60"/>
  <c r="AL182" i="60"/>
  <c r="AJ182" i="60"/>
  <c r="AL181" i="60"/>
  <c r="AJ181" i="60"/>
  <c r="AL180" i="60"/>
  <c r="AJ180" i="60"/>
  <c r="AL179" i="60"/>
  <c r="AJ179" i="60"/>
  <c r="AL178" i="60"/>
  <c r="AJ178" i="60"/>
  <c r="AL177" i="60"/>
  <c r="AJ177" i="60"/>
  <c r="AL176" i="60"/>
  <c r="AJ176" i="60"/>
  <c r="AL175" i="60"/>
  <c r="AJ175" i="60"/>
  <c r="AL174" i="60"/>
  <c r="AJ174" i="60"/>
  <c r="AL173" i="60"/>
  <c r="AJ173" i="60"/>
  <c r="AL172" i="60"/>
  <c r="AJ172" i="60"/>
  <c r="AL171" i="60"/>
  <c r="AJ171" i="60"/>
  <c r="AL170" i="60"/>
  <c r="AJ170" i="60"/>
  <c r="AL169" i="60"/>
  <c r="AJ169" i="60"/>
  <c r="AL168" i="60"/>
  <c r="AJ168" i="60"/>
  <c r="AL167" i="60"/>
  <c r="AJ167" i="60"/>
  <c r="AL166" i="60"/>
  <c r="AJ166" i="60"/>
  <c r="AL165" i="60"/>
  <c r="AJ165" i="60"/>
  <c r="AL164" i="60"/>
  <c r="AJ164" i="60"/>
  <c r="AL163" i="60"/>
  <c r="AJ163" i="60"/>
  <c r="AL162" i="60"/>
  <c r="AJ162" i="60"/>
  <c r="AL161" i="60"/>
  <c r="AJ161" i="60"/>
  <c r="AL160" i="60"/>
  <c r="AJ160" i="60"/>
  <c r="AL159" i="60"/>
  <c r="AJ159" i="60"/>
  <c r="AL158" i="60"/>
  <c r="AJ158" i="60"/>
  <c r="AL157" i="60"/>
  <c r="AJ157" i="60"/>
  <c r="AL156" i="60"/>
  <c r="AJ156" i="60"/>
  <c r="AL155" i="60"/>
  <c r="AJ155" i="60"/>
  <c r="AL154" i="60"/>
  <c r="AJ154" i="60"/>
  <c r="AL153" i="60"/>
  <c r="AJ153" i="60"/>
  <c r="AL152" i="60"/>
  <c r="AJ152" i="60"/>
  <c r="AL151" i="60"/>
  <c r="AJ151" i="60"/>
  <c r="AL150" i="60"/>
  <c r="AJ150" i="60"/>
  <c r="AL149" i="60"/>
  <c r="AJ149" i="60"/>
  <c r="AL148" i="60"/>
  <c r="AJ148" i="60"/>
  <c r="AL147" i="60"/>
  <c r="AJ147" i="60"/>
  <c r="AL146" i="60"/>
  <c r="AJ146" i="60"/>
  <c r="AL145" i="60"/>
  <c r="AJ145" i="60"/>
  <c r="AL144" i="60"/>
  <c r="AJ144" i="60"/>
  <c r="AL143" i="60"/>
  <c r="AJ143" i="60"/>
  <c r="AL142" i="60"/>
  <c r="AJ142" i="60"/>
  <c r="AL141" i="60"/>
  <c r="AJ141" i="60"/>
  <c r="AL140" i="60"/>
  <c r="AJ140" i="60"/>
  <c r="AL139" i="60"/>
  <c r="AJ139" i="60"/>
  <c r="AL138" i="60"/>
  <c r="AJ138" i="60"/>
  <c r="AL137" i="60"/>
  <c r="AJ137" i="60"/>
  <c r="AL136" i="60"/>
  <c r="AJ136" i="60"/>
  <c r="AL135" i="60"/>
  <c r="AJ135" i="60"/>
  <c r="AL134" i="60"/>
  <c r="AJ134" i="60"/>
  <c r="AL133" i="60"/>
  <c r="AJ133" i="60"/>
  <c r="AL132" i="60"/>
  <c r="AJ132" i="60"/>
  <c r="AL131" i="60"/>
  <c r="AJ131" i="60"/>
  <c r="AL130" i="60"/>
  <c r="AJ130" i="60"/>
  <c r="AL129" i="60"/>
  <c r="AJ129" i="60"/>
  <c r="AL128" i="60"/>
  <c r="AJ128" i="60"/>
  <c r="AL127" i="60"/>
  <c r="AJ127" i="60"/>
  <c r="AL126" i="60"/>
  <c r="AJ126" i="60"/>
  <c r="AL125" i="60"/>
  <c r="AJ125" i="60"/>
  <c r="AL124" i="60"/>
  <c r="AJ124" i="60"/>
  <c r="AL123" i="60"/>
  <c r="AJ123" i="60"/>
  <c r="AL122" i="60"/>
  <c r="AJ122" i="60"/>
  <c r="AL121" i="60"/>
  <c r="AJ121" i="60"/>
  <c r="AL120" i="60"/>
  <c r="AJ120" i="60"/>
  <c r="AL119" i="60"/>
  <c r="AJ119" i="60"/>
  <c r="AL118" i="60"/>
  <c r="AJ118" i="60"/>
  <c r="AL117" i="60"/>
  <c r="AJ117" i="60"/>
  <c r="AL116" i="60"/>
  <c r="AJ116" i="60"/>
  <c r="AL115" i="60"/>
  <c r="AJ115" i="60"/>
  <c r="AL114" i="60"/>
  <c r="AJ114" i="60"/>
  <c r="AL113" i="60"/>
  <c r="AJ113" i="60"/>
  <c r="AL112" i="60"/>
  <c r="AJ112" i="60"/>
  <c r="AL111" i="60"/>
  <c r="AJ111" i="60"/>
  <c r="AL110" i="60"/>
  <c r="AJ110" i="60"/>
  <c r="AL109" i="60"/>
  <c r="AJ109" i="60"/>
  <c r="AL108" i="60"/>
  <c r="AJ108" i="60"/>
  <c r="AL107" i="60"/>
  <c r="AJ107" i="60"/>
  <c r="AL106" i="60"/>
  <c r="AJ106" i="60"/>
  <c r="AL105" i="60"/>
  <c r="AJ105" i="60"/>
  <c r="AL104" i="60"/>
  <c r="AJ104" i="60"/>
  <c r="AL103" i="60"/>
  <c r="AJ103" i="60"/>
  <c r="AL102" i="60"/>
  <c r="AJ102" i="60"/>
  <c r="AL101" i="60"/>
  <c r="AJ101" i="60"/>
  <c r="AL100" i="60"/>
  <c r="AJ100" i="60"/>
  <c r="AL99" i="60"/>
  <c r="AJ99" i="60"/>
  <c r="AL98" i="60"/>
  <c r="AJ98" i="60"/>
  <c r="AL97" i="60"/>
  <c r="AJ97" i="60"/>
  <c r="AL96" i="60"/>
  <c r="AJ96" i="60"/>
  <c r="AL95" i="60"/>
  <c r="AJ95" i="60"/>
  <c r="AL94" i="60"/>
  <c r="AJ94" i="60"/>
  <c r="AL93" i="60"/>
  <c r="AJ93" i="60"/>
  <c r="AL92" i="60"/>
  <c r="AJ92" i="60"/>
  <c r="AL91" i="60"/>
  <c r="AJ91" i="60"/>
  <c r="AL90" i="60"/>
  <c r="AJ90" i="60"/>
  <c r="AL89" i="60"/>
  <c r="AJ89" i="60"/>
  <c r="AL88" i="60"/>
  <c r="AJ88" i="60"/>
  <c r="AL87" i="60"/>
  <c r="AJ87" i="60"/>
  <c r="AL86" i="60"/>
  <c r="AJ86" i="60"/>
  <c r="AL85" i="60"/>
  <c r="AJ85" i="60"/>
  <c r="AL84" i="60"/>
  <c r="AJ84" i="60"/>
  <c r="AL83" i="60"/>
  <c r="AJ83" i="60"/>
  <c r="AL82" i="60"/>
  <c r="AJ82" i="60"/>
  <c r="AL81" i="60"/>
  <c r="AJ81" i="60"/>
  <c r="AL80" i="60"/>
  <c r="AJ80" i="60"/>
  <c r="AL79" i="60"/>
  <c r="AJ79" i="60"/>
  <c r="AL78" i="60"/>
  <c r="AJ78" i="60"/>
  <c r="AL77" i="60"/>
  <c r="AJ77" i="60"/>
  <c r="AL76" i="60"/>
  <c r="AJ76" i="60"/>
  <c r="AL75" i="60"/>
  <c r="AJ75" i="60"/>
  <c r="AL74" i="60"/>
  <c r="AJ74" i="60"/>
  <c r="AL73" i="60"/>
  <c r="AJ73" i="60"/>
  <c r="AL72" i="60"/>
  <c r="AJ72" i="60"/>
  <c r="AL71" i="60"/>
  <c r="AJ71" i="60"/>
  <c r="AL70" i="60"/>
  <c r="AJ70" i="60"/>
  <c r="AL69" i="60"/>
  <c r="AJ69" i="60"/>
  <c r="AL68" i="60"/>
  <c r="AJ68" i="60"/>
  <c r="AL67" i="60"/>
  <c r="AJ67" i="60"/>
  <c r="AL66" i="60"/>
  <c r="AJ66" i="60"/>
  <c r="AL65" i="60"/>
  <c r="AJ65" i="60"/>
  <c r="AL64" i="60"/>
  <c r="AJ64" i="60"/>
  <c r="AL63" i="60"/>
  <c r="AJ63" i="60"/>
  <c r="AL62" i="60"/>
  <c r="AJ62" i="60"/>
  <c r="AL61" i="60"/>
  <c r="AJ61" i="60"/>
  <c r="AL60" i="60"/>
  <c r="AJ60" i="60"/>
  <c r="AL59" i="60"/>
  <c r="AJ59" i="60"/>
  <c r="AL58" i="60"/>
  <c r="AJ58" i="60"/>
  <c r="AL57" i="60"/>
  <c r="AJ57" i="60"/>
  <c r="AL56" i="60"/>
  <c r="AJ56" i="60"/>
  <c r="AL55" i="60"/>
  <c r="AJ55" i="60"/>
  <c r="AL54" i="60"/>
  <c r="AJ54" i="60"/>
  <c r="AL53" i="60"/>
  <c r="AJ53" i="60"/>
  <c r="AL52" i="60"/>
  <c r="AJ52" i="60"/>
  <c r="AL51" i="60"/>
  <c r="AJ51" i="60"/>
  <c r="AL50" i="60"/>
  <c r="AJ50" i="60"/>
  <c r="AL49" i="60"/>
  <c r="AJ49" i="60"/>
  <c r="AL48" i="60"/>
  <c r="AJ48" i="60"/>
  <c r="AL47" i="60"/>
  <c r="AJ47" i="60"/>
  <c r="AL46" i="60"/>
  <c r="AJ46" i="60"/>
  <c r="AL45" i="60"/>
  <c r="AJ45" i="60"/>
  <c r="AL44" i="60"/>
  <c r="AJ44" i="60"/>
  <c r="AL43" i="60"/>
  <c r="AJ43" i="60"/>
  <c r="AL42" i="60"/>
  <c r="AJ42" i="60"/>
  <c r="AL41" i="60"/>
  <c r="AJ41" i="60"/>
  <c r="AL40" i="60"/>
  <c r="AJ40" i="60"/>
  <c r="AL39" i="60"/>
  <c r="AJ39" i="60"/>
  <c r="AL38" i="60"/>
  <c r="AJ38" i="60"/>
  <c r="AL37" i="60"/>
  <c r="AJ37" i="60"/>
  <c r="AL36" i="60"/>
  <c r="AJ36" i="60"/>
  <c r="AL35" i="60"/>
  <c r="AJ35" i="60"/>
  <c r="AL34" i="60"/>
  <c r="AJ34" i="60"/>
  <c r="AL33" i="60"/>
  <c r="AJ33" i="60"/>
  <c r="AL32" i="60"/>
  <c r="AJ32" i="60"/>
  <c r="AL31" i="60"/>
  <c r="AJ31" i="60"/>
  <c r="AL30" i="60"/>
  <c r="AJ30" i="60"/>
  <c r="AL29" i="60"/>
  <c r="AJ29" i="60"/>
  <c r="AL28" i="60"/>
  <c r="AJ28" i="60"/>
  <c r="AL27" i="60"/>
  <c r="AJ27" i="60"/>
  <c r="AL26" i="60"/>
  <c r="AJ26" i="60"/>
  <c r="AL25" i="60"/>
  <c r="AJ25" i="60"/>
  <c r="AL24" i="60"/>
  <c r="AJ24" i="60"/>
  <c r="AL23" i="60"/>
  <c r="AJ23" i="60"/>
  <c r="AL22" i="60"/>
  <c r="AJ22" i="60"/>
  <c r="AL21" i="60"/>
  <c r="AJ21" i="60"/>
  <c r="AL20" i="60"/>
  <c r="AJ20" i="60"/>
  <c r="AL19" i="60"/>
  <c r="AJ19" i="60"/>
  <c r="AL18" i="60"/>
  <c r="AJ18" i="60"/>
  <c r="AL17" i="60"/>
  <c r="AJ17" i="60"/>
  <c r="AL16" i="60"/>
  <c r="AJ16" i="60"/>
  <c r="AL15" i="60"/>
  <c r="AJ15" i="60"/>
  <c r="AL14" i="60"/>
  <c r="AJ14" i="60"/>
  <c r="AL13" i="60"/>
  <c r="AJ13" i="60"/>
  <c r="AL12" i="60"/>
  <c r="AJ12" i="60"/>
  <c r="AL11" i="60"/>
  <c r="AJ11" i="60"/>
  <c r="AL10" i="60"/>
  <c r="AJ10" i="60"/>
  <c r="AL9" i="60"/>
  <c r="AJ9" i="60"/>
  <c r="AL8" i="60"/>
  <c r="AJ8" i="60"/>
  <c r="AL7" i="60"/>
  <c r="AJ7" i="60"/>
  <c r="AL6" i="60"/>
  <c r="AJ6" i="60"/>
  <c r="AL5" i="60"/>
  <c r="AJ5" i="60"/>
  <c r="AL4" i="60"/>
  <c r="AJ4" i="60"/>
  <c r="AL3" i="60"/>
  <c r="AJ3" i="60"/>
  <c r="AL2" i="60"/>
  <c r="AJ2" i="60"/>
  <c r="U20" i="61"/>
  <c r="T20" i="61"/>
  <c r="T19" i="61"/>
  <c r="U19" i="61"/>
  <c r="U1" i="61"/>
  <c r="K7" i="61"/>
  <c r="K6" i="61"/>
  <c r="K5" i="61"/>
  <c r="K4" i="61"/>
  <c r="I7" i="61"/>
  <c r="I6" i="61"/>
  <c r="I5" i="61"/>
  <c r="I4" i="61"/>
  <c r="E32" i="61"/>
  <c r="D32" i="61"/>
  <c r="E29" i="61"/>
  <c r="D29" i="61"/>
  <c r="E26" i="61"/>
  <c r="D26" i="61"/>
  <c r="E23" i="61"/>
  <c r="D23" i="61"/>
  <c r="E20" i="61"/>
  <c r="D20" i="61"/>
  <c r="U18" i="61"/>
  <c r="T18" i="61"/>
  <c r="E17" i="61"/>
  <c r="D17" i="61"/>
  <c r="E14" i="61"/>
  <c r="D14" i="61"/>
  <c r="U2" i="61"/>
  <c r="U2" i="59"/>
  <c r="U1" i="59"/>
  <c r="F801" i="58"/>
  <c r="F798" i="58"/>
  <c r="V798" i="58"/>
  <c r="Z28" i="59" s="1"/>
  <c r="U19" i="59"/>
  <c r="T19" i="59"/>
  <c r="T18" i="59"/>
  <c r="AJ2" i="58"/>
  <c r="AV799" i="58"/>
  <c r="AV798" i="58"/>
  <c r="AT799" i="58"/>
  <c r="AT798" i="58"/>
  <c r="AM798" i="58"/>
  <c r="AK798" i="58"/>
  <c r="AL797" i="58"/>
  <c r="AJ797" i="58"/>
  <c r="AL796" i="58"/>
  <c r="AJ796" i="58"/>
  <c r="AL795" i="58"/>
  <c r="AJ795" i="58"/>
  <c r="AL794" i="58"/>
  <c r="AJ794" i="58"/>
  <c r="AL793" i="58"/>
  <c r="AJ793" i="58"/>
  <c r="AL792" i="58"/>
  <c r="AJ792" i="58"/>
  <c r="AL791" i="58"/>
  <c r="AJ791" i="58"/>
  <c r="AL790" i="58"/>
  <c r="AJ790" i="58"/>
  <c r="AL789" i="58"/>
  <c r="AJ789" i="58"/>
  <c r="AL788" i="58"/>
  <c r="AJ788" i="58"/>
  <c r="AL787" i="58"/>
  <c r="AJ787" i="58"/>
  <c r="AL786" i="58"/>
  <c r="AJ786" i="58"/>
  <c r="AL785" i="58"/>
  <c r="AJ785" i="58"/>
  <c r="AL784" i="58"/>
  <c r="AJ784" i="58"/>
  <c r="AL783" i="58"/>
  <c r="AJ783" i="58"/>
  <c r="AL782" i="58"/>
  <c r="AJ782" i="58"/>
  <c r="AL781" i="58"/>
  <c r="AJ781" i="58"/>
  <c r="AL780" i="58"/>
  <c r="AJ780" i="58"/>
  <c r="AL779" i="58"/>
  <c r="AJ779" i="58"/>
  <c r="AL778" i="58"/>
  <c r="AJ778" i="58"/>
  <c r="AL777" i="58"/>
  <c r="AJ777" i="58"/>
  <c r="AL776" i="58"/>
  <c r="AJ776" i="58"/>
  <c r="AL775" i="58"/>
  <c r="AJ775" i="58"/>
  <c r="AL774" i="58"/>
  <c r="AJ774" i="58"/>
  <c r="AL773" i="58"/>
  <c r="AJ773" i="58"/>
  <c r="AL772" i="58"/>
  <c r="AJ772" i="58"/>
  <c r="AL771" i="58"/>
  <c r="AJ771" i="58"/>
  <c r="AL770" i="58"/>
  <c r="AJ770" i="58"/>
  <c r="AL769" i="58"/>
  <c r="AJ769" i="58"/>
  <c r="AL768" i="58"/>
  <c r="AJ768" i="58"/>
  <c r="AL767" i="58"/>
  <c r="AJ767" i="58"/>
  <c r="AL766" i="58"/>
  <c r="AJ766" i="58"/>
  <c r="AL765" i="58"/>
  <c r="AJ765" i="58"/>
  <c r="AL764" i="58"/>
  <c r="AJ764" i="58"/>
  <c r="AL763" i="58"/>
  <c r="AJ763" i="58"/>
  <c r="AL762" i="58"/>
  <c r="AJ762" i="58"/>
  <c r="AL761" i="58"/>
  <c r="AJ761" i="58"/>
  <c r="AL760" i="58"/>
  <c r="AJ760" i="58"/>
  <c r="AL759" i="58"/>
  <c r="AJ759" i="58"/>
  <c r="AL758" i="58"/>
  <c r="AJ758" i="58"/>
  <c r="AL757" i="58"/>
  <c r="AJ757" i="58"/>
  <c r="AL756" i="58"/>
  <c r="AJ756" i="58"/>
  <c r="AL755" i="58"/>
  <c r="AJ755" i="58"/>
  <c r="AL754" i="58"/>
  <c r="AJ754" i="58"/>
  <c r="AL753" i="58"/>
  <c r="AJ753" i="58"/>
  <c r="AL752" i="58"/>
  <c r="AJ752" i="58"/>
  <c r="AL751" i="58"/>
  <c r="AJ751" i="58"/>
  <c r="AL750" i="58"/>
  <c r="AJ750" i="58"/>
  <c r="AL749" i="58"/>
  <c r="AJ749" i="58"/>
  <c r="AL748" i="58"/>
  <c r="AJ748" i="58"/>
  <c r="AL747" i="58"/>
  <c r="AJ747" i="58"/>
  <c r="AL746" i="58"/>
  <c r="AJ746" i="58"/>
  <c r="AL745" i="58"/>
  <c r="AJ745" i="58"/>
  <c r="AL744" i="58"/>
  <c r="AJ744" i="58"/>
  <c r="AL743" i="58"/>
  <c r="AJ743" i="58"/>
  <c r="AL742" i="58"/>
  <c r="AJ742" i="58"/>
  <c r="AL741" i="58"/>
  <c r="AJ741" i="58"/>
  <c r="AL740" i="58"/>
  <c r="AJ740" i="58"/>
  <c r="AL739" i="58"/>
  <c r="AJ739" i="58"/>
  <c r="AL738" i="58"/>
  <c r="AJ738" i="58"/>
  <c r="AL737" i="58"/>
  <c r="AJ737" i="58"/>
  <c r="AL736" i="58"/>
  <c r="AJ736" i="58"/>
  <c r="AL735" i="58"/>
  <c r="AJ735" i="58"/>
  <c r="AL734" i="58"/>
  <c r="AJ734" i="58"/>
  <c r="AL733" i="58"/>
  <c r="AJ733" i="58"/>
  <c r="AL732" i="58"/>
  <c r="AJ732" i="58"/>
  <c r="AL731" i="58"/>
  <c r="AJ731" i="58"/>
  <c r="AL730" i="58"/>
  <c r="AJ730" i="58"/>
  <c r="AL729" i="58"/>
  <c r="AJ729" i="58"/>
  <c r="AL728" i="58"/>
  <c r="AJ728" i="58"/>
  <c r="AL727" i="58"/>
  <c r="AJ727" i="58"/>
  <c r="AL726" i="58"/>
  <c r="AJ726" i="58"/>
  <c r="AL725" i="58"/>
  <c r="AJ725" i="58"/>
  <c r="AL724" i="58"/>
  <c r="AJ724" i="58"/>
  <c r="AL723" i="58"/>
  <c r="AJ723" i="58"/>
  <c r="AL722" i="58"/>
  <c r="AJ722" i="58"/>
  <c r="AL721" i="58"/>
  <c r="AJ721" i="58"/>
  <c r="AL720" i="58"/>
  <c r="AJ720" i="58"/>
  <c r="AL719" i="58"/>
  <c r="AJ719" i="58"/>
  <c r="AL718" i="58"/>
  <c r="AJ718" i="58"/>
  <c r="AL717" i="58"/>
  <c r="AJ717" i="58"/>
  <c r="AL716" i="58"/>
  <c r="AJ716" i="58"/>
  <c r="AL715" i="58"/>
  <c r="AJ715" i="58"/>
  <c r="AL714" i="58"/>
  <c r="AJ714" i="58"/>
  <c r="AL713" i="58"/>
  <c r="AJ713" i="58"/>
  <c r="AL712" i="58"/>
  <c r="AJ712" i="58"/>
  <c r="AL711" i="58"/>
  <c r="AJ711" i="58"/>
  <c r="AL710" i="58"/>
  <c r="AJ710" i="58"/>
  <c r="AL709" i="58"/>
  <c r="AJ709" i="58"/>
  <c r="AL708" i="58"/>
  <c r="AJ708" i="58"/>
  <c r="AL707" i="58"/>
  <c r="AJ707" i="58"/>
  <c r="AL706" i="58"/>
  <c r="AJ706" i="58"/>
  <c r="AL705" i="58"/>
  <c r="AJ705" i="58"/>
  <c r="AL704" i="58"/>
  <c r="AJ704" i="58"/>
  <c r="AL703" i="58"/>
  <c r="AJ703" i="58"/>
  <c r="AL702" i="58"/>
  <c r="AJ702" i="58"/>
  <c r="AL701" i="58"/>
  <c r="AJ701" i="58"/>
  <c r="AL700" i="58"/>
  <c r="AJ700" i="58"/>
  <c r="AL699" i="58"/>
  <c r="AJ699" i="58"/>
  <c r="AL698" i="58"/>
  <c r="AJ698" i="58"/>
  <c r="AL697" i="58"/>
  <c r="AJ697" i="58"/>
  <c r="AL696" i="58"/>
  <c r="AJ696" i="58"/>
  <c r="AL695" i="58"/>
  <c r="AJ695" i="58"/>
  <c r="AL694" i="58"/>
  <c r="AJ694" i="58"/>
  <c r="AL693" i="58"/>
  <c r="AJ693" i="58"/>
  <c r="AL692" i="58"/>
  <c r="AJ692" i="58"/>
  <c r="AL691" i="58"/>
  <c r="AJ691" i="58"/>
  <c r="AL690" i="58"/>
  <c r="AJ690" i="58"/>
  <c r="AL689" i="58"/>
  <c r="AJ689" i="58"/>
  <c r="AL688" i="58"/>
  <c r="AJ688" i="58"/>
  <c r="AL687" i="58"/>
  <c r="AJ687" i="58"/>
  <c r="AL686" i="58"/>
  <c r="AJ686" i="58"/>
  <c r="AL685" i="58"/>
  <c r="AJ685" i="58"/>
  <c r="AL684" i="58"/>
  <c r="AJ684" i="58"/>
  <c r="AL683" i="58"/>
  <c r="AJ683" i="58"/>
  <c r="AL682" i="58"/>
  <c r="AJ682" i="58"/>
  <c r="AL681" i="58"/>
  <c r="AJ681" i="58"/>
  <c r="AL680" i="58"/>
  <c r="AJ680" i="58"/>
  <c r="AL679" i="58"/>
  <c r="AJ679" i="58"/>
  <c r="AL678" i="58"/>
  <c r="AJ678" i="58"/>
  <c r="AL677" i="58"/>
  <c r="AJ677" i="58"/>
  <c r="AL676" i="58"/>
  <c r="AJ676" i="58"/>
  <c r="AL675" i="58"/>
  <c r="AJ675" i="58"/>
  <c r="AL674" i="58"/>
  <c r="AJ674" i="58"/>
  <c r="AL673" i="58"/>
  <c r="AJ673" i="58"/>
  <c r="AL672" i="58"/>
  <c r="AJ672" i="58"/>
  <c r="AL671" i="58"/>
  <c r="AJ671" i="58"/>
  <c r="AL670" i="58"/>
  <c r="AJ670" i="58"/>
  <c r="AL669" i="58"/>
  <c r="AJ669" i="58"/>
  <c r="AL668" i="58"/>
  <c r="AJ668" i="58"/>
  <c r="AL667" i="58"/>
  <c r="AJ667" i="58"/>
  <c r="AL666" i="58"/>
  <c r="AJ666" i="58"/>
  <c r="AL665" i="58"/>
  <c r="AJ665" i="58"/>
  <c r="AL664" i="58"/>
  <c r="AJ664" i="58"/>
  <c r="AL663" i="58"/>
  <c r="AJ663" i="58"/>
  <c r="AL662" i="58"/>
  <c r="AJ662" i="58"/>
  <c r="AL661" i="58"/>
  <c r="AJ661" i="58"/>
  <c r="AL660" i="58"/>
  <c r="AJ660" i="58"/>
  <c r="AL659" i="58"/>
  <c r="AJ659" i="58"/>
  <c r="AL658" i="58"/>
  <c r="AJ658" i="58"/>
  <c r="AL657" i="58"/>
  <c r="AJ657" i="58"/>
  <c r="AL656" i="58"/>
  <c r="AJ656" i="58"/>
  <c r="AL655" i="58"/>
  <c r="AJ655" i="58"/>
  <c r="AL654" i="58"/>
  <c r="AJ654" i="58"/>
  <c r="AL653" i="58"/>
  <c r="AJ653" i="58"/>
  <c r="AL652" i="58"/>
  <c r="AJ652" i="58"/>
  <c r="AL651" i="58"/>
  <c r="AJ651" i="58"/>
  <c r="AL650" i="58"/>
  <c r="AJ650" i="58"/>
  <c r="AL649" i="58"/>
  <c r="AJ649" i="58"/>
  <c r="AL648" i="58"/>
  <c r="AJ648" i="58"/>
  <c r="AL647" i="58"/>
  <c r="AJ647" i="58"/>
  <c r="AL646" i="58"/>
  <c r="AJ646" i="58"/>
  <c r="AL645" i="58"/>
  <c r="AJ645" i="58"/>
  <c r="AL644" i="58"/>
  <c r="AJ644" i="58"/>
  <c r="AL643" i="58"/>
  <c r="AJ643" i="58"/>
  <c r="AL642" i="58"/>
  <c r="AJ642" i="58"/>
  <c r="AL641" i="58"/>
  <c r="AJ641" i="58"/>
  <c r="AL640" i="58"/>
  <c r="AJ640" i="58"/>
  <c r="AL639" i="58"/>
  <c r="AJ639" i="58"/>
  <c r="AL638" i="58"/>
  <c r="AJ638" i="58"/>
  <c r="AL637" i="58"/>
  <c r="AJ637" i="58"/>
  <c r="AL636" i="58"/>
  <c r="AJ636" i="58"/>
  <c r="AL635" i="58"/>
  <c r="AJ635" i="58"/>
  <c r="AL634" i="58"/>
  <c r="AJ634" i="58"/>
  <c r="AL633" i="58"/>
  <c r="AJ633" i="58"/>
  <c r="AL632" i="58"/>
  <c r="AJ632" i="58"/>
  <c r="AL631" i="58"/>
  <c r="AJ631" i="58"/>
  <c r="AL630" i="58"/>
  <c r="AJ630" i="58"/>
  <c r="AL629" i="58"/>
  <c r="AJ629" i="58"/>
  <c r="AL628" i="58"/>
  <c r="AJ628" i="58"/>
  <c r="AL627" i="58"/>
  <c r="AJ627" i="58"/>
  <c r="AL626" i="58"/>
  <c r="AJ626" i="58"/>
  <c r="AL625" i="58"/>
  <c r="AJ625" i="58"/>
  <c r="AL624" i="58"/>
  <c r="AJ624" i="58"/>
  <c r="AL623" i="58"/>
  <c r="AJ623" i="58"/>
  <c r="AL622" i="58"/>
  <c r="AJ622" i="58"/>
  <c r="AL621" i="58"/>
  <c r="AJ621" i="58"/>
  <c r="AL620" i="58"/>
  <c r="AJ620" i="58"/>
  <c r="AL619" i="58"/>
  <c r="AJ619" i="58"/>
  <c r="AL618" i="58"/>
  <c r="AJ618" i="58"/>
  <c r="AL617" i="58"/>
  <c r="AJ617" i="58"/>
  <c r="AL616" i="58"/>
  <c r="AJ616" i="58"/>
  <c r="AL615" i="58"/>
  <c r="AJ615" i="58"/>
  <c r="AL614" i="58"/>
  <c r="AJ614" i="58"/>
  <c r="AL613" i="58"/>
  <c r="AJ613" i="58"/>
  <c r="AL612" i="58"/>
  <c r="AJ612" i="58"/>
  <c r="AL611" i="58"/>
  <c r="AJ611" i="58"/>
  <c r="AL610" i="58"/>
  <c r="AJ610" i="58"/>
  <c r="AL609" i="58"/>
  <c r="AJ609" i="58"/>
  <c r="AL608" i="58"/>
  <c r="AJ608" i="58"/>
  <c r="AL607" i="58"/>
  <c r="AJ607" i="58"/>
  <c r="AL606" i="58"/>
  <c r="AJ606" i="58"/>
  <c r="AL605" i="58"/>
  <c r="AJ605" i="58"/>
  <c r="AL604" i="58"/>
  <c r="AJ604" i="58"/>
  <c r="AL603" i="58"/>
  <c r="AJ603" i="58"/>
  <c r="AL602" i="58"/>
  <c r="AJ602" i="58"/>
  <c r="AL601" i="58"/>
  <c r="AJ601" i="58"/>
  <c r="AL600" i="58"/>
  <c r="AJ600" i="58"/>
  <c r="AL599" i="58"/>
  <c r="AJ599" i="58"/>
  <c r="AL598" i="58"/>
  <c r="AJ598" i="58"/>
  <c r="AL597" i="58"/>
  <c r="AJ597" i="58"/>
  <c r="AL596" i="58"/>
  <c r="AJ596" i="58"/>
  <c r="AL595" i="58"/>
  <c r="AJ595" i="58"/>
  <c r="AL594" i="58"/>
  <c r="AJ594" i="58"/>
  <c r="AL593" i="58"/>
  <c r="AJ593" i="58"/>
  <c r="AL592" i="58"/>
  <c r="AJ592" i="58"/>
  <c r="AL591" i="58"/>
  <c r="AJ591" i="58"/>
  <c r="AL590" i="58"/>
  <c r="AJ590" i="58"/>
  <c r="AL589" i="58"/>
  <c r="AJ589" i="58"/>
  <c r="AL588" i="58"/>
  <c r="AJ588" i="58"/>
  <c r="AL587" i="58"/>
  <c r="AJ587" i="58"/>
  <c r="AL586" i="58"/>
  <c r="AJ586" i="58"/>
  <c r="AL585" i="58"/>
  <c r="AJ585" i="58"/>
  <c r="AL584" i="58"/>
  <c r="AJ584" i="58"/>
  <c r="AL583" i="58"/>
  <c r="AJ583" i="58"/>
  <c r="AL582" i="58"/>
  <c r="AJ582" i="58"/>
  <c r="AL581" i="58"/>
  <c r="AJ581" i="58"/>
  <c r="AL580" i="58"/>
  <c r="AJ580" i="58"/>
  <c r="AL579" i="58"/>
  <c r="AJ579" i="58"/>
  <c r="AL578" i="58"/>
  <c r="AJ578" i="58"/>
  <c r="AL577" i="58"/>
  <c r="AJ577" i="58"/>
  <c r="AL576" i="58"/>
  <c r="AJ576" i="58"/>
  <c r="AL575" i="58"/>
  <c r="AJ575" i="58"/>
  <c r="AL574" i="58"/>
  <c r="AJ574" i="58"/>
  <c r="AL573" i="58"/>
  <c r="AJ573" i="58"/>
  <c r="AL572" i="58"/>
  <c r="AJ572" i="58"/>
  <c r="AL571" i="58"/>
  <c r="AJ571" i="58"/>
  <c r="AL570" i="58"/>
  <c r="AJ570" i="58"/>
  <c r="AL569" i="58"/>
  <c r="AJ569" i="58"/>
  <c r="AL568" i="58"/>
  <c r="AJ568" i="58"/>
  <c r="AL567" i="58"/>
  <c r="AJ567" i="58"/>
  <c r="AL566" i="58"/>
  <c r="AJ566" i="58"/>
  <c r="AL565" i="58"/>
  <c r="AJ565" i="58"/>
  <c r="AL564" i="58"/>
  <c r="AJ564" i="58"/>
  <c r="AL563" i="58"/>
  <c r="AJ563" i="58"/>
  <c r="AL562" i="58"/>
  <c r="AJ562" i="58"/>
  <c r="AL561" i="58"/>
  <c r="AJ561" i="58"/>
  <c r="AL560" i="58"/>
  <c r="AJ560" i="58"/>
  <c r="AL559" i="58"/>
  <c r="AJ559" i="58"/>
  <c r="AL558" i="58"/>
  <c r="AJ558" i="58"/>
  <c r="AL557" i="58"/>
  <c r="AJ557" i="58"/>
  <c r="AL556" i="58"/>
  <c r="AJ556" i="58"/>
  <c r="AL555" i="58"/>
  <c r="AJ555" i="58"/>
  <c r="AL554" i="58"/>
  <c r="AJ554" i="58"/>
  <c r="AL553" i="58"/>
  <c r="AJ553" i="58"/>
  <c r="AL552" i="58"/>
  <c r="AJ552" i="58"/>
  <c r="AL551" i="58"/>
  <c r="AJ551" i="58"/>
  <c r="AL550" i="58"/>
  <c r="AJ550" i="58"/>
  <c r="AL549" i="58"/>
  <c r="AJ549" i="58"/>
  <c r="AL548" i="58"/>
  <c r="AJ548" i="58"/>
  <c r="AL547" i="58"/>
  <c r="AJ547" i="58"/>
  <c r="AL546" i="58"/>
  <c r="AJ546" i="58"/>
  <c r="AL545" i="58"/>
  <c r="AJ545" i="58"/>
  <c r="AL544" i="58"/>
  <c r="AJ544" i="58"/>
  <c r="AL543" i="58"/>
  <c r="AJ543" i="58"/>
  <c r="AL542" i="58"/>
  <c r="AJ542" i="58"/>
  <c r="AL541" i="58"/>
  <c r="AJ541" i="58"/>
  <c r="AL540" i="58"/>
  <c r="AJ540" i="58"/>
  <c r="AL539" i="58"/>
  <c r="AJ539" i="58"/>
  <c r="AL538" i="58"/>
  <c r="AJ538" i="58"/>
  <c r="AL537" i="58"/>
  <c r="AJ537" i="58"/>
  <c r="AL536" i="58"/>
  <c r="AJ536" i="58"/>
  <c r="AL535" i="58"/>
  <c r="AJ535" i="58"/>
  <c r="AL534" i="58"/>
  <c r="AJ534" i="58"/>
  <c r="AL533" i="58"/>
  <c r="AJ533" i="58"/>
  <c r="AL532" i="58"/>
  <c r="AJ532" i="58"/>
  <c r="AL531" i="58"/>
  <c r="AJ531" i="58"/>
  <c r="AL530" i="58"/>
  <c r="AJ530" i="58"/>
  <c r="AL529" i="58"/>
  <c r="AJ529" i="58"/>
  <c r="AL528" i="58"/>
  <c r="AJ528" i="58"/>
  <c r="AL527" i="58"/>
  <c r="AJ527" i="58"/>
  <c r="AL526" i="58"/>
  <c r="AJ526" i="58"/>
  <c r="AL525" i="58"/>
  <c r="AJ525" i="58"/>
  <c r="AL524" i="58"/>
  <c r="AJ524" i="58"/>
  <c r="AL523" i="58"/>
  <c r="AJ523" i="58"/>
  <c r="AL522" i="58"/>
  <c r="AJ522" i="58"/>
  <c r="AL521" i="58"/>
  <c r="AJ521" i="58"/>
  <c r="AL520" i="58"/>
  <c r="AJ520" i="58"/>
  <c r="AL519" i="58"/>
  <c r="AJ519" i="58"/>
  <c r="AL518" i="58"/>
  <c r="AJ518" i="58"/>
  <c r="AL517" i="58"/>
  <c r="AJ517" i="58"/>
  <c r="AL516" i="58"/>
  <c r="AJ516" i="58"/>
  <c r="AL515" i="58"/>
  <c r="AJ515" i="58"/>
  <c r="AL514" i="58"/>
  <c r="AJ514" i="58"/>
  <c r="AL513" i="58"/>
  <c r="AJ513" i="58"/>
  <c r="AL512" i="58"/>
  <c r="AJ512" i="58"/>
  <c r="AL511" i="58"/>
  <c r="AJ511" i="58"/>
  <c r="AL510" i="58"/>
  <c r="AJ510" i="58"/>
  <c r="AL509" i="58"/>
  <c r="AJ509" i="58"/>
  <c r="AL508" i="58"/>
  <c r="AJ508" i="58"/>
  <c r="AL507" i="58"/>
  <c r="AJ507" i="58"/>
  <c r="AL506" i="58"/>
  <c r="AJ506" i="58"/>
  <c r="AL505" i="58"/>
  <c r="AJ505" i="58"/>
  <c r="AL504" i="58"/>
  <c r="AJ504" i="58"/>
  <c r="AL503" i="58"/>
  <c r="AJ503" i="58"/>
  <c r="AL502" i="58"/>
  <c r="AJ502" i="58"/>
  <c r="AL501" i="58"/>
  <c r="AJ501" i="58"/>
  <c r="AL500" i="58"/>
  <c r="AJ500" i="58"/>
  <c r="AL499" i="58"/>
  <c r="AJ499" i="58"/>
  <c r="AL498" i="58"/>
  <c r="AJ498" i="58"/>
  <c r="AL497" i="58"/>
  <c r="AJ497" i="58"/>
  <c r="AL496" i="58"/>
  <c r="AJ496" i="58"/>
  <c r="AL495" i="58"/>
  <c r="AJ495" i="58"/>
  <c r="AL494" i="58"/>
  <c r="AJ494" i="58"/>
  <c r="AL493" i="58"/>
  <c r="AJ493" i="58"/>
  <c r="AL492" i="58"/>
  <c r="AJ492" i="58"/>
  <c r="AL491" i="58"/>
  <c r="AJ491" i="58"/>
  <c r="AL490" i="58"/>
  <c r="AJ490" i="58"/>
  <c r="AL489" i="58"/>
  <c r="AJ489" i="58"/>
  <c r="AL488" i="58"/>
  <c r="AJ488" i="58"/>
  <c r="AL487" i="58"/>
  <c r="AJ487" i="58"/>
  <c r="AL486" i="58"/>
  <c r="AJ486" i="58"/>
  <c r="AL485" i="58"/>
  <c r="AJ485" i="58"/>
  <c r="AL484" i="58"/>
  <c r="AJ484" i="58"/>
  <c r="AL483" i="58"/>
  <c r="AJ483" i="58"/>
  <c r="AL482" i="58"/>
  <c r="AJ482" i="58"/>
  <c r="AL481" i="58"/>
  <c r="AJ481" i="58"/>
  <c r="AL480" i="58"/>
  <c r="AJ480" i="58"/>
  <c r="AL479" i="58"/>
  <c r="AJ479" i="58"/>
  <c r="AL478" i="58"/>
  <c r="AJ478" i="58"/>
  <c r="AL477" i="58"/>
  <c r="AJ477" i="58"/>
  <c r="AL476" i="58"/>
  <c r="AJ476" i="58"/>
  <c r="AL475" i="58"/>
  <c r="AJ475" i="58"/>
  <c r="AL474" i="58"/>
  <c r="AJ474" i="58"/>
  <c r="AL473" i="58"/>
  <c r="AJ473" i="58"/>
  <c r="AL472" i="58"/>
  <c r="AJ472" i="58"/>
  <c r="AL471" i="58"/>
  <c r="AJ471" i="58"/>
  <c r="AL470" i="58"/>
  <c r="AJ470" i="58"/>
  <c r="AL469" i="58"/>
  <c r="AJ469" i="58"/>
  <c r="AL468" i="58"/>
  <c r="AJ468" i="58"/>
  <c r="AL467" i="58"/>
  <c r="AJ467" i="58"/>
  <c r="AL466" i="58"/>
  <c r="AJ466" i="58"/>
  <c r="AL465" i="58"/>
  <c r="AJ465" i="58"/>
  <c r="AL464" i="58"/>
  <c r="AJ464" i="58"/>
  <c r="AL463" i="58"/>
  <c r="AJ463" i="58"/>
  <c r="AL462" i="58"/>
  <c r="AJ462" i="58"/>
  <c r="AL461" i="58"/>
  <c r="AJ461" i="58"/>
  <c r="AL460" i="58"/>
  <c r="AJ460" i="58"/>
  <c r="AL459" i="58"/>
  <c r="AJ459" i="58"/>
  <c r="AL458" i="58"/>
  <c r="AJ458" i="58"/>
  <c r="AL457" i="58"/>
  <c r="AJ457" i="58"/>
  <c r="AL456" i="58"/>
  <c r="AJ456" i="58"/>
  <c r="AL455" i="58"/>
  <c r="AJ455" i="58"/>
  <c r="AL454" i="58"/>
  <c r="AJ454" i="58"/>
  <c r="AL453" i="58"/>
  <c r="AJ453" i="58"/>
  <c r="AL452" i="58"/>
  <c r="AJ452" i="58"/>
  <c r="AL451" i="58"/>
  <c r="AJ451" i="58"/>
  <c r="AL450" i="58"/>
  <c r="AJ450" i="58"/>
  <c r="AL449" i="58"/>
  <c r="AJ449" i="58"/>
  <c r="AL448" i="58"/>
  <c r="AJ448" i="58"/>
  <c r="AL447" i="58"/>
  <c r="AJ447" i="58"/>
  <c r="AL446" i="58"/>
  <c r="AJ446" i="58"/>
  <c r="AL445" i="58"/>
  <c r="AJ445" i="58"/>
  <c r="AL444" i="58"/>
  <c r="AJ444" i="58"/>
  <c r="AL443" i="58"/>
  <c r="AJ443" i="58"/>
  <c r="AL442" i="58"/>
  <c r="AJ442" i="58"/>
  <c r="AL441" i="58"/>
  <c r="AJ441" i="58"/>
  <c r="AL440" i="58"/>
  <c r="AJ440" i="58"/>
  <c r="AL439" i="58"/>
  <c r="AJ439" i="58"/>
  <c r="AL438" i="58"/>
  <c r="AJ438" i="58"/>
  <c r="AL437" i="58"/>
  <c r="AJ437" i="58"/>
  <c r="AL436" i="58"/>
  <c r="AJ436" i="58"/>
  <c r="AL435" i="58"/>
  <c r="AJ435" i="58"/>
  <c r="AL434" i="58"/>
  <c r="AJ434" i="58"/>
  <c r="AL433" i="58"/>
  <c r="AJ433" i="58"/>
  <c r="AL432" i="58"/>
  <c r="AJ432" i="58"/>
  <c r="AL431" i="58"/>
  <c r="AJ431" i="58"/>
  <c r="AL430" i="58"/>
  <c r="AJ430" i="58"/>
  <c r="AL429" i="58"/>
  <c r="AJ429" i="58"/>
  <c r="AL428" i="58"/>
  <c r="AJ428" i="58"/>
  <c r="AL427" i="58"/>
  <c r="AJ427" i="58"/>
  <c r="AL426" i="58"/>
  <c r="AJ426" i="58"/>
  <c r="AL425" i="58"/>
  <c r="AJ425" i="58"/>
  <c r="AL424" i="58"/>
  <c r="AJ424" i="58"/>
  <c r="AL423" i="58"/>
  <c r="AJ423" i="58"/>
  <c r="AL422" i="58"/>
  <c r="AJ422" i="58"/>
  <c r="AL421" i="58"/>
  <c r="AJ421" i="58"/>
  <c r="AL420" i="58"/>
  <c r="AJ420" i="58"/>
  <c r="AL419" i="58"/>
  <c r="AJ419" i="58"/>
  <c r="AL418" i="58"/>
  <c r="AJ418" i="58"/>
  <c r="AL417" i="58"/>
  <c r="AJ417" i="58"/>
  <c r="AL416" i="58"/>
  <c r="AJ416" i="58"/>
  <c r="AL415" i="58"/>
  <c r="AJ415" i="58"/>
  <c r="AL414" i="58"/>
  <c r="AJ414" i="58"/>
  <c r="AL413" i="58"/>
  <c r="AJ413" i="58"/>
  <c r="AL412" i="58"/>
  <c r="AJ412" i="58"/>
  <c r="AL411" i="58"/>
  <c r="AJ411" i="58"/>
  <c r="AL410" i="58"/>
  <c r="AJ410" i="58"/>
  <c r="AL409" i="58"/>
  <c r="AJ409" i="58"/>
  <c r="AL408" i="58"/>
  <c r="AJ408" i="58"/>
  <c r="AL407" i="58"/>
  <c r="AJ407" i="58"/>
  <c r="AL406" i="58"/>
  <c r="AJ406" i="58"/>
  <c r="AL405" i="58"/>
  <c r="AJ405" i="58"/>
  <c r="AL404" i="58"/>
  <c r="AJ404" i="58"/>
  <c r="AL403" i="58"/>
  <c r="AJ403" i="58"/>
  <c r="AL402" i="58"/>
  <c r="AJ402" i="58"/>
  <c r="AL401" i="58"/>
  <c r="AJ401" i="58"/>
  <c r="AL400" i="58"/>
  <c r="AJ400" i="58"/>
  <c r="AL399" i="58"/>
  <c r="AJ399" i="58"/>
  <c r="AL398" i="58"/>
  <c r="AJ398" i="58"/>
  <c r="AL397" i="58"/>
  <c r="AJ397" i="58"/>
  <c r="AL396" i="58"/>
  <c r="AJ396" i="58"/>
  <c r="AL395" i="58"/>
  <c r="AJ395" i="58"/>
  <c r="AL394" i="58"/>
  <c r="AJ394" i="58"/>
  <c r="AL393" i="58"/>
  <c r="AJ393" i="58"/>
  <c r="AL392" i="58"/>
  <c r="AJ392" i="58"/>
  <c r="AL391" i="58"/>
  <c r="AJ391" i="58"/>
  <c r="AL390" i="58"/>
  <c r="AJ390" i="58"/>
  <c r="AL389" i="58"/>
  <c r="AJ389" i="58"/>
  <c r="AL388" i="58"/>
  <c r="AJ388" i="58"/>
  <c r="AL387" i="58"/>
  <c r="AJ387" i="58"/>
  <c r="AL386" i="58"/>
  <c r="AJ386" i="58"/>
  <c r="AL385" i="58"/>
  <c r="AJ385" i="58"/>
  <c r="AL384" i="58"/>
  <c r="AJ384" i="58"/>
  <c r="AL383" i="58"/>
  <c r="AJ383" i="58"/>
  <c r="AL382" i="58"/>
  <c r="AJ382" i="58"/>
  <c r="AL381" i="58"/>
  <c r="AJ381" i="58"/>
  <c r="AL380" i="58"/>
  <c r="AJ380" i="58"/>
  <c r="AL379" i="58"/>
  <c r="AJ379" i="58"/>
  <c r="AL378" i="58"/>
  <c r="AJ378" i="58"/>
  <c r="AL377" i="58"/>
  <c r="AJ377" i="58"/>
  <c r="AL376" i="58"/>
  <c r="AJ376" i="58"/>
  <c r="AL375" i="58"/>
  <c r="AJ375" i="58"/>
  <c r="AL374" i="58"/>
  <c r="AJ374" i="58"/>
  <c r="AL373" i="58"/>
  <c r="AJ373" i="58"/>
  <c r="AL372" i="58"/>
  <c r="AJ372" i="58"/>
  <c r="AL371" i="58"/>
  <c r="AJ371" i="58"/>
  <c r="AL370" i="58"/>
  <c r="AJ370" i="58"/>
  <c r="AL369" i="58"/>
  <c r="AJ369" i="58"/>
  <c r="AL368" i="58"/>
  <c r="AJ368" i="58"/>
  <c r="AL367" i="58"/>
  <c r="AJ367" i="58"/>
  <c r="AL366" i="58"/>
  <c r="AJ366" i="58"/>
  <c r="AL365" i="58"/>
  <c r="AJ365" i="58"/>
  <c r="AL364" i="58"/>
  <c r="AJ364" i="58"/>
  <c r="AL363" i="58"/>
  <c r="AJ363" i="58"/>
  <c r="AL362" i="58"/>
  <c r="AJ362" i="58"/>
  <c r="AL361" i="58"/>
  <c r="AJ361" i="58"/>
  <c r="AL360" i="58"/>
  <c r="AJ360" i="58"/>
  <c r="AL359" i="58"/>
  <c r="AJ359" i="58"/>
  <c r="AL358" i="58"/>
  <c r="AJ358" i="58"/>
  <c r="AL357" i="58"/>
  <c r="AJ357" i="58"/>
  <c r="AL356" i="58"/>
  <c r="AJ356" i="58"/>
  <c r="AL355" i="58"/>
  <c r="AJ355" i="58"/>
  <c r="AL354" i="58"/>
  <c r="AJ354" i="58"/>
  <c r="AL353" i="58"/>
  <c r="AJ353" i="58"/>
  <c r="AL352" i="58"/>
  <c r="AJ352" i="58"/>
  <c r="AL351" i="58"/>
  <c r="AJ351" i="58"/>
  <c r="AL350" i="58"/>
  <c r="AJ350" i="58"/>
  <c r="AL349" i="58"/>
  <c r="AJ349" i="58"/>
  <c r="AL348" i="58"/>
  <c r="AJ348" i="58"/>
  <c r="AL347" i="58"/>
  <c r="AJ347" i="58"/>
  <c r="AL346" i="58"/>
  <c r="AJ346" i="58"/>
  <c r="AL345" i="58"/>
  <c r="AJ345" i="58"/>
  <c r="AL344" i="58"/>
  <c r="AJ344" i="58"/>
  <c r="AL343" i="58"/>
  <c r="AJ343" i="58"/>
  <c r="AL342" i="58"/>
  <c r="AJ342" i="58"/>
  <c r="AL341" i="58"/>
  <c r="AJ341" i="58"/>
  <c r="AL340" i="58"/>
  <c r="AJ340" i="58"/>
  <c r="AL339" i="58"/>
  <c r="AJ339" i="58"/>
  <c r="AL338" i="58"/>
  <c r="AJ338" i="58"/>
  <c r="AL337" i="58"/>
  <c r="AJ337" i="58"/>
  <c r="AL336" i="58"/>
  <c r="AJ336" i="58"/>
  <c r="AL335" i="58"/>
  <c r="AJ335" i="58"/>
  <c r="AL334" i="58"/>
  <c r="AJ334" i="58"/>
  <c r="AL333" i="58"/>
  <c r="AJ333" i="58"/>
  <c r="AL332" i="58"/>
  <c r="AJ332" i="58"/>
  <c r="AL331" i="58"/>
  <c r="AJ331" i="58"/>
  <c r="AL330" i="58"/>
  <c r="AJ330" i="58"/>
  <c r="AL329" i="58"/>
  <c r="AJ329" i="58"/>
  <c r="AL328" i="58"/>
  <c r="AJ328" i="58"/>
  <c r="AL327" i="58"/>
  <c r="AJ327" i="58"/>
  <c r="AL326" i="58"/>
  <c r="AJ326" i="58"/>
  <c r="AL325" i="58"/>
  <c r="AJ325" i="58"/>
  <c r="AL324" i="58"/>
  <c r="AJ324" i="58"/>
  <c r="AL323" i="58"/>
  <c r="AJ323" i="58"/>
  <c r="AL322" i="58"/>
  <c r="AJ322" i="58"/>
  <c r="AL321" i="58"/>
  <c r="AJ321" i="58"/>
  <c r="AL320" i="58"/>
  <c r="AJ320" i="58"/>
  <c r="AL319" i="58"/>
  <c r="AJ319" i="58"/>
  <c r="AL318" i="58"/>
  <c r="AJ318" i="58"/>
  <c r="AL317" i="58"/>
  <c r="AJ317" i="58"/>
  <c r="AL316" i="58"/>
  <c r="AJ316" i="58"/>
  <c r="AL315" i="58"/>
  <c r="AJ315" i="58"/>
  <c r="AL314" i="58"/>
  <c r="AJ314" i="58"/>
  <c r="AL313" i="58"/>
  <c r="AJ313" i="58"/>
  <c r="AL312" i="58"/>
  <c r="AJ312" i="58"/>
  <c r="AL311" i="58"/>
  <c r="AJ311" i="58"/>
  <c r="AL310" i="58"/>
  <c r="AJ310" i="58"/>
  <c r="AL309" i="58"/>
  <c r="AJ309" i="58"/>
  <c r="AL308" i="58"/>
  <c r="AJ308" i="58"/>
  <c r="AL307" i="58"/>
  <c r="AJ307" i="58"/>
  <c r="AL306" i="58"/>
  <c r="AJ306" i="58"/>
  <c r="AL305" i="58"/>
  <c r="AJ305" i="58"/>
  <c r="AL304" i="58"/>
  <c r="AJ304" i="58"/>
  <c r="AL303" i="58"/>
  <c r="AJ303" i="58"/>
  <c r="AL302" i="58"/>
  <c r="AJ302" i="58"/>
  <c r="AL301" i="58"/>
  <c r="AJ301" i="58"/>
  <c r="AL300" i="58"/>
  <c r="AJ300" i="58"/>
  <c r="AL299" i="58"/>
  <c r="AJ299" i="58"/>
  <c r="AL298" i="58"/>
  <c r="AJ298" i="58"/>
  <c r="AL297" i="58"/>
  <c r="AJ297" i="58"/>
  <c r="AL296" i="58"/>
  <c r="AJ296" i="58"/>
  <c r="AL295" i="58"/>
  <c r="AJ295" i="58"/>
  <c r="AL294" i="58"/>
  <c r="AJ294" i="58"/>
  <c r="AL293" i="58"/>
  <c r="AJ293" i="58"/>
  <c r="AL292" i="58"/>
  <c r="AJ292" i="58"/>
  <c r="AL291" i="58"/>
  <c r="AJ291" i="58"/>
  <c r="AL290" i="58"/>
  <c r="AJ290" i="58"/>
  <c r="AL289" i="58"/>
  <c r="AJ289" i="58"/>
  <c r="AL288" i="58"/>
  <c r="AJ288" i="58"/>
  <c r="AL287" i="58"/>
  <c r="AJ287" i="58"/>
  <c r="AL286" i="58"/>
  <c r="AJ286" i="58"/>
  <c r="AL285" i="58"/>
  <c r="AJ285" i="58"/>
  <c r="AL284" i="58"/>
  <c r="AJ284" i="58"/>
  <c r="AL283" i="58"/>
  <c r="AJ283" i="58"/>
  <c r="AL282" i="58"/>
  <c r="AJ282" i="58"/>
  <c r="AL281" i="58"/>
  <c r="AJ281" i="58"/>
  <c r="AL280" i="58"/>
  <c r="AJ280" i="58"/>
  <c r="AL279" i="58"/>
  <c r="AJ279" i="58"/>
  <c r="AL278" i="58"/>
  <c r="AJ278" i="58"/>
  <c r="AL277" i="58"/>
  <c r="AJ277" i="58"/>
  <c r="AL276" i="58"/>
  <c r="AJ276" i="58"/>
  <c r="AL275" i="58"/>
  <c r="AJ275" i="58"/>
  <c r="AL274" i="58"/>
  <c r="AJ274" i="58"/>
  <c r="AL273" i="58"/>
  <c r="AJ273" i="58"/>
  <c r="AL272" i="58"/>
  <c r="AJ272" i="58"/>
  <c r="AL271" i="58"/>
  <c r="AJ271" i="58"/>
  <c r="AL270" i="58"/>
  <c r="AJ270" i="58"/>
  <c r="AL269" i="58"/>
  <c r="AJ269" i="58"/>
  <c r="AL268" i="58"/>
  <c r="AJ268" i="58"/>
  <c r="AL267" i="58"/>
  <c r="AJ267" i="58"/>
  <c r="AL266" i="58"/>
  <c r="AJ266" i="58"/>
  <c r="AL265" i="58"/>
  <c r="AJ265" i="58"/>
  <c r="AL264" i="58"/>
  <c r="AJ264" i="58"/>
  <c r="AL263" i="58"/>
  <c r="AJ263" i="58"/>
  <c r="AL262" i="58"/>
  <c r="AJ262" i="58"/>
  <c r="AL261" i="58"/>
  <c r="AJ261" i="58"/>
  <c r="AL260" i="58"/>
  <c r="AJ260" i="58"/>
  <c r="AL259" i="58"/>
  <c r="AJ259" i="58"/>
  <c r="AL258" i="58"/>
  <c r="AJ258" i="58"/>
  <c r="AL257" i="58"/>
  <c r="AJ257" i="58"/>
  <c r="AL256" i="58"/>
  <c r="AJ256" i="58"/>
  <c r="AL255" i="58"/>
  <c r="AJ255" i="58"/>
  <c r="AL254" i="58"/>
  <c r="AJ254" i="58"/>
  <c r="AL253" i="58"/>
  <c r="AJ253" i="58"/>
  <c r="AL252" i="58"/>
  <c r="AJ252" i="58"/>
  <c r="AL251" i="58"/>
  <c r="AJ251" i="58"/>
  <c r="AL250" i="58"/>
  <c r="AJ250" i="58"/>
  <c r="AL249" i="58"/>
  <c r="AJ249" i="58"/>
  <c r="AL248" i="58"/>
  <c r="AJ248" i="58"/>
  <c r="AL247" i="58"/>
  <c r="AJ247" i="58"/>
  <c r="AL246" i="58"/>
  <c r="AJ246" i="58"/>
  <c r="AL245" i="58"/>
  <c r="AJ245" i="58"/>
  <c r="AL244" i="58"/>
  <c r="AJ244" i="58"/>
  <c r="AL243" i="58"/>
  <c r="AJ243" i="58"/>
  <c r="AL242" i="58"/>
  <c r="AJ242" i="58"/>
  <c r="AL241" i="58"/>
  <c r="AJ241" i="58"/>
  <c r="AL240" i="58"/>
  <c r="AJ240" i="58"/>
  <c r="AL239" i="58"/>
  <c r="AJ239" i="58"/>
  <c r="AL238" i="58"/>
  <c r="AJ238" i="58"/>
  <c r="AL237" i="58"/>
  <c r="AJ237" i="58"/>
  <c r="AL236" i="58"/>
  <c r="AJ236" i="58"/>
  <c r="AL235" i="58"/>
  <c r="AJ235" i="58"/>
  <c r="AL234" i="58"/>
  <c r="AJ234" i="58"/>
  <c r="AL233" i="58"/>
  <c r="AJ233" i="58"/>
  <c r="AL232" i="58"/>
  <c r="AJ232" i="58"/>
  <c r="AL231" i="58"/>
  <c r="AJ231" i="58"/>
  <c r="AL230" i="58"/>
  <c r="AJ230" i="58"/>
  <c r="AL229" i="58"/>
  <c r="AJ229" i="58"/>
  <c r="AL228" i="58"/>
  <c r="AJ228" i="58"/>
  <c r="AL227" i="58"/>
  <c r="AJ227" i="58"/>
  <c r="AL226" i="58"/>
  <c r="AJ226" i="58"/>
  <c r="AL225" i="58"/>
  <c r="AJ225" i="58"/>
  <c r="AL224" i="58"/>
  <c r="AJ224" i="58"/>
  <c r="AL223" i="58"/>
  <c r="AJ223" i="58"/>
  <c r="AL222" i="58"/>
  <c r="AJ222" i="58"/>
  <c r="AL221" i="58"/>
  <c r="AJ221" i="58"/>
  <c r="AL220" i="58"/>
  <c r="AJ220" i="58"/>
  <c r="AL219" i="58"/>
  <c r="AJ219" i="58"/>
  <c r="AL218" i="58"/>
  <c r="AJ218" i="58"/>
  <c r="AL217" i="58"/>
  <c r="AJ217" i="58"/>
  <c r="AL216" i="58"/>
  <c r="AJ216" i="58"/>
  <c r="AL215" i="58"/>
  <c r="AJ215" i="58"/>
  <c r="AL214" i="58"/>
  <c r="AJ214" i="58"/>
  <c r="AL213" i="58"/>
  <c r="AJ213" i="58"/>
  <c r="AL212" i="58"/>
  <c r="AJ212" i="58"/>
  <c r="AL211" i="58"/>
  <c r="AJ211" i="58"/>
  <c r="AL210" i="58"/>
  <c r="AJ210" i="58"/>
  <c r="AL209" i="58"/>
  <c r="AJ209" i="58"/>
  <c r="AL208" i="58"/>
  <c r="AJ208" i="58"/>
  <c r="AL207" i="58"/>
  <c r="AJ207" i="58"/>
  <c r="AL206" i="58"/>
  <c r="AJ206" i="58"/>
  <c r="AL205" i="58"/>
  <c r="AJ205" i="58"/>
  <c r="AL204" i="58"/>
  <c r="AJ204" i="58"/>
  <c r="AL203" i="58"/>
  <c r="AJ203" i="58"/>
  <c r="AL202" i="58"/>
  <c r="AJ202" i="58"/>
  <c r="AL201" i="58"/>
  <c r="AJ201" i="58"/>
  <c r="AL200" i="58"/>
  <c r="AJ200" i="58"/>
  <c r="AL199" i="58"/>
  <c r="AJ199" i="58"/>
  <c r="AL198" i="58"/>
  <c r="AJ198" i="58"/>
  <c r="AL197" i="58"/>
  <c r="AJ197" i="58"/>
  <c r="AL196" i="58"/>
  <c r="AJ196" i="58"/>
  <c r="AL195" i="58"/>
  <c r="AJ195" i="58"/>
  <c r="AL194" i="58"/>
  <c r="AJ194" i="58"/>
  <c r="AL193" i="58"/>
  <c r="AJ193" i="58"/>
  <c r="AL192" i="58"/>
  <c r="AJ192" i="58"/>
  <c r="AL191" i="58"/>
  <c r="AJ191" i="58"/>
  <c r="AL190" i="58"/>
  <c r="AJ190" i="58"/>
  <c r="AL189" i="58"/>
  <c r="AJ189" i="58"/>
  <c r="AL188" i="58"/>
  <c r="AJ188" i="58"/>
  <c r="AL187" i="58"/>
  <c r="AJ187" i="58"/>
  <c r="AL186" i="58"/>
  <c r="AJ186" i="58"/>
  <c r="AL185" i="58"/>
  <c r="AJ185" i="58"/>
  <c r="AL184" i="58"/>
  <c r="AJ184" i="58"/>
  <c r="AL183" i="58"/>
  <c r="AJ183" i="58"/>
  <c r="AL182" i="58"/>
  <c r="AJ182" i="58"/>
  <c r="AL181" i="58"/>
  <c r="AJ181" i="58"/>
  <c r="AL180" i="58"/>
  <c r="AJ180" i="58"/>
  <c r="AL179" i="58"/>
  <c r="AJ179" i="58"/>
  <c r="AL178" i="58"/>
  <c r="AJ178" i="58"/>
  <c r="AL177" i="58"/>
  <c r="AJ177" i="58"/>
  <c r="AL176" i="58"/>
  <c r="AJ176" i="58"/>
  <c r="AL175" i="58"/>
  <c r="AJ175" i="58"/>
  <c r="AL174" i="58"/>
  <c r="AJ174" i="58"/>
  <c r="AL173" i="58"/>
  <c r="AJ173" i="58"/>
  <c r="AL172" i="58"/>
  <c r="AJ172" i="58"/>
  <c r="AL171" i="58"/>
  <c r="AJ171" i="58"/>
  <c r="AL170" i="58"/>
  <c r="AJ170" i="58"/>
  <c r="AL169" i="58"/>
  <c r="AJ169" i="58"/>
  <c r="AL168" i="58"/>
  <c r="AJ168" i="58"/>
  <c r="AL167" i="58"/>
  <c r="AJ167" i="58"/>
  <c r="AL166" i="58"/>
  <c r="AJ166" i="58"/>
  <c r="AL165" i="58"/>
  <c r="AJ165" i="58"/>
  <c r="AL164" i="58"/>
  <c r="AJ164" i="58"/>
  <c r="AL163" i="58"/>
  <c r="AJ163" i="58"/>
  <c r="AL162" i="58"/>
  <c r="AJ162" i="58"/>
  <c r="AL161" i="58"/>
  <c r="AJ161" i="58"/>
  <c r="AL160" i="58"/>
  <c r="AJ160" i="58"/>
  <c r="AL159" i="58"/>
  <c r="AJ159" i="58"/>
  <c r="AL158" i="58"/>
  <c r="AJ158" i="58"/>
  <c r="AL157" i="58"/>
  <c r="AJ157" i="58"/>
  <c r="AL156" i="58"/>
  <c r="AJ156" i="58"/>
  <c r="AL155" i="58"/>
  <c r="AJ155" i="58"/>
  <c r="AL154" i="58"/>
  <c r="AJ154" i="58"/>
  <c r="AL153" i="58"/>
  <c r="AJ153" i="58"/>
  <c r="AL152" i="58"/>
  <c r="AJ152" i="58"/>
  <c r="AL151" i="58"/>
  <c r="AJ151" i="58"/>
  <c r="AL150" i="58"/>
  <c r="AJ150" i="58"/>
  <c r="AL149" i="58"/>
  <c r="AJ149" i="58"/>
  <c r="AL148" i="58"/>
  <c r="AJ148" i="58"/>
  <c r="AL147" i="58"/>
  <c r="AJ147" i="58"/>
  <c r="AL146" i="58"/>
  <c r="AJ146" i="58"/>
  <c r="AL145" i="58"/>
  <c r="AJ145" i="58"/>
  <c r="AL144" i="58"/>
  <c r="AJ144" i="58"/>
  <c r="AL143" i="58"/>
  <c r="AJ143" i="58"/>
  <c r="AL142" i="58"/>
  <c r="AJ142" i="58"/>
  <c r="AL141" i="58"/>
  <c r="AJ141" i="58"/>
  <c r="AL140" i="58"/>
  <c r="AJ140" i="58"/>
  <c r="AL139" i="58"/>
  <c r="AJ139" i="58"/>
  <c r="AL138" i="58"/>
  <c r="AJ138" i="58"/>
  <c r="AL137" i="58"/>
  <c r="AJ137" i="58"/>
  <c r="AL136" i="58"/>
  <c r="AJ136" i="58"/>
  <c r="AL135" i="58"/>
  <c r="AJ135" i="58"/>
  <c r="AL134" i="58"/>
  <c r="AJ134" i="58"/>
  <c r="AL133" i="58"/>
  <c r="AJ133" i="58"/>
  <c r="AL132" i="58"/>
  <c r="AJ132" i="58"/>
  <c r="AL131" i="58"/>
  <c r="AJ131" i="58"/>
  <c r="AL130" i="58"/>
  <c r="AJ130" i="58"/>
  <c r="AL129" i="58"/>
  <c r="AJ129" i="58"/>
  <c r="AL128" i="58"/>
  <c r="AJ128" i="58"/>
  <c r="AL127" i="58"/>
  <c r="AJ127" i="58"/>
  <c r="AL126" i="58"/>
  <c r="AJ126" i="58"/>
  <c r="AL125" i="58"/>
  <c r="AJ125" i="58"/>
  <c r="AL124" i="58"/>
  <c r="AJ124" i="58"/>
  <c r="AL123" i="58"/>
  <c r="AJ123" i="58"/>
  <c r="AL122" i="58"/>
  <c r="AJ122" i="58"/>
  <c r="AL121" i="58"/>
  <c r="AJ121" i="58"/>
  <c r="AL120" i="58"/>
  <c r="AJ120" i="58"/>
  <c r="AL119" i="58"/>
  <c r="AJ119" i="58"/>
  <c r="AL118" i="58"/>
  <c r="AJ118" i="58"/>
  <c r="AL117" i="58"/>
  <c r="AJ117" i="58"/>
  <c r="AL116" i="58"/>
  <c r="AJ116" i="58"/>
  <c r="AL115" i="58"/>
  <c r="AJ115" i="58"/>
  <c r="AL114" i="58"/>
  <c r="AJ114" i="58"/>
  <c r="AL113" i="58"/>
  <c r="AJ113" i="58"/>
  <c r="AL112" i="58"/>
  <c r="AJ112" i="58"/>
  <c r="AL111" i="58"/>
  <c r="AJ111" i="58"/>
  <c r="AL110" i="58"/>
  <c r="AJ110" i="58"/>
  <c r="AL109" i="58"/>
  <c r="AJ109" i="58"/>
  <c r="AL108" i="58"/>
  <c r="AJ108" i="58"/>
  <c r="AL107" i="58"/>
  <c r="AJ107" i="58"/>
  <c r="AL106" i="58"/>
  <c r="AJ106" i="58"/>
  <c r="AL105" i="58"/>
  <c r="AJ105" i="58"/>
  <c r="AL104" i="58"/>
  <c r="AJ104" i="58"/>
  <c r="AL103" i="58"/>
  <c r="AJ103" i="58"/>
  <c r="AL102" i="58"/>
  <c r="AJ102" i="58"/>
  <c r="AL101" i="58"/>
  <c r="AJ101" i="58"/>
  <c r="AL100" i="58"/>
  <c r="AJ100" i="58"/>
  <c r="AL99" i="58"/>
  <c r="AJ99" i="58"/>
  <c r="AL98" i="58"/>
  <c r="AJ98" i="58"/>
  <c r="AL97" i="58"/>
  <c r="AJ97" i="58"/>
  <c r="AL96" i="58"/>
  <c r="AJ96" i="58"/>
  <c r="AL95" i="58"/>
  <c r="AJ95" i="58"/>
  <c r="AL94" i="58"/>
  <c r="AJ94" i="58"/>
  <c r="AL93" i="58"/>
  <c r="AJ93" i="58"/>
  <c r="AL92" i="58"/>
  <c r="AJ92" i="58"/>
  <c r="AL91" i="58"/>
  <c r="AJ91" i="58"/>
  <c r="AL90" i="58"/>
  <c r="AJ90" i="58"/>
  <c r="AL89" i="58"/>
  <c r="AJ89" i="58"/>
  <c r="AL88" i="58"/>
  <c r="AJ88" i="58"/>
  <c r="AL87" i="58"/>
  <c r="AJ87" i="58"/>
  <c r="AL86" i="58"/>
  <c r="AJ86" i="58"/>
  <c r="AL85" i="58"/>
  <c r="AJ85" i="58"/>
  <c r="AL84" i="58"/>
  <c r="AJ84" i="58"/>
  <c r="AL83" i="58"/>
  <c r="AJ83" i="58"/>
  <c r="AL82" i="58"/>
  <c r="AJ82" i="58"/>
  <c r="AL81" i="58"/>
  <c r="AJ81" i="58"/>
  <c r="AL80" i="58"/>
  <c r="AJ80" i="58"/>
  <c r="AL79" i="58"/>
  <c r="AJ79" i="58"/>
  <c r="AL78" i="58"/>
  <c r="AJ78" i="58"/>
  <c r="AL77" i="58"/>
  <c r="AJ77" i="58"/>
  <c r="AL76" i="58"/>
  <c r="AJ76" i="58"/>
  <c r="AL75" i="58"/>
  <c r="AJ75" i="58"/>
  <c r="AL74" i="58"/>
  <c r="AJ74" i="58"/>
  <c r="AL73" i="58"/>
  <c r="AJ73" i="58"/>
  <c r="AL72" i="58"/>
  <c r="AJ72" i="58"/>
  <c r="AL71" i="58"/>
  <c r="AJ71" i="58"/>
  <c r="AL70" i="58"/>
  <c r="AJ70" i="58"/>
  <c r="AL69" i="58"/>
  <c r="AJ69" i="58"/>
  <c r="AL68" i="58"/>
  <c r="AJ68" i="58"/>
  <c r="AL67" i="58"/>
  <c r="AJ67" i="58"/>
  <c r="AL66" i="58"/>
  <c r="AJ66" i="58"/>
  <c r="AL65" i="58"/>
  <c r="AJ65" i="58"/>
  <c r="AL64" i="58"/>
  <c r="AJ64" i="58"/>
  <c r="AL63" i="58"/>
  <c r="AJ63" i="58"/>
  <c r="AL62" i="58"/>
  <c r="AJ62" i="58"/>
  <c r="AL61" i="58"/>
  <c r="AJ61" i="58"/>
  <c r="AL60" i="58"/>
  <c r="AJ60" i="58"/>
  <c r="AL59" i="58"/>
  <c r="AJ59" i="58"/>
  <c r="AL58" i="58"/>
  <c r="AJ58" i="58"/>
  <c r="AL57" i="58"/>
  <c r="AJ57" i="58"/>
  <c r="AL56" i="58"/>
  <c r="AJ56" i="58"/>
  <c r="AL55" i="58"/>
  <c r="AJ55" i="58"/>
  <c r="AL54" i="58"/>
  <c r="AJ54" i="58"/>
  <c r="AL53" i="58"/>
  <c r="AJ53" i="58"/>
  <c r="AL52" i="58"/>
  <c r="AJ52" i="58"/>
  <c r="AL51" i="58"/>
  <c r="AJ51" i="58"/>
  <c r="AL50" i="58"/>
  <c r="AJ50" i="58"/>
  <c r="AL49" i="58"/>
  <c r="AJ49" i="58"/>
  <c r="AL48" i="58"/>
  <c r="AJ48" i="58"/>
  <c r="AL47" i="58"/>
  <c r="AJ47" i="58"/>
  <c r="AL46" i="58"/>
  <c r="AJ46" i="58"/>
  <c r="AL45" i="58"/>
  <c r="AJ45" i="58"/>
  <c r="AL44" i="58"/>
  <c r="AJ44" i="58"/>
  <c r="AL43" i="58"/>
  <c r="AJ43" i="58"/>
  <c r="AL42" i="58"/>
  <c r="AJ42" i="58"/>
  <c r="AL41" i="58"/>
  <c r="AJ41" i="58"/>
  <c r="AL40" i="58"/>
  <c r="AJ40" i="58"/>
  <c r="AL39" i="58"/>
  <c r="AJ39" i="58"/>
  <c r="AL38" i="58"/>
  <c r="AJ38" i="58"/>
  <c r="AL37" i="58"/>
  <c r="AJ37" i="58"/>
  <c r="AL36" i="58"/>
  <c r="AJ36" i="58"/>
  <c r="AL35" i="58"/>
  <c r="AJ35" i="58"/>
  <c r="AL34" i="58"/>
  <c r="AJ34" i="58"/>
  <c r="AL33" i="58"/>
  <c r="AJ33" i="58"/>
  <c r="AL32" i="58"/>
  <c r="AJ32" i="58"/>
  <c r="AL31" i="58"/>
  <c r="AJ31" i="58"/>
  <c r="AL30" i="58"/>
  <c r="AJ30" i="58"/>
  <c r="AL29" i="58"/>
  <c r="AJ29" i="58"/>
  <c r="AL28" i="58"/>
  <c r="AJ28" i="58"/>
  <c r="AL27" i="58"/>
  <c r="AJ27" i="58"/>
  <c r="AL26" i="58"/>
  <c r="AJ26" i="58"/>
  <c r="AL25" i="58"/>
  <c r="AJ25" i="58"/>
  <c r="AL24" i="58"/>
  <c r="AJ24" i="58"/>
  <c r="AL23" i="58"/>
  <c r="AJ23" i="58"/>
  <c r="AL22" i="58"/>
  <c r="AJ22" i="58"/>
  <c r="AL21" i="58"/>
  <c r="AJ21" i="58"/>
  <c r="AL20" i="58"/>
  <c r="AJ20" i="58"/>
  <c r="AL19" i="58"/>
  <c r="AJ19" i="58"/>
  <c r="AL18" i="58"/>
  <c r="AJ18" i="58"/>
  <c r="AL17" i="58"/>
  <c r="AJ17" i="58"/>
  <c r="AL16" i="58"/>
  <c r="AJ16" i="58"/>
  <c r="AL15" i="58"/>
  <c r="AJ15" i="58"/>
  <c r="AL14" i="58"/>
  <c r="AJ14" i="58"/>
  <c r="AL13" i="58"/>
  <c r="AJ13" i="58"/>
  <c r="AL12" i="58"/>
  <c r="AJ12" i="58"/>
  <c r="AL11" i="58"/>
  <c r="AJ11" i="58"/>
  <c r="AL10" i="58"/>
  <c r="AJ10" i="58"/>
  <c r="AL9" i="58"/>
  <c r="AJ9" i="58"/>
  <c r="AL8" i="58"/>
  <c r="AJ8" i="58"/>
  <c r="AL7" i="58"/>
  <c r="AJ7" i="58"/>
  <c r="AL6" i="58"/>
  <c r="AJ6" i="58"/>
  <c r="AL5" i="58"/>
  <c r="AJ5" i="58"/>
  <c r="AL4" i="58"/>
  <c r="AJ4" i="58"/>
  <c r="AL3" i="58"/>
  <c r="AJ3" i="58"/>
  <c r="AL2" i="58"/>
  <c r="K7" i="59"/>
  <c r="K6" i="59"/>
  <c r="K5" i="59"/>
  <c r="K4" i="59"/>
  <c r="I7" i="59"/>
  <c r="I6" i="59"/>
  <c r="I5" i="59"/>
  <c r="I4" i="59"/>
  <c r="E32" i="59"/>
  <c r="D32" i="59"/>
  <c r="G30" i="59"/>
  <c r="G29" i="59"/>
  <c r="E29" i="59"/>
  <c r="D29" i="59"/>
  <c r="E26" i="59"/>
  <c r="D26" i="59"/>
  <c r="E23" i="59"/>
  <c r="D23" i="59"/>
  <c r="E20" i="59"/>
  <c r="D20" i="59"/>
  <c r="U18" i="59"/>
  <c r="E17" i="59"/>
  <c r="D17" i="59"/>
  <c r="E14" i="59"/>
  <c r="D14" i="59"/>
  <c r="E11" i="59"/>
  <c r="D11" i="59"/>
  <c r="G29" i="57"/>
  <c r="G30" i="57"/>
  <c r="Z28" i="57"/>
  <c r="Z27" i="57"/>
  <c r="Z26" i="57"/>
  <c r="Z25" i="57"/>
  <c r="Z24" i="57"/>
  <c r="Z23" i="57"/>
  <c r="Z22" i="57"/>
  <c r="Z21" i="57"/>
  <c r="Z20" i="57"/>
  <c r="Z19" i="57"/>
  <c r="Z18" i="57"/>
  <c r="Z17" i="57"/>
  <c r="Z16" i="57"/>
  <c r="Z15" i="57"/>
  <c r="Z14" i="57"/>
  <c r="Z13" i="57"/>
  <c r="Z12" i="57"/>
  <c r="Z11" i="57"/>
  <c r="Z10" i="57"/>
  <c r="Z9" i="57"/>
  <c r="Z8" i="57"/>
  <c r="Z7" i="57"/>
  <c r="Z6" i="57"/>
  <c r="Z5" i="57"/>
  <c r="Z4" i="57"/>
  <c r="F705" i="56"/>
  <c r="Y28" i="57"/>
  <c r="Y27" i="57"/>
  <c r="Y26" i="57"/>
  <c r="Y25" i="57"/>
  <c r="Y24" i="57"/>
  <c r="Y23" i="57"/>
  <c r="Y22" i="57"/>
  <c r="Y21" i="57"/>
  <c r="Y20" i="57"/>
  <c r="Y19" i="57"/>
  <c r="Y18" i="57"/>
  <c r="Y17" i="57"/>
  <c r="Y16" i="57"/>
  <c r="Y15" i="57"/>
  <c r="Y14" i="57"/>
  <c r="Y13" i="57"/>
  <c r="Y12" i="57"/>
  <c r="Y11" i="57"/>
  <c r="Y10" i="57"/>
  <c r="Y9" i="57"/>
  <c r="Y8" i="57"/>
  <c r="Y7" i="57"/>
  <c r="Y6" i="57"/>
  <c r="Y5" i="57"/>
  <c r="Y4" i="57"/>
  <c r="U18" i="57"/>
  <c r="T18" i="57"/>
  <c r="K7" i="57"/>
  <c r="K6" i="57"/>
  <c r="K5" i="57"/>
  <c r="K4" i="57"/>
  <c r="I7" i="57"/>
  <c r="I6" i="57"/>
  <c r="I5" i="57"/>
  <c r="I4" i="57"/>
  <c r="P45" i="51"/>
  <c r="P44" i="51"/>
  <c r="P43" i="51"/>
  <c r="Y41" i="51"/>
  <c r="Y40" i="51"/>
  <c r="Y39" i="51"/>
  <c r="P39" i="51"/>
  <c r="Y38" i="51"/>
  <c r="V38" i="51"/>
  <c r="Y37" i="51"/>
  <c r="V37" i="51"/>
  <c r="Y36" i="51"/>
  <c r="V36" i="51"/>
  <c r="V32" i="51"/>
  <c r="Y31" i="51"/>
  <c r="V31" i="51"/>
  <c r="Y30" i="51"/>
  <c r="V30" i="51"/>
  <c r="S32" i="51"/>
  <c r="S31" i="51"/>
  <c r="S30" i="51"/>
  <c r="P34" i="51"/>
  <c r="P33" i="51"/>
  <c r="P32" i="51"/>
  <c r="P31" i="51"/>
  <c r="P30" i="51"/>
  <c r="M35" i="51"/>
  <c r="M34" i="51"/>
  <c r="M33" i="51"/>
  <c r="M32" i="51"/>
  <c r="M31" i="51"/>
  <c r="M30" i="51"/>
  <c r="J42" i="51"/>
  <c r="J41" i="51"/>
  <c r="J40" i="51"/>
  <c r="J39" i="51"/>
  <c r="J38" i="51"/>
  <c r="J37" i="51"/>
  <c r="J36" i="51"/>
  <c r="J35" i="51"/>
  <c r="J34" i="51"/>
  <c r="J33" i="51"/>
  <c r="J32" i="51"/>
  <c r="J31" i="51"/>
  <c r="J30" i="51"/>
  <c r="G44" i="51"/>
  <c r="G43" i="51"/>
  <c r="G42" i="51"/>
  <c r="G41" i="51"/>
  <c r="G40" i="51"/>
  <c r="G34" i="51"/>
  <c r="G33" i="51"/>
  <c r="G32" i="51"/>
  <c r="G31" i="51"/>
  <c r="G30" i="51"/>
  <c r="D58" i="51"/>
  <c r="D57" i="51"/>
  <c r="D56" i="51"/>
  <c r="D55" i="51"/>
  <c r="D54" i="51"/>
  <c r="D53" i="51"/>
  <c r="D52" i="51"/>
  <c r="D51" i="51"/>
  <c r="D50" i="51"/>
  <c r="D49" i="51"/>
  <c r="D48" i="51"/>
  <c r="D47" i="51"/>
  <c r="D46" i="51"/>
  <c r="D45" i="51"/>
  <c r="D44" i="51"/>
  <c r="D43" i="51"/>
  <c r="D42" i="51"/>
  <c r="D41" i="51"/>
  <c r="D40" i="51"/>
  <c r="D39" i="51"/>
  <c r="D38" i="51"/>
  <c r="D37" i="51"/>
  <c r="D36" i="51"/>
  <c r="AK704" i="50"/>
  <c r="AJ2" i="50"/>
  <c r="AK705" i="56"/>
  <c r="AV706" i="56"/>
  <c r="AV705" i="56"/>
  <c r="AT705" i="56"/>
  <c r="AM705" i="56"/>
  <c r="AT706" i="56"/>
  <c r="AL698" i="56"/>
  <c r="AL697" i="56"/>
  <c r="AL628" i="56"/>
  <c r="AL275" i="56"/>
  <c r="AL177" i="56"/>
  <c r="AL96" i="56"/>
  <c r="AL641" i="56"/>
  <c r="AL640" i="56"/>
  <c r="E25" i="35"/>
  <c r="E24" i="35"/>
  <c r="E23" i="35"/>
  <c r="E22" i="35"/>
  <c r="E21" i="35"/>
  <c r="D24" i="35"/>
  <c r="D23" i="35"/>
  <c r="D22" i="35"/>
  <c r="D21" i="35"/>
  <c r="E26" i="57"/>
  <c r="E29" i="57"/>
  <c r="D29" i="57"/>
  <c r="D26" i="57"/>
  <c r="E23" i="57"/>
  <c r="D23" i="57"/>
  <c r="E20" i="57"/>
  <c r="D20" i="57"/>
  <c r="E17" i="57"/>
  <c r="D17" i="57"/>
  <c r="E14" i="57"/>
  <c r="D14" i="57"/>
  <c r="E11" i="57"/>
  <c r="D11" i="57"/>
  <c r="AV773" i="55"/>
  <c r="AV772" i="55"/>
  <c r="AU773" i="55"/>
  <c r="AU772" i="55"/>
  <c r="AT773" i="55"/>
  <c r="AT772" i="55"/>
  <c r="AV770" i="55"/>
  <c r="AV769" i="55"/>
  <c r="AU770" i="55"/>
  <c r="AU769" i="55"/>
  <c r="AT770" i="55"/>
  <c r="AT769" i="55"/>
  <c r="AL704" i="56"/>
  <c r="AL703" i="56"/>
  <c r="AL702" i="56"/>
  <c r="AL701" i="56"/>
  <c r="AL700" i="56"/>
  <c r="AL699" i="56"/>
  <c r="AL696" i="56"/>
  <c r="AL695" i="56"/>
  <c r="AL694" i="56"/>
  <c r="AL693" i="56"/>
  <c r="AL692" i="56"/>
  <c r="AL691" i="56"/>
  <c r="AL690" i="56"/>
  <c r="AL689" i="56"/>
  <c r="AL688" i="56"/>
  <c r="AL687" i="56"/>
  <c r="AL686" i="56"/>
  <c r="AL685" i="56"/>
  <c r="AL684" i="56"/>
  <c r="AL683" i="56"/>
  <c r="AL682" i="56"/>
  <c r="AL681" i="56"/>
  <c r="AL680" i="56"/>
  <c r="AL679" i="56"/>
  <c r="AL678" i="56"/>
  <c r="AL677" i="56"/>
  <c r="AL676" i="56"/>
  <c r="AL675" i="56"/>
  <c r="AL674" i="56"/>
  <c r="AL673" i="56"/>
  <c r="AL672" i="56"/>
  <c r="AL671" i="56"/>
  <c r="AL670" i="56"/>
  <c r="AL669" i="56"/>
  <c r="AL668" i="56"/>
  <c r="AL667" i="56"/>
  <c r="AL666" i="56"/>
  <c r="AL665" i="56"/>
  <c r="AL664" i="56"/>
  <c r="AL663" i="56"/>
  <c r="AL662" i="56"/>
  <c r="AL661" i="56"/>
  <c r="AL660" i="56"/>
  <c r="AL659" i="56"/>
  <c r="AL658" i="56"/>
  <c r="AL657" i="56"/>
  <c r="AL656" i="56"/>
  <c r="AL655" i="56"/>
  <c r="AL654" i="56"/>
  <c r="AL653" i="56"/>
  <c r="AL652" i="56"/>
  <c r="AL651" i="56"/>
  <c r="AL650" i="56"/>
  <c r="AL649" i="56"/>
  <c r="AL648" i="56"/>
  <c r="AL647" i="56"/>
  <c r="AL646" i="56"/>
  <c r="AL645" i="56"/>
  <c r="AL644" i="56"/>
  <c r="AL643" i="56"/>
  <c r="AL642" i="56"/>
  <c r="AL639" i="56"/>
  <c r="AL638" i="56"/>
  <c r="AL637" i="56"/>
  <c r="AL636" i="56"/>
  <c r="AL635" i="56"/>
  <c r="AL634" i="56"/>
  <c r="AL633" i="56"/>
  <c r="AL632" i="56"/>
  <c r="AL631" i="56"/>
  <c r="AL630" i="56"/>
  <c r="AL629" i="56"/>
  <c r="AL627" i="56"/>
  <c r="AL626" i="56"/>
  <c r="AL625" i="56"/>
  <c r="AL624" i="56"/>
  <c r="AL623" i="56"/>
  <c r="AL622" i="56"/>
  <c r="AL621" i="56"/>
  <c r="AL620" i="56"/>
  <c r="AL619" i="56"/>
  <c r="AL618" i="56"/>
  <c r="AL617" i="56"/>
  <c r="AL616" i="56"/>
  <c r="AL615" i="56"/>
  <c r="AL614" i="56"/>
  <c r="AL613" i="56"/>
  <c r="AL612" i="56"/>
  <c r="AL611" i="56"/>
  <c r="AL610" i="56"/>
  <c r="AL609" i="56"/>
  <c r="AL608" i="56"/>
  <c r="AL607" i="56"/>
  <c r="AL606" i="56"/>
  <c r="AL605" i="56"/>
  <c r="AL604" i="56"/>
  <c r="AL603" i="56"/>
  <c r="AL602" i="56"/>
  <c r="AL601" i="56"/>
  <c r="AL600" i="56"/>
  <c r="AL599" i="56"/>
  <c r="AL598" i="56"/>
  <c r="AL597" i="56"/>
  <c r="AL596" i="56"/>
  <c r="AL595" i="56"/>
  <c r="AL594" i="56"/>
  <c r="AL593" i="56"/>
  <c r="AL592" i="56"/>
  <c r="AL591" i="56"/>
  <c r="AL590" i="56"/>
  <c r="AL589" i="56"/>
  <c r="AL588" i="56"/>
  <c r="AL587" i="56"/>
  <c r="AL586" i="56"/>
  <c r="AL585" i="56"/>
  <c r="AL584" i="56"/>
  <c r="AL583" i="56"/>
  <c r="AL582" i="56"/>
  <c r="AL581" i="56"/>
  <c r="AL580" i="56"/>
  <c r="AL579" i="56"/>
  <c r="AL578" i="56"/>
  <c r="AL577" i="56"/>
  <c r="AL576" i="56"/>
  <c r="AL575" i="56"/>
  <c r="AL574" i="56"/>
  <c r="AL573" i="56"/>
  <c r="AL572" i="56"/>
  <c r="AL571" i="56"/>
  <c r="AL570" i="56"/>
  <c r="AL569" i="56"/>
  <c r="AL568" i="56"/>
  <c r="AL567" i="56"/>
  <c r="AL566" i="56"/>
  <c r="AL565" i="56"/>
  <c r="AL564" i="56"/>
  <c r="AL563" i="56"/>
  <c r="AL562" i="56"/>
  <c r="AL561" i="56"/>
  <c r="AL560" i="56"/>
  <c r="AL559" i="56"/>
  <c r="AL558" i="56"/>
  <c r="AL557" i="56"/>
  <c r="AL556" i="56"/>
  <c r="AL555" i="56"/>
  <c r="AL554" i="56"/>
  <c r="AL553" i="56"/>
  <c r="AL552" i="56"/>
  <c r="AL551" i="56"/>
  <c r="AL550" i="56"/>
  <c r="AL549" i="56"/>
  <c r="AL548" i="56"/>
  <c r="AL547" i="56"/>
  <c r="AL546" i="56"/>
  <c r="AL545" i="56"/>
  <c r="AL544" i="56"/>
  <c r="AL543" i="56"/>
  <c r="AL542" i="56"/>
  <c r="AL541" i="56"/>
  <c r="AL540" i="56"/>
  <c r="AL539" i="56"/>
  <c r="AL538" i="56"/>
  <c r="AL537" i="56"/>
  <c r="AL536" i="56"/>
  <c r="AL535" i="56"/>
  <c r="AL534" i="56"/>
  <c r="AL533" i="56"/>
  <c r="AL532" i="56"/>
  <c r="AL531" i="56"/>
  <c r="AL530" i="56"/>
  <c r="AL529" i="56"/>
  <c r="AL528" i="56"/>
  <c r="AL527" i="56"/>
  <c r="AL526" i="56"/>
  <c r="AL525" i="56"/>
  <c r="AL524" i="56"/>
  <c r="AL523" i="56"/>
  <c r="AL522" i="56"/>
  <c r="AL521" i="56"/>
  <c r="AL520" i="56"/>
  <c r="AL519" i="56"/>
  <c r="AL518" i="56"/>
  <c r="AL517" i="56"/>
  <c r="AL516" i="56"/>
  <c r="AL515" i="56"/>
  <c r="AL514" i="56"/>
  <c r="AL513" i="56"/>
  <c r="AL512" i="56"/>
  <c r="AL511" i="56"/>
  <c r="AL510" i="56"/>
  <c r="AL509" i="56"/>
  <c r="AL508" i="56"/>
  <c r="AL507" i="56"/>
  <c r="AL506" i="56"/>
  <c r="AL505" i="56"/>
  <c r="AL504" i="56"/>
  <c r="AL503" i="56"/>
  <c r="AL502" i="56"/>
  <c r="AL501" i="56"/>
  <c r="AL500" i="56"/>
  <c r="AL499" i="56"/>
  <c r="AL498" i="56"/>
  <c r="AL497" i="56"/>
  <c r="AL496" i="56"/>
  <c r="AL495" i="56"/>
  <c r="AL494" i="56"/>
  <c r="AL493" i="56"/>
  <c r="AL492" i="56"/>
  <c r="AL491" i="56"/>
  <c r="AL490" i="56"/>
  <c r="AL489" i="56"/>
  <c r="AL488" i="56"/>
  <c r="AL487" i="56"/>
  <c r="AL486" i="56"/>
  <c r="AL485" i="56"/>
  <c r="AL484" i="56"/>
  <c r="AL483" i="56"/>
  <c r="AL482" i="56"/>
  <c r="AL481" i="56"/>
  <c r="AL480" i="56"/>
  <c r="AL479" i="56"/>
  <c r="AL478" i="56"/>
  <c r="AL477" i="56"/>
  <c r="AL476" i="56"/>
  <c r="AL475" i="56"/>
  <c r="AL474" i="56"/>
  <c r="AL473" i="56"/>
  <c r="AL472" i="56"/>
  <c r="AL471" i="56"/>
  <c r="AL470" i="56"/>
  <c r="AL469" i="56"/>
  <c r="AL468" i="56"/>
  <c r="AL467" i="56"/>
  <c r="AL466" i="56"/>
  <c r="AL465" i="56"/>
  <c r="AL464" i="56"/>
  <c r="AL463" i="56"/>
  <c r="AL462" i="56"/>
  <c r="AL461" i="56"/>
  <c r="AL460" i="56"/>
  <c r="AL459" i="56"/>
  <c r="AL458" i="56"/>
  <c r="AL457" i="56"/>
  <c r="AL456" i="56"/>
  <c r="AL455" i="56"/>
  <c r="AL454" i="56"/>
  <c r="AL453" i="56"/>
  <c r="AL452" i="56"/>
  <c r="AL451" i="56"/>
  <c r="AL450" i="56"/>
  <c r="AL449" i="56"/>
  <c r="AL448" i="56"/>
  <c r="AL447" i="56"/>
  <c r="AL446" i="56"/>
  <c r="AL445" i="56"/>
  <c r="AL444" i="56"/>
  <c r="AL443" i="56"/>
  <c r="AL442" i="56"/>
  <c r="AL441" i="56"/>
  <c r="AL440" i="56"/>
  <c r="AL439" i="56"/>
  <c r="AL438" i="56"/>
  <c r="AL437" i="56"/>
  <c r="AL436" i="56"/>
  <c r="AL435" i="56"/>
  <c r="AL434" i="56"/>
  <c r="AL433" i="56"/>
  <c r="AL432" i="56"/>
  <c r="AL431" i="56"/>
  <c r="AL430" i="56"/>
  <c r="AL429" i="56"/>
  <c r="AL428" i="56"/>
  <c r="AL427" i="56"/>
  <c r="AL426" i="56"/>
  <c r="AL425" i="56"/>
  <c r="AL424" i="56"/>
  <c r="AL423" i="56"/>
  <c r="AL422" i="56"/>
  <c r="AL421" i="56"/>
  <c r="AL420" i="56"/>
  <c r="AL419" i="56"/>
  <c r="AL418" i="56"/>
  <c r="AL417" i="56"/>
  <c r="AL416" i="56"/>
  <c r="AL415" i="56"/>
  <c r="AL414" i="56"/>
  <c r="AL413" i="56"/>
  <c r="AL412" i="56"/>
  <c r="AL411" i="56"/>
  <c r="AL410" i="56"/>
  <c r="AL409" i="56"/>
  <c r="AL408" i="56"/>
  <c r="AL407" i="56"/>
  <c r="AL406" i="56"/>
  <c r="AL405" i="56"/>
  <c r="AL404" i="56"/>
  <c r="AL403" i="56"/>
  <c r="AL402" i="56"/>
  <c r="AL401" i="56"/>
  <c r="AL400" i="56"/>
  <c r="AL399" i="56"/>
  <c r="AL398" i="56"/>
  <c r="AL397" i="56"/>
  <c r="AL396" i="56"/>
  <c r="AL395" i="56"/>
  <c r="AL394" i="56"/>
  <c r="AL393" i="56"/>
  <c r="AL392" i="56"/>
  <c r="AL391" i="56"/>
  <c r="AL390" i="56"/>
  <c r="AL389" i="56"/>
  <c r="AL388" i="56"/>
  <c r="AL387" i="56"/>
  <c r="AL386" i="56"/>
  <c r="AL385" i="56"/>
  <c r="AL384" i="56"/>
  <c r="AL383" i="56"/>
  <c r="AL382" i="56"/>
  <c r="AL381" i="56"/>
  <c r="AL380" i="56"/>
  <c r="AL379" i="56"/>
  <c r="AL378" i="56"/>
  <c r="AL377" i="56"/>
  <c r="AL376" i="56"/>
  <c r="AL375" i="56"/>
  <c r="AL374" i="56"/>
  <c r="AL373" i="56"/>
  <c r="AL372" i="56"/>
  <c r="AL371" i="56"/>
  <c r="AL370" i="56"/>
  <c r="AL369" i="56"/>
  <c r="AL368" i="56"/>
  <c r="AL367" i="56"/>
  <c r="AL366" i="56"/>
  <c r="AL365" i="56"/>
  <c r="AL364" i="56"/>
  <c r="AL363" i="56"/>
  <c r="AL362" i="56"/>
  <c r="AL361" i="56"/>
  <c r="AL360" i="56"/>
  <c r="AL359" i="56"/>
  <c r="AL358" i="56"/>
  <c r="AL357" i="56"/>
  <c r="AL356" i="56"/>
  <c r="AL355" i="56"/>
  <c r="AL354" i="56"/>
  <c r="AL353" i="56"/>
  <c r="AL352" i="56"/>
  <c r="AL351" i="56"/>
  <c r="AL350" i="56"/>
  <c r="AL349" i="56"/>
  <c r="AL348" i="56"/>
  <c r="AL347" i="56"/>
  <c r="AL346" i="56"/>
  <c r="AL345" i="56"/>
  <c r="AL344" i="56"/>
  <c r="AL343" i="56"/>
  <c r="AL342" i="56"/>
  <c r="AL341" i="56"/>
  <c r="AL340" i="56"/>
  <c r="AL339" i="56"/>
  <c r="AL338" i="56"/>
  <c r="AL337" i="56"/>
  <c r="AL336" i="56"/>
  <c r="AL335" i="56"/>
  <c r="AL334" i="56"/>
  <c r="AL333" i="56"/>
  <c r="AL332" i="56"/>
  <c r="AL331" i="56"/>
  <c r="AL330" i="56"/>
  <c r="AL329" i="56"/>
  <c r="AL328" i="56"/>
  <c r="AL327" i="56"/>
  <c r="AL326" i="56"/>
  <c r="AL325" i="56"/>
  <c r="AL324" i="56"/>
  <c r="AL323" i="56"/>
  <c r="AL322" i="56"/>
  <c r="AL321" i="56"/>
  <c r="AL320" i="56"/>
  <c r="AL319" i="56"/>
  <c r="AL318" i="56"/>
  <c r="AL317" i="56"/>
  <c r="AL316" i="56"/>
  <c r="AL315" i="56"/>
  <c r="AL314" i="56"/>
  <c r="AL313" i="56"/>
  <c r="AL312" i="56"/>
  <c r="AL311" i="56"/>
  <c r="AL310" i="56"/>
  <c r="AL309" i="56"/>
  <c r="AL308" i="56"/>
  <c r="AL307" i="56"/>
  <c r="AL306" i="56"/>
  <c r="AL305" i="56"/>
  <c r="AL304" i="56"/>
  <c r="AL303" i="56"/>
  <c r="AL302" i="56"/>
  <c r="AL301" i="56"/>
  <c r="AL300" i="56"/>
  <c r="AL299" i="56"/>
  <c r="AL298" i="56"/>
  <c r="AL297" i="56"/>
  <c r="AL296" i="56"/>
  <c r="AL295" i="56"/>
  <c r="AL294" i="56"/>
  <c r="AL293" i="56"/>
  <c r="AL292" i="56"/>
  <c r="AL291" i="56"/>
  <c r="AL290" i="56"/>
  <c r="AL289" i="56"/>
  <c r="AL288" i="56"/>
  <c r="AL287" i="56"/>
  <c r="AL286" i="56"/>
  <c r="AL285" i="56"/>
  <c r="AL284" i="56"/>
  <c r="AL283" i="56"/>
  <c r="AL282" i="56"/>
  <c r="AL281" i="56"/>
  <c r="AL280" i="56"/>
  <c r="AL279" i="56"/>
  <c r="AL278" i="56"/>
  <c r="AL277" i="56"/>
  <c r="AL276" i="56"/>
  <c r="AL274" i="56"/>
  <c r="AL273" i="56"/>
  <c r="AL272" i="56"/>
  <c r="AL271" i="56"/>
  <c r="AL270" i="56"/>
  <c r="AL269" i="56"/>
  <c r="AL268" i="56"/>
  <c r="AL267" i="56"/>
  <c r="AL266" i="56"/>
  <c r="AL265" i="56"/>
  <c r="AL264" i="56"/>
  <c r="AL263" i="56"/>
  <c r="AL262" i="56"/>
  <c r="AL261" i="56"/>
  <c r="AL260" i="56"/>
  <c r="AL259" i="56"/>
  <c r="AL258" i="56"/>
  <c r="AL257" i="56"/>
  <c r="AL256" i="56"/>
  <c r="AL255" i="56"/>
  <c r="AL254" i="56"/>
  <c r="AL253" i="56"/>
  <c r="AL252" i="56"/>
  <c r="AL251" i="56"/>
  <c r="AL250" i="56"/>
  <c r="AL249" i="56"/>
  <c r="AL248" i="56"/>
  <c r="AL247" i="56"/>
  <c r="AL246" i="56"/>
  <c r="AL245" i="56"/>
  <c r="AL244" i="56"/>
  <c r="AL243" i="56"/>
  <c r="AL242" i="56"/>
  <c r="AL241" i="56"/>
  <c r="AL240" i="56"/>
  <c r="AL239" i="56"/>
  <c r="AL238" i="56"/>
  <c r="AL237" i="56"/>
  <c r="AL236" i="56"/>
  <c r="AL235" i="56"/>
  <c r="AL234" i="56"/>
  <c r="AL233" i="56"/>
  <c r="AL232" i="56"/>
  <c r="AL231" i="56"/>
  <c r="AL230" i="56"/>
  <c r="AL229" i="56"/>
  <c r="AL228" i="56"/>
  <c r="AL227" i="56"/>
  <c r="AL226" i="56"/>
  <c r="AL225" i="56"/>
  <c r="AL224" i="56"/>
  <c r="AL223" i="56"/>
  <c r="AL222" i="56"/>
  <c r="AL221" i="56"/>
  <c r="AL220" i="56"/>
  <c r="AL219" i="56"/>
  <c r="AL218" i="56"/>
  <c r="AL217" i="56"/>
  <c r="AL216" i="56"/>
  <c r="AL215" i="56"/>
  <c r="AL214" i="56"/>
  <c r="AL213" i="56"/>
  <c r="AL212" i="56"/>
  <c r="AL211" i="56"/>
  <c r="AL210" i="56"/>
  <c r="AL209" i="56"/>
  <c r="AL208" i="56"/>
  <c r="AL207" i="56"/>
  <c r="AL206" i="56"/>
  <c r="AL205" i="56"/>
  <c r="AL204" i="56"/>
  <c r="AL203" i="56"/>
  <c r="AL202" i="56"/>
  <c r="AL201" i="56"/>
  <c r="AL200" i="56"/>
  <c r="AL199" i="56"/>
  <c r="AL198" i="56"/>
  <c r="AL197" i="56"/>
  <c r="AL196" i="56"/>
  <c r="AL195" i="56"/>
  <c r="AL194" i="56"/>
  <c r="AL193" i="56"/>
  <c r="AL192" i="56"/>
  <c r="AL191" i="56"/>
  <c r="AL190" i="56"/>
  <c r="AL189" i="56"/>
  <c r="AL188" i="56"/>
  <c r="AL187" i="56"/>
  <c r="AL186" i="56"/>
  <c r="AL185" i="56"/>
  <c r="AL184" i="56"/>
  <c r="AL183" i="56"/>
  <c r="AL182" i="56"/>
  <c r="AL181" i="56"/>
  <c r="AL180" i="56"/>
  <c r="AL179" i="56"/>
  <c r="AL178" i="56"/>
  <c r="AL176" i="56"/>
  <c r="AL175" i="56"/>
  <c r="AL174" i="56"/>
  <c r="AL173" i="56"/>
  <c r="AL172" i="56"/>
  <c r="AL171" i="56"/>
  <c r="AL170" i="56"/>
  <c r="AL169" i="56"/>
  <c r="AL168" i="56"/>
  <c r="AL167" i="56"/>
  <c r="AL166" i="56"/>
  <c r="AL165" i="56"/>
  <c r="AL164" i="56"/>
  <c r="AL163" i="56"/>
  <c r="AL162" i="56"/>
  <c r="AL161" i="56"/>
  <c r="AL160" i="56"/>
  <c r="AL159" i="56"/>
  <c r="AL158" i="56"/>
  <c r="AL157" i="56"/>
  <c r="AL156" i="56"/>
  <c r="AL155" i="56"/>
  <c r="AL154" i="56"/>
  <c r="AL153" i="56"/>
  <c r="AL152" i="56"/>
  <c r="AL151" i="56"/>
  <c r="AL150" i="56"/>
  <c r="AL149" i="56"/>
  <c r="AL148" i="56"/>
  <c r="AL147" i="56"/>
  <c r="AL146" i="56"/>
  <c r="AL145" i="56"/>
  <c r="AL144" i="56"/>
  <c r="AL143" i="56"/>
  <c r="AL142" i="56"/>
  <c r="AL141" i="56"/>
  <c r="AL140" i="56"/>
  <c r="AL139" i="56"/>
  <c r="AL138" i="56"/>
  <c r="AL137" i="56"/>
  <c r="AL136" i="56"/>
  <c r="AL135" i="56"/>
  <c r="AL134" i="56"/>
  <c r="AL133" i="56"/>
  <c r="AL132" i="56"/>
  <c r="AL131" i="56"/>
  <c r="AL130" i="56"/>
  <c r="AL129" i="56"/>
  <c r="AL128" i="56"/>
  <c r="AL127" i="56"/>
  <c r="AL126" i="56"/>
  <c r="AL125" i="56"/>
  <c r="AL124" i="56"/>
  <c r="AL123" i="56"/>
  <c r="AL122" i="56"/>
  <c r="AL121" i="56"/>
  <c r="AL120" i="56"/>
  <c r="AL119" i="56"/>
  <c r="AL118" i="56"/>
  <c r="AL117" i="56"/>
  <c r="AL116" i="56"/>
  <c r="AL115" i="56"/>
  <c r="AL114" i="56"/>
  <c r="AL113" i="56"/>
  <c r="AL112" i="56"/>
  <c r="AL111" i="56"/>
  <c r="AL110" i="56"/>
  <c r="AL109" i="56"/>
  <c r="AL108" i="56"/>
  <c r="AL107" i="56"/>
  <c r="AL106" i="56"/>
  <c r="AL105" i="56"/>
  <c r="AL104" i="56"/>
  <c r="AL103" i="56"/>
  <c r="AL102" i="56"/>
  <c r="AL101" i="56"/>
  <c r="AL100" i="56"/>
  <c r="AL99" i="56"/>
  <c r="AL98" i="56"/>
  <c r="AL97" i="56"/>
  <c r="AL95" i="56"/>
  <c r="AL94" i="56"/>
  <c r="AL93" i="56"/>
  <c r="AL92" i="56"/>
  <c r="AL91" i="56"/>
  <c r="AL90" i="56"/>
  <c r="AL89" i="56"/>
  <c r="AL88" i="56"/>
  <c r="AL87" i="56"/>
  <c r="AL86" i="56"/>
  <c r="AL85" i="56"/>
  <c r="AL84" i="56"/>
  <c r="AL83" i="56"/>
  <c r="AL82" i="56"/>
  <c r="AL81" i="56"/>
  <c r="AL80" i="56"/>
  <c r="AL79" i="56"/>
  <c r="AL78" i="56"/>
  <c r="AL77" i="56"/>
  <c r="AL76" i="56"/>
  <c r="AL75" i="56"/>
  <c r="AL74" i="56"/>
  <c r="AL73" i="56"/>
  <c r="AL72" i="56"/>
  <c r="AL71" i="56"/>
  <c r="AL70" i="56"/>
  <c r="AL69" i="56"/>
  <c r="AL68" i="56"/>
  <c r="AL67" i="56"/>
  <c r="AL66" i="56"/>
  <c r="AL65" i="56"/>
  <c r="AL64" i="56"/>
  <c r="AL63" i="56"/>
  <c r="AL62" i="56"/>
  <c r="AL61" i="56"/>
  <c r="AL60" i="56"/>
  <c r="AL59" i="56"/>
  <c r="AL58" i="56"/>
  <c r="AL57" i="56"/>
  <c r="AL56" i="56"/>
  <c r="AL55" i="56"/>
  <c r="AL54" i="56"/>
  <c r="AL53" i="56"/>
  <c r="AL52" i="56"/>
  <c r="AL51" i="56"/>
  <c r="AL50" i="56"/>
  <c r="AL49" i="56"/>
  <c r="AL48" i="56"/>
  <c r="AL47" i="56"/>
  <c r="AL46" i="56"/>
  <c r="AL45" i="56"/>
  <c r="AL44" i="56"/>
  <c r="AL43" i="56"/>
  <c r="AL42" i="56"/>
  <c r="AL41" i="56"/>
  <c r="AL40" i="56"/>
  <c r="AL39" i="56"/>
  <c r="AL38" i="56"/>
  <c r="AL37" i="56"/>
  <c r="AL36" i="56"/>
  <c r="AL35" i="56"/>
  <c r="AL34" i="56"/>
  <c r="AL33" i="56"/>
  <c r="AL32" i="56"/>
  <c r="AL31" i="56"/>
  <c r="AL30" i="56"/>
  <c r="AL29" i="56"/>
  <c r="AL28" i="56"/>
  <c r="AL27" i="56"/>
  <c r="AL26" i="56"/>
  <c r="AL25" i="56"/>
  <c r="AL24" i="56"/>
  <c r="AL23" i="56"/>
  <c r="AL22" i="56"/>
  <c r="AL21" i="56"/>
  <c r="AL20" i="56"/>
  <c r="AL19" i="56"/>
  <c r="AL18" i="56"/>
  <c r="AL17" i="56"/>
  <c r="AL16" i="56"/>
  <c r="AL15" i="56"/>
  <c r="AL14" i="56"/>
  <c r="AL13" i="56"/>
  <c r="AL12" i="56"/>
  <c r="AL11" i="56"/>
  <c r="AL10" i="56"/>
  <c r="AL9" i="56"/>
  <c r="AL8" i="56"/>
  <c r="AL7" i="56"/>
  <c r="AL6" i="56"/>
  <c r="AL5" i="56"/>
  <c r="AL4" i="56"/>
  <c r="AL3" i="56"/>
  <c r="AL2" i="56"/>
  <c r="AL2" i="55"/>
  <c r="AJ704" i="56"/>
  <c r="AJ703" i="56"/>
  <c r="AJ702" i="56"/>
  <c r="AJ701" i="56"/>
  <c r="AJ700" i="56"/>
  <c r="AJ699" i="56"/>
  <c r="AJ698" i="56"/>
  <c r="AJ697" i="56"/>
  <c r="AJ696" i="56"/>
  <c r="AJ695" i="56"/>
  <c r="AJ694" i="56"/>
  <c r="AJ693" i="56"/>
  <c r="AJ692" i="56"/>
  <c r="AJ691" i="56"/>
  <c r="AJ690" i="56"/>
  <c r="AJ689" i="56"/>
  <c r="AJ688" i="56"/>
  <c r="AJ687" i="56"/>
  <c r="AJ686" i="56"/>
  <c r="AJ685" i="56"/>
  <c r="AJ684" i="56"/>
  <c r="AJ683" i="56"/>
  <c r="AJ682" i="56"/>
  <c r="AJ681" i="56"/>
  <c r="AJ680" i="56"/>
  <c r="AJ679" i="56"/>
  <c r="AJ678" i="56"/>
  <c r="AJ677" i="56"/>
  <c r="AJ676" i="56"/>
  <c r="AJ675" i="56"/>
  <c r="AJ674" i="56"/>
  <c r="AJ673" i="56"/>
  <c r="AJ672" i="56"/>
  <c r="AJ671" i="56"/>
  <c r="AJ670" i="56"/>
  <c r="AJ669" i="56"/>
  <c r="AJ668" i="56"/>
  <c r="AJ667" i="56"/>
  <c r="AJ666" i="56"/>
  <c r="AJ665" i="56"/>
  <c r="AJ664" i="56"/>
  <c r="AJ663" i="56"/>
  <c r="AJ662" i="56"/>
  <c r="AJ661" i="56"/>
  <c r="AJ660" i="56"/>
  <c r="AJ659" i="56"/>
  <c r="AJ658" i="56"/>
  <c r="AJ657" i="56"/>
  <c r="AJ656" i="56"/>
  <c r="AJ655" i="56"/>
  <c r="AJ654" i="56"/>
  <c r="AJ653" i="56"/>
  <c r="AJ652" i="56"/>
  <c r="AJ651" i="56"/>
  <c r="AJ650" i="56"/>
  <c r="AJ649" i="56"/>
  <c r="AJ648" i="56"/>
  <c r="AJ647" i="56"/>
  <c r="AJ646" i="56"/>
  <c r="AJ645" i="56"/>
  <c r="AJ644" i="56"/>
  <c r="AJ643" i="56"/>
  <c r="AJ642" i="56"/>
  <c r="AJ641" i="56"/>
  <c r="AJ640" i="56"/>
  <c r="AJ639" i="56"/>
  <c r="AJ638" i="56"/>
  <c r="AJ637" i="56"/>
  <c r="AJ636" i="56"/>
  <c r="AJ635" i="56"/>
  <c r="AJ634" i="56"/>
  <c r="AJ633" i="56"/>
  <c r="AJ632" i="56"/>
  <c r="AJ631" i="56"/>
  <c r="AJ630" i="56"/>
  <c r="AJ629" i="56"/>
  <c r="AJ628" i="56"/>
  <c r="AJ627" i="56"/>
  <c r="AJ626" i="56"/>
  <c r="AJ625" i="56"/>
  <c r="AJ624" i="56"/>
  <c r="AJ623" i="56"/>
  <c r="AJ622" i="56"/>
  <c r="AJ621" i="56"/>
  <c r="AJ620" i="56"/>
  <c r="AJ619" i="56"/>
  <c r="AJ618" i="56"/>
  <c r="AJ617" i="56"/>
  <c r="AJ616" i="56"/>
  <c r="AJ615" i="56"/>
  <c r="AJ614" i="56"/>
  <c r="AJ613" i="56"/>
  <c r="AJ612" i="56"/>
  <c r="AJ611" i="56"/>
  <c r="AJ610" i="56"/>
  <c r="AJ609" i="56"/>
  <c r="AJ608" i="56"/>
  <c r="AJ607" i="56"/>
  <c r="AJ606" i="56"/>
  <c r="AJ605" i="56"/>
  <c r="AJ604" i="56"/>
  <c r="AJ603" i="56"/>
  <c r="AJ602" i="56"/>
  <c r="AJ601" i="56"/>
  <c r="AJ600" i="56"/>
  <c r="AJ599" i="56"/>
  <c r="AJ598" i="56"/>
  <c r="AJ597" i="56"/>
  <c r="AJ596" i="56"/>
  <c r="AJ595" i="56"/>
  <c r="AJ594" i="56"/>
  <c r="AJ593" i="56"/>
  <c r="AJ592" i="56"/>
  <c r="AJ591" i="56"/>
  <c r="AJ590" i="56"/>
  <c r="AJ589" i="56"/>
  <c r="AJ588" i="56"/>
  <c r="AJ587" i="56"/>
  <c r="AJ586" i="56"/>
  <c r="AJ585" i="56"/>
  <c r="AJ584" i="56"/>
  <c r="AJ583" i="56"/>
  <c r="AJ582" i="56"/>
  <c r="AJ581" i="56"/>
  <c r="AJ580" i="56"/>
  <c r="AJ579" i="56"/>
  <c r="AJ578" i="56"/>
  <c r="AJ577" i="56"/>
  <c r="AJ576" i="56"/>
  <c r="AJ575" i="56"/>
  <c r="AJ574" i="56"/>
  <c r="AJ573" i="56"/>
  <c r="AJ572" i="56"/>
  <c r="AJ571" i="56"/>
  <c r="AJ570" i="56"/>
  <c r="AJ569" i="56"/>
  <c r="AJ568" i="56"/>
  <c r="AJ567" i="56"/>
  <c r="AJ566" i="56"/>
  <c r="AJ565" i="56"/>
  <c r="AJ564" i="56"/>
  <c r="AJ563" i="56"/>
  <c r="AJ562" i="56"/>
  <c r="AJ561" i="56"/>
  <c r="AJ560" i="56"/>
  <c r="AJ559" i="56"/>
  <c r="AJ558" i="56"/>
  <c r="AJ557" i="56"/>
  <c r="AJ556" i="56"/>
  <c r="AJ555" i="56"/>
  <c r="AJ554" i="56"/>
  <c r="AJ553" i="56"/>
  <c r="AJ552" i="56"/>
  <c r="AJ551" i="56"/>
  <c r="AJ550" i="56"/>
  <c r="AJ549" i="56"/>
  <c r="AJ548" i="56"/>
  <c r="AJ547" i="56"/>
  <c r="AJ546" i="56"/>
  <c r="AJ545" i="56"/>
  <c r="AJ544" i="56"/>
  <c r="AJ543" i="56"/>
  <c r="AJ542" i="56"/>
  <c r="AJ541" i="56"/>
  <c r="AJ540" i="56"/>
  <c r="AJ539" i="56"/>
  <c r="AJ538" i="56"/>
  <c r="AJ537" i="56"/>
  <c r="AJ536" i="56"/>
  <c r="AJ535" i="56"/>
  <c r="AJ534" i="56"/>
  <c r="AJ533" i="56"/>
  <c r="AJ532" i="56"/>
  <c r="AJ531" i="56"/>
  <c r="AJ530" i="56"/>
  <c r="AJ529" i="56"/>
  <c r="AJ528" i="56"/>
  <c r="AJ527" i="56"/>
  <c r="AJ526" i="56"/>
  <c r="AJ525" i="56"/>
  <c r="AJ524" i="56"/>
  <c r="AJ523" i="56"/>
  <c r="AJ522" i="56"/>
  <c r="AJ521" i="56"/>
  <c r="AJ520" i="56"/>
  <c r="AJ519" i="56"/>
  <c r="AJ518" i="56"/>
  <c r="AJ517" i="56"/>
  <c r="AJ516" i="56"/>
  <c r="AJ515" i="56"/>
  <c r="AJ514" i="56"/>
  <c r="AJ513" i="56"/>
  <c r="AJ512" i="56"/>
  <c r="AJ511" i="56"/>
  <c r="AJ510" i="56"/>
  <c r="AJ509" i="56"/>
  <c r="AJ508" i="56"/>
  <c r="AJ507" i="56"/>
  <c r="AJ506" i="56"/>
  <c r="AJ505" i="56"/>
  <c r="AJ504" i="56"/>
  <c r="AJ503" i="56"/>
  <c r="AJ502" i="56"/>
  <c r="AJ501" i="56"/>
  <c r="AJ500" i="56"/>
  <c r="AJ499" i="56"/>
  <c r="AJ498" i="56"/>
  <c r="AJ497" i="56"/>
  <c r="AJ496" i="56"/>
  <c r="AJ495" i="56"/>
  <c r="AJ494" i="56"/>
  <c r="AJ493" i="56"/>
  <c r="AJ492" i="56"/>
  <c r="AJ491" i="56"/>
  <c r="AJ490" i="56"/>
  <c r="AJ489" i="56"/>
  <c r="AJ488" i="56"/>
  <c r="AJ487" i="56"/>
  <c r="AJ486" i="56"/>
  <c r="AJ485" i="56"/>
  <c r="AJ484" i="56"/>
  <c r="AJ483" i="56"/>
  <c r="AJ482" i="56"/>
  <c r="AJ481" i="56"/>
  <c r="AJ480" i="56"/>
  <c r="AJ479" i="56"/>
  <c r="AJ478" i="56"/>
  <c r="AJ477" i="56"/>
  <c r="AJ476" i="56"/>
  <c r="AJ475" i="56"/>
  <c r="AJ474" i="56"/>
  <c r="AJ473" i="56"/>
  <c r="AJ472" i="56"/>
  <c r="AJ471" i="56"/>
  <c r="AJ470" i="56"/>
  <c r="AJ469" i="56"/>
  <c r="AJ468" i="56"/>
  <c r="AJ467" i="56"/>
  <c r="AJ466" i="56"/>
  <c r="AJ465" i="56"/>
  <c r="AJ464" i="56"/>
  <c r="AJ463" i="56"/>
  <c r="AJ462" i="56"/>
  <c r="AJ461" i="56"/>
  <c r="AJ460" i="56"/>
  <c r="AJ459" i="56"/>
  <c r="AJ458" i="56"/>
  <c r="AJ457" i="56"/>
  <c r="AJ456" i="56"/>
  <c r="AJ455" i="56"/>
  <c r="AJ454" i="56"/>
  <c r="AJ453" i="56"/>
  <c r="AJ452" i="56"/>
  <c r="AJ451" i="56"/>
  <c r="AJ450" i="56"/>
  <c r="AJ449" i="56"/>
  <c r="AJ448" i="56"/>
  <c r="AJ447" i="56"/>
  <c r="AJ446" i="56"/>
  <c r="AJ445" i="56"/>
  <c r="AJ444" i="56"/>
  <c r="AJ443" i="56"/>
  <c r="AJ442" i="56"/>
  <c r="AJ441" i="56"/>
  <c r="AJ440" i="56"/>
  <c r="AJ439" i="56"/>
  <c r="AJ438" i="56"/>
  <c r="AJ437" i="56"/>
  <c r="AJ436" i="56"/>
  <c r="AJ435" i="56"/>
  <c r="AJ434" i="56"/>
  <c r="AJ433" i="56"/>
  <c r="AJ432" i="56"/>
  <c r="AJ431" i="56"/>
  <c r="AJ430" i="56"/>
  <c r="AJ429" i="56"/>
  <c r="AJ428" i="56"/>
  <c r="AJ427" i="56"/>
  <c r="AJ426" i="56"/>
  <c r="AJ425" i="56"/>
  <c r="AJ424" i="56"/>
  <c r="AJ423" i="56"/>
  <c r="AJ422" i="56"/>
  <c r="AJ421" i="56"/>
  <c r="AJ420" i="56"/>
  <c r="AJ419" i="56"/>
  <c r="AJ418" i="56"/>
  <c r="AJ417" i="56"/>
  <c r="AJ416" i="56"/>
  <c r="AJ415" i="56"/>
  <c r="AJ414" i="56"/>
  <c r="AJ413" i="56"/>
  <c r="AJ412" i="56"/>
  <c r="AJ411" i="56"/>
  <c r="AJ410" i="56"/>
  <c r="AJ409" i="56"/>
  <c r="AJ408" i="56"/>
  <c r="AJ407" i="56"/>
  <c r="AJ406" i="56"/>
  <c r="AJ405" i="56"/>
  <c r="AJ404" i="56"/>
  <c r="AJ403" i="56"/>
  <c r="AJ402" i="56"/>
  <c r="AJ401" i="56"/>
  <c r="AJ400" i="56"/>
  <c r="AJ399" i="56"/>
  <c r="AJ398" i="56"/>
  <c r="AJ397" i="56"/>
  <c r="AJ396" i="56"/>
  <c r="AJ395" i="56"/>
  <c r="AJ394" i="56"/>
  <c r="AJ393" i="56"/>
  <c r="AJ392" i="56"/>
  <c r="AJ391" i="56"/>
  <c r="AJ390" i="56"/>
  <c r="AJ389" i="56"/>
  <c r="AJ388" i="56"/>
  <c r="AJ387" i="56"/>
  <c r="AJ386" i="56"/>
  <c r="AJ385" i="56"/>
  <c r="AJ384" i="56"/>
  <c r="AJ383" i="56"/>
  <c r="AJ382" i="56"/>
  <c r="AJ381" i="56"/>
  <c r="AJ380" i="56"/>
  <c r="AJ379" i="56"/>
  <c r="AJ378" i="56"/>
  <c r="AJ377" i="56"/>
  <c r="AJ376" i="56"/>
  <c r="AJ375" i="56"/>
  <c r="AJ374" i="56"/>
  <c r="AJ373" i="56"/>
  <c r="AJ372" i="56"/>
  <c r="AJ371" i="56"/>
  <c r="AJ370" i="56"/>
  <c r="AJ369" i="56"/>
  <c r="AJ368" i="56"/>
  <c r="AJ367" i="56"/>
  <c r="AJ366" i="56"/>
  <c r="AJ365" i="56"/>
  <c r="AJ364" i="56"/>
  <c r="AJ363" i="56"/>
  <c r="AJ362" i="56"/>
  <c r="AJ361" i="56"/>
  <c r="AJ360" i="56"/>
  <c r="AJ359" i="56"/>
  <c r="AJ358" i="56"/>
  <c r="AJ357" i="56"/>
  <c r="AJ356" i="56"/>
  <c r="AJ355" i="56"/>
  <c r="AJ354" i="56"/>
  <c r="AJ353" i="56"/>
  <c r="AJ352" i="56"/>
  <c r="AJ351" i="56"/>
  <c r="AJ350" i="56"/>
  <c r="AJ349" i="56"/>
  <c r="AJ348" i="56"/>
  <c r="AJ347" i="56"/>
  <c r="AJ346" i="56"/>
  <c r="AJ345" i="56"/>
  <c r="AJ344" i="56"/>
  <c r="AJ343" i="56"/>
  <c r="AJ342" i="56"/>
  <c r="AJ341" i="56"/>
  <c r="AJ340" i="56"/>
  <c r="AJ339" i="56"/>
  <c r="AJ338" i="56"/>
  <c r="AJ337" i="56"/>
  <c r="AJ336" i="56"/>
  <c r="AJ335" i="56"/>
  <c r="AJ334" i="56"/>
  <c r="AJ333" i="56"/>
  <c r="AJ332" i="56"/>
  <c r="AJ331" i="56"/>
  <c r="AJ330" i="56"/>
  <c r="AJ329" i="56"/>
  <c r="AJ328" i="56"/>
  <c r="AJ327" i="56"/>
  <c r="AJ326" i="56"/>
  <c r="AJ325" i="56"/>
  <c r="AJ324" i="56"/>
  <c r="AJ323" i="56"/>
  <c r="AJ322" i="56"/>
  <c r="AJ321" i="56"/>
  <c r="AJ320" i="56"/>
  <c r="AJ319" i="56"/>
  <c r="AJ318" i="56"/>
  <c r="AJ317" i="56"/>
  <c r="AJ316" i="56"/>
  <c r="AJ315" i="56"/>
  <c r="AJ314" i="56"/>
  <c r="AJ313" i="56"/>
  <c r="AJ312" i="56"/>
  <c r="AJ311" i="56"/>
  <c r="AJ310" i="56"/>
  <c r="AJ309" i="56"/>
  <c r="AJ308" i="56"/>
  <c r="AJ307" i="56"/>
  <c r="AJ306" i="56"/>
  <c r="AJ305" i="56"/>
  <c r="AJ304" i="56"/>
  <c r="AJ303" i="56"/>
  <c r="AJ302" i="56"/>
  <c r="AJ301" i="56"/>
  <c r="AJ300" i="56"/>
  <c r="AJ299" i="56"/>
  <c r="AJ298" i="56"/>
  <c r="AJ297" i="56"/>
  <c r="AJ296" i="56"/>
  <c r="AJ295" i="56"/>
  <c r="AJ294" i="56"/>
  <c r="AJ293" i="56"/>
  <c r="AJ292" i="56"/>
  <c r="AJ291" i="56"/>
  <c r="AJ290" i="56"/>
  <c r="AJ289" i="56"/>
  <c r="AJ288" i="56"/>
  <c r="AJ287" i="56"/>
  <c r="AJ286" i="56"/>
  <c r="AJ285" i="56"/>
  <c r="AJ284" i="56"/>
  <c r="AJ283" i="56"/>
  <c r="AJ282" i="56"/>
  <c r="AJ281" i="56"/>
  <c r="AJ280" i="56"/>
  <c r="AJ279" i="56"/>
  <c r="AJ278" i="56"/>
  <c r="AJ277" i="56"/>
  <c r="AJ276" i="56"/>
  <c r="AJ275" i="56"/>
  <c r="AJ274" i="56"/>
  <c r="AJ273" i="56"/>
  <c r="AJ272" i="56"/>
  <c r="AJ271" i="56"/>
  <c r="AJ270" i="56"/>
  <c r="AJ269" i="56"/>
  <c r="AJ268" i="56"/>
  <c r="AJ267" i="56"/>
  <c r="AJ266" i="56"/>
  <c r="AJ265" i="56"/>
  <c r="AJ264" i="56"/>
  <c r="AJ263" i="56"/>
  <c r="AJ262" i="56"/>
  <c r="AJ261" i="56"/>
  <c r="AJ260" i="56"/>
  <c r="AJ259" i="56"/>
  <c r="AJ258" i="56"/>
  <c r="AJ257" i="56"/>
  <c r="AJ256" i="56"/>
  <c r="AJ255" i="56"/>
  <c r="AJ254" i="56"/>
  <c r="AJ253" i="56"/>
  <c r="AJ252" i="56"/>
  <c r="AJ251" i="56"/>
  <c r="AJ250" i="56"/>
  <c r="AJ249" i="56"/>
  <c r="AJ248" i="56"/>
  <c r="AJ247" i="56"/>
  <c r="AJ246" i="56"/>
  <c r="AJ245" i="56"/>
  <c r="AJ244" i="56"/>
  <c r="AJ243" i="56"/>
  <c r="AJ242" i="56"/>
  <c r="AJ241" i="56"/>
  <c r="AJ240" i="56"/>
  <c r="AJ239" i="56"/>
  <c r="AJ238" i="56"/>
  <c r="AJ237" i="56"/>
  <c r="AJ236" i="56"/>
  <c r="AJ235" i="56"/>
  <c r="AJ234" i="56"/>
  <c r="AJ233" i="56"/>
  <c r="AJ232" i="56"/>
  <c r="AJ231" i="56"/>
  <c r="AJ230" i="56"/>
  <c r="AJ229" i="56"/>
  <c r="AJ228" i="56"/>
  <c r="AJ227" i="56"/>
  <c r="AJ226" i="56"/>
  <c r="AJ225" i="56"/>
  <c r="AJ224" i="56"/>
  <c r="AJ223" i="56"/>
  <c r="AJ222" i="56"/>
  <c r="AJ221" i="56"/>
  <c r="AJ220" i="56"/>
  <c r="AJ219" i="56"/>
  <c r="AJ218" i="56"/>
  <c r="AJ217" i="56"/>
  <c r="AJ216" i="56"/>
  <c r="AJ215" i="56"/>
  <c r="AJ214" i="56"/>
  <c r="AJ213" i="56"/>
  <c r="AJ212" i="56"/>
  <c r="AJ211" i="56"/>
  <c r="AJ210" i="56"/>
  <c r="AJ209" i="56"/>
  <c r="AJ208" i="56"/>
  <c r="AJ207" i="56"/>
  <c r="AJ206" i="56"/>
  <c r="AJ205" i="56"/>
  <c r="AJ204" i="56"/>
  <c r="AJ203" i="56"/>
  <c r="AJ202" i="56"/>
  <c r="AJ201" i="56"/>
  <c r="AJ200" i="56"/>
  <c r="AJ199" i="56"/>
  <c r="AJ198" i="56"/>
  <c r="AJ197" i="56"/>
  <c r="AJ196" i="56"/>
  <c r="AJ195" i="56"/>
  <c r="AJ194" i="56"/>
  <c r="AJ193" i="56"/>
  <c r="AJ192" i="56"/>
  <c r="AJ191" i="56"/>
  <c r="AJ190" i="56"/>
  <c r="AJ189" i="56"/>
  <c r="AJ188" i="56"/>
  <c r="AJ187" i="56"/>
  <c r="AJ186" i="56"/>
  <c r="AJ185" i="56"/>
  <c r="AJ184" i="56"/>
  <c r="AJ183" i="56"/>
  <c r="AJ182" i="56"/>
  <c r="AJ181" i="56"/>
  <c r="AJ180" i="56"/>
  <c r="AJ179" i="56"/>
  <c r="AJ178" i="56"/>
  <c r="AJ177" i="56"/>
  <c r="AJ176" i="56"/>
  <c r="AJ175" i="56"/>
  <c r="AJ174" i="56"/>
  <c r="AJ173" i="56"/>
  <c r="AJ172" i="56"/>
  <c r="AJ171" i="56"/>
  <c r="AJ170" i="56"/>
  <c r="AJ169" i="56"/>
  <c r="AJ168" i="56"/>
  <c r="AJ167" i="56"/>
  <c r="AJ166" i="56"/>
  <c r="AJ165" i="56"/>
  <c r="AJ164" i="56"/>
  <c r="AJ163" i="56"/>
  <c r="AJ162" i="56"/>
  <c r="AJ161" i="56"/>
  <c r="AJ160" i="56"/>
  <c r="AJ159" i="56"/>
  <c r="AJ158" i="56"/>
  <c r="AJ157" i="56"/>
  <c r="AJ156" i="56"/>
  <c r="AJ155" i="56"/>
  <c r="AJ154" i="56"/>
  <c r="AJ153" i="56"/>
  <c r="AJ152" i="56"/>
  <c r="AJ151" i="56"/>
  <c r="AJ150" i="56"/>
  <c r="AJ149" i="56"/>
  <c r="AJ148" i="56"/>
  <c r="AJ147" i="56"/>
  <c r="AJ146" i="56"/>
  <c r="AJ145" i="56"/>
  <c r="AJ144" i="56"/>
  <c r="AJ143" i="56"/>
  <c r="AJ142" i="56"/>
  <c r="AJ141" i="56"/>
  <c r="AJ140" i="56"/>
  <c r="AJ139" i="56"/>
  <c r="AJ138" i="56"/>
  <c r="AJ137" i="56"/>
  <c r="AJ136" i="56"/>
  <c r="AJ135" i="56"/>
  <c r="AJ134" i="56"/>
  <c r="AJ133" i="56"/>
  <c r="AJ132" i="56"/>
  <c r="AJ131" i="56"/>
  <c r="AJ130" i="56"/>
  <c r="AJ129" i="56"/>
  <c r="AJ128" i="56"/>
  <c r="AJ127" i="56"/>
  <c r="AJ126" i="56"/>
  <c r="AJ125" i="56"/>
  <c r="AJ124" i="56"/>
  <c r="AJ123" i="56"/>
  <c r="AJ122" i="56"/>
  <c r="AJ121" i="56"/>
  <c r="AJ120" i="56"/>
  <c r="AJ119" i="56"/>
  <c r="AJ118" i="56"/>
  <c r="AJ117" i="56"/>
  <c r="AJ116" i="56"/>
  <c r="AJ115" i="56"/>
  <c r="AJ114" i="56"/>
  <c r="AJ113" i="56"/>
  <c r="AJ112" i="56"/>
  <c r="AJ111" i="56"/>
  <c r="AJ110" i="56"/>
  <c r="AJ109" i="56"/>
  <c r="AJ108" i="56"/>
  <c r="AJ107" i="56"/>
  <c r="AJ106" i="56"/>
  <c r="AJ105" i="56"/>
  <c r="AJ104" i="56"/>
  <c r="AJ103" i="56"/>
  <c r="AJ102" i="56"/>
  <c r="AJ101" i="56"/>
  <c r="AJ100" i="56"/>
  <c r="AJ99" i="56"/>
  <c r="AJ98" i="56"/>
  <c r="AJ97" i="56"/>
  <c r="AJ96" i="56"/>
  <c r="AJ95" i="56"/>
  <c r="AJ94" i="56"/>
  <c r="AJ93" i="56"/>
  <c r="AJ92" i="56"/>
  <c r="AJ91" i="56"/>
  <c r="AJ90" i="56"/>
  <c r="AJ89" i="56"/>
  <c r="AJ88" i="56"/>
  <c r="AJ87" i="56"/>
  <c r="AJ86" i="56"/>
  <c r="AJ85" i="56"/>
  <c r="AJ84" i="56"/>
  <c r="AJ83" i="56"/>
  <c r="AJ82" i="56"/>
  <c r="AJ81" i="56"/>
  <c r="AJ80" i="56"/>
  <c r="AJ79" i="56"/>
  <c r="AJ78" i="56"/>
  <c r="AJ77" i="56"/>
  <c r="AJ76" i="56"/>
  <c r="AJ75" i="56"/>
  <c r="AJ74" i="56"/>
  <c r="AJ73" i="56"/>
  <c r="AJ72" i="56"/>
  <c r="AJ71" i="56"/>
  <c r="AJ70" i="56"/>
  <c r="AJ69" i="56"/>
  <c r="AJ68" i="56"/>
  <c r="AJ67" i="56"/>
  <c r="AJ66" i="56"/>
  <c r="AJ65" i="56"/>
  <c r="AJ64" i="56"/>
  <c r="AJ63" i="56"/>
  <c r="AJ62" i="56"/>
  <c r="AJ61" i="56"/>
  <c r="AJ60" i="56"/>
  <c r="AJ59" i="56"/>
  <c r="AJ58" i="56"/>
  <c r="AJ57" i="56"/>
  <c r="AJ56" i="56"/>
  <c r="AJ55" i="56"/>
  <c r="AJ54" i="56"/>
  <c r="AJ53" i="56"/>
  <c r="AJ52" i="56"/>
  <c r="AJ51" i="56"/>
  <c r="AJ50" i="56"/>
  <c r="AJ49" i="56"/>
  <c r="AJ48" i="56"/>
  <c r="AJ47" i="56"/>
  <c r="AJ46" i="56"/>
  <c r="AJ45" i="56"/>
  <c r="AJ44" i="56"/>
  <c r="AJ43" i="56"/>
  <c r="AJ42" i="56"/>
  <c r="AJ41" i="56"/>
  <c r="AJ40" i="56"/>
  <c r="AJ39" i="56"/>
  <c r="AJ38" i="56"/>
  <c r="AJ37" i="56"/>
  <c r="AJ36" i="56"/>
  <c r="AJ35" i="56"/>
  <c r="AJ34" i="56"/>
  <c r="AJ33" i="56"/>
  <c r="AJ32" i="56"/>
  <c r="AJ31" i="56"/>
  <c r="AJ30" i="56"/>
  <c r="AJ29" i="56"/>
  <c r="AJ28" i="56"/>
  <c r="AJ27" i="56"/>
  <c r="AJ26" i="56"/>
  <c r="AJ25" i="56"/>
  <c r="AJ24" i="56"/>
  <c r="AJ23" i="56"/>
  <c r="AJ22" i="56"/>
  <c r="AJ21" i="56"/>
  <c r="AJ20" i="56"/>
  <c r="AJ19" i="56"/>
  <c r="AJ18" i="56"/>
  <c r="AJ17" i="56"/>
  <c r="AJ16" i="56"/>
  <c r="AJ15" i="56"/>
  <c r="AJ14" i="56"/>
  <c r="AJ13" i="56"/>
  <c r="AJ12" i="56"/>
  <c r="AJ11" i="56"/>
  <c r="AJ10" i="56"/>
  <c r="AJ9" i="56"/>
  <c r="AJ8" i="56"/>
  <c r="AJ7" i="56"/>
  <c r="AJ6" i="56"/>
  <c r="AJ5" i="56"/>
  <c r="AJ4" i="56"/>
  <c r="AJ3" i="56"/>
  <c r="AJ2" i="56"/>
  <c r="C97" i="54"/>
  <c r="F768" i="55"/>
  <c r="C96" i="54" s="1"/>
  <c r="C102"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103" i="54"/>
  <c r="C104" i="54"/>
  <c r="Z17" i="61" l="1"/>
  <c r="Z5" i="61"/>
  <c r="Y18" i="61"/>
  <c r="Y6" i="61"/>
  <c r="Z28" i="61"/>
  <c r="Z16" i="61"/>
  <c r="Z4" i="61"/>
  <c r="Y17" i="61"/>
  <c r="Y5" i="61"/>
  <c r="Z27" i="61"/>
  <c r="Z15" i="61"/>
  <c r="Y28" i="61"/>
  <c r="Y16" i="61"/>
  <c r="Y4" i="61"/>
  <c r="Z26" i="61"/>
  <c r="Z14" i="61"/>
  <c r="Y27" i="61"/>
  <c r="Y15" i="61"/>
  <c r="Z6" i="61"/>
  <c r="Z25" i="61"/>
  <c r="Z13" i="61"/>
  <c r="Y26" i="61"/>
  <c r="Y14" i="61"/>
  <c r="Z24" i="61"/>
  <c r="Z12" i="61"/>
  <c r="Y25" i="61"/>
  <c r="Y13" i="61"/>
  <c r="Z23" i="61"/>
  <c r="Z11" i="61"/>
  <c r="Y24" i="61"/>
  <c r="Y12" i="61"/>
  <c r="Z22" i="61"/>
  <c r="Z10" i="61"/>
  <c r="Y23" i="61"/>
  <c r="Y11" i="61"/>
  <c r="Y7" i="61"/>
  <c r="Z21" i="61"/>
  <c r="Z9" i="61"/>
  <c r="Y22" i="61"/>
  <c r="Y10" i="61"/>
  <c r="Z20" i="61"/>
  <c r="Z8" i="61"/>
  <c r="Y21" i="61"/>
  <c r="Y9" i="61"/>
  <c r="Y19" i="61"/>
  <c r="Z19" i="61"/>
  <c r="Z7" i="61"/>
  <c r="Y20" i="61"/>
  <c r="Y8" i="61"/>
  <c r="Z18" i="61"/>
  <c r="D38" i="61"/>
  <c r="D66" i="61"/>
  <c r="J39" i="61"/>
  <c r="AU798" i="60"/>
  <c r="M38" i="61"/>
  <c r="P51" i="61"/>
  <c r="Y44" i="61"/>
  <c r="D43" i="61"/>
  <c r="D55" i="61"/>
  <c r="G38" i="61"/>
  <c r="J40" i="61"/>
  <c r="M39" i="61"/>
  <c r="P52" i="61"/>
  <c r="Y45" i="61"/>
  <c r="D44" i="61"/>
  <c r="D56" i="61"/>
  <c r="G39" i="61"/>
  <c r="J41" i="61"/>
  <c r="M40" i="61"/>
  <c r="P53" i="61"/>
  <c r="Y46" i="61"/>
  <c r="D45" i="61"/>
  <c r="D57" i="61"/>
  <c r="G40" i="61"/>
  <c r="J42" i="61"/>
  <c r="M41" i="61"/>
  <c r="S38" i="61"/>
  <c r="Y47" i="61"/>
  <c r="D46" i="61"/>
  <c r="D58" i="61"/>
  <c r="G41" i="61"/>
  <c r="J43" i="61"/>
  <c r="M42" i="61"/>
  <c r="S39" i="61"/>
  <c r="Y48" i="61"/>
  <c r="D47" i="61"/>
  <c r="D59" i="61"/>
  <c r="G42" i="61"/>
  <c r="J44" i="61"/>
  <c r="M43" i="61"/>
  <c r="S40" i="61"/>
  <c r="Y49" i="61"/>
  <c r="D48" i="61"/>
  <c r="D60" i="61"/>
  <c r="G48" i="61"/>
  <c r="J45" i="61"/>
  <c r="P38" i="61"/>
  <c r="V38" i="61"/>
  <c r="Y38" i="61"/>
  <c r="D49" i="61"/>
  <c r="D61" i="61"/>
  <c r="G49" i="61"/>
  <c r="J46" i="61"/>
  <c r="P39" i="61"/>
  <c r="V39" i="61"/>
  <c r="Y39" i="61"/>
  <c r="D50" i="61"/>
  <c r="D62" i="61"/>
  <c r="AU797" i="60"/>
  <c r="G50" i="61"/>
  <c r="J47" i="61"/>
  <c r="P40" i="61"/>
  <c r="V40" i="61"/>
  <c r="D39" i="61"/>
  <c r="D51" i="61"/>
  <c r="D63" i="61"/>
  <c r="G51" i="61"/>
  <c r="J48" i="61"/>
  <c r="P41" i="61"/>
  <c r="V44" i="61"/>
  <c r="D40" i="61"/>
  <c r="D52" i="61"/>
  <c r="D64" i="61"/>
  <c r="G52" i="61"/>
  <c r="G53" i="61" s="1"/>
  <c r="J49" i="61"/>
  <c r="P42" i="61"/>
  <c r="V45" i="61"/>
  <c r="D41" i="61"/>
  <c r="D53" i="61"/>
  <c r="D65" i="61"/>
  <c r="J38" i="61"/>
  <c r="J50" i="61"/>
  <c r="P47" i="61"/>
  <c r="P48" i="61" s="1"/>
  <c r="AD9" i="61" s="1"/>
  <c r="V46" i="61"/>
  <c r="D42" i="61"/>
  <c r="D54" i="61"/>
  <c r="K9" i="61"/>
  <c r="I9" i="61"/>
  <c r="V39" i="59"/>
  <c r="AL798" i="58"/>
  <c r="AU798" i="58"/>
  <c r="AU799" i="58"/>
  <c r="D61" i="59"/>
  <c r="D63" i="59"/>
  <c r="Z5" i="59"/>
  <c r="Z11" i="59"/>
  <c r="Z17" i="59"/>
  <c r="Z23" i="59"/>
  <c r="Y17" i="59"/>
  <c r="Y6" i="59"/>
  <c r="Y12" i="59"/>
  <c r="Y18" i="59"/>
  <c r="Y24" i="59"/>
  <c r="Z6" i="59"/>
  <c r="Z12" i="59"/>
  <c r="Z18" i="59"/>
  <c r="Z24" i="59"/>
  <c r="Y7" i="59"/>
  <c r="Y13" i="59"/>
  <c r="Y19" i="59"/>
  <c r="Y25" i="59"/>
  <c r="Z7" i="59"/>
  <c r="Z13" i="59"/>
  <c r="Z19" i="59"/>
  <c r="Z25" i="59"/>
  <c r="Y8" i="59"/>
  <c r="Y14" i="59"/>
  <c r="Y20" i="59"/>
  <c r="Y26" i="59"/>
  <c r="Y5" i="59"/>
  <c r="Z8" i="59"/>
  <c r="Z14" i="59"/>
  <c r="Z20" i="59"/>
  <c r="Z26" i="59"/>
  <c r="Y23" i="59"/>
  <c r="Y9" i="59"/>
  <c r="Y15" i="59"/>
  <c r="Y21" i="59"/>
  <c r="Y27" i="59"/>
  <c r="Y11" i="59"/>
  <c r="Z9" i="59"/>
  <c r="Z15" i="59"/>
  <c r="Z21" i="59"/>
  <c r="Z27" i="59"/>
  <c r="Y4" i="59"/>
  <c r="Y10" i="59"/>
  <c r="Y16" i="59"/>
  <c r="Y22" i="59"/>
  <c r="Y28" i="59"/>
  <c r="Z4" i="59"/>
  <c r="Z10" i="59"/>
  <c r="Z16" i="59"/>
  <c r="Z22" i="59"/>
  <c r="G51" i="59"/>
  <c r="P41" i="59"/>
  <c r="V45" i="59"/>
  <c r="D52" i="59"/>
  <c r="G52" i="59"/>
  <c r="J49" i="59"/>
  <c r="P42" i="59"/>
  <c r="V46" i="59"/>
  <c r="D41" i="59"/>
  <c r="D53" i="59"/>
  <c r="D65" i="59"/>
  <c r="J48" i="59"/>
  <c r="D40" i="59"/>
  <c r="D64" i="59"/>
  <c r="J38" i="59"/>
  <c r="J50" i="59"/>
  <c r="P47" i="59"/>
  <c r="P48" i="59" s="1"/>
  <c r="AD9" i="59" s="1"/>
  <c r="Y44" i="59"/>
  <c r="D42" i="59"/>
  <c r="D54" i="59"/>
  <c r="D66" i="59"/>
  <c r="D38" i="59"/>
  <c r="J39" i="59"/>
  <c r="M38" i="59"/>
  <c r="P51" i="59"/>
  <c r="Y45" i="59"/>
  <c r="D43" i="59"/>
  <c r="D55" i="59"/>
  <c r="G38" i="59"/>
  <c r="J40" i="59"/>
  <c r="M39" i="59"/>
  <c r="P52" i="59"/>
  <c r="Y46" i="59"/>
  <c r="D44" i="59"/>
  <c r="D56" i="59"/>
  <c r="G41" i="59"/>
  <c r="G39" i="59"/>
  <c r="J41" i="59"/>
  <c r="M40" i="59"/>
  <c r="P53" i="59"/>
  <c r="Y47" i="59"/>
  <c r="D45" i="59"/>
  <c r="D57" i="59"/>
  <c r="G40" i="59"/>
  <c r="J42" i="59"/>
  <c r="M41" i="59"/>
  <c r="V38" i="59"/>
  <c r="Y48" i="59"/>
  <c r="D46" i="59"/>
  <c r="D58" i="59"/>
  <c r="G42" i="59"/>
  <c r="J44" i="59"/>
  <c r="M43" i="59"/>
  <c r="V40" i="59"/>
  <c r="S38" i="59"/>
  <c r="D48" i="59"/>
  <c r="D60" i="59"/>
  <c r="G48" i="59"/>
  <c r="J45" i="59"/>
  <c r="P38" i="59"/>
  <c r="Y38" i="59"/>
  <c r="S39" i="59"/>
  <c r="D49" i="59"/>
  <c r="J43" i="59"/>
  <c r="M42" i="59"/>
  <c r="Y49" i="59"/>
  <c r="D47" i="59"/>
  <c r="D59" i="59"/>
  <c r="G49" i="59"/>
  <c r="J46" i="59"/>
  <c r="P39" i="59"/>
  <c r="Y39" i="59"/>
  <c r="S40" i="59"/>
  <c r="D50" i="59"/>
  <c r="D62" i="59"/>
  <c r="G50" i="59"/>
  <c r="J47" i="59"/>
  <c r="P40" i="59"/>
  <c r="V44" i="59"/>
  <c r="D39" i="59"/>
  <c r="D51" i="59"/>
  <c r="K9" i="59"/>
  <c r="I9" i="59"/>
  <c r="Y29" i="57"/>
  <c r="Z29" i="57"/>
  <c r="V44" i="57"/>
  <c r="V45" i="57"/>
  <c r="K9" i="57"/>
  <c r="D42" i="57"/>
  <c r="D54" i="57"/>
  <c r="D66" i="57"/>
  <c r="J39" i="57"/>
  <c r="M38" i="57"/>
  <c r="P51" i="57"/>
  <c r="Y38" i="57"/>
  <c r="V46" i="57"/>
  <c r="AL705" i="56"/>
  <c r="D43" i="57"/>
  <c r="D55" i="57"/>
  <c r="G38" i="57"/>
  <c r="J40" i="57"/>
  <c r="M39" i="57"/>
  <c r="P52" i="57"/>
  <c r="Y39" i="57"/>
  <c r="P47" i="57"/>
  <c r="P48" i="57" s="1"/>
  <c r="AD9" i="57" s="1"/>
  <c r="D44" i="57"/>
  <c r="D56" i="57"/>
  <c r="G39" i="57"/>
  <c r="J41" i="57"/>
  <c r="M40" i="57"/>
  <c r="P53" i="57"/>
  <c r="Y44" i="57"/>
  <c r="J50" i="57"/>
  <c r="D45" i="57"/>
  <c r="D57" i="57"/>
  <c r="G40" i="57"/>
  <c r="J42" i="57"/>
  <c r="M41" i="57"/>
  <c r="S38" i="57"/>
  <c r="Y45" i="57"/>
  <c r="J38" i="57"/>
  <c r="D46" i="57"/>
  <c r="D58" i="57"/>
  <c r="G41" i="57"/>
  <c r="J43" i="57"/>
  <c r="M42" i="57"/>
  <c r="S39" i="57"/>
  <c r="Y46" i="57"/>
  <c r="D65" i="57"/>
  <c r="D47" i="57"/>
  <c r="D59" i="57"/>
  <c r="G42" i="57"/>
  <c r="J44" i="57"/>
  <c r="M43" i="57"/>
  <c r="S40" i="57"/>
  <c r="Y47" i="57"/>
  <c r="D41" i="57"/>
  <c r="D48" i="57"/>
  <c r="D60" i="57"/>
  <c r="G48" i="57"/>
  <c r="J45" i="57"/>
  <c r="P38" i="57"/>
  <c r="V38" i="57"/>
  <c r="Y48" i="57"/>
  <c r="D53" i="57"/>
  <c r="D49" i="57"/>
  <c r="D61" i="57"/>
  <c r="G49" i="57"/>
  <c r="J46" i="57"/>
  <c r="P39" i="57"/>
  <c r="V39" i="57"/>
  <c r="Y49" i="57"/>
  <c r="D38" i="57"/>
  <c r="D50" i="57"/>
  <c r="D62" i="57"/>
  <c r="G50" i="57"/>
  <c r="J47" i="57"/>
  <c r="P40" i="57"/>
  <c r="V40" i="57"/>
  <c r="D39" i="57"/>
  <c r="D51" i="57"/>
  <c r="D63" i="57"/>
  <c r="G51" i="57"/>
  <c r="J48" i="57"/>
  <c r="P41" i="57"/>
  <c r="D40" i="57"/>
  <c r="D52" i="57"/>
  <c r="D64" i="57"/>
  <c r="G52" i="57"/>
  <c r="J49" i="57"/>
  <c r="P42" i="57"/>
  <c r="I9" i="57"/>
  <c r="AU705" i="56"/>
  <c r="AU706" i="56"/>
  <c r="C90" i="54"/>
  <c r="C99" i="54" s="1"/>
  <c r="C98" i="54"/>
  <c r="AJ2" i="55"/>
  <c r="Z29" i="61" l="1"/>
  <c r="Z33" i="61" s="1"/>
  <c r="Y29" i="61"/>
  <c r="Y33" i="61" s="1"/>
  <c r="AD4" i="61"/>
  <c r="M44" i="61"/>
  <c r="AD5" i="61"/>
  <c r="P35" i="61" s="1"/>
  <c r="V47" i="61"/>
  <c r="AD13" i="61" s="1"/>
  <c r="S41" i="61"/>
  <c r="AD11" i="61" s="1"/>
  <c r="Y50" i="61"/>
  <c r="Y40" i="61"/>
  <c r="P54" i="61"/>
  <c r="AD10" i="61" s="1"/>
  <c r="V41" i="61"/>
  <c r="P43" i="61"/>
  <c r="AD8" i="61" s="1"/>
  <c r="J51" i="61"/>
  <c r="AD6" i="61" s="1"/>
  <c r="Y29" i="59"/>
  <c r="Y33" i="59" s="1"/>
  <c r="V47" i="59"/>
  <c r="AD13" i="59" s="1"/>
  <c r="D67" i="59"/>
  <c r="AD4" i="59" s="1"/>
  <c r="Z29" i="59"/>
  <c r="Z33" i="59" s="1"/>
  <c r="G53" i="59"/>
  <c r="AD5" i="59" s="1"/>
  <c r="P43" i="59"/>
  <c r="AD8" i="59" s="1"/>
  <c r="M44" i="59"/>
  <c r="V41" i="59"/>
  <c r="S41" i="59"/>
  <c r="AD11" i="59" s="1"/>
  <c r="Y50" i="59"/>
  <c r="J51" i="59"/>
  <c r="AD6" i="59" s="1"/>
  <c r="Y40" i="59"/>
  <c r="P54" i="59"/>
  <c r="AD10" i="59" s="1"/>
  <c r="G53" i="57"/>
  <c r="AD5" i="57" s="1"/>
  <c r="Y40" i="57"/>
  <c r="J15" i="57" s="1"/>
  <c r="V47" i="57"/>
  <c r="AD13" i="57" s="1"/>
  <c r="P54" i="57"/>
  <c r="AD10" i="57" s="1"/>
  <c r="M44" i="57"/>
  <c r="AD7" i="57" s="1"/>
  <c r="J51" i="57"/>
  <c r="AD6" i="57" s="1"/>
  <c r="Y50" i="57"/>
  <c r="J16" i="57" s="1"/>
  <c r="V41" i="57"/>
  <c r="AD12" i="57" s="1"/>
  <c r="S41" i="57"/>
  <c r="AD11" i="57" s="1"/>
  <c r="P43" i="57"/>
  <c r="AD8" i="57" s="1"/>
  <c r="D67" i="57"/>
  <c r="AD4" i="57" s="1"/>
  <c r="G28" i="54"/>
  <c r="G27" i="54"/>
  <c r="D11" i="54"/>
  <c r="E11" i="54"/>
  <c r="D22" i="30"/>
  <c r="E17" i="35"/>
  <c r="D17" i="35"/>
  <c r="J13" i="61" l="1"/>
  <c r="J12" i="61"/>
  <c r="AD7" i="61"/>
  <c r="J14" i="61"/>
  <c r="AD12" i="61"/>
  <c r="J15" i="61"/>
  <c r="AD14" i="61"/>
  <c r="J16" i="61"/>
  <c r="AD15" i="61"/>
  <c r="J13" i="59"/>
  <c r="J12" i="59"/>
  <c r="AD14" i="59"/>
  <c r="J15" i="59"/>
  <c r="AD15" i="59"/>
  <c r="J16" i="59"/>
  <c r="J14" i="59"/>
  <c r="AD12" i="59"/>
  <c r="AD7" i="59"/>
  <c r="J12" i="57"/>
  <c r="AD14" i="57"/>
  <c r="J13" i="57"/>
  <c r="AD15" i="57"/>
  <c r="J14" i="57"/>
  <c r="AL633" i="55"/>
  <c r="AJ574" i="55"/>
  <c r="AL767" i="55"/>
  <c r="AJ767" i="55"/>
  <c r="AL766" i="55"/>
  <c r="AJ766" i="55"/>
  <c r="AL765" i="55"/>
  <c r="AJ765" i="55"/>
  <c r="AL764" i="55"/>
  <c r="AJ764" i="55"/>
  <c r="AL763" i="55"/>
  <c r="AJ763" i="55"/>
  <c r="AL762" i="55"/>
  <c r="AJ762" i="55"/>
  <c r="AL761" i="55"/>
  <c r="AJ761" i="55"/>
  <c r="AL760" i="55"/>
  <c r="AJ760" i="55"/>
  <c r="AL759" i="55"/>
  <c r="AJ759" i="55"/>
  <c r="AL758" i="55"/>
  <c r="AJ758" i="55"/>
  <c r="AL757" i="55"/>
  <c r="AJ757" i="55"/>
  <c r="AL756" i="55"/>
  <c r="AJ756" i="55"/>
  <c r="AL755" i="55"/>
  <c r="AJ755" i="55"/>
  <c r="AL754" i="55"/>
  <c r="AJ754" i="55"/>
  <c r="AL753" i="55"/>
  <c r="AJ753" i="55"/>
  <c r="AL752" i="55"/>
  <c r="AJ752" i="55"/>
  <c r="AL751" i="55"/>
  <c r="AJ751" i="55"/>
  <c r="AL750" i="55"/>
  <c r="AJ750" i="55"/>
  <c r="AL749" i="55"/>
  <c r="AJ749" i="55"/>
  <c r="AL748" i="55"/>
  <c r="AJ748" i="55"/>
  <c r="AL747" i="55"/>
  <c r="AJ747" i="55"/>
  <c r="AL746" i="55"/>
  <c r="AJ746" i="55"/>
  <c r="AL745" i="55"/>
  <c r="AJ745" i="55"/>
  <c r="AL744" i="55"/>
  <c r="AJ744" i="55"/>
  <c r="AL743" i="55"/>
  <c r="AJ743" i="55"/>
  <c r="AL742" i="55"/>
  <c r="AJ742" i="55"/>
  <c r="AL741" i="55"/>
  <c r="AJ741" i="55"/>
  <c r="AL740" i="55"/>
  <c r="AJ740" i="55"/>
  <c r="AL739" i="55"/>
  <c r="AJ739" i="55"/>
  <c r="AL738" i="55"/>
  <c r="AJ738" i="55"/>
  <c r="AL737" i="55"/>
  <c r="AJ737" i="55"/>
  <c r="AL736" i="55"/>
  <c r="AJ736" i="55"/>
  <c r="AL735" i="55"/>
  <c r="AJ735" i="55"/>
  <c r="AL734" i="55"/>
  <c r="AJ734" i="55"/>
  <c r="AL733" i="55"/>
  <c r="AJ733" i="55"/>
  <c r="AL732" i="55"/>
  <c r="AJ732" i="55"/>
  <c r="AL731" i="55"/>
  <c r="AJ731" i="55"/>
  <c r="AL730" i="55"/>
  <c r="AJ730" i="55"/>
  <c r="AL729" i="55"/>
  <c r="AJ729" i="55"/>
  <c r="AL728" i="55"/>
  <c r="AJ728" i="55"/>
  <c r="AL727" i="55"/>
  <c r="AJ727" i="55"/>
  <c r="AL726" i="55"/>
  <c r="AJ726" i="55"/>
  <c r="AL725" i="55"/>
  <c r="AJ725" i="55"/>
  <c r="AL724" i="55"/>
  <c r="AJ724" i="55"/>
  <c r="AL723" i="55"/>
  <c r="AJ723" i="55"/>
  <c r="AL722" i="55"/>
  <c r="AJ722" i="55"/>
  <c r="AL721" i="55"/>
  <c r="AJ721" i="55"/>
  <c r="AL720" i="55"/>
  <c r="AJ720" i="55"/>
  <c r="AL719" i="55"/>
  <c r="AJ719" i="55"/>
  <c r="AL718" i="55"/>
  <c r="AJ718" i="55"/>
  <c r="AL717" i="55"/>
  <c r="AJ717" i="55"/>
  <c r="AL716" i="55"/>
  <c r="AJ716" i="55"/>
  <c r="AL715" i="55"/>
  <c r="AJ715" i="55"/>
  <c r="AL714" i="55"/>
  <c r="AJ714" i="55"/>
  <c r="AL713" i="55"/>
  <c r="AJ713" i="55"/>
  <c r="AL712" i="55"/>
  <c r="AJ712" i="55"/>
  <c r="AL711" i="55"/>
  <c r="AJ711" i="55"/>
  <c r="AL710" i="55"/>
  <c r="AJ710" i="55"/>
  <c r="AL709" i="55"/>
  <c r="AJ709" i="55"/>
  <c r="AL708" i="55"/>
  <c r="AJ708" i="55"/>
  <c r="AL707" i="55"/>
  <c r="AJ707" i="55"/>
  <c r="AL706" i="55"/>
  <c r="AJ706" i="55"/>
  <c r="AL705" i="55"/>
  <c r="AJ705" i="55"/>
  <c r="AL704" i="55"/>
  <c r="AJ704" i="55"/>
  <c r="AL703" i="55"/>
  <c r="AJ703" i="55"/>
  <c r="AL702" i="55"/>
  <c r="AJ702" i="55"/>
  <c r="AL701" i="55"/>
  <c r="AJ701" i="55"/>
  <c r="AL700" i="55"/>
  <c r="AJ700" i="55"/>
  <c r="AL699" i="55"/>
  <c r="AJ699" i="55"/>
  <c r="AL698" i="55"/>
  <c r="AJ698" i="55"/>
  <c r="AL697" i="55"/>
  <c r="AJ697" i="55"/>
  <c r="AL696" i="55"/>
  <c r="AJ696" i="55"/>
  <c r="AL695" i="55"/>
  <c r="AJ695" i="55"/>
  <c r="AL694" i="55"/>
  <c r="AJ694" i="55"/>
  <c r="AL693" i="55"/>
  <c r="AJ693" i="55"/>
  <c r="AL692" i="55"/>
  <c r="AJ692" i="55"/>
  <c r="AL691" i="55"/>
  <c r="AJ691" i="55"/>
  <c r="AL690" i="55"/>
  <c r="AJ690" i="55"/>
  <c r="AL689" i="55"/>
  <c r="AJ689" i="55"/>
  <c r="AL688" i="55"/>
  <c r="AJ688" i="55"/>
  <c r="AL687" i="55"/>
  <c r="AJ687" i="55"/>
  <c r="AL686" i="55"/>
  <c r="AJ686" i="55"/>
  <c r="AL685" i="55"/>
  <c r="AJ685" i="55"/>
  <c r="AL684" i="55"/>
  <c r="AJ684" i="55"/>
  <c r="AL683" i="55"/>
  <c r="AJ683" i="55"/>
  <c r="AL682" i="55"/>
  <c r="AJ682" i="55"/>
  <c r="AL681" i="55"/>
  <c r="AJ681" i="55"/>
  <c r="AL680" i="55"/>
  <c r="AJ680" i="55"/>
  <c r="AL679" i="55"/>
  <c r="AJ679" i="55"/>
  <c r="AL678" i="55"/>
  <c r="AJ678" i="55"/>
  <c r="AL677" i="55"/>
  <c r="AJ677" i="55"/>
  <c r="AL676" i="55"/>
  <c r="AJ676" i="55"/>
  <c r="AL675" i="55"/>
  <c r="AJ675" i="55"/>
  <c r="AL674" i="55"/>
  <c r="AJ674" i="55"/>
  <c r="AL673" i="55"/>
  <c r="AJ673" i="55"/>
  <c r="AL672" i="55"/>
  <c r="AJ672" i="55"/>
  <c r="AL671" i="55"/>
  <c r="AJ671" i="55"/>
  <c r="AL670" i="55"/>
  <c r="AJ670" i="55"/>
  <c r="AL669" i="55"/>
  <c r="AJ669" i="55"/>
  <c r="AL668" i="55"/>
  <c r="AJ668" i="55"/>
  <c r="AL667" i="55"/>
  <c r="AJ667" i="55"/>
  <c r="AL666" i="55"/>
  <c r="AJ666" i="55"/>
  <c r="AL665" i="55"/>
  <c r="AJ665" i="55"/>
  <c r="AL664" i="55"/>
  <c r="AJ664" i="55"/>
  <c r="AL663" i="55"/>
  <c r="AJ663" i="55"/>
  <c r="AL662" i="55"/>
  <c r="AJ662" i="55"/>
  <c r="AL661" i="55"/>
  <c r="AJ661" i="55"/>
  <c r="AL660" i="55"/>
  <c r="AJ660" i="55"/>
  <c r="AL659" i="55"/>
  <c r="AJ659" i="55"/>
  <c r="AL658" i="55"/>
  <c r="AJ658" i="55"/>
  <c r="AL657" i="55"/>
  <c r="AJ657" i="55"/>
  <c r="AL656" i="55"/>
  <c r="AJ656" i="55"/>
  <c r="AL655" i="55"/>
  <c r="AJ655" i="55"/>
  <c r="AL654" i="55"/>
  <c r="AJ654" i="55"/>
  <c r="AL653" i="55"/>
  <c r="AJ653" i="55"/>
  <c r="AL652" i="55"/>
  <c r="AJ652" i="55"/>
  <c r="AL651" i="55"/>
  <c r="AJ651" i="55"/>
  <c r="AL650" i="55"/>
  <c r="AJ650" i="55"/>
  <c r="AL649" i="55"/>
  <c r="AJ649" i="55"/>
  <c r="AL648" i="55"/>
  <c r="AJ648" i="55"/>
  <c r="AL647" i="55"/>
  <c r="AJ647" i="55"/>
  <c r="AL646" i="55"/>
  <c r="AJ646" i="55"/>
  <c r="AL645" i="55"/>
  <c r="AJ645" i="55"/>
  <c r="AL644" i="55"/>
  <c r="AJ644" i="55"/>
  <c r="AL643" i="55"/>
  <c r="AJ643" i="55"/>
  <c r="AL642" i="55"/>
  <c r="AJ642" i="55"/>
  <c r="AL641" i="55"/>
  <c r="AJ641" i="55"/>
  <c r="AL640" i="55"/>
  <c r="AJ640" i="55"/>
  <c r="AL639" i="55"/>
  <c r="AJ639" i="55"/>
  <c r="AL638" i="55"/>
  <c r="AJ638" i="55"/>
  <c r="AL637" i="55"/>
  <c r="AJ637" i="55"/>
  <c r="AL636" i="55"/>
  <c r="AJ636" i="55"/>
  <c r="AL635" i="55"/>
  <c r="AJ635" i="55"/>
  <c r="AL634" i="55"/>
  <c r="AJ634" i="55"/>
  <c r="AJ633" i="55"/>
  <c r="AL632" i="55"/>
  <c r="AJ632" i="55"/>
  <c r="AL631" i="55"/>
  <c r="AJ631" i="55"/>
  <c r="AL630" i="55"/>
  <c r="AJ630" i="55"/>
  <c r="AL629" i="55"/>
  <c r="AJ629" i="55"/>
  <c r="AL628" i="55"/>
  <c r="AJ628" i="55"/>
  <c r="AL627" i="55"/>
  <c r="AJ627" i="55"/>
  <c r="AL626" i="55"/>
  <c r="AJ626" i="55"/>
  <c r="AL625" i="55"/>
  <c r="AJ625" i="55"/>
  <c r="AL624" i="55"/>
  <c r="AJ624" i="55"/>
  <c r="AL623" i="55"/>
  <c r="AJ623" i="55"/>
  <c r="AL622" i="55"/>
  <c r="AJ622" i="55"/>
  <c r="AL621" i="55"/>
  <c r="AJ621" i="55"/>
  <c r="AL620" i="55"/>
  <c r="AJ620" i="55"/>
  <c r="AL619" i="55"/>
  <c r="AJ619" i="55"/>
  <c r="AL618" i="55"/>
  <c r="AJ618" i="55"/>
  <c r="AL617" i="55"/>
  <c r="AJ617" i="55"/>
  <c r="AL616" i="55"/>
  <c r="AJ616" i="55"/>
  <c r="AL615" i="55"/>
  <c r="AJ615" i="55"/>
  <c r="AL614" i="55"/>
  <c r="AJ614" i="55"/>
  <c r="AL613" i="55"/>
  <c r="AJ613" i="55"/>
  <c r="AL612" i="55"/>
  <c r="AJ612" i="55"/>
  <c r="AL611" i="55"/>
  <c r="AJ611" i="55"/>
  <c r="AL610" i="55"/>
  <c r="AJ610" i="55"/>
  <c r="AL609" i="55"/>
  <c r="AJ609" i="55"/>
  <c r="AL608" i="55"/>
  <c r="AJ608" i="55"/>
  <c r="AL607" i="55"/>
  <c r="AJ607" i="55"/>
  <c r="AL606" i="55"/>
  <c r="AJ606" i="55"/>
  <c r="AL605" i="55"/>
  <c r="AJ605" i="55"/>
  <c r="AL604" i="55"/>
  <c r="AJ604" i="55"/>
  <c r="AL603" i="55"/>
  <c r="AJ603" i="55"/>
  <c r="AL602" i="55"/>
  <c r="AJ602" i="55"/>
  <c r="AL601" i="55"/>
  <c r="AJ601" i="55"/>
  <c r="AL600" i="55"/>
  <c r="AJ600" i="55"/>
  <c r="AL599" i="55"/>
  <c r="AJ599" i="55"/>
  <c r="AL598" i="55"/>
  <c r="AJ598" i="55"/>
  <c r="AL597" i="55"/>
  <c r="AJ597" i="55"/>
  <c r="AL596" i="55"/>
  <c r="AJ596" i="55"/>
  <c r="AL595" i="55"/>
  <c r="AJ595" i="55"/>
  <c r="AL594" i="55"/>
  <c r="AJ594" i="55"/>
  <c r="AL593" i="55"/>
  <c r="AJ593" i="55"/>
  <c r="AL592" i="55"/>
  <c r="AJ592" i="55"/>
  <c r="AL591" i="55"/>
  <c r="AJ591" i="55"/>
  <c r="AL590" i="55"/>
  <c r="AJ590" i="55"/>
  <c r="AL589" i="55"/>
  <c r="AJ589" i="55"/>
  <c r="AL588" i="55"/>
  <c r="AJ588" i="55"/>
  <c r="AL587" i="55"/>
  <c r="AJ587" i="55"/>
  <c r="AL586" i="55"/>
  <c r="AJ586" i="55"/>
  <c r="AL585" i="55"/>
  <c r="AJ585" i="55"/>
  <c r="AL584" i="55"/>
  <c r="AJ584" i="55"/>
  <c r="AL583" i="55"/>
  <c r="AJ583" i="55"/>
  <c r="AL582" i="55"/>
  <c r="AJ582" i="55"/>
  <c r="AL581" i="55"/>
  <c r="AJ581" i="55"/>
  <c r="AL580" i="55"/>
  <c r="AJ580" i="55"/>
  <c r="AL579" i="55"/>
  <c r="AJ579" i="55"/>
  <c r="AL578" i="55"/>
  <c r="AJ578" i="55"/>
  <c r="AL577" i="55"/>
  <c r="AJ577" i="55"/>
  <c r="AL576" i="55"/>
  <c r="AJ576" i="55"/>
  <c r="AL575" i="55"/>
  <c r="AJ575" i="55"/>
  <c r="AL574" i="55"/>
  <c r="AL573" i="55"/>
  <c r="AJ573" i="55"/>
  <c r="AL572" i="55"/>
  <c r="AJ572" i="55"/>
  <c r="AL571" i="55"/>
  <c r="AJ571" i="55"/>
  <c r="AL570" i="55"/>
  <c r="AJ570" i="55"/>
  <c r="AJ569" i="55"/>
  <c r="AL569" i="55"/>
  <c r="J17" i="61" l="1"/>
  <c r="L2" i="61" s="1"/>
  <c r="AE10" i="61"/>
  <c r="AE8" i="61"/>
  <c r="AE15" i="61"/>
  <c r="AE9" i="61"/>
  <c r="AD16" i="61"/>
  <c r="AE7" i="61"/>
  <c r="M2" i="61"/>
  <c r="AE11" i="61"/>
  <c r="AE14" i="61"/>
  <c r="AE4" i="61"/>
  <c r="AE6" i="61"/>
  <c r="AE12" i="61"/>
  <c r="AE5" i="61"/>
  <c r="AE13" i="61"/>
  <c r="AE12" i="59"/>
  <c r="AE5" i="59"/>
  <c r="AE6" i="59"/>
  <c r="AD16" i="59"/>
  <c r="AE14" i="59"/>
  <c r="AE15" i="59"/>
  <c r="J17" i="59"/>
  <c r="L2" i="59" s="1"/>
  <c r="AE8" i="59"/>
  <c r="AE9" i="59"/>
  <c r="AE11" i="59"/>
  <c r="AE10" i="59"/>
  <c r="AE4" i="59"/>
  <c r="AE13" i="59"/>
  <c r="P35" i="59"/>
  <c r="M2" i="59" s="1"/>
  <c r="AE7" i="59"/>
  <c r="AE14" i="57"/>
  <c r="AE12" i="57"/>
  <c r="AE13" i="57"/>
  <c r="AD16" i="57"/>
  <c r="AE9" i="57"/>
  <c r="AE10" i="57"/>
  <c r="AE5" i="57"/>
  <c r="AE15" i="57"/>
  <c r="AE6" i="57"/>
  <c r="AE7" i="57"/>
  <c r="AE4" i="57"/>
  <c r="AE8" i="57"/>
  <c r="P35" i="57"/>
  <c r="M2" i="57" s="1"/>
  <c r="AE11" i="57"/>
  <c r="J17" i="57"/>
  <c r="L2" i="57" s="1"/>
  <c r="K74" i="54"/>
  <c r="AF14" i="61" l="1"/>
  <c r="AG9" i="61"/>
  <c r="AG8" i="61"/>
  <c r="AG10" i="61"/>
  <c r="AF6" i="61"/>
  <c r="AG5" i="61"/>
  <c r="AF11" i="61"/>
  <c r="AF5" i="61"/>
  <c r="AF9" i="61"/>
  <c r="AF10" i="61"/>
  <c r="AG4" i="61"/>
  <c r="AG12" i="61"/>
  <c r="AG14" i="61"/>
  <c r="AG7" i="61"/>
  <c r="AF7" i="61"/>
  <c r="AG15" i="61"/>
  <c r="AF13" i="61"/>
  <c r="AG6" i="61"/>
  <c r="AG13" i="61"/>
  <c r="AF12" i="61"/>
  <c r="AF8" i="61"/>
  <c r="AF4" i="61"/>
  <c r="AF15" i="61"/>
  <c r="AG11" i="61"/>
  <c r="AG8" i="59"/>
  <c r="AG10" i="59"/>
  <c r="AG7" i="59"/>
  <c r="AF15" i="59"/>
  <c r="AF4" i="59"/>
  <c r="AF6" i="59"/>
  <c r="AG5" i="59"/>
  <c r="AF14" i="59"/>
  <c r="AG6" i="59"/>
  <c r="AF13" i="59"/>
  <c r="AF7" i="59"/>
  <c r="AG13" i="59"/>
  <c r="AG9" i="59"/>
  <c r="AG12" i="59"/>
  <c r="AG11" i="59"/>
  <c r="AF11" i="59"/>
  <c r="AG15" i="59"/>
  <c r="AF5" i="59"/>
  <c r="AG14" i="59"/>
  <c r="AF12" i="59"/>
  <c r="AG4" i="59"/>
  <c r="AF9" i="59"/>
  <c r="AF8" i="59"/>
  <c r="AF10" i="59"/>
  <c r="AG15" i="57"/>
  <c r="AG6" i="57"/>
  <c r="AF4" i="57"/>
  <c r="AG7" i="57"/>
  <c r="AF6" i="57"/>
  <c r="AG8" i="57"/>
  <c r="AF8" i="57"/>
  <c r="AG5" i="57"/>
  <c r="AF7" i="57"/>
  <c r="AF5" i="57"/>
  <c r="AF12" i="57"/>
  <c r="AF11" i="57"/>
  <c r="AG12" i="57"/>
  <c r="AG13" i="57"/>
  <c r="AG10" i="57"/>
  <c r="AG11" i="57"/>
  <c r="AG9" i="57"/>
  <c r="AF9" i="57"/>
  <c r="AG14" i="57"/>
  <c r="AF14" i="57"/>
  <c r="AF13" i="57"/>
  <c r="AF15" i="57"/>
  <c r="AF10" i="57"/>
  <c r="AG4" i="57"/>
  <c r="AB37" i="53"/>
  <c r="AB33" i="53"/>
  <c r="AB31" i="53"/>
  <c r="AB30" i="53"/>
  <c r="AB29" i="53"/>
  <c r="I4" i="54"/>
  <c r="AL568" i="55"/>
  <c r="AJ4" i="55"/>
  <c r="AJ3" i="55"/>
  <c r="AJ568" i="55"/>
  <c r="AJ567" i="55"/>
  <c r="AJ566" i="55"/>
  <c r="AJ565" i="55"/>
  <c r="AJ564" i="55"/>
  <c r="AJ563" i="55"/>
  <c r="AJ562" i="55"/>
  <c r="AJ561" i="55"/>
  <c r="AJ560" i="55"/>
  <c r="AJ559" i="55"/>
  <c r="AJ558" i="55"/>
  <c r="AJ557" i="55"/>
  <c r="AJ556" i="55"/>
  <c r="AJ555" i="55"/>
  <c r="AJ554" i="55"/>
  <c r="AJ553" i="55"/>
  <c r="AJ552" i="55"/>
  <c r="AJ551" i="55"/>
  <c r="AJ550" i="55"/>
  <c r="AJ549" i="55"/>
  <c r="AJ548" i="55"/>
  <c r="AJ547" i="55"/>
  <c r="AJ546" i="55"/>
  <c r="AJ545" i="55"/>
  <c r="AJ544" i="55"/>
  <c r="AJ543" i="55"/>
  <c r="AJ542" i="55"/>
  <c r="AJ541" i="55"/>
  <c r="AJ540" i="55"/>
  <c r="AJ539" i="55"/>
  <c r="AJ538" i="55"/>
  <c r="AJ537" i="55"/>
  <c r="AJ536" i="55"/>
  <c r="AJ535" i="55"/>
  <c r="AJ534" i="55"/>
  <c r="AJ533" i="55"/>
  <c r="AJ532" i="55"/>
  <c r="AJ531" i="55"/>
  <c r="AJ530" i="55"/>
  <c r="AJ529" i="55"/>
  <c r="AJ528" i="55"/>
  <c r="AJ527" i="55"/>
  <c r="AJ526" i="55"/>
  <c r="AJ525" i="55"/>
  <c r="AJ524" i="55"/>
  <c r="AJ523" i="55"/>
  <c r="AJ522" i="55"/>
  <c r="AJ521" i="55"/>
  <c r="AJ520" i="55"/>
  <c r="AJ519" i="55"/>
  <c r="AJ518" i="55"/>
  <c r="AJ517" i="55"/>
  <c r="AJ516" i="55"/>
  <c r="AJ515" i="55"/>
  <c r="AJ514" i="55"/>
  <c r="AJ513" i="55"/>
  <c r="AJ512" i="55"/>
  <c r="AJ511" i="55"/>
  <c r="AJ510" i="55"/>
  <c r="AJ509" i="55"/>
  <c r="AJ508" i="55"/>
  <c r="AJ507" i="55"/>
  <c r="AJ506" i="55"/>
  <c r="AJ505" i="55"/>
  <c r="AJ504" i="55"/>
  <c r="AJ503" i="55"/>
  <c r="AJ502" i="55"/>
  <c r="AJ501" i="55"/>
  <c r="AJ500" i="55"/>
  <c r="AJ499" i="55"/>
  <c r="AJ498" i="55"/>
  <c r="AJ497" i="55"/>
  <c r="AJ496" i="55"/>
  <c r="AJ495" i="55"/>
  <c r="AJ494" i="55"/>
  <c r="AJ493" i="55"/>
  <c r="AJ492" i="55"/>
  <c r="AJ491" i="55"/>
  <c r="AJ490" i="55"/>
  <c r="AJ489" i="55"/>
  <c r="AJ488" i="55"/>
  <c r="AJ487" i="55"/>
  <c r="AJ486" i="55"/>
  <c r="AJ485" i="55"/>
  <c r="AJ484" i="55"/>
  <c r="AJ483" i="55"/>
  <c r="AJ482" i="55"/>
  <c r="AJ481" i="55"/>
  <c r="AJ480" i="55"/>
  <c r="AJ479" i="55"/>
  <c r="AJ478" i="55"/>
  <c r="AJ477" i="55"/>
  <c r="AJ476" i="55"/>
  <c r="AJ475" i="55"/>
  <c r="AJ474" i="55"/>
  <c r="AJ473" i="55"/>
  <c r="AJ472" i="55"/>
  <c r="AJ471" i="55"/>
  <c r="AJ470" i="55"/>
  <c r="AJ469" i="55"/>
  <c r="AJ468" i="55"/>
  <c r="AJ467" i="55"/>
  <c r="AJ466" i="55"/>
  <c r="AJ465" i="55"/>
  <c r="AJ464" i="55"/>
  <c r="AJ463" i="55"/>
  <c r="AJ462" i="55"/>
  <c r="AJ461" i="55"/>
  <c r="AJ460" i="55"/>
  <c r="AJ459" i="55"/>
  <c r="AJ458" i="55"/>
  <c r="AJ457" i="55"/>
  <c r="AJ456" i="55"/>
  <c r="AJ455" i="55"/>
  <c r="AJ454" i="55"/>
  <c r="AJ453" i="55"/>
  <c r="AJ452" i="55"/>
  <c r="AJ451" i="55"/>
  <c r="AJ450" i="55"/>
  <c r="AJ449" i="55"/>
  <c r="AJ448" i="55"/>
  <c r="AJ447" i="55"/>
  <c r="AJ446" i="55"/>
  <c r="AJ445" i="55"/>
  <c r="AJ444" i="55"/>
  <c r="AJ443" i="55"/>
  <c r="AJ442" i="55"/>
  <c r="AJ441" i="55"/>
  <c r="AJ440" i="55"/>
  <c r="AJ439" i="55"/>
  <c r="AJ438" i="55"/>
  <c r="AJ437" i="55"/>
  <c r="AJ436" i="55"/>
  <c r="AJ435" i="55"/>
  <c r="AJ434" i="55"/>
  <c r="AJ433" i="55"/>
  <c r="AJ432" i="55"/>
  <c r="AJ431" i="55"/>
  <c r="AJ430" i="55"/>
  <c r="AJ429" i="55"/>
  <c r="AJ428" i="55"/>
  <c r="AJ427" i="55"/>
  <c r="AJ426" i="55"/>
  <c r="AJ425" i="55"/>
  <c r="AJ424" i="55"/>
  <c r="AJ423" i="55"/>
  <c r="AJ422" i="55"/>
  <c r="AJ421" i="55"/>
  <c r="AJ420" i="55"/>
  <c r="AJ419" i="55"/>
  <c r="AJ418" i="55"/>
  <c r="AJ417" i="55"/>
  <c r="AJ416" i="55"/>
  <c r="AJ415" i="55"/>
  <c r="AJ414" i="55"/>
  <c r="AJ413" i="55"/>
  <c r="AJ412" i="55"/>
  <c r="AJ411" i="55"/>
  <c r="AJ410" i="55"/>
  <c r="AJ409" i="55"/>
  <c r="AJ408" i="55"/>
  <c r="AJ407" i="55"/>
  <c r="AJ406" i="55"/>
  <c r="AJ405" i="55"/>
  <c r="AJ404" i="55"/>
  <c r="AJ403" i="55"/>
  <c r="AJ402" i="55"/>
  <c r="AJ401" i="55"/>
  <c r="AJ400" i="55"/>
  <c r="AJ399" i="55"/>
  <c r="AJ398" i="55"/>
  <c r="AJ397" i="55"/>
  <c r="AJ396" i="55"/>
  <c r="AJ395" i="55"/>
  <c r="AJ394" i="55"/>
  <c r="AJ393" i="55"/>
  <c r="AJ392" i="55"/>
  <c r="AJ391" i="55"/>
  <c r="AJ390" i="55"/>
  <c r="AJ389" i="55"/>
  <c r="AJ388" i="55"/>
  <c r="AJ387" i="55"/>
  <c r="AJ386" i="55"/>
  <c r="AJ385" i="55"/>
  <c r="AJ384" i="55"/>
  <c r="AJ383" i="55"/>
  <c r="AJ382" i="55"/>
  <c r="AJ381" i="55"/>
  <c r="AJ380" i="55"/>
  <c r="AJ379" i="55"/>
  <c r="AJ378" i="55"/>
  <c r="AJ377" i="55"/>
  <c r="AJ376" i="55"/>
  <c r="AJ375" i="55"/>
  <c r="AJ374" i="55"/>
  <c r="AJ373" i="55"/>
  <c r="AJ372" i="55"/>
  <c r="AJ371" i="55"/>
  <c r="AJ370" i="55"/>
  <c r="AJ369" i="55"/>
  <c r="AJ368" i="55"/>
  <c r="AJ367" i="55"/>
  <c r="AJ366" i="55"/>
  <c r="AJ365" i="55"/>
  <c r="AJ364" i="55"/>
  <c r="AJ363" i="55"/>
  <c r="AJ362" i="55"/>
  <c r="AJ361" i="55"/>
  <c r="AJ360" i="55"/>
  <c r="AJ359" i="55"/>
  <c r="AJ358" i="55"/>
  <c r="AJ357" i="55"/>
  <c r="AJ356" i="55"/>
  <c r="AJ355" i="55"/>
  <c r="AJ354" i="55"/>
  <c r="AJ353" i="55"/>
  <c r="AJ352" i="55"/>
  <c r="AJ351" i="55"/>
  <c r="AJ350" i="55"/>
  <c r="AJ349" i="55"/>
  <c r="AJ348" i="55"/>
  <c r="AJ347" i="55"/>
  <c r="AJ346" i="55"/>
  <c r="AJ345" i="55"/>
  <c r="AJ344" i="55"/>
  <c r="AJ343" i="55"/>
  <c r="AJ342" i="55"/>
  <c r="AJ341" i="55"/>
  <c r="AJ340" i="55"/>
  <c r="AJ339" i="55"/>
  <c r="AJ338" i="55"/>
  <c r="AJ337" i="55"/>
  <c r="AJ336" i="55"/>
  <c r="AJ335" i="55"/>
  <c r="AJ334" i="55"/>
  <c r="AJ333" i="55"/>
  <c r="AJ332" i="55"/>
  <c r="AJ331" i="55"/>
  <c r="AJ330" i="55"/>
  <c r="AJ329" i="55"/>
  <c r="AJ328" i="55"/>
  <c r="AJ327" i="55"/>
  <c r="AJ326" i="55"/>
  <c r="AJ325" i="55"/>
  <c r="AJ324" i="55"/>
  <c r="AJ323" i="55"/>
  <c r="AJ322" i="55"/>
  <c r="AJ321" i="55"/>
  <c r="AJ320" i="55"/>
  <c r="AJ319" i="55"/>
  <c r="AJ318" i="55"/>
  <c r="AJ317" i="55"/>
  <c r="AJ316" i="55"/>
  <c r="AJ315" i="55"/>
  <c r="AJ314" i="55"/>
  <c r="AJ313" i="55"/>
  <c r="AJ312" i="55"/>
  <c r="AJ311" i="55"/>
  <c r="AJ310" i="55"/>
  <c r="AJ309" i="55"/>
  <c r="AJ308" i="55"/>
  <c r="AJ307" i="55"/>
  <c r="AJ306" i="55"/>
  <c r="AJ305" i="55"/>
  <c r="AJ304" i="55"/>
  <c r="AJ303" i="55"/>
  <c r="AJ302" i="55"/>
  <c r="AJ301" i="55"/>
  <c r="AJ300" i="55"/>
  <c r="AJ299" i="55"/>
  <c r="AJ298" i="55"/>
  <c r="AJ297" i="55"/>
  <c r="AJ296" i="55"/>
  <c r="AJ295" i="55"/>
  <c r="AJ294" i="55"/>
  <c r="AJ293" i="55"/>
  <c r="AJ292" i="55"/>
  <c r="AJ291" i="55"/>
  <c r="AJ290" i="55"/>
  <c r="AJ289" i="55"/>
  <c r="AJ288" i="55"/>
  <c r="AJ287" i="55"/>
  <c r="AJ286" i="55"/>
  <c r="AJ285" i="55"/>
  <c r="AJ284" i="55"/>
  <c r="AJ283" i="55"/>
  <c r="AJ282" i="55"/>
  <c r="AJ281" i="55"/>
  <c r="AJ280" i="55"/>
  <c r="AJ279" i="55"/>
  <c r="AJ278" i="55"/>
  <c r="AJ277" i="55"/>
  <c r="AJ276" i="55"/>
  <c r="AJ275" i="55"/>
  <c r="AJ274" i="55"/>
  <c r="AJ273" i="55"/>
  <c r="AJ272" i="55"/>
  <c r="AJ271" i="55"/>
  <c r="AJ270" i="55"/>
  <c r="AJ269" i="55"/>
  <c r="AJ268" i="55"/>
  <c r="AJ267" i="55"/>
  <c r="AJ266" i="55"/>
  <c r="AJ265" i="55"/>
  <c r="AJ264" i="55"/>
  <c r="AJ263" i="55"/>
  <c r="AJ262" i="55"/>
  <c r="AJ261" i="55"/>
  <c r="AJ260" i="55"/>
  <c r="AJ259" i="55"/>
  <c r="AJ258" i="55"/>
  <c r="AJ257" i="55"/>
  <c r="AJ256" i="55"/>
  <c r="AJ255" i="55"/>
  <c r="AJ254" i="55"/>
  <c r="AJ253" i="55"/>
  <c r="AJ252" i="55"/>
  <c r="AJ251" i="55"/>
  <c r="AJ250" i="55"/>
  <c r="AJ249" i="55"/>
  <c r="AJ248" i="55"/>
  <c r="AJ247" i="55"/>
  <c r="AJ246" i="55"/>
  <c r="AJ245" i="55"/>
  <c r="AJ244" i="55"/>
  <c r="AJ243" i="55"/>
  <c r="AJ242" i="55"/>
  <c r="AJ241" i="55"/>
  <c r="AJ240" i="55"/>
  <c r="AJ239" i="55"/>
  <c r="AJ238" i="55"/>
  <c r="AJ237" i="55"/>
  <c r="AJ236" i="55"/>
  <c r="AJ235" i="55"/>
  <c r="AJ234" i="55"/>
  <c r="AJ233" i="55"/>
  <c r="AJ232" i="55"/>
  <c r="AJ231" i="55"/>
  <c r="AJ230" i="55"/>
  <c r="AJ229" i="55"/>
  <c r="AJ228" i="55"/>
  <c r="AJ227" i="55"/>
  <c r="AJ226" i="55"/>
  <c r="AJ225" i="55"/>
  <c r="AJ224" i="55"/>
  <c r="AJ223" i="55"/>
  <c r="AJ222" i="55"/>
  <c r="AJ221" i="55"/>
  <c r="AJ220" i="55"/>
  <c r="AJ219" i="55"/>
  <c r="AJ218" i="55"/>
  <c r="AJ217" i="55"/>
  <c r="AJ216" i="55"/>
  <c r="AJ215" i="55"/>
  <c r="AJ214" i="55"/>
  <c r="AJ213" i="55"/>
  <c r="AJ212" i="55"/>
  <c r="AJ211" i="55"/>
  <c r="AJ210" i="55"/>
  <c r="AJ209" i="55"/>
  <c r="AJ208" i="55"/>
  <c r="AJ207" i="55"/>
  <c r="AJ206" i="55"/>
  <c r="AJ205" i="55"/>
  <c r="AJ204" i="55"/>
  <c r="AJ203" i="55"/>
  <c r="AJ202" i="55"/>
  <c r="AJ201" i="55"/>
  <c r="AJ200" i="55"/>
  <c r="AJ199" i="55"/>
  <c r="AJ198" i="55"/>
  <c r="AJ197" i="55"/>
  <c r="AJ196" i="55"/>
  <c r="AJ195" i="55"/>
  <c r="AJ194" i="55"/>
  <c r="AJ193" i="55"/>
  <c r="AJ192" i="55"/>
  <c r="AJ191" i="55"/>
  <c r="AJ190" i="55"/>
  <c r="AJ189" i="55"/>
  <c r="AJ188" i="55"/>
  <c r="AJ187" i="55"/>
  <c r="AJ186" i="55"/>
  <c r="AJ185" i="55"/>
  <c r="AJ184" i="55"/>
  <c r="AJ183" i="55"/>
  <c r="AJ182" i="55"/>
  <c r="AJ181" i="55"/>
  <c r="AJ180" i="55"/>
  <c r="AJ179" i="55"/>
  <c r="AJ178" i="55"/>
  <c r="AJ177" i="55"/>
  <c r="AJ176" i="55"/>
  <c r="AJ175" i="55"/>
  <c r="AJ174" i="55"/>
  <c r="AJ173" i="55"/>
  <c r="AJ172" i="55"/>
  <c r="AJ171" i="55"/>
  <c r="AJ170" i="55"/>
  <c r="AJ169" i="55"/>
  <c r="AJ168" i="55"/>
  <c r="AJ167" i="55"/>
  <c r="AJ166" i="55"/>
  <c r="AJ165" i="55"/>
  <c r="AJ164" i="55"/>
  <c r="AJ163" i="55"/>
  <c r="AJ162" i="55"/>
  <c r="AJ161" i="55"/>
  <c r="AJ160" i="55"/>
  <c r="AJ159" i="55"/>
  <c r="AJ158" i="55"/>
  <c r="AJ157" i="55"/>
  <c r="AJ156" i="55"/>
  <c r="AJ155" i="55"/>
  <c r="AJ154" i="55"/>
  <c r="AJ153" i="55"/>
  <c r="AJ152" i="55"/>
  <c r="AJ151" i="55"/>
  <c r="AJ150" i="55"/>
  <c r="AJ149" i="55"/>
  <c r="AJ148" i="55"/>
  <c r="AJ147" i="55"/>
  <c r="AJ146" i="55"/>
  <c r="AJ145" i="55"/>
  <c r="AJ144" i="55"/>
  <c r="AJ143" i="55"/>
  <c r="AJ142" i="55"/>
  <c r="AJ141" i="55"/>
  <c r="AJ140" i="55"/>
  <c r="AJ139" i="55"/>
  <c r="AJ138" i="55"/>
  <c r="AJ137" i="55"/>
  <c r="AJ136" i="55"/>
  <c r="AJ135" i="55"/>
  <c r="AJ134" i="55"/>
  <c r="AJ133" i="55"/>
  <c r="AJ132" i="55"/>
  <c r="AJ131" i="55"/>
  <c r="AJ130" i="55"/>
  <c r="AJ129" i="55"/>
  <c r="AJ128" i="55"/>
  <c r="AJ127" i="55"/>
  <c r="AJ126" i="55"/>
  <c r="AJ125" i="55"/>
  <c r="AJ124" i="55"/>
  <c r="AJ123" i="55"/>
  <c r="AJ122" i="55"/>
  <c r="AJ121" i="55"/>
  <c r="AJ120" i="55"/>
  <c r="AJ119" i="55"/>
  <c r="AJ118" i="55"/>
  <c r="AJ117" i="55"/>
  <c r="AJ116" i="55"/>
  <c r="AJ115" i="55"/>
  <c r="AJ114" i="55"/>
  <c r="AJ113" i="55"/>
  <c r="AJ112" i="55"/>
  <c r="AJ111" i="55"/>
  <c r="AJ110" i="55"/>
  <c r="AJ109" i="55"/>
  <c r="AJ108" i="55"/>
  <c r="AJ107" i="55"/>
  <c r="AJ106" i="55"/>
  <c r="AJ105" i="55"/>
  <c r="AJ104" i="55"/>
  <c r="AJ103" i="55"/>
  <c r="AJ102" i="55"/>
  <c r="AJ101" i="55"/>
  <c r="AJ100" i="55"/>
  <c r="AJ99" i="55"/>
  <c r="AJ98" i="55"/>
  <c r="AJ97" i="55"/>
  <c r="AJ96" i="55"/>
  <c r="AJ95" i="55"/>
  <c r="AJ94" i="55"/>
  <c r="AJ93" i="55"/>
  <c r="AJ92" i="55"/>
  <c r="AJ91" i="55"/>
  <c r="AJ90" i="55"/>
  <c r="AJ89" i="55"/>
  <c r="AJ88" i="55"/>
  <c r="AJ87" i="55"/>
  <c r="AJ86" i="55"/>
  <c r="AJ85" i="55"/>
  <c r="AJ84" i="55"/>
  <c r="AJ83" i="55"/>
  <c r="AJ82" i="55"/>
  <c r="AJ81" i="55"/>
  <c r="AJ80" i="55"/>
  <c r="AJ79" i="55"/>
  <c r="AJ78" i="55"/>
  <c r="AJ77" i="55"/>
  <c r="AJ76" i="55"/>
  <c r="AJ75" i="55"/>
  <c r="AJ74" i="55"/>
  <c r="AJ73" i="55"/>
  <c r="AJ72" i="55"/>
  <c r="AJ71" i="55"/>
  <c r="AJ70" i="55"/>
  <c r="AJ69" i="55"/>
  <c r="AJ68" i="55"/>
  <c r="AJ67" i="55"/>
  <c r="AJ66" i="55"/>
  <c r="AJ65" i="55"/>
  <c r="AJ64" i="55"/>
  <c r="AJ63" i="55"/>
  <c r="AJ62" i="55"/>
  <c r="AJ61" i="55"/>
  <c r="AJ60" i="55"/>
  <c r="AJ59" i="55"/>
  <c r="AJ58" i="55"/>
  <c r="AJ57" i="55"/>
  <c r="AJ56" i="55"/>
  <c r="AJ55" i="55"/>
  <c r="AJ54" i="55"/>
  <c r="AJ53" i="55"/>
  <c r="AJ52" i="55"/>
  <c r="AJ51" i="55"/>
  <c r="AJ50" i="55"/>
  <c r="AJ49" i="55"/>
  <c r="AJ48" i="55"/>
  <c r="AJ47" i="55"/>
  <c r="AJ46" i="55"/>
  <c r="AJ45" i="55"/>
  <c r="AJ44" i="55"/>
  <c r="AJ43" i="55"/>
  <c r="AJ42" i="55"/>
  <c r="AJ41" i="55"/>
  <c r="AJ40" i="55"/>
  <c r="AJ39" i="55"/>
  <c r="AJ38" i="55"/>
  <c r="AJ37" i="55"/>
  <c r="AJ36" i="55"/>
  <c r="AJ35" i="55"/>
  <c r="AJ34" i="55"/>
  <c r="AJ33" i="55"/>
  <c r="AJ32" i="55"/>
  <c r="AJ31" i="55"/>
  <c r="AJ30" i="55"/>
  <c r="AJ29" i="55"/>
  <c r="AJ28" i="55"/>
  <c r="AJ27" i="55"/>
  <c r="AJ26" i="55"/>
  <c r="AJ25" i="55"/>
  <c r="AJ24" i="55"/>
  <c r="AJ23" i="55"/>
  <c r="AJ22" i="55"/>
  <c r="AJ21" i="55"/>
  <c r="AJ20" i="55"/>
  <c r="AJ19" i="55"/>
  <c r="AJ18" i="55"/>
  <c r="AJ17" i="55"/>
  <c r="AJ16" i="55"/>
  <c r="AJ15" i="55"/>
  <c r="AJ14" i="55"/>
  <c r="AJ13" i="55"/>
  <c r="AJ12" i="55"/>
  <c r="AJ11" i="55"/>
  <c r="AJ10" i="55"/>
  <c r="AJ9" i="55"/>
  <c r="AJ8" i="55"/>
  <c r="AJ7" i="55"/>
  <c r="AJ6" i="55"/>
  <c r="AJ5" i="55"/>
  <c r="AL567" i="55"/>
  <c r="AL566" i="55"/>
  <c r="AL565" i="55"/>
  <c r="AL564" i="55"/>
  <c r="AL563" i="55"/>
  <c r="AL562" i="55"/>
  <c r="AL561" i="55"/>
  <c r="AL560" i="55"/>
  <c r="AL559" i="55"/>
  <c r="AL558" i="55"/>
  <c r="AL557" i="55"/>
  <c r="AL556" i="55"/>
  <c r="AL555" i="55"/>
  <c r="AL554" i="55"/>
  <c r="AL553" i="55"/>
  <c r="AL552" i="55"/>
  <c r="AL551" i="55"/>
  <c r="AL550" i="55"/>
  <c r="AL549" i="55"/>
  <c r="AL548" i="55"/>
  <c r="AL547" i="55"/>
  <c r="AL546" i="55"/>
  <c r="AL545" i="55"/>
  <c r="AL544" i="55"/>
  <c r="AL543" i="55"/>
  <c r="AL542" i="55"/>
  <c r="AL541" i="55"/>
  <c r="AL540" i="55"/>
  <c r="AL539" i="55"/>
  <c r="AL538" i="55"/>
  <c r="AL537" i="55"/>
  <c r="AL536" i="55"/>
  <c r="AL535" i="55"/>
  <c r="AL534" i="55"/>
  <c r="AL533" i="55"/>
  <c r="AL532" i="55"/>
  <c r="AL531" i="55"/>
  <c r="AL530" i="55"/>
  <c r="AL529" i="55"/>
  <c r="AL528" i="55"/>
  <c r="AL527" i="55"/>
  <c r="AL526" i="55"/>
  <c r="AL525" i="55"/>
  <c r="AL524" i="55"/>
  <c r="AL523" i="55"/>
  <c r="AL522" i="55"/>
  <c r="AL521" i="55"/>
  <c r="AL520" i="55"/>
  <c r="AL519" i="55"/>
  <c r="AL518" i="55"/>
  <c r="AL517" i="55"/>
  <c r="AL516" i="55"/>
  <c r="AL515" i="55"/>
  <c r="AL514" i="55"/>
  <c r="AL513" i="55"/>
  <c r="AL512" i="55"/>
  <c r="AL511" i="55"/>
  <c r="AL510" i="55"/>
  <c r="AL509" i="55"/>
  <c r="AL508" i="55"/>
  <c r="AL507" i="55"/>
  <c r="AL506" i="55"/>
  <c r="AL505" i="55"/>
  <c r="AL504" i="55"/>
  <c r="AL503" i="55"/>
  <c r="AL502" i="55"/>
  <c r="AL501" i="55"/>
  <c r="AL500" i="55"/>
  <c r="AL499" i="55"/>
  <c r="AL498" i="55"/>
  <c r="AL497" i="55"/>
  <c r="AL496" i="55"/>
  <c r="AL495" i="55"/>
  <c r="AL494" i="55"/>
  <c r="AL493" i="55"/>
  <c r="AL492" i="55"/>
  <c r="AL491" i="55"/>
  <c r="AL490" i="55"/>
  <c r="AL489" i="55"/>
  <c r="AL488" i="55"/>
  <c r="AL487" i="55"/>
  <c r="AL486" i="55"/>
  <c r="AL485" i="55"/>
  <c r="AL484" i="55"/>
  <c r="AL483" i="55"/>
  <c r="AL482" i="55"/>
  <c r="AL481" i="55"/>
  <c r="AL480" i="55"/>
  <c r="AL479" i="55"/>
  <c r="AL478" i="55"/>
  <c r="AL477" i="55"/>
  <c r="AL476" i="55"/>
  <c r="AL475" i="55"/>
  <c r="AL474" i="55"/>
  <c r="AL473" i="55"/>
  <c r="AL472" i="55"/>
  <c r="AL471" i="55"/>
  <c r="AL470" i="55"/>
  <c r="AL469" i="55"/>
  <c r="AL468" i="55"/>
  <c r="AL467" i="55"/>
  <c r="AL466" i="55"/>
  <c r="AL465" i="55"/>
  <c r="AL464" i="55"/>
  <c r="AL463" i="55"/>
  <c r="AL462" i="55"/>
  <c r="AL461" i="55"/>
  <c r="AL460" i="55"/>
  <c r="AL459" i="55"/>
  <c r="AL458" i="55"/>
  <c r="AL457" i="55"/>
  <c r="AL456" i="55"/>
  <c r="AL455" i="55"/>
  <c r="AL454" i="55"/>
  <c r="AL453" i="55"/>
  <c r="AL452" i="55"/>
  <c r="AL451" i="55"/>
  <c r="AL450" i="55"/>
  <c r="AL449" i="55"/>
  <c r="AL448" i="55"/>
  <c r="AL447" i="55"/>
  <c r="AL446" i="55"/>
  <c r="AL445" i="55"/>
  <c r="AL444" i="55"/>
  <c r="AL443" i="55"/>
  <c r="AL442" i="55"/>
  <c r="AL441" i="55"/>
  <c r="AL440" i="55"/>
  <c r="AL439" i="55"/>
  <c r="AL438" i="55"/>
  <c r="AL437" i="55"/>
  <c r="AL436" i="55"/>
  <c r="AL435" i="55"/>
  <c r="AL434" i="55"/>
  <c r="AL433" i="55"/>
  <c r="AL432" i="55"/>
  <c r="AL431" i="55"/>
  <c r="AL430" i="55"/>
  <c r="AL429" i="55"/>
  <c r="AL428" i="55"/>
  <c r="AL427" i="55"/>
  <c r="AL426" i="55"/>
  <c r="AL425" i="55"/>
  <c r="AL424" i="55"/>
  <c r="AL423" i="55"/>
  <c r="AL422" i="55"/>
  <c r="AL421" i="55"/>
  <c r="AL420" i="55"/>
  <c r="AL419" i="55"/>
  <c r="AL418" i="55"/>
  <c r="AL417" i="55"/>
  <c r="AL416" i="55"/>
  <c r="AL415" i="55"/>
  <c r="AL414" i="55"/>
  <c r="AL413" i="55"/>
  <c r="AL412" i="55"/>
  <c r="AL411" i="55"/>
  <c r="AL410" i="55"/>
  <c r="AL409" i="55"/>
  <c r="AL408" i="55"/>
  <c r="AL407" i="55"/>
  <c r="AL406" i="55"/>
  <c r="AL405" i="55"/>
  <c r="AL404" i="55"/>
  <c r="AL403" i="55"/>
  <c r="AL402" i="55"/>
  <c r="AL401" i="55"/>
  <c r="AL400" i="55"/>
  <c r="AL399" i="55"/>
  <c r="AL398" i="55"/>
  <c r="AL397" i="55"/>
  <c r="AL396" i="55"/>
  <c r="AL395" i="55"/>
  <c r="AL394" i="55"/>
  <c r="AL393" i="55"/>
  <c r="AL392" i="55"/>
  <c r="AL391" i="55"/>
  <c r="AL390" i="55"/>
  <c r="AL389" i="55"/>
  <c r="AL388" i="55"/>
  <c r="AL387" i="55"/>
  <c r="AL386" i="55"/>
  <c r="AL385" i="55"/>
  <c r="AL384" i="55"/>
  <c r="AL383" i="55"/>
  <c r="AL382" i="55"/>
  <c r="AL381" i="55"/>
  <c r="AL380" i="55"/>
  <c r="AL379" i="55"/>
  <c r="AL378" i="55"/>
  <c r="AL377" i="55"/>
  <c r="AL376" i="55"/>
  <c r="AL375" i="55"/>
  <c r="AL374" i="55"/>
  <c r="AL373" i="55"/>
  <c r="AL372" i="55"/>
  <c r="AL371" i="55"/>
  <c r="AL370" i="55"/>
  <c r="AL369" i="55"/>
  <c r="AL368" i="55"/>
  <c r="AL367" i="55"/>
  <c r="AL366" i="55"/>
  <c r="AL365" i="55"/>
  <c r="AL364" i="55"/>
  <c r="AL363" i="55"/>
  <c r="AL362" i="55"/>
  <c r="AL361" i="55"/>
  <c r="AL360" i="55"/>
  <c r="AL359" i="55"/>
  <c r="AL358" i="55"/>
  <c r="AL357" i="55"/>
  <c r="AL356" i="55"/>
  <c r="AL355" i="55"/>
  <c r="AL354" i="55"/>
  <c r="AL353" i="55"/>
  <c r="AL352" i="55"/>
  <c r="AL351" i="55"/>
  <c r="AL350" i="55"/>
  <c r="AL349" i="55"/>
  <c r="AL348" i="55"/>
  <c r="AL347" i="55"/>
  <c r="AL346" i="55"/>
  <c r="AL345" i="55"/>
  <c r="AL344" i="55"/>
  <c r="AL343" i="55"/>
  <c r="AL342" i="55"/>
  <c r="AL341" i="55"/>
  <c r="AL340" i="55"/>
  <c r="AL339" i="55"/>
  <c r="AL338" i="55"/>
  <c r="AL337" i="55"/>
  <c r="AL336" i="55"/>
  <c r="AL335" i="55"/>
  <c r="AL334" i="55"/>
  <c r="AL333" i="55"/>
  <c r="AL332" i="55"/>
  <c r="AL331" i="55"/>
  <c r="AL330" i="55"/>
  <c r="AL329" i="55"/>
  <c r="AL328" i="55"/>
  <c r="AL327" i="55"/>
  <c r="AL326" i="55"/>
  <c r="AL325" i="55"/>
  <c r="AL324" i="55"/>
  <c r="AL323" i="55"/>
  <c r="AL322" i="55"/>
  <c r="AL321" i="55"/>
  <c r="AL320" i="55"/>
  <c r="AL319" i="55"/>
  <c r="AL318" i="55"/>
  <c r="AL317" i="55"/>
  <c r="AL316" i="55"/>
  <c r="AL315" i="55"/>
  <c r="AL314" i="55"/>
  <c r="AL313" i="55"/>
  <c r="AL312" i="55"/>
  <c r="AL311" i="55"/>
  <c r="AL310" i="55"/>
  <c r="AL309" i="55"/>
  <c r="AL308" i="55"/>
  <c r="AL307" i="55"/>
  <c r="AL306" i="55"/>
  <c r="AL305" i="55"/>
  <c r="AL304" i="55"/>
  <c r="AL303" i="55"/>
  <c r="AL302" i="55"/>
  <c r="AL301" i="55"/>
  <c r="AL300" i="55"/>
  <c r="AL299" i="55"/>
  <c r="AL298" i="55"/>
  <c r="AL297" i="55"/>
  <c r="AL296" i="55"/>
  <c r="AL295" i="55"/>
  <c r="AL294" i="55"/>
  <c r="AL293" i="55"/>
  <c r="AL292" i="55"/>
  <c r="AL291" i="55"/>
  <c r="AL290" i="55"/>
  <c r="AL289" i="55"/>
  <c r="AL288" i="55"/>
  <c r="AL287" i="55"/>
  <c r="AL286" i="55"/>
  <c r="AL285" i="55"/>
  <c r="AL284" i="55"/>
  <c r="AL283" i="55"/>
  <c r="AL282" i="55"/>
  <c r="AL281" i="55"/>
  <c r="AL280" i="55"/>
  <c r="AL279" i="55"/>
  <c r="AL278" i="55"/>
  <c r="AL277" i="55"/>
  <c r="AL276" i="55"/>
  <c r="AL275" i="55"/>
  <c r="AL274" i="55"/>
  <c r="AL273" i="55"/>
  <c r="AL272" i="55"/>
  <c r="AL271" i="55"/>
  <c r="AL270" i="55"/>
  <c r="AL269" i="55"/>
  <c r="AL268" i="55"/>
  <c r="AL267" i="55"/>
  <c r="AL266" i="55"/>
  <c r="AL265" i="55"/>
  <c r="AL264" i="55"/>
  <c r="AL263" i="55"/>
  <c r="AL262" i="55"/>
  <c r="AL261" i="55"/>
  <c r="AL260" i="55"/>
  <c r="AL259" i="55"/>
  <c r="AL258" i="55"/>
  <c r="AL257" i="55"/>
  <c r="AL256" i="55"/>
  <c r="AL255" i="55"/>
  <c r="AL254" i="55"/>
  <c r="AL253" i="55"/>
  <c r="AL252" i="55"/>
  <c r="AL251" i="55"/>
  <c r="AL250" i="55"/>
  <c r="AL249" i="55"/>
  <c r="AL248" i="55"/>
  <c r="AL247" i="55"/>
  <c r="AL246" i="55"/>
  <c r="AL245" i="55"/>
  <c r="AL244" i="55"/>
  <c r="AL243" i="55"/>
  <c r="AL242" i="55"/>
  <c r="AL241" i="55"/>
  <c r="AL240" i="55"/>
  <c r="AL239" i="55"/>
  <c r="AL238" i="55"/>
  <c r="AL237" i="55"/>
  <c r="AL236" i="55"/>
  <c r="AL235" i="55"/>
  <c r="AL234" i="55"/>
  <c r="AL233" i="55"/>
  <c r="AL232" i="55"/>
  <c r="AL231" i="55"/>
  <c r="AL230" i="55"/>
  <c r="AL229" i="55"/>
  <c r="AL228" i="55"/>
  <c r="AL227" i="55"/>
  <c r="AL226" i="55"/>
  <c r="AL225" i="55"/>
  <c r="AL224" i="55"/>
  <c r="AL223" i="55"/>
  <c r="AL222" i="55"/>
  <c r="AL221" i="55"/>
  <c r="AL220" i="55"/>
  <c r="AL219" i="55"/>
  <c r="AL218" i="55"/>
  <c r="AL217" i="55"/>
  <c r="AL216" i="55"/>
  <c r="AL215" i="55"/>
  <c r="AL214" i="55"/>
  <c r="AL213" i="55"/>
  <c r="AL212" i="55"/>
  <c r="AL211" i="55"/>
  <c r="AL210" i="55"/>
  <c r="AL209" i="55"/>
  <c r="AL208" i="55"/>
  <c r="AL207" i="55"/>
  <c r="AL206" i="55"/>
  <c r="AL205" i="55"/>
  <c r="AL204" i="55"/>
  <c r="AL203" i="55"/>
  <c r="AL202" i="55"/>
  <c r="AL201" i="55"/>
  <c r="AL200" i="55"/>
  <c r="AL199" i="55"/>
  <c r="AL198" i="55"/>
  <c r="AL197" i="55"/>
  <c r="AL196" i="55"/>
  <c r="AL195" i="55"/>
  <c r="AL194" i="55"/>
  <c r="AL193" i="55"/>
  <c r="AL192" i="55"/>
  <c r="AL191" i="55"/>
  <c r="AL190" i="55"/>
  <c r="AL189" i="55"/>
  <c r="AL188" i="55"/>
  <c r="AL187" i="55"/>
  <c r="AL186" i="55"/>
  <c r="AL185" i="55"/>
  <c r="AL184" i="55"/>
  <c r="AL183" i="55"/>
  <c r="AL182" i="55"/>
  <c r="AL181" i="55"/>
  <c r="AL180" i="55"/>
  <c r="AL179" i="55"/>
  <c r="AL178" i="55"/>
  <c r="AL177" i="55"/>
  <c r="AL176" i="55"/>
  <c r="AL175" i="55"/>
  <c r="AL174" i="55"/>
  <c r="AL173" i="55"/>
  <c r="AL172" i="55"/>
  <c r="AL171" i="55"/>
  <c r="AL170" i="55"/>
  <c r="AL169" i="55"/>
  <c r="AL168" i="55"/>
  <c r="AL167" i="55"/>
  <c r="AL166" i="55"/>
  <c r="AL165" i="55"/>
  <c r="AL164" i="55"/>
  <c r="AL163" i="55"/>
  <c r="AL162" i="55"/>
  <c r="AL161" i="55"/>
  <c r="AL160" i="55"/>
  <c r="AL159" i="55"/>
  <c r="AL158" i="55"/>
  <c r="AL157" i="55"/>
  <c r="AL156" i="55"/>
  <c r="AL155" i="55"/>
  <c r="AL154" i="55"/>
  <c r="AL153" i="55"/>
  <c r="AL152" i="55"/>
  <c r="AL151" i="55"/>
  <c r="AL150" i="55"/>
  <c r="AL149" i="55"/>
  <c r="AL148" i="55"/>
  <c r="AL147" i="55"/>
  <c r="AL146" i="55"/>
  <c r="AL145" i="55"/>
  <c r="AL144" i="55"/>
  <c r="AL143" i="55"/>
  <c r="AL142" i="55"/>
  <c r="AL141" i="55"/>
  <c r="AL140" i="55"/>
  <c r="AL139" i="55"/>
  <c r="AL138" i="55"/>
  <c r="AL137" i="55"/>
  <c r="AL136" i="55"/>
  <c r="AL135" i="55"/>
  <c r="AL134" i="55"/>
  <c r="AL133" i="55"/>
  <c r="AL132" i="55"/>
  <c r="AL131" i="55"/>
  <c r="AL130" i="55"/>
  <c r="AL129" i="55"/>
  <c r="AL128" i="55"/>
  <c r="AL127" i="55"/>
  <c r="AL126" i="55"/>
  <c r="AL125" i="55"/>
  <c r="AL124" i="55"/>
  <c r="AL123" i="55"/>
  <c r="AL122" i="55"/>
  <c r="AL121" i="55"/>
  <c r="AL120" i="55"/>
  <c r="AL119" i="55"/>
  <c r="AL118" i="55"/>
  <c r="AL117" i="55"/>
  <c r="AL116" i="55"/>
  <c r="AL115" i="55"/>
  <c r="AL114" i="55"/>
  <c r="AL113" i="55"/>
  <c r="AL112" i="55"/>
  <c r="AL111" i="55"/>
  <c r="AL110" i="55"/>
  <c r="AL109" i="55"/>
  <c r="AL108" i="55"/>
  <c r="AL107" i="55"/>
  <c r="AL106" i="55"/>
  <c r="AL105" i="55"/>
  <c r="AL104" i="55"/>
  <c r="AL103" i="55"/>
  <c r="AL102" i="55"/>
  <c r="AL101" i="55"/>
  <c r="AL100" i="55"/>
  <c r="AL99" i="55"/>
  <c r="AL98" i="55"/>
  <c r="AL97" i="55"/>
  <c r="AL96" i="55"/>
  <c r="AL95" i="55"/>
  <c r="AL94" i="55"/>
  <c r="AL93" i="55"/>
  <c r="AL92" i="55"/>
  <c r="AL91" i="55"/>
  <c r="AL90" i="55"/>
  <c r="AL89" i="55"/>
  <c r="AL88" i="55"/>
  <c r="AL87" i="55"/>
  <c r="AL86" i="55"/>
  <c r="AL85" i="55"/>
  <c r="AL84" i="55"/>
  <c r="AL83" i="55"/>
  <c r="AL82" i="55"/>
  <c r="AL81" i="55"/>
  <c r="AL80" i="55"/>
  <c r="AL79" i="55"/>
  <c r="AL78" i="55"/>
  <c r="AL77" i="55"/>
  <c r="AL76" i="55"/>
  <c r="AL75" i="55"/>
  <c r="AL74" i="55"/>
  <c r="AL73" i="55"/>
  <c r="AL72" i="55"/>
  <c r="AL71" i="55"/>
  <c r="AL70" i="55"/>
  <c r="AL69" i="55"/>
  <c r="AL68" i="55"/>
  <c r="AL67" i="55"/>
  <c r="AL66" i="55"/>
  <c r="AL65" i="55"/>
  <c r="AL64" i="55"/>
  <c r="AL63" i="55"/>
  <c r="AL62" i="55"/>
  <c r="AL61" i="55"/>
  <c r="AL60" i="55"/>
  <c r="AL59" i="55"/>
  <c r="AL58" i="55"/>
  <c r="AL57" i="55"/>
  <c r="AL56" i="55"/>
  <c r="AL55" i="55"/>
  <c r="AL54" i="55"/>
  <c r="AL53" i="55"/>
  <c r="AL52" i="55"/>
  <c r="AL51" i="55"/>
  <c r="AL50" i="55"/>
  <c r="AL49" i="55"/>
  <c r="AL48" i="55"/>
  <c r="AL47" i="55"/>
  <c r="AL46" i="55"/>
  <c r="AL45" i="55"/>
  <c r="AL44" i="55"/>
  <c r="AL43" i="55"/>
  <c r="AL42" i="55"/>
  <c r="AL41" i="55"/>
  <c r="AL40" i="55"/>
  <c r="AL39" i="55"/>
  <c r="AL38" i="55"/>
  <c r="AL37" i="55"/>
  <c r="AL36" i="55"/>
  <c r="AL35" i="55"/>
  <c r="AL34" i="55"/>
  <c r="AL33" i="55"/>
  <c r="AL32" i="55"/>
  <c r="AL31" i="55"/>
  <c r="AL30" i="55"/>
  <c r="AL29" i="55"/>
  <c r="AL28" i="55"/>
  <c r="AL27" i="55"/>
  <c r="AL26" i="55"/>
  <c r="AL25" i="55"/>
  <c r="AL24" i="55"/>
  <c r="AL23" i="55"/>
  <c r="AL22" i="55"/>
  <c r="AL21" i="55"/>
  <c r="AL20" i="55"/>
  <c r="AL19" i="55"/>
  <c r="AL18" i="55"/>
  <c r="AL17" i="55"/>
  <c r="AL16" i="55"/>
  <c r="AL15" i="55"/>
  <c r="AL14" i="55"/>
  <c r="AL13" i="55"/>
  <c r="AL12" i="55"/>
  <c r="AL11" i="55"/>
  <c r="AL10" i="55"/>
  <c r="AL9" i="55"/>
  <c r="AL8" i="55"/>
  <c r="AL7" i="55"/>
  <c r="AL6" i="55"/>
  <c r="AL5" i="55"/>
  <c r="AL4" i="55"/>
  <c r="AL3" i="55"/>
  <c r="K7" i="54"/>
  <c r="K6" i="54"/>
  <c r="K5" i="54"/>
  <c r="K4" i="54"/>
  <c r="I7" i="54"/>
  <c r="I6" i="54"/>
  <c r="I5" i="54"/>
  <c r="U35" i="61" l="1"/>
  <c r="U35" i="59"/>
  <c r="U35" i="57"/>
  <c r="G46" i="54"/>
  <c r="K9" i="54"/>
  <c r="Y40" i="54"/>
  <c r="D33" i="54"/>
  <c r="D37" i="54"/>
  <c r="D41" i="54"/>
  <c r="D45" i="54"/>
  <c r="D49" i="54"/>
  <c r="D53" i="54"/>
  <c r="D57" i="54"/>
  <c r="G34" i="54"/>
  <c r="G43" i="54"/>
  <c r="J33" i="54"/>
  <c r="J37" i="54"/>
  <c r="J41" i="54"/>
  <c r="M32" i="54"/>
  <c r="M36" i="54"/>
  <c r="P34" i="54"/>
  <c r="P47" i="54"/>
  <c r="V38" i="54"/>
  <c r="Y33" i="54"/>
  <c r="Y41" i="54"/>
  <c r="D34" i="54"/>
  <c r="D38" i="54"/>
  <c r="D42" i="54"/>
  <c r="D46" i="54"/>
  <c r="D50" i="54"/>
  <c r="D54" i="54"/>
  <c r="D58" i="54"/>
  <c r="G35" i="54"/>
  <c r="G44" i="54"/>
  <c r="J34" i="54"/>
  <c r="J38" i="54"/>
  <c r="J42" i="54"/>
  <c r="M33" i="54"/>
  <c r="M37" i="54"/>
  <c r="P35" i="54"/>
  <c r="S33" i="54"/>
  <c r="V32" i="54"/>
  <c r="V39" i="54"/>
  <c r="Y38" i="54"/>
  <c r="Y42" i="54"/>
  <c r="D35" i="54"/>
  <c r="D39" i="54"/>
  <c r="D43" i="54"/>
  <c r="D47" i="54"/>
  <c r="D51" i="54"/>
  <c r="D55" i="54"/>
  <c r="D59" i="54"/>
  <c r="G32" i="54"/>
  <c r="G36" i="54"/>
  <c r="G45" i="54"/>
  <c r="J35" i="54"/>
  <c r="J39" i="54"/>
  <c r="J43" i="54"/>
  <c r="M34" i="54"/>
  <c r="P32" i="54"/>
  <c r="P36" i="54"/>
  <c r="P45" i="54"/>
  <c r="S34" i="54"/>
  <c r="V33" i="54"/>
  <c r="V40" i="54"/>
  <c r="Y39" i="54"/>
  <c r="Y43" i="54"/>
  <c r="D32" i="54"/>
  <c r="D36" i="54"/>
  <c r="D40" i="54"/>
  <c r="D44" i="54"/>
  <c r="D48" i="54"/>
  <c r="D52" i="54"/>
  <c r="D56" i="54"/>
  <c r="D60" i="54"/>
  <c r="G33" i="54"/>
  <c r="G42" i="54"/>
  <c r="J32" i="54"/>
  <c r="J36" i="54"/>
  <c r="J40" i="54"/>
  <c r="J44" i="54"/>
  <c r="M35" i="54"/>
  <c r="P33" i="54"/>
  <c r="P41" i="54"/>
  <c r="P46" i="54"/>
  <c r="S32" i="54"/>
  <c r="V34" i="54"/>
  <c r="Y32" i="54"/>
  <c r="D61" i="54" l="1"/>
  <c r="S35" i="54"/>
  <c r="P11" i="54" s="1"/>
  <c r="G47" i="54"/>
  <c r="P42" i="54"/>
  <c r="P9" i="54" s="1"/>
  <c r="Y44" i="54"/>
  <c r="J16" i="54" s="1"/>
  <c r="V41" i="54"/>
  <c r="P13" i="54" s="1"/>
  <c r="Y34" i="54"/>
  <c r="J15" i="54" s="1"/>
  <c r="P37" i="54"/>
  <c r="P8" i="54" s="1"/>
  <c r="M38" i="54"/>
  <c r="E26" i="54"/>
  <c r="D26" i="54"/>
  <c r="E23" i="54"/>
  <c r="D23" i="54"/>
  <c r="E20" i="54"/>
  <c r="D20" i="54"/>
  <c r="E17" i="54"/>
  <c r="D17" i="54"/>
  <c r="E14" i="54"/>
  <c r="D14" i="54"/>
  <c r="P5" i="54" l="1"/>
  <c r="I9" i="54"/>
  <c r="P48" i="54"/>
  <c r="P10" i="54" s="1"/>
  <c r="J45" i="54"/>
  <c r="P6" i="54" s="1"/>
  <c r="V35" i="54"/>
  <c r="J14" i="54" s="1"/>
  <c r="P4" i="54"/>
  <c r="P15" i="54"/>
  <c r="P7" i="54"/>
  <c r="P14" i="54"/>
  <c r="AB32" i="53"/>
  <c r="AB9" i="53"/>
  <c r="AB8" i="53"/>
  <c r="AB7" i="53"/>
  <c r="AB6" i="53"/>
  <c r="AB23" i="53"/>
  <c r="AB22" i="53"/>
  <c r="AB21" i="53"/>
  <c r="AB20" i="53"/>
  <c r="AB19" i="53"/>
  <c r="AB18" i="53"/>
  <c r="AB17" i="53"/>
  <c r="AB16" i="53"/>
  <c r="AB15" i="53"/>
  <c r="AB14" i="53"/>
  <c r="AB13" i="53"/>
  <c r="AB12" i="53"/>
  <c r="AB11" i="53"/>
  <c r="AB10" i="53"/>
  <c r="AB4" i="53"/>
  <c r="AB5" i="53"/>
  <c r="E16" i="35"/>
  <c r="D16" i="35"/>
  <c r="C64" i="53"/>
  <c r="C65" i="53"/>
  <c r="C66" i="53"/>
  <c r="C67" i="53"/>
  <c r="C68" i="53"/>
  <c r="C69" i="53"/>
  <c r="C70" i="53"/>
  <c r="C71" i="53"/>
  <c r="C72" i="53"/>
  <c r="C73" i="53"/>
  <c r="C74" i="53"/>
  <c r="C75" i="53"/>
  <c r="C76" i="53"/>
  <c r="C77" i="53"/>
  <c r="C78" i="53"/>
  <c r="C79" i="53"/>
  <c r="C80" i="53"/>
  <c r="C81" i="53"/>
  <c r="C82" i="53"/>
  <c r="C83" i="53"/>
  <c r="C84" i="53"/>
  <c r="C85" i="53"/>
  <c r="C86" i="53"/>
  <c r="C87" i="53"/>
  <c r="C88" i="53"/>
  <c r="J13" i="54" l="1"/>
  <c r="J12" i="54"/>
  <c r="P12" i="54"/>
  <c r="R14" i="54" s="1"/>
  <c r="AJ2" i="52"/>
  <c r="AJ770" i="52"/>
  <c r="AJ769" i="52"/>
  <c r="AJ768" i="52"/>
  <c r="AJ767" i="52"/>
  <c r="AJ766" i="52"/>
  <c r="AJ765" i="52"/>
  <c r="AJ764" i="52"/>
  <c r="AJ763" i="52"/>
  <c r="AJ762" i="52"/>
  <c r="AJ761" i="52"/>
  <c r="AJ760" i="52"/>
  <c r="AJ759" i="52"/>
  <c r="AJ758" i="52"/>
  <c r="AJ757" i="52"/>
  <c r="AJ756" i="52"/>
  <c r="AJ755" i="52"/>
  <c r="AJ754" i="52"/>
  <c r="AJ753" i="52"/>
  <c r="AJ752" i="52"/>
  <c r="AJ751" i="52"/>
  <c r="AJ750" i="52"/>
  <c r="AJ749" i="52"/>
  <c r="AJ748" i="52"/>
  <c r="AJ747" i="52"/>
  <c r="AJ746" i="52"/>
  <c r="AJ745" i="52"/>
  <c r="AJ744" i="52"/>
  <c r="AJ743" i="52"/>
  <c r="AJ742" i="52"/>
  <c r="AJ741" i="52"/>
  <c r="AJ740" i="52"/>
  <c r="AJ739" i="52"/>
  <c r="AJ738" i="52"/>
  <c r="AJ737" i="52"/>
  <c r="AJ736" i="52"/>
  <c r="AJ735" i="52"/>
  <c r="AJ734" i="52"/>
  <c r="AJ733" i="52"/>
  <c r="AJ732" i="52"/>
  <c r="AJ731" i="52"/>
  <c r="AJ730" i="52"/>
  <c r="AJ729" i="52"/>
  <c r="AJ728" i="52"/>
  <c r="AJ727" i="52"/>
  <c r="AJ726" i="52"/>
  <c r="AJ725" i="52"/>
  <c r="AJ724" i="52"/>
  <c r="AJ723" i="52"/>
  <c r="AJ722" i="52"/>
  <c r="AJ721" i="52"/>
  <c r="AJ720" i="52"/>
  <c r="AJ719" i="52"/>
  <c r="AJ718" i="52"/>
  <c r="AJ717" i="52"/>
  <c r="AJ716" i="52"/>
  <c r="AJ715" i="52"/>
  <c r="AJ714" i="52"/>
  <c r="AJ713" i="52"/>
  <c r="AJ712" i="52"/>
  <c r="AJ711" i="52"/>
  <c r="AJ710" i="52"/>
  <c r="AJ709" i="52"/>
  <c r="AJ212" i="52"/>
  <c r="AJ708" i="52"/>
  <c r="AJ707" i="52"/>
  <c r="AJ706" i="52"/>
  <c r="AJ705" i="52"/>
  <c r="AJ704" i="52"/>
  <c r="AJ703" i="52"/>
  <c r="AJ702" i="52"/>
  <c r="AJ701" i="52"/>
  <c r="AJ700" i="52"/>
  <c r="AJ699" i="52"/>
  <c r="AJ698" i="52"/>
  <c r="AJ697" i="52"/>
  <c r="AJ696" i="52"/>
  <c r="AJ695" i="52"/>
  <c r="AJ694" i="52"/>
  <c r="AJ693" i="52"/>
  <c r="AJ692" i="52"/>
  <c r="AJ691" i="52"/>
  <c r="AJ690" i="52"/>
  <c r="AJ689" i="52"/>
  <c r="AJ688" i="52"/>
  <c r="AJ687" i="52"/>
  <c r="AJ686" i="52"/>
  <c r="AJ685" i="52"/>
  <c r="AJ684" i="52"/>
  <c r="AJ683" i="52"/>
  <c r="AJ682" i="52"/>
  <c r="AJ681" i="52"/>
  <c r="AJ680" i="52"/>
  <c r="AJ679" i="52"/>
  <c r="AJ678" i="52"/>
  <c r="AJ677" i="52"/>
  <c r="AJ676" i="52"/>
  <c r="AJ675" i="52"/>
  <c r="AJ674" i="52"/>
  <c r="AJ673" i="52"/>
  <c r="AJ672" i="52"/>
  <c r="AJ671" i="52"/>
  <c r="AJ670" i="52"/>
  <c r="AJ669" i="52"/>
  <c r="AJ668" i="52"/>
  <c r="AJ667" i="52"/>
  <c r="AJ666" i="52"/>
  <c r="AJ665" i="52"/>
  <c r="AJ664" i="52"/>
  <c r="AJ663" i="52"/>
  <c r="AJ662" i="52"/>
  <c r="AJ661" i="52"/>
  <c r="AJ660" i="52"/>
  <c r="AJ659" i="52"/>
  <c r="AJ658" i="52"/>
  <c r="AJ657" i="52"/>
  <c r="AJ656" i="52"/>
  <c r="AJ655" i="52"/>
  <c r="AJ654" i="52"/>
  <c r="AJ653" i="52"/>
  <c r="AJ652" i="52"/>
  <c r="AJ651" i="52"/>
  <c r="AJ650" i="52"/>
  <c r="AJ649" i="52"/>
  <c r="AJ648" i="52"/>
  <c r="AJ647" i="52"/>
  <c r="AJ646" i="52"/>
  <c r="AJ645" i="52"/>
  <c r="AJ644" i="52"/>
  <c r="AJ643" i="52"/>
  <c r="AJ642" i="52"/>
  <c r="AJ641" i="52"/>
  <c r="AJ640" i="52"/>
  <c r="AJ639" i="52"/>
  <c r="AJ638" i="52"/>
  <c r="AJ637" i="52"/>
  <c r="AJ636" i="52"/>
  <c r="AJ635" i="52"/>
  <c r="AJ634" i="52"/>
  <c r="AJ633" i="52"/>
  <c r="AJ632" i="52"/>
  <c r="AJ631" i="52"/>
  <c r="AJ630" i="52"/>
  <c r="AJ629" i="52"/>
  <c r="AJ628" i="52"/>
  <c r="AJ627" i="52"/>
  <c r="AJ626" i="52"/>
  <c r="AJ625" i="52"/>
  <c r="AJ624" i="52"/>
  <c r="AJ623" i="52"/>
  <c r="AJ622" i="52"/>
  <c r="AJ621" i="52"/>
  <c r="AJ620" i="52"/>
  <c r="AJ619" i="52"/>
  <c r="AJ618" i="52"/>
  <c r="AJ617" i="52"/>
  <c r="AJ616" i="52"/>
  <c r="AJ615" i="52"/>
  <c r="AJ614" i="52"/>
  <c r="AJ613" i="52"/>
  <c r="AJ612" i="52"/>
  <c r="AJ611" i="52"/>
  <c r="AJ610" i="52"/>
  <c r="AJ609" i="52"/>
  <c r="AJ608" i="52"/>
  <c r="AJ607" i="52"/>
  <c r="AJ606" i="52"/>
  <c r="AJ605" i="52"/>
  <c r="AJ604" i="52"/>
  <c r="AJ603" i="52"/>
  <c r="AJ602" i="52"/>
  <c r="AJ601" i="52"/>
  <c r="AJ600" i="52"/>
  <c r="AJ599" i="52"/>
  <c r="AJ598" i="52"/>
  <c r="AJ597" i="52"/>
  <c r="AJ596" i="52"/>
  <c r="AJ595" i="52"/>
  <c r="AJ594" i="52"/>
  <c r="AJ593" i="52"/>
  <c r="AJ592" i="52"/>
  <c r="AJ591" i="52"/>
  <c r="AJ590" i="52"/>
  <c r="AJ589" i="52"/>
  <c r="AJ588" i="52"/>
  <c r="AJ587" i="52"/>
  <c r="AJ586" i="52"/>
  <c r="AJ585" i="52"/>
  <c r="AJ584" i="52"/>
  <c r="AJ583" i="52"/>
  <c r="AJ582" i="52"/>
  <c r="AJ581" i="52"/>
  <c r="AJ580" i="52"/>
  <c r="AJ579" i="52"/>
  <c r="AJ578" i="52"/>
  <c r="AJ577" i="52"/>
  <c r="AJ576" i="52"/>
  <c r="AJ575" i="52"/>
  <c r="AJ574" i="52"/>
  <c r="AJ573" i="52"/>
  <c r="AJ572" i="52"/>
  <c r="AJ571" i="52"/>
  <c r="AJ570" i="52"/>
  <c r="AJ569" i="52"/>
  <c r="AJ568" i="52"/>
  <c r="AJ567" i="52"/>
  <c r="AJ566" i="52"/>
  <c r="AJ565" i="52"/>
  <c r="AJ564" i="52"/>
  <c r="AJ563" i="52"/>
  <c r="AJ562" i="52"/>
  <c r="AJ561" i="52"/>
  <c r="AJ560" i="52"/>
  <c r="AJ559" i="52"/>
  <c r="AJ558" i="52"/>
  <c r="AJ557" i="52"/>
  <c r="AJ556" i="52"/>
  <c r="AJ555" i="52"/>
  <c r="AJ554" i="52"/>
  <c r="AJ553" i="52"/>
  <c r="AJ552" i="52"/>
  <c r="AJ551" i="52"/>
  <c r="AJ550" i="52"/>
  <c r="AJ549" i="52"/>
  <c r="AJ548" i="52"/>
  <c r="AJ547" i="52"/>
  <c r="AJ546" i="52"/>
  <c r="AJ545" i="52"/>
  <c r="AJ544" i="52"/>
  <c r="AJ543" i="52"/>
  <c r="AJ542" i="52"/>
  <c r="AJ541" i="52"/>
  <c r="AJ540" i="52"/>
  <c r="AJ539" i="52"/>
  <c r="AJ538" i="52"/>
  <c r="AJ537" i="52"/>
  <c r="AJ536" i="52"/>
  <c r="AJ535" i="52"/>
  <c r="AJ534" i="52"/>
  <c r="AJ533" i="52"/>
  <c r="AJ532" i="52"/>
  <c r="AJ531" i="52"/>
  <c r="AJ530" i="52"/>
  <c r="AJ529" i="52"/>
  <c r="AJ528" i="52"/>
  <c r="AJ527" i="52"/>
  <c r="AJ526" i="52"/>
  <c r="AJ525" i="52"/>
  <c r="AJ524" i="52"/>
  <c r="AJ523" i="52"/>
  <c r="AJ522" i="52"/>
  <c r="AJ521" i="52"/>
  <c r="AJ520" i="52"/>
  <c r="AJ519" i="52"/>
  <c r="AJ518" i="52"/>
  <c r="AJ517" i="52"/>
  <c r="AJ516" i="52"/>
  <c r="AJ515" i="52"/>
  <c r="AJ514" i="52"/>
  <c r="AJ513" i="52"/>
  <c r="AJ512" i="52"/>
  <c r="AJ511" i="52"/>
  <c r="AJ510" i="52"/>
  <c r="AJ509" i="52"/>
  <c r="AJ508" i="52"/>
  <c r="AJ507" i="52"/>
  <c r="AJ506" i="52"/>
  <c r="AJ505" i="52"/>
  <c r="AJ504" i="52"/>
  <c r="AJ503" i="52"/>
  <c r="AJ502" i="52"/>
  <c r="AJ501" i="52"/>
  <c r="AJ500" i="52"/>
  <c r="AJ499" i="52"/>
  <c r="AJ498" i="52"/>
  <c r="AJ497" i="52"/>
  <c r="AJ496" i="52"/>
  <c r="AJ495" i="52"/>
  <c r="AJ494" i="52"/>
  <c r="AJ493" i="52"/>
  <c r="AJ492" i="52"/>
  <c r="AJ491" i="52"/>
  <c r="AJ490" i="52"/>
  <c r="AJ489" i="52"/>
  <c r="AJ488" i="52"/>
  <c r="AJ487" i="52"/>
  <c r="AJ486" i="52"/>
  <c r="AJ485" i="52"/>
  <c r="AJ484" i="52"/>
  <c r="AJ483" i="52"/>
  <c r="AJ482" i="52"/>
  <c r="AJ481" i="52"/>
  <c r="AJ480" i="52"/>
  <c r="AJ479" i="52"/>
  <c r="AJ478" i="52"/>
  <c r="AJ477" i="52"/>
  <c r="AJ476" i="52"/>
  <c r="AJ475" i="52"/>
  <c r="AJ474" i="52"/>
  <c r="AJ473" i="52"/>
  <c r="AJ472" i="52"/>
  <c r="AJ471" i="52"/>
  <c r="AJ470" i="52"/>
  <c r="AJ469" i="52"/>
  <c r="AJ468" i="52"/>
  <c r="AJ467" i="52"/>
  <c r="AJ466" i="52"/>
  <c r="AJ465" i="52"/>
  <c r="AJ464" i="52"/>
  <c r="AJ463" i="52"/>
  <c r="AJ462" i="52"/>
  <c r="AJ461" i="52"/>
  <c r="AJ460" i="52"/>
  <c r="AJ459" i="52"/>
  <c r="AJ458" i="52"/>
  <c r="AJ457" i="52"/>
  <c r="AJ456" i="52"/>
  <c r="AJ455" i="52"/>
  <c r="AJ454" i="52"/>
  <c r="AJ453" i="52"/>
  <c r="AJ452" i="52"/>
  <c r="AJ451" i="52"/>
  <c r="AJ450" i="52"/>
  <c r="AJ449" i="52"/>
  <c r="AJ448" i="52"/>
  <c r="AJ447" i="52"/>
  <c r="AJ446" i="52"/>
  <c r="AJ445" i="52"/>
  <c r="AJ444" i="52"/>
  <c r="AJ443" i="52"/>
  <c r="AJ442" i="52"/>
  <c r="AJ441" i="52"/>
  <c r="AJ440" i="52"/>
  <c r="AJ439" i="52"/>
  <c r="AJ438" i="52"/>
  <c r="AJ437" i="52"/>
  <c r="AJ436" i="52"/>
  <c r="AJ435" i="52"/>
  <c r="AJ434" i="52"/>
  <c r="AJ433" i="52"/>
  <c r="AJ432" i="52"/>
  <c r="AJ431" i="52"/>
  <c r="AJ430" i="52"/>
  <c r="AJ429" i="52"/>
  <c r="AJ428" i="52"/>
  <c r="AJ427" i="52"/>
  <c r="AJ426" i="52"/>
  <c r="AJ425" i="52"/>
  <c r="AJ424" i="52"/>
  <c r="AJ423" i="52"/>
  <c r="AJ422" i="52"/>
  <c r="AJ421" i="52"/>
  <c r="AJ420" i="52"/>
  <c r="AJ419" i="52"/>
  <c r="AJ418" i="52"/>
  <c r="AJ417" i="52"/>
  <c r="AJ416" i="52"/>
  <c r="AJ415" i="52"/>
  <c r="AJ414" i="52"/>
  <c r="AJ413" i="52"/>
  <c r="AJ412" i="52"/>
  <c r="AJ411" i="52"/>
  <c r="AJ410" i="52"/>
  <c r="AJ409" i="52"/>
  <c r="AJ408" i="52"/>
  <c r="AJ407" i="52"/>
  <c r="AJ406" i="52"/>
  <c r="AJ405" i="52"/>
  <c r="AJ404" i="52"/>
  <c r="AJ403" i="52"/>
  <c r="AJ402" i="52"/>
  <c r="AJ401" i="52"/>
  <c r="AJ400" i="52"/>
  <c r="AJ399" i="52"/>
  <c r="AJ398" i="52"/>
  <c r="AJ397" i="52"/>
  <c r="AJ396" i="52"/>
  <c r="AJ395" i="52"/>
  <c r="AJ394" i="52"/>
  <c r="AJ393" i="52"/>
  <c r="AJ392" i="52"/>
  <c r="AJ391" i="52"/>
  <c r="AJ390" i="52"/>
  <c r="AJ389" i="52"/>
  <c r="AJ388" i="52"/>
  <c r="AJ387" i="52"/>
  <c r="AJ386" i="52"/>
  <c r="AJ385" i="52"/>
  <c r="AJ384" i="52"/>
  <c r="AJ383" i="52"/>
  <c r="AJ382" i="52"/>
  <c r="AJ381" i="52"/>
  <c r="AJ380" i="52"/>
  <c r="AJ379" i="52"/>
  <c r="AJ378" i="52"/>
  <c r="AJ377" i="52"/>
  <c r="AJ376" i="52"/>
  <c r="AJ375" i="52"/>
  <c r="AJ374" i="52"/>
  <c r="AJ373" i="52"/>
  <c r="AJ372" i="52"/>
  <c r="AJ371" i="52"/>
  <c r="AJ370" i="52"/>
  <c r="AJ369" i="52"/>
  <c r="AJ368" i="52"/>
  <c r="AJ367" i="52"/>
  <c r="AJ366" i="52"/>
  <c r="AJ365" i="52"/>
  <c r="AJ364" i="52"/>
  <c r="AJ363" i="52"/>
  <c r="AJ362" i="52"/>
  <c r="AJ361" i="52"/>
  <c r="AJ360" i="52"/>
  <c r="AJ359" i="52"/>
  <c r="AJ358" i="52"/>
  <c r="AJ357" i="52"/>
  <c r="AJ356" i="52"/>
  <c r="AJ355" i="52"/>
  <c r="AJ354" i="52"/>
  <c r="AJ353" i="52"/>
  <c r="AJ352" i="52"/>
  <c r="AJ351" i="52"/>
  <c r="AJ350" i="52"/>
  <c r="AJ349" i="52"/>
  <c r="AJ348" i="52"/>
  <c r="AJ347" i="52"/>
  <c r="AJ346" i="52"/>
  <c r="AJ345" i="52"/>
  <c r="AJ344" i="52"/>
  <c r="AJ343" i="52"/>
  <c r="AJ342" i="52"/>
  <c r="AJ341" i="52"/>
  <c r="AJ340" i="52"/>
  <c r="AJ339" i="52"/>
  <c r="AJ338" i="52"/>
  <c r="AJ337" i="52"/>
  <c r="AJ336" i="52"/>
  <c r="AJ335" i="52"/>
  <c r="AJ334" i="52"/>
  <c r="AJ333" i="52"/>
  <c r="AJ332" i="52"/>
  <c r="AJ331" i="52"/>
  <c r="AJ330" i="52"/>
  <c r="AJ329" i="52"/>
  <c r="AJ328" i="52"/>
  <c r="AJ327" i="52"/>
  <c r="AJ326" i="52"/>
  <c r="AJ325" i="52"/>
  <c r="AJ324" i="52"/>
  <c r="AJ323" i="52"/>
  <c r="AJ322" i="52"/>
  <c r="AJ321" i="52"/>
  <c r="AJ320" i="52"/>
  <c r="AJ319" i="52"/>
  <c r="AJ318" i="52"/>
  <c r="AJ317" i="52"/>
  <c r="AJ316" i="52"/>
  <c r="AJ315" i="52"/>
  <c r="AJ314" i="52"/>
  <c r="AJ313" i="52"/>
  <c r="AJ312" i="52"/>
  <c r="AJ311" i="52"/>
  <c r="AJ310" i="52"/>
  <c r="AJ309" i="52"/>
  <c r="AJ308" i="52"/>
  <c r="AJ307" i="52"/>
  <c r="AJ306" i="52"/>
  <c r="AJ305" i="52"/>
  <c r="AJ304" i="52"/>
  <c r="AJ303" i="52"/>
  <c r="AJ302" i="52"/>
  <c r="AJ301" i="52"/>
  <c r="AJ300" i="52"/>
  <c r="AJ299" i="52"/>
  <c r="AJ298" i="52"/>
  <c r="AJ297" i="52"/>
  <c r="AJ296" i="52"/>
  <c r="AJ295" i="52"/>
  <c r="AJ294" i="52"/>
  <c r="AJ293" i="52"/>
  <c r="AJ292" i="52"/>
  <c r="AJ291" i="52"/>
  <c r="AJ290" i="52"/>
  <c r="AJ289" i="52"/>
  <c r="AJ288" i="52"/>
  <c r="AJ287" i="52"/>
  <c r="AJ286" i="52"/>
  <c r="AJ285" i="52"/>
  <c r="AJ284" i="52"/>
  <c r="AJ283" i="52"/>
  <c r="AJ282" i="52"/>
  <c r="AJ281" i="52"/>
  <c r="AJ280" i="52"/>
  <c r="AJ279" i="52"/>
  <c r="AJ278" i="52"/>
  <c r="AJ277" i="52"/>
  <c r="AJ276" i="52"/>
  <c r="AJ275" i="52"/>
  <c r="AJ274" i="52"/>
  <c r="AJ273" i="52"/>
  <c r="AJ272" i="52"/>
  <c r="AJ271" i="52"/>
  <c r="AJ270" i="52"/>
  <c r="AJ269" i="52"/>
  <c r="AJ268" i="52"/>
  <c r="AJ267" i="52"/>
  <c r="AJ266" i="52"/>
  <c r="AJ265" i="52"/>
  <c r="AJ264" i="52"/>
  <c r="AJ263" i="52"/>
  <c r="AJ262" i="52"/>
  <c r="AJ261" i="52"/>
  <c r="AJ260" i="52"/>
  <c r="AJ259" i="52"/>
  <c r="AJ258" i="52"/>
  <c r="AJ257" i="52"/>
  <c r="AJ256" i="52"/>
  <c r="AJ255" i="52"/>
  <c r="AJ254" i="52"/>
  <c r="AJ253" i="52"/>
  <c r="AJ252" i="52"/>
  <c r="AJ251" i="52"/>
  <c r="AJ250" i="52"/>
  <c r="AJ249" i="52"/>
  <c r="AJ248" i="52"/>
  <c r="AJ247" i="52"/>
  <c r="AJ246" i="52"/>
  <c r="AJ245" i="52"/>
  <c r="AJ244" i="52"/>
  <c r="AJ243" i="52"/>
  <c r="AJ242" i="52"/>
  <c r="AJ241" i="52"/>
  <c r="AJ240" i="52"/>
  <c r="AJ239" i="52"/>
  <c r="AJ238" i="52"/>
  <c r="AJ237" i="52"/>
  <c r="AJ236" i="52"/>
  <c r="AJ235" i="52"/>
  <c r="AJ234" i="52"/>
  <c r="AJ233" i="52"/>
  <c r="AJ232" i="52"/>
  <c r="AJ231" i="52"/>
  <c r="AJ230" i="52"/>
  <c r="AJ229" i="52"/>
  <c r="AJ228" i="52"/>
  <c r="AJ227" i="52"/>
  <c r="AJ226" i="52"/>
  <c r="AJ225" i="52"/>
  <c r="AJ224" i="52"/>
  <c r="AJ223" i="52"/>
  <c r="AJ222" i="52"/>
  <c r="AJ221" i="52"/>
  <c r="AJ220" i="52"/>
  <c r="AJ219" i="52"/>
  <c r="AJ218" i="52"/>
  <c r="AJ217" i="52"/>
  <c r="AJ216" i="52"/>
  <c r="AJ215" i="52"/>
  <c r="AJ214" i="52"/>
  <c r="AJ213" i="52"/>
  <c r="AJ211" i="52"/>
  <c r="AJ210" i="52"/>
  <c r="AJ209" i="52"/>
  <c r="AJ208" i="52"/>
  <c r="AJ207" i="52"/>
  <c r="AJ206" i="52"/>
  <c r="AJ205" i="52"/>
  <c r="AJ204" i="52"/>
  <c r="AJ203" i="52"/>
  <c r="AJ202" i="52"/>
  <c r="AJ201" i="52"/>
  <c r="AJ200" i="52"/>
  <c r="AJ199" i="52"/>
  <c r="AJ198" i="52"/>
  <c r="AJ197" i="52"/>
  <c r="AJ196" i="52"/>
  <c r="AJ195" i="52"/>
  <c r="AJ194" i="52"/>
  <c r="AJ193" i="52"/>
  <c r="AJ192" i="52"/>
  <c r="AJ191" i="52"/>
  <c r="AJ190" i="52"/>
  <c r="AJ189" i="52"/>
  <c r="AJ188" i="52"/>
  <c r="AJ187" i="52"/>
  <c r="AJ186" i="52"/>
  <c r="AJ185" i="52"/>
  <c r="AJ184" i="52"/>
  <c r="AJ183" i="52"/>
  <c r="AJ182" i="52"/>
  <c r="AJ181" i="52"/>
  <c r="AJ180" i="52"/>
  <c r="AJ179" i="52"/>
  <c r="AJ178" i="52"/>
  <c r="AJ177" i="52"/>
  <c r="AJ176" i="52"/>
  <c r="AJ175" i="52"/>
  <c r="AJ174" i="52"/>
  <c r="AJ173" i="52"/>
  <c r="AJ172" i="52"/>
  <c r="AJ171" i="52"/>
  <c r="AJ170" i="52"/>
  <c r="AJ169" i="52"/>
  <c r="AJ168" i="52"/>
  <c r="AJ167" i="52"/>
  <c r="AJ166" i="52"/>
  <c r="AJ165" i="52"/>
  <c r="AJ164" i="52"/>
  <c r="AJ163" i="52"/>
  <c r="AJ162" i="52"/>
  <c r="AJ161" i="52"/>
  <c r="AJ160" i="52"/>
  <c r="AJ159" i="52"/>
  <c r="AJ158" i="52"/>
  <c r="AJ157" i="52"/>
  <c r="AJ156" i="52"/>
  <c r="AJ155" i="52"/>
  <c r="AJ154" i="52"/>
  <c r="AJ153" i="52"/>
  <c r="AJ152" i="52"/>
  <c r="AJ151" i="52"/>
  <c r="AJ150" i="52"/>
  <c r="AJ149" i="52"/>
  <c r="AJ148" i="52"/>
  <c r="AJ147" i="52"/>
  <c r="AJ146" i="52"/>
  <c r="AJ145" i="52"/>
  <c r="AJ144" i="52"/>
  <c r="AJ143" i="52"/>
  <c r="AJ142" i="52"/>
  <c r="AJ141" i="52"/>
  <c r="AJ140" i="52"/>
  <c r="AJ139" i="52"/>
  <c r="AJ138" i="52"/>
  <c r="AJ137" i="52"/>
  <c r="AJ136" i="52"/>
  <c r="AJ135" i="52"/>
  <c r="AJ134" i="52"/>
  <c r="AJ133" i="52"/>
  <c r="AJ132" i="52"/>
  <c r="AJ131" i="52"/>
  <c r="AJ130" i="52"/>
  <c r="AJ129" i="52"/>
  <c r="AJ128" i="52"/>
  <c r="AJ127" i="52"/>
  <c r="AJ126" i="52"/>
  <c r="AJ125" i="52"/>
  <c r="AJ124" i="52"/>
  <c r="AJ123" i="52"/>
  <c r="AJ122" i="52"/>
  <c r="AJ121" i="52"/>
  <c r="AJ120" i="52"/>
  <c r="AJ119" i="52"/>
  <c r="AJ118" i="52"/>
  <c r="AJ117" i="52"/>
  <c r="AJ116" i="52"/>
  <c r="AJ115" i="52"/>
  <c r="AJ114" i="52"/>
  <c r="AJ113" i="52"/>
  <c r="AJ112" i="52"/>
  <c r="AJ111" i="52"/>
  <c r="AJ110" i="52"/>
  <c r="AJ109" i="52"/>
  <c r="AJ108" i="52"/>
  <c r="AJ107" i="52"/>
  <c r="AJ106" i="52"/>
  <c r="AJ105" i="52"/>
  <c r="AJ104" i="52"/>
  <c r="AJ103" i="52"/>
  <c r="AJ102" i="52"/>
  <c r="AJ101" i="52"/>
  <c r="AJ100" i="52"/>
  <c r="AJ99" i="52"/>
  <c r="AJ98" i="52"/>
  <c r="AJ97" i="52"/>
  <c r="AJ96" i="52"/>
  <c r="AJ95" i="52"/>
  <c r="AJ94" i="52"/>
  <c r="AJ93" i="52"/>
  <c r="AJ92" i="52"/>
  <c r="AJ91" i="52"/>
  <c r="AJ90" i="52"/>
  <c r="AJ89" i="52"/>
  <c r="AJ88" i="52"/>
  <c r="AJ87" i="52"/>
  <c r="AJ86" i="52"/>
  <c r="AJ85" i="52"/>
  <c r="AJ84" i="52"/>
  <c r="AJ83" i="52"/>
  <c r="AJ82" i="52"/>
  <c r="AJ81" i="52"/>
  <c r="AJ80" i="52"/>
  <c r="AJ79" i="52"/>
  <c r="AJ78" i="52"/>
  <c r="AJ77" i="52"/>
  <c r="AJ76" i="52"/>
  <c r="AJ75" i="52"/>
  <c r="AJ74" i="52"/>
  <c r="AJ73" i="52"/>
  <c r="AJ72" i="52"/>
  <c r="AJ71" i="52"/>
  <c r="AJ70" i="52"/>
  <c r="AJ69" i="52"/>
  <c r="AJ68" i="52"/>
  <c r="AJ67" i="52"/>
  <c r="AJ66" i="52"/>
  <c r="AJ65" i="52"/>
  <c r="AJ64" i="52"/>
  <c r="AJ63" i="52"/>
  <c r="AJ62" i="52"/>
  <c r="AJ61" i="52"/>
  <c r="AJ60" i="52"/>
  <c r="AJ59" i="52"/>
  <c r="AJ58" i="52"/>
  <c r="AJ57" i="52"/>
  <c r="AJ56" i="52"/>
  <c r="AJ55" i="52"/>
  <c r="AJ54" i="52"/>
  <c r="AJ53" i="52"/>
  <c r="AJ52" i="52"/>
  <c r="AJ51" i="52"/>
  <c r="AJ50" i="52"/>
  <c r="AJ49" i="52"/>
  <c r="AJ48" i="52"/>
  <c r="AJ47" i="52"/>
  <c r="AJ46" i="52"/>
  <c r="AJ45" i="52"/>
  <c r="AJ44" i="52"/>
  <c r="AJ43" i="52"/>
  <c r="AJ42" i="52"/>
  <c r="AJ41" i="52"/>
  <c r="AJ40" i="52"/>
  <c r="AJ39" i="52"/>
  <c r="AJ38" i="52"/>
  <c r="AJ37" i="52"/>
  <c r="AJ36" i="52"/>
  <c r="AJ35" i="52"/>
  <c r="AJ34" i="52"/>
  <c r="AJ33" i="52"/>
  <c r="AJ32" i="52"/>
  <c r="AJ31" i="52"/>
  <c r="AJ30" i="52"/>
  <c r="AJ29" i="52"/>
  <c r="AJ28" i="52"/>
  <c r="AJ27" i="52"/>
  <c r="AJ26" i="52"/>
  <c r="AJ25" i="52"/>
  <c r="AJ24" i="52"/>
  <c r="AJ23" i="52"/>
  <c r="AJ22" i="52"/>
  <c r="AJ21" i="52"/>
  <c r="AJ20" i="52"/>
  <c r="AJ19" i="52"/>
  <c r="AJ18" i="52"/>
  <c r="AJ17" i="52"/>
  <c r="AJ16" i="52"/>
  <c r="AJ15" i="52"/>
  <c r="AJ14" i="52"/>
  <c r="AJ13" i="52"/>
  <c r="AJ12" i="52"/>
  <c r="AJ11" i="52"/>
  <c r="AJ10" i="52"/>
  <c r="AJ9" i="52"/>
  <c r="AJ8" i="52"/>
  <c r="AJ7" i="52"/>
  <c r="AJ6" i="52"/>
  <c r="AJ5" i="52"/>
  <c r="AJ4" i="52"/>
  <c r="AJ3" i="52"/>
  <c r="P44" i="53" l="1"/>
  <c r="P40" i="53"/>
  <c r="P45" i="53"/>
  <c r="P46" i="53"/>
  <c r="J17" i="54"/>
  <c r="P29" i="54"/>
  <c r="M2" i="54" s="1"/>
  <c r="R12" i="54"/>
  <c r="R10" i="54"/>
  <c r="R13" i="54"/>
  <c r="R6" i="54"/>
  <c r="R7" i="54"/>
  <c r="R5" i="54"/>
  <c r="R4" i="54"/>
  <c r="R8" i="54"/>
  <c r="R15" i="54"/>
  <c r="R9" i="54"/>
  <c r="R11" i="54"/>
  <c r="Y41" i="53"/>
  <c r="G33" i="53"/>
  <c r="G42" i="53"/>
  <c r="J31" i="53"/>
  <c r="J35" i="53"/>
  <c r="J39" i="53"/>
  <c r="J43" i="53"/>
  <c r="M34" i="53"/>
  <c r="P32" i="53"/>
  <c r="S31" i="53"/>
  <c r="V32" i="53"/>
  <c r="V39" i="53"/>
  <c r="Y38" i="53"/>
  <c r="Y42" i="53"/>
  <c r="G34" i="53"/>
  <c r="G43" i="53"/>
  <c r="J32" i="53"/>
  <c r="J36" i="53"/>
  <c r="J40" i="53"/>
  <c r="M31" i="53"/>
  <c r="M35" i="53"/>
  <c r="P33" i="53"/>
  <c r="S32" i="53"/>
  <c r="V33" i="53"/>
  <c r="Y31" i="53"/>
  <c r="Y39" i="53"/>
  <c r="G31" i="53"/>
  <c r="G35" i="53"/>
  <c r="G44" i="53"/>
  <c r="J33" i="53"/>
  <c r="J37" i="53"/>
  <c r="J41" i="53"/>
  <c r="M32" i="53"/>
  <c r="M36" i="53"/>
  <c r="P34" i="53"/>
  <c r="S33" i="53"/>
  <c r="V37" i="53"/>
  <c r="Y32" i="53"/>
  <c r="Y40" i="53"/>
  <c r="G32" i="53"/>
  <c r="G41" i="53"/>
  <c r="G45" i="53"/>
  <c r="J34" i="53"/>
  <c r="J38" i="53"/>
  <c r="J42" i="53"/>
  <c r="M33" i="53"/>
  <c r="P31" i="53"/>
  <c r="P35" i="53"/>
  <c r="V31" i="53"/>
  <c r="V38" i="53"/>
  <c r="Y37" i="53"/>
  <c r="G27" i="53"/>
  <c r="L2" i="54" l="1"/>
  <c r="T12" i="54"/>
  <c r="U5" i="54"/>
  <c r="U4" i="54"/>
  <c r="U7" i="54"/>
  <c r="T4" i="54"/>
  <c r="U12" i="54"/>
  <c r="T8" i="54"/>
  <c r="T7" i="54"/>
  <c r="U6" i="54"/>
  <c r="U15" i="54"/>
  <c r="T11" i="54"/>
  <c r="T5" i="54"/>
  <c r="T10" i="54"/>
  <c r="U13" i="54"/>
  <c r="U8" i="54"/>
  <c r="T13" i="54"/>
  <c r="U11" i="54"/>
  <c r="T6" i="54"/>
  <c r="T15" i="54"/>
  <c r="U10" i="54"/>
  <c r="T9" i="54"/>
  <c r="T14" i="54"/>
  <c r="U9" i="54"/>
  <c r="U14" i="54"/>
  <c r="K7" i="53"/>
  <c r="K6" i="53"/>
  <c r="K5" i="53"/>
  <c r="K4" i="53"/>
  <c r="I7" i="53"/>
  <c r="I6" i="53"/>
  <c r="I5" i="53"/>
  <c r="I4" i="53"/>
  <c r="AM772" i="52"/>
  <c r="AM771" i="52"/>
  <c r="AL764" i="52"/>
  <c r="AK772" i="52"/>
  <c r="AK771" i="52"/>
  <c r="AL770" i="52"/>
  <c r="AL769" i="52"/>
  <c r="AL768" i="52"/>
  <c r="AL767" i="52"/>
  <c r="AL766" i="52"/>
  <c r="AL765" i="52"/>
  <c r="AL763" i="52"/>
  <c r="AL762" i="52"/>
  <c r="AL761" i="52"/>
  <c r="AL760" i="52"/>
  <c r="AL759" i="52"/>
  <c r="AL758" i="52"/>
  <c r="AL757" i="52"/>
  <c r="AL756" i="52"/>
  <c r="AL755" i="52"/>
  <c r="AL754" i="52"/>
  <c r="AL753" i="52"/>
  <c r="AL752" i="52"/>
  <c r="AL751" i="52"/>
  <c r="AL750" i="52"/>
  <c r="AL749" i="52"/>
  <c r="AL748" i="52"/>
  <c r="AL747" i="52"/>
  <c r="AL746" i="52"/>
  <c r="AL745" i="52"/>
  <c r="AL744" i="52"/>
  <c r="AL743" i="52"/>
  <c r="AL742" i="52"/>
  <c r="AL741" i="52"/>
  <c r="AL740" i="52"/>
  <c r="AL739" i="52"/>
  <c r="AL738" i="52"/>
  <c r="AL737" i="52"/>
  <c r="AL736" i="52"/>
  <c r="AL735" i="52"/>
  <c r="AL734" i="52"/>
  <c r="AL733" i="52"/>
  <c r="AL732" i="52"/>
  <c r="AL731" i="52"/>
  <c r="AL730" i="52"/>
  <c r="AL729" i="52"/>
  <c r="AL728" i="52"/>
  <c r="AL727" i="52"/>
  <c r="AL726" i="52"/>
  <c r="AL725" i="52"/>
  <c r="AL724" i="52"/>
  <c r="AL723" i="52"/>
  <c r="AL722" i="52"/>
  <c r="AL721" i="52"/>
  <c r="AL720" i="52"/>
  <c r="AL719" i="52"/>
  <c r="AL718" i="52"/>
  <c r="AL717" i="52"/>
  <c r="AL716" i="52"/>
  <c r="AL715" i="52"/>
  <c r="AL714" i="52"/>
  <c r="AL713" i="52"/>
  <c r="AL712" i="52"/>
  <c r="AL711" i="52"/>
  <c r="AL710" i="52"/>
  <c r="AL709" i="52"/>
  <c r="AL708" i="52"/>
  <c r="AL707" i="52"/>
  <c r="AL706" i="52"/>
  <c r="AL705" i="52"/>
  <c r="AL704" i="52"/>
  <c r="AL703" i="52"/>
  <c r="AL295" i="52"/>
  <c r="AL702" i="52"/>
  <c r="AL701" i="52"/>
  <c r="AL700" i="52"/>
  <c r="AL699" i="52"/>
  <c r="AL698" i="52"/>
  <c r="AL697" i="52"/>
  <c r="AL696" i="52"/>
  <c r="AL695" i="52"/>
  <c r="AL694" i="52"/>
  <c r="AL693" i="52"/>
  <c r="AL692" i="52"/>
  <c r="AL691" i="52"/>
  <c r="AL690" i="52"/>
  <c r="AL689" i="52"/>
  <c r="AL688" i="52"/>
  <c r="AL687" i="52"/>
  <c r="AL686" i="52"/>
  <c r="AL685" i="52"/>
  <c r="AL684" i="52"/>
  <c r="AL683" i="52"/>
  <c r="AL682" i="52"/>
  <c r="AL681" i="52"/>
  <c r="AL680" i="52"/>
  <c r="AL679" i="52"/>
  <c r="AL678" i="52"/>
  <c r="AL677" i="52"/>
  <c r="AL676" i="52"/>
  <c r="AL675" i="52"/>
  <c r="AL674" i="52"/>
  <c r="AL673" i="52"/>
  <c r="AL672" i="52"/>
  <c r="AL671" i="52"/>
  <c r="AL670" i="52"/>
  <c r="AL669" i="52"/>
  <c r="AL668" i="52"/>
  <c r="AL667" i="52"/>
  <c r="AL666" i="52"/>
  <c r="AL665" i="52"/>
  <c r="AL664" i="52"/>
  <c r="AL663" i="52"/>
  <c r="AL662" i="52"/>
  <c r="AL661" i="52"/>
  <c r="AL660" i="52"/>
  <c r="AL659" i="52"/>
  <c r="AL658" i="52"/>
  <c r="AL657" i="52"/>
  <c r="AL656" i="52"/>
  <c r="AL655" i="52"/>
  <c r="AL654" i="52"/>
  <c r="AL653" i="52"/>
  <c r="AL652" i="52"/>
  <c r="AL651" i="52"/>
  <c r="AL650" i="52"/>
  <c r="AL649" i="52"/>
  <c r="AL648" i="52"/>
  <c r="AL647" i="52"/>
  <c r="AL646" i="52"/>
  <c r="AL645" i="52"/>
  <c r="AL644" i="52"/>
  <c r="AL643" i="52"/>
  <c r="AL642" i="52"/>
  <c r="AL641" i="52"/>
  <c r="AL640" i="52"/>
  <c r="AL639" i="52"/>
  <c r="AL638" i="52"/>
  <c r="AL637" i="52"/>
  <c r="AL636" i="52"/>
  <c r="AL635" i="52"/>
  <c r="AL634" i="52"/>
  <c r="AL633" i="52"/>
  <c r="AL632" i="52"/>
  <c r="AL631" i="52"/>
  <c r="AL630" i="52"/>
  <c r="AL629" i="52"/>
  <c r="AL628" i="52"/>
  <c r="AL627" i="52"/>
  <c r="AL626" i="52"/>
  <c r="AL625" i="52"/>
  <c r="AL624" i="52"/>
  <c r="AL623" i="52"/>
  <c r="AL622" i="52"/>
  <c r="AL621" i="52"/>
  <c r="AL620" i="52"/>
  <c r="AL619" i="52"/>
  <c r="AL618" i="52"/>
  <c r="AL617" i="52"/>
  <c r="AL616" i="52"/>
  <c r="AL615" i="52"/>
  <c r="AL614" i="52"/>
  <c r="AL613" i="52"/>
  <c r="AL612" i="52"/>
  <c r="AL611" i="52"/>
  <c r="AL610" i="52"/>
  <c r="AL609" i="52"/>
  <c r="AL608" i="52"/>
  <c r="AL607" i="52"/>
  <c r="AL606" i="52"/>
  <c r="AL605" i="52"/>
  <c r="AL604" i="52"/>
  <c r="AL603" i="52"/>
  <c r="AL602" i="52"/>
  <c r="AL601" i="52"/>
  <c r="AL600" i="52"/>
  <c r="AL599" i="52"/>
  <c r="AL598" i="52"/>
  <c r="AL597" i="52"/>
  <c r="AL596" i="52"/>
  <c r="AL595" i="52"/>
  <c r="AL594" i="52"/>
  <c r="AL593" i="52"/>
  <c r="AL592" i="52"/>
  <c r="AL591" i="52"/>
  <c r="AL590" i="52"/>
  <c r="AL589" i="52"/>
  <c r="AL588" i="52"/>
  <c r="AL587" i="52"/>
  <c r="AL586" i="52"/>
  <c r="AL585" i="52"/>
  <c r="AL584" i="52"/>
  <c r="AL583" i="52"/>
  <c r="AL582" i="52"/>
  <c r="AL581" i="52"/>
  <c r="AL580" i="52"/>
  <c r="AL579" i="52"/>
  <c r="AL578" i="52"/>
  <c r="AL577" i="52"/>
  <c r="AL576" i="52"/>
  <c r="AL575" i="52"/>
  <c r="AL574" i="52"/>
  <c r="AL573" i="52"/>
  <c r="AL572" i="52"/>
  <c r="AL571" i="52"/>
  <c r="AL570" i="52"/>
  <c r="AL569" i="52"/>
  <c r="AL568" i="52"/>
  <c r="AL567" i="52"/>
  <c r="AL566" i="52"/>
  <c r="AL565" i="52"/>
  <c r="AL564" i="52"/>
  <c r="AL563" i="52"/>
  <c r="AL562" i="52"/>
  <c r="AL561" i="52"/>
  <c r="AL560" i="52"/>
  <c r="AL559" i="52"/>
  <c r="AL558" i="52"/>
  <c r="AL557" i="52"/>
  <c r="AL556" i="52"/>
  <c r="AL555" i="52"/>
  <c r="AL554" i="52"/>
  <c r="AL553" i="52"/>
  <c r="AL552" i="52"/>
  <c r="AL551" i="52"/>
  <c r="AL550" i="52"/>
  <c r="AL549" i="52"/>
  <c r="AL548" i="52"/>
  <c r="AL547" i="52"/>
  <c r="AL546" i="52"/>
  <c r="AL545" i="52"/>
  <c r="AL544" i="52"/>
  <c r="AL543" i="52"/>
  <c r="AL542" i="52"/>
  <c r="AL541" i="52"/>
  <c r="AL540" i="52"/>
  <c r="AL539" i="52"/>
  <c r="AL538" i="52"/>
  <c r="AL537" i="52"/>
  <c r="AL536" i="52"/>
  <c r="AL535" i="52"/>
  <c r="AL534" i="52"/>
  <c r="AL533" i="52"/>
  <c r="AL532" i="52"/>
  <c r="AL531" i="52"/>
  <c r="AL530" i="52"/>
  <c r="AL529" i="52"/>
  <c r="AL528" i="52"/>
  <c r="AL527" i="52"/>
  <c r="AL526" i="52"/>
  <c r="AL525" i="52"/>
  <c r="AL524" i="52"/>
  <c r="AL523" i="52"/>
  <c r="AL522" i="52"/>
  <c r="AL521" i="52"/>
  <c r="AL520" i="52"/>
  <c r="AL519" i="52"/>
  <c r="AL518" i="52"/>
  <c r="AL517" i="52"/>
  <c r="AL516" i="52"/>
  <c r="AL515" i="52"/>
  <c r="AL514" i="52"/>
  <c r="AL513" i="52"/>
  <c r="AL512" i="52"/>
  <c r="AL511" i="52"/>
  <c r="AL510" i="52"/>
  <c r="AL509" i="52"/>
  <c r="AL508" i="52"/>
  <c r="AL507" i="52"/>
  <c r="AL506" i="52"/>
  <c r="AL505" i="52"/>
  <c r="AL504" i="52"/>
  <c r="AL503" i="52"/>
  <c r="AL502" i="52"/>
  <c r="AL501" i="52"/>
  <c r="AL500" i="52"/>
  <c r="AL499" i="52"/>
  <c r="AL498" i="52"/>
  <c r="AL497" i="52"/>
  <c r="AL496" i="52"/>
  <c r="AL495" i="52"/>
  <c r="AL494" i="52"/>
  <c r="AL493" i="52"/>
  <c r="AL492" i="52"/>
  <c r="AL491" i="52"/>
  <c r="AL490" i="52"/>
  <c r="AL489" i="52"/>
  <c r="AL488" i="52"/>
  <c r="AL487" i="52"/>
  <c r="AL486" i="52"/>
  <c r="AL485" i="52"/>
  <c r="AL484" i="52"/>
  <c r="AL483" i="52"/>
  <c r="AL482" i="52"/>
  <c r="AL481" i="52"/>
  <c r="AL480" i="52"/>
  <c r="AL479" i="52"/>
  <c r="AL478" i="52"/>
  <c r="AL477" i="52"/>
  <c r="AL476" i="52"/>
  <c r="AL475" i="52"/>
  <c r="AL474" i="52"/>
  <c r="AL473" i="52"/>
  <c r="AL472" i="52"/>
  <c r="AL471" i="52"/>
  <c r="AL470" i="52"/>
  <c r="AL469" i="52"/>
  <c r="AL468" i="52"/>
  <c r="AL467" i="52"/>
  <c r="AL466" i="52"/>
  <c r="AL465" i="52"/>
  <c r="AL464" i="52"/>
  <c r="AL463" i="52"/>
  <c r="AL462" i="52"/>
  <c r="AL461" i="52"/>
  <c r="AL460" i="52"/>
  <c r="AL459" i="52"/>
  <c r="AL458" i="52"/>
  <c r="AL457" i="52"/>
  <c r="AL456" i="52"/>
  <c r="AL455" i="52"/>
  <c r="AL454" i="52"/>
  <c r="AL453" i="52"/>
  <c r="AL452" i="52"/>
  <c r="AL451" i="52"/>
  <c r="AL450" i="52"/>
  <c r="AL449" i="52"/>
  <c r="AL448" i="52"/>
  <c r="AL447" i="52"/>
  <c r="AL446" i="52"/>
  <c r="AL445" i="52"/>
  <c r="AL444" i="52"/>
  <c r="AL443" i="52"/>
  <c r="AL442" i="52"/>
  <c r="AL441" i="52"/>
  <c r="AL440" i="52"/>
  <c r="AL439" i="52"/>
  <c r="AL438" i="52"/>
  <c r="AL437" i="52"/>
  <c r="AL436" i="52"/>
  <c r="AL435" i="52"/>
  <c r="AL434" i="52"/>
  <c r="AL433" i="52"/>
  <c r="AL432" i="52"/>
  <c r="AL431" i="52"/>
  <c r="AL430" i="52"/>
  <c r="AL429" i="52"/>
  <c r="AL428" i="52"/>
  <c r="AL427" i="52"/>
  <c r="AL426" i="52"/>
  <c r="AL425" i="52"/>
  <c r="AL424" i="52"/>
  <c r="AL423" i="52"/>
  <c r="AL422" i="52"/>
  <c r="AL421" i="52"/>
  <c r="AL420" i="52"/>
  <c r="AL419" i="52"/>
  <c r="AL418" i="52"/>
  <c r="AL417" i="52"/>
  <c r="AL416" i="52"/>
  <c r="AL415" i="52"/>
  <c r="AL414" i="52"/>
  <c r="AL413" i="52"/>
  <c r="AL412" i="52"/>
  <c r="AL411" i="52"/>
  <c r="AL410" i="52"/>
  <c r="AL409" i="52"/>
  <c r="AL408" i="52"/>
  <c r="AL407" i="52"/>
  <c r="AL406" i="52"/>
  <c r="AL405" i="52"/>
  <c r="AL404" i="52"/>
  <c r="AL403" i="52"/>
  <c r="AL402" i="52"/>
  <c r="AL401" i="52"/>
  <c r="AL400" i="52"/>
  <c r="AL399" i="52"/>
  <c r="AL398" i="52"/>
  <c r="AL397" i="52"/>
  <c r="AL396" i="52"/>
  <c r="AL395" i="52"/>
  <c r="AL394" i="52"/>
  <c r="AL393" i="52"/>
  <c r="AL392" i="52"/>
  <c r="AL391" i="52"/>
  <c r="AL390" i="52"/>
  <c r="AL389" i="52"/>
  <c r="AL388" i="52"/>
  <c r="AL387" i="52"/>
  <c r="AL386" i="52"/>
  <c r="AL385" i="52"/>
  <c r="AL384" i="52"/>
  <c r="AL383" i="52"/>
  <c r="AL382" i="52"/>
  <c r="AL381" i="52"/>
  <c r="AL380" i="52"/>
  <c r="AL379" i="52"/>
  <c r="AL378" i="52"/>
  <c r="AL377" i="52"/>
  <c r="AL376" i="52"/>
  <c r="AL375" i="52"/>
  <c r="AL374" i="52"/>
  <c r="AL373" i="52"/>
  <c r="AL372" i="52"/>
  <c r="AL371" i="52"/>
  <c r="AL370" i="52"/>
  <c r="AL369" i="52"/>
  <c r="AL368" i="52"/>
  <c r="AL367" i="52"/>
  <c r="AL366" i="52"/>
  <c r="AL365" i="52"/>
  <c r="AL364" i="52"/>
  <c r="AL363" i="52"/>
  <c r="AL362" i="52"/>
  <c r="AL361" i="52"/>
  <c r="AL360" i="52"/>
  <c r="AL359" i="52"/>
  <c r="AL358" i="52"/>
  <c r="AL357" i="52"/>
  <c r="AL356" i="52"/>
  <c r="AL355" i="52"/>
  <c r="AL354" i="52"/>
  <c r="AL353" i="52"/>
  <c r="AL352" i="52"/>
  <c r="AL351" i="52"/>
  <c r="AL350" i="52"/>
  <c r="AL349" i="52"/>
  <c r="AL348" i="52"/>
  <c r="AL347" i="52"/>
  <c r="AL346" i="52"/>
  <c r="AL345" i="52"/>
  <c r="AL344" i="52"/>
  <c r="AL343" i="52"/>
  <c r="AL342" i="52"/>
  <c r="AL341" i="52"/>
  <c r="AL340" i="52"/>
  <c r="AL339" i="52"/>
  <c r="AL338" i="52"/>
  <c r="AL337" i="52"/>
  <c r="AL336" i="52"/>
  <c r="AL335" i="52"/>
  <c r="AL334" i="52"/>
  <c r="AL333" i="52"/>
  <c r="AL332" i="52"/>
  <c r="AL331" i="52"/>
  <c r="AL330" i="52"/>
  <c r="AL329" i="52"/>
  <c r="AL328" i="52"/>
  <c r="AL327" i="52"/>
  <c r="AL326" i="52"/>
  <c r="AL325" i="52"/>
  <c r="AL324" i="52"/>
  <c r="AL323" i="52"/>
  <c r="AL322" i="52"/>
  <c r="AL321" i="52"/>
  <c r="AL320" i="52"/>
  <c r="AL319" i="52"/>
  <c r="AL318" i="52"/>
  <c r="AL317" i="52"/>
  <c r="AL316" i="52"/>
  <c r="AL315" i="52"/>
  <c r="AL314" i="52"/>
  <c r="AL313" i="52"/>
  <c r="AL312" i="52"/>
  <c r="AL311" i="52"/>
  <c r="AL310" i="52"/>
  <c r="AL309" i="52"/>
  <c r="AL308" i="52"/>
  <c r="AL307" i="52"/>
  <c r="AL306" i="52"/>
  <c r="AL305" i="52"/>
  <c r="AL304" i="52"/>
  <c r="AL303" i="52"/>
  <c r="AL302" i="52"/>
  <c r="AL301" i="52"/>
  <c r="AL300" i="52"/>
  <c r="AL299" i="52"/>
  <c r="AL298" i="52"/>
  <c r="AL297" i="52"/>
  <c r="AL296" i="52"/>
  <c r="AL294" i="52"/>
  <c r="AL293" i="52"/>
  <c r="AL292" i="52"/>
  <c r="AL291" i="52"/>
  <c r="AL290" i="52"/>
  <c r="AL289" i="52"/>
  <c r="AL288" i="52"/>
  <c r="AL287" i="52"/>
  <c r="AL286" i="52"/>
  <c r="AL285" i="52"/>
  <c r="AL284" i="52"/>
  <c r="AL283" i="52"/>
  <c r="AL282" i="52"/>
  <c r="AL281" i="52"/>
  <c r="AL280" i="52"/>
  <c r="AL279" i="52"/>
  <c r="AL278" i="52"/>
  <c r="AL277" i="52"/>
  <c r="AL276" i="52"/>
  <c r="AL275" i="52"/>
  <c r="AL274" i="52"/>
  <c r="AL273" i="52"/>
  <c r="AL272" i="52"/>
  <c r="AL271" i="52"/>
  <c r="AL270" i="52"/>
  <c r="AL269" i="52"/>
  <c r="AL268" i="52"/>
  <c r="AL267" i="52"/>
  <c r="AL266" i="52"/>
  <c r="AL265" i="52"/>
  <c r="AL264" i="52"/>
  <c r="AL263" i="52"/>
  <c r="AL262" i="52"/>
  <c r="AL261" i="52"/>
  <c r="AL260" i="52"/>
  <c r="AL259" i="52"/>
  <c r="AL258" i="52"/>
  <c r="AL257" i="52"/>
  <c r="AL256" i="52"/>
  <c r="AL255" i="52"/>
  <c r="AL254" i="52"/>
  <c r="AL253" i="52"/>
  <c r="AL252" i="52"/>
  <c r="AL251" i="52"/>
  <c r="AL250" i="52"/>
  <c r="AL249" i="52"/>
  <c r="AL248" i="52"/>
  <c r="AL247" i="52"/>
  <c r="AL246" i="52"/>
  <c r="AL245" i="52"/>
  <c r="AL244" i="52"/>
  <c r="AL243" i="52"/>
  <c r="AL242" i="52"/>
  <c r="AL241" i="52"/>
  <c r="AL240" i="52"/>
  <c r="AL239" i="52"/>
  <c r="AL238" i="52"/>
  <c r="AL237" i="52"/>
  <c r="AL236" i="52"/>
  <c r="AL235" i="52"/>
  <c r="AL234" i="52"/>
  <c r="AL233" i="52"/>
  <c r="AL232" i="52"/>
  <c r="AL231" i="52"/>
  <c r="AL230" i="52"/>
  <c r="AL229" i="52"/>
  <c r="AL228" i="52"/>
  <c r="AL227" i="52"/>
  <c r="AL226" i="52"/>
  <c r="AL225" i="52"/>
  <c r="AL224" i="52"/>
  <c r="AL223" i="52"/>
  <c r="AL222" i="52"/>
  <c r="AL221" i="52"/>
  <c r="AL220" i="52"/>
  <c r="AL219" i="52"/>
  <c r="AL218" i="52"/>
  <c r="AL217" i="52"/>
  <c r="AL216" i="52"/>
  <c r="AL215" i="52"/>
  <c r="AL214" i="52"/>
  <c r="AL213" i="52"/>
  <c r="AL212" i="52"/>
  <c r="AL211" i="52"/>
  <c r="AL210" i="52"/>
  <c r="AL209" i="52"/>
  <c r="AL208" i="52"/>
  <c r="AL207" i="52"/>
  <c r="AL206" i="52"/>
  <c r="AL205" i="52"/>
  <c r="AL204" i="52"/>
  <c r="AL203" i="52"/>
  <c r="AL202" i="52"/>
  <c r="AL201" i="52"/>
  <c r="AL200" i="52"/>
  <c r="AL199" i="52"/>
  <c r="AL198" i="52"/>
  <c r="AL197" i="52"/>
  <c r="AL196" i="52"/>
  <c r="AL195" i="52"/>
  <c r="AL194" i="52"/>
  <c r="AL193" i="52"/>
  <c r="AL192" i="52"/>
  <c r="AL191" i="52"/>
  <c r="AL190" i="52"/>
  <c r="AL189" i="52"/>
  <c r="AL188" i="52"/>
  <c r="AL187" i="52"/>
  <c r="AL186" i="52"/>
  <c r="AL185" i="52"/>
  <c r="AL184" i="52"/>
  <c r="AL183" i="52"/>
  <c r="AL182" i="52"/>
  <c r="AL181" i="52"/>
  <c r="AL180" i="52"/>
  <c r="AL179" i="52"/>
  <c r="AL178" i="52"/>
  <c r="AL177" i="52"/>
  <c r="AL176" i="52"/>
  <c r="AL175" i="52"/>
  <c r="AL174" i="52"/>
  <c r="AL173" i="52"/>
  <c r="AL172" i="52"/>
  <c r="AL171" i="52"/>
  <c r="AL170" i="52"/>
  <c r="AL169" i="52"/>
  <c r="AL168" i="52"/>
  <c r="AL167" i="52"/>
  <c r="AL166" i="52"/>
  <c r="AL165" i="52"/>
  <c r="AL164" i="52"/>
  <c r="AL163" i="52"/>
  <c r="AL162" i="52"/>
  <c r="AL161" i="52"/>
  <c r="AL160" i="52"/>
  <c r="AL159" i="52"/>
  <c r="AL158" i="52"/>
  <c r="AL157" i="52"/>
  <c r="AL156" i="52"/>
  <c r="AL155" i="52"/>
  <c r="AL154" i="52"/>
  <c r="AL153" i="52"/>
  <c r="AL152" i="52"/>
  <c r="AL151" i="52"/>
  <c r="AL150" i="52"/>
  <c r="AL149" i="52"/>
  <c r="AL148" i="52"/>
  <c r="AL147" i="52"/>
  <c r="AL146" i="52"/>
  <c r="AL145" i="52"/>
  <c r="AL144" i="52"/>
  <c r="AL143" i="52"/>
  <c r="AL142" i="52"/>
  <c r="AL141" i="52"/>
  <c r="AL140" i="52"/>
  <c r="AL139" i="52"/>
  <c r="AL138" i="52"/>
  <c r="AL137" i="52"/>
  <c r="AL136" i="52"/>
  <c r="AL135" i="52"/>
  <c r="AL134" i="52"/>
  <c r="AL133" i="52"/>
  <c r="AL132" i="52"/>
  <c r="AL131" i="52"/>
  <c r="AL130" i="52"/>
  <c r="AL129" i="52"/>
  <c r="AL128" i="52"/>
  <c r="AL127" i="52"/>
  <c r="AL126" i="52"/>
  <c r="AL125" i="52"/>
  <c r="AL124" i="52"/>
  <c r="AL123" i="52"/>
  <c r="AL122" i="52"/>
  <c r="AL121" i="52"/>
  <c r="AL120" i="52"/>
  <c r="AL119" i="52"/>
  <c r="AL118" i="52"/>
  <c r="AL117" i="52"/>
  <c r="AL116" i="52"/>
  <c r="AL115" i="52"/>
  <c r="AL114" i="52"/>
  <c r="AL113" i="52"/>
  <c r="AL112" i="52"/>
  <c r="AL111" i="52"/>
  <c r="AL110" i="52"/>
  <c r="AL109" i="52"/>
  <c r="AL108" i="52"/>
  <c r="AL107" i="52"/>
  <c r="AL106" i="52"/>
  <c r="AL105" i="52"/>
  <c r="AL104" i="52"/>
  <c r="AL103" i="52"/>
  <c r="AL102" i="52"/>
  <c r="AL101" i="52"/>
  <c r="AL100" i="52"/>
  <c r="AL99" i="52"/>
  <c r="AL98" i="52"/>
  <c r="AL97" i="52"/>
  <c r="AL96" i="52"/>
  <c r="AL95" i="52"/>
  <c r="AL94" i="52"/>
  <c r="AL93" i="52"/>
  <c r="AL92" i="52"/>
  <c r="AL91" i="52"/>
  <c r="AL90" i="52"/>
  <c r="AL89" i="52"/>
  <c r="AL88" i="52"/>
  <c r="AL87" i="52"/>
  <c r="AL86" i="52"/>
  <c r="AL85" i="52"/>
  <c r="AL84" i="52"/>
  <c r="AL83" i="52"/>
  <c r="AL82" i="52"/>
  <c r="AL81" i="52"/>
  <c r="AL80" i="52"/>
  <c r="AL79" i="52"/>
  <c r="AL78" i="52"/>
  <c r="AL77" i="52"/>
  <c r="AL76" i="52"/>
  <c r="AL75" i="52"/>
  <c r="AL74" i="52"/>
  <c r="AL73" i="52"/>
  <c r="AL72" i="52"/>
  <c r="AL71" i="52"/>
  <c r="AL70" i="52"/>
  <c r="AL69" i="52"/>
  <c r="AL68" i="52"/>
  <c r="AL67" i="52"/>
  <c r="AL66" i="52"/>
  <c r="AL65" i="52"/>
  <c r="AL64" i="52"/>
  <c r="AL63" i="52"/>
  <c r="AL62" i="52"/>
  <c r="AL61" i="52"/>
  <c r="AL60" i="52"/>
  <c r="AL59" i="52"/>
  <c r="AL58" i="52"/>
  <c r="AL57" i="52"/>
  <c r="AL56" i="52"/>
  <c r="AL55" i="52"/>
  <c r="AL54" i="52"/>
  <c r="AL53" i="52"/>
  <c r="AL52" i="52"/>
  <c r="AL51" i="52"/>
  <c r="AL50" i="52"/>
  <c r="AL49" i="52"/>
  <c r="AL48" i="52"/>
  <c r="AL47" i="52"/>
  <c r="AL46" i="52"/>
  <c r="AL45" i="52"/>
  <c r="AL44" i="52"/>
  <c r="AL43" i="52"/>
  <c r="AL42" i="52"/>
  <c r="AL41" i="52"/>
  <c r="AL40" i="52"/>
  <c r="AL39" i="52"/>
  <c r="AL38" i="52"/>
  <c r="AL37" i="52"/>
  <c r="AL36" i="52"/>
  <c r="AL35" i="52"/>
  <c r="AL34" i="52"/>
  <c r="AL33" i="52"/>
  <c r="AL32" i="52"/>
  <c r="AL31" i="52"/>
  <c r="AL30" i="52"/>
  <c r="AL29" i="52"/>
  <c r="AL28" i="52"/>
  <c r="AL27" i="52"/>
  <c r="AL26" i="52"/>
  <c r="AL25" i="52"/>
  <c r="AL24" i="52"/>
  <c r="AL23" i="52"/>
  <c r="AL22" i="52"/>
  <c r="AL21" i="52"/>
  <c r="AL20" i="52"/>
  <c r="AL19" i="52"/>
  <c r="AL18" i="52"/>
  <c r="AL17" i="52"/>
  <c r="AL16" i="52"/>
  <c r="AL15" i="52"/>
  <c r="AL14" i="52"/>
  <c r="AL13" i="52"/>
  <c r="AL12" i="52"/>
  <c r="AL11" i="52"/>
  <c r="AL10" i="52"/>
  <c r="AL9" i="52"/>
  <c r="AL8" i="52"/>
  <c r="AL7" i="52"/>
  <c r="AL6" i="52"/>
  <c r="AL5" i="52"/>
  <c r="AL4" i="52"/>
  <c r="AL3" i="52"/>
  <c r="AL2" i="52"/>
  <c r="C89" i="53"/>
  <c r="P41" i="53"/>
  <c r="P9" i="53" s="1"/>
  <c r="Y43" i="53"/>
  <c r="V40" i="53"/>
  <c r="P13" i="53" s="1"/>
  <c r="Y33" i="53"/>
  <c r="V34" i="53"/>
  <c r="S34" i="53"/>
  <c r="P11" i="53" s="1"/>
  <c r="P36" i="53"/>
  <c r="P8" i="53" s="1"/>
  <c r="M37" i="53"/>
  <c r="J44" i="53"/>
  <c r="P6" i="53" s="1"/>
  <c r="G46" i="53"/>
  <c r="P5" i="53" s="1"/>
  <c r="E26" i="53"/>
  <c r="D26" i="53"/>
  <c r="E23" i="53"/>
  <c r="D23" i="53"/>
  <c r="E20" i="53"/>
  <c r="D20" i="53"/>
  <c r="E17" i="53"/>
  <c r="D17" i="53"/>
  <c r="E14" i="53"/>
  <c r="D14" i="53"/>
  <c r="E11" i="53"/>
  <c r="D11" i="53"/>
  <c r="U29" i="54" l="1"/>
  <c r="D58" i="53"/>
  <c r="D54" i="53"/>
  <c r="D50" i="53"/>
  <c r="D46" i="53"/>
  <c r="D42" i="53"/>
  <c r="D38" i="53"/>
  <c r="D33" i="53"/>
  <c r="D57" i="53"/>
  <c r="D53" i="53"/>
  <c r="D49" i="53"/>
  <c r="D45" i="53"/>
  <c r="D41" i="53"/>
  <c r="D37" i="53"/>
  <c r="D32" i="53"/>
  <c r="D34" i="53"/>
  <c r="D56" i="53"/>
  <c r="D52" i="53"/>
  <c r="D48" i="53"/>
  <c r="D44" i="53"/>
  <c r="D40" i="53"/>
  <c r="D36" i="53"/>
  <c r="D59" i="53"/>
  <c r="D55" i="53"/>
  <c r="D51" i="53"/>
  <c r="D47" i="53"/>
  <c r="D43" i="53"/>
  <c r="D39" i="53"/>
  <c r="D35" i="53"/>
  <c r="D31" i="53"/>
  <c r="I9" i="53"/>
  <c r="AL771" i="52"/>
  <c r="AL772" i="52"/>
  <c r="AB34" i="53"/>
  <c r="AB38" i="53" s="1"/>
  <c r="P47" i="53"/>
  <c r="P10" i="53" s="1"/>
  <c r="K9" i="53"/>
  <c r="J14" i="53"/>
  <c r="P12" i="53"/>
  <c r="J16" i="53"/>
  <c r="P15" i="53"/>
  <c r="J13" i="53"/>
  <c r="P7" i="53"/>
  <c r="J15" i="53"/>
  <c r="P14" i="53"/>
  <c r="C87" i="51"/>
  <c r="C86" i="51"/>
  <c r="C85" i="51"/>
  <c r="C84" i="51"/>
  <c r="C83" i="51"/>
  <c r="C82" i="51"/>
  <c r="C81" i="51"/>
  <c r="C80" i="51"/>
  <c r="C79" i="51"/>
  <c r="C78" i="51"/>
  <c r="C77" i="51"/>
  <c r="C76" i="51"/>
  <c r="C75" i="51"/>
  <c r="C74" i="51"/>
  <c r="C73" i="51"/>
  <c r="C72" i="51"/>
  <c r="C71" i="51"/>
  <c r="C70" i="51"/>
  <c r="C69" i="51"/>
  <c r="C68" i="51"/>
  <c r="C67" i="51"/>
  <c r="C66" i="51"/>
  <c r="C65" i="51"/>
  <c r="C64" i="51"/>
  <c r="C63" i="51"/>
  <c r="AB36" i="51"/>
  <c r="AB32" i="51"/>
  <c r="AB31" i="51"/>
  <c r="AB30" i="51"/>
  <c r="AB29" i="51"/>
  <c r="AB28" i="51"/>
  <c r="AB23" i="51"/>
  <c r="AB22" i="51"/>
  <c r="AB21" i="51"/>
  <c r="AB20" i="51"/>
  <c r="AB19" i="51"/>
  <c r="AB18" i="51"/>
  <c r="AB17" i="51"/>
  <c r="AB16" i="51"/>
  <c r="AB15" i="51"/>
  <c r="AB14" i="51"/>
  <c r="AB13" i="51"/>
  <c r="AB12" i="51"/>
  <c r="AB11" i="51"/>
  <c r="AB10" i="51"/>
  <c r="AB9" i="51"/>
  <c r="AB8" i="51"/>
  <c r="AB7" i="51"/>
  <c r="AB6" i="51"/>
  <c r="AB5" i="51"/>
  <c r="AB4" i="51"/>
  <c r="D60" i="53" l="1"/>
  <c r="AB33" i="51"/>
  <c r="AB37" i="51" s="1"/>
  <c r="J12" i="53" l="1"/>
  <c r="P4" i="53"/>
  <c r="K7" i="51"/>
  <c r="K6" i="51"/>
  <c r="K4" i="51"/>
  <c r="K5" i="51"/>
  <c r="I7" i="51"/>
  <c r="I6" i="51"/>
  <c r="I5" i="51"/>
  <c r="I4" i="51"/>
  <c r="D20" i="30"/>
  <c r="E22" i="30"/>
  <c r="E21" i="30"/>
  <c r="D21" i="30"/>
  <c r="E20" i="30"/>
  <c r="E19" i="30"/>
  <c r="D19" i="30"/>
  <c r="E18" i="30"/>
  <c r="D18" i="30"/>
  <c r="E26" i="51"/>
  <c r="D26" i="51"/>
  <c r="AM704" i="50"/>
  <c r="AM703" i="50"/>
  <c r="AK703" i="50"/>
  <c r="AL2" i="50"/>
  <c r="AL702" i="50"/>
  <c r="AL701" i="50"/>
  <c r="AL700" i="50"/>
  <c r="AL699" i="50"/>
  <c r="AL698" i="50"/>
  <c r="AL697" i="50"/>
  <c r="AL696" i="50"/>
  <c r="AL695" i="50"/>
  <c r="AL694" i="50"/>
  <c r="AL693" i="50"/>
  <c r="AL692" i="50"/>
  <c r="AL691" i="50"/>
  <c r="AL690" i="50"/>
  <c r="AL689" i="50"/>
  <c r="AL688" i="50"/>
  <c r="AL687" i="50"/>
  <c r="AL686" i="50"/>
  <c r="AL685" i="50"/>
  <c r="AL684" i="50"/>
  <c r="AL683" i="50"/>
  <c r="AL682" i="50"/>
  <c r="AL681" i="50"/>
  <c r="AL680" i="50"/>
  <c r="AL679" i="50"/>
  <c r="AL678" i="50"/>
  <c r="AL677" i="50"/>
  <c r="AL676" i="50"/>
  <c r="AL675" i="50"/>
  <c r="AL674" i="50"/>
  <c r="AL673" i="50"/>
  <c r="AL672" i="50"/>
  <c r="AL671" i="50"/>
  <c r="AL670" i="50"/>
  <c r="AL669" i="50"/>
  <c r="AL668" i="50"/>
  <c r="AL667" i="50"/>
  <c r="AL666" i="50"/>
  <c r="AL665" i="50"/>
  <c r="AL664" i="50"/>
  <c r="AL663" i="50"/>
  <c r="AL662" i="50"/>
  <c r="AL661" i="50"/>
  <c r="AL660" i="50"/>
  <c r="AL659" i="50"/>
  <c r="AL658" i="50"/>
  <c r="AL657" i="50"/>
  <c r="AL656" i="50"/>
  <c r="AL655" i="50"/>
  <c r="AL654" i="50"/>
  <c r="AL653" i="50"/>
  <c r="AL652" i="50"/>
  <c r="AL651" i="50"/>
  <c r="AL650" i="50"/>
  <c r="AL649" i="50"/>
  <c r="AL648" i="50"/>
  <c r="AL647" i="50"/>
  <c r="AL646" i="50"/>
  <c r="AL645" i="50"/>
  <c r="AL644" i="50"/>
  <c r="AL643" i="50"/>
  <c r="AL642" i="50"/>
  <c r="AL641" i="50"/>
  <c r="AL640" i="50"/>
  <c r="AL639" i="50"/>
  <c r="AL638" i="50"/>
  <c r="AL637" i="50"/>
  <c r="AL636" i="50"/>
  <c r="AL635" i="50"/>
  <c r="AL634" i="50"/>
  <c r="AL633" i="50"/>
  <c r="AL632" i="50"/>
  <c r="AL631" i="50"/>
  <c r="AL630" i="50"/>
  <c r="AL629" i="50"/>
  <c r="AL628" i="50"/>
  <c r="AL627" i="50"/>
  <c r="AL626" i="50"/>
  <c r="AL625" i="50"/>
  <c r="AL624" i="50"/>
  <c r="AL623" i="50"/>
  <c r="AL622" i="50"/>
  <c r="AL621" i="50"/>
  <c r="AL620" i="50"/>
  <c r="AL619" i="50"/>
  <c r="AL618" i="50"/>
  <c r="AL617" i="50"/>
  <c r="AL616" i="50"/>
  <c r="AL615" i="50"/>
  <c r="AL614" i="50"/>
  <c r="AL613" i="50"/>
  <c r="AL612" i="50"/>
  <c r="AL611" i="50"/>
  <c r="AL610" i="50"/>
  <c r="AL609" i="50"/>
  <c r="AL608" i="50"/>
  <c r="AL607" i="50"/>
  <c r="AL606" i="50"/>
  <c r="AL605" i="50"/>
  <c r="AL604" i="50"/>
  <c r="AL603" i="50"/>
  <c r="AL602" i="50"/>
  <c r="AL601" i="50"/>
  <c r="AL600" i="50"/>
  <c r="AL599" i="50"/>
  <c r="AL598" i="50"/>
  <c r="AL597" i="50"/>
  <c r="AL596" i="50"/>
  <c r="AL595" i="50"/>
  <c r="AL594" i="50"/>
  <c r="AL593" i="50"/>
  <c r="AL592" i="50"/>
  <c r="AL591" i="50"/>
  <c r="AL590" i="50"/>
  <c r="AL589" i="50"/>
  <c r="AL588" i="50"/>
  <c r="AL587" i="50"/>
  <c r="AL586" i="50"/>
  <c r="AL585" i="50"/>
  <c r="AL584" i="50"/>
  <c r="AL583" i="50"/>
  <c r="AL582" i="50"/>
  <c r="AL581" i="50"/>
  <c r="AL580" i="50"/>
  <c r="AL579" i="50"/>
  <c r="AL578" i="50"/>
  <c r="AL577" i="50"/>
  <c r="AL576" i="50"/>
  <c r="AL575" i="50"/>
  <c r="AL574" i="50"/>
  <c r="AL573" i="50"/>
  <c r="AL572" i="50"/>
  <c r="AL571" i="50"/>
  <c r="AL570" i="50"/>
  <c r="AL569" i="50"/>
  <c r="AL568" i="50"/>
  <c r="AL567" i="50"/>
  <c r="AL566" i="50"/>
  <c r="AL565" i="50"/>
  <c r="AL564" i="50"/>
  <c r="AL563" i="50"/>
  <c r="AL562" i="50"/>
  <c r="AL561" i="50"/>
  <c r="AL560" i="50"/>
  <c r="AL559" i="50"/>
  <c r="AL558" i="50"/>
  <c r="AL557" i="50"/>
  <c r="AL556" i="50"/>
  <c r="AL555" i="50"/>
  <c r="AL554" i="50"/>
  <c r="AL553" i="50"/>
  <c r="AL552" i="50"/>
  <c r="AL551" i="50"/>
  <c r="AL550" i="50"/>
  <c r="AL549" i="50"/>
  <c r="AL548" i="50"/>
  <c r="AL547" i="50"/>
  <c r="AL546" i="50"/>
  <c r="AL545" i="50"/>
  <c r="AL544" i="50"/>
  <c r="AL543" i="50"/>
  <c r="AL542" i="50"/>
  <c r="AL541" i="50"/>
  <c r="AL540" i="50"/>
  <c r="AL539" i="50"/>
  <c r="AL538" i="50"/>
  <c r="AL537" i="50"/>
  <c r="AL536" i="50"/>
  <c r="AL535" i="50"/>
  <c r="AL534" i="50"/>
  <c r="AL533" i="50"/>
  <c r="AL532" i="50"/>
  <c r="AL531" i="50"/>
  <c r="AL530" i="50"/>
  <c r="AL529" i="50"/>
  <c r="AL528" i="50"/>
  <c r="AL527" i="50"/>
  <c r="AL526" i="50"/>
  <c r="AL525" i="50"/>
  <c r="AL524" i="50"/>
  <c r="AL523" i="50"/>
  <c r="AL522" i="50"/>
  <c r="AL521" i="50"/>
  <c r="AL520" i="50"/>
  <c r="AL519" i="50"/>
  <c r="AL518" i="50"/>
  <c r="AL517" i="50"/>
  <c r="AL516" i="50"/>
  <c r="AL515" i="50"/>
  <c r="AL514" i="50"/>
  <c r="AL513" i="50"/>
  <c r="AL512" i="50"/>
  <c r="AL511" i="50"/>
  <c r="AL510" i="50"/>
  <c r="AL509" i="50"/>
  <c r="AL508" i="50"/>
  <c r="AL507" i="50"/>
  <c r="AL506" i="50"/>
  <c r="AL505" i="50"/>
  <c r="AL504" i="50"/>
  <c r="AL503" i="50"/>
  <c r="AL502" i="50"/>
  <c r="AL501" i="50"/>
  <c r="AL500" i="50"/>
  <c r="AL499" i="50"/>
  <c r="AL498" i="50"/>
  <c r="AL497" i="50"/>
  <c r="AL496" i="50"/>
  <c r="AL495" i="50"/>
  <c r="AL494" i="50"/>
  <c r="AL493" i="50"/>
  <c r="AL492" i="50"/>
  <c r="AL491" i="50"/>
  <c r="AL490" i="50"/>
  <c r="AL489" i="50"/>
  <c r="AL488" i="50"/>
  <c r="AL487" i="50"/>
  <c r="AL486" i="50"/>
  <c r="AL485" i="50"/>
  <c r="AL484" i="50"/>
  <c r="AL483" i="50"/>
  <c r="AL482" i="50"/>
  <c r="AL481" i="50"/>
  <c r="AL480" i="50"/>
  <c r="AL479" i="50"/>
  <c r="AL478" i="50"/>
  <c r="AL477" i="50"/>
  <c r="AL476" i="50"/>
  <c r="AL475" i="50"/>
  <c r="AL474" i="50"/>
  <c r="AL473" i="50"/>
  <c r="AL472" i="50"/>
  <c r="AL471" i="50"/>
  <c r="AL470" i="50"/>
  <c r="AL469" i="50"/>
  <c r="AL468" i="50"/>
  <c r="AL467" i="50"/>
  <c r="AL466" i="50"/>
  <c r="AL465" i="50"/>
  <c r="AL464" i="50"/>
  <c r="AL463" i="50"/>
  <c r="AL462" i="50"/>
  <c r="AL461" i="50"/>
  <c r="AL460" i="50"/>
  <c r="AL459" i="50"/>
  <c r="AL458" i="50"/>
  <c r="AL457" i="50"/>
  <c r="AL456" i="50"/>
  <c r="AL455" i="50"/>
  <c r="AL454" i="50"/>
  <c r="AL453" i="50"/>
  <c r="AL452" i="50"/>
  <c r="AL451" i="50"/>
  <c r="AL450" i="50"/>
  <c r="AL449" i="50"/>
  <c r="AL448" i="50"/>
  <c r="AL447" i="50"/>
  <c r="AL446" i="50"/>
  <c r="AL445" i="50"/>
  <c r="AL444" i="50"/>
  <c r="AL443" i="50"/>
  <c r="AL442" i="50"/>
  <c r="AL441" i="50"/>
  <c r="AL440" i="50"/>
  <c r="AL439" i="50"/>
  <c r="AL438" i="50"/>
  <c r="AL437" i="50"/>
  <c r="AL436" i="50"/>
  <c r="AL435" i="50"/>
  <c r="AL434" i="50"/>
  <c r="AL433" i="50"/>
  <c r="AL432" i="50"/>
  <c r="AL431" i="50"/>
  <c r="AL430" i="50"/>
  <c r="AL429" i="50"/>
  <c r="AL428" i="50"/>
  <c r="AL427" i="50"/>
  <c r="AL426" i="50"/>
  <c r="AL425" i="50"/>
  <c r="AL424" i="50"/>
  <c r="AL423" i="50"/>
  <c r="AL422" i="50"/>
  <c r="AL421" i="50"/>
  <c r="AL420" i="50"/>
  <c r="AL419" i="50"/>
  <c r="AL418" i="50"/>
  <c r="AL417" i="50"/>
  <c r="AL416" i="50"/>
  <c r="AL415" i="50"/>
  <c r="AL414" i="50"/>
  <c r="AL413" i="50"/>
  <c r="AL412" i="50"/>
  <c r="AL411" i="50"/>
  <c r="AL410" i="50"/>
  <c r="AL409" i="50"/>
  <c r="AL408" i="50"/>
  <c r="AL407" i="50"/>
  <c r="AL406" i="50"/>
  <c r="AL405" i="50"/>
  <c r="AL404" i="50"/>
  <c r="AL403" i="50"/>
  <c r="AL402" i="50"/>
  <c r="AL401" i="50"/>
  <c r="AL400" i="50"/>
  <c r="AL399" i="50"/>
  <c r="AL398" i="50"/>
  <c r="AL397" i="50"/>
  <c r="AL396" i="50"/>
  <c r="AL395" i="50"/>
  <c r="AL394" i="50"/>
  <c r="AL393" i="50"/>
  <c r="AL392" i="50"/>
  <c r="AL391" i="50"/>
  <c r="AL390" i="50"/>
  <c r="AL389" i="50"/>
  <c r="AL388" i="50"/>
  <c r="AL387" i="50"/>
  <c r="AL386" i="50"/>
  <c r="AL385" i="50"/>
  <c r="AL384" i="50"/>
  <c r="AL383" i="50"/>
  <c r="AL382" i="50"/>
  <c r="AL381" i="50"/>
  <c r="AL380" i="50"/>
  <c r="AL379" i="50"/>
  <c r="AL378" i="50"/>
  <c r="AL377" i="50"/>
  <c r="AL376" i="50"/>
  <c r="AL375" i="50"/>
  <c r="AL374" i="50"/>
  <c r="AL373" i="50"/>
  <c r="AL372" i="50"/>
  <c r="AL371" i="50"/>
  <c r="AL370" i="50"/>
  <c r="AL369" i="50"/>
  <c r="AL368" i="50"/>
  <c r="AL367" i="50"/>
  <c r="AL366" i="50"/>
  <c r="AL365" i="50"/>
  <c r="AL364" i="50"/>
  <c r="AL363" i="50"/>
  <c r="AL362" i="50"/>
  <c r="AL361" i="50"/>
  <c r="AL360" i="50"/>
  <c r="AL359" i="50"/>
  <c r="AL358" i="50"/>
  <c r="AL357" i="50"/>
  <c r="AL356" i="50"/>
  <c r="AL355" i="50"/>
  <c r="AL354" i="50"/>
  <c r="AL353" i="50"/>
  <c r="AL352" i="50"/>
  <c r="AL351" i="50"/>
  <c r="AL350" i="50"/>
  <c r="AL349" i="50"/>
  <c r="AL348" i="50"/>
  <c r="AL347" i="50"/>
  <c r="AL346" i="50"/>
  <c r="AL345" i="50"/>
  <c r="AL344" i="50"/>
  <c r="AL343" i="50"/>
  <c r="AL342" i="50"/>
  <c r="AL341" i="50"/>
  <c r="AL340" i="50"/>
  <c r="AL339" i="50"/>
  <c r="AL338" i="50"/>
  <c r="AL337" i="50"/>
  <c r="AL336" i="50"/>
  <c r="AL335" i="50"/>
  <c r="AL334" i="50"/>
  <c r="AL333" i="50"/>
  <c r="AL332" i="50"/>
  <c r="AL331" i="50"/>
  <c r="AL330" i="50"/>
  <c r="AL329" i="50"/>
  <c r="AL328" i="50"/>
  <c r="AL327" i="50"/>
  <c r="AL326" i="50"/>
  <c r="AL325" i="50"/>
  <c r="AL324" i="50"/>
  <c r="AL323" i="50"/>
  <c r="AL322" i="50"/>
  <c r="AL321" i="50"/>
  <c r="AL320" i="50"/>
  <c r="AL319" i="50"/>
  <c r="AL318" i="50"/>
  <c r="AL317" i="50"/>
  <c r="AL316" i="50"/>
  <c r="AL315" i="50"/>
  <c r="AL314" i="50"/>
  <c r="AL313" i="50"/>
  <c r="AL312" i="50"/>
  <c r="AL311" i="50"/>
  <c r="AL310" i="50"/>
  <c r="AL309" i="50"/>
  <c r="AL308" i="50"/>
  <c r="AL307" i="50"/>
  <c r="AL306" i="50"/>
  <c r="AL305" i="50"/>
  <c r="AL304" i="50"/>
  <c r="AL303" i="50"/>
  <c r="AL302" i="50"/>
  <c r="AL301" i="50"/>
  <c r="AL300" i="50"/>
  <c r="AL299" i="50"/>
  <c r="AL298" i="50"/>
  <c r="AL297" i="50"/>
  <c r="AL296" i="50"/>
  <c r="AL295" i="50"/>
  <c r="AL294" i="50"/>
  <c r="AL293" i="50"/>
  <c r="AL292" i="50"/>
  <c r="AL291" i="50"/>
  <c r="AL290" i="50"/>
  <c r="AL289" i="50"/>
  <c r="AL288" i="50"/>
  <c r="AL287" i="50"/>
  <c r="AL286" i="50"/>
  <c r="AL285" i="50"/>
  <c r="AL284" i="50"/>
  <c r="AL283" i="50"/>
  <c r="AL282" i="50"/>
  <c r="AL281" i="50"/>
  <c r="AL280" i="50"/>
  <c r="AL279" i="50"/>
  <c r="AL278" i="50"/>
  <c r="AL277" i="50"/>
  <c r="AL276" i="50"/>
  <c r="AL275" i="50"/>
  <c r="AL274" i="50"/>
  <c r="AL273" i="50"/>
  <c r="AL272" i="50"/>
  <c r="AL271" i="50"/>
  <c r="AL270" i="50"/>
  <c r="AL269" i="50"/>
  <c r="AL268" i="50"/>
  <c r="AL267" i="50"/>
  <c r="AL266" i="50"/>
  <c r="AL265" i="50"/>
  <c r="AL264" i="50"/>
  <c r="AL263" i="50"/>
  <c r="AL262" i="50"/>
  <c r="AL261" i="50"/>
  <c r="AL260" i="50"/>
  <c r="AL259" i="50"/>
  <c r="AL258" i="50"/>
  <c r="AL257" i="50"/>
  <c r="AL256" i="50"/>
  <c r="AL255" i="50"/>
  <c r="AL254" i="50"/>
  <c r="AL253" i="50"/>
  <c r="AL252" i="50"/>
  <c r="AL251" i="50"/>
  <c r="AL250" i="50"/>
  <c r="AL249" i="50"/>
  <c r="AL248" i="50"/>
  <c r="AL247" i="50"/>
  <c r="AL246" i="50"/>
  <c r="AL245" i="50"/>
  <c r="AL244" i="50"/>
  <c r="AL243" i="50"/>
  <c r="AL242" i="50"/>
  <c r="AL241" i="50"/>
  <c r="AL240" i="50"/>
  <c r="AL239" i="50"/>
  <c r="AL238" i="50"/>
  <c r="AL237" i="50"/>
  <c r="AL236" i="50"/>
  <c r="AL235" i="50"/>
  <c r="AL234" i="50"/>
  <c r="AL233" i="50"/>
  <c r="AL232" i="50"/>
  <c r="AL231" i="50"/>
  <c r="AL230" i="50"/>
  <c r="AL229" i="50"/>
  <c r="AL228" i="50"/>
  <c r="AL227" i="50"/>
  <c r="AL226" i="50"/>
  <c r="AL225" i="50"/>
  <c r="AL224" i="50"/>
  <c r="AL223" i="50"/>
  <c r="AL222" i="50"/>
  <c r="AL221" i="50"/>
  <c r="AL220" i="50"/>
  <c r="AL219" i="50"/>
  <c r="AL218" i="50"/>
  <c r="AL217" i="50"/>
  <c r="AL216" i="50"/>
  <c r="AL215" i="50"/>
  <c r="AL214" i="50"/>
  <c r="AL213" i="50"/>
  <c r="AL212" i="50"/>
  <c r="AL211" i="50"/>
  <c r="AL210" i="50"/>
  <c r="AL209" i="50"/>
  <c r="AL208" i="50"/>
  <c r="AL207" i="50"/>
  <c r="AL206" i="50"/>
  <c r="AL205" i="50"/>
  <c r="AL204" i="50"/>
  <c r="AL203" i="50"/>
  <c r="AL202" i="50"/>
  <c r="AL201" i="50"/>
  <c r="AL200" i="50"/>
  <c r="AL199" i="50"/>
  <c r="AL198" i="50"/>
  <c r="AL197" i="50"/>
  <c r="AL196" i="50"/>
  <c r="AL195" i="50"/>
  <c r="AL194" i="50"/>
  <c r="AL193" i="50"/>
  <c r="AL192" i="50"/>
  <c r="AL191" i="50"/>
  <c r="AL190" i="50"/>
  <c r="AL189" i="50"/>
  <c r="AL188" i="50"/>
  <c r="AL187" i="50"/>
  <c r="AL186" i="50"/>
  <c r="AL185" i="50"/>
  <c r="AL184" i="50"/>
  <c r="AL183" i="50"/>
  <c r="AL182" i="50"/>
  <c r="AL181" i="50"/>
  <c r="AL180" i="50"/>
  <c r="AL179" i="50"/>
  <c r="AL178" i="50"/>
  <c r="AL177" i="50"/>
  <c r="AL176" i="50"/>
  <c r="AL175" i="50"/>
  <c r="AL174" i="50"/>
  <c r="AL173" i="50"/>
  <c r="AL172" i="50"/>
  <c r="AL171" i="50"/>
  <c r="AL170" i="50"/>
  <c r="AL169" i="50"/>
  <c r="AL168" i="50"/>
  <c r="AL167" i="50"/>
  <c r="AL166" i="50"/>
  <c r="AL165" i="50"/>
  <c r="AL164" i="50"/>
  <c r="AL163" i="50"/>
  <c r="AL162" i="50"/>
  <c r="AL161" i="50"/>
  <c r="AL160" i="50"/>
  <c r="AL159" i="50"/>
  <c r="AL158" i="50"/>
  <c r="AL157" i="50"/>
  <c r="AL156" i="50"/>
  <c r="AL155" i="50"/>
  <c r="AL154" i="50"/>
  <c r="AL153" i="50"/>
  <c r="AL152" i="50"/>
  <c r="AL151" i="50"/>
  <c r="AL150" i="50"/>
  <c r="AL149" i="50"/>
  <c r="AL148" i="50"/>
  <c r="AL147" i="50"/>
  <c r="AL146" i="50"/>
  <c r="AL145" i="50"/>
  <c r="AL144" i="50"/>
  <c r="AL143" i="50"/>
  <c r="AL142" i="50"/>
  <c r="AL141" i="50"/>
  <c r="AL140" i="50"/>
  <c r="AL139" i="50"/>
  <c r="AL138" i="50"/>
  <c r="AL137" i="50"/>
  <c r="AL136" i="50"/>
  <c r="AL135" i="50"/>
  <c r="AL134" i="50"/>
  <c r="AL133" i="50"/>
  <c r="AL132" i="50"/>
  <c r="AL131" i="50"/>
  <c r="AL130" i="50"/>
  <c r="AL129" i="50"/>
  <c r="AL128" i="50"/>
  <c r="AL127" i="50"/>
  <c r="AL126" i="50"/>
  <c r="AL125" i="50"/>
  <c r="AL124" i="50"/>
  <c r="AL123" i="50"/>
  <c r="AL122" i="50"/>
  <c r="AL121" i="50"/>
  <c r="AL120" i="50"/>
  <c r="AL119" i="50"/>
  <c r="AL118" i="50"/>
  <c r="AL117" i="50"/>
  <c r="AL116" i="50"/>
  <c r="AL115" i="50"/>
  <c r="AL114" i="50"/>
  <c r="AL113" i="50"/>
  <c r="AL112" i="50"/>
  <c r="AL111" i="50"/>
  <c r="AL110" i="50"/>
  <c r="AL109" i="50"/>
  <c r="AL108" i="50"/>
  <c r="AL107" i="50"/>
  <c r="AL106" i="50"/>
  <c r="AL105" i="50"/>
  <c r="AL104" i="50"/>
  <c r="AL103" i="50"/>
  <c r="AL102" i="50"/>
  <c r="AL101" i="50"/>
  <c r="AL100" i="50"/>
  <c r="AL99" i="50"/>
  <c r="AL98" i="50"/>
  <c r="AL97" i="50"/>
  <c r="AL96" i="50"/>
  <c r="AL95" i="50"/>
  <c r="AL94" i="50"/>
  <c r="AL93" i="50"/>
  <c r="AL92" i="50"/>
  <c r="AL91" i="50"/>
  <c r="AL90" i="50"/>
  <c r="AL89" i="50"/>
  <c r="AL88" i="50"/>
  <c r="AL87" i="50"/>
  <c r="AL86" i="50"/>
  <c r="AL85" i="50"/>
  <c r="AL84" i="50"/>
  <c r="AL83" i="50"/>
  <c r="AL82" i="50"/>
  <c r="AL81" i="50"/>
  <c r="AL80" i="50"/>
  <c r="AL79" i="50"/>
  <c r="AL78" i="50"/>
  <c r="AL77" i="50"/>
  <c r="AL76" i="50"/>
  <c r="AL75" i="50"/>
  <c r="AL74" i="50"/>
  <c r="AL73" i="50"/>
  <c r="AL72" i="50"/>
  <c r="AL71" i="50"/>
  <c r="AL70" i="50"/>
  <c r="AL69" i="50"/>
  <c r="AL68" i="50"/>
  <c r="AL67" i="50"/>
  <c r="AL66" i="50"/>
  <c r="AL65" i="50"/>
  <c r="AL64" i="50"/>
  <c r="AL63" i="50"/>
  <c r="AL62" i="50"/>
  <c r="AL61" i="50"/>
  <c r="AL60" i="50"/>
  <c r="AL59" i="50"/>
  <c r="AL58" i="50"/>
  <c r="AL57" i="50"/>
  <c r="AL56" i="50"/>
  <c r="AL55" i="50"/>
  <c r="AL54" i="50"/>
  <c r="AL53" i="50"/>
  <c r="AL52" i="50"/>
  <c r="AL51" i="50"/>
  <c r="AL50" i="50"/>
  <c r="AL49" i="50"/>
  <c r="AL48" i="50"/>
  <c r="AL47" i="50"/>
  <c r="AL46" i="50"/>
  <c r="AL45" i="50"/>
  <c r="AL44" i="50"/>
  <c r="AL43" i="50"/>
  <c r="AL42" i="50"/>
  <c r="AL41" i="50"/>
  <c r="AL40" i="50"/>
  <c r="AL39" i="50"/>
  <c r="AL38" i="50"/>
  <c r="AL37" i="50"/>
  <c r="AL36" i="50"/>
  <c r="AL35" i="50"/>
  <c r="AL34" i="50"/>
  <c r="AL33" i="50"/>
  <c r="AL32" i="50"/>
  <c r="AL31" i="50"/>
  <c r="AL30" i="50"/>
  <c r="AL29" i="50"/>
  <c r="AL28" i="50"/>
  <c r="AL27" i="50"/>
  <c r="AL26" i="50"/>
  <c r="AL25" i="50"/>
  <c r="AL24" i="50"/>
  <c r="AL23" i="50"/>
  <c r="AL22" i="50"/>
  <c r="AL21" i="50"/>
  <c r="AL20" i="50"/>
  <c r="AL19" i="50"/>
  <c r="AL18" i="50"/>
  <c r="AL17" i="50"/>
  <c r="AL16" i="50"/>
  <c r="AL15" i="50"/>
  <c r="AL14" i="50"/>
  <c r="AL13" i="50"/>
  <c r="AL12" i="50"/>
  <c r="AL11" i="50"/>
  <c r="AL10" i="50"/>
  <c r="AL9" i="50"/>
  <c r="AL8" i="50"/>
  <c r="AL7" i="50"/>
  <c r="AL6" i="50"/>
  <c r="AL5" i="50"/>
  <c r="AL4" i="50"/>
  <c r="AL3" i="50"/>
  <c r="AJ3" i="50"/>
  <c r="AJ702" i="50"/>
  <c r="AJ701" i="50"/>
  <c r="AJ700" i="50"/>
  <c r="AJ699" i="50"/>
  <c r="AJ698" i="50"/>
  <c r="AJ697" i="50"/>
  <c r="AJ696" i="50"/>
  <c r="AJ695" i="50"/>
  <c r="AJ694" i="50"/>
  <c r="AJ693" i="50"/>
  <c r="AJ692" i="50"/>
  <c r="AJ691" i="50"/>
  <c r="AJ690" i="50"/>
  <c r="AJ689" i="50"/>
  <c r="AJ688" i="50"/>
  <c r="AJ687" i="50"/>
  <c r="AJ686" i="50"/>
  <c r="AJ685" i="50"/>
  <c r="AJ684" i="50"/>
  <c r="AJ683" i="50"/>
  <c r="AJ682" i="50"/>
  <c r="AJ681" i="50"/>
  <c r="AJ680" i="50"/>
  <c r="AJ679" i="50"/>
  <c r="AJ678" i="50"/>
  <c r="AJ677" i="50"/>
  <c r="AJ676" i="50"/>
  <c r="AJ675" i="50"/>
  <c r="AJ674" i="50"/>
  <c r="AJ673" i="50"/>
  <c r="AJ672" i="50"/>
  <c r="AJ671" i="50"/>
  <c r="AJ670" i="50"/>
  <c r="AJ669" i="50"/>
  <c r="AJ668" i="50"/>
  <c r="AJ667" i="50"/>
  <c r="AJ666" i="50"/>
  <c r="AJ665" i="50"/>
  <c r="AJ664" i="50"/>
  <c r="AJ663" i="50"/>
  <c r="AJ662" i="50"/>
  <c r="AJ661" i="50"/>
  <c r="AJ660" i="50"/>
  <c r="AJ659" i="50"/>
  <c r="AJ658" i="50"/>
  <c r="AJ657" i="50"/>
  <c r="AJ656" i="50"/>
  <c r="AJ655" i="50"/>
  <c r="AJ654" i="50"/>
  <c r="AJ653" i="50"/>
  <c r="AJ652" i="50"/>
  <c r="AJ651" i="50"/>
  <c r="AJ650" i="50"/>
  <c r="AJ649" i="50"/>
  <c r="AJ648" i="50"/>
  <c r="AJ647" i="50"/>
  <c r="AJ646" i="50"/>
  <c r="AJ645" i="50"/>
  <c r="AJ644" i="50"/>
  <c r="AJ643" i="50"/>
  <c r="AJ642" i="50"/>
  <c r="AJ641" i="50"/>
  <c r="AJ640" i="50"/>
  <c r="AJ639" i="50"/>
  <c r="AJ638" i="50"/>
  <c r="AJ637" i="50"/>
  <c r="AJ636" i="50"/>
  <c r="AJ635" i="50"/>
  <c r="AJ634" i="50"/>
  <c r="AJ633" i="50"/>
  <c r="AJ632" i="50"/>
  <c r="AJ631" i="50"/>
  <c r="AJ630" i="50"/>
  <c r="AJ629" i="50"/>
  <c r="AJ628" i="50"/>
  <c r="AJ627" i="50"/>
  <c r="AJ626" i="50"/>
  <c r="AJ625" i="50"/>
  <c r="AJ624" i="50"/>
  <c r="AJ623" i="50"/>
  <c r="AJ622" i="50"/>
  <c r="AJ621" i="50"/>
  <c r="AJ620" i="50"/>
  <c r="AJ619" i="50"/>
  <c r="AJ618" i="50"/>
  <c r="AJ617" i="50"/>
  <c r="AJ616" i="50"/>
  <c r="AJ615" i="50"/>
  <c r="AJ614" i="50"/>
  <c r="AJ613" i="50"/>
  <c r="AJ612" i="50"/>
  <c r="AJ611" i="50"/>
  <c r="AJ610" i="50"/>
  <c r="AJ609" i="50"/>
  <c r="AJ608" i="50"/>
  <c r="AJ607" i="50"/>
  <c r="AJ606" i="50"/>
  <c r="AJ605" i="50"/>
  <c r="AJ604" i="50"/>
  <c r="AJ603" i="50"/>
  <c r="AJ602" i="50"/>
  <c r="AJ601" i="50"/>
  <c r="AJ600" i="50"/>
  <c r="AJ599" i="50"/>
  <c r="AJ598" i="50"/>
  <c r="AJ597" i="50"/>
  <c r="AJ596" i="50"/>
  <c r="AJ595" i="50"/>
  <c r="AJ594" i="50"/>
  <c r="AJ593" i="50"/>
  <c r="AJ592" i="50"/>
  <c r="AJ591" i="50"/>
  <c r="AJ590" i="50"/>
  <c r="AJ589" i="50"/>
  <c r="AJ588" i="50"/>
  <c r="AJ587" i="50"/>
  <c r="AJ586" i="50"/>
  <c r="AJ585" i="50"/>
  <c r="AJ584" i="50"/>
  <c r="AJ583" i="50"/>
  <c r="AJ582" i="50"/>
  <c r="AJ581" i="50"/>
  <c r="AJ580" i="50"/>
  <c r="AJ579" i="50"/>
  <c r="AJ578" i="50"/>
  <c r="AJ577" i="50"/>
  <c r="AJ576" i="50"/>
  <c r="AJ575" i="50"/>
  <c r="AJ574" i="50"/>
  <c r="AJ573" i="50"/>
  <c r="AJ572" i="50"/>
  <c r="AJ571" i="50"/>
  <c r="AJ570" i="50"/>
  <c r="AJ569" i="50"/>
  <c r="AJ568" i="50"/>
  <c r="AJ567" i="50"/>
  <c r="AJ566" i="50"/>
  <c r="AJ565" i="50"/>
  <c r="AJ564" i="50"/>
  <c r="AJ563" i="50"/>
  <c r="AJ562" i="50"/>
  <c r="AJ561" i="50"/>
  <c r="AJ560" i="50"/>
  <c r="AJ559" i="50"/>
  <c r="AJ558" i="50"/>
  <c r="AJ557" i="50"/>
  <c r="AJ556" i="50"/>
  <c r="AJ555" i="50"/>
  <c r="AJ554" i="50"/>
  <c r="AJ553" i="50"/>
  <c r="AJ552" i="50"/>
  <c r="AJ551" i="50"/>
  <c r="AJ550" i="50"/>
  <c r="AJ549" i="50"/>
  <c r="AJ548" i="50"/>
  <c r="AJ547" i="50"/>
  <c r="AJ546" i="50"/>
  <c r="AJ545" i="50"/>
  <c r="AJ544" i="50"/>
  <c r="AJ543" i="50"/>
  <c r="AJ542" i="50"/>
  <c r="AJ541" i="50"/>
  <c r="AJ540" i="50"/>
  <c r="AJ539" i="50"/>
  <c r="AJ538" i="50"/>
  <c r="AJ537" i="50"/>
  <c r="AJ536" i="50"/>
  <c r="AJ535" i="50"/>
  <c r="AJ534" i="50"/>
  <c r="AJ533" i="50"/>
  <c r="AJ532" i="50"/>
  <c r="AJ531" i="50"/>
  <c r="AJ530" i="50"/>
  <c r="AJ529" i="50"/>
  <c r="AJ528" i="50"/>
  <c r="AJ527" i="50"/>
  <c r="AJ526" i="50"/>
  <c r="AJ525" i="50"/>
  <c r="AJ524" i="50"/>
  <c r="AJ523" i="50"/>
  <c r="AJ522" i="50"/>
  <c r="AJ521" i="50"/>
  <c r="AJ520" i="50"/>
  <c r="AJ519" i="50"/>
  <c r="AJ518" i="50"/>
  <c r="AJ517" i="50"/>
  <c r="AJ516" i="50"/>
  <c r="AJ515" i="50"/>
  <c r="AJ514" i="50"/>
  <c r="AJ513" i="50"/>
  <c r="AJ512" i="50"/>
  <c r="AJ511" i="50"/>
  <c r="AJ510" i="50"/>
  <c r="AJ509" i="50"/>
  <c r="AJ508" i="50"/>
  <c r="AJ507" i="50"/>
  <c r="AJ506" i="50"/>
  <c r="AJ505" i="50"/>
  <c r="AJ504" i="50"/>
  <c r="AJ503" i="50"/>
  <c r="AJ502" i="50"/>
  <c r="AJ501" i="50"/>
  <c r="AJ500" i="50"/>
  <c r="AJ499" i="50"/>
  <c r="AJ498" i="50"/>
  <c r="AJ497" i="50"/>
  <c r="AJ496" i="50"/>
  <c r="AJ495" i="50"/>
  <c r="AJ494" i="50"/>
  <c r="AJ493" i="50"/>
  <c r="AJ492" i="50"/>
  <c r="AJ491" i="50"/>
  <c r="AJ490" i="50"/>
  <c r="AJ489" i="50"/>
  <c r="AJ488" i="50"/>
  <c r="AJ487" i="50"/>
  <c r="AJ486" i="50"/>
  <c r="AJ485" i="50"/>
  <c r="AJ484" i="50"/>
  <c r="AJ483" i="50"/>
  <c r="AJ482" i="50"/>
  <c r="AJ481" i="50"/>
  <c r="AJ480" i="50"/>
  <c r="AJ479" i="50"/>
  <c r="AJ478" i="50"/>
  <c r="AJ477" i="50"/>
  <c r="AJ476" i="50"/>
  <c r="AJ475" i="50"/>
  <c r="AJ474" i="50"/>
  <c r="AJ473" i="50"/>
  <c r="AJ472" i="50"/>
  <c r="AJ471" i="50"/>
  <c r="AJ470" i="50"/>
  <c r="AJ469" i="50"/>
  <c r="AJ468" i="50"/>
  <c r="AJ467" i="50"/>
  <c r="AJ466" i="50"/>
  <c r="AJ465" i="50"/>
  <c r="AJ464" i="50"/>
  <c r="AJ463" i="50"/>
  <c r="AJ462" i="50"/>
  <c r="AJ461" i="50"/>
  <c r="AJ460" i="50"/>
  <c r="AJ459" i="50"/>
  <c r="AJ458" i="50"/>
  <c r="AJ457" i="50"/>
  <c r="AJ456" i="50"/>
  <c r="AJ455" i="50"/>
  <c r="AJ454" i="50"/>
  <c r="AJ453" i="50"/>
  <c r="AJ452" i="50"/>
  <c r="AJ451" i="50"/>
  <c r="AJ450" i="50"/>
  <c r="AJ449" i="50"/>
  <c r="AJ448" i="50"/>
  <c r="AJ447" i="50"/>
  <c r="AJ446" i="50"/>
  <c r="AJ445" i="50"/>
  <c r="AJ444" i="50"/>
  <c r="AJ443" i="50"/>
  <c r="AJ442" i="50"/>
  <c r="AJ441" i="50"/>
  <c r="AJ440" i="50"/>
  <c r="AJ439" i="50"/>
  <c r="AJ438" i="50"/>
  <c r="AJ437" i="50"/>
  <c r="AJ436" i="50"/>
  <c r="AJ435" i="50"/>
  <c r="AJ434" i="50"/>
  <c r="AJ433" i="50"/>
  <c r="AJ432" i="50"/>
  <c r="AJ431" i="50"/>
  <c r="AJ430" i="50"/>
  <c r="AJ429" i="50"/>
  <c r="AJ428" i="50"/>
  <c r="AJ427" i="50"/>
  <c r="AJ426" i="50"/>
  <c r="AJ425" i="50"/>
  <c r="AJ424" i="50"/>
  <c r="AJ423" i="50"/>
  <c r="AJ422" i="50"/>
  <c r="AJ421" i="50"/>
  <c r="AJ420" i="50"/>
  <c r="AJ419" i="50"/>
  <c r="AJ418" i="50"/>
  <c r="AJ417" i="50"/>
  <c r="AJ416" i="50"/>
  <c r="AJ415" i="50"/>
  <c r="AJ414" i="50"/>
  <c r="AJ413" i="50"/>
  <c r="AJ412" i="50"/>
  <c r="AJ411" i="50"/>
  <c r="AJ410" i="50"/>
  <c r="AJ409" i="50"/>
  <c r="AJ408" i="50"/>
  <c r="AJ407" i="50"/>
  <c r="AJ406" i="50"/>
  <c r="AJ405" i="50"/>
  <c r="AJ404" i="50"/>
  <c r="AJ403" i="50"/>
  <c r="AJ402" i="50"/>
  <c r="AJ401" i="50"/>
  <c r="AJ400" i="50"/>
  <c r="AJ399" i="50"/>
  <c r="AJ398" i="50"/>
  <c r="AJ397" i="50"/>
  <c r="AJ396" i="50"/>
  <c r="AJ395" i="50"/>
  <c r="AJ394" i="50"/>
  <c r="AJ393" i="50"/>
  <c r="AJ392" i="50"/>
  <c r="AJ391" i="50"/>
  <c r="AJ390" i="50"/>
  <c r="AJ389" i="50"/>
  <c r="AJ388" i="50"/>
  <c r="AJ387" i="50"/>
  <c r="AJ386" i="50"/>
  <c r="AJ385" i="50"/>
  <c r="AJ384" i="50"/>
  <c r="AJ383" i="50"/>
  <c r="AJ382" i="50"/>
  <c r="AJ381" i="50"/>
  <c r="AJ380" i="50"/>
  <c r="AJ379" i="50"/>
  <c r="AJ378" i="50"/>
  <c r="AJ377" i="50"/>
  <c r="AJ376" i="50"/>
  <c r="AJ375" i="50"/>
  <c r="AJ374" i="50"/>
  <c r="AJ373" i="50"/>
  <c r="AJ372" i="50"/>
  <c r="AJ371" i="50"/>
  <c r="AJ370" i="50"/>
  <c r="AJ369" i="50"/>
  <c r="AJ368" i="50"/>
  <c r="AJ367" i="50"/>
  <c r="AJ366" i="50"/>
  <c r="AJ365" i="50"/>
  <c r="AJ364" i="50"/>
  <c r="AJ363" i="50"/>
  <c r="AJ362" i="50"/>
  <c r="AJ361" i="50"/>
  <c r="AJ360" i="50"/>
  <c r="AJ359" i="50"/>
  <c r="AJ358" i="50"/>
  <c r="AJ357" i="50"/>
  <c r="AJ356" i="50"/>
  <c r="AJ355" i="50"/>
  <c r="AJ354" i="50"/>
  <c r="AJ353" i="50"/>
  <c r="AJ352" i="50"/>
  <c r="AJ351" i="50"/>
  <c r="AJ350" i="50"/>
  <c r="AJ349" i="50"/>
  <c r="AJ348" i="50"/>
  <c r="AJ347" i="50"/>
  <c r="AJ346" i="50"/>
  <c r="AJ345" i="50"/>
  <c r="AJ344" i="50"/>
  <c r="AJ343" i="50"/>
  <c r="AJ342" i="50"/>
  <c r="AJ341" i="50"/>
  <c r="AJ340" i="50"/>
  <c r="AJ339" i="50"/>
  <c r="AJ338" i="50"/>
  <c r="AJ337" i="50"/>
  <c r="AJ336" i="50"/>
  <c r="AJ335" i="50"/>
  <c r="AJ334" i="50"/>
  <c r="AJ333" i="50"/>
  <c r="AJ332" i="50"/>
  <c r="AJ331" i="50"/>
  <c r="AJ330" i="50"/>
  <c r="AJ329" i="50"/>
  <c r="AJ328" i="50"/>
  <c r="AJ327" i="50"/>
  <c r="AJ326" i="50"/>
  <c r="AJ325" i="50"/>
  <c r="AJ324" i="50"/>
  <c r="AJ323" i="50"/>
  <c r="AJ322" i="50"/>
  <c r="AJ321" i="50"/>
  <c r="AJ320" i="50"/>
  <c r="AJ319" i="50"/>
  <c r="AJ318" i="50"/>
  <c r="AJ317" i="50"/>
  <c r="AJ316" i="50"/>
  <c r="AJ315" i="50"/>
  <c r="AJ314" i="50"/>
  <c r="AJ313" i="50"/>
  <c r="AJ312" i="50"/>
  <c r="AJ311" i="50"/>
  <c r="AJ310" i="50"/>
  <c r="AJ309" i="50"/>
  <c r="AJ308" i="50"/>
  <c r="AJ307" i="50"/>
  <c r="AJ306" i="50"/>
  <c r="AJ305" i="50"/>
  <c r="AJ304" i="50"/>
  <c r="AJ303" i="50"/>
  <c r="AJ302" i="50"/>
  <c r="AJ301" i="50"/>
  <c r="AJ300" i="50"/>
  <c r="AJ299" i="50"/>
  <c r="AJ298" i="50"/>
  <c r="AJ297" i="50"/>
  <c r="AJ296" i="50"/>
  <c r="AJ295" i="50"/>
  <c r="AJ294" i="50"/>
  <c r="AJ293" i="50"/>
  <c r="AJ292" i="50"/>
  <c r="AJ291" i="50"/>
  <c r="AJ290" i="50"/>
  <c r="AJ289" i="50"/>
  <c r="AJ288" i="50"/>
  <c r="AJ287" i="50"/>
  <c r="AJ286" i="50"/>
  <c r="AJ285" i="50"/>
  <c r="AJ284" i="50"/>
  <c r="AJ283" i="50"/>
  <c r="AJ282" i="50"/>
  <c r="AJ281" i="50"/>
  <c r="AJ280" i="50"/>
  <c r="AJ279" i="50"/>
  <c r="AJ278" i="50"/>
  <c r="AJ277" i="50"/>
  <c r="AJ276" i="50"/>
  <c r="AJ275" i="50"/>
  <c r="AJ274" i="50"/>
  <c r="AJ273" i="50"/>
  <c r="AJ272" i="50"/>
  <c r="AJ271" i="50"/>
  <c r="AJ270" i="50"/>
  <c r="AJ269" i="50"/>
  <c r="AJ268" i="50"/>
  <c r="AJ267" i="50"/>
  <c r="AJ266" i="50"/>
  <c r="AJ265" i="50"/>
  <c r="AJ264" i="50"/>
  <c r="AJ263" i="50"/>
  <c r="AJ262" i="50"/>
  <c r="AJ261" i="50"/>
  <c r="AJ260" i="50"/>
  <c r="AJ259" i="50"/>
  <c r="AJ258" i="50"/>
  <c r="AJ257" i="50"/>
  <c r="AJ256" i="50"/>
  <c r="AJ255" i="50"/>
  <c r="AJ254" i="50"/>
  <c r="AJ253" i="50"/>
  <c r="AJ252" i="50"/>
  <c r="AJ251" i="50"/>
  <c r="AJ250" i="50"/>
  <c r="AJ249" i="50"/>
  <c r="AJ248" i="50"/>
  <c r="AJ247" i="50"/>
  <c r="AJ246" i="50"/>
  <c r="AJ245" i="50"/>
  <c r="AJ244" i="50"/>
  <c r="AJ243" i="50"/>
  <c r="AJ242" i="50"/>
  <c r="AJ241" i="50"/>
  <c r="AJ240" i="50"/>
  <c r="AJ239" i="50"/>
  <c r="AJ238" i="50"/>
  <c r="AJ237" i="50"/>
  <c r="AJ236" i="50"/>
  <c r="AJ235" i="50"/>
  <c r="AJ234" i="50"/>
  <c r="AJ233" i="50"/>
  <c r="AJ232" i="50"/>
  <c r="AJ231" i="50"/>
  <c r="AJ230" i="50"/>
  <c r="AJ229" i="50"/>
  <c r="AJ228" i="50"/>
  <c r="AJ227" i="50"/>
  <c r="AJ226" i="50"/>
  <c r="AJ225" i="50"/>
  <c r="AJ224" i="50"/>
  <c r="AJ223" i="50"/>
  <c r="AJ222" i="50"/>
  <c r="AJ221" i="50"/>
  <c r="AJ220" i="50"/>
  <c r="AJ219" i="50"/>
  <c r="AJ218" i="50"/>
  <c r="AJ217" i="50"/>
  <c r="AJ216" i="50"/>
  <c r="AJ215" i="50"/>
  <c r="AJ214" i="50"/>
  <c r="AJ213" i="50"/>
  <c r="AJ212" i="50"/>
  <c r="AJ211" i="50"/>
  <c r="AJ210" i="50"/>
  <c r="AJ209" i="50"/>
  <c r="AJ208" i="50"/>
  <c r="AJ207" i="50"/>
  <c r="AJ206" i="50"/>
  <c r="AJ205" i="50"/>
  <c r="AJ204" i="50"/>
  <c r="AJ203" i="50"/>
  <c r="AJ202" i="50"/>
  <c r="AJ201" i="50"/>
  <c r="AJ200" i="50"/>
  <c r="AJ199" i="50"/>
  <c r="AJ198" i="50"/>
  <c r="AJ197" i="50"/>
  <c r="AJ196" i="50"/>
  <c r="AJ195" i="50"/>
  <c r="AJ194" i="50"/>
  <c r="AJ193" i="50"/>
  <c r="AJ192" i="50"/>
  <c r="AJ191" i="50"/>
  <c r="AJ190" i="50"/>
  <c r="AJ189" i="50"/>
  <c r="AJ188" i="50"/>
  <c r="AJ187" i="50"/>
  <c r="AJ186" i="50"/>
  <c r="AJ185" i="50"/>
  <c r="AJ184" i="50"/>
  <c r="AJ183" i="50"/>
  <c r="AJ182" i="50"/>
  <c r="AJ181" i="50"/>
  <c r="AJ180" i="50"/>
  <c r="AJ179" i="50"/>
  <c r="AJ178" i="50"/>
  <c r="AJ177" i="50"/>
  <c r="AJ176" i="50"/>
  <c r="AJ175" i="50"/>
  <c r="AJ174" i="50"/>
  <c r="AJ173" i="50"/>
  <c r="AJ172" i="50"/>
  <c r="AJ171" i="50"/>
  <c r="AJ170" i="50"/>
  <c r="AJ169" i="50"/>
  <c r="AJ168" i="50"/>
  <c r="AJ167" i="50"/>
  <c r="AJ166" i="50"/>
  <c r="AJ165" i="50"/>
  <c r="AJ164" i="50"/>
  <c r="AJ163" i="50"/>
  <c r="AJ162" i="50"/>
  <c r="AJ161" i="50"/>
  <c r="AJ160" i="50"/>
  <c r="AJ159" i="50"/>
  <c r="AJ158" i="50"/>
  <c r="AJ157" i="50"/>
  <c r="AJ156" i="50"/>
  <c r="AJ155" i="50"/>
  <c r="AJ154" i="50"/>
  <c r="AJ153" i="50"/>
  <c r="AJ152" i="50"/>
  <c r="AJ151" i="50"/>
  <c r="AJ150" i="50"/>
  <c r="AJ149" i="50"/>
  <c r="AJ148" i="50"/>
  <c r="AJ147" i="50"/>
  <c r="AJ146" i="50"/>
  <c r="AJ145" i="50"/>
  <c r="AJ144" i="50"/>
  <c r="AJ143" i="50"/>
  <c r="AJ142" i="50"/>
  <c r="AJ141" i="50"/>
  <c r="AJ140" i="50"/>
  <c r="AJ139" i="50"/>
  <c r="AJ138" i="50"/>
  <c r="AJ137" i="50"/>
  <c r="AJ136" i="50"/>
  <c r="AJ135" i="50"/>
  <c r="AJ134" i="50"/>
  <c r="AJ133" i="50"/>
  <c r="AJ132" i="50"/>
  <c r="AJ131" i="50"/>
  <c r="AJ130" i="50"/>
  <c r="AJ129" i="50"/>
  <c r="AJ128" i="50"/>
  <c r="AJ127" i="50"/>
  <c r="AJ126" i="50"/>
  <c r="AJ125" i="50"/>
  <c r="AJ124" i="50"/>
  <c r="AJ123" i="50"/>
  <c r="AJ122" i="50"/>
  <c r="AJ121" i="50"/>
  <c r="AJ120" i="50"/>
  <c r="AJ119" i="50"/>
  <c r="AJ118" i="50"/>
  <c r="AJ117" i="50"/>
  <c r="AJ116" i="50"/>
  <c r="AJ115" i="50"/>
  <c r="AJ114" i="50"/>
  <c r="AJ113" i="50"/>
  <c r="AJ112" i="50"/>
  <c r="AJ111" i="50"/>
  <c r="AJ110" i="50"/>
  <c r="AJ109" i="50"/>
  <c r="AJ108" i="50"/>
  <c r="AJ107" i="50"/>
  <c r="AJ106" i="50"/>
  <c r="AJ105" i="50"/>
  <c r="AJ104" i="50"/>
  <c r="AJ103" i="50"/>
  <c r="AJ102" i="50"/>
  <c r="AJ101" i="50"/>
  <c r="AJ100" i="50"/>
  <c r="AJ99" i="50"/>
  <c r="AJ98" i="50"/>
  <c r="AJ97" i="50"/>
  <c r="AJ96" i="50"/>
  <c r="AJ95" i="50"/>
  <c r="AJ94" i="50"/>
  <c r="AJ93" i="50"/>
  <c r="AJ92" i="50"/>
  <c r="AJ91" i="50"/>
  <c r="AJ90" i="50"/>
  <c r="AJ89" i="50"/>
  <c r="AJ88" i="50"/>
  <c r="AJ87" i="50"/>
  <c r="AJ86" i="50"/>
  <c r="AJ85" i="50"/>
  <c r="AJ84" i="50"/>
  <c r="AJ83" i="50"/>
  <c r="AJ82" i="50"/>
  <c r="AJ81" i="50"/>
  <c r="AJ80" i="50"/>
  <c r="AJ79" i="50"/>
  <c r="AJ78" i="50"/>
  <c r="AJ77" i="50"/>
  <c r="AJ76" i="50"/>
  <c r="AJ75" i="50"/>
  <c r="AJ74" i="50"/>
  <c r="AJ73" i="50"/>
  <c r="AJ72" i="50"/>
  <c r="AJ71" i="50"/>
  <c r="AJ70" i="50"/>
  <c r="AJ69" i="50"/>
  <c r="AJ68" i="50"/>
  <c r="AJ67" i="50"/>
  <c r="AJ66" i="50"/>
  <c r="AJ65" i="50"/>
  <c r="AJ64" i="50"/>
  <c r="AJ63" i="50"/>
  <c r="AJ62" i="50"/>
  <c r="AJ61" i="50"/>
  <c r="AJ60" i="50"/>
  <c r="AJ59" i="50"/>
  <c r="AJ58" i="50"/>
  <c r="AJ57" i="50"/>
  <c r="AJ56" i="50"/>
  <c r="AJ55" i="50"/>
  <c r="AJ54" i="50"/>
  <c r="AJ53" i="50"/>
  <c r="AJ52" i="50"/>
  <c r="AJ51" i="50"/>
  <c r="AJ50" i="50"/>
  <c r="AJ49" i="50"/>
  <c r="AJ48" i="50"/>
  <c r="AJ47" i="50"/>
  <c r="AJ46" i="50"/>
  <c r="AJ45" i="50"/>
  <c r="AJ44" i="50"/>
  <c r="AJ43" i="50"/>
  <c r="AJ42" i="50"/>
  <c r="AJ41" i="50"/>
  <c r="AJ40" i="50"/>
  <c r="AJ39" i="50"/>
  <c r="AJ38" i="50"/>
  <c r="AJ37" i="50"/>
  <c r="AJ36" i="50"/>
  <c r="AJ35" i="50"/>
  <c r="AJ34" i="50"/>
  <c r="AJ33" i="50"/>
  <c r="AJ32" i="50"/>
  <c r="AJ31" i="50"/>
  <c r="AJ30" i="50"/>
  <c r="AJ29" i="50"/>
  <c r="AJ28" i="50"/>
  <c r="AJ27" i="50"/>
  <c r="AJ26" i="50"/>
  <c r="AJ25" i="50"/>
  <c r="AJ24" i="50"/>
  <c r="AJ23" i="50"/>
  <c r="AJ22" i="50"/>
  <c r="AJ21" i="50"/>
  <c r="AJ20" i="50"/>
  <c r="AJ19" i="50"/>
  <c r="AJ18" i="50"/>
  <c r="AJ17" i="50"/>
  <c r="AJ16" i="50"/>
  <c r="AJ15" i="50"/>
  <c r="AJ14" i="50"/>
  <c r="AJ13" i="50"/>
  <c r="AJ12" i="50"/>
  <c r="AJ11" i="50"/>
  <c r="AJ10" i="50"/>
  <c r="AJ9" i="50"/>
  <c r="AJ8" i="50"/>
  <c r="AJ7" i="50"/>
  <c r="AJ6" i="50"/>
  <c r="AJ5" i="50"/>
  <c r="AJ4" i="50"/>
  <c r="D35" i="51" l="1"/>
  <c r="D34" i="51"/>
  <c r="D31" i="51"/>
  <c r="D33" i="51"/>
  <c r="D30" i="51"/>
  <c r="D32" i="51"/>
  <c r="J17" i="53"/>
  <c r="R13" i="53"/>
  <c r="P28" i="53"/>
  <c r="M2" i="53" s="1"/>
  <c r="R9" i="53"/>
  <c r="R8" i="53"/>
  <c r="R12" i="53"/>
  <c r="R15" i="53"/>
  <c r="R7" i="53"/>
  <c r="R4" i="53"/>
  <c r="R10" i="53"/>
  <c r="R6" i="53"/>
  <c r="R11" i="53"/>
  <c r="R5" i="53"/>
  <c r="R14" i="53"/>
  <c r="S33" i="51"/>
  <c r="P11" i="51" s="1"/>
  <c r="AL703" i="50"/>
  <c r="AL704" i="50"/>
  <c r="C88" i="51"/>
  <c r="P40" i="51"/>
  <c r="P9" i="51" s="1"/>
  <c r="E23" i="51"/>
  <c r="D23" i="51"/>
  <c r="E20" i="51"/>
  <c r="D20" i="51"/>
  <c r="E17" i="51"/>
  <c r="D17" i="51"/>
  <c r="E14" i="51"/>
  <c r="D14" i="51"/>
  <c r="E11" i="51"/>
  <c r="D11" i="51"/>
  <c r="I9" i="51"/>
  <c r="L2" i="53" l="1"/>
  <c r="AB35" i="53"/>
  <c r="AB36" i="53" s="1"/>
  <c r="AB39" i="53" s="1"/>
  <c r="U11" i="53"/>
  <c r="U7" i="53"/>
  <c r="T7" i="53"/>
  <c r="T13" i="53"/>
  <c r="U15" i="53"/>
  <c r="T15" i="53"/>
  <c r="T8" i="53"/>
  <c r="T14" i="53"/>
  <c r="U10" i="53"/>
  <c r="T10" i="53"/>
  <c r="T6" i="53"/>
  <c r="U6" i="53"/>
  <c r="U4" i="53"/>
  <c r="U12" i="53"/>
  <c r="T12" i="53"/>
  <c r="U13" i="53"/>
  <c r="U8" i="53"/>
  <c r="U14" i="53"/>
  <c r="U9" i="53"/>
  <c r="T11" i="53"/>
  <c r="T5" i="53"/>
  <c r="T4" i="53"/>
  <c r="U5" i="53"/>
  <c r="T9" i="53"/>
  <c r="G45" i="51"/>
  <c r="P5" i="51" s="1"/>
  <c r="D59" i="51"/>
  <c r="P4" i="51" s="1"/>
  <c r="P35" i="51"/>
  <c r="P8" i="51" s="1"/>
  <c r="V39" i="51"/>
  <c r="P13" i="51" s="1"/>
  <c r="J43" i="51"/>
  <c r="P6" i="51" s="1"/>
  <c r="Y42" i="51"/>
  <c r="P15" i="51" s="1"/>
  <c r="V33" i="51"/>
  <c r="P12" i="51" s="1"/>
  <c r="M36" i="51"/>
  <c r="P7" i="51" s="1"/>
  <c r="Y32" i="51"/>
  <c r="P14" i="51" s="1"/>
  <c r="P46" i="51"/>
  <c r="P10" i="51" s="1"/>
  <c r="K9" i="51"/>
  <c r="AB34" i="48"/>
  <c r="P27" i="51" l="1"/>
  <c r="P16" i="51"/>
  <c r="J12" i="51"/>
  <c r="U28" i="53"/>
  <c r="J15" i="51"/>
  <c r="J16" i="51"/>
  <c r="J14" i="51"/>
  <c r="R15" i="51"/>
  <c r="J13" i="51"/>
  <c r="AB29" i="48"/>
  <c r="AB27" i="48"/>
  <c r="AB19" i="48"/>
  <c r="AB14" i="48"/>
  <c r="AB6" i="48"/>
  <c r="AB22" i="48"/>
  <c r="AB21" i="48"/>
  <c r="AB20" i="48"/>
  <c r="AB18" i="48"/>
  <c r="AB17" i="48"/>
  <c r="AB16" i="48"/>
  <c r="AB15" i="48"/>
  <c r="AB13" i="48"/>
  <c r="AB12" i="48"/>
  <c r="AB11" i="48"/>
  <c r="AB10" i="48"/>
  <c r="AB9" i="48"/>
  <c r="AB8" i="48"/>
  <c r="AB7" i="48"/>
  <c r="AB5" i="48"/>
  <c r="AB4" i="48"/>
  <c r="AB30" i="48"/>
  <c r="AB28" i="48"/>
  <c r="AB26" i="48"/>
  <c r="AB23" i="48"/>
  <c r="C85" i="48"/>
  <c r="C84" i="48"/>
  <c r="C83" i="48"/>
  <c r="C82" i="48"/>
  <c r="C81" i="48"/>
  <c r="C80" i="48"/>
  <c r="C79" i="48"/>
  <c r="C78" i="48"/>
  <c r="C77" i="48"/>
  <c r="C76" i="48"/>
  <c r="C75" i="48"/>
  <c r="C74" i="48"/>
  <c r="C73" i="48"/>
  <c r="C72" i="48"/>
  <c r="C71" i="48"/>
  <c r="C70" i="48"/>
  <c r="C69" i="48"/>
  <c r="C68" i="48"/>
  <c r="C67" i="48"/>
  <c r="C66" i="48"/>
  <c r="C65" i="48"/>
  <c r="C64" i="48"/>
  <c r="C63" i="48"/>
  <c r="C62" i="48"/>
  <c r="C61" i="48"/>
  <c r="AJ1023" i="47"/>
  <c r="AJ1022" i="47"/>
  <c r="AJ1021" i="47"/>
  <c r="AJ1020" i="47"/>
  <c r="AJ1019" i="47"/>
  <c r="AJ1018" i="47"/>
  <c r="AJ1017" i="47"/>
  <c r="AJ1016" i="47"/>
  <c r="AJ1015" i="47"/>
  <c r="AJ1014" i="47"/>
  <c r="AJ659" i="47"/>
  <c r="AJ1012" i="47"/>
  <c r="AJ1011" i="47"/>
  <c r="AJ1010" i="47"/>
  <c r="AJ1009" i="47"/>
  <c r="AJ1008" i="47"/>
  <c r="AJ1007" i="47"/>
  <c r="AJ1006" i="47"/>
  <c r="AJ1005" i="47"/>
  <c r="AJ1004" i="47"/>
  <c r="AJ1003" i="47"/>
  <c r="AJ1002" i="47"/>
  <c r="AJ1001" i="47"/>
  <c r="AJ1000" i="47"/>
  <c r="AJ999" i="47"/>
  <c r="AJ998" i="47"/>
  <c r="AJ997" i="47"/>
  <c r="AJ996" i="47"/>
  <c r="AJ995" i="47"/>
  <c r="AJ994" i="47"/>
  <c r="AJ993" i="47"/>
  <c r="AJ658" i="47"/>
  <c r="AJ657" i="47"/>
  <c r="AJ656" i="47"/>
  <c r="AJ143" i="47"/>
  <c r="AJ988" i="47"/>
  <c r="AJ987" i="47"/>
  <c r="AJ986" i="47"/>
  <c r="AJ985" i="47"/>
  <c r="AJ984" i="47"/>
  <c r="AJ983" i="47"/>
  <c r="AJ982" i="47"/>
  <c r="AJ981" i="47"/>
  <c r="AJ980" i="47"/>
  <c r="AJ979" i="47"/>
  <c r="AJ978" i="47"/>
  <c r="AJ977" i="47"/>
  <c r="AJ976" i="47"/>
  <c r="AJ975" i="47"/>
  <c r="AJ974" i="47"/>
  <c r="AJ973" i="47"/>
  <c r="AJ972" i="47"/>
  <c r="AJ971" i="47"/>
  <c r="AJ970" i="47"/>
  <c r="AJ969" i="47"/>
  <c r="AJ968" i="47"/>
  <c r="AJ967" i="47"/>
  <c r="AJ966" i="47"/>
  <c r="AJ965" i="47"/>
  <c r="AJ964" i="47"/>
  <c r="AJ963" i="47"/>
  <c r="AJ962" i="47"/>
  <c r="AJ961" i="47"/>
  <c r="AJ960" i="47"/>
  <c r="AJ959" i="47"/>
  <c r="AJ958" i="47"/>
  <c r="AJ957" i="47"/>
  <c r="AJ956" i="47"/>
  <c r="AJ955" i="47"/>
  <c r="AJ954" i="47"/>
  <c r="AJ953" i="47"/>
  <c r="AJ952" i="47"/>
  <c r="AJ723" i="47"/>
  <c r="AJ655" i="47"/>
  <c r="AJ949" i="47"/>
  <c r="AJ948" i="47"/>
  <c r="AJ947" i="47"/>
  <c r="AJ946" i="47"/>
  <c r="AJ945" i="47"/>
  <c r="AJ944" i="47"/>
  <c r="AJ943" i="47"/>
  <c r="AJ942" i="47"/>
  <c r="AJ654" i="47"/>
  <c r="AJ653" i="47"/>
  <c r="AJ939" i="47"/>
  <c r="AJ938" i="47"/>
  <c r="AJ652" i="47"/>
  <c r="AJ936" i="47"/>
  <c r="AJ935" i="47"/>
  <c r="AJ934" i="47"/>
  <c r="AJ933" i="47"/>
  <c r="AJ932" i="47"/>
  <c r="AJ931" i="47"/>
  <c r="AJ930" i="47"/>
  <c r="AJ929" i="47"/>
  <c r="AJ928" i="47"/>
  <c r="AJ927" i="47"/>
  <c r="AJ926" i="47"/>
  <c r="AJ925" i="47"/>
  <c r="AJ924" i="47"/>
  <c r="AJ923" i="47"/>
  <c r="AJ922" i="47"/>
  <c r="AJ921" i="47"/>
  <c r="AJ920" i="47"/>
  <c r="AJ919" i="47"/>
  <c r="AJ918" i="47"/>
  <c r="AJ917" i="47"/>
  <c r="AJ916" i="47"/>
  <c r="AJ915" i="47"/>
  <c r="AJ914" i="47"/>
  <c r="AJ913" i="47"/>
  <c r="AJ912" i="47"/>
  <c r="AJ911" i="47"/>
  <c r="AJ910" i="47"/>
  <c r="AJ909" i="47"/>
  <c r="AJ908" i="47"/>
  <c r="AJ907" i="47"/>
  <c r="AJ906" i="47"/>
  <c r="AJ905" i="47"/>
  <c r="AJ904" i="47"/>
  <c r="AJ903" i="47"/>
  <c r="AJ902" i="47"/>
  <c r="AJ901" i="47"/>
  <c r="AJ87" i="47"/>
  <c r="AJ142" i="47"/>
  <c r="AJ651" i="47"/>
  <c r="AJ650" i="47"/>
  <c r="AJ649" i="47"/>
  <c r="AJ895" i="47"/>
  <c r="AJ894" i="47"/>
  <c r="AJ893" i="47"/>
  <c r="AJ892" i="47"/>
  <c r="AJ891" i="47"/>
  <c r="AJ890" i="47"/>
  <c r="AJ889" i="47"/>
  <c r="AJ888" i="47"/>
  <c r="AJ887" i="47"/>
  <c r="AJ886" i="47"/>
  <c r="AJ885" i="47"/>
  <c r="AJ884" i="47"/>
  <c r="AJ883" i="47"/>
  <c r="AJ882" i="47"/>
  <c r="AJ881" i="47"/>
  <c r="AJ880" i="47"/>
  <c r="AJ879" i="47"/>
  <c r="AJ878" i="47"/>
  <c r="AJ877" i="47"/>
  <c r="AJ876" i="47"/>
  <c r="AJ875" i="47"/>
  <c r="AJ874" i="47"/>
  <c r="AJ873" i="47"/>
  <c r="AJ872" i="47"/>
  <c r="AJ871" i="47"/>
  <c r="AJ870" i="47"/>
  <c r="AJ869" i="47"/>
  <c r="AJ868" i="47"/>
  <c r="AJ61" i="47"/>
  <c r="AJ866" i="47"/>
  <c r="AJ865" i="47"/>
  <c r="AJ864" i="47"/>
  <c r="AJ75" i="47"/>
  <c r="AJ862" i="47"/>
  <c r="AJ861" i="47"/>
  <c r="AJ860" i="47"/>
  <c r="AJ859" i="47"/>
  <c r="AJ648" i="47"/>
  <c r="AJ857" i="47"/>
  <c r="AJ856" i="47"/>
  <c r="AJ951" i="47"/>
  <c r="AJ950" i="47"/>
  <c r="AJ941" i="47"/>
  <c r="AJ647" i="47"/>
  <c r="AJ646" i="47"/>
  <c r="AJ645" i="47"/>
  <c r="AJ644" i="47"/>
  <c r="AJ74" i="47"/>
  <c r="AJ643" i="47"/>
  <c r="AJ642" i="47"/>
  <c r="AJ706" i="47"/>
  <c r="AJ641" i="47"/>
  <c r="AJ640" i="47"/>
  <c r="AJ639" i="47"/>
  <c r="AJ638" i="47"/>
  <c r="AJ940" i="47"/>
  <c r="AJ937" i="47"/>
  <c r="AJ900" i="47"/>
  <c r="AJ899" i="47"/>
  <c r="AJ59" i="47"/>
  <c r="AJ58" i="47"/>
  <c r="AJ637" i="47"/>
  <c r="AJ636" i="47"/>
  <c r="AJ635" i="47"/>
  <c r="AJ57" i="47"/>
  <c r="AJ92" i="47"/>
  <c r="AJ73" i="47"/>
  <c r="AJ634" i="47"/>
  <c r="AJ633" i="47"/>
  <c r="AJ86" i="47"/>
  <c r="AJ722" i="47"/>
  <c r="AJ898" i="47"/>
  <c r="AJ897" i="47"/>
  <c r="AJ822" i="47"/>
  <c r="AJ821" i="47"/>
  <c r="AJ820" i="47"/>
  <c r="AJ819" i="47"/>
  <c r="AJ818" i="47"/>
  <c r="AJ817" i="47"/>
  <c r="AJ816" i="47"/>
  <c r="AJ815" i="47"/>
  <c r="AJ632" i="47"/>
  <c r="AJ631" i="47"/>
  <c r="AJ812" i="47"/>
  <c r="AJ811" i="47"/>
  <c r="AJ810" i="47"/>
  <c r="AJ809" i="47"/>
  <c r="AJ808" i="47"/>
  <c r="AJ807" i="47"/>
  <c r="AJ806" i="47"/>
  <c r="AJ805" i="47"/>
  <c r="AJ804" i="47"/>
  <c r="AJ803" i="47"/>
  <c r="AJ802" i="47"/>
  <c r="AJ801" i="47"/>
  <c r="AJ800" i="47"/>
  <c r="AJ630" i="47"/>
  <c r="AJ798" i="47"/>
  <c r="AJ629" i="47"/>
  <c r="AJ896" i="47"/>
  <c r="AJ628" i="47"/>
  <c r="AJ794" i="47"/>
  <c r="AJ793" i="47"/>
  <c r="AJ792" i="47"/>
  <c r="AJ791" i="47"/>
  <c r="AJ627" i="47"/>
  <c r="AJ789" i="47"/>
  <c r="AJ788" i="47"/>
  <c r="AJ787" i="47"/>
  <c r="AJ626" i="47"/>
  <c r="AJ1013" i="47"/>
  <c r="AJ992" i="47"/>
  <c r="AJ991" i="47"/>
  <c r="AJ782" i="47"/>
  <c r="AJ781" i="47"/>
  <c r="AJ705" i="47"/>
  <c r="AJ779" i="47"/>
  <c r="AJ778" i="47"/>
  <c r="AJ777" i="47"/>
  <c r="AJ776" i="47"/>
  <c r="AJ775" i="47"/>
  <c r="AJ774" i="47"/>
  <c r="AJ773" i="47"/>
  <c r="AJ772" i="47"/>
  <c r="AJ771" i="47"/>
  <c r="AJ770" i="47"/>
  <c r="AJ769" i="47"/>
  <c r="AJ768" i="47"/>
  <c r="AJ767" i="47"/>
  <c r="AJ766" i="47"/>
  <c r="AJ867" i="47"/>
  <c r="AJ625" i="47"/>
  <c r="AJ624" i="47"/>
  <c r="AJ623" i="47"/>
  <c r="AJ72" i="47"/>
  <c r="AJ760" i="47"/>
  <c r="AJ759" i="47"/>
  <c r="AJ758" i="47"/>
  <c r="AJ757" i="47"/>
  <c r="AJ756" i="47"/>
  <c r="AJ755" i="47"/>
  <c r="AJ754" i="47"/>
  <c r="AJ753" i="47"/>
  <c r="AJ752" i="47"/>
  <c r="AJ751" i="47"/>
  <c r="AJ750" i="47"/>
  <c r="AJ749" i="47"/>
  <c r="AJ748" i="47"/>
  <c r="AJ747" i="47"/>
  <c r="AJ746" i="47"/>
  <c r="AJ745" i="47"/>
  <c r="AJ744" i="47"/>
  <c r="AJ743" i="47"/>
  <c r="AJ622" i="47"/>
  <c r="AJ863" i="47"/>
  <c r="AJ740" i="47"/>
  <c r="AJ739" i="47"/>
  <c r="AJ738" i="47"/>
  <c r="AJ737" i="47"/>
  <c r="AJ736" i="47"/>
  <c r="AJ735" i="47"/>
  <c r="AJ734" i="47"/>
  <c r="AJ733" i="47"/>
  <c r="AJ621" i="47"/>
  <c r="AJ858" i="47"/>
  <c r="AJ620" i="47"/>
  <c r="AJ694" i="47"/>
  <c r="AJ728" i="47"/>
  <c r="AJ727" i="47"/>
  <c r="AJ619" i="47"/>
  <c r="AJ618" i="47"/>
  <c r="AJ617" i="47"/>
  <c r="AJ616" i="47"/>
  <c r="AJ615" i="47"/>
  <c r="AJ721" i="47"/>
  <c r="AJ720" i="47"/>
  <c r="AJ719" i="47"/>
  <c r="AJ718" i="47"/>
  <c r="AJ717" i="47"/>
  <c r="AJ716" i="47"/>
  <c r="AJ715" i="47"/>
  <c r="AJ714" i="47"/>
  <c r="AJ713" i="47"/>
  <c r="AJ712" i="47"/>
  <c r="AJ711" i="47"/>
  <c r="AJ710" i="47"/>
  <c r="AJ709" i="47"/>
  <c r="AJ141" i="47"/>
  <c r="AJ614" i="47"/>
  <c r="AJ613" i="47"/>
  <c r="AJ612" i="47"/>
  <c r="AJ704" i="47"/>
  <c r="AJ703" i="47"/>
  <c r="AJ702" i="47"/>
  <c r="AJ701" i="47"/>
  <c r="AJ700" i="47"/>
  <c r="AJ699" i="47"/>
  <c r="AJ698" i="47"/>
  <c r="AJ697" i="47"/>
  <c r="AJ696" i="47"/>
  <c r="AJ695" i="47"/>
  <c r="AJ91" i="47"/>
  <c r="AJ611" i="47"/>
  <c r="AJ610" i="47"/>
  <c r="AJ599" i="47"/>
  <c r="AJ596" i="47"/>
  <c r="AJ595" i="47"/>
  <c r="AJ688" i="47"/>
  <c r="AJ687" i="47"/>
  <c r="AJ686" i="47"/>
  <c r="AJ685" i="47"/>
  <c r="AJ684" i="47"/>
  <c r="AJ683" i="47"/>
  <c r="AJ682" i="47"/>
  <c r="AJ681" i="47"/>
  <c r="AJ680" i="47"/>
  <c r="AJ679" i="47"/>
  <c r="AJ678" i="47"/>
  <c r="AJ677" i="47"/>
  <c r="AJ676" i="47"/>
  <c r="AJ675" i="47"/>
  <c r="AJ674" i="47"/>
  <c r="AJ673" i="47"/>
  <c r="AJ672" i="47"/>
  <c r="AJ671" i="47"/>
  <c r="AJ670" i="47"/>
  <c r="AJ669" i="47"/>
  <c r="AJ668" i="47"/>
  <c r="AJ667" i="47"/>
  <c r="AJ666" i="47"/>
  <c r="AJ855" i="47"/>
  <c r="AJ854" i="47"/>
  <c r="AJ853" i="47"/>
  <c r="AJ594" i="47"/>
  <c r="AJ593" i="47"/>
  <c r="AJ591" i="47"/>
  <c r="AJ587" i="47"/>
  <c r="AJ583" i="47"/>
  <c r="AJ852" i="47"/>
  <c r="AJ851" i="47"/>
  <c r="AJ850" i="47"/>
  <c r="AJ849" i="47"/>
  <c r="AJ848" i="47"/>
  <c r="AJ847" i="47"/>
  <c r="AJ846" i="47"/>
  <c r="AJ845" i="47"/>
  <c r="AJ844" i="47"/>
  <c r="AJ843" i="47"/>
  <c r="AJ842" i="47"/>
  <c r="AJ841" i="47"/>
  <c r="AJ71" i="47"/>
  <c r="AJ582" i="47"/>
  <c r="AJ581" i="47"/>
  <c r="AJ693" i="47"/>
  <c r="AJ580" i="47"/>
  <c r="AJ579" i="47"/>
  <c r="AJ578" i="47"/>
  <c r="AJ577" i="47"/>
  <c r="AJ576" i="47"/>
  <c r="AJ840" i="47"/>
  <c r="AJ839" i="47"/>
  <c r="AJ838" i="47"/>
  <c r="AJ837" i="47"/>
  <c r="AJ56" i="47"/>
  <c r="AJ55" i="47"/>
  <c r="AJ54" i="47"/>
  <c r="AJ558" i="47"/>
  <c r="AJ557" i="47"/>
  <c r="AJ542" i="47"/>
  <c r="AJ53" i="47"/>
  <c r="AJ52" i="47"/>
  <c r="AJ541" i="47"/>
  <c r="AJ90" i="47"/>
  <c r="AJ70" i="47"/>
  <c r="AJ540" i="47"/>
  <c r="AJ539" i="47"/>
  <c r="AJ538" i="47"/>
  <c r="AJ537" i="47"/>
  <c r="AJ536" i="47"/>
  <c r="AJ85" i="47"/>
  <c r="AJ708" i="47"/>
  <c r="AJ663" i="47"/>
  <c r="AJ836" i="47"/>
  <c r="AJ835" i="47"/>
  <c r="AJ535" i="47"/>
  <c r="AJ534" i="47"/>
  <c r="AJ609" i="47"/>
  <c r="AJ608" i="47"/>
  <c r="AJ607" i="47"/>
  <c r="AJ606" i="47"/>
  <c r="AJ605" i="47"/>
  <c r="AJ604" i="47"/>
  <c r="AJ603" i="47"/>
  <c r="AJ602" i="47"/>
  <c r="AJ601" i="47"/>
  <c r="AJ600" i="47"/>
  <c r="AJ533" i="47"/>
  <c r="AJ598" i="47"/>
  <c r="AJ597" i="47"/>
  <c r="AJ692" i="47"/>
  <c r="AJ51" i="47"/>
  <c r="AJ128" i="47"/>
  <c r="AJ530" i="47"/>
  <c r="AJ592" i="47"/>
  <c r="AJ525" i="47"/>
  <c r="AJ590" i="47"/>
  <c r="AJ589" i="47"/>
  <c r="AJ588" i="47"/>
  <c r="AJ524" i="47"/>
  <c r="AJ586" i="47"/>
  <c r="AJ585" i="47"/>
  <c r="AJ584" i="47"/>
  <c r="AJ98" i="47"/>
  <c r="AJ662" i="47"/>
  <c r="AJ84" i="47"/>
  <c r="AJ69" i="47"/>
  <c r="AJ523" i="47"/>
  <c r="AJ496" i="47"/>
  <c r="AJ484" i="47"/>
  <c r="AJ83" i="47"/>
  <c r="AJ575" i="47"/>
  <c r="AJ574" i="47"/>
  <c r="AJ573" i="47"/>
  <c r="AJ572" i="47"/>
  <c r="AJ571" i="47"/>
  <c r="AJ570" i="47"/>
  <c r="AJ569" i="47"/>
  <c r="AJ568" i="47"/>
  <c r="AJ567" i="47"/>
  <c r="AJ566" i="47"/>
  <c r="AJ565" i="47"/>
  <c r="AJ564" i="47"/>
  <c r="AJ563" i="47"/>
  <c r="AJ562" i="47"/>
  <c r="AJ561" i="47"/>
  <c r="AJ560" i="47"/>
  <c r="AJ559" i="47"/>
  <c r="AJ482" i="47"/>
  <c r="AJ481" i="47"/>
  <c r="AJ556" i="47"/>
  <c r="AJ555" i="47"/>
  <c r="AJ554" i="47"/>
  <c r="AJ553" i="47"/>
  <c r="AJ552" i="47"/>
  <c r="AJ551" i="47"/>
  <c r="AJ550" i="47"/>
  <c r="AJ549" i="47"/>
  <c r="AJ548" i="47"/>
  <c r="AJ547" i="47"/>
  <c r="AJ546" i="47"/>
  <c r="AJ545" i="47"/>
  <c r="AJ544" i="47"/>
  <c r="AJ543" i="47"/>
  <c r="AJ480" i="47"/>
  <c r="AJ448" i="47"/>
  <c r="AJ691" i="47"/>
  <c r="AJ442" i="47"/>
  <c r="AJ441" i="47"/>
  <c r="AJ440" i="47"/>
  <c r="AJ439" i="47"/>
  <c r="AJ167" i="47"/>
  <c r="AJ432" i="47"/>
  <c r="AJ430" i="47"/>
  <c r="AJ532" i="47"/>
  <c r="AJ531" i="47"/>
  <c r="AJ426" i="47"/>
  <c r="AJ529" i="47"/>
  <c r="AJ528" i="47"/>
  <c r="AJ527" i="47"/>
  <c r="AJ526" i="47"/>
  <c r="AJ409" i="47"/>
  <c r="AJ408" i="47"/>
  <c r="AJ407" i="47"/>
  <c r="AJ522" i="47"/>
  <c r="AJ521" i="47"/>
  <c r="AJ520" i="47"/>
  <c r="AJ519" i="47"/>
  <c r="AJ518" i="47"/>
  <c r="AJ517" i="47"/>
  <c r="AJ516" i="47"/>
  <c r="AJ515" i="47"/>
  <c r="AJ514" i="47"/>
  <c r="AJ513" i="47"/>
  <c r="AJ512" i="47"/>
  <c r="AJ511" i="47"/>
  <c r="AJ510" i="47"/>
  <c r="AJ509" i="47"/>
  <c r="AJ508" i="47"/>
  <c r="AJ507" i="47"/>
  <c r="AJ506" i="47"/>
  <c r="AJ505" i="47"/>
  <c r="AJ504" i="47"/>
  <c r="AJ503" i="47"/>
  <c r="AJ502" i="47"/>
  <c r="AJ501" i="47"/>
  <c r="AJ500" i="47"/>
  <c r="AJ499" i="47"/>
  <c r="AJ498" i="47"/>
  <c r="AJ497" i="47"/>
  <c r="AJ82" i="47"/>
  <c r="AJ495" i="47"/>
  <c r="AJ494" i="47"/>
  <c r="AJ493" i="47"/>
  <c r="AJ492" i="47"/>
  <c r="AJ491" i="47"/>
  <c r="AJ490" i="47"/>
  <c r="AJ489" i="47"/>
  <c r="AJ488" i="47"/>
  <c r="AJ487" i="47"/>
  <c r="AJ486" i="47"/>
  <c r="AJ485" i="47"/>
  <c r="AJ403" i="47"/>
  <c r="AJ483" i="47"/>
  <c r="AJ402" i="47"/>
  <c r="AJ401" i="47"/>
  <c r="AJ400" i="47"/>
  <c r="AJ479" i="47"/>
  <c r="AJ478" i="47"/>
  <c r="AJ477" i="47"/>
  <c r="AJ476" i="47"/>
  <c r="AJ475" i="47"/>
  <c r="AJ474" i="47"/>
  <c r="AJ473" i="47"/>
  <c r="AJ472" i="47"/>
  <c r="AJ471" i="47"/>
  <c r="AJ470" i="47"/>
  <c r="AJ469" i="47"/>
  <c r="AJ468" i="47"/>
  <c r="AJ467" i="47"/>
  <c r="AJ466" i="47"/>
  <c r="AJ465" i="47"/>
  <c r="AJ464" i="47"/>
  <c r="AJ463" i="47"/>
  <c r="AJ462" i="47"/>
  <c r="AJ461" i="47"/>
  <c r="AJ460" i="47"/>
  <c r="AJ459" i="47"/>
  <c r="AJ458" i="47"/>
  <c r="AJ457" i="47"/>
  <c r="AJ456" i="47"/>
  <c r="AJ455" i="47"/>
  <c r="AJ454" i="47"/>
  <c r="AJ453" i="47"/>
  <c r="AJ452" i="47"/>
  <c r="AJ451" i="47"/>
  <c r="AJ450" i="47"/>
  <c r="AJ449" i="47"/>
  <c r="AJ68" i="47"/>
  <c r="AJ447" i="47"/>
  <c r="AJ446" i="47"/>
  <c r="AJ445" i="47"/>
  <c r="AJ444" i="47"/>
  <c r="AJ443" i="47"/>
  <c r="AJ97" i="47"/>
  <c r="AJ384" i="47"/>
  <c r="AJ383" i="47"/>
  <c r="AJ382" i="47"/>
  <c r="AJ438" i="47"/>
  <c r="AJ437" i="47"/>
  <c r="AJ436" i="47"/>
  <c r="AJ435" i="47"/>
  <c r="AJ434" i="47"/>
  <c r="AJ433" i="47"/>
  <c r="AJ381" i="47"/>
  <c r="AJ431" i="47"/>
  <c r="AJ380" i="47"/>
  <c r="AJ429" i="47"/>
  <c r="AJ428" i="47"/>
  <c r="AJ427" i="47"/>
  <c r="AJ379" i="47"/>
  <c r="AJ425" i="47"/>
  <c r="AJ424" i="47"/>
  <c r="AJ423" i="47"/>
  <c r="AJ422" i="47"/>
  <c r="AJ421" i="47"/>
  <c r="AJ420" i="47"/>
  <c r="AJ419" i="47"/>
  <c r="AJ418" i="47"/>
  <c r="AJ417" i="47"/>
  <c r="AJ416" i="47"/>
  <c r="AJ415" i="47"/>
  <c r="AJ414" i="47"/>
  <c r="AJ413" i="47"/>
  <c r="AJ412" i="47"/>
  <c r="AJ411" i="47"/>
  <c r="AJ410" i="47"/>
  <c r="AJ378" i="47"/>
  <c r="AJ377" i="47"/>
  <c r="AJ376" i="47"/>
  <c r="AJ406" i="47"/>
  <c r="AJ405" i="47"/>
  <c r="AJ404" i="47"/>
  <c r="AJ67" i="47"/>
  <c r="AJ375" i="47"/>
  <c r="AJ374" i="47"/>
  <c r="AJ373" i="47"/>
  <c r="AJ399" i="47"/>
  <c r="AJ398" i="47"/>
  <c r="AJ397" i="47"/>
  <c r="AJ396" i="47"/>
  <c r="AJ395" i="47"/>
  <c r="AJ394" i="47"/>
  <c r="AJ393" i="47"/>
  <c r="AJ392" i="47"/>
  <c r="AJ391" i="47"/>
  <c r="AJ390" i="47"/>
  <c r="AJ389" i="47"/>
  <c r="AJ388" i="47"/>
  <c r="AJ387" i="47"/>
  <c r="AJ386" i="47"/>
  <c r="AJ385" i="47"/>
  <c r="AJ834" i="47"/>
  <c r="AJ372" i="47"/>
  <c r="AJ371" i="47"/>
  <c r="AJ370" i="47"/>
  <c r="AJ369" i="47"/>
  <c r="AJ368" i="47"/>
  <c r="AJ367" i="47"/>
  <c r="AJ366" i="47"/>
  <c r="AJ833" i="47"/>
  <c r="AJ832" i="47"/>
  <c r="AJ831" i="47"/>
  <c r="AJ830" i="47"/>
  <c r="AJ829" i="47"/>
  <c r="AJ828" i="47"/>
  <c r="AJ827" i="47"/>
  <c r="AJ826" i="47"/>
  <c r="AJ825" i="47"/>
  <c r="AJ824" i="47"/>
  <c r="AJ823" i="47"/>
  <c r="AJ814" i="47"/>
  <c r="AJ66" i="47"/>
  <c r="AJ365" i="47"/>
  <c r="AJ364" i="47"/>
  <c r="AJ363" i="47"/>
  <c r="AJ690" i="47"/>
  <c r="AJ362" i="47"/>
  <c r="AJ361" i="47"/>
  <c r="AJ360" i="47"/>
  <c r="AJ359" i="47"/>
  <c r="AJ358" i="47"/>
  <c r="AJ357" i="47"/>
  <c r="AJ356" i="47"/>
  <c r="AJ355" i="47"/>
  <c r="AJ813" i="47"/>
  <c r="AJ799" i="47"/>
  <c r="AJ797" i="47"/>
  <c r="AJ50" i="47"/>
  <c r="AJ49" i="47"/>
  <c r="AJ48" i="47"/>
  <c r="AJ30" i="47"/>
  <c r="AJ354" i="47"/>
  <c r="AJ353" i="47"/>
  <c r="AJ352" i="47"/>
  <c r="AJ29" i="47"/>
  <c r="AJ25" i="47"/>
  <c r="AJ351" i="47"/>
  <c r="AJ338" i="47"/>
  <c r="AJ89" i="47"/>
  <c r="AJ65" i="47"/>
  <c r="AJ350" i="47"/>
  <c r="AJ349" i="47"/>
  <c r="AJ348" i="47"/>
  <c r="AJ347" i="47"/>
  <c r="AJ346" i="47"/>
  <c r="AJ81" i="47"/>
  <c r="AJ707" i="47"/>
  <c r="AJ20" i="47"/>
  <c r="AJ345" i="47"/>
  <c r="AJ796" i="47"/>
  <c r="AJ795" i="47"/>
  <c r="AJ344" i="47"/>
  <c r="AJ343" i="47"/>
  <c r="AJ322" i="47"/>
  <c r="AJ321" i="47"/>
  <c r="AJ320" i="47"/>
  <c r="AJ319" i="47"/>
  <c r="AJ318" i="47"/>
  <c r="AJ317" i="47"/>
  <c r="AJ316" i="47"/>
  <c r="AJ315" i="47"/>
  <c r="AJ314" i="47"/>
  <c r="AJ313" i="47"/>
  <c r="AJ312" i="47"/>
  <c r="AJ311" i="47"/>
  <c r="AJ310" i="47"/>
  <c r="AJ309" i="47"/>
  <c r="AJ308" i="47"/>
  <c r="AJ307" i="47"/>
  <c r="AJ306" i="47"/>
  <c r="AJ305" i="47"/>
  <c r="AJ304" i="47"/>
  <c r="AJ303" i="47"/>
  <c r="AJ302" i="47"/>
  <c r="AJ301" i="47"/>
  <c r="AJ342" i="47"/>
  <c r="AJ299" i="47"/>
  <c r="AJ298" i="47"/>
  <c r="AJ297" i="47"/>
  <c r="AJ296" i="47"/>
  <c r="AJ295" i="47"/>
  <c r="AJ294" i="47"/>
  <c r="AJ790" i="47"/>
  <c r="AJ80" i="47"/>
  <c r="AJ291" i="47"/>
  <c r="AJ689" i="47"/>
  <c r="AJ289" i="47"/>
  <c r="AJ288" i="47"/>
  <c r="AJ168" i="47"/>
  <c r="AJ286" i="47"/>
  <c r="AJ341" i="47"/>
  <c r="AJ340" i="47"/>
  <c r="AJ339" i="47"/>
  <c r="AJ665" i="47"/>
  <c r="AJ64" i="47"/>
  <c r="AJ280" i="47"/>
  <c r="AJ279" i="47"/>
  <c r="AJ79" i="47"/>
  <c r="AJ277" i="47"/>
  <c r="AJ276" i="47"/>
  <c r="AJ275" i="47"/>
  <c r="AJ274" i="47"/>
  <c r="AJ273" i="47"/>
  <c r="AJ272" i="47"/>
  <c r="AJ271" i="47"/>
  <c r="AJ270" i="47"/>
  <c r="AJ337" i="47"/>
  <c r="AJ268" i="47"/>
  <c r="AJ267" i="47"/>
  <c r="AJ266" i="47"/>
  <c r="AJ265" i="47"/>
  <c r="AJ264" i="47"/>
  <c r="AJ263" i="47"/>
  <c r="AJ262" i="47"/>
  <c r="AJ261" i="47"/>
  <c r="AJ260" i="47"/>
  <c r="AJ259" i="47"/>
  <c r="AJ258" i="47"/>
  <c r="AJ257" i="47"/>
  <c r="AJ256" i="47"/>
  <c r="AJ255" i="47"/>
  <c r="AJ254" i="47"/>
  <c r="AJ253" i="47"/>
  <c r="AJ252" i="47"/>
  <c r="AJ251" i="47"/>
  <c r="AJ250" i="47"/>
  <c r="AJ249" i="47"/>
  <c r="AJ248" i="47"/>
  <c r="AJ247" i="47"/>
  <c r="AJ246" i="47"/>
  <c r="AJ245" i="47"/>
  <c r="AJ244" i="47"/>
  <c r="AJ243" i="47"/>
  <c r="AJ242" i="47"/>
  <c r="AJ241" i="47"/>
  <c r="AJ240" i="47"/>
  <c r="AJ239" i="47"/>
  <c r="AJ238" i="47"/>
  <c r="AJ237" i="47"/>
  <c r="AJ786" i="47"/>
  <c r="AJ235" i="47"/>
  <c r="AJ234" i="47"/>
  <c r="AJ336" i="47"/>
  <c r="AJ232" i="47"/>
  <c r="AJ231" i="47"/>
  <c r="AJ785" i="47"/>
  <c r="AJ229" i="47"/>
  <c r="AJ784" i="47"/>
  <c r="AJ335" i="47"/>
  <c r="AJ226" i="47"/>
  <c r="AJ225" i="47"/>
  <c r="AJ224" i="47"/>
  <c r="AJ223" i="47"/>
  <c r="AJ222" i="47"/>
  <c r="AJ221" i="47"/>
  <c r="AJ78" i="47"/>
  <c r="AJ334" i="47"/>
  <c r="AJ218" i="47"/>
  <c r="AJ217" i="47"/>
  <c r="AJ216" i="47"/>
  <c r="AJ215" i="47"/>
  <c r="AJ214" i="47"/>
  <c r="AJ213" i="47"/>
  <c r="AJ212" i="47"/>
  <c r="AJ211" i="47"/>
  <c r="AJ210" i="47"/>
  <c r="AJ209" i="47"/>
  <c r="AJ208" i="47"/>
  <c r="AJ207" i="47"/>
  <c r="AJ206" i="47"/>
  <c r="AJ205" i="47"/>
  <c r="AJ204" i="47"/>
  <c r="AJ203" i="47"/>
  <c r="AJ202" i="47"/>
  <c r="AJ201" i="47"/>
  <c r="AJ200" i="47"/>
  <c r="AJ199" i="47"/>
  <c r="AJ198" i="47"/>
  <c r="AJ197" i="47"/>
  <c r="AJ196" i="47"/>
  <c r="AJ195" i="47"/>
  <c r="AJ194" i="47"/>
  <c r="AJ193" i="47"/>
  <c r="AJ192" i="47"/>
  <c r="AJ191" i="47"/>
  <c r="AJ190" i="47"/>
  <c r="AJ189" i="47"/>
  <c r="AJ188" i="47"/>
  <c r="AJ187" i="47"/>
  <c r="AJ186" i="47"/>
  <c r="AJ185" i="47"/>
  <c r="AJ184" i="47"/>
  <c r="AJ183" i="47"/>
  <c r="AJ182" i="47"/>
  <c r="AJ181" i="47"/>
  <c r="AJ180" i="47"/>
  <c r="AJ179" i="47"/>
  <c r="AJ178" i="47"/>
  <c r="AJ177" i="47"/>
  <c r="AJ176" i="47"/>
  <c r="AJ175" i="47"/>
  <c r="AJ96" i="47"/>
  <c r="AJ333" i="47"/>
  <c r="AJ332" i="47"/>
  <c r="AJ171" i="47"/>
  <c r="AJ170" i="47"/>
  <c r="AJ77" i="47"/>
  <c r="AJ990" i="47"/>
  <c r="AJ989" i="47"/>
  <c r="AJ166" i="47"/>
  <c r="AJ165" i="47"/>
  <c r="AJ164" i="47"/>
  <c r="AJ163" i="47"/>
  <c r="AJ162" i="47"/>
  <c r="AJ161" i="47"/>
  <c r="AJ160" i="47"/>
  <c r="AJ159" i="47"/>
  <c r="AJ158" i="47"/>
  <c r="AJ157" i="47"/>
  <c r="AJ156" i="47"/>
  <c r="AJ155" i="47"/>
  <c r="AJ154" i="47"/>
  <c r="AJ153" i="47"/>
  <c r="AJ152" i="47"/>
  <c r="AJ151" i="47"/>
  <c r="AJ150" i="47"/>
  <c r="AJ149" i="47"/>
  <c r="AJ148" i="47"/>
  <c r="AJ147" i="47"/>
  <c r="AJ146" i="47"/>
  <c r="AJ145" i="47"/>
  <c r="AJ144" i="47"/>
  <c r="AJ661" i="47"/>
  <c r="AJ331" i="47"/>
  <c r="AJ330" i="47"/>
  <c r="AJ140" i="47"/>
  <c r="AJ139" i="47"/>
  <c r="AJ138" i="47"/>
  <c r="AJ137" i="47"/>
  <c r="AJ136" i="47"/>
  <c r="AJ135" i="47"/>
  <c r="AJ134" i="47"/>
  <c r="AJ133" i="47"/>
  <c r="AJ132" i="47"/>
  <c r="AJ131" i="47"/>
  <c r="AJ130" i="47"/>
  <c r="AJ129" i="47"/>
  <c r="AJ88" i="47"/>
  <c r="AJ127" i="47"/>
  <c r="AJ126" i="47"/>
  <c r="AJ125" i="47"/>
  <c r="AJ124" i="47"/>
  <c r="AJ123" i="47"/>
  <c r="AJ122" i="47"/>
  <c r="AJ121" i="47"/>
  <c r="AJ120" i="47"/>
  <c r="AJ119" i="47"/>
  <c r="AJ118" i="47"/>
  <c r="AJ117" i="47"/>
  <c r="AJ116" i="47"/>
  <c r="AJ115" i="47"/>
  <c r="AJ114" i="47"/>
  <c r="AJ113" i="47"/>
  <c r="AJ112" i="47"/>
  <c r="AJ111" i="47"/>
  <c r="AJ110" i="47"/>
  <c r="AJ109" i="47"/>
  <c r="AJ108" i="47"/>
  <c r="AJ107" i="47"/>
  <c r="AJ106" i="47"/>
  <c r="AJ105" i="47"/>
  <c r="AJ104" i="47"/>
  <c r="AJ103" i="47"/>
  <c r="AJ102" i="47"/>
  <c r="AJ101" i="47"/>
  <c r="AJ100" i="47"/>
  <c r="AJ99" i="47"/>
  <c r="AJ783" i="47"/>
  <c r="AJ329" i="47"/>
  <c r="AJ328" i="47"/>
  <c r="AJ327" i="47"/>
  <c r="AJ326" i="47"/>
  <c r="AJ780" i="47"/>
  <c r="AJ765" i="47"/>
  <c r="AJ764" i="47"/>
  <c r="AJ763" i="47"/>
  <c r="AJ762" i="47"/>
  <c r="AJ761" i="47"/>
  <c r="AJ742" i="47"/>
  <c r="AJ741" i="47"/>
  <c r="AJ732" i="47"/>
  <c r="AJ731" i="47"/>
  <c r="AJ730" i="47"/>
  <c r="AJ729" i="47"/>
  <c r="AJ63" i="47"/>
  <c r="AJ325" i="47"/>
  <c r="AJ324" i="47"/>
  <c r="AJ664" i="47"/>
  <c r="AJ323" i="47"/>
  <c r="AJ300" i="47"/>
  <c r="AJ293" i="47"/>
  <c r="AJ292" i="47"/>
  <c r="AJ290" i="47"/>
  <c r="AJ287" i="47"/>
  <c r="AJ285" i="47"/>
  <c r="AJ726" i="47"/>
  <c r="AJ725" i="47"/>
  <c r="AJ16" i="47"/>
  <c r="AJ13" i="47"/>
  <c r="AJ284" i="47"/>
  <c r="AJ10" i="47"/>
  <c r="AJ9" i="47"/>
  <c r="AJ6" i="47"/>
  <c r="AJ283" i="47"/>
  <c r="AJ282" i="47"/>
  <c r="AJ60" i="47"/>
  <c r="AJ62" i="47"/>
  <c r="AJ281" i="47"/>
  <c r="AJ278" i="47"/>
  <c r="AJ269" i="47"/>
  <c r="AJ236" i="47"/>
  <c r="AJ233" i="47"/>
  <c r="AJ230" i="47"/>
  <c r="AJ228" i="47"/>
  <c r="AJ5" i="47"/>
  <c r="AJ4" i="47"/>
  <c r="AJ3" i="47"/>
  <c r="AJ227" i="47"/>
  <c r="AJ47" i="47"/>
  <c r="AJ46" i="47"/>
  <c r="AJ45" i="47"/>
  <c r="AJ44" i="47"/>
  <c r="AJ43" i="47"/>
  <c r="AJ42" i="47"/>
  <c r="AJ41" i="47"/>
  <c r="AJ40" i="47"/>
  <c r="AJ39" i="47"/>
  <c r="AJ38" i="47"/>
  <c r="AJ37" i="47"/>
  <c r="AJ36" i="47"/>
  <c r="AJ35" i="47"/>
  <c r="AJ34" i="47"/>
  <c r="AJ33" i="47"/>
  <c r="AJ32" i="47"/>
  <c r="AJ31" i="47"/>
  <c r="AJ220" i="47"/>
  <c r="AJ219" i="47"/>
  <c r="AJ28" i="47"/>
  <c r="AJ27" i="47"/>
  <c r="AJ26" i="47"/>
  <c r="AJ76" i="47"/>
  <c r="AJ24" i="47"/>
  <c r="AJ23" i="47"/>
  <c r="AJ22" i="47"/>
  <c r="AJ21" i="47"/>
  <c r="AJ724" i="47"/>
  <c r="AJ19" i="47"/>
  <c r="AJ18" i="47"/>
  <c r="AJ17" i="47"/>
  <c r="AJ174" i="47"/>
  <c r="AJ15" i="47"/>
  <c r="AJ14" i="47"/>
  <c r="AJ173" i="47"/>
  <c r="AJ12" i="47"/>
  <c r="AJ11" i="47"/>
  <c r="AJ95" i="47"/>
  <c r="AJ172" i="47"/>
  <c r="AJ8" i="47"/>
  <c r="AJ7" i="47"/>
  <c r="AJ94" i="47"/>
  <c r="AJ93" i="47"/>
  <c r="AJ169" i="47"/>
  <c r="AJ660" i="47"/>
  <c r="R10" i="51" l="1"/>
  <c r="R5" i="51"/>
  <c r="J17" i="51"/>
  <c r="R8" i="51"/>
  <c r="M2" i="51"/>
  <c r="R7" i="51"/>
  <c r="R9" i="51"/>
  <c r="R12" i="51"/>
  <c r="R6" i="51"/>
  <c r="R13" i="51"/>
  <c r="R4" i="51"/>
  <c r="R14" i="51"/>
  <c r="R11" i="51"/>
  <c r="AB31" i="48"/>
  <c r="C86" i="48"/>
  <c r="F1024" i="47"/>
  <c r="AJ2" i="47"/>
  <c r="I4" i="48"/>
  <c r="K5" i="48"/>
  <c r="AL7" i="47"/>
  <c r="AL94" i="47"/>
  <c r="AL93" i="47"/>
  <c r="AL169" i="47"/>
  <c r="AL660" i="47"/>
  <c r="AL2" i="47"/>
  <c r="AK1025" i="47"/>
  <c r="D23" i="48"/>
  <c r="E23" i="48"/>
  <c r="E20" i="48"/>
  <c r="D20" i="48"/>
  <c r="E20" i="43"/>
  <c r="D20" i="43"/>
  <c r="G21" i="43"/>
  <c r="AB34" i="51" l="1"/>
  <c r="AB35" i="51" s="1"/>
  <c r="AB38" i="51" s="1"/>
  <c r="L2" i="51"/>
  <c r="U9" i="51"/>
  <c r="T4" i="51"/>
  <c r="U6" i="51"/>
  <c r="T15" i="51"/>
  <c r="T6" i="51"/>
  <c r="U5" i="51"/>
  <c r="U4" i="51"/>
  <c r="U7" i="51"/>
  <c r="T14" i="51"/>
  <c r="T7" i="51"/>
  <c r="T8" i="51"/>
  <c r="T10" i="51"/>
  <c r="U15" i="51"/>
  <c r="U10" i="51"/>
  <c r="T5" i="51"/>
  <c r="T9" i="51"/>
  <c r="T13" i="51"/>
  <c r="U11" i="51"/>
  <c r="T12" i="51"/>
  <c r="U13" i="51"/>
  <c r="T11" i="51"/>
  <c r="U14" i="51"/>
  <c r="U12" i="51"/>
  <c r="U8" i="51"/>
  <c r="AB35" i="48"/>
  <c r="AM1023" i="47"/>
  <c r="AM1022" i="47"/>
  <c r="AM1021" i="47"/>
  <c r="AM1020" i="47"/>
  <c r="AM1019" i="47"/>
  <c r="AM1018" i="47"/>
  <c r="AM1017" i="47"/>
  <c r="AM1016" i="47"/>
  <c r="AM1015" i="47"/>
  <c r="AM1014" i="47"/>
  <c r="AM659" i="47"/>
  <c r="AM1012" i="47"/>
  <c r="AM1011" i="47"/>
  <c r="AM1010" i="47"/>
  <c r="AM1009" i="47"/>
  <c r="AM1008" i="47"/>
  <c r="AM1007" i="47"/>
  <c r="AM1006" i="47"/>
  <c r="AM1005" i="47"/>
  <c r="AM1004" i="47"/>
  <c r="AM1003" i="47"/>
  <c r="AM1002" i="47"/>
  <c r="AM1001" i="47"/>
  <c r="AM1000" i="47"/>
  <c r="AM999" i="47"/>
  <c r="AM998" i="47"/>
  <c r="AM997" i="47"/>
  <c r="AM996" i="47"/>
  <c r="AM995" i="47"/>
  <c r="AM994" i="47"/>
  <c r="AM993" i="47"/>
  <c r="AM658" i="47"/>
  <c r="AM657" i="47"/>
  <c r="AM656" i="47"/>
  <c r="AM143" i="47"/>
  <c r="AM988" i="47"/>
  <c r="AM987" i="47"/>
  <c r="AM986" i="47"/>
  <c r="AM985" i="47"/>
  <c r="AM984" i="47"/>
  <c r="AM983" i="47"/>
  <c r="AM982" i="47"/>
  <c r="AM981" i="47"/>
  <c r="AM980" i="47"/>
  <c r="AM979" i="47"/>
  <c r="AM978" i="47"/>
  <c r="AM977" i="47"/>
  <c r="AM976" i="47"/>
  <c r="AM975" i="47"/>
  <c r="AM974" i="47"/>
  <c r="AM973" i="47"/>
  <c r="AM972" i="47"/>
  <c r="AM971" i="47"/>
  <c r="AM970" i="47"/>
  <c r="AM969" i="47"/>
  <c r="AM968" i="47"/>
  <c r="AM967" i="47"/>
  <c r="AM966" i="47"/>
  <c r="AM965" i="47"/>
  <c r="AM964" i="47"/>
  <c r="AM963" i="47"/>
  <c r="AM962" i="47"/>
  <c r="AM961" i="47"/>
  <c r="AM960" i="47"/>
  <c r="AM959" i="47"/>
  <c r="AM958" i="47"/>
  <c r="AM957" i="47"/>
  <c r="AM956" i="47"/>
  <c r="AM955" i="47"/>
  <c r="AM954" i="47"/>
  <c r="AM953" i="47"/>
  <c r="AM952" i="47"/>
  <c r="AM723" i="47"/>
  <c r="AM655" i="47"/>
  <c r="AM949" i="47"/>
  <c r="AM948" i="47"/>
  <c r="AM947" i="47"/>
  <c r="AM946" i="47"/>
  <c r="AM945" i="47"/>
  <c r="AM944" i="47"/>
  <c r="AM943" i="47"/>
  <c r="AM942" i="47"/>
  <c r="AM654" i="47"/>
  <c r="AM653" i="47"/>
  <c r="AM939" i="47"/>
  <c r="AM938" i="47"/>
  <c r="AM652" i="47"/>
  <c r="AM936" i="47"/>
  <c r="AM935" i="47"/>
  <c r="AM934" i="47"/>
  <c r="AM933" i="47"/>
  <c r="AM932" i="47"/>
  <c r="AM931" i="47"/>
  <c r="AM930" i="47"/>
  <c r="AM929" i="47"/>
  <c r="AM928" i="47"/>
  <c r="AM927" i="47"/>
  <c r="AM926" i="47"/>
  <c r="AM925" i="47"/>
  <c r="AM924" i="47"/>
  <c r="AM923" i="47"/>
  <c r="AM922" i="47"/>
  <c r="AM921" i="47"/>
  <c r="AM920" i="47"/>
  <c r="AM919" i="47"/>
  <c r="AM918" i="47"/>
  <c r="AM917" i="47"/>
  <c r="AM916" i="47"/>
  <c r="AM915" i="47"/>
  <c r="AM914" i="47"/>
  <c r="AM913" i="47"/>
  <c r="AM912" i="47"/>
  <c r="AM911" i="47"/>
  <c r="AM910" i="47"/>
  <c r="AM909" i="47"/>
  <c r="AM908" i="47"/>
  <c r="AM907" i="47"/>
  <c r="AM906" i="47"/>
  <c r="AM905" i="47"/>
  <c r="AM904" i="47"/>
  <c r="AM903" i="47"/>
  <c r="AM902" i="47"/>
  <c r="AM901" i="47"/>
  <c r="AM87" i="47"/>
  <c r="AM142" i="47"/>
  <c r="AM651" i="47"/>
  <c r="AM650" i="47"/>
  <c r="AM649" i="47"/>
  <c r="AM895" i="47"/>
  <c r="AM894" i="47"/>
  <c r="AM893" i="47"/>
  <c r="AM892" i="47"/>
  <c r="AM891" i="47"/>
  <c r="AM890" i="47"/>
  <c r="AM889" i="47"/>
  <c r="AM888" i="47"/>
  <c r="AM887" i="47"/>
  <c r="AM886" i="47"/>
  <c r="AM885" i="47"/>
  <c r="AM884" i="47"/>
  <c r="AM883" i="47"/>
  <c r="AM882" i="47"/>
  <c r="AM881" i="47"/>
  <c r="AM880" i="47"/>
  <c r="AM879" i="47"/>
  <c r="AM878" i="47"/>
  <c r="AM877" i="47"/>
  <c r="AM876" i="47"/>
  <c r="AM875" i="47"/>
  <c r="AM874" i="47"/>
  <c r="AM873" i="47"/>
  <c r="AM872" i="47"/>
  <c r="AM871" i="47"/>
  <c r="AM870" i="47"/>
  <c r="AM869" i="47"/>
  <c r="AM868" i="47"/>
  <c r="AM61" i="47"/>
  <c r="AM866" i="47"/>
  <c r="AM865" i="47"/>
  <c r="AM864" i="47"/>
  <c r="AM75" i="47"/>
  <c r="AM862" i="47"/>
  <c r="AM861" i="47"/>
  <c r="AM860" i="47"/>
  <c r="AM859" i="47"/>
  <c r="AM648" i="47"/>
  <c r="AM857" i="47"/>
  <c r="AM856" i="47"/>
  <c r="AM951" i="47"/>
  <c r="AM950" i="47"/>
  <c r="AM941" i="47"/>
  <c r="AM647" i="47"/>
  <c r="AM646" i="47"/>
  <c r="AM645" i="47"/>
  <c r="AM644" i="47"/>
  <c r="AM74" i="47"/>
  <c r="AM643" i="47"/>
  <c r="AM642" i="47"/>
  <c r="AM706" i="47"/>
  <c r="AM641" i="47"/>
  <c r="AM640" i="47"/>
  <c r="AM639" i="47"/>
  <c r="AM638" i="47"/>
  <c r="AM940" i="47"/>
  <c r="AM937" i="47"/>
  <c r="AM900" i="47"/>
  <c r="AM899" i="47"/>
  <c r="AM59" i="47"/>
  <c r="AM58" i="47"/>
  <c r="AM637" i="47"/>
  <c r="AM636" i="47"/>
  <c r="AM635" i="47"/>
  <c r="AM57" i="47"/>
  <c r="AM92" i="47"/>
  <c r="AM73" i="47"/>
  <c r="AM634" i="47"/>
  <c r="AM633" i="47"/>
  <c r="AM86" i="47"/>
  <c r="AM722" i="47"/>
  <c r="AM898" i="47"/>
  <c r="AM897" i="47"/>
  <c r="AM822" i="47"/>
  <c r="AM821" i="47"/>
  <c r="AM820" i="47"/>
  <c r="AM819" i="47"/>
  <c r="AM818" i="47"/>
  <c r="AM817" i="47"/>
  <c r="AM816" i="47"/>
  <c r="AM815" i="47"/>
  <c r="AM632" i="47"/>
  <c r="AM631" i="47"/>
  <c r="AM812" i="47"/>
  <c r="AM811" i="47"/>
  <c r="AM810" i="47"/>
  <c r="AM809" i="47"/>
  <c r="AM808" i="47"/>
  <c r="AM807" i="47"/>
  <c r="AM806" i="47"/>
  <c r="AM805" i="47"/>
  <c r="AM804" i="47"/>
  <c r="AM803" i="47"/>
  <c r="AM802" i="47"/>
  <c r="AM801" i="47"/>
  <c r="AM800" i="47"/>
  <c r="AM630" i="47"/>
  <c r="AM798" i="47"/>
  <c r="AM629" i="47"/>
  <c r="AM896" i="47"/>
  <c r="AM628" i="47"/>
  <c r="AM794" i="47"/>
  <c r="AM793" i="47"/>
  <c r="AM792" i="47"/>
  <c r="AM791" i="47"/>
  <c r="AM627" i="47"/>
  <c r="AM789" i="47"/>
  <c r="AM788" i="47"/>
  <c r="AM787" i="47"/>
  <c r="AM626" i="47"/>
  <c r="AM1013" i="47"/>
  <c r="AM992" i="47"/>
  <c r="AM991" i="47"/>
  <c r="AM782" i="47"/>
  <c r="AM781" i="47"/>
  <c r="AM705" i="47"/>
  <c r="AM779" i="47"/>
  <c r="AM778" i="47"/>
  <c r="AM777" i="47"/>
  <c r="AM776" i="47"/>
  <c r="AM775" i="47"/>
  <c r="AM774" i="47"/>
  <c r="AM773" i="47"/>
  <c r="AM772" i="47"/>
  <c r="AM771" i="47"/>
  <c r="AM770" i="47"/>
  <c r="AM769" i="47"/>
  <c r="AM768" i="47"/>
  <c r="AM767" i="47"/>
  <c r="AM766" i="47"/>
  <c r="AM867" i="47"/>
  <c r="AM625" i="47"/>
  <c r="AM624" i="47"/>
  <c r="AM623" i="47"/>
  <c r="AM72" i="47"/>
  <c r="AM760" i="47"/>
  <c r="AM759" i="47"/>
  <c r="AM758" i="47"/>
  <c r="AM757" i="47"/>
  <c r="AM756" i="47"/>
  <c r="AM755" i="47"/>
  <c r="AM754" i="47"/>
  <c r="AM753" i="47"/>
  <c r="AM752" i="47"/>
  <c r="AM751" i="47"/>
  <c r="AM750" i="47"/>
  <c r="AM749" i="47"/>
  <c r="AM748" i="47"/>
  <c r="AM747" i="47"/>
  <c r="AM746" i="47"/>
  <c r="AM745" i="47"/>
  <c r="AM744" i="47"/>
  <c r="AM743" i="47"/>
  <c r="AM622" i="47"/>
  <c r="AM863" i="47"/>
  <c r="AM740" i="47"/>
  <c r="AM739" i="47"/>
  <c r="AM738" i="47"/>
  <c r="AM737" i="47"/>
  <c r="AM736" i="47"/>
  <c r="AM735" i="47"/>
  <c r="AM734" i="47"/>
  <c r="AM733" i="47"/>
  <c r="AM621" i="47"/>
  <c r="AM858" i="47"/>
  <c r="AM620" i="47"/>
  <c r="AM694" i="47"/>
  <c r="AM728" i="47"/>
  <c r="AM727" i="47"/>
  <c r="AM619" i="47"/>
  <c r="AM618" i="47"/>
  <c r="AM617" i="47"/>
  <c r="AM616" i="47"/>
  <c r="AM615" i="47"/>
  <c r="AM721" i="47"/>
  <c r="AM720" i="47"/>
  <c r="AM719" i="47"/>
  <c r="AM718" i="47"/>
  <c r="AM717" i="47"/>
  <c r="AM716" i="47"/>
  <c r="AM715" i="47"/>
  <c r="AM714" i="47"/>
  <c r="AM713" i="47"/>
  <c r="AM712" i="47"/>
  <c r="AM711" i="47"/>
  <c r="AM710" i="47"/>
  <c r="AM709" i="47"/>
  <c r="AM141" i="47"/>
  <c r="AM614" i="47"/>
  <c r="AM613" i="47"/>
  <c r="AM612" i="47"/>
  <c r="AM704" i="47"/>
  <c r="AM703" i="47"/>
  <c r="AM702" i="47"/>
  <c r="AM701" i="47"/>
  <c r="AM700" i="47"/>
  <c r="AM699" i="47"/>
  <c r="AM698" i="47"/>
  <c r="AM697" i="47"/>
  <c r="AM696" i="47"/>
  <c r="AM695" i="47"/>
  <c r="AM91" i="47"/>
  <c r="AM611" i="47"/>
  <c r="AM610" i="47"/>
  <c r="AM599" i="47"/>
  <c r="AM596" i="47"/>
  <c r="AM595" i="47"/>
  <c r="AM688" i="47"/>
  <c r="AM687" i="47"/>
  <c r="AM686" i="47"/>
  <c r="AM685" i="47"/>
  <c r="AM684" i="47"/>
  <c r="AM683" i="47"/>
  <c r="AM682" i="47"/>
  <c r="AM681" i="47"/>
  <c r="AM680" i="47"/>
  <c r="AM679" i="47"/>
  <c r="AM678" i="47"/>
  <c r="AM677" i="47"/>
  <c r="AM676" i="47"/>
  <c r="AM675" i="47"/>
  <c r="AM674" i="47"/>
  <c r="AM673" i="47"/>
  <c r="AM672" i="47"/>
  <c r="AM671" i="47"/>
  <c r="AM670" i="47"/>
  <c r="AM669" i="47"/>
  <c r="AM668" i="47"/>
  <c r="AM667" i="47"/>
  <c r="AM666" i="47"/>
  <c r="AM855" i="47"/>
  <c r="AM854" i="47"/>
  <c r="AM853" i="47"/>
  <c r="AM594" i="47"/>
  <c r="AM593" i="47"/>
  <c r="AM591" i="47"/>
  <c r="AM587" i="47"/>
  <c r="AM583" i="47"/>
  <c r="AM852" i="47"/>
  <c r="AM851" i="47"/>
  <c r="AM850" i="47"/>
  <c r="AM849" i="47"/>
  <c r="AM848" i="47"/>
  <c r="AM847" i="47"/>
  <c r="AM846" i="47"/>
  <c r="AM845" i="47"/>
  <c r="AM844" i="47"/>
  <c r="AM843" i="47"/>
  <c r="AM842" i="47"/>
  <c r="AM841" i="47"/>
  <c r="AM71" i="47"/>
  <c r="AM582" i="47"/>
  <c r="AM581" i="47"/>
  <c r="AM693" i="47"/>
  <c r="AM580" i="47"/>
  <c r="AM579" i="47"/>
  <c r="AM578" i="47"/>
  <c r="AM577" i="47"/>
  <c r="AM576" i="47"/>
  <c r="AM840" i="47"/>
  <c r="AM839" i="47"/>
  <c r="AM838" i="47"/>
  <c r="AM837" i="47"/>
  <c r="AM56" i="47"/>
  <c r="AM55" i="47"/>
  <c r="AM54" i="47"/>
  <c r="AM558" i="47"/>
  <c r="AM557" i="47"/>
  <c r="AM542" i="47"/>
  <c r="AM53" i="47"/>
  <c r="AM52" i="47"/>
  <c r="AM541" i="47"/>
  <c r="AM90" i="47"/>
  <c r="AM70" i="47"/>
  <c r="AM540" i="47"/>
  <c r="AM539" i="47"/>
  <c r="AM538" i="47"/>
  <c r="AM537" i="47"/>
  <c r="AM536" i="47"/>
  <c r="AM85" i="47"/>
  <c r="AM708" i="47"/>
  <c r="AM663" i="47"/>
  <c r="AM836" i="47"/>
  <c r="AM835" i="47"/>
  <c r="AM535" i="47"/>
  <c r="AM534" i="47"/>
  <c r="AM609" i="47"/>
  <c r="AM608" i="47"/>
  <c r="AM607" i="47"/>
  <c r="AM606" i="47"/>
  <c r="AM605" i="47"/>
  <c r="AM604" i="47"/>
  <c r="AM603" i="47"/>
  <c r="AM602" i="47"/>
  <c r="AM601" i="47"/>
  <c r="AM600" i="47"/>
  <c r="AM533" i="47"/>
  <c r="AM598" i="47"/>
  <c r="AM597" i="47"/>
  <c r="AM692" i="47"/>
  <c r="AM51" i="47"/>
  <c r="AM128" i="47"/>
  <c r="AM530" i="47"/>
  <c r="AM592" i="47"/>
  <c r="AM525" i="47"/>
  <c r="AM590" i="47"/>
  <c r="AM589" i="47"/>
  <c r="AM588" i="47"/>
  <c r="AM524" i="47"/>
  <c r="AM586" i="47"/>
  <c r="AM585" i="47"/>
  <c r="AM584" i="47"/>
  <c r="AM98" i="47"/>
  <c r="AM662" i="47"/>
  <c r="AM84" i="47"/>
  <c r="AM69" i="47"/>
  <c r="AM523" i="47"/>
  <c r="AM496" i="47"/>
  <c r="AM484" i="47"/>
  <c r="AM83" i="47"/>
  <c r="AM575" i="47"/>
  <c r="AM574" i="47"/>
  <c r="AM573" i="47"/>
  <c r="AM572" i="47"/>
  <c r="AM571" i="47"/>
  <c r="AM570" i="47"/>
  <c r="AM569" i="47"/>
  <c r="AM568" i="47"/>
  <c r="AM567" i="47"/>
  <c r="AM566" i="47"/>
  <c r="AM565" i="47"/>
  <c r="AM564" i="47"/>
  <c r="AM563" i="47"/>
  <c r="AM562" i="47"/>
  <c r="AM561" i="47"/>
  <c r="AM560" i="47"/>
  <c r="AM559" i="47"/>
  <c r="AM482" i="47"/>
  <c r="AM481" i="47"/>
  <c r="AM556" i="47"/>
  <c r="AM555" i="47"/>
  <c r="AM554" i="47"/>
  <c r="AM553" i="47"/>
  <c r="AM552" i="47"/>
  <c r="AM551" i="47"/>
  <c r="AM550" i="47"/>
  <c r="AM549" i="47"/>
  <c r="AM548" i="47"/>
  <c r="AM547" i="47"/>
  <c r="AM546" i="47"/>
  <c r="AM545" i="47"/>
  <c r="AM544" i="47"/>
  <c r="AM543" i="47"/>
  <c r="AM480" i="47"/>
  <c r="AM448" i="47"/>
  <c r="AM691" i="47"/>
  <c r="AM442" i="47"/>
  <c r="AM441" i="47"/>
  <c r="AM440" i="47"/>
  <c r="AM439" i="47"/>
  <c r="AM167" i="47"/>
  <c r="AM432" i="47"/>
  <c r="AM430" i="47"/>
  <c r="AM532" i="47"/>
  <c r="AM531" i="47"/>
  <c r="AM426" i="47"/>
  <c r="AM529" i="47"/>
  <c r="AM528" i="47"/>
  <c r="AM527" i="47"/>
  <c r="AM526" i="47"/>
  <c r="AM409" i="47"/>
  <c r="AM408" i="47"/>
  <c r="AM407" i="47"/>
  <c r="AM522" i="47"/>
  <c r="AM521" i="47"/>
  <c r="AM520" i="47"/>
  <c r="AM519" i="47"/>
  <c r="AM518" i="47"/>
  <c r="AM517" i="47"/>
  <c r="AM516" i="47"/>
  <c r="AM515" i="47"/>
  <c r="AM514" i="47"/>
  <c r="AM513" i="47"/>
  <c r="AM512" i="47"/>
  <c r="AM511" i="47"/>
  <c r="AM510" i="47"/>
  <c r="AM509" i="47"/>
  <c r="AM508" i="47"/>
  <c r="AM507" i="47"/>
  <c r="AM506" i="47"/>
  <c r="AM505" i="47"/>
  <c r="AM504" i="47"/>
  <c r="AM503" i="47"/>
  <c r="AM502" i="47"/>
  <c r="AM501" i="47"/>
  <c r="AM500" i="47"/>
  <c r="AM499" i="47"/>
  <c r="AM498" i="47"/>
  <c r="AM497" i="47"/>
  <c r="AM82" i="47"/>
  <c r="AM495" i="47"/>
  <c r="AM494" i="47"/>
  <c r="AM493" i="47"/>
  <c r="AM492" i="47"/>
  <c r="AM491" i="47"/>
  <c r="AM490" i="47"/>
  <c r="AM489" i="47"/>
  <c r="AM488" i="47"/>
  <c r="AM487" i="47"/>
  <c r="AM486" i="47"/>
  <c r="AM485" i="47"/>
  <c r="AM403" i="47"/>
  <c r="AM483" i="47"/>
  <c r="AM402" i="47"/>
  <c r="AM401" i="47"/>
  <c r="AM400" i="47"/>
  <c r="AM479" i="47"/>
  <c r="AM478" i="47"/>
  <c r="AM477" i="47"/>
  <c r="AM476" i="47"/>
  <c r="AM475" i="47"/>
  <c r="AM474" i="47"/>
  <c r="AM473" i="47"/>
  <c r="AM472" i="47"/>
  <c r="AM471" i="47"/>
  <c r="AM470" i="47"/>
  <c r="AM469" i="47"/>
  <c r="AM468" i="47"/>
  <c r="AM467" i="47"/>
  <c r="AM466" i="47"/>
  <c r="AM465" i="47"/>
  <c r="AM464" i="47"/>
  <c r="AM463" i="47"/>
  <c r="AM462" i="47"/>
  <c r="AM461" i="47"/>
  <c r="AM460" i="47"/>
  <c r="AM459" i="47"/>
  <c r="AM458" i="47"/>
  <c r="AM457" i="47"/>
  <c r="AM456" i="47"/>
  <c r="AM455" i="47"/>
  <c r="AM454" i="47"/>
  <c r="AM453" i="47"/>
  <c r="AM452" i="47"/>
  <c r="AM451" i="47"/>
  <c r="AM450" i="47"/>
  <c r="AM449" i="47"/>
  <c r="AM68" i="47"/>
  <c r="AM447" i="47"/>
  <c r="AM446" i="47"/>
  <c r="AM445" i="47"/>
  <c r="AM444" i="47"/>
  <c r="AM443" i="47"/>
  <c r="AM97" i="47"/>
  <c r="AM384" i="47"/>
  <c r="AM383" i="47"/>
  <c r="AM382" i="47"/>
  <c r="AM438" i="47"/>
  <c r="AM437" i="47"/>
  <c r="AM436" i="47"/>
  <c r="AM435" i="47"/>
  <c r="AM434" i="47"/>
  <c r="AM433" i="47"/>
  <c r="AM381" i="47"/>
  <c r="AM431" i="47"/>
  <c r="AM380" i="47"/>
  <c r="AM429" i="47"/>
  <c r="AM428" i="47"/>
  <c r="AM427" i="47"/>
  <c r="AM379" i="47"/>
  <c r="AM425" i="47"/>
  <c r="AM424" i="47"/>
  <c r="AM423" i="47"/>
  <c r="AM422" i="47"/>
  <c r="AM421" i="47"/>
  <c r="AM420" i="47"/>
  <c r="AM419" i="47"/>
  <c r="AM418" i="47"/>
  <c r="AM417" i="47"/>
  <c r="AM416" i="47"/>
  <c r="AM415" i="47"/>
  <c r="AM414" i="47"/>
  <c r="AM413" i="47"/>
  <c r="AM412" i="47"/>
  <c r="AM411" i="47"/>
  <c r="AM410" i="47"/>
  <c r="AM378" i="47"/>
  <c r="AM377" i="47"/>
  <c r="AM376" i="47"/>
  <c r="AM406" i="47"/>
  <c r="AM405" i="47"/>
  <c r="AM404" i="47"/>
  <c r="AM67" i="47"/>
  <c r="AM375" i="47"/>
  <c r="AM374" i="47"/>
  <c r="AM373" i="47"/>
  <c r="AM399" i="47"/>
  <c r="AM398" i="47"/>
  <c r="AM397" i="47"/>
  <c r="AM396" i="47"/>
  <c r="AM395" i="47"/>
  <c r="AM394" i="47"/>
  <c r="AM393" i="47"/>
  <c r="AM392" i="47"/>
  <c r="AM391" i="47"/>
  <c r="AM390" i="47"/>
  <c r="AM389" i="47"/>
  <c r="AM388" i="47"/>
  <c r="AM387" i="47"/>
  <c r="AM386" i="47"/>
  <c r="AM385" i="47"/>
  <c r="AM834" i="47"/>
  <c r="AM372" i="47"/>
  <c r="AM371" i="47"/>
  <c r="AM370" i="47"/>
  <c r="AM369" i="47"/>
  <c r="AM368" i="47"/>
  <c r="AM367" i="47"/>
  <c r="AM366" i="47"/>
  <c r="AM833" i="47"/>
  <c r="AM832" i="47"/>
  <c r="AM831" i="47"/>
  <c r="AM830" i="47"/>
  <c r="AM829" i="47"/>
  <c r="AM828" i="47"/>
  <c r="AM827" i="47"/>
  <c r="AM826" i="47"/>
  <c r="AM825" i="47"/>
  <c r="AM824" i="47"/>
  <c r="AM823" i="47"/>
  <c r="AM814" i="47"/>
  <c r="AM66" i="47"/>
  <c r="AM365" i="47"/>
  <c r="AM364" i="47"/>
  <c r="AM363" i="47"/>
  <c r="AM690" i="47"/>
  <c r="AM362" i="47"/>
  <c r="AM361" i="47"/>
  <c r="AM360" i="47"/>
  <c r="AM359" i="47"/>
  <c r="AM358" i="47"/>
  <c r="AM357" i="47"/>
  <c r="AM356" i="47"/>
  <c r="AM355" i="47"/>
  <c r="AM813" i="47"/>
  <c r="AM799" i="47"/>
  <c r="AM797" i="47"/>
  <c r="AM50" i="47"/>
  <c r="AM49" i="47"/>
  <c r="AM48" i="47"/>
  <c r="AM30" i="47"/>
  <c r="AM354" i="47"/>
  <c r="AM353" i="47"/>
  <c r="AM352" i="47"/>
  <c r="AM29" i="47"/>
  <c r="AM25" i="47"/>
  <c r="AM351" i="47"/>
  <c r="AM338" i="47"/>
  <c r="AM89" i="47"/>
  <c r="AM65" i="47"/>
  <c r="AM350" i="47"/>
  <c r="AM349" i="47"/>
  <c r="AM348" i="47"/>
  <c r="AM347" i="47"/>
  <c r="AM346" i="47"/>
  <c r="AM81" i="47"/>
  <c r="AM707" i="47"/>
  <c r="AM20" i="47"/>
  <c r="AM345" i="47"/>
  <c r="AM796" i="47"/>
  <c r="AM795" i="47"/>
  <c r="AM344" i="47"/>
  <c r="AM343" i="47"/>
  <c r="AM322" i="47"/>
  <c r="AM321" i="47"/>
  <c r="AM320" i="47"/>
  <c r="AM319" i="47"/>
  <c r="AM318" i="47"/>
  <c r="AM317" i="47"/>
  <c r="AM316" i="47"/>
  <c r="AM315" i="47"/>
  <c r="AM314" i="47"/>
  <c r="AM313" i="47"/>
  <c r="AM312" i="47"/>
  <c r="AM311" i="47"/>
  <c r="AM310" i="47"/>
  <c r="AM309" i="47"/>
  <c r="AM308" i="47"/>
  <c r="AM307" i="47"/>
  <c r="AM306" i="47"/>
  <c r="AM305" i="47"/>
  <c r="AM304" i="47"/>
  <c r="AM303" i="47"/>
  <c r="AM302" i="47"/>
  <c r="AM301" i="47"/>
  <c r="AM342" i="47"/>
  <c r="AM299" i="47"/>
  <c r="AM298" i="47"/>
  <c r="AM297" i="47"/>
  <c r="AM296" i="47"/>
  <c r="AM295" i="47"/>
  <c r="AM294" i="47"/>
  <c r="AM790" i="47"/>
  <c r="AM80" i="47"/>
  <c r="AM291" i="47"/>
  <c r="AM689" i="47"/>
  <c r="AM289" i="47"/>
  <c r="AM288" i="47"/>
  <c r="AM168" i="47"/>
  <c r="AM286" i="47"/>
  <c r="AM341" i="47"/>
  <c r="AM340" i="47"/>
  <c r="AM339" i="47"/>
  <c r="AM665" i="47"/>
  <c r="AM64" i="47"/>
  <c r="AM280" i="47"/>
  <c r="AM279" i="47"/>
  <c r="AM79" i="47"/>
  <c r="AM277" i="47"/>
  <c r="AM276" i="47"/>
  <c r="AM275" i="47"/>
  <c r="AM274" i="47"/>
  <c r="AM273" i="47"/>
  <c r="AM272" i="47"/>
  <c r="AM271" i="47"/>
  <c r="AM270" i="47"/>
  <c r="AM337" i="47"/>
  <c r="AM268" i="47"/>
  <c r="AM267" i="47"/>
  <c r="AM266" i="47"/>
  <c r="AM265" i="47"/>
  <c r="AM264" i="47"/>
  <c r="AM263" i="47"/>
  <c r="AM262" i="47"/>
  <c r="AM261" i="47"/>
  <c r="AM260" i="47"/>
  <c r="AM259" i="47"/>
  <c r="AM258" i="47"/>
  <c r="AM257" i="47"/>
  <c r="AM256" i="47"/>
  <c r="AM255" i="47"/>
  <c r="AM254" i="47"/>
  <c r="AM253" i="47"/>
  <c r="AM252" i="47"/>
  <c r="AM251" i="47"/>
  <c r="AM250" i="47"/>
  <c r="AM249" i="47"/>
  <c r="AM248" i="47"/>
  <c r="AM247" i="47"/>
  <c r="AM246" i="47"/>
  <c r="AM245" i="47"/>
  <c r="AM244" i="47"/>
  <c r="AM243" i="47"/>
  <c r="AM242" i="47"/>
  <c r="AM241" i="47"/>
  <c r="AM240" i="47"/>
  <c r="AM239" i="47"/>
  <c r="AM238" i="47"/>
  <c r="AM237" i="47"/>
  <c r="AM786" i="47"/>
  <c r="AM235" i="47"/>
  <c r="AM234" i="47"/>
  <c r="AM336" i="47"/>
  <c r="AM232" i="47"/>
  <c r="AM231" i="47"/>
  <c r="AM785" i="47"/>
  <c r="AM229" i="47"/>
  <c r="AM784" i="47"/>
  <c r="AM335" i="47"/>
  <c r="AM226" i="47"/>
  <c r="AM225" i="47"/>
  <c r="AM224" i="47"/>
  <c r="AM223" i="47"/>
  <c r="AM222" i="47"/>
  <c r="AM221" i="47"/>
  <c r="AM78" i="47"/>
  <c r="AM334" i="47"/>
  <c r="AM218" i="47"/>
  <c r="AM217" i="47"/>
  <c r="AM216" i="47"/>
  <c r="AM215" i="47"/>
  <c r="AM214" i="47"/>
  <c r="AM213" i="47"/>
  <c r="AM212" i="47"/>
  <c r="AM211" i="47"/>
  <c r="AM210" i="47"/>
  <c r="AM209" i="47"/>
  <c r="AM208" i="47"/>
  <c r="AM207" i="47"/>
  <c r="AM206" i="47"/>
  <c r="AM205" i="47"/>
  <c r="AM204" i="47"/>
  <c r="AM203" i="47"/>
  <c r="AM202" i="47"/>
  <c r="AM201" i="47"/>
  <c r="AM200" i="47"/>
  <c r="AM199" i="47"/>
  <c r="AM198" i="47"/>
  <c r="AM197" i="47"/>
  <c r="AM196" i="47"/>
  <c r="AM195" i="47"/>
  <c r="AM194" i="47"/>
  <c r="AM193" i="47"/>
  <c r="AM192" i="47"/>
  <c r="AM191" i="47"/>
  <c r="AM190" i="47"/>
  <c r="AM189" i="47"/>
  <c r="AM188" i="47"/>
  <c r="AM187" i="47"/>
  <c r="AM186" i="47"/>
  <c r="AM185" i="47"/>
  <c r="AM184" i="47"/>
  <c r="AM183" i="47"/>
  <c r="AM182" i="47"/>
  <c r="AM181" i="47"/>
  <c r="AM180" i="47"/>
  <c r="AM179" i="47"/>
  <c r="AM178" i="47"/>
  <c r="AM177" i="47"/>
  <c r="AM176" i="47"/>
  <c r="AM175" i="47"/>
  <c r="AM96" i="47"/>
  <c r="AM333" i="47"/>
  <c r="AM332" i="47"/>
  <c r="AM171" i="47"/>
  <c r="AM170" i="47"/>
  <c r="AM77" i="47"/>
  <c r="AM990" i="47"/>
  <c r="AM989" i="47"/>
  <c r="AM166" i="47"/>
  <c r="AM165" i="47"/>
  <c r="AM164" i="47"/>
  <c r="AM163" i="47"/>
  <c r="AM162" i="47"/>
  <c r="AM161" i="47"/>
  <c r="AM160" i="47"/>
  <c r="AM159" i="47"/>
  <c r="AM158" i="47"/>
  <c r="AM157" i="47"/>
  <c r="AM156" i="47"/>
  <c r="AM155" i="47"/>
  <c r="AM154" i="47"/>
  <c r="AM153" i="47"/>
  <c r="AM152" i="47"/>
  <c r="AM151" i="47"/>
  <c r="AM150" i="47"/>
  <c r="AM149" i="47"/>
  <c r="AM148" i="47"/>
  <c r="AM147" i="47"/>
  <c r="AM146" i="47"/>
  <c r="AM145" i="47"/>
  <c r="AM144" i="47"/>
  <c r="AM661" i="47"/>
  <c r="AM331" i="47"/>
  <c r="AM330" i="47"/>
  <c r="AM140" i="47"/>
  <c r="AM139" i="47"/>
  <c r="AM138" i="47"/>
  <c r="AM137" i="47"/>
  <c r="AM136" i="47"/>
  <c r="AM135" i="47"/>
  <c r="AM134" i="47"/>
  <c r="AM133" i="47"/>
  <c r="AM132" i="47"/>
  <c r="AM131" i="47"/>
  <c r="AM130" i="47"/>
  <c r="AM129" i="47"/>
  <c r="AM88" i="47"/>
  <c r="AM127" i="47"/>
  <c r="AM126" i="47"/>
  <c r="AM125" i="47"/>
  <c r="AM124" i="47"/>
  <c r="AM123" i="47"/>
  <c r="AM122" i="47"/>
  <c r="AM121" i="47"/>
  <c r="AM120" i="47"/>
  <c r="AM119" i="47"/>
  <c r="AM118" i="47"/>
  <c r="AM117" i="47"/>
  <c r="AM116" i="47"/>
  <c r="AM115" i="47"/>
  <c r="AM114" i="47"/>
  <c r="AM113" i="47"/>
  <c r="AM112" i="47"/>
  <c r="AM111" i="47"/>
  <c r="AM110" i="47"/>
  <c r="AM109" i="47"/>
  <c r="AM108" i="47"/>
  <c r="AM107" i="47"/>
  <c r="AM106" i="47"/>
  <c r="AM105" i="47"/>
  <c r="AM104" i="47"/>
  <c r="AM103" i="47"/>
  <c r="AM102" i="47"/>
  <c r="AM101" i="47"/>
  <c r="AM100" i="47"/>
  <c r="AM99" i="47"/>
  <c r="AM783" i="47"/>
  <c r="AM329" i="47"/>
  <c r="AM328" i="47"/>
  <c r="AM327" i="47"/>
  <c r="AM326" i="47"/>
  <c r="AM780" i="47"/>
  <c r="AM765" i="47"/>
  <c r="AM764" i="47"/>
  <c r="AM763" i="47"/>
  <c r="AM762" i="47"/>
  <c r="AM761" i="47"/>
  <c r="AM742" i="47"/>
  <c r="AM741" i="47"/>
  <c r="AM732" i="47"/>
  <c r="AM731" i="47"/>
  <c r="AM730" i="47"/>
  <c r="AM729" i="47"/>
  <c r="AM63" i="47"/>
  <c r="AM325" i="47"/>
  <c r="AM324" i="47"/>
  <c r="AM664" i="47"/>
  <c r="AM323" i="47"/>
  <c r="AM300" i="47"/>
  <c r="AM293" i="47"/>
  <c r="AM292" i="47"/>
  <c r="AM290" i="47"/>
  <c r="AM287" i="47"/>
  <c r="AM285" i="47"/>
  <c r="AM726" i="47"/>
  <c r="AM725" i="47"/>
  <c r="AM16" i="47"/>
  <c r="AM13" i="47"/>
  <c r="AM284" i="47"/>
  <c r="AM10" i="47"/>
  <c r="AM9" i="47"/>
  <c r="AM6" i="47"/>
  <c r="AM283" i="47"/>
  <c r="AM282" i="47"/>
  <c r="AM60" i="47"/>
  <c r="AM62" i="47"/>
  <c r="AM281" i="47"/>
  <c r="AM278" i="47"/>
  <c r="AM269" i="47"/>
  <c r="AM236" i="47"/>
  <c r="AM233" i="47"/>
  <c r="AM230" i="47"/>
  <c r="AM228" i="47"/>
  <c r="AM5" i="47"/>
  <c r="AM4" i="47"/>
  <c r="AM3" i="47"/>
  <c r="AM227" i="47"/>
  <c r="AM47" i="47"/>
  <c r="AM46" i="47"/>
  <c r="AM45" i="47"/>
  <c r="AM44" i="47"/>
  <c r="AM43" i="47"/>
  <c r="AM42" i="47"/>
  <c r="AM41" i="47"/>
  <c r="AM40" i="47"/>
  <c r="AM39" i="47"/>
  <c r="AM38" i="47"/>
  <c r="AM37" i="47"/>
  <c r="AM36" i="47"/>
  <c r="AM35" i="47"/>
  <c r="AM34" i="47"/>
  <c r="AM33" i="47"/>
  <c r="AM32" i="47"/>
  <c r="AM31" i="47"/>
  <c r="AM220" i="47"/>
  <c r="AM219" i="47"/>
  <c r="AM28" i="47"/>
  <c r="AM27" i="47"/>
  <c r="AM26" i="47"/>
  <c r="AM76" i="47"/>
  <c r="AM24" i="47"/>
  <c r="AM23" i="47"/>
  <c r="AM22" i="47"/>
  <c r="AM21" i="47"/>
  <c r="AM724" i="47"/>
  <c r="AM19" i="47"/>
  <c r="AM18" i="47"/>
  <c r="AM17" i="47"/>
  <c r="AM174" i="47"/>
  <c r="AM15" i="47"/>
  <c r="AM14" i="47"/>
  <c r="AM173" i="47"/>
  <c r="AM12" i="47"/>
  <c r="AM11" i="47"/>
  <c r="AM95" i="47"/>
  <c r="AM172" i="47"/>
  <c r="AM8" i="47"/>
  <c r="AM7" i="47"/>
  <c r="AM94" i="47"/>
  <c r="AM93" i="47"/>
  <c r="AM169" i="47"/>
  <c r="AM660" i="47"/>
  <c r="AM2" i="47"/>
  <c r="I7" i="48"/>
  <c r="I6" i="48"/>
  <c r="I5" i="48"/>
  <c r="AL1023" i="47"/>
  <c r="AL1022" i="47"/>
  <c r="AL1021" i="47"/>
  <c r="AL1020" i="47"/>
  <c r="AL1019" i="47"/>
  <c r="AL1018" i="47"/>
  <c r="AL1017" i="47"/>
  <c r="AL1016" i="47"/>
  <c r="AL1015" i="47"/>
  <c r="AL1014" i="47"/>
  <c r="AL659" i="47"/>
  <c r="AL1012" i="47"/>
  <c r="AL1011" i="47"/>
  <c r="AL1010" i="47"/>
  <c r="AL1009" i="47"/>
  <c r="AL1008" i="47"/>
  <c r="AL1007" i="47"/>
  <c r="AL1006" i="47"/>
  <c r="AL1005" i="47"/>
  <c r="AL1004" i="47"/>
  <c r="AL1003" i="47"/>
  <c r="AL1002" i="47"/>
  <c r="AL1001" i="47"/>
  <c r="AL1000" i="47"/>
  <c r="AL999" i="47"/>
  <c r="AL998" i="47"/>
  <c r="AL997" i="47"/>
  <c r="AL996" i="47"/>
  <c r="AL995" i="47"/>
  <c r="AL994" i="47"/>
  <c r="AL993" i="47"/>
  <c r="AL658" i="47"/>
  <c r="AL657" i="47"/>
  <c r="AL656" i="47"/>
  <c r="AL143" i="47"/>
  <c r="AL988" i="47"/>
  <c r="AL987" i="47"/>
  <c r="AL986" i="47"/>
  <c r="AL985" i="47"/>
  <c r="AL984" i="47"/>
  <c r="AL983" i="47"/>
  <c r="AL982" i="47"/>
  <c r="AL981" i="47"/>
  <c r="AL980" i="47"/>
  <c r="AL979" i="47"/>
  <c r="AL978" i="47"/>
  <c r="AL977" i="47"/>
  <c r="AL976" i="47"/>
  <c r="AL975" i="47"/>
  <c r="AL974" i="47"/>
  <c r="AL973" i="47"/>
  <c r="AL972" i="47"/>
  <c r="AL971" i="47"/>
  <c r="AL970" i="47"/>
  <c r="AL969" i="47"/>
  <c r="AL968" i="47"/>
  <c r="AL967" i="47"/>
  <c r="AL966" i="47"/>
  <c r="AL965" i="47"/>
  <c r="AL964" i="47"/>
  <c r="AL963" i="47"/>
  <c r="AL962" i="47"/>
  <c r="AL961" i="47"/>
  <c r="AL960" i="47"/>
  <c r="AL959" i="47"/>
  <c r="AL958" i="47"/>
  <c r="AL957" i="47"/>
  <c r="AL956" i="47"/>
  <c r="AL955" i="47"/>
  <c r="AL954" i="47"/>
  <c r="AL953" i="47"/>
  <c r="AL952" i="47"/>
  <c r="AL723" i="47"/>
  <c r="AL655" i="47"/>
  <c r="AL949" i="47"/>
  <c r="AL948" i="47"/>
  <c r="AL947" i="47"/>
  <c r="AL946" i="47"/>
  <c r="AL945" i="47"/>
  <c r="AL944" i="47"/>
  <c r="AL943" i="47"/>
  <c r="AL942" i="47"/>
  <c r="AL654" i="47"/>
  <c r="AL653" i="47"/>
  <c r="AL939" i="47"/>
  <c r="AL938" i="47"/>
  <c r="AL652" i="47"/>
  <c r="AL936" i="47"/>
  <c r="AL935" i="47"/>
  <c r="AL934" i="47"/>
  <c r="AL933" i="47"/>
  <c r="AL932" i="47"/>
  <c r="AL931" i="47"/>
  <c r="AL930" i="47"/>
  <c r="AL929" i="47"/>
  <c r="AL928" i="47"/>
  <c r="AL927" i="47"/>
  <c r="AL926" i="47"/>
  <c r="AL925" i="47"/>
  <c r="AL924" i="47"/>
  <c r="AL923" i="47"/>
  <c r="AL922" i="47"/>
  <c r="AL921" i="47"/>
  <c r="AL920" i="47"/>
  <c r="AL919" i="47"/>
  <c r="AL918" i="47"/>
  <c r="AL917" i="47"/>
  <c r="AL916" i="47"/>
  <c r="AL915" i="47"/>
  <c r="AL914" i="47"/>
  <c r="AL913" i="47"/>
  <c r="AL912" i="47"/>
  <c r="AL911" i="47"/>
  <c r="AL910" i="47"/>
  <c r="AL909" i="47"/>
  <c r="AL908" i="47"/>
  <c r="AL907" i="47"/>
  <c r="AL906" i="47"/>
  <c r="AL905" i="47"/>
  <c r="AL904" i="47"/>
  <c r="AL903" i="47"/>
  <c r="AL902" i="47"/>
  <c r="AL901" i="47"/>
  <c r="AL87" i="47"/>
  <c r="AL142" i="47"/>
  <c r="AL651" i="47"/>
  <c r="AL650" i="47"/>
  <c r="AL649" i="47"/>
  <c r="AL895" i="47"/>
  <c r="AL894" i="47"/>
  <c r="AL893" i="47"/>
  <c r="AL892" i="47"/>
  <c r="AL891" i="47"/>
  <c r="AL890" i="47"/>
  <c r="AL889" i="47"/>
  <c r="AL888" i="47"/>
  <c r="AL887" i="47"/>
  <c r="AL886" i="47"/>
  <c r="AL885" i="47"/>
  <c r="AL884" i="47"/>
  <c r="AL883" i="47"/>
  <c r="AL882" i="47"/>
  <c r="AL881" i="47"/>
  <c r="AL880" i="47"/>
  <c r="AL879" i="47"/>
  <c r="AL878" i="47"/>
  <c r="AL877" i="47"/>
  <c r="AL876" i="47"/>
  <c r="AL875" i="47"/>
  <c r="AL874" i="47"/>
  <c r="AL873" i="47"/>
  <c r="AL872" i="47"/>
  <c r="AL871" i="47"/>
  <c r="AL870" i="47"/>
  <c r="AL869" i="47"/>
  <c r="AL868" i="47"/>
  <c r="AL61" i="47"/>
  <c r="AL866" i="47"/>
  <c r="AL865" i="47"/>
  <c r="AL864" i="47"/>
  <c r="AL75" i="47"/>
  <c r="AL862" i="47"/>
  <c r="AL861" i="47"/>
  <c r="AL860" i="47"/>
  <c r="AL859" i="47"/>
  <c r="AL648" i="47"/>
  <c r="AL857" i="47"/>
  <c r="AL856" i="47"/>
  <c r="AL951" i="47"/>
  <c r="AL950" i="47"/>
  <c r="AL941" i="47"/>
  <c r="AL647" i="47"/>
  <c r="AL646" i="47"/>
  <c r="AL645" i="47"/>
  <c r="AL644" i="47"/>
  <c r="AL74" i="47"/>
  <c r="AL643" i="47"/>
  <c r="AL642" i="47"/>
  <c r="AL706" i="47"/>
  <c r="AL641" i="47"/>
  <c r="AL640" i="47"/>
  <c r="AL639" i="47"/>
  <c r="AL638" i="47"/>
  <c r="AL940" i="47"/>
  <c r="AL937" i="47"/>
  <c r="AL900" i="47"/>
  <c r="AL899" i="47"/>
  <c r="AL59" i="47"/>
  <c r="AL58" i="47"/>
  <c r="AL637" i="47"/>
  <c r="AL636" i="47"/>
  <c r="AL635" i="47"/>
  <c r="AL57" i="47"/>
  <c r="AL92" i="47"/>
  <c r="AL73" i="47"/>
  <c r="AL634" i="47"/>
  <c r="AL633" i="47"/>
  <c r="AL86" i="47"/>
  <c r="AL722" i="47"/>
  <c r="AL898" i="47"/>
  <c r="AL897" i="47"/>
  <c r="AL822" i="47"/>
  <c r="AL821" i="47"/>
  <c r="AL820" i="47"/>
  <c r="AL819" i="47"/>
  <c r="AL818" i="47"/>
  <c r="AL817" i="47"/>
  <c r="AL816" i="47"/>
  <c r="AL815" i="47"/>
  <c r="AL632" i="47"/>
  <c r="AL631" i="47"/>
  <c r="AL812" i="47"/>
  <c r="AL811" i="47"/>
  <c r="AL810" i="47"/>
  <c r="AL809" i="47"/>
  <c r="AL808" i="47"/>
  <c r="AL807" i="47"/>
  <c r="AL806" i="47"/>
  <c r="AL805" i="47"/>
  <c r="AL804" i="47"/>
  <c r="AL803" i="47"/>
  <c r="AL802" i="47"/>
  <c r="AL801" i="47"/>
  <c r="AL800" i="47"/>
  <c r="AL630" i="47"/>
  <c r="AL798" i="47"/>
  <c r="AL629" i="47"/>
  <c r="AL896" i="47"/>
  <c r="AL628" i="47"/>
  <c r="AL794" i="47"/>
  <c r="AL793" i="47"/>
  <c r="AL792" i="47"/>
  <c r="AL791" i="47"/>
  <c r="AL627" i="47"/>
  <c r="AL789" i="47"/>
  <c r="AL788" i="47"/>
  <c r="AL787" i="47"/>
  <c r="AL626" i="47"/>
  <c r="AL1013" i="47"/>
  <c r="AL992" i="47"/>
  <c r="AL991" i="47"/>
  <c r="AL782" i="47"/>
  <c r="AL781" i="47"/>
  <c r="AL705" i="47"/>
  <c r="AL779" i="47"/>
  <c r="AL778" i="47"/>
  <c r="AL777" i="47"/>
  <c r="AL776" i="47"/>
  <c r="AL775" i="47"/>
  <c r="AL774" i="47"/>
  <c r="AL773" i="47"/>
  <c r="AL772" i="47"/>
  <c r="AL771" i="47"/>
  <c r="AL770" i="47"/>
  <c r="AL769" i="47"/>
  <c r="AL768" i="47"/>
  <c r="AL767" i="47"/>
  <c r="AL766" i="47"/>
  <c r="AL867" i="47"/>
  <c r="AL625" i="47"/>
  <c r="AL624" i="47"/>
  <c r="AL623" i="47"/>
  <c r="AL72" i="47"/>
  <c r="AL760" i="47"/>
  <c r="AL759" i="47"/>
  <c r="AL758" i="47"/>
  <c r="AL757" i="47"/>
  <c r="AL756" i="47"/>
  <c r="AL755" i="47"/>
  <c r="AL754" i="47"/>
  <c r="AL753" i="47"/>
  <c r="AL752" i="47"/>
  <c r="AL751" i="47"/>
  <c r="AL750" i="47"/>
  <c r="AL749" i="47"/>
  <c r="AL748" i="47"/>
  <c r="AL747" i="47"/>
  <c r="AL746" i="47"/>
  <c r="AL745" i="47"/>
  <c r="AL744" i="47"/>
  <c r="AL743" i="47"/>
  <c r="AL622" i="47"/>
  <c r="AL863" i="47"/>
  <c r="AL740" i="47"/>
  <c r="AL739" i="47"/>
  <c r="AL738" i="47"/>
  <c r="AL737" i="47"/>
  <c r="AL736" i="47"/>
  <c r="AL735" i="47"/>
  <c r="AL734" i="47"/>
  <c r="AL733" i="47"/>
  <c r="AL621" i="47"/>
  <c r="AL858" i="47"/>
  <c r="AL620" i="47"/>
  <c r="AL694" i="47"/>
  <c r="AL728" i="47"/>
  <c r="AL727" i="47"/>
  <c r="AL619" i="47"/>
  <c r="AL618" i="47"/>
  <c r="AL617" i="47"/>
  <c r="AL616" i="47"/>
  <c r="AL615" i="47"/>
  <c r="AL721" i="47"/>
  <c r="AL720" i="47"/>
  <c r="AL719" i="47"/>
  <c r="AL718" i="47"/>
  <c r="AL717" i="47"/>
  <c r="AL716" i="47"/>
  <c r="AL715" i="47"/>
  <c r="AL714" i="47"/>
  <c r="AL713" i="47"/>
  <c r="AL712" i="47"/>
  <c r="AL711" i="47"/>
  <c r="AL710" i="47"/>
  <c r="AL709" i="47"/>
  <c r="AL141" i="47"/>
  <c r="AL614" i="47"/>
  <c r="AL613" i="47"/>
  <c r="AL612" i="47"/>
  <c r="AL704" i="47"/>
  <c r="AL703" i="47"/>
  <c r="AL702" i="47"/>
  <c r="AL701" i="47"/>
  <c r="AL700" i="47"/>
  <c r="AL699" i="47"/>
  <c r="AL698" i="47"/>
  <c r="AL697" i="47"/>
  <c r="AL696" i="47"/>
  <c r="AL695" i="47"/>
  <c r="AL91" i="47"/>
  <c r="AL611" i="47"/>
  <c r="AL610" i="47"/>
  <c r="AL599" i="47"/>
  <c r="AL596" i="47"/>
  <c r="AL595" i="47"/>
  <c r="AL688" i="47"/>
  <c r="AL687" i="47"/>
  <c r="AL686" i="47"/>
  <c r="AL685" i="47"/>
  <c r="AL684" i="47"/>
  <c r="AL683" i="47"/>
  <c r="AL682" i="47"/>
  <c r="AL681" i="47"/>
  <c r="AL680" i="47"/>
  <c r="AL679" i="47"/>
  <c r="AL678" i="47"/>
  <c r="AL677" i="47"/>
  <c r="AL676" i="47"/>
  <c r="AL675" i="47"/>
  <c r="AL674" i="47"/>
  <c r="AL673" i="47"/>
  <c r="AL672" i="47"/>
  <c r="AL671" i="47"/>
  <c r="AL670" i="47"/>
  <c r="AL669" i="47"/>
  <c r="AL668" i="47"/>
  <c r="AL667" i="47"/>
  <c r="AL666" i="47"/>
  <c r="AL855" i="47"/>
  <c r="AL854" i="47"/>
  <c r="AL853" i="47"/>
  <c r="AL594" i="47"/>
  <c r="AL593" i="47"/>
  <c r="AL591" i="47"/>
  <c r="AL587" i="47"/>
  <c r="AL583" i="47"/>
  <c r="AL852" i="47"/>
  <c r="AL851" i="47"/>
  <c r="AL850" i="47"/>
  <c r="AL849" i="47"/>
  <c r="AL848" i="47"/>
  <c r="AL847" i="47"/>
  <c r="AL846" i="47"/>
  <c r="AL845" i="47"/>
  <c r="AL844" i="47"/>
  <c r="AL843" i="47"/>
  <c r="AL842" i="47"/>
  <c r="AL841" i="47"/>
  <c r="AL71" i="47"/>
  <c r="AL582" i="47"/>
  <c r="AL581" i="47"/>
  <c r="AL693" i="47"/>
  <c r="AL580" i="47"/>
  <c r="AL579" i="47"/>
  <c r="AL578" i="47"/>
  <c r="AL577" i="47"/>
  <c r="AL576" i="47"/>
  <c r="AL840" i="47"/>
  <c r="AL839" i="47"/>
  <c r="AL838" i="47"/>
  <c r="AL837" i="47"/>
  <c r="AL56" i="47"/>
  <c r="AL55" i="47"/>
  <c r="AL54" i="47"/>
  <c r="AL558" i="47"/>
  <c r="AL557" i="47"/>
  <c r="AL542" i="47"/>
  <c r="AL53" i="47"/>
  <c r="AL52" i="47"/>
  <c r="AL541" i="47"/>
  <c r="AL90" i="47"/>
  <c r="AL70" i="47"/>
  <c r="AL540" i="47"/>
  <c r="AL539" i="47"/>
  <c r="AL538" i="47"/>
  <c r="AL537" i="47"/>
  <c r="AL536" i="47"/>
  <c r="AL85" i="47"/>
  <c r="AL708" i="47"/>
  <c r="AL663" i="47"/>
  <c r="AL836" i="47"/>
  <c r="AL835" i="47"/>
  <c r="AL535" i="47"/>
  <c r="AL534" i="47"/>
  <c r="AL609" i="47"/>
  <c r="AL608" i="47"/>
  <c r="AL607" i="47"/>
  <c r="AL606" i="47"/>
  <c r="AL605" i="47"/>
  <c r="AL604" i="47"/>
  <c r="AL603" i="47"/>
  <c r="AL602" i="47"/>
  <c r="AL601" i="47"/>
  <c r="AL600" i="47"/>
  <c r="AL533" i="47"/>
  <c r="AL598" i="47"/>
  <c r="AL597" i="47"/>
  <c r="AL692" i="47"/>
  <c r="AL51" i="47"/>
  <c r="AL128" i="47"/>
  <c r="AL530" i="47"/>
  <c r="AL592" i="47"/>
  <c r="AL525" i="47"/>
  <c r="AL590" i="47"/>
  <c r="AL589" i="47"/>
  <c r="AL588" i="47"/>
  <c r="AL524" i="47"/>
  <c r="AL586" i="47"/>
  <c r="AL585" i="47"/>
  <c r="AL584" i="47"/>
  <c r="AL98" i="47"/>
  <c r="AL662" i="47"/>
  <c r="AL84" i="47"/>
  <c r="AL69" i="47"/>
  <c r="AL523" i="47"/>
  <c r="AL496" i="47"/>
  <c r="AL484" i="47"/>
  <c r="AL83" i="47"/>
  <c r="AL575" i="47"/>
  <c r="AL574" i="47"/>
  <c r="AL573" i="47"/>
  <c r="AL572" i="47"/>
  <c r="AL571" i="47"/>
  <c r="AL570" i="47"/>
  <c r="AL569" i="47"/>
  <c r="AL568" i="47"/>
  <c r="AL567" i="47"/>
  <c r="AL566" i="47"/>
  <c r="AL565" i="47"/>
  <c r="AL564" i="47"/>
  <c r="AL563" i="47"/>
  <c r="AL562" i="47"/>
  <c r="AL561" i="47"/>
  <c r="AL560" i="47"/>
  <c r="AL559" i="47"/>
  <c r="AL482" i="47"/>
  <c r="AL481" i="47"/>
  <c r="AL556" i="47"/>
  <c r="AL555" i="47"/>
  <c r="AL554" i="47"/>
  <c r="AL553" i="47"/>
  <c r="AL552" i="47"/>
  <c r="AL551" i="47"/>
  <c r="AL550" i="47"/>
  <c r="AL549" i="47"/>
  <c r="AL548" i="47"/>
  <c r="AL547" i="47"/>
  <c r="AL546" i="47"/>
  <c r="AL545" i="47"/>
  <c r="AL544" i="47"/>
  <c r="AL543" i="47"/>
  <c r="AL480" i="47"/>
  <c r="AL448" i="47"/>
  <c r="AL691" i="47"/>
  <c r="AL442" i="47"/>
  <c r="AL441" i="47"/>
  <c r="AL440" i="47"/>
  <c r="AL439" i="47"/>
  <c r="AL167" i="47"/>
  <c r="AL432" i="47"/>
  <c r="AL430" i="47"/>
  <c r="AL532" i="47"/>
  <c r="AL531" i="47"/>
  <c r="AL426" i="47"/>
  <c r="AL529" i="47"/>
  <c r="AL528" i="47"/>
  <c r="AL527" i="47"/>
  <c r="AL526" i="47"/>
  <c r="AL409" i="47"/>
  <c r="AL408" i="47"/>
  <c r="AL407" i="47"/>
  <c r="AL522" i="47"/>
  <c r="AL521" i="47"/>
  <c r="AL520" i="47"/>
  <c r="AL519" i="47"/>
  <c r="AL518" i="47"/>
  <c r="AL517" i="47"/>
  <c r="AL516" i="47"/>
  <c r="AL515" i="47"/>
  <c r="AL514" i="47"/>
  <c r="AL513" i="47"/>
  <c r="AL512" i="47"/>
  <c r="AL511" i="47"/>
  <c r="AL510" i="47"/>
  <c r="AL509" i="47"/>
  <c r="AL508" i="47"/>
  <c r="AL507" i="47"/>
  <c r="AL506" i="47"/>
  <c r="AL505" i="47"/>
  <c r="AL504" i="47"/>
  <c r="AL503" i="47"/>
  <c r="AL502" i="47"/>
  <c r="AL501" i="47"/>
  <c r="AL500" i="47"/>
  <c r="AL499" i="47"/>
  <c r="AL498" i="47"/>
  <c r="AL497" i="47"/>
  <c r="AL82" i="47"/>
  <c r="AL495" i="47"/>
  <c r="AL494" i="47"/>
  <c r="AL493" i="47"/>
  <c r="AL492" i="47"/>
  <c r="AL491" i="47"/>
  <c r="AL490" i="47"/>
  <c r="AL489" i="47"/>
  <c r="AL488" i="47"/>
  <c r="AL487" i="47"/>
  <c r="AL486" i="47"/>
  <c r="AL485" i="47"/>
  <c r="AL403" i="47"/>
  <c r="AL483" i="47"/>
  <c r="AL402" i="47"/>
  <c r="AL401" i="47"/>
  <c r="AL400" i="47"/>
  <c r="AL479" i="47"/>
  <c r="AL478" i="47"/>
  <c r="AL477" i="47"/>
  <c r="AL476" i="47"/>
  <c r="AL475" i="47"/>
  <c r="AL474" i="47"/>
  <c r="AL473" i="47"/>
  <c r="AL472" i="47"/>
  <c r="AL471" i="47"/>
  <c r="AL470" i="47"/>
  <c r="AL469" i="47"/>
  <c r="AL468" i="47"/>
  <c r="AL467" i="47"/>
  <c r="AL466" i="47"/>
  <c r="AL465" i="47"/>
  <c r="AL464" i="47"/>
  <c r="AL463" i="47"/>
  <c r="AL462" i="47"/>
  <c r="AL461" i="47"/>
  <c r="AL460" i="47"/>
  <c r="AL459" i="47"/>
  <c r="AL458" i="47"/>
  <c r="AL457" i="47"/>
  <c r="AL456" i="47"/>
  <c r="AL455" i="47"/>
  <c r="AL454" i="47"/>
  <c r="AL453" i="47"/>
  <c r="AL452" i="47"/>
  <c r="AL451" i="47"/>
  <c r="AL450" i="47"/>
  <c r="AL449" i="47"/>
  <c r="AL68" i="47"/>
  <c r="AL447" i="47"/>
  <c r="AL446" i="47"/>
  <c r="AL445" i="47"/>
  <c r="AL444" i="47"/>
  <c r="AL443" i="47"/>
  <c r="AL97" i="47"/>
  <c r="AL384" i="47"/>
  <c r="AL383" i="47"/>
  <c r="AL382" i="47"/>
  <c r="AL438" i="47"/>
  <c r="AL437" i="47"/>
  <c r="AL436" i="47"/>
  <c r="AL435" i="47"/>
  <c r="AL434" i="47"/>
  <c r="AL433" i="47"/>
  <c r="AL381" i="47"/>
  <c r="AL431" i="47"/>
  <c r="AL380" i="47"/>
  <c r="AL429" i="47"/>
  <c r="AL428" i="47"/>
  <c r="AL427" i="47"/>
  <c r="AL379" i="47"/>
  <c r="AL425" i="47"/>
  <c r="AL424" i="47"/>
  <c r="AL423" i="47"/>
  <c r="AL422" i="47"/>
  <c r="AL421" i="47"/>
  <c r="AL420" i="47"/>
  <c r="AL419" i="47"/>
  <c r="AL418" i="47"/>
  <c r="AL417" i="47"/>
  <c r="AL416" i="47"/>
  <c r="AL415" i="47"/>
  <c r="AL414" i="47"/>
  <c r="AL413" i="47"/>
  <c r="AL412" i="47"/>
  <c r="AL411" i="47"/>
  <c r="AL410" i="47"/>
  <c r="AL378" i="47"/>
  <c r="AL377" i="47"/>
  <c r="AL376" i="47"/>
  <c r="AL406" i="47"/>
  <c r="AL405" i="47"/>
  <c r="AL404" i="47"/>
  <c r="AL67" i="47"/>
  <c r="AL375" i="47"/>
  <c r="AL374" i="47"/>
  <c r="AL373" i="47"/>
  <c r="AL399" i="47"/>
  <c r="AL398" i="47"/>
  <c r="AL397" i="47"/>
  <c r="AL396" i="47"/>
  <c r="AL395" i="47"/>
  <c r="AL394" i="47"/>
  <c r="AL393" i="47"/>
  <c r="AL392" i="47"/>
  <c r="AL391" i="47"/>
  <c r="AL390" i="47"/>
  <c r="AL389" i="47"/>
  <c r="AL388" i="47"/>
  <c r="AL387" i="47"/>
  <c r="AL386" i="47"/>
  <c r="AL385" i="47"/>
  <c r="AL834" i="47"/>
  <c r="AL372" i="47"/>
  <c r="AL371" i="47"/>
  <c r="AL370" i="47"/>
  <c r="AL369" i="47"/>
  <c r="AL368" i="47"/>
  <c r="AL367" i="47"/>
  <c r="AL366" i="47"/>
  <c r="AL833" i="47"/>
  <c r="AL832" i="47"/>
  <c r="AL831" i="47"/>
  <c r="AL830" i="47"/>
  <c r="AL829" i="47"/>
  <c r="AL828" i="47"/>
  <c r="AL827" i="47"/>
  <c r="AL826" i="47"/>
  <c r="AL825" i="47"/>
  <c r="AL824" i="47"/>
  <c r="AL823" i="47"/>
  <c r="AL814" i="47"/>
  <c r="AL66" i="47"/>
  <c r="AL365" i="47"/>
  <c r="AL364" i="47"/>
  <c r="AL363" i="47"/>
  <c r="AL690" i="47"/>
  <c r="AL362" i="47"/>
  <c r="AL361" i="47"/>
  <c r="AL360" i="47"/>
  <c r="AL359" i="47"/>
  <c r="AL358" i="47"/>
  <c r="AL357" i="47"/>
  <c r="AL356" i="47"/>
  <c r="AL355" i="47"/>
  <c r="AL813" i="47"/>
  <c r="AL799" i="47"/>
  <c r="AL797" i="47"/>
  <c r="AL50" i="47"/>
  <c r="AL49" i="47"/>
  <c r="AL48" i="47"/>
  <c r="AL30" i="47"/>
  <c r="AL354" i="47"/>
  <c r="AL353" i="47"/>
  <c r="AL352" i="47"/>
  <c r="AL29" i="47"/>
  <c r="AL25" i="47"/>
  <c r="AL351" i="47"/>
  <c r="AL338" i="47"/>
  <c r="AL89" i="47"/>
  <c r="AL65" i="47"/>
  <c r="AL350" i="47"/>
  <c r="AL349" i="47"/>
  <c r="AL348" i="47"/>
  <c r="AL347" i="47"/>
  <c r="AL346" i="47"/>
  <c r="AL81" i="47"/>
  <c r="AL707" i="47"/>
  <c r="AL20" i="47"/>
  <c r="AL345" i="47"/>
  <c r="AL796" i="47"/>
  <c r="AL795" i="47"/>
  <c r="AL344" i="47"/>
  <c r="AL343" i="47"/>
  <c r="AL322" i="47"/>
  <c r="AL321" i="47"/>
  <c r="AL320" i="47"/>
  <c r="AL319" i="47"/>
  <c r="AL318" i="47"/>
  <c r="AL317" i="47"/>
  <c r="AL316" i="47"/>
  <c r="AL315" i="47"/>
  <c r="AL314" i="47"/>
  <c r="AL313" i="47"/>
  <c r="AL312" i="47"/>
  <c r="AL311" i="47"/>
  <c r="AL310" i="47"/>
  <c r="AL309" i="47"/>
  <c r="AL308" i="47"/>
  <c r="AL307" i="47"/>
  <c r="AL306" i="47"/>
  <c r="AL305" i="47"/>
  <c r="AL304" i="47"/>
  <c r="AL303" i="47"/>
  <c r="AL302" i="47"/>
  <c r="AL301" i="47"/>
  <c r="AL342" i="47"/>
  <c r="AL299" i="47"/>
  <c r="AL298" i="47"/>
  <c r="AL297" i="47"/>
  <c r="AL296" i="47"/>
  <c r="AL295" i="47"/>
  <c r="AL294" i="47"/>
  <c r="AL790" i="47"/>
  <c r="AL80" i="47"/>
  <c r="AL291" i="47"/>
  <c r="AL689" i="47"/>
  <c r="AL289" i="47"/>
  <c r="AL288" i="47"/>
  <c r="AL168" i="47"/>
  <c r="AL286" i="47"/>
  <c r="AL341" i="47"/>
  <c r="AL340" i="47"/>
  <c r="AL339" i="47"/>
  <c r="AL665" i="47"/>
  <c r="AL64" i="47"/>
  <c r="AL280" i="47"/>
  <c r="AL279" i="47"/>
  <c r="AL79" i="47"/>
  <c r="AL277" i="47"/>
  <c r="AL276" i="47"/>
  <c r="AL275" i="47"/>
  <c r="AL274" i="47"/>
  <c r="AL273" i="47"/>
  <c r="AL272" i="47"/>
  <c r="AL271" i="47"/>
  <c r="AL270" i="47"/>
  <c r="AL337" i="47"/>
  <c r="AL268" i="47"/>
  <c r="AL267" i="47"/>
  <c r="AL266" i="47"/>
  <c r="AL265" i="47"/>
  <c r="AL264" i="47"/>
  <c r="AL263" i="47"/>
  <c r="AL262" i="47"/>
  <c r="AL261" i="47"/>
  <c r="AL260" i="47"/>
  <c r="AL259" i="47"/>
  <c r="AL258" i="47"/>
  <c r="AL257" i="47"/>
  <c r="AL256" i="47"/>
  <c r="AL255" i="47"/>
  <c r="AL254" i="47"/>
  <c r="AL253" i="47"/>
  <c r="AL252" i="47"/>
  <c r="AL251" i="47"/>
  <c r="AL250" i="47"/>
  <c r="AL249" i="47"/>
  <c r="AL248" i="47"/>
  <c r="AL247" i="47"/>
  <c r="AL246" i="47"/>
  <c r="AL245" i="47"/>
  <c r="AL244" i="47"/>
  <c r="AL243" i="47"/>
  <c r="AL242" i="47"/>
  <c r="AL241" i="47"/>
  <c r="AL240" i="47"/>
  <c r="AL239" i="47"/>
  <c r="AL238" i="47"/>
  <c r="AL237" i="47"/>
  <c r="AL786" i="47"/>
  <c r="AL235" i="47"/>
  <c r="AL234" i="47"/>
  <c r="AL336" i="47"/>
  <c r="AL232" i="47"/>
  <c r="AL231" i="47"/>
  <c r="AL785" i="47"/>
  <c r="AL229" i="47"/>
  <c r="AL784" i="47"/>
  <c r="AL335" i="47"/>
  <c r="AL226" i="47"/>
  <c r="AL225" i="47"/>
  <c r="AL224" i="47"/>
  <c r="AL223" i="47"/>
  <c r="AL222" i="47"/>
  <c r="AL221" i="47"/>
  <c r="AL78" i="47"/>
  <c r="AL334" i="47"/>
  <c r="AL218" i="47"/>
  <c r="AL217" i="47"/>
  <c r="AL216" i="47"/>
  <c r="AL215" i="47"/>
  <c r="AL214" i="47"/>
  <c r="AL213" i="47"/>
  <c r="AL212" i="47"/>
  <c r="AL211" i="47"/>
  <c r="AL210" i="47"/>
  <c r="AL209" i="47"/>
  <c r="AL208" i="47"/>
  <c r="AL207" i="47"/>
  <c r="AL206" i="47"/>
  <c r="AL205" i="47"/>
  <c r="AL204" i="47"/>
  <c r="AL203" i="47"/>
  <c r="AL202" i="47"/>
  <c r="AL201" i="47"/>
  <c r="AL200" i="47"/>
  <c r="AL199" i="47"/>
  <c r="AL198" i="47"/>
  <c r="AL197" i="47"/>
  <c r="AL196" i="47"/>
  <c r="AL195" i="47"/>
  <c r="AL194" i="47"/>
  <c r="AL193" i="47"/>
  <c r="AL192" i="47"/>
  <c r="AL191" i="47"/>
  <c r="AL190" i="47"/>
  <c r="AL189" i="47"/>
  <c r="AL188" i="47"/>
  <c r="AL187" i="47"/>
  <c r="AL186" i="47"/>
  <c r="AL185" i="47"/>
  <c r="AL184" i="47"/>
  <c r="AL183" i="47"/>
  <c r="AL182" i="47"/>
  <c r="AL181" i="47"/>
  <c r="AL180" i="47"/>
  <c r="AL179" i="47"/>
  <c r="AL178" i="47"/>
  <c r="AL177" i="47"/>
  <c r="AL176" i="47"/>
  <c r="AL175" i="47"/>
  <c r="AL96" i="47"/>
  <c r="AL333" i="47"/>
  <c r="AL332" i="47"/>
  <c r="AL171" i="47"/>
  <c r="AL170" i="47"/>
  <c r="AL77" i="47"/>
  <c r="AL990" i="47"/>
  <c r="AL989" i="47"/>
  <c r="AL166" i="47"/>
  <c r="AL165" i="47"/>
  <c r="AL164" i="47"/>
  <c r="AL163" i="47"/>
  <c r="AL162" i="47"/>
  <c r="AL161" i="47"/>
  <c r="AL160" i="47"/>
  <c r="AL159" i="47"/>
  <c r="AL158" i="47"/>
  <c r="AL157" i="47"/>
  <c r="AL156" i="47"/>
  <c r="AL155" i="47"/>
  <c r="AL154" i="47"/>
  <c r="AL153" i="47"/>
  <c r="AL152" i="47"/>
  <c r="AL151" i="47"/>
  <c r="AL150" i="47"/>
  <c r="AL149" i="47"/>
  <c r="AL148" i="47"/>
  <c r="AL147" i="47"/>
  <c r="AL146" i="47"/>
  <c r="AL145" i="47"/>
  <c r="AL144" i="47"/>
  <c r="AL661" i="47"/>
  <c r="AL331" i="47"/>
  <c r="AL330" i="47"/>
  <c r="AL140" i="47"/>
  <c r="AL139" i="47"/>
  <c r="AL138" i="47"/>
  <c r="AL137" i="47"/>
  <c r="AL136" i="47"/>
  <c r="AL135" i="47"/>
  <c r="AL134" i="47"/>
  <c r="AL133" i="47"/>
  <c r="AL132" i="47"/>
  <c r="AL131" i="47"/>
  <c r="AL130" i="47"/>
  <c r="AL129" i="47"/>
  <c r="AL88" i="47"/>
  <c r="AL127" i="47"/>
  <c r="AL126" i="47"/>
  <c r="AL125" i="47"/>
  <c r="AL124" i="47"/>
  <c r="AL123" i="47"/>
  <c r="AL122" i="47"/>
  <c r="AL121" i="47"/>
  <c r="AL120" i="47"/>
  <c r="AL119" i="47"/>
  <c r="AL118" i="47"/>
  <c r="AL117" i="47"/>
  <c r="AL116" i="47"/>
  <c r="AL115" i="47"/>
  <c r="AL114" i="47"/>
  <c r="AL113" i="47"/>
  <c r="AL112" i="47"/>
  <c r="AL111" i="47"/>
  <c r="AL110" i="47"/>
  <c r="AL109" i="47"/>
  <c r="AL108" i="47"/>
  <c r="AL107" i="47"/>
  <c r="AL106" i="47"/>
  <c r="AL105" i="47"/>
  <c r="AL104" i="47"/>
  <c r="AL103" i="47"/>
  <c r="AL102" i="47"/>
  <c r="AL101" i="47"/>
  <c r="AL100" i="47"/>
  <c r="AL99" i="47"/>
  <c r="AL783" i="47"/>
  <c r="AL329" i="47"/>
  <c r="AL328" i="47"/>
  <c r="AL327" i="47"/>
  <c r="AL326" i="47"/>
  <c r="AL780" i="47"/>
  <c r="AL765" i="47"/>
  <c r="AL764" i="47"/>
  <c r="AL763" i="47"/>
  <c r="AL762" i="47"/>
  <c r="AL761" i="47"/>
  <c r="AL742" i="47"/>
  <c r="AL741" i="47"/>
  <c r="AL732" i="47"/>
  <c r="AL731" i="47"/>
  <c r="AL730" i="47"/>
  <c r="AL729" i="47"/>
  <c r="AL63" i="47"/>
  <c r="AL325" i="47"/>
  <c r="AL324" i="47"/>
  <c r="AL664" i="47"/>
  <c r="AL323" i="47"/>
  <c r="AL300" i="47"/>
  <c r="AL293" i="47"/>
  <c r="AL292" i="47"/>
  <c r="AL290" i="47"/>
  <c r="AL287" i="47"/>
  <c r="AL285" i="47"/>
  <c r="AL726" i="47"/>
  <c r="AL725" i="47"/>
  <c r="AL16" i="47"/>
  <c r="AL13" i="47"/>
  <c r="AL284" i="47"/>
  <c r="AL10" i="47"/>
  <c r="AL9" i="47"/>
  <c r="AL6" i="47"/>
  <c r="AL283" i="47"/>
  <c r="AL282" i="47"/>
  <c r="AL60" i="47"/>
  <c r="AL62" i="47"/>
  <c r="AL281" i="47"/>
  <c r="AL278" i="47"/>
  <c r="AL269" i="47"/>
  <c r="AL236" i="47"/>
  <c r="AL233" i="47"/>
  <c r="AL230" i="47"/>
  <c r="AL228" i="47"/>
  <c r="AL5" i="47"/>
  <c r="AL4" i="47"/>
  <c r="AL3" i="47"/>
  <c r="AL227" i="47"/>
  <c r="AL47" i="47"/>
  <c r="AL46" i="47"/>
  <c r="AL45" i="47"/>
  <c r="AL44" i="47"/>
  <c r="AL43" i="47"/>
  <c r="AL42" i="47"/>
  <c r="AL41" i="47"/>
  <c r="AL40" i="47"/>
  <c r="AL39" i="47"/>
  <c r="AL38" i="47"/>
  <c r="AL37" i="47"/>
  <c r="AL36" i="47"/>
  <c r="AL35" i="47"/>
  <c r="AL34" i="47"/>
  <c r="AL33" i="47"/>
  <c r="AL32" i="47"/>
  <c r="AL31" i="47"/>
  <c r="AL220" i="47"/>
  <c r="AL219" i="47"/>
  <c r="AL28" i="47"/>
  <c r="AL27" i="47"/>
  <c r="AL26" i="47"/>
  <c r="AL76" i="47"/>
  <c r="AL24" i="47"/>
  <c r="AL23" i="47"/>
  <c r="AL22" i="47"/>
  <c r="AL21" i="47"/>
  <c r="AL724" i="47"/>
  <c r="AL19" i="47"/>
  <c r="AL18" i="47"/>
  <c r="AL17" i="47"/>
  <c r="AL174" i="47"/>
  <c r="AL15" i="47"/>
  <c r="AL14" i="47"/>
  <c r="AL173" i="47"/>
  <c r="AL12" i="47"/>
  <c r="AL11" i="47"/>
  <c r="AL95" i="47"/>
  <c r="AL172" i="47"/>
  <c r="AL8" i="47"/>
  <c r="E17" i="48"/>
  <c r="D17" i="48"/>
  <c r="E14" i="48"/>
  <c r="D14" i="48"/>
  <c r="E11" i="48"/>
  <c r="D11" i="48"/>
  <c r="U27" i="51" l="1"/>
  <c r="G41" i="48"/>
  <c r="S30" i="48"/>
  <c r="V30" i="48"/>
  <c r="S29" i="48"/>
  <c r="V36" i="48"/>
  <c r="V34" i="48"/>
  <c r="S28" i="48"/>
  <c r="V29" i="48"/>
  <c r="V35" i="48"/>
  <c r="V28" i="48"/>
  <c r="D31" i="48"/>
  <c r="Y38" i="48"/>
  <c r="Y34" i="48"/>
  <c r="P43" i="48"/>
  <c r="P32" i="48"/>
  <c r="P28" i="48"/>
  <c r="M30" i="48"/>
  <c r="J39" i="48"/>
  <c r="J35" i="48"/>
  <c r="J31" i="48"/>
  <c r="G42" i="48"/>
  <c r="G38" i="48"/>
  <c r="G29" i="48"/>
  <c r="Y37" i="48"/>
  <c r="Y29" i="48"/>
  <c r="P42" i="48"/>
  <c r="P31" i="48"/>
  <c r="M33" i="48"/>
  <c r="M29" i="48"/>
  <c r="J38" i="48"/>
  <c r="J34" i="48"/>
  <c r="J30" i="48"/>
  <c r="G32" i="48"/>
  <c r="G28" i="48"/>
  <c r="Y36" i="48"/>
  <c r="Y28" i="48"/>
  <c r="P41" i="48"/>
  <c r="P30" i="48"/>
  <c r="M32" i="48"/>
  <c r="M28" i="48"/>
  <c r="J37" i="48"/>
  <c r="J33" i="48"/>
  <c r="J29" i="48"/>
  <c r="G40" i="48"/>
  <c r="G31" i="48"/>
  <c r="Y39" i="48"/>
  <c r="Y35" i="48"/>
  <c r="P37" i="48"/>
  <c r="P38" i="48" s="1"/>
  <c r="P9" i="48" s="1"/>
  <c r="P29" i="48"/>
  <c r="M31" i="48"/>
  <c r="J40" i="48"/>
  <c r="J36" i="48"/>
  <c r="J32" i="48"/>
  <c r="J28" i="48"/>
  <c r="G39" i="48"/>
  <c r="G30" i="48"/>
  <c r="D54" i="48"/>
  <c r="D50" i="48"/>
  <c r="D46" i="48"/>
  <c r="D42" i="48"/>
  <c r="D38" i="48"/>
  <c r="D34" i="48"/>
  <c r="D30" i="48"/>
  <c r="D53" i="48"/>
  <c r="D49" i="48"/>
  <c r="D45" i="48"/>
  <c r="D41" i="48"/>
  <c r="D37" i="48"/>
  <c r="D33" i="48"/>
  <c r="D29" i="48"/>
  <c r="D56" i="48"/>
  <c r="D52" i="48"/>
  <c r="D48" i="48"/>
  <c r="D44" i="48"/>
  <c r="D40" i="48"/>
  <c r="D36" i="48"/>
  <c r="D32" i="48"/>
  <c r="D28" i="48"/>
  <c r="D55" i="48"/>
  <c r="D51" i="48"/>
  <c r="D47" i="48"/>
  <c r="D43" i="48"/>
  <c r="D39" i="48"/>
  <c r="D35" i="48"/>
  <c r="AM1025" i="47"/>
  <c r="K4" i="48"/>
  <c r="K7" i="48"/>
  <c r="K6" i="48"/>
  <c r="I9" i="48"/>
  <c r="AL1025" i="47"/>
  <c r="AL1024" i="47"/>
  <c r="AK1024" i="47"/>
  <c r="J41" i="48" l="1"/>
  <c r="P6" i="48" s="1"/>
  <c r="G43" i="48"/>
  <c r="P5" i="48" s="1"/>
  <c r="M34" i="48"/>
  <c r="P7" i="48" s="1"/>
  <c r="V31" i="48"/>
  <c r="P12" i="48" s="1"/>
  <c r="P44" i="48"/>
  <c r="P10" i="48" s="1"/>
  <c r="D57" i="48"/>
  <c r="P4" i="48" s="1"/>
  <c r="P33" i="48"/>
  <c r="P8" i="48" s="1"/>
  <c r="S31" i="48"/>
  <c r="P11" i="48" s="1"/>
  <c r="Y30" i="48"/>
  <c r="Y40" i="48"/>
  <c r="V37" i="48"/>
  <c r="P13" i="48" s="1"/>
  <c r="K9" i="48"/>
  <c r="C82" i="46"/>
  <c r="C81" i="46"/>
  <c r="C80" i="46"/>
  <c r="C79" i="46"/>
  <c r="C78" i="46"/>
  <c r="C77" i="46"/>
  <c r="C76" i="46"/>
  <c r="C75" i="46"/>
  <c r="C74" i="46"/>
  <c r="C73" i="46"/>
  <c r="C72" i="46"/>
  <c r="C71" i="46"/>
  <c r="C70" i="46"/>
  <c r="C69" i="46"/>
  <c r="C68" i="46"/>
  <c r="C67" i="46"/>
  <c r="C66" i="46"/>
  <c r="C65" i="46"/>
  <c r="C64" i="46"/>
  <c r="C63" i="46"/>
  <c r="C62" i="46"/>
  <c r="C61" i="46"/>
  <c r="C60" i="46"/>
  <c r="C59" i="46"/>
  <c r="C58" i="46"/>
  <c r="AB29" i="46"/>
  <c r="AB25" i="46"/>
  <c r="AB24" i="46"/>
  <c r="AB23" i="46"/>
  <c r="AB22" i="46"/>
  <c r="AB19" i="46"/>
  <c r="AB18" i="46"/>
  <c r="AB17" i="46"/>
  <c r="AB16" i="46"/>
  <c r="AB15" i="46"/>
  <c r="AB14" i="46"/>
  <c r="AB13" i="46"/>
  <c r="AB12" i="46"/>
  <c r="AB11" i="46"/>
  <c r="AB10" i="46"/>
  <c r="AB9" i="46"/>
  <c r="AB8" i="46"/>
  <c r="AB7" i="46"/>
  <c r="AB6" i="46"/>
  <c r="AB5" i="46"/>
  <c r="AB4" i="46"/>
  <c r="Z8" i="46"/>
  <c r="Z7" i="46"/>
  <c r="Z6" i="46"/>
  <c r="Z5" i="46"/>
  <c r="Z4" i="46"/>
  <c r="K5" i="46"/>
  <c r="K4" i="46"/>
  <c r="I7" i="46"/>
  <c r="I6" i="46"/>
  <c r="I5" i="46"/>
  <c r="I4" i="46"/>
  <c r="F239" i="45"/>
  <c r="K7" i="46" s="1"/>
  <c r="AK4" i="45"/>
  <c r="AK3" i="45"/>
  <c r="AK2" i="45"/>
  <c r="AJ213" i="45"/>
  <c r="AJ215" i="45"/>
  <c r="AJ216" i="45"/>
  <c r="J12" i="48" l="1"/>
  <c r="J14" i="48"/>
  <c r="J16" i="48"/>
  <c r="P15" i="48"/>
  <c r="P14" i="48"/>
  <c r="J15" i="48"/>
  <c r="J13" i="48"/>
  <c r="K6" i="46"/>
  <c r="K9" i="46" s="1"/>
  <c r="Z9" i="46"/>
  <c r="C83" i="46"/>
  <c r="AK5" i="45"/>
  <c r="I9" i="46"/>
  <c r="AJ219" i="45"/>
  <c r="AJ218" i="45"/>
  <c r="AJ217" i="45"/>
  <c r="AJ214" i="45"/>
  <c r="AJ238" i="45"/>
  <c r="AJ237" i="45"/>
  <c r="AJ236" i="45"/>
  <c r="AJ235" i="45"/>
  <c r="AJ234" i="45"/>
  <c r="AJ233" i="45"/>
  <c r="AJ232" i="45"/>
  <c r="AJ231" i="45"/>
  <c r="AJ230" i="45"/>
  <c r="AJ229" i="45"/>
  <c r="AJ228" i="45"/>
  <c r="AJ227" i="45"/>
  <c r="AJ226" i="45"/>
  <c r="AJ225" i="45"/>
  <c r="AJ224" i="45"/>
  <c r="AJ223" i="45"/>
  <c r="AJ222" i="45"/>
  <c r="AJ221" i="45"/>
  <c r="AJ220" i="45"/>
  <c r="AJ212" i="45"/>
  <c r="AJ211" i="45"/>
  <c r="AJ210" i="45"/>
  <c r="AJ209" i="45"/>
  <c r="AJ208" i="45"/>
  <c r="AJ207" i="45"/>
  <c r="AJ206" i="45"/>
  <c r="AJ205" i="45"/>
  <c r="AJ204" i="45"/>
  <c r="AJ203" i="45"/>
  <c r="AJ202" i="45"/>
  <c r="AJ201" i="45"/>
  <c r="AJ200" i="45"/>
  <c r="AJ199" i="45"/>
  <c r="AJ198" i="45"/>
  <c r="AJ197" i="45"/>
  <c r="AJ196" i="45"/>
  <c r="AJ195" i="45"/>
  <c r="AJ194" i="45"/>
  <c r="AJ193" i="45"/>
  <c r="AJ192" i="45"/>
  <c r="AJ191" i="45"/>
  <c r="AJ190" i="45"/>
  <c r="AJ189" i="45"/>
  <c r="AJ188" i="45"/>
  <c r="AJ187" i="45"/>
  <c r="AJ186" i="45"/>
  <c r="AJ185" i="45"/>
  <c r="AJ184" i="45"/>
  <c r="AJ183" i="45"/>
  <c r="AJ182" i="45"/>
  <c r="AJ181" i="45"/>
  <c r="AJ180" i="45"/>
  <c r="AJ179" i="45"/>
  <c r="AJ178" i="45"/>
  <c r="AJ177" i="45"/>
  <c r="AJ176" i="45"/>
  <c r="AJ175" i="45"/>
  <c r="AJ174" i="45"/>
  <c r="AJ173" i="45"/>
  <c r="AJ172" i="45"/>
  <c r="AJ171" i="45"/>
  <c r="AJ170" i="45"/>
  <c r="AJ169" i="45"/>
  <c r="AJ168" i="45"/>
  <c r="AJ167" i="45"/>
  <c r="AJ166" i="45"/>
  <c r="AJ165" i="45"/>
  <c r="AJ164" i="45"/>
  <c r="AJ163" i="45"/>
  <c r="AJ162" i="45"/>
  <c r="AJ161" i="45"/>
  <c r="AJ160" i="45"/>
  <c r="AJ159" i="45"/>
  <c r="AJ158" i="45"/>
  <c r="AJ157" i="45"/>
  <c r="AJ156" i="45"/>
  <c r="AJ155" i="45"/>
  <c r="AJ154" i="45"/>
  <c r="AJ153" i="45"/>
  <c r="AJ152" i="45"/>
  <c r="AJ151" i="45"/>
  <c r="AJ150" i="45"/>
  <c r="AJ149" i="45"/>
  <c r="AJ148" i="45"/>
  <c r="AJ147" i="45"/>
  <c r="AJ146" i="45"/>
  <c r="AJ145" i="45"/>
  <c r="AJ144" i="45"/>
  <c r="AJ143" i="45"/>
  <c r="AJ142" i="45"/>
  <c r="AJ141" i="45"/>
  <c r="AJ140" i="45"/>
  <c r="AJ139" i="45"/>
  <c r="AJ138" i="45"/>
  <c r="AJ137" i="45"/>
  <c r="AJ136" i="45"/>
  <c r="AJ135" i="45"/>
  <c r="AJ134" i="45"/>
  <c r="AJ133" i="45"/>
  <c r="AJ132" i="45"/>
  <c r="AJ131" i="45"/>
  <c r="AJ130" i="45"/>
  <c r="AJ129" i="45"/>
  <c r="AJ128" i="45"/>
  <c r="AJ127" i="45"/>
  <c r="AJ126" i="45"/>
  <c r="AJ125" i="45"/>
  <c r="AJ124" i="45"/>
  <c r="AJ123" i="45"/>
  <c r="AJ122" i="45"/>
  <c r="AJ121" i="45"/>
  <c r="AJ120" i="45"/>
  <c r="AJ119" i="45"/>
  <c r="AJ118" i="45"/>
  <c r="AJ117" i="45"/>
  <c r="AJ116" i="45"/>
  <c r="AJ115" i="45"/>
  <c r="AJ114" i="45"/>
  <c r="AJ113" i="45"/>
  <c r="AJ112" i="45"/>
  <c r="AJ111" i="45"/>
  <c r="AJ110" i="45"/>
  <c r="AJ109" i="45"/>
  <c r="AJ108" i="45"/>
  <c r="AJ107" i="45"/>
  <c r="AJ106" i="45"/>
  <c r="AJ105" i="45"/>
  <c r="AJ104" i="45"/>
  <c r="AJ103" i="45"/>
  <c r="AJ102" i="45"/>
  <c r="AJ101" i="45"/>
  <c r="AJ100" i="45"/>
  <c r="AJ99" i="45"/>
  <c r="AJ98" i="45"/>
  <c r="AJ97" i="45"/>
  <c r="AJ96" i="45"/>
  <c r="AJ95" i="45"/>
  <c r="AJ94" i="45"/>
  <c r="AJ93" i="45"/>
  <c r="AJ92" i="45"/>
  <c r="AJ91" i="45"/>
  <c r="AJ90" i="45"/>
  <c r="AJ89" i="45"/>
  <c r="AJ88" i="45"/>
  <c r="AJ87" i="45"/>
  <c r="AJ86" i="45"/>
  <c r="AJ85" i="45"/>
  <c r="AJ84" i="45"/>
  <c r="AJ83" i="45"/>
  <c r="AJ82" i="45"/>
  <c r="AJ81" i="45"/>
  <c r="AJ80" i="45"/>
  <c r="AJ79" i="45"/>
  <c r="AJ78" i="45"/>
  <c r="AJ77" i="45"/>
  <c r="AJ76" i="45"/>
  <c r="AJ75" i="45"/>
  <c r="AJ74" i="45"/>
  <c r="AJ73" i="45"/>
  <c r="AJ72" i="45"/>
  <c r="AJ71" i="45"/>
  <c r="AJ70" i="45"/>
  <c r="AJ69" i="45"/>
  <c r="AJ68" i="45"/>
  <c r="AJ67" i="45"/>
  <c r="AJ66" i="45"/>
  <c r="AJ65" i="45"/>
  <c r="AJ64" i="45"/>
  <c r="AJ63" i="45"/>
  <c r="AJ62" i="45"/>
  <c r="AJ61" i="45"/>
  <c r="AJ60" i="45"/>
  <c r="AJ59" i="45"/>
  <c r="AJ58" i="45"/>
  <c r="AJ57" i="45"/>
  <c r="AJ56" i="45"/>
  <c r="AJ55" i="45"/>
  <c r="AJ54" i="45"/>
  <c r="AJ53" i="45"/>
  <c r="AJ52" i="45"/>
  <c r="AJ51" i="45"/>
  <c r="AJ50" i="45"/>
  <c r="AJ49" i="45"/>
  <c r="AJ48" i="45"/>
  <c r="AJ47" i="45"/>
  <c r="AJ46" i="45"/>
  <c r="AJ45" i="45"/>
  <c r="AJ44" i="45"/>
  <c r="AJ43" i="45"/>
  <c r="AJ42" i="45"/>
  <c r="AJ41" i="45"/>
  <c r="AJ40" i="45"/>
  <c r="AJ39" i="45"/>
  <c r="AJ38" i="45"/>
  <c r="AJ37" i="45"/>
  <c r="AJ36" i="45"/>
  <c r="AJ35" i="45"/>
  <c r="AJ34" i="45"/>
  <c r="AJ33" i="45"/>
  <c r="AJ32" i="45"/>
  <c r="AJ31" i="45"/>
  <c r="AJ30" i="45"/>
  <c r="AJ29" i="45"/>
  <c r="AJ28" i="45"/>
  <c r="AJ27" i="45"/>
  <c r="AJ26" i="45"/>
  <c r="AJ25" i="45"/>
  <c r="AJ24" i="45"/>
  <c r="AJ23" i="45"/>
  <c r="AJ22" i="45"/>
  <c r="AJ21" i="45"/>
  <c r="AJ20" i="45"/>
  <c r="AJ19" i="45"/>
  <c r="AJ18" i="45"/>
  <c r="AJ17" i="45"/>
  <c r="AJ16" i="45"/>
  <c r="AJ15" i="45"/>
  <c r="AJ14" i="45"/>
  <c r="AJ13" i="45"/>
  <c r="AJ12" i="45"/>
  <c r="AJ11" i="45"/>
  <c r="AJ10" i="45"/>
  <c r="AJ9" i="45"/>
  <c r="AJ8" i="45"/>
  <c r="AJ7" i="45"/>
  <c r="AJ6" i="45"/>
  <c r="AJ5" i="45"/>
  <c r="AJ4" i="45"/>
  <c r="AJ3" i="45"/>
  <c r="AK2" i="44"/>
  <c r="AJ2" i="45"/>
  <c r="AJ2" i="44"/>
  <c r="E17" i="46"/>
  <c r="D17" i="46"/>
  <c r="E14" i="46"/>
  <c r="D14" i="46"/>
  <c r="E11" i="46"/>
  <c r="D11" i="46"/>
  <c r="AB26" i="46"/>
  <c r="P25" i="48" l="1"/>
  <c r="M2" i="48" s="1"/>
  <c r="J17" i="48"/>
  <c r="AB27" i="46"/>
  <c r="D36" i="46"/>
  <c r="Y33" i="46"/>
  <c r="Y25" i="46"/>
  <c r="V27" i="46"/>
  <c r="P39" i="46"/>
  <c r="S26" i="46"/>
  <c r="P27" i="46"/>
  <c r="M29" i="46"/>
  <c r="M25" i="46"/>
  <c r="J34" i="46"/>
  <c r="J30" i="46"/>
  <c r="J26" i="46"/>
  <c r="G37" i="46"/>
  <c r="G28" i="46"/>
  <c r="D53" i="46"/>
  <c r="D49" i="46"/>
  <c r="D45" i="46"/>
  <c r="D41" i="46"/>
  <c r="D37" i="46"/>
  <c r="D33" i="46"/>
  <c r="D29" i="46"/>
  <c r="D25" i="46"/>
  <c r="P34" i="46"/>
  <c r="P35" i="46" s="1"/>
  <c r="P9" i="46" s="1"/>
  <c r="M27" i="46"/>
  <c r="J32" i="46"/>
  <c r="G35" i="46"/>
  <c r="G26" i="46"/>
  <c r="D39" i="46"/>
  <c r="D27" i="46"/>
  <c r="Y36" i="46"/>
  <c r="Y32" i="46"/>
  <c r="V33" i="46"/>
  <c r="V26" i="46"/>
  <c r="P38" i="46"/>
  <c r="S25" i="46"/>
  <c r="P26" i="46"/>
  <c r="M28" i="46"/>
  <c r="J37" i="46"/>
  <c r="J33" i="46"/>
  <c r="J29" i="46"/>
  <c r="J25" i="46"/>
  <c r="G36" i="46"/>
  <c r="G27" i="46"/>
  <c r="D52" i="46"/>
  <c r="D48" i="46"/>
  <c r="D44" i="46"/>
  <c r="D40" i="46"/>
  <c r="D32" i="46"/>
  <c r="D28" i="46"/>
  <c r="P25" i="46"/>
  <c r="G39" i="46"/>
  <c r="D47" i="46"/>
  <c r="D35" i="46"/>
  <c r="Y34" i="46"/>
  <c r="Y26" i="46"/>
  <c r="V31" i="46"/>
  <c r="P40" i="46"/>
  <c r="S27" i="46"/>
  <c r="P28" i="46"/>
  <c r="M30" i="46"/>
  <c r="M26" i="46"/>
  <c r="J35" i="46"/>
  <c r="J31" i="46"/>
  <c r="J27" i="46"/>
  <c r="G38" i="46"/>
  <c r="G29" i="46"/>
  <c r="G25" i="46"/>
  <c r="D50" i="46"/>
  <c r="D46" i="46"/>
  <c r="D42" i="46"/>
  <c r="D38" i="46"/>
  <c r="D34" i="46"/>
  <c r="D30" i="46"/>
  <c r="D26" i="46"/>
  <c r="Y35" i="46"/>
  <c r="Y31" i="46"/>
  <c r="V32" i="46"/>
  <c r="V25" i="46"/>
  <c r="P29" i="46"/>
  <c r="J36" i="46"/>
  <c r="J28" i="46"/>
  <c r="D51" i="46"/>
  <c r="D43" i="46"/>
  <c r="D31" i="46"/>
  <c r="AB30"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AB32" i="48" l="1"/>
  <c r="AB33" i="48" s="1"/>
  <c r="AB36" i="48" s="1"/>
  <c r="L2" i="48"/>
  <c r="R8" i="48"/>
  <c r="R14" i="48"/>
  <c r="R4" i="48"/>
  <c r="R15" i="48"/>
  <c r="R10" i="48"/>
  <c r="R5" i="48"/>
  <c r="R12" i="48"/>
  <c r="R7" i="48"/>
  <c r="R11" i="48"/>
  <c r="R6" i="48"/>
  <c r="R9" i="48"/>
  <c r="R13" i="48"/>
  <c r="Y37" i="46"/>
  <c r="J16" i="46" s="1"/>
  <c r="V34" i="46"/>
  <c r="P13" i="46" s="1"/>
  <c r="P30" i="46"/>
  <c r="P8" i="46" s="1"/>
  <c r="G40" i="46"/>
  <c r="P5" i="46" s="1"/>
  <c r="M31" i="46"/>
  <c r="P7" i="46" s="1"/>
  <c r="S28" i="46"/>
  <c r="P11" i="46" s="1"/>
  <c r="Y27" i="46"/>
  <c r="P14" i="46" s="1"/>
  <c r="J38" i="46"/>
  <c r="P6" i="46" s="1"/>
  <c r="P15" i="46"/>
  <c r="V28" i="46"/>
  <c r="P41" i="46"/>
  <c r="P10" i="46" s="1"/>
  <c r="D54" i="46"/>
  <c r="P4" i="46" s="1"/>
  <c r="AB25" i="43"/>
  <c r="AB24" i="43"/>
  <c r="AB23" i="43"/>
  <c r="AB19" i="43"/>
  <c r="AB18" i="43"/>
  <c r="AB17" i="43"/>
  <c r="AB16" i="43"/>
  <c r="AB15" i="43"/>
  <c r="AB14" i="43"/>
  <c r="AB13" i="43"/>
  <c r="AB12" i="43"/>
  <c r="AB11" i="43"/>
  <c r="AB10" i="43"/>
  <c r="AB9" i="43"/>
  <c r="AB8" i="43"/>
  <c r="AB7" i="43"/>
  <c r="AB6" i="43"/>
  <c r="AB5" i="43"/>
  <c r="AB4" i="43"/>
  <c r="AB26" i="43"/>
  <c r="Z8" i="43"/>
  <c r="Z7" i="43"/>
  <c r="Z6" i="43"/>
  <c r="Z5" i="43"/>
  <c r="Z4" i="43"/>
  <c r="AJ5" i="44"/>
  <c r="AJ4" i="44"/>
  <c r="AJ3" i="44"/>
  <c r="AJ157" i="44"/>
  <c r="AJ156" i="44"/>
  <c r="AJ155" i="44"/>
  <c r="AJ154" i="44"/>
  <c r="AJ153" i="44"/>
  <c r="AJ152" i="44"/>
  <c r="AJ151" i="44"/>
  <c r="AJ150" i="44"/>
  <c r="AJ149" i="44"/>
  <c r="AJ148" i="44"/>
  <c r="AJ147" i="44"/>
  <c r="AJ146" i="44"/>
  <c r="AJ145" i="44"/>
  <c r="AJ144" i="44"/>
  <c r="AJ143" i="44"/>
  <c r="AJ142" i="44"/>
  <c r="AJ141" i="44"/>
  <c r="AJ140" i="44"/>
  <c r="AJ139" i="44"/>
  <c r="AJ138" i="44"/>
  <c r="AJ137" i="44"/>
  <c r="AJ136" i="44"/>
  <c r="AJ135" i="44"/>
  <c r="AJ134" i="44"/>
  <c r="AJ133" i="44"/>
  <c r="AJ132" i="44"/>
  <c r="AJ131" i="44"/>
  <c r="AJ130" i="44"/>
  <c r="AJ129" i="44"/>
  <c r="AJ128" i="44"/>
  <c r="AJ127" i="44"/>
  <c r="AJ126" i="44"/>
  <c r="AJ125" i="44"/>
  <c r="AJ124" i="44"/>
  <c r="AJ123" i="44"/>
  <c r="AJ122" i="44"/>
  <c r="AJ121" i="44"/>
  <c r="AJ120" i="44"/>
  <c r="AJ119" i="44"/>
  <c r="AJ118" i="44"/>
  <c r="AJ117" i="44"/>
  <c r="AJ116" i="44"/>
  <c r="AJ115" i="44"/>
  <c r="AJ114" i="44"/>
  <c r="AJ113" i="44"/>
  <c r="AJ112" i="44"/>
  <c r="AJ111" i="44"/>
  <c r="AJ110" i="44"/>
  <c r="AJ109" i="44"/>
  <c r="AJ108" i="44"/>
  <c r="AJ107" i="44"/>
  <c r="AJ106" i="44"/>
  <c r="AJ105" i="44"/>
  <c r="AJ104" i="44"/>
  <c r="AJ103" i="44"/>
  <c r="AJ102" i="44"/>
  <c r="AJ101" i="44"/>
  <c r="AJ100" i="44"/>
  <c r="AJ99" i="44"/>
  <c r="AJ98" i="44"/>
  <c r="AJ97" i="44"/>
  <c r="AJ96" i="44"/>
  <c r="AJ95" i="44"/>
  <c r="AJ94" i="44"/>
  <c r="AJ93" i="44"/>
  <c r="AJ92" i="44"/>
  <c r="AJ91" i="44"/>
  <c r="AJ90" i="44"/>
  <c r="AJ89" i="44"/>
  <c r="AJ88" i="44"/>
  <c r="AJ87" i="44"/>
  <c r="AJ86" i="44"/>
  <c r="AJ85" i="44"/>
  <c r="AJ84" i="44"/>
  <c r="AJ83" i="44"/>
  <c r="AJ82" i="44"/>
  <c r="AJ81" i="44"/>
  <c r="AJ80" i="44"/>
  <c r="AJ79" i="44"/>
  <c r="AJ78" i="44"/>
  <c r="AJ77" i="44"/>
  <c r="AJ76" i="44"/>
  <c r="AJ75" i="44"/>
  <c r="AJ74" i="44"/>
  <c r="AJ73" i="44"/>
  <c r="AJ72" i="44"/>
  <c r="AJ71" i="44"/>
  <c r="AJ70" i="44"/>
  <c r="AJ69" i="44"/>
  <c r="AJ68" i="44"/>
  <c r="AJ67" i="44"/>
  <c r="AJ66" i="44"/>
  <c r="AJ65" i="44"/>
  <c r="AJ64" i="44"/>
  <c r="AJ63" i="44"/>
  <c r="AJ62" i="44"/>
  <c r="AJ61" i="44"/>
  <c r="AJ60" i="44"/>
  <c r="AJ59" i="44"/>
  <c r="AJ58" i="44"/>
  <c r="AJ57" i="44"/>
  <c r="AJ56" i="44"/>
  <c r="AJ55" i="44"/>
  <c r="AJ54" i="44"/>
  <c r="AJ53" i="44"/>
  <c r="AJ52" i="44"/>
  <c r="AJ51" i="44"/>
  <c r="AJ50" i="44"/>
  <c r="AJ49" i="44"/>
  <c r="AJ48" i="44"/>
  <c r="AJ47" i="44"/>
  <c r="AJ46" i="44"/>
  <c r="AJ45" i="44"/>
  <c r="AJ44" i="44"/>
  <c r="AJ43" i="44"/>
  <c r="AJ42" i="44"/>
  <c r="AJ41" i="44"/>
  <c r="AJ40" i="44"/>
  <c r="AJ39" i="44"/>
  <c r="AJ38" i="44"/>
  <c r="AJ37" i="44"/>
  <c r="AJ36" i="44"/>
  <c r="AJ35" i="44"/>
  <c r="AJ34" i="44"/>
  <c r="AJ33" i="44"/>
  <c r="AJ32" i="44"/>
  <c r="AJ31" i="44"/>
  <c r="AJ30" i="44"/>
  <c r="AJ29" i="44"/>
  <c r="AJ28" i="44"/>
  <c r="AJ27" i="44"/>
  <c r="AJ26" i="44"/>
  <c r="AJ25" i="44"/>
  <c r="AJ24" i="44"/>
  <c r="AJ23" i="44"/>
  <c r="AJ22" i="44"/>
  <c r="AJ21" i="44"/>
  <c r="AJ20" i="44"/>
  <c r="AJ19" i="44"/>
  <c r="AJ18" i="44"/>
  <c r="AJ17" i="44"/>
  <c r="AJ16" i="44"/>
  <c r="AJ15" i="44"/>
  <c r="AJ14" i="44"/>
  <c r="AJ13" i="44"/>
  <c r="AJ12" i="44"/>
  <c r="AJ11" i="44"/>
  <c r="AJ10" i="44"/>
  <c r="AJ9" i="44"/>
  <c r="AJ8" i="44"/>
  <c r="AJ7" i="44"/>
  <c r="AJ6" i="44"/>
  <c r="AJ3" i="41"/>
  <c r="I7" i="43"/>
  <c r="I6" i="43"/>
  <c r="I5" i="43"/>
  <c r="I4" i="43"/>
  <c r="U12" i="48" l="1"/>
  <c r="T12" i="48"/>
  <c r="T6" i="48"/>
  <c r="T14" i="48"/>
  <c r="T5" i="48"/>
  <c r="U13" i="48"/>
  <c r="T11" i="48"/>
  <c r="U5" i="48"/>
  <c r="T9" i="48"/>
  <c r="U6" i="48"/>
  <c r="U7" i="48"/>
  <c r="U15" i="48"/>
  <c r="T7" i="48"/>
  <c r="U8" i="48"/>
  <c r="T4" i="48"/>
  <c r="T15" i="48"/>
  <c r="U9" i="48"/>
  <c r="U10" i="48"/>
  <c r="T8" i="48"/>
  <c r="T10" i="48"/>
  <c r="U11" i="48"/>
  <c r="U14" i="48"/>
  <c r="T13" i="48"/>
  <c r="U4" i="48"/>
  <c r="J15" i="46"/>
  <c r="P12" i="46"/>
  <c r="R5" i="46" s="1"/>
  <c r="J14" i="46"/>
  <c r="J12" i="46"/>
  <c r="J13" i="46"/>
  <c r="AB27" i="43"/>
  <c r="P39" i="43"/>
  <c r="Z9" i="43"/>
  <c r="AB28" i="43" s="1"/>
  <c r="D27" i="43"/>
  <c r="D29" i="43"/>
  <c r="D33" i="43"/>
  <c r="D37" i="43"/>
  <c r="D41" i="43"/>
  <c r="D45" i="43"/>
  <c r="D49" i="43"/>
  <c r="D53" i="43"/>
  <c r="G28" i="43"/>
  <c r="G37" i="43"/>
  <c r="J26" i="43"/>
  <c r="J30" i="43"/>
  <c r="J34" i="43"/>
  <c r="J38" i="43"/>
  <c r="M29" i="43"/>
  <c r="S26" i="43"/>
  <c r="P27" i="43"/>
  <c r="P28" i="43"/>
  <c r="P30" i="43"/>
  <c r="Y33" i="43"/>
  <c r="Y35" i="43"/>
  <c r="P40" i="43"/>
  <c r="D28" i="43"/>
  <c r="D30" i="43"/>
  <c r="D34" i="43"/>
  <c r="D38" i="43"/>
  <c r="D42" i="43"/>
  <c r="D46" i="43"/>
  <c r="D50" i="43"/>
  <c r="D54" i="43"/>
  <c r="G29" i="43"/>
  <c r="G38" i="43"/>
  <c r="J27" i="43"/>
  <c r="J31" i="43"/>
  <c r="J35" i="43"/>
  <c r="M26" i="43"/>
  <c r="M30" i="43"/>
  <c r="V26" i="43"/>
  <c r="S27" i="43"/>
  <c r="S28" i="43"/>
  <c r="V32" i="43"/>
  <c r="V34" i="43"/>
  <c r="Y36" i="43"/>
  <c r="P41" i="43"/>
  <c r="D31" i="43"/>
  <c r="D35" i="43"/>
  <c r="D39" i="43"/>
  <c r="D43" i="43"/>
  <c r="D47" i="43"/>
  <c r="D51" i="43"/>
  <c r="G26" i="43"/>
  <c r="G30" i="43"/>
  <c r="G39" i="43"/>
  <c r="J28" i="43"/>
  <c r="J32" i="43"/>
  <c r="J36" i="43"/>
  <c r="M27" i="43"/>
  <c r="M31" i="43"/>
  <c r="Y26" i="43"/>
  <c r="V27" i="43"/>
  <c r="V28" i="43"/>
  <c r="Y32" i="43"/>
  <c r="Y34" i="43"/>
  <c r="Y37" i="43"/>
  <c r="D26" i="43"/>
  <c r="D32" i="43"/>
  <c r="D36" i="43"/>
  <c r="D40" i="43"/>
  <c r="D44" i="43"/>
  <c r="D48" i="43"/>
  <c r="D52" i="43"/>
  <c r="G27" i="43"/>
  <c r="G36" i="43"/>
  <c r="G40" i="43"/>
  <c r="J29" i="43"/>
  <c r="J33" i="43"/>
  <c r="J37" i="43"/>
  <c r="M28" i="43"/>
  <c r="P26" i="43"/>
  <c r="Y27" i="43"/>
  <c r="P29" i="43"/>
  <c r="V33" i="43"/>
  <c r="P35" i="43"/>
  <c r="I9" i="43"/>
  <c r="AK158" i="44"/>
  <c r="U25" i="48" l="1"/>
  <c r="R4" i="46"/>
  <c r="T4" i="46" s="1"/>
  <c r="J17" i="46"/>
  <c r="R10" i="46"/>
  <c r="R13" i="46"/>
  <c r="R9" i="46"/>
  <c r="R8" i="46"/>
  <c r="R7" i="46"/>
  <c r="R15" i="46"/>
  <c r="R11" i="46"/>
  <c r="R6" i="46"/>
  <c r="R12" i="46"/>
  <c r="R14" i="46"/>
  <c r="P22" i="46"/>
  <c r="M2" i="46" s="1"/>
  <c r="C84" i="43"/>
  <c r="P36" i="43"/>
  <c r="P9" i="43" s="1"/>
  <c r="Y38" i="43"/>
  <c r="V35" i="43"/>
  <c r="P13" i="43" s="1"/>
  <c r="Y28" i="43"/>
  <c r="S29" i="43"/>
  <c r="P11" i="43" s="1"/>
  <c r="M32" i="43"/>
  <c r="E17" i="43"/>
  <c r="D17" i="43"/>
  <c r="E14" i="43"/>
  <c r="D14" i="43"/>
  <c r="E11" i="43"/>
  <c r="D11" i="43"/>
  <c r="T7" i="46" l="1"/>
  <c r="U7" i="46"/>
  <c r="T11" i="46"/>
  <c r="U4" i="46"/>
  <c r="U5" i="46"/>
  <c r="T10" i="46"/>
  <c r="U11" i="46"/>
  <c r="L2" i="46"/>
  <c r="AB28" i="46"/>
  <c r="U15" i="46"/>
  <c r="U14" i="46"/>
  <c r="U6" i="46"/>
  <c r="U13" i="46"/>
  <c r="T14" i="46"/>
  <c r="T13" i="46"/>
  <c r="U8" i="46"/>
  <c r="T15" i="46"/>
  <c r="T12" i="46"/>
  <c r="T5" i="46"/>
  <c r="U9" i="46"/>
  <c r="T8" i="46"/>
  <c r="U10" i="46"/>
  <c r="U12" i="46"/>
  <c r="T6" i="46"/>
  <c r="T9" i="46"/>
  <c r="G41" i="43"/>
  <c r="D55" i="43"/>
  <c r="P4" i="43" s="1"/>
  <c r="P31" i="43"/>
  <c r="P8" i="43" s="1"/>
  <c r="P42" i="43"/>
  <c r="P10" i="43" s="1"/>
  <c r="J39" i="43"/>
  <c r="P6" i="43" s="1"/>
  <c r="V29" i="43"/>
  <c r="P12" i="43" s="1"/>
  <c r="P7" i="43"/>
  <c r="J15" i="43"/>
  <c r="P14" i="43"/>
  <c r="J16" i="43"/>
  <c r="P15" i="43"/>
  <c r="AB27" i="42"/>
  <c r="AB23" i="42"/>
  <c r="AB22" i="42"/>
  <c r="AB21" i="42"/>
  <c r="AB20" i="42"/>
  <c r="AB19" i="42"/>
  <c r="AB18" i="42"/>
  <c r="AB17" i="42"/>
  <c r="AB16" i="42"/>
  <c r="AB15" i="42"/>
  <c r="AB14" i="42"/>
  <c r="AB11" i="42"/>
  <c r="AB13" i="42"/>
  <c r="AB12" i="42"/>
  <c r="AB10" i="42"/>
  <c r="AB9" i="42"/>
  <c r="AB8" i="42"/>
  <c r="AB7" i="42"/>
  <c r="AB6" i="42"/>
  <c r="AB5" i="42"/>
  <c r="AB4" i="42"/>
  <c r="AB24" i="42" s="1"/>
  <c r="Z8" i="42"/>
  <c r="Z7" i="42"/>
  <c r="Z6" i="42"/>
  <c r="Z5" i="42"/>
  <c r="Z4" i="42"/>
  <c r="Z9" i="42" s="1"/>
  <c r="AB25" i="42" l="1"/>
  <c r="U22" i="46"/>
  <c r="J12" i="43"/>
  <c r="J13" i="43"/>
  <c r="J14" i="43"/>
  <c r="P5" i="43"/>
  <c r="R13" i="43" s="1"/>
  <c r="AJ226" i="41"/>
  <c r="AJ225" i="41"/>
  <c r="AJ224" i="41"/>
  <c r="AJ223" i="41"/>
  <c r="AJ222" i="41"/>
  <c r="AJ221" i="41"/>
  <c r="AJ220" i="41"/>
  <c r="AJ219" i="41"/>
  <c r="AJ218" i="41"/>
  <c r="AJ217" i="41"/>
  <c r="AJ216" i="41"/>
  <c r="AJ215" i="41"/>
  <c r="AJ214" i="41"/>
  <c r="AJ213" i="41"/>
  <c r="AJ212" i="41"/>
  <c r="AJ211" i="41"/>
  <c r="AJ210" i="41"/>
  <c r="AJ209" i="41"/>
  <c r="AJ208" i="41"/>
  <c r="AJ207" i="41"/>
  <c r="AJ206" i="41"/>
  <c r="AJ205" i="41"/>
  <c r="AJ204" i="41"/>
  <c r="AJ203" i="41"/>
  <c r="AJ202" i="41"/>
  <c r="AJ201" i="41"/>
  <c r="AJ200" i="41"/>
  <c r="AJ199" i="41"/>
  <c r="AJ198" i="41"/>
  <c r="AJ197" i="41"/>
  <c r="AJ196" i="41"/>
  <c r="AJ195" i="41"/>
  <c r="AJ194" i="41"/>
  <c r="AJ193" i="41"/>
  <c r="AJ192" i="41"/>
  <c r="AJ191" i="41"/>
  <c r="AJ190" i="41"/>
  <c r="AJ189" i="41"/>
  <c r="AJ188" i="41"/>
  <c r="AJ187" i="41"/>
  <c r="AJ186" i="41"/>
  <c r="AJ185" i="41"/>
  <c r="AJ184" i="41"/>
  <c r="AJ183" i="41"/>
  <c r="AJ182" i="41"/>
  <c r="AJ181" i="41"/>
  <c r="AJ180" i="41"/>
  <c r="AJ179" i="41"/>
  <c r="AJ178" i="41"/>
  <c r="AJ177" i="41"/>
  <c r="AJ176" i="41"/>
  <c r="AJ175" i="41"/>
  <c r="AJ174" i="41"/>
  <c r="AJ173" i="41"/>
  <c r="AJ172" i="41"/>
  <c r="AJ171" i="41"/>
  <c r="AJ170" i="41"/>
  <c r="AJ169" i="41"/>
  <c r="AJ168" i="41"/>
  <c r="AJ167" i="41"/>
  <c r="AJ166" i="41"/>
  <c r="AJ165" i="41"/>
  <c r="AJ164" i="41"/>
  <c r="AJ163" i="41"/>
  <c r="AJ162" i="41"/>
  <c r="AJ161" i="41"/>
  <c r="AJ160" i="41"/>
  <c r="AJ159" i="41"/>
  <c r="AJ158" i="41"/>
  <c r="AJ157" i="41"/>
  <c r="AJ156" i="41"/>
  <c r="AJ155" i="41"/>
  <c r="AJ154" i="41"/>
  <c r="AJ153" i="41"/>
  <c r="AJ152" i="41"/>
  <c r="AJ151" i="41"/>
  <c r="AJ150" i="41"/>
  <c r="AJ149" i="41"/>
  <c r="AJ148" i="41"/>
  <c r="AJ147" i="41"/>
  <c r="AJ146" i="41"/>
  <c r="AJ145" i="41"/>
  <c r="AJ144" i="41"/>
  <c r="AJ143" i="41"/>
  <c r="AJ142" i="41"/>
  <c r="AJ141" i="41"/>
  <c r="AJ140" i="41"/>
  <c r="AJ139" i="41"/>
  <c r="AJ138" i="41"/>
  <c r="AJ137" i="41"/>
  <c r="AJ136" i="41"/>
  <c r="AJ135" i="41"/>
  <c r="AJ134" i="41"/>
  <c r="AJ133" i="41"/>
  <c r="AJ132" i="41"/>
  <c r="AJ131" i="41"/>
  <c r="AJ130" i="41"/>
  <c r="AJ129" i="41"/>
  <c r="AJ128" i="41"/>
  <c r="AJ127" i="41"/>
  <c r="AJ126" i="41"/>
  <c r="AJ125" i="41"/>
  <c r="AJ124" i="41"/>
  <c r="AJ123" i="41"/>
  <c r="AJ122" i="41"/>
  <c r="AJ121" i="41"/>
  <c r="AJ120" i="41"/>
  <c r="AJ119" i="41"/>
  <c r="AJ118" i="41"/>
  <c r="AJ117" i="41"/>
  <c r="AJ116" i="41"/>
  <c r="AJ115" i="41"/>
  <c r="AJ114" i="41"/>
  <c r="AJ113" i="41"/>
  <c r="AJ112" i="41"/>
  <c r="AJ111" i="41"/>
  <c r="AJ110" i="41"/>
  <c r="AJ109" i="41"/>
  <c r="AJ108" i="41"/>
  <c r="AJ107" i="41"/>
  <c r="AJ106" i="41"/>
  <c r="AJ105" i="41"/>
  <c r="AJ104" i="41"/>
  <c r="AJ103" i="41"/>
  <c r="AJ102" i="41"/>
  <c r="AJ101" i="41"/>
  <c r="AJ100" i="41"/>
  <c r="I7" i="42"/>
  <c r="I6" i="42"/>
  <c r="I5" i="42"/>
  <c r="I4"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E17" i="42"/>
  <c r="D17" i="42"/>
  <c r="E14" i="42"/>
  <c r="D14" i="42"/>
  <c r="E11" i="42"/>
  <c r="D11" i="42"/>
  <c r="AM11" i="41"/>
  <c r="AM10" i="41"/>
  <c r="AM7" i="41"/>
  <c r="AM6" i="41"/>
  <c r="AM4" i="41"/>
  <c r="AM3" i="41"/>
  <c r="AM34" i="41"/>
  <c r="AM33" i="41"/>
  <c r="AM32" i="41"/>
  <c r="AM31" i="41"/>
  <c r="AM30" i="41"/>
  <c r="AM29" i="41"/>
  <c r="AM28" i="41"/>
  <c r="AM27" i="41"/>
  <c r="AM26" i="41"/>
  <c r="AM25" i="41"/>
  <c r="AM24" i="41"/>
  <c r="AM23" i="41"/>
  <c r="AM22" i="41"/>
  <c r="AM21" i="41"/>
  <c r="AM20" i="41"/>
  <c r="AM19" i="41"/>
  <c r="AM18" i="41"/>
  <c r="AM17" i="41"/>
  <c r="AM16" i="41"/>
  <c r="AM15" i="41"/>
  <c r="AM14" i="41"/>
  <c r="AM13" i="41"/>
  <c r="AM12" i="41"/>
  <c r="AJ99" i="41"/>
  <c r="AJ98" i="41"/>
  <c r="AJ97" i="41"/>
  <c r="AJ96" i="41"/>
  <c r="AJ95" i="41"/>
  <c r="AJ94" i="41"/>
  <c r="AJ93" i="41"/>
  <c r="AJ92" i="41"/>
  <c r="AJ91" i="41"/>
  <c r="AJ90" i="41"/>
  <c r="AJ89" i="41"/>
  <c r="AJ88" i="41"/>
  <c r="AJ87" i="41"/>
  <c r="AJ86" i="41"/>
  <c r="AJ85" i="41"/>
  <c r="AJ84" i="41"/>
  <c r="AJ83" i="41"/>
  <c r="AJ82" i="41"/>
  <c r="AJ81" i="41"/>
  <c r="AJ80" i="41"/>
  <c r="AJ79" i="41"/>
  <c r="AJ78" i="41"/>
  <c r="AJ77" i="41"/>
  <c r="AJ76" i="41"/>
  <c r="AJ75" i="41"/>
  <c r="AJ74" i="41"/>
  <c r="AJ73" i="41"/>
  <c r="AJ72" i="41"/>
  <c r="AJ71" i="41"/>
  <c r="AJ70" i="41"/>
  <c r="AJ69" i="41"/>
  <c r="AJ68" i="41"/>
  <c r="AJ67" i="41"/>
  <c r="AJ66" i="41"/>
  <c r="AJ65" i="41"/>
  <c r="AJ64" i="41"/>
  <c r="AJ63" i="41"/>
  <c r="AJ62" i="41"/>
  <c r="AJ61" i="41"/>
  <c r="AJ60" i="41"/>
  <c r="AJ59" i="41"/>
  <c r="AJ58" i="41"/>
  <c r="AJ57" i="41"/>
  <c r="AJ56" i="41"/>
  <c r="AJ55" i="41"/>
  <c r="AJ54" i="41"/>
  <c r="AJ53" i="41"/>
  <c r="AJ52" i="41"/>
  <c r="AJ51" i="41"/>
  <c r="AJ50" i="41"/>
  <c r="AJ49" i="41"/>
  <c r="AJ48" i="41"/>
  <c r="AJ47" i="41"/>
  <c r="AJ46" i="41"/>
  <c r="AJ45" i="41"/>
  <c r="AJ44" i="41"/>
  <c r="AJ43" i="41"/>
  <c r="AJ42" i="41"/>
  <c r="AJ41" i="41"/>
  <c r="AJ40" i="41"/>
  <c r="AJ39" i="41"/>
  <c r="AJ38" i="41"/>
  <c r="AJ37" i="41"/>
  <c r="AJ36" i="41"/>
  <c r="AJ35" i="41"/>
  <c r="AJ34" i="41"/>
  <c r="AJ33" i="41"/>
  <c r="AJ32" i="41"/>
  <c r="AJ31" i="41"/>
  <c r="AJ30" i="41"/>
  <c r="AJ29" i="41"/>
  <c r="AJ28" i="41"/>
  <c r="AJ27" i="41"/>
  <c r="AJ26" i="41"/>
  <c r="AJ25" i="41"/>
  <c r="AJ24" i="41"/>
  <c r="AJ23" i="41"/>
  <c r="AJ22" i="41"/>
  <c r="AJ21" i="41"/>
  <c r="AJ20" i="41"/>
  <c r="AJ19" i="41"/>
  <c r="AJ18" i="41"/>
  <c r="AJ17" i="41"/>
  <c r="AJ16" i="41"/>
  <c r="AJ15" i="41"/>
  <c r="AJ14" i="41"/>
  <c r="AJ13" i="41"/>
  <c r="AJ12" i="41"/>
  <c r="AJ11" i="41"/>
  <c r="AJ10" i="41"/>
  <c r="AJ9" i="41"/>
  <c r="AJ8" i="41"/>
  <c r="AJ7" i="41"/>
  <c r="AJ6" i="41"/>
  <c r="AJ5" i="41"/>
  <c r="AJ4" i="41"/>
  <c r="J17" i="43" l="1"/>
  <c r="R7" i="43"/>
  <c r="R11" i="43"/>
  <c r="R14" i="43"/>
  <c r="R15" i="43"/>
  <c r="R9" i="43"/>
  <c r="R8" i="43"/>
  <c r="R12" i="43"/>
  <c r="P23" i="43"/>
  <c r="M2" i="43" s="1"/>
  <c r="R10" i="43"/>
  <c r="R5" i="43"/>
  <c r="R4" i="43"/>
  <c r="R6" i="43"/>
  <c r="S24" i="42"/>
  <c r="AM5" i="41"/>
  <c r="AM8" i="41" s="1"/>
  <c r="I9" i="42"/>
  <c r="D51" i="42"/>
  <c r="AM35" i="41"/>
  <c r="AM38" i="41" s="1"/>
  <c r="D23" i="42"/>
  <c r="D39" i="42"/>
  <c r="J33" i="42"/>
  <c r="Y34" i="42"/>
  <c r="D27" i="42"/>
  <c r="G36" i="42"/>
  <c r="M24" i="42"/>
  <c r="D31" i="42"/>
  <c r="D47" i="42"/>
  <c r="J25" i="42"/>
  <c r="M28" i="42"/>
  <c r="V25" i="42"/>
  <c r="G27" i="42"/>
  <c r="P36" i="42"/>
  <c r="Y31" i="42"/>
  <c r="D43" i="42"/>
  <c r="D35" i="42"/>
  <c r="G23" i="42"/>
  <c r="J29" i="42"/>
  <c r="P25" i="42"/>
  <c r="Y23" i="42"/>
  <c r="Y24" i="42"/>
  <c r="D28" i="42"/>
  <c r="D36" i="42"/>
  <c r="D44" i="42"/>
  <c r="G24" i="42"/>
  <c r="G37" i="42"/>
  <c r="J30" i="42"/>
  <c r="M25" i="42"/>
  <c r="P37" i="42"/>
  <c r="V29" i="42"/>
  <c r="Y32" i="42"/>
  <c r="D25" i="42"/>
  <c r="D29" i="42"/>
  <c r="D33" i="42"/>
  <c r="D37" i="42"/>
  <c r="D41" i="42"/>
  <c r="D45" i="42"/>
  <c r="D49" i="42"/>
  <c r="G25" i="42"/>
  <c r="G34" i="42"/>
  <c r="J23" i="42"/>
  <c r="J27" i="42"/>
  <c r="J31" i="42"/>
  <c r="J35" i="42"/>
  <c r="M26" i="42"/>
  <c r="P23" i="42"/>
  <c r="P27" i="42"/>
  <c r="P38" i="42"/>
  <c r="V23" i="42"/>
  <c r="V30" i="42"/>
  <c r="Y29" i="42"/>
  <c r="Y33" i="42"/>
  <c r="D24" i="42"/>
  <c r="D32" i="42"/>
  <c r="D40" i="42"/>
  <c r="D48" i="42"/>
  <c r="G33" i="42"/>
  <c r="J26" i="42"/>
  <c r="J34" i="42"/>
  <c r="P26" i="42"/>
  <c r="S25" i="42"/>
  <c r="D26" i="42"/>
  <c r="D30" i="42"/>
  <c r="D34" i="42"/>
  <c r="D38" i="42"/>
  <c r="D42" i="42"/>
  <c r="D46" i="42"/>
  <c r="D50" i="42"/>
  <c r="G26" i="42"/>
  <c r="G35" i="42"/>
  <c r="J24" i="42"/>
  <c r="J28" i="42"/>
  <c r="J32" i="42"/>
  <c r="M23" i="42"/>
  <c r="M27" i="42"/>
  <c r="P24" i="42"/>
  <c r="P32" i="42"/>
  <c r="P33" i="42" s="1"/>
  <c r="P9" i="42" s="1"/>
  <c r="S23" i="42"/>
  <c r="V24" i="42"/>
  <c r="V31" i="42"/>
  <c r="Y30" i="42"/>
  <c r="C81" i="42"/>
  <c r="AO36" i="39"/>
  <c r="AM34" i="39"/>
  <c r="AM33" i="39"/>
  <c r="AM32" i="39"/>
  <c r="AM31" i="39"/>
  <c r="AM30" i="39"/>
  <c r="AM29" i="39"/>
  <c r="AM28" i="39"/>
  <c r="AM27" i="39"/>
  <c r="AM26" i="39"/>
  <c r="AM25" i="39"/>
  <c r="AM24" i="39"/>
  <c r="AM23" i="39"/>
  <c r="AM22" i="39"/>
  <c r="AM21" i="39"/>
  <c r="AM20" i="39"/>
  <c r="AM19" i="39"/>
  <c r="AM18" i="39"/>
  <c r="AM17" i="39"/>
  <c r="AM16" i="39"/>
  <c r="AM15" i="39"/>
  <c r="AM14" i="39"/>
  <c r="AM13" i="39"/>
  <c r="AM12" i="39"/>
  <c r="AM11" i="39"/>
  <c r="AM10" i="39"/>
  <c r="AB29" i="43" l="1"/>
  <c r="L2" i="43"/>
  <c r="AM35" i="39"/>
  <c r="AM37" i="39" s="1"/>
  <c r="U14" i="43"/>
  <c r="T9" i="43"/>
  <c r="T6" i="43"/>
  <c r="T15" i="43"/>
  <c r="U9" i="43"/>
  <c r="T10" i="43"/>
  <c r="U8" i="43"/>
  <c r="T5" i="43"/>
  <c r="U4" i="43"/>
  <c r="U6" i="43"/>
  <c r="T11" i="43"/>
  <c r="U13" i="43"/>
  <c r="T7" i="43"/>
  <c r="U7" i="43"/>
  <c r="U12" i="43"/>
  <c r="U10" i="43"/>
  <c r="T13" i="43"/>
  <c r="U15" i="43"/>
  <c r="T4" i="43"/>
  <c r="U11" i="43"/>
  <c r="T12" i="43"/>
  <c r="T14" i="43"/>
  <c r="T8" i="43"/>
  <c r="U5" i="43"/>
  <c r="D52" i="42"/>
  <c r="P4" i="42" s="1"/>
  <c r="Y25" i="42"/>
  <c r="J15" i="42" s="1"/>
  <c r="V32" i="42"/>
  <c r="P13" i="42" s="1"/>
  <c r="P39" i="42"/>
  <c r="P10" i="42" s="1"/>
  <c r="S26" i="42"/>
  <c r="P11" i="42" s="1"/>
  <c r="P28" i="42"/>
  <c r="P8" i="42" s="1"/>
  <c r="Y35" i="42"/>
  <c r="P15" i="42" s="1"/>
  <c r="V26" i="42"/>
  <c r="J36" i="42"/>
  <c r="P6" i="42" s="1"/>
  <c r="G38" i="42"/>
  <c r="M29" i="42"/>
  <c r="AM7" i="39"/>
  <c r="AM6" i="39"/>
  <c r="AM4" i="39"/>
  <c r="AM3" i="39"/>
  <c r="I7" i="40"/>
  <c r="I6" i="40"/>
  <c r="I5" i="40"/>
  <c r="I4" i="40"/>
  <c r="E17" i="40"/>
  <c r="AM5" i="39" l="1"/>
  <c r="AM8" i="39" s="1"/>
  <c r="J12" i="42"/>
  <c r="U23" i="43"/>
  <c r="J13" i="42"/>
  <c r="J14" i="42"/>
  <c r="P14" i="42"/>
  <c r="P5" i="42"/>
  <c r="J16" i="42"/>
  <c r="P12" i="42"/>
  <c r="P7" i="42"/>
  <c r="C55" i="40"/>
  <c r="C56" i="40"/>
  <c r="C57" i="40"/>
  <c r="C58" i="40"/>
  <c r="C59" i="40"/>
  <c r="C60" i="40"/>
  <c r="C61" i="40"/>
  <c r="C62" i="40"/>
  <c r="C63" i="40"/>
  <c r="C64" i="40"/>
  <c r="C65" i="40"/>
  <c r="C66" i="40"/>
  <c r="C67" i="40"/>
  <c r="C68" i="40"/>
  <c r="C69" i="40"/>
  <c r="C70" i="40"/>
  <c r="C71" i="40"/>
  <c r="C72" i="40"/>
  <c r="C73" i="40"/>
  <c r="C74" i="40"/>
  <c r="C75" i="40"/>
  <c r="C76" i="40"/>
  <c r="C77" i="40"/>
  <c r="C78" i="40"/>
  <c r="C79" i="40"/>
  <c r="AJ3" i="39"/>
  <c r="D17" i="40"/>
  <c r="E14" i="40"/>
  <c r="D14" i="40"/>
  <c r="E11" i="40"/>
  <c r="D11" i="40"/>
  <c r="AJ99" i="39"/>
  <c r="AJ98" i="39"/>
  <c r="AJ97" i="39"/>
  <c r="AJ96" i="39"/>
  <c r="AJ95" i="39"/>
  <c r="AJ94" i="39"/>
  <c r="AJ93" i="39"/>
  <c r="AJ92" i="39"/>
  <c r="AJ91" i="39"/>
  <c r="AJ90" i="39"/>
  <c r="AJ89" i="39"/>
  <c r="AJ88" i="39"/>
  <c r="AJ87" i="39"/>
  <c r="AJ86" i="39"/>
  <c r="AJ85" i="39"/>
  <c r="AJ84" i="39"/>
  <c r="AJ83" i="39"/>
  <c r="AJ82" i="39"/>
  <c r="AJ81" i="39"/>
  <c r="AJ80" i="39"/>
  <c r="AJ79" i="39"/>
  <c r="AJ78" i="39"/>
  <c r="AJ77" i="39"/>
  <c r="AJ76" i="39"/>
  <c r="AJ75" i="39"/>
  <c r="AJ74" i="39"/>
  <c r="AJ73" i="39"/>
  <c r="AJ72" i="39"/>
  <c r="AJ71" i="39"/>
  <c r="AJ70" i="39"/>
  <c r="AJ69" i="39"/>
  <c r="AJ68" i="39"/>
  <c r="AJ67" i="39"/>
  <c r="AJ66" i="39"/>
  <c r="AJ65" i="39"/>
  <c r="AJ64" i="39"/>
  <c r="AJ63" i="39"/>
  <c r="AJ62" i="39"/>
  <c r="AJ61" i="39"/>
  <c r="AJ60" i="39"/>
  <c r="AJ59" i="39"/>
  <c r="AJ58" i="39"/>
  <c r="AJ57" i="39"/>
  <c r="AJ56" i="39"/>
  <c r="AJ55" i="39"/>
  <c r="AJ54" i="39"/>
  <c r="AJ53" i="39"/>
  <c r="AJ52" i="39"/>
  <c r="AJ51" i="39"/>
  <c r="AJ50" i="39"/>
  <c r="AJ49" i="39"/>
  <c r="AJ48" i="39"/>
  <c r="AJ47" i="39"/>
  <c r="AJ46" i="39"/>
  <c r="AJ45" i="39"/>
  <c r="AJ44" i="39"/>
  <c r="AJ43" i="39"/>
  <c r="AJ42" i="39"/>
  <c r="AJ41" i="39"/>
  <c r="AJ40" i="39"/>
  <c r="AJ39" i="39"/>
  <c r="AJ38" i="39"/>
  <c r="AJ37" i="39"/>
  <c r="AJ36" i="39"/>
  <c r="AJ35" i="39"/>
  <c r="AJ34" i="39"/>
  <c r="AJ33" i="39"/>
  <c r="AJ32" i="39"/>
  <c r="AJ31" i="39"/>
  <c r="AJ30" i="39"/>
  <c r="AJ29" i="39"/>
  <c r="AJ28" i="39"/>
  <c r="AJ27" i="39"/>
  <c r="AJ26" i="39"/>
  <c r="AJ25" i="39"/>
  <c r="AJ24" i="39"/>
  <c r="AJ23" i="39"/>
  <c r="AJ22" i="39"/>
  <c r="AJ21" i="39"/>
  <c r="AJ20" i="39"/>
  <c r="AJ19" i="39"/>
  <c r="AJ18" i="39"/>
  <c r="AJ17" i="39"/>
  <c r="AJ16" i="39"/>
  <c r="AJ15" i="39"/>
  <c r="AJ14" i="39"/>
  <c r="AJ13" i="39"/>
  <c r="AJ12" i="39"/>
  <c r="AJ11" i="39"/>
  <c r="AJ10" i="39"/>
  <c r="AJ9" i="39"/>
  <c r="AJ8" i="39"/>
  <c r="AJ7" i="39"/>
  <c r="AJ6" i="39"/>
  <c r="AJ5" i="39"/>
  <c r="AJ4" i="39"/>
  <c r="C80" i="40" l="1"/>
  <c r="P37" i="40"/>
  <c r="V28" i="40"/>
  <c r="P23" i="40"/>
  <c r="J30" i="40"/>
  <c r="G33" i="40"/>
  <c r="D45" i="40"/>
  <c r="D33" i="40"/>
  <c r="D41" i="40"/>
  <c r="J24" i="40"/>
  <c r="D38" i="40"/>
  <c r="G36" i="40"/>
  <c r="P36" i="40"/>
  <c r="V24" i="40"/>
  <c r="P22" i="40"/>
  <c r="J29" i="40"/>
  <c r="G32" i="40"/>
  <c r="D44" i="40"/>
  <c r="D32" i="40"/>
  <c r="J25" i="40"/>
  <c r="G22" i="40"/>
  <c r="J22" i="40"/>
  <c r="D24" i="40"/>
  <c r="P24" i="40"/>
  <c r="P35" i="40"/>
  <c r="S24" i="40"/>
  <c r="M27" i="40"/>
  <c r="J28" i="40"/>
  <c r="G26" i="40"/>
  <c r="D43" i="40"/>
  <c r="D31" i="40"/>
  <c r="D30" i="40"/>
  <c r="D28" i="40"/>
  <c r="J23" i="40"/>
  <c r="Y29" i="40"/>
  <c r="Y33" i="40"/>
  <c r="Y23" i="40"/>
  <c r="M26" i="40"/>
  <c r="J27" i="40"/>
  <c r="G25" i="40"/>
  <c r="D42" i="40"/>
  <c r="G23" i="40"/>
  <c r="D27" i="40"/>
  <c r="D37" i="40"/>
  <c r="D47" i="40"/>
  <c r="D34" i="40"/>
  <c r="Y32" i="40"/>
  <c r="V23" i="40"/>
  <c r="M25" i="40"/>
  <c r="J26" i="40"/>
  <c r="G24" i="40"/>
  <c r="D29" i="40"/>
  <c r="M23" i="40"/>
  <c r="D26" i="40"/>
  <c r="D48" i="40"/>
  <c r="Y31" i="40"/>
  <c r="S23" i="40"/>
  <c r="M24" i="40"/>
  <c r="D40" i="40"/>
  <c r="D50" i="40"/>
  <c r="P26" i="40"/>
  <c r="P31" i="40"/>
  <c r="P32" i="40" s="1"/>
  <c r="P9" i="40" s="1"/>
  <c r="Y22" i="40"/>
  <c r="D39" i="40"/>
  <c r="J34" i="40"/>
  <c r="D36" i="40"/>
  <c r="Y28" i="40"/>
  <c r="Y30" i="40"/>
  <c r="V22" i="40"/>
  <c r="M22" i="40"/>
  <c r="D49" i="40"/>
  <c r="D23" i="40"/>
  <c r="G34" i="40"/>
  <c r="V30" i="40"/>
  <c r="S22" i="40"/>
  <c r="D25" i="40"/>
  <c r="D35" i="40"/>
  <c r="D46" i="40"/>
  <c r="J33" i="40"/>
  <c r="V29" i="40"/>
  <c r="V31" i="40" s="1"/>
  <c r="P13" i="40" s="1"/>
  <c r="P25" i="40"/>
  <c r="P27" i="40" s="1"/>
  <c r="P8" i="40" s="1"/>
  <c r="J32" i="40"/>
  <c r="G35" i="40"/>
  <c r="J31" i="40"/>
  <c r="J35" i="40" s="1"/>
  <c r="P6" i="40" s="1"/>
  <c r="D22" i="40"/>
  <c r="R6" i="42"/>
  <c r="J17" i="42"/>
  <c r="AB26" i="42" s="1"/>
  <c r="R4" i="42"/>
  <c r="U7" i="42" s="1"/>
  <c r="R12" i="42"/>
  <c r="R14" i="42"/>
  <c r="R10" i="42"/>
  <c r="R8" i="42"/>
  <c r="R11" i="42"/>
  <c r="R5" i="42"/>
  <c r="R7" i="42"/>
  <c r="R15" i="42"/>
  <c r="R9" i="42"/>
  <c r="R13" i="42"/>
  <c r="P20" i="42"/>
  <c r="M2" i="42" s="1"/>
  <c r="S25" i="40"/>
  <c r="P11" i="40" s="1"/>
  <c r="V25" i="40"/>
  <c r="Y34" i="40"/>
  <c r="J14" i="40" s="1"/>
  <c r="D51" i="40"/>
  <c r="P4" i="40" s="1"/>
  <c r="I8" i="40"/>
  <c r="M28" i="40"/>
  <c r="P38" i="40"/>
  <c r="P10" i="40" s="1"/>
  <c r="Y24" i="40"/>
  <c r="P14" i="40" s="1"/>
  <c r="G37" i="40" l="1"/>
  <c r="J10" i="40" s="1"/>
  <c r="J11" i="40"/>
  <c r="T7" i="42"/>
  <c r="L2" i="42"/>
  <c r="T13" i="42"/>
  <c r="T15" i="42"/>
  <c r="U11" i="42"/>
  <c r="U4" i="42"/>
  <c r="T14" i="42"/>
  <c r="T8" i="42"/>
  <c r="T12" i="42"/>
  <c r="U10" i="42"/>
  <c r="U15" i="42"/>
  <c r="U13" i="42"/>
  <c r="T5" i="42"/>
  <c r="U12" i="42"/>
  <c r="T10" i="42"/>
  <c r="U5" i="42"/>
  <c r="U9" i="42"/>
  <c r="T6" i="42"/>
  <c r="U6" i="42"/>
  <c r="U8" i="42"/>
  <c r="U14" i="42"/>
  <c r="T11" i="42"/>
  <c r="T9" i="42"/>
  <c r="T4" i="42"/>
  <c r="P12" i="40"/>
  <c r="J12" i="40"/>
  <c r="P15" i="40"/>
  <c r="J13" i="40"/>
  <c r="P7" i="40"/>
  <c r="P5" i="40" l="1"/>
  <c r="R14" i="40" s="1"/>
  <c r="J15" i="40"/>
  <c r="L2" i="40" s="1"/>
  <c r="U20" i="42"/>
  <c r="R8" i="40" l="1"/>
  <c r="R10" i="40"/>
  <c r="R6" i="40"/>
  <c r="R5" i="40"/>
  <c r="P19" i="40"/>
  <c r="M2" i="40" s="1"/>
  <c r="R15" i="40"/>
  <c r="R11" i="40"/>
  <c r="R4" i="40"/>
  <c r="R13" i="40"/>
  <c r="R9" i="40"/>
  <c r="R12" i="40"/>
  <c r="R7" i="40"/>
  <c r="U3" i="36"/>
  <c r="U5" i="40" l="1"/>
  <c r="T13" i="40"/>
  <c r="U7" i="40"/>
  <c r="U12" i="40"/>
  <c r="T9" i="40"/>
  <c r="T11" i="40"/>
  <c r="U6" i="40"/>
  <c r="T5" i="40"/>
  <c r="U13" i="40"/>
  <c r="U14" i="40"/>
  <c r="U9" i="40"/>
  <c r="U11" i="40"/>
  <c r="T15" i="40"/>
  <c r="U4" i="40"/>
  <c r="T10" i="40"/>
  <c r="U15" i="40"/>
  <c r="T6" i="40"/>
  <c r="U10" i="40"/>
  <c r="T14" i="40"/>
  <c r="T12" i="40"/>
  <c r="U8" i="40"/>
  <c r="T4" i="40"/>
  <c r="T7" i="40"/>
  <c r="T8" i="40"/>
  <c r="C77" i="37"/>
  <c r="C76" i="37"/>
  <c r="C75" i="37"/>
  <c r="C74" i="37"/>
  <c r="C73" i="37"/>
  <c r="C72" i="37"/>
  <c r="C71" i="37"/>
  <c r="C70" i="37"/>
  <c r="C69" i="37"/>
  <c r="C68" i="37"/>
  <c r="C67" i="37"/>
  <c r="C66" i="37"/>
  <c r="C64" i="37"/>
  <c r="C63" i="37"/>
  <c r="C62" i="37"/>
  <c r="C61" i="37"/>
  <c r="C60" i="37"/>
  <c r="C59" i="37"/>
  <c r="C58" i="37"/>
  <c r="C57" i="37"/>
  <c r="C56" i="37"/>
  <c r="C55" i="37"/>
  <c r="C54" i="37"/>
  <c r="C65" i="37"/>
  <c r="C53" i="37"/>
  <c r="C78" i="37" s="1"/>
  <c r="U19" i="40" l="1"/>
  <c r="I7" i="37"/>
  <c r="I6" i="37"/>
  <c r="I5" i="37"/>
  <c r="I4" i="37"/>
  <c r="E14" i="37"/>
  <c r="D14" i="37"/>
  <c r="E11" i="37"/>
  <c r="D11" i="37"/>
  <c r="I8" i="37" l="1"/>
  <c r="P3" i="12"/>
  <c r="P4" i="12"/>
  <c r="R6" i="25" l="1"/>
  <c r="R3" i="25"/>
  <c r="R2" i="25"/>
  <c r="R4" i="25" s="1"/>
  <c r="X6" i="36"/>
  <c r="G496" i="8"/>
  <c r="G483" i="8"/>
  <c r="G451" i="8"/>
  <c r="G398" i="8"/>
  <c r="G393" i="8"/>
  <c r="G349" i="8"/>
  <c r="G342" i="8"/>
  <c r="G336" i="8"/>
  <c r="G322" i="8"/>
  <c r="G309" i="8"/>
  <c r="G307" i="8"/>
  <c r="G304" i="8"/>
  <c r="G302" i="8"/>
  <c r="G300" i="8"/>
  <c r="G298" i="8"/>
  <c r="G286" i="8"/>
  <c r="G173" i="8"/>
  <c r="G125" i="8"/>
  <c r="G117" i="8"/>
  <c r="G65" i="8"/>
  <c r="G32" i="8"/>
  <c r="G30" i="8"/>
  <c r="G24" i="8"/>
  <c r="F886" i="8"/>
  <c r="E895" i="8"/>
  <c r="E894" i="8"/>
  <c r="U175" i="36"/>
  <c r="U174" i="36"/>
  <c r="U173" i="36"/>
  <c r="U172" i="36"/>
  <c r="U171" i="36"/>
  <c r="U170" i="36"/>
  <c r="U169" i="36"/>
  <c r="U168" i="36"/>
  <c r="U167" i="36"/>
  <c r="U166" i="36"/>
  <c r="U165" i="36"/>
  <c r="U164" i="36"/>
  <c r="U163" i="36"/>
  <c r="U162" i="36"/>
  <c r="U161" i="36"/>
  <c r="U160" i="36"/>
  <c r="U159" i="36"/>
  <c r="U158" i="36"/>
  <c r="U157" i="36"/>
  <c r="U156" i="36"/>
  <c r="U155" i="36"/>
  <c r="U154" i="36"/>
  <c r="U153" i="36"/>
  <c r="U152" i="36"/>
  <c r="U151" i="36"/>
  <c r="U150" i="36"/>
  <c r="U149" i="36"/>
  <c r="U148" i="36"/>
  <c r="U147" i="36"/>
  <c r="U146" i="36"/>
  <c r="U145" i="36"/>
  <c r="U144" i="36"/>
  <c r="U143" i="36"/>
  <c r="U142" i="36"/>
  <c r="U141" i="36"/>
  <c r="U140" i="36"/>
  <c r="U139" i="36"/>
  <c r="U138" i="36"/>
  <c r="U137" i="36"/>
  <c r="U136" i="36"/>
  <c r="U135" i="36"/>
  <c r="U134" i="36"/>
  <c r="U133" i="36"/>
  <c r="U132" i="36"/>
  <c r="U131" i="36"/>
  <c r="U130" i="36"/>
  <c r="U129" i="36"/>
  <c r="U128" i="36"/>
  <c r="U127" i="36"/>
  <c r="U126" i="36"/>
  <c r="U125" i="36"/>
  <c r="U124" i="36"/>
  <c r="U123" i="36"/>
  <c r="U122" i="36"/>
  <c r="U121" i="36"/>
  <c r="U120" i="36"/>
  <c r="U119" i="36"/>
  <c r="U118" i="36"/>
  <c r="U117" i="36"/>
  <c r="U116" i="36"/>
  <c r="U115" i="36"/>
  <c r="U114" i="36"/>
  <c r="U113" i="36"/>
  <c r="U112" i="36"/>
  <c r="U111" i="36"/>
  <c r="U110" i="36"/>
  <c r="U109" i="36"/>
  <c r="U108" i="36"/>
  <c r="U107" i="36"/>
  <c r="U106" i="36"/>
  <c r="U105" i="36"/>
  <c r="U104" i="36"/>
  <c r="U103" i="36"/>
  <c r="U102" i="36"/>
  <c r="U101" i="36"/>
  <c r="U100" i="36"/>
  <c r="U99" i="36"/>
  <c r="U98" i="36"/>
  <c r="U97" i="36"/>
  <c r="U96" i="36"/>
  <c r="U95" i="36"/>
  <c r="U94" i="36"/>
  <c r="U93" i="36"/>
  <c r="U92" i="36"/>
  <c r="U91" i="36"/>
  <c r="U90" i="36"/>
  <c r="U89" i="36"/>
  <c r="U88" i="36"/>
  <c r="U87" i="36"/>
  <c r="U86" i="36"/>
  <c r="U85" i="36"/>
  <c r="U84" i="36"/>
  <c r="U83" i="36"/>
  <c r="U82" i="36"/>
  <c r="U81" i="36"/>
  <c r="U80" i="36"/>
  <c r="U79" i="36"/>
  <c r="U78" i="36"/>
  <c r="U77" i="36"/>
  <c r="U76" i="36"/>
  <c r="U75" i="36"/>
  <c r="U74" i="36"/>
  <c r="U73" i="36"/>
  <c r="U72" i="36"/>
  <c r="U71" i="36"/>
  <c r="U70" i="36"/>
  <c r="U69" i="36"/>
  <c r="U68" i="36"/>
  <c r="U67" i="36"/>
  <c r="U66" i="36"/>
  <c r="U65" i="36"/>
  <c r="U64" i="36"/>
  <c r="U63" i="36"/>
  <c r="U62" i="36"/>
  <c r="U61" i="36"/>
  <c r="U60" i="36"/>
  <c r="U59" i="36"/>
  <c r="U58" i="36"/>
  <c r="U57" i="36"/>
  <c r="U56" i="36"/>
  <c r="U55" i="36"/>
  <c r="U54" i="36"/>
  <c r="U53" i="36"/>
  <c r="U52" i="36"/>
  <c r="U51" i="36"/>
  <c r="U50" i="36"/>
  <c r="U49" i="36"/>
  <c r="U48" i="36"/>
  <c r="U47" i="36"/>
  <c r="U46" i="36"/>
  <c r="U45" i="36"/>
  <c r="U44" i="36"/>
  <c r="U43" i="36"/>
  <c r="U42" i="36"/>
  <c r="U41" i="36"/>
  <c r="U40" i="36"/>
  <c r="U39" i="36"/>
  <c r="U38" i="36"/>
  <c r="U37" i="36"/>
  <c r="U36" i="36"/>
  <c r="U35" i="36"/>
  <c r="U34" i="36"/>
  <c r="U33" i="36"/>
  <c r="U32" i="36"/>
  <c r="U31" i="36"/>
  <c r="U30" i="36"/>
  <c r="U29" i="36"/>
  <c r="U28" i="36"/>
  <c r="U27" i="36"/>
  <c r="U26" i="36"/>
  <c r="U25" i="36"/>
  <c r="U24" i="36"/>
  <c r="U23" i="36"/>
  <c r="U22" i="36"/>
  <c r="U21" i="36"/>
  <c r="U20" i="36"/>
  <c r="U19" i="36"/>
  <c r="U18" i="36"/>
  <c r="U17" i="36"/>
  <c r="U16" i="36"/>
  <c r="U15" i="36"/>
  <c r="U14" i="36"/>
  <c r="U13" i="36"/>
  <c r="U12" i="36"/>
  <c r="U11" i="36"/>
  <c r="U10" i="36"/>
  <c r="U9" i="36"/>
  <c r="U8" i="36"/>
  <c r="U7" i="36"/>
  <c r="U6" i="36"/>
  <c r="U5" i="36"/>
  <c r="U4" i="36"/>
  <c r="X7" i="36"/>
  <c r="X4" i="36"/>
  <c r="X3" i="36"/>
  <c r="K362" i="36"/>
  <c r="M361" i="36"/>
  <c r="M360" i="36"/>
  <c r="M359" i="36"/>
  <c r="M358" i="36"/>
  <c r="M357" i="36"/>
  <c r="M356" i="36"/>
  <c r="M355" i="36"/>
  <c r="M354" i="36"/>
  <c r="M353" i="36"/>
  <c r="M352" i="36"/>
  <c r="M351" i="36"/>
  <c r="M350" i="36"/>
  <c r="M349" i="36"/>
  <c r="M348" i="36"/>
  <c r="M347" i="36"/>
  <c r="M346" i="36"/>
  <c r="M345" i="36"/>
  <c r="M344" i="36"/>
  <c r="M343" i="36"/>
  <c r="M342" i="36"/>
  <c r="M341" i="36"/>
  <c r="M340" i="36"/>
  <c r="M339" i="36"/>
  <c r="M338" i="36"/>
  <c r="M337" i="36"/>
  <c r="M336" i="36"/>
  <c r="M335" i="36"/>
  <c r="M334" i="36"/>
  <c r="M333" i="36"/>
  <c r="M332" i="36"/>
  <c r="M331" i="36"/>
  <c r="M330" i="36"/>
  <c r="M329" i="36"/>
  <c r="M328" i="36"/>
  <c r="M327" i="36"/>
  <c r="M326" i="36"/>
  <c r="M325" i="36"/>
  <c r="M324" i="36"/>
  <c r="M323" i="36"/>
  <c r="M322" i="36"/>
  <c r="M321" i="36"/>
  <c r="M320" i="36"/>
  <c r="M319" i="36"/>
  <c r="M318" i="36"/>
  <c r="M317" i="36"/>
  <c r="M316" i="36"/>
  <c r="M315" i="36"/>
  <c r="M314" i="36"/>
  <c r="M313" i="36"/>
  <c r="M312" i="36"/>
  <c r="M311" i="36"/>
  <c r="M310" i="36"/>
  <c r="M309" i="36"/>
  <c r="M308" i="36"/>
  <c r="M307" i="36"/>
  <c r="M306" i="36"/>
  <c r="M305" i="36"/>
  <c r="M304" i="36"/>
  <c r="M303" i="36"/>
  <c r="M302" i="36"/>
  <c r="M301" i="36"/>
  <c r="M300" i="36"/>
  <c r="M299" i="36"/>
  <c r="M298" i="36"/>
  <c r="M297" i="36"/>
  <c r="M296" i="36"/>
  <c r="M295" i="36"/>
  <c r="M294" i="36"/>
  <c r="M293" i="36"/>
  <c r="M292" i="36"/>
  <c r="M291" i="36"/>
  <c r="M290" i="36"/>
  <c r="M289" i="36"/>
  <c r="M288" i="36"/>
  <c r="M287" i="36"/>
  <c r="M286" i="36"/>
  <c r="M285" i="36"/>
  <c r="M284" i="36"/>
  <c r="M283" i="36"/>
  <c r="M282" i="36"/>
  <c r="M281" i="36"/>
  <c r="M280" i="36"/>
  <c r="M279" i="36"/>
  <c r="M278" i="36"/>
  <c r="M277" i="36"/>
  <c r="M276" i="36"/>
  <c r="M275" i="36"/>
  <c r="M274" i="36"/>
  <c r="M273" i="36"/>
  <c r="M272" i="36"/>
  <c r="M271" i="36"/>
  <c r="M270" i="36"/>
  <c r="M269" i="36"/>
  <c r="M268" i="36"/>
  <c r="M267" i="36"/>
  <c r="M266" i="36"/>
  <c r="M265" i="36"/>
  <c r="M264" i="36"/>
  <c r="M263" i="36"/>
  <c r="M262" i="36"/>
  <c r="M261" i="36"/>
  <c r="M260" i="36"/>
  <c r="M259" i="36"/>
  <c r="M258" i="36"/>
  <c r="M257" i="36"/>
  <c r="M256" i="36"/>
  <c r="M255" i="36"/>
  <c r="M254" i="36"/>
  <c r="M253" i="36"/>
  <c r="M252" i="36"/>
  <c r="E896" i="8" l="1"/>
  <c r="Y31" i="37"/>
  <c r="V22" i="37"/>
  <c r="S22" i="37"/>
  <c r="P20" i="37"/>
  <c r="J31" i="37"/>
  <c r="J23" i="37"/>
  <c r="G30" i="37"/>
  <c r="D46" i="37"/>
  <c r="D38" i="37"/>
  <c r="D30" i="37"/>
  <c r="D22" i="37"/>
  <c r="Y27" i="37"/>
  <c r="P34" i="37"/>
  <c r="P24" i="37"/>
  <c r="M22" i="37"/>
  <c r="J27" i="37"/>
  <c r="G34" i="37"/>
  <c r="G21" i="37"/>
  <c r="D42" i="37"/>
  <c r="D34" i="37"/>
  <c r="D26" i="37"/>
  <c r="Y30" i="37"/>
  <c r="D47" i="37"/>
  <c r="P21" i="37"/>
  <c r="D24" i="37"/>
  <c r="D40" i="37"/>
  <c r="G32" i="37"/>
  <c r="M20" i="37"/>
  <c r="P29" i="37"/>
  <c r="P30" i="37" s="1"/>
  <c r="P9" i="37" s="1"/>
  <c r="Y29" i="37"/>
  <c r="G22" i="37"/>
  <c r="V26" i="37"/>
  <c r="D29" i="37"/>
  <c r="D45" i="37"/>
  <c r="J22" i="37"/>
  <c r="M25" i="37"/>
  <c r="V21" i="37"/>
  <c r="D23" i="37"/>
  <c r="G31" i="37"/>
  <c r="P35" i="37"/>
  <c r="D28" i="37"/>
  <c r="D44" i="37"/>
  <c r="J21" i="37"/>
  <c r="M24" i="37"/>
  <c r="V20" i="37"/>
  <c r="J20" i="37"/>
  <c r="D33" i="37"/>
  <c r="J26" i="37"/>
  <c r="V28" i="37"/>
  <c r="D31" i="37"/>
  <c r="J24" i="37"/>
  <c r="Y20" i="37"/>
  <c r="D32" i="37"/>
  <c r="D48" i="37"/>
  <c r="J25" i="37"/>
  <c r="P22" i="37"/>
  <c r="V27" i="37"/>
  <c r="D35" i="37"/>
  <c r="J28" i="37"/>
  <c r="D21" i="37"/>
  <c r="D37" i="37"/>
  <c r="G24" i="37"/>
  <c r="J30" i="37"/>
  <c r="S21" i="37"/>
  <c r="Y26" i="37"/>
  <c r="D39" i="37"/>
  <c r="J32" i="37"/>
  <c r="D20" i="37"/>
  <c r="D36" i="37"/>
  <c r="G23" i="37"/>
  <c r="J29" i="37"/>
  <c r="S20" i="37"/>
  <c r="Y21" i="37"/>
  <c r="D43" i="37"/>
  <c r="M23" i="37"/>
  <c r="D25" i="37"/>
  <c r="D41" i="37"/>
  <c r="G33" i="37"/>
  <c r="M21" i="37"/>
  <c r="P33" i="37"/>
  <c r="P36" i="37" s="1"/>
  <c r="P10" i="37" s="1"/>
  <c r="D27" i="37"/>
  <c r="Y28" i="37"/>
  <c r="G20" i="37"/>
  <c r="P23" i="37"/>
  <c r="X5" i="36"/>
  <c r="X8" i="36" s="1"/>
  <c r="K362" i="33"/>
  <c r="V29" i="37" l="1"/>
  <c r="P13" i="37" s="1"/>
  <c r="Y22" i="37"/>
  <c r="S23" i="37"/>
  <c r="P11" i="37" s="1"/>
  <c r="J33" i="37"/>
  <c r="P6" i="37" s="1"/>
  <c r="D49" i="37"/>
  <c r="J13" i="37"/>
  <c r="P14" i="37"/>
  <c r="M26" i="37"/>
  <c r="P25" i="37"/>
  <c r="P8" i="37" s="1"/>
  <c r="G35" i="37"/>
  <c r="P5" i="37" s="1"/>
  <c r="Y32" i="37"/>
  <c r="V23" i="37"/>
  <c r="X7" i="33"/>
  <c r="X6" i="33"/>
  <c r="X4" i="33"/>
  <c r="X3" i="33"/>
  <c r="X4" i="31"/>
  <c r="X3" i="31"/>
  <c r="X5" i="31" s="1"/>
  <c r="U149" i="33"/>
  <c r="U251" i="33"/>
  <c r="U250" i="33"/>
  <c r="U249" i="33"/>
  <c r="U248" i="33"/>
  <c r="U247" i="33"/>
  <c r="U246" i="33"/>
  <c r="U245" i="33"/>
  <c r="U244" i="33"/>
  <c r="U243" i="33"/>
  <c r="U242" i="33"/>
  <c r="U241" i="33"/>
  <c r="U240" i="33"/>
  <c r="U239" i="33"/>
  <c r="U238" i="33"/>
  <c r="U237" i="33"/>
  <c r="U236" i="33"/>
  <c r="U235" i="33"/>
  <c r="U234" i="33"/>
  <c r="U233" i="33"/>
  <c r="U232" i="33"/>
  <c r="U231" i="33"/>
  <c r="U230" i="33"/>
  <c r="U229" i="33"/>
  <c r="U228" i="33"/>
  <c r="U227" i="33"/>
  <c r="U226" i="33"/>
  <c r="U225" i="33"/>
  <c r="U224" i="33"/>
  <c r="U223" i="33"/>
  <c r="U222" i="33"/>
  <c r="U221" i="33"/>
  <c r="U220" i="33"/>
  <c r="U219" i="33"/>
  <c r="U218" i="33"/>
  <c r="U217" i="33"/>
  <c r="U216" i="33"/>
  <c r="U215" i="33"/>
  <c r="U214" i="33"/>
  <c r="U213" i="33"/>
  <c r="U212" i="33"/>
  <c r="U211" i="33"/>
  <c r="U210" i="33"/>
  <c r="U209" i="33"/>
  <c r="U208" i="33"/>
  <c r="U207" i="33"/>
  <c r="U206" i="33"/>
  <c r="U205" i="33"/>
  <c r="U204" i="33"/>
  <c r="U203" i="33"/>
  <c r="U202" i="33"/>
  <c r="U201" i="33"/>
  <c r="U200" i="33"/>
  <c r="U199" i="33"/>
  <c r="U198" i="33"/>
  <c r="U197" i="33"/>
  <c r="U196" i="33"/>
  <c r="U195" i="33"/>
  <c r="U194" i="33"/>
  <c r="U193" i="33"/>
  <c r="U192" i="33"/>
  <c r="U191" i="33"/>
  <c r="U190" i="33"/>
  <c r="U189" i="33"/>
  <c r="U188" i="33"/>
  <c r="U187" i="33"/>
  <c r="U186" i="33"/>
  <c r="U185" i="33"/>
  <c r="U184" i="33"/>
  <c r="U183" i="33"/>
  <c r="U182" i="33"/>
  <c r="U181" i="33"/>
  <c r="U180" i="33"/>
  <c r="U179" i="33"/>
  <c r="U178" i="33"/>
  <c r="U177" i="33"/>
  <c r="U176" i="33"/>
  <c r="U175" i="33"/>
  <c r="U174" i="33"/>
  <c r="U173" i="33"/>
  <c r="U172" i="33"/>
  <c r="U171" i="33"/>
  <c r="U170" i="33"/>
  <c r="U169" i="33"/>
  <c r="U168" i="33"/>
  <c r="U167" i="33"/>
  <c r="U166" i="33"/>
  <c r="U165" i="33"/>
  <c r="U164" i="33"/>
  <c r="U163" i="33"/>
  <c r="U162" i="33"/>
  <c r="U161" i="33"/>
  <c r="U160" i="33"/>
  <c r="U159" i="33"/>
  <c r="U158" i="33"/>
  <c r="U157" i="33"/>
  <c r="U156" i="33"/>
  <c r="U155" i="33"/>
  <c r="U154" i="33"/>
  <c r="U153" i="33"/>
  <c r="U152" i="33"/>
  <c r="U151" i="33"/>
  <c r="U150" i="33"/>
  <c r="U148" i="33"/>
  <c r="U147" i="33"/>
  <c r="U146" i="33"/>
  <c r="U145" i="33"/>
  <c r="U144" i="33"/>
  <c r="U143" i="33"/>
  <c r="U142" i="33"/>
  <c r="U141" i="33"/>
  <c r="U140" i="33"/>
  <c r="U139" i="33"/>
  <c r="U138" i="33"/>
  <c r="U137" i="33"/>
  <c r="U136" i="33"/>
  <c r="U135" i="33"/>
  <c r="U134" i="33"/>
  <c r="U133" i="33"/>
  <c r="U132" i="33"/>
  <c r="U131" i="33"/>
  <c r="U130" i="33"/>
  <c r="U129" i="33"/>
  <c r="U128" i="33"/>
  <c r="U127" i="33"/>
  <c r="U126" i="33"/>
  <c r="U125" i="33"/>
  <c r="U124" i="33"/>
  <c r="U123" i="33"/>
  <c r="U122" i="33"/>
  <c r="U121" i="33"/>
  <c r="U120" i="33"/>
  <c r="U119" i="33"/>
  <c r="U118" i="33"/>
  <c r="U117" i="33"/>
  <c r="U116" i="33"/>
  <c r="U115" i="33"/>
  <c r="U114" i="33"/>
  <c r="U113" i="33"/>
  <c r="U112" i="33"/>
  <c r="U111" i="33"/>
  <c r="U110" i="33"/>
  <c r="U109" i="33"/>
  <c r="U108" i="33"/>
  <c r="U10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U42" i="33"/>
  <c r="U41" i="33"/>
  <c r="U40" i="33"/>
  <c r="U39" i="33"/>
  <c r="U38" i="33"/>
  <c r="U37" i="33"/>
  <c r="U36" i="33"/>
  <c r="U35" i="33"/>
  <c r="U34" i="33"/>
  <c r="U33" i="33"/>
  <c r="U32" i="33"/>
  <c r="U31" i="33"/>
  <c r="U30" i="33"/>
  <c r="U29" i="33"/>
  <c r="U28" i="33"/>
  <c r="U27" i="33"/>
  <c r="U26" i="33"/>
  <c r="U25" i="33"/>
  <c r="U24" i="33"/>
  <c r="U23" i="33"/>
  <c r="U22" i="33"/>
  <c r="U21" i="33"/>
  <c r="U20" i="33"/>
  <c r="U19" i="33"/>
  <c r="U18" i="33"/>
  <c r="U17" i="33"/>
  <c r="U16" i="33"/>
  <c r="U15" i="33"/>
  <c r="U14" i="33"/>
  <c r="U13" i="33"/>
  <c r="U12" i="33"/>
  <c r="U11" i="33"/>
  <c r="U10" i="33"/>
  <c r="U9" i="33"/>
  <c r="U8" i="33"/>
  <c r="U7" i="33"/>
  <c r="U6" i="33"/>
  <c r="U5" i="33"/>
  <c r="U4" i="33"/>
  <c r="U3" i="33"/>
  <c r="J14" i="37" l="1"/>
  <c r="P15" i="37"/>
  <c r="P4" i="37"/>
  <c r="J10" i="37"/>
  <c r="J12" i="37"/>
  <c r="P12" i="37"/>
  <c r="J11" i="37"/>
  <c r="P7" i="37"/>
  <c r="X5" i="33"/>
  <c r="X8" i="33" s="1"/>
  <c r="D13" i="2"/>
  <c r="I7" i="34"/>
  <c r="E14" i="34"/>
  <c r="D14" i="34"/>
  <c r="E11" i="34"/>
  <c r="D11" i="34"/>
  <c r="M361" i="33"/>
  <c r="M360" i="33"/>
  <c r="M359" i="33"/>
  <c r="M358" i="33"/>
  <c r="M357" i="33"/>
  <c r="M356" i="33"/>
  <c r="M355" i="33"/>
  <c r="M354" i="33"/>
  <c r="M353" i="33"/>
  <c r="M352" i="33"/>
  <c r="M351" i="33"/>
  <c r="M350" i="33"/>
  <c r="M349" i="33"/>
  <c r="M348" i="33"/>
  <c r="M347" i="33"/>
  <c r="M346" i="33"/>
  <c r="M345" i="33"/>
  <c r="M344" i="33"/>
  <c r="M343" i="33"/>
  <c r="M342" i="33"/>
  <c r="M341" i="33"/>
  <c r="M340" i="33"/>
  <c r="M339" i="33"/>
  <c r="M338" i="33"/>
  <c r="M337" i="33"/>
  <c r="M336" i="33"/>
  <c r="M335" i="33"/>
  <c r="M334" i="33"/>
  <c r="M333" i="33"/>
  <c r="M332" i="33"/>
  <c r="M331" i="33"/>
  <c r="M330" i="33"/>
  <c r="M329" i="33"/>
  <c r="M328" i="33"/>
  <c r="M327" i="33"/>
  <c r="M326" i="33"/>
  <c r="M325" i="33"/>
  <c r="M324" i="33"/>
  <c r="M323" i="33"/>
  <c r="M322" i="33"/>
  <c r="M321" i="33"/>
  <c r="M320" i="33"/>
  <c r="M319" i="33"/>
  <c r="M318" i="33"/>
  <c r="M317" i="33"/>
  <c r="M316" i="33"/>
  <c r="M315" i="33"/>
  <c r="M314" i="33"/>
  <c r="M313" i="33"/>
  <c r="M312" i="33"/>
  <c r="M311" i="33"/>
  <c r="M310" i="33"/>
  <c r="M309" i="33"/>
  <c r="M308" i="33"/>
  <c r="M307" i="33"/>
  <c r="M306" i="33"/>
  <c r="M305" i="33"/>
  <c r="M304" i="33"/>
  <c r="M303" i="33"/>
  <c r="M302" i="33"/>
  <c r="M301" i="33"/>
  <c r="M300" i="33"/>
  <c r="M299" i="33"/>
  <c r="M298" i="33"/>
  <c r="M297" i="33"/>
  <c r="M296" i="33"/>
  <c r="M295" i="33"/>
  <c r="M294" i="33"/>
  <c r="M293" i="33"/>
  <c r="M292" i="33"/>
  <c r="M291" i="33"/>
  <c r="M290" i="33"/>
  <c r="M289" i="33"/>
  <c r="M288" i="33"/>
  <c r="M287" i="33"/>
  <c r="M286" i="33"/>
  <c r="M285" i="33"/>
  <c r="M284" i="33"/>
  <c r="M283" i="33"/>
  <c r="M282" i="33"/>
  <c r="M281" i="33"/>
  <c r="M280" i="33"/>
  <c r="M279" i="33"/>
  <c r="M278" i="33"/>
  <c r="M277" i="33"/>
  <c r="M276" i="33"/>
  <c r="M275" i="33"/>
  <c r="M274" i="33"/>
  <c r="M273" i="33"/>
  <c r="M272" i="33"/>
  <c r="M271" i="33"/>
  <c r="M270" i="33"/>
  <c r="M269" i="33"/>
  <c r="M268" i="33"/>
  <c r="M267" i="33"/>
  <c r="M266" i="33"/>
  <c r="M265" i="33"/>
  <c r="M264" i="33"/>
  <c r="M263" i="33"/>
  <c r="M262" i="33"/>
  <c r="M261" i="33"/>
  <c r="M260" i="33"/>
  <c r="M259" i="33"/>
  <c r="M258" i="33"/>
  <c r="M257" i="33"/>
  <c r="M256" i="33"/>
  <c r="M255" i="33"/>
  <c r="M254" i="33"/>
  <c r="M253" i="33"/>
  <c r="M252" i="33"/>
  <c r="M5" i="31"/>
  <c r="R14" i="37" l="1"/>
  <c r="R5" i="37"/>
  <c r="R7" i="37"/>
  <c r="J15" i="37"/>
  <c r="O1" i="37" s="1"/>
  <c r="R4" i="37"/>
  <c r="R11" i="37"/>
  <c r="P17" i="37"/>
  <c r="O2" i="37" s="1"/>
  <c r="R9" i="37"/>
  <c r="R13" i="37"/>
  <c r="R6" i="37"/>
  <c r="R10" i="37"/>
  <c r="R15" i="37"/>
  <c r="R12" i="37"/>
  <c r="R8" i="37"/>
  <c r="I4" i="34"/>
  <c r="I6" i="34"/>
  <c r="P32" i="34"/>
  <c r="D21" i="34"/>
  <c r="D25" i="34"/>
  <c r="D29" i="34"/>
  <c r="D33" i="34"/>
  <c r="D37" i="34"/>
  <c r="D41" i="34"/>
  <c r="D45" i="34"/>
  <c r="G20" i="34"/>
  <c r="G29" i="34"/>
  <c r="G33" i="34"/>
  <c r="J22" i="34"/>
  <c r="J26" i="34"/>
  <c r="J30" i="34"/>
  <c r="M21" i="34"/>
  <c r="P19" i="34"/>
  <c r="P23" i="34"/>
  <c r="S20" i="34"/>
  <c r="V21" i="34"/>
  <c r="Y26" i="34"/>
  <c r="Y28" i="34"/>
  <c r="P33" i="34"/>
  <c r="D22" i="34"/>
  <c r="D26" i="34"/>
  <c r="D30" i="34"/>
  <c r="D34" i="34"/>
  <c r="D38" i="34"/>
  <c r="D42" i="34"/>
  <c r="D46" i="34"/>
  <c r="G21" i="34"/>
  <c r="G30" i="34"/>
  <c r="J19" i="34"/>
  <c r="J23" i="34"/>
  <c r="J27" i="34"/>
  <c r="J31" i="34"/>
  <c r="M22" i="34"/>
  <c r="P20" i="34"/>
  <c r="S19" i="34"/>
  <c r="V20" i="34"/>
  <c r="V25" i="34"/>
  <c r="V27" i="34"/>
  <c r="Y29" i="34"/>
  <c r="P34" i="34"/>
  <c r="D19" i="34"/>
  <c r="D23" i="34"/>
  <c r="D27" i="34"/>
  <c r="D31" i="34"/>
  <c r="D35" i="34"/>
  <c r="D39" i="34"/>
  <c r="D43" i="34"/>
  <c r="D47" i="34"/>
  <c r="G22" i="34"/>
  <c r="G31" i="34"/>
  <c r="J20" i="34"/>
  <c r="J24" i="34"/>
  <c r="J28" i="34"/>
  <c r="M19" i="34"/>
  <c r="M23" i="34"/>
  <c r="P21" i="34"/>
  <c r="V19" i="34"/>
  <c r="Y20" i="34"/>
  <c r="Y25" i="34"/>
  <c r="Y27" i="34"/>
  <c r="Y30" i="34"/>
  <c r="D20" i="34"/>
  <c r="D24" i="34"/>
  <c r="D28" i="34"/>
  <c r="D32" i="34"/>
  <c r="D36" i="34"/>
  <c r="D40" i="34"/>
  <c r="D44" i="34"/>
  <c r="G19" i="34"/>
  <c r="G23" i="34"/>
  <c r="G32" i="34"/>
  <c r="J21" i="34"/>
  <c r="J25" i="34"/>
  <c r="J29" i="34"/>
  <c r="M20" i="34"/>
  <c r="M24" i="34"/>
  <c r="P22" i="34"/>
  <c r="Y19" i="34"/>
  <c r="S21" i="34"/>
  <c r="V26" i="34"/>
  <c r="P28" i="34"/>
  <c r="P29" i="34" s="1"/>
  <c r="P9" i="34" s="1"/>
  <c r="I5" i="34"/>
  <c r="E27" i="2"/>
  <c r="E26" i="2"/>
  <c r="D27" i="2"/>
  <c r="D26" i="2"/>
  <c r="E10" i="2"/>
  <c r="E14" i="2" s="1"/>
  <c r="D10" i="2"/>
  <c r="D28" i="2" s="1"/>
  <c r="D29" i="2" s="1"/>
  <c r="E13" i="2"/>
  <c r="E28" i="2" l="1"/>
  <c r="E29" i="2" s="1"/>
  <c r="D14" i="2"/>
  <c r="T11" i="37"/>
  <c r="T14" i="37"/>
  <c r="T12" i="37"/>
  <c r="U7" i="37"/>
  <c r="U12" i="37"/>
  <c r="U4" i="37"/>
  <c r="U9" i="37"/>
  <c r="T9" i="37"/>
  <c r="T6" i="37"/>
  <c r="T5" i="37"/>
  <c r="U10" i="37"/>
  <c r="T13" i="37"/>
  <c r="U11" i="37"/>
  <c r="U15" i="37"/>
  <c r="U6" i="37"/>
  <c r="U5" i="37"/>
  <c r="T10" i="37"/>
  <c r="U13" i="37"/>
  <c r="T15" i="37"/>
  <c r="T4" i="37"/>
  <c r="U8" i="37"/>
  <c r="T8" i="37"/>
  <c r="T7" i="37"/>
  <c r="U14" i="37"/>
  <c r="S22" i="34"/>
  <c r="P11" i="34" s="1"/>
  <c r="V22" i="34"/>
  <c r="P12" i="34" s="1"/>
  <c r="I8" i="34"/>
  <c r="P35" i="34"/>
  <c r="P10" i="34" s="1"/>
  <c r="D48" i="34"/>
  <c r="P4" i="34" s="1"/>
  <c r="M25" i="34"/>
  <c r="P7" i="34" s="1"/>
  <c r="V28" i="34"/>
  <c r="P13" i="34" s="1"/>
  <c r="J32" i="34"/>
  <c r="P6" i="34" s="1"/>
  <c r="P24" i="34"/>
  <c r="P8" i="34" s="1"/>
  <c r="G34" i="34"/>
  <c r="Y31" i="34"/>
  <c r="J14" i="34" s="1"/>
  <c r="Y21" i="34"/>
  <c r="J13" i="34" s="1"/>
  <c r="I6" i="32"/>
  <c r="I5" i="32"/>
  <c r="I4" i="32"/>
  <c r="I3" i="32"/>
  <c r="E13" i="32"/>
  <c r="D13" i="32"/>
  <c r="E10" i="32"/>
  <c r="D10" i="32"/>
  <c r="E33" i="2"/>
  <c r="E32" i="2"/>
  <c r="E31" i="2"/>
  <c r="D31" i="2"/>
  <c r="D36" i="2"/>
  <c r="M34" i="2"/>
  <c r="M33" i="2"/>
  <c r="M32" i="2"/>
  <c r="M31" i="2"/>
  <c r="M27" i="2"/>
  <c r="M26" i="2"/>
  <c r="M25" i="2"/>
  <c r="M24" i="2"/>
  <c r="X7" i="31"/>
  <c r="X6" i="31"/>
  <c r="U17" i="37" l="1"/>
  <c r="P5" i="34"/>
  <c r="J10" i="34"/>
  <c r="J11" i="34"/>
  <c r="J12" i="34"/>
  <c r="P14" i="34"/>
  <c r="P15" i="34"/>
  <c r="I7" i="32"/>
  <c r="X8" i="31"/>
  <c r="M28" i="2"/>
  <c r="M38" i="2"/>
  <c r="M40" i="2"/>
  <c r="M41" i="2"/>
  <c r="M35" i="2"/>
  <c r="M39" i="2"/>
  <c r="M89"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4" i="31"/>
  <c r="M3" i="31"/>
  <c r="J15" i="34" l="1"/>
  <c r="O1" i="34" s="1"/>
  <c r="R15" i="34"/>
  <c r="R13" i="34"/>
  <c r="R4" i="34"/>
  <c r="R7" i="34"/>
  <c r="R6" i="34"/>
  <c r="R14" i="34"/>
  <c r="R5" i="34"/>
  <c r="R9" i="34"/>
  <c r="R11" i="34"/>
  <c r="R10" i="34"/>
  <c r="R8" i="34"/>
  <c r="R12" i="34"/>
  <c r="P16" i="34"/>
  <c r="O2" i="34" s="1"/>
  <c r="M42" i="2"/>
  <c r="V25" i="32"/>
  <c r="Y29" i="32"/>
  <c r="Y26" i="32"/>
  <c r="V20" i="32"/>
  <c r="S19" i="32"/>
  <c r="P22" i="32"/>
  <c r="P18" i="32"/>
  <c r="M20" i="32"/>
  <c r="J29" i="32"/>
  <c r="J25" i="32"/>
  <c r="J21" i="32"/>
  <c r="G32" i="32"/>
  <c r="G28" i="32"/>
  <c r="G19" i="32"/>
  <c r="D44" i="32"/>
  <c r="D40" i="32"/>
  <c r="D36" i="32"/>
  <c r="D32" i="32"/>
  <c r="D28" i="32"/>
  <c r="D24" i="32"/>
  <c r="D20" i="32"/>
  <c r="P32" i="32"/>
  <c r="Y27" i="32"/>
  <c r="Y24" i="32"/>
  <c r="Y19" i="32"/>
  <c r="V18" i="32"/>
  <c r="J19" i="32"/>
  <c r="G21" i="32"/>
  <c r="D42" i="32"/>
  <c r="D34" i="32"/>
  <c r="D26" i="32"/>
  <c r="D18" i="32"/>
  <c r="V26" i="32"/>
  <c r="P27" i="32"/>
  <c r="P28" i="32" s="1"/>
  <c r="P8" i="32" s="1"/>
  <c r="AA9" i="2" s="1"/>
  <c r="V19" i="32"/>
  <c r="P19" i="32"/>
  <c r="M21" i="32"/>
  <c r="J30" i="32"/>
  <c r="J26" i="32"/>
  <c r="J22" i="32"/>
  <c r="J18" i="32"/>
  <c r="G29" i="32"/>
  <c r="G20" i="32"/>
  <c r="D45" i="32"/>
  <c r="D41" i="32"/>
  <c r="D33" i="32"/>
  <c r="D25" i="32"/>
  <c r="P33" i="32"/>
  <c r="Y28" i="32"/>
  <c r="Y25" i="32"/>
  <c r="S20" i="32"/>
  <c r="Y18" i="32"/>
  <c r="P21" i="32"/>
  <c r="M23" i="32"/>
  <c r="M19" i="32"/>
  <c r="J28" i="32"/>
  <c r="J24" i="32"/>
  <c r="J20" i="32"/>
  <c r="G31" i="32"/>
  <c r="G22" i="32"/>
  <c r="G18" i="32"/>
  <c r="D43" i="32"/>
  <c r="D39" i="32"/>
  <c r="D35" i="32"/>
  <c r="D31" i="32"/>
  <c r="D27" i="32"/>
  <c r="D23" i="32"/>
  <c r="D19" i="32"/>
  <c r="P20" i="32"/>
  <c r="M22" i="32"/>
  <c r="M18" i="32"/>
  <c r="J27" i="32"/>
  <c r="J23" i="32"/>
  <c r="G30" i="32"/>
  <c r="D46" i="32"/>
  <c r="D38" i="32"/>
  <c r="D30" i="32"/>
  <c r="D22" i="32"/>
  <c r="P31" i="32"/>
  <c r="V24" i="32"/>
  <c r="S18" i="32"/>
  <c r="D37" i="32"/>
  <c r="D29" i="32"/>
  <c r="D21" i="32"/>
  <c r="I6" i="28"/>
  <c r="I3" i="28"/>
  <c r="I5" i="28"/>
  <c r="I4" i="28"/>
  <c r="E13" i="28"/>
  <c r="D13" i="28"/>
  <c r="E10" i="28"/>
  <c r="D10" i="28"/>
  <c r="U6" i="34" l="1"/>
  <c r="T7" i="34"/>
  <c r="U7" i="34"/>
  <c r="T10" i="34"/>
  <c r="U9" i="34"/>
  <c r="U15" i="34"/>
  <c r="U4" i="34"/>
  <c r="T13" i="34"/>
  <c r="T12" i="34"/>
  <c r="T5" i="34"/>
  <c r="U5" i="34"/>
  <c r="U13" i="34"/>
  <c r="U11" i="34"/>
  <c r="T9" i="34"/>
  <c r="T14" i="34"/>
  <c r="U12" i="34"/>
  <c r="U14" i="34"/>
  <c r="T4" i="34"/>
  <c r="T6" i="34"/>
  <c r="T11" i="34"/>
  <c r="T15" i="34"/>
  <c r="U8" i="34"/>
  <c r="T8" i="34"/>
  <c r="U10" i="34"/>
  <c r="I7" i="28"/>
  <c r="S21" i="32"/>
  <c r="P10" i="32" s="1"/>
  <c r="AA11" i="2" s="1"/>
  <c r="V21" i="32"/>
  <c r="P11" i="32" s="1"/>
  <c r="AA12" i="2" s="1"/>
  <c r="V27" i="32"/>
  <c r="P12" i="32" s="1"/>
  <c r="AA13" i="2" s="1"/>
  <c r="P23" i="32"/>
  <c r="P7" i="32" s="1"/>
  <c r="AA8" i="2" s="1"/>
  <c r="D47" i="32"/>
  <c r="Y30" i="32"/>
  <c r="M24" i="32"/>
  <c r="P34" i="32"/>
  <c r="P9" i="32" s="1"/>
  <c r="AA10" i="2" s="1"/>
  <c r="G33" i="32"/>
  <c r="P4" i="32" s="1"/>
  <c r="AA5" i="2" s="1"/>
  <c r="J31" i="32"/>
  <c r="P5" i="32" s="1"/>
  <c r="AA6" i="2" s="1"/>
  <c r="Y20" i="32"/>
  <c r="P3" i="26"/>
  <c r="U16" i="34" l="1"/>
  <c r="J11" i="32"/>
  <c r="P3" i="32"/>
  <c r="J9" i="32"/>
  <c r="P6" i="32"/>
  <c r="AA7" i="2" s="1"/>
  <c r="J10" i="32"/>
  <c r="P13" i="32"/>
  <c r="AA14" i="2" s="1"/>
  <c r="J12" i="32"/>
  <c r="J13" i="32"/>
  <c r="P14" i="32"/>
  <c r="AA15" i="2" s="1"/>
  <c r="P6" i="26"/>
  <c r="P7"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M11" i="26"/>
  <c r="M10" i="26"/>
  <c r="M9" i="26"/>
  <c r="M8" i="26"/>
  <c r="M7" i="26"/>
  <c r="M6" i="26"/>
  <c r="M5" i="26"/>
  <c r="M4" i="26"/>
  <c r="M3" i="26"/>
  <c r="M2" i="26"/>
  <c r="P4" i="26"/>
  <c r="Y29" i="28" l="1"/>
  <c r="Y24" i="28"/>
  <c r="Y27" i="28"/>
  <c r="Y19" i="28"/>
  <c r="V24" i="28"/>
  <c r="S20" i="28"/>
  <c r="P32" i="28"/>
  <c r="P21" i="28"/>
  <c r="Y25" i="28"/>
  <c r="Y18" i="28"/>
  <c r="Y20" i="28" s="1"/>
  <c r="V20" i="28"/>
  <c r="S19" i="28"/>
  <c r="P31" i="28"/>
  <c r="P20" i="28"/>
  <c r="V19" i="28"/>
  <c r="S18" i="28"/>
  <c r="P27" i="28"/>
  <c r="P28" i="28" s="1"/>
  <c r="P8" i="28" s="1"/>
  <c r="Z9" i="2" s="1"/>
  <c r="AB9" i="2" s="1"/>
  <c r="P19" i="28"/>
  <c r="Y28" i="28"/>
  <c r="Y26" i="28"/>
  <c r="V25" i="28"/>
  <c r="V18" i="28"/>
  <c r="V21" i="28" s="1"/>
  <c r="P33" i="28"/>
  <c r="P22" i="28"/>
  <c r="P18" i="28"/>
  <c r="M21" i="28"/>
  <c r="J30" i="28"/>
  <c r="J26" i="28"/>
  <c r="J22" i="28"/>
  <c r="J18" i="28"/>
  <c r="G29" i="28"/>
  <c r="G20" i="28"/>
  <c r="D45" i="28"/>
  <c r="D41" i="28"/>
  <c r="D37" i="28"/>
  <c r="D33" i="28"/>
  <c r="D29" i="28"/>
  <c r="D25" i="28"/>
  <c r="D21" i="28"/>
  <c r="M20" i="28"/>
  <c r="J29" i="28"/>
  <c r="J25" i="28"/>
  <c r="J21" i="28"/>
  <c r="G32" i="28"/>
  <c r="G28" i="28"/>
  <c r="G19" i="28"/>
  <c r="D44" i="28"/>
  <c r="D40" i="28"/>
  <c r="D36" i="28"/>
  <c r="D32" i="28"/>
  <c r="D28" i="28"/>
  <c r="D24" i="28"/>
  <c r="D20" i="28"/>
  <c r="M23" i="28"/>
  <c r="M19" i="28"/>
  <c r="J28" i="28"/>
  <c r="J24" i="28"/>
  <c r="J20" i="28"/>
  <c r="G31" i="28"/>
  <c r="G22" i="28"/>
  <c r="G18" i="28"/>
  <c r="D43" i="28"/>
  <c r="D39" i="28"/>
  <c r="D35" i="28"/>
  <c r="D31" i="28"/>
  <c r="D27" i="28"/>
  <c r="D23" i="28"/>
  <c r="D19" i="28"/>
  <c r="M22" i="28"/>
  <c r="M18" i="28"/>
  <c r="M24" i="28" s="1"/>
  <c r="J27" i="28"/>
  <c r="J23" i="28"/>
  <c r="J19" i="28"/>
  <c r="G30" i="28"/>
  <c r="G21" i="28"/>
  <c r="D46" i="28"/>
  <c r="D42" i="28"/>
  <c r="D38" i="28"/>
  <c r="D34" i="28"/>
  <c r="D30" i="28"/>
  <c r="D26" i="28"/>
  <c r="D22" i="28"/>
  <c r="D18" i="28"/>
  <c r="J14" i="32"/>
  <c r="AA4" i="2"/>
  <c r="P15" i="32"/>
  <c r="O1" i="32" s="1"/>
  <c r="P5" i="26"/>
  <c r="S21" i="28" l="1"/>
  <c r="P10" i="28" s="1"/>
  <c r="Z11" i="2" s="1"/>
  <c r="D47" i="28"/>
  <c r="AB11" i="2"/>
  <c r="P6" i="28"/>
  <c r="Z7" i="2" s="1"/>
  <c r="AB7" i="2" s="1"/>
  <c r="J31" i="28"/>
  <c r="P5" i="28" s="1"/>
  <c r="Z6" i="2" s="1"/>
  <c r="AB6" i="2" s="1"/>
  <c r="P11" i="28"/>
  <c r="Z12" i="2" s="1"/>
  <c r="AB12" i="2" s="1"/>
  <c r="J12" i="28"/>
  <c r="P13" i="28"/>
  <c r="Z14" i="2" s="1"/>
  <c r="AB14" i="2" s="1"/>
  <c r="Y30" i="28"/>
  <c r="G33" i="28"/>
  <c r="P4" i="28" s="1"/>
  <c r="Z5" i="2" s="1"/>
  <c r="AB5" i="2" s="1"/>
  <c r="P23" i="28"/>
  <c r="P7" i="28" s="1"/>
  <c r="Z8" i="2" s="1"/>
  <c r="AB8" i="2" s="1"/>
  <c r="P34" i="28"/>
  <c r="P9" i="28" s="1"/>
  <c r="Z10" i="2" s="1"/>
  <c r="AB10" i="2" s="1"/>
  <c r="AA16" i="2"/>
  <c r="I6" i="18"/>
  <c r="I5" i="18"/>
  <c r="I4" i="18"/>
  <c r="I3" i="18"/>
  <c r="I7" i="18" s="1"/>
  <c r="I6" i="17"/>
  <c r="I6" i="21" s="1"/>
  <c r="I5" i="17"/>
  <c r="I5" i="21" s="1"/>
  <c r="I4" i="17"/>
  <c r="I4" i="21" s="1"/>
  <c r="I3" i="17"/>
  <c r="I7" i="17" s="1"/>
  <c r="I6" i="15"/>
  <c r="I5" i="15"/>
  <c r="I4" i="15"/>
  <c r="I3" i="15"/>
  <c r="I7" i="15" s="1"/>
  <c r="I6" i="14"/>
  <c r="I5" i="14"/>
  <c r="I4" i="14"/>
  <c r="I3" i="14"/>
  <c r="D13" i="20"/>
  <c r="I7" i="20"/>
  <c r="I6" i="20"/>
  <c r="I5" i="20"/>
  <c r="I4" i="20"/>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P7" i="3"/>
  <c r="M7" i="3"/>
  <c r="P6" i="3"/>
  <c r="M6" i="3"/>
  <c r="M5" i="3"/>
  <c r="P4" i="3"/>
  <c r="M4" i="3"/>
  <c r="P3" i="3"/>
  <c r="M3" i="3"/>
  <c r="M2" i="3"/>
  <c r="I3" i="21" l="1"/>
  <c r="I7" i="21" s="1"/>
  <c r="I7" i="14"/>
  <c r="J10" i="28"/>
  <c r="J13" i="28"/>
  <c r="P14" i="28"/>
  <c r="Z15" i="2" s="1"/>
  <c r="J9" i="28"/>
  <c r="P3" i="28"/>
  <c r="I8" i="20"/>
  <c r="P5" i="3"/>
  <c r="Z4" i="2" l="1"/>
  <c r="AB15" i="2"/>
  <c r="E25" i="2"/>
  <c r="D25" i="2"/>
  <c r="E34" i="2"/>
  <c r="D34" i="2"/>
  <c r="D33" i="2"/>
  <c r="D32" i="2"/>
  <c r="AB4" i="2" l="1"/>
  <c r="E470" i="10"/>
  <c r="M6" i="2" l="1"/>
  <c r="M5" i="2"/>
  <c r="M4" i="2"/>
  <c r="M3" i="2"/>
  <c r="I27" i="2"/>
  <c r="I26" i="2"/>
  <c r="I25" i="2"/>
  <c r="I24" i="2"/>
  <c r="I20" i="2"/>
  <c r="I19" i="2"/>
  <c r="I18" i="2"/>
  <c r="I17" i="2"/>
  <c r="I6" i="2"/>
  <c r="I5" i="2"/>
  <c r="I4" i="2"/>
  <c r="I3" i="2"/>
  <c r="E10" i="15"/>
  <c r="M462" i="25"/>
  <c r="M461" i="25"/>
  <c r="M460" i="25"/>
  <c r="M459" i="25"/>
  <c r="M458" i="25"/>
  <c r="M457" i="25"/>
  <c r="M456" i="25"/>
  <c r="M455" i="25"/>
  <c r="M454" i="25"/>
  <c r="M453" i="25"/>
  <c r="M452" i="25"/>
  <c r="M451" i="25"/>
  <c r="M450" i="25"/>
  <c r="M449" i="25"/>
  <c r="M448" i="25"/>
  <c r="M447" i="25"/>
  <c r="M446" i="25"/>
  <c r="M445" i="25"/>
  <c r="M444" i="25"/>
  <c r="M443" i="25"/>
  <c r="M442" i="25"/>
  <c r="M440" i="25"/>
  <c r="M439" i="25"/>
  <c r="M438" i="25"/>
  <c r="M437" i="25"/>
  <c r="M436" i="25"/>
  <c r="M435" i="25"/>
  <c r="M434" i="25"/>
  <c r="M433" i="25"/>
  <c r="M432" i="25"/>
  <c r="M431" i="25"/>
  <c r="M430" i="25"/>
  <c r="M429" i="25"/>
  <c r="M427" i="25"/>
  <c r="M426" i="25"/>
  <c r="M425" i="25"/>
  <c r="M424" i="25"/>
  <c r="M423" i="25"/>
  <c r="M422" i="25"/>
  <c r="M421" i="25"/>
  <c r="M420" i="25"/>
  <c r="M419" i="25"/>
  <c r="M418" i="25"/>
  <c r="M417" i="25"/>
  <c r="M416" i="25"/>
  <c r="M415" i="25"/>
  <c r="M414" i="25"/>
  <c r="M413" i="25"/>
  <c r="M412" i="25"/>
  <c r="M411" i="25"/>
  <c r="M410" i="25"/>
  <c r="M409" i="25"/>
  <c r="M408" i="25"/>
  <c r="M407" i="25"/>
  <c r="M406" i="25"/>
  <c r="M405" i="25"/>
  <c r="M404" i="25"/>
  <c r="M403" i="25"/>
  <c r="M402" i="25"/>
  <c r="M401" i="25"/>
  <c r="M400" i="25"/>
  <c r="M399"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8"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6" i="25"/>
  <c r="M5" i="25"/>
  <c r="M4" i="25"/>
  <c r="M3" i="25"/>
  <c r="M2" i="25"/>
  <c r="M2" i="6"/>
  <c r="M7" i="2" l="1"/>
  <c r="I28" i="2"/>
  <c r="I21" i="2"/>
  <c r="I7" i="2"/>
  <c r="G22" i="15"/>
  <c r="P33" i="15"/>
  <c r="D34" i="15"/>
  <c r="J21" i="15"/>
  <c r="P18" i="15"/>
  <c r="V26" i="15"/>
  <c r="G30" i="15"/>
  <c r="D27" i="15"/>
  <c r="D43" i="15"/>
  <c r="J30" i="15"/>
  <c r="Y19" i="15"/>
  <c r="G31" i="15"/>
  <c r="D18" i="15"/>
  <c r="D22" i="15"/>
  <c r="D30" i="15"/>
  <c r="D38" i="15"/>
  <c r="D46" i="15"/>
  <c r="J25" i="15"/>
  <c r="M20" i="15"/>
  <c r="S18" i="15"/>
  <c r="V24" i="15"/>
  <c r="Y28" i="15"/>
  <c r="G21" i="15"/>
  <c r="D26" i="15"/>
  <c r="D42" i="15"/>
  <c r="J29" i="15"/>
  <c r="V19" i="15"/>
  <c r="D19" i="15"/>
  <c r="D35" i="15"/>
  <c r="J22" i="15"/>
  <c r="P20" i="15"/>
  <c r="Y26" i="15"/>
  <c r="G18" i="15"/>
  <c r="G32" i="15"/>
  <c r="D23" i="15"/>
  <c r="D31" i="15"/>
  <c r="D39" i="15"/>
  <c r="J18" i="15"/>
  <c r="J26" i="15"/>
  <c r="M21" i="15"/>
  <c r="V18" i="15"/>
  <c r="Y24" i="15"/>
  <c r="Y29" i="15"/>
  <c r="D21" i="15"/>
  <c r="D25" i="15"/>
  <c r="D29" i="15"/>
  <c r="D33" i="15"/>
  <c r="D37" i="15"/>
  <c r="D41" i="15"/>
  <c r="D45" i="15"/>
  <c r="J20" i="15"/>
  <c r="J24" i="15"/>
  <c r="J28" i="15"/>
  <c r="M19" i="15"/>
  <c r="M23" i="15"/>
  <c r="P22" i="15"/>
  <c r="S19" i="15"/>
  <c r="V20" i="15"/>
  <c r="Y25" i="15"/>
  <c r="Y27" i="15"/>
  <c r="P32" i="15"/>
  <c r="G20" i="15"/>
  <c r="G29" i="15"/>
  <c r="P19" i="15"/>
  <c r="D20" i="15"/>
  <c r="D24" i="15"/>
  <c r="D28" i="15"/>
  <c r="D32" i="15"/>
  <c r="D36" i="15"/>
  <c r="D40" i="15"/>
  <c r="D44" i="15"/>
  <c r="J19" i="15"/>
  <c r="J23" i="15"/>
  <c r="J27" i="15"/>
  <c r="M18" i="15"/>
  <c r="M22" i="15"/>
  <c r="P21" i="15"/>
  <c r="Y18" i="15"/>
  <c r="S20" i="15"/>
  <c r="V25" i="15"/>
  <c r="P27" i="15"/>
  <c r="P31" i="15"/>
  <c r="G19" i="15"/>
  <c r="G28" i="15"/>
  <c r="G33" i="15" l="1"/>
  <c r="P4" i="15" s="1"/>
  <c r="U5" i="2" s="1"/>
  <c r="P28" i="15"/>
  <c r="P8" i="15" s="1"/>
  <c r="U9" i="2" s="1"/>
  <c r="E13" i="15"/>
  <c r="D13" i="15"/>
  <c r="D10" i="15"/>
  <c r="S21" i="15" l="1"/>
  <c r="P10" i="15" s="1"/>
  <c r="U11" i="2" s="1"/>
  <c r="Y20" i="15"/>
  <c r="J12" i="15" s="1"/>
  <c r="M24" i="15"/>
  <c r="Y30" i="15"/>
  <c r="V21" i="15"/>
  <c r="P23" i="15"/>
  <c r="P7" i="15" s="1"/>
  <c r="U8" i="2" s="1"/>
  <c r="J31" i="15"/>
  <c r="P5" i="15" s="1"/>
  <c r="U6" i="2" s="1"/>
  <c r="V27" i="15"/>
  <c r="P12" i="15" s="1"/>
  <c r="U13" i="2" s="1"/>
  <c r="P34" i="15"/>
  <c r="P9" i="15" s="1"/>
  <c r="U10" i="2" s="1"/>
  <c r="D47" i="15"/>
  <c r="E13" i="21"/>
  <c r="D13" i="21"/>
  <c r="E10" i="21"/>
  <c r="D10" i="21"/>
  <c r="P11" i="15" l="1"/>
  <c r="U12" i="2" s="1"/>
  <c r="J11" i="15"/>
  <c r="P14" i="15"/>
  <c r="U15" i="2" s="1"/>
  <c r="J13" i="15"/>
  <c r="P6" i="15"/>
  <c r="U7" i="2" s="1"/>
  <c r="J10" i="15"/>
  <c r="P3" i="15"/>
  <c r="U4" i="2" s="1"/>
  <c r="J9" i="15"/>
  <c r="P13" i="15"/>
  <c r="U14" i="2" s="1"/>
  <c r="E13" i="18"/>
  <c r="D13" i="18"/>
  <c r="E10" i="18"/>
  <c r="D10" i="18"/>
  <c r="E13" i="17"/>
  <c r="D13" i="17"/>
  <c r="E10" i="17"/>
  <c r="D10" i="17"/>
  <c r="E13" i="16"/>
  <c r="D13" i="16"/>
  <c r="E10" i="16"/>
  <c r="D10" i="16"/>
  <c r="E13" i="14"/>
  <c r="D13" i="14"/>
  <c r="E10" i="14"/>
  <c r="D10" i="14"/>
  <c r="E13" i="13"/>
  <c r="D13" i="13"/>
  <c r="E10" i="13"/>
  <c r="D10" i="13"/>
  <c r="F565" i="12"/>
  <c r="M564" i="12"/>
  <c r="M563" i="12"/>
  <c r="M562" i="12"/>
  <c r="M561" i="12"/>
  <c r="M560" i="12"/>
  <c r="M559" i="12"/>
  <c r="M558" i="12"/>
  <c r="M557" i="12"/>
  <c r="M556" i="12"/>
  <c r="M555" i="12"/>
  <c r="M554" i="12"/>
  <c r="M553" i="12"/>
  <c r="M552" i="12"/>
  <c r="M551" i="12"/>
  <c r="M550" i="12"/>
  <c r="M549" i="12"/>
  <c r="M548" i="12"/>
  <c r="M547" i="12"/>
  <c r="M546" i="12"/>
  <c r="M545" i="12"/>
  <c r="M544" i="12"/>
  <c r="M543" i="12"/>
  <c r="M542" i="12"/>
  <c r="M541" i="12"/>
  <c r="M540" i="12"/>
  <c r="M539" i="12"/>
  <c r="M538" i="12"/>
  <c r="M537" i="12"/>
  <c r="M536" i="12"/>
  <c r="M535" i="12"/>
  <c r="M534" i="12"/>
  <c r="M533" i="12"/>
  <c r="M532" i="12"/>
  <c r="M531" i="12"/>
  <c r="M530" i="12"/>
  <c r="M529" i="12"/>
  <c r="M528" i="12"/>
  <c r="M527" i="12"/>
  <c r="M526" i="12"/>
  <c r="M525" i="12"/>
  <c r="M524" i="12"/>
  <c r="M523" i="12"/>
  <c r="M522" i="12"/>
  <c r="M521" i="12"/>
  <c r="M520" i="12"/>
  <c r="M519" i="12"/>
  <c r="M518" i="12"/>
  <c r="M517" i="12"/>
  <c r="M516" i="12"/>
  <c r="M515" i="12"/>
  <c r="M514" i="12"/>
  <c r="M513" i="12"/>
  <c r="M512" i="12"/>
  <c r="M511" i="12"/>
  <c r="M510" i="12"/>
  <c r="M509" i="12"/>
  <c r="M508" i="12"/>
  <c r="M507" i="12"/>
  <c r="M506" i="12"/>
  <c r="M505" i="12"/>
  <c r="M504" i="12"/>
  <c r="M503" i="12"/>
  <c r="M502" i="12"/>
  <c r="M501" i="12"/>
  <c r="M500" i="12"/>
  <c r="M499" i="12"/>
  <c r="M498" i="12"/>
  <c r="M497" i="12"/>
  <c r="M496" i="12"/>
  <c r="M495" i="12"/>
  <c r="M494" i="12"/>
  <c r="M493" i="12"/>
  <c r="M492" i="12"/>
  <c r="M491" i="12"/>
  <c r="M490" i="12"/>
  <c r="M489" i="12"/>
  <c r="M488" i="12"/>
  <c r="M487" i="12"/>
  <c r="M486" i="12"/>
  <c r="M485" i="12"/>
  <c r="M484" i="12"/>
  <c r="M483" i="12"/>
  <c r="M482" i="12"/>
  <c r="M481" i="12"/>
  <c r="M480" i="12"/>
  <c r="M479" i="12"/>
  <c r="M478" i="12"/>
  <c r="M477" i="12"/>
  <c r="M476" i="12"/>
  <c r="M475" i="12"/>
  <c r="M474" i="12"/>
  <c r="M473" i="12"/>
  <c r="M472" i="12"/>
  <c r="M471" i="12"/>
  <c r="M470" i="12"/>
  <c r="M469" i="12"/>
  <c r="M468" i="12"/>
  <c r="M467" i="12"/>
  <c r="M466" i="12"/>
  <c r="M465" i="12"/>
  <c r="M464" i="12"/>
  <c r="M463" i="12"/>
  <c r="M462" i="12"/>
  <c r="M461" i="12"/>
  <c r="M460" i="12"/>
  <c r="M459" i="12"/>
  <c r="M458" i="12"/>
  <c r="M457" i="12"/>
  <c r="M456" i="12"/>
  <c r="M455" i="12"/>
  <c r="M454" i="12"/>
  <c r="M453" i="12"/>
  <c r="M452" i="12"/>
  <c r="M451" i="12"/>
  <c r="M450" i="12"/>
  <c r="M449" i="12"/>
  <c r="M448" i="12"/>
  <c r="M447" i="12"/>
  <c r="M446" i="12"/>
  <c r="M445" i="12"/>
  <c r="M444" i="12"/>
  <c r="M443" i="12"/>
  <c r="M442" i="12"/>
  <c r="M441" i="12"/>
  <c r="M440" i="12"/>
  <c r="M439" i="12"/>
  <c r="M438" i="12"/>
  <c r="M437" i="12"/>
  <c r="M436" i="12"/>
  <c r="M435" i="12"/>
  <c r="M434" i="12"/>
  <c r="M433" i="12"/>
  <c r="M432" i="12"/>
  <c r="M431" i="12"/>
  <c r="M430" i="12"/>
  <c r="M429" i="12"/>
  <c r="M428" i="12"/>
  <c r="M427" i="12"/>
  <c r="M426" i="12"/>
  <c r="M425" i="12"/>
  <c r="M424" i="12"/>
  <c r="M423" i="12"/>
  <c r="M422" i="12"/>
  <c r="M421" i="12"/>
  <c r="M420" i="12"/>
  <c r="M419" i="12"/>
  <c r="M418" i="12"/>
  <c r="M417" i="12"/>
  <c r="M416" i="12"/>
  <c r="M415" i="12"/>
  <c r="M414" i="12"/>
  <c r="M413" i="12"/>
  <c r="M412" i="12"/>
  <c r="M411" i="12"/>
  <c r="M410" i="12"/>
  <c r="M409" i="12"/>
  <c r="M408" i="12"/>
  <c r="M407" i="12"/>
  <c r="M406" i="12"/>
  <c r="M405" i="12"/>
  <c r="M404" i="12"/>
  <c r="M403" i="12"/>
  <c r="M402" i="12"/>
  <c r="M401" i="12"/>
  <c r="M400" i="12"/>
  <c r="M399" i="12"/>
  <c r="M398" i="12"/>
  <c r="M397" i="12"/>
  <c r="M396" i="12"/>
  <c r="M395" i="12"/>
  <c r="M394" i="12"/>
  <c r="M393" i="12"/>
  <c r="M392" i="12"/>
  <c r="M391" i="12"/>
  <c r="M390" i="12"/>
  <c r="M389" i="12"/>
  <c r="M388" i="12"/>
  <c r="M387" i="12"/>
  <c r="M386" i="12"/>
  <c r="M385" i="12"/>
  <c r="M384" i="12"/>
  <c r="M383" i="12"/>
  <c r="M382" i="12"/>
  <c r="M381" i="12"/>
  <c r="M380" i="12"/>
  <c r="M379" i="12"/>
  <c r="M378" i="12"/>
  <c r="M377" i="12"/>
  <c r="M376" i="12"/>
  <c r="M375" i="12"/>
  <c r="M374" i="12"/>
  <c r="M373" i="12"/>
  <c r="M372" i="12"/>
  <c r="M371" i="12"/>
  <c r="M370" i="12"/>
  <c r="M369" i="12"/>
  <c r="M368" i="12"/>
  <c r="M367" i="12"/>
  <c r="M366" i="12"/>
  <c r="M365" i="12"/>
  <c r="M364" i="12"/>
  <c r="M363" i="12"/>
  <c r="M362" i="12"/>
  <c r="M361" i="12"/>
  <c r="M360" i="12"/>
  <c r="M359" i="12"/>
  <c r="M358" i="12"/>
  <c r="M357" i="12"/>
  <c r="M356" i="12"/>
  <c r="M355" i="12"/>
  <c r="M354" i="12"/>
  <c r="M353" i="12"/>
  <c r="M352" i="12"/>
  <c r="M351" i="12"/>
  <c r="M350" i="12"/>
  <c r="M349" i="12"/>
  <c r="M348" i="12"/>
  <c r="M347" i="12"/>
  <c r="M346" i="12"/>
  <c r="M345" i="12"/>
  <c r="M344" i="12"/>
  <c r="M343" i="12"/>
  <c r="M342" i="12"/>
  <c r="M341" i="12"/>
  <c r="M340" i="12"/>
  <c r="M339" i="12"/>
  <c r="M338" i="12"/>
  <c r="M337" i="12"/>
  <c r="M336" i="12"/>
  <c r="M335" i="12"/>
  <c r="M334" i="12"/>
  <c r="M333" i="12"/>
  <c r="M332" i="12"/>
  <c r="M331" i="12"/>
  <c r="M330" i="12"/>
  <c r="M329" i="12"/>
  <c r="M328" i="12"/>
  <c r="M327" i="12"/>
  <c r="M326" i="12"/>
  <c r="M325" i="12"/>
  <c r="M324" i="12"/>
  <c r="M323" i="12"/>
  <c r="M322" i="12"/>
  <c r="M321" i="12"/>
  <c r="M320" i="12"/>
  <c r="M319" i="12"/>
  <c r="M318" i="12"/>
  <c r="M317" i="12"/>
  <c r="M316" i="12"/>
  <c r="M315" i="12"/>
  <c r="M314" i="12"/>
  <c r="M313" i="12"/>
  <c r="M312" i="12"/>
  <c r="M311" i="12"/>
  <c r="M310" i="12"/>
  <c r="M309" i="12"/>
  <c r="M308" i="12"/>
  <c r="M307" i="12"/>
  <c r="M306" i="12"/>
  <c r="M305" i="12"/>
  <c r="M304" i="12"/>
  <c r="M303" i="12"/>
  <c r="M302" i="12"/>
  <c r="M301" i="12"/>
  <c r="M300" i="12"/>
  <c r="M299" i="12"/>
  <c r="M298" i="12"/>
  <c r="M297" i="12"/>
  <c r="M296" i="12"/>
  <c r="M295" i="12"/>
  <c r="M294" i="12"/>
  <c r="M293" i="12"/>
  <c r="M292" i="12"/>
  <c r="M291" i="12"/>
  <c r="M290" i="12"/>
  <c r="M289" i="12"/>
  <c r="M288" i="12"/>
  <c r="M287" i="12"/>
  <c r="M286" i="12"/>
  <c r="M285" i="12"/>
  <c r="M284" i="12"/>
  <c r="M283" i="12"/>
  <c r="M282" i="12"/>
  <c r="M281" i="12"/>
  <c r="M280" i="12"/>
  <c r="M279" i="12"/>
  <c r="M278" i="12"/>
  <c r="M277" i="12"/>
  <c r="M276" i="12"/>
  <c r="M275" i="12"/>
  <c r="M274" i="12"/>
  <c r="M273" i="12"/>
  <c r="M272" i="12"/>
  <c r="M271" i="12"/>
  <c r="M270" i="12"/>
  <c r="M269" i="12"/>
  <c r="M268" i="12"/>
  <c r="M267" i="12"/>
  <c r="M266" i="12"/>
  <c r="M265" i="12"/>
  <c r="M264" i="12"/>
  <c r="M263" i="12"/>
  <c r="M262" i="12"/>
  <c r="M261" i="12"/>
  <c r="M260" i="12"/>
  <c r="M259" i="12"/>
  <c r="M258" i="12"/>
  <c r="M257" i="12"/>
  <c r="M256" i="12"/>
  <c r="M255" i="12"/>
  <c r="M254" i="12"/>
  <c r="M253" i="12"/>
  <c r="M252" i="12"/>
  <c r="M251" i="12"/>
  <c r="M250" i="12"/>
  <c r="M249" i="12"/>
  <c r="M248" i="12"/>
  <c r="M247" i="12"/>
  <c r="M246" i="12"/>
  <c r="M245" i="12"/>
  <c r="M244" i="12"/>
  <c r="M243" i="12"/>
  <c r="M242" i="12"/>
  <c r="M241" i="12"/>
  <c r="M240" i="12"/>
  <c r="M239" i="12"/>
  <c r="M238" i="12"/>
  <c r="M237" i="12"/>
  <c r="M236" i="12"/>
  <c r="M235" i="12"/>
  <c r="M234" i="12"/>
  <c r="M233" i="12"/>
  <c r="M232" i="12"/>
  <c r="M231" i="12"/>
  <c r="M230" i="12"/>
  <c r="M229" i="12"/>
  <c r="M228" i="12"/>
  <c r="M227" i="12"/>
  <c r="M226" i="12"/>
  <c r="M225" i="12"/>
  <c r="M224" i="12"/>
  <c r="M223" i="12"/>
  <c r="M222" i="12"/>
  <c r="M221" i="12"/>
  <c r="M220" i="12"/>
  <c r="M219" i="12"/>
  <c r="M218" i="12"/>
  <c r="M217" i="12"/>
  <c r="M216" i="12"/>
  <c r="M215" i="12"/>
  <c r="M214" i="12"/>
  <c r="M213" i="12"/>
  <c r="M212" i="12"/>
  <c r="M211" i="12"/>
  <c r="M210" i="12"/>
  <c r="M209" i="12"/>
  <c r="M208" i="12"/>
  <c r="M207" i="12"/>
  <c r="M206" i="12"/>
  <c r="M205" i="12"/>
  <c r="M204" i="12"/>
  <c r="M203" i="12"/>
  <c r="M202" i="12"/>
  <c r="M201" i="12"/>
  <c r="M200" i="12"/>
  <c r="M199" i="12"/>
  <c r="M198" i="12"/>
  <c r="M197" i="12"/>
  <c r="M196" i="12"/>
  <c r="M195" i="12"/>
  <c r="M194" i="12"/>
  <c r="M193" i="12"/>
  <c r="M192" i="12"/>
  <c r="M191" i="12"/>
  <c r="M190" i="12"/>
  <c r="M189" i="12"/>
  <c r="M188" i="12"/>
  <c r="M187" i="12"/>
  <c r="M186" i="12"/>
  <c r="M185" i="12"/>
  <c r="M184" i="12"/>
  <c r="M183" i="12"/>
  <c r="M182" i="12"/>
  <c r="M181" i="12"/>
  <c r="M180" i="12"/>
  <c r="M179" i="12"/>
  <c r="M178" i="12"/>
  <c r="M177" i="12"/>
  <c r="M176" i="12"/>
  <c r="M175" i="12"/>
  <c r="M174" i="12"/>
  <c r="M173" i="12"/>
  <c r="M172" i="12"/>
  <c r="M171" i="12"/>
  <c r="M170" i="12"/>
  <c r="M169" i="12"/>
  <c r="M168" i="12"/>
  <c r="M167" i="12"/>
  <c r="M166" i="12"/>
  <c r="M165" i="12"/>
  <c r="M164" i="12"/>
  <c r="M163" i="12"/>
  <c r="M162" i="12"/>
  <c r="M161" i="12"/>
  <c r="M160" i="12"/>
  <c r="M159" i="12"/>
  <c r="M158" i="12"/>
  <c r="M157" i="12"/>
  <c r="M156" i="12"/>
  <c r="M155" i="12"/>
  <c r="M154" i="12"/>
  <c r="M153" i="12"/>
  <c r="M152" i="12"/>
  <c r="M151" i="12"/>
  <c r="M150" i="12"/>
  <c r="M149" i="12"/>
  <c r="M148" i="12"/>
  <c r="M147" i="12"/>
  <c r="M146" i="12"/>
  <c r="M145" i="12"/>
  <c r="M144" i="12"/>
  <c r="M143" i="12"/>
  <c r="M142" i="12"/>
  <c r="M141" i="12"/>
  <c r="M140" i="12"/>
  <c r="M139" i="12"/>
  <c r="M138" i="12"/>
  <c r="M137" i="12"/>
  <c r="M136" i="12"/>
  <c r="M135" i="12"/>
  <c r="M134" i="12"/>
  <c r="M133" i="12"/>
  <c r="M132" i="12"/>
  <c r="M131" i="12"/>
  <c r="M130" i="12"/>
  <c r="M129" i="12"/>
  <c r="M128" i="12"/>
  <c r="M127" i="12"/>
  <c r="M126" i="12"/>
  <c r="M125" i="12"/>
  <c r="M124" i="12"/>
  <c r="M123" i="12"/>
  <c r="M122" i="12"/>
  <c r="M121" i="12"/>
  <c r="M120" i="12"/>
  <c r="M119" i="12"/>
  <c r="M118" i="12"/>
  <c r="M117" i="12"/>
  <c r="M116" i="12"/>
  <c r="M115" i="12"/>
  <c r="M114" i="12"/>
  <c r="M113" i="12"/>
  <c r="M112" i="12"/>
  <c r="M111" i="12"/>
  <c r="M110" i="12"/>
  <c r="M109" i="12"/>
  <c r="M108" i="12"/>
  <c r="M107" i="12"/>
  <c r="M106" i="12"/>
  <c r="M105" i="12"/>
  <c r="M104" i="12"/>
  <c r="M103" i="12"/>
  <c r="M102" i="12"/>
  <c r="M101" i="12"/>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M5" i="12"/>
  <c r="M4" i="12"/>
  <c r="M3" i="12"/>
  <c r="M2" i="12"/>
  <c r="E13" i="20"/>
  <c r="E10" i="20"/>
  <c r="D10" i="20"/>
  <c r="U16" i="2" l="1"/>
  <c r="M19" i="20"/>
  <c r="P32" i="20"/>
  <c r="D18" i="20"/>
  <c r="D22" i="20"/>
  <c r="D26" i="20"/>
  <c r="D30" i="20"/>
  <c r="D34" i="20"/>
  <c r="D38" i="20"/>
  <c r="D42" i="20"/>
  <c r="D46" i="20"/>
  <c r="G20" i="20"/>
  <c r="G29" i="20"/>
  <c r="J18" i="20"/>
  <c r="J22" i="20"/>
  <c r="J26" i="20"/>
  <c r="J30" i="20"/>
  <c r="M21" i="20"/>
  <c r="P19" i="20"/>
  <c r="S18" i="20"/>
  <c r="V19" i="20"/>
  <c r="V24" i="20"/>
  <c r="V26" i="20"/>
  <c r="Y28" i="20"/>
  <c r="P33" i="20"/>
  <c r="D19" i="20"/>
  <c r="D27" i="20"/>
  <c r="D35" i="20"/>
  <c r="D43" i="20"/>
  <c r="G21" i="20"/>
  <c r="J19" i="20"/>
  <c r="J27" i="20"/>
  <c r="M22" i="20"/>
  <c r="V18" i="20"/>
  <c r="Y24" i="20"/>
  <c r="Y29" i="20"/>
  <c r="D20" i="20"/>
  <c r="D28" i="20"/>
  <c r="D36" i="20"/>
  <c r="D44" i="20"/>
  <c r="G22" i="20"/>
  <c r="J20" i="20"/>
  <c r="J24" i="20"/>
  <c r="J28" i="20"/>
  <c r="M23" i="20"/>
  <c r="P21" i="20"/>
  <c r="Y18" i="20"/>
  <c r="S20" i="20"/>
  <c r="V25" i="20"/>
  <c r="P27" i="20"/>
  <c r="P28" i="20" s="1"/>
  <c r="P7" i="20" s="1"/>
  <c r="P31" i="20"/>
  <c r="D23" i="20"/>
  <c r="D31" i="20"/>
  <c r="D39" i="20"/>
  <c r="G30" i="20"/>
  <c r="J23" i="20"/>
  <c r="M18" i="20"/>
  <c r="P20" i="20"/>
  <c r="Y19" i="20"/>
  <c r="Y26" i="20"/>
  <c r="D24" i="20"/>
  <c r="D32" i="20"/>
  <c r="D40" i="20"/>
  <c r="G18" i="20"/>
  <c r="G31" i="20"/>
  <c r="D21" i="20"/>
  <c r="D25" i="20"/>
  <c r="D29" i="20"/>
  <c r="D33" i="20"/>
  <c r="D37" i="20"/>
  <c r="D41" i="20"/>
  <c r="D45" i="20"/>
  <c r="G19" i="20"/>
  <c r="G28" i="20"/>
  <c r="G32" i="20"/>
  <c r="J21" i="20"/>
  <c r="J25" i="20"/>
  <c r="J29" i="20"/>
  <c r="M20" i="20"/>
  <c r="P18" i="20"/>
  <c r="P22" i="20"/>
  <c r="S19" i="20"/>
  <c r="V20" i="20"/>
  <c r="Y25" i="20"/>
  <c r="Y27" i="20"/>
  <c r="J14" i="15"/>
  <c r="P15" i="15"/>
  <c r="O1" i="15" s="1"/>
  <c r="R9" i="2" l="1"/>
  <c r="Y20" i="20"/>
  <c r="S21" i="20"/>
  <c r="P9" i="20" s="1"/>
  <c r="G33" i="20"/>
  <c r="P3" i="20" s="1"/>
  <c r="V27" i="20"/>
  <c r="P11" i="20" s="1"/>
  <c r="P34" i="20"/>
  <c r="P8" i="20" s="1"/>
  <c r="V21" i="20"/>
  <c r="D47" i="20"/>
  <c r="P23" i="20"/>
  <c r="P6" i="20" s="1"/>
  <c r="J31" i="20"/>
  <c r="P4" i="20" s="1"/>
  <c r="M24" i="20"/>
  <c r="Y30" i="20"/>
  <c r="R6" i="2" l="1"/>
  <c r="R10" i="2"/>
  <c r="P12" i="20"/>
  <c r="J13" i="20"/>
  <c r="R8" i="2"/>
  <c r="R13" i="2"/>
  <c r="P13" i="20"/>
  <c r="J14" i="20"/>
  <c r="P2" i="20"/>
  <c r="J10" i="20"/>
  <c r="R5" i="2"/>
  <c r="J11" i="20"/>
  <c r="P10" i="20"/>
  <c r="J12" i="20"/>
  <c r="R11" i="2"/>
  <c r="P5" i="20"/>
  <c r="R12" i="2" l="1"/>
  <c r="R4" i="2"/>
  <c r="R14" i="2"/>
  <c r="J15" i="20"/>
  <c r="R15" i="2"/>
  <c r="E36" i="2"/>
  <c r="E35" i="2"/>
  <c r="D35" i="2"/>
  <c r="D37" i="2" s="1"/>
  <c r="P14" i="20"/>
  <c r="O1" i="20" s="1"/>
  <c r="R7" i="2"/>
  <c r="R16" i="2" s="1"/>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V26" i="28" s="1"/>
  <c r="V27" i="28" s="1"/>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32" i="8"/>
  <c r="M731" i="8"/>
  <c r="M730" i="8"/>
  <c r="M729" i="8"/>
  <c r="M728" i="8"/>
  <c r="M727"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8" i="8"/>
  <c r="M637" i="8"/>
  <c r="M636" i="8"/>
  <c r="M635" i="8"/>
  <c r="M634" i="8"/>
  <c r="M633" i="8"/>
  <c r="M632" i="8"/>
  <c r="M631" i="8"/>
  <c r="M630" i="8"/>
  <c r="M629" i="8"/>
  <c r="M628" i="8"/>
  <c r="M627" i="8"/>
  <c r="M626" i="8"/>
  <c r="M625" i="8"/>
  <c r="M624" i="8"/>
  <c r="M623" i="8"/>
  <c r="M622" i="8"/>
  <c r="M621" i="8"/>
  <c r="M620" i="8"/>
  <c r="M619" i="8"/>
  <c r="M618" i="8"/>
  <c r="M617" i="8"/>
  <c r="M616" i="8"/>
  <c r="M615" i="8"/>
  <c r="M614" i="8"/>
  <c r="M613" i="8"/>
  <c r="M612" i="8"/>
  <c r="M611" i="8"/>
  <c r="M610" i="8"/>
  <c r="M609" i="8"/>
  <c r="M608" i="8"/>
  <c r="M607" i="8"/>
  <c r="M606" i="8"/>
  <c r="M605" i="8"/>
  <c r="M604" i="8"/>
  <c r="M603" i="8"/>
  <c r="M602" i="8"/>
  <c r="M601" i="8"/>
  <c r="M600" i="8"/>
  <c r="M599" i="8"/>
  <c r="M598" i="8"/>
  <c r="M597" i="8"/>
  <c r="M596" i="8"/>
  <c r="M595" i="8"/>
  <c r="M594" i="8"/>
  <c r="M593" i="8"/>
  <c r="M592" i="8"/>
  <c r="M591" i="8"/>
  <c r="M590" i="8"/>
  <c r="M589" i="8"/>
  <c r="M588" i="8"/>
  <c r="M587" i="8"/>
  <c r="M586" i="8"/>
  <c r="M585" i="8"/>
  <c r="M584" i="8"/>
  <c r="M583" i="8"/>
  <c r="M582" i="8"/>
  <c r="M581" i="8"/>
  <c r="M580" i="8"/>
  <c r="M579" i="8"/>
  <c r="M578" i="8"/>
  <c r="M577" i="8"/>
  <c r="M576" i="8"/>
  <c r="M575" i="8"/>
  <c r="M574" i="8"/>
  <c r="M573" i="8"/>
  <c r="M572" i="8"/>
  <c r="M571" i="8"/>
  <c r="M570" i="8"/>
  <c r="M569" i="8"/>
  <c r="M568" i="8"/>
  <c r="M567" i="8"/>
  <c r="M566" i="8"/>
  <c r="M565" i="8"/>
  <c r="M564" i="8"/>
  <c r="M563" i="8"/>
  <c r="M562" i="8"/>
  <c r="M561" i="8"/>
  <c r="M560" i="8"/>
  <c r="M559" i="8"/>
  <c r="M558" i="8"/>
  <c r="M557" i="8"/>
  <c r="M556"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9" i="8"/>
  <c r="M8" i="8"/>
  <c r="M7" i="8"/>
  <c r="M6" i="8"/>
  <c r="M5" i="8"/>
  <c r="M4" i="8"/>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M3" i="10"/>
  <c r="M2" i="10"/>
  <c r="E474" i="10"/>
  <c r="E471" i="10"/>
  <c r="F468" i="10"/>
  <c r="H369" i="6"/>
  <c r="H368" i="6"/>
  <c r="H372" i="6"/>
  <c r="F367" i="6"/>
  <c r="E888" i="8"/>
  <c r="G9" i="8"/>
  <c r="P12" i="28" l="1"/>
  <c r="J11" i="28"/>
  <c r="J14" i="28" s="1"/>
  <c r="E37" i="2"/>
  <c r="D18" i="16"/>
  <c r="G29" i="16"/>
  <c r="G20" i="16"/>
  <c r="P32" i="16"/>
  <c r="Y27" i="16"/>
  <c r="Y25" i="16"/>
  <c r="V20" i="16"/>
  <c r="S19" i="16"/>
  <c r="P22" i="16"/>
  <c r="P18" i="16"/>
  <c r="M20" i="16"/>
  <c r="J29" i="16"/>
  <c r="J25" i="16"/>
  <c r="J21" i="16"/>
  <c r="D46" i="16"/>
  <c r="D42" i="16"/>
  <c r="D38" i="16"/>
  <c r="D34" i="16"/>
  <c r="D30" i="16"/>
  <c r="D26" i="16"/>
  <c r="D22" i="16"/>
  <c r="M22" i="16"/>
  <c r="J27" i="16"/>
  <c r="J19" i="16"/>
  <c r="D40" i="16"/>
  <c r="D32" i="16"/>
  <c r="D24" i="16"/>
  <c r="G21" i="16"/>
  <c r="P33" i="16"/>
  <c r="V26" i="16"/>
  <c r="V19" i="16"/>
  <c r="P19" i="16"/>
  <c r="J30" i="16"/>
  <c r="J22" i="16"/>
  <c r="D43" i="16"/>
  <c r="D35" i="16"/>
  <c r="D27" i="16"/>
  <c r="G32" i="16"/>
  <c r="G28" i="16"/>
  <c r="G19" i="16"/>
  <c r="P31" i="16"/>
  <c r="P27" i="16"/>
  <c r="P28" i="16" s="1"/>
  <c r="P8" i="16" s="1"/>
  <c r="V25" i="16"/>
  <c r="S20" i="16"/>
  <c r="Y18" i="16"/>
  <c r="P21" i="16"/>
  <c r="M23" i="16"/>
  <c r="M19" i="16"/>
  <c r="J28" i="16"/>
  <c r="J24" i="16"/>
  <c r="J20" i="16"/>
  <c r="D45" i="16"/>
  <c r="D41" i="16"/>
  <c r="D37" i="16"/>
  <c r="D33" i="16"/>
  <c r="D29" i="16"/>
  <c r="D25" i="16"/>
  <c r="D21" i="16"/>
  <c r="G31" i="16"/>
  <c r="G22" i="16"/>
  <c r="G18" i="16"/>
  <c r="Y29" i="16"/>
  <c r="Y26" i="16"/>
  <c r="Y24" i="16"/>
  <c r="Y19" i="16"/>
  <c r="V18" i="16"/>
  <c r="P20" i="16"/>
  <c r="M18" i="16"/>
  <c r="J23" i="16"/>
  <c r="D44" i="16"/>
  <c r="D36" i="16"/>
  <c r="D28" i="16"/>
  <c r="D20" i="16"/>
  <c r="G30" i="16"/>
  <c r="Y28" i="16"/>
  <c r="V24" i="16"/>
  <c r="S18" i="16"/>
  <c r="M21" i="16"/>
  <c r="J26" i="16"/>
  <c r="J18" i="16"/>
  <c r="D39" i="16"/>
  <c r="D31" i="16"/>
  <c r="D23" i="16"/>
  <c r="D19" i="16"/>
  <c r="H370" i="6"/>
  <c r="P32" i="14"/>
  <c r="Y27" i="14"/>
  <c r="Y25" i="14"/>
  <c r="V20" i="14"/>
  <c r="S19" i="14"/>
  <c r="P22" i="14"/>
  <c r="P18" i="14"/>
  <c r="M20" i="14"/>
  <c r="J29" i="14"/>
  <c r="J25" i="14"/>
  <c r="J21" i="14"/>
  <c r="G32" i="14"/>
  <c r="G28" i="14"/>
  <c r="G19" i="14"/>
  <c r="D44" i="14"/>
  <c r="D40" i="14"/>
  <c r="D36" i="14"/>
  <c r="D32" i="14"/>
  <c r="D28" i="14"/>
  <c r="D24" i="14"/>
  <c r="D20" i="14"/>
  <c r="P31" i="14"/>
  <c r="P27" i="14"/>
  <c r="P28" i="14" s="1"/>
  <c r="P8" i="14" s="1"/>
  <c r="T9" i="2" s="1"/>
  <c r="V25" i="14"/>
  <c r="S20" i="14"/>
  <c r="Y18" i="14"/>
  <c r="P21" i="14"/>
  <c r="M23" i="14"/>
  <c r="M19" i="14"/>
  <c r="J28" i="14"/>
  <c r="J24" i="14"/>
  <c r="J20" i="14"/>
  <c r="G31" i="14"/>
  <c r="G22" i="14"/>
  <c r="G18" i="14"/>
  <c r="D43" i="14"/>
  <c r="D39" i="14"/>
  <c r="D35" i="14"/>
  <c r="D31" i="14"/>
  <c r="D27" i="14"/>
  <c r="D23" i="14"/>
  <c r="D19" i="14"/>
  <c r="Y29" i="14"/>
  <c r="Y26" i="14"/>
  <c r="Y24" i="14"/>
  <c r="Y19" i="14"/>
  <c r="V18" i="14"/>
  <c r="P20" i="14"/>
  <c r="M22" i="14"/>
  <c r="M18" i="14"/>
  <c r="J27" i="14"/>
  <c r="J23" i="14"/>
  <c r="J19" i="14"/>
  <c r="G30" i="14"/>
  <c r="G21" i="14"/>
  <c r="D46" i="14"/>
  <c r="D42" i="14"/>
  <c r="D38" i="14"/>
  <c r="D34" i="14"/>
  <c r="D30" i="14"/>
  <c r="D26" i="14"/>
  <c r="D22" i="14"/>
  <c r="D18" i="14"/>
  <c r="P33" i="14"/>
  <c r="Y28" i="14"/>
  <c r="V26" i="14"/>
  <c r="V24" i="14"/>
  <c r="V19" i="14"/>
  <c r="S18" i="14"/>
  <c r="S21" i="14" s="1"/>
  <c r="P10" i="14" s="1"/>
  <c r="T11" i="2" s="1"/>
  <c r="P19" i="14"/>
  <c r="M21" i="14"/>
  <c r="J30" i="14"/>
  <c r="J26" i="14"/>
  <c r="J22" i="14"/>
  <c r="J18" i="14"/>
  <c r="G29" i="14"/>
  <c r="G20" i="14"/>
  <c r="D45" i="14"/>
  <c r="D41" i="14"/>
  <c r="D37" i="14"/>
  <c r="D33" i="14"/>
  <c r="D29" i="14"/>
  <c r="D25" i="14"/>
  <c r="D21" i="14"/>
  <c r="D44" i="13"/>
  <c r="D40" i="13"/>
  <c r="D36" i="13"/>
  <c r="D33" i="13"/>
  <c r="P31" i="13"/>
  <c r="G30" i="13"/>
  <c r="G29" i="13"/>
  <c r="J28" i="13"/>
  <c r="Y26" i="13"/>
  <c r="Y25" i="13"/>
  <c r="Y24" i="13"/>
  <c r="M23" i="13"/>
  <c r="M22" i="13"/>
  <c r="P21" i="13"/>
  <c r="D21" i="13"/>
  <c r="M20" i="13"/>
  <c r="Y19" i="13"/>
  <c r="M19" i="13"/>
  <c r="Y18" i="13"/>
  <c r="M18" i="13"/>
  <c r="D42" i="13"/>
  <c r="D34" i="13"/>
  <c r="D31" i="13"/>
  <c r="Y29" i="13"/>
  <c r="D28" i="13"/>
  <c r="J25" i="13"/>
  <c r="D23" i="13"/>
  <c r="J21" i="13"/>
  <c r="G20" i="13"/>
  <c r="G19" i="13"/>
  <c r="G18" i="13"/>
  <c r="D45" i="13"/>
  <c r="P33" i="13"/>
  <c r="J30" i="13"/>
  <c r="Y27" i="13"/>
  <c r="D26" i="13"/>
  <c r="D24" i="13"/>
  <c r="D22" i="13"/>
  <c r="P20" i="13"/>
  <c r="P19" i="13"/>
  <c r="P18" i="13"/>
  <c r="D43" i="13"/>
  <c r="D39" i="13"/>
  <c r="D35" i="13"/>
  <c r="P32" i="13"/>
  <c r="G31" i="13"/>
  <c r="D30" i="13"/>
  <c r="D29" i="13"/>
  <c r="G28" i="13"/>
  <c r="P27" i="13"/>
  <c r="P28" i="13" s="1"/>
  <c r="P8" i="13" s="1"/>
  <c r="V26" i="13"/>
  <c r="V25" i="13"/>
  <c r="V24" i="13"/>
  <c r="J23" i="13"/>
  <c r="J22" i="13"/>
  <c r="M21" i="13"/>
  <c r="V20" i="13"/>
  <c r="J20" i="13"/>
  <c r="V19" i="13"/>
  <c r="J19" i="13"/>
  <c r="V18" i="13"/>
  <c r="J18" i="13"/>
  <c r="D46" i="13"/>
  <c r="D38" i="13"/>
  <c r="G32" i="13"/>
  <c r="Y28" i="13"/>
  <c r="J27" i="13"/>
  <c r="J26" i="13"/>
  <c r="J24" i="13"/>
  <c r="G22" i="13"/>
  <c r="S20" i="13"/>
  <c r="S19" i="13"/>
  <c r="S18" i="13"/>
  <c r="D41" i="13"/>
  <c r="D37" i="13"/>
  <c r="D32" i="13"/>
  <c r="J29" i="13"/>
  <c r="D27" i="13"/>
  <c r="D25" i="13"/>
  <c r="P22" i="13"/>
  <c r="G21" i="13"/>
  <c r="D20" i="13"/>
  <c r="D19" i="13"/>
  <c r="D18" i="13"/>
  <c r="Y28" i="21"/>
  <c r="Y24" i="21"/>
  <c r="V25" i="21"/>
  <c r="V18" i="21"/>
  <c r="P33" i="21"/>
  <c r="P22" i="21"/>
  <c r="P18" i="21"/>
  <c r="M20" i="21"/>
  <c r="J29" i="21"/>
  <c r="J25" i="21"/>
  <c r="J21" i="21"/>
  <c r="G32" i="21"/>
  <c r="G28" i="21"/>
  <c r="G19" i="21"/>
  <c r="D44" i="21"/>
  <c r="D40" i="21"/>
  <c r="D32" i="21"/>
  <c r="D20" i="21"/>
  <c r="Y19" i="21"/>
  <c r="P32" i="21"/>
  <c r="M19" i="21"/>
  <c r="J20" i="21"/>
  <c r="G18" i="21"/>
  <c r="D39" i="21"/>
  <c r="D31" i="21"/>
  <c r="D27" i="21"/>
  <c r="Y26" i="21"/>
  <c r="V20" i="21"/>
  <c r="S19" i="21"/>
  <c r="P20" i="21"/>
  <c r="M18" i="21"/>
  <c r="J23" i="21"/>
  <c r="G30" i="21"/>
  <c r="D46" i="21"/>
  <c r="D38" i="21"/>
  <c r="D30" i="21"/>
  <c r="D22" i="21"/>
  <c r="Y29" i="21"/>
  <c r="Y25" i="21"/>
  <c r="V26" i="21"/>
  <c r="V19" i="21"/>
  <c r="S18" i="21"/>
  <c r="P27" i="21"/>
  <c r="P28" i="21" s="1"/>
  <c r="P8" i="21" s="1"/>
  <c r="Y9" i="2" s="1"/>
  <c r="P19" i="21"/>
  <c r="M21" i="21"/>
  <c r="J30" i="21"/>
  <c r="J26" i="21"/>
  <c r="J22" i="21"/>
  <c r="J18" i="21"/>
  <c r="G29" i="21"/>
  <c r="G20" i="21"/>
  <c r="D45" i="21"/>
  <c r="D41" i="21"/>
  <c r="D37" i="21"/>
  <c r="D33" i="21"/>
  <c r="D29" i="21"/>
  <c r="D25" i="21"/>
  <c r="D21" i="21"/>
  <c r="D36" i="21"/>
  <c r="D28" i="21"/>
  <c r="D24" i="21"/>
  <c r="Y27" i="21"/>
  <c r="V24" i="21"/>
  <c r="S20" i="21"/>
  <c r="P21" i="21"/>
  <c r="M23" i="21"/>
  <c r="J28" i="21"/>
  <c r="J24" i="21"/>
  <c r="G31" i="21"/>
  <c r="G22" i="21"/>
  <c r="D43" i="21"/>
  <c r="D35" i="21"/>
  <c r="D23" i="21"/>
  <c r="D19" i="21"/>
  <c r="Y18" i="21"/>
  <c r="Y20" i="21" s="1"/>
  <c r="P31" i="21"/>
  <c r="M22" i="21"/>
  <c r="J27" i="21"/>
  <c r="J19" i="21"/>
  <c r="G21" i="21"/>
  <c r="D42" i="21"/>
  <c r="D34" i="21"/>
  <c r="D26" i="21"/>
  <c r="D18" i="21"/>
  <c r="Y29" i="17"/>
  <c r="Y26" i="17"/>
  <c r="Y24" i="17"/>
  <c r="Y19" i="17"/>
  <c r="V18" i="17"/>
  <c r="P20" i="17"/>
  <c r="M22" i="17"/>
  <c r="M18" i="17"/>
  <c r="J27" i="17"/>
  <c r="J23" i="17"/>
  <c r="J19" i="17"/>
  <c r="G30" i="17"/>
  <c r="G21" i="17"/>
  <c r="D46" i="17"/>
  <c r="D42" i="17"/>
  <c r="D38" i="17"/>
  <c r="D34" i="17"/>
  <c r="D30" i="17"/>
  <c r="D26" i="17"/>
  <c r="D22" i="17"/>
  <c r="Y28" i="17"/>
  <c r="V24" i="17"/>
  <c r="S18" i="17"/>
  <c r="P19" i="17"/>
  <c r="J26" i="17"/>
  <c r="J18" i="17"/>
  <c r="G20" i="17"/>
  <c r="D41" i="17"/>
  <c r="D33" i="17"/>
  <c r="D25" i="17"/>
  <c r="Y27" i="17"/>
  <c r="V20" i="17"/>
  <c r="P22" i="17"/>
  <c r="M20" i="17"/>
  <c r="J25" i="17"/>
  <c r="G32" i="17"/>
  <c r="G19" i="17"/>
  <c r="D40" i="17"/>
  <c r="D32" i="17"/>
  <c r="D24" i="17"/>
  <c r="P31" i="17"/>
  <c r="P27" i="17"/>
  <c r="P28" i="17" s="1"/>
  <c r="P8" i="17" s="1"/>
  <c r="V25" i="17"/>
  <c r="S20" i="17"/>
  <c r="Y18" i="17"/>
  <c r="P21" i="17"/>
  <c r="M23" i="17"/>
  <c r="M19" i="17"/>
  <c r="J28" i="17"/>
  <c r="J24" i="17"/>
  <c r="J20" i="17"/>
  <c r="G31" i="17"/>
  <c r="G22" i="17"/>
  <c r="G18" i="17"/>
  <c r="D43" i="17"/>
  <c r="D39" i="17"/>
  <c r="D35" i="17"/>
  <c r="D31" i="17"/>
  <c r="D27" i="17"/>
  <c r="D23" i="17"/>
  <c r="D19" i="17"/>
  <c r="D18" i="17"/>
  <c r="P33" i="17"/>
  <c r="V26" i="17"/>
  <c r="V19" i="17"/>
  <c r="M21" i="17"/>
  <c r="J30" i="17"/>
  <c r="J22" i="17"/>
  <c r="G29" i="17"/>
  <c r="D45" i="17"/>
  <c r="D37" i="17"/>
  <c r="D29" i="17"/>
  <c r="D21" i="17"/>
  <c r="P32" i="17"/>
  <c r="Y25" i="17"/>
  <c r="S19" i="17"/>
  <c r="P18" i="17"/>
  <c r="J29" i="17"/>
  <c r="J21" i="17"/>
  <c r="G28" i="17"/>
  <c r="D44" i="17"/>
  <c r="D36" i="17"/>
  <c r="D28" i="17"/>
  <c r="D20" i="17"/>
  <c r="Y29" i="18"/>
  <c r="Y26" i="18"/>
  <c r="Y24" i="18"/>
  <c r="Y19" i="18"/>
  <c r="V18" i="18"/>
  <c r="P20" i="18"/>
  <c r="M22" i="18"/>
  <c r="M18" i="18"/>
  <c r="J27" i="18"/>
  <c r="J23" i="18"/>
  <c r="J19" i="18"/>
  <c r="G30" i="18"/>
  <c r="G21" i="18"/>
  <c r="D46" i="18"/>
  <c r="D42" i="18"/>
  <c r="D38" i="18"/>
  <c r="D34" i="18"/>
  <c r="D30" i="18"/>
  <c r="D26" i="18"/>
  <c r="D22" i="18"/>
  <c r="D18" i="18"/>
  <c r="P32" i="18"/>
  <c r="V20" i="18"/>
  <c r="P22" i="18"/>
  <c r="M20" i="18"/>
  <c r="J25" i="18"/>
  <c r="G32" i="18"/>
  <c r="G19" i="18"/>
  <c r="D40" i="18"/>
  <c r="D32" i="18"/>
  <c r="D24" i="18"/>
  <c r="P31" i="18"/>
  <c r="S20" i="18"/>
  <c r="P21" i="18"/>
  <c r="M19" i="18"/>
  <c r="J24" i="18"/>
  <c r="G31" i="18"/>
  <c r="G18" i="18"/>
  <c r="D39" i="18"/>
  <c r="D31" i="18"/>
  <c r="D23" i="18"/>
  <c r="P33" i="18"/>
  <c r="Y28" i="18"/>
  <c r="V26" i="18"/>
  <c r="V24" i="18"/>
  <c r="V19" i="18"/>
  <c r="S18" i="18"/>
  <c r="P19" i="18"/>
  <c r="M21" i="18"/>
  <c r="J30" i="18"/>
  <c r="J26" i="18"/>
  <c r="J22" i="18"/>
  <c r="J18" i="18"/>
  <c r="G29" i="18"/>
  <c r="G20" i="18"/>
  <c r="D45" i="18"/>
  <c r="D41" i="18"/>
  <c r="D37" i="18"/>
  <c r="D33" i="18"/>
  <c r="D29" i="18"/>
  <c r="D25" i="18"/>
  <c r="D21" i="18"/>
  <c r="Y27" i="18"/>
  <c r="Y25" i="18"/>
  <c r="S19" i="18"/>
  <c r="P18" i="18"/>
  <c r="J29" i="18"/>
  <c r="J21" i="18"/>
  <c r="G28" i="18"/>
  <c r="D44" i="18"/>
  <c r="D36" i="18"/>
  <c r="D28" i="18"/>
  <c r="D20" i="18"/>
  <c r="P27" i="18"/>
  <c r="P28" i="18" s="1"/>
  <c r="P8" i="18" s="1"/>
  <c r="V25" i="18"/>
  <c r="Y18" i="18"/>
  <c r="M23" i="18"/>
  <c r="J28" i="18"/>
  <c r="J20" i="18"/>
  <c r="G22" i="18"/>
  <c r="D43" i="18"/>
  <c r="D35" i="18"/>
  <c r="D27" i="18"/>
  <c r="D19" i="18"/>
  <c r="E889" i="8"/>
  <c r="E890" i="8" s="1"/>
  <c r="E472" i="10"/>
  <c r="I11" i="2" s="1"/>
  <c r="Z13" i="2" l="1"/>
  <c r="P15" i="28"/>
  <c r="O1" i="28" s="1"/>
  <c r="S9" i="2"/>
  <c r="I4" i="13"/>
  <c r="I3" i="13"/>
  <c r="I6" i="13"/>
  <c r="I5" i="13"/>
  <c r="I4" i="16"/>
  <c r="I6" i="16"/>
  <c r="V9" i="2"/>
  <c r="I3" i="16"/>
  <c r="AC9" i="2"/>
  <c r="I5" i="16"/>
  <c r="D47" i="13"/>
  <c r="I12" i="2"/>
  <c r="G33" i="13"/>
  <c r="P4" i="13" s="1"/>
  <c r="Y20" i="13"/>
  <c r="J12" i="13" s="1"/>
  <c r="I13" i="2"/>
  <c r="J31" i="16"/>
  <c r="P5" i="16" s="1"/>
  <c r="X9" i="2"/>
  <c r="W9" i="2"/>
  <c r="S21" i="17"/>
  <c r="P10" i="17" s="1"/>
  <c r="Y20" i="17"/>
  <c r="P34" i="21"/>
  <c r="P9" i="21" s="1"/>
  <c r="Y10" i="2" s="1"/>
  <c r="S21" i="18"/>
  <c r="P10" i="18" s="1"/>
  <c r="V27" i="21"/>
  <c r="P12" i="21" s="1"/>
  <c r="Y13" i="2" s="1"/>
  <c r="P23" i="21"/>
  <c r="P7" i="21" s="1"/>
  <c r="Y8" i="2" s="1"/>
  <c r="S21" i="21"/>
  <c r="P10" i="21" s="1"/>
  <c r="Y11" i="2" s="1"/>
  <c r="M11" i="2"/>
  <c r="M18" i="2" s="1"/>
  <c r="V21" i="16"/>
  <c r="P11" i="16" s="1"/>
  <c r="P34" i="14"/>
  <c r="P9" i="14" s="1"/>
  <c r="T10" i="2" s="1"/>
  <c r="V21" i="14"/>
  <c r="M24" i="16"/>
  <c r="Y30" i="16"/>
  <c r="G33" i="16"/>
  <c r="P4" i="16" s="1"/>
  <c r="P23" i="16"/>
  <c r="P7" i="16" s="1"/>
  <c r="I33" i="2"/>
  <c r="V27" i="16"/>
  <c r="P12" i="16" s="1"/>
  <c r="I31" i="2"/>
  <c r="I34" i="2"/>
  <c r="S21" i="16"/>
  <c r="P10" i="16" s="1"/>
  <c r="D47" i="16"/>
  <c r="Y20" i="16"/>
  <c r="P34" i="16"/>
  <c r="P9" i="16" s="1"/>
  <c r="I32" i="2"/>
  <c r="C20" i="2" s="1"/>
  <c r="D47" i="14"/>
  <c r="P11" i="14"/>
  <c r="T12" i="2" s="1"/>
  <c r="P23" i="14"/>
  <c r="P7" i="14" s="1"/>
  <c r="T8" i="2" s="1"/>
  <c r="Y30" i="14"/>
  <c r="G33" i="14"/>
  <c r="P4" i="14" s="1"/>
  <c r="T5" i="2" s="1"/>
  <c r="J31" i="14"/>
  <c r="P5" i="14" s="1"/>
  <c r="T6" i="2" s="1"/>
  <c r="Y20" i="14"/>
  <c r="V27" i="14"/>
  <c r="P12" i="14" s="1"/>
  <c r="T13" i="2" s="1"/>
  <c r="M24" i="14"/>
  <c r="J31" i="13"/>
  <c r="P5" i="13" s="1"/>
  <c r="I10" i="2"/>
  <c r="M24" i="13"/>
  <c r="P13" i="13"/>
  <c r="Y30" i="13"/>
  <c r="J13" i="13" s="1"/>
  <c r="S21" i="13"/>
  <c r="P10" i="13" s="1"/>
  <c r="V21" i="13"/>
  <c r="V27" i="13"/>
  <c r="P12" i="13" s="1"/>
  <c r="P23" i="13"/>
  <c r="P7" i="13" s="1"/>
  <c r="P34" i="13"/>
  <c r="P9" i="13" s="1"/>
  <c r="Y30" i="17"/>
  <c r="D47" i="17"/>
  <c r="G33" i="17"/>
  <c r="P4" i="17" s="1"/>
  <c r="V27" i="17"/>
  <c r="P12" i="17" s="1"/>
  <c r="M24" i="17"/>
  <c r="D47" i="21"/>
  <c r="M24" i="21"/>
  <c r="V21" i="21"/>
  <c r="P13" i="21"/>
  <c r="Y14" i="2" s="1"/>
  <c r="J12" i="21"/>
  <c r="G33" i="21"/>
  <c r="P4" i="21" s="1"/>
  <c r="Y5" i="2" s="1"/>
  <c r="J31" i="17"/>
  <c r="P5" i="17" s="1"/>
  <c r="Y30" i="21"/>
  <c r="P14" i="21" s="1"/>
  <c r="P23" i="17"/>
  <c r="P7" i="17" s="1"/>
  <c r="P34" i="17"/>
  <c r="P9" i="17" s="1"/>
  <c r="V21" i="17"/>
  <c r="J31" i="21"/>
  <c r="P5" i="21" s="1"/>
  <c r="Y6" i="2" s="1"/>
  <c r="P23" i="18"/>
  <c r="P7" i="18" s="1"/>
  <c r="J31" i="18"/>
  <c r="P5" i="18" s="1"/>
  <c r="V27" i="18"/>
  <c r="P12" i="18" s="1"/>
  <c r="M24" i="18"/>
  <c r="V21" i="18"/>
  <c r="P11" i="18" s="1"/>
  <c r="D47" i="18"/>
  <c r="Y20" i="18"/>
  <c r="Y30" i="18"/>
  <c r="G33" i="18"/>
  <c r="P4" i="18" s="1"/>
  <c r="P34" i="18"/>
  <c r="P9" i="18" s="1"/>
  <c r="M13" i="2"/>
  <c r="M20" i="2" s="1"/>
  <c r="A468" i="10"/>
  <c r="AB13" i="2" l="1"/>
  <c r="Z16" i="2"/>
  <c r="AB16" i="2" s="1"/>
  <c r="S13" i="2"/>
  <c r="AC13" i="2" s="1"/>
  <c r="S14" i="2"/>
  <c r="J11" i="13"/>
  <c r="S10" i="2"/>
  <c r="S11" i="2"/>
  <c r="C22" i="2"/>
  <c r="S5" i="2"/>
  <c r="I7" i="13"/>
  <c r="S8" i="2"/>
  <c r="AC8" i="2" s="1"/>
  <c r="S6" i="2"/>
  <c r="P3" i="13"/>
  <c r="J9" i="13"/>
  <c r="J10" i="13"/>
  <c r="V8" i="2"/>
  <c r="V13" i="2"/>
  <c r="V12" i="2"/>
  <c r="V11" i="2"/>
  <c r="AC11" i="2" s="1"/>
  <c r="I7" i="16"/>
  <c r="V10" i="2"/>
  <c r="AC10" i="2" s="1"/>
  <c r="V5" i="2"/>
  <c r="V6" i="2"/>
  <c r="J9" i="21"/>
  <c r="X5" i="2"/>
  <c r="X8" i="2"/>
  <c r="X13" i="2"/>
  <c r="X11" i="2"/>
  <c r="X10" i="2"/>
  <c r="X6" i="2"/>
  <c r="W6" i="2"/>
  <c r="W13" i="2"/>
  <c r="W10" i="2"/>
  <c r="W5" i="2"/>
  <c r="W8" i="2"/>
  <c r="W11" i="2"/>
  <c r="P13" i="17"/>
  <c r="J12" i="17"/>
  <c r="M10" i="2"/>
  <c r="M17" i="2" s="1"/>
  <c r="C19" i="2" s="1"/>
  <c r="M12" i="2"/>
  <c r="M19" i="2" s="1"/>
  <c r="C21" i="2" s="1"/>
  <c r="P13" i="16"/>
  <c r="J12" i="16"/>
  <c r="J9" i="16"/>
  <c r="P3" i="16"/>
  <c r="J11" i="16"/>
  <c r="P14" i="16"/>
  <c r="J13" i="16"/>
  <c r="J10" i="16"/>
  <c r="P6" i="16"/>
  <c r="I35" i="2"/>
  <c r="J12" i="14"/>
  <c r="P13" i="14"/>
  <c r="T14" i="2" s="1"/>
  <c r="J9" i="14"/>
  <c r="P3" i="14"/>
  <c r="P6" i="14"/>
  <c r="T7" i="2" s="1"/>
  <c r="J10" i="14"/>
  <c r="J13" i="14"/>
  <c r="P14" i="14"/>
  <c r="T15" i="2" s="1"/>
  <c r="J11" i="14"/>
  <c r="I14" i="2"/>
  <c r="P6" i="13"/>
  <c r="P14" i="13"/>
  <c r="P11" i="13"/>
  <c r="P6" i="21"/>
  <c r="Y7" i="2" s="1"/>
  <c r="J10" i="21"/>
  <c r="P3" i="21"/>
  <c r="Y4" i="2" s="1"/>
  <c r="J9" i="17"/>
  <c r="P3" i="17"/>
  <c r="Y15" i="2"/>
  <c r="J13" i="21"/>
  <c r="J10" i="17"/>
  <c r="P6" i="17"/>
  <c r="J13" i="17"/>
  <c r="P14" i="17"/>
  <c r="P11" i="17"/>
  <c r="J11" i="17"/>
  <c r="P11" i="21"/>
  <c r="Y12" i="2" s="1"/>
  <c r="J11" i="21"/>
  <c r="P6" i="18"/>
  <c r="J10" i="18"/>
  <c r="X12" i="2"/>
  <c r="J11" i="18"/>
  <c r="J13" i="18"/>
  <c r="P14" i="18"/>
  <c r="J12" i="18"/>
  <c r="P13" i="18"/>
  <c r="J9" i="18"/>
  <c r="P3" i="18"/>
  <c r="G851" i="8"/>
  <c r="G848" i="8"/>
  <c r="G843" i="8"/>
  <c r="G841" i="8"/>
  <c r="G839" i="8"/>
  <c r="G835" i="8"/>
  <c r="G833" i="8"/>
  <c r="G831" i="8"/>
  <c r="G825" i="8"/>
  <c r="G819" i="8"/>
  <c r="G816" i="8"/>
  <c r="G814" i="8"/>
  <c r="G812" i="8"/>
  <c r="G805" i="8"/>
  <c r="G803" i="8"/>
  <c r="G801" i="8"/>
  <c r="G798" i="8"/>
  <c r="G796" i="8"/>
  <c r="G789" i="8"/>
  <c r="G786" i="8"/>
  <c r="G782" i="8"/>
  <c r="G778" i="8"/>
  <c r="G776" i="8"/>
  <c r="G774" i="8"/>
  <c r="G709" i="8"/>
  <c r="G706" i="8"/>
  <c r="G702" i="8"/>
  <c r="G700" i="8"/>
  <c r="G689" i="8"/>
  <c r="G687" i="8"/>
  <c r="G677" i="8"/>
  <c r="G673" i="8"/>
  <c r="G669" i="8"/>
  <c r="G654" i="8"/>
  <c r="G647" i="8"/>
  <c r="G636" i="8"/>
  <c r="G625" i="8"/>
  <c r="G602" i="8"/>
  <c r="G596" i="8"/>
  <c r="G594" i="8"/>
  <c r="G592" i="8"/>
  <c r="G589" i="8"/>
  <c r="G587" i="8"/>
  <c r="G585" i="8"/>
  <c r="G583" i="8"/>
  <c r="G565" i="8"/>
  <c r="G560" i="8"/>
  <c r="G494" i="8"/>
  <c r="G492" i="8"/>
  <c r="G490" i="8"/>
  <c r="G487" i="8"/>
  <c r="G449" i="8"/>
  <c r="G447" i="8"/>
  <c r="G445" i="8"/>
  <c r="G443" i="8"/>
  <c r="G437" i="8"/>
  <c r="G435" i="8"/>
  <c r="G433" i="8"/>
  <c r="G430" i="8"/>
  <c r="G428" i="8"/>
  <c r="G426" i="8"/>
  <c r="G423" i="8"/>
  <c r="G421" i="8"/>
  <c r="G419" i="8"/>
  <c r="G414" i="8"/>
  <c r="G408" i="8"/>
  <c r="G391" i="8"/>
  <c r="G388" i="8"/>
  <c r="G385" i="8"/>
  <c r="G382" i="8"/>
  <c r="G380" i="8"/>
  <c r="G377" i="8"/>
  <c r="G373" i="8"/>
  <c r="G371" i="8"/>
  <c r="G369" i="8"/>
  <c r="G367" i="8"/>
  <c r="G364" i="8"/>
  <c r="G347" i="8"/>
  <c r="G340" i="8"/>
  <c r="G334" i="8"/>
  <c r="G332" i="8"/>
  <c r="G320" i="8"/>
  <c r="G317" i="8"/>
  <c r="G314" i="8"/>
  <c r="G311" i="8"/>
  <c r="G284" i="8"/>
  <c r="G280" i="8"/>
  <c r="G277" i="8"/>
  <c r="G273" i="8"/>
  <c r="G265" i="8"/>
  <c r="G263" i="8"/>
  <c r="G255" i="8"/>
  <c r="G253" i="8"/>
  <c r="G248" i="8"/>
  <c r="G233" i="8"/>
  <c r="G230" i="8"/>
  <c r="G228" i="8"/>
  <c r="G215" i="8"/>
  <c r="G209" i="8"/>
  <c r="G206" i="8"/>
  <c r="G204" i="8"/>
  <c r="G200" i="8"/>
  <c r="G195" i="8"/>
  <c r="G193" i="8"/>
  <c r="G190" i="8"/>
  <c r="G170" i="8"/>
  <c r="G166" i="8"/>
  <c r="G158" i="8"/>
  <c r="G155" i="8"/>
  <c r="G152" i="8"/>
  <c r="G142" i="8"/>
  <c r="G140" i="8"/>
  <c r="G138" i="8"/>
  <c r="G136" i="8"/>
  <c r="G134" i="8"/>
  <c r="G132" i="8"/>
  <c r="G129" i="8"/>
  <c r="G127" i="8"/>
  <c r="G112" i="8"/>
  <c r="G108" i="8"/>
  <c r="G105" i="8"/>
  <c r="G97" i="8"/>
  <c r="G95" i="8"/>
  <c r="G93" i="8"/>
  <c r="G57" i="8"/>
  <c r="G53" i="8"/>
  <c r="G51" i="8"/>
  <c r="G48" i="8"/>
  <c r="G46" i="8"/>
  <c r="G43" i="8"/>
  <c r="G39" i="8"/>
  <c r="G35" i="8"/>
  <c r="G22" i="8"/>
  <c r="G19" i="8"/>
  <c r="G17" i="8"/>
  <c r="G7" i="8"/>
  <c r="G3" i="8"/>
  <c r="C23" i="2" l="1"/>
  <c r="G853" i="8"/>
  <c r="G886" i="8" s="1"/>
  <c r="S7" i="2"/>
  <c r="AC7" i="2" s="1"/>
  <c r="AK4" i="2" s="1"/>
  <c r="AC5" i="2"/>
  <c r="S4" i="2"/>
  <c r="AC6" i="2"/>
  <c r="J14" i="13"/>
  <c r="S15" i="2"/>
  <c r="S12" i="2"/>
  <c r="AC12" i="2" s="1"/>
  <c r="AK5" i="2" s="1"/>
  <c r="V15" i="2"/>
  <c r="V7" i="2"/>
  <c r="V14" i="2"/>
  <c r="AC14" i="2" s="1"/>
  <c r="AK6" i="2" s="1"/>
  <c r="M21" i="2"/>
  <c r="X15" i="2"/>
  <c r="X7" i="2"/>
  <c r="X14" i="2"/>
  <c r="X4" i="2"/>
  <c r="W7" i="2"/>
  <c r="W4" i="2"/>
  <c r="W14" i="2"/>
  <c r="W12" i="2"/>
  <c r="W15" i="2"/>
  <c r="M14" i="2"/>
  <c r="Y16" i="2"/>
  <c r="V4" i="2"/>
  <c r="P15" i="16"/>
  <c r="O1" i="16" s="1"/>
  <c r="J14" i="16"/>
  <c r="P15" i="14"/>
  <c r="O1" i="14" s="1"/>
  <c r="T4" i="2"/>
  <c r="T16" i="2" s="1"/>
  <c r="J14" i="14"/>
  <c r="P15" i="13"/>
  <c r="O1" i="13" s="1"/>
  <c r="P15" i="21"/>
  <c r="O1" i="21" s="1"/>
  <c r="J14" i="21"/>
  <c r="P15" i="17"/>
  <c r="O1" i="17" s="1"/>
  <c r="J14" i="17"/>
  <c r="P15" i="18"/>
  <c r="O1" i="18" s="1"/>
  <c r="J14" i="18"/>
  <c r="D91" i="4"/>
  <c r="O88" i="4"/>
  <c r="N88" i="4"/>
  <c r="F88" i="4"/>
  <c r="S16" i="2" l="1"/>
  <c r="AC15" i="2"/>
  <c r="AK7" i="2" s="1"/>
  <c r="V16" i="2"/>
  <c r="AC4" i="2"/>
  <c r="AC16" i="2"/>
  <c r="W16" i="2"/>
  <c r="X16" i="2"/>
  <c r="AK3" i="2" l="1"/>
  <c r="AK8" i="2" s="1"/>
  <c r="AE4" i="2"/>
  <c r="AE6" i="2"/>
  <c r="AE8" i="2"/>
  <c r="AE9" i="2"/>
  <c r="AE11" i="2"/>
  <c r="AE13" i="2"/>
  <c r="AE12" i="2"/>
  <c r="AE5" i="2"/>
  <c r="AE15" i="2"/>
  <c r="AE10" i="2"/>
  <c r="AE14" i="2"/>
  <c r="AE7" i="2"/>
  <c r="AL5" i="2" l="1"/>
  <c r="AL7" i="2"/>
  <c r="AL3" i="2"/>
  <c r="AG9" i="2"/>
  <c r="AG15" i="2"/>
  <c r="AF8" i="2"/>
  <c r="AG6" i="2"/>
  <c r="AG5" i="2"/>
  <c r="AG4" i="2"/>
  <c r="AF14" i="2"/>
  <c r="AG11" i="2"/>
  <c r="AF4" i="2"/>
  <c r="AF15" i="2"/>
  <c r="AF10" i="2"/>
  <c r="AF13" i="2"/>
  <c r="AF6" i="2"/>
  <c r="AG7" i="2"/>
  <c r="AG14" i="2"/>
  <c r="AF11" i="2"/>
  <c r="AG12" i="2"/>
  <c r="AF9" i="2"/>
  <c r="AG13" i="2"/>
  <c r="AF5" i="2"/>
  <c r="AF12" i="2"/>
  <c r="AG10" i="2"/>
  <c r="AF7" i="2"/>
  <c r="AG8" i="2"/>
  <c r="AN3" i="2"/>
  <c r="AN7" i="2"/>
  <c r="AN5" i="2"/>
  <c r="AN4" i="2"/>
  <c r="AN6" i="2"/>
  <c r="AL6" i="2"/>
  <c r="AL4" i="2"/>
  <c r="AL8" i="2" l="1"/>
  <c r="AP6" i="2"/>
  <c r="AP4" i="2"/>
  <c r="AP7" i="2"/>
  <c r="AO3" i="2"/>
  <c r="AP5" i="2"/>
  <c r="AO7" i="2"/>
  <c r="AO4" i="2"/>
  <c r="AO6" i="2"/>
  <c r="AO5" i="2"/>
  <c r="AP3" i="2"/>
  <c r="AQ4" i="2"/>
  <c r="AQ3" i="2"/>
  <c r="AQ6" i="2"/>
  <c r="AQ7" i="2"/>
  <c r="AQ5" i="2"/>
  <c r="AQ8" i="2" l="1"/>
  <c r="AP8" i="2"/>
  <c r="C100" i="54" l="1"/>
  <c r="Z33" i="57"/>
  <c r="Y33" i="57"/>
</calcChain>
</file>

<file path=xl/sharedStrings.xml><?xml version="1.0" encoding="utf-8"?>
<sst xmlns="http://schemas.openxmlformats.org/spreadsheetml/2006/main" count="209002" uniqueCount="28323">
  <si>
    <t>Nadzór i administracja</t>
  </si>
  <si>
    <t>Usługi - finansowe, HR inne</t>
  </si>
  <si>
    <t>Przemysł high-tech</t>
  </si>
  <si>
    <t>Budownictwo</t>
  </si>
  <si>
    <t>Zdrowie i opieka społeczna</t>
  </si>
  <si>
    <t>Informacja i edukacja</t>
  </si>
  <si>
    <t>Prace proste</t>
  </si>
  <si>
    <t>Urzędnik podatkowy</t>
  </si>
  <si>
    <t>Sprzedawca</t>
  </si>
  <si>
    <t>Specjalista bankowo¶ci</t>
  </si>
  <si>
    <t>Programista aplikacji</t>
  </si>
  <si>
    <t>Inżynier mechanik, mechatronik</t>
  </si>
  <si>
    <t>Kierownik budowy</t>
  </si>
  <si>
    <t>Lekarz weterynarii</t>
  </si>
  <si>
    <t>Dziennikarz</t>
  </si>
  <si>
    <t>Pozostali pracownicy zajmuj±cy się sprz±taniem gdzie indziej niesklasyfikowani</t>
  </si>
  <si>
    <t>Audytor energetyczny, kontroler</t>
  </si>
  <si>
    <t>Przedstawiciel handlowy</t>
  </si>
  <si>
    <t>Specjalista do spraw rekrutacji pracowników</t>
  </si>
  <si>
    <t>Inżynier automatyki i robotyki</t>
  </si>
  <si>
    <t>Specjalista kontroli jakości</t>
  </si>
  <si>
    <t>Inżynier budownictwa - budownictwo ogólne</t>
  </si>
  <si>
    <t>Farmaceuta</t>
  </si>
  <si>
    <t>Socjolog</t>
  </si>
  <si>
    <t>Sprz±taczka biurowa</t>
  </si>
  <si>
    <t>Kontroler rozliczeń podatkowych</t>
  </si>
  <si>
    <t>Doradca kleinta</t>
  </si>
  <si>
    <t>Specjalista do spraw kadr</t>
  </si>
  <si>
    <t>Inżynier elektronik, elektryk, elektryk automatyk</t>
  </si>
  <si>
    <t>Operator obrabiarek sterowanych numerycznie</t>
  </si>
  <si>
    <t>Inżynier budowy dróg</t>
  </si>
  <si>
    <t>Fizjoterapeuta</t>
  </si>
  <si>
    <t>Nauczyciel instruktor, p. zawodowych</t>
  </si>
  <si>
    <t>Robotnik gospodarczy</t>
  </si>
  <si>
    <t>Naczelnik / kierownik wydziału</t>
  </si>
  <si>
    <t>Regionalny kierownik sprzedaży</t>
  </si>
  <si>
    <t>Księgowy</t>
  </si>
  <si>
    <t>Inżynier systemów i sieci komputerowych</t>
  </si>
  <si>
    <t>Elektromechanik, elektromonter, elektryk</t>
  </si>
  <si>
    <t>Technik budownictwa*</t>
  </si>
  <si>
    <t>Lekarz dentysta - specjalista protetyki stomatologicznej</t>
  </si>
  <si>
    <t>Edukator</t>
  </si>
  <si>
    <t>Technik bezpieczeństwa i higieny pracy*</t>
  </si>
  <si>
    <t>Specjalista do spraw marketingu i handlu</t>
  </si>
  <si>
    <t>Doradca do spraw odszkodowań, nieruchomości i finansów</t>
  </si>
  <si>
    <t>Inżynier inżynierii materiałowej</t>
  </si>
  <si>
    <t>Administrator systemów komputerowych</t>
  </si>
  <si>
    <t>Cieśla</t>
  </si>
  <si>
    <t>Protetyk słuchu*</t>
  </si>
  <si>
    <t>Lektor języka angielskiego</t>
  </si>
  <si>
    <t>Agent celny</t>
  </si>
  <si>
    <t>Kasjer handlowy</t>
  </si>
  <si>
    <t>Kierownik działu logistyki, szkoleń, transportu</t>
  </si>
  <si>
    <t>Technolog programista CNC</t>
  </si>
  <si>
    <t>Inżynier utrzymania ruchu</t>
  </si>
  <si>
    <t>Inspektor budowy dróg</t>
  </si>
  <si>
    <t>Technik ortopeda*</t>
  </si>
  <si>
    <t>Telemarketer</t>
  </si>
  <si>
    <t>Poborca skarbowy</t>
  </si>
  <si>
    <t>Kierowca</t>
  </si>
  <si>
    <t>Analityk biznesowy, finansowy i kredytowy</t>
  </si>
  <si>
    <t>Projektant / architekt systemów teleinformatycznych</t>
  </si>
  <si>
    <t>Operator zautomatyzowanej linii produkcyjnej</t>
  </si>
  <si>
    <t>Kosztorysant budowlany</t>
  </si>
  <si>
    <t>Technik weterynarii</t>
  </si>
  <si>
    <t>Ankieter</t>
  </si>
  <si>
    <t>Kontroler finansowy</t>
  </si>
  <si>
    <t>Magazynier</t>
  </si>
  <si>
    <t>Specjalista do spraw szkoleń</t>
  </si>
  <si>
    <t>Inżynier telekomunikacji</t>
  </si>
  <si>
    <t>Technicy elektronik, elektryk i energetyk</t>
  </si>
  <si>
    <t>Technik geodeta*</t>
  </si>
  <si>
    <t>Drukarz</t>
  </si>
  <si>
    <t>Rzecznik patentowy</t>
  </si>
  <si>
    <t>Kierownik sklepu / supermarketu</t>
  </si>
  <si>
    <t>Asystent prawny, zarządu</t>
  </si>
  <si>
    <t>Projektant aplikacji multimedialnych, animacji i gier komputerowych oraz grafiki</t>
  </si>
  <si>
    <t>Technik mechanik</t>
  </si>
  <si>
    <t>Pomocniczy robotnik drogowy</t>
  </si>
  <si>
    <t>Technik analizy i monitoringu ¶rodowiska</t>
  </si>
  <si>
    <t>Specjalista do spraw kluczowych klientów (key account manager)</t>
  </si>
  <si>
    <t>Doradca do spraw leasingu</t>
  </si>
  <si>
    <t>Administrator baz danych</t>
  </si>
  <si>
    <t>Spawacz</t>
  </si>
  <si>
    <t>Technik ochrony fizycznej osób i mienia*</t>
  </si>
  <si>
    <t>Specjalista do spraw sprzedaży</t>
  </si>
  <si>
    <t>Główny księgowy</t>
  </si>
  <si>
    <t>Operator CAD</t>
  </si>
  <si>
    <t>Ślusarz</t>
  </si>
  <si>
    <t>Pracownik ochrony fizycznej</t>
  </si>
  <si>
    <t>Dyrektor finansowy, handlowy, logistyki i sprzedaży</t>
  </si>
  <si>
    <t>Specjalista do spraw rachunkowo¶ci</t>
  </si>
  <si>
    <t>Konserwator sieci i systemów komputerowych</t>
  </si>
  <si>
    <t>Inżynier inżynierii środowiska</t>
  </si>
  <si>
    <t>Rzeczoznawca samochodowy</t>
  </si>
  <si>
    <t>Kierownik do spraw sprzedaży</t>
  </si>
  <si>
    <t>Pośrednicy finansowi, w obrocie nieruchomościami</t>
  </si>
  <si>
    <t>Konsultant do spraw systemów teleinformatycznych</t>
  </si>
  <si>
    <t>Inżynier technologii chemicznej</t>
  </si>
  <si>
    <t>Sekretarka</t>
  </si>
  <si>
    <t>Specjalista do spraw logistyki</t>
  </si>
  <si>
    <t>Radca prawny</t>
  </si>
  <si>
    <t>Grafik komputerowy DTP</t>
  </si>
  <si>
    <t>Kierownik produkcji w przemyśle</t>
  </si>
  <si>
    <t>Technik prac biurowych*</t>
  </si>
  <si>
    <t>Technik spedytor*</t>
  </si>
  <si>
    <t>Asystent dyrektora</t>
  </si>
  <si>
    <t>Monter sieci telekomunikacyjnych</t>
  </si>
  <si>
    <t>Lakiernik proszkowy, lakiernik</t>
  </si>
  <si>
    <t>Konserwator zabytków architektury</t>
  </si>
  <si>
    <t>Ekspozytor towarów (merchandiser)</t>
  </si>
  <si>
    <t>Agent ubezpieczeniowy</t>
  </si>
  <si>
    <t>Monter konstrukcji stalowych</t>
  </si>
  <si>
    <t>Opiekun klienta</t>
  </si>
  <si>
    <t>Inwentaryzator</t>
  </si>
  <si>
    <t>Technik automatyk*</t>
  </si>
  <si>
    <t>Kierownik działu zakupów, kas</t>
  </si>
  <si>
    <t>Pracownik obsługi płacowej</t>
  </si>
  <si>
    <t>Chemik - technologia chemiczna</t>
  </si>
  <si>
    <t>Spedytor</t>
  </si>
  <si>
    <t>Specjalista do spraw ubezpieczeń majątkowych i osobowych</t>
  </si>
  <si>
    <t>Inżynier organizacji i planowania produkcji</t>
  </si>
  <si>
    <t>Agent do spraw zakupów</t>
  </si>
  <si>
    <t>Specjalista zarz±dzania ryzykiem (underwriter)</t>
  </si>
  <si>
    <t>Kontroler jakości połączeń spawanych, wyrobów przemysłowych</t>
  </si>
  <si>
    <t>Dekorator sklepów</t>
  </si>
  <si>
    <t>Kierownik do spraw windykacji</t>
  </si>
  <si>
    <t>Mechanik maszyn i urz±dzeń przemysłowych</t>
  </si>
  <si>
    <t>Konsultant / agent sprzedaży bezpo¶redniej</t>
  </si>
  <si>
    <t>Kierownik projektu</t>
  </si>
  <si>
    <t>Monter maszyn i urządzeń</t>
  </si>
  <si>
    <t>Technik handlowiec</t>
  </si>
  <si>
    <t>Monter-mechanik rowerów / wózków</t>
  </si>
  <si>
    <t>Technik logistyk*</t>
  </si>
  <si>
    <t>Usługi gastronomiczne</t>
  </si>
  <si>
    <t>technik mechatronik</t>
  </si>
  <si>
    <t>Inżynier sprzedaży</t>
  </si>
  <si>
    <t>Kelner*</t>
  </si>
  <si>
    <t>Docieracz polerowacz</t>
  </si>
  <si>
    <t>Kasjer w zakładzie pracy</t>
  </si>
  <si>
    <t>Kierownik lokalu gastronomicznego</t>
  </si>
  <si>
    <t>Hartownik</t>
  </si>
  <si>
    <t>Organizator obsługi sprzedaży internetowej</t>
  </si>
  <si>
    <t>Gospodarz domu</t>
  </si>
  <si>
    <t>Inżynier technologii drewna</t>
  </si>
  <si>
    <t>Pozostali pracownicy sprzedaży i pokrewni gdzie indziej niesklasyfikowani</t>
  </si>
  <si>
    <t>Kosmetolog, kosmetyczka</t>
  </si>
  <si>
    <t>Kierownik do spraw kontroli jakości</t>
  </si>
  <si>
    <t>Pracownik działu logistyki</t>
  </si>
  <si>
    <t>Kucharz</t>
  </si>
  <si>
    <t>Kierownik utrzymania ruchu</t>
  </si>
  <si>
    <t>Pracownik rozkładaj±cy towar na półkach</t>
  </si>
  <si>
    <t>Mechanik silników lotniczych</t>
  </si>
  <si>
    <t>Promotor marki (trendsetter)</t>
  </si>
  <si>
    <t>Usługi inne</t>
  </si>
  <si>
    <t>Mechanik-monter maszyn i urz±dzeń*</t>
  </si>
  <si>
    <t>Zaopatrzeniowiec</t>
  </si>
  <si>
    <t>Serwisant sprzętu komputerowego</t>
  </si>
  <si>
    <t>Monter izolacji przemysłowych*</t>
  </si>
  <si>
    <t>Organizator imprez rozrywkowych (organizator eventów)</t>
  </si>
  <si>
    <t>Operator maszyn czyszczących, rozlewniczej, przygotowania do nakładania powłok, wtryskarki</t>
  </si>
  <si>
    <t>Projektant mody</t>
  </si>
  <si>
    <t>Laborant chemiczny</t>
  </si>
  <si>
    <t>Technik informatyk*</t>
  </si>
  <si>
    <t>Topiarz szkła</t>
  </si>
  <si>
    <t>Technik technologii żywno¶ci - przetwórstwo zbożowe</t>
  </si>
  <si>
    <t>Technik pojazdów samochodowych*</t>
  </si>
  <si>
    <t>Drwal / pilarz drzew</t>
  </si>
  <si>
    <t>Inżynier akustyk</t>
  </si>
  <si>
    <t>Stolarz*</t>
  </si>
  <si>
    <t>Przemysł produkcyjny</t>
  </si>
  <si>
    <t>Lp</t>
  </si>
  <si>
    <t>okresy badania</t>
  </si>
  <si>
    <t>II półrocze 2018</t>
  </si>
  <si>
    <t>IV-VI 2019</t>
  </si>
  <si>
    <t>I-III 2019</t>
  </si>
  <si>
    <t>Pracodawca</t>
  </si>
  <si>
    <t>Stanowisko</t>
  </si>
  <si>
    <t>Zawód wg KZiS</t>
  </si>
  <si>
    <t>Data napływu</t>
  </si>
  <si>
    <t>¬ródło ogłoszenia</t>
  </si>
  <si>
    <t>Liczba miejsc pracy ogółem</t>
  </si>
  <si>
    <t>Zatwierdzona</t>
  </si>
  <si>
    <t>Pominięta</t>
  </si>
  <si>
    <t>Data sprawdzenia</t>
  </si>
  <si>
    <t>Adres miejsca pracy</t>
  </si>
  <si>
    <t>Kod województwa</t>
  </si>
  <si>
    <t>Kod zawodu wg KZiS</t>
  </si>
  <si>
    <t>Whoohoo Poland Sp. z o.o.</t>
  </si>
  <si>
    <t>Dyrektor Produkcji</t>
  </si>
  <si>
    <t>Dyrektor produkcji</t>
  </si>
  <si>
    <t>15.05.2019</t>
  </si>
  <si>
    <t>pracuj.pl</t>
  </si>
  <si>
    <t>zaznaczone</t>
  </si>
  <si>
    <t>niezaznaczone</t>
  </si>
  <si>
    <t>16.05.2019</t>
  </si>
  <si>
    <t>Polska, podkarpackie</t>
  </si>
  <si>
    <t>RPd057|112012</t>
  </si>
  <si>
    <t>Grupa Kapitałowa Polimex Mostostal</t>
  </si>
  <si>
    <t>Inżynier projektu</t>
  </si>
  <si>
    <t>08.05.2019</t>
  </si>
  <si>
    <t>17.05.2019</t>
  </si>
  <si>
    <t>Polska, podkarpackie, Jedlicze</t>
  </si>
  <si>
    <t>RPd057|121904</t>
  </si>
  <si>
    <t>09.05.2019</t>
  </si>
  <si>
    <t>Kramp Sp. z o.o.</t>
  </si>
  <si>
    <t>Konsultant ds. Rozwoju Sieci Detalicznej</t>
  </si>
  <si>
    <t>RPd057|122106</t>
  </si>
  <si>
    <t>AXA</t>
  </si>
  <si>
    <t>Menedżer Sprzedaży</t>
  </si>
  <si>
    <t>Polska, podkarpackie, Rzeszów</t>
  </si>
  <si>
    <t>Kopalnie Dolomitu S.A.</t>
  </si>
  <si>
    <t>Regionalny Kierownik Sprzedaży</t>
  </si>
  <si>
    <t>01.05.2019</t>
  </si>
  <si>
    <t>07.05.2019</t>
  </si>
  <si>
    <t>Powszechny Zakład Ubezpieczeń S.A. (PZU S.A.)</t>
  </si>
  <si>
    <t>Menedżer Zespołu Sprzedażowego</t>
  </si>
  <si>
    <t>agora</t>
  </si>
  <si>
    <t>Budimex SA</t>
  </si>
  <si>
    <t>Inżynier budowy (przygotowanie produkcji)</t>
  </si>
  <si>
    <t>RPd057|132301</t>
  </si>
  <si>
    <t>AMW Sinevia Sp. z o.o.</t>
  </si>
  <si>
    <t>Inżynier Budowy - Biuro</t>
  </si>
  <si>
    <t>Polska, podkarpackie, Jarosław</t>
  </si>
  <si>
    <t>Kierownik Robót Sanitarnych (Budownictwo Infrastrukturalne)</t>
  </si>
  <si>
    <t>TEXPOL DYSTRYBUCJA Sp. z o.o. Sp. k.</t>
  </si>
  <si>
    <t>Kierownik ds. logistyki i transportu</t>
  </si>
  <si>
    <t>Kierownik działu logistyki</t>
  </si>
  <si>
    <t>Polska, podkarpackie, Chałupki Dębniańskie (pow. leżajski)</t>
  </si>
  <si>
    <t>RPd057|132401</t>
  </si>
  <si>
    <t>ANTAL SP. Z O.O.</t>
  </si>
  <si>
    <t>Senior Capex Buyer</t>
  </si>
  <si>
    <t>Kierownik działu zakupów</t>
  </si>
  <si>
    <t>praca</t>
  </si>
  <si>
    <t>RPd057|132403</t>
  </si>
  <si>
    <t>Bury Sp. z o.o.</t>
  </si>
  <si>
    <t>Kierownik Magazynu</t>
  </si>
  <si>
    <t>Kierownik magazynu</t>
  </si>
  <si>
    <t>Polska, podkarpackie, Rzeszów (okolice)</t>
  </si>
  <si>
    <t>RPd057|132404</t>
  </si>
  <si>
    <t>GRUPA PZU</t>
  </si>
  <si>
    <t>Dyrektor Jednostki Agencyjnej</t>
  </si>
  <si>
    <t>Kierownik agencji ubezpieczeniowej</t>
  </si>
  <si>
    <t>RPd057|134602</t>
  </si>
  <si>
    <t>Media Expert</t>
  </si>
  <si>
    <t>Kierownik Elektromarketu</t>
  </si>
  <si>
    <t>RPd057|142004</t>
  </si>
  <si>
    <t>Rossmann SDP</t>
  </si>
  <si>
    <t>Asystent Kierownika Sklepu</t>
  </si>
  <si>
    <t>Polska, podkarpackie, Boguchwała</t>
  </si>
  <si>
    <t>Target PRO Sp. z o.o. Sp. k.</t>
  </si>
  <si>
    <t>Kierownik Sklepu - Monnari</t>
  </si>
  <si>
    <t>gratka</t>
  </si>
  <si>
    <t>Polska, podkarpackie, Mielec</t>
  </si>
  <si>
    <t>H&amp;M Hennes &amp; Mauritz sp. z o.o.</t>
  </si>
  <si>
    <t>Kierownik Działu</t>
  </si>
  <si>
    <t>10.05.2019</t>
  </si>
  <si>
    <t>Kontroler Administracyjno - Kasowy</t>
  </si>
  <si>
    <t>Adreams</t>
  </si>
  <si>
    <t>Polska, podkarpackie, Ustrzyki Dolne</t>
  </si>
  <si>
    <t>MARTES SPORT Sp. z o. o.</t>
  </si>
  <si>
    <t>Kierownik Sklepu</t>
  </si>
  <si>
    <t>Polska, podkarpackie, Przemy¶l - Galeria Sanova</t>
  </si>
  <si>
    <t>TERG S.A.</t>
  </si>
  <si>
    <t>Expander</t>
  </si>
  <si>
    <t>Menedżer Oddziału - Sieć Mobilna</t>
  </si>
  <si>
    <t>Kierownik centrum obsługi telefonicznej (kierownik call center)</t>
  </si>
  <si>
    <t>Polska, podkarpackie, Przemy¶l</t>
  </si>
  <si>
    <t>RPd057|143905</t>
  </si>
  <si>
    <t>Open Brokers</t>
  </si>
  <si>
    <t>Manager Zespołu</t>
  </si>
  <si>
    <t>TIKKURILA POLSKA</t>
  </si>
  <si>
    <t>Researcher</t>
  </si>
  <si>
    <t>Chemik</t>
  </si>
  <si>
    <t>RPd057|211301</t>
  </si>
  <si>
    <t>Specjalista ds. Bezpieczeństwa Produktu</t>
  </si>
  <si>
    <t>Polska, podkarpackie, Dębica</t>
  </si>
  <si>
    <t>RPd057|211302</t>
  </si>
  <si>
    <t>SoftSystem Sp. z o.o.</t>
  </si>
  <si>
    <t>Testing Specialist</t>
  </si>
  <si>
    <t>Biolog</t>
  </si>
  <si>
    <t>RPd057|213105</t>
  </si>
  <si>
    <t>Aero Gearbox International sp. z o.o.</t>
  </si>
  <si>
    <t>Inżynier Nadzoru Jako¶ci</t>
  </si>
  <si>
    <t>Specjalista kontroli jako¶ci</t>
  </si>
  <si>
    <t>Polska, podkarpackie, Ropczyce</t>
  </si>
  <si>
    <t>RPd057|214109</t>
  </si>
  <si>
    <t>Technolog produkcji</t>
  </si>
  <si>
    <t>Główny technolog</t>
  </si>
  <si>
    <t>RPd057|214111</t>
  </si>
  <si>
    <t>FFiL ¦NIEŻKA S.A.</t>
  </si>
  <si>
    <t>Specjalista ds. Zapewnienia Jako¶ci w zakresie aplikacji wyrobów (farb, tynków, lakierów)</t>
  </si>
  <si>
    <t>Polska, podkarpackie, BrzeĽnica</t>
  </si>
  <si>
    <t>RPd057|214202</t>
  </si>
  <si>
    <t>ARCADIS Sp. z o.o.</t>
  </si>
  <si>
    <t>Projektant Mostowy - Rzeszów</t>
  </si>
  <si>
    <t>Inżynier budownictwa - linie, węzły i stacje kolejowe</t>
  </si>
  <si>
    <t>RPd057|214204</t>
  </si>
  <si>
    <t>Celsa ?Huta Ostrowiec? Sp. z o. o.</t>
  </si>
  <si>
    <t>Kierownik Placu</t>
  </si>
  <si>
    <t>Inżynier mechanik - maszyny i urz±dzenia do obróbki metali</t>
  </si>
  <si>
    <t>Polska, podkarpackie, Łańcut</t>
  </si>
  <si>
    <t>RPd057|214402</t>
  </si>
  <si>
    <t>B&amp;P</t>
  </si>
  <si>
    <t>Konstruktor</t>
  </si>
  <si>
    <t>Polska, podkarpackie, Przeworsk</t>
  </si>
  <si>
    <t>Paged Meble S. A.</t>
  </si>
  <si>
    <t>Konstruktor technolog</t>
  </si>
  <si>
    <t>Inżynier mechanik - maszyny i urz±dzenia przemysłowe</t>
  </si>
  <si>
    <t>Polska, podkarpackie, Sędziszów Małopolski</t>
  </si>
  <si>
    <t>RPd057|214404</t>
  </si>
  <si>
    <t>Hahn + Kolb Polska</t>
  </si>
  <si>
    <t>Specjalista ds. techniczno ? handlowych</t>
  </si>
  <si>
    <t>Technolog</t>
  </si>
  <si>
    <t>LiuGong Dressta Machinery Sp. z o.o.</t>
  </si>
  <si>
    <t>Inżynier - Konstruktor</t>
  </si>
  <si>
    <t>Polska, podkarpackie, Stalowa Wola</t>
  </si>
  <si>
    <t>EME Aero Sp. z o.o.</t>
  </si>
  <si>
    <t>Mechanik Silników Lotniczych / Engine Mechanic</t>
  </si>
  <si>
    <t>Inżynier mechanik - technologia mechaniczna</t>
  </si>
  <si>
    <t>RPd057|214407</t>
  </si>
  <si>
    <t>Armatura Kraków</t>
  </si>
  <si>
    <t>Specjalista ds. hydrauliki siłowej</t>
  </si>
  <si>
    <t>Polska, podkarpackie, Nisko</t>
  </si>
  <si>
    <t>Piekarnia Galicyjska Sp. z o.o.</t>
  </si>
  <si>
    <t>Technolog Żywno¶ci</t>
  </si>
  <si>
    <t>Inżynier technologii żywno¶ci</t>
  </si>
  <si>
    <t>Polska, podkarpackie, Leżajsk</t>
  </si>
  <si>
    <t>RPd057|214503</t>
  </si>
  <si>
    <t>Nestlé Polska S.A.</t>
  </si>
  <si>
    <t>Młodszy Specjalista ds. Jako¶ci</t>
  </si>
  <si>
    <t>Safran Aircraft Engines Poland Sp. z o.o.</t>
  </si>
  <si>
    <t>Inżynier Procesu</t>
  </si>
  <si>
    <t>Inżynier odlewnik</t>
  </si>
  <si>
    <t>RPd057|214607</t>
  </si>
  <si>
    <t>PROPOINT SP. Z O.O. SP. K.</t>
  </si>
  <si>
    <t>Programista PLC</t>
  </si>
  <si>
    <t>RPd057|214903</t>
  </si>
  <si>
    <t>Robotyk</t>
  </si>
  <si>
    <t>Elektrociepłownia Mielec Sp. z o.o.</t>
  </si>
  <si>
    <t>Energetyk w dziale rozliczeń i analiz energetycznych</t>
  </si>
  <si>
    <t>Inżynier energetyki</t>
  </si>
  <si>
    <t>RPd057|214906</t>
  </si>
  <si>
    <t>Stuff Media</t>
  </si>
  <si>
    <t>Serwisant Obrabiarek CNC</t>
  </si>
  <si>
    <t>Technolog ? programista obrabiarek</t>
  </si>
  <si>
    <t>RPd057|214931</t>
  </si>
  <si>
    <t>Thoni Alutec Sp. z o.o.</t>
  </si>
  <si>
    <t>Programista Robota Spawalniczego</t>
  </si>
  <si>
    <t>Mostostal Warszawa S.A.</t>
  </si>
  <si>
    <t>Inżynier/Specjalista ds. technologii i materiałów</t>
  </si>
  <si>
    <t>RPd057|214932</t>
  </si>
  <si>
    <t>Bergman Deutschland GmbH</t>
  </si>
  <si>
    <t>Brygadzista</t>
  </si>
  <si>
    <t>Inżynier elektryk</t>
  </si>
  <si>
    <t>RPd057|215103</t>
  </si>
  <si>
    <t>Pracownik produkcji</t>
  </si>
  <si>
    <t>Kosztorysant Elektryczny</t>
  </si>
  <si>
    <t>SUPON</t>
  </si>
  <si>
    <t>Młodszy inżynier elektryk - elektronik</t>
  </si>
  <si>
    <t>Instalbud - Rzeszów Sp. z o.o.</t>
  </si>
  <si>
    <t>Kosztorysant robót branży elektrycznej</t>
  </si>
  <si>
    <t>Inżynier elektryk automatyk</t>
  </si>
  <si>
    <t>RPd057|215104</t>
  </si>
  <si>
    <t>Bergman Engineering Sp. z o.o.</t>
  </si>
  <si>
    <t>Młodszy Technolog</t>
  </si>
  <si>
    <t>Inżynier elektronik</t>
  </si>
  <si>
    <t>Polska, podkarpackie, Jasło</t>
  </si>
  <si>
    <t>RPd057|215201</t>
  </si>
  <si>
    <t>Pratt &amp; Whitney Rzeszów S.A</t>
  </si>
  <si>
    <t>Konstruktor Wsparcie Produkcji i Eksploatacji</t>
  </si>
  <si>
    <t>Inżynier mechatronik</t>
  </si>
  <si>
    <t>RPd057|215202</t>
  </si>
  <si>
    <t>Sirtel Sp. z o.o.</t>
  </si>
  <si>
    <t>Technik - Inżynier Utrzymania Sieci GSM</t>
  </si>
  <si>
    <t>RPd057|215301</t>
  </si>
  <si>
    <t>SID Sp. z o.o.</t>
  </si>
  <si>
    <t>Konsultant SAP SuccessFactors</t>
  </si>
  <si>
    <t>Inżynier teleinformatyk</t>
  </si>
  <si>
    <t>RPd057|215303</t>
  </si>
  <si>
    <t>SERV4B Sp. z o.o.</t>
  </si>
  <si>
    <t>Koordynator ds. projektów</t>
  </si>
  <si>
    <t>Leroy Merlin Polska Sp. z o.o.</t>
  </si>
  <si>
    <t>Doradca Klienta - Projektant</t>
  </si>
  <si>
    <t>Architekt wnętrz</t>
  </si>
  <si>
    <t>Polska, podkarpackie, Krosno</t>
  </si>
  <si>
    <t>RPd057|216102</t>
  </si>
  <si>
    <t>DOZ S.A.</t>
  </si>
  <si>
    <t>Magister Farmacji Rzeszów</t>
  </si>
  <si>
    <t>Farmaceuta - specjalista farmacji aptecznej</t>
  </si>
  <si>
    <t>RPd057|228203</t>
  </si>
  <si>
    <t>GRUPA MPD SPÓŁKA Z OGRANICZONˇ ODPOWIEDZIALNO¦CIˇ</t>
  </si>
  <si>
    <t>Logopeda</t>
  </si>
  <si>
    <t>RPd057|229402</t>
  </si>
  <si>
    <t>Early Stage Spółka Komandytowa Sp. z o.o.</t>
  </si>
  <si>
    <t>Wła¶ciciel szkoły języka angielskiego - franczyza Early Stage</t>
  </si>
  <si>
    <t>Lektor języka obcego</t>
  </si>
  <si>
    <t>RPd057|235301</t>
  </si>
  <si>
    <t>Lektor - Nauczyciel języka angielskiego</t>
  </si>
  <si>
    <t>Polska, podkarpackie, Brzozów</t>
  </si>
  <si>
    <t>Idea Getin Leasing S.A.</t>
  </si>
  <si>
    <t>Doradca ds. Leasingu</t>
  </si>
  <si>
    <t>RPd057|241205</t>
  </si>
  <si>
    <t>Fin Factoria</t>
  </si>
  <si>
    <t>Doradca Klienta Biznesowego</t>
  </si>
  <si>
    <t>RPd057|241304</t>
  </si>
  <si>
    <t>Stefczyk Finanse</t>
  </si>
  <si>
    <t>Opiekun Finansowy</t>
  </si>
  <si>
    <t>Polska, podkarpackie, Tarnobrzeg</t>
  </si>
  <si>
    <t>Bank Pocztowy S.A.</t>
  </si>
  <si>
    <t>Specjalista ds. Sprzedaży Produktów Hipotecznych</t>
  </si>
  <si>
    <t>ING Bank ¦l±ski S.A.</t>
  </si>
  <si>
    <t>Przedstawiciel Bankowy ds. Sprzedaży Kredytów</t>
  </si>
  <si>
    <t>mFinanse S.A.</t>
  </si>
  <si>
    <t>Specjalista w mKiosku</t>
  </si>
  <si>
    <t>BNP Paribas Bank Polska S.A.</t>
  </si>
  <si>
    <t>Doradca Klienta - Oddział Lubaczów</t>
  </si>
  <si>
    <t>PKO Bank Polski</t>
  </si>
  <si>
    <t>Doradca Klienta Indywidualnego</t>
  </si>
  <si>
    <t>Mobilny Ekspert Finansowy</t>
  </si>
  <si>
    <t>Analityk finansowy</t>
  </si>
  <si>
    <t>RPd057|241306</t>
  </si>
  <si>
    <t>Główny ekspert ds. produktów ubezpieczeniowych</t>
  </si>
  <si>
    <t>Specjalista do spraw ubezpieczeń maj±tkowych i osobowych</t>
  </si>
  <si>
    <t>RPd057|241307</t>
  </si>
  <si>
    <t>Ekspert ds. ubezpieczeń maj±tkowych</t>
  </si>
  <si>
    <t>Ekspert ds. Ubezpieczeń na Życie</t>
  </si>
  <si>
    <t>BorgWarner</t>
  </si>
  <si>
    <t>Specjalista ds. logistyki</t>
  </si>
  <si>
    <t>RPd057|242108</t>
  </si>
  <si>
    <t>JAS-FBG S.A.</t>
  </si>
  <si>
    <t>Specjalista ds. Handlowych - branża TSL</t>
  </si>
  <si>
    <t>Polskie Zakłady Lotnicze Sp. z o.o.</t>
  </si>
  <si>
    <t>Praktyka studencka 2019</t>
  </si>
  <si>
    <t>Medivet</t>
  </si>
  <si>
    <t>Specjalista ds. transportu</t>
  </si>
  <si>
    <t>Specjalista do spraw organizacji i rozwoju transportu</t>
  </si>
  <si>
    <t>RPd057|242221</t>
  </si>
  <si>
    <t>CWT</t>
  </si>
  <si>
    <t>Business Travel Consultant - English</t>
  </si>
  <si>
    <t>RPd057|242307</t>
  </si>
  <si>
    <t>Business Travel Consultant - French</t>
  </si>
  <si>
    <t>Globtrak Polska Sp. z o.o.</t>
  </si>
  <si>
    <t>Menadżer Produktu</t>
  </si>
  <si>
    <t>Menedżer produktu (product manager)</t>
  </si>
  <si>
    <t>RPd057|243103</t>
  </si>
  <si>
    <t>Jeronimo Martins Polska S.A.</t>
  </si>
  <si>
    <t>Campus Ambassador</t>
  </si>
  <si>
    <t>Menedżer marki (brand manager)</t>
  </si>
  <si>
    <t>RPd057|243104</t>
  </si>
  <si>
    <t>Tarczyński S.A.</t>
  </si>
  <si>
    <t>Stażysta w Programie Zarz±dzania Produkcj± (płatny - umowa o pracę)</t>
  </si>
  <si>
    <t>RPd057|243106</t>
  </si>
  <si>
    <t>Moltton</t>
  </si>
  <si>
    <t>Starszy Specjalista ds. Zakupów Inwestycyjnych</t>
  </si>
  <si>
    <t>RAVI</t>
  </si>
  <si>
    <t>Pracownik działu  Eksportu/Importu</t>
  </si>
  <si>
    <t>Sherwin-Williams</t>
  </si>
  <si>
    <t>Customer Service Representative with English</t>
  </si>
  <si>
    <t>MIELEC DIESEL GAZ SP Z O O</t>
  </si>
  <si>
    <t>Inżynier Sprzedaży</t>
  </si>
  <si>
    <t>RPd057|243301</t>
  </si>
  <si>
    <t>VERASHAPE SPÓŁKA Z OGRANICZONˇ ODPOWIEDZIALNO¦CIˇ SPÓŁKA KOMANDYTOWA</t>
  </si>
  <si>
    <t>International Sales Manager</t>
  </si>
  <si>
    <t>Pracownik Obsługi Klienta - Monnari</t>
  </si>
  <si>
    <t>RPd057|243302</t>
  </si>
  <si>
    <t>PPF Hasco-Lek SA</t>
  </si>
  <si>
    <t>Przedstawiciel Medyczny</t>
  </si>
  <si>
    <t>Przedstawiciel medyczny</t>
  </si>
  <si>
    <t>RPd057|243303</t>
  </si>
  <si>
    <t>Boehringer Ingelheim Sp. z o.o.</t>
  </si>
  <si>
    <t>ART-PROGRES</t>
  </si>
  <si>
    <t>Junior Key Account Manager</t>
  </si>
  <si>
    <t>Polska, podkarpackie, Dębica (okolice)</t>
  </si>
  <si>
    <t>RPd057|243304</t>
  </si>
  <si>
    <t>Eurocash Serwis Sp. z o.o.</t>
  </si>
  <si>
    <t>Doradca Klienta ? Projekty Specjalne</t>
  </si>
  <si>
    <t>RPd057|243305</t>
  </si>
  <si>
    <t>SpecTec AMOS Sp. z o.o.</t>
  </si>
  <si>
    <t>Senior Software Quality Assurance Engineer</t>
  </si>
  <si>
    <t>Specjalista do spraw doskonalenia i rozwoju aplikacji</t>
  </si>
  <si>
    <t>RPd057|251201</t>
  </si>
  <si>
    <t>Alumeco Service Sp. z o.o.</t>
  </si>
  <si>
    <t>SAP ABAP Developer</t>
  </si>
  <si>
    <t>RPd057|251401</t>
  </si>
  <si>
    <t>9bits Sp. z o.o.</t>
  </si>
  <si>
    <t>C# .NET Software Developer</t>
  </si>
  <si>
    <t>Front-End Developer</t>
  </si>
  <si>
    <t>Programista PHP</t>
  </si>
  <si>
    <t>IWAMET SP. Z O.O.</t>
  </si>
  <si>
    <t>Programista CNC (CAM)</t>
  </si>
  <si>
    <t>PGS Software S.A.</t>
  </si>
  <si>
    <t>Solutions Architect</t>
  </si>
  <si>
    <t>SII Sp. z o.o.</t>
  </si>
  <si>
    <t>Node.js Developer</t>
  </si>
  <si>
    <t>Atos Polska</t>
  </si>
  <si>
    <t>Programista Java</t>
  </si>
  <si>
    <t>Donegal sp. z o.o.</t>
  </si>
  <si>
    <t>JCommerce Sp. z o.o.</t>
  </si>
  <si>
    <t>Nigel Frank International</t>
  </si>
  <si>
    <t>Junior .NET Developer</t>
  </si>
  <si>
    <t>Polska, podkarpackie, Rzeszów, Sanok</t>
  </si>
  <si>
    <t>EUVIC Sp. z o.o</t>
  </si>
  <si>
    <t>Administrator Azure - Cloud Engineer</t>
  </si>
  <si>
    <t>RPd057|252101</t>
  </si>
  <si>
    <t>Jefferson Frank International</t>
  </si>
  <si>
    <t>Data Intelligence - Edge Data Engineering - Data Engineer</t>
  </si>
  <si>
    <t>Analityk baz danych</t>
  </si>
  <si>
    <t>RPd057|252102</t>
  </si>
  <si>
    <t>Cyber Security Senior Consultant</t>
  </si>
  <si>
    <t>RPd057|252201</t>
  </si>
  <si>
    <t>OPTeam SA</t>
  </si>
  <si>
    <t>Konsultant ds. Ofertowania i Sprzedaży</t>
  </si>
  <si>
    <t>Analityk sieci komputerowych</t>
  </si>
  <si>
    <t>RPd057|252301</t>
  </si>
  <si>
    <t>Cloud Security Architect</t>
  </si>
  <si>
    <t>RPd057|252302</t>
  </si>
  <si>
    <t>ML SYSTEM S.A.</t>
  </si>
  <si>
    <t>Specjalista ds. prawnych</t>
  </si>
  <si>
    <t>RPd057|261103</t>
  </si>
  <si>
    <t>Asystent / Asystentka Zarz±du</t>
  </si>
  <si>
    <t>Asystent prawny</t>
  </si>
  <si>
    <t>RPd057|261901</t>
  </si>
  <si>
    <t>BSH Sprzęt Gospodarstwa Domowego Sp. z o.o.</t>
  </si>
  <si>
    <t>Młodszy Kontroler Finansowy</t>
  </si>
  <si>
    <t>Ekonomista</t>
  </si>
  <si>
    <t>RPd057|263102</t>
  </si>
  <si>
    <t>Grupa Nowy Styl</t>
  </si>
  <si>
    <t>Analityk Produktowy</t>
  </si>
  <si>
    <t>SAFRAN TRANSMISSION SYSTEMS POLAND Sp. z o.o.</t>
  </si>
  <si>
    <t>Specjalista ds. Płac</t>
  </si>
  <si>
    <t>Kompania Piwowarska</t>
  </si>
  <si>
    <t>Praktyki Letnie w Dziale Administracji Sprzedaży</t>
  </si>
  <si>
    <t>URZˇD GMINY HYŻNE</t>
  </si>
  <si>
    <t>Skarbnik Gminy Hyżne</t>
  </si>
  <si>
    <t>Polska, podkarpackie, Hyżne (pow. rzeszowski)</t>
  </si>
  <si>
    <t>Partner Alior Banku</t>
  </si>
  <si>
    <t>Doradca Klienta</t>
  </si>
  <si>
    <t>Psycholog</t>
  </si>
  <si>
    <t>RPd057|263401</t>
  </si>
  <si>
    <t>ManpowerGroup Sp. z o.o.</t>
  </si>
  <si>
    <t>Analityk danych językowych z j. niemieckim</t>
  </si>
  <si>
    <t>Tłumacz</t>
  </si>
  <si>
    <t>RPd057|264304</t>
  </si>
  <si>
    <t>Linglin Poland Sp. z o.o.</t>
  </si>
  <si>
    <t>Tłumacz języka francuskiego</t>
  </si>
  <si>
    <t>PLC-PL Sp. z o.o.</t>
  </si>
  <si>
    <t>Website - Script Writer - English-native speaker</t>
  </si>
  <si>
    <t>Website - Script Writer - German-native speaker</t>
  </si>
  <si>
    <t>Auchan Retail Polska</t>
  </si>
  <si>
    <t>Pracownik Działu Technicznego</t>
  </si>
  <si>
    <t>RPd057|311204</t>
  </si>
  <si>
    <t>Magellan Aerospace (Polska) Sp z o.o.</t>
  </si>
  <si>
    <t>Pracownik Produkcyjny</t>
  </si>
  <si>
    <t>Technik elektryk*</t>
  </si>
  <si>
    <t>RPd057|311303</t>
  </si>
  <si>
    <t>WESCO Integrated Supply Polska Sp. z o.o.</t>
  </si>
  <si>
    <t>Pracownik wypożyczalni narzędzi</t>
  </si>
  <si>
    <t>Consolidated Precision Products Poland sp. z o.o.</t>
  </si>
  <si>
    <t>Serwisant - elektronik</t>
  </si>
  <si>
    <t>Technik elektronik*</t>
  </si>
  <si>
    <t>RPd057|311408</t>
  </si>
  <si>
    <t>BURY Sp. z o.o.</t>
  </si>
  <si>
    <t>Serwisant  Elektronik</t>
  </si>
  <si>
    <t>Geyer &amp; Hosaja Sp. z o.o.</t>
  </si>
  <si>
    <t>Mechanik</t>
  </si>
  <si>
    <t>Technik mechanik*</t>
  </si>
  <si>
    <t>RPd057|311504</t>
  </si>
  <si>
    <t>Atlas Copco Polska Sp. z o.o.</t>
  </si>
  <si>
    <t>Inżynier serwisu</t>
  </si>
  <si>
    <t>BorgWarner Poland Sp. z o.o.</t>
  </si>
  <si>
    <t>Technik Operacyjny</t>
  </si>
  <si>
    <t>Collins Aerospace</t>
  </si>
  <si>
    <t>Staż w zawodzie Operatora CNC</t>
  </si>
  <si>
    <t>Technik mechanik obróbki skrawaniem</t>
  </si>
  <si>
    <t>Polska, podkarpackie, Tajęcina (pow. rzeszowski)</t>
  </si>
  <si>
    <t>RPd057|311509</t>
  </si>
  <si>
    <t>Szlifierz CNC</t>
  </si>
  <si>
    <t>Scania Polska S.A.</t>
  </si>
  <si>
    <t>Praktyki letnie w serwisach Scania Polska</t>
  </si>
  <si>
    <t>RPd057|311513</t>
  </si>
  <si>
    <t>Trenkwalder</t>
  </si>
  <si>
    <t>Kontroler/ka jako¶ci płyt</t>
  </si>
  <si>
    <t>Kontroler jako¶ci wyrobów przemysłowych</t>
  </si>
  <si>
    <t>RPd057|311937</t>
  </si>
  <si>
    <t>Mistrz wydziału produkcyjnego</t>
  </si>
  <si>
    <t>Mistrz produkcji w przemy¶le drzewnym</t>
  </si>
  <si>
    <t>RPd057|312202</t>
  </si>
  <si>
    <t>Rekrutacja SEITO</t>
  </si>
  <si>
    <t>Brygadzista (koordynator zmiany)</t>
  </si>
  <si>
    <t>Mistrz produkcji w przemy¶le elektromaszynowym</t>
  </si>
  <si>
    <t>RPd057|312203</t>
  </si>
  <si>
    <t>FIRMA PRODUKCYJNO-HANDLOWO-USŁUGOWA "MULTI" Tomasz Wójtowicz</t>
  </si>
  <si>
    <t>Brygadzista - Osoba zarz±dzaj±ca produkcj± w branży odzieżowej</t>
  </si>
  <si>
    <t>Mistrz produkcji w przemy¶le włókienniczym</t>
  </si>
  <si>
    <t>RPd057|312209</t>
  </si>
  <si>
    <t>Superior Industries Production Poland Sp. z o.o.</t>
  </si>
  <si>
    <t>Pracownik Obróbki Cieplnej</t>
  </si>
  <si>
    <t>Kontroler (sterowniczy) urz±dzeń obróbki cieplnej metali</t>
  </si>
  <si>
    <t>RPd057|313503</t>
  </si>
  <si>
    <t>Operator Produkcji - Wydział Montażu</t>
  </si>
  <si>
    <t>RPd057|313904</t>
  </si>
  <si>
    <t>APZ.PL</t>
  </si>
  <si>
    <t>Dietetyk Kliniczny - Dietetyk Sportowy</t>
  </si>
  <si>
    <t>Dietetyk</t>
  </si>
  <si>
    <t>RPd057|322001</t>
  </si>
  <si>
    <t>Przedsiębiorstwo Produkcyjno - Handlowo - Usługowe Elżbieta i Jerzy Pater Sp. z o.o.</t>
  </si>
  <si>
    <t>Główna/y Księgowa/y</t>
  </si>
  <si>
    <t>Polska, podkarpackie, BrzeĽnica (pow. dębicki)</t>
  </si>
  <si>
    <t>RPd057|331301</t>
  </si>
  <si>
    <t>Samodzielny Księgowy</t>
  </si>
  <si>
    <t>Starszy Specjalista ds. Sprzedaży Produktów Ubezpieczeniowych</t>
  </si>
  <si>
    <t>RPd057|332101</t>
  </si>
  <si>
    <t>TUiR/TUnŻ Warta S.A.</t>
  </si>
  <si>
    <t>Agent Ubezpieczeniowy</t>
  </si>
  <si>
    <t>Nationale-Nederlanden</t>
  </si>
  <si>
    <t>Przedstawiciel Ubezpieczeniowo-Finansowy</t>
  </si>
  <si>
    <t>Broker ubezpieczeniowy</t>
  </si>
  <si>
    <t>RPd057|332104</t>
  </si>
  <si>
    <t>Sellpoint Sp. z o.o.</t>
  </si>
  <si>
    <t>Przedstawiciel Handlowy ds. Detalu - Merchandiser</t>
  </si>
  <si>
    <t>RPd057|332201</t>
  </si>
  <si>
    <t>KRKA-POLSKA Sp. z o.o.</t>
  </si>
  <si>
    <t>Przedstawiciel Naukowy</t>
  </si>
  <si>
    <t>RPd057|332203</t>
  </si>
  <si>
    <t>Rolimpex S.A.</t>
  </si>
  <si>
    <t>Przedstawiciel Handlowy ds. Kontraktacji</t>
  </si>
  <si>
    <t>Animex</t>
  </si>
  <si>
    <t>Przedstawiciel Handlowy ds. Sprzedaży Detalicznej</t>
  </si>
  <si>
    <t>OLIMP LABORATORIES Sp. z o.o.</t>
  </si>
  <si>
    <t>Przedstawiciel Handlowy  ds. Sieci FMCG</t>
  </si>
  <si>
    <t>Victoria Cymes Sp. z o.o.</t>
  </si>
  <si>
    <t>Przedstawiciel Handlowy</t>
  </si>
  <si>
    <t>Wektor Wiedzy</t>
  </si>
  <si>
    <t>Specjalista ds. Sprzedaży Szkoleń Otwartych i Zamkniętych</t>
  </si>
  <si>
    <t>Ambra</t>
  </si>
  <si>
    <t>Apotex Polska</t>
  </si>
  <si>
    <t>Konsultant Medyczny ? linia specjalistyczna</t>
  </si>
  <si>
    <t>Arche Consulting Sp. z o.o. Sp. k.</t>
  </si>
  <si>
    <t>Przedstawiciel Handlowy (FMCG)</t>
  </si>
  <si>
    <t>BARTEX - BARTOL SP. z o.o. sp. k.</t>
  </si>
  <si>
    <t>Przedstawiciel Handlowy ds. Hurtu i Detalu</t>
  </si>
  <si>
    <t>Polska, podkarpackie, Jarosław (okolice)</t>
  </si>
  <si>
    <t>BOLIX S.A.</t>
  </si>
  <si>
    <t>Przedstawiciel Handlowy - Doradca Handlowo - Techniczny</t>
  </si>
  <si>
    <t>BUDMAT Bogdan Więcek</t>
  </si>
  <si>
    <t>Hays Poland</t>
  </si>
  <si>
    <t>Regionalny Przedstawiciel Handlowy</t>
  </si>
  <si>
    <t>Polska, podkarpackie, woj. podkarpackie</t>
  </si>
  <si>
    <t>Lagardere Travel Retail</t>
  </si>
  <si>
    <t>Biznes Partner - Ajent - Inmedio</t>
  </si>
  <si>
    <t>PERS Sp. z o.o.</t>
  </si>
  <si>
    <t>Ship Center Poland Sp. z o.o.</t>
  </si>
  <si>
    <t>Wła¶ciciel punktu kurierskiego Ship Center</t>
  </si>
  <si>
    <t>Płatny Program Stażowy</t>
  </si>
  <si>
    <t>RPd057|332301</t>
  </si>
  <si>
    <t>GC Energy Sp. z o.o.</t>
  </si>
  <si>
    <t>Specjalista ds. zakupów</t>
  </si>
  <si>
    <t>Pracownik wsparcia produkcji</t>
  </si>
  <si>
    <t>RPd057|332302</t>
  </si>
  <si>
    <t>Praktykant/ka</t>
  </si>
  <si>
    <t>RPd057|333104</t>
  </si>
  <si>
    <t>TiA Sp. z o.o.</t>
  </si>
  <si>
    <t>Pracownik Działu Zakupów i Logistyki</t>
  </si>
  <si>
    <t>VGL Group Sp.z o.o.</t>
  </si>
  <si>
    <t>Spedytor Drogowy</t>
  </si>
  <si>
    <t>RPd057|333105</t>
  </si>
  <si>
    <t>ZINNER LOGISTICS SP. Z O.O.</t>
  </si>
  <si>
    <t>Spedytor międzynarodowy - krajowy</t>
  </si>
  <si>
    <t>Spedytor międzynarodowy (m/k)</t>
  </si>
  <si>
    <t>LineTech S.A.</t>
  </si>
  <si>
    <t>Logistyk</t>
  </si>
  <si>
    <t>Polska, podkarpackie, Jasionka (pow. rzeszowski)</t>
  </si>
  <si>
    <t>RPd057|333107</t>
  </si>
  <si>
    <t>Stalko Przybysz i Wspólnicy Sp.J.</t>
  </si>
  <si>
    <t>Spedytor Krajowy/Międzynarodowy</t>
  </si>
  <si>
    <t>RPd057|333108</t>
  </si>
  <si>
    <t>Ekspert finansowy</t>
  </si>
  <si>
    <t>Doradca do spraw rynku nieruchomo¶ci</t>
  </si>
  <si>
    <t>RPd057|333404</t>
  </si>
  <si>
    <t>Freedom Nieruchomo¶ci</t>
  </si>
  <si>
    <t>Doradca ds. Nieruchomo¶ci</t>
  </si>
  <si>
    <t>Polska Press Spółka z o.o.</t>
  </si>
  <si>
    <t>Specjalista ds.sprzedaży reklamy internetowej-doradca klienta</t>
  </si>
  <si>
    <t>Sprzedawca reklam internetowych</t>
  </si>
  <si>
    <t>RPd057|333904</t>
  </si>
  <si>
    <t>Hotel Zimowit</t>
  </si>
  <si>
    <t>Kucharz - Szef kuchni</t>
  </si>
  <si>
    <t>Szef kuchni (kuchmistrz)</t>
  </si>
  <si>
    <t>RPd057|343402</t>
  </si>
  <si>
    <t>Fujitsu Technology Solutions Sp. z o.o.</t>
  </si>
  <si>
    <t>Młodszy Specjalista ds. IT ? Help Desk</t>
  </si>
  <si>
    <t>Technik teleinformatyk*</t>
  </si>
  <si>
    <t>RPd057|351103</t>
  </si>
  <si>
    <t>Lockheed Martin Global, Inc.</t>
  </si>
  <si>
    <t>IT Helpdesk Support</t>
  </si>
  <si>
    <t>Konstruktor-Technolog</t>
  </si>
  <si>
    <t>RPd057|351203</t>
  </si>
  <si>
    <t>M. Wojciechowska i Wspólnicy Kancelaria Prawnicza Sp. k.</t>
  </si>
  <si>
    <t>Egzaminowany aplikant radcowski / egzaminowany aplikant adwokacki</t>
  </si>
  <si>
    <t>Pracownik kancelaryjny</t>
  </si>
  <si>
    <t>RPd057|411003</t>
  </si>
  <si>
    <t>Specjalista ds. zarz±dzania ¶rodkami trwałymi</t>
  </si>
  <si>
    <t>RPd057|411004</t>
  </si>
  <si>
    <t>Oddział Rzeszów</t>
  </si>
  <si>
    <t>Konsultant - obsługa klienta indywidualnego</t>
  </si>
  <si>
    <t>Pracownik centrum obsługi telefonicznej (pracownik call center)</t>
  </si>
  <si>
    <t>RPd057|422201</t>
  </si>
  <si>
    <t>Andbud Salon Łazienek Technika Grzewcza</t>
  </si>
  <si>
    <t>RPd057|432103</t>
  </si>
  <si>
    <t>Galicja Sp. z o.o.</t>
  </si>
  <si>
    <t>LIBRA EUROPE</t>
  </si>
  <si>
    <t>AGATA Spółka Akcyjna</t>
  </si>
  <si>
    <t>DEC Poland Tekpro Sp. z o.o.</t>
  </si>
  <si>
    <t>Młodszy specjalista ds. gospodarki magazynowej</t>
  </si>
  <si>
    <t>Magazynier ? magazyn surowców</t>
  </si>
  <si>
    <t>LeasingTeam Group</t>
  </si>
  <si>
    <t>SYLVECO</t>
  </si>
  <si>
    <t>Pracownik Magazynu</t>
  </si>
  <si>
    <t>SONIMA SP. Z O.O.</t>
  </si>
  <si>
    <t>Logistyk - Planista produkcji</t>
  </si>
  <si>
    <t>Planista produkcyjny</t>
  </si>
  <si>
    <t>Polska, podkarpackie, Rudna Mała (pow. rzeszowski)</t>
  </si>
  <si>
    <t>RPd057|432201</t>
  </si>
  <si>
    <t>Planista</t>
  </si>
  <si>
    <t>Zostań Liderem na Obszarze Produkcji - Płatny Staż</t>
  </si>
  <si>
    <t>SPA HOTEL SPLENDOR</t>
  </si>
  <si>
    <t>Kucharz*</t>
  </si>
  <si>
    <t>RPd057|512001</t>
  </si>
  <si>
    <t>AmRest Sp. z o.o.</t>
  </si>
  <si>
    <t>Pracownik Restauracji KFC Rzeszów</t>
  </si>
  <si>
    <t>EMPIRE Pharma Sp. z o.o.</t>
  </si>
  <si>
    <t>Dermokonsultantka</t>
  </si>
  <si>
    <t>Kosmetyczka</t>
  </si>
  <si>
    <t>RPd057|514202</t>
  </si>
  <si>
    <t>PROFI CREDIT POLSKA S.A.</t>
  </si>
  <si>
    <t>Kierownik Zespołu Sprzedażowego</t>
  </si>
  <si>
    <t>Kierownik sali sprzedaży</t>
  </si>
  <si>
    <t>RPd057|522201</t>
  </si>
  <si>
    <t>Doradca Sprzedaży</t>
  </si>
  <si>
    <t>Sprzedawca*</t>
  </si>
  <si>
    <t>RPd057|522301</t>
  </si>
  <si>
    <t>Jeronimo Martins Drogerie i Farmacja Sp. z o.o. (hebe)</t>
  </si>
  <si>
    <t>Konsultant - Sprzedawca</t>
  </si>
  <si>
    <t>Starszy Sprzedawca-kasjer GRĘBÓW</t>
  </si>
  <si>
    <t>Polska, podkarpackie, Grębów (pow. tarnobrzeski)</t>
  </si>
  <si>
    <t>Doradca ds. Sprzedaży i Usług</t>
  </si>
  <si>
    <t>Polska, podkarpackie, Sanok</t>
  </si>
  <si>
    <t>sprzedawca-kasjer GRĘBÓW</t>
  </si>
  <si>
    <t>Sprzedawca-kasjer PRUCHNIK</t>
  </si>
  <si>
    <t>Polska, podkarpackie, Pruchnik</t>
  </si>
  <si>
    <t>GTI Sp. z o.o.</t>
  </si>
  <si>
    <t>Konsultant ds. Sprzedaży w salonie Orange</t>
  </si>
  <si>
    <t>Polska, podkarpackie, Mielec, Tarnobrzeg, Nisko</t>
  </si>
  <si>
    <t>Obsługa namiotu wyprzedażowego-praca dodatkowa Głogów Małopolski</t>
  </si>
  <si>
    <t>Polska, podkarpackie, Głogów Małopolski</t>
  </si>
  <si>
    <t>Obsługa namiotu wyprzedażowego-umowa zlecenie JEDLICZE</t>
  </si>
  <si>
    <t>Pracownik sklepu</t>
  </si>
  <si>
    <t>Sprzedawca-kasjer JAROSŁAW</t>
  </si>
  <si>
    <t>Sprzedawca-kasjer ŁAŃCUT</t>
  </si>
  <si>
    <t>Sprzedawca-kasjer Przemy¶l</t>
  </si>
  <si>
    <t>Sprzedawca - Kasjer</t>
  </si>
  <si>
    <t>Polska, podkarpackie, Stalowa Wola - Galeria Vivo</t>
  </si>
  <si>
    <t>Martes Sport Sp. z o. o.</t>
  </si>
  <si>
    <t>Polska, podkarpackie, Sanok- Galeria Sanok</t>
  </si>
  <si>
    <t>Polska, podkarpackie, Krosno - Galeria Vivo</t>
  </si>
  <si>
    <t>SZACHOWNICA</t>
  </si>
  <si>
    <t>Polska, podkarpackie, Rzeszów - Galeria Rzeszów</t>
  </si>
  <si>
    <t>Yanko Sp. z o.o.</t>
  </si>
  <si>
    <t>Specjalista ds. rozwoju rynków niemieckojęzycznych</t>
  </si>
  <si>
    <t>Technik handlowiec*</t>
  </si>
  <si>
    <t>Polska, podkarpackie, RogoĽnica (pow. rzeszowski)</t>
  </si>
  <si>
    <t>RPd057|522305</t>
  </si>
  <si>
    <t>Przedsiębiorstwo Savpol Spółka z Ograniczon± Odpowiedzialno¶ci± Sp. k.</t>
  </si>
  <si>
    <t>Asystent Działu Handlowego</t>
  </si>
  <si>
    <t>Młodszy Asystent ds. Obsługi klienta - Telesprzedaż</t>
  </si>
  <si>
    <t>Sprzedawca na telefon</t>
  </si>
  <si>
    <t>RPd057|524403</t>
  </si>
  <si>
    <t>Doradca klienta</t>
  </si>
  <si>
    <t>RPd057|524902</t>
  </si>
  <si>
    <t>Credit Agricole Bank Polska S.A.</t>
  </si>
  <si>
    <t>Partner Nest Bank</t>
  </si>
  <si>
    <t>Santander Bank Polska</t>
  </si>
  <si>
    <t>REFRATEC SP. Z O.O.</t>
  </si>
  <si>
    <t>POMOCNIK MURARZA PIECÓW PRZEMYSŁOWYCH</t>
  </si>
  <si>
    <t>Murarz</t>
  </si>
  <si>
    <t>Polska, podkarpackie, Polska oraz zagranica</t>
  </si>
  <si>
    <t>RPd057|711202</t>
  </si>
  <si>
    <t>Młodszy Formierz</t>
  </si>
  <si>
    <t>Formierz odlewnik</t>
  </si>
  <si>
    <t>RPd057|721102</t>
  </si>
  <si>
    <t>RPd057|721204</t>
  </si>
  <si>
    <t>MKL BAU sp. z o.o.</t>
  </si>
  <si>
    <t>Monter rurowy / Monter konstrukcji stalowych</t>
  </si>
  <si>
    <t>RPd057|721404</t>
  </si>
  <si>
    <t>Monter Konstrukcji Stalowych</t>
  </si>
  <si>
    <t>ATERIMA</t>
  </si>
  <si>
    <t>Technik Działu Serwis w markecie budowlanym</t>
  </si>
  <si>
    <t>¦lusarz*</t>
  </si>
  <si>
    <t>RPd057|722204</t>
  </si>
  <si>
    <t>Hutchinson Poland Sp. z o.o. - Zakład w Dębicy</t>
  </si>
  <si>
    <t>Mechanik Narzędziowiec ? ¦lusarz</t>
  </si>
  <si>
    <t>¦lusarz Kokilowy</t>
  </si>
  <si>
    <t>Operator maszyn i urz±dzeń</t>
  </si>
  <si>
    <t>Operator automatycznej linii obróbki skrawaniem</t>
  </si>
  <si>
    <t>RPd057|722302</t>
  </si>
  <si>
    <t>Operator maszyn do obróbki skrawaniem</t>
  </si>
  <si>
    <t>RPd057|722303</t>
  </si>
  <si>
    <t>RPd057|722308</t>
  </si>
  <si>
    <t>Tarapata sp. z o.o.</t>
  </si>
  <si>
    <t>Operator ? maszyn CNC</t>
  </si>
  <si>
    <t>Operator Maszyn CNC - Obróbka Mechaniczna</t>
  </si>
  <si>
    <t>Operator Maszyn CNC - Wydział Produkcji Prototypowej</t>
  </si>
  <si>
    <t>Pracownik Obróbki Wykończeniowej</t>
  </si>
  <si>
    <t>Szlifierz metali</t>
  </si>
  <si>
    <t>RPd057|722312</t>
  </si>
  <si>
    <t>EC Engineering Sp. z o.o.</t>
  </si>
  <si>
    <t>Operator Obrabiarki Frezarki Haas 3-Osie</t>
  </si>
  <si>
    <t>Tokarz / frezer obrabiarek sterowanych numerycznie</t>
  </si>
  <si>
    <t>RPd057|722313</t>
  </si>
  <si>
    <t>Agregaty Pex-Pool Plus Janusz Kania</t>
  </si>
  <si>
    <t>Elektryk</t>
  </si>
  <si>
    <t>Elektryk*</t>
  </si>
  <si>
    <t>RPd057|741103</t>
  </si>
  <si>
    <t>METALL-EXPRES Sp. z o.o.</t>
  </si>
  <si>
    <t>Elektryk ? specjalista ds. utrzymania ruchu</t>
  </si>
  <si>
    <t>Polska, podkarpackie, Zaczernie (pow. rzeszowski)</t>
  </si>
  <si>
    <t>O-I Jarosław Centrum Serwisowe Maszyn</t>
  </si>
  <si>
    <t>Mechanik Maszyn Szklarskich</t>
  </si>
  <si>
    <t>Elektromechanik*</t>
  </si>
  <si>
    <t>RPd057|741201</t>
  </si>
  <si>
    <t>Elektromechanik</t>
  </si>
  <si>
    <t>Mechanik - Elektromechanik</t>
  </si>
  <si>
    <t>HM Service</t>
  </si>
  <si>
    <t>Elektryk - Elektromechanik</t>
  </si>
  <si>
    <t>SEITO</t>
  </si>
  <si>
    <t>Elektromonter</t>
  </si>
  <si>
    <t>Elektromonter / konserwator urz±dzeń dĽwignicowych</t>
  </si>
  <si>
    <t>RPd057|741208</t>
  </si>
  <si>
    <t>Tesco Polska</t>
  </si>
  <si>
    <t>Konserwator Obiektu</t>
  </si>
  <si>
    <t>Monter / konserwator urz±dzeń zabezpieczeń technicznych osób i mienia</t>
  </si>
  <si>
    <t>RPd057|742113</t>
  </si>
  <si>
    <t>Menard Polska Sp. z o.o.</t>
  </si>
  <si>
    <t>Operator pompy do betonu</t>
  </si>
  <si>
    <t>Operator urz±dzeń do produkcji elementów z betonu komórkowego</t>
  </si>
  <si>
    <t>RPd057|811405</t>
  </si>
  <si>
    <t>Operator Maszyn Odlewniczych</t>
  </si>
  <si>
    <t>Operator maszyn i urz±dzeń odlewniczych*</t>
  </si>
  <si>
    <t>RPd057|812107</t>
  </si>
  <si>
    <t>Wytapiacz</t>
  </si>
  <si>
    <t>Wytapiacz metali nieżelaznych</t>
  </si>
  <si>
    <t>RPd057|812119</t>
  </si>
  <si>
    <t>Operator Urz±dzeń Produkcyjnych</t>
  </si>
  <si>
    <t>Operator urz±dzeń do produkcji chemikaliów nieorganicznych</t>
  </si>
  <si>
    <t>RPd057|813111</t>
  </si>
  <si>
    <t>Pracownik Produkcji</t>
  </si>
  <si>
    <t>Operator urz±dzeń do produkcji wyrobów kosmetycznych</t>
  </si>
  <si>
    <t>RPd057|813127</t>
  </si>
  <si>
    <t>Operator maszyn i urz±dzeń produkcyjnych</t>
  </si>
  <si>
    <t>Pozostali operatorzy maszyn do produkcji wyrobów gumowych</t>
  </si>
  <si>
    <t>RPd057|814190</t>
  </si>
  <si>
    <t>Operator Wtryskarki ? Dział Tworzyw Sztucznych</t>
  </si>
  <si>
    <t>Operator wtryskarki</t>
  </si>
  <si>
    <t>RPd057|814208</t>
  </si>
  <si>
    <t>Pomocnik Montera Mebli</t>
  </si>
  <si>
    <t>Monter mebli</t>
  </si>
  <si>
    <t>RPd057|821902</t>
  </si>
  <si>
    <t>PIL-TRANS Usługi Transportowe</t>
  </si>
  <si>
    <t>Kierowca C+E</t>
  </si>
  <si>
    <t>Kierowca samochodu dostawczego</t>
  </si>
  <si>
    <t>Polska, podkarpackie, Żdżary (pow. dębicki)</t>
  </si>
  <si>
    <t>RPd057|832202</t>
  </si>
  <si>
    <t>Remondis Medison Sp. z o.o.</t>
  </si>
  <si>
    <t>Kierowca kat. C + E</t>
  </si>
  <si>
    <t>Kierowca samochodu ciężarowego</t>
  </si>
  <si>
    <t>RPd057|833203</t>
  </si>
  <si>
    <t>TRANSGLOB SPÓŁKA Z OGRANICZONˇ ODPOWIEDZIALNO¦CIˇ SPÓŁKA KOMANDYTOWA</t>
  </si>
  <si>
    <t>Kierowca Międzynarodowy kat. C+E</t>
  </si>
  <si>
    <t>Operator palownic</t>
  </si>
  <si>
    <t>Operator sprzętu ciężkiego</t>
  </si>
  <si>
    <t>RPd057|834204</t>
  </si>
  <si>
    <t>Operator koparki g±sienicowej</t>
  </si>
  <si>
    <t>Operator koparki</t>
  </si>
  <si>
    <t>RPd057|834205</t>
  </si>
  <si>
    <t>Operator wózka widłowego</t>
  </si>
  <si>
    <t>Kierowca operator wózków jezdniowych (widłowych)</t>
  </si>
  <si>
    <t>RPd057|834401</t>
  </si>
  <si>
    <t>Eurocash S.A.</t>
  </si>
  <si>
    <t>ELPLC S.A.</t>
  </si>
  <si>
    <t>Grafton Recruitment</t>
  </si>
  <si>
    <t>Inżynier Produkcji ds. Powłok</t>
  </si>
  <si>
    <t>PORR S.A</t>
  </si>
  <si>
    <t>Pracownik Budowlany</t>
  </si>
  <si>
    <t>SILVERHAND</t>
  </si>
  <si>
    <t>Cie¶la konstrukcyjny (prefebrykaty drewniane) ? Norwegia</t>
  </si>
  <si>
    <t>Polska, podkarpackie, Alta</t>
  </si>
  <si>
    <t>Monter izolacji - Holandia</t>
  </si>
  <si>
    <t>Polska, podkarpackie, Różne lokalizacje</t>
  </si>
  <si>
    <t>TESCO POLSKA Sp. z o.o.</t>
  </si>
  <si>
    <t>Źródło ogłoszenia</t>
  </si>
  <si>
    <t>Kasjer / Kasjerka</t>
  </si>
  <si>
    <t>27.02.2019</t>
  </si>
  <si>
    <t>01.03.2019</t>
  </si>
  <si>
    <t>RPd057|523002</t>
  </si>
  <si>
    <t>CPL JOBS Sp. z o.o.</t>
  </si>
  <si>
    <t>RPd057|333101</t>
  </si>
  <si>
    <t>Grupa VAN</t>
  </si>
  <si>
    <t>Spedytor Międzynarodowy</t>
  </si>
  <si>
    <t>Polska, podkarpackie, Jasło, Rzeszów</t>
  </si>
  <si>
    <t>KRKA Polska Sp. z o.o.</t>
  </si>
  <si>
    <t>Polska, podkarpackie, Mielec, Rzeszów, Dębica</t>
  </si>
  <si>
    <t>m-PLAY</t>
  </si>
  <si>
    <t>Doradca Biznesowy sieci PLAY</t>
  </si>
  <si>
    <t>Polska, podkarpackie, Dębica, Jarosław, Jasło, Krosno, Lesko, Leżajsk, Lubaczów, Mielec, Polańczyk, Przemy¶l, Rzeszów, Sanok, Solina, Stalowa Wola, Tarnobrzeg</t>
  </si>
  <si>
    <t>NOKIA</t>
  </si>
  <si>
    <t>Senior JavaScript Software Engineer</t>
  </si>
  <si>
    <t>20.02.2019</t>
  </si>
  <si>
    <t>22.02.2019</t>
  </si>
  <si>
    <t>ALIOR BANK</t>
  </si>
  <si>
    <t>Młodszy Specjalista ds. Obsługi Klienta - Zespół Infolinii</t>
  </si>
  <si>
    <t>Dyrektor Finansowy</t>
  </si>
  <si>
    <t>Dyrektor finansowy</t>
  </si>
  <si>
    <t>RPd057|112006</t>
  </si>
  <si>
    <t>ARKUS &amp; ROMET</t>
  </si>
  <si>
    <t>Sprzedawca E-Commerce</t>
  </si>
  <si>
    <t>Borg Warner</t>
  </si>
  <si>
    <t>Operator produkcji ? wydział obróbki</t>
  </si>
  <si>
    <t>Kierownik HR</t>
  </si>
  <si>
    <t>Młodszy Kontroler NDT</t>
  </si>
  <si>
    <t>DKS sp. z o.o.</t>
  </si>
  <si>
    <t>DRIMPOL Sp. z o.o.</t>
  </si>
  <si>
    <t>Przedstawiciel Handlowy ds. Detalu</t>
  </si>
  <si>
    <t>Elvita</t>
  </si>
  <si>
    <t>Specjalista ds. produkcji ro¶linnej</t>
  </si>
  <si>
    <t>Inżynier rolnictwa</t>
  </si>
  <si>
    <t>RPd057|213205</t>
  </si>
  <si>
    <t>eurobank</t>
  </si>
  <si>
    <t>Froneri Polska Sp. z o.o.</t>
  </si>
  <si>
    <t>Specjalista ds. Zarz±dzania Bazami Danych - Master Data Specialist</t>
  </si>
  <si>
    <t>Getin Noble Bank S.A.</t>
  </si>
  <si>
    <t>Polska, podkarpackie, Mielec, Stalowa Wola</t>
  </si>
  <si>
    <t>ICN Polfa Rzeszów S.A.</t>
  </si>
  <si>
    <t>Operator produkcji</t>
  </si>
  <si>
    <t>Technik farmaceutyczny*</t>
  </si>
  <si>
    <t>RPd057|321301</t>
  </si>
  <si>
    <t>INDEPRO - Polska</t>
  </si>
  <si>
    <t>Agent / Doradca ds. Nieruchomo¶ci</t>
  </si>
  <si>
    <t>Przedstawiciel Bankowy w Segmencie Małych i ¦rednich Przedsiębiorstw</t>
  </si>
  <si>
    <t>Jai Kudo Polska Sp. z o.o.</t>
  </si>
  <si>
    <t>Operacyjny Stażowy Program Menedżerski (Operations Management Trainee Programme)</t>
  </si>
  <si>
    <t>Polska, podkarpackie, Przemy¶l, Rzeszów</t>
  </si>
  <si>
    <t>Kramel</t>
  </si>
  <si>
    <t>Merchandiser mobliny</t>
  </si>
  <si>
    <t>Przedstawiciel Handlowy - Vanseller</t>
  </si>
  <si>
    <t>Sprzedawca obwoĽny z samochodu (vanseller)</t>
  </si>
  <si>
    <t>RPd057|521102</t>
  </si>
  <si>
    <t>KRAMEL INVEST spółka z ograniczon± odpowiedzialno¶ci± s.k.</t>
  </si>
  <si>
    <t>Przedstawiciel Handlowy / Vanseller</t>
  </si>
  <si>
    <t>Polska, podkarpackie, Jasło, Krosno</t>
  </si>
  <si>
    <t>Polska, podkarpackie, Rzeszów - Witosa</t>
  </si>
  <si>
    <t>MAKRO Cash and Carry Polska S.A.</t>
  </si>
  <si>
    <t>Polska, podkarpackie, Kolbuszowa</t>
  </si>
  <si>
    <t>Doradca Klienta ? Dział: Rekreacja</t>
  </si>
  <si>
    <t>MediaExpert</t>
  </si>
  <si>
    <t>Opiekun Klienta</t>
  </si>
  <si>
    <t>Polska, podkarpackie, Krosno, Mielec, Stalowa Wola</t>
  </si>
  <si>
    <t>MOBICA Ltd.</t>
  </si>
  <si>
    <t>Embedded C/ Linux Driver Development Engineer</t>
  </si>
  <si>
    <t>NAUKOWO BADAWCZE CENTRUM ROZWOJU SOI "AGESOYA" SP. Z O.O., HUTA KRZESZOWSKA</t>
  </si>
  <si>
    <t>Specjalista ds. rozliczania projektów UE</t>
  </si>
  <si>
    <t>Analityk Finansowy w Dziale Controllingu</t>
  </si>
  <si>
    <t>PCG Academia sp. z o.o</t>
  </si>
  <si>
    <t>IT Project Manager</t>
  </si>
  <si>
    <t>Randstad Polska Sp. z o.o.</t>
  </si>
  <si>
    <t>metalurg</t>
  </si>
  <si>
    <t>Polska, podkarpackie, Jasionka</t>
  </si>
  <si>
    <t>Retech Sp. z o.o.</t>
  </si>
  <si>
    <t>Pracownik Działu Zaopatrzenia ? z językiem niemieckim</t>
  </si>
  <si>
    <t>ROUX CENTER sp. z o.o. SPÓŁKA KOMANDYTOWA</t>
  </si>
  <si>
    <t>Projektant sieci FTTH</t>
  </si>
  <si>
    <t>Specjalista ds. BHP, PPOŻ i Ochrony ¦rodowiska</t>
  </si>
  <si>
    <t>Specjalista ochrony ¶rodowiska</t>
  </si>
  <si>
    <t>RPd057|213303</t>
  </si>
  <si>
    <t>Specjalista ds. Personalnych</t>
  </si>
  <si>
    <t>RPd057|263204</t>
  </si>
  <si>
    <t>Ship Center</t>
  </si>
  <si>
    <t>SKAT Transport Sp. z o.o.</t>
  </si>
  <si>
    <t>Kierowca C+E - praktyczne szkolenie dla kierowców z uprawnieniami</t>
  </si>
  <si>
    <t>Kierowca ci±gnika siodłowego</t>
  </si>
  <si>
    <t>RPd057|833202</t>
  </si>
  <si>
    <t>Kierowca Międzynarodowy C+E</t>
  </si>
  <si>
    <t>Southco Manufacturing Limited</t>
  </si>
  <si>
    <t>Specjalista ds. Planowania Produkcji</t>
  </si>
  <si>
    <t>RPd057|214102</t>
  </si>
  <si>
    <t>TOI TOI Polska Sp. z o. o.</t>
  </si>
  <si>
    <t>Widan Polska Spółka z o.o. Spółka komandytowa</t>
  </si>
  <si>
    <t>Przedstawiciel handlowy ds. HoReCa oraz detalu</t>
  </si>
  <si>
    <t>WIPER sp. z o. o.</t>
  </si>
  <si>
    <t>Wojewódzki Inspektorat Inspekcji Handlowej w Rzeszowie</t>
  </si>
  <si>
    <t>Inspektor</t>
  </si>
  <si>
    <t>WSiP</t>
  </si>
  <si>
    <t>ALAB laboratoria Sp. z o.o.</t>
  </si>
  <si>
    <t>Kierownik Pracowni Mikrobiologicznej</t>
  </si>
  <si>
    <t>Mikrobiolog</t>
  </si>
  <si>
    <t>13.02.2019</t>
  </si>
  <si>
    <t>15.02.2019</t>
  </si>
  <si>
    <t>RPd057|213108</t>
  </si>
  <si>
    <t>Alior Bank</t>
  </si>
  <si>
    <t>Młodszy Bankier Klienta</t>
  </si>
  <si>
    <t xml:space="preserve">Polska, podkarpackie, Mielec </t>
  </si>
  <si>
    <t>Aviva Sp. z o.o.</t>
  </si>
  <si>
    <t>Doradca ds. Ubezpieczeń i Inwestycji</t>
  </si>
  <si>
    <t xml:space="preserve">Polska, podkarpackie, Dębica </t>
  </si>
  <si>
    <t>Menedżer Zespołu Sprzedaży</t>
  </si>
  <si>
    <t>RPd057|122102</t>
  </si>
  <si>
    <t>Polska, podkarpackie, Mielec, Tarnobrzeg</t>
  </si>
  <si>
    <t>Aviva Sp. z o.o. Oddział Mielec</t>
  </si>
  <si>
    <t>Lider Sprzedaży</t>
  </si>
  <si>
    <t xml:space="preserve">Polska, podkarpackie, Mielec, Kolbuszowa, Tarnobrzeg, Połaniec, </t>
  </si>
  <si>
    <t>CEMEX Polska Sp. z o.o.</t>
  </si>
  <si>
    <t>Operator Mobilnej Wytwórni Betonu</t>
  </si>
  <si>
    <t>Polska, podkarpackie, Krosno, Mielec, Przemy¶l, Rzeszów, Stalowa Wola, Tarnobrzeg</t>
  </si>
  <si>
    <t>Generalna Dyrekcja Dróg Krajowych i Autostrad w Warszawie</t>
  </si>
  <si>
    <t>Starszy inspektor</t>
  </si>
  <si>
    <t>RPd057|214207</t>
  </si>
  <si>
    <t>Gold Finance Sp. z o.o.</t>
  </si>
  <si>
    <t>Partner Franczyzowy</t>
  </si>
  <si>
    <t>Polska, podkarpackie, Rzeszów, Stalowa Wola, Przemy¶l, Krosno, Mielec, Tarnobrzeg</t>
  </si>
  <si>
    <t>Thor Industriemontagen GmbH &amp; Co.KG</t>
  </si>
  <si>
    <t>Monter Konserwator - Serwisant wind i urz±dzeń dĽwigowych</t>
  </si>
  <si>
    <t xml:space="preserve">Polska, podkarpackie </t>
  </si>
  <si>
    <t>Kierownik Zespołu Negocjatorów Ubezpieczeń Korporacyjnych</t>
  </si>
  <si>
    <t>Zakłady Mięsne OLEWNIK-BIS Sp. z o.o.</t>
  </si>
  <si>
    <t>Menedżer Zespołu</t>
  </si>
  <si>
    <t>Dyrektor do spraw personalnych</t>
  </si>
  <si>
    <t>06.02.2019</t>
  </si>
  <si>
    <t>08.02.2019</t>
  </si>
  <si>
    <t xml:space="preserve">Polska, podkarpackie, Stalowa Wola </t>
  </si>
  <si>
    <t>RPd057|112005</t>
  </si>
  <si>
    <t>Klient portalu Praca.pl</t>
  </si>
  <si>
    <t>Administrator Projektów</t>
  </si>
  <si>
    <t>Pozostali specjali¶ci z dziedziny prawa gdzie indziej niesklasyfikowani</t>
  </si>
  <si>
    <t xml:space="preserve">Polska, podkarpackie, Rzeszów </t>
  </si>
  <si>
    <t>RPd057|261990</t>
  </si>
  <si>
    <t>Kierownik Grupy Technicznej</t>
  </si>
  <si>
    <t>Technik telekomunikacji*</t>
  </si>
  <si>
    <t>RPd057|352203</t>
  </si>
  <si>
    <t>Moltton Poland</t>
  </si>
  <si>
    <t>Key Account Manager - ¦rodki Ochrony Ro¶lin</t>
  </si>
  <si>
    <t>MONNARI TRADE S.A.</t>
  </si>
  <si>
    <t>Pomocnik Sprzedawcy</t>
  </si>
  <si>
    <t>Developer / Programmer NAV</t>
  </si>
  <si>
    <t>DevOps Engineer</t>
  </si>
  <si>
    <t>SCM Engineer with Bash scripting</t>
  </si>
  <si>
    <t>Technical Writer</t>
  </si>
  <si>
    <t>Orsay</t>
  </si>
  <si>
    <t>Zastępca Kierownika Sklepu</t>
  </si>
  <si>
    <t>Doradca Klienta Zamożnego</t>
  </si>
  <si>
    <t>Polska, podkarpackie, Lubaczów</t>
  </si>
  <si>
    <t>Powiatowy Inspektorat Weterynarii w Mielcu</t>
  </si>
  <si>
    <t>Promedica24</t>
  </si>
  <si>
    <t>Lektor języka niemieckiego</t>
  </si>
  <si>
    <t>Polska, podkarpackie, Sanok, Stalowa Wola</t>
  </si>
  <si>
    <t>STRABAG BMTI</t>
  </si>
  <si>
    <t>Majster Sprzętu (m/k)</t>
  </si>
  <si>
    <t>Pozostali inżynierowie do spraw przemysłu i produkcji</t>
  </si>
  <si>
    <t>RPd057|214190</t>
  </si>
  <si>
    <t>Mechanik Maszyn Budowlanych (m/k)</t>
  </si>
  <si>
    <t>Regionalny Menadżer Sprzedaży Ubezpieczeń Grupowych na Życie</t>
  </si>
  <si>
    <t>ofert zatwierdzonych</t>
  </si>
  <si>
    <t>ofert pominiętych</t>
  </si>
  <si>
    <t>ogółem</t>
  </si>
  <si>
    <t>wolnych miejsc pracy</t>
  </si>
  <si>
    <t>A&amp;J Partners Sp. z o. o.</t>
  </si>
  <si>
    <t>OPIEKUNKA / OPIEKUN OSÓB STARSZYCH W NIEMCZECH MAMY TEŻ WYJAZDY BEZ JĘZYKA NIEMIECKIEGO  Zarabiaj do 1500 EURO plus PREMIE</t>
  </si>
  <si>
    <t>Pozostali pracownicy domowej opieki osobistej</t>
  </si>
  <si>
    <t>16.10.2017</t>
  </si>
  <si>
    <t>18.10.2017</t>
  </si>
  <si>
    <t>Polska, podkarpackie, Niemcy</t>
  </si>
  <si>
    <t>RPd057|532290</t>
  </si>
  <si>
    <t>Angelini Pharma Polska Sp. z o.o</t>
  </si>
  <si>
    <t>Przedstawiciel Medyczny - Linia GP</t>
  </si>
  <si>
    <t>BP Polska Services Sp. z o.o.</t>
  </si>
  <si>
    <t>Devanlay Polska Sp. z o.o.</t>
  </si>
  <si>
    <t>Europejskie Centrum Odszkodowań S.A.</t>
  </si>
  <si>
    <t>Doradca Klienta ds. odszkodowań</t>
  </si>
  <si>
    <t>Doradca do spraw odszkodowań</t>
  </si>
  <si>
    <t>RPd057|261909</t>
  </si>
  <si>
    <t>Implementation consultant</t>
  </si>
  <si>
    <t>Przedstawiciel handlowy - branża oponiarska</t>
  </si>
  <si>
    <t>Hays Poland Sp. z o.o.</t>
  </si>
  <si>
    <t>HR Generalist</t>
  </si>
  <si>
    <t>H&amp;M</t>
  </si>
  <si>
    <t>Hudson Global Resources</t>
  </si>
  <si>
    <t>Sales Manager</t>
  </si>
  <si>
    <t>Specjalista ds. IT/ERP</t>
  </si>
  <si>
    <t>KANCELARIA PRAWNA LEGATIS</t>
  </si>
  <si>
    <t>Przedstawiciel ds. Odszkodowań</t>
  </si>
  <si>
    <t>Polska, podkarpackie, Rzeszów, Krosno, Stalowa Wola, Nisko, Sanok, Jasło, Przemy¶l, Jarosław, Ustrzyki Dolne, Lesko, Brzozów, Mielec, Sandomierz, Tarnobrzeg, Leżajsk, Lubaczów, Przeworsk, Kolbuszowa, Ropczyce, Dębica, Strzyżów, Łańcut</t>
  </si>
  <si>
    <t>My Travel Sp. z o.o.</t>
  </si>
  <si>
    <t>Wła¶ciciel Biura Podróży - Franczyzobiorca</t>
  </si>
  <si>
    <t>Open Brokers S.A.</t>
  </si>
  <si>
    <t>Ekspert ds. Ubezpieczeń</t>
  </si>
  <si>
    <t>Podkarpackie Zakłady Mechaniczne Sp. z o.o. sp.k.</t>
  </si>
  <si>
    <t>Specjalista ds. kooperacji</t>
  </si>
  <si>
    <t>Powiatowy Inspektorat Nadzoru Budowlanego dla Miasta Krosna</t>
  </si>
  <si>
    <t>RPd057|121101</t>
  </si>
  <si>
    <t>SMYK S.A.</t>
  </si>
  <si>
    <t>TUiR WARTA S.A.</t>
  </si>
  <si>
    <t>Kierownik Zespołu Negocjatorów</t>
  </si>
  <si>
    <t>Ubezpieczenia dla każdego sp z o. o.</t>
  </si>
  <si>
    <t>VISTULA GROUP</t>
  </si>
  <si>
    <t>Antal</t>
  </si>
  <si>
    <t>Kierownik Robót Elektrycznych</t>
  </si>
  <si>
    <t>Inżynier budownictwa - urz±dzenia, instalacje i sieci energetyczne</t>
  </si>
  <si>
    <t>11.10.2017</t>
  </si>
  <si>
    <t>13.10.2017</t>
  </si>
  <si>
    <t>RPd057|214205</t>
  </si>
  <si>
    <t>Inżynier Automatyk</t>
  </si>
  <si>
    <t>Bakoma Sp. z o. o.</t>
  </si>
  <si>
    <t>Kierowca-Sprzedawca (kat. C)</t>
  </si>
  <si>
    <t>Euro24 Sp. z o.o. Sp.k</t>
  </si>
  <si>
    <t>Dyspozytor</t>
  </si>
  <si>
    <t>Dyspozytor transportu samochodowego</t>
  </si>
  <si>
    <t>RPd057|432302</t>
  </si>
  <si>
    <t>Exact Systems S.A.</t>
  </si>
  <si>
    <t>Kontroler Jako¶ci</t>
  </si>
  <si>
    <t>Polska, podkarpackie, Jasionka, Rzeszów</t>
  </si>
  <si>
    <t>Festo</t>
  </si>
  <si>
    <t>Firma DKS sp. z o.o.</t>
  </si>
  <si>
    <t>Górno¶l±skie Towarzystwo Finansowe spółka z ograniczon± odpowiedzialno¶ci± sp.k.</t>
  </si>
  <si>
    <t>Dyrektor Regionu / Makroregionu</t>
  </si>
  <si>
    <t>Dyrektor handlowy</t>
  </si>
  <si>
    <t>RPd057|112008</t>
  </si>
  <si>
    <t>Konsultant ds. sprzedaży w salonie Orange</t>
  </si>
  <si>
    <t>Kierownik działu kadr i płac</t>
  </si>
  <si>
    <t>RPd057|121201</t>
  </si>
  <si>
    <t>Helios S.A.</t>
  </si>
  <si>
    <t>Kierownik Kina</t>
  </si>
  <si>
    <t>Kierownik kina</t>
  </si>
  <si>
    <t>RPd057|143108</t>
  </si>
  <si>
    <t>Obsługa kina</t>
  </si>
  <si>
    <t>Bileter</t>
  </si>
  <si>
    <t>RPd057|962901</t>
  </si>
  <si>
    <t>Specjalista ds. Kluczowych Klientów</t>
  </si>
  <si>
    <t>Zastępca Kierownika ds. kinotechnicznych</t>
  </si>
  <si>
    <t>Home Broker S.A.</t>
  </si>
  <si>
    <t>Po¶rednik w obrocie nieruchomo¶ciami</t>
  </si>
  <si>
    <t>Polska, podkarpackie, Przemy¶l, Rzeszów, Stalowa Wola, Tarnobrzeg</t>
  </si>
  <si>
    <t>RPd057|244001</t>
  </si>
  <si>
    <t>INTERSNACK POLAND</t>
  </si>
  <si>
    <t>Job Innovation</t>
  </si>
  <si>
    <t>Spawacz MMA 111</t>
  </si>
  <si>
    <t>Klient Gratka.pl</t>
  </si>
  <si>
    <t>Kierowca kat.c</t>
  </si>
  <si>
    <t>Polska, podkarpackie, Rzeszów i okolice</t>
  </si>
  <si>
    <t>Korepetytor</t>
  </si>
  <si>
    <t>RPd057|235917</t>
  </si>
  <si>
    <t>Slusarz spawacz</t>
  </si>
  <si>
    <t>Polska, podkarpackie, katowice, rzeszów, Tarnobrzeg, mielec, sanok</t>
  </si>
  <si>
    <t>Konsultant ds. planowania podróży z językiem angielskim</t>
  </si>
  <si>
    <t>Pracownik linii produkcyjnej</t>
  </si>
  <si>
    <t>Polska, podkarpackie, Zawada</t>
  </si>
  <si>
    <t>MGsolutions Sp.z.o.o.</t>
  </si>
  <si>
    <t>Pracownik inwentaryzacji</t>
  </si>
  <si>
    <t>RPd057|432102</t>
  </si>
  <si>
    <t>Neonet S.A</t>
  </si>
  <si>
    <t>NEONET S.A.</t>
  </si>
  <si>
    <t>Pomocnik Sprzedawcy (umowa zlecenie)</t>
  </si>
  <si>
    <t>Pozostali sprzedawcy sklepowi (ekspedienci)</t>
  </si>
  <si>
    <t>RPd057|522390</t>
  </si>
  <si>
    <t>Powiatowy Inspektorat Nadzoru Budowlanego w Nisku</t>
  </si>
  <si>
    <t>Inspektor nadzoru budowlanego</t>
  </si>
  <si>
    <t>RPd057|242211</t>
  </si>
  <si>
    <t>THESAR-PRO Sp. z o.o.</t>
  </si>
  <si>
    <t>Inspektor nadzoru robót telekomunikacyjnych</t>
  </si>
  <si>
    <t>Pracownik analizy i ewidencji danych</t>
  </si>
  <si>
    <t>Promotor/Ankieter</t>
  </si>
  <si>
    <t>RPd057|422701</t>
  </si>
  <si>
    <t>Specjalista ds. sieci</t>
  </si>
  <si>
    <t>Operator techniczny (m/k)</t>
  </si>
  <si>
    <t>Polska, podkarpackie, Rozalin</t>
  </si>
  <si>
    <t>RPd057|311909</t>
  </si>
  <si>
    <t>Washington Frank International</t>
  </si>
  <si>
    <t>Samodzielny Konsultant ds. Wdrożeń SAP BI/BW</t>
  </si>
  <si>
    <t>Wiertz Agencja pracy sp. z o.o.</t>
  </si>
  <si>
    <t>Opiekun medyczny</t>
  </si>
  <si>
    <t>Opiekun medyczny*</t>
  </si>
  <si>
    <t>Polska, podkarpackie, Maastricht</t>
  </si>
  <si>
    <t>RPd057|532102</t>
  </si>
  <si>
    <t>ZinkPower Wschód Sp. z o.o.</t>
  </si>
  <si>
    <t>Kierownik zakładu</t>
  </si>
  <si>
    <t>Polska, podkarpackie, Janów Lubelski (woj. lubelskie)</t>
  </si>
  <si>
    <t>Ailleron</t>
  </si>
  <si>
    <t>Manual / Automation Test Engineer</t>
  </si>
  <si>
    <t>Specjalista bezpieczeństwa oprogramowania</t>
  </si>
  <si>
    <t>09.10.2017</t>
  </si>
  <si>
    <t>RPd057|252901</t>
  </si>
  <si>
    <t>PHP Software Engineer</t>
  </si>
  <si>
    <t>Bankier Klienta</t>
  </si>
  <si>
    <t>Apleona HSG Sp. z o.o.</t>
  </si>
  <si>
    <t>Technik Obiektu (K/M)</t>
  </si>
  <si>
    <t>AUDIT Doradztwo Personalne</t>
  </si>
  <si>
    <t>AVIVA</t>
  </si>
  <si>
    <t>Przedstawiciel Aviva</t>
  </si>
  <si>
    <t>Specjalista ds. Sprzedaży w Obszarze B2B</t>
  </si>
  <si>
    <t>Bank Millennium S.A.</t>
  </si>
  <si>
    <t>OPIEKUN KLIENTA</t>
  </si>
  <si>
    <t>Bank Pekao</t>
  </si>
  <si>
    <t>Doradca Osobisty</t>
  </si>
  <si>
    <t>Bank Zachodni WBK S.A.</t>
  </si>
  <si>
    <t>Doradca Klienta w BZ WBK</t>
  </si>
  <si>
    <t>Beetsma Sp. z o.o.</t>
  </si>
  <si>
    <t>Praca w magazynie ze sprzętem muzycznym</t>
  </si>
  <si>
    <t>Robotnik magazynowy</t>
  </si>
  <si>
    <t>RPd057|933304</t>
  </si>
  <si>
    <t>Pracownik produkcji sałatek</t>
  </si>
  <si>
    <t>Pakowacz ręczny</t>
  </si>
  <si>
    <t>Polska, podkarpackie, ZWAADWIJK</t>
  </si>
  <si>
    <t>RPd057|932101</t>
  </si>
  <si>
    <t>Pracownik sortowni owoców twardych - Holandia</t>
  </si>
  <si>
    <t>Sortowacz</t>
  </si>
  <si>
    <t>RPd057|932913</t>
  </si>
  <si>
    <t>BMS-AGRIPOL sp. z o.o.</t>
  </si>
  <si>
    <t>Technolog Energii Odnawialnej</t>
  </si>
  <si>
    <t>Inżynier urz±dzeń i systemów energetyki odnawialnej</t>
  </si>
  <si>
    <t>RPd057|215106</t>
  </si>
  <si>
    <t>DHL Parcel</t>
  </si>
  <si>
    <t>Kierownik Regionu Sprzedaży</t>
  </si>
  <si>
    <t>ELTEL Networks Energetyka S.A.</t>
  </si>
  <si>
    <t>Specjalista ds. Zaopatrzenia</t>
  </si>
  <si>
    <t>Polska, podkarpackie, Widełka (pow. kolbuszowski)</t>
  </si>
  <si>
    <t>FEI Serwis Kop Wacław Rędziniak Sp. J.</t>
  </si>
  <si>
    <t>Główna Księgowa</t>
  </si>
  <si>
    <t>Fuchs Oil Corporation (PL) Sp. z o.o.</t>
  </si>
  <si>
    <t>Hydraulik</t>
  </si>
  <si>
    <t>RPd057|712601</t>
  </si>
  <si>
    <t>Fundacja Kibica</t>
  </si>
  <si>
    <t>Koordynator Projektu - Staż</t>
  </si>
  <si>
    <t>Koordynator projektów unijnych</t>
  </si>
  <si>
    <t>Polska, podkarpackie, Rzeszów, Przemy¶l, Krosno, Stalowa wola</t>
  </si>
  <si>
    <t>RPd057|242102</t>
  </si>
  <si>
    <t>Fundacja Sustinae</t>
  </si>
  <si>
    <t>Pracownik biurowy</t>
  </si>
  <si>
    <t>Polska, podkarpackie, Rzeszów, Przemy¶l, Jasło, Krosno, Dębica, Mielec</t>
  </si>
  <si>
    <t>Grupa Armatura</t>
  </si>
  <si>
    <t>Lider zmiany - Centrum Dystrybucyjne</t>
  </si>
  <si>
    <t>Grupa Most Wanted! Sp. z o.o.</t>
  </si>
  <si>
    <t>Hutnik - formowacz wyrobów szklanych</t>
  </si>
  <si>
    <t>Hutnik dmuchacz szkła</t>
  </si>
  <si>
    <t>RPd057|731502</t>
  </si>
  <si>
    <t>Home Broker</t>
  </si>
  <si>
    <t>Specjalista ds. Sprzedaży Mieszkań</t>
  </si>
  <si>
    <t>Polska, podkarpackie, Rzeszów, Przemy¶l, Stalowa Wola</t>
  </si>
  <si>
    <t>19.10.2017</t>
  </si>
  <si>
    <t>Polska, podkarpackie, Rudna Mała</t>
  </si>
  <si>
    <t>Polska, podkarpackie, RZESZÓW, TARNÓW, ZAMO¦Ć, PRZEMY¦L</t>
  </si>
  <si>
    <t>KS Service</t>
  </si>
  <si>
    <t>Pracownik wsparcia technicznego IT</t>
  </si>
  <si>
    <t>Lagardere Travel Retail sp. z o.o.</t>
  </si>
  <si>
    <t>Ajent - Business Partner</t>
  </si>
  <si>
    <t>RPd057|141202</t>
  </si>
  <si>
    <t>Analityk ds. języka niemieckiego (German Language Analyst)</t>
  </si>
  <si>
    <t>Technik organizacji produkcji</t>
  </si>
  <si>
    <t>RPd057|311917</t>
  </si>
  <si>
    <t>Doradca handlowy</t>
  </si>
  <si>
    <t>Financial Specialist with German</t>
  </si>
  <si>
    <t>Financial Specialist with Italian</t>
  </si>
  <si>
    <t>Financial Specialist with Romanian</t>
  </si>
  <si>
    <t>Financial Specialist with Spanish</t>
  </si>
  <si>
    <t>Handlowiec - rynek ukraiński</t>
  </si>
  <si>
    <t>Key Account Manager - systemy ERP</t>
  </si>
  <si>
    <t>Kierownik ds. utrzymania ruchu</t>
  </si>
  <si>
    <t>RPd057|132105</t>
  </si>
  <si>
    <t>Mechanik lotniczy - Spawacz</t>
  </si>
  <si>
    <t>Technik mechanik lotniczy*</t>
  </si>
  <si>
    <t>RPd057|315317</t>
  </si>
  <si>
    <t>Młodszy Mechanik Lotniczy</t>
  </si>
  <si>
    <t>Operator CNC dla branży lotniczej</t>
  </si>
  <si>
    <t>Operator linii produkcyjnej</t>
  </si>
  <si>
    <t>Polska, podkarpackie, Chmielów</t>
  </si>
  <si>
    <t>Specjalista ds. finansowych z j. hiszpańskim</t>
  </si>
  <si>
    <t>Specjalista ds. finansowych z j. niemieckim</t>
  </si>
  <si>
    <t>Specjalista ds. finansowych z j. rumuńskim</t>
  </si>
  <si>
    <t>Specjalista ds. finansowych z j. włoskim</t>
  </si>
  <si>
    <t>Specjalista ds. HR z j. angielskim i niemieckim</t>
  </si>
  <si>
    <t>Specjalista ds. personalnych z jęz. niemieckim</t>
  </si>
  <si>
    <t>Specjalista ds. sprzedaży w terenie</t>
  </si>
  <si>
    <t>MBE Poland Sp. z o.o.</t>
  </si>
  <si>
    <t>Manager Oddziału Mail Boxes Etc.</t>
  </si>
  <si>
    <t>Polska, podkarpackie, Miejsce Piastowe</t>
  </si>
  <si>
    <t>Muzeum Polaków Ratuj±cych Żydów podczas II wojny ¶wiatowej im. Rodziny Ulmów  w Markowej</t>
  </si>
  <si>
    <t>Specjalista ds. Promocji i Animacji Kulturalnej</t>
  </si>
  <si>
    <t>Specjalista integracji międzykulturowej</t>
  </si>
  <si>
    <t>Polska, podkarpackie, Markowa</t>
  </si>
  <si>
    <t>RPd057|242312</t>
  </si>
  <si>
    <t>Polska, podkarpackie, Rzeszów, Stalowa Wola</t>
  </si>
  <si>
    <t>NaturAvena Sp. z o.o.</t>
  </si>
  <si>
    <t>Pracownik Produkcji PAKOWACZ</t>
  </si>
  <si>
    <t>Polska, podkarpackie, Kielanówka, Rzeszów</t>
  </si>
  <si>
    <t>Główny/a Księgowy/a</t>
  </si>
  <si>
    <t>Polska, podkarpackie, Nagawczyna (pow. dębicki)</t>
  </si>
  <si>
    <t>Optima Legal Consulting Sp. z o.o.</t>
  </si>
  <si>
    <t>Przedstawiciel kancelarii ? Doradca klienta</t>
  </si>
  <si>
    <t>Polska, podkarpackie, Rzeszów, Krosno, Przemy¶l</t>
  </si>
  <si>
    <t>PLUS KADRA Sp. z o.o.</t>
  </si>
  <si>
    <t>Operator maszyn, operator urz±dzeń montażowych</t>
  </si>
  <si>
    <t>Operator nitek-trocin</t>
  </si>
  <si>
    <t>Operator maszyn czyszcz±cych</t>
  </si>
  <si>
    <t>RPd057|912904</t>
  </si>
  <si>
    <t>Operator obsługi sit i wialni</t>
  </si>
  <si>
    <t>Pozostali operatorzy maszyn i urz±dzeń do produkcji wyrobów chemicznych</t>
  </si>
  <si>
    <t>RPd057|813190</t>
  </si>
  <si>
    <t>Pomocnik operatora Skrawalni</t>
  </si>
  <si>
    <t>Operator obrabiarek skrawaj±cych*</t>
  </si>
  <si>
    <t>RPd057|722307</t>
  </si>
  <si>
    <t>Spawacz MAG</t>
  </si>
  <si>
    <t>Kierownik Działu Konstrukcyjno-Technologicznego</t>
  </si>
  <si>
    <t>Polmos Łańcut S.A.</t>
  </si>
  <si>
    <t>Elektromechanik - Operator linii rozlewniczych</t>
  </si>
  <si>
    <t>Power Media S.A.</t>
  </si>
  <si>
    <t>Scrum Master</t>
  </si>
  <si>
    <t>PRB Handsbud sj J.Puszkarewicz W.Mikulski</t>
  </si>
  <si>
    <t>Robotnik budowlany</t>
  </si>
  <si>
    <t>Pomocniczy robotnik budowlany</t>
  </si>
  <si>
    <t>Polska, podkarpackie, rzeszów</t>
  </si>
  <si>
    <t>RPd057|931301</t>
  </si>
  <si>
    <t>Promedica Care Sp. z o.o.</t>
  </si>
  <si>
    <t>Lektor Języka Niemieckiego</t>
  </si>
  <si>
    <t>Polska, podkarpackie, Sanok, Jasło, Leżajsk, Lubaczów, Przemy¶l</t>
  </si>
  <si>
    <t>Przedstawiciele.pl</t>
  </si>
  <si>
    <t>PRZEDSTAWICIEL HANDLOWY</t>
  </si>
  <si>
    <t>PRZEDSTAWICIEL HANDLOWY - MEDYCZNY</t>
  </si>
  <si>
    <t>PZU S.A.</t>
  </si>
  <si>
    <t>Polska, podkarpackie, Rzeszów, Jasło, Przemy¶l, Tarnobrzeg, Krosno</t>
  </si>
  <si>
    <t>Polska, podkarpackie, Rzeszów, Jasło, Przemy¶l, Sanok, Mielec, Tarnobrzeg</t>
  </si>
  <si>
    <t>Regionalna Dyrekcja Ochrony ¦rodowiska w Rzeszowie</t>
  </si>
  <si>
    <t>Technik ochrony ¶rodowiska*</t>
  </si>
  <si>
    <t>RPd057|325511</t>
  </si>
  <si>
    <t>Rekrutacja ukryta</t>
  </si>
  <si>
    <t>Asystent sprzedaży</t>
  </si>
  <si>
    <t>Kierownik Zespołu Sprzedaży</t>
  </si>
  <si>
    <t>Osoba Prowadz±ca Punkt Handlowy</t>
  </si>
  <si>
    <t>Kasjer - Sprzedawca</t>
  </si>
  <si>
    <t>Salon Fryzjerski STYL</t>
  </si>
  <si>
    <t>Fryzjer</t>
  </si>
  <si>
    <t>Fryzjer*</t>
  </si>
  <si>
    <t>Polska, podkarpackie, Chmielnik, Rzeszów</t>
  </si>
  <si>
    <t>RPd057|514101</t>
  </si>
  <si>
    <t>Symeon</t>
  </si>
  <si>
    <t>opiekun osoby starszej</t>
  </si>
  <si>
    <t>Opiekun osoby starszej*</t>
  </si>
  <si>
    <t xml:space="preserve">Polska, podkarpackie, Łańcut, Warszawa, Wrocław, Koszalin, ŁódĽ, Kraków, </t>
  </si>
  <si>
    <t>RPd057|341202</t>
  </si>
  <si>
    <t>SYMEON</t>
  </si>
  <si>
    <t>Opiekun osoby starszej</t>
  </si>
  <si>
    <t>Polska, podkarpackie, Rzeszów, Przemy¶l, Stalowa Wola, Łańcut</t>
  </si>
  <si>
    <t>Tarkon Sp. z o.o.</t>
  </si>
  <si>
    <t>Szef działu zarz±dzania projektami w zakresie usług - delegowania pracowników</t>
  </si>
  <si>
    <t>TEREZ Performance Polymers</t>
  </si>
  <si>
    <t>Pomocnik Operatora Wytłaczarki</t>
  </si>
  <si>
    <t>Polska, podkarpackie, RogoĽnica k. Rzeszowa</t>
  </si>
  <si>
    <t>Pracownik Pomocniczy Magazynu</t>
  </si>
  <si>
    <t>TRANSPORT CIĘŻKI</t>
  </si>
  <si>
    <t>kierowca CE</t>
  </si>
  <si>
    <t>Polska, podkarpackie, D±browa Górnicza</t>
  </si>
  <si>
    <t>WSM Personal GmbH</t>
  </si>
  <si>
    <t>Stolarz</t>
  </si>
  <si>
    <t>Polska, podkarpackie, Niemcy, Wangen im Allgäu</t>
  </si>
  <si>
    <t>RPd057|752205</t>
  </si>
  <si>
    <t>ZETES sp. z o. o.</t>
  </si>
  <si>
    <t>hydraulik</t>
  </si>
  <si>
    <t>About You.Pl Sp. z o.o.</t>
  </si>
  <si>
    <t>04.10.2017</t>
  </si>
  <si>
    <t>06.10.2017</t>
  </si>
  <si>
    <t>Adecco Poland Sp. z o.o.</t>
  </si>
  <si>
    <t>Kontroler jako¶ci</t>
  </si>
  <si>
    <t>Lakiernik</t>
  </si>
  <si>
    <t>Lakiernik*</t>
  </si>
  <si>
    <t>RPd057|713201</t>
  </si>
  <si>
    <t>Aegon Premium</t>
  </si>
  <si>
    <t>Lider Zespołu Sprzedaży</t>
  </si>
  <si>
    <t>Konsultant ds. Szkoleń</t>
  </si>
  <si>
    <t>Wykładowca na kursach (edukator, trener)</t>
  </si>
  <si>
    <t>RPd057|235915</t>
  </si>
  <si>
    <t>AUTOPART</t>
  </si>
  <si>
    <t>Continuous Improvement Manager</t>
  </si>
  <si>
    <t>Polska, podkarpackie, Mielec (okolice)</t>
  </si>
  <si>
    <t>Polska, podkarpackie, Tarnobrzeg, Stalowa Wola, Nowa Deba, Baranów Sandomierski</t>
  </si>
  <si>
    <t>Axtone S.A.</t>
  </si>
  <si>
    <t>Specjalista Ds. Kontaktu z Klientem z Językiem Niemieckim</t>
  </si>
  <si>
    <t>Polska, podkarpackie, Kańczuga</t>
  </si>
  <si>
    <t>BABY DESIGN GROUP Sp.z o.o. Sp.k.</t>
  </si>
  <si>
    <t>Starszy Doradca Klientów Korporacyjnych</t>
  </si>
  <si>
    <t>Inspektor ds. Sprzedaży</t>
  </si>
  <si>
    <t>Specjalista ds. Sprzedaży</t>
  </si>
  <si>
    <t>Doradca Biznesowy w BZ WBK</t>
  </si>
  <si>
    <t>Graduate Trainee Program in Research &amp; Development</t>
  </si>
  <si>
    <t>Specjalista ds. HR</t>
  </si>
  <si>
    <t>Britax Sp. z o.o.</t>
  </si>
  <si>
    <t>Specjalista ds. Produktu i Sprzedaży</t>
  </si>
  <si>
    <t>Specjalista do spraw organizacji i rozwoju sprzedaży</t>
  </si>
  <si>
    <t>RPd057|242228</t>
  </si>
  <si>
    <t>Majster Budowy</t>
  </si>
  <si>
    <t>Citycom</t>
  </si>
  <si>
    <t>Java Developer</t>
  </si>
  <si>
    <t>.Net Developer</t>
  </si>
  <si>
    <t>Programista aplikacji mobilnych</t>
  </si>
  <si>
    <t>RPd057|251402</t>
  </si>
  <si>
    <t>COMPETIA Kancelaria Prawna sp. z o.o.</t>
  </si>
  <si>
    <t>Regionalny Przedstawiciel Sprzedaży</t>
  </si>
  <si>
    <t>Inżynier Automatyk  ? Programista PLC</t>
  </si>
  <si>
    <t>DESIGNER SPÓŁKA Z O.O.</t>
  </si>
  <si>
    <t>Opiekun Marki Kosmetycznej - Przedstawiciel Handlowy</t>
  </si>
  <si>
    <t>Dobrowolscy Sp z o.o.</t>
  </si>
  <si>
    <t>Polska, podkarpackie, Wadowice Górne</t>
  </si>
  <si>
    <t>Polska, podkarpackie, Kolbuszowa, Leżajsk, Mielec</t>
  </si>
  <si>
    <t>Ebexo</t>
  </si>
  <si>
    <t>PHP Developer</t>
  </si>
  <si>
    <t>Specjalista do spraw rozwoju stron internetowych</t>
  </si>
  <si>
    <t>RPd057|251303</t>
  </si>
  <si>
    <t>Manager ds. odszkodowań</t>
  </si>
  <si>
    <t>Festo Sp. z o.o.</t>
  </si>
  <si>
    <t>Konserwator Maszyn i Urz±dzeń</t>
  </si>
  <si>
    <t>RPd057|723310</t>
  </si>
  <si>
    <t>Gardner Aerospace - Mielec Sp. z o.o.</t>
  </si>
  <si>
    <t>Galwanizer</t>
  </si>
  <si>
    <t>RPd057|731602</t>
  </si>
  <si>
    <t>Malarz</t>
  </si>
  <si>
    <t>Malarz-tapeciarz</t>
  </si>
  <si>
    <t>RPd057|713101</t>
  </si>
  <si>
    <t>Planista Produkcji</t>
  </si>
  <si>
    <t>GROW UP Polska Sp. z o.o.</t>
  </si>
  <si>
    <t>KONSTRUKTOR</t>
  </si>
  <si>
    <t>Projektant wzornictwa przemysłowego</t>
  </si>
  <si>
    <t>RPd057|216304</t>
  </si>
  <si>
    <t>Grupa PGD</t>
  </si>
  <si>
    <t>Przedstawiciel Handlowy - czę¶ci i akcesoria motoryzacyjne</t>
  </si>
  <si>
    <t>Grupa Rawlplug</t>
  </si>
  <si>
    <t>Operations Manager nowy obszar produkcyjny Automotive</t>
  </si>
  <si>
    <t>Kierownik produkcji w przemy¶le</t>
  </si>
  <si>
    <t>Polska, podkarpackie, Polska Wschodnia</t>
  </si>
  <si>
    <t>RPd057|132103</t>
  </si>
  <si>
    <t>Quality Specialist</t>
  </si>
  <si>
    <t>Polska, podkarpackie, Okolice Mielca</t>
  </si>
  <si>
    <t>Heli- One (Poland) Sp. z o.o.</t>
  </si>
  <si>
    <t>Praktykant</t>
  </si>
  <si>
    <t>Supply Chain Manager</t>
  </si>
  <si>
    <t>HR Contact</t>
  </si>
  <si>
    <t>Monter Mechanik/Mechatronik</t>
  </si>
  <si>
    <t>Technik mechatronik*</t>
  </si>
  <si>
    <t>RPd057|311410</t>
  </si>
  <si>
    <t>Operator / Programista CNC</t>
  </si>
  <si>
    <t>Frezer</t>
  </si>
  <si>
    <t>RPd057|722301</t>
  </si>
  <si>
    <t>Operator CNC (frezer / tokarz)</t>
  </si>
  <si>
    <t>HR Contact Agencja Rekrutacyjna</t>
  </si>
  <si>
    <t>Monter Mechanik - Mechatronik</t>
  </si>
  <si>
    <t>Monter mechatronik*</t>
  </si>
  <si>
    <t>RPd057|742114</t>
  </si>
  <si>
    <t>Operator - Programista CNC</t>
  </si>
  <si>
    <t>Operator CNC</t>
  </si>
  <si>
    <t>HSK CONSULTING</t>
  </si>
  <si>
    <t>Przedstawiciel Medyczny - Kardiologia</t>
  </si>
  <si>
    <t>Specjalista ds. Logistyki</t>
  </si>
  <si>
    <t>Hyla Poland</t>
  </si>
  <si>
    <t>Kierowca Przedstawiciel - Handlowiec</t>
  </si>
  <si>
    <t>Koelner ŁF¦ - Łańcut</t>
  </si>
  <si>
    <t>Młodszy Hartownik</t>
  </si>
  <si>
    <t>RPd057|812102</t>
  </si>
  <si>
    <t>Kronospan</t>
  </si>
  <si>
    <t>Commercial Manager</t>
  </si>
  <si>
    <t>Polska, podkarpackie, Pustków (pow. dębicki)</t>
  </si>
  <si>
    <t>Koordynator/ka</t>
  </si>
  <si>
    <t>Rekruter/ka z j. niemieckim</t>
  </si>
  <si>
    <t>RPd057|242309</t>
  </si>
  <si>
    <t>Majkoltrans Sp. z o.o.</t>
  </si>
  <si>
    <t>Mechanik / Elektryk Utrzymania Taboru - stażysta</t>
  </si>
  <si>
    <t>Merkury Market Sp. z o.o. Sp. k.</t>
  </si>
  <si>
    <t>Operator Wprowadzania Danych</t>
  </si>
  <si>
    <t>Operator wprowadzania danych</t>
  </si>
  <si>
    <t>RPd057|413201</t>
  </si>
  <si>
    <t>Michael Page</t>
  </si>
  <si>
    <t>Technical Director (m/f)</t>
  </si>
  <si>
    <t>Dyrektor techniczny</t>
  </si>
  <si>
    <t>Polska, podkarpackie, Podkarpackie</t>
  </si>
  <si>
    <t>RPd057|112015</t>
  </si>
  <si>
    <t>Kierownik Budowy</t>
  </si>
  <si>
    <t>Specjalista ds. Warunków Kontraktowych</t>
  </si>
  <si>
    <t>MTU Aero Engines Polska Sp. z o.o.</t>
  </si>
  <si>
    <t>Inżynier ds. nadzoru jako¶ci dostawców</t>
  </si>
  <si>
    <t>Inżynier zaopatrzenia, transportu i magazynowania</t>
  </si>
  <si>
    <t>RPd057|214104</t>
  </si>
  <si>
    <t>Stażysta - Programista Java</t>
  </si>
  <si>
    <t>Nord Capital Sp. J.</t>
  </si>
  <si>
    <t>Kierownik Placówki Partnerskiej</t>
  </si>
  <si>
    <t>Kierownik placówki bankowej</t>
  </si>
  <si>
    <t>RPd057|134605</t>
  </si>
  <si>
    <t>NOTUS FINANSE S.A.</t>
  </si>
  <si>
    <t>Specjalista ds. sprzedaży produktów finansowych</t>
  </si>
  <si>
    <t>O-I Produkcja Polska S.A.</t>
  </si>
  <si>
    <t>Kontroler Zakładu</t>
  </si>
  <si>
    <t>RPd057|241107</t>
  </si>
  <si>
    <t>Specjalista ds. zakładowych systemów energetycznych</t>
  </si>
  <si>
    <t>Graphic Designer</t>
  </si>
  <si>
    <t>Projektant grafiki</t>
  </si>
  <si>
    <t>RPd057|216604</t>
  </si>
  <si>
    <t>ORLEN Południe S.A.</t>
  </si>
  <si>
    <t>Dowódca I (Zakładowa Straż Pożarna)</t>
  </si>
  <si>
    <t>Technik pożarnictwa*</t>
  </si>
  <si>
    <t>RPd057|311919</t>
  </si>
  <si>
    <t>OTTO Work Force Polska Sp. z o.o.</t>
  </si>
  <si>
    <t>Praktykant w dziale rekrutacji międzynarodowych</t>
  </si>
  <si>
    <t>PGNiG Oddział w Sanoku</t>
  </si>
  <si>
    <t>Specjalista automatyk</t>
  </si>
  <si>
    <t>Powiatowy Inspektorat Nadzoru Budowlanego dla Miasta Przemy¶la</t>
  </si>
  <si>
    <t>Ekspert nadzoru budowlanego</t>
  </si>
  <si>
    <t>Inspektor nadzoru bankowego</t>
  </si>
  <si>
    <t>RPd057|242210</t>
  </si>
  <si>
    <t>Starszy specjalista</t>
  </si>
  <si>
    <t>P.P.H.U. "A.R. Chmielewski" Sp.j</t>
  </si>
  <si>
    <t>Doradca Handlowy - ci±gniki i maszyny rolnicze</t>
  </si>
  <si>
    <t>PwC</t>
  </si>
  <si>
    <t>Główny Księgowy</t>
  </si>
  <si>
    <t>Inżynier serwisu CNC</t>
  </si>
  <si>
    <t>Manager - Kierownik Zespołu</t>
  </si>
  <si>
    <t>Manager regionu</t>
  </si>
  <si>
    <t>Menadżer Zespołu Sprzedaży</t>
  </si>
  <si>
    <t>Specjalista Biura Obsługi Klienta</t>
  </si>
  <si>
    <t>Specjalista ds. spedycji drogowej</t>
  </si>
  <si>
    <t>Technolog ?Specjalista ds. Żywno¶ci Funkcjonalnej</t>
  </si>
  <si>
    <t>Relyon Recruitment &amp; IT Services</t>
  </si>
  <si>
    <t>SAP Basis Administrator</t>
  </si>
  <si>
    <t>Res-Drob</t>
  </si>
  <si>
    <t>Kontroler jako¶ci produktów spożywczych</t>
  </si>
  <si>
    <t>RPd057|314401</t>
  </si>
  <si>
    <t>ROS-SWEET Sp. z o.o.</t>
  </si>
  <si>
    <t>Specjalista ds. Eksportu ze znajomo¶ci± języka angielskiego</t>
  </si>
  <si>
    <t>Royal Collection</t>
  </si>
  <si>
    <t>Administrator Aplikacji Biznesowych - IT</t>
  </si>
  <si>
    <t>Kierownik sieci informatycznych</t>
  </si>
  <si>
    <t>RPd057|133007</t>
  </si>
  <si>
    <t>Mistrz Produkcji</t>
  </si>
  <si>
    <t>Safran Transmission Systems Poland Sp. z o.o.</t>
  </si>
  <si>
    <t>Pracownik Ds. Personalnych</t>
  </si>
  <si>
    <t>Seito Logistics Sp. z o.o.</t>
  </si>
  <si>
    <t>Operator Wózka</t>
  </si>
  <si>
    <t>SEMMELROCK STEIN + DESIGN Sp. z o.o.</t>
  </si>
  <si>
    <t>Przedstawiciel Techniczno-Handlowy</t>
  </si>
  <si>
    <t>Sfera domu</t>
  </si>
  <si>
    <t>Specjalista ds. Wdrożeń Aplikacji</t>
  </si>
  <si>
    <t>Solidbrain</t>
  </si>
  <si>
    <t>Business Development Manager</t>
  </si>
  <si>
    <t>Dyrektor rozwoju biznesu</t>
  </si>
  <si>
    <t>RPd057|112013</t>
  </si>
  <si>
    <t>Spedimex Sp. z o.o.</t>
  </si>
  <si>
    <t>Magazynier ? operator wózka</t>
  </si>
  <si>
    <t>Polska, podkarpackie, Jasionka (obok Rzeszowa)</t>
  </si>
  <si>
    <t>Specjalista ds. Spedycji Krajowej Całopojazdowej</t>
  </si>
  <si>
    <t>STAR-TYP SPORT ZAKŁADY WZAJEMNE Sp. z o.o.</t>
  </si>
  <si>
    <t>Młodszy Specjalista ds. Obsługi Klienta</t>
  </si>
  <si>
    <t>Polska, podkarpackie, Krosno, Sanok</t>
  </si>
  <si>
    <t>Stena Recycling Sp. z o.o.</t>
  </si>
  <si>
    <t>Senior Client Consultant</t>
  </si>
  <si>
    <t>Polska, podkarpackie, Zabajka k/Rzeszowa</t>
  </si>
  <si>
    <t>STENA Recycling Sp. z o.o.</t>
  </si>
  <si>
    <t>Senior Client Consultant Industry-Recycling</t>
  </si>
  <si>
    <t>T.C. Dębica S.A.</t>
  </si>
  <si>
    <t>Inspektor nadzoru ds. sanitarnych</t>
  </si>
  <si>
    <t>Inżynier inżynierii ¶rodowiska - instalacje sanitarne</t>
  </si>
  <si>
    <t>RPd057|214303</t>
  </si>
  <si>
    <t>Termo Organika Sp. z o.o.</t>
  </si>
  <si>
    <t>Pracownik Działu Logistyki</t>
  </si>
  <si>
    <t>Tesco Polska Sp. z o.o.</t>
  </si>
  <si>
    <t>VALIANS INTERNATIONAL Sp. z o.o.</t>
  </si>
  <si>
    <t>Technical Sales Representative For The German Market</t>
  </si>
  <si>
    <t>VIAMIND Sp. z o.o.</t>
  </si>
  <si>
    <t>Doradca Biznesowy Play dla Firm</t>
  </si>
  <si>
    <t>VOTUM S.A.</t>
  </si>
  <si>
    <t>Regionalny Kierownik Sprzedaży (m/k)</t>
  </si>
  <si>
    <t>Wadwicz Sp. z o.o.</t>
  </si>
  <si>
    <t>Konsultant Infolinii Technicznej</t>
  </si>
  <si>
    <t>WYŻSZA SZKOŁA PRAWA I ADMINISTRACJI</t>
  </si>
  <si>
    <t>Specjalista ds. informatyki</t>
  </si>
  <si>
    <t>About You.PL Sp. z o.o.</t>
  </si>
  <si>
    <t>Account Manager</t>
  </si>
  <si>
    <t>03.10.2017</t>
  </si>
  <si>
    <t>Polska, podkarpackie, Rzeszów, Sanok, Jarosław, Krosno, Mielec, Przemy¶l, Przeworsk, Stalowa Wola, Tarnobrzeg, Jasło</t>
  </si>
  <si>
    <t>Pracownik Administracyjny</t>
  </si>
  <si>
    <t>Pracownik Biurowy</t>
  </si>
  <si>
    <t>Specjalista ds. księgowo¶ci</t>
  </si>
  <si>
    <t>RPd057|241103</t>
  </si>
  <si>
    <t>Apteka Cosmedica</t>
  </si>
  <si>
    <t>Młodszy doradca ds dermokosmetyków</t>
  </si>
  <si>
    <t>BIMAX Sp. z o. o.</t>
  </si>
  <si>
    <t>Przedstawiciel Handlowy ? doradca techniczny</t>
  </si>
  <si>
    <t>BISPOL Sp. z o.o.</t>
  </si>
  <si>
    <t>Product Manager</t>
  </si>
  <si>
    <t>Polska, podkarpackie, Głuchów (pow. łańcucki)</t>
  </si>
  <si>
    <t>DIVERSE</t>
  </si>
  <si>
    <t>Dekorator</t>
  </si>
  <si>
    <t>RPd057|343201</t>
  </si>
  <si>
    <t>Menedżer Regionalny</t>
  </si>
  <si>
    <t>Polska, podkarpackie, woj. podkarpackie/małopolskie</t>
  </si>
  <si>
    <t>Euro Apteka Sp. z o.o.</t>
  </si>
  <si>
    <t>Magister Farmacji</t>
  </si>
  <si>
    <t>Polska, podkarpackie, Mielec, Rzeszów</t>
  </si>
  <si>
    <t>RPd057|228101</t>
  </si>
  <si>
    <t>Technik Farmacji</t>
  </si>
  <si>
    <t>FIBRIS S.A.</t>
  </si>
  <si>
    <t>Spawacz gazowy</t>
  </si>
  <si>
    <t>Grupa Pracuj</t>
  </si>
  <si>
    <t>Wirtuoz Konwersacji</t>
  </si>
  <si>
    <t>Staż z Lwem ? ¶cieżka Customer Experience w Oddziale Detalicznym</t>
  </si>
  <si>
    <t>Lidl Sp z o.o. Sp. k.</t>
  </si>
  <si>
    <t>Pracownik Sklepu</t>
  </si>
  <si>
    <t>Operator maszyn i urz±dzeń do przetwórstwa tworzyw sztucznych*</t>
  </si>
  <si>
    <t>RPd057|814209</t>
  </si>
  <si>
    <t>MerService Sp. z o.o.</t>
  </si>
  <si>
    <t>Mountain Warehouse Polska Sp. z o.o.</t>
  </si>
  <si>
    <t>NIWA</t>
  </si>
  <si>
    <t>OPOLTRANS Spółka z o.o.</t>
  </si>
  <si>
    <t>Handlowiec - branża motoryzacyjna</t>
  </si>
  <si>
    <t>OTP S.A.</t>
  </si>
  <si>
    <t>Kierowca ADR</t>
  </si>
  <si>
    <t>Kierowca autocysterny</t>
  </si>
  <si>
    <t>RPd057|833201</t>
  </si>
  <si>
    <t>Po¶rednictwo Finansowe "Kredyty-Chwilówki" Sp. z o.o.</t>
  </si>
  <si>
    <t>Randstad Polska (Oddział Kraków)</t>
  </si>
  <si>
    <t>kierownik magazynu</t>
  </si>
  <si>
    <t>Polska, podkarpackie, Przeworsk/Rzeszów</t>
  </si>
  <si>
    <t>Key Account Manager - kanał nowoczesny</t>
  </si>
  <si>
    <t>Safran Transmission Systems Poland</t>
  </si>
  <si>
    <t>INŻYNIER NADZORU JAKO¦CI</t>
  </si>
  <si>
    <t>ANALITYK DORADCY BIZNESOWI  sp. z o.o.</t>
  </si>
  <si>
    <t>Doradca Biznesowy T-Mobile</t>
  </si>
  <si>
    <t>02.10.2017</t>
  </si>
  <si>
    <t>Konsultant Medyczny</t>
  </si>
  <si>
    <t>Asseco Poland S.A.</t>
  </si>
  <si>
    <t>Specjalista ds. Technologii</t>
  </si>
  <si>
    <t>Assiduus Europe Fund Sp. z o.o.</t>
  </si>
  <si>
    <t>Doradca Firmy</t>
  </si>
  <si>
    <t>Brevio Sp. z o.o.</t>
  </si>
  <si>
    <t>Key Account Manager</t>
  </si>
  <si>
    <t>Clico Sp. z o.o.</t>
  </si>
  <si>
    <t>Inżynier ds. bezpieczeństwa IT</t>
  </si>
  <si>
    <t>Compensa Dystrybucja Sp. z o.o.</t>
  </si>
  <si>
    <t>Kierownik Zespołu ds. Sprzedaży Ubezpieczeń</t>
  </si>
  <si>
    <t>Kierownik działu operacji finansowych</t>
  </si>
  <si>
    <t>RPd057|134603</t>
  </si>
  <si>
    <t>DPD Polska</t>
  </si>
  <si>
    <t>Kurier</t>
  </si>
  <si>
    <t>RPd057|441202</t>
  </si>
  <si>
    <t>Eco dla Firm Sp. z o.o.</t>
  </si>
  <si>
    <t>Certyfikowany Partner Biznesowy Energa Obrót S.A.</t>
  </si>
  <si>
    <t>Agent ds. szkód rzeczowych</t>
  </si>
  <si>
    <t>Likwidator szkód</t>
  </si>
  <si>
    <t>RPd057|331502</t>
  </si>
  <si>
    <t>Konsultant wdrożeniowy</t>
  </si>
  <si>
    <t>Senior Specialist for M&amp;A Financial Advisory team (due diligence)</t>
  </si>
  <si>
    <t>Doradca finansowy</t>
  </si>
  <si>
    <t>RPd057|241202</t>
  </si>
  <si>
    <t>Heisterkamp Transport Sp. z o.o.</t>
  </si>
  <si>
    <t>Kierowca w Transporcie Międzynarodowym</t>
  </si>
  <si>
    <t>Polska, podkarpackie, Rzeszów, Mielec, Dębica, Jarosław</t>
  </si>
  <si>
    <t>J&amp;C SCHOOL</t>
  </si>
  <si>
    <t>Nauczyciel - Lektor Języka Angielskiego - Wła¶ciciel Oddziału</t>
  </si>
  <si>
    <t>Nauczyciel języka obcego</t>
  </si>
  <si>
    <t>RPd057|233008</t>
  </si>
  <si>
    <t>Marie Brizard Wine &amp; Spirits Polska Sp. z o.o.</t>
  </si>
  <si>
    <t>Magazynier - Pracownik magazynowy</t>
  </si>
  <si>
    <t>Mistrz - Lider zmiany produkcyjnej w Destylarni</t>
  </si>
  <si>
    <t>Mistrz produkcji w przemy¶le spożywczym</t>
  </si>
  <si>
    <t>RPd057|312208</t>
  </si>
  <si>
    <t>mBank S.A.</t>
  </si>
  <si>
    <t>Operator Maszyn i Urz±dzeń Budowlanych</t>
  </si>
  <si>
    <t>Ogólnopolska Sieć Pizzerii Stopi±tka</t>
  </si>
  <si>
    <t>Franczyzobiorca - Wła¶ciciel Pizzerii</t>
  </si>
  <si>
    <t>Philip Morris International w Polsce</t>
  </si>
  <si>
    <t>Kierownik  Magazynów</t>
  </si>
  <si>
    <t>Kierownik Utrzymania Ruchu</t>
  </si>
  <si>
    <t>Specjalista ds. Jako¶ci - Produkcji</t>
  </si>
  <si>
    <t>Planista produkcji - Operator urz±dzeń rozlewniczych</t>
  </si>
  <si>
    <t>Operator maszyny rozlewniczej</t>
  </si>
  <si>
    <t>RPd057|812108</t>
  </si>
  <si>
    <t>Reca Polska Sp. z o.o.</t>
  </si>
  <si>
    <t>Doradca Techniczno - Handlowy</t>
  </si>
  <si>
    <t>Dyrektor Oddziału</t>
  </si>
  <si>
    <t>Manager Obszaru Sprzedaży</t>
  </si>
  <si>
    <t>Pracownik do wykładania towaru</t>
  </si>
  <si>
    <t>RPd057|933401</t>
  </si>
  <si>
    <t>Ruch S.A.</t>
  </si>
  <si>
    <t>Partner ds. Sprzedaży RUCH</t>
  </si>
  <si>
    <t>SOLIDEXPERT sp. z o.o.</t>
  </si>
  <si>
    <t>Support Team Sp. z o.o.</t>
  </si>
  <si>
    <t>Doradca klienta RTV</t>
  </si>
  <si>
    <t>TAX CARE S.A.</t>
  </si>
  <si>
    <t>Partner franczyzowy biura rachunkowego</t>
  </si>
  <si>
    <t>TB Logistics Sp. z.o.o Sp.K.</t>
  </si>
  <si>
    <t>Spedytor międzynarodowy - Handlowiec</t>
  </si>
  <si>
    <t>Specjalista ds. personalnych i szkoleń</t>
  </si>
  <si>
    <t>Doradca personalny</t>
  </si>
  <si>
    <t>RPd057|242303</t>
  </si>
  <si>
    <t>Asystent ds. standardów sklepowych</t>
  </si>
  <si>
    <t>Polska, podkarpackie, ROPCZYCE</t>
  </si>
  <si>
    <t>Promotor - Ankieter</t>
  </si>
  <si>
    <t>T-Mobile</t>
  </si>
  <si>
    <t>Sprzedawca w Sklepie Firmowym T-Mobile</t>
  </si>
  <si>
    <t>Partner Biznesowy Prowadz±cy Salon Play</t>
  </si>
  <si>
    <t>Kierownik centrum handlowego</t>
  </si>
  <si>
    <t>RPd057|143903</t>
  </si>
  <si>
    <t>WelmaS S.C.</t>
  </si>
  <si>
    <t>Przedstawiciel Handlowy - Doradca Klienta</t>
  </si>
  <si>
    <t>WGN - NIERUCHOMO¦CI</t>
  </si>
  <si>
    <t>Doradca ds. nieruchomo¶ci</t>
  </si>
  <si>
    <t>YES Biżuteria</t>
  </si>
  <si>
    <t>ArcelorMittal Distribution Solutions Poland</t>
  </si>
  <si>
    <t>Doradca klienta / specjalista ds. sprzedaży</t>
  </si>
  <si>
    <t>01.10.2017</t>
  </si>
  <si>
    <t>DEICHMANN - OBUWIE Sp. z o.o.</t>
  </si>
  <si>
    <t>RTV EURO AGD</t>
  </si>
  <si>
    <t>Tulcon s.a.</t>
  </si>
  <si>
    <t>UNITED CAPS Luxembourg</t>
  </si>
  <si>
    <t>Area Sales Manager</t>
  </si>
  <si>
    <t>Próba ofert z badania MRPiPS II półrocze 2018 r.</t>
  </si>
  <si>
    <t>Kod branży zawodu wg PKD</t>
  </si>
  <si>
    <t>Mechanik Narzędziowiec - ¦lusarz</t>
  </si>
  <si>
    <t>01.10.2018</t>
  </si>
  <si>
    <t>29.11.2018</t>
  </si>
  <si>
    <t>¦lusarz</t>
  </si>
  <si>
    <t>24.10.2018</t>
  </si>
  <si>
    <t>29.10.2018</t>
  </si>
  <si>
    <t>¦lusarz Produkcyjny</t>
  </si>
  <si>
    <t>30.10.2018</t>
  </si>
  <si>
    <t>Administrator Aplikacji Biznesowych IT</t>
  </si>
  <si>
    <t>31.10.2018</t>
  </si>
  <si>
    <t>06.11.2018</t>
  </si>
  <si>
    <t>Info-Projekt IT</t>
  </si>
  <si>
    <t>Administrator IT</t>
  </si>
  <si>
    <t>03.10.2018</t>
  </si>
  <si>
    <t>nazwa.pl</t>
  </si>
  <si>
    <t>Administrator Systemów Linux</t>
  </si>
  <si>
    <t>GERMAN-POLISH JOB CENTER MASTALERZ &amp; CO. SP. J.</t>
  </si>
  <si>
    <t>Informatyk / Administrator IT</t>
  </si>
  <si>
    <t>22.10.2018</t>
  </si>
  <si>
    <t>14.11.2018</t>
  </si>
  <si>
    <t>Polska, podkarpackie, Okolice Coburga</t>
  </si>
  <si>
    <t>Deloitte CE BSC Rzeszów</t>
  </si>
  <si>
    <t>Junior Systems Administrator</t>
  </si>
  <si>
    <t>Ideo Sp. z o.o.</t>
  </si>
  <si>
    <t>Pracownik HelpDesk - Administrator</t>
  </si>
  <si>
    <t>04.12.2018</t>
  </si>
  <si>
    <t>SharePoint Administrator</t>
  </si>
  <si>
    <t>22.11.2018</t>
  </si>
  <si>
    <t>OLENLOG LTD SPÓŁKA Z OGRANICZONA ODPOWIEDZIALNO¦CIA</t>
  </si>
  <si>
    <t>Agent Celny</t>
  </si>
  <si>
    <t>KAZAR Footwear Sp. z o.o.</t>
  </si>
  <si>
    <t>Młodszy Specjalista w Dziale Zakupów</t>
  </si>
  <si>
    <t>03.12.2018</t>
  </si>
  <si>
    <t>Specjalista ds. Zakupów</t>
  </si>
  <si>
    <t>17.10.2018</t>
  </si>
  <si>
    <t>21.11.2018</t>
  </si>
  <si>
    <t>Przedstawiciel ds. Ubezpieczeń</t>
  </si>
  <si>
    <t>20.11.2018</t>
  </si>
  <si>
    <t>Analityk Biznesowy</t>
  </si>
  <si>
    <t>Analityk biznesowy</t>
  </si>
  <si>
    <t>RPd057|242112</t>
  </si>
  <si>
    <t>Analityk Finansowy</t>
  </si>
  <si>
    <t>19.10.2018</t>
  </si>
  <si>
    <t>Podkarpacki Bank Spółdzielczy</t>
  </si>
  <si>
    <t>Specjalista ds. rozliczeń walutowych</t>
  </si>
  <si>
    <t>30.11.2018</t>
  </si>
  <si>
    <t>Santander Leasing S.A.</t>
  </si>
  <si>
    <t>Agro Specjalista ds. leasingu - rynek VD</t>
  </si>
  <si>
    <t>Analityk kredytowy</t>
  </si>
  <si>
    <t>13.11.2018</t>
  </si>
  <si>
    <t>RPd057|241302</t>
  </si>
  <si>
    <t>Specjalista ds. Finansowo- Księgowych</t>
  </si>
  <si>
    <t>08.10.2018</t>
  </si>
  <si>
    <t>MUZEUM POLAKÓW RATUJˇCYCH ŻYDÓW PODCZAS II WOJNY ¦WIATOWEJ IM. RODZINY ULMÓW W MARKOWEJ</t>
  </si>
  <si>
    <t>Asystent Dyrektora</t>
  </si>
  <si>
    <t>Polska, podkarpackie, Markowa (pow. łańcucki)</t>
  </si>
  <si>
    <t>RPd057|334302</t>
  </si>
  <si>
    <t>Asystentka Dyrektora Zakładu ?Dział zbiorników</t>
  </si>
  <si>
    <t>PREBYTES</t>
  </si>
  <si>
    <t>Pracownik Administracyjno - Biurowy</t>
  </si>
  <si>
    <t>KIRCHHOFF Polska Sp. z o.o.</t>
  </si>
  <si>
    <t>Asystent Biura Zarz±du</t>
  </si>
  <si>
    <t>Asystent zarz±du</t>
  </si>
  <si>
    <t>RPd057|334304</t>
  </si>
  <si>
    <t>Asystentka Zarz±du</t>
  </si>
  <si>
    <t>EnMS Polska Sp. z o.o.</t>
  </si>
  <si>
    <t>Audytor energetyczny</t>
  </si>
  <si>
    <t>RPd057|214901</t>
  </si>
  <si>
    <t>Inżynier Jako¶ci z j. francuskim</t>
  </si>
  <si>
    <t>16.11.2018</t>
  </si>
  <si>
    <t>Bieszczadzki Oddział Straży Granicznej w Przemy¶lu</t>
  </si>
  <si>
    <t>Audytor wewnętrzny</t>
  </si>
  <si>
    <t>Audytor/Kontroler</t>
  </si>
  <si>
    <t>RPd057|242204</t>
  </si>
  <si>
    <t>GOODRICH AEROSPACE POLAND SP. Z O.O.</t>
  </si>
  <si>
    <t>Operator Procesów Chemicznych</t>
  </si>
  <si>
    <t>15.10.2018</t>
  </si>
  <si>
    <t>Specjalista ds. badań i rozwoju (chemia polimerów)</t>
  </si>
  <si>
    <t>PROBAT Bau AG</t>
  </si>
  <si>
    <t>Cie¶la szalunkowy</t>
  </si>
  <si>
    <t>Polska, podkarpackie, Ingolstadt</t>
  </si>
  <si>
    <t>RPd057|711502</t>
  </si>
  <si>
    <t>Polerowacz</t>
  </si>
  <si>
    <t>Docieracz-polerowacz</t>
  </si>
  <si>
    <t>RPd057|722401</t>
  </si>
  <si>
    <t>Europejski Fundusz Leasingowy</t>
  </si>
  <si>
    <t>Doradca leasingowy</t>
  </si>
  <si>
    <t>Doradca leasingowy (umowa na zastępstwo)</t>
  </si>
  <si>
    <t>Specjalista ds. leasingu - rynek VD</t>
  </si>
  <si>
    <t>Metrohouse</t>
  </si>
  <si>
    <t>Doradca Klienta ds. Nieruchomo¶ci</t>
  </si>
  <si>
    <t>Bank Gospodarstwa Krajowego</t>
  </si>
  <si>
    <t>Analityk Klienta Korporacyjnego</t>
  </si>
  <si>
    <t>Oney Polska S.A.</t>
  </si>
  <si>
    <t>Doradca Finansowy</t>
  </si>
  <si>
    <t>Polska, podkarpackie, Rzeszów, Krosno, Mielec</t>
  </si>
  <si>
    <t>OBI Market Budowlany</t>
  </si>
  <si>
    <t>CWS-boco Polska Sp. z o.o.</t>
  </si>
  <si>
    <t>Raiffeisen Polbank</t>
  </si>
  <si>
    <t>Provident Polska S.A.</t>
  </si>
  <si>
    <t>Polska, podkarpackie, Krosno, Przemy¶l, Rzeszów</t>
  </si>
  <si>
    <t>Polska, podkarpackie, K±ty</t>
  </si>
  <si>
    <t>Polska, podkarpackie, Tyczyn</t>
  </si>
  <si>
    <t>Liberty Poland S.A.</t>
  </si>
  <si>
    <t>OCHNIK S.A.</t>
  </si>
  <si>
    <t>Polska, podkarpackie, Krosno, Rzeszów, Tarnobrzeg</t>
  </si>
  <si>
    <t>About You</t>
  </si>
  <si>
    <t>Happy Socks Polska</t>
  </si>
  <si>
    <t>PLUS BANK S.A.</t>
  </si>
  <si>
    <t>05.11.2018</t>
  </si>
  <si>
    <t>STUDIO KOLOR s.c. A.Ziomek, U.Krymska</t>
  </si>
  <si>
    <t>Drukarz Wielkoformatowy</t>
  </si>
  <si>
    <t>Drukarz*</t>
  </si>
  <si>
    <t>Polska, podkarpackie, Rudna Mała, gm. Głogów Małopolski</t>
  </si>
  <si>
    <t>RPd057|732201</t>
  </si>
  <si>
    <t>Pracownik le¶ny ? drwal - pilarz</t>
  </si>
  <si>
    <t>Polska, podkarpackie, Sieniawa (okolice)</t>
  </si>
  <si>
    <t>RPd057|621001</t>
  </si>
  <si>
    <t>Dyrektor ds. Księgowo¶ci</t>
  </si>
  <si>
    <t>Dyrektor Handlowy</t>
  </si>
  <si>
    <t>Dyrektor Logistyki</t>
  </si>
  <si>
    <t>Dyrektor logistyki</t>
  </si>
  <si>
    <t>RPd057|112009</t>
  </si>
  <si>
    <t>GP dla firm</t>
  </si>
  <si>
    <t>Dyrektor sprzedaży</t>
  </si>
  <si>
    <t>RPd057|112014</t>
  </si>
  <si>
    <t>Kapitałowy Fundusz Pożyczkowy S.A.</t>
  </si>
  <si>
    <t>Dyrektor Oddziału w Departamencie Relacji Inwestorskich</t>
  </si>
  <si>
    <t>Polska, podkarpackie, Rzeszów, Krosno, Przemy¶l, Tarnobrzeg</t>
  </si>
  <si>
    <t>Dyrektor Struktury Sprzedaży</t>
  </si>
  <si>
    <t>AGORA S.A.</t>
  </si>
  <si>
    <t>Dziennikarz działu miejskiego</t>
  </si>
  <si>
    <t>RPd057|264201</t>
  </si>
  <si>
    <t>10.10.2018</t>
  </si>
  <si>
    <t>ARPI Staffing Sp. z o.o.</t>
  </si>
  <si>
    <t>Kierownik Zespołu Księgowego</t>
  </si>
  <si>
    <t>Zastępca Głównego Księgowego</t>
  </si>
  <si>
    <t>Zastępca Głównej Księgowej</t>
  </si>
  <si>
    <t>PMT Marketing System</t>
  </si>
  <si>
    <t>Merchandiser Mobilny</t>
  </si>
  <si>
    <t>Nocne wykładanie umowa o pracę Biedronka RZESZÓW</t>
  </si>
  <si>
    <t>F.H.P.U. PIOTR KASZOWSKI "EURO CAMION POLSKA"</t>
  </si>
  <si>
    <t>BorgWarner Rzeszów Sp. z o.o.</t>
  </si>
  <si>
    <t>LISI AEROSPACE CREUZET POLSKA SP. Z O.O.</t>
  </si>
  <si>
    <t>Pracownik Utrzymania Ruchu - Elektromechanik</t>
  </si>
  <si>
    <t>Elektromonter lotniczy</t>
  </si>
  <si>
    <t>RPd057|741209</t>
  </si>
  <si>
    <t>PGE Dystrybucja S.A. Oddział Zamo¶ć</t>
  </si>
  <si>
    <t>Elektromonter Pogotowia Elektroenergetycznego</t>
  </si>
  <si>
    <t>Elektromonter pogotowia elektroenergetycznego</t>
  </si>
  <si>
    <t>RPd057|741304</t>
  </si>
  <si>
    <t>GRH Polska Sp. z o.o.</t>
  </si>
  <si>
    <t>European Experts GmbH</t>
  </si>
  <si>
    <t>ELEKTRYK</t>
  </si>
  <si>
    <t>Polska Grupa Farmaceutyczna</t>
  </si>
  <si>
    <t>Osoba odpowiedzialna za obrót ¶rodkami kontrolowanymi</t>
  </si>
  <si>
    <t>Niepubliczny Zakład Opieki Zdrowotnej NOVI-MED Bartosz Nowicki</t>
  </si>
  <si>
    <t>RPd057|229201</t>
  </si>
  <si>
    <t>Sanpro Consulting BPO Sp. z o.o. Sp k.</t>
  </si>
  <si>
    <t>Pracownik Gospodarczy</t>
  </si>
  <si>
    <t>RPd057|515301</t>
  </si>
  <si>
    <t>Grafik Komputerowy</t>
  </si>
  <si>
    <t>Polska, podkarpackie, Podgrodzie (pow. dębicki)</t>
  </si>
  <si>
    <t>RPd057|216601</t>
  </si>
  <si>
    <t>RPd057|311212</t>
  </si>
  <si>
    <t>RGIS Usługi Inwentaryzacyjne Sp. z o.o.</t>
  </si>
  <si>
    <t>Pracownik Ekipy Inwentaryzacyjnej</t>
  </si>
  <si>
    <t>Specjalista ds. Akustyki</t>
  </si>
  <si>
    <t>RPd057|214927</t>
  </si>
  <si>
    <t>Automatyk ? Programista PLC</t>
  </si>
  <si>
    <t>Polska Agencja Żeglugi Powietrznej</t>
  </si>
  <si>
    <t>Elektronik ds. Urz±dzeń i Systemów CNS</t>
  </si>
  <si>
    <t>Elektronik-Automatyk</t>
  </si>
  <si>
    <t>Przedsiębiorstwo Produkcyjno Usługowo Handlowe "MONAWI" JACEK KU¬NIAR</t>
  </si>
  <si>
    <t>Inżynier Automatyk - Programista PLC</t>
  </si>
  <si>
    <t>KOLTEX PLASTIC RECYCLING SYSTEMS sp. z o.o. SPÓŁKA KOMANDYTOWA</t>
  </si>
  <si>
    <t>Inżynier Wsparcia Produkcji</t>
  </si>
  <si>
    <t>MB Aerospace</t>
  </si>
  <si>
    <t>OPERATOR MASZYNY WSPÓŁRZĘDNO¦CIOWEJ/PROGRAMISTA</t>
  </si>
  <si>
    <t>PROGRAMISTA CMM</t>
  </si>
  <si>
    <t>Promost Consulting sp. z o.o. sp.k.</t>
  </si>
  <si>
    <t>Asystent Projektanta</t>
  </si>
  <si>
    <t>Podkarpacki Urz±d Wojewódzki w Rzeszowie</t>
  </si>
  <si>
    <t>Inspektor wojewódzki</t>
  </si>
  <si>
    <t>Inżynier budownictwa budownictwo ogólne</t>
  </si>
  <si>
    <t>Projektant - Branża: Drogowa - Mostowa</t>
  </si>
  <si>
    <t>Elektronik</t>
  </si>
  <si>
    <t>Konstruktor elektronik HW</t>
  </si>
  <si>
    <t>26.11.2018</t>
  </si>
  <si>
    <t>Specjalista ds.Inwestycji w Dziale Inżynierii</t>
  </si>
  <si>
    <t>Lear Corporation Poland II Sp. z o.o. Oddział Mielec</t>
  </si>
  <si>
    <t>Inżynier ds. Produktu</t>
  </si>
  <si>
    <t>Inżynier ds. rozwoju elektroniki</t>
  </si>
  <si>
    <t>Spring Professional Poland</t>
  </si>
  <si>
    <t>Specjalista ds systemów sterowania</t>
  </si>
  <si>
    <t>Serwisant urz±dzeń fiskalnych</t>
  </si>
  <si>
    <t>UTC CCS Manufacturing Polska Sp. z o.o.</t>
  </si>
  <si>
    <t>Specjalista ds. bezpieczeństwa produktu</t>
  </si>
  <si>
    <t>Inżynier inżynierii ¶rodowiska - gazowe urz±dzenia, instalacje i sieci energetyczne</t>
  </si>
  <si>
    <t>RPd057|214301</t>
  </si>
  <si>
    <t>Państwowe Gospodarstwo Wodne Wody Polskie</t>
  </si>
  <si>
    <t>Specjalista w Dziale Opłat w Zarz±dzie Zlewni</t>
  </si>
  <si>
    <t>Inżynier inżynierii ¶rodowiska - gospodarka wodna i hydrologia</t>
  </si>
  <si>
    <t>RPd057|214302</t>
  </si>
  <si>
    <t>Kierownik Robót Sanitarnych (Budownictwo ogólne)</t>
  </si>
  <si>
    <t>Inżynier Materiałowy</t>
  </si>
  <si>
    <t>BMF POLSKA Sp. z o.o.</t>
  </si>
  <si>
    <t>Pracownik biurowy ds. zaopatrzenia</t>
  </si>
  <si>
    <t>Melex Sp. z o.o.</t>
  </si>
  <si>
    <t>Konstruktor - Technolog - Mechanik</t>
  </si>
  <si>
    <t>Inżynier mechanik - ¶rodki transportu</t>
  </si>
  <si>
    <t>RPd057|214406</t>
  </si>
  <si>
    <t>FA Krosno S.A.</t>
  </si>
  <si>
    <t>Konstruktor - Technolog</t>
  </si>
  <si>
    <t>LIUGONG DRESSTA MACHINERY Sp. z o. o.</t>
  </si>
  <si>
    <t>Konstruktor - Mechanik</t>
  </si>
  <si>
    <t>Konstruktor oprzyrz±dowania</t>
  </si>
  <si>
    <t>Technolog programista</t>
  </si>
  <si>
    <t>ATI ZKM Forging Sp. z o.o.</t>
  </si>
  <si>
    <t>Operator Maszyn Pomiarowych</t>
  </si>
  <si>
    <t>Inżynier mechanik - mechanika precyzyjna</t>
  </si>
  <si>
    <t>RPd057|214405</t>
  </si>
  <si>
    <t>AUTOMARKET Sp. z o.o.- Autoryzowany Dealer MITSUBISHI</t>
  </si>
  <si>
    <t>Doradca serwisowy</t>
  </si>
  <si>
    <t>Inżynier Systemu CAD/PLM</t>
  </si>
  <si>
    <t>Gravet Consulting</t>
  </si>
  <si>
    <t>Konstruktor - Structural Parts Designer</t>
  </si>
  <si>
    <t>Technolog - Konstruktor</t>
  </si>
  <si>
    <t>19.11.2018</t>
  </si>
  <si>
    <t>Field Service Engineer  (Aircraft Engines Testing Facilities)</t>
  </si>
  <si>
    <t>Inżynier mechanik lotniczy</t>
  </si>
  <si>
    <t>RPd057|214408</t>
  </si>
  <si>
    <t>Advisory Group TEST Human Resources</t>
  </si>
  <si>
    <t>Konstruktor Oprzyrz±dowania (Testy Silników Lotnicznych)</t>
  </si>
  <si>
    <t>Kupiec - Zakupy Okołoprodukcyjne</t>
  </si>
  <si>
    <t>High Technology Machines sp. z o.o.</t>
  </si>
  <si>
    <t>Serwisant obrabiarek CNC / Automatyk</t>
  </si>
  <si>
    <t>Lean Manufacturing Leader</t>
  </si>
  <si>
    <t>Specjalista ds. Lean manufacturing</t>
  </si>
  <si>
    <t>CoBouw Polska Sp. z o.o</t>
  </si>
  <si>
    <t>Asystent zespołu wsparcia IT</t>
  </si>
  <si>
    <t>AWS Cloud Platform Support Specialist</t>
  </si>
  <si>
    <t>Specjalista ds. Bezpieczeństwa Informacji</t>
  </si>
  <si>
    <t>Totalizator Sportowy</t>
  </si>
  <si>
    <t>Specjalista ds. Serwisu Technicznego na terenie Oddziału</t>
  </si>
  <si>
    <t>Dyrektor w Dziale Regeneracja Olejów Przepracowanych</t>
  </si>
  <si>
    <t>RPd057|214502</t>
  </si>
  <si>
    <t>SHIM-POL</t>
  </si>
  <si>
    <t>Przedstawiciel Naukowy - spektrometria mas</t>
  </si>
  <si>
    <t>Grupa CIECH</t>
  </si>
  <si>
    <t>Polska, podkarpackie, Nowa Sarzyna</t>
  </si>
  <si>
    <t>Junior Manager</t>
  </si>
  <si>
    <t>Polska, podkarpackie, Pustków-Osiedle (pow. dębicki)</t>
  </si>
  <si>
    <t>RPd057|214914</t>
  </si>
  <si>
    <t>Automatyk Utrzymania Ruchu</t>
  </si>
  <si>
    <t>RPd057|214103</t>
  </si>
  <si>
    <t>Lear Corporation Poland II Sp. z o.o. Oddział Jarosław</t>
  </si>
  <si>
    <t>Inżynier procesu</t>
  </si>
  <si>
    <t>Inżynier Utrzymania Ruchu</t>
  </si>
  <si>
    <t>Kierownik w Dziale Utrzymanie Ruchu i Zarz±dzanie Maj±tkiem</t>
  </si>
  <si>
    <t>Płatny Program Rozwojowy Na Obszarze Produkcji</t>
  </si>
  <si>
    <t>Kasjer - Kasjerka</t>
  </si>
  <si>
    <t>Pepco Poland Spółka z o. o.</t>
  </si>
  <si>
    <t>Polska, podkarpackie, Kęty, Rzeszów ul. Rejtana, Mielec</t>
  </si>
  <si>
    <t>Polska, podkarpackie, Kęty, Mielec, Rzeszów</t>
  </si>
  <si>
    <t>Kasjer Jarosław</t>
  </si>
  <si>
    <t>Kasjer Łańcut</t>
  </si>
  <si>
    <t>Kasjer praca tylko na kasie Biedronka LESKO</t>
  </si>
  <si>
    <t>Polska, podkarpackie, Lesko</t>
  </si>
  <si>
    <t>Kasjer praca tylko na kasie Biedronka SANOK</t>
  </si>
  <si>
    <t>Kasjer praca tylko na kasie Biedronka USTRZYKI DOLNE</t>
  </si>
  <si>
    <t>Kasjer</t>
  </si>
  <si>
    <t>RPd057|523003</t>
  </si>
  <si>
    <t>Hotel Restauracja Paola</t>
  </si>
  <si>
    <t>Kelner / Kelnerka</t>
  </si>
  <si>
    <t>RPd057|513101</t>
  </si>
  <si>
    <t>FASADA INVESTMENT SP Z O O</t>
  </si>
  <si>
    <t>PPHU TRANS KASJA s.c.</t>
  </si>
  <si>
    <t>SCHOBELI.PL SPÓŁKA Z OGRANICZONˇ ODPOWIEDZIALNO¦CIˇ</t>
  </si>
  <si>
    <t>????? ????????? ?+?</t>
  </si>
  <si>
    <t>Distribev Orbico Sp. z o.o</t>
  </si>
  <si>
    <t>Pracownik Magazynowy - Operator Wózka</t>
  </si>
  <si>
    <t>Schenker Sp. z o.o.</t>
  </si>
  <si>
    <t>Pracownik Terminalu - Operator wózka widłowego</t>
  </si>
  <si>
    <t>Pracownik Terminalu / Operator wózka widłowego</t>
  </si>
  <si>
    <t>BUS SERWIS ANDRZEJ OLSZAŃSKI</t>
  </si>
  <si>
    <t>Kierowca autolawety B+E - C+E</t>
  </si>
  <si>
    <t>Rybexim Sp. z o.o. S.K.</t>
  </si>
  <si>
    <t>Kierowca kat. C</t>
  </si>
  <si>
    <t>Spedition Rosner Möbeltransporte Sp. z o.o.</t>
  </si>
  <si>
    <t>Kierowca Międzynarodowy kat C+E</t>
  </si>
  <si>
    <t>Kierowca kat. B+C</t>
  </si>
  <si>
    <t>Kierowca kat. C+E</t>
  </si>
  <si>
    <t>Inżynier Budowy (Budownictwo Ogólne)</t>
  </si>
  <si>
    <t>Pewny Lokal</t>
  </si>
  <si>
    <t>Inżynier do odbiorów technicznych mieszkań i domów</t>
  </si>
  <si>
    <t>ETP S.A.</t>
  </si>
  <si>
    <t>Kierownik robót</t>
  </si>
  <si>
    <t>Polska, podkarpackie, Stalowa Wola, Rzeszów</t>
  </si>
  <si>
    <t>DIM CONSTRUCTION SPÓŁKA Z OGRANICZONˇ ODPOWIEDZIALNO¦CIˇ</t>
  </si>
  <si>
    <t>Kierownik robót konstrukcyjno-budowlanych</t>
  </si>
  <si>
    <t>Business Excellence Coordinator</t>
  </si>
  <si>
    <t>Kierownik do spraw kontroli jako¶ci</t>
  </si>
  <si>
    <t>RPd057|132102</t>
  </si>
  <si>
    <t>Kierownik Działu Handlowego</t>
  </si>
  <si>
    <t>Schiever Polska Sp z o.o.</t>
  </si>
  <si>
    <t>Manager Junior dział - piekarnia, cukiernia</t>
  </si>
  <si>
    <t>360 Circus Sp. z o.o.</t>
  </si>
  <si>
    <t>Manager Salonu Play</t>
  </si>
  <si>
    <t>DEININGER Consulting Sp. z o. o.</t>
  </si>
  <si>
    <t>Sales Manager Eastern Europe</t>
  </si>
  <si>
    <t>Kierownik w Dziale Zarz±dzanie Finansami i Windykacja</t>
  </si>
  <si>
    <t>RPd057|143906</t>
  </si>
  <si>
    <t>Kierownik Zakupów</t>
  </si>
  <si>
    <t>MDM Polska Sp. z.o.o.</t>
  </si>
  <si>
    <t>Lider Zespołu ds. Zaopatrzenia</t>
  </si>
  <si>
    <t>Polska, podkarpackie, Bobrówka (pow. jarosławski)</t>
  </si>
  <si>
    <t>Młodszy / Kierownik ds. Pozyskiwania Floty</t>
  </si>
  <si>
    <t>Kierownik Regionu ds. HR</t>
  </si>
  <si>
    <t>Kierownik działu szkoleń</t>
  </si>
  <si>
    <t>RPd057|121202</t>
  </si>
  <si>
    <t>MARWAY Europe Sp. z o.o. Sp. k.</t>
  </si>
  <si>
    <t>Administrator floty międzynarodowej z j. rumuńskim</t>
  </si>
  <si>
    <t>Kierownik działu transportu</t>
  </si>
  <si>
    <t>RPd057|132402</t>
  </si>
  <si>
    <t>Koordynator Transportu ze znajomo¶ci± języka niemieckiego</t>
  </si>
  <si>
    <t>Kierownik w dziale Przygotowanie i Realizacja Inwestycji</t>
  </si>
  <si>
    <t>Kierownik kas</t>
  </si>
  <si>
    <t>RPd057|522203</t>
  </si>
  <si>
    <t>P&amp;T Sp. z o.o. Spółka Komandytowa</t>
  </si>
  <si>
    <t>Kierownik Restauracji</t>
  </si>
  <si>
    <t>Telepizza</t>
  </si>
  <si>
    <t>Szef Zmiany</t>
  </si>
  <si>
    <t>Kierownik Działu Technologicznego</t>
  </si>
  <si>
    <t>INVER POLSKA SPÓŁKA Z OGRANICZONˇ ODPOWIEDZIALNO¦CIˇ</t>
  </si>
  <si>
    <t>Production Manager</t>
  </si>
  <si>
    <t>Touchpoint Polska Sp. z o.o</t>
  </si>
  <si>
    <t>Production Supervisor - Assembly</t>
  </si>
  <si>
    <t>B-Consulting Bartłomiej Gębarowski</t>
  </si>
  <si>
    <t>Specjalista ds. realizacji projektów</t>
  </si>
  <si>
    <t>Kierownik Drogerii</t>
  </si>
  <si>
    <t>Studio Moderna Polska Sp. z o.o.</t>
  </si>
  <si>
    <t>Kierownik Sklepu Biedronka SANOK</t>
  </si>
  <si>
    <t>AGATA S.A.</t>
  </si>
  <si>
    <t>Zastępca Dyrektora Salonu</t>
  </si>
  <si>
    <t>Zastępca Kierownika Drogerii</t>
  </si>
  <si>
    <t>Zastępca Kierownika Sklepu - Nowa Biedronka PADEW NARODOWA</t>
  </si>
  <si>
    <t>Polska, podkarpackie, Padew Narodowa (pow. mielecki)</t>
  </si>
  <si>
    <t>Zastępca Kierownika Sklepu Lesko</t>
  </si>
  <si>
    <t>Zastępca Kierownika Sklepu Sanok</t>
  </si>
  <si>
    <t>Zastępca Kierownika Sklepu Ustrzyki Dolne</t>
  </si>
  <si>
    <t>RPd057|351201</t>
  </si>
  <si>
    <t>Wojewódzki Urz±d Ochrony Zabytków w Przemy¶lu</t>
  </si>
  <si>
    <t>Inspektor ochrony zabytków</t>
  </si>
  <si>
    <t>RPd057|265107</t>
  </si>
  <si>
    <t>Parkmar Inkaso S.C Jakub Piechocki, Marta Piechocka</t>
  </si>
  <si>
    <t>Agent finansowy - Prewent</t>
  </si>
  <si>
    <t>RPd057|524302</t>
  </si>
  <si>
    <t>SharePoint / Office 365 Consultant</t>
  </si>
  <si>
    <t>RPd057|251102</t>
  </si>
  <si>
    <t>Kontroler Finansowy</t>
  </si>
  <si>
    <t>Kontroler NDT</t>
  </si>
  <si>
    <t>Kontroler jako¶ci poł±czeń spawanych</t>
  </si>
  <si>
    <t>RPd057|311902</t>
  </si>
  <si>
    <t>POLBRUK S.A.</t>
  </si>
  <si>
    <t>Polska, podkarpackie, Lipie k. Rzeszowa</t>
  </si>
  <si>
    <t>Izba Administracji Skarbowej w Rzeszowie</t>
  </si>
  <si>
    <t>Kontroler skarbowy</t>
  </si>
  <si>
    <t>RPd057|335201</t>
  </si>
  <si>
    <t>Starszy kontroler skarbowy</t>
  </si>
  <si>
    <t>P.P.U.H. RYBEXIM RAFAŁ RYBKA</t>
  </si>
  <si>
    <t>Kosmetolog</t>
  </si>
  <si>
    <t>RPd057|229903</t>
  </si>
  <si>
    <t>Douglas Polska Sp. z o.o.</t>
  </si>
  <si>
    <t>Konsultant - Makijażysta</t>
  </si>
  <si>
    <t>AMW TBS "KWATERA"</t>
  </si>
  <si>
    <t>Specjalista ds. technicznej obsługi nieruchomo¶ci</t>
  </si>
  <si>
    <t>RPd057|311201</t>
  </si>
  <si>
    <t>Financial Accountant</t>
  </si>
  <si>
    <t>Kuratorium O¶wiaty w Rzeszowie</t>
  </si>
  <si>
    <t>Księgowa/ Księgowy</t>
  </si>
  <si>
    <t>Manpower CoRE</t>
  </si>
  <si>
    <t>Księgowy z Językiem Niemieckim</t>
  </si>
  <si>
    <t>Młodszy księgowy</t>
  </si>
  <si>
    <t>Młodszy Księgowy AP/AR niemiecki/francuski</t>
  </si>
  <si>
    <t>Starszy księgowy</t>
  </si>
  <si>
    <t>Kucharz / Kucharka</t>
  </si>
  <si>
    <t>Laborant/ka</t>
  </si>
  <si>
    <t>RPd057|311101</t>
  </si>
  <si>
    <t>Lakiernik proszkowy</t>
  </si>
  <si>
    <t>RPd057|713202</t>
  </si>
  <si>
    <t>Solvera Gawel Technology SA</t>
  </si>
  <si>
    <t>Lakiernik / Monter</t>
  </si>
  <si>
    <t>Centrum Zdrowia Gabinet Stomatologiczny Tatiana Kożuszna</t>
  </si>
  <si>
    <t>Stomatolog</t>
  </si>
  <si>
    <t>RPd057|226206</t>
  </si>
  <si>
    <t>Powiatowy Inspektorat Weterynarii w Rzeszowie</t>
  </si>
  <si>
    <t>Inspektor weterynaryjny</t>
  </si>
  <si>
    <t>RPd057|225101</t>
  </si>
  <si>
    <t>Powiatowy Inspektorat Weterynarii w Ja¶le</t>
  </si>
  <si>
    <t>Lekarz weterynarii - specjalista epizootiologii i administracji weterynaryjnej</t>
  </si>
  <si>
    <t>RPd057|225211</t>
  </si>
  <si>
    <t>Powiatowy Inspektorat Weterynarii w Strzyżowie</t>
  </si>
  <si>
    <t>Kontroler weterynaryjny</t>
  </si>
  <si>
    <t>Polska, podkarpackie, Strzyżów</t>
  </si>
  <si>
    <t>Kontroler Stanów Magazynowych</t>
  </si>
  <si>
    <t>TNT Express Worldwide (Poland) Sp. z o.o.</t>
  </si>
  <si>
    <t>"GREINPLAST PODKARPACIE" sp. z o.o.</t>
  </si>
  <si>
    <t>JVD DYSTRYBUCJA</t>
  </si>
  <si>
    <t>Magazynier - Kierowca</t>
  </si>
  <si>
    <t>Black Red White S.A.</t>
  </si>
  <si>
    <t>Pracownik Magazynowy (produkcja)</t>
  </si>
  <si>
    <t>RPd057|723307</t>
  </si>
  <si>
    <t>"DAAR" Dębicka Agencja Aktywizacji Rolnictwa</t>
  </si>
  <si>
    <t>Serwisant - Monter urz±dzeń udojowych</t>
  </si>
  <si>
    <t>RPd057|723202</t>
  </si>
  <si>
    <t>Monter Rowerowy</t>
  </si>
  <si>
    <t>Ensila Group Sp. z o.o. Sp. k.</t>
  </si>
  <si>
    <t>MONTER IZOLACJI PRZEMYSŁOWEJ</t>
  </si>
  <si>
    <t>Polska, podkarpackie, Rzeszów, Krosno, Jasło, Przemy¶ł</t>
  </si>
  <si>
    <t>RPd057|712403</t>
  </si>
  <si>
    <t>Ramirent S.A.</t>
  </si>
  <si>
    <t>Koordynator ds. Rusztowań</t>
  </si>
  <si>
    <t>GS SYSTEM</t>
  </si>
  <si>
    <t>Energoserwis S.A.</t>
  </si>
  <si>
    <t>Monter konstrukcji stalowych i remontu kotłów</t>
  </si>
  <si>
    <t>Mechanik Urz±dzeń Cieplno-Mechanicznych</t>
  </si>
  <si>
    <t>Monter maszyn i urz±dzeń przemysłowych</t>
  </si>
  <si>
    <t>RPd057|821105</t>
  </si>
  <si>
    <t>GZW Sp. z o.o.</t>
  </si>
  <si>
    <t>Monter instalacji LPG</t>
  </si>
  <si>
    <t>Monter samochodowej instalacji gazowej (LPG)</t>
  </si>
  <si>
    <t>RPd057|723106</t>
  </si>
  <si>
    <t>Instalator sieci komputerowych</t>
  </si>
  <si>
    <t>RPd057|742203</t>
  </si>
  <si>
    <t>RPd057|723401</t>
  </si>
  <si>
    <t>Arkus &amp; Romet Group Sp. z o.o.</t>
  </si>
  <si>
    <t>Monter rowerów</t>
  </si>
  <si>
    <t>Polska, podkarpackie, Podgrodzie/ Dębica</t>
  </si>
  <si>
    <t>Koordynator Wydziału</t>
  </si>
  <si>
    <t>RPd057|121303</t>
  </si>
  <si>
    <t>iCEA Sp. z.o.o.</t>
  </si>
  <si>
    <t>Manager Oddziału</t>
  </si>
  <si>
    <t>Edukido Polska</t>
  </si>
  <si>
    <t>Instruktor zajęć edukacyjnych z klockami LEGO</t>
  </si>
  <si>
    <t>Nauczyciel instruktor</t>
  </si>
  <si>
    <t>RPd057|235106</t>
  </si>
  <si>
    <t>Żak</t>
  </si>
  <si>
    <t>Wykładowca przedmiotów zawodowych</t>
  </si>
  <si>
    <t>Nauczyciel przedmiotów zawodowych technicznych</t>
  </si>
  <si>
    <t>RPd057|232006</t>
  </si>
  <si>
    <t>Administrator CAD/PLM</t>
  </si>
  <si>
    <t>RPd057|311803</t>
  </si>
  <si>
    <t>HS MULTISERVICES SPÓŁKA Z OGRANICZONˇ ODPOWIEDZIALNO¦CIˇ</t>
  </si>
  <si>
    <t>Pracownik czyszczenia przemysłowego</t>
  </si>
  <si>
    <t>EKO-CENTRUM sp. z o.o.</t>
  </si>
  <si>
    <t>Polska, podkarpackie, Nowa Dęba</t>
  </si>
  <si>
    <t>Pracownik Przygotowania Powierzchni</t>
  </si>
  <si>
    <t>Operator urz±dzeń do przygotowania powierzchni do nakładania powłok</t>
  </si>
  <si>
    <t>RPd057|812206</t>
  </si>
  <si>
    <t>GUMOTIV Spółka z ograniczon± odpowiedzialno¶ci± Sp.k.</t>
  </si>
  <si>
    <t>Pracownik Produkcyjny - Operator Wtryskarki</t>
  </si>
  <si>
    <t>CNC Operator</t>
  </si>
  <si>
    <t>Operator Cnc</t>
  </si>
  <si>
    <t>Bester Sklejki Sp. z o.o. Sp. k.</t>
  </si>
  <si>
    <t>Operator maszyn CNC</t>
  </si>
  <si>
    <t>Operator Maszyn CNC</t>
  </si>
  <si>
    <t>Operator Maszyn CNC ? Wydział Narzędziownia</t>
  </si>
  <si>
    <t>Operator Obrabiarek Sterowanych Numerycznie CNC</t>
  </si>
  <si>
    <t>Tokarz Karuzelowy CNC</t>
  </si>
  <si>
    <t>Młodszy Operator produkcji</t>
  </si>
  <si>
    <t>Operator linii montażowej</t>
  </si>
  <si>
    <t>Polska, podkarpackie, Mielec, Staszów, Połaniec, Nowa Dęba</t>
  </si>
  <si>
    <t>Pilkington</t>
  </si>
  <si>
    <t>Polska, podkarpackie, Chmielów (pow. tarnobrzeski)</t>
  </si>
  <si>
    <t>Pracownik Linii Produkcyjnej</t>
  </si>
  <si>
    <t>znanylekarz.pl</t>
  </si>
  <si>
    <t>Account manager</t>
  </si>
  <si>
    <t>Młodszy Specjalista ds. Bezpo¶redniej Obsługi Klienta</t>
  </si>
  <si>
    <t>26.10.2018</t>
  </si>
  <si>
    <t>GESTOR HOME SPÓŁKA Z OGRANICZONˇ ODPOWIEDZIALNO¦CIˇ</t>
  </si>
  <si>
    <t>Opiekun klienta / Specjalista ds. najmu</t>
  </si>
  <si>
    <t>Global Events Manager</t>
  </si>
  <si>
    <t>RPd057|333201</t>
  </si>
  <si>
    <t>"DAMIL-TRANS" KRAJOWY I MIĘDZYNARODOWY PRZEWÓZ OSÓB I RZECZY DANUTA CZˇSTKA-SROKA</t>
  </si>
  <si>
    <t>Sprzedawca internetowy</t>
  </si>
  <si>
    <t>RPd057|524402</t>
  </si>
  <si>
    <t>Partner ds. Ubezpieczeniowo-Finansowych</t>
  </si>
  <si>
    <t>Po¶rednik finansowy</t>
  </si>
  <si>
    <t>RPd057|331103</t>
  </si>
  <si>
    <t>MARLAND A. MARCZYDŁO sp.k.</t>
  </si>
  <si>
    <t>Specjalista do inwestycji developerskich</t>
  </si>
  <si>
    <t>RPd057|421402</t>
  </si>
  <si>
    <t>AVR S.A.</t>
  </si>
  <si>
    <t>Pracownik Drogowy</t>
  </si>
  <si>
    <t>RPd057|931205</t>
  </si>
  <si>
    <t>OTTO ENGINEERING POLSKA SPÓŁKA Z OGRANICZONˇ ODPOWIEDZIALNO¦CIˇ</t>
  </si>
  <si>
    <t>Serwisant Systemów Oczyszczania Powietrza</t>
  </si>
  <si>
    <t>Serwisant systemów oczyszczania powietrza</t>
  </si>
  <si>
    <t>technik mechartonik</t>
  </si>
  <si>
    <t>Zakłady Produkcyjne Systemów Sanitarnych KARMAT</t>
  </si>
  <si>
    <t>Pracownik działu obsługi klienta krajowego i zagranicznego</t>
  </si>
  <si>
    <t>Polska, podkarpackie, ¦wilcza (pow. rzeszowski)</t>
  </si>
  <si>
    <t>RPd057|524990</t>
  </si>
  <si>
    <t>Pracownik sezonowy ? od¶nieżanie</t>
  </si>
  <si>
    <t>RPd057|912990</t>
  </si>
  <si>
    <t>OPINION MEDIA</t>
  </si>
  <si>
    <t>Asystent ds. Szkoleń i Rekrutacji</t>
  </si>
  <si>
    <t>RPd057|242403</t>
  </si>
  <si>
    <t>Carlson Wagonlit Travel</t>
  </si>
  <si>
    <t>Business Travel Consultant with English</t>
  </si>
  <si>
    <t>Business Travel Consultant with French</t>
  </si>
  <si>
    <t>Business Travel Consultant with German</t>
  </si>
  <si>
    <t>Asystent ds. Logistyki</t>
  </si>
  <si>
    <t>Specjalista ds.Płac</t>
  </si>
  <si>
    <t>RPd057|431301</t>
  </si>
  <si>
    <t>Kwalifikowany pracownik ochrony fizycznej</t>
  </si>
  <si>
    <t>RPd057|541307</t>
  </si>
  <si>
    <t>Wykładacz towaru</t>
  </si>
  <si>
    <t>TeamQuest Sp. z o.o.</t>
  </si>
  <si>
    <t>ASP.NET Projektant/Developer</t>
  </si>
  <si>
    <t>C++ Developer (Linux)</t>
  </si>
  <si>
    <t>Front-end Developer z do¶wiadczeniem w pracy z Magento</t>
  </si>
  <si>
    <t>IT Hunters Sp. z o.o.</t>
  </si>
  <si>
    <t>Frontend Software Developer</t>
  </si>
  <si>
    <t>Polska, podkarpackie, Tajęcina</t>
  </si>
  <si>
    <t>IT Hunters Sp. z o. o.</t>
  </si>
  <si>
    <t>Java Developer (SAP)</t>
  </si>
  <si>
    <t>Moorgate Sp. z o.o.</t>
  </si>
  <si>
    <t>JavaScript Developer</t>
  </si>
  <si>
    <t>.NET Core Specialist</t>
  </si>
  <si>
    <t>PHP MAGENTO Developer</t>
  </si>
  <si>
    <t>TeamQuest</t>
  </si>
  <si>
    <t>TRANSMOBIL SYSTEMS SP. Z O.O.</t>
  </si>
  <si>
    <t>Programista PHP</t>
  </si>
  <si>
    <t>Programista - rozwijanie systemów korporacji</t>
  </si>
  <si>
    <t>Programista Absolwent</t>
  </si>
  <si>
    <t>Programista C# (ASP.NET)</t>
  </si>
  <si>
    <t>Currenda Sp. z o. o.</t>
  </si>
  <si>
    <t>Programista C++/C#</t>
  </si>
  <si>
    <t>Transition Technologies S.A.</t>
  </si>
  <si>
    <t>Programistka / Programista</t>
  </si>
  <si>
    <t>QA Engineer</t>
  </si>
  <si>
    <t>Ruby on Rails Developer</t>
  </si>
  <si>
    <t>Moorgate</t>
  </si>
  <si>
    <t>Senior Automation Tester</t>
  </si>
  <si>
    <t>Senior Embedded - Low Level Software Developer</t>
  </si>
  <si>
    <t>IRONIN Sp. z o.o. sp. k.</t>
  </si>
  <si>
    <t>Senior Front-end Developer with React (Remote/Office)</t>
  </si>
  <si>
    <t>Senior Java Developer</t>
  </si>
  <si>
    <t>SharePoint Developer</t>
  </si>
  <si>
    <t>Software engineer</t>
  </si>
  <si>
    <t>Polska, podkarpackie, Tejęcina</t>
  </si>
  <si>
    <t>Software engineer Engine Performance ? Tool Developer</t>
  </si>
  <si>
    <t>Inżynier Systemów Sieciowych - Specjalista ds. Technologii</t>
  </si>
  <si>
    <t>RPd057|251103</t>
  </si>
  <si>
    <t>SAP Key User - 1st line support in interfaces</t>
  </si>
  <si>
    <t>Projektant aplikacji multimedialnych, animacji i gier komputerowych</t>
  </si>
  <si>
    <t>Polska, podkarpackie, Rzeszow</t>
  </si>
  <si>
    <t>RPd057|251302</t>
  </si>
  <si>
    <t>Graphic Designer - Global Team</t>
  </si>
  <si>
    <t>Duet. ZPH. Drozdowska Z.</t>
  </si>
  <si>
    <t>Projektant odzieży damskiej</t>
  </si>
  <si>
    <t>RPd057|216303</t>
  </si>
  <si>
    <t>Przedszkoliada.pl</t>
  </si>
  <si>
    <t>Promotor Przedszkoliada.pl</t>
  </si>
  <si>
    <t>RPd057|333903</t>
  </si>
  <si>
    <t>ACS Słuchmed Sp. z o.o.</t>
  </si>
  <si>
    <t>Protetyk Słuchu</t>
  </si>
  <si>
    <t>RPd057|321401</t>
  </si>
  <si>
    <t>Kolporter Spółka z ograniczon± odpowiedzialno¶ci± sp. k.</t>
  </si>
  <si>
    <t>Ajent Saloniku Prasowego</t>
  </si>
  <si>
    <t>Polska, podkarpackie, Dukla</t>
  </si>
  <si>
    <t>Anwim S.A.</t>
  </si>
  <si>
    <t>Ajent stacji paliw MOYA</t>
  </si>
  <si>
    <t>Sante A. Kowalski Sp. j.</t>
  </si>
  <si>
    <t>Area Manager</t>
  </si>
  <si>
    <t>Wedding.pl Sp. z o.o.</t>
  </si>
  <si>
    <t>Area Sales Representative</t>
  </si>
  <si>
    <t>Rett-Pol Telewizja przemysłowa i Telekomunikacja</t>
  </si>
  <si>
    <t>Doradca / Konsultant Handlowy elektronicznych systemów bezpieczeństwa (alarmy, monitoring etc.)</t>
  </si>
  <si>
    <t>Jungheinrich Polska Sp. z o.o.</t>
  </si>
  <si>
    <t>Doradca Handlowy</t>
  </si>
  <si>
    <t>HHW HOMMEL HERCULES PL SP. Z O.O.</t>
  </si>
  <si>
    <t>Juwent</t>
  </si>
  <si>
    <t>Doradca Techniczny</t>
  </si>
  <si>
    <t>PLAST MASTER TERESA I RYSZARD SUDOŁ</t>
  </si>
  <si>
    <t>Doradca techniczny - przedstawiciel handlowy</t>
  </si>
  <si>
    <t>FELDER Group Polska Sp. z o.o.</t>
  </si>
  <si>
    <t>Doradca Techniczy do sprzedaży obrabiarek do drewna</t>
  </si>
  <si>
    <t>Dyrektor Mikroregionu</t>
  </si>
  <si>
    <t>INVESTOR NIERUCHOMO¦CI</t>
  </si>
  <si>
    <t>Dyrektor Oddziału ? Franczyzobiorca</t>
  </si>
  <si>
    <t>Nowe S.A.</t>
  </si>
  <si>
    <t>Handlowiec regionalny</t>
  </si>
  <si>
    <t>eobuwie.pl</t>
  </si>
  <si>
    <t>Koordynator ds. Obsługi Rynku Hiszpańskiego</t>
  </si>
  <si>
    <t>Subway International BV</t>
  </si>
  <si>
    <t>Partner Biznesowy - Franczyzobiorca</t>
  </si>
  <si>
    <t>Wła¶ciciel platformy zakupów rabatowych ? Rabatem.pl</t>
  </si>
  <si>
    <t>Partner Biznesowy Rabatem.pl- Własny Multimedialny Portal</t>
  </si>
  <si>
    <t>Partner mFinanse</t>
  </si>
  <si>
    <t>MZN Property S.A.</t>
  </si>
  <si>
    <t>Partner placówki franczyzowej</t>
  </si>
  <si>
    <t>Przedstawiciel AXA</t>
  </si>
  <si>
    <t>Walmark Sp. z o.o.</t>
  </si>
  <si>
    <t>Przedstawiciel Farmaceutyczny</t>
  </si>
  <si>
    <t>MYVITA sp. z o.o.</t>
  </si>
  <si>
    <t>Przedstawiciel farmaceutyczny</t>
  </si>
  <si>
    <t>MYVITA Sp z o.o.</t>
  </si>
  <si>
    <t>Diagnosis S.A.</t>
  </si>
  <si>
    <t>Garmond Press S.A.</t>
  </si>
  <si>
    <t>Merkator Sp. z o.o.</t>
  </si>
  <si>
    <t>VINGBERG POLSKA</t>
  </si>
  <si>
    <t>Wyborowa Pernod Ricard</t>
  </si>
  <si>
    <t>PRZEDSIĘBIORSTWO HANDLOWO USŁUGOWE ALKA ALTAMER CZESŁAW, KAPUSTA KRYSTYNA SPÓŁKA JAWNA</t>
  </si>
  <si>
    <t>Polska, podkarpackie, ¦wierczów (pow. kolbuszowski)</t>
  </si>
  <si>
    <t>Stone Master</t>
  </si>
  <si>
    <t>ADAMET-NIEMET SPÓŁKA Z OGRANICZONˇ ODPOWIEDZIALNO¦CIˇ</t>
  </si>
  <si>
    <t>Hortex Sp. z o.o.</t>
  </si>
  <si>
    <t>Polska, podkarpackie, Stalowa Wola (okolice)</t>
  </si>
  <si>
    <t>Danone Sp. z o.o.</t>
  </si>
  <si>
    <t>Polska, podkarpackie, Przemy¶l (okolice)</t>
  </si>
  <si>
    <t>Look Food Sp. z o.o.</t>
  </si>
  <si>
    <t>ST TRADE sp. z o.o.</t>
  </si>
  <si>
    <t>Przedstawiciel Handlowy - Rowerowy</t>
  </si>
  <si>
    <t>Grupa Kapitałowa Inter Cars</t>
  </si>
  <si>
    <t>Przedstawiciel Handlowy - Sprzedawca</t>
  </si>
  <si>
    <t>WebEye Polska Sp. z o.o.</t>
  </si>
  <si>
    <t>Przedstawiciel Handlowy B2B w branży IT</t>
  </si>
  <si>
    <t>AFLOFARM FARMACJA POLSKA SP. Z O.O.</t>
  </si>
  <si>
    <t>Przedstawiciel handlowy do współpracy z aptekami</t>
  </si>
  <si>
    <t>Polymus Sp. z o.o.</t>
  </si>
  <si>
    <t>Przedstawiciel Handlowy ds. Kluczowych Klientów</t>
  </si>
  <si>
    <t>AB Bechcicki Sp. z o.o.</t>
  </si>
  <si>
    <t>Przedstawiciel Handlowy ds. Sprzedaży Inwestycyjnej</t>
  </si>
  <si>
    <t>NAVO Orbico Sp. z o.o.</t>
  </si>
  <si>
    <t>Przedstawiciel Handlowy (małe AGD)</t>
  </si>
  <si>
    <t>Henkel Polska Sp. z o.o.</t>
  </si>
  <si>
    <t>Przedstawiciel Handlowy (m/k)</t>
  </si>
  <si>
    <t>Orion Pharma Poland Sp. z o.o.</t>
  </si>
  <si>
    <t>Przedstawiciel Medyczno - Farmaceutyczny</t>
  </si>
  <si>
    <t>Centrala Techniczna Eltech Sp. z o.o.</t>
  </si>
  <si>
    <t>LeasingPoint sp. z o.o.</t>
  </si>
  <si>
    <t>Regionalny Menadżer ds. leasingu - Partner Biznesowy</t>
  </si>
  <si>
    <t>Lewiatan Podkarpacie</t>
  </si>
  <si>
    <t>Specjalista ds. Ekspansji</t>
  </si>
  <si>
    <t>MAKRO Cash &amp; Carry Polska S.A.</t>
  </si>
  <si>
    <t>Specjalista ds. Rozwoju Franczyzy</t>
  </si>
  <si>
    <t>DPD Pickup</t>
  </si>
  <si>
    <t>Specjalista ds. Rozwoju Sieci Pickup</t>
  </si>
  <si>
    <t>Specjalista/ka ds. Sprzedaży w Terenie</t>
  </si>
  <si>
    <t>Boston Scientific Polska Sp. Z.o.o</t>
  </si>
  <si>
    <t>Territory Sales Manager Electrophysiology</t>
  </si>
  <si>
    <t>EDUN Korepetycje</t>
  </si>
  <si>
    <t>Wła¶ciciel Centrum Korepetycji</t>
  </si>
  <si>
    <t>ZENTIVA POLSKA SP. Z O.O</t>
  </si>
  <si>
    <t>VOSTER Spółka z ograniczon± odpowiedzialno¶ci± sp. k.</t>
  </si>
  <si>
    <t>Pracownik działu reklamacji</t>
  </si>
  <si>
    <t>Polska, podkarpackie, Zarzecze (pow. niżański)</t>
  </si>
  <si>
    <t>Specjalista ds. prawnych/umów</t>
  </si>
  <si>
    <t>Aplikant radcowski/adwokacki</t>
  </si>
  <si>
    <t>Embis Spółka z ograniczon± odpowiedzialno¶ci± Sp.K.</t>
  </si>
  <si>
    <t>Dyrektor oddziału</t>
  </si>
  <si>
    <t>Zakład Przetwórstwa Owocowo-Warzywnego "ORZECH"</t>
  </si>
  <si>
    <t>Kierownik działu handlowego</t>
  </si>
  <si>
    <t>Kierownik Oddziału MBE</t>
  </si>
  <si>
    <t>Komfort Łazienki sp. z o.o.</t>
  </si>
  <si>
    <t>Kierownik Regionalny</t>
  </si>
  <si>
    <t>Polska, podkarpackie, Obszar południowy</t>
  </si>
  <si>
    <t>TUZ Towarzystwo Ubezpieczeń Wzajemnych</t>
  </si>
  <si>
    <t>Manager ds. Sprzedaży</t>
  </si>
  <si>
    <t>AUREUS SA</t>
  </si>
  <si>
    <t>Manager Regionu - Zespół Partnerów w Biznesie</t>
  </si>
  <si>
    <t>Generali</t>
  </si>
  <si>
    <t>Menedżer Sprzedaży Agencyjnej</t>
  </si>
  <si>
    <t>METLIFE</t>
  </si>
  <si>
    <t>PZU Życie S.A.</t>
  </si>
  <si>
    <t>Polska, podkarpackie, Jarosław, Krosno, Rzeszów, Sanok</t>
  </si>
  <si>
    <t>Organizator Sprzedaży Agencyjnej</t>
  </si>
  <si>
    <t>Regionalny doradca sprzedaży zewnętrznej</t>
  </si>
  <si>
    <t>KUPIEC Sp. z o.o.</t>
  </si>
  <si>
    <t>Regionalny Kierownik ds. Kluczowych Klientów</t>
  </si>
  <si>
    <t>ZBYSZKO COMPANY S.A.</t>
  </si>
  <si>
    <t>JobTicket Sp. z o.o.</t>
  </si>
  <si>
    <t>Pracownik porz±dkowy</t>
  </si>
  <si>
    <t>Polska, podkarpackie, okolice Coburga</t>
  </si>
  <si>
    <t>RPd057|515303</t>
  </si>
  <si>
    <t>Patent Researcher</t>
  </si>
  <si>
    <t>RPd057|242216</t>
  </si>
  <si>
    <t>99rent Sp. z o.o.</t>
  </si>
  <si>
    <t>Agent Wynajmu</t>
  </si>
  <si>
    <t>RPd057|214930</t>
  </si>
  <si>
    <t>Asystent ds. administracji</t>
  </si>
  <si>
    <t>RPd057|412001</t>
  </si>
  <si>
    <t>Dipol PlasticTechnology</t>
  </si>
  <si>
    <t>API.PL Sp. z o.o.</t>
  </si>
  <si>
    <t>Serwisant  Plotero?w  Wielkoformatowych</t>
  </si>
  <si>
    <t>RPd057|742208</t>
  </si>
  <si>
    <t>HR Business Partner</t>
  </si>
  <si>
    <t>JIVR sp. z o.o.</t>
  </si>
  <si>
    <t>Spawacz 135, 141</t>
  </si>
  <si>
    <t>Spawacz MIG MAG</t>
  </si>
  <si>
    <t>Spawacz TIG</t>
  </si>
  <si>
    <t>Aforti Finance S.A.</t>
  </si>
  <si>
    <t>Bankier</t>
  </si>
  <si>
    <t>Doradca ds. Klientów Biznesowych</t>
  </si>
  <si>
    <t>Doradca Firm</t>
  </si>
  <si>
    <t>Fortum Sprzedaż sp. z o.o.</t>
  </si>
  <si>
    <t>Doradca klienta biznesowego i indywidualnego</t>
  </si>
  <si>
    <t>PKO Bank Polski SA</t>
  </si>
  <si>
    <t>Doradca klienta indywidualnego</t>
  </si>
  <si>
    <t>Polska, podkarpackie, Radymno</t>
  </si>
  <si>
    <t>Doradca Klienta/Doradca Klienta Biznesowego</t>
  </si>
  <si>
    <t>Młodszy Specjalista ds. Pozyskiwania Klientów Korporacyjnych</t>
  </si>
  <si>
    <t>Młodszy Specjalista w obszarze bankowo¶ci detalicznej</t>
  </si>
  <si>
    <t>Target PRO</t>
  </si>
  <si>
    <t>Płatny staż w dziale bankowo¶ci - mBank</t>
  </si>
  <si>
    <t>Bank Polskiej Spółdzielczo¶ci S.A.</t>
  </si>
  <si>
    <t>Pracownik Zespołu Sprzedaży - Doradca Klienta Detalicznego</t>
  </si>
  <si>
    <t>Przedstawiciel ds. Ubezpieczeń i Inwestycji</t>
  </si>
  <si>
    <t>ING Lease (Polska) Sp. z o.o.</t>
  </si>
  <si>
    <t>Przedstawiciel Leasingowy</t>
  </si>
  <si>
    <t>Specjalista ds. Pozyskiwania Klientów Korporacyjnych</t>
  </si>
  <si>
    <t>Notus Finanse S.A.</t>
  </si>
  <si>
    <t>konsultant ds. rekrutacji (engineering)</t>
  </si>
  <si>
    <t>DELEGATE IT SPÓŁKA Z OGRANICZONˇ ODPOWIEDZIALNO¦CIˇ</t>
  </si>
  <si>
    <t>Konsultant ds. Wdrożeń Systemu ERP</t>
  </si>
  <si>
    <t>Konsultant Systemów Informatycznych (HR)</t>
  </si>
  <si>
    <t>HOBIJ International Work Force Sp. z o.o.</t>
  </si>
  <si>
    <t>Młodszy Specjalista ds. Rekrutacji z językiem angielskim</t>
  </si>
  <si>
    <t>SSC HEROES POLAND Sp. z o.o.</t>
  </si>
  <si>
    <t>Multi Country Senior Payroll Specialist</t>
  </si>
  <si>
    <t>Specjalista ds. Kadr i Płac</t>
  </si>
  <si>
    <t>Cyfrowy Polsat S.A.</t>
  </si>
  <si>
    <t>HR Assistant</t>
  </si>
  <si>
    <t>Asystent Kierownika Projektów</t>
  </si>
  <si>
    <t>ZnanyLekarz Sp. z o.o.</t>
  </si>
  <si>
    <t>Prografix</t>
  </si>
  <si>
    <t>Account Manager ds. sprzedaży ubezpieczeń grupowych</t>
  </si>
  <si>
    <t>CommsBlack Poland</t>
  </si>
  <si>
    <t>Key Account Manager - Kontrakty Armii USA</t>
  </si>
  <si>
    <t>Altkom Akademia S.A.</t>
  </si>
  <si>
    <t>Kierownik ds. Kluczowych Klientów</t>
  </si>
  <si>
    <t>Manager Sprzedaży ds. Kluczowych Partnerów</t>
  </si>
  <si>
    <t>Młodszy Specjalista ds. Obsługi Kontraktów (z językiem niemieckim)</t>
  </si>
  <si>
    <t>Specjalista ds. kontaktu z klientem</t>
  </si>
  <si>
    <t>Analityk ds. planowania</t>
  </si>
  <si>
    <t>Junior Logistic Specialist</t>
  </si>
  <si>
    <t>Młodszy Specjalista ds. Dystrybucji ? j. francuski</t>
  </si>
  <si>
    <t>Młodszy Specjalista ds. Dystrybucji ? j. niemiecki</t>
  </si>
  <si>
    <t>VAN PUR S.A.</t>
  </si>
  <si>
    <t>Referent ds. obsługi eksportowej</t>
  </si>
  <si>
    <t>Polska, podkarpackie, Rakszawa (pow. łańcucki)</t>
  </si>
  <si>
    <t>TLC RENTAL Sp. z o.o.</t>
  </si>
  <si>
    <t>Starszy Specjalista ds. Serwisu i Logistyki</t>
  </si>
  <si>
    <t>Asystent/ka w dziale marketingu</t>
  </si>
  <si>
    <t>Playada Spółka z o.o.</t>
  </si>
  <si>
    <t>Doradca Biznesowy PLAY</t>
  </si>
  <si>
    <t>HABYS sp. z o.o.</t>
  </si>
  <si>
    <t>Export Manager</t>
  </si>
  <si>
    <t>MB ELiX sp. z o.o. sp.k.</t>
  </si>
  <si>
    <t>Export Sales Manager</t>
  </si>
  <si>
    <t>Export Specialist ? African Union Region</t>
  </si>
  <si>
    <t>Handlowiec</t>
  </si>
  <si>
    <t>Logistics and Export Coordinator</t>
  </si>
  <si>
    <t>Manager ds. eksportu</t>
  </si>
  <si>
    <t>Manager ds. Importu</t>
  </si>
  <si>
    <t>Pracownik biurowy w dziale exportu</t>
  </si>
  <si>
    <t>Specjalista ds. ecommerce i platformy internetowej</t>
  </si>
  <si>
    <t>COBI S.A.</t>
  </si>
  <si>
    <t>Specjalista ds. Eksportu</t>
  </si>
  <si>
    <t>Asystent Kierownika Projektów e-Marketingowych</t>
  </si>
  <si>
    <t>IFRS Financial Closing Senior Expert with Polish</t>
  </si>
  <si>
    <t>Młodszy Specjalista ds. finansowo - ekonomicznych</t>
  </si>
  <si>
    <t>Specjalista do spraw rachunkowo¶ci inwestycyjnej</t>
  </si>
  <si>
    <t>RPd057|241104</t>
  </si>
  <si>
    <t>Sanpro Interim BPO Sp. z o.o. Sp k.</t>
  </si>
  <si>
    <t>Koordynator ds. Operacyjnych</t>
  </si>
  <si>
    <t>Polska, podkarpackie, Gorzyce</t>
  </si>
  <si>
    <t>Rekruter Terenowy</t>
  </si>
  <si>
    <t>Młodszy specjalista ds. sprzedaży</t>
  </si>
  <si>
    <t>Moje Bambino Sp. z o.o. Sp.k.</t>
  </si>
  <si>
    <t>Młodszy Specjalista ds. Sprzedaży</t>
  </si>
  <si>
    <t>NOVA Centrum Edukacyjne Sp. z o.o.</t>
  </si>
  <si>
    <t>Specjalista ds. Obsługi Klienta</t>
  </si>
  <si>
    <t>Adamot Sp. z o.o.</t>
  </si>
  <si>
    <t>Specjalista ds. obsługi klienta z j. niemieckim</t>
  </si>
  <si>
    <t>ICA Polska Sp. z o. o.</t>
  </si>
  <si>
    <t>Specjalista ds. sprzedaży</t>
  </si>
  <si>
    <t>DPS Software Sp. z o.o.</t>
  </si>
  <si>
    <t>Specjalista ds. Sprzedaży - rynek sportowy</t>
  </si>
  <si>
    <t>Polska, podkarpackie, Pustynia (pow. dębicki)</t>
  </si>
  <si>
    <t>Specjalista ds. sprzedaży z językiem francuskim lub niemieckim</t>
  </si>
  <si>
    <t>Specjalista ds. sprzedaży ubezpieczeń grupowych</t>
  </si>
  <si>
    <t>Inspektor jako¶ci</t>
  </si>
  <si>
    <t>Inżynier Jako¶ci</t>
  </si>
  <si>
    <t>Inżynier jako¶ci ds.certyfikacji procesu</t>
  </si>
  <si>
    <t>Koordynator ds. systemu jako¶ci</t>
  </si>
  <si>
    <t>Młodszy Kontroler Jako¶ci</t>
  </si>
  <si>
    <t>TW METALS POLSKA Sp. z o.o.</t>
  </si>
  <si>
    <t>Quality Assurance Assistant</t>
  </si>
  <si>
    <t>RtR Process Expert</t>
  </si>
  <si>
    <t>Federal-Mogul Gorzyce Sp.z o.o.</t>
  </si>
  <si>
    <t>Specjalista ds. jako¶ci</t>
  </si>
  <si>
    <t>Polska, podkarpackie, Gorzyce (pow. tarnobrzeski)</t>
  </si>
  <si>
    <t>Specjalista ds. Zarz±dzania Ryzykiem</t>
  </si>
  <si>
    <t>RPd057|241310</t>
  </si>
  <si>
    <t>LOGART</t>
  </si>
  <si>
    <t>Spedytor międzynarodowy</t>
  </si>
  <si>
    <t>Osoba Sprz±taj±ca</t>
  </si>
  <si>
    <t>RPd057|911207</t>
  </si>
  <si>
    <t>Pracownik Sprz±taj±cy</t>
  </si>
  <si>
    <t>Lupigo</t>
  </si>
  <si>
    <t>Specjalista ds. promocji e-commerce</t>
  </si>
  <si>
    <t>BRODA E-SHOPS SYSTEM</t>
  </si>
  <si>
    <t>Doradca Klienta ? Sprzedawca</t>
  </si>
  <si>
    <t>ASAP Polska / Partner Orange</t>
  </si>
  <si>
    <t>Doradca Klienta Biznesowego Orange</t>
  </si>
  <si>
    <t>W.Kruk S.A.</t>
  </si>
  <si>
    <t>Doradca Klienta W.KRUK - Outlet Graffica Rzeszów</t>
  </si>
  <si>
    <t>Krzysztof KuĽniar "Orzeł" Stacja Paliw</t>
  </si>
  <si>
    <t>Polska, podkarpackie, Kęty, Mielec</t>
  </si>
  <si>
    <t>Kasjer - Sprzedawca (pracownik sezonowy)</t>
  </si>
  <si>
    <t>Polska, podkarpackie, Tarnobrzeg (Sikorskiego, Mickiewicza, Kwiatkowskiego)</t>
  </si>
  <si>
    <t>Polska, podkarpackie, Mielec Legionów</t>
  </si>
  <si>
    <t>FORTUNA online zakłady bukmacherskie Sp. z o.o.</t>
  </si>
  <si>
    <t>Kasjer/-ka</t>
  </si>
  <si>
    <t>Konsultant w Salonie PLAY</t>
  </si>
  <si>
    <t>Przedsiębiorstwo Handlowe ?FAMIX? S. i G. Tarnowscy s. j.</t>
  </si>
  <si>
    <t>Kupiec</t>
  </si>
  <si>
    <t>REVAS sp. z o.o.</t>
  </si>
  <si>
    <t>Opiekun Klienta - Sprzedawca</t>
  </si>
  <si>
    <t>Opiekun Klienta w Galerii Handlowej</t>
  </si>
  <si>
    <t>STM H.Mulak, J.Mulak, W.Tabaczek Sp.J.</t>
  </si>
  <si>
    <t>Pracownik działu sprzedaży</t>
  </si>
  <si>
    <t>Pracownik Działu Sprzedaży</t>
  </si>
  <si>
    <t>Pracownik sklepu (bez obsługi kasy) Biedronka Lesko</t>
  </si>
  <si>
    <t>Pracownik sklepu lub kasjer PRZEMY¦L</t>
  </si>
  <si>
    <t>Pracownik sklepu-wykładanie towaru Biedronka USTRZYKI DOLNE</t>
  </si>
  <si>
    <t>Stokrotka Sp. z o.o.</t>
  </si>
  <si>
    <t>PPUH ELEKTROMIX</t>
  </si>
  <si>
    <t>Sprzedawca - branża AGD/RTV - ogród</t>
  </si>
  <si>
    <t>Polska, podkarpackie, Strzyżów (okolice)</t>
  </si>
  <si>
    <t>Sprzedawca - Doradca Klienta</t>
  </si>
  <si>
    <t>Chemia Rzeszów Sp. z o.o. Przedsiębiorstwo Handlu Chemikaliami</t>
  </si>
  <si>
    <t>Sprzedawca ? Handlowiec</t>
  </si>
  <si>
    <t>"VARMA" sp. z o.o.</t>
  </si>
  <si>
    <t>Sprzedawca - Kasjer Biedronka Korczyna</t>
  </si>
  <si>
    <t>Polska, podkarpackie, Korczyna (pow. kro¶nieński)</t>
  </si>
  <si>
    <t>Sprzedawca ? Kasjer Biedronka Młyny</t>
  </si>
  <si>
    <t>Polska, podkarpackie, Młyny (pow. jarosławski)</t>
  </si>
  <si>
    <t>Sprzedawca ? Kasjer Biedronka RADYMNO</t>
  </si>
  <si>
    <t>Sprzedawca - Kasjer KAŃCZUGA Umowa-zlecenie</t>
  </si>
  <si>
    <t>Sprzedawca ? Kasjer Sieniawa</t>
  </si>
  <si>
    <t>Polska, podkarpackie, Sieniawa</t>
  </si>
  <si>
    <t>Sprzedawca ? Kasjer Stalowa Wola</t>
  </si>
  <si>
    <t>Sprzedawca - Serwisant</t>
  </si>
  <si>
    <t>Onninen Sp. z o. o.</t>
  </si>
  <si>
    <t>Sprzedawca  w Hurtowni Instalacyjnej</t>
  </si>
  <si>
    <t>Geers Akustyka Słuchu Sp. z o.o.</t>
  </si>
  <si>
    <t>Sprzedawca, asystent protetyka słuchu</t>
  </si>
  <si>
    <t>GOSPODARSTWO ROLNE WOJCIECH KURYŁO</t>
  </si>
  <si>
    <t>Sprzedawca choinek</t>
  </si>
  <si>
    <t>Polska, podkarpackie, Jarosław, Krosno, Rzeszów, Sanok, Tarnobrzeg</t>
  </si>
  <si>
    <t>ROJAX</t>
  </si>
  <si>
    <t>Sprzedawca OKNA-DRZWI-PODŁOGI</t>
  </si>
  <si>
    <t>Polska, podkarpackie, RADOMY¦L WIELKI</t>
  </si>
  <si>
    <t>Cortland Sp. z o.o.</t>
  </si>
  <si>
    <t>Sprzedawca w salonie Cortland Apple Premium Reseller</t>
  </si>
  <si>
    <t>KRM (Poland) Sp. z o.o.</t>
  </si>
  <si>
    <t>Sprzedawca w salonie Ecco Pop Up</t>
  </si>
  <si>
    <t>KAUFLAND</t>
  </si>
  <si>
    <t>Sprzedawca/Kasjer</t>
  </si>
  <si>
    <t>sprzedawca-kasjer - powstaje Nowa Biedronka PADEW NARODOWA</t>
  </si>
  <si>
    <t>sprzedawca-kasjer Biedronka FRYSZTAK 0,5 oraz 0,75 etatu</t>
  </si>
  <si>
    <t>Polska, podkarpackie, Frysztak (pow. strzyżowski)</t>
  </si>
  <si>
    <t>sprzedawca-kasjer Biedronka GRABOWNICA STARZEŃSKA</t>
  </si>
  <si>
    <t>Polska, podkarpackie, Grabownica Starzeńska (pow. brzozowski)</t>
  </si>
  <si>
    <t>sprzedawca-kasjer Biedronka KOŁACZYCE</t>
  </si>
  <si>
    <t>Polska, podkarpackie, Kołaczyce</t>
  </si>
  <si>
    <t>sprzedawca-kasjer Biedronka MEDYKA</t>
  </si>
  <si>
    <t>Polska, podkarpackie, Medyka (pow. przemyski)</t>
  </si>
  <si>
    <t>sprzedawca-kasjer Biedronka NOWA DĘBA</t>
  </si>
  <si>
    <t>sprzedawca-kasjer Biedronka Rymanów</t>
  </si>
  <si>
    <t>Polska, podkarpackie, Rymanów</t>
  </si>
  <si>
    <t>sprzedawca-kasjer Biedronka ŻOŁYNIA</t>
  </si>
  <si>
    <t>Polska, podkarpackie, Żołynia (pow. łańcucki)</t>
  </si>
  <si>
    <t>sprzedawca-kasjer Łańcut</t>
  </si>
  <si>
    <t>Starszy Konsultant - Sprzedawca</t>
  </si>
  <si>
    <t>AIR PRODUCTS SP. Z O.O.</t>
  </si>
  <si>
    <t>Technik Sprzedaży</t>
  </si>
  <si>
    <t>Umowa-zlecenie Biedronka Przeworsk ul. Łańcucka</t>
  </si>
  <si>
    <t>RPd057|325508</t>
  </si>
  <si>
    <t>Automatyk</t>
  </si>
  <si>
    <t>POLPHARMA S.A.</t>
  </si>
  <si>
    <t>Operator Techniczny</t>
  </si>
  <si>
    <t>TWARÓG ANNA MAGIELEK</t>
  </si>
  <si>
    <t>Serwisant profesjonalnych maszyn pralniczych</t>
  </si>
  <si>
    <t>LYRECO Polska SA</t>
  </si>
  <si>
    <t>Ekspert ds. sprzedaży ¶rodków ochrony indywidualnej</t>
  </si>
  <si>
    <t>RPd057|325509</t>
  </si>
  <si>
    <t>Lider ds. BHP i Ochrony ¦rodowiska</t>
  </si>
  <si>
    <t>Specjalista ds. BHP</t>
  </si>
  <si>
    <t>CBRE Corporate Outsourcing Sp. z o.o.</t>
  </si>
  <si>
    <t>Mobilny administrator ds. utrzymania infrastruktury</t>
  </si>
  <si>
    <t>Serwisant  elektronik</t>
  </si>
  <si>
    <t>Linde Material Handling Polska Sp. Z o.o.</t>
  </si>
  <si>
    <t>Technik Serwisu</t>
  </si>
  <si>
    <t>Polska, podkarpackie, Jarosław, Przemy¶l</t>
  </si>
  <si>
    <t>Technik Serwisu Wyjazdowego</t>
  </si>
  <si>
    <t>BRUK-BET</t>
  </si>
  <si>
    <t>Elektryk dz. Utrzymania Ruchu</t>
  </si>
  <si>
    <t>Polska, podkarpackie, Krzemienica (pow. łańcucki)</t>
  </si>
  <si>
    <t>Farmacol S.A.</t>
  </si>
  <si>
    <t>Konserwator - Elektryk</t>
  </si>
  <si>
    <t>Pracownik utrzymania ruchu</t>
  </si>
  <si>
    <t>Technik energetyk*</t>
  </si>
  <si>
    <t>RPd057|311307</t>
  </si>
  <si>
    <t>GEODRAW Wojciech Musz</t>
  </si>
  <si>
    <t>Geodeta, praca w biurze</t>
  </si>
  <si>
    <t>RPd057|311104</t>
  </si>
  <si>
    <t>Asystent/ka Działu Handlowego</t>
  </si>
  <si>
    <t>Elektro- STYL ERREKA POLSKA</t>
  </si>
  <si>
    <t>Pracownik biurowy - Asystent działu handlowego</t>
  </si>
  <si>
    <t>Specjalista ds. systemów informatycznych</t>
  </si>
  <si>
    <t>Leroy Merlin Polska Sp.z o.o.</t>
  </si>
  <si>
    <t>Logistyk - Magazynier</t>
  </si>
  <si>
    <t>Mistrz Produkcji / Supervisor</t>
  </si>
  <si>
    <t>Pratt &amp; Whitney AeroPower Rzeszów</t>
  </si>
  <si>
    <t>Operator Automatycznej Linii Mycia</t>
  </si>
  <si>
    <t>Technik mechanik maszyn i urz±dzeń</t>
  </si>
  <si>
    <t>RPd057|311508</t>
  </si>
  <si>
    <t>Operator Tłoczni</t>
  </si>
  <si>
    <t>Mobilny Technik Serwisu CNC - maszyny do drewna</t>
  </si>
  <si>
    <t>Test Automator</t>
  </si>
  <si>
    <t>Solid MCG Sp. z o.o.</t>
  </si>
  <si>
    <t>Konwojent</t>
  </si>
  <si>
    <t>RPd057|541315</t>
  </si>
  <si>
    <t>AKME MEDICA Sp. z o.o. Sp.k.</t>
  </si>
  <si>
    <t>Konsultant ds.sprzedaży</t>
  </si>
  <si>
    <t>RPd057|321403</t>
  </si>
  <si>
    <t>Paretti Agencja Doradztwa Personalnego</t>
  </si>
  <si>
    <t>Mechanik samochodowy</t>
  </si>
  <si>
    <t>Holandia, podkarpackie, Holandia</t>
  </si>
  <si>
    <t>Operator Hamowni</t>
  </si>
  <si>
    <t>EXLIBRA SPÓŁKA Z OGRANICZONˇ ODPOWIEDZIALNO¦CIˇ</t>
  </si>
  <si>
    <t>Specjalista ds. Wsparcia Sprzedaży</t>
  </si>
  <si>
    <t>Starszy referent</t>
  </si>
  <si>
    <t>Manager działu spedycji</t>
  </si>
  <si>
    <t>PEKAES</t>
  </si>
  <si>
    <t>Specjalista ds. Dystrybucji</t>
  </si>
  <si>
    <t>PEKAES Sp. z o.o.</t>
  </si>
  <si>
    <t>Kierownik Zmiany Produkcji</t>
  </si>
  <si>
    <t>RPd057|314416</t>
  </si>
  <si>
    <t xml:space="preserve"> </t>
  </si>
  <si>
    <t>Powiatowy Inspektorat Weterynarii w Tarnobrzegu</t>
  </si>
  <si>
    <t>Technik weterynarii*</t>
  </si>
  <si>
    <t>RPd057|324002</t>
  </si>
  <si>
    <t>ISP Polska Sp. z o.o.</t>
  </si>
  <si>
    <t>Programista PLC - Automatyk</t>
  </si>
  <si>
    <t>Technolog  programista obrabiarek</t>
  </si>
  <si>
    <t>Wobi-Stal Sp. z o.o.</t>
  </si>
  <si>
    <t>Technolog - Programista CNC</t>
  </si>
  <si>
    <t>Technolog - Programista maszyn CNC</t>
  </si>
  <si>
    <t>Młodszy Specjalista ds. Obsługi Klienta (Zespół Infolinii)</t>
  </si>
  <si>
    <t>RPd057|524404</t>
  </si>
  <si>
    <t>O-I PRODUKCJA POLSKA S.A.</t>
  </si>
  <si>
    <t>Topiarz</t>
  </si>
  <si>
    <t>RPd057|818124</t>
  </si>
  <si>
    <t>Referent</t>
  </si>
  <si>
    <t>RPd057|335203</t>
  </si>
  <si>
    <t>Trener Wewnętrzny</t>
  </si>
  <si>
    <t>Talenthouse HR Advisory</t>
  </si>
  <si>
    <t>Specjalista ds. Zaopatrzenia - Kupiec</t>
  </si>
  <si>
    <t>Oferty pominięte - praca za granicą</t>
  </si>
  <si>
    <t>Absolwenci z językiem niemieckim</t>
  </si>
  <si>
    <t>MED&amp;CARE</t>
  </si>
  <si>
    <t>Precision Machine Parts Poland Sp z o.o</t>
  </si>
  <si>
    <t>Frezer / Operator maszyn CNC</t>
  </si>
  <si>
    <t>HW Design Engineer</t>
  </si>
  <si>
    <t>Starhus Sp. z o.o.</t>
  </si>
  <si>
    <t>Kierownik budowy żelbetowej</t>
  </si>
  <si>
    <t>AXA POLSKA S.A.</t>
  </si>
  <si>
    <t>Kierownik Ubezpieczeń Grupowych</t>
  </si>
  <si>
    <t>Monter wentylacji ? Austria</t>
  </si>
  <si>
    <t>Polska, podkarpackie, Górna Austria</t>
  </si>
  <si>
    <t>Murarz ? Austria</t>
  </si>
  <si>
    <t>Polska, podkarpackie, Haag am Hausruck</t>
  </si>
  <si>
    <t>profi-con GmbH</t>
  </si>
  <si>
    <t>Personel sprz±taj±cy pomieszczenia o podwyższonych klasach czysto¶ci</t>
  </si>
  <si>
    <t>Polska, podkarpackie, Frankfurt</t>
  </si>
  <si>
    <t>Płatne Praktyki w Działach Wsparcia</t>
  </si>
  <si>
    <t>Pracownik działu kadr ze znajomo¶ci± języka niemieckiego</t>
  </si>
  <si>
    <t>Pracownik fermy drobiu (praca dla par)</t>
  </si>
  <si>
    <t>Polska, podkarpackie, okolice Braunschweig</t>
  </si>
  <si>
    <t>FABRYKI MEBLI "FORTE" S.A.</t>
  </si>
  <si>
    <t>Pracownik Magazynowy - Kierowca Wózka Widłowego</t>
  </si>
  <si>
    <t>Fabryki Mebli "FORTE"SA</t>
  </si>
  <si>
    <t>Pracownik magazynowy - kierowca wózka widłowego</t>
  </si>
  <si>
    <t>Gillette</t>
  </si>
  <si>
    <t>Polska, podkarpackie, ŁódĽ</t>
  </si>
  <si>
    <t>Europejska Agencja Współpracy Międzynarodowej</t>
  </si>
  <si>
    <t>Rekruter - pracownik działu HR</t>
  </si>
  <si>
    <t>HSK LEDY Spółka z ograniczon± odpowiedzialno¶ci± sp.k.</t>
  </si>
  <si>
    <t>Samodzielny Handlowiec</t>
  </si>
  <si>
    <t>STRABAG Sp. z o. o.</t>
  </si>
  <si>
    <t>Sekretarka Biura Budowy (m/k)</t>
  </si>
  <si>
    <t>Zeitmann</t>
  </si>
  <si>
    <t>Polska, podkarpackie, Kiel</t>
  </si>
  <si>
    <t>Big Dutchman Polska Sp. z o.o</t>
  </si>
  <si>
    <t>Sprzedawca sprzętu dla drobiu</t>
  </si>
  <si>
    <t>Firma ASW-TECHNIK Sp. z o.o.</t>
  </si>
  <si>
    <t>SZLIFIERZ/OCZYSZCZACZ ODLEWÓW (żeliwnych i staliwnych)</t>
  </si>
  <si>
    <t>Polska, podkarpackie, Tarnowiec</t>
  </si>
  <si>
    <t>KOPRA Sp. z o.o.</t>
  </si>
  <si>
    <t>Technik ds. Systemów Master Key (systemów mechanicznej i elektronicznej kontroli dostępu do pomieszczeń)</t>
  </si>
  <si>
    <t>Stowarzyszenie WIOSNA</t>
  </si>
  <si>
    <t>Wolontariusz Akademii Przyszło¶ci</t>
  </si>
  <si>
    <t>Wolontariusz Szlachetnej Paczki</t>
  </si>
  <si>
    <t>720 rekordów</t>
  </si>
  <si>
    <t>Doradca Biznesowy</t>
  </si>
  <si>
    <t>30.04.2018</t>
  </si>
  <si>
    <t>08.05.2018</t>
  </si>
  <si>
    <t>Obsługa mieszalnika tynków w markecie budowlanym - Mielec</t>
  </si>
  <si>
    <t>Hartowacz betonów i sylikatów</t>
  </si>
  <si>
    <t>Obsługa mieszalnika tynków w markecie budowlanym - Rzeszów Krasne</t>
  </si>
  <si>
    <t>Operator urz±dzeń wytwórczych mieszanek betonowych</t>
  </si>
  <si>
    <t>BSH Sprzęt Gospodarstwa Domowego Sp. z o.o</t>
  </si>
  <si>
    <t>Local Information Security Officer</t>
  </si>
  <si>
    <t>Bujakowski Sp. z o.o.</t>
  </si>
  <si>
    <t>ELRES Sp. z o. o.</t>
  </si>
  <si>
    <t>elektromonter</t>
  </si>
  <si>
    <t>Elektromonter linii kablowych</t>
  </si>
  <si>
    <t>Komisjoner  bez znajomo¶ci j.niemieckiego</t>
  </si>
  <si>
    <t>Polska, podkarpackie, Monachium</t>
  </si>
  <si>
    <t>Specjalista ds. Obsługi Projektów Forum Seating  z Językiem Niemieckim</t>
  </si>
  <si>
    <t>Customer Support Specialist</t>
  </si>
  <si>
    <t>Specjalista ds. Celnych</t>
  </si>
  <si>
    <t>Funkcjonariusz celny</t>
  </si>
  <si>
    <t>Specjalista ds. fakturowania</t>
  </si>
  <si>
    <t>Technical Training Coordinator</t>
  </si>
  <si>
    <t>Komenda Wojewódzka Policji w Rzeszowie</t>
  </si>
  <si>
    <t>Specjalista</t>
  </si>
  <si>
    <t>Technik ekonomista*</t>
  </si>
  <si>
    <t>LINDE Material Handling Polska Sp. z o.o.</t>
  </si>
  <si>
    <t>Kierownik programu w Dziale Zakupów</t>
  </si>
  <si>
    <t>09.05.2018</t>
  </si>
  <si>
    <t>MPC Services GmbH</t>
  </si>
  <si>
    <t>Kontroler jako¶ci MT1 MT2  do pracy w kuĽni</t>
  </si>
  <si>
    <t>Open Finance S.A.</t>
  </si>
  <si>
    <t>Dyrektor Regionalny ds. Rozwoju Sieci Franczyzowej</t>
  </si>
  <si>
    <t>PANMAR Czekańska Szmyd Spółka Jawna</t>
  </si>
  <si>
    <t>Projektant wyrobów z drewna</t>
  </si>
  <si>
    <t>Technik technologii drewna*</t>
  </si>
  <si>
    <t>Monter okien</t>
  </si>
  <si>
    <t>Monter / składacz okien</t>
  </si>
  <si>
    <t>Remet S.A.</t>
  </si>
  <si>
    <t>Kierownik sekcji technologicznej</t>
  </si>
  <si>
    <t>RW Partner Sp. z o.o.</t>
  </si>
  <si>
    <t>Partner Biznesowy ds. sprzedaży energii elektrycznej</t>
  </si>
  <si>
    <t>Operator linii montażowej (m/k)</t>
  </si>
  <si>
    <t>Adamed Sp. z o.o.</t>
  </si>
  <si>
    <t>25.04.2018</t>
  </si>
  <si>
    <t>Inżynier utrzymania ruchu - branża budowlana</t>
  </si>
  <si>
    <t>Specjalista ds. sprzedaży produktów kredytowych - Centrum Gotówkowe (kanał po¶rednicy)</t>
  </si>
  <si>
    <t>Automatyk - Programista PLC</t>
  </si>
  <si>
    <t>Kierownik Grupy</t>
  </si>
  <si>
    <t>Pozostali kierownicy instytucji finansowych i ubezpieczeniowych</t>
  </si>
  <si>
    <t>BAAS-PANEL</t>
  </si>
  <si>
    <t>Przedstawiciel handlowy / Pracownik działu handlowego</t>
  </si>
  <si>
    <t>Balex Metal Sp. z o.o.</t>
  </si>
  <si>
    <t>Kierownik Sprzedaży Projektowej</t>
  </si>
  <si>
    <t>Inżynier budownictwa - budowle i drogi wodne</t>
  </si>
  <si>
    <t>Bank Pekao SA</t>
  </si>
  <si>
    <t>Polska, podkarpackie, SdS_2018 Strzyżów</t>
  </si>
  <si>
    <t>Technolog Programista  CNC</t>
  </si>
  <si>
    <t>Instruktor Spawalnictwa</t>
  </si>
  <si>
    <t>Inżynier spawalnik</t>
  </si>
  <si>
    <t>Młodszy specjalista ds. administracyjno- prawnych</t>
  </si>
  <si>
    <t>BUDIMEX S.A.</t>
  </si>
  <si>
    <t>Młodszy specjalista ds administracyjno- prawnych</t>
  </si>
  <si>
    <t>Concise Software Sp. z o.o.</t>
  </si>
  <si>
    <t>Specjalista ds. sprzedaży B2B z j. angielskim</t>
  </si>
  <si>
    <t>Devire Sp. z o.o</t>
  </si>
  <si>
    <t>Senior PHP Developer</t>
  </si>
  <si>
    <t>eService Sp. z o.o.</t>
  </si>
  <si>
    <t>Doradca biznesowy</t>
  </si>
  <si>
    <t>Ekspert Finansowy</t>
  </si>
  <si>
    <t>FERRBUD Sp. z o.o.</t>
  </si>
  <si>
    <t>Firma Handlowa Witospol Wierzchosławice Józef Szwiec</t>
  </si>
  <si>
    <t>Specjalista ds. Logistyki i Zamówień</t>
  </si>
  <si>
    <t>Polska, podkarpackie, Pilzno</t>
  </si>
  <si>
    <t>F.P.H.U. MAXSTONE s.c.</t>
  </si>
  <si>
    <t>Kierownik Produkcji</t>
  </si>
  <si>
    <t>Polska, podkarpackie, Bratkówka (pow. kro¶nieński)</t>
  </si>
  <si>
    <t>Goodyear Dunlop Tires Polska Sp. z o.o.</t>
  </si>
  <si>
    <t>General Accounting Specialist</t>
  </si>
  <si>
    <t>Grupa ERGO Hestia</t>
  </si>
  <si>
    <t>Grupa Progres</t>
  </si>
  <si>
    <t>SAP Functional Specialist</t>
  </si>
  <si>
    <t>HR Navigator</t>
  </si>
  <si>
    <t>Operator urz±dzeń do przetwórstwa surowców gumowych</t>
  </si>
  <si>
    <t>Inter-Team Sp. z o.o.</t>
  </si>
  <si>
    <t>Kierownik Oddziału</t>
  </si>
  <si>
    <t>Kierownik działu w handlu detalicznym</t>
  </si>
  <si>
    <t>KALIA s.c</t>
  </si>
  <si>
    <t>KRONOSPAN</t>
  </si>
  <si>
    <t>Aparatowy kondensacji</t>
  </si>
  <si>
    <t>Aparatowy procesów chemicznych</t>
  </si>
  <si>
    <t>Laborant</t>
  </si>
  <si>
    <t>MiaCalnea</t>
  </si>
  <si>
    <t>Polska, podkarpackie, Malinie (pow. mielecki)</t>
  </si>
  <si>
    <t>Specjalista ds. finansowo-ekonomicznych</t>
  </si>
  <si>
    <t>Doradca Klienta RTV/AGD/IT</t>
  </si>
  <si>
    <t>New Yorker</t>
  </si>
  <si>
    <t>Opiekun Techniczny Sklepów</t>
  </si>
  <si>
    <t>C++ Developer</t>
  </si>
  <si>
    <t>C++ DSP Embedded Engineer</t>
  </si>
  <si>
    <t>C Embedded Software Engineer</t>
  </si>
  <si>
    <t>Customer Documentation DevOps and Automation Specialist</t>
  </si>
  <si>
    <t>Line Manager (Research &amp; Development)</t>
  </si>
  <si>
    <t>Python Developer</t>
  </si>
  <si>
    <t>Senior C++ Engineer</t>
  </si>
  <si>
    <t>Senior Integration and Testing Engineer</t>
  </si>
  <si>
    <t>Senior Test Automation Engineer</t>
  </si>
  <si>
    <t>Test Automation Engineer</t>
  </si>
  <si>
    <t>NOVOMATIC Technologies Poland</t>
  </si>
  <si>
    <t>Administrator Systemów Informatycznych ze specjalizacj± Linux</t>
  </si>
  <si>
    <t>Polska, podkarpackie, Zabierzów</t>
  </si>
  <si>
    <t>Geeky Linux Engineer</t>
  </si>
  <si>
    <t>Mistrz warsztatu samochowego</t>
  </si>
  <si>
    <t>Mechanik pojazdów samochodowych*</t>
  </si>
  <si>
    <t>Specjalista ds. Automatyzacji Testów Oprogramowania</t>
  </si>
  <si>
    <t>Tester oprogramowania komputerowego</t>
  </si>
  <si>
    <t>POLSKIE ePŁATNO¦CI S.A.</t>
  </si>
  <si>
    <t>Key Account Manager ? branża e-commerce / fintech</t>
  </si>
  <si>
    <t>Primetals Technologies Poland Sp. z o. o.</t>
  </si>
  <si>
    <t>Software Developer</t>
  </si>
  <si>
    <t>Młodszy Manager Kontraktów z jęz. angielskim</t>
  </si>
  <si>
    <t>Promega GmbH</t>
  </si>
  <si>
    <t>Przedstawiciel handlowy w zakresie doradztwa i sprzedaży</t>
  </si>
  <si>
    <t>Doradca Klienta ds. Małych Przedsiębiorstw</t>
  </si>
  <si>
    <t>Księgowa/y do biura rachunkowego</t>
  </si>
  <si>
    <t>Sobiesław Zasada Automotive Spółka z ograniczon± odpowiedzialno¶ci± Sp. k.</t>
  </si>
  <si>
    <t>Doradca Handlowy Samochodów Dostawczych Junior</t>
  </si>
  <si>
    <t>Senior .NET Developer</t>
  </si>
  <si>
    <t>UI-UX Developer</t>
  </si>
  <si>
    <t>Referent ds. Obsługi Klienta (Zespół Reklamacji)</t>
  </si>
  <si>
    <t>ZF Group</t>
  </si>
  <si>
    <t>Specjalista Microsoft Windows Server/SCCM</t>
  </si>
  <si>
    <t>Polska, podkarpackie, Częstochowa</t>
  </si>
  <si>
    <t>OPIEKUNKA / OPIEKUN OSÓB STARSZYCH W NIEMCZECH MAMY TEŻ WYJAZDY BEZ JĘZYKA NIEMIECKIEGO   Zarabiaj do 1500 EURO plus PREMIE</t>
  </si>
  <si>
    <t>23.04.2018</t>
  </si>
  <si>
    <t>Inżynier ds. Nowych Procesów Produkcyjnych</t>
  </si>
  <si>
    <t>INTERIMAX International Sp. z o.o. S.K.A.</t>
  </si>
  <si>
    <t>Dekarz</t>
  </si>
  <si>
    <t>Dekarz*</t>
  </si>
  <si>
    <t>Francja, podkarpackie, Francja</t>
  </si>
  <si>
    <t>Lobo sp. z o.o. sp.k.</t>
  </si>
  <si>
    <t>Spedytor Międzynarodowy / Koordynator spedycji</t>
  </si>
  <si>
    <t>TUI Group</t>
  </si>
  <si>
    <t>Specjalista ds. Turystyki</t>
  </si>
  <si>
    <t>Technik obsługi turystycznej*</t>
  </si>
  <si>
    <t>18.04.2018</t>
  </si>
  <si>
    <t>20.04.2018</t>
  </si>
  <si>
    <t>Montażysta</t>
  </si>
  <si>
    <t>Operator defektoskopu magnetycznego z uprawnieniami MT2</t>
  </si>
  <si>
    <t>Operator badań defektoskopowych</t>
  </si>
  <si>
    <t>Bank BGŻ BNP Paribas</t>
  </si>
  <si>
    <t>BMM Sp. z o.o.</t>
  </si>
  <si>
    <t>Asystent dyrektora ds. koordynacji projektów w ochronie zdrowia</t>
  </si>
  <si>
    <t>Specjalista organizacji i zarz±dzania w ochronie zdrowia</t>
  </si>
  <si>
    <t>Project Manager ? sektor ochrony zdrowia</t>
  </si>
  <si>
    <t>Operator robotów spawalniczych</t>
  </si>
  <si>
    <t>CEE Experts Uszyński Sp. j.</t>
  </si>
  <si>
    <t>Senior Systems Administrator</t>
  </si>
  <si>
    <t>Deutsche Bank Polska S.A.</t>
  </si>
  <si>
    <t>Mobilny Specjalista ds. Produktów Kredytowych</t>
  </si>
  <si>
    <t>Pracownik do spraw kredytów</t>
  </si>
  <si>
    <t>Dobrowolscy Sp.zo.o.</t>
  </si>
  <si>
    <t>różne</t>
  </si>
  <si>
    <t>Polska, podkarpackie, Wadowice</t>
  </si>
  <si>
    <t>EPCM Executive Search</t>
  </si>
  <si>
    <t>Kierownik Robót Sanitarnych</t>
  </si>
  <si>
    <t>Inspektor sanitarny</t>
  </si>
  <si>
    <t>GEO Sp. z o.o.</t>
  </si>
  <si>
    <t>Goldman Recruitment</t>
  </si>
  <si>
    <t>Młodszy Specjalista ds. Zarz±dzania Dokumentami Technicznymi</t>
  </si>
  <si>
    <t>Specjalista informacji naukowej, technicznej i ekonomicznej</t>
  </si>
  <si>
    <t>Starszy Referent ds. Normalizacji</t>
  </si>
  <si>
    <t>Kierownik Wydziału Blacharni</t>
  </si>
  <si>
    <t>Inżynier ds. narzędzi</t>
  </si>
  <si>
    <t>Inżynier normowania pracy</t>
  </si>
  <si>
    <t>Polska, podkarpackie, Okolice Rzeszowa</t>
  </si>
  <si>
    <t>Idea Bank SA</t>
  </si>
  <si>
    <t>Nauczyciel przedszkole</t>
  </si>
  <si>
    <t>Nauczyciel przedszkola</t>
  </si>
  <si>
    <t>Asystent Projektanta Linii Elektroenergetycznych WN</t>
  </si>
  <si>
    <t>Inżynier elektroenergetyk</t>
  </si>
  <si>
    <t>Szlifierz</t>
  </si>
  <si>
    <t>Tokarz</t>
  </si>
  <si>
    <t>Tokarz w metalu</t>
  </si>
  <si>
    <t>Kronospan Mielec Sp. zo. o.</t>
  </si>
  <si>
    <t>Maszynista/Ustawiacz, Operaor rębaka</t>
  </si>
  <si>
    <t>Lidl Polska Sp. z o.o.</t>
  </si>
  <si>
    <t>Pracownik prac dorywczych</t>
  </si>
  <si>
    <t>24.04.2018</t>
  </si>
  <si>
    <t>Zastępca Managera Sklepu</t>
  </si>
  <si>
    <t>Lobo</t>
  </si>
  <si>
    <t>Customer Service Advisor with German or French</t>
  </si>
  <si>
    <t>Specjalista ds. Wsparcia Klienta ze znajomo¶ci± języka francuskiego</t>
  </si>
  <si>
    <t>Makarony Polskie SA</t>
  </si>
  <si>
    <t>Pracownik produkcji, Elektromechanik</t>
  </si>
  <si>
    <t>Pracownik Produkcji - Montażysta - Pracownik Działu Produkcji</t>
  </si>
  <si>
    <t>Monter urz±dzeń energetyki odnawialnej</t>
  </si>
  <si>
    <t>MOUNTAIN WAREHOUSE Polska Sp. z o.o.</t>
  </si>
  <si>
    <t>Architekt aplikacji</t>
  </si>
  <si>
    <t>Ekspert ds. sprzedaży ubezpieczeń grupowych</t>
  </si>
  <si>
    <t>Specjalista do spraw ubezpieczeń społecznych</t>
  </si>
  <si>
    <t>Specjalista ds. sprzedaży do biznesu</t>
  </si>
  <si>
    <t>5G RAN Architecture and Specification Specialist</t>
  </si>
  <si>
    <t>Cloud Based Application Developer</t>
  </si>
  <si>
    <t>Senior 5G RAN Architecture and Specification Specialist</t>
  </si>
  <si>
    <t>Nuctech Warsaw Company Limited Sp. z o.o.</t>
  </si>
  <si>
    <t>Kierownik Projektu</t>
  </si>
  <si>
    <t>PBI SPRZĘT SP Z O O</t>
  </si>
  <si>
    <t>Laborant drogowy</t>
  </si>
  <si>
    <t>Laborant budowlany</t>
  </si>
  <si>
    <t>Polska, podkarpackie, Oleszyce</t>
  </si>
  <si>
    <t>PKP Telkol Sp. z o.o.</t>
  </si>
  <si>
    <t>Specjalista ds. Utrzymania Infrastruktury - monter sieci kablowych</t>
  </si>
  <si>
    <t>PRO FUND SP Z O O SPÓŁKA KOMANDYTOWA</t>
  </si>
  <si>
    <t>Kierownik Magazynu Materiałów Produkcyjnych</t>
  </si>
  <si>
    <t>Reed Global</t>
  </si>
  <si>
    <t>Roxart agencja reklamowa</t>
  </si>
  <si>
    <t>Doradca Handlowy Samochodów Dostawczych</t>
  </si>
  <si>
    <t>Główny Księgowy/Główna Księgowa</t>
  </si>
  <si>
    <t>Sprzedawca stoiska mięsnego</t>
  </si>
  <si>
    <t>Sprzedawca w branży spożywczej</t>
  </si>
  <si>
    <t>Studio Gambit Sp z o. o.</t>
  </si>
  <si>
    <t>Specjalista ds. zarz±dzania zasobami językowymi</t>
  </si>
  <si>
    <t>Polska, podkarpackie, Tarnobrzeg, Rzeszów, Przemy¶l, Krosno, Sanok</t>
  </si>
  <si>
    <t>Operator suwnic (suwnicowy)</t>
  </si>
  <si>
    <t>27.04.2018</t>
  </si>
  <si>
    <t>UNIWHEELS</t>
  </si>
  <si>
    <t>Program Praktyk i Staży Absolwenckich</t>
  </si>
  <si>
    <t>Pozostali inżynierowie górnictwa i metalurgii</t>
  </si>
  <si>
    <t>UPC Polska</t>
  </si>
  <si>
    <t>Młodszy Przedstawiciel ds. Obsługi Klientów i Sprzedaży</t>
  </si>
  <si>
    <t>Valeant Pharma Poland sp. z o.o.</t>
  </si>
  <si>
    <t>Specjalista ds. Płac i ZUS</t>
  </si>
  <si>
    <t>VERASHAPE</t>
  </si>
  <si>
    <t>VSHAPER</t>
  </si>
  <si>
    <t>Doradca Premium</t>
  </si>
  <si>
    <t>16.04.2018</t>
  </si>
  <si>
    <t>Polska, podkarpackie, Partynia (pow. mielecki)</t>
  </si>
  <si>
    <t>HALVA</t>
  </si>
  <si>
    <t>Regionalny Dystrybutor</t>
  </si>
  <si>
    <t>Południowa Grupa Handlowa Joanna Wilk-K±kol</t>
  </si>
  <si>
    <t>Doradca Techniczno-Handlowy w asortymencie obróbki skrawaniem</t>
  </si>
  <si>
    <t>Specjalista ds. Kadr i Płac  z elementami księgowo¶ci</t>
  </si>
  <si>
    <t>11.04.2018</t>
  </si>
  <si>
    <t>19.04.2018</t>
  </si>
  <si>
    <t>APIS POLSKA Sp. z o.o.</t>
  </si>
  <si>
    <t>Specjalista ds. IT</t>
  </si>
  <si>
    <t>Tester systemów teleinformatycznych</t>
  </si>
  <si>
    <t>Operator maszyn  i urz±dzeń</t>
  </si>
  <si>
    <t>Pracownik Obwodu Utrzymania Autostrady</t>
  </si>
  <si>
    <t>Pomocniczy robotnik konserwacji terenów zieleni</t>
  </si>
  <si>
    <t>Baustoff- Euro-Trade GmbH</t>
  </si>
  <si>
    <t>Specjalista ds. SEO</t>
  </si>
  <si>
    <t>Pracownik pozycjonowania stron internetowych</t>
  </si>
  <si>
    <t>SPECJALISTA DS. BHP - INSPEKTOR PPOŻ</t>
  </si>
  <si>
    <t>Application Design Engineer</t>
  </si>
  <si>
    <t>Design Engineer</t>
  </si>
  <si>
    <t>¦lusarz- operator maszyn CNC</t>
  </si>
  <si>
    <t>Technolog Optymalizacji Procesów Produkcyjnych</t>
  </si>
  <si>
    <t>Zastępca Głównego Księgowego z językiem angielskim</t>
  </si>
  <si>
    <t>Concordia Polska</t>
  </si>
  <si>
    <t>Menadżer Wsparcia Sprzedaży ds. współpracy z Brokerami</t>
  </si>
  <si>
    <t>COSTA COFFEE POLSKA SA</t>
  </si>
  <si>
    <t>Barista Costa Coffee</t>
  </si>
  <si>
    <t>Barista</t>
  </si>
  <si>
    <t>EIB SA</t>
  </si>
  <si>
    <t>Ensila Group</t>
  </si>
  <si>
    <t>Betoniarz - kosmetolog</t>
  </si>
  <si>
    <t>Betoniarz</t>
  </si>
  <si>
    <t>Polska, podkarpackie, Rzeszów, Krosno, Jasło</t>
  </si>
  <si>
    <t>EPLATFORMY.PL Sp. z o.o</t>
  </si>
  <si>
    <t>Eurodisplay Polska Sp. z o.o</t>
  </si>
  <si>
    <t>Fenix Metals Sp. z o.o.</t>
  </si>
  <si>
    <t>Pracownik Działu IT</t>
  </si>
  <si>
    <t>GLF POLSKA MIELEC SP Z O O</t>
  </si>
  <si>
    <t>Główny księgowy / Główna księgowa</t>
  </si>
  <si>
    <t>Młodszy księgowy AP/AR niemiecki /francuski</t>
  </si>
  <si>
    <t>Production Support Engineer</t>
  </si>
  <si>
    <t>Propulsion Engineer</t>
  </si>
  <si>
    <t>Special Process Engineer</t>
  </si>
  <si>
    <t>Test Cell Engineer</t>
  </si>
  <si>
    <t>Helios S.A. RZESZÓW</t>
  </si>
  <si>
    <t>Optyk-mechanik*</t>
  </si>
  <si>
    <t>HOTEL ARŁAMÓW S.A.</t>
  </si>
  <si>
    <t>Kierownik Strefy SPA</t>
  </si>
  <si>
    <t>Kierownik działu w hotelu</t>
  </si>
  <si>
    <t>Polska, podkarpackie, Arłamów (pow. bieszczadzki; gm. Ustrzyki Dolne)</t>
  </si>
  <si>
    <t>Doradca Klienta Korporacyjnego</t>
  </si>
  <si>
    <t>Kasa Stefczyka</t>
  </si>
  <si>
    <t>Specjalista ds. finansowych</t>
  </si>
  <si>
    <t>Analityk Merchandisingu</t>
  </si>
  <si>
    <t>Projektant ekspozycji towarów i usług (visual merchandiser)</t>
  </si>
  <si>
    <t>Kierownik Wydziału  Produkcyjnego</t>
  </si>
  <si>
    <t>Specjalista ds. transportu drewna</t>
  </si>
  <si>
    <t>LERG S.A.</t>
  </si>
  <si>
    <t>Specjalista ds. remontów</t>
  </si>
  <si>
    <t>Madej Wróbel Sp. z o.o.</t>
  </si>
  <si>
    <t>Regionalny Kierownik ds. Sklepów Detalicznych</t>
  </si>
  <si>
    <t>Meble.pl S.A.</t>
  </si>
  <si>
    <t>PtP Accountant With German/italian/spanish/czech (M/f)</t>
  </si>
  <si>
    <t>Millennium Leasing Sp. z o. o.</t>
  </si>
  <si>
    <t>Doradca Leasingowy - Reprezentant</t>
  </si>
  <si>
    <t>Technology Engineering Development Program</t>
  </si>
  <si>
    <t>NZOZ Dentech Centrum Stomatologii</t>
  </si>
  <si>
    <t>Koordynator Rejestracji Centrum Stomatologii</t>
  </si>
  <si>
    <t>Kierownik podmiotu leczniczego</t>
  </si>
  <si>
    <t>Export Specialist ? APAC Region</t>
  </si>
  <si>
    <t>OLX Group</t>
  </si>
  <si>
    <t>Specjalista ds. Sprzedaży Regionalnej</t>
  </si>
  <si>
    <t>ONDULINE POLSKA Sp. z o.o.</t>
  </si>
  <si>
    <t>Specjalista d.s. Systemów i Integracji Danych</t>
  </si>
  <si>
    <t>Specjalista ds. obsługi klienta - Serwisant w Dziale Kas Fiskalnych</t>
  </si>
  <si>
    <t>PB 8 SPÓŁKA Z OGRANICZONˇ ODPOWIEDZIALNO¦CIˇ</t>
  </si>
  <si>
    <t>Specjalista ds. sprzedaży eksportowej</t>
  </si>
  <si>
    <t>PCMI Sp. z o.o.</t>
  </si>
  <si>
    <t>Developer ASP.Net</t>
  </si>
  <si>
    <t>.NET - Tech Lead</t>
  </si>
  <si>
    <t>Specjalistka/-ta ds. HR</t>
  </si>
  <si>
    <t>Inżynier linii</t>
  </si>
  <si>
    <t>Poland Optical</t>
  </si>
  <si>
    <t>Serwisant urz±dzeń medycznych</t>
  </si>
  <si>
    <t>Polskie Doradztwo Energetyczne Sp. z o.o.</t>
  </si>
  <si>
    <t>Manager Regionu</t>
  </si>
  <si>
    <t>Polskie Zakłady Lotnicze ? A Sikorsky Company</t>
  </si>
  <si>
    <t>P.P.H. BarwaSam s.c.</t>
  </si>
  <si>
    <t>Dystrybutor</t>
  </si>
  <si>
    <t>P.P.H.U. "DUET" Alicja Więcek</t>
  </si>
  <si>
    <t>Specjalista ds. Marketingu z językiem francuskim</t>
  </si>
  <si>
    <t>ROUX CENTER SPÓŁKA Z OGRANICZONˇ ODPOWIEDZIALNO¦CIˇ SPÓŁKA KOMANDYTOWA</t>
  </si>
  <si>
    <t>Projektantów sieci FTTH</t>
  </si>
  <si>
    <t>SB Complex Sp z o.o. , Sp. Komandytowa</t>
  </si>
  <si>
    <t>Księgowa / Księgowy</t>
  </si>
  <si>
    <t>Sodexo Polska</t>
  </si>
  <si>
    <t>Serwisant Urz±dzeń DĽwigowych</t>
  </si>
  <si>
    <t>SOKOŁÓW S. A.</t>
  </si>
  <si>
    <t>10.05.2018</t>
  </si>
  <si>
    <t>Księgowa / Księgowy - Zespół KPIR</t>
  </si>
  <si>
    <t>Automatyk - Programista PLC - Robotyk</t>
  </si>
  <si>
    <t>Programista CAM</t>
  </si>
  <si>
    <t>UNISERV Jarosław  Sp. z o.o.</t>
  </si>
  <si>
    <t>Samodzielny Księgowy/Samodzielna Księgowa</t>
  </si>
  <si>
    <t>Valeo Lighting Systems</t>
  </si>
  <si>
    <t>Project Quality Engineer</t>
  </si>
  <si>
    <t>09.04.2018</t>
  </si>
  <si>
    <t>Kierownik Obiektu</t>
  </si>
  <si>
    <t>Doradca Firmy w Oddziale Banku</t>
  </si>
  <si>
    <t>Benefit Systems  S.A.</t>
  </si>
  <si>
    <t>Kierownik Zespołu Telesprzedaży</t>
  </si>
  <si>
    <t>B&amp;R Automatyka Przemysłowa</t>
  </si>
  <si>
    <t>Inżyniera Wsparcia Technicznego</t>
  </si>
  <si>
    <t>Brammer</t>
  </si>
  <si>
    <t>Specjalista ds. zakupów produktów technicznych</t>
  </si>
  <si>
    <t>BROWIN</t>
  </si>
  <si>
    <t>Budokop Wojciech Sukow</t>
  </si>
  <si>
    <t>Kierownik robót geotechnicznych</t>
  </si>
  <si>
    <t>Inżynier geotechnik</t>
  </si>
  <si>
    <t>CELIKO S.A.</t>
  </si>
  <si>
    <t>Doradca ds. Sprzedaży Ubezpieczeń</t>
  </si>
  <si>
    <t>Elektroskandia Polska Sp. z o.o.</t>
  </si>
  <si>
    <t>Przedstawiciel Handlowy - rynek przemysłu</t>
  </si>
  <si>
    <t>eSmokingWorld (CHIC spółka z ograniczon± odpowiedzialno¶ci± spółka komandytowa)</t>
  </si>
  <si>
    <t>Euro Bank S.A.</t>
  </si>
  <si>
    <t>Polska, podkarpackie, Jarosław, Krosno</t>
  </si>
  <si>
    <t>Analityk - Kontroler</t>
  </si>
  <si>
    <t>FinFactoria Sp. z o.o. spółka komandytowa</t>
  </si>
  <si>
    <t>Expert ds. produktów finansowych</t>
  </si>
  <si>
    <t>Firma Budowlana PLEB-BUD</t>
  </si>
  <si>
    <t>pracownik budowlany</t>
  </si>
  <si>
    <t>Polska, podkarpackie, Radomy¶l Wielki</t>
  </si>
  <si>
    <t>Asystent protetyka słuchu - sprzedawca</t>
  </si>
  <si>
    <t>Kierownik oddziału</t>
  </si>
  <si>
    <t>Gerda Broker Sp. z o.o.</t>
  </si>
  <si>
    <t>Broker Klienta Zamożnego</t>
  </si>
  <si>
    <t>Młodszy Doradca Klienta</t>
  </si>
  <si>
    <t>Audytor jako¶ci (EME AERO)</t>
  </si>
  <si>
    <t>Certyfing Staff - EME Aero</t>
  </si>
  <si>
    <t>Koordynator/Kierownik Magazynu</t>
  </si>
  <si>
    <t>Production Planner with SAP - EME Aero</t>
  </si>
  <si>
    <t>Software Developer (PHP)</t>
  </si>
  <si>
    <t>Headhunters Sp. z o.o.</t>
  </si>
  <si>
    <t>Kucharz / Chef de Partie</t>
  </si>
  <si>
    <t>Polska, podkarpackie, okolice Göteborga</t>
  </si>
  <si>
    <t>Lider warsztatu struktur lotniczych</t>
  </si>
  <si>
    <t>Logistics Specialist</t>
  </si>
  <si>
    <t>Maintenance Engineer</t>
  </si>
  <si>
    <t>11.05.2018</t>
  </si>
  <si>
    <t>Material and Maintenance - Production Planner</t>
  </si>
  <si>
    <t>Praktykant w dziale HR</t>
  </si>
  <si>
    <t>Pozostali pracownicy działów kadr</t>
  </si>
  <si>
    <t>Purchasing Specialist</t>
  </si>
  <si>
    <t>Safety &amp; Quality Specialist</t>
  </si>
  <si>
    <t>Technik dokumentacji lotniczej</t>
  </si>
  <si>
    <t>KSD-Personeelsdiensten</t>
  </si>
  <si>
    <t>Spawacz MIG MAG, TIG</t>
  </si>
  <si>
    <t>Maspex</t>
  </si>
  <si>
    <t>Przedstawiciel handlowy ds. detalu</t>
  </si>
  <si>
    <t>Key Program Manager</t>
  </si>
  <si>
    <t>Specjalista ds. Controlingu</t>
  </si>
  <si>
    <t>Technolog Specjalista</t>
  </si>
  <si>
    <t>Inżynier inżynierii chemicznej</t>
  </si>
  <si>
    <t>Team Leader Visual Design</t>
  </si>
  <si>
    <t>Dysponent ds. contact center</t>
  </si>
  <si>
    <t>Polska, podkarpackie, Baranów Sandomierski</t>
  </si>
  <si>
    <t>Polska, podkarpackie, Hadykówka</t>
  </si>
  <si>
    <t>Polska Spółka Gazownictwa sp. z o.o.</t>
  </si>
  <si>
    <t>Pracownik ds. Technicznych</t>
  </si>
  <si>
    <t>Technik gazownictwa*</t>
  </si>
  <si>
    <t>Specjalista ds. sprzedaży i utrzymania klienta</t>
  </si>
  <si>
    <t>Rabatem.pl</t>
  </si>
  <si>
    <t>Doradca ds. Sprzedaży Faktoringu</t>
  </si>
  <si>
    <t>Mobilny Specjalista ds. Kredytów Hipotecznych</t>
  </si>
  <si>
    <t>samodzielna księgowa</t>
  </si>
  <si>
    <t>RBC BEARINGS POLSKA SP Z O O</t>
  </si>
  <si>
    <t>Operator Obrabiarek Sterowanych Numerycznie</t>
  </si>
  <si>
    <t>Roche Polska Sp. z o.o.</t>
  </si>
  <si>
    <t>Przedstawiciel Medyczny/ Key Customer Manager</t>
  </si>
  <si>
    <t>Dyrektor ds. rozwoju sprzedaży - kanał nowoczesny</t>
  </si>
  <si>
    <t>Specjalista ds. transportu i logistyki</t>
  </si>
  <si>
    <t>Specjalista ds. Szkoleń i Rekrutacji</t>
  </si>
  <si>
    <t>UNIMOT ENERGIA I GAZ Sp. z o.o.</t>
  </si>
  <si>
    <t>Programista Android</t>
  </si>
  <si>
    <t>04.04.2018</t>
  </si>
  <si>
    <t>Mechanik Silników Lotniczych/ Engine Mechanic</t>
  </si>
  <si>
    <t>Operations Manager</t>
  </si>
  <si>
    <t>Projektant stron internetowych (webmaster)</t>
  </si>
  <si>
    <t>Amsterdam Standard Sp. z o.o.</t>
  </si>
  <si>
    <t>Apteka Niezapominajka</t>
  </si>
  <si>
    <t>Samodzielny/a Księgowy/a</t>
  </si>
  <si>
    <t>ASCEND CONSULTING</t>
  </si>
  <si>
    <t>Ekspert ds. pozyskiwania dofinansowania i/lub realizacji projektów dofinansowanych z funduszy UE</t>
  </si>
  <si>
    <t>Specjalista do spraw pozyskiwania funduszy (fundraiser)</t>
  </si>
  <si>
    <t>Audiofon</t>
  </si>
  <si>
    <t>Przedstawiciel Handlowy - artykuły chemiczne i budowlane</t>
  </si>
  <si>
    <t>Sprzedawca - Handlowiec</t>
  </si>
  <si>
    <t>CIS Sp. z o.o.</t>
  </si>
  <si>
    <t>Pracownika ds. zaopatrzenia</t>
  </si>
  <si>
    <t>CityFit Management sp. z o.o.</t>
  </si>
  <si>
    <t>Gym Assistant</t>
  </si>
  <si>
    <t>Instruktor sportów siłowych</t>
  </si>
  <si>
    <t>Coffee Lovers</t>
  </si>
  <si>
    <t>Ambasador Marki ? Reprezentant Handlowy</t>
  </si>
  <si>
    <t>CP Trade Sp. z o.o.</t>
  </si>
  <si>
    <t>Przedstawiciel Techniczno- Handlowy</t>
  </si>
  <si>
    <t>FUNDACJA PRO ARTE ET HISTORIA</t>
  </si>
  <si>
    <t>Dyrektor Zarz±dzaj±cy Zespołem Zamkowo - Parkowym</t>
  </si>
  <si>
    <t>Dyrektor operacyjny</t>
  </si>
  <si>
    <t>Application Engineer</t>
  </si>
  <si>
    <t>Electrical Engineer</t>
  </si>
  <si>
    <t>Polska, podkarpackie, Kraków</t>
  </si>
  <si>
    <t>HRK S.A.</t>
  </si>
  <si>
    <t>Vanseller Przedstawiciel Handlowy</t>
  </si>
  <si>
    <t>ifm electronic sp. z o.o.</t>
  </si>
  <si>
    <t>Inżynier ds. Aplikacji</t>
  </si>
  <si>
    <t>Młodszy specjalista ds. umów i realizacji produkcji</t>
  </si>
  <si>
    <t>JCommerce S.A.</t>
  </si>
  <si>
    <t>Business Analyst</t>
  </si>
  <si>
    <t>Specjalista sprzedaży technologii i usług informatycznych</t>
  </si>
  <si>
    <t>Koltex Recykling s.c.</t>
  </si>
  <si>
    <t>Mechanik maszyn i urz±dzeń produkcyjnych</t>
  </si>
  <si>
    <t>Ekspert ds. sprzedaży produktów kredytowych</t>
  </si>
  <si>
    <t>Menadżer w mKiosku</t>
  </si>
  <si>
    <t>Opiekun klienta w mKiosku</t>
  </si>
  <si>
    <t>Dyrektor Zakładu Produkcyjnego - Produkcja Spożywcza - Napoje</t>
  </si>
  <si>
    <t>R&amp;d Project Manager - Npd - Mechanical &amp; Electrical Devices</t>
  </si>
  <si>
    <t>Kierownik do spraw rozwoju produktu</t>
  </si>
  <si>
    <t>Młodszy Administrator Systemów Linux</t>
  </si>
  <si>
    <t>Full Stack Engineer</t>
  </si>
  <si>
    <t>HW Integration Test Engineer</t>
  </si>
  <si>
    <t>R&amp;D SCM Linux Engineer</t>
  </si>
  <si>
    <t>Release Manager, SCM</t>
  </si>
  <si>
    <t>User Interface Development Lead</t>
  </si>
  <si>
    <t>OMEGA PILZNO</t>
  </si>
  <si>
    <t>Specjalista ds. Online Marketingu</t>
  </si>
  <si>
    <t>Specjalista sprzedaży internetowej</t>
  </si>
  <si>
    <t>OVOO Sp. z o.o.</t>
  </si>
  <si>
    <t>Paweł Szczerbiński Agencja Artystyczna ARENA</t>
  </si>
  <si>
    <t>Specjalista ds. marketingu</t>
  </si>
  <si>
    <t>PGBWiI Hydrotech</t>
  </si>
  <si>
    <t>Projektant konstrukcji maszyn</t>
  </si>
  <si>
    <t>Polski HR A-Trybut</t>
  </si>
  <si>
    <t>Obsługa klienta w sklepie odzieżowym. Stalowa Wola</t>
  </si>
  <si>
    <t>Polski HR A-Tryut</t>
  </si>
  <si>
    <t>Specjalista ds. księgowo¶ci oraz rozliczeń</t>
  </si>
  <si>
    <t>Południowa Grupa Handlowa</t>
  </si>
  <si>
    <t>Dyrektor Administracji</t>
  </si>
  <si>
    <t>Dyrektor do spraw administracyjnych</t>
  </si>
  <si>
    <t>Salesbook Sp. z o.o.</t>
  </si>
  <si>
    <t>Koordynator wydziału</t>
  </si>
  <si>
    <t>Solid Security Sp. z o.o.</t>
  </si>
  <si>
    <t>Asystent Przedstawiciela Handlowego w Dziale Ochrony Fizycznej</t>
  </si>
  <si>
    <t>Przedstawciel Handlowy w Dziale Ochrony Fizycznej</t>
  </si>
  <si>
    <t>SPM POLAND Sp. z o. o.</t>
  </si>
  <si>
    <t>Starszy Specjalista ds. Lean i Optymalizacji Procesu</t>
  </si>
  <si>
    <t>Stal-Systems S.A.</t>
  </si>
  <si>
    <t>Informatyk</t>
  </si>
  <si>
    <t>Polska, podkarpackie, Wólka Pełkińska (pow. jarosławski)</t>
  </si>
  <si>
    <t>Surtex Sp. z o.o.</t>
  </si>
  <si>
    <t>Specjalista ds. Handlowych</t>
  </si>
  <si>
    <t>¦NIEŻKA S.A.</t>
  </si>
  <si>
    <t>Specjalista ds. Klientów Kluczowych</t>
  </si>
  <si>
    <t>Mechanik Utrzymania Ruchu</t>
  </si>
  <si>
    <t>Specjalista SysOps</t>
  </si>
  <si>
    <t>USŁUGI TRANSPORTOWO-ROLNICZE Józef Murias</t>
  </si>
  <si>
    <t>Kierowca ci±gnika rolniczego kat. T</t>
  </si>
  <si>
    <t>Kierowca ci±gnika rolniczego</t>
  </si>
  <si>
    <t>Asystent ds. protetyki słuchu - obsługa pacjenta</t>
  </si>
  <si>
    <t>02.04.2018</t>
  </si>
  <si>
    <t>Alumetal Gorzyce Sp. z o.o.</t>
  </si>
  <si>
    <t>Kierownik Sprzedaży do Klientów Przemysłowych</t>
  </si>
  <si>
    <t>Armatura Kraków ? Zakład Produkcyjny Nisko</t>
  </si>
  <si>
    <t>Menedżer Strumienia Warto¶ci ? produkcja wyrobów z mosi±dzu</t>
  </si>
  <si>
    <t>Młodszy projektant UX/UI w obszarze bankowo¶ci</t>
  </si>
  <si>
    <t>Autorska</t>
  </si>
  <si>
    <t>Księgarz</t>
  </si>
  <si>
    <t>Technik księgarstwa*</t>
  </si>
  <si>
    <t>Doradca bankowo¶ci korporacyjnej</t>
  </si>
  <si>
    <t>BP</t>
  </si>
  <si>
    <t>BUDMAX - Stanisław Musiałek</t>
  </si>
  <si>
    <t>Inspektor nadzoru</t>
  </si>
  <si>
    <t>IT Leader</t>
  </si>
  <si>
    <t>Pomocnik dekarza</t>
  </si>
  <si>
    <t>Stolarz warsztatowy we Francji</t>
  </si>
  <si>
    <t>Kolporter spółka z ograniczon± odpowiedzialno¶ci± spółka komandytowa</t>
  </si>
  <si>
    <t>Partner prowadz±cy Salonik Prasowy</t>
  </si>
  <si>
    <t>Lagardere Travel Retail SP. z o.o.</t>
  </si>
  <si>
    <t>Ajent/Business Partner</t>
  </si>
  <si>
    <t>M. Wojciechowska i Wspólnicy Kancelaria Prawnicza Sp. k. z siedzib± w Rzeszowie</t>
  </si>
  <si>
    <t>Pracownik administracyjno-biurowy</t>
  </si>
  <si>
    <t>Polska, podkarpackie, Tarnów</t>
  </si>
  <si>
    <t>Inwestor- Partner Regionalny</t>
  </si>
  <si>
    <t>MGsolutions MGJJ Sp. z o. o. Sp. k.</t>
  </si>
  <si>
    <t>Pomocnik produkcji ro¶lin (k)</t>
  </si>
  <si>
    <t>Doradca Klienta RTV-AGD-IT</t>
  </si>
  <si>
    <t>Sprzedawca / Doradca Klienta RTV-AGD-IT</t>
  </si>
  <si>
    <t>Ontop Polska Sp. z o.o.</t>
  </si>
  <si>
    <t>Regionalnego Kierownika Sprzedaży</t>
  </si>
  <si>
    <t>Maszynista/ Ustawiacz</t>
  </si>
  <si>
    <t>Maszynista</t>
  </si>
  <si>
    <t>PAWO</t>
  </si>
  <si>
    <t>Doradca Klienta - Sprzedawca</t>
  </si>
  <si>
    <t>PGB Human Resources Sp. z o.o.</t>
  </si>
  <si>
    <t>Manager ds. procesu produkcji</t>
  </si>
  <si>
    <t>Polskie Wody Lecznicze Sp. z o.o. Sp.k.</t>
  </si>
  <si>
    <t>Specjalista ds. Obsługi Sprzedaży</t>
  </si>
  <si>
    <t>TABAK POLSKA Sp. z o.o.</t>
  </si>
  <si>
    <t>Partner prowadz±cy salon prasowy</t>
  </si>
  <si>
    <t>"Piotru¶ Pan Sp. z o.o." Spółka Komandytowa</t>
  </si>
  <si>
    <t>Administrator nieruchomo¶ci</t>
  </si>
  <si>
    <t>25.10.2017</t>
  </si>
  <si>
    <t>06.11.2017</t>
  </si>
  <si>
    <t>RPd057|333403</t>
  </si>
  <si>
    <t>handel</t>
  </si>
  <si>
    <t>usługi</t>
  </si>
  <si>
    <t>usługi finansowe</t>
  </si>
  <si>
    <t>medycyna</t>
  </si>
  <si>
    <t>Omega Pilzno ITIS Sp. z o.o.</t>
  </si>
  <si>
    <t>Agent celny ze znajomo¶ci± j. angielskiego (stopień minimum B1)</t>
  </si>
  <si>
    <t>23.10.2017</t>
  </si>
  <si>
    <t>08.11.2017</t>
  </si>
  <si>
    <t>Polska, podkarpackie, Mokrzec</t>
  </si>
  <si>
    <t>budownictwo</t>
  </si>
  <si>
    <t>BREVIO Sp. z o.o.</t>
  </si>
  <si>
    <t>30.10.2017</t>
  </si>
  <si>
    <t>przemysł</t>
  </si>
  <si>
    <t>informatyka</t>
  </si>
  <si>
    <t>Metrofinance Sp. z o.o.</t>
  </si>
  <si>
    <t>Ekspert Kredytowy</t>
  </si>
  <si>
    <t>07.11.2017</t>
  </si>
  <si>
    <t>Projektant - Architekt</t>
  </si>
  <si>
    <t>Architekt</t>
  </si>
  <si>
    <t>09.11.2017</t>
  </si>
  <si>
    <t>RPd057|216101</t>
  </si>
  <si>
    <t>Grafik</t>
  </si>
  <si>
    <t>Artysta grafik</t>
  </si>
  <si>
    <t>RPd057|265102</t>
  </si>
  <si>
    <t>Manager w dziale audytu</t>
  </si>
  <si>
    <t>Starszy Konsultant w dziale audytu</t>
  </si>
  <si>
    <t>Starszy Specjalista ds. Inżynierii Produkcji - Starszy Technolog</t>
  </si>
  <si>
    <t>BZ WBK LEASING S.A.</t>
  </si>
  <si>
    <t>Vendorski Doradca Leasingowy</t>
  </si>
  <si>
    <t>Polski Holding Inwestycyjny S.A.</t>
  </si>
  <si>
    <t>Doradca klienta (żywno¶ć)</t>
  </si>
  <si>
    <t>Doradca Klienta PLAY</t>
  </si>
  <si>
    <t>EMPIK Spółka Akcyjna</t>
  </si>
  <si>
    <t>Media Markt Polska Sp. z o.o.</t>
  </si>
  <si>
    <t>Doradca Klienta (GSM, ORANGE, NC+)</t>
  </si>
  <si>
    <t>Doradca Klienta (umowa zlecenie)</t>
  </si>
  <si>
    <t>Polska, podkarpackie, Sanok, Lesko, Baligród, Cisna, Zręcin, Brzozów, Dynów, Kolbuszowa, Nowa Dęba, Stalowa Wola, Sokołów Małopolski, Raniżów</t>
  </si>
  <si>
    <t>Mobilny Doradca Klienta Salonu Sprzedaży UPC</t>
  </si>
  <si>
    <t>PKO Leasing S.A.</t>
  </si>
  <si>
    <t>Regionalny Dyrektor Rynku Samochodowego</t>
  </si>
  <si>
    <t>DPM Sp. z o.o.</t>
  </si>
  <si>
    <t>CROSSOVER</t>
  </si>
  <si>
    <t>Technical Program Director - $16,500/month - WORK FROM HOME</t>
  </si>
  <si>
    <t>Dyrektor wykonawczy</t>
  </si>
  <si>
    <t>RPd057|112016</t>
  </si>
  <si>
    <t>Elektromonter instalacji elektrycznych</t>
  </si>
  <si>
    <t>RPd057|741101</t>
  </si>
  <si>
    <t>Inżynier/Specjalista ds. Automatyki Przemysłowej</t>
  </si>
  <si>
    <t>Projektant  instalacji elektrycznych</t>
  </si>
  <si>
    <t>Polska, podkarpackie, Rzeszów, Tarnobrzeg, Sandomierz</t>
  </si>
  <si>
    <t>Starszy inspektor wojewódzki</t>
  </si>
  <si>
    <t>Inżynier geodeta - geodezja inżynieryjno-przemysłowa</t>
  </si>
  <si>
    <t>RPd057|216503</t>
  </si>
  <si>
    <t>Specjalista ds. CAMO</t>
  </si>
  <si>
    <t>Lean Manager</t>
  </si>
  <si>
    <t>New-Invest</t>
  </si>
  <si>
    <t>Inżynier ruchu kolejowego</t>
  </si>
  <si>
    <t>RPd057|216402</t>
  </si>
  <si>
    <t>Blu Global UK Limited</t>
  </si>
  <si>
    <t>Kierowca ciężarówki (kat. C+E) w Wielkiej Brytanii (tramping) 2,350? - 3,650?</t>
  </si>
  <si>
    <t>Wielka Brytania, podkarpackie, Wielka Brytania</t>
  </si>
  <si>
    <t>Apteka Niezapominajka w Przeworsku zatrudni kierownika Apteki</t>
  </si>
  <si>
    <t>Kierownik apteki</t>
  </si>
  <si>
    <t>Polska, podkarpackie, PRZEWORSK</t>
  </si>
  <si>
    <t>RPd057|142005</t>
  </si>
  <si>
    <t>NTS Infrastruktura Sp. z o.o.</t>
  </si>
  <si>
    <t>Kierownik - majster budowy</t>
  </si>
  <si>
    <t>Skanska S.A.</t>
  </si>
  <si>
    <t>Kierownik Robót Branżowych (sanitarnych lub elektrycznych)</t>
  </si>
  <si>
    <t>Software Engineering Manager - $8250/month - WORK FROM HOME</t>
  </si>
  <si>
    <t>Kierownik działu informatyki</t>
  </si>
  <si>
    <t>RPd057|133001</t>
  </si>
  <si>
    <t>Kierownik Działu Transportu</t>
  </si>
  <si>
    <t>Cell-fast Sp. z o.o.</t>
  </si>
  <si>
    <t>Kierownik zmiany</t>
  </si>
  <si>
    <t>Kierownik Salonu</t>
  </si>
  <si>
    <t>AGENCJA ZATRUDNIENIA KSService sp. z o.o.</t>
  </si>
  <si>
    <t>Asystent Sprzedaży</t>
  </si>
  <si>
    <t>Powiatowy Zespół ds. Orzekania o Niepełnosprawno¶ci w Sanoku</t>
  </si>
  <si>
    <t>lekarz psychiatra</t>
  </si>
  <si>
    <t>Lekarz - specjalista psychiatrii</t>
  </si>
  <si>
    <t>RPd057|221256</t>
  </si>
  <si>
    <t>Operator CNC - Szlifierz</t>
  </si>
  <si>
    <t>IKEA Industry Poland Sp. z o.o. Oddział w Stalowej Woli</t>
  </si>
  <si>
    <t>Operator linii produkcji pelletu</t>
  </si>
  <si>
    <t>Pracownik przygotowania produkcji / operator urz±dzeń miel±cych i krusz±cych</t>
  </si>
  <si>
    <t>TRANS-ALLEN</t>
  </si>
  <si>
    <t>konserwator UTB, operator żurawia samojezdnego</t>
  </si>
  <si>
    <t>Operator żurawia jezdniowego</t>
  </si>
  <si>
    <t>RPd057|834316</t>
  </si>
  <si>
    <t>Firma "NOEZA"</t>
  </si>
  <si>
    <t>Kierownik ds. Sprzedaży i Obsługi Kluczowych Klientów</t>
  </si>
  <si>
    <t>Specjalista ds. obsługi klienta</t>
  </si>
  <si>
    <t>T-Mobile Usługi Bankowe</t>
  </si>
  <si>
    <t>HELP</t>
  </si>
  <si>
    <t>Opieka nad osob± starsz± w Stuttgarcie. Od zaraz.</t>
  </si>
  <si>
    <t>Agent Nieruchomo¶ci</t>
  </si>
  <si>
    <t>EVEO Sp. z o. o.</t>
  </si>
  <si>
    <t>PROGRAMISTA/ BACK-END DEVELOPER</t>
  </si>
  <si>
    <t>Masters Sp. z o.o.</t>
  </si>
  <si>
    <t>Inżynier Aplikacyjny</t>
  </si>
  <si>
    <t>Programista Robotów Online</t>
  </si>
  <si>
    <t>Kierowca - Sprzedawca (kat. C)</t>
  </si>
  <si>
    <t>Bea Beleza Polska Spółka z o.o. Sp.k.</t>
  </si>
  <si>
    <t>British American Tobacco</t>
  </si>
  <si>
    <t>Polska, podkarpackie, Krosno (okolice)</t>
  </si>
  <si>
    <t>Euromex Sp. z o.o.</t>
  </si>
  <si>
    <t>JACOBS DOUWE EGBERTS PL Sp. z o.o.</t>
  </si>
  <si>
    <t>Jobhouse Sp. z o.o.</t>
  </si>
  <si>
    <t>REGIONALNY PRZEDSTAWICIEL HANDLOWY</t>
  </si>
  <si>
    <t>TEAMAGRO Krystyna Kuczyńska</t>
  </si>
  <si>
    <t>Polska, podkarpackie, Chłopice (pow. jarosławski)</t>
  </si>
  <si>
    <t>EnergoGas Sp. z o.o.</t>
  </si>
  <si>
    <t>Koordynator ds. budowania i zarz±dzania sieci± partnersk±</t>
  </si>
  <si>
    <t>Fabryka Urz±dzeń Laboratoryjnych i Medycznych Polon-Poznań Sp. z o.o.</t>
  </si>
  <si>
    <t>FEI Serwis-Kop</t>
  </si>
  <si>
    <t>Asystent ds. Handlowych</t>
  </si>
  <si>
    <t>Straetus Spółka z ograniczon± odpowiedzialno¶ci± Sp.k.</t>
  </si>
  <si>
    <t>Wła¶ciciel Placówki Franczyzowej Straetus</t>
  </si>
  <si>
    <t>Specjalista analizy i rozwoju rynku</t>
  </si>
  <si>
    <t>RPd057|243105</t>
  </si>
  <si>
    <t>Młodszy Specjalista ds. Kadr i Płac</t>
  </si>
  <si>
    <t>Koordynator ds. klientów biznesowych</t>
  </si>
  <si>
    <t>HSW S.A.</t>
  </si>
  <si>
    <t>Specjalista ds. Zakupów i Logistyki</t>
  </si>
  <si>
    <t>Asystent Biznesowy z J. Niderlandzkim</t>
  </si>
  <si>
    <t>Specjalista działu obsługi klienta B2B</t>
  </si>
  <si>
    <t>Specjalista do spraw obsługi posprzedażowej</t>
  </si>
  <si>
    <t>RPd057|243307</t>
  </si>
  <si>
    <t>Business Applications Manager</t>
  </si>
  <si>
    <t>Specjalista do spraw rozwoju oprogramowania systemów informatycznych</t>
  </si>
  <si>
    <t>RPd057|251202</t>
  </si>
  <si>
    <t>Specjalista ds. Sprzedaży Krajowej B2B</t>
  </si>
  <si>
    <t>INSUR INVEST SP. Z O.O.</t>
  </si>
  <si>
    <t>Wła¶ciciel multiagencji ubezpieczeniowej</t>
  </si>
  <si>
    <t>Specjalista ds. ubezpieczeń i likwidacji szkód</t>
  </si>
  <si>
    <t>Formel D Polska Sp. z o.o.</t>
  </si>
  <si>
    <t>Spedytor drogowy (FTL)</t>
  </si>
  <si>
    <t>New Wave International Cargo Sp. z o.o. Sp. K</t>
  </si>
  <si>
    <t>Expander Advisors Sp. z o.o.</t>
  </si>
  <si>
    <t>Asystent-ka Oddziału</t>
  </si>
  <si>
    <t>Technik administracji*</t>
  </si>
  <si>
    <t>RPd057|334306</t>
  </si>
  <si>
    <t>BWI Poland Technologies Sp. z o.o. Oddział w Kro¶nie</t>
  </si>
  <si>
    <t>Mechatronik</t>
  </si>
  <si>
    <t>SMD LED Sp. z o.o.</t>
  </si>
  <si>
    <t>Specjalista ds. ofertowania i obsługi biur projektowych</t>
  </si>
  <si>
    <t>Program Stażowy Ailleron</t>
  </si>
  <si>
    <t>Pratt &amp; Whitney</t>
  </si>
  <si>
    <t>Młodszy Specjalista ds. Zleceń Sprzedażowych</t>
  </si>
  <si>
    <t>PGE Górnictwo i Energetyka Konwencjonalna S.A.</t>
  </si>
  <si>
    <t>Operator ITPOE - Instalacji Termicznego Przetwarzania z Odzyskiem Energii</t>
  </si>
  <si>
    <t>Technik urz±dzeń i systemów energetyki odnawialnej*</t>
  </si>
  <si>
    <t>RPd057|311930</t>
  </si>
  <si>
    <t>ISCAR Poland Sp. z o.o.</t>
  </si>
  <si>
    <t>Regionalny Przedstawiciel Techniczno ? Handlowy</t>
  </si>
  <si>
    <t>Polska, podkarpackie, w rejonie Podkarpacia</t>
  </si>
  <si>
    <t>Specjalista ds zakupów</t>
  </si>
  <si>
    <t>Spawacz MAG - Drezno</t>
  </si>
  <si>
    <t>Polska, podkarpackie, drezno</t>
  </si>
  <si>
    <t>I półrocze 2018</t>
  </si>
  <si>
    <t>II półrocze 2017</t>
  </si>
  <si>
    <t>I półrocze 2017</t>
  </si>
  <si>
    <t>II półrocze 2016</t>
  </si>
  <si>
    <t>Próby z internetowego badania MRPiPS ofert pracy</t>
  </si>
  <si>
    <t>Portale</t>
  </si>
  <si>
    <t>praca.pl</t>
  </si>
  <si>
    <t>gratka.pl</t>
  </si>
  <si>
    <t>liczba ofert</t>
  </si>
  <si>
    <t>Liczba ofert w podziale na portale</t>
  </si>
  <si>
    <t>lokalizacja w pliku MS Excel</t>
  </si>
  <si>
    <t>liczebność prób</t>
  </si>
  <si>
    <t>I</t>
  </si>
  <si>
    <t>II</t>
  </si>
  <si>
    <t>III</t>
  </si>
  <si>
    <t>IV</t>
  </si>
  <si>
    <t>V</t>
  </si>
  <si>
    <t>VI</t>
  </si>
  <si>
    <t>VII</t>
  </si>
  <si>
    <t>VIII</t>
  </si>
  <si>
    <t>IX</t>
  </si>
  <si>
    <t>X</t>
  </si>
  <si>
    <t>XI</t>
  </si>
  <si>
    <t>XII</t>
  </si>
  <si>
    <t>VII-IX 2019</t>
  </si>
  <si>
    <t>X-XII 2019</t>
  </si>
  <si>
    <t>ilość miejsc pracy</t>
  </si>
  <si>
    <t>niezaznaczona</t>
  </si>
  <si>
    <t>zaznaczona</t>
  </si>
  <si>
    <t>I półrocze 2019</t>
  </si>
  <si>
    <t>II półrocze 2019</t>
  </si>
  <si>
    <t>ofert zaznaczonych</t>
  </si>
  <si>
    <t>oferty zatwierdzone</t>
  </si>
  <si>
    <t>oferty pominięte</t>
  </si>
  <si>
    <t>chemicy</t>
  </si>
  <si>
    <t>Biolodzy</t>
  </si>
  <si>
    <t xml:space="preserve">Spec. rolnictwa </t>
  </si>
  <si>
    <t>Inżynierowie budownictwa</t>
  </si>
  <si>
    <t>Inżynierowie mechanicy</t>
  </si>
  <si>
    <t>Inżynierowie chemicy</t>
  </si>
  <si>
    <t>Inżynierowie górnictwa i metalurgii</t>
  </si>
  <si>
    <t xml:space="preserve">Inżynierowie pozostali, w tym </t>
  </si>
  <si>
    <t>automatyki i robotyki</t>
  </si>
  <si>
    <t>biocybernetyki</t>
  </si>
  <si>
    <t>systemów zabezpieczeń technicznych</t>
  </si>
  <si>
    <t>technologi betonów</t>
  </si>
  <si>
    <t>nanotechnologii</t>
  </si>
  <si>
    <t>inżynierowie elektrycy</t>
  </si>
  <si>
    <t>inżynierowie elektronicy</t>
  </si>
  <si>
    <t>inżynierowie telekomunikacji</t>
  </si>
  <si>
    <t>Architekci</t>
  </si>
  <si>
    <t>Architekci krajobrazu</t>
  </si>
  <si>
    <t>Kartografowie i geodeci</t>
  </si>
  <si>
    <t>Projektanci grafiki i multimediów</t>
  </si>
  <si>
    <t>Specjaliści ds. zdrowia</t>
  </si>
  <si>
    <t>Specjaliści nauczania i wychowania</t>
  </si>
  <si>
    <t>specjaliści IT</t>
  </si>
  <si>
    <t>Kod</t>
  </si>
  <si>
    <t>A</t>
  </si>
  <si>
    <t>B</t>
  </si>
  <si>
    <t>C</t>
  </si>
  <si>
    <t>D</t>
  </si>
  <si>
    <t>Technicy budownictwa</t>
  </si>
  <si>
    <t>Technicy elektrycy</t>
  </si>
  <si>
    <t>Technicy elektronicy i pokr.</t>
  </si>
  <si>
    <t>Technicy mechanicy</t>
  </si>
  <si>
    <t>Technicy chemicy</t>
  </si>
  <si>
    <t>Technicy górnictwa, metalurgii i pokr.</t>
  </si>
  <si>
    <t>Kreślarze</t>
  </si>
  <si>
    <t>Technicy nauk fizycznych i techniczych (pozostali)</t>
  </si>
  <si>
    <t>Mistrzowie prod. w górnictwie</t>
  </si>
  <si>
    <t>Mistrzowie prod. w przem. przetwórczym</t>
  </si>
  <si>
    <t>Mistrzowie prod. w budownictwie</t>
  </si>
  <si>
    <t>Kontrolerzy procesów przemysłowych</t>
  </si>
  <si>
    <t>Technicy n. biologicznych, rolniczych i technologii żywnosci</t>
  </si>
  <si>
    <t>Pracownicy transportu morskiego, żeglugi śródlądowej i lotnictwa</t>
  </si>
  <si>
    <t>Sredni personel ds. zdrowia</t>
  </si>
  <si>
    <t>Średni personel ds. biznesu i administracji</t>
  </si>
  <si>
    <t>Średni personel prawa, nauk społecznych i kultury i pokrewny</t>
  </si>
  <si>
    <t>Technicy informatycy</t>
  </si>
  <si>
    <t>Pracownicy obsługi klienta</t>
  </si>
  <si>
    <t>Pracownicy d.s. finansowo stat. i ewid. materiałowej</t>
  </si>
  <si>
    <t>Pozostali pracownicy obsł. biura</t>
  </si>
  <si>
    <t>Pracownicy usług osobistych</t>
  </si>
  <si>
    <t>Sprzedawcy i pokrewni</t>
  </si>
  <si>
    <t>Pracownicy opieki osobistej i pokrewni</t>
  </si>
  <si>
    <t>Rolnicy, ogrodnicy, leśnicy i rybacy</t>
  </si>
  <si>
    <t>Robotnicy budowlani i pokrewni</t>
  </si>
  <si>
    <t>Robotnicy obróbki metali, mechanicy maszyn i urządzeń i pokr.</t>
  </si>
  <si>
    <t>Rzemieślinicy i robotnicy poligraficzni</t>
  </si>
  <si>
    <t>Elektrycy i elektronicy</t>
  </si>
  <si>
    <t>Masarze i przetwórstwo ryb</t>
  </si>
  <si>
    <t>Piekarze, cukiernicy i pokr.</t>
  </si>
  <si>
    <t>Robotnicy w prod. wyrobów mleczarskich</t>
  </si>
  <si>
    <t>Robotnicy przetwórstwa surowców roslinnych</t>
  </si>
  <si>
    <t>Klasyfikatorzy żywności i pokrewni</t>
  </si>
  <si>
    <t>Robotnicy przygotowujący drewno i pokrewni</t>
  </si>
  <si>
    <t>Stolarze meblowi i pokrewni</t>
  </si>
  <si>
    <t>Ustawiacze i operatorzy maszyn do obróbki i produkcji wyrobów z drewna</t>
  </si>
  <si>
    <t>Robotnicy produkcji odzieży i pokrewni</t>
  </si>
  <si>
    <t>Nurkowie</t>
  </si>
  <si>
    <t>Strzałowi</t>
  </si>
  <si>
    <t>Brakarze wyr. przemysłowych</t>
  </si>
  <si>
    <t>Robotnicy zwalczania szkodników i chwastów</t>
  </si>
  <si>
    <t>Robotnicy przem. i rzemieślnicy gdzie indziej nie sklasyfikowani</t>
  </si>
  <si>
    <t>Operatorzy maszyn i urzadzeń wydob. i prztetw.</t>
  </si>
  <si>
    <t>Monterzy</t>
  </si>
  <si>
    <t>Kierowcy i operatorzy pojazdów</t>
  </si>
  <si>
    <t>Pracownicy przy pracach prostych</t>
  </si>
  <si>
    <t>Handel i usługi, słuzba zdrowia</t>
  </si>
  <si>
    <t>Informacja i edukacja, nadzór i administracja</t>
  </si>
  <si>
    <t>Przemysł (w tym high-tech, budownictwo)</t>
  </si>
  <si>
    <t>Inżynierowie ds. przemysłu i produkcji</t>
  </si>
  <si>
    <t>Liczba ofert w podziale na najcenniejsze branże</t>
  </si>
  <si>
    <t>Spec. Ekonomii i zarządzania</t>
  </si>
  <si>
    <t>Spec. Prawa, nauk społecznych i kultury</t>
  </si>
  <si>
    <t>---</t>
  </si>
  <si>
    <t>Pozostałe grupy</t>
  </si>
  <si>
    <t>Przedst. Władz publ</t>
  </si>
  <si>
    <t>kierownicy do spraw zarzadzania i handlu</t>
  </si>
  <si>
    <t>Kierownicy do spraw produkcji i usług</t>
  </si>
  <si>
    <t>Kierownicy w branży hotelarskiej, handlu</t>
  </si>
  <si>
    <t>Projektanci wzornictwa przemysłowego i odzieży</t>
  </si>
  <si>
    <t>Fizycy i astronomowie</t>
  </si>
  <si>
    <t>Meteorolodzy</t>
  </si>
  <si>
    <t>Specjaliści nauk o ziemi</t>
  </si>
  <si>
    <t>Matematycy, statystycy i pokrewni</t>
  </si>
  <si>
    <t>Specjaliści do spraw ochrony środowiska</t>
  </si>
  <si>
    <t>Urbaniści i inżynierowie ruchu drogowego</t>
  </si>
  <si>
    <t>Siły zbrojne</t>
  </si>
  <si>
    <t>Technicy nauk chem. fiz. i pokrewni</t>
  </si>
  <si>
    <t>Pracownicy usług ochrony</t>
  </si>
  <si>
    <t>Handel, transport, logistyka</t>
  </si>
  <si>
    <t>Usługi typu krawiectwo, kaletnictwo, obuwnictwo + poszukiwanie + ochrona</t>
  </si>
  <si>
    <t>Informacja i edukcja</t>
  </si>
  <si>
    <t>Sekretarki, operatorzy urz. biurowych i pokrewni</t>
  </si>
  <si>
    <t>Usługi finansowe, HR, turystyka i inne</t>
  </si>
  <si>
    <t>26.04.2017</t>
  </si>
  <si>
    <t>28.04.2017</t>
  </si>
  <si>
    <t>Operator / Ustawiacz Wtryskarki</t>
  </si>
  <si>
    <t>04.05.2017</t>
  </si>
  <si>
    <t>Pomocnik Ustawiacza Wtryskarki</t>
  </si>
  <si>
    <t>Przedstawiciel handlowy (branża elektryczna)</t>
  </si>
  <si>
    <t>Adform Group S.A.</t>
  </si>
  <si>
    <t>Specjalista ds. sprzedaży ? rynek niemiecki</t>
  </si>
  <si>
    <t>Agencja Pracy Koncepcja</t>
  </si>
  <si>
    <t>Introligator z własnym samochodem</t>
  </si>
  <si>
    <t>Introligator*</t>
  </si>
  <si>
    <t>Polska, podkarpackie, 30851 Langenhagen</t>
  </si>
  <si>
    <t>RPd057|732301</t>
  </si>
  <si>
    <t>Kierowca autobusu miejskiego</t>
  </si>
  <si>
    <t>Kierowca autobusu</t>
  </si>
  <si>
    <t>Polska, podkarpackie, Norymberga</t>
  </si>
  <si>
    <t>RPd057|833101</t>
  </si>
  <si>
    <t>Tapicer meblowy</t>
  </si>
  <si>
    <t>Polska, podkarpackie, Kaiserslautern</t>
  </si>
  <si>
    <t>RPd057|753403</t>
  </si>
  <si>
    <t>Agencja Reklamowa ROXart Sp. z o.o.</t>
  </si>
  <si>
    <t>Przedstawiciel Handlowy - Account Manager</t>
  </si>
  <si>
    <t>Agro-Perfect Sp. z o.o. Sp.K.</t>
  </si>
  <si>
    <t>Specjalista do spraw produkcji ro¶linnej</t>
  </si>
  <si>
    <t>Alior Bank Partner</t>
  </si>
  <si>
    <t>Specjalista ds. Sprzedaży Internetowej</t>
  </si>
  <si>
    <t>RPd057|243109</t>
  </si>
  <si>
    <t>Merchandiser terenowy</t>
  </si>
  <si>
    <t>AUTOS Sp. z o.o.</t>
  </si>
  <si>
    <t>Bioconcept-Gardenia Sp. z o.o.</t>
  </si>
  <si>
    <t>Specjalista ds. eksportu</t>
  </si>
  <si>
    <t>BIURO PLUS</t>
  </si>
  <si>
    <t>Specjalista w Dziale Logistyki</t>
  </si>
  <si>
    <t>Specjalista w Dziale Logistyki - Planista Produkcji</t>
  </si>
  <si>
    <t>Tester Oprogramowania</t>
  </si>
  <si>
    <t>RPd057|251903</t>
  </si>
  <si>
    <t>DHL</t>
  </si>
  <si>
    <t>Polska, podkarpackie, Korczowa (pow. jarosławski)</t>
  </si>
  <si>
    <t>Euro-kontakt</t>
  </si>
  <si>
    <t>Specjalista ds. rekrutacji - Rzeszów</t>
  </si>
  <si>
    <t>GIACOMO CONTI</t>
  </si>
  <si>
    <t>Sprzedawca / Doradca Klienta</t>
  </si>
  <si>
    <t>Przedstawiciel / Doradca handlowy</t>
  </si>
  <si>
    <t>HM Serwis</t>
  </si>
  <si>
    <t>MONTER RUSZTOWAŃ</t>
  </si>
  <si>
    <t>Monter rusztowań</t>
  </si>
  <si>
    <t>Belgia, podkarpackie, Belgia</t>
  </si>
  <si>
    <t>RPd057|711903</t>
  </si>
  <si>
    <t>Oncology Project Manager</t>
  </si>
  <si>
    <t>Jeronimo Martins Drogerie i Farmacja Sp. z o.o.</t>
  </si>
  <si>
    <t>Koncepcja</t>
  </si>
  <si>
    <t>Elektromonter (elektryk) zakładowy</t>
  </si>
  <si>
    <t>Polska, podkarpackie, Hamburg</t>
  </si>
  <si>
    <t>RPd057|741207</t>
  </si>
  <si>
    <t>Tłumacz techniczny  języka francuskiego  minimum 5 letnie do¶wiadczenie</t>
  </si>
  <si>
    <t>Polska, podkarpackie, Wrocław</t>
  </si>
  <si>
    <t>Area Sales Supervisor</t>
  </si>
  <si>
    <t>Leroy Merlin</t>
  </si>
  <si>
    <t>Doradca Klienta - Dział Ogród</t>
  </si>
  <si>
    <t>Kierownik Działu Kas i Relacji z Klientami</t>
  </si>
  <si>
    <t>Kierownik do spraw marketingu</t>
  </si>
  <si>
    <t>RPd057|122101</t>
  </si>
  <si>
    <t>Branch Manager - usługi rekrutacyjne</t>
  </si>
  <si>
    <t>Merchandiser</t>
  </si>
  <si>
    <t>Welding Engineer</t>
  </si>
  <si>
    <t>RPd057|214410</t>
  </si>
  <si>
    <t>McBraida Polska Sp. z o.o</t>
  </si>
  <si>
    <t>Meden - Inmed Sp. z o.o.</t>
  </si>
  <si>
    <t>Specjalista ds. Uroginekologii</t>
  </si>
  <si>
    <t>08.05.2017</t>
  </si>
  <si>
    <t>mentax.pl</t>
  </si>
  <si>
    <t>Likwidator Szkód w Uprawach</t>
  </si>
  <si>
    <t>Embedded Software Developer with Voice/Speech Recognition</t>
  </si>
  <si>
    <t>Koordynator ds. Partnerów Strategicznych</t>
  </si>
  <si>
    <t>Pozostali po¶rednicy handlowi</t>
  </si>
  <si>
    <t>RPd057|332490</t>
  </si>
  <si>
    <t>Koordynator ds. Partnerów Strategicznych ? Południowa Polska</t>
  </si>
  <si>
    <t>Sprzedawca w branży przemysłowej</t>
  </si>
  <si>
    <t>RPd057|522303</t>
  </si>
  <si>
    <t>New Yorker Polska Sp. z o.o.</t>
  </si>
  <si>
    <t>Polska, podkarpackie, Rzeszów, Przemy¶l</t>
  </si>
  <si>
    <t>Kierownik Działu Przyjęcia Towaru</t>
  </si>
  <si>
    <t>Kierownik działu administracyjno-gospodarczego</t>
  </si>
  <si>
    <t>RPd057|121901</t>
  </si>
  <si>
    <t>Okręgowy Urz±d Górniczy w Kro¶nie</t>
  </si>
  <si>
    <t>Pauloadriani</t>
  </si>
  <si>
    <t>PGNiG Technologie Spółka Akcyjna</t>
  </si>
  <si>
    <t>Projektant inżynierii procesowej</t>
  </si>
  <si>
    <t>Projektant Procesowy/Technolog</t>
  </si>
  <si>
    <t>PKS Rzeszów S.A.</t>
  </si>
  <si>
    <t>Prezes Zarz±du</t>
  </si>
  <si>
    <t>Prezes</t>
  </si>
  <si>
    <t>RPd057|112017</t>
  </si>
  <si>
    <t>Placówka Partnerska Nest Bank</t>
  </si>
  <si>
    <t>Dyrektor generalny</t>
  </si>
  <si>
    <t>RPd057|112007</t>
  </si>
  <si>
    <t>Elektromechanik - Mechanik</t>
  </si>
  <si>
    <t>Elektromechanik / Mechanik</t>
  </si>
  <si>
    <t>Powiatowy Inspektorat Weterynarii w Ustrzykach Dolnych</t>
  </si>
  <si>
    <t>PÓŁNOC Nieruchomo¶ci Sp. z o.o</t>
  </si>
  <si>
    <t>Dyrektor Biura Nieruchomo¶ci - Franczyzobiorca</t>
  </si>
  <si>
    <t>PPUiH CIS Sp. z o.o.</t>
  </si>
  <si>
    <t>Doradca ds. nieruchomo¶ci ? Pracownik administracji</t>
  </si>
  <si>
    <t>09.05.2017</t>
  </si>
  <si>
    <t>Konsultant ds. rekrutacji</t>
  </si>
  <si>
    <t>Relyon Recruitment Sp. z o. o.</t>
  </si>
  <si>
    <t>ETL Developer</t>
  </si>
  <si>
    <t>Senior Developer AX</t>
  </si>
  <si>
    <t>Sprzedawca Stoiska Mięsnego</t>
  </si>
  <si>
    <t>Sprzedawca w branży mięsnej</t>
  </si>
  <si>
    <t>RPd057|522302</t>
  </si>
  <si>
    <t>SUPER-PHARM</t>
  </si>
  <si>
    <t>Konsultant/ka ds. urody</t>
  </si>
  <si>
    <t>TPA Poland HR</t>
  </si>
  <si>
    <t>Samodzielna Księgowa / Samodzielny Księgowy</t>
  </si>
  <si>
    <t>TRENKWALDER</t>
  </si>
  <si>
    <t>Magazynier (m/k)</t>
  </si>
  <si>
    <t>Inżynier ds. Testów</t>
  </si>
  <si>
    <t>VAN CARGO S.A.</t>
  </si>
  <si>
    <t>Spedytor - Dział Spedycji Międzynarodowej</t>
  </si>
  <si>
    <t>WITTCHEN S.A</t>
  </si>
  <si>
    <t>Account Manager B2B</t>
  </si>
  <si>
    <t>Würth Polska Sp. z o.o.</t>
  </si>
  <si>
    <t>Przedstawiciel Handlowy w branży technicznej</t>
  </si>
  <si>
    <t>CUKIERNIK</t>
  </si>
  <si>
    <t>Cukiernik*</t>
  </si>
  <si>
    <t>24.04.2017</t>
  </si>
  <si>
    <t>25.04.2017</t>
  </si>
  <si>
    <t>RPd057|751201</t>
  </si>
  <si>
    <t>Młodszy Księgowy z Językiem Niemieckim</t>
  </si>
  <si>
    <t>Serwisant / Mechanik (maszyny i  pojazdy użytkowe)</t>
  </si>
  <si>
    <t>Technik mechanik urz±dzeń przemysłowych</t>
  </si>
  <si>
    <t>Polska, podkarpackie, Herzogenaurach</t>
  </si>
  <si>
    <t>RPd057|311511</t>
  </si>
  <si>
    <t>ARMsort Sp. z o. o.</t>
  </si>
  <si>
    <t>Asystent ds. projektów</t>
  </si>
  <si>
    <t>Asystent Prezesa</t>
  </si>
  <si>
    <t>Automatyk/Elektromechanik</t>
  </si>
  <si>
    <t>Best Western Plus Hotel Ferdynand</t>
  </si>
  <si>
    <t>pokojowa, kelner/kelnerka</t>
  </si>
  <si>
    <t>Technolog ds. montażu</t>
  </si>
  <si>
    <t>Centrala Farmaceutyczna Hasco-Lek</t>
  </si>
  <si>
    <t>Przedstawiciel Apteczny</t>
  </si>
  <si>
    <t>ELROB Sp. z o.o.</t>
  </si>
  <si>
    <t>Malarz-lakiernik samolotowy</t>
  </si>
  <si>
    <t>RPd057|713206</t>
  </si>
  <si>
    <t>Młodszy księgowy AP/AR z j. niemieckim</t>
  </si>
  <si>
    <t>Projektant płytek PCB w centrum R&amp;D</t>
  </si>
  <si>
    <t>Specjalista ds. Lean i Procesów Ci±głego Doskonalenia</t>
  </si>
  <si>
    <t>HODOWLA SOI AGROYOUMIS POLSKA Sp. z o.o.</t>
  </si>
  <si>
    <t>Biotechnolog - Genetyk</t>
  </si>
  <si>
    <t>Genetyk</t>
  </si>
  <si>
    <t>Polska, podkarpackie, Huta Krzeszowska (pow. niżański)</t>
  </si>
  <si>
    <t>RPd057|213107</t>
  </si>
  <si>
    <t>Starsza Księgowa</t>
  </si>
  <si>
    <t>Komfort Łazienki Sp. z o.o.</t>
  </si>
  <si>
    <t>Kierownik Salonu Łazienek</t>
  </si>
  <si>
    <t>Mechanik - praca w dziale utrzymania ruchu</t>
  </si>
  <si>
    <t>?MET ? CHEM? Zakłady Metalowo ? Chemiczne ¦wierczek Halina</t>
  </si>
  <si>
    <t>Operator  Obrabiarek  CNC</t>
  </si>
  <si>
    <t>OLIMP LABORATORIES SP. Z O.O.</t>
  </si>
  <si>
    <t>Specjalista ds. Mediów Społeczno¶ciowych</t>
  </si>
  <si>
    <t>Analityk informacji i raportów medialnych</t>
  </si>
  <si>
    <t>RPd057|262201</t>
  </si>
  <si>
    <t>Recruitment Solutions</t>
  </si>
  <si>
    <t>Operator obrabiarek (m/k)</t>
  </si>
  <si>
    <t>Sekretarka/Sekretarz</t>
  </si>
  <si>
    <t>Trenkwalder Benefit Sp. z o.o.</t>
  </si>
  <si>
    <t>Główny technolog (m/k)</t>
  </si>
  <si>
    <t>Wojewódzki Inspektorat Ochrony Ro¶lin i Nasiennictwa w Rzeszowie</t>
  </si>
  <si>
    <t>Technik rolnik*</t>
  </si>
  <si>
    <t>RPd057|314207</t>
  </si>
  <si>
    <t>Wojskowa Komenda Uzupełnień w Rzeszowie</t>
  </si>
  <si>
    <t>Spawacz - aktualny certyfikat - metoda 141</t>
  </si>
  <si>
    <t>19.04.2017</t>
  </si>
  <si>
    <t>Polska, podkarpackie, Offenburg-Schwarzwald</t>
  </si>
  <si>
    <t>Kierownik Robót</t>
  </si>
  <si>
    <t>BIG FORM Sp. z o.o. sp. k.</t>
  </si>
  <si>
    <t>Polska, podkarpackie, Rzeszów, Mielec, Krosno, Jasło, Łańcut, Przeworsk, Dębica, Leżajsk</t>
  </si>
  <si>
    <t>Mechanik  wózków widłowych</t>
  </si>
  <si>
    <t>Pozostali mechanicy pojazdów samochodowych</t>
  </si>
  <si>
    <t>Polska, podkarpackie, 95100  Selb</t>
  </si>
  <si>
    <t>RPd057|723190</t>
  </si>
  <si>
    <t>Logart Personnel Consulting</t>
  </si>
  <si>
    <t>Koordynator działu spedycji międzynarodowej</t>
  </si>
  <si>
    <t>Doradca klienta - rekreacja</t>
  </si>
  <si>
    <t>Polska, podkarpackie, Leżajsk, Stalowa Wola</t>
  </si>
  <si>
    <t>MOTOKARIERA S.C.</t>
  </si>
  <si>
    <t>Sprzedawca samochodów dostawczych</t>
  </si>
  <si>
    <t>Java Software Developer (LTE)</t>
  </si>
  <si>
    <t>Java/Python Developer for Tools &amp; Automation</t>
  </si>
  <si>
    <t>System Engineer</t>
  </si>
  <si>
    <t>Magazynier ? branża motoryzacyjna</t>
  </si>
  <si>
    <t>DYREKTOR ODDZIAŁU</t>
  </si>
  <si>
    <t>C++ Game Developer</t>
  </si>
  <si>
    <t>Doradca Klienta - Dział: Rekreacja</t>
  </si>
  <si>
    <t>Malarz (Holandia)</t>
  </si>
  <si>
    <t>Polska, podkarpackie, Zeeland</t>
  </si>
  <si>
    <t>Konsultant wdrożeniowy, specjalista od systemów klasy ERP</t>
  </si>
  <si>
    <t>RPd057|251904</t>
  </si>
  <si>
    <t>Operator linii produkcyjnej (m/k)</t>
  </si>
  <si>
    <t>URBAN Sp. z o.o.</t>
  </si>
  <si>
    <t>Your Way Sp. z o.o</t>
  </si>
  <si>
    <t>Menedżer ds. Sprzedaży ENEA S.A.</t>
  </si>
  <si>
    <t>Elektryk / Serwisant bram garażowych</t>
  </si>
  <si>
    <t>17.04.2017</t>
  </si>
  <si>
    <t>Lakiernik samochodowy - Norymberga</t>
  </si>
  <si>
    <t>Lakiernik samochodowy</t>
  </si>
  <si>
    <t>RPd057|713203</t>
  </si>
  <si>
    <t>ELDRUT Sp. z o.o.</t>
  </si>
  <si>
    <t>Spawacze MIG/TIG, Operatorzy maszyn CNC, Pracownicy produkcyjni</t>
  </si>
  <si>
    <t>Polska, podkarpackie, Wadowice Górne, Mielec, Szczucin, Radomy¶l Wielki</t>
  </si>
  <si>
    <t>Menadżer zespołu</t>
  </si>
  <si>
    <t xml:space="preserve">Polska, podkarpackie, Rzeszów, Stalowa Wola, Dębica, </t>
  </si>
  <si>
    <t>Kasjer - Sprzedawca - Obsługa Klienta</t>
  </si>
  <si>
    <t>Polska, podkarpackie, Weißenburg</t>
  </si>
  <si>
    <t>Mobica  Limited Sp. z o.o. Oddzial w Polsce</t>
  </si>
  <si>
    <t>Embedded Software Developer with Voice / Speech Recognition</t>
  </si>
  <si>
    <t>JEE Software Developer</t>
  </si>
  <si>
    <t>SaSa Recruitment</t>
  </si>
  <si>
    <t>Kierowca C+E / Niemcy / do 2500 ? - oferty także blisko granicy!</t>
  </si>
  <si>
    <t>Polska, podkarpackie, Krosno, Sanok, Rzeszów, Przemy¶l</t>
  </si>
  <si>
    <t>Spawacz ( do przyuczenia lub z do¶wiadczeniem)</t>
  </si>
  <si>
    <t>12.04.2017</t>
  </si>
  <si>
    <t>13.04.2017</t>
  </si>
  <si>
    <t>Anluc-Żelbety Sp.zo.o.Sp.K</t>
  </si>
  <si>
    <t>Cie¶la Szalunkowy, Zbrojarz, WYSOKIE ZAROBKI !!</t>
  </si>
  <si>
    <t>Polska, podkarpackie, CAŁA POLSKA</t>
  </si>
  <si>
    <t>Specjalista ds. księgowo¶ci z językiem niemieckim</t>
  </si>
  <si>
    <t>BIMAT</t>
  </si>
  <si>
    <t>Canpol Sp. z o.o.</t>
  </si>
  <si>
    <t>Handlowiec / Merchandiser ds. współpracy z sieciami handlowymi</t>
  </si>
  <si>
    <t>GERDA BROKER SP Z O O</t>
  </si>
  <si>
    <t>Manager Klienta Kluczowego</t>
  </si>
  <si>
    <t>SPECJALISTA DS. INWESTYCJI</t>
  </si>
  <si>
    <t>Doradca Leasingowy</t>
  </si>
  <si>
    <t>Kierowca Kat. C</t>
  </si>
  <si>
    <t>Koordynator ds. Sprzedaży - Dział Ogród</t>
  </si>
  <si>
    <t>LOBO SP. Z O.O. SP K.</t>
  </si>
  <si>
    <t>Lugera &amp; Makler Poland Sp. z o.o.</t>
  </si>
  <si>
    <t>Młodszy specjalista ds. finansów</t>
  </si>
  <si>
    <t>Michal - Workforce People Solutions</t>
  </si>
  <si>
    <t>Szwaczka / Szwacz - Pilne</t>
  </si>
  <si>
    <t>Szwaczka maszynowa</t>
  </si>
  <si>
    <t>Polska, podkarpackie, podkarpackie</t>
  </si>
  <si>
    <t>RPd057|815301</t>
  </si>
  <si>
    <t>Senior Software Engineer Qt</t>
  </si>
  <si>
    <t>MS POLSKA sp.zo.o.</t>
  </si>
  <si>
    <t>Reprezentant Handlowy - Orange Konsultant</t>
  </si>
  <si>
    <t>NATURHOUSE Sp. z o.o.</t>
  </si>
  <si>
    <t>Edukator żywieniowy / Dietetyk</t>
  </si>
  <si>
    <t>Specjalista do spraw dietetyki</t>
  </si>
  <si>
    <t>RPd057|229301</t>
  </si>
  <si>
    <t>NEONET SA</t>
  </si>
  <si>
    <t>Kierownik sklepu RTV-AGD-IT</t>
  </si>
  <si>
    <t>5G Continuous Verification Engineer</t>
  </si>
  <si>
    <t>PB Budirem</t>
  </si>
  <si>
    <t>Inżynier budowy, cie¶la zbrojarz, operator sprzętu budowlanego, pracownik ogólnobudowlany</t>
  </si>
  <si>
    <t>14.04.2017</t>
  </si>
  <si>
    <t>PKP Polskie Linie Kolejowe S.A</t>
  </si>
  <si>
    <t>Asystent kierownika kontraktu</t>
  </si>
  <si>
    <t>Technik dróg i mostów kolejowych*</t>
  </si>
  <si>
    <t>RPd057|311207</t>
  </si>
  <si>
    <t>Polska, podkarpackie, Radom</t>
  </si>
  <si>
    <t>RA Real Estate Gruppe</t>
  </si>
  <si>
    <t>Doradca Inwestycyjny / Przedstawiciel Handlowy</t>
  </si>
  <si>
    <t>Raben Logistics  Polska Sp. z o.o.</t>
  </si>
  <si>
    <t>PRACOWNIK MAGAZYNOWY</t>
  </si>
  <si>
    <t>Kierownik sklepu</t>
  </si>
  <si>
    <t>Rybexim sp. z o.o. spółka komandytowa</t>
  </si>
  <si>
    <t>Kierowca Kat. B</t>
  </si>
  <si>
    <t>Statystyk</t>
  </si>
  <si>
    <t>RPd057|212004</t>
  </si>
  <si>
    <t>Starszy Specjalista ds. pozyskiwania zgód</t>
  </si>
  <si>
    <t>Pracownik gospodarczy</t>
  </si>
  <si>
    <t>Polska, podkarpackie, Tarnobrzeg, gmina: Stale</t>
  </si>
  <si>
    <t>Polska, podkarpackie, Rzeszów, gmina: Trzebownisko</t>
  </si>
  <si>
    <t>Operator CNC (m/k)</t>
  </si>
  <si>
    <t>¦lusarz/Monter (m/k)</t>
  </si>
  <si>
    <t>Operator produkcji (m/k)</t>
  </si>
  <si>
    <t>Wojewódzki Inspektorat Weterynarii z/s w Kro¶nie</t>
  </si>
  <si>
    <t>Laborant w zakładzie higieny weterynaryjnej</t>
  </si>
  <si>
    <t>Laborant weterynaryjny</t>
  </si>
  <si>
    <t>RPd057|324001</t>
  </si>
  <si>
    <t>Specjalista ds. kadr z elementami płac</t>
  </si>
  <si>
    <t>10.04.2017</t>
  </si>
  <si>
    <t>11.04.2017</t>
  </si>
  <si>
    <t>Spawacz tig (141)</t>
  </si>
  <si>
    <t>Murarz-tynkarz*</t>
  </si>
  <si>
    <t>Polska, podkarpackie, 85049 Ingolstadt</t>
  </si>
  <si>
    <t>RPd057|711204</t>
  </si>
  <si>
    <t>Experts Sp. z o.o.</t>
  </si>
  <si>
    <t>Handlowiec (branża usług finansowych)</t>
  </si>
  <si>
    <t>Brygadzista Zmianowy/ Koordynator Zespołu Produkcyjnego</t>
  </si>
  <si>
    <t>Grupa Reklamowa Greemi</t>
  </si>
  <si>
    <t>pracownik serwisu</t>
  </si>
  <si>
    <t>RPd057|962201</t>
  </si>
  <si>
    <t>Polska, podkarpackie, Dynów</t>
  </si>
  <si>
    <t>Blacharz / Lakiernik samochodowy z do¶wiadczeniem</t>
  </si>
  <si>
    <t>Blacharz*</t>
  </si>
  <si>
    <t>Polska, podkarpackie, RÓŻNE MIASTA</t>
  </si>
  <si>
    <t>RPd057|721301</t>
  </si>
  <si>
    <t>Mechanik  - naprawa wózków widłowych</t>
  </si>
  <si>
    <t>Monter fasad aluminiowych i metalowych bez aktualnego certyfikatu</t>
  </si>
  <si>
    <t>Monter fasad</t>
  </si>
  <si>
    <t>Polska, podkarpackie, Nunspeet</t>
  </si>
  <si>
    <t>RPd057|712304</t>
  </si>
  <si>
    <t>Wizytator</t>
  </si>
  <si>
    <t>RPd057|235109</t>
  </si>
  <si>
    <t>LOGOS Sp. z o.o.</t>
  </si>
  <si>
    <t>Samodzielna/y Księgowa/y</t>
  </si>
  <si>
    <t>Team leader</t>
  </si>
  <si>
    <t>MDM Polska</t>
  </si>
  <si>
    <t>monter, spawacz</t>
  </si>
  <si>
    <t>Kierowca ADR kl. 2/3</t>
  </si>
  <si>
    <t>Piotr Kamiński Robert Kamiński Kancelaria Radców Prawnych sp. p.</t>
  </si>
  <si>
    <t>Pracownik administracyjno - biurowy</t>
  </si>
  <si>
    <t>Polski HR International Sp. z o.o.</t>
  </si>
  <si>
    <t>Koordynator ds. projektów rekrutacyjnych z j. niemieckim</t>
  </si>
  <si>
    <t>Pratt &amp; Whitney Aeropower</t>
  </si>
  <si>
    <t>Analitk Zmian Inżynieryjnych</t>
  </si>
  <si>
    <t>Pratt &amp; Whitney Rzeszów</t>
  </si>
  <si>
    <t>Młodszy Konstruktor - Wsparcie Produkcji i Eksploatacji</t>
  </si>
  <si>
    <t>Specjalista ds. Finansowania Inwestycji</t>
  </si>
  <si>
    <t>Technolog/Automatyk</t>
  </si>
  <si>
    <t>Manager ds. Rozwoju Sprzedaży</t>
  </si>
  <si>
    <t>Seriusz Chefs Culinar Sp. z o.o.</t>
  </si>
  <si>
    <t>Asystent Administracyjno-Magazynowy</t>
  </si>
  <si>
    <t>Silvan Regional Franchise Sp. z o.o. SKA</t>
  </si>
  <si>
    <t>Vertriebsteam-Leiter /-in Transport und Logistik</t>
  </si>
  <si>
    <t>Weldon Sp. z o.o.</t>
  </si>
  <si>
    <t>Specjalista ds. handlowych</t>
  </si>
  <si>
    <t>Polska, podkarpackie, Brzezówka (pow. ropczycko-sędziszowski)</t>
  </si>
  <si>
    <t>Z. P. H. "ARGO" Sp. z o.o.</t>
  </si>
  <si>
    <t>Elektryk ? Automatyk</t>
  </si>
  <si>
    <t>Samodzielna Księgowa</t>
  </si>
  <si>
    <t>Accenture Consulting</t>
  </si>
  <si>
    <t>Consulting ? Junior Developer (Get the HOT skill ? Salesforce)</t>
  </si>
  <si>
    <t>05.04.2017</t>
  </si>
  <si>
    <t>06.04.2017</t>
  </si>
  <si>
    <t>ADAMET</t>
  </si>
  <si>
    <t>Kierownik Odlewni</t>
  </si>
  <si>
    <t>Technik odlewnik*</t>
  </si>
  <si>
    <t>RPd057|311705</t>
  </si>
  <si>
    <t>Ambasador Marki</t>
  </si>
  <si>
    <t>Assiduus Investment Sp. z o.o.</t>
  </si>
  <si>
    <t>Planer Finansowy</t>
  </si>
  <si>
    <t>Programista Java/JEE</t>
  </si>
  <si>
    <t>Avon Cosmetics Polska Sp. z o.o.</t>
  </si>
  <si>
    <t>Okręgowy Menedżer Sprzedaży</t>
  </si>
  <si>
    <t>Polska, podkarpackie, okolice Rzeszowa, Ostrów, Stalowa Wola</t>
  </si>
  <si>
    <t>Berendsen Textile Service Sp. z o.o.</t>
  </si>
  <si>
    <t>CCC S.A.</t>
  </si>
  <si>
    <t>PrzewoĽnik</t>
  </si>
  <si>
    <t>Evojam Sp. z o.o.</t>
  </si>
  <si>
    <t>Frontend JavaScript Developer</t>
  </si>
  <si>
    <t>Specjalista bezpieczeństwa i higieny pracy</t>
  </si>
  <si>
    <t>RPd057|229103</t>
  </si>
  <si>
    <t>Fabrity K2</t>
  </si>
  <si>
    <t>Inżynier Systemowy</t>
  </si>
  <si>
    <t>FairWind Sp. z o.o.</t>
  </si>
  <si>
    <t>Technik Turbin Wiatrowych</t>
  </si>
  <si>
    <t>Foton Technik Sp. z o.o.</t>
  </si>
  <si>
    <t>Przedstawiciel Techniczno - Handlowy</t>
  </si>
  <si>
    <t>Giacomo Conti</t>
  </si>
  <si>
    <t>Kierownik salonu</t>
  </si>
  <si>
    <t>07.04.2017</t>
  </si>
  <si>
    <t>Grupa Armatura SA</t>
  </si>
  <si>
    <t>Hotel BRISTOL Tradition &amp; Luxury</t>
  </si>
  <si>
    <t>INGLOT SP Z O.O.</t>
  </si>
  <si>
    <t>Pracownik Działu ds. Współpracy Międzynarodowej</t>
  </si>
  <si>
    <t>KIANO</t>
  </si>
  <si>
    <t>Promotor Marki - Ambasador Marki</t>
  </si>
  <si>
    <t>opieka nad hotelem</t>
  </si>
  <si>
    <t>Kierownik hotelu</t>
  </si>
  <si>
    <t>RPd057|141103</t>
  </si>
  <si>
    <t>Główny specjalista</t>
  </si>
  <si>
    <t>Mechanik / Mechatronik</t>
  </si>
  <si>
    <t>Mechanik samochodów ciężarowych</t>
  </si>
  <si>
    <t>Polska, podkarpackie, Rosenheim</t>
  </si>
  <si>
    <t>RPd057|723104</t>
  </si>
  <si>
    <t>Pracownik produkcji, okna PCV - Holandia</t>
  </si>
  <si>
    <t>Polska, podkarpackie, Nieuw Vennep</t>
  </si>
  <si>
    <t>Stolarz - Cie¶la - Monter</t>
  </si>
  <si>
    <t>Polska, podkarpackie, Stuttgart</t>
  </si>
  <si>
    <t>Młodszy doradca klienta</t>
  </si>
  <si>
    <t>Mondelez International w Polsce</t>
  </si>
  <si>
    <t>Lider ds. Utrzymania Ruchu</t>
  </si>
  <si>
    <t>MORAJ SP. Z O.O. SPÓŁKA KOMANDYTOWA</t>
  </si>
  <si>
    <t>MS Dynamics NAV Developer</t>
  </si>
  <si>
    <t>Mobilny Doradca Klienta</t>
  </si>
  <si>
    <t>OL-REM</t>
  </si>
  <si>
    <t>Tynkarzy</t>
  </si>
  <si>
    <t>Tynkarz</t>
  </si>
  <si>
    <t>RPd057|712303</t>
  </si>
  <si>
    <t>Open Europe sp. z o.o.</t>
  </si>
  <si>
    <t>Pielęgniarka - Pielęgniarz</t>
  </si>
  <si>
    <t>Pielęgniarka</t>
  </si>
  <si>
    <t>Norwegia, podkarpackie, Norwegia</t>
  </si>
  <si>
    <t>RPd057|222101</t>
  </si>
  <si>
    <t>Orange Retail</t>
  </si>
  <si>
    <t>Ekspert ds. sprzedaży aktywnej</t>
  </si>
  <si>
    <t>Zbrojarz</t>
  </si>
  <si>
    <t>RPd057|711404</t>
  </si>
  <si>
    <t>PGE Obrót S.A.</t>
  </si>
  <si>
    <t>Referent ds. zamówień w Zespole Zakupów</t>
  </si>
  <si>
    <t>Młodszy Specjalista ds. Marketingu</t>
  </si>
  <si>
    <t>Specjalista marketingu społecznego</t>
  </si>
  <si>
    <t>RPd057|263409</t>
  </si>
  <si>
    <t>Polkomtel Sp. z o.o.</t>
  </si>
  <si>
    <t>Doradca Biznesowy Plus</t>
  </si>
  <si>
    <t>Powiatowy Inspektorat Nadzoru Budowlanego w Kolbuszowej</t>
  </si>
  <si>
    <t>Młodszy inspektor nadzoru budowlanego</t>
  </si>
  <si>
    <t>Powiatowy Inspektorat Weterynarii w Dębicy</t>
  </si>
  <si>
    <t>Pozostali lekarze weterynarii specjali¶ci</t>
  </si>
  <si>
    <t>RPd057|225290</t>
  </si>
  <si>
    <t>Weterynaryjny kontroler sanitarny</t>
  </si>
  <si>
    <t>RPd057|325512</t>
  </si>
  <si>
    <t>Specjalista ds. Obsługi Kontraktów (z językiem niemieckim)</t>
  </si>
  <si>
    <t>Influencer</t>
  </si>
  <si>
    <t>Technik organizacji reklamy*</t>
  </si>
  <si>
    <t>RPd057|333906</t>
  </si>
  <si>
    <t>Konsultant w dziale Audytu</t>
  </si>
  <si>
    <t>Manager Zespołu Doradztwa Podatkowego</t>
  </si>
  <si>
    <t>Specjalista do spraw rachunkowo¶ci podatkowej</t>
  </si>
  <si>
    <t>RPd057|241105</t>
  </si>
  <si>
    <t>Program INFLUENCER</t>
  </si>
  <si>
    <t>RANBAXY (Poland) Sp. z o.o.</t>
  </si>
  <si>
    <t>Recruit Europe</t>
  </si>
  <si>
    <t>HR Manager/Director</t>
  </si>
  <si>
    <t>Zastępca Szefa Kuchni</t>
  </si>
  <si>
    <t>rzeszowskie-nieruchomosci.pl</t>
  </si>
  <si>
    <t>Santander Consumer Multirent Sp. z o.o.</t>
  </si>
  <si>
    <t>Specjalista ds. Sprzedaży Leasingu</t>
  </si>
  <si>
    <t>Sinevia Sp. z o.o.</t>
  </si>
  <si>
    <t>Inspektor ds. automatyczno - elektrycznych</t>
  </si>
  <si>
    <t>Inspektor ds. sanitarnych</t>
  </si>
  <si>
    <t>RPd057|325514</t>
  </si>
  <si>
    <t>Referent ds. administracyjno - finansowych</t>
  </si>
  <si>
    <t>Pracownik Biura Obsługi Klienta - Recepcja Salonu</t>
  </si>
  <si>
    <t>Recepcjonista</t>
  </si>
  <si>
    <t>RPd057|422602</t>
  </si>
  <si>
    <t>Spiroflex Sp. z o.o.</t>
  </si>
  <si>
    <t>Pracownik księgowo¶ci</t>
  </si>
  <si>
    <t>Asystent do spraw księgowo¶ci</t>
  </si>
  <si>
    <t>RPd057|431101</t>
  </si>
  <si>
    <t>Dyrektor ds. Zakupów</t>
  </si>
  <si>
    <t>RPd057|112011</t>
  </si>
  <si>
    <t>Tarkett Polska Sp.z o.o. Odział w Ja¶le</t>
  </si>
  <si>
    <t>Inspektor BHP i Ochrony ¦rodowiska</t>
  </si>
  <si>
    <t>Starszy programista/lider</t>
  </si>
  <si>
    <t>Zastępca kierownika sklepu</t>
  </si>
  <si>
    <t>Mechanik utrzymania ruchu (m/k)</t>
  </si>
  <si>
    <t>Regionalny menedżer sprzedaży (m/k)</t>
  </si>
  <si>
    <t>Tworzywa Sztuczne PZL Mielec Spółka z ograniczon± odpowiedzialno¶ci± Sp.k.</t>
  </si>
  <si>
    <t>Technolog - Technolog programista obrabiarek CNC</t>
  </si>
  <si>
    <t>Urz±d Statystyczny w Rzeszowie</t>
  </si>
  <si>
    <t>WITTCHEN S.A.</t>
  </si>
  <si>
    <t>Zakłady Farmaceutyczne Colfarm S.A.</t>
  </si>
  <si>
    <t>Technolog  - Laboratorium Badawczo-Rozwojowe</t>
  </si>
  <si>
    <t>3Soft S.A.</t>
  </si>
  <si>
    <t>.NET Developer</t>
  </si>
  <si>
    <t>03.04.2017</t>
  </si>
  <si>
    <t>04.04.2017</t>
  </si>
  <si>
    <t>Operator maszyn CNC - praca dla tokarzy i frezerów</t>
  </si>
  <si>
    <t>Spawacz  141 - spawanie rur, montaż ogrzewania - 2300 Euro netto, niemiecka umowa o pracę!</t>
  </si>
  <si>
    <t>Doradca ds. Klienta Biznesowego (Regionalne Centrum Biznesowe)</t>
  </si>
  <si>
    <t>Ekspert ds. Finansowania Unijnego</t>
  </si>
  <si>
    <t>Aterima Sp. z o.o. Sp.K.</t>
  </si>
  <si>
    <t>Kasjer/ Kasjerka</t>
  </si>
  <si>
    <t>Kierowca Do 3,5 T</t>
  </si>
  <si>
    <t>Kierowca samochodu osobowego</t>
  </si>
  <si>
    <t>RPd057|832203</t>
  </si>
  <si>
    <t>HR Biznes Partner</t>
  </si>
  <si>
    <t>Młodszy Specjalista Technolog</t>
  </si>
  <si>
    <t>Specjalista HR</t>
  </si>
  <si>
    <t>BAGPAK Polska Sp. z o.o.</t>
  </si>
  <si>
    <t>Specjalista ds. Procesów Chemicznych - Technolog</t>
  </si>
  <si>
    <t>Technik technologii chemicznej*</t>
  </si>
  <si>
    <t>RPd057|311603</t>
  </si>
  <si>
    <t>Specjalista Elektryk ? Automatyk</t>
  </si>
  <si>
    <t>BERNER POLSKA Sp. z o.o.</t>
  </si>
  <si>
    <t>Przedstawiciel Techniczno-Handlowy (k/m)</t>
  </si>
  <si>
    <t>Deloitte Polska</t>
  </si>
  <si>
    <t>Deloitte European Internship Program 2017 (DEIP) - Audyt</t>
  </si>
  <si>
    <t>Senior Data Architect</t>
  </si>
  <si>
    <t>Senior Specialist for M&amp;A Financial Advisory Team</t>
  </si>
  <si>
    <t>Support Specialist for M&amp;A Transaction Services - Due Diligence Team</t>
  </si>
  <si>
    <t>ed&amp;r Polska Sp. z o.o.</t>
  </si>
  <si>
    <t>Technik - Helpdesk</t>
  </si>
  <si>
    <t>Scalable Backend Developer</t>
  </si>
  <si>
    <t>Terenowy inspektor mostowy</t>
  </si>
  <si>
    <t>Inspektor budowy mostów</t>
  </si>
  <si>
    <t>RPd057|311213</t>
  </si>
  <si>
    <t>GETIN Leasing SA</t>
  </si>
  <si>
    <t>Negocjator Terenowy</t>
  </si>
  <si>
    <t>Windykator</t>
  </si>
  <si>
    <t>RPd057|421403</t>
  </si>
  <si>
    <t>Engineering Manager</t>
  </si>
  <si>
    <t>Dyrektor do spraw badawczo-rozwojowych</t>
  </si>
  <si>
    <t>RPd057|112002</t>
  </si>
  <si>
    <t>Software Management Specialist</t>
  </si>
  <si>
    <t>Przedstawiciel regionalny (branża IT)</t>
  </si>
  <si>
    <t>Happy Miles S.A.</t>
  </si>
  <si>
    <t>Instalator systemów telematycznych GPS/GPRS</t>
  </si>
  <si>
    <t>Specjalista ds. wyceny hal</t>
  </si>
  <si>
    <t>Inspektor kontroli skarbowej</t>
  </si>
  <si>
    <t>RPd057|242209</t>
  </si>
  <si>
    <t>Starszy poborca skarbowy</t>
  </si>
  <si>
    <t>Izba Skarbowa w Rzeszowie</t>
  </si>
  <si>
    <t>Komisarz skarbowy</t>
  </si>
  <si>
    <t>Inspektor obrony cywilnej</t>
  </si>
  <si>
    <t>RPd057|325513</t>
  </si>
  <si>
    <t>Sprzedawca-Kasjer</t>
  </si>
  <si>
    <t>Menadżer Salonu</t>
  </si>
  <si>
    <t>Kelly Services Poland Sp. z o.o.</t>
  </si>
  <si>
    <t>Customer Service Team Leader</t>
  </si>
  <si>
    <t>Retail Site Support Service Manager</t>
  </si>
  <si>
    <t>Senior Fixed Assets Accountant</t>
  </si>
  <si>
    <t>Kierowca C+E w transporcie międzynarodowym</t>
  </si>
  <si>
    <t>Polska, podkarpackie, Haczów</t>
  </si>
  <si>
    <t>Komenda Miejska Policji w Rzeszowie</t>
  </si>
  <si>
    <t>Pracownik produkcji, okna aluminiowe - Holandia</t>
  </si>
  <si>
    <t>Polska, podkarpackie, Rotterdam</t>
  </si>
  <si>
    <t>Dyrektor wydziału</t>
  </si>
  <si>
    <t>RPd057|142001</t>
  </si>
  <si>
    <t>Manager spedycji międzynarodowej (FTL)</t>
  </si>
  <si>
    <t>Kierownik przedsiębiorstwa spedycyjnego</t>
  </si>
  <si>
    <t>RPd057|132405</t>
  </si>
  <si>
    <t>MAYORAL POLSKA SP. Z O.O.</t>
  </si>
  <si>
    <t>Agent Handlowy</t>
  </si>
  <si>
    <t>MEDIATOR</t>
  </si>
  <si>
    <t>Specjalista odszkodowań. Praca dla najlepszych.</t>
  </si>
  <si>
    <t>Polska, podkarpackie, Rzeszów, Przemy¶l, Krosno i inne</t>
  </si>
  <si>
    <t>Miro Sp. z o.o.</t>
  </si>
  <si>
    <t>Specjalista ds. Sprzedaży - Handlowiec</t>
  </si>
  <si>
    <t>Kierownik Utrzymania Ruchu Linii Produkcyjnych</t>
  </si>
  <si>
    <t>Ochrona Juwentus Sp. z o.o.</t>
  </si>
  <si>
    <t>Specjalista ds. Kluczowych Klientów w Sektorze Usług Ochrony Fizycznej</t>
  </si>
  <si>
    <t>Okręgowy Urz±d Miar w Krakowie</t>
  </si>
  <si>
    <t>Legalizator</t>
  </si>
  <si>
    <t>RPd057|214921</t>
  </si>
  <si>
    <t>Ekspert ds. kredytów</t>
  </si>
  <si>
    <t>Kierownik zespołu doradców</t>
  </si>
  <si>
    <t>Kierownik agencji doradztwa finansowego</t>
  </si>
  <si>
    <t>RPd057|134601</t>
  </si>
  <si>
    <t>Orange Polska</t>
  </si>
  <si>
    <t>Specjalista ds. sprzedaży w Salonie firmowym Orange</t>
  </si>
  <si>
    <t>Inżynier ds. rozwoju procesu produkcji</t>
  </si>
  <si>
    <t>Starszy informatyk</t>
  </si>
  <si>
    <t>Polska Press Sp. z o. o. Oddział Rzeszów</t>
  </si>
  <si>
    <t>specjalista ds. sprzedaży</t>
  </si>
  <si>
    <t>Powiatowy Inspektorat Nadzoru Budowlanego dla Miasta Rzeszowa</t>
  </si>
  <si>
    <t>Inspektor budowlany</t>
  </si>
  <si>
    <t>RPd057|311211</t>
  </si>
  <si>
    <t>Powiatowy Inspektorat Weterynarii w Kro¶nie</t>
  </si>
  <si>
    <t>Powiatowy Inspektorat Weterynarii w Lubaczowie</t>
  </si>
  <si>
    <t>Powiatowy Inspektorat Weterynarii w Sanoku</t>
  </si>
  <si>
    <t>Powiatowy Inspektorat Weterynarii w Stalowej Woli</t>
  </si>
  <si>
    <t>Kierownik Regionalny w branży technicznej</t>
  </si>
  <si>
    <t>RTV Euro AGD</t>
  </si>
  <si>
    <t>Prowadz±cy Punkt Sprzedaży RUCH</t>
  </si>
  <si>
    <t>Sanofi-Aventis Sp. z o.o.</t>
  </si>
  <si>
    <t>Elektromechanik - Automatyk</t>
  </si>
  <si>
    <t>Storic sp. z o.o.</t>
  </si>
  <si>
    <t>Suder &amp; Suder</t>
  </si>
  <si>
    <t>Szymon</t>
  </si>
  <si>
    <t>Programista C#</t>
  </si>
  <si>
    <t>Partner Prowadz±cy Salon Prasowy</t>
  </si>
  <si>
    <t>Specjalista/Konsultant -kadry i płace.</t>
  </si>
  <si>
    <t>Time Trend</t>
  </si>
  <si>
    <t>WAGONY ¦WIDNICA sp. z o.o.</t>
  </si>
  <si>
    <t>Specjalista ds. Zarz±dzania Wagonami</t>
  </si>
  <si>
    <t>Franczyzobiorca</t>
  </si>
  <si>
    <t>Wojewódzki Inspektorat Nadzoru Budowlanego w Rzeszowie</t>
  </si>
  <si>
    <t>Rzeczoznawca budowlany</t>
  </si>
  <si>
    <t>RPd057|214210</t>
  </si>
  <si>
    <t>Wojewódzki Inspektorat Ochrony ¦rodowiska w Rzeszowie</t>
  </si>
  <si>
    <t>Zastępca naczelnika wydziału</t>
  </si>
  <si>
    <t>Wojewódzki Inspektorat Transportu Drogowego w Rzeszowie</t>
  </si>
  <si>
    <t>Aplikant</t>
  </si>
  <si>
    <t>Inspektor Inspekcji Transportu Drogowego</t>
  </si>
  <si>
    <t>RPd057|335909</t>
  </si>
  <si>
    <t>WTÓRBET Sp. z o.o.</t>
  </si>
  <si>
    <t>Majster__i__Kierownik Budowy</t>
  </si>
  <si>
    <t>Polska, podkarpackie, Dębica, JarosławLubaczów, Rzeszów, Sieniawa</t>
  </si>
  <si>
    <t>ZET Transport sp. z o.o.</t>
  </si>
  <si>
    <t>KIEROWCÓW C+E ? na trasach międzynarodowych i krajowych</t>
  </si>
  <si>
    <t>Polska, podkarpackie, Nowy S±cz</t>
  </si>
  <si>
    <t>Affidea Polska</t>
  </si>
  <si>
    <t>Opiekun Pacjenta</t>
  </si>
  <si>
    <t>30.04.2017</t>
  </si>
  <si>
    <t>Polska, podkarpackie, Krosno, Rzeszów</t>
  </si>
  <si>
    <t>Mechanik maszyn i urz±dzeń ogrodniczych</t>
  </si>
  <si>
    <t>Polska, podkarpackie, 85609 Aschheim</t>
  </si>
  <si>
    <t>Doradca inwestycyjny</t>
  </si>
  <si>
    <t>RPd057|241203</t>
  </si>
  <si>
    <t>INTERKADRA</t>
  </si>
  <si>
    <t>kasjer</t>
  </si>
  <si>
    <t>MECHANIK MASZYN</t>
  </si>
  <si>
    <t>Polska, podkarpackie, Erlangen</t>
  </si>
  <si>
    <t>Spawacz mag (135) mile widziana znajomo¶ć języka niemieckiego</t>
  </si>
  <si>
    <t>Polska, podkarpackie, Rain am Lech</t>
  </si>
  <si>
    <t>Senior Escalation Manager - Senior Quality Manager</t>
  </si>
  <si>
    <t>Kierownik Projektu (Marketing)</t>
  </si>
  <si>
    <t>24.05.2017</t>
  </si>
  <si>
    <t>29.04.2017</t>
  </si>
  <si>
    <t>25.05.2017</t>
  </si>
  <si>
    <t>Polska, podkarpackie, Ostrów</t>
  </si>
  <si>
    <t>19.05.2017</t>
  </si>
  <si>
    <t>Lakiernik Samochodowy/ Przemysłowy z językiem niemieckim!</t>
  </si>
  <si>
    <t>Polska, podkarpackie, Hesja</t>
  </si>
  <si>
    <t>Polska, podkarpackie, Niebylec</t>
  </si>
  <si>
    <t>Mobilny Technik Maszyn CNC do drewna</t>
  </si>
  <si>
    <t>Grupa Kapitałowa "Specjał"</t>
  </si>
  <si>
    <t>Polska, podkarpackie, Rzeszów, obszar woj. podkarpackiego</t>
  </si>
  <si>
    <t>HARTBEX Przedsiębiorstwo Budowlane Sp. z o.o.</t>
  </si>
  <si>
    <t>Cie¶la</t>
  </si>
  <si>
    <t>Cie¶la*</t>
  </si>
  <si>
    <t>RPd057|711501</t>
  </si>
  <si>
    <t>Meble.pl S.A</t>
  </si>
  <si>
    <t>Tarkon</t>
  </si>
  <si>
    <t>Elektryk - Elektromonter</t>
  </si>
  <si>
    <t>Inżynier ds. wysokich częstotliwo¶ci</t>
  </si>
  <si>
    <t>27.04.2017</t>
  </si>
  <si>
    <t>FREEMAN AND PROCTOR POLSKA SP Z O O</t>
  </si>
  <si>
    <t>InterPhone Service Sp. z o.o.</t>
  </si>
  <si>
    <t>Serwisant - Elektronik</t>
  </si>
  <si>
    <t>Tłoczarz w metalu</t>
  </si>
  <si>
    <t>RPd057|812118</t>
  </si>
  <si>
    <t>MGR Integration Solutions Polska Sp. z o.o.</t>
  </si>
  <si>
    <t>Linux Engineer</t>
  </si>
  <si>
    <t>Księgowa/y</t>
  </si>
  <si>
    <t>Kierownik Zmiany</t>
  </si>
  <si>
    <t>Zastępca naczelnika</t>
  </si>
  <si>
    <t>Mobilny doradca ds. klientów biznesowych w pionie Bankowo¶ci Detalicznej</t>
  </si>
  <si>
    <t>23.04.2017</t>
  </si>
  <si>
    <t>Programista CNC</t>
  </si>
  <si>
    <t>22.04.2017</t>
  </si>
  <si>
    <t>iRonin Cyprian Kowalczyk</t>
  </si>
  <si>
    <t>Senior/Lead QA Automation Engineer</t>
  </si>
  <si>
    <t>KEYENCE INTERNATIONAL</t>
  </si>
  <si>
    <t>Full Stack Developer (Java)</t>
  </si>
  <si>
    <t>Główna Księgowa / Główny Księgowy</t>
  </si>
  <si>
    <t>20.04.2017</t>
  </si>
  <si>
    <t>18.04.2017</t>
  </si>
  <si>
    <t>Biotech Sp. z o.o.</t>
  </si>
  <si>
    <t>Blachotrapez</t>
  </si>
  <si>
    <t>Doradca Handlowo-Techniczny</t>
  </si>
  <si>
    <t>CARRY Sp. z o.o.</t>
  </si>
  <si>
    <t>Tokarz/Frezer CNC</t>
  </si>
  <si>
    <t>16.04.2017</t>
  </si>
  <si>
    <t>Powiatowy Inspektorat Weterynarii w Przemy¶lu</t>
  </si>
  <si>
    <t>Smyk sp. z o.o.</t>
  </si>
  <si>
    <t>Młodszy Konstruktor</t>
  </si>
  <si>
    <t>VP Valeant Sp. z o.o. sp. j.</t>
  </si>
  <si>
    <t>Samodzielna/-y Księgowa/-y</t>
  </si>
  <si>
    <t>Wójcik Fashion S. A.</t>
  </si>
  <si>
    <t>ZM "WSK Rzeszów"</t>
  </si>
  <si>
    <t>Programista - Technolog</t>
  </si>
  <si>
    <t>Doradca Klienta (branża o¶wietleniowa)</t>
  </si>
  <si>
    <t>02.04.2017</t>
  </si>
  <si>
    <t>Specjalista ds. Handlu</t>
  </si>
  <si>
    <t>Cramo Sp. z o.o.</t>
  </si>
  <si>
    <t>Serwisant</t>
  </si>
  <si>
    <t>Specjalista zastosowań informatyki</t>
  </si>
  <si>
    <t>RPd057|251902</t>
  </si>
  <si>
    <t>Specjalista ds. Inwestycji</t>
  </si>
  <si>
    <t>Specjalista ds. sprzedaży lokali mieszkalnych</t>
  </si>
  <si>
    <t>Prowadzenie Saloniku Prasowego</t>
  </si>
  <si>
    <t>KRAVTER SP Z O O</t>
  </si>
  <si>
    <t>Franczyzobiorca - wła¶ciciel klubu sportowego</t>
  </si>
  <si>
    <t>Polska, podkarpackie, Brzostek</t>
  </si>
  <si>
    <t>mediDOK GmbH</t>
  </si>
  <si>
    <t>Front-End-Developera (m/k)</t>
  </si>
  <si>
    <t>Polska, podkarpackie, Lublin</t>
  </si>
  <si>
    <t>Software Engineer C/C++</t>
  </si>
  <si>
    <t>Telecom Network - Administrator</t>
  </si>
  <si>
    <t>Inżynier geodeta - kataster i gospodarka nieruchomo¶ciami</t>
  </si>
  <si>
    <t>RPd057|216507</t>
  </si>
  <si>
    <t>Powiatowy Inspektorat Nadzoru Budowlanego w Rzeszowie</t>
  </si>
  <si>
    <t>Inżynier Systemu Jako¶ci</t>
  </si>
  <si>
    <t>Mechanilk Napraw Silników APU</t>
  </si>
  <si>
    <t>Personel Po¶wiadczaj±cy w Dziale Jako¶ci Remontów i Napraw</t>
  </si>
  <si>
    <t>Randstad Engineering (Randstad Professionals)</t>
  </si>
  <si>
    <t>Kierownik robót - instalacje przemysłowe</t>
  </si>
  <si>
    <t>Inżynier budownictwa - budownictwo przemysłowe</t>
  </si>
  <si>
    <t>RPd057|214203</t>
  </si>
  <si>
    <t>konstruktor</t>
  </si>
  <si>
    <t>Specjalista do spraw ergonomii i projektowania form użytkowych</t>
  </si>
  <si>
    <t>RPd057|214924</t>
  </si>
  <si>
    <t>Industrialization Engineer</t>
  </si>
  <si>
    <t>Mistrz produkcji w przemy¶le samochodowym</t>
  </si>
  <si>
    <t>RPd057|312207</t>
  </si>
  <si>
    <t>Senior Industrialization Engineer</t>
  </si>
  <si>
    <t>Tooling Designer</t>
  </si>
  <si>
    <t>Konstruktor form wtryskowych</t>
  </si>
  <si>
    <t>RPd057|214411</t>
  </si>
  <si>
    <t>Space Global Mariusz Barwiński</t>
  </si>
  <si>
    <t>Operator żurawia wieżowego</t>
  </si>
  <si>
    <t xml:space="preserve">Polska, podkarpackie, Warszawa, Wrocław, Kraków, </t>
  </si>
  <si>
    <t>RPd057|834317</t>
  </si>
  <si>
    <t>Starszy statystyk</t>
  </si>
  <si>
    <t>Valeant Sp. z o.o. sp.j.</t>
  </si>
  <si>
    <t>Specjalista Działu ds. Planowania w  Łańcuchu Dostaw</t>
  </si>
  <si>
    <t>01.04.2017</t>
  </si>
  <si>
    <t>Specjalista ds. Procesów Magazynowych</t>
  </si>
  <si>
    <t>eSmoking World (CHIC Sp. z o.o. Sp. k.)</t>
  </si>
  <si>
    <t>Polska, podkarpackie, Rzeszów, Stalowa Wola, Ropczyce, Lubaczów, Dębica, Jasło, Mielec</t>
  </si>
  <si>
    <t>Konstruktor 3D/2D</t>
  </si>
  <si>
    <t>Pozostali kre¶larze</t>
  </si>
  <si>
    <t>RPd057|311890</t>
  </si>
  <si>
    <t>Zakłady Automatyki ?POLNA? SA w Przemy¶lu</t>
  </si>
  <si>
    <t>Zielona Budka (Mielec) Sp. z o.o.</t>
  </si>
  <si>
    <t>Młodszy Analityk Finansowy</t>
  </si>
  <si>
    <t>Elektryk - Automatyk</t>
  </si>
  <si>
    <t>1. Liczba ofert w podziale na portale</t>
  </si>
  <si>
    <t>2. Liczba ofert w podziale na portale</t>
  </si>
  <si>
    <t>3. Liczba ofert w podziale na portale</t>
  </si>
  <si>
    <t>4. Liczba ofert w podziale na portale</t>
  </si>
  <si>
    <t>5. Liczba ofert w podziale na portale</t>
  </si>
  <si>
    <t>6. Liczba ofert w podziale na portale</t>
  </si>
  <si>
    <t>9. Liczba ofert w podziale na portale</t>
  </si>
  <si>
    <t>10. Liczba ofert w podziale na portale</t>
  </si>
  <si>
    <t>II p. 2016</t>
  </si>
  <si>
    <t>I p. 2017</t>
  </si>
  <si>
    <t>II p. 2017</t>
  </si>
  <si>
    <t>I p. 2018</t>
  </si>
  <si>
    <t>II p. 2018</t>
  </si>
  <si>
    <t>I kw. 2019</t>
  </si>
  <si>
    <t>II kw. 2019</t>
  </si>
  <si>
    <t>III kw. 2019</t>
  </si>
  <si>
    <t>IV kw. 2019</t>
  </si>
  <si>
    <t>2017-2019</t>
  </si>
  <si>
    <t>A. Liczba ofert w podziale na portale</t>
  </si>
  <si>
    <t>B. Liczba ofert w podziale na portale</t>
  </si>
  <si>
    <t>Liczba miejsc pracy w podziale na branże</t>
  </si>
  <si>
    <t>Polska Sieć Windykacji sp. z o.o. sp. k.</t>
  </si>
  <si>
    <t>Windykator Terenowy</t>
  </si>
  <si>
    <t>22.05.2019</t>
  </si>
  <si>
    <t>23.05.2019</t>
  </si>
  <si>
    <t>Technolog Produkcyjny</t>
  </si>
  <si>
    <t>"GAMRAT" Spółka Akcyjna</t>
  </si>
  <si>
    <t>Polski Holding Hotelowy sp. z o.o.</t>
  </si>
  <si>
    <t>Szef Kuchni</t>
  </si>
  <si>
    <t>Stolarz - produkcja placów zabaw</t>
  </si>
  <si>
    <t>Stolarz budowlany</t>
  </si>
  <si>
    <t>RPd057|711503</t>
  </si>
  <si>
    <t>Starszy Opiekun Finansowy</t>
  </si>
  <si>
    <t>24.05.2019</t>
  </si>
  <si>
    <t>sprzedawca-kasjer Sokołów Małopolski</t>
  </si>
  <si>
    <t>Polska, podkarpackie, Sokołów Małopolski</t>
  </si>
  <si>
    <t>Sprzedawca-kasjer</t>
  </si>
  <si>
    <t>Polska, podkarpackie, Zagórz</t>
  </si>
  <si>
    <t>Sprz±tacz/ka Biur i Pomieszczeń Socjalnych</t>
  </si>
  <si>
    <t>Specjalista ds. wsparcia sprzedaży</t>
  </si>
  <si>
    <t>Specjalista ds. rozwoju procesów HR</t>
  </si>
  <si>
    <t>Specjalista ds. obsługi zamówień</t>
  </si>
  <si>
    <t>AUTO-RES Sp z o.o.</t>
  </si>
  <si>
    <t>Specjalista ds. Contact Center</t>
  </si>
  <si>
    <t>Specjalista ds. administracyjno-księgowych</t>
  </si>
  <si>
    <t>Project Planning Engineer</t>
  </si>
  <si>
    <t>Program Manager</t>
  </si>
  <si>
    <t>Pomocnik Operatora</t>
  </si>
  <si>
    <t>Operator Produkcji</t>
  </si>
  <si>
    <t>Operator maszyn i urz±dzeń przemysłu spożywczego*</t>
  </si>
  <si>
    <t>RPd057|816003</t>
  </si>
  <si>
    <t>Baltic Wood S.A.</t>
  </si>
  <si>
    <t>Operator Linii Produkcyjnej</t>
  </si>
  <si>
    <t>OPERATOR GAZOCIˇGÓW PRZESYŁOWYCH GAZ-SYSTEM S.A.</t>
  </si>
  <si>
    <t>Młodszy Specjalista w Terenowej Jednostce Eksploatacji</t>
  </si>
  <si>
    <t>Młodszy Metalurg ? procesy spajania i obróbka cieplna</t>
  </si>
  <si>
    <t>Młodszy Dysponent ds. Sprzedaży i obsługi Contact Center</t>
  </si>
  <si>
    <t>TABOR DĘBICA SPÓŁKA Z OGRANICZONˇ ODPOWIEDZIALNO¦CIˇ</t>
  </si>
  <si>
    <t>Mistrz Utrzymania Ruchu</t>
  </si>
  <si>
    <t>Mistrz produkcji w budownictwie kolejowym</t>
  </si>
  <si>
    <t>RPd057|312302</t>
  </si>
  <si>
    <t>Lider Projektów Silnikowych ? Lider STO</t>
  </si>
  <si>
    <t>Dressler Dublin Spółka z ograniczon± odpowiedzialno¶ci±, wła¶ciciel sieci "Księgarnie ¦wiat Ksi±żki"</t>
  </si>
  <si>
    <t>Księgarz ? Sprzedawca</t>
  </si>
  <si>
    <t>Exact Systems Sp. z o.o.</t>
  </si>
  <si>
    <t>Kontroler/-ka Jako¶ci</t>
  </si>
  <si>
    <t>Kierownik techniczny</t>
  </si>
  <si>
    <t>Kierownik Sprzedaży</t>
  </si>
  <si>
    <t>Kierownik Sieci Detalicznej Sklepów Firmowych</t>
  </si>
  <si>
    <t>Kierownik recepcji</t>
  </si>
  <si>
    <t>RPd057|141101</t>
  </si>
  <si>
    <t>Kierownik gastronomii</t>
  </si>
  <si>
    <t>IT Analyst with Swedish (1st Line Support)</t>
  </si>
  <si>
    <t>Inżynier ds. integracji i testowania sieci 4G/5G - Kraków</t>
  </si>
  <si>
    <t>Inżynier budowy (branża gazownicza)</t>
  </si>
  <si>
    <t>Handlowiec ? specjalista ds. zakupów</t>
  </si>
  <si>
    <t>Główna Ksiegowa</t>
  </si>
  <si>
    <t>SKY BRANDS SPÓŁKA Z OGRANICZONˇ ODPOWIEDZIALNO¦CIˇ</t>
  </si>
  <si>
    <t>Fryzjer - Stylista</t>
  </si>
  <si>
    <t>IT LEASINGTEAM SP Z O O</t>
  </si>
  <si>
    <t>Front-end Developer/Designer</t>
  </si>
  <si>
    <t>Arche Consulting Sp z o.o. Sp. k.</t>
  </si>
  <si>
    <t>Doradca Klienta z językiem francuskim</t>
  </si>
  <si>
    <t>Santander Consumer Bank SA</t>
  </si>
  <si>
    <t>Meble Heban</t>
  </si>
  <si>
    <t>MILLE SAPORI PLUS sp. z o.o.</t>
  </si>
  <si>
    <t>Doradca Handlowy w kanale HoReCa</t>
  </si>
  <si>
    <t>Dawtona Sp. z o.o.</t>
  </si>
  <si>
    <t>Doradca Handlowy ds. gastronomii</t>
  </si>
  <si>
    <t>Automatyk (automatyka budynkowów)</t>
  </si>
  <si>
    <t>Asystent ds. Rekrutacji i Szkoleń</t>
  </si>
  <si>
    <t>Kelvion Central Europe Sp. z o.o</t>
  </si>
  <si>
    <t>Sezonowosć</t>
  </si>
  <si>
    <t>rok</t>
  </si>
  <si>
    <t>Ip. 2017</t>
  </si>
  <si>
    <t>IIp. 2017</t>
  </si>
  <si>
    <t>Ip. 2018</t>
  </si>
  <si>
    <t>IIp. 2018</t>
  </si>
  <si>
    <t>Ip. 2019</t>
  </si>
  <si>
    <t>IIp. 2019</t>
  </si>
  <si>
    <t>Handel i usługi, służba zdrowia</t>
  </si>
  <si>
    <t>29.05.2019</t>
  </si>
  <si>
    <t>30.05.2019</t>
  </si>
  <si>
    <t>Agencja Zatrudnienia KS Service sp. z o.o.</t>
  </si>
  <si>
    <t>C# Developer - atrakcyjne warunki zatrudnienia - Przemy¶l</t>
  </si>
  <si>
    <t>C# Developer - atrakcyjne warunki zatrudnienia - Rzeszów</t>
  </si>
  <si>
    <t>Antal Engineering &amp; Operations</t>
  </si>
  <si>
    <t>AXELO OSTROWSKI DOMAGALSKI I WSPÓLNICY sp.k.</t>
  </si>
  <si>
    <t>Menedżer Biura - Office Manager</t>
  </si>
  <si>
    <t>Kierownik biura</t>
  </si>
  <si>
    <t>31.05.2019</t>
  </si>
  <si>
    <t>RPd057|334101</t>
  </si>
  <si>
    <t>Specjalista ds. Planowania</t>
  </si>
  <si>
    <t>Stażysta/tka w Dziale BHP i Ochrony ¦rodowiska</t>
  </si>
  <si>
    <t>Konstruktor Oprzyrz±dowania Technologicznego</t>
  </si>
  <si>
    <t>CADWORKS SYSTEMS SPÓŁKA Z OGRANICZONˇ ODPOWIEDZIALNO¦CIˇ</t>
  </si>
  <si>
    <t>Specjalista Techniczny CAD/CAM</t>
  </si>
  <si>
    <t>Kurier/Kurierka</t>
  </si>
  <si>
    <t>Grupa Jasol S.A</t>
  </si>
  <si>
    <t>Młodszy specjalista w dziale finansowym - Grupa Jasol S.A</t>
  </si>
  <si>
    <t>Hotel ATENA **** Centrum Biznesowe</t>
  </si>
  <si>
    <t>House of English</t>
  </si>
  <si>
    <t>nauczyciel języka angielskiego</t>
  </si>
  <si>
    <t>HTI BP</t>
  </si>
  <si>
    <t>Specjalista techniczno-handlowy w branży instalacyjnej</t>
  </si>
  <si>
    <t>inFakt Sp. z o.o.</t>
  </si>
  <si>
    <t>Księgowy/a</t>
  </si>
  <si>
    <t>Pracownik sklepu - praca na wakacje Ustrzyki Dolne</t>
  </si>
  <si>
    <t>sprzedawca-kasjer Głogów Małopolski</t>
  </si>
  <si>
    <t>Umowa zlecenie wakacje LESKO</t>
  </si>
  <si>
    <t>Zastępca Kierownika Sklepu USTRZYKI DOLNE</t>
  </si>
  <si>
    <t>Justus</t>
  </si>
  <si>
    <t>Pracownik Ochrony</t>
  </si>
  <si>
    <t>Kontroler Zarz±dzania Sklepu</t>
  </si>
  <si>
    <t>Pracownik hali w markecie budowlanym</t>
  </si>
  <si>
    <t>Pracownik sektora przyjęcia i rozładunku towaru w markecie budowlanym</t>
  </si>
  <si>
    <t>CMM Engineer</t>
  </si>
  <si>
    <t>Mobus Sp. z o.o.</t>
  </si>
  <si>
    <t>Specjalista ds. zaopatrzenia</t>
  </si>
  <si>
    <t>Technik hutnik*</t>
  </si>
  <si>
    <t>RPd057|311704</t>
  </si>
  <si>
    <t>Orbico Sp. z o.o.</t>
  </si>
  <si>
    <t>Manager Techniczny ds. Kluczowych Klientów AFH</t>
  </si>
  <si>
    <t>Specjalista ds. rekrutacji międzynarodowej na rynek niemiecki</t>
  </si>
  <si>
    <t>"PEKAO LEASING" Sp. z o.o.</t>
  </si>
  <si>
    <t>Doradca Klienta ds. Leasingu</t>
  </si>
  <si>
    <t>Embedded C Developer (automotive)</t>
  </si>
  <si>
    <t>STYROBUD B.T.K. Radomscy Sp.j.</t>
  </si>
  <si>
    <t>Zastępca Kierownika Zakładu Prefabrykacji Betonowej</t>
  </si>
  <si>
    <t>Inżynier technologii betonów</t>
  </si>
  <si>
    <t>RPd057|214912</t>
  </si>
  <si>
    <t>Serwisant Robotów</t>
  </si>
  <si>
    <t>Towarzystwo Ubezpieczeń Wzajemnych TUW</t>
  </si>
  <si>
    <t>Inspektor - specjalista ds. prawnych</t>
  </si>
  <si>
    <t>UNIDEX</t>
  </si>
  <si>
    <t>Operator - programista wycinarki laserowej</t>
  </si>
  <si>
    <t>Polska, podkarpackie, Straszęcin (pow. dębicki)</t>
  </si>
  <si>
    <t>Operator obrabiarki CNC</t>
  </si>
  <si>
    <t>Operator prasy krawędziowej</t>
  </si>
  <si>
    <t>Waldemar</t>
  </si>
  <si>
    <t>Opiekunka dla osoby niepełnosprawnej</t>
  </si>
  <si>
    <t>Opiekunka ¶rodowiskowa*</t>
  </si>
  <si>
    <t>RPd057|341204</t>
  </si>
  <si>
    <t>Zintegrowane Systemy Techniczne Sp. z o.o.</t>
  </si>
  <si>
    <t>Technik Mobilny</t>
  </si>
  <si>
    <t>ile wierszy</t>
  </si>
  <si>
    <t>liczba miejsc pracy</t>
  </si>
  <si>
    <t>%</t>
  </si>
  <si>
    <t>ADC Team Leader - Audit Delivery Center</t>
  </si>
  <si>
    <t>Biegły rewident</t>
  </si>
  <si>
    <t>07.08.2019</t>
  </si>
  <si>
    <t>29.08.2019</t>
  </si>
  <si>
    <t>RPd057|241101</t>
  </si>
  <si>
    <t>Administrator systemów IT</t>
  </si>
  <si>
    <t>C+N Polska Sp. z o.o.</t>
  </si>
  <si>
    <t>Administrator systemu ERP/Koordynator ds. IT</t>
  </si>
  <si>
    <t>14.08.2019</t>
  </si>
  <si>
    <t>Ajent Saloniku Kolportera</t>
  </si>
  <si>
    <t>Kolporter Sp. z o.o. s.k.</t>
  </si>
  <si>
    <t>Ajent Saloniku Kolportera-Sędziszów Małopolski</t>
  </si>
  <si>
    <t>Analityk danych językowych z j. francuskim</t>
  </si>
  <si>
    <t>21.08.2019</t>
  </si>
  <si>
    <t>Sky-Shop.pl</t>
  </si>
  <si>
    <t>Angular Front-End Developer</t>
  </si>
  <si>
    <t>Architekt Java</t>
  </si>
  <si>
    <t>28.08.2019</t>
  </si>
  <si>
    <t>NordWOOD Sp. z o.o.</t>
  </si>
  <si>
    <t>Asystent Projektanta Konstrukcji</t>
  </si>
  <si>
    <t>30.08.2019</t>
  </si>
  <si>
    <t>AUTOMATYK</t>
  </si>
  <si>
    <t>Autoryzowany Przedstawiciel</t>
  </si>
  <si>
    <t>THC FUND MANAGEMENT SP. Z O.O.</t>
  </si>
  <si>
    <t>CFO - Dyrektor Finansowy</t>
  </si>
  <si>
    <t>Concession Engineer</t>
  </si>
  <si>
    <t>Derma-Coach - Dermokonsultanka</t>
  </si>
  <si>
    <t>Doradca ds. obsługi Klienta Biznesowego</t>
  </si>
  <si>
    <t>OKENO SPÓŁKA AKCYJNA</t>
  </si>
  <si>
    <t>26.08.2019</t>
  </si>
  <si>
    <t>Thermo Systems Sp.z o.o.</t>
  </si>
  <si>
    <t>Doradca techniczny</t>
  </si>
  <si>
    <t>Dyrektor ds. Rozwoju i Technologii</t>
  </si>
  <si>
    <t>Dyrektor Techniczny</t>
  </si>
  <si>
    <t>Ekspert ds. Analiz Kredytowych - segment agro</t>
  </si>
  <si>
    <t>ELEKTROMECHANIK</t>
  </si>
  <si>
    <t>Przedsiębiorstwo Pomiarów i Automatyki "PiA-ZAP" Sp. z o.o.</t>
  </si>
  <si>
    <t>Elektromonter w Dziale Napraw</t>
  </si>
  <si>
    <t>ERP Consultant</t>
  </si>
  <si>
    <t>POLSKIE STOWARZYSZENIE NA RZECZ OSÓB Z NIEPEŁNOSPRAWNO¦CIˇ INTELEKTUALNˇ KOŁO W JAROSŁAWIU</t>
  </si>
  <si>
    <t>Fizjoterapeutka / Fizjoterapeuta</t>
  </si>
  <si>
    <t>Żabka Polska spółka z ograniczon± odpowiedzialno¶ci±</t>
  </si>
  <si>
    <t>Franczyzobiorca Sklepu</t>
  </si>
  <si>
    <t>Frontend Developer (greenfieldowy projekt)</t>
  </si>
  <si>
    <t>LEDIKO sp. z o.o.</t>
  </si>
  <si>
    <t>Handlowiec w branży B2B</t>
  </si>
  <si>
    <t>Inspektor ds. Jako¶ci w branży lotniczej</t>
  </si>
  <si>
    <t>Instruktor - Szkoleniowiec spawania</t>
  </si>
  <si>
    <t>Inżynier Analiz Wytrzymało¶ciowych (Stażysta)</t>
  </si>
  <si>
    <t>"Painpol" Posadzki Przemysłowe</t>
  </si>
  <si>
    <t>Inżynier budowlany</t>
  </si>
  <si>
    <t>ELEKTROMONTAŻ KRAKÓW SA</t>
  </si>
  <si>
    <t>Inżynier Budowy - Inżynier Robót Elektrycznych</t>
  </si>
  <si>
    <t>Inżynier Budowy (Infrastruktura drogowa)</t>
  </si>
  <si>
    <t>Inżynier ds. Nadzoru Jako¶ci Dostawców</t>
  </si>
  <si>
    <t>Inżynier technologii szkła</t>
  </si>
  <si>
    <t>RPd057|214916</t>
  </si>
  <si>
    <t>Inżynier Oprogramowania</t>
  </si>
  <si>
    <t>Inżynier produkcji - Absolwent</t>
  </si>
  <si>
    <t>Inżynier Projektów Silnikowych</t>
  </si>
  <si>
    <t>Inżynier rozwoju produktu</t>
  </si>
  <si>
    <t>Junior Analyst</t>
  </si>
  <si>
    <t>Kasjer praca tylko na kasie KOLBUSZOWA</t>
  </si>
  <si>
    <t>Colas Polska sp. z o.o.</t>
  </si>
  <si>
    <t>Kierownik budowy - Kierownik robót sanitarnych</t>
  </si>
  <si>
    <t>IDES Consultants Polska</t>
  </si>
  <si>
    <t>Kierownik Działu Kontroli Jako¶ci</t>
  </si>
  <si>
    <t>PROMIS P. Misiura Sp.J.</t>
  </si>
  <si>
    <t>Kierownik Działu Posadzek Betonowych</t>
  </si>
  <si>
    <t>Kierownik Robót - sieci przesyłowe gazu (Budownictwo Przemysłowe)</t>
  </si>
  <si>
    <t>Quicklive</t>
  </si>
  <si>
    <t>Kierownik Sklepu Sportowego</t>
  </si>
  <si>
    <t>MARILYN Sp. z o.o. - Sp. k.</t>
  </si>
  <si>
    <t>Kierownik /Sprzedawca</t>
  </si>
  <si>
    <t>BORIMEX ZK Sp. z o.o.</t>
  </si>
  <si>
    <t>Konstruktor maszyn</t>
  </si>
  <si>
    <t>Konstruktor struktur kompozytowych</t>
  </si>
  <si>
    <t>INGLOT SP. Z O.O.</t>
  </si>
  <si>
    <t>Konsultant ds. Sprzedaży/Wizażu</t>
  </si>
  <si>
    <t>Koordynator ds. Projektu</t>
  </si>
  <si>
    <t>Zakład Przetwórstwa Owoców i Warzyw ?Vortumnus? Sp. z o.o.</t>
  </si>
  <si>
    <t>Polska, podkarpackie, Skołyszyn (pow. jasielski)</t>
  </si>
  <si>
    <t>ModulesGarden</t>
  </si>
  <si>
    <t>Marketing Assistant</t>
  </si>
  <si>
    <t>Forex Polska Sp. z o.o.</t>
  </si>
  <si>
    <t>Mechanik - Serwisant Maszyn Le¶nych</t>
  </si>
  <si>
    <t>Mechanik utrzymania ruchu</t>
  </si>
  <si>
    <t>Technik utrzymania ruchu</t>
  </si>
  <si>
    <t>RPd057|311514</t>
  </si>
  <si>
    <t>TRANSSPED Sp. z o.o.  Sp. k.</t>
  </si>
  <si>
    <t>Mechanik-Elektromechanik Samochodowy</t>
  </si>
  <si>
    <t>Solartime Sp. z o.o.</t>
  </si>
  <si>
    <t>Menedżer Rozwoju Sieci Sprzedaży (Fotowoltaika)</t>
  </si>
  <si>
    <t>Metrolog</t>
  </si>
  <si>
    <t>RPd057|214922</t>
  </si>
  <si>
    <t>Młodszy dysponent ds. Sprzedaży i obsługi contact center</t>
  </si>
  <si>
    <t>Młodszy Planista Łańcucha Dostaw</t>
  </si>
  <si>
    <t>Młodszy Specjalista ds. Personalnych</t>
  </si>
  <si>
    <t>Młodszy Specjalista ds. personalnych</t>
  </si>
  <si>
    <t>Młodszy technolog - Staż</t>
  </si>
  <si>
    <t>BH-RES Mędrek i wspólnicy Sp. J.</t>
  </si>
  <si>
    <t>MONTER INSTALACJI WENTYLACJI.</t>
  </si>
  <si>
    <t>Monter / konserwator instalacji wentylacyjnych i klimatyzacyjnych</t>
  </si>
  <si>
    <t>RPd057|712703</t>
  </si>
  <si>
    <t>PKP TELKOL sp. z o.o.</t>
  </si>
  <si>
    <t>Monter sieci kablowych</t>
  </si>
  <si>
    <t>RPd057|741301</t>
  </si>
  <si>
    <t>Network Services Specialist</t>
  </si>
  <si>
    <t>Operator CMM</t>
  </si>
  <si>
    <t>Marie Brizard Wine &amp; Spirits Sp. z o.o.</t>
  </si>
  <si>
    <t>OPERATOR DESTYLARNI -MECHANIK/AUTOMATYK W DZIALE UTRZYMANIA  RUCHU -MISTRZ/LIDER ZMIANY</t>
  </si>
  <si>
    <t>Operator urz±dzeń destylacyjnych</t>
  </si>
  <si>
    <t>RPd057|813106</t>
  </si>
  <si>
    <t>POLNA</t>
  </si>
  <si>
    <t>Elektromonter maszyn elektrycznych</t>
  </si>
  <si>
    <t>RPd057|741210</t>
  </si>
  <si>
    <t>Zakład Produkcyjno Handlowy Hurtownia Czę¶ci Zamiennych Jan Tarapata</t>
  </si>
  <si>
    <t>Operator obrabiarek skrawaj±cych</t>
  </si>
  <si>
    <t>OPERATOR PRODUKCJI MONTAŻ</t>
  </si>
  <si>
    <t>Operator urz±dzeń montażowych</t>
  </si>
  <si>
    <t>Operator/ka Wózka Widłowego - Pracownik/Pracownica Terminalu</t>
  </si>
  <si>
    <t>BorgWarner Poland Sp. z o.o. ? Centrum Techniczne</t>
  </si>
  <si>
    <t>Paid Internship in Design Department</t>
  </si>
  <si>
    <t>Pracownik Hali - Dział Spożywczy</t>
  </si>
  <si>
    <t>Ampli HR</t>
  </si>
  <si>
    <t>Pracownik hotelu (General Assistant) sieć hoteli *** od zaraz !</t>
  </si>
  <si>
    <t>Pracownik pomocniczy obsługi hotelowej*</t>
  </si>
  <si>
    <t>Polska, podkarpackie, Anglia</t>
  </si>
  <si>
    <t>RPd057|911205</t>
  </si>
  <si>
    <t>Pracownik porz±dkowy terenów zewnętrznych oraz zielonych</t>
  </si>
  <si>
    <t>RPd057|921401</t>
  </si>
  <si>
    <t>Pracownik sklepu-nocne wykładanie towaru KOLBUSZOWA</t>
  </si>
  <si>
    <t>Pracownik transportu wewnętrznego</t>
  </si>
  <si>
    <t>Programista baz danych systemów klasy MES</t>
  </si>
  <si>
    <t>"HUTA SZKŁA W JA¦LE" S.A.</t>
  </si>
  <si>
    <t>Programista maszyn CNC</t>
  </si>
  <si>
    <t>Alures Sp. z o.o.</t>
  </si>
  <si>
    <t>Projektant/Konstruktor Konstrukcji Aluminiowo ? Szklanych</t>
  </si>
  <si>
    <t>HYDROSOLAR Sp. z o.o. PODKARPACIE</t>
  </si>
  <si>
    <t>Farmapol Sp. z o.o.</t>
  </si>
  <si>
    <t>EXPERTOO INTERNATIONAL POLAND sp. z o.o.</t>
  </si>
  <si>
    <t>Przedstawiciel Handlowy ? branża gazy techniczne</t>
  </si>
  <si>
    <t>Sequoia Pharmaceuticals Sp. z o.o.</t>
  </si>
  <si>
    <t>Symphar Sp. z o.o.</t>
  </si>
  <si>
    <t>Przedstawiciel Medyczny linia ginekologiczno-urologiczna</t>
  </si>
  <si>
    <t>Przedstawiciel Ubezpieczeniowy Premium</t>
  </si>
  <si>
    <t>Ferrero Polska Commercial Sp. z o.o.</t>
  </si>
  <si>
    <t>Przedstawicielka Handlowa / Przedstawiciel Handlowy</t>
  </si>
  <si>
    <t>PCWO</t>
  </si>
  <si>
    <t>Radca prawny - Adwokat</t>
  </si>
  <si>
    <t>Adwokat</t>
  </si>
  <si>
    <t>RPd057|261101</t>
  </si>
  <si>
    <t>Referent produkcji</t>
  </si>
  <si>
    <t>E100 International Trade sp. z o.o</t>
  </si>
  <si>
    <t>Tchibo Warszawa Sp. z o.o.</t>
  </si>
  <si>
    <t>Researcher - Freelancer</t>
  </si>
  <si>
    <t>Broker informacji (researcher)</t>
  </si>
  <si>
    <t>RPd057|262204</t>
  </si>
  <si>
    <t>Dobra Księgowo¶ć Sp. z o.o.</t>
  </si>
  <si>
    <t>Samodzielna księgowa /-owy do biura rachunkowego</t>
  </si>
  <si>
    <t>Social Media ? Asystent</t>
  </si>
  <si>
    <t>Specjalista do spraw public relations</t>
  </si>
  <si>
    <t>RPd057|243203</t>
  </si>
  <si>
    <t>STALKONCEPT sp. z o.o.</t>
  </si>
  <si>
    <t>Specjalista do działu zaopatrzenia i logistyki - konstrukcje stalowe</t>
  </si>
  <si>
    <t>Specjalista ds. dekoracji i montażu</t>
  </si>
  <si>
    <t>Drukarz tkanin</t>
  </si>
  <si>
    <t>RPd057|732203</t>
  </si>
  <si>
    <t>Specjalista ds. Elektrycznych</t>
  </si>
  <si>
    <t>Woerwag Pharma Polska Sp.  z o. o.</t>
  </si>
  <si>
    <t>Specjalista ds. Kluczowych Klientów - Key Account Specialist</t>
  </si>
  <si>
    <t>Remak-Energomontaż S.A.</t>
  </si>
  <si>
    <t>Specjalista ds. kontroli jako¶ci</t>
  </si>
  <si>
    <t>Specjalista ds. Kontrolingu</t>
  </si>
  <si>
    <t>Specjalista ds. kontrolingu i raportowania</t>
  </si>
  <si>
    <t>NEW ANNA COSMETICS SP. Z O.O.</t>
  </si>
  <si>
    <t>Womak Holding SA. M.</t>
  </si>
  <si>
    <t>Specjalista ds. Marketingu</t>
  </si>
  <si>
    <t>Firma B-Consulting Bartłomiej Gębarowski</t>
  </si>
  <si>
    <t>Specjalista ds. organizacji szkoleń</t>
  </si>
  <si>
    <t>Specjalista ds. podatkowo-księgowych</t>
  </si>
  <si>
    <t>Specjalista ds. Raportowania i Analiz HR</t>
  </si>
  <si>
    <t>Specjalista ds. sprzedaży  w dziale Handlu Zagranicznego</t>
  </si>
  <si>
    <t>Polska, podkarpackie, Tuszów Narodowy (pow. mielecki)</t>
  </si>
  <si>
    <t>Z-Power Sp. z o.o.</t>
  </si>
  <si>
    <t>Specjalista ds. sprzedaży internetowej i marketingu</t>
  </si>
  <si>
    <t>Specjalista ds. Sprzedaży w Centrum Kart S.A</t>
  </si>
  <si>
    <t>Carl Zeiss sp. z o.o.</t>
  </si>
  <si>
    <t>Specjalista serwisu technicznego</t>
  </si>
  <si>
    <t>Technik urz±dzeń sanitarnych*</t>
  </si>
  <si>
    <t>RPd057|311209</t>
  </si>
  <si>
    <t>Specjalista w dziale produkcji</t>
  </si>
  <si>
    <t>Specjalista w obszarze lakierowania</t>
  </si>
  <si>
    <t>Malarz-lakiernik konstrukcji i wyrobów metalowych</t>
  </si>
  <si>
    <t>RPd057|713207</t>
  </si>
  <si>
    <t>CIECH Sarzyna S.A.</t>
  </si>
  <si>
    <t>Specjalista Wsparcia Sprzedaży</t>
  </si>
  <si>
    <t>Spedytor kolejowy</t>
  </si>
  <si>
    <t>TK MAXX</t>
  </si>
  <si>
    <t>KIK Textil Sp. z o.o.</t>
  </si>
  <si>
    <t>KRZYSZTOF WˇSOWICZ ZABAWKI KiM</t>
  </si>
  <si>
    <t>Sprzedawca w Sklepie z Zabawkami</t>
  </si>
  <si>
    <t>Stażysta w Sekcji Planowania (Łańcuch Dostaw)</t>
  </si>
  <si>
    <t>Stażysta/ka w Dziale Personalnym</t>
  </si>
  <si>
    <t>Stażysta/ka w Sekcji Laboratorium (Dział Rozwoju)</t>
  </si>
  <si>
    <t>Szef Programu / Program Manager</t>
  </si>
  <si>
    <t>¦lusarz - Monter</t>
  </si>
  <si>
    <t>¦lusarz galanterii metalowej</t>
  </si>
  <si>
    <t>RPd057|722205</t>
  </si>
  <si>
    <t>BorgWarner Poland Sp. z o.o. ? Turbo Systems</t>
  </si>
  <si>
    <t>Technik Analizy Zwrotów Gwarancyjnych</t>
  </si>
  <si>
    <t>Technik analityk*</t>
  </si>
  <si>
    <t>RPd057|311103</t>
  </si>
  <si>
    <t>Technik Obsługi Obiektu</t>
  </si>
  <si>
    <t>Technolog ?Programista maszyn CNC</t>
  </si>
  <si>
    <t>Gemini Polska Sp. z o.o.</t>
  </si>
  <si>
    <t>Terenowy koordynator ds. personalnych</t>
  </si>
  <si>
    <t>Tokarz (m/k)</t>
  </si>
  <si>
    <t>RPd057|722314</t>
  </si>
  <si>
    <t>Wyprawianie skór - od 12,42 euro brutto za godzinę - praca w Belgii</t>
  </si>
  <si>
    <t>Garbarz skór*</t>
  </si>
  <si>
    <t>RPd057|753501</t>
  </si>
  <si>
    <t>Adres strony internetowej zawierającej ofertę</t>
  </si>
  <si>
    <t>Data zakończenia ważności oferty</t>
  </si>
  <si>
    <t>Kody terytorialne powiatów, których dotyczy oferta</t>
  </si>
  <si>
    <t>Liczba powiatów powiązanych z ofertą</t>
  </si>
  <si>
    <t>Opis ogólnych wymagań</t>
  </si>
  <si>
    <t>Opis zakresu obowiązków</t>
  </si>
  <si>
    <t>Typ oferty</t>
  </si>
  <si>
    <t>druk-24h.com.pl</t>
  </si>
  <si>
    <t>20.11.2019</t>
  </si>
  <si>
    <t>26.11.2019</t>
  </si>
  <si>
    <t>Polska, podkarpackie, podkarpackie / Home Office</t>
  </si>
  <si>
    <t>https://www.praca.pl/account-manager_2734697.html</t>
  </si>
  <si>
    <t>&lt;br /&gt;Wymagania:&lt;br /&gt;- znajomość branży wydawniczej (druku cyfrowego) jest warunkiem koniecznym.&lt;br /&gt;- znajomość technologii druku&lt;br /&gt;- doświadczenie w sprzedaży usług poligraficznych (najlepiej w drukarni dziełowej)&lt;br /&gt;- umiejętność dobrej organizacji własnego czasu pracy&lt;br /&gt;- do obsługi klientów zagranicznych konieczna znajomość języka niemieckiego lub i angielskiego (konieczność codziennych kontaktów telefonicznych i e-mailowych)&lt;br /&gt;</t>
  </si>
  <si>
    <t>&lt;br /&gt;Miejsce pracy: Białystok stacjonarnie biuro drukarni lub Home Office region Polska&lt;br /&gt;Nr ref.: AM&lt;br /&gt;Główne zadania:&lt;br /&gt;- pozyskiwanie nowych klientów biznesowych oraz obsługa istniejących na podległym terenie&lt;br /&gt;- prezentowanie oferty usług poligraficznych&lt;br /&gt;- realizowanie założonych celów sprzedażowych&lt;br /&gt;</t>
  </si>
  <si>
    <t>oferta pracy</t>
  </si>
  <si>
    <t>Żabka Polska Sp. z o.o.</t>
  </si>
  <si>
    <t>Partner ds. Szkoleń</t>
  </si>
  <si>
    <t>06.11.2019</t>
  </si>
  <si>
    <t>13.11.2019</t>
  </si>
  <si>
    <t>https://www.pracuj.pl/praca/partner-ds-szkolen-rzeszow,oferta,7166108</t>
  </si>
  <si>
    <t>14.11.2019</t>
  </si>
  <si>
    <t>Cognity Sp z o.o.</t>
  </si>
  <si>
    <t>Trener Power BI, MS SQL, SQL Oracle</t>
  </si>
  <si>
    <t>28.11.2019</t>
  </si>
  <si>
    <t>https://www.pracuj.pl/praca/trener-power-bi-ms-sql-sql-oracle-rzeszow,oferta,7226298</t>
  </si>
  <si>
    <t>18.12.2019</t>
  </si>
  <si>
    <t>BEST S.A.</t>
  </si>
  <si>
    <t>Polska, podkarpackie, Rzeszów, Krosno, Przemyśl, Tarnobrzeg, Jarosław, Lubaczów, Ulanów, Stalowa Wola, Nowa Dęba, Mielec, Dębica, Krosno, Jasło, Sanok, Lesko, Ustrzyki Dolne</t>
  </si>
  <si>
    <t>https://www.praca.pl/windykator-terenowy_2725336.html</t>
  </si>
  <si>
    <t>1863,1861,1862,1864,1804,1809,1818,1820,1811,1803,1805,1817,1821,1801,1812</t>
  </si>
  <si>
    <t>&lt;br /&gt;- doświadczenie w pracy związanej z windykacją terenową,&lt;br /&gt;- prawo jazdy kat. B,&lt;br /&gt;- posiadanie własnego samochodu i komputera z dostępem do Internetu,&lt;br /&gt;- mile widziane doświadczenie w zakresie obsługi wierzytelności korporacyjnych i zabezpieczonych hipoteką,&lt;br /&gt;- mile widziane prowadzenie własnej działalności gospodarczej.&lt;br /&gt;</t>
  </si>
  <si>
    <t>&lt;br /&gt;- windykacja należności poprzez aktywne poszukiwanie i utrzymywanie kontaktu z Klientami,&lt;br /&gt;- analiza sytuacji zadłużenia, dobór najlepszych produktów i rozwiązań prowadzących do spłaty,&lt;br /&gt;- wsparcie sprzedaży zabezpieczenia wierzytelności,&lt;br /&gt;- raportowanie dotyczące wykonanej pracy.&lt;br /&gt;</t>
  </si>
  <si>
    <t>STTAS Europe Sp.  z o.o.</t>
  </si>
  <si>
    <t>Junior Technical Analyst - Products Classification</t>
  </si>
  <si>
    <t>Towaroznawca</t>
  </si>
  <si>
    <t>RPd057|214110</t>
  </si>
  <si>
    <t>https://www.pracuj.pl/praca/junior-technical-analyst-products-classification-rzeszow,oferta,7169121</t>
  </si>
  <si>
    <t>16.11.2019</t>
  </si>
  <si>
    <t>12.11.2019</t>
  </si>
  <si>
    <t>https://www.praca.pl/tokarz-m-k_2727702.html</t>
  </si>
  <si>
    <t>&lt;br /&gt;- wykształcenie minimum zawodowe o profilu technicznym,&lt;br /&gt;- doświadczenie w pracy na frezarkach i tokarkach,&lt;br /&gt;- znajomość przyrządów pomiarowych,&lt;br /&gt;- zdolności manualne.&lt;br /&gt;</t>
  </si>
  <si>
    <t>&lt;br /&gt;- obsługa konwencjonalnej tokarki/frezarki,&lt;br /&gt;- dobór narzędzi i parametrów skrawania,&lt;br /&gt;- dbanie o sprawny przebieg procesów obróbki,&lt;br /&gt;- znajomość rysunku technicznego.&lt;br /&gt;</t>
  </si>
  <si>
    <t>Private Corporate Consulting Sp. z o.o.</t>
  </si>
  <si>
    <t>25.11.2019</t>
  </si>
  <si>
    <t>Polska, podkarpackie, podkarpackie / praca zdalna</t>
  </si>
  <si>
    <t>https://www.praca.pl/telemarketer_2731060.html</t>
  </si>
  <si>
    <t>19.11.2019</t>
  </si>
  <si>
    <t>&lt;br /&gt;Oczekujemy:&lt;br /&gt;- znajomości obsługi komputera,&lt;br /&gt;- dyspozycyjności w wymiarze min. 5 h dziennie (może być więcej) w godzinach porannych,&lt;br /&gt;- 4-5 dni w tygodniu (praca od poniedziałku do piątku ).&lt;br /&gt;- chęci i zaangażowania w powierzone obowiązki,&lt;br /&gt;- samodyscypliny i umiejętności zorganizowania sobie pracy,&lt;br /&gt;- wysokiej kultury osobistej i dobrej dykcji.&lt;br /&gt;</t>
  </si>
  <si>
    <t>&lt;br /&gt;Do głównych zadań należało będzie promowanie naszych szkoleń w środowisku administracji publicznej.&lt;br /&gt;</t>
  </si>
  <si>
    <t>Lecznica dla Zwierząt "ADA" lek. med. wet. Andrzej Fedaczyński</t>
  </si>
  <si>
    <t>Asystent / Asystentka lekarza weterynarii</t>
  </si>
  <si>
    <t>Polska, podkarpackie, Przemyśl</t>
  </si>
  <si>
    <t>https://www.pracuj.pl/praca/asystent-asystentka-lekarza-weterynarii-przemysl,oferta,7199354</t>
  </si>
  <si>
    <t>04.12.2019</t>
  </si>
  <si>
    <t>Technik Utrzymania Ruchu</t>
  </si>
  <si>
    <t>https://www.pracuj.pl/praca/technik-utrzymania-ruchu-sedziszow-malopolski,oferta,7212788</t>
  </si>
  <si>
    <t>11.12.2019</t>
  </si>
  <si>
    <t>SANOFI</t>
  </si>
  <si>
    <t>Operator Maszyn</t>
  </si>
  <si>
    <t>Technik technologii środków farmaceutycznych</t>
  </si>
  <si>
    <t>RPd057|311604</t>
  </si>
  <si>
    <t>https://www.pracuj.pl/praca/operator-maszyn-rzeszow,oferta,7177828</t>
  </si>
  <si>
    <t>Regionalna Dyrekcja Ochrony Środowiska w Rzeszowie</t>
  </si>
  <si>
    <t>Technik ochrony środowiska*</t>
  </si>
  <si>
    <t>https://www.praca.pl/starszy-inspektor_2760887.html</t>
  </si>
  <si>
    <t>18.11.2019</t>
  </si>
  <si>
    <t>&lt;h4&gt;Wymagania niezbędne&lt;/h4&gt;wykształcenie: średnie wykształcenie minimum średnie z zakresu: ochrony środowiska lub pokrewne&lt;br /&gt;doświadczenie zawodowe/staż pracy: co najmniej 6 miesięcy doświadczenia zawodowego w obszarze ochrony środowiska oraz minimum 3 miesiące doświadczenia w administracji publicznej&lt;br /&gt;- znajomość ustawy o udostępnianiu informacji o środowisku i jego ochronie, udziale społeczeństwa w ochronie środowiska oraz o ocenach oddziaływania na środowisko,&lt;br /&gt;- znajomość ustawy Prawo wodne,&lt;br /&gt;- znajomość ustawy Kodeks postępowania administracyjnego,&lt;br /&gt;- znajomość ustawy o służbie cywilnej,&lt;br /&gt;- znajomość aktów wykonawczych do ww. ustaw,&lt;br /&gt;- organizacja pracy własnej&lt;br /&gt;- rzetelność i terminowość&lt;br /&gt;- doskonalenie zawodowe,&lt;br /&gt;- identyfikacja z misją urzędu&lt;br /&gt;- Posiadanie obywatelstwa polskiego&lt;br /&gt;- Korzystanie z pełni praw publicznych&lt;br /&gt;- Nieskazanie prawomocnym wyrokiem za umyślne przestępstwo lub umyślne przestępstwo skarbowe&lt;br /&gt;&lt;h4&gt;Wymagania dodatkowe&lt;/h4&gt;&lt;br /&gt;- przeszkolenie: z zakresu gospodarki wodno-ściekowej; ochrony przeciwpowodziowej; hydrogeologii, hydrologii; ocen oddziaływania na środowisko&lt;br /&gt;- znajomość ustawy Prawo budowlane, Prawo ochrony środowiska&lt;br /&gt;- umiejętności: rozwiązywanie problemów, współpracy, odpowiedzialność, zarządzanie zasobami, interdyscyplinarność, samodzielność, inicjatywa&lt;br /&gt;</t>
  </si>
  <si>
    <t>&lt;h4&gt;Warunki pracy&lt;/h4&gt;praca administracyjno - biurowa,&lt;br /&gt;praca przy monitorze ekranowym,&lt;br /&gt;krajowe wyjazdy służbowe&lt;br /&gt;kontakt z klientem zewnętrznym&lt;br /&gt;Miejsce i otoczenie organizacyjno – techniczne stanowiska pracy&lt;br /&gt;praca wykonywana w siedzibie Regionalnej Dyrekcji Ochrony Środowiska w Rzeszowie,&lt;br /&gt;wejście do budynku z podjazdem dla osób niepełnosprawnych,&lt;br /&gt;winda, brak oznaczeń, specjalistycznych urządzeń umożliwiających pracę osobom niewidomym, niedosłyszącym oraz głuchoniemym,&lt;br /&gt;na stanowisku pracy nie występują czynniki szkodliwe dla zdrowia&lt;br /&gt;&lt;h4&gt;Zakres zadań&lt;/h4&gt;&lt;br /&gt;- opiniowanie potrzeby przeprowadzenia oceny oddziaływania na środowisko i ewentualnego zakresu raportu o oddziaływaniu na środowisko dla przedsięwzięć mogących znacząco oddziaływać na środowisko, w ramach postępowania w sprawie oceny oddziaływania przedsięwzięć na środowisko i obszar Natura 2000,&lt;br /&gt;- uzgadnianie środowiskowych warunków realizacji przedsięwzięć mogących znacząco oddziaływać na środowisko, w ramach postępowań w sprawie oceny oddziaływania przedsięwzięć na środowisko i obszar Natura 2000&lt;br /&gt;</t>
  </si>
  <si>
    <t>Technik mechanik maszyn i urządzeń</t>
  </si>
  <si>
    <t>https://www.praca.pl/mechanik_2775326.html</t>
  </si>
  <si>
    <t>07.12.2019</t>
  </si>
  <si>
    <t>&lt;br /&gt;- uprawnienia do prowadzenia wózków widłowych&lt;br /&gt;- uprawnienia energetyczne do 1kV&lt;br /&gt;- podstawowa wiedza i praktyka z zakresu mechaniki, hydrauliki i elektrotechniki&lt;br /&gt;- min. roczne doświadczenie na zbliżonym stanowisku&lt;br /&gt;</t>
  </si>
  <si>
    <t>&lt;br /&gt;- sprawdzanie stanu technicznego wózków widłowych oraz innych urządzeń&lt;br /&gt;- prace konserwacyjno-naprawcze wózków widłowych&lt;br /&gt;</t>
  </si>
  <si>
    <t>https://www.pracuj.pl/praca/mechanik-utrzymania-ruchu-rzeszow,oferta,7169372</t>
  </si>
  <si>
    <t>https://www.pracuj.pl/praca/doradca-techniczno-handlowy-podkarpackie,oferta,7177631</t>
  </si>
  <si>
    <t>21.11.2019</t>
  </si>
  <si>
    <t>LeasingTeam Sp. z o.o</t>
  </si>
  <si>
    <t>Operator maszyn i urządzeń</t>
  </si>
  <si>
    <t>https://www.praca.pl/operator-maszyn-i-urzadzen_2763719.html</t>
  </si>
  <si>
    <t>&lt;br /&gt;- wykształcenie zawodowe (mile widziane techniczne)&lt;br /&gt;- umiejętność diagnozowania i usuwania awarii;&lt;br /&gt;- dokładność, sumienność, terminowość, rzetelność;&lt;br /&gt;- umiejętność pracy w zespole;&lt;br /&gt;- komunikatywność, gotowość do pracy zmianowej.&lt;br /&gt;</t>
  </si>
  <si>
    <t>&lt;br /&gt;- obsługa prostych maszyn i urządzeń produkcyjnych;&lt;br /&gt;- kontrolowanie jakości wytworzonego produktu;&lt;br /&gt;- dbanie o czystość i porządek na stanowisku pracy;&lt;br /&gt;- zgłaszanie awarii maszyn i urządzeń;&lt;br /&gt;- przestrzegania przepisów BHP i p. poż.&lt;br /&gt;</t>
  </si>
  <si>
    <t>Mechanik (m/k)</t>
  </si>
  <si>
    <t>https://www.praca.pl/mechanik-m-k_2727722.html</t>
  </si>
  <si>
    <t>&lt;br /&gt;- mile widziane doświadczenie z zakresu naprawy maszyn i urządzeń,&lt;br /&gt;- zainteresowanie mechaniką przemysłową,&lt;br /&gt;- dyspozycyjność i gotowość do pracy w systemie zmianowym.&lt;br /&gt;</t>
  </si>
  <si>
    <t>&lt;br /&gt;- bieżące usuwanie awarii i usterek w sprzęcie i środkach transportu,&lt;br /&gt;- naprawy, remonty, konserwacje środków transportu,&lt;br /&gt;- informowanie przełożonego o stwierdzonych nieprawidłowościach w eksploatacji pojazdów i sprzętu,&lt;br /&gt;- sprawdzanie stanu technicznego pojazdów i wypełnianie kart po dokonanym przeglądzie,&lt;br /&gt;- konserwacja urządzeń podlegających UDT.&lt;br /&gt;</t>
  </si>
  <si>
    <t>Logistyk / Magazynier</t>
  </si>
  <si>
    <t>Polska, podkarpackie, Krasne (pow. rzeszowski)</t>
  </si>
  <si>
    <t>https://www.praca.pl/logistyk-magazynier_2737602.html</t>
  </si>
  <si>
    <t>&lt;br /&gt;Będziesz odpowiedzialny za:&lt;br /&gt;- przyjmowanie i kontrolowanie ilościowo-jakościowe towaru;&lt;br /&gt;- rozmieszczenie towaru na półkach sklepowych i w magazynie sklepu;&lt;br /&gt;- przygotowanie dostaw i wydawanie towaru klientom z magazynu;&lt;br /&gt;- zapewnienie bezpieczeństwa powierzonych produktów.&lt;br /&gt;</t>
  </si>
  <si>
    <t>&lt;br /&gt;Jeżeli:&lt;br /&gt;- jesteś pozytywnie nastawiony do ludzi i lubisz pracę w zespole;&lt;br /&gt;- bierzesz odpowiedzialność za to co robisz;&lt;br /&gt;- skrupulatność i dokładność to Twoje mocne strony;&lt;br /&gt;- mile widziane uprawnienia na wózki widłowe.&lt;br /&gt;</t>
  </si>
  <si>
    <t>Koordynator ds. Logistyki Sklepu</t>
  </si>
  <si>
    <t>https://www.praca.pl/koordynator-ds-logistyki-sklepu_2731856.html</t>
  </si>
  <si>
    <t>&lt;br /&gt;Jeżeli:&lt;br /&gt;- lubisz pracę z klientami;&lt;br /&gt;- uśmiech to Twój klucz do budowania relacji;&lt;br /&gt;- bierzesz odpowiedzialność za to co robisz;&lt;br /&gt;- lubisz działać zespołowo;&lt;br /&gt;- skrupulatność i dokładność to Twoje mocne strony;&lt;br /&gt;- chętnie dzielisz się wiedzą i zdobywasz nowe doświadczenia;&lt;br /&gt;- jesteś nastawiony na działanie, szukasz coraz lepszych rozwiązań;&lt;br /&gt;- masz doświadczenie w pracy w magazynie.&lt;br /&gt;</t>
  </si>
  <si>
    <t>&lt;br /&gt;Będziesz odpowiedzialny za:&lt;br /&gt;- profesjonalną i kompleksową obsługę naszych klientów;&lt;br /&gt;- zapewnienie terminowości dostaw do klienta i jej zgodności z zamówieniem;&lt;br /&gt;- sprawny przebieg procesu reklamacji;&lt;br /&gt;- przyjęcie towaru do sklepu - jego kontrolę ilościową i jakościową;&lt;br /&gt;- bezpieczne i zgodne z przepisami BHP dostarczenie towaru do działów handlowych;&lt;br /&gt;- koordynację bieżącego funkcjonowania działu.&lt;br /&gt;</t>
  </si>
  <si>
    <t>Specjalista ds. Handlu z j. angielskim</t>
  </si>
  <si>
    <t>https://www.pracuj.pl/praca/specjalista-ds-handlu-z-j-angielskim-rzeszow,oferta,7169539</t>
  </si>
  <si>
    <t>https://www.praca.pl/handlowiec-branza-motoryzacyjna_2788268.html</t>
  </si>
  <si>
    <t>&lt;br /&gt;- Wykształcenie minimum średnie (mechaniczne lub samochodowe)&lt;br /&gt;- Znajomość podstaw motoryzacji najlepiej w sektorze samochodów ciężarowych&lt;br /&gt;- Dyspozycyjność, odpowiedzialność, komunikatywność&lt;br /&gt;- Zaangażowanie i inicjatywa&lt;br /&gt;- Umiejętność pracy w zespole&lt;br /&gt;- Prawo jazdy kat. B&lt;br /&gt;- Podstawowe zainteresowanie motoryzacją&lt;br /&gt;</t>
  </si>
  <si>
    <t>&lt;br /&gt;- Sprzedaż części i zamienników do samochodów ciężarowych&lt;br /&gt;- Doradztwo techniczne&lt;br /&gt;- Sporządzanie ofert dla klientów&lt;br /&gt;- Utrzymywanie długotrwałych relacji z klientami&lt;br /&gt;</t>
  </si>
  <si>
    <t>Polska, podkarpackie, Radomyśl Wielki</t>
  </si>
  <si>
    <t>https://www.pracuj.pl/praca/handlowiec-radomysl-wielki-partynia-pow-mielecki,oferta,7225838</t>
  </si>
  <si>
    <t>Elektryk utrzymania ruchu</t>
  </si>
  <si>
    <t>https://www.pracuj.pl/praca/elektryk-utrzymania-ruchu-rzeszow,oferta,7169374</t>
  </si>
  <si>
    <t>Technik Elektryk (K/M)</t>
  </si>
  <si>
    <t>https://www.praca.pl/technik-elektryk-k-m_2735602.html</t>
  </si>
  <si>
    <t>&lt;br /&gt;Oczekiwania wobec Kandydatów:&lt;br /&gt;- Wykształcenie techniczne (preferowany profil  - elektryczne);&lt;br /&gt;- Mile widziane doświadczenie w utrzymaniu technicznym budynków;&lt;br /&gt;- Uprawnienia SEP min. „E” do 1 kV;&lt;br /&gt;- Dobra organizacja czasu i pracy, sumienność w wykonywaniu obowiązków, dyspozycyjność, samodzielność.&lt;br /&gt;</t>
  </si>
  <si>
    <t>&lt;br /&gt;Osoba zatrudniona na stanowisku Technik Obiektu będzie odpowiedzialna za:&lt;br /&gt;- Utrzymanie utrzymywanie instalacji budynkowych w stanie pełnej sprawności technicznej oraz reagowanie na bieżące potrzeby użytkowników nieruchomości;&lt;br /&gt;- Codzienna obsługa techniczna powierzonych budynków w zakresie instalacji i urządzeń elektrycznych;&lt;br /&gt;- Utrzymanie ciągłości pracy urządzeń i instalacji;&lt;br /&gt;- Pozostawanie w gotowości na wypadek awarii oraz usuwanie awarii i usterek;&lt;br /&gt;- Tworzenie raportów z inspekcji oraz raportów serwisowych z prac serwisowych i dodatkowych.&lt;br /&gt;</t>
  </si>
  <si>
    <t>Enexon Sp. z o.o.</t>
  </si>
  <si>
    <t>https://www.pracuj.pl/praca/handlowiec-stalowa-wola,oferta,7200355</t>
  </si>
  <si>
    <t>FUNDACJA SOS ŻYCIE</t>
  </si>
  <si>
    <t>Technik RTG</t>
  </si>
  <si>
    <t>Technik elektroradiolog*</t>
  </si>
  <si>
    <t>RPd057|321103</t>
  </si>
  <si>
    <t>https://www.pracuj.pl/praca/technik-rtg-mielec,oferta,7199949</t>
  </si>
  <si>
    <t>https://www.pracuj.pl/praca/serwisant-elektronik-rzeszow,oferta,7211669</t>
  </si>
  <si>
    <t>Menadżer ds. Sprzedaży Ratalnej</t>
  </si>
  <si>
    <t>RPd057|331403</t>
  </si>
  <si>
    <t>https://www.pracuj.pl/praca/menadzer-ds-sprzedazy-ratalnej-rzeszow,oferta,7177106</t>
  </si>
  <si>
    <t>P.H.U.B. Piotr Pawlica</t>
  </si>
  <si>
    <t>Majster Robót Drogowych</t>
  </si>
  <si>
    <t>Technik drogownictwa*</t>
  </si>
  <si>
    <t>RPd057|311206</t>
  </si>
  <si>
    <t>https://www.pracuj.pl/praca/majster-robot-drogowych-stalowa-wola,oferta,7200954</t>
  </si>
  <si>
    <t>Elektronika S.A.</t>
  </si>
  <si>
    <t>Inżynier Sprzedaży Chłodnictwa</t>
  </si>
  <si>
    <t>Technik chłodnictwa i klimatyzacji*</t>
  </si>
  <si>
    <t>RPd057|311929</t>
  </si>
  <si>
    <t>https://www.praca.pl/inzynier-sprzedazy-chlodnictwa_2737679.html</t>
  </si>
  <si>
    <t>&lt;br /&gt;- Wykształcenie kierunkowe techniczne - chłodniarz, automatyk&lt;br /&gt;- Doświadczenie na podobnym stanowisku w branży&lt;br /&gt;- Umiejętność posługiwania się dokumentacją techniczną&lt;br /&gt;- Rzetelność w podejściu do realizacji powierzonych zadań&lt;br /&gt;- Sprawne posługiwanie się komputerem (MS Office, AutoCad itp.)&lt;br /&gt;- Prawo jazdy kat.B&lt;br /&gt;</t>
  </si>
  <si>
    <t>&lt;br /&gt;Do głównych zadań będzie należało poszukiwanie i budowanie trwałych relacji z instalatorami, serwisantami oraz projektantami instalacji chłodniczych, doradztwo oraz samodzielny, optymalny dobór urządzeń odpowiadających zapotrzebowaniu Klientów.&lt;br /&gt;</t>
  </si>
  <si>
    <t>Kierownik Obiektu (K/M)</t>
  </si>
  <si>
    <t>https://www.praca.pl/kierownik-obiektu-k-m_2735932.html</t>
  </si>
  <si>
    <t>&lt;br /&gt;Oczekiwania wobec Kandydatów:&lt;br /&gt;- Wykształcenie średnie lub wyższe techniczne;&lt;br /&gt;- Doświadczenie w obsłudze technicznej budynków handlowych, biurowych, przemysłowych itp. na stanowisku kierowniczym;&lt;br /&gt;- Znajomość podstaw prawa budowlanego;&lt;br /&gt;- Znajomość obsługi technicznej oraz konserwacji instalacji i urządzeń: elektrycznych, HVAC, p.poż., niskoprądowych i systemów BMS;&lt;br /&gt;- Umiejętność kierowania zespołem technicznym oraz prowadzenia spraw administracyjnych zgodnie z określonymi procedurami,&lt;br /&gt;- Uprawnienia min. SEP Gr. I i II E, mile widziane w zakresie dozoru;&lt;br /&gt;- Praktyczna znajomość obsługi komputera;&lt;br /&gt;- Czynne prawo jazdy kat. B;&lt;br /&gt;- Samodzielność, komunikatywność, odpowiedzialność, umiejętność budowania i utrzymywania trwałych relacji biznesowych, dobra organizacja czasu i pracy.&lt;br /&gt;</t>
  </si>
  <si>
    <t>&lt;br /&gt;Osoba zatrudniona na stanowisku Kierownik Obiektu będzie odpowiedzialna za:&lt;br /&gt;- Nadzór na przeprowadzaniem inspekcji, konserwacji, napraw i przeglądów urządzeń, instalacji i systemów technicznych budynku z należytą starannością i sumiennością, zgodnie z wytyczonym harmonogramem w określonym zakresie przedmiotowym i czynności serwisowych;&lt;br /&gt;- Nadzór nad gospodarowaniem powierzonymi materiałami, urządzeniami i narzędziami;&lt;br /&gt;- Nadzorowanie procesu prac związanych z usuwaniem usterek przez generalnego wykonawcę oraz zatwierdzanie protokołem wykonanych prac;&lt;br /&gt;- Techniczną eksploatację obiektu, w tym terminowość wykonywania przeglądów zgodnie z harmonogramem;&lt;br /&gt;- Nadzór nad eksploatacją przeglądami, konserwacjami, remontami oraz nad poprawnością pracy powierzonej infrastruktury technicznej (urządzenia, instalacje, systemy techniczne);&lt;br /&gt;- Nadzór pracy podwykonawców na obiekcie oraz kontrola jakości świadczonych usług;&lt;br /&gt;- Podejmowanie i organizowanie interwencji awaryjnych i naprawczych w obiekcie;&lt;br /&gt;- Opracowywanie harmonogramu pracy podległych pracowników;&lt;br /&gt;- Dokumentacje techniczną budynku i urządzeń, zapewnienie ich aktualności i kompletności;&lt;br /&gt;- Inicjowane dodatkowych prac i rozwiązań w obiekcie;&lt;br /&gt;- Rygorystyczne przestrzeganie przepisów BHP i ppoż. oraz nadzór w tym zakresie nad podległym pracownikami oraz podwykonawcami.&lt;br /&gt;</t>
  </si>
  <si>
    <t>EHS Manager</t>
  </si>
  <si>
    <t>https://www.pracuj.pl/praca/ehs-manager-jaroslaw,oferta,7167302</t>
  </si>
  <si>
    <t>https://www.praca.pl/starszy-referent_2760851.html</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</si>
  <si>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lub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</si>
  <si>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o charakterze administracyjno – biurowym, stanowiska pracy zlokalizowane&lt;br /&gt;w pokojach biurowych. Podstawowe wyposażenie stanowiska pracy to zestaw komputerowy&lt;br /&gt;z oprogramowaniem. Większość czynności wykonywana jest w wymuszonej pozycji siedzącej – praca z dokumentami, obsługa monitora ekranowego powyżej 4 godzin na dobę. Możliwość kontaktu&lt;br /&gt;z podatnikami. Stanowisko pracy zlokalizowane w pomieszczeniu biurowym oświetlonym przez światło naturalne i sztuczne, wyposażone w zestaw komputerowy z monitorem ekranowym, meble biurowe oraz elektryczne urządzenia biurowe. Lokalizacja w jednym sześciokondygnacyjnym budynku biurowym (parter, I piętro oraz V piętro – dźwig osobowy). Wejście do budynku przystosowane do potrzeb osób niepełnosprawnych, brak toalety przystosowanej dla osób niepełnosprawnych. Stanowisko pracy nie jest dostosowane do potrzeb osób niedowidzących, niewidomych, niesłyszących i głuchoniemych.&lt;br /&gt;&lt;h4&gt;Zakres zadań&lt;/h4&gt;&lt;br /&gt;- Prowadzenie ewidencji podatników i płatników&lt;br /&gt;- Ewidencjonowanie danych w Centralnym Rejestrze Podmiotów- Krajowej Ewidencji Podatników (CRP KEP)&lt;br /&gt;- Realizacja czynności kancelaryjnych oraz archiwizowanie dokumentacji prowadzonej w komórce&lt;br /&gt;- Udostępnianie danych zgromadzonych w CRP KEP&lt;br /&gt;- Wydawanie zaświadczeń o nadaniu NIP i informacji o nadanym NIP&lt;br /&gt;</t>
  </si>
  <si>
    <t>https://www.praca.pl/starszy-referent_2786699.html</t>
  </si>
  <si>
    <t>&lt;h4&gt;Wymagania niezbędne&lt;/h4&gt;wykształcenie: średnie&lt;br /&gt;doświadczenie zawodowe/staż pracy: co najmniej 3 miesiące doświadczenia zawodowego W obszarze administracji publicznej&lt;br /&gt;- Znajomość przepisów ustawy o powszechnym obowiązku obrony Rzeczypospolitej Polskiej&lt;br /&gt;- Znajomość przepisów ustawy kodeks postępowania administracyjnego&lt;br /&gt;- Znajomość przepisów ustawy o ochronie danych osobowych&lt;br /&gt;- Znajomość przepisów ustawy o służbie cywilnej&lt;br /&gt;- Biegła znajomość obsługi komputera pakiet Ms office&lt;br /&gt;- Możliwość nadania pracowniczego przydziału mobilizacyjnego do WKU w Rzeszowie&lt;br /&gt;- Komunikatywność i umiejętność pracy w zespole&lt;br /&gt;- Posiadanie obywatelstwa polskiego&lt;br /&gt;- Korzystanie z pełni praw publicznych&lt;br /&gt;- Nieskazanie prawomocnym wyrokiem za umyślne przestępstwo lub umyślne przestępstwo skarbowe&lt;br /&gt;&lt;h4&gt;Wymagania dodatkowe&lt;/h4&gt;&lt;br /&gt;- Znajomość rozporządzenia MON w sprawie prowadzenia ewidencji wojskowej&lt;br /&gt;- Znajomość Instrukcji o zasadach pracy biurowej w resorcie obrony narodowej&lt;br /&gt;</t>
  </si>
  <si>
    <t>&lt;h4&gt;Warunki pracy&lt;/h4&gt;Stanowisko pracy mieści się na drugim piętrze budynku, budynek nie jest przystosowany do potrzeb osób niepełnosprawnych mających problemy z poruszaniam się (schody , brak windy). Praca przy komputerze powyżej 4 godz. dziennie w pozycji siedzącej, przy sztucznym oświetleniu. Kontakt z klientem zewnętrznym. &lt;h4&gt;Zakres zadań&lt;/h4&gt;&lt;br /&gt;- prowadzenie i aktualizacja dokumentów ewidencji wojskowej żołnierzy rezerwy, podlegających i niepodlegających obowiązkowi służby wojskowej&lt;br /&gt;- sporządzanie wniosków o mianowanie żołnierzy rezerwy i osób niepodlegających obowiązkowi czynnej służby wojskowej na wyższe stopnie wojskowe&lt;br /&gt;- sporządzanie zaświadczeń o przebiegu służby wojskowej&lt;br /&gt;- kierowanie żołnierzy rezerwy do wojskowej komisji lekarskiej oraz opracowywanie decyzji w tych sprawach&lt;br /&gt;- przyjmowanie i przekazywanie ewidencji wojskowej z/do innych WKU&lt;br /&gt;- prowadzenie ewidencji oraz przechowywanie kart i tabliczek tożsamości w zakresie żołnierzy rezerwy&lt;br /&gt;- wydawanie książeczek wojskowych&lt;br /&gt;- prowadzenie druków ścisłego zarachowania&lt;br /&gt;- sporządzanie wniosków o medale resortowe&lt;br /&gt;- udzielanie odpowiedzi na zapytania innych organów administracji publicznej&lt;br /&gt;</t>
  </si>
  <si>
    <t>Stolarz (m/k)</t>
  </si>
  <si>
    <t>https://www.praca.pl/stolarz-m-k_2823587.html</t>
  </si>
  <si>
    <t>19.12.2019</t>
  </si>
  <si>
    <t>&lt;br /&gt;- zaangażowanie oraz wytrwałość w wykonywaniu obowiązków,&lt;br /&gt;- dyspozycyjność i gotowość pracy w systemie zmianowym.&lt;br /&gt;</t>
  </si>
  <si>
    <t>&lt;br /&gt;- wycinanie listew pakunków, zbijanie ich na przekładki,&lt;br /&gt;- wycinanie opakunków bocznych,&lt;br /&gt;- cięcie laminatu i cięcie nosków.&lt;br /&gt;</t>
  </si>
  <si>
    <t>Kasjer/magazynier w sklepie z zabawkami</t>
  </si>
  <si>
    <t>https://gratka.pl/praca/kasjer-magazynier-w-sklepie-z-zabawkami/ob/13951883?utm_source=zielonalinia.pl&amp;utm_medium=zielonalinia&amp;utm_campaign=export_xml</t>
  </si>
  <si>
    <t>01.01.2001</t>
  </si>
  <si>
    <t>Oczekiwania: &lt;ul&gt;&lt;li&gt;Dyspozycyjność;&lt;/li&gt;&lt;li&gt;Gotowość do podjęcia pracy zmianowej;&lt;/li&gt;&lt;li&gt;Mile widziane doświadczenie na podobnym stanowisku;&lt;/li&gt;&lt;li&gt;Umiejętność pracy w zespole.&lt;/li&gt;&lt;/ul&gt;</t>
  </si>
  <si>
    <t>Zakres obowiązków: &lt;ul&gt;&lt;li&gt;Zatowarowanie i regałowanie w sklepie;&lt;/li&gt;&lt;li&gt;Proste prace magazynowe;&lt;/li&gt;&lt;li&gt;Dbanie o ekspozycję i asortyment sklepu;&lt;/li&gt;&lt;li&gt;Sprzedaż produktów/zabawek.&lt;/li&gt;&lt;/ul&gt;</t>
  </si>
  <si>
    <t>Intersport Polska S.A.</t>
  </si>
  <si>
    <t>https://www.pracuj.pl/praca/sprzedawca-rzeszow,oferta,7169208</t>
  </si>
  <si>
    <t>https://www.pracuj.pl/praca/pracownik-sklepu-nowa-deba-laszki-pow-jaroslawski,oferta,7179713</t>
  </si>
  <si>
    <t>1820,1816,1811,1808,1863,1804,1812</t>
  </si>
  <si>
    <t>QUIOSQUE</t>
  </si>
  <si>
    <t>https://www.pracuj.pl/praca/sprzedawca-doradca-klienta-rzeszow,oferta,7187547</t>
  </si>
  <si>
    <t>27.11.2019</t>
  </si>
  <si>
    <t>Doradca Klienta- Sprzedawca</t>
  </si>
  <si>
    <t>https://www.pracuj.pl/praca/doradca-klienta-sprzedawca-rzeszow-miejsce-piastowe-pow-krosnienski,oferta,6494246</t>
  </si>
  <si>
    <t>"Kalina" Wojciech Kuryło</t>
  </si>
  <si>
    <t>https://www.pracuj.pl/praca/sprzedawca-choinek-jaslo-krosno-rzeszow-sanok-stalowa-wola-tarnobrzeg,oferta,7197785</t>
  </si>
  <si>
    <t>1805,1863,1861,1864,1817,1818</t>
  </si>
  <si>
    <t>Sprzedawca – Kasjer</t>
  </si>
  <si>
    <t>https://www.pracuj.pl/praca/sprzedawca-kasjer-przemysl,oferta,7200545</t>
  </si>
  <si>
    <t>Kolporter spółka z ograniczoną odpowiedzialnością spółka komandytowa</t>
  </si>
  <si>
    <t>https://www.pracuj.pl/praca/ajent-saloniku-kolportera-mielec,oferta,7194561</t>
  </si>
  <si>
    <t>https://www.pracuj.pl/praca/sprzedawca-stalowa-wola,oferta,7168366</t>
  </si>
  <si>
    <t>Carrefour Polska Sp. z o.o.</t>
  </si>
  <si>
    <t>Pracownik Działu Produktów Świeżych</t>
  </si>
  <si>
    <t>https://www.praca.pl/pracownik-dzialu-produktow-swiezych_2788043.html</t>
  </si>
  <si>
    <t>&lt;br /&gt;- masz doświadczenie przy produktach świeżych,&lt;br /&gt;- wiesz jak dbać o jakość produktów,&lt;br /&gt;- lubisz kontakt z klientami i potrafisz im doradzić,&lt;br /&gt;- dostrzegasz i reagujesz na ich potrzeby,&lt;br /&gt;- jesteś zaangażowany i działasz odpowiedzialnie,&lt;br /&gt;- potrafisz pracować w zespole.&lt;br /&gt;</t>
  </si>
  <si>
    <t>&lt;br /&gt;- codziennie dbasz o ekspozycję produktów świeżych,&lt;br /&gt;- zapewniasz jakość i świeżość asortymentu,&lt;br /&gt;- doradzasz klientom i pomagasz im w wyborze produktów,&lt;br /&gt;- tworzysz przyjazną atmosferę.&lt;br /&gt;</t>
  </si>
  <si>
    <t>Zoo iguana s.c.</t>
  </si>
  <si>
    <t>Sprzedawca w sklepie zoologicznym</t>
  </si>
  <si>
    <t>Polska, podkarpackie, RZESZÓW</t>
  </si>
  <si>
    <t>https://gratka.pl/praca/sprzedawca-w-sklepie-zoologicznym/ob/14467698?utm_source=zielonalinia.pl&amp;utm_medium=zielonalinia&amp;utm_campaign=export_xml</t>
  </si>
  <si>
    <t>12.12.2019</t>
  </si>
  <si>
    <t>Polska, podkarpackie, Fredropol (pow. przemyski)</t>
  </si>
  <si>
    <t>https://www.pracuj.pl/praca/sprzedawca-kasjer-fredropol-pow-przemyski,oferta,7213619</t>
  </si>
  <si>
    <t>https://www.pracuj.pl/praca/sprzedawca-kasjer-fredropol-pow-przemyski,oferta,7213660</t>
  </si>
  <si>
    <t>https://www.pracuj.pl/praca/asystent-sprzedazy-rzeszow-tarnobrzeg,oferta,7214541</t>
  </si>
  <si>
    <t>Sprzedawca – Sklep odzieżowy</t>
  </si>
  <si>
    <t>https://www.pracuj.pl/praca/sprzedawca-sklep-odziezowy-debica-rzeszow,oferta,7177089</t>
  </si>
  <si>
    <t>22.11.2019</t>
  </si>
  <si>
    <t>https://www.pracuj.pl/praca/sprzedawca-rzeszow,oferta,7228804</t>
  </si>
  <si>
    <t>Columbus Energy S.A.</t>
  </si>
  <si>
    <t>Doradca Energetyczny dla Biznesu</t>
  </si>
  <si>
    <t>https://www.pracuj.pl/praca/doradca-energetyczny-dla-biznesu-debica-jaroslaw-jaslo-kolbuszowa-krosno-lezajsk-lubaczow-lancut-mielec-nisko-nowa-deba-przemysl-przeworsk-ropczyce-rzeszow-sanok,oferta,7226892</t>
  </si>
  <si>
    <t>Polska, podkarpackie, Dębica, Jarosław, Jasło, Krosno, Lesko, Leżajsk, Lubaczów, Mielec, Polańczyk, Przemyśl, Rzeszów, Sanok, Solina, Stalowa Wola, Tarnobrzeg</t>
  </si>
  <si>
    <t>https://www.praca.pl/doradca-biznesowy-sieci-play_2823392.html</t>
  </si>
  <si>
    <t>1863,1803,1804,1805,1861,1821,1808,1809,1811,1862,1817,1818,1864</t>
  </si>
  <si>
    <t>&lt;br /&gt;Oczekujemy:&lt;br /&gt;- Opieki nad obecnymi i pozyskiwanie nowych klientów&lt;br /&gt;- Prowadzenia negocjacji handlowych&lt;br /&gt;- Zapewnienia wysokiej jakości obsługi klientów&lt;br /&gt;</t>
  </si>
  <si>
    <t>&lt;br /&gt;Dajemy:&lt;br /&gt;- Podstawę&lt;br /&gt;- Dostęp do bazy klientów&lt;br /&gt;- Wysokie zarobki&lt;br /&gt;- Nienormowany czas pracy&lt;br /&gt;- Umowa o współpracy&lt;br /&gt;- Szeroki wachlarz szkoleń produktowych i sprzedażowych&lt;br /&gt;- Pracę dla lidera na rynku&lt;br /&gt;</t>
  </si>
  <si>
    <t>Praca w Brexit -bez zmian!!! -aplikuj -sprzątanie mieszkań/biur OXFORD - 8.20 GBP netto</t>
  </si>
  <si>
    <t>Sprzątaczka biurowa</t>
  </si>
  <si>
    <t>Polska, podkarpackie, Anglia/Oxford</t>
  </si>
  <si>
    <t>http://gazetapraca.pl/ogl/2822850?utm_campaign=partner&amp;gpid=931534&amp;utm_medium=export&amp;glc_source=zielonalinia0&amp;utm_source=zielonalinia0</t>
  </si>
  <si>
    <t>Wymagania:&lt;br /&gt;&lt;div class="wymaganiaE"&gt;&lt;/div&gt;&lt;ul&gt;&lt;div class="lista"&gt;znajomość języka angielskiego w mowie&lt;/div&gt;&lt;div class="lista"&gt;mile widziane doświadczenie na podobnym stanowisku&lt;/div&gt;&lt;div class="lista"&gt;czynne prawo jazdy kat. B&lt;/div&gt;&lt;div class="lista"&gt;chęć do pracy i rzetelność&lt;/div&gt;&lt;div class="lista"&gt;gotowość do wyjazdu od zaraz na minimum 6 miesięcy&lt;/div&gt;&lt;/ul&gt;</t>
  </si>
  <si>
    <t>Obowiązki:&lt;br /&gt;Rzetelna sprawdzona i wypłacalna firma.&lt;br /&gt;&lt;h2&gt;Główne obowiązki:&lt;/h2&gt;&lt;br /&gt;&lt;ul&gt;&lt;br /&gt;&lt;li&gt;kompleksowe sprzątanie mieszkań prywatnych, biur&lt;/li&gt;&lt;br /&gt;&lt;li&gt;dojazd do klienta samochodem służbowym ( praca w teamie, jazda samochodem na zmianę)&lt;/li&gt;&lt;br /&gt;&lt;li&gt;bieżące zgłaszanie zapotrzebowania na środki czystości&lt;/li&gt;&lt;br /&gt;&lt;/ul&gt;</t>
  </si>
  <si>
    <t>http://gazetapraca.pl/ogl/2823185?utm_campaign=partner&amp;gpid=932174&amp;utm_medium=export&amp;glc_source=zielonalinia0&amp;utm_source=zielonalinia0</t>
  </si>
  <si>
    <t>17.11.2019</t>
  </si>
  <si>
    <t>Wymagania:&lt;br /&gt;</t>
  </si>
  <si>
    <t>Obowiązki:&lt;br /&gt;</t>
  </si>
  <si>
    <t>MPS LOGISTIC sp. z o.o.</t>
  </si>
  <si>
    <t>Spedytor Międzynarodowy - Specjalista ds. Administracji - rozliczeń kierowców</t>
  </si>
  <si>
    <t>Polska, podkarpackie, Łańcut (okolice)</t>
  </si>
  <si>
    <t>https://www.pracuj.pl/praca/spedytor-miedzynarodowy-specjalista-ds-administracji-rozliczen-kierowcow-lancut-okolice-zolynia-pow-lancucki,oferta,7214174</t>
  </si>
  <si>
    <t>Komenda Powiatowa Policji w Nisku</t>
  </si>
  <si>
    <t>Pełnomocnik do spraw ochrony informacji niejawnych</t>
  </si>
  <si>
    <t>Specjalista ochrony informacji niejawnych</t>
  </si>
  <si>
    <t>RPd057|242110</t>
  </si>
  <si>
    <t>https://www.praca.pl/pelnomocnik-do-spraw-ochrony-informacji-niejawnych_2816120.html</t>
  </si>
  <si>
    <t>&lt;h4&gt;Wymagania niezbędne&lt;/h4&gt;wykształcenie: wyższe&lt;br /&gt;doświadczenie zawodowe/staż pracy: co najmniej 1 rok doświadczenia zawodowego w pracy kancelaryjno-biurowej w administracji lub w obszarze ochrony informacji niejawnych&lt;br /&gt;- znajomość ustawy o ochronie informacji niejawnych,&lt;br /&gt;- wyrażenie zgody na poddanie się procedurze sprawdzającej uprawniającej do dostępu do informacji niejawnych przez Agencję Bezpieczeństwa Wewnętrznego,&lt;br /&gt;- znajomość ustawy o Policji, znajomość ustawy o Służbie Cywilnej, znajomość ustawy o Pracownikach Urzędów Państwowych, znajomość podstaw prawa administracyjnego,&lt;br /&gt;- znajomość Zarządzenia MSWiA w sprawie instrukcji kancelaryjnej oraz jednolitego rzeczowego wykazu akt MSWiA.&lt;br /&gt;- umiejętność pracy w zespole;&lt;br /&gt;- umiejętność organizacji pracy własnej i pracy zespołu,&lt;br /&gt;- samodzielność w podejmowaniu decyzji,&lt;br /&gt;- odpowiedzialność,&lt;br /&gt;- znajomość przepisów i właściwa ich interpretacja,&lt;br /&gt;- znajomość programów komputerowych, obsługa komputera i innych urządzeń biurowych&lt;br /&gt;- Posiadanie obywatelstwa polskiego&lt;br /&gt;- Korzystanie z pełni praw publicznych&lt;br /&gt;- Nieskazanie prawomocnym wyrokiem za umyślne przestępstwo lub umyślne przestępstwo skarbowe&lt;br /&gt;&lt;h4&gt;Wymagania dodatkowe&lt;/h4&gt;&lt;br /&gt;- Poświadczenie bezpieczeństwa dopuszczające do dostępu do informacji niejawnych o klauzuli „ściśle tajne” wydane przez Agencję Bezpieczeństwa Wewnętrznego&lt;br /&gt;- Zaświadczenie o przeszkoleniu w zakresie ochrony informacji niejawnych przeprowadzone przez Agencję Bezpieczeństwa Wewnętrznego.&lt;br /&gt;</t>
  </si>
  <si>
    <t>&lt;h4&gt;Warunki pracy&lt;/h4&gt;– praca biurowa z wykorzystaniem komputera powyżej 4 godzin i urządzeń biurowych,&lt;br /&gt;– kontakt z ludźmi,&lt;br /&gt;– oświetlenie naturalne i sztuczne,&lt;br /&gt;– wymuszona pozycja ciała,&lt;br /&gt;– stałe stanowisko pracy znajduje się w budynku KPP w Nisku, które nie jest przystosowane dla osób niepełnosprawnych poruszających się na wózku inwalidzkim np.: brak wind, brak podjazdów. &lt;h4&gt;Zakres zadań&lt;/h4&gt;&lt;br /&gt;- zapewnienie ochrony informacji niejawnych, w tym ich ochronę fizyczną w jednostce,&lt;br /&gt;- przeprowadzanie okresowych i doraźnych kontroli ochrony informacji niejawnych oraz przestrzegania przepisów o ochronie tych informacji, w szczególności kontrole ewidencji materiałów i obiegu dokumentów w celu zapewnienia ich należytej ochrony,&lt;br /&gt;- opracowywanie i aktualizacja planu ochrony informacji niejawnych, w tym w razie wprowadzenia stanu nadzwyczajnego i nadzór nad jego realizację w celu przeprowadzenia ewakuacji materiałów niejawnych do miejsca docelowej ewakuacji i prawidłowej ich ochrony,&lt;br /&gt;- nadzorowanie pracy składnicy akt w KPP w Nisku w celu zapewnienia ochrony dokumentów niejawnych w niej przechowywanych,&lt;br /&gt;- przeprowadzanie szkoleń w zakresie ochrony informacji niejawnych policjantów, pracowników i kandydatów do służby w Policji w celu zapoznania ich z zasadami i sposobami ochrony informacji niejawnych,&lt;br /&gt;- współpraca z właściwymi jednostkami i komórkami organizacyjnymi służb ochrony państwa i innymi jednostkami Policji w celu uzyskania informacji o osobach, wobec których przeprowadza postępowania sprawdzające,&lt;br /&gt;- pełnienie funkcji Inspektora Ochrony Danych (IOD) Komendy Powiatowej Policji w Nisku.&lt;br /&gt;</t>
  </si>
  <si>
    <t>Specjalista ds. Kontroli Jakości</t>
  </si>
  <si>
    <t>https://www.praca.pl/specjalista-ds-kontroli-jakosci_2769923.html</t>
  </si>
  <si>
    <t>05.12.2019</t>
  </si>
  <si>
    <t>&lt;br /&gt;- Wykształcenie wyższe chemiczne, farmaceutyczne lub pokrewne&lt;br /&gt;- Minimum 1 lata doświadczenia w pracy na podobnym stanowisku w branży farmaceutycznej&lt;br /&gt;- Znajomość GMP oraz GLP&lt;br /&gt;- Umiejętności współpracy w zespole&lt;br /&gt;- Rozwinięte umiejętności organizacyjne&lt;br /&gt;- Zdolność do podejmowania decyzji oraz rozwiązywania problemów&lt;br /&gt;- Umiejętność obsługi pakietu MS Office&lt;br /&gt;- Komunikatywna znajomość języka angielskiego.&lt;br /&gt;</t>
  </si>
  <si>
    <t>&lt;br /&gt;- Samodzielne wykonywanie i ocenę badań chemicznych (badania chromatograficzne oraz badania fizykochemiczne) w celu dostarczania informacji o jakości badanych surowców, leków, materiałów opakowaniowych w oparciu o normy, specyfikacje, farmakopee, zasady GMP, GLP.&lt;br /&gt;- Prowadzenie dokumentacji analitycznej oraz jej archiwizację zgodnie&lt;br /&gt;z zasadami zawartymi w procedurach i instrukcjach&lt;br /&gt;- Przeprowadzanie działań wyjaśniających w przypadku uzyskania wyniku nietypowego, niezgodnego ze specyfikacją&lt;br /&gt;- Wykonywanie badań chemicznych w ramach  walidacji i kwalifikacji&lt;br /&gt;- Tworzenie i opiniowanie instrukcji, procedur oraz raportów z badań.&lt;br /&gt;</t>
  </si>
  <si>
    <t>Mobilny Przedstawiciel ds. Sprzedaży Ubezpieczeń Grupowych</t>
  </si>
  <si>
    <t>RPd057|241308</t>
  </si>
  <si>
    <t>https://www.praca.pl/mobilny-przedstawiciel-ds-sprzedazy-ubezpieczen-grupowych_2738103.html</t>
  </si>
  <si>
    <t>&lt;br /&gt;Do Twoich zadań będzie należało:&lt;br /&gt;- Aktywne pozyskiwanie  klientów biznesowych z segmentu MSP&lt;br /&gt;- Sprzedaż ubezpieczeń grupowych oraz opieka nad portfelem&lt;br /&gt;- Realizacja planu sprzedażowego&lt;br /&gt;- Budowanie pozytywnego wizerunku Nationale-Nederlanden wśród klientów biznesowych&lt;br /&gt;</t>
  </si>
  <si>
    <t>&lt;br /&gt;Zapewniamy jeden z najlepszych pakietów korzyści:&lt;br /&gt;- Stały dochód podstawowy plus jeden z najkorzystniejszych systemów premiowych na rynku (bez limitu)&lt;br /&gt;- Bogaty pakiet benefitów pozapłacowych&lt;br /&gt;- Kartę paliwową,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</si>
  <si>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TUnŻ WARTA S.A.</t>
  </si>
  <si>
    <t>https://www.pracuj.pl/praca/regionalny-menadzer-sprzedazy-ubezpieczen-grupowych-na-zycie-rzeszow,oferta,7186995</t>
  </si>
  <si>
    <t>PRW Consulting Paulina Rejwer-Wójcik</t>
  </si>
  <si>
    <t>https://www.pracuj.pl/praca/specjalista-ds-sprzedazy-rzeszow-tarnobrzeg,oferta,7212482</t>
  </si>
  <si>
    <t>Specjalista ds. Handlu z j. francuskim</t>
  </si>
  <si>
    <t>https://www.pracuj.pl/praca/specjalista-ds-handlu-z-j-francuskim-rzeszow,oferta,7169529</t>
  </si>
  <si>
    <t>FOLPOLTER II sp. z o.o. SPÓŁKA KOMANDYTOWA</t>
  </si>
  <si>
    <t>https://www.pracuj.pl/praca/specjalista-ds-eksportu-jaslo,oferta,7193465</t>
  </si>
  <si>
    <t>https://www.pracuj.pl/praca/specjalista-ds-marketingu-rzeszow,oferta,7228418</t>
  </si>
  <si>
    <t>Account Manager ds. Sprzedaży Ubezpieczeń Grupowych</t>
  </si>
  <si>
    <t>https://www.praca.pl/account-manager-ds-sprzedazy-ubezpieczen-grupowych_2738194.html</t>
  </si>
  <si>
    <t>&lt;br /&gt;Zapewniamy jeden z najlepszych pakietów korzyści:&lt;br /&gt;- Stały dochód podstawowy plus jeden z najkorzystniejszych systemów premiowych na rynku (bez limitu)&lt;br /&gt;- Ubezpieczenie grupowe i kartę Benefit Systems&lt;br /&gt;- Samochód służbowy, kartę flotową,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</si>
  <si>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Export Key Account Manager (Eastern Europe &amp; CIS region)</t>
  </si>
  <si>
    <t>https://www.pracuj.pl/praca/export-key-account-manager-eastern-europe-cis-region-rzeszow,oferta,7201710</t>
  </si>
  <si>
    <t>iView Recruitment Sp. z o. o.</t>
  </si>
  <si>
    <t>https://www.pracuj.pl/praca/key-account-manager-rzeszow,oferta,7214849</t>
  </si>
  <si>
    <t>PAKO GROUP HR sp. z o.o.</t>
  </si>
  <si>
    <t>Specjalista ds. administracyjno-kadrowych</t>
  </si>
  <si>
    <t>https://www.pracuj.pl/praca/specjalista-ds-administracyjno-kadrowych-rzeszow,oferta,7171339</t>
  </si>
  <si>
    <t>EUROBOX Polska Sp. z o.o.</t>
  </si>
  <si>
    <t>Specjalista ds. kadr i płac</t>
  </si>
  <si>
    <t>https://www.pracuj.pl/praca/specjalista-ds-kadr-i-plac-rzeszow,oferta,7195642</t>
  </si>
  <si>
    <t>Wojewódzki Inspektorat Ochrony Roślin i Nasiennictwa w Rzeszowie</t>
  </si>
  <si>
    <t>https://www.praca.pl/starszy-specjalista_2778443.html</t>
  </si>
  <si>
    <t>&lt;h4&gt;Wymagania niezbędne&lt;/h4&gt;wykształcenie: wyższe na kierunku prawo&lt;br /&gt;doświadczenie zawodowe/staż pracy: co najmniej 3 lata doświadczenia zawodowego w obszarze obsługi kadrowej&lt;br /&gt;- znajomość przepisów ustaw: o służbie cywilnej, o pracownikach urzedów państwowych, Kodeks pracy oraz przepisów wykonawczych do wyżej wymienionych ustaw,&lt;br /&gt;- znajomość ustawy o świadczeniach pieniężnych z ubezpieczenia społecznego w razie choroby i macierzyństwa,&lt;br /&gt;- znajomość ustawy o reahabilitacji zawodowej i społecznej oraz zatrudnianiu osób niepełnosprawnych.&lt;br /&gt;- Posiadanie obywatelstwa polskiego&lt;br /&gt;- Korzystanie z pełni praw publicznych&lt;br /&gt;- Nieskazanie prawomocnym wyrokiem za umyślne przestępstwo lub umyślne przestępstwo skarbowe&lt;br /&gt;&lt;h4&gt;Wymagania dodatkowe&lt;/h4&gt;&lt;br /&gt;</t>
  </si>
  <si>
    <t>&lt;h4&gt;Warunki pracy&lt;/h4&gt;- praca administracyjno- biurowa przy monitorze ekranowym przez co najmniej połowę dobowego wymiaru czasu pracy,&lt;br /&gt;-obsługa urządzeń biurowych ( komputer, kserokopiarka, niszczarka),&lt;br /&gt;-praca w siedzibie Wojewódzkiego Inspektoratu/ możliwe również wyjazdy służbowe;&lt;br /&gt;-praca przy oświetleniu mieszanym,&lt;br /&gt;- kontakt z klientem wewnętrznym i zewnętrznym.&lt;br /&gt;Stanowisko pracy zlokalizowane jest w pokoju biurowym na II piętrze Wojewódzkiego Inspektoratu Ochrony Roślin i Nasiennictwa w Rzeszowie, przy ul. Langiewicza 28.&lt;br /&gt;Budynek nie posiada windy, pomieszczenia sanitarno-higieniczne nie są przystosowane dla osób niepełnosprawnych. Budynek stwarza barierę architektoniczną dla osób mających trudności z poruszaniem się.&lt;br /&gt;&lt;h4&gt;Zakres zadań&lt;/h4&gt;&lt;br /&gt;- prowadzenie akt osobowych pracowników Wojewódzkiego Inspektoratu,&lt;br /&gt;- ustalanie prawa do urlopów wypoczynkowych, prowadzenie ewidencji urlopowej pracowników oraz innych nieobecności w pracy,&lt;br /&gt;- nadzorowanie prawidłowości sporządzania miesięcznych kart ewidencji czasu pracy oraz rozliczenia czasu pracy pracowników Wojewódzkiego Inspektoratu,&lt;br /&gt;- prowadzenie spraw związanych z doskonaleniem zawodowym pracowników, stażami pracy i praktykami studenckimi,&lt;br /&gt;- wydawnie skierowań na wstępne, okresowe, kontrolne badania pracowników oraz kontrola ich ważności,&lt;br /&gt;- współuczestniczenie w przygotowywaniu dokumentów dotyczących stosunku pracy pracowników Wojewódzkiego Inspektoratu,&lt;br /&gt;- współuczestniczenie w sporządzaniu sprawozdawczości statystycznej dotyczacej obszaru kadr oraz opracowywanie informacji i anliz z zakresu spraw kadrowych,&lt;br /&gt;- współuczestniczenie w opracowywaniu projektów regulaminów i procedur z obszaru kadrowego.&lt;br /&gt;</t>
  </si>
  <si>
    <t>HR Manager</t>
  </si>
  <si>
    <t>https://www.pracuj.pl/praca/hr-manager-mielec,oferta,7213352</t>
  </si>
  <si>
    <t>Intraservis Job Sp. z o.o. Sp. kom.</t>
  </si>
  <si>
    <t>Pracownik administracyjny - Koordynator ds. rekrutacji</t>
  </si>
  <si>
    <t>https://www.pracuj.pl/praca/pracownik-administracyjny-koordynator-ds-rekrutacji-przemysl,oferta,7227068</t>
  </si>
  <si>
    <t>Specjalista ds. HR kierowców</t>
  </si>
  <si>
    <t>https://www.pracuj.pl/praca/specjalista-ds-hr-kierowcow-pilzno,oferta,7226797</t>
  </si>
  <si>
    <t>Podkarpacki Urząd Wojewódzki w Rzeszowie</t>
  </si>
  <si>
    <t>Specjalista do spraw czasowego zatrudniania pracowników</t>
  </si>
  <si>
    <t>RPd057|242313</t>
  </si>
  <si>
    <t>https://www.praca.pl/starszy-specjalista_2802830.html</t>
  </si>
  <si>
    <t>24.11.2019</t>
  </si>
  <si>
    <t>&lt;h4&gt;Wymagania niezbędne&lt;/h4&gt;wykształcenie: wyższe na kierunku prawo lub administracja,&lt;br /&gt;doświadczenie zawodowe/staż pracy: doświadczenia zawodowego&lt;br /&gt;- doświadczenie zawodowe w pracy administracyjno-biurowej w sektorze finansów publicznych - powyżej 0,5 roku ,&lt;br /&gt;- znajomość przepisów ustaw: o cudzoziemcach z 12 grudnia 2013 r. oraz przepisów wykonawczych odnoszących się do zadań wojewody; o wjeździe na terytorium Rzeczypospolitej polskiej, pobycie oraz wyjeździe z tego terytorium obywateli państw członkowskich unii europejskiej i członków ich rodzin z 14 lipca 2006 r. oraz przepisów wykonawczych odnoszących się do zadań wojewody; Kodeks postępowania administracyjnego; o służbie cywilnej; o wojewodzie i administracji rządowej w województwie; o ochronie danych osobowych, a także ogólnego rozporządzenia o ochronie danych osobowych (RODO),&lt;br /&gt;- umiejętność obsługi komputera (MS Word).&lt;br /&gt;- Posiadanie obywatelstwa polskiego&lt;br /&gt;- Korzystanie z pełni praw publicznych&lt;br /&gt;- Nieskazanie prawomocnym wyrokiem za umyślne przestępstwo lub umyślne przestępstwo skarbowe&lt;br /&gt;&lt;h4&gt;Wymagania dodatkowe&lt;/h4&gt;&lt;br /&gt;- znajomość języków obcych (alternatywnie: angielski, francuski, niemiecki, rosyjski, ukraiński, włoski) na poziomie bardzo dobrym.&lt;br /&gt;</t>
  </si>
  <si>
    <t>&lt;h4&gt;Warunki pracy&lt;/h4&gt;Warunki pracy&lt;br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Na parkingu przed siedzibą Urzędu znajduje się odpowiednio oznakowane miejsce parkingowe dla osób niepełnosprawnych. W przypadku delegacji służbowych, nie jest możliwe określenie otoczenia organizacyjno-technicznego. &lt;h4&gt;Zakres zadań&lt;/h4&gt;&lt;br /&gt;- weryfikowanie wniosków w sprawach legalizacji pobytu cudzoziemców na terytorium Rzeczypospolitej Polskiej, tj. udzielania: zezwolenia na pobyt czasowy, zezwolenia na pobyt stały, zezwolenia na pobyt rezydenta długoterminowego WE, a także przedłużenia wizy krajowej bądź wizy Schengen;&lt;br /&gt;- przyjmowanie i weryfikowanie wniosków składanych przez obywateli Unii Europejskiej i członków ich rodzin, dotyczących zalegalizowania pobytu na terytorium RP, tj. zarejestrowania pobytu obywatela UE, wydania karty pobytu członka rodziny obywatela UE, wydania dokumentu potwierdzającego prawo stałego pobytu obywatela UE, wydania karty stałego pobytu członka rodziny obywatela UE;&lt;br /&gt;- przyjmowanie i weryfikowanie wniosków o wymianę: karty pobytu, zaświadczenia o zarejestrowaniu pobytu obywatela UE, karty pobytu członka rodziny obywatela UE, dokumentu potwierdzającego prawo stałego pobytu obywatela UE, karty stałego pobytu członka rodziny obywatela UE, a także wniosków o wydanie i wymianę innych dokumentów (podróży, tożsamości);&lt;br /&gt;- przyjmowanie i weryfikowanie wniosków o wpisanie zaproszeń dla cudzoziemców do ewidencji zaproszeń.&lt;br /&gt;</t>
  </si>
  <si>
    <t>Specjalista bankowości</t>
  </si>
  <si>
    <t>https://www.pracuj.pl/praca/doradca-klienta-biznesowego-stalowa-wola,oferta,7178524</t>
  </si>
  <si>
    <t>https://www.pracuj.pl/praca/bankier-klienta-rzeszow,oferta,7159424</t>
  </si>
  <si>
    <t>ING Bank Śląski S.A.</t>
  </si>
  <si>
    <t>Przedstawiciel Bankowy w Segmencie Małych i Średnich Przedsiębiorstw</t>
  </si>
  <si>
    <t>https://www.pracuj.pl/praca/przedstawiciel-bankowy-w-segmencie-malych-i-srednich-przedsiebiorstw-debica-jaslo-krosno-mielec-przemysl-rzeszow-stalowa-wola-tarnobrzeg,oferta,7190133</t>
  </si>
  <si>
    <t>1803,1805,1861,1811,1862,1863,1818,1864</t>
  </si>
  <si>
    <t>https://www.praca.pl/doradca-klienta-indywidualnego_2780840.html</t>
  </si>
  <si>
    <t>&lt;br /&gt;Na co dzień jako nasz Doradca:&lt;br /&gt;- masz bezpośredni kontakt z naszymi klientami zapewniając im kompleksową obsługę,&lt;br /&gt;- jesteś profesjonalny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</si>
  <si>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Merkury Market spółka z ograniczoną odpowiedzialnością sp. k.</t>
  </si>
  <si>
    <t>Pracownik Działu Monitoringu</t>
  </si>
  <si>
    <t>Specjalista administracji publicznej</t>
  </si>
  <si>
    <t>RPd057|242217</t>
  </si>
  <si>
    <t>https://www.praca.pl/pracownik-dzialu-monitoringu_2817044.html</t>
  </si>
  <si>
    <t>&lt;br /&gt;Zadaniem zatrudnionej osoby będzie pomoc i wsparcie w zakresie prac biurowych w działach administracyjnych firmy, kontrola prawidłowego obiegu dokumentów, utrzymywanie kontaktu z oddziałami firmy oraz przygotowywanie sprawozdań i raportów.&lt;br /&gt;</t>
  </si>
  <si>
    <t>&lt;br /&gt;Oczekiwania:&lt;br /&gt;- Wykształcenie min średnie&lt;br /&gt;- Samodzielność w działaniu&lt;br /&gt;- Umiejętność pracy w zespole&lt;br /&gt;- Doświadczenie w pracy na podobnym stanowisku&lt;br /&gt;- Operatywność&lt;br /&gt;</t>
  </si>
  <si>
    <t>Pracownik Administracyjno-Biurowy</t>
  </si>
  <si>
    <t>https://www.praca.pl/pracownik-administracyjno-biurowy_2817065.html</t>
  </si>
  <si>
    <t>&lt;br /&gt;Poszukujemy osób z wykształceniem wyższym (mile widziani są absolwenci lub studenci ostatnich lat), dynamicznych, ambitnych, kreatywnych, zaangażowanych w powierzone obowiązki, gotowych do stałej współpracy z firmą która gwarantuje możliwość rozwoju i awansu.&lt;br /&gt;</t>
  </si>
  <si>
    <t>&lt;br /&gt;Zakres obowiązków:&lt;br /&gt;Osoba zatrudniona na tym stanowisku odpowiedzialna będzie za realizację bieżących zadań administracyjnych związanych z funkcjonowaniem placówek Merkury Market w Polsce oraz Słowacji.&lt;br /&gt;</t>
  </si>
  <si>
    <t>https://www.pracuj.pl/praca/mlodszy-specjalista-ds-personalnych-nisko,oferta,7228084</t>
  </si>
  <si>
    <t>https://www.pracuj.pl/praca/pracownik-gospodarczy-mielec,oferta,7213047</t>
  </si>
  <si>
    <t>Lider Zespołu</t>
  </si>
  <si>
    <t>https://www.pracuj.pl/praca/lider-zespolu-debica-jaroslaw-przemysl-rzeszow,oferta,7175775</t>
  </si>
  <si>
    <t>Sales HR - Recruitment Agency</t>
  </si>
  <si>
    <t>https://www.praca.pl/regionalny-kierownik-sprzedazy_2754942.html</t>
  </si>
  <si>
    <t>&lt;br /&gt;Oczekiwania:&lt;br /&gt;- Doświadczenie na stanowisku sprzedażowym min 2 lata w pracy z klientem produkcyjnym&lt;br /&gt;- Umiejętność osiągania własnych celów i duża samodzielność&lt;br /&gt;- Mile widziane wykształcenie techniczne (min. średnie)&lt;br /&gt;</t>
  </si>
  <si>
    <t>&lt;br /&gt;Zakres obowiązków:&lt;br /&gt;- Zbudowanie oddziału regionalnego na Podkarpaciu&lt;br /&gt;- Aktywne pozyskiwanie klientów z branży produkcyjnej i budowanie relacji&lt;br /&gt;- Zwiększanie udziału w lokalnym rynku&lt;br /&gt;- Przygotowywanie ofert dla klientów&lt;br /&gt;</t>
  </si>
  <si>
    <t>ASSIDUUS CONSULTING SP Z O O</t>
  </si>
  <si>
    <t>https://www.pracuj.pl/praca/manager-zespolu-debica-jaroslaw-jaslo-kolbuszowa-krosno-lezajsk-lubaczow-lancut-mielec-nisko-nowa-deba-przemysl-przeworsk-ropczyce-rzeszow-sanok-stalowa-wola-tar,oferta,7185020</t>
  </si>
  <si>
    <t>1803,1804,1805,1806,1861,1808,1809,1810,1811,1812,1862,1814,1815,1863,1817,1818,1864,1801,1820</t>
  </si>
  <si>
    <t>Kierownik ds. Sprzedaży i Relacji z Klientem</t>
  </si>
  <si>
    <t>https://www.pracuj.pl/praca/kierownik-ds-sprzedazy-i-relacji-z-klientem-krosno,oferta,7199633</t>
  </si>
  <si>
    <t>MS SERVICES SP. Z O.O.</t>
  </si>
  <si>
    <t>https://www.pracuj.pl/praca/regionalny-kierownik-sprzedazy-rzeszow,oferta,7202039</t>
  </si>
  <si>
    <t>Właściciel Centrum Usług Mikrologistyczno-Wysyłkowych MBE</t>
  </si>
  <si>
    <t>https://www.pracuj.pl/praca/wlasciciel-centrum-uslug-mikrologistyczno-wysylkowych-mbe-debica-jaroslaw-jaslo-krosno-lesko-lezajsk-lancut-mielec-nisko-przemysl-przeworsk-rzeszow-sanok-stalowa,oferta,7200995</t>
  </si>
  <si>
    <t>1803,1804,1805,1861,1821,1808,1810,1811,1812,1862,1814,1863,1817,1818,1864,1816</t>
  </si>
  <si>
    <t>MetLife</t>
  </si>
  <si>
    <t>https://www.pracuj.pl/praca/menedzer-zespolu-sprzedazowego-rzeszow-okolice,oferta,7188678</t>
  </si>
  <si>
    <t>Adamed Pharma S.A.</t>
  </si>
  <si>
    <t>Regionalny Kierownik Sprzedaży (Zespół Apteczny)</t>
  </si>
  <si>
    <t>https://www.praca.pl/regionalny-kierownik-sprzedazy-zespol-apteczny_2781644.html</t>
  </si>
  <si>
    <t>&lt;br /&gt;- Minimum 2-letnie doświadczenie w zarządzaniu zespołem sprzedażowym (mile widziane doświadczenie  w branży farmaceutycznej, a w szczególności w zarządzaniu zespołem sprzedaży aptecznej),&lt;br /&gt;- Umiejętność motywowania oraz rozwijania zespołu sprzedażowego poparte sukcesami,&lt;br /&gt;- Bardzo dobra znajomość terenu pracy i kluczowych klientów,&lt;br /&gt;- Nastawienie na realizację celu i poszukiwanie rozwiązań,&lt;br /&gt;- Otwartość na zmiany i nowe doświadczenia, pro-aktywna postawa i zaangażowanie,&lt;br /&gt;- Umiejętność analizy danych,&lt;br /&gt;- Wyższe wykształcenie,&lt;br /&gt;- Prawo jazdy kategorii B.&lt;br /&gt;</t>
  </si>
  <si>
    <t>&lt;br /&gt;- Realizację strategii sprzedażowej w podległym regionie (woj. lubelskie, podkarpackie),&lt;br /&gt;- Zarządzanie zespołem Przedstawicieli Farmaceutycznych,&lt;br /&gt;- Wyznaczanie celów (ilościowych i jakościowych) i monitorowanie poziomów ich realizacji,&lt;br /&gt;- Coaching, szkolenie i wspieranie rozwoju kompetencji podległego zespołu,&lt;br /&gt;- Bieżącą analizę rynku oraz działań konkurencji w podległym regionie,&lt;br /&gt;- Zarządzanie budżetem promocyjnym,&lt;br /&gt;- Budowanie relacji oraz pozytywnego wizerunku firmy u kluczowych partnerów handlowych.&lt;br /&gt;</t>
  </si>
  <si>
    <t>Pharmacy Solutions Sp. z o.o.</t>
  </si>
  <si>
    <t>Regionalny koordynator ds. sieci aptek</t>
  </si>
  <si>
    <t>https://www.pracuj.pl/praca/regionalny-koordynator-ds-sieci-aptek-podkarpackie,oferta,7221776</t>
  </si>
  <si>
    <t>Właściciel multiagencji ubezpieczeniowej</t>
  </si>
  <si>
    <t>https://www.pracuj.pl/praca/wlasciciel-multiagencji-ubezpieczeniowej-debica-jaroslaw-jaslo-krosno-lesko-lezajsk-lancut-mielec-nisko-przemysl-przeworsk-rzeszow-sanok-stalowa-wola-tarnobrzeg-,oferta,7205350</t>
  </si>
  <si>
    <t>Regionalny Manager Sprzedaży</t>
  </si>
  <si>
    <t>https://www.pracuj.pl/praca/regionalny-manager-sprzedazy-podkarpackie,oferta,7226953</t>
  </si>
  <si>
    <t>Konsultant Medyczny - Rozwój Zespołu Sprzedaży</t>
  </si>
  <si>
    <t>https://www.pracuj.pl/praca/konsultant-medyczny-rozwoj-zespolu-sprzedazy-podkarpackie,oferta,7163612</t>
  </si>
  <si>
    <t>15.11.2019</t>
  </si>
  <si>
    <t>VOCO GmbH</t>
  </si>
  <si>
    <t>Doradca stomatologiczny</t>
  </si>
  <si>
    <t>https://www.pracuj.pl/praca/doradca-stomatologiczny-rzeszow,oferta,7175792</t>
  </si>
  <si>
    <t>ChM sp. z o.o.</t>
  </si>
  <si>
    <t>Przedstawiciel Medyczny  –  Ortopedia i Traumatologia</t>
  </si>
  <si>
    <t>https://www.pracuj.pl/praca/przedstawiciel-medyczny-ortopedia-i-traumatologia-podkarpackie,oferta,7177454</t>
  </si>
  <si>
    <t>Consultronix Spółka Akcyjna</t>
  </si>
  <si>
    <t>Regionalny Przedstawiciel Medyczny - sprzęt medyczny</t>
  </si>
  <si>
    <t>https://www.pracuj.pl/praca/regionalny-przedstawiciel-medyczny-sprzet-medyczny-rzeszow,oferta,7165733</t>
  </si>
  <si>
    <t>Klaromed Sp. z o.o.</t>
  </si>
  <si>
    <t>Przedstawiciel handlowy do sprzętu medycznego</t>
  </si>
  <si>
    <t>https://www.pracuj.pl/praca/przedstawiciel-handlowy-do-sprzetu-medycznego-podkarpackie,oferta,7213128</t>
  </si>
  <si>
    <t>Partner prowadzący salon prasowy</t>
  </si>
  <si>
    <t>https://www.pracuj.pl/praca/partner-prowadzacy-salon-prasowy-debica-jaslo,oferta,7167867</t>
  </si>
  <si>
    <t>HELPER - Centrum Pomocy Prawnej sp. z o.o.</t>
  </si>
  <si>
    <t>https://www.pracuj.pl/praca/przedstawiciel-handlowy-rzeszow,oferta,7184218</t>
  </si>
  <si>
    <t>https://www.praca.pl/doradca-biznesowy-sieci-play_2625998.html</t>
  </si>
  <si>
    <t>1803,1804,1805,1808,1809,1811,1817,1818,1821,1861,1862,1863,1864</t>
  </si>
  <si>
    <t>Wilka Polska Sp. z o.o.</t>
  </si>
  <si>
    <t>Przedstawiciel Techniczno – Handlowy</t>
  </si>
  <si>
    <t>https://www.pracuj.pl/praca/przedstawiciel-techniczno-handlowy-rzeszow-okolice,oferta,7199995</t>
  </si>
  <si>
    <t>https://www.pracuj.pl/praca/przedstawiciel-handlowy-ds-detalu-merchandiser-tarnobrzeg,oferta,7199606</t>
  </si>
  <si>
    <t>https://www.praca.pl/franczyzobiorca_2739847.html</t>
  </si>
  <si>
    <t>&lt;br /&gt;Od kandydatów na Franczyzobiorców oczekujemy:&lt;br /&gt;- Gotowości do prowadzenia działalności gospodarczej&lt;br /&gt;- Przedsiębiorczości - to cecha niezbędna w handlu&lt;br /&gt;- Umiejętności kierowania zespołem&lt;br /&gt;- Pozytywnego nastawienia do klienta, zaangażowania, optymizmu i motywacji&lt;br /&gt;- Znajomości obsługi komputera (m. in. Pakiet Office)&lt;br /&gt;</t>
  </si>
  <si>
    <t>https://www.praca.pl/franczyzobiorca_2739848.html</t>
  </si>
  <si>
    <t>https://www.praca.pl/franczyzobiorca_2739851.html</t>
  </si>
  <si>
    <t>https://www.praca.pl/franczyzobiorca_2739852.html</t>
  </si>
  <si>
    <t>https://www.praca.pl/franczyzobiorca_2739853.html</t>
  </si>
  <si>
    <t>https://www.praca.pl/franczyzobiorca_2739854.html</t>
  </si>
  <si>
    <t>https://www.praca.pl/franczyzobiorca_2739855.html</t>
  </si>
  <si>
    <t>Polska, podkarpackie, Kolbuszowa Górna</t>
  </si>
  <si>
    <t>https://www.praca.pl/franczyzobiorca_2739857.html</t>
  </si>
  <si>
    <t>Polska, podkarpackie, Kolbuszowa Dolna</t>
  </si>
  <si>
    <t>https://www.praca.pl/franczyzobiorca_2739858.html</t>
  </si>
  <si>
    <t>https://www.praca.pl/franczyzobiorca_2739859.html</t>
  </si>
  <si>
    <t>https://www.praca.pl/franczyzobiorca_2739861.html</t>
  </si>
  <si>
    <t>https://www.praca.pl/franczyzobiorca_2739877.html</t>
  </si>
  <si>
    <t>P.P.U.H. VOIGT Sp. z o.o.</t>
  </si>
  <si>
    <t>https://www.praca.pl/doradca-handlowy_2778356.html</t>
  </si>
  <si>
    <t>&lt;br /&gt;Opis stanowiska:&lt;br /&gt;Doradca Profiline Cleaning aktywnie poszukuje nowych klientów oraz opiekuje się obecnymi kontrahentami firmy.&lt;br /&gt;Generuje przychody i poszerza grono odbiorców. Aktywnie doradza, dobiera optymalne rozwiązania i rozwiązuje problemy kontrahentów w obszarze chemii profesjonalnej.&lt;br /&gt;Zadania:&lt;br /&gt;- Pozyskiwanie nowych klientów z segmentu klientów branżowych&lt;br /&gt;- Opieka i obsługa przypisanych dystrybutorów i klientów firmy&lt;br /&gt;- Realizacja celów sprzedażowych&lt;br /&gt;- Budowanie długotrwałych relacji z klientami&lt;br /&gt;Wymagania:&lt;br /&gt;- Min. 2 lata doświadczenia na stanowisku Przedstawiciela handlowego&lt;br /&gt;- Prawo jazdy kat. B&lt;br /&gt;- Znajomość pakietu MS Office (Outlook, Word, Excel)&lt;br /&gt;- Wykształcenie średnie&lt;br /&gt;- Dyspozycyjność i gotowość do pracy w terenie&lt;br /&gt;W zamian oferujemy:&lt;br /&gt;- Stałą pracę na umowę o pracę i wypłatę wynagrodzeń w terminie&lt;br /&gt;- Stałą podstawę wynagrodzenia oraz możliwość uzyskania wysokich premii&lt;br /&gt;- Możliwość podnoszenia kwalifikacji- system szkoleń wewnętrznych&lt;br /&gt;- Pracę w firmie o ustabilizowanej pozycji na rynku&lt;br /&gt;- Do celów służbowych gwarantujemy samochód, telefon komórkowy i komputer&lt;br /&gt;</t>
  </si>
  <si>
    <t>&lt;br /&gt;Teren działania : województwo podkarpackie, lubelskie, świętokrzyskie&lt;br /&gt;</t>
  </si>
  <si>
    <t>Kolporter Spółka z ograniczoną odpowiedzialnością sp. k.</t>
  </si>
  <si>
    <t>https://www.praca.pl/ajent-saloniku-prasowego_2756249.html</t>
  </si>
  <si>
    <t>&lt;br /&gt;Naszą ofertę kierujemy do Ciebie, jeśli:&lt;br /&gt;- prowadzisz lub jesteś gotowy założyć działalność gospodarczą,&lt;br /&gt;- chcesz prowadzić Salonik Kolportera&lt;br /&gt;- lubisz kontakt z ludźmi i posiadasz zdolności handlowe,&lt;br /&gt;- jesteś odpowiedzialny, zaangażowany i sumienny.&lt;br /&gt;</t>
  </si>
  <si>
    <t>&lt;br /&gt;Decydując się na współpracę z nami otrzymasz:&lt;br /&gt;- w pełni urządzony i zatowarowany Salonik bez konieczności wnoszenia wkładu własnego. Kolporter ponosi koszty prowadzenia Saloniku,&lt;br /&gt;- wsparcie ze strony przedstawicieli firmy,&lt;br /&gt;- stałe wynagrodzenie podstawowe oraz atrakcyjny system prowizji,&lt;br /&gt;- niezbędną wiedzę i atrakcyjny system szkoleń,&lt;br /&gt;- możliwość rozwoju.&lt;br /&gt;Jeśli jesteś aktywny i zaangażowany oraz cenisz sobie swobodę w działaniu to dołącz do nas.&lt;br /&gt;</t>
  </si>
  <si>
    <t>HANPLAST ENERGY</t>
  </si>
  <si>
    <t>Niezależny Przedstawiciel Handlowy</t>
  </si>
  <si>
    <t>https://www.pracuj.pl/praca/niezalezny-przedstawiciel-handlowy-debica-jaroslaw-jaslo-kolbuszowa-krosno-lezajsk-lubaczow-lancut-mielec-nisko-nowa-deba-przemysl-przeworsk-ropczyce-rzeszow-san,oferta,7213267</t>
  </si>
  <si>
    <t>1803,1804,1805,1806,1861,1808,1809,1810,1811,1812,1862,1814,1815,1863,1817,1818,1864,1801</t>
  </si>
  <si>
    <t>https://www.pracuj.pl/praca/konsultant-medyczny-rozwoj-zespolu-sprzedazy-debica-mielec,oferta,7214056</t>
  </si>
  <si>
    <t>https://www.pracuj.pl/praca/konsultant-medyczny-rozwoj-zespolu-sprzedazy-jaslo-krosno,oferta,7214158</t>
  </si>
  <si>
    <t>LOTTE Wedel Sp. z o. o.</t>
  </si>
  <si>
    <t>https://www.pracuj.pl/praca/przedstawiciel-handlowy-dynow-lezajsk-lancut-przeworsk-rzeszow,oferta,7214925</t>
  </si>
  <si>
    <t>1816,1808,1810,1814</t>
  </si>
  <si>
    <t>https://www.praca.pl/konsultant-medyczny-rozwoj-zespolu-sprzedazy_2792312.html</t>
  </si>
  <si>
    <t>&lt;br /&gt;- Doświadczenie w pracy w strukturach sprzedaży,&lt;br /&gt;- Minimum roczne doświadczenie w pracy w branży farmaceutycznej,&lt;br /&gt;- Bardzo dobra znajomości MS Office,&lt;br /&gt;- Wysoka orientacja na realizację celów,&lt;br /&gt;- Umiejętność planowania i analitycznego myślenia,&lt;br /&gt;- Wykształcenie wyższe - minimum licencjat,&lt;br /&gt;- Zaangażowanie i entuzjazm.&lt;br /&gt;</t>
  </si>
  <si>
    <t>&lt;br /&gt;- Promowanie produktów firmy wśród lekarzy i farmaceutów,&lt;br /&gt;- Budowanie relacji z Klientami firmy,&lt;br /&gt;- Realizowanie założonych celów i zadań,&lt;br /&gt;- Organizowanie targów, konferencji, sympozjów,&lt;br /&gt;- Generowanie oraz analiza raportów sprzedażowych.&lt;br /&gt;</t>
  </si>
  <si>
    <t>Carlsberg Polska</t>
  </si>
  <si>
    <t>Przedstawiciel Handlowy MT - Developer</t>
  </si>
  <si>
    <t>Polska, podkarpackie, Stalowa Wola, Nisko</t>
  </si>
  <si>
    <t>https://www.praca.pl/przedstawiciel-handlowy-mt-developer_2813654.html</t>
  </si>
  <si>
    <t>17.12.2019</t>
  </si>
  <si>
    <t>&lt;br /&gt;- Pozyskiwać nowych Klientów i rekomendować im najlepsze rozwiązania dla ich biznesu&lt;br /&gt;- Analizować rynek w danym obszarze sprzedaży&lt;br /&gt;- Aktywnie sprzedawać piwo warzone z tradycjami i znane na całym świecie&lt;br /&gt;- Doradzać Klientom i budować z nimi biznesowe relacje&lt;br /&gt;- Pracować z najlepszymi ekspertami browarnictwa w kraju&lt;br /&gt;- Dbać o wizerunek Carlsberg Polska na podległym terenie&lt;br /&gt;- Wydawać swoją premię na co tylko chcesz :)&lt;br /&gt;</t>
  </si>
  <si>
    <t>&lt;br /&gt;- Jasny system premiowy&lt;br /&gt;- Opiekę medyczną&lt;br /&gt;w LuxMed&lt;br /&gt;- Umowę o pracę&lt;br /&gt;- Kartę sportową&lt;br /&gt;- Możliwość awansu&lt;br /&gt;- Telefon służbowy&lt;br /&gt;- Samochód służbowy i tablet&lt;br /&gt;- Piwo na Święta&lt;br /&gt;</t>
  </si>
  <si>
    <t>Doradca techniczno - handlowy</t>
  </si>
  <si>
    <t>https://www.praca.pl/doradca-techniczno-handlowy_2817650.html</t>
  </si>
  <si>
    <t>&lt;br /&gt;Za co będziesz odpowiedzialny/a:&lt;br /&gt;- opieka i stały kontakt z istniejącymi już klientami firmy,&lt;br /&gt;- pozyskiwanie nowych klientów,&lt;br /&gt;- przygotowywanie indywidualnych ofert,&lt;br /&gt;- negocjowanie transakcji i umów handlowych,&lt;br /&gt;- zbieranie i przekazywanie informacji dotyczących rynku lokalnego do działu handlowego firmy,&lt;br /&gt;- systematyczne raportowanie efektów swojej pracy,&lt;br /&gt;- realizowanie celów wyznaczanych przez firmę.&lt;br /&gt;</t>
  </si>
  <si>
    <t>&lt;br /&gt;Wymagania:&lt;br /&gt;- doświadczenie w pracy na samodzielnym stanowisku handlowca w B2B, najchętniej w sektorze dóbr inwestycyjnych,&lt;br /&gt;- wysokie umiejętności interpersonalne oraz komunikacyjne,&lt;br /&gt;- umiejętność samodzielnego prowadzenia rozmów handlowych i negocjacji,&lt;br /&gt;- udokumentowane osiągnięcia w sprzedaży,&lt;br /&gt;- motywacja do osiągnięcia sukcesu, dyspozycyjność, mobilność i uczciwość,&lt;br /&gt;- ważne prawo jazdy kat. B,&lt;br /&gt;- min. wykształcenie średnie (wykształcenie wyższe będzie dodatkowym atutem),&lt;br /&gt;- znajomość języka angielskiego na poziomie komunikatywnym,&lt;br /&gt;- mile widziane doświadczenie w branży technicznej.&lt;br /&gt;</t>
  </si>
  <si>
    <t>Przedstawiciel Handlowy ds. Reklamy</t>
  </si>
  <si>
    <t>https://www.praca.pl/przedstawiciel-handlowy-ds-reklamy_2817032.html</t>
  </si>
  <si>
    <t>&lt;br /&gt;Wymagania:&lt;br /&gt;- wykształcenie min średnie&lt;br /&gt;- łatwość w nawiązywaniu kontaktów z Klientem&lt;br /&gt;- wysoka kultura osobista&lt;br /&gt;- umiejętność planowania i organizacji pracy własnej&lt;br /&gt;- zdolności negocjacyjne&lt;br /&gt;- gotowość do podjęcia pracy w delegacjach&lt;br /&gt;</t>
  </si>
  <si>
    <t>&lt;br /&gt;Zakres obowiązków:&lt;br /&gt;- planowanie, koordynowanie, weryfikowanie działań i kampanii reklamowych w zakresie reklam wielkopowierzchniowych&lt;br /&gt;- dbanie o prawidłowy stan techniczny istniejących reklam&lt;br /&gt;- przygotowywanie ofert techniczno-handlowych&lt;br /&gt;- aktywne pozyskiwanie nowych lokalizacji pod reklamy zewnętrzne&lt;br /&gt;</t>
  </si>
  <si>
    <t>https://www.pracuj.pl/praca/przedstawicielka-handlowa-przedstawiciel-handlowy-dukla-jaslo-krosno,oferta,7228720</t>
  </si>
  <si>
    <t>https://www.pracuj.pl/praca/protetyk-sluchu-rzeszow-tarnobrzeg,oferta,7214364</t>
  </si>
  <si>
    <t>Asystent Protetyka Słuchu - Sprzedawca</t>
  </si>
  <si>
    <t>https://www.pracuj.pl/praca/asystent-protetyka-sluchu-sprzedawca-rzeszow-tarnobrzeg,oferta,7214450</t>
  </si>
  <si>
    <t>Pracownik działu marketingu - Grafik</t>
  </si>
  <si>
    <t>Polska, podkarpackie, Brzeźnica (pow. dębicki)</t>
  </si>
  <si>
    <t>https://www.pracuj.pl/praca/pracownik-dzialu-marketingu-grafik-brzeznica-pow-debicki,oferta,7213940</t>
  </si>
  <si>
    <t>https://www.pracuj.pl/praca/grafik-mielec,oferta,7226560</t>
  </si>
  <si>
    <t>Front-end Developer</t>
  </si>
  <si>
    <t>https://www.pracuj.pl/praca/front-end-developer-rzeszow,oferta,7176290</t>
  </si>
  <si>
    <t>Autosar Developer</t>
  </si>
  <si>
    <t>https://www.pracuj.pl/praca/autosar-developer-rzeszow,oferta,7176501</t>
  </si>
  <si>
    <t>GIGANCI PROGRAMOWANIA sp. z o.o.</t>
  </si>
  <si>
    <t>Trener Programowania dla dzieci i młodzieży</t>
  </si>
  <si>
    <t>https://www.pracuj.pl/praca/trener-programowania-dla-dzieci-i-mlodziezy-debica-jaslo-krosno-rzeszow-stalowa-wola,oferta,7188994</t>
  </si>
  <si>
    <t>1803,1805,1861,1863,1818</t>
  </si>
  <si>
    <t>propozycja stażu/praktyki</t>
  </si>
  <si>
    <t>Angular (6) Developer</t>
  </si>
  <si>
    <t>https://www.praca.pl/angular-6-developer_2757941.html</t>
  </si>
  <si>
    <t>03.12.2019</t>
  </si>
  <si>
    <t>&lt;br /&gt;- Min 6+ experience in in front-end development&lt;br /&gt;- Practical knowledge of Angular 6+&lt;br /&gt;- Experience in designing front-end architecture&lt;br /&gt;- Treating testing as inherent part of the work&lt;br /&gt;- Autonomy and responsibility combined with strong communication skills&lt;br /&gt;- Problem solving approach - we're oriented to deliver solutions instead of digging deeper into academic discussions&lt;br /&gt;- Strong analytical skills as well as ability to actively search for knowledge and share it with a team&lt;br /&gt;- Ability to provide clean, maintainable code&lt;br /&gt;</t>
  </si>
  <si>
    <t>&lt;br /&gt;- You'll work with people who find pleasure in programming and have deep knowledge about variety of technologies&lt;br /&gt;- You'll work for our clients worldwide and provide support in great software development, including IoT, machine learning and blockchain related projects&lt;br /&gt;- We provide quality and give ourselves a lot of autonomy, common sense and general friendliness&lt;br /&gt;</t>
  </si>
  <si>
    <t>Kingit sp. z o.o</t>
  </si>
  <si>
    <t>Polska, podkarpackie, Poznań</t>
  </si>
  <si>
    <t>http://gazetapraca.pl/ogl/2823049?utm_campaign=partner&amp;gpid=931886&amp;utm_medium=export&amp;glc_source=zielonalinia0&amp;utm_source=zielonalinia0</t>
  </si>
  <si>
    <t>Wymagania:&lt;br /&gt;&lt;h2&gt;Wymagani:&lt;/h2&gt;&lt;ul&gt;&lt;div class="lista"&gt;około 5 lat doświadczenia z .NET&lt;/div&gt;&lt;div class="lista"&gt;umiejętność programowania w języku C#&lt;/div&gt;&lt;div class="lista"&gt;dobra znajomość rozwiązań ASP.NET MVC&lt;/div&gt;&lt;div class="lista"&gt;znajomość relacyjnych baz danych&lt;/div&gt;&lt;div class="lista"&gt;umiejętność twórczego i analitycznego myślenia&lt;/div&gt;&lt;div class="lista"&gt;kreatywność i zaangażowanie w wykonywane prace&lt;/div&gt;&lt;div class="lista"&gt;umiejętność pracy w zespole projektowym&lt;/div&gt;&lt;/ul&gt;&lt;div class="milewidzianeE"&gt;&lt;/div&gt;&lt;ul&gt;&lt;div class="lista"&gt;znajomość Javascriptu w tym: Angulara, jQuery, KendoUI&lt;/div&gt;&lt;div class="lista"&gt;znajomość HTML5/CSS3, Bootstrap&lt;/div&gt;&lt;div class="lista"&gt;umiejętność analizy systemów informatycznych&lt;/div&gt;&lt;/ul&gt;</t>
  </si>
  <si>
    <t>Obowiązki:&lt;br /&gt;Projekt dotyczy stworzenia kompleksowego rozwiązania programistycznego skierowanego do Szkolnictwa Wyższego. Główną technologią wykorzystywaną jest ASP.NET MVC oraz standardowe technologie webowe: Javascript, HTML, CSS oraz w mniejszym zakresie frameworki Javascriptowe. Zadaniem programistów będzie zarówno tworzenie nowych, oryginalnych rozwiązań, jak i integracja z istniejącymi Web service'ami.&lt;br /&gt;&lt;h2&gt;Zakres obowiązków:&lt;/h2&gt;&lt;br /&gt;&lt;ul&gt;&lt;br /&gt;&lt;li&gt;projektowanie i tworzenie wysokiej jakości rozwiązań w oparciu o platformę .NET&lt;/li&gt;&lt;br /&gt;&lt;li&gt;udział w analizach i testach wytworzonych rozwiązań&lt;/li&gt;&lt;br /&gt;&lt;/ul&gt;&lt;br /&gt;&lt;h2&gt;Zespół:&lt;/h2&gt;&lt;br /&gt;&lt;ul&gt;&lt;br /&gt;&lt;li&gt;aktualnie składa się z 4 osób, ale w planach jest powiększenie do 8&lt;/li&gt;&lt;br /&gt;&lt;/ul&gt;</t>
  </si>
  <si>
    <t>Program Specialist</t>
  </si>
  <si>
    <t>https://www.pracuj.pl/praca/program-specialist-tajecina-pow-rzeszowski,oferta,7198630</t>
  </si>
  <si>
    <t>Programista</t>
  </si>
  <si>
    <t>https://www.pracuj.pl/praca/programista-stalowa-wola,oferta,7209969</t>
  </si>
  <si>
    <t>https://www.pracuj.pl/praca/programista-mielec-rzeszow,oferta,7210982</t>
  </si>
  <si>
    <t>https://www.pracuj.pl/praca/python-developer-rzeszow,oferta,7214191</t>
  </si>
  <si>
    <t>Core Services Sp. z o.o.</t>
  </si>
  <si>
    <t>https://www.praca.pl/java-developer_2741762.html</t>
  </si>
  <si>
    <t>23.11.2019</t>
  </si>
  <si>
    <t>&lt;br /&gt;- Bardzo dobra znajomość: Java/Java EE, Spring Boot&lt;br /&gt;- Dobra znajomość: SQL/NoSQL&lt;br /&gt;- Doświadczenie z mikroserwisami&lt;br /&gt;- Doświadczenie Atlassian Suite&lt;br /&gt;- Doświadczenie w pracy z metodyką Agile&lt;br /&gt;- Mile widziane: doświadczenie z Messaging/Rabbit MQ&lt;br /&gt;</t>
  </si>
  <si>
    <t>PROFERIS Sp. z o.o.</t>
  </si>
  <si>
    <t>Programista .NET C#</t>
  </si>
  <si>
    <t>https://www.pracuj.pl/praca/programista-net-c%23-rzeszow,oferta,7227874</t>
  </si>
  <si>
    <t>Motivation Direct</t>
  </si>
  <si>
    <t>Programista .NET</t>
  </si>
  <si>
    <t>https://www.pracuj.pl/praca/programista-net-rzeszow,oferta,7223725</t>
  </si>
  <si>
    <t>https://www.pracuj.pl/praca/programista-nisko,oferta,7228095</t>
  </si>
  <si>
    <t>Powiatowy Inspektorat Weterynarii w Kolbuszowej</t>
  </si>
  <si>
    <t>https://www.praca.pl/inspektor_2778581.html</t>
  </si>
  <si>
    <t>&lt;h4&gt;Wymagania niezbędne&lt;/h4&gt;wykształcenie: wyższe administracyjne, ekonomiczne,&lt;br /&gt;doświadczenie zawodowe/staż pracy: co najmniej 10 miesięcy doświadczenia zawodowego administracja, kadry płace, księgowość lub podobne&lt;br /&gt;- Posiadanie obywatelstwa polskiego&lt;br /&gt;- Korzystanie z pełni praw publicznych&lt;br /&gt;- Nieskazanie prawomocnym wyrokiem za umyślne przestępstwo lub umyślne przestępstwo skarbowe&lt;br /&gt;&lt;h4&gt;Wymagania dodatkowe&lt;/h4&gt;&lt;br /&gt;- Umiejętność biegłej obsługi komputera i oprogramowania komupterowego.&lt;br /&gt;- Znajomość przepisów w zakresie Ustawy o Finansach Publicznych oraz przepisów wykonawczych do niej, zasad rachunkowości.&lt;br /&gt;- Umiejętność organizacji pracy własnej.&lt;br /&gt;- Znajomość ustawy o Służbie Cywilnej oraz rozporządzeń wykonawczych.&lt;br /&gt;- Znajomość Ustawy o Inspekcji Weterynaryjnej&lt;br /&gt;</t>
  </si>
  <si>
    <t>&lt;h4&gt;Warunki pracy&lt;/h4&gt;Praca biurowa w siedzibie Urzędu, od poniedziałku do piątku/w dni robocze/ w godzinach od 7.30 do 15.30. Sporadycznie praca poza siedzibą. Praca przy monitorze ekranowym. Stanowisko pracy usytuowane na II piętrze. Toalety nieprzystosowane dla osób niepełnosprawnych.&lt;br /&gt;Pracownik wykonuje czynności o charakterze statycznym w pozycji siedzącej przy biurku . Stanowisko pracy wyposażone w zestaw komputerowy oraz inny sprzęt biurowy. &lt;h4&gt;Zakres zadań&lt;/h4&gt;&lt;br /&gt;- Prowadzenie ewidencji środków trwałych i wyposażenia&lt;br /&gt;- Przygotowywanie i wysyłanie przelewów w systemie bankowości elektronicznej NBP;&lt;br /&gt;- Czynności pomocnicze przy sporządzaniu sprawozdań&lt;br /&gt;- Przygotowywanie dokumentacji dla głównego księgowego&lt;br /&gt;- Prowadzenie spraw kadrowych oraz obowiązującej dokumentacji w tym zakresie&lt;br /&gt;- Przygotowywanie dokumentacji do oceny stanowisk i oceny ryzyka zawodowego&lt;br /&gt;- Przygotowywanie dokumentacji do opisu i wartościowania stanowisk pracy&lt;br /&gt;- Sporządzanie sprawozdań do GUS&lt;br /&gt;- Monitorowanie należności oraz sporządzanie dokumentacji w tym zakresie&lt;br /&gt;</t>
  </si>
  <si>
    <t>https://www.praca.pl/starszy-referent_2737278.html</t>
  </si>
  <si>
    <t>07.11.2019</t>
  </si>
  <si>
    <t>&lt;h4&gt;Wymagania niezbędne&lt;/h4&gt;wykształcenie: średnie ogólne&lt;br /&gt;doświadczenie zawodowe/staż pracy: co najmniej 1 rok doświadczenia zawodowego w obszarze administracyjnym lub biurowym&lt;br /&gt;- - umiejętność obsługi komputera i urządzeń biurowych,&lt;br /&gt;- - znajomość Rozporządzenia Prezesa RM w sprawie instrukcji kancelaryjnej i jednolitych rzeczowych wykazów akt oraz instrukcji w sprawie organizacji i zakresu działania archiwów zakładowych&lt;br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służbie cywilnej&lt;br /&gt;</t>
  </si>
  <si>
    <t>&lt;h4&gt;Warunki pracy&lt;/h4&gt;- praca administracyjno - biurowa w siedzibie Delegatury,&lt;br /&gt;- praca przy monitorze ekranowym powyżej 4 godzin dziennie,&lt;br /&gt;- podstawowe wyposażenie stanowiska to komputer, urządzenie wielofunkcyjne,&lt;br /&gt;- oświetlenie sztuczne i naturalne,&lt;br /&gt;- praca: poniedziałek, środa do piątku w godz. 7.15 do 15.15, wtorek 8.00 do 16.00 &lt;h4&gt;Zakres zadań&lt;/h4&gt;&lt;br /&gt;- - ekspediowanie pism na pocztę i z poczty,&lt;br /&gt;- - ewidencjonowanie pism przychodzących i wychodzących w programie E-dok,&lt;br /&gt;- - rejestrowanie delegacji pracowników,&lt;br /&gt;- - obsługa urządzeń biurowych,&lt;br /&gt;- - przygotowywanie dokumentów Delegatury do archiwum zakładowego,&lt;br /&gt;- - zaopatrywanie Delegatury w materiały biurowe.&lt;br /&gt;- - prowadzenie wymaganej dokumentacji i rozliczeń z Izbą Skarbową w systemie "mandaty", opracowywanie miesięcznych i rocznych sprawozdzań&lt;br /&gt;</t>
  </si>
  <si>
    <t>Komenda Miejska Policji w Przemyślu</t>
  </si>
  <si>
    <t>Polska, podkarpackie, Medyka</t>
  </si>
  <si>
    <t>https://www.praca.pl/inspektor_2761051.html</t>
  </si>
  <si>
    <t>&lt;h4&gt;Wymagania niezbędne&lt;/h4&gt;wykształcenie: średnie&lt;br /&gt;doświadczenie zawodowe/staż pracy: co najmniej 6 miesięcy doświadczenia zawodowego w pracy administracyjno - biurowej&lt;br /&gt;- znajomość ustawy o Policji, znajomość ustawy o Służbie Cywilnej, znajomość ustawy o Pracownikach Urzędów Państwowych, znajomość podstaw prawa administracyjnego;&lt;br /&gt;- znajomość Zarządzenia nr 20 Ministra Spraw Wewnętrznych i Administracji w sprawie instrukcji kancelaryjnej oraz jednolitego rzeczowego wykazu akt Ministerstwa Spraw Wewnętrznych i Administarcji;&lt;br /&gt;- zdolność logicznego i analitycznego myślenia, komunikatywność oraz umiejętność pracy w zespole, samodzielność, dyspozycyjność, umiejętność obsługi komputera w zakresie pakietu MS Office oraz urządzeń biurowych.&lt;br /&gt;- Posiadanie obywatelstwa polskiego&lt;br /&gt;- Korzystanie z pełni praw publicznych&lt;br /&gt;- Nieskazanie prawomocnym wyrokiem za umyślne przestępstwo lub umyślne przestępstwo skarbowe&lt;br /&gt;&lt;h4&gt;Wymagania dodatkowe&lt;/h4&gt;&lt;br /&gt;- znajomość podstawowych pojęć prawnych, znajomość ustawy Kodeks Pracy&lt;br /&gt;- poświadczenie bezpieczeństwa do dostępu do informacji o klauzuli POUFNE&lt;br /&gt;</t>
  </si>
  <si>
    <t>&lt;h4&gt;Warunki pracy&lt;/h4&gt;praca biurowa, naturalne i sztuczne oświetlenie, praca przy monitorze ekranowym poniżej połowy dobowego czasu pracy, brak podjazdów dla osób niepełnosprawnych, brak odpowiednio dostosowanych toalet dla osób niepełnosprawnych, odporność na stres związany z obsługą klientów zewnętrznych &lt;h4&gt;Zakres zadań&lt;/h4&gt;&lt;br /&gt;- Prowadzenie dokumentacji związanej z obsługą kancelaryjną komisariatu, w tym rejestrowanie korespondencji w odpowiednich rejestrach kancelaryjnych, doręczanie korespondencji i prowadzenie książki doręczeń komisariatu;&lt;br /&gt;- Otwieranie otrzymywanych przesyłek (za wyjątkiem oznaczonych klauzulą niejawności, adresowanych imiennie, oznaczonych zapisem "do rąk własnych" lub " w sekretariacie nie otwierać");&lt;br /&gt;- Przedkładanie korespondencji komendantowi komisariatu, celem dekretacji oraz przekazywanie zadekretowanej i zarejestrowanej korespondencji w dzienniku korespondencyjnym, podawczym lub w innym rejestrze pomocniczym za pokwitowaniem odbioru;&lt;br /&gt;- Obsługa elektronicznego rejestru przesyłek pocztowych wysyłanych za pośrednictwem Poczty Polskiej " E-POCZTA" w zakresie korespondencji wychodzącej z komisariatu, prowadzenie wykazów przesyłek;&lt;br /&gt;- Archiwizowanie dokumentacji i rejestrów kancelaryjnych komisariatu zgodnie z obowiązującymi w tym zakresie przepisami;&lt;br /&gt;- Wypisywanie w prowadzonych rejestrach sygnatur dla dokumentów archiwalnych, rozliczanie wszystkich pozycji spraw ostatecznie zakończonych w prowadzonych rejestrach kancelaryjnych;&lt;br /&gt;- Bieżące zapoznawanie policjantów komisariatu z aktami prawnymi, pismami i i instrukcjami, kompletowanie kart zapoznania z aktami prawnymi oraz kart zapoznania z korespondencją kierowaną do innych komórek i jednostek organizacyjnych KMP w Przemyślu;;&lt;br /&gt;- Obsługa poczty elektronicznej, prowadzenie ewidencji urlopowej policjantów komisariatu, opracowywanie wykazu policjantów dojeżdżających do służby;&lt;br /&gt;- Prowadzenie ewidencji kluczy, referentek i szaf znajdujących się na stanie komisariatu , sporządzanie wykazu urlopów policjantów komisariatu;&lt;br /&gt;- Opracowywanie pism na potrzeby kierownictwa komisariatu, prowadzenie w razie potrzeby ewidencji pomocniczych;&lt;br /&gt;- Współpraca z sekretariatem ogólnym komendy oraz sekretariatami poszczególnych wydziałów i jednostek organizacyjnych w zakresie właściwego obiegu informacji i dokumentacji;&lt;br /&gt;- Zapewnienie właściwej ochrony dokumentów znajdujących się na stanie sekretariatu komisariatu&lt;br /&gt;- Wykonywanie dodatkowych zadań merytorycznie związanych z pracą na zajmowanym stanowisku w zakresie obsługi kancelaryjno - biurowej oraz zadań o charakterze doraźnym zapewniających niezakłócone funkcjonowanie komisariatu.&lt;br /&gt;</t>
  </si>
  <si>
    <t>Pracownik logistyki</t>
  </si>
  <si>
    <t>https://www.pracuj.pl/praca/pracownik-logistyki-rzeszow,oferta,7184247</t>
  </si>
  <si>
    <t>Pracownik do spraw ubezpieczeń</t>
  </si>
  <si>
    <t>RPd057|431202</t>
  </si>
  <si>
    <t>https://www.praca.pl/regionalny-menadzer-sprzedazy-ubezpieczen-grupowych-na-zycie_2744383.html</t>
  </si>
  <si>
    <t>11.11.2019</t>
  </si>
  <si>
    <t>&lt;br /&gt;Nasze oczekiwania:&lt;br /&gt;- wykształcenie wyższe, preferowane kierunki ekonomiczne, finanse i ubezpieczenia.&lt;br /&gt;- doświadczenie w pracy w branży ubezpieczeniowej na podobnym stanowisku,&lt;br /&gt;- znajomość rynku pośrednictwa ubezpieczeniowego,&lt;br /&gt;- znajomość lokalnego rynku agencyjnego,&lt;br /&gt;- dobra znajomość pakietu MS Office,&lt;br /&gt;- bardzo wysokie umiejętności sprzedażowe oraz negocjacyjne,&lt;br /&gt;- proaktywna postawa biznesowa i nastawienie na cel,&lt;br /&gt;- dynamizm oraz wytrwałość w realizacji zadań,&lt;br /&gt;- prawo jazdy kat. B,&lt;br /&gt;- gotowość do pracy w oparciu o własną działalność gospodarczą.&lt;br /&gt;</t>
  </si>
  <si>
    <t>&lt;br /&gt;Do zadań osoby na tym stanowisku należeć będzie:&lt;br /&gt;- aktywne wspomaganie pośredników w zakresie sprzedaży ubezpieczeń grupowych,&lt;br /&gt;- realizacja planów sprzedażowych, monitorowanie poziomu sprzedaży,&lt;br /&gt;- motywowanie podległego zespołu sprzedawców, aktywny rozwój sieci sprzedaży,&lt;br /&gt;- zapewnienie wsparcia merytorycznego oraz udzielanie informacji o aktualnej ofercie produktowej,&lt;br /&gt;- prowadzenie spotkań oraz szkoleń merytorycznych i sprzedażowych dla pośredników,&lt;br /&gt;- przygotowywanie ofert dla klientów oraz pomoc przy opracowywaniu ofert przez sieć sprzedaży,&lt;br /&gt;- monitorowanie standardu obsługi klienta przez sieć sprzedaży.&lt;br /&gt;</t>
  </si>
  <si>
    <t>Grupa Outworking</t>
  </si>
  <si>
    <t>Konsultant infolinii przychodzącej - PGE Obrót S.A</t>
  </si>
  <si>
    <t>https://www.pracuj.pl/praca/konsultant-infolinii-przychodzacej-pge-obrot-s-a-przemysl,oferta,7171725</t>
  </si>
  <si>
    <t>CCIG Group sp. z o.o.</t>
  </si>
  <si>
    <t>Wirtuoz konwersacji - praca dla studentów</t>
  </si>
  <si>
    <t>https://www.pracuj.pl/praca/wirtuoz-konwersacji-praca-dla-studentow-rzeszow,oferta,7176692</t>
  </si>
  <si>
    <t>Młodszy Dysponent ds. Sprzedaży i Obsługi Contact Center</t>
  </si>
  <si>
    <t>https://www.praca.pl/mlodszy-dysponent-ds-sprzedazy-i-obslugi-contact-center_2817458.html</t>
  </si>
  <si>
    <t>&lt;br /&gt;Na co dzień jako Młodszy Dysponent:&lt;br /&gt;- telefonicznie obsługujesz klientów Banku - rozmowy przychodzące i wychodzące,&lt;br /&gt;- sprzedajesz produkty i usługi bankowe,&lt;br /&gt;- przyjmujesz zlecenia od klientów,&lt;br /&gt;- odebrane dyspozycje wykonujesz w aplikacjach bankowych,&lt;br /&gt;- udzielasz informacji na temat produktów,&lt;br /&gt;- dbasz o dobrą relację z klientem.&lt;br /&gt;To stanowisko może być Twoje jeśli:&lt;br /&gt;- lubisz rozmawiać, poprawnie się wysławiasz i potrafisz słuchać,&lt;br /&gt;- posiadasz minimum wykształcenie średnie, z łatwością zdobywasz nową wiedzę i chcesz się rozwijać,&lt;br /&gt;- odpowiada Ci praca zmianowa, a dyspozycyjność i elastyczność w układaniu czasu pracy nie jest Ci obca,&lt;br /&gt;- masz pozytywne nastawienie i motywację do działania,&lt;br /&gt;- myślisz kreatywnie i cechuje Cię odporność na stres,&lt;br /&gt;- lubisz wyzwania i osiąganie postawionych celów,&lt;br /&gt;- sprawnie obsługujesz komputer i masz ciekawość poznawania nowych aplikacji,&lt;br /&gt;- Twoim dodatkowym atutem będzie umiejętność płynnej rozmowy w języku angielskim, rosyjskim lub ukraińskim.&lt;br /&gt;</t>
  </si>
  <si>
    <t>Operator węzła zaklejania (m/k)</t>
  </si>
  <si>
    <t>Pozostali operatorzy maszyn i urządzeń do produkcji wyrobów chemicznych</t>
  </si>
  <si>
    <t>https://www.praca.pl/operator-wezla-zaklejania-m-k_2823539.html</t>
  </si>
  <si>
    <t>&lt;br /&gt;- wykształcenia minimum podstawowe,&lt;br /&gt;- mile widziane doświadczenie w pracy na podobnym stanowisku,&lt;br /&gt;- dobra organizacja pracy własnej, dokładność,&lt;br /&gt;- dyspozycyjność i gotowość do pracy w systemie zmianowym.&lt;br /&gt;</t>
  </si>
  <si>
    <t>&lt;br /&gt;- przygotowywanie mieszanki klejowej do produkcji,&lt;br /&gt;- nadzór nad pracą zaklejarek,&lt;br /&gt;- nadzór nad przepływem kleju w dyszach,&lt;br /&gt;- przygotowywanie roztworu mocznikowego do produkcji.&lt;br /&gt;</t>
  </si>
  <si>
    <t>Doradca ds. Nieruchomości</t>
  </si>
  <si>
    <t>Pośrednik w obrocie nieruchomościami</t>
  </si>
  <si>
    <t>https://www.pracuj.pl/praca/doradca-ds-nieruchomosci-rzeszow,oferta,7174452</t>
  </si>
  <si>
    <t>Axpo Polska Sp z o. o.</t>
  </si>
  <si>
    <t>Doradca ds. energii i gazu</t>
  </si>
  <si>
    <t>https://www.pracuj.pl/praca/doradca-ds-energii-i-gazu-debica-mielec-przemysl-rzeszow-sanok-stalowa-wola-tarnobrzeg,oferta,7102860</t>
  </si>
  <si>
    <t>1803,1863,1818,1862,1811,1864,1817</t>
  </si>
  <si>
    <t>https://www.pracuj.pl/praca/opiekun-klienta-w-galerii-handlowej-rzeszow,oferta,7212973</t>
  </si>
  <si>
    <t>SITEL Polska</t>
  </si>
  <si>
    <t>Specjalista ds. Obsługi Klienta -  jęz. niemiecki</t>
  </si>
  <si>
    <t>https://www.praca.pl/specjalista-ds-obslugi-klienta-jez-niemiecki_2803364.html</t>
  </si>
  <si>
    <t>14.12.2019</t>
  </si>
  <si>
    <t>&lt;br /&gt;Warto do nas dołączyć:&lt;br /&gt;- Codzienny kontakt z językiem niemieckim&lt;br /&gt;- Oszczędność czasu - praca zdalna i elastyczny grafik&lt;br /&gt;- Zdalne szkolenie&lt;br /&gt;Oczekujemy:&lt;br /&gt;- Znajomości języka niemieckiego na poziomie C1&lt;br /&gt;- Gotowości do przyjazdu do Warszawy na 1. dzień szkolenia&lt;br /&gt;- Umiejętności obsługi komputera&lt;br /&gt;- Dokładności i dobrej organizacji pracy&lt;br /&gt;- Otwartości i pozytywnego podejścia do ludzi&lt;br /&gt;Zyskujesz:&lt;br /&gt;- Zatrudnienie w oparciu o umowę o pracę&lt;br /&gt;- Pracę w wymiarze pełnego etatu&lt;br /&gt;- Prywatną opiekę medyczną, bony świąteczne&lt;br /&gt;- Program poleceń pracowniczych&lt;br /&gt;- Bonusy dla najlepszych pracowników&lt;br /&gt;- 6-tygodniowe szkolenie wdrażające online&lt;br /&gt;</t>
  </si>
  <si>
    <t>&lt;br /&gt;W naszym zespole będziesz mailowo i telefonicznie wspierać użytkowników niemieckojęzycznej witryny aukcyjnej.&lt;br /&gt;</t>
  </si>
  <si>
    <t>PPH CERKAMED</t>
  </si>
  <si>
    <t>Opiekun Klienta Zagranicznego</t>
  </si>
  <si>
    <t>https://www.pracuj.pl/praca/opiekun-klienta-zagranicznego-stalowa-wola,oferta,7227910</t>
  </si>
  <si>
    <t>Operator dźwigu (m/k)</t>
  </si>
  <si>
    <t>https://www.praca.pl/operator-dzwigu-m-k_2727350.html</t>
  </si>
  <si>
    <t>&lt;br /&gt;- uprawnienia do obsługi żurawi II ż,&lt;br /&gt;- dyspozycyjność i gotowość do pracy od zaraz.&lt;br /&gt;</t>
  </si>
  <si>
    <t>&lt;br /&gt;- załadunek surowca do maszyny przeróbczej,&lt;br /&gt;- obsługa dźwigu,&lt;br /&gt;- dbałość o stan techniczny maszyny.&lt;br /&gt;</t>
  </si>
  <si>
    <t>https://www.pracuj.pl/praca/operator-produkcji-rzeszow,oferta,7167366</t>
  </si>
  <si>
    <t>http://gazetapraca.pl/ogl/2821842/pracownik+produkcji?utm_campaign=partner&amp;gpid=929580&amp;utm_medium=export&amp;glc_source=zielonalinia0&amp;utm_source=zielonalinia0</t>
  </si>
  <si>
    <t>Wymagania:&lt;br /&gt;&lt;div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t>
  </si>
  <si>
    <t>Obowiązki:&lt;br /&gt;&lt;div style="margin-top:15px; background: url('http://static-ats.gazetapraca.pl/_1192/graf/1_201701051320.jpg') no-repeat left center white; padding-left: 160px;"&gt;     &lt;div style="color: #e77b21 !important;"&gt;      &lt;div&gt;Miejsce pracy: Rogoźnica k. RzeszowaBędziesz zajmować się:&lt;/div&gt;&lt;ul&gt;&lt;div class="lista"&gt;Montażem elementów sprzętu AGD zgodnie z instrukcją&lt;/div&gt;&lt;div class="lista"&gt;Obsługą wtryskarki do formowania tworzyw sztucznych&lt;/div&gt;&lt;div class="lista"&gt;Dbaniem o jakość swojej pracy&lt;/div&gt;&lt;/ul&gt;     &lt;/div&gt;    &lt;/div&gt;&lt;div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&lt;/div&gt;&lt;div style="margin-top:15px; background: url('http://static-ats.gazetapraca.pl/_1192/graf/3_201701051320.jpg') no-repeat left center white; padding-left: 160px;"&gt;     &lt;div&gt;      &lt;div&gt;Dlaczego warto aplikować? Oferujemy:&lt;/div&gt;&lt;ul&gt;&lt;div class="lista"&gt;Pracę na pełny etat od zaraz w Rogoźnicy k. Rzeszowa&lt;/div&gt;&lt;div class="lista"&gt;Przejrzyste warunki zatrudnienia&lt;/div&gt;&lt;div class="lista"&gt;Umowę o pracę tymczasową z możliwością długofalowej współpracy&lt;/div&gt;&lt;div class="lista"&gt;Wsparcie ze strony Konsultanta Manpower na każdym etapie rekrutacji, wdrożenia do pracy i zatrudnienia&lt;/div&gt;&lt;div class="lista"&gt;Możliwość zdobycia doświadczenia i rozwoju w dużej i znanej firmie o stabilnej pozycji na rynku&lt;/div&gt;&lt;div class="lista"&gt;Wynagrodzenie powiększone o premie miesięczne&lt;/div&gt;&lt;div class="lista"&gt;Liczne benefity pracownicze: Multisport, prywatna opieka medyczna, ubezpieczenie medyczne, atrakcyjne zniżki i kupony rabatowe do wielu miejsc (pizzerii, kręgielni, klubów fitness i siłowni, szkół wyższych, szkół językowych, sklepów internetowych oraz wielu innych)&lt;/div&gt;&lt;div class="lista"&gt;Przyjazną atmosferę pracy&lt;/div&gt;&lt;/ul&gt;&lt;div&gt;Zainteresowany? Aplikuj już teraz, lub napisz SMS pod numer: 608 547 249.Nr ref.: PPR/037/AMAOferta dotyczy pracy tymczasowejAgencja 412&lt;/div&gt;     &lt;/div&gt;    &lt;/div&gt;</t>
  </si>
  <si>
    <t>https://www.praca.pl/operator-linii-montazowej_2813186.html</t>
  </si>
  <si>
    <t>&lt;br /&gt;- sprawność manualna,&lt;br /&gt;- dyspozycyjność, zaangażowanie,&lt;br /&gt;- uprawnienia do obsługi suwnic mile widziane,&lt;br /&gt;- nie wymagamy doświadczenia.&lt;br /&gt;</t>
  </si>
  <si>
    <t>&lt;br /&gt;- wykonywanie czynności montażowych zgodnie z instrukcją,&lt;br /&gt;- utrzymywanie porządku na stanowisku,&lt;br /&gt;- przestrzeganie obowiązujących procedur działania.&lt;br /&gt;</t>
  </si>
  <si>
    <t>Operator linii montażowej (Husqvarna Mielec)</t>
  </si>
  <si>
    <t>http://gazetapraca.pl/ogl/2825088?utm_campaign=partner&amp;gpid=936064&amp;utm_medium=export&amp;glc_source=zielonalinia0&amp;utm_source=zielonalinia0</t>
  </si>
  <si>
    <t>16.12.2019</t>
  </si>
  <si>
    <t>http://gazetapraca.pl/ogl/2823607/pracownik+produkcji?utm_campaign=partner&amp;gpid=933032&amp;utm_medium=export&amp;glc_source=zielonalinia0&amp;utm_source=zielonalinia0</t>
  </si>
  <si>
    <t>Obowiązki:&lt;br /&gt;&lt;div style="margin-top:15px; background: url('http://static-ats.gazetapraca.pl/_1192/graf/1_201701051320.jpg') no-repeat left center white; padding-left: 160px;"&gt;&lt;br /&gt;     &lt;div style="color: #e77b21 !important;"&gt;&lt;br /&gt;      &lt;div&gt;Miejsce pracy: Rogoźnica k. Rzeszowa&lt;br/&gt;&lt;br/&gt;Będziesz zajmować się:&lt;/div&gt;&lt;br /&gt;&lt;ul&gt;&lt;li&gt;Montażem elementów sprzętu AGD zgodnie z instrukcją&lt;/li&gt;&lt;br /&gt;&lt;li&gt;Obsługą wtryskarki do formowania tworzyw sztucznych&lt;/li&gt;&lt;br /&gt;&lt;li&gt;Dbaniem o jakość swojej pracy&lt;/li&gt;&lt;br /&gt;&lt;/ul&gt;&lt;br /&gt;     &lt;/div&gt;&lt;br /&gt;    &lt;/div&gt;</t>
  </si>
  <si>
    <t>Operator Maszyn Wulkanizacyjnych</t>
  </si>
  <si>
    <t>Operator urządzeń do wulkanizacji</t>
  </si>
  <si>
    <t>RPd057|814102</t>
  </si>
  <si>
    <t>https://www.pracuj.pl/praca/operator-maszyn-wulkanizacyjnych-rzeszow,oferta,7184242</t>
  </si>
  <si>
    <t>ERKO</t>
  </si>
  <si>
    <t>Operator obrabiarek CNC</t>
  </si>
  <si>
    <t>Polska, podkarpackie, Czeluśnica (pow. jasielski)</t>
  </si>
  <si>
    <t>https://www.pracuj.pl/praca/operator-obrabiarek-cnc-czelusnica-pow-jasielski,oferta,7227346</t>
  </si>
  <si>
    <t>Centrum Nauki i Biznesu "ŻAK" Sp. z o.o.</t>
  </si>
  <si>
    <t>Nauczyciel przedmiotów ogólnokształcących</t>
  </si>
  <si>
    <t>Nauczyciel matematyki</t>
  </si>
  <si>
    <t>RPd057|233015</t>
  </si>
  <si>
    <t>https://www.praca.pl/nauczyciel-przedmiotow-ogolnoksztalcacych_2823851.html</t>
  </si>
  <si>
    <t>&lt;br /&gt;Przygotowaliśmy dla Ciebie:&lt;br /&gt;- Zatrudnienie na podstawie umowy o pracę lub umowy zlecenia&lt;br /&gt;- Elastyczny grafik pracy, pozwalający łączyć zobowiązania zawodowe i rodzinne z pracą w Żaku&lt;br /&gt;</t>
  </si>
  <si>
    <t>&lt;br /&gt;w zakresie następujących przedmiotów:&lt;br /&gt;- Język polski&lt;br /&gt;- Matematyka&lt;br /&gt;- Język angielski&lt;br /&gt;- Język niemiecki&lt;br /&gt;- Fizyka&lt;br /&gt;- Chemia&lt;br /&gt;- Geografii i przyroda&lt;br /&gt;- Wiedza o społeczeństwie&lt;br /&gt;- Historia&lt;br /&gt;- Biologia&lt;br /&gt;- Informatyka&lt;br /&gt;- Przedsiębiorczość&lt;br /&gt;</t>
  </si>
  <si>
    <t>Mobilna Stacja Nauki</t>
  </si>
  <si>
    <t>Instruktor zajęć dla dzieci - praca mobilna</t>
  </si>
  <si>
    <t>Polska, podkarpackie, Przemyśl (okolice)</t>
  </si>
  <si>
    <t>https://www.pracuj.pl/praca/instruktor-zajec-dla-dzieci-praca-mobilna-przemysl-okolice-rzeszow-okolice,oferta,7207717</t>
  </si>
  <si>
    <t>Nauczyciel przedmiotów zawodowych</t>
  </si>
  <si>
    <t>Nauczyciel / instruktor praktycznej nauki zawodu</t>
  </si>
  <si>
    <t>RPd057|232001</t>
  </si>
  <si>
    <t>https://www.praca.pl/nauczyciel-przedmiotow-zawodowych_2823899.html</t>
  </si>
  <si>
    <t>&lt;br /&gt;w zakresie następujących zagadnień:&lt;br /&gt;- Informatyka i bezpieczeństwo teleinformatyczne&lt;br /&gt;- Florystyka&lt;br /&gt;- Rachunkowość&lt;br /&gt;- Administracja i prawo&lt;br /&gt;- Terapia zajęciowa&lt;br /&gt;- Fizykoterapia i masaż leczniczy&lt;br /&gt;- Usługi opiekuńcze (osoby dorosłe)&lt;br /&gt;- Usługi opiekuńcze (dzieci)&lt;br /&gt;- Usługi opieki medycznej&lt;br /&gt;- Eksploatacja portów i terminali&lt;br /&gt;- Usługi kosmetyczne&lt;br /&gt;- Usługi fryzjerskie&lt;br /&gt;- Turystyka&lt;br /&gt;- Dietetyka&lt;br /&gt;- Logistyka&lt;br /&gt;- Przedsiębiorczość&lt;br /&gt;- Kompetencje personalne i społeczne&lt;br /&gt;- Dekorator wnętrz&lt;br /&gt;- BHP&lt;br /&gt;- Aranżacja ogrodów&lt;br /&gt;</t>
  </si>
  <si>
    <t>P.B.M i R "BUDROS" Sp. z o.o.</t>
  </si>
  <si>
    <t>Monter rusztowań przemysłowych</t>
  </si>
  <si>
    <t>https://www.praca.pl/monter-rusztowan-przemyslowych_2249742.html</t>
  </si>
  <si>
    <t>02.12.2019</t>
  </si>
  <si>
    <t>&lt;br /&gt;- Doświadczenie ca. 2 lata potwierdzone świadectwami pracy;&lt;br /&gt;- Książeczka montera;&lt;br /&gt;- Certyfikat montera SCC/VCA- warunek konieczny;&lt;br /&gt;- Znajomość niemieckiego nie jest wymagana, praca w zespole z innymi naszymi monterami;&lt;br /&gt;- Opłacone składki w ZUS na 30 dni przed wyjazdem na kontrakt;&lt;br /&gt;- Sumienność, odpowiedzialność, dobra organizacja pracy, dyspozycyjność.&lt;br /&gt;</t>
  </si>
  <si>
    <t>&lt;br /&gt;Oferujemy pracę w Niemczech w miejscowości Gelsenkirchen. Zwracamy koszty podróży z Polski do Niemiec i z powrotem w ramach podpisanego kontraktu. Dodatkowo na miejscu gwarantujemy bezpłatny dojazd do pracy.&lt;br /&gt;Zadania:&lt;br /&gt;- Montaż i demontaż rusztowań typu Layher na obiektach przemysłowych;&lt;br /&gt;- Przestrzeganie przepisów BHP;&lt;br /&gt;- Dbałość o składowanie materiału.&lt;br /&gt;</t>
  </si>
  <si>
    <t>Monter instalacji sanitarnych</t>
  </si>
  <si>
    <t>Monter instalacji i urządzeń sanitarnych</t>
  </si>
  <si>
    <t>RPd057|712604</t>
  </si>
  <si>
    <t>https://www.pracuj.pl/praca/monter-instalacji-sanitarnych-rzeszow,oferta,7228118</t>
  </si>
  <si>
    <t>Operator sit i wialni (m/k)</t>
  </si>
  <si>
    <t>Młynarz</t>
  </si>
  <si>
    <t>RPd057|751401</t>
  </si>
  <si>
    <t>https://www.praca.pl/operator-sit-i-wialni-m-k_2727373.html</t>
  </si>
  <si>
    <t>&lt;br /&gt;- wykształcenie minimum podstawowe,&lt;br /&gt;- mile widziane doświadczenie w pracy na podobnym stanowisku,&lt;br /&gt;- dobra organizacji pracy własnej,&lt;br /&gt;- dyspozycyjność i gotowość do pracy w systemie zmianowym.&lt;br /&gt;</t>
  </si>
  <si>
    <t>&lt;br /&gt;- kontrola pracy wialni i młynów,&lt;br /&gt;- kontrola czystości sortowników,&lt;br /&gt;- przygotowanie sit do montażu,&lt;br /&gt;- czyszczenie i wymiana sit.&lt;br /&gt;</t>
  </si>
  <si>
    <t>Kone Sp. z o.o.</t>
  </si>
  <si>
    <t>Konserwator Urządzeń Dźwigowych</t>
  </si>
  <si>
    <t>Mechanik / konserwator urządzeń dźwignicowych</t>
  </si>
  <si>
    <t>RPd057|723302</t>
  </si>
  <si>
    <t>https://www.praca.pl/konserwator-urzadzen-dzwigowych_2741112.html</t>
  </si>
  <si>
    <t>&lt;br /&gt;ZAKRES OBOWIĄZKÓW:&lt;br /&gt;- Realizacja wszystkich czynności serwisowych, zgodnie z wymogami umów serwisowych, polityką spółki oraz procesami KONE;&lt;br /&gt;- Podtrzymywanie długofalowych kontaktów z Klientami.&lt;br /&gt;</t>
  </si>
  <si>
    <t>&lt;br /&gt;OFERUJEMY:&lt;br /&gt;- Pracę w stabilnej międzynarodowej organizacji w ramach umowy o pracę;&lt;br /&gt;- Wsparcie w nauce i podnoszeniu kwalifikacji zawodowych w ramach jasnych ścieżek karier;&lt;br /&gt;- Bogaty pakiet szkoleń technicznych;&lt;br /&gt;- Możliwość pracy przy nowoczesnych i innowacyjnych technologiach, w tym 24/&lt;br /&gt;- Kwartalny system premiowy, premię świąteczną;&lt;br /&gt;- Niezbędne narzędzia pracy, w tym: docelowo 5-sobowy samochód służbowy również do użytku prywatnego, smartfon;&lt;br /&gt;- Prywatną opiekę medyczną dla pracownika, z możliwością doubezpieczenia członków rodziny;&lt;br /&gt;- Karta Multisport;&lt;br /&gt;- Dodatkowe ubezpieczenie na życie;&lt;br /&gt;- Dofinansowanie nauki języka angielskiego;&lt;br /&gt;- Pomoc przy relokacji do miast: Trójmiasto, Poznań, Warszawa, Wrocław, Katowice, Kraków, Łódź.&lt;br /&gt;</t>
  </si>
  <si>
    <t>Maszynista chłodniczy</t>
  </si>
  <si>
    <t>Maszynista chłodni</t>
  </si>
  <si>
    <t>RPd057|313202</t>
  </si>
  <si>
    <t>https://www.pracuj.pl/praca/maszynista-chlodniczy-rzeszow,oferta,7169380</t>
  </si>
  <si>
    <t>Sprzedawca/Magazynier</t>
  </si>
  <si>
    <t>https://gratka.pl/praca/sprzedawca-magazynier/ob/13951889?utm_source=zielonalinia.pl&amp;utm_medium=zielonalinia&amp;utm_campaign=export_xml</t>
  </si>
  <si>
    <t>Oczekiwania: &lt;ul&gt;&lt;li&gt;Dyspozycyjność;&lt;/li&gt;&lt;li&gt;Gotowość do podjęcia pracy zmianowej w Galerii Handlowej;&lt;/li&gt;&lt;li&gt;Mile widziane doświadczenie na podobnym stanowisku;&lt;/li&gt;&lt;li&gt;Umiejętność pracy w zespole.&lt;/li&gt;&lt;/ul&gt;</t>
  </si>
  <si>
    <t>Meble-Black Red White Sp. z o.o.</t>
  </si>
  <si>
    <t>https://www.pracuj.pl/praca/magazynier-mielec,oferta,7165484</t>
  </si>
  <si>
    <t>Polska, podkarpackie, Rogoźnica</t>
  </si>
  <si>
    <t>https://www.praca.pl/magazynier_2735836.html</t>
  </si>
  <si>
    <t>&lt;br /&gt;Jeśli:&lt;br /&gt;- Posiadasz uprawnienia UDT lub doświadczenie kierowania wózkiem widłowym, a chciałbyś zdobyć uprawnienia UDT z nami&lt;br /&gt;- Posiadasz prawo jazdy kat. B&lt;br /&gt;- Chcesz pracować w jednej z największych firm logistycznych w Polsce&lt;br /&gt;- Jesteś sumienny i odpowiedzialny&lt;br /&gt;Zapraszamy do pracy w PEKAES!&lt;br /&gt;Sfinansujemy Twoje szkolenie i egzamin UDT!&lt;br /&gt;</t>
  </si>
  <si>
    <t>https://www.praca.pl/magazynier-m-k_2727794.html</t>
  </si>
  <si>
    <t>&lt;br /&gt;- mile widziane doświadczenie,&lt;br /&gt;- dyspozycyjność i gotowość do pracy w systemie zmianowym.&lt;br /&gt;</t>
  </si>
  <si>
    <t>&lt;br /&gt;- przyjmowanie, magazynowanie oraz wydawanie surowców chemicznych z magazynu,&lt;br /&gt;- wstępna kontrola porównawcza parametrów dostarczonych surowców z wymaganiami atestów,&lt;br /&gt;- codzienna kontrola stanów magazynowych surowców chemicznych,&lt;br /&gt;- dbałość o stan techniczny powierzonego sprzętu,&lt;br /&gt;- wypełnianie dokumentacji związanej z przyjęciem towaru do magazynu,&lt;br /&gt;- dbanie o ład i porządek na powierzonym obszarze.&lt;br /&gt;</t>
  </si>
  <si>
    <t>BOGARO Sp. z o.o.</t>
  </si>
  <si>
    <t>Magazynier - Pracownik Wsparcia Produkcji</t>
  </si>
  <si>
    <t>https://www.praca.pl/magazynier-pracownik-wsparcia-produkcji_2761331.html</t>
  </si>
  <si>
    <t>&lt;br /&gt;- wykształcenie zawodowe lub średnie&lt;br /&gt;- doświadczenie zawodowe na stanowisku magazyniera&lt;br /&gt;- mile widziana znajomość bądź doświadczenie procesów produkcyjnych na szwalni odzieży lub zakładzie krawieckim&lt;br /&gt;- komunikatywność i wysoka kultura osobista&lt;br /&gt;</t>
  </si>
  <si>
    <t>&lt;br /&gt;- kontrola poprawności dostaw pod względem ilościowym i jakościowym zgodnie z fakturą dostawy&lt;br /&gt;- koordynowanie procesu zamówień i dostaw&lt;br /&gt;- przygotowanie gotowych wyrobów do wysyłki kurierskiej&lt;br /&gt;- kontrola zgodności faktycznych stanów magazynowych&lt;br /&gt;- sortowanie i układanie towarów w magazynie zgodnie z zasadami BHP&lt;br /&gt;- wsparcie pracowników zespołu w wykonywaniu czynności w procesach produkcyjnych&lt;br /&gt;- umiejętność biegłej obsługi komputera: pakietu MS Office&lt;br /&gt;- dbałość o porządek i czystość stanowiska pracy&lt;br /&gt;- bardzo dobra logistyczna organizacja pracy&lt;br /&gt;- samodzielność w działaniu&lt;br /&gt;</t>
  </si>
  <si>
    <t>Ingram Micro CFS Eurohub Fulfilment GmbH</t>
  </si>
  <si>
    <t>Pracownik magazynu / Komisjoner (m/w/d)</t>
  </si>
  <si>
    <t>Polska, podkarpackie, Großbeeren (okolice Berlina)</t>
  </si>
  <si>
    <t>http://gazetapraca.pl/ogl/2824071?utm_campaign=partner&amp;gpid=933286&amp;utm_medium=export&amp;glc_source=zielonalinia0&amp;utm_source=zielonalinia0</t>
  </si>
  <si>
    <t>Obowiązki:&lt;br /&gt;&lt;div&gt;&lt;br /&gt;&lt;div&gt;&lt;br /&gt;Jesteś osobą zmotywowaną, niezawodną i elastyczną? Jeżeli tak, oferujemy Ci pracę zapewniającą perspektywę rozwoju w naszym magazynie! Jako pracownik/pracowniczka logistyki magazynowej będziesz ważnym ogniwem naszego zespołu wspierającym wykonywane przez nas usługi logistyczne.&lt;br /&gt;&lt;/div&gt;&lt;br /&gt;&lt;/div&gt;&lt;br /&gt;&lt;div&gt;&lt;br /&gt;&lt;div&gt;&lt;br /&gt;&lt;h2&gt;Działy, w których oferujemy zatrudnienie:&lt;/h2&gt;&lt;br /&gt;&lt;ul&gt;&lt;br /&gt;&lt;li&gt;kontrola przyjmowanego towaru (kontrola jakości, wyrywkowe sprawdzanie stanu ilościowego itp.),&lt;/li&gt;&lt;br /&gt;&lt;li&gt;przyjęcie towaru (księgowanie, wykładanie itp.),&lt;/li&gt;&lt;br /&gt;&lt;li&gt;wysyłka towarów (komisjonowanie, sortowanie, pakowanie itp.),&lt;/li&gt;&lt;br /&gt;&lt;li&gt;inwentaryzacja (kontrola lokalizacji w magazynie, kontrola jakości, przypadki do wyjaśnienia itp.),&lt;/li&gt;&lt;br /&gt;&lt;/ul&gt;&lt;br /&gt;&lt;/div&gt;&lt;br /&gt;&lt;/div&gt;&lt;br /&gt;&lt;div&gt;&lt;br /&gt;&lt;div&gt;&lt;br /&gt;&lt;h2&gt;Nasze oczekiwania:&lt;br /&gt;&lt;/h2&gt;&lt;br /&gt;&lt;ul&gt;&lt;br /&gt;&lt;li&gt;wykształcenie jako specjalista w dziedzinie logistyki magazynowej będzie dodatkowym atutem&lt;br /&gt;&lt;/li&gt;&lt;br /&gt;&lt;li&gt;motywacja i zaangażowanie&lt;br /&gt;&lt;/li&gt;&lt;br /&gt;&lt;li&gt;niezawodność i elastyczność&lt;br /&gt;&lt;/li&gt;&lt;br /&gt;&lt;li&gt;gotowość do pracy w systemie trójzmianowym&lt;br /&gt;&lt;/li&gt;&lt;br /&gt;&lt;/ul&gt;&lt;br /&gt;&lt;/div&gt;&lt;br /&gt;&lt;div&gt;&lt;br /&gt;&lt;h2&gt;Nasza oferta:&lt;br /&gt;&lt;/h2&gt;&lt;br /&gt;&lt;ul&gt;&lt;br /&gt;&lt;li&gt;stała pensja w wysokości 1706,25 €/brutto (plus 25% dodatku za pracę na nocnej zmianie), punktualną wypłatę przy zatrudnieniu na pełen etat 37,5 h/na tydzień,&lt;br /&gt;&lt;/li&gt;&lt;br /&gt;&lt;li&gt;praca przy artykułach odzieżowych,&lt;br /&gt;&lt;/li&gt;&lt;br /&gt;&lt;li&gt;przyjemna atmosfera pracy, mówienie sobie po imieniu, od pracownika magazynu po kierownictwo firmy,&lt;br /&gt;&lt;/li&gt;&lt;br /&gt;&lt;li&gt;ciekawa praca w ugruntowanym i przyszłościowym przedsiębiorstwie oraz możliwość rozwoju wraz z naszym innowacyjnym przedsiębiorstwem, jak i długofalowa perspektywa &lt;br /&gt;na przyszłość,&lt;br /&gt;&lt;/li&gt;&lt;br /&gt;&lt;li&gt;ergonomiczne i nowoczesne miejsce pracy,&lt;br /&gt;&lt;/li&gt;&lt;br /&gt;&lt;li&gt;napoje i świeże owoce oraz inne korzyści,&lt;br /&gt;&lt;/li&gt;&lt;br /&gt;&lt;li&gt;stołówka oferującą przez cały dzień świeże potrawy oraz co tydzień zmieniające się menu &lt;br /&gt;w przystępnych cenach,&lt;br /&gt;&lt;/li&gt;&lt;br /&gt;&lt;li&gt;oferty związane z profilaktyką zdrowotną&lt;br /&gt;&lt;/li&gt;&lt;br /&gt;&lt;li&gt;program emerytalny.&lt;br /&gt;&lt;/li&gt;&lt;br /&gt;&lt;/ul&gt;&lt;br /&gt;Nasza firma nie zapewnia zakwaterowania, ani dojazdów do pracy.&lt;br /&gt;&lt;/div&gt;&lt;br /&gt;&lt;/div&gt;&lt;br /&gt;&lt;div&gt;&lt;br /&gt;&lt;div&gt;&lt;br /&gt;Jeżeli nasza oferta Cię zaciekawiła, prześlij kompletne podanie, najlepiej drogą elektroniczną za pomocą przycisku "Aplikuj teraz" lub wypełniając formularz online na stronie eurohub.de.&lt;br /&gt;&lt;br /&gt;Hotline: +4933701-299-330&lt;br /&gt;&lt;/div&gt;&lt;br /&gt;&lt;/div&gt;</t>
  </si>
  <si>
    <t>http://gazetapraca.pl/ogl/2824100?utm_campaign=partner&amp;gpid=934044&amp;utm_medium=export&amp;glc_source=zielonalinia0&amp;utm_source=zielonalinia0</t>
  </si>
  <si>
    <t>08.12.2019</t>
  </si>
  <si>
    <t>Wymagania:&lt;br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PL;"&gt;Idealny Kandydat powinnien:&lt;ul&gt;&lt;div class="lista"&gt;Posiadać aktualne badania sanitarno-epidemiologiczne (książeczka Sanepid) - możliwość wyrobienia podczas okresu wdrożenia,&lt;/div&gt;&lt;div class="lista"&gt;Być dyspozycyjny do pracy w systemie 2 zmianowym (zmiany popołudniowe i nocne).&lt;/div&gt;&lt;/ul&gt;</t>
  </si>
  <si>
    <t>Obowiązki:&lt;br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PL;"&gt;Kluczowe zadania:&lt;/span&gt;&lt;br /&gt;&lt;ul&gt;&lt;br /&gt;&lt;li&gt;&lt;br /&gt;Zadaniem osoby zatrudnionej na stanowisku będzie realizacja zleceń zgodnie z zamówieniem (kompletacja towaru) oraz właściwe zabezpieczenie i przygotowanie do wysyłki.&lt;br /&gt;&lt;/li&gt;&lt;br /&gt;&lt;/ul&gt;</t>
  </si>
  <si>
    <t>https://www.pracuj.pl/praca/magazynier-tarnobrzeg,oferta,7179847</t>
  </si>
  <si>
    <t>Apollo Aerospace Components Sp. z o.o.</t>
  </si>
  <si>
    <t>Główny magazynier</t>
  </si>
  <si>
    <t>https://www.pracuj.pl/praca/glowny-magazynier-mielec,oferta,7211150</t>
  </si>
  <si>
    <t>Pracownik Magazynowy</t>
  </si>
  <si>
    <t>https://www.pracuj.pl/praca/pracownik-magazynowy-mielec,oferta,7212869</t>
  </si>
  <si>
    <t>Nowy Styl</t>
  </si>
  <si>
    <t>Specjalista ds. Gospodarki Magazynowej</t>
  </si>
  <si>
    <t>https://www.praca.pl/specjalista-ds-gospodarki-magazynowej_2813582.html</t>
  </si>
  <si>
    <t>&lt;br /&gt;- biegle obsługujesz pakiet MS Office&lt;br /&gt;- posiadasz zdolność analitycznego myślenia&lt;br /&gt;- cechuje Cię odpowiedzialność, rzetelność, samodzielność w wykonywaniu swoich obowiązków&lt;br /&gt;- potrafisz pracować w zespole&lt;br /&gt;- dobrze organizujesz swoją pracę i potrafisz działać pod presją czasu&lt;br /&gt;- posiadasz prawo jazdy kat. B&lt;br /&gt;</t>
  </si>
  <si>
    <t>Profi-Center Sp. z o.o.</t>
  </si>
  <si>
    <t>https://www.pracuj.pl/praca/lektor-jezyka-angielskiego-rzeszow,oferta,7201160</t>
  </si>
  <si>
    <t>Data Associate with French</t>
  </si>
  <si>
    <t>Lektor dialogów filmowych i radiowych</t>
  </si>
  <si>
    <t>RPd057|265603</t>
  </si>
  <si>
    <t>https://gratka.pl/praca/data-associate-with-french/ob/14173841?utm_source=zielonalinia.pl&amp;utm_medium=zielonalinia&amp;utm_campaign=export_xml</t>
  </si>
  <si>
    <t>Basic Qualifications&lt;br /&gt;&lt;ul&gt;&lt;li&gt;Native-level proficiency in French, both verbal and written skills&lt;/li&gt;&lt;br /&gt;&lt;li&gt;Comfortable working with speech from various dialects and accents of French&lt;/li&gt;&lt;br /&gt;&lt;li&gt;Willing to work with audio content (wearing headsets) for a portion of the day&lt;/li&gt;&lt;br /&gt;&lt;li&gt;Experience with business software&lt;/li&gt;&lt;br /&gt;&lt;li&gt;Capable of working in strict compliance with internal guidelines&lt;/li&gt;&lt;br /&gt;&lt;li&gt;Excellent communication and organizational skills, detailed-oriented, highly collaborative&lt;/li&gt;&lt;br /&gt;&lt;li&gt;Comfortable working in an ever-changing, highly collaborative and dynamic work environment&lt;/li&gt;&lt;br /&gt;&lt;li&gt;Willingness to support several projects at one time and to accept re-prioritization as necessary&lt;/li&gt;&lt;br /&gt;&lt;li&gt;Continuous efforts to deliver the high quality data such as self-analysis&lt;/li&gt;&lt;br /&gt;&lt;li&gt;Business English skills both verbal and written&lt;/li&gt;&lt;br /&gt;&lt;/ul&gt; Preferred Qualifications&lt;br /&gt;&lt;ul&gt;&lt;li&gt;Bachelor’s degree in a relevant field or equivalent&lt;/li&gt;&lt;br /&gt;&lt;li&gt;Experience working with speech or language data, including experience with annotation and&lt;/li&gt;&lt;br /&gt;&lt;li&gt;Other forms of data markup&lt;/li&gt;&lt;br /&gt;&lt;li&gt;Practical knowledge of data processing needs and trade-offs&lt;/li&gt;&lt;br /&gt;&lt;/ul&gt;</t>
  </si>
  <si>
    <t>Team overview&lt;br /&gt;The Alexa Data Services (ADS) organization provides data creation, curation, and analytics services to help develop, test, and train the Alexa AI. We work closely with internal customers like Machine Learning Science modeling teams, providing the critical data they need to improve Alexa’s Automatic Speech Recognition and Natural Language Understanding models and domain features. Come build the future of the voice recognition for Alexa with us.&lt;br /&gt;&lt;br /&gt;Job Mission&lt;br /&gt;We are hiring Data Associates in our Gdańsk data team to work on transcriptions of audio files for Automatic Speech Recognition, semantic annotation for Natural Language Understanding, and dialogue evaluation for improving overall customer interaction with Alexa.&lt;br /&gt;&lt;br /&gt;You will focus on speech and language data, primarily in the areas of transcription, text annotation, and general data analysis to meet the internal customer’s request.&lt;br /&gt;&lt;br /&gt;Driven by your passion for data, you show proactive behavior in solving issues with efficiency and accuracy. Your ability to concentrate and your high attention to details help you deliver high-quality work.&lt;br /&gt;In this role, you are comfortable with, and understand, the changes to the conventions deployed&lt;br /&gt;in response to internal customers’ requests. You demonstrate ability to adjust your workflows accordingly. You prioritize strict compliance with regulatory requirements, and contribute to improvements in the software tools by identifying bugs and suggesting enhancements.&lt;br /&gt;&lt;br /&gt;As a Data Associate, you must be capable of:&lt;br /&gt;&lt;ul&gt;&lt;li&gt;Maintaining strict confidentiality and follow all applicable Amazon policies for securing confidential information&lt;/li&gt;&lt;br /&gt;&lt;li&gt;Transcribing and annotating high priority deliverables&lt;/li&gt;&lt;br /&gt;&lt;li&gt;Translating established guidelines into daily work practices and processing data in order of priority&lt;/li&gt;&lt;br /&gt;&lt;li&gt;Delivering high quality on deadlines&lt;/li&gt;&lt;br /&gt;&lt;li&gt;Getting the job done and working autonomously with minimal direction&lt;/li&gt;&lt;br /&gt;&lt;li&gt;Contributing to process improvements to reduce handling time and improve output&lt;/li&gt;&lt;br /&gt;&lt;/ul&gt;</t>
  </si>
  <si>
    <t>https://www.praca.pl/inspektor-weterynaryjny_2760879.html</t>
  </si>
  <si>
    <t>&lt;h4&gt;Wymagania niezbędne&lt;/h4&gt;wykształcenie: wyższe weterynaryjne&lt;br /&gt;doświadczenie zawodowe/staż pracy: doświadczenia zawodowego&lt;br /&gt;- prawo wykonywania zawodu lekarza weterynarii&lt;br /&gt;- znajomość zagadnień związanych z aktualnymi regulacjami prawnymi dot. Inspekcji Weterynaryjnej&lt;br /&gt;- praktyczna umiejętność prowadzenia samochodu (prawo jazdy kat. B)&lt;br /&gt;- umiejętność obsługi komputera i biegła znajomość pakietu MS OFFice&lt;br /&gt;- Posiadanie obywatelstwa polskiego&lt;br /&gt;- Korzystanie z pełni praw publicznych&lt;br /&gt;- Nieskazanie prawomocnym wyrokiem za umyślne przestępstwo lub umyślne przestępstwo skarbowe&lt;br /&gt;&lt;h4&gt;Wymagania dodatkowe&lt;/h4&gt;&lt;br /&gt;- znajomość języka angielskiego na poziomie komunikatywnym&lt;br /&gt;- ogólna znajomość polskich i unijnych przepisów weterynaryjnych w szczególności w zakresie higieny środków spożywczych pochodzenia zwierzęcego&lt;br /&gt;- rzetelność, punktualność, staranność&lt;br /&gt;- komunikatywność, kultura pracy i kultura osobista&lt;br /&gt;</t>
  </si>
  <si>
    <t>&lt;h4&gt;Warunki pracy&lt;/h4&gt;Praca w siedzibie urzędu oraz w terenie na obszarze powiatu.&lt;br /&gt;Narzędzia i materiały pracy - praca przy komputerze powyżej 4 godziny dziennie i inne narzędzia biurowe (fax, skaner, kserokopiarka) .&lt;br /&gt;Bariery architektoniczne - brak podjazdów. &lt;h4&gt;Zakres zadań&lt;/h4&gt;&lt;br /&gt;- sprawowanie nadzoru nad bezpieczeństwem produktów pochodzenia zwierzęcego, w tym nad rolniczym handlem detalicznym produktami pochodzenia zwierzęcego, a także żywnością zawierającą jednocześnie środki spożywcze pochodzenia niezwierzęcego i produkty pochodzenia zwierzęcego;&lt;br /&gt;- realizacja krajowego programu badań kontrolnych substancji niedozwolonych, pozostałości chemicznych, biologicznych, produktów leczniczych, skażeń promieniotwórczych u zwierząt, w produktach pochodzenia zwierzęcego oraz w wodzie przeznaczonej do pojenia zwierząt;&lt;br /&gt;- kontrola spełniania warunków weterynaryjnych przez podmioty nadzorowane;&lt;br /&gt;- prowadzenie rejestru podmiotów prowadzących działalność nadzorowaną;&lt;br /&gt;- nadzorowanie pracy w terenowych pracowniach wytrawiania;&lt;br /&gt;- sporządzanie sprawozdawczości i dokumentacji z wykonywanych zadań;&lt;br /&gt;- prowadzenie postępowania administracyjnego w zakresie sprawowanego nadzoru;&lt;br /&gt;</t>
  </si>
  <si>
    <t>Powiatowy Inspektorat Weterynarii w Przeworsku</t>
  </si>
  <si>
    <t>https://www.praca.pl/inspektor-weterynaryjny_2752746.html</t>
  </si>
  <si>
    <t>29.11.2019</t>
  </si>
  <si>
    <t>&lt;h4&gt;Wymagania niezbędne&lt;/h4&gt;wykształcenie: wyższe weterynaryjne ,&lt;br /&gt;prawo wykonywaniu zawodu lekarza weterynarii&lt;br /&gt;doświadczenie zawodowe/staż pracy: doświadczenia zawodowego&lt;br /&gt;- Prawo jazdy kat B&lt;br /&gt;- znajomość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</si>
  <si>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administracyjno-biurowa w siedzibie urzędu oraz praca poza jego siedzibą. Praca przy komputerze oraz z innymi urządzeniami biurowymi, przy oświetleniu naturalnym i sztucznym. Reprezentowanie urzędu w siedzibie i poza siedzibą urzędu. Wyjazdy służbowe, udział w szkoleniach i konferencjach. Bezpośredni kontakt z klientem. Kontakt ze zwierzętami.&lt;br /&gt;Miejsce pracy mieści się na parterze budynku.&lt;br /&gt;&lt;h4&gt;Zakres zadań&lt;/h4&gt;&lt;br /&gt;- sprawowanie nadzoru nad badaniem zwierząt rzeźnych i mięsa oraz produktów pochodzenia zwierzęcego,&lt;br /&gt;- sprawowanie nadzoru z zakresu przestrzegania przepisów o ochronie zwierząt w trakcie uboju zwierząt,&lt;br /&gt;- sprawowanie nadzoru nad bezpieczeństwem produktów pochodzenia zwierzęcego , w tym nad wymaganiami weterynaryjnymi przy ich produkcji , umieszczaniu na rynku i sprzedaży,&lt;br /&gt;- przygotowywanie decyzji administracyjnych i postanowień w zakresie badania zwierząt rzeźnych i mięsa oraz warunków zdrowotnych żywności,&lt;br /&gt;- sporządzanie sprawozdań w zakresie prowadzenia kontroli,&lt;br /&gt;</t>
  </si>
  <si>
    <t>Powiatowy Inspektorat Weterynarii w Jarosławiu</t>
  </si>
  <si>
    <t>https://www.praca.pl/inspektor-weterynaryjny_2767244.html</t>
  </si>
  <si>
    <t>&lt;h4&gt;Wymagania niezbędne&lt;/h4&gt;wykształcenie: wyższe weterynaryjne&lt;br /&gt;doświadczenie zawodowe/staż pracy: doświadczenia zawodowego&lt;br /&gt;- znajomość obowiązujących przepisów weterynaryjnych&lt;br /&gt;- umiejętność obsługi komputera ( pakiet MS Office )&lt;br /&gt;- umiejętność organizacji pracy własnej i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</si>
  <si>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 Praca w terenie -dojazdy samochodem służbowym oraz przy komputerze powyżej 4 godzin dziennie przy oświetleniu naturalnym i sztucznym. Wyjazdy służbowe, udział w szkoleniach i konferencjach. Bezpośredni kontakt z klientem. Kontakt ze zwierzętami.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</si>
  <si>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FRESENIUS NEPHROCARE POLSKA SP. Z O.O.</t>
  </si>
  <si>
    <t>Lekarz</t>
  </si>
  <si>
    <t>RPd057|221101</t>
  </si>
  <si>
    <t>https://www.praca.pl/lekarz_2737634.html</t>
  </si>
  <si>
    <t>&lt;br /&gt;Oczekujemy:&lt;br /&gt;- wykształcenia medycznego (specjalista chorób wewnętrznych II st./ nefrolog/ w trakcie specjalizacji z nefrologii - ukończony min. 1 rok specjalizacji).&lt;br /&gt;Oferujemy:&lt;br /&gt;- formę zatrudnienia wg preferencji: umowę o pracę, kontrakt lub zlecenie,&lt;br /&gt;- stabilne warunki zatrudnienia i atrakcyjne wynagrodzenie,&lt;br /&gt;- pracę w oparciu o najwyższe standardy opieki nad pacjentem na wysokiej jakości specjalistycznym sprzęcie,&lt;br /&gt;- możliwość rozwoju zawodowego.&lt;br /&gt;</t>
  </si>
  <si>
    <t>&lt;br /&gt;Warto z nami pracować, gdyż:&lt;br /&gt;- mamy ważną misję do spełnienia wobec naszych pacjentów,&lt;br /&gt;- pracujemy na własnym, nowoczesnym sprzęcie, by dbać o zdrowie i życie,&lt;br /&gt;- mamy najwyższe standardy pracy, by chronić bezpieczeństwo,&lt;br /&gt;- mamy wiedzę i doświadczenie, by się nimi dzielić.&lt;br /&gt;Opis stanowiska:&lt;br /&gt;Opieka lekarska nad pacjentami stacji dializ.&lt;br /&gt;</t>
  </si>
  <si>
    <t>F.H. Mirpol Emil Dudzik</t>
  </si>
  <si>
    <t>https://www.pracuj.pl/praca/samodzielna-ksiegowa-rzeszow,oferta,7162301</t>
  </si>
  <si>
    <t>MAZOWIECKA INSTYTUCJA GOSPODARKI BUDŻETOWEJ MAZOVIA</t>
  </si>
  <si>
    <t>Księgowy / Księgowa</t>
  </si>
  <si>
    <t>https://www.praca.pl/ksiegowy-ksiegowa_2781233.html</t>
  </si>
  <si>
    <t>&lt;br /&gt;Nasze oczekiwania:&lt;br /&gt;- Minimum 3 letnie doświadczenie na podobnym stanowisku pracy,&lt;br /&gt;- Doświadczenie przy rozliczaniu produkcji,&lt;br /&gt;- Dobrej znajomość przepisów Ustawy o Rachunkowości i przepisów podatkowych,&lt;br /&gt;- Dobrej znajomości pakietu MS Office - w szczególności Excell,&lt;br /&gt;- Mile widziana znajomość programu SYMFONIA,&lt;br /&gt;- Wyższe wykształcenie z zakresu finansów, ekonomii lub rachunkowości,&lt;br /&gt;- Umiejętność pracy w grupie,&lt;br /&gt;- Samodzielność w wykonywaniu powierzonych zadań,&lt;br /&gt;- Prawo jazdy kat. B.&lt;br /&gt;</t>
  </si>
  <si>
    <t>&lt;br /&gt;Opis stanowiska:&lt;br /&gt;- Kontrola dokumentów pod względem formalnym i rachunkowym, zgodnie&lt;br /&gt;- z obowiązującymi przepisami i regulaminami wewnętrznymi Firmy,&lt;br /&gt;- Dekretowanie i księgowanie faktur zakupu, sprzedaży, dokumentów kosztowych, wyciągów bankowych, raportów kasowych,&lt;br /&gt;- Kontrola i księgowanie dokumentów magazynowych,&lt;br /&gt;- Kontrola kont księgowych oraz weryfikacja sald z kontrahentami i pracownikami,&lt;br /&gt;- Przygotowywanie odpowiednich analiz i raportów,&lt;br /&gt;- Rozliczanie kosztów działalności produkcyjnej&lt;br /&gt;- Uczestniczenie w procesie zamknięcia miesiąca.&lt;br /&gt;</t>
  </si>
  <si>
    <t>MARMA</t>
  </si>
  <si>
    <t>https://www.pracuj.pl/praca/samodzielna-y-ksiegowa-y-rzeszow,oferta,7214602</t>
  </si>
  <si>
    <t>Kontroler jakości wyrobów przemysłowych</t>
  </si>
  <si>
    <t>https://www.pracuj.pl/praca/safety-quality-specialist-jasionka-pow-rzeszowski,oferta,7168463</t>
  </si>
  <si>
    <t>Kontroler / Kontrolerka jakości płyt</t>
  </si>
  <si>
    <t>https://www.praca.pl/kontroler-kontrolerka-jakosci-plyt_2727745.html</t>
  </si>
  <si>
    <t>&lt;br /&gt;- wykształcenie minimum podstawowe,&lt;br /&gt;- mile widziane doświadczenie w pracy na podobnym stanowisku,&lt;br /&gt;- dobra organizacja pracy własnej, dokładność,&lt;br /&gt;- dyspozycyjność i gotowość do pracy w systemie zmianowym.&lt;br /&gt;</t>
  </si>
  <si>
    <t>&lt;br /&gt;- ciągła wizualna kontrola jakości laminowanych płyt,&lt;br /&gt;- klasyfikacja jakościowa płyt laminowanych na podstawie wizualnej kontroli,&lt;br /&gt;- okresowe wykonywanie testów jakościowych (na grubość, przyczepność laminatu, wyhartowanie itp.),&lt;br /&gt;- nadzór nad ilością płyt w pakiecie.&lt;br /&gt;</t>
  </si>
  <si>
    <t>Kierownik Linii Produkcyjnej</t>
  </si>
  <si>
    <t>Kontroler jakości produktów spożywczych</t>
  </si>
  <si>
    <t>https://www.pracuj.pl/praca/kierownik-linii-produkcyjnej-jaroslaw,oferta,7201119</t>
  </si>
  <si>
    <t>Kontroler Jakości Produktów Świeżych</t>
  </si>
  <si>
    <t>https://www.pracuj.pl/praca/kontroler-jakosci-produktow-swiezych-krosno,oferta,7213546</t>
  </si>
  <si>
    <t>Rzeszowskie Zakłady Drobiarskie RES-DROB Sp. z o.o.</t>
  </si>
  <si>
    <t>Kontroler jakości</t>
  </si>
  <si>
    <t>https://www.praca.pl/kontroler-jakosci_2805140.html</t>
  </si>
  <si>
    <t>&lt;br /&gt;- Min. 2 lata pracy na stanowisku kontrolera jakości lub na innym stanowisku w dziale jakości - warunek konieczny.&lt;br /&gt;- Praktyczna znajomość systemów BRC i IFS – warunek konieczny;&lt;br /&gt;- Doświadczenie na stanowisku lidera jakości i kierowanie małym zespołem ludzi (2-3 osoby) będzie dodatkowym atutem.&lt;br /&gt;- Cechy osobowościowe: zdyscyplinowanie, dobra organizacja pracy, komunikatywność, otwartość na nowe wyzwania, chęć do nauki.&lt;br /&gt;- Znajomość języka angielskiego na poziomie zaawansowanym lub średnio zaawansowanym w mowie i piśmie – warunek konieczny;&lt;br /&gt;- Prawo jazdy kat. B&lt;br /&gt;</t>
  </si>
  <si>
    <t>&lt;br /&gt;- Kontrola i nadzór nad jakością produkcji;&lt;br /&gt;- Kontrola jakości i badania półwyrobów i wyrobu gotowego;&lt;br /&gt;- Kontakt z klientami;&lt;br /&gt;- Nadzór nad prowadzoną w zakładzie dokumentacją standardów jakościowych;&lt;br /&gt;- Szkolenie pracowników produkcyjnych z zakresu GHP, GMP, HACCP;&lt;br /&gt;- Inne zadania powierzone przez przełożonego;&lt;br /&gt;- Praca zmianowa.&lt;br /&gt;</t>
  </si>
  <si>
    <t>https://www.pracuj.pl/praca/mlodszy-kontroler-finansowy-rzeszow-rogoznica-pow-rzeszowski,oferta,7186840</t>
  </si>
  <si>
    <t>SANWIL POLSKA Sp. z o.o.</t>
  </si>
  <si>
    <t>https://www.pracuj.pl/praca/kontroler-finansowy-przemysl,oferta,7227045</t>
  </si>
  <si>
    <t>Konsultant ds. Wdrożeń Systemów ERP: logistyka, produkcja</t>
  </si>
  <si>
    <t>https://www.pracuj.pl/praca/konsultant-ds-wdrozen-systemow-erp-logistyka-produkcja-rzeszow,oferta,7227850</t>
  </si>
  <si>
    <t>Konsultant ds. Wdrożeń Systemów ERP: księgowość</t>
  </si>
  <si>
    <t>https://www.pracuj.pl/praca/konsultant-ds-wdrozen-systemow-erp-ksiegowosc-rzeszow,oferta,7227901</t>
  </si>
  <si>
    <t>Konsultant ds. Wdrożeń Systemu Comarch ERP OPTIMA</t>
  </si>
  <si>
    <t>https://www.pracuj.pl/praca/konsultant-ds-wdrozen-systemu-comarch-erp-optima-rzeszow,oferta,7227870</t>
  </si>
  <si>
    <t>Estee Lauder (Poland) Sp. z o.o.</t>
  </si>
  <si>
    <t>Konsultant/ka ds. urody marki Estee Lauder</t>
  </si>
  <si>
    <t>Konsultant / agent sprzedaży bezpośredniej</t>
  </si>
  <si>
    <t>https://www.pracuj.pl/praca/konsultant-ka-ds-urody-marki-estee-lauder-rzeszow,oferta,7228006</t>
  </si>
  <si>
    <t>https://www.pracuj.pl/praca/zastepca-kierownika-sklepu-krosno-sanok-laszki-pow-jaroslawski,oferta,7182954</t>
  </si>
  <si>
    <t>1861,1817,1804</t>
  </si>
  <si>
    <t>Polska, podkarpackie, Laszki (pow. jarosławski)</t>
  </si>
  <si>
    <t>https://www.pracuj.pl/praca/kierownik-sklepu-laszki-pow-jaroslawski,oferta,7187008</t>
  </si>
  <si>
    <t>Rossmann Supermarkety Drogeryjne Polska Sp. z o.o.</t>
  </si>
  <si>
    <t>https://www.praca.pl/asystent-kierownika-sklepu_2768777.html</t>
  </si>
  <si>
    <t>&lt;br /&gt;Asystent Kierownika odpowiada za:&lt;br /&gt;- prowadzenie zmiany pod nieobecność kierownika sklepu,&lt;br /&gt;- organizację pracy sklepu i samodzielne podejmowanie decyzji,&lt;br /&gt;- rozwiązywanie sytuacji reklamacyjnych z Klientem,&lt;br /&gt;- budowanie pozytywnego wizerunku firmy Rossmann.&lt;br /&gt;</t>
  </si>
  <si>
    <t>&lt;br /&gt;Zależy nam, aby Osoby pracujące na tym stanowisku:&lt;br /&gt;- były otwarte i życzliwe w relacjach z Klientem,&lt;br /&gt;- miały doświadczenie w organizowaniu pracy innym,&lt;br /&gt;- były zaangażowane i chętne do współpracy – w zespole jest nasza siła,&lt;br /&gt;- były gotowe do pracy w systemie zmianowym, również w soboty i niedziele.&lt;br /&gt;</t>
  </si>
  <si>
    <t>https://www.praca.pl/kierownik-sklepu_2727682.html</t>
  </si>
  <si>
    <t>&lt;br /&gt;Szukamy osób, które:&lt;br /&gt;- Posiadają doświadczenie na stanowisku kierownika/ zastępcy kierownika w sieciach handlowych&lt;br /&gt;- Potrafią pracować na wybranych wskaźnikach sprzedaży&lt;br /&gt;- Poprowadzą pracę kilkunastoosobowego zespołu&lt;br /&gt;- Chcą się rozwijać, myślą nieszablonowo&lt;br /&gt;</t>
  </si>
  <si>
    <t>&lt;br /&gt;Do Twoich zadań należeć będzie:&lt;br /&gt;- Zarządzanie sklepem zgodnie ze standardami firmy&lt;br /&gt;- Zorientowanie na osiągnięcie planowanego poziomu sprzedaży&lt;br /&gt;- Motywowanie oraz rozwój kompetencji podległego zespołu&lt;br /&gt;- Budowanie pozytywnego wizerunku sklepu i marki&lt;br /&gt;</t>
  </si>
  <si>
    <t>Atos Global Delivery Center Polska</t>
  </si>
  <si>
    <t>Technical Project Manager</t>
  </si>
  <si>
    <t>Polska, podkarpackie, podkarpackie / remote</t>
  </si>
  <si>
    <t>https://www.praca.pl/technical-project-manager_2741811.html</t>
  </si>
  <si>
    <t>&lt;br /&gt;What we offer?&lt;br /&gt;We can offer you a Technical Project Manager job in a growing international company. The possibility to explore the newest technologies, lead projects in international enviroment, have the chance to lead a wide variety of technological initiatives.&lt;br /&gt;We mind our employees' personal happiness:&lt;br /&gt;- You will improve your qualifications by: individual development plans, internal and external trainings, budget for development activities, the opportunity to participate in conferences and gain international certification.&lt;br /&gt;- We will look after you with a private medical package that includes dentist.&lt;br /&gt;- We support your new-year resolutions with Multisport and OK System cards. If you establish a team of sport enthusiasts, you will also get additional funding.&lt;br /&gt;- Do you need new glasses? We will give you up to 600 PLN reimbursement for buying one.&lt;br /&gt;- You will receive a guaranteed pool of points to be used for shopping, concert tickets or fulfilling other dreams.&lt;br /&gt;- Every month we will subsidize commuting.&lt;br /&gt;- Do you want to improve your language skills? Please, do so with us.&lt;br /&gt;- You will do good in the world by helping others thanks to CSR actions.&lt;br /&gt;- You will have an extra vacation for significant moments.&lt;br /&gt;- We will celebrate and have fun during company parities.&lt;br /&gt;- We will build together a positive work culture&lt;br /&gt;We are an equal opportunity employer and value diversity at our company. We do not discriminate on the basis of race, religion, color, national origin, gender, sexual orientation, age, marital status, veteran status, or disability status.&lt;br /&gt;How You can apply?&lt;br /&gt;If you wish to apply for this position and be part of our team, please visit our careers page at jobs.atos.net, select Poland as country and complete our online application form.&lt;br /&gt;</t>
  </si>
  <si>
    <t>&lt;br /&gt;We are looking for:&lt;br /&gt;Project Manager with passion, personal drive and ambition about delivering customer success, with overall responsibility for successful implementation of Atos Technology Framework (ATF) for new clients: solution, scope, time and budget. Technical Project Manager will lead projects independently or as a part of program, and provide governance to other team members.&lt;br /&gt;As a global service provider and integrator, we implemented for our customers the ATF framework. The ATF is deployed to lead Atos outsourcing customers globally and is composed of multiple modules to deliver a range of system management, service management and automation services.&lt;br /&gt;You will be responsible for:&lt;br /&gt;- leading ATF client onboarding projects end to end&lt;br /&gt;- driving technical engineers to stand up all ATF components required for a new or existing Atos outsourcing client&lt;br /&gt;- running the project from the initial presales handover to early life support&lt;br /&gt;- You should understand ATF solution building blocks and how they meet client requirements and Atos contractual obligations&lt;br /&gt;- You should be a solution advocate&lt;br /&gt;- handling project scope, schedule, cost and risks to deliver on time and within budget&lt;br /&gt;- issuing regular project status and leading communication with internal Atos partners and clients representatives&lt;br /&gt;- running project team and resource allocation&lt;br /&gt;- ensuring compliance with relevant corporate policies and standards&lt;br /&gt;Our requirements:&lt;br /&gt;- at least 3 years’ experience as a project manager, technical project manager, team leader or similar&lt;br /&gt;- deep understanding of ServiceNow or similar IT Service Management tools (Remedy, HP Service Manager, etc)&lt;br /&gt;- technical background and motivation to learn about technical solutions and how they fulfill client expectations&lt;br /&gt;- capable of working with limited support from technical architect on small to medium complexity projects&lt;br /&gt;- familiarity of IT topics (e.g. servers, network, cloud, voice, security, tooling, workplace)&lt;br /&gt;- demonstrable understanding of project management methodologies such as PMP or Prince2&lt;br /&gt;- excellent presentation skills and good competency working with MS project, MS excel&lt;br /&gt;- strong customer relations skills&lt;br /&gt;- fluency in English (at least B2 level)&lt;br /&gt;- certifications in project management, ITIL V3 and/or ServiceNow are a plus&lt;br /&gt;</t>
  </si>
  <si>
    <t>NES Global Talent</t>
  </si>
  <si>
    <t>https://www.praca.pl/kierownik-projektu_2764484.html</t>
  </si>
  <si>
    <t>&lt;br /&gt;Wymagania:&lt;br /&gt;- Wykształcenie wyższe techniczne (budownictwo).&lt;br /&gt;- Doświadczenie około 5 lat na podobnym stanowisku w budownictwie kubaturowym – budynki użyteczności publicznej.&lt;br /&gt;- Posiadanie uprawnień do kierowania robotami budowlanymi bez ograniczeń w specjalności konstrukcyjno-budowlanej.&lt;br /&gt;- Znajomość rynku budownictwa kubaturowego, przepisów prawa budowlanego, procedur administracyjnych.&lt;br /&gt;- Umiejętność zarządzania budową od fazy koncepcji po rozliczenie inwestycji.&lt;br /&gt;- Umiejętność zarządzania budżetami, zespołem osób.&lt;br /&gt;- Koncentracja na realizacji celów biznesowych.&lt;br /&gt;- Samodzielność, dobra organizacja pracy.&lt;br /&gt;- Min. komunikatywna znajomość języka angielskiego w mowie i piśmie.&lt;br /&gt;</t>
  </si>
  <si>
    <t>&lt;br /&gt;Zakres odpowiedzialności:&lt;br /&gt;- Kompleksowe zarządzanie każdym z etapów realizacji inwestycji.&lt;br /&gt;- Udział w działalności handlowej oraz ofertowania.&lt;br /&gt;- Udział w tworzeniu budżetów oraz planów i harmonogramów realizacji inwestycji.&lt;br /&gt;- Koordynowanie pracy podwykonawców i dostawców.&lt;br /&gt;- Zarządzanie podległym zespołem osób na budowie.&lt;br /&gt;- Nadzór nad jakością i terminowością realizowanych robót zgodnie z przyjętym harmonogramem projektu i w zgodności z umowami z Zamawiającym oraz podwykonawcami i dostawcami.&lt;br /&gt;- Zarządzanie harmonogramem, sytuacją finansową i organizacyjną na projekcie.&lt;br /&gt;- Sporządzanie dokumentacji prowadzonego projektu oraz raportowanie.&lt;br /&gt;- Nadzór nad wykonywanymi zadaniami w ramach projektu, bezpośredni kontakt i współpraca z inwestorem.&lt;br /&gt;- Nadzór nad zamówieniami oraz zakupami.&lt;br /&gt;</t>
  </si>
  <si>
    <t>Koordynator Zmiany</t>
  </si>
  <si>
    <t>https://www.praca.pl/koordynator-zmiany_2741055.html</t>
  </si>
  <si>
    <t>&lt;br /&gt;- Min. 1 rok doświadczenia na stanowisku o podobnym charakterze pracy&lt;br /&gt;- Umiejętność zarządzania zespołem pracowników&lt;br /&gt;- Umiejętność samodzielnego podejmowania decyzji&lt;br /&gt;- Gotowość do pracy w systemie czterobrygadowym&lt;br /&gt;- Znajomość pakietu MS Office&lt;br /&gt;- Mile widziane doświadczenie w pracy w transporcie wewnętrznym&lt;br /&gt;</t>
  </si>
  <si>
    <t>&lt;br /&gt;- Organizacja zakresu pracy oraz nadzorowanie pracy podległych pracowników liniowych&lt;br /&gt;- Dbanie o utrzymanie właściwego poziomu jakości i bezpieczeństwa na podległym obszarze&lt;br /&gt;- Kontrola stanu technicznego i sprawności maszyn transportowych&lt;br /&gt;- Reprezentacja Firmy w kontaktach z kontrahentem&lt;br /&gt;</t>
  </si>
  <si>
    <t>Dyrektor Oddziału Detalicznego- placówka partnerska mBanku</t>
  </si>
  <si>
    <t>https://www.pracuj.pl/praca/dyrektor-oddzialu-detalicznego-placowka-partnerska-mbanku-mielec,oferta,7171378</t>
  </si>
  <si>
    <t>Koordynator pracy magazynu i logistyki</t>
  </si>
  <si>
    <t>https://www.pracuj.pl/praca/koordynator-pracy-magazynu-i-logistyki-tarnobrzeg,oferta,7226577</t>
  </si>
  <si>
    <t>Koordynator Magazynu – Mistrz Zmianowy</t>
  </si>
  <si>
    <t>https://www.praca.pl/koordynator-magazynu-mistrz-zmianowy_2813576.html</t>
  </si>
  <si>
    <t>&lt;br /&gt;- wykazujesz gotowość do pracy w systemie zmianowym&lt;br /&gt;- posiadasz doświadczenie w kierowaniu ludźmi oraz procesami magazynowymi&lt;br /&gt;- cechuje Cię odpowiedzialność, rzetelność, samodzielność w wykonywaniu swoich obowiązków&lt;br /&gt;- potrafisz pracować w zespole&lt;br /&gt;- dobrze organizujesz swoją pracę i potrafisz działać pod presją czasu&lt;br /&gt;- posiadasz prawo jazdy kat. B&lt;br /&gt;- interesuje Cię wdrażanie usprawnień w procesach magazynowych&lt;br /&gt;</t>
  </si>
  <si>
    <t>Koordynator Magazynu</t>
  </si>
  <si>
    <t>https://www.pracuj.pl/praca/koordynator-magazynu-nisko,oferta,7165806</t>
  </si>
  <si>
    <t>https://www.pracuj.pl/praca/brygadzista-rzeszow,oferta,7201490</t>
  </si>
  <si>
    <t>https://www.pracuj.pl/praca/kierownik-dzialu-handlowego-rzeszow,oferta,7164646</t>
  </si>
  <si>
    <t>Asystent Kierownika</t>
  </si>
  <si>
    <t>https://www.pracuj.pl/praca/asystent-kierownika-rzeszow,oferta,7213775</t>
  </si>
  <si>
    <t>PZU Życie SA</t>
  </si>
  <si>
    <t>https://www.pracuj.pl/praca/menedzer-zespolu-sprzedazowego-rzeszow,oferta,7190389</t>
  </si>
  <si>
    <t>Lider Zespołu ds. Jakości</t>
  </si>
  <si>
    <t>https://www.pracuj.pl/praca/lider-zespolu-ds-jakosci-debica-okolice-mielec-ropczyce-sedziszow-malopolski-zawada-pow-debicki,oferta,7213717</t>
  </si>
  <si>
    <t>https://www.pracuj.pl/praca/kierowca-kat-c-tarnobrzeg,oferta,7179775</t>
  </si>
  <si>
    <t>http://gazetapraca.pl/ogl/2824099?utm_campaign=partner&amp;gpid=934042&amp;utm_medium=export&amp;glc_source=zielonalinia0&amp;utm_source=zielonalinia0</t>
  </si>
  <si>
    <t>Wymagania:&lt;br /&gt;&lt;h2&gt;&lt;span style="font-size: 10.0pt; font-family: 'Calibri','sans-serif'; color: #00853e;"&gt;Wymagania:&lt;/h2&gt;&lt;ul&gt;&lt;li&gt;&lt;span &gt;Uprawnienia UDT do obsługi wózków widłowych - I WJO lub II WJO,&lt;/li&gt;&lt;div class="lista"&gt;Posiadać aktualne badania sanitarno-epidemiologiczne (książeczka Sanepid).&lt;/div&gt;&lt;/ul&gt;</t>
  </si>
  <si>
    <t>Obowiązki:&lt;br /&gt;&lt;span style="font-size: 10.0pt; line-height: 107%; font-family: 'Calibri','sans-serif'; mso-fareast-font-family: Calibri; color: #00853e; mso-ansi-language: PL; mso-fareast-language: EN-US; mso-bidi-language: AR-SA;"&gt;Osoba zatrudniona na powyższym stanowisku, będzie odpowiedzialna za:&lt;/span&gt;&lt;br /&gt;&lt;ul&gt;&lt;br /&gt;&lt;li&gt;Obsługę wózków widłowych wysokiego składowania, transport towarów,&lt;br /&gt;&lt;/li&gt;&lt;br /&gt;&lt;li&gt;Kompletację towarów zgodnie z zamówieniami klientów,&lt;/li&gt;&lt;br /&gt;&lt;li&gt;Współpracę z działami załadunku i transportu, kompletacji.&lt;/li&gt;&lt;br /&gt;&lt;/ul&gt;</t>
  </si>
  <si>
    <t>Operator wózka widłowego (m/k)</t>
  </si>
  <si>
    <t>http://gazetapraca.pl/ogl/2823187?utm_campaign=partner&amp;gpid=932178&amp;utm_medium=export&amp;glc_source=zielonalinia0&amp;utm_source=zielonalinia0</t>
  </si>
  <si>
    <t>Pracownik Wsparcia Produkcji</t>
  </si>
  <si>
    <t>https://www.praca.pl/pracownik-wsparcia-produkcji_2741054.html</t>
  </si>
  <si>
    <t>&lt;br /&gt;- Gotowość do pracy w systemie zmianowym&lt;br /&gt;- Zaangażowanie, dyspozycyjność, umiejętność pracy w zespole&lt;br /&gt;</t>
  </si>
  <si>
    <t>&lt;br /&gt;- Ręczne prace transportowe&lt;br /&gt;- Dostarczanie półfabrykatów na linie produkcyjne&lt;br /&gt;</t>
  </si>
  <si>
    <t>http://gazetapraca.pl/ogl/2823604/pracownik+transportu+wewn%c4%99trznego?utm_campaign=partner&amp;gpid=933026&amp;utm_medium=export&amp;glc_source=zielonalinia0&amp;utm_source=zielonalinia0</t>
  </si>
  <si>
    <t>Wymagania:&lt;br /&gt;&lt;div style="margin-top:15px; background: url('http://static-ats.gazetapraca.pl/_1192/graf/2_201701051320.jpg') no-repeat left center white; padding-left: 160px;"&gt;     &lt;div&gt;      Jakie będą Twoje obowiązki:&lt;ul&gt;&lt;div class="lista"&gt;Rozładowanie i układanie materiałów&lt;/div&gt;&lt;div class="lista"&gt;Obsługa monitora do składowania kodów kreskowych&lt;/div&gt;&lt;div class="lista"&gt;Transport ładunków do miejsca przeznaczenia&lt;/div&gt;&lt;div class="lista"&gt;Obsługa wózka widłowego&lt;/div&gt;&lt;/ul&gt;     &lt;/div&gt;    &lt;/div&gt;</t>
  </si>
  <si>
    <t>Obowiązki:&lt;br /&gt;&lt;div style="margin-top:15px; background: url('http://static-ats.gazetapraca.pl/_1192/graf/1_201701051320.jpg') no-repeat left center white; padding-left: 160px;"&gt;&lt;br /&gt;     &lt;div style="color: #e77b21 !important;"&gt;&lt;br /&gt;      Miejsce pracy: Rogoźnica&lt;br/&gt;&lt;br/&gt;Co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/&gt;&lt;/ul&gt;&lt;br /&gt;     &lt;/div&gt;&lt;br /&gt;    &lt;/div&gt;</t>
  </si>
  <si>
    <t>https://www.pracuj.pl/praca/kasjer-sprzedawca-nowa-deba-laszki-pow-jaroslawski,oferta,7179359</t>
  </si>
  <si>
    <t>1820,1816,1811,1863,1804,1812,1808</t>
  </si>
  <si>
    <t>Pracownik Sklepu - niepełny etat</t>
  </si>
  <si>
    <t>https://www.pracuj.pl/praca/pracownik-sklepu-niepelny-etat-lesko-mielec-ustrzyki-dolne,oferta,7212122</t>
  </si>
  <si>
    <t>1821,1811,1801</t>
  </si>
  <si>
    <t>MASTERTELEKOM SPÓŁKA Z OGRANICZONĄ ODPOWIEDZIALNOŚCIĄ</t>
  </si>
  <si>
    <t>Instalator - Koordynator  GSM 3G LTE – BTS</t>
  </si>
  <si>
    <t>https://www.pracuj.pl/praca/instalator-koordynator-gsm-3g-lte-bts-podkarpackie,oferta,7212615</t>
  </si>
  <si>
    <t>Specjalista ds. wsparcia IT</t>
  </si>
  <si>
    <t>https://www.pracuj.pl/praca/specjalista-ds-wsparcia-it-mielec-rzeszow,oferta,7227895</t>
  </si>
  <si>
    <t>COMSET SPÓŁKA AKCYJNA</t>
  </si>
  <si>
    <t>Konsultant Asysty Technicznej - Młodszy Inżynier Systemowy</t>
  </si>
  <si>
    <t>https://www.pracuj.pl/praca/konsultant-asysty-technicznej-mlodszy-inzynier-systemowy-rzeszow,oferta,7202910</t>
  </si>
  <si>
    <t>Technical Architect – Active Directory</t>
  </si>
  <si>
    <t>https://www.praca.pl/technical-architect-active-directory_2741830.html</t>
  </si>
  <si>
    <t>&lt;br /&gt;Job Description:&lt;br /&gt;- Creating service solution architecture and service designs of Active Directory infrastructure and Active Directory related services (Azure AD, DNS, DHCP, WINS, KMS, NTP)&lt;br /&gt;- Analyzing existing IT infrastructure&lt;br /&gt;- Advising on service solution&lt;br /&gt;- Creating technical service documentation for new services&lt;br /&gt;- Presenting the solution to customer (service demo, service offering)&lt;br /&gt;- Coordinating service setup in the customer environment&lt;br /&gt;- Supporting Proof of Concept for new services/technologies&lt;br /&gt;Job Requirements:&lt;br /&gt;- IT architect experience – service architect or software architect&lt;br /&gt;- In-depth knowledge of Active Directory Domain Services and Active Directory Federation Services&lt;br /&gt;- In-depth knowledge of Azure Active Directory, DNS, DHCP, WINS, KMS, NTP services&lt;br /&gt;- Knowledge of enterprise architecture framework (TOGAF, Zachman,…)&lt;br /&gt;- Experience in working directly with customer&lt;br /&gt;- Ability to support multiple business needs at once and work with little oversight&lt;br /&gt;- Ability to solve problems and proactive attitude&lt;br /&gt;- Capability to read and write technical documentation&lt;br /&gt;- Ability to work well in a team&lt;br /&gt;- High motivation to self-development&lt;br /&gt;- Good interpersonal skills and customer handling skills&lt;br /&gt;- Fluent English&lt;br /&gt;- Experience in Active Directory upgrades and migration projects is a plus&lt;br /&gt;- Knowledge of Microsoft PKI Infrastructure  is a plus&lt;br /&gt;- Knowledge of Office 365 administration is a plus&lt;br /&gt;</t>
  </si>
  <si>
    <t>AMPOL-MEROL SP. Z O.O.</t>
  </si>
  <si>
    <t>Doświadczony Doradca Agrotechniczny</t>
  </si>
  <si>
    <t>https://www.pracuj.pl/praca/doswiadczony-doradca-agrotechniczny-debica-jaroslaw-jaslo-kolbuszowa-krosno-lezajsk-lubaczow-lancut-mielec-nisko-nowa-deba-przemysl-przeworsk-ropczyce-rzeszow-sa,oferta,7201273</t>
  </si>
  <si>
    <t>Technolog produkcji w branży lotniczej</t>
  </si>
  <si>
    <t>https://www.pracuj.pl/praca/technolog-produkcji-w-branzy-lotniczej-tajecina-pow-rzeszowski,oferta,7227286</t>
  </si>
  <si>
    <t>Stażysta/ka w Sekcji Laboratorium w Dziale Rozwoju (R&amp;D)</t>
  </si>
  <si>
    <t>https://www.pracuj.pl/praca/stazysta-ka-w-sekcji-laboratorium-w-dziale-rozwoju-r-d-rzeszow-rogoznica-pow-rzeszowski,oferta,7226471</t>
  </si>
  <si>
    <t>https://www.pracuj.pl/praca/specjalista-ds-zakupow-stalowa-wola,oferta,7211911</t>
  </si>
  <si>
    <t>Likwidator Mobilny</t>
  </si>
  <si>
    <t>https://www.pracuj.pl/praca/likwidator-mobilny-krosno,oferta,7227398</t>
  </si>
  <si>
    <t>Inżynier Jakości</t>
  </si>
  <si>
    <t>https://www.pracuj.pl/praca/inzynier-jakosci-rzeszow-rogoznica-pow-rzeszowski,oferta,7226470</t>
  </si>
  <si>
    <t>PSI Polska</t>
  </si>
  <si>
    <t>Dyrektor Operacyjny – Członek Zarządu</t>
  </si>
  <si>
    <t>Inżynier mechanik - maszyny i urządzenia przemysłowe</t>
  </si>
  <si>
    <t>https://www.pracuj.pl/praca/dyrektor-operacyjny-czlonek-zarzadu-podkarpackie,oferta,7201597</t>
  </si>
  <si>
    <t>https://www.pracuj.pl/praca/konstruktor-przeworsk,oferta,7200942</t>
  </si>
  <si>
    <t>Mosty Łódź S.A.</t>
  </si>
  <si>
    <t>Kierownik / Koordynator Robót Sanitarnych</t>
  </si>
  <si>
    <t>Inżynier inżynierii środowiska - instalacje sanitarne</t>
  </si>
  <si>
    <t>https://www.praca.pl/kierownik-koordynator-robot-sanitarnych_2734757.html</t>
  </si>
  <si>
    <t>&lt;br /&gt;Wymagania:&lt;br /&gt;- wykształcenie wyższe kierunkowe,&lt;br /&gt;- uprawnienia do kierowania robotami budowlanymi w specjalności instalacyjnej w zakresie sieci, instalacji i urządzeń cieplnych, wentylacyjnych, gazowych, wodociągowych i kanalizacyjnych bez ograniczeń&lt;br /&gt;- minimum 2 lata doświadczenia przy realizacji robót w przedmiotowej branży&lt;br /&gt;- dodatkowym atutem będzie doświadczenie jako kierownik robót/inspektor nadzoru przez 1 rok na jednej inwestycji przy budowie basenu lub aquparku o sumarycznej powierzchni lustra wody co najmniej 400m2 i wartości robót budowlanych netto co najmniej 25 000 000 zł.&lt;br /&gt;- znajomość pakietu MS Office&lt;br /&gt;- komunikatywność ,samodzielność i dobra organizacja czasu pracy&lt;br /&gt;- umiejętność pracy w zespole&lt;br /&gt;- dyspozycyjność&lt;br /&gt;</t>
  </si>
  <si>
    <t>&lt;br /&gt;Opis stanowiska:&lt;br /&gt;- kierowanie robotami sanitarnymi na kontrakcie,&lt;br /&gt;- kontrola i nadzór nad przebiegiem realizowanej instalacji zgodnej z dokumentacją,&lt;br /&gt;- analiza dokumentacji projektowej w szczególności w zakresie koordynowanej branży w celu eliminacji kolizji,&lt;br /&gt;- współudział w wyborze podwykonawców i dostawców z branży sanitarnej nadzór i koordynacja robót podwykonawców z branży sanitarnej,,&lt;br /&gt;- udział w procesie rozliczania robót i przygotowywania dokumentacji odbioru robót,&lt;br /&gt;- nadzór nad przestrzeganiem zasad BHP,&lt;br /&gt;- możliwość pracy w delegacji&lt;br /&gt;</t>
  </si>
  <si>
    <t>Zastępca Kierownika Utrzymania Ruchu</t>
  </si>
  <si>
    <t>https://www.pracuj.pl/praca/zastepca-kierownika-utrzymania-ruchu-rzeszow,oferta,7169377</t>
  </si>
  <si>
    <t>Kierownik Robót Elektrycznych i AKPiA</t>
  </si>
  <si>
    <t>https://www.pracuj.pl/praca/kierownik-robot-elektrycznych-i-akpia-sanok,oferta,7200911</t>
  </si>
  <si>
    <t>Bieszczadzki Oddział Straży Granicznej w Przemyślu</t>
  </si>
  <si>
    <t>https://www.praca.pl/specjalista_2803019.html</t>
  </si>
  <si>
    <t>&lt;h4&gt;Wymagania niezbędne&lt;/h4&gt;wykształcenie: wyższe (Szkoła wyższa techniczna na kierunku elektrotechnika i uprawnienia specjalistyczne branży elektrycznej),&lt;br /&gt;doświadczenie zawodowe/staż pracy: doświadczenia zawodowego min. 2 lata pracy w obszarze budownictwa,&lt;br /&gt;- Posiadanie uprawnień budowlanych branży elektrycznej do pełnienia samodzielnych funkcji technicznych w budownictwie,&lt;br /&gt;- Posiadanie uprawnień energetycznych w zakresie dozoru urządzeń, instalacji i sieci elektroenergetycznych bez ograniczeń,&lt;br /&gt;- Umiejętność sporządzania kosztorysów oraz czytania dokumentacji,&lt;br /&gt;- Znajomość i umiejętność posługiwania się przepisami ustaw: Prawo Budowlane, Prawo Zamówień Publicznych,&lt;br /&gt;- Umiejętność argumentowania i przekonywania oraz asertywność jako czynniki niezbędne przy pełnieniu samodzielnych funkcji technicznych w budownictwie.&lt;br /&gt;- Posiadanie obywatelstwa polskiego&lt;br /&gt;- Korzystanie z pełni praw publicznych&lt;br /&gt;- Nieskazanie prawomocnym wyrokiem za umyślne przestępstwo lub umyślne przestępstwo skarbowe&lt;br /&gt;&lt;h4&gt;Wymagania dodatkowe&lt;/h4&gt;&lt;br /&gt;</t>
  </si>
  <si>
    <t>&lt;h4&gt;Warunki pracy&lt;/h4&gt;Pracownik wykonuje czynności o charakterze:&lt;br /&gt;- statycznym, związane głównie z pracą przy biurku i komputerze,&lt;br /&gt;- dynamicznym, związane z pracą w terenie (sprawowanie nadzoru inwestorskiego na zadaniach realizowanych na terenie całego BiOSG).&lt;br /&gt;Większość czynności jest wykonywana w pozycji siedzącej: praca z dokumentami, obsługa komputera (również powyżej 4 godzin na dobę, przy oświetleniu naturalnym i sztucznym). Brak podległych pracowników.&lt;br /&gt;CZAS PRACY: zgodnie z ustawą o służbie cywilnej (praca w systemie jednozmianowym),&lt;br /&gt;MIEJSCE I OTOCZENIE ORGANIZACYJNO-TECHNICZNE STANOWISKA PRACY: stanowisko pracy zlokalizowane jest w pokoju biurowym na III piętrze w budynku wielokondygnacyjnym na terenie kompleksu koszarowego Komendy Bieszczadzkiego Oddziału Straży Granicznej w Przemyślu, ul. Mickiewicza 34, 37 - 700 Przemyśl. Podstawowe wyposażenie stanowiska to: zestaw komputerowy, meble biurowe oraz elektryczne urządzenia biurowe.&lt;br /&gt;Budynek jest dostosowany do potrzeb osób niepełnosprawnych.&lt;br /&gt;Na zewnątrz budynku znajdują się miejsca parkingowe dla pracowników.&lt;br /&gt;Czynniki szczególnie utrudniające wykonywanie zadań: praca w terenie, zagrożenie korupcją (udział w komisjach przetargowych, przygotowanie opisu przedmiotu zamówienia sprawia, że stanowisko zagrożone jest korupcją), częste reprezentowanie urzędu na zewnątrz (dokonywanie uzgodnień z urzędami w zakresie formalno-prawnym dla potrzeb realizowanych inwestycji).&lt;br /&gt;NIEZBĘDNA SAMODZIELNOŚĆ w zakresie pełnienia funkcji technicznych w budownictwie dokonując przeglądów okresowych rocznych i pięcioletnich; w zakresie pełnienia funkcji technicznych w charakterze inspektora nadzoru.&lt;br /&gt;HORYZONT CZASOWY PLANOWANIA: powyżej 1 roku.&lt;br /&gt;&lt;h4&gt;Zakres zadań&lt;/h4&gt;&lt;br /&gt;- Pełni samodzielne funkcje techniczne w budownictwie w zakresie prowadzonych zadań inwestycyjnych i remontowych.&lt;br /&gt;- Sporządza opis przedmiotu zamówienia w celu przygotowania specyfikacji istotnych warunków zamówienia do wyłonienia wykonawcy dokumentacji projektowej, wykonawcy robot budowlanych lub remontowych.&lt;br /&gt;- Dokonuje przeglądów okresowych rocznych i pięcioletnich oraz gwarancyjnych w celu sprawdzenia stanu technicznego elementów budynku, budowli i instalacji narażonych na szkodliwe wpływy atmosferyczne i niszczące działania czynników występujących podczas użytkowania obiektu.&lt;br /&gt;- Sporządza wnioski w celu uzyskania decyzji pozwolenia na budowę i innych dokumentów formalno-prawnych (Decyzje Wojewódzkiego Konserwatora Zabytków, Raport oddziaływania na środowisko).&lt;br /&gt;- Dokonuje sprawdzenia dokumentacji projektowej wykonanej przez jednostki projektowe w celu stwierdzenia kompletności i zgodności pod względem formalno-prawnym dokumentacji projektowej ze specyfikacją istotnych warunków zamówienia.&lt;br /&gt;- Uczestniczy w przygotowaniu rozliczenia środków trwałych w celu prawidłowego zakończenia inwestycji.&lt;br /&gt;- Uczestniczy w odbiorach w celu prawidłowego zakończenia robot budowlanych.&lt;br /&gt;- CEL ISTNIENIA STANOWISKA: Specjalista uczestniczy w procesie inwestycyjnym podczas realizacji robot budowlanych oraz bierze udział w procesie przygotowania i rozliczania inwestycji.&lt;br /&gt;- ZŁOŻONOŚĆ I KREATYWNOŚĆ: Przepisy ustawy Prawo Budowlane, Prawo Zamówień Publicznych, Ustawa o finansach publicznych, Ustawa Prawo energetyczne - częste zmiany ww. przepisów i ich niejednoznaczność wymagają od pracownika umiejętności interpretacji oraz częstego uzupełniania posiadanej wiedzy. Na stanowisku występują sytuacje bezprecedensowe, wymagające gruntownej analizy przepisów i wyboru jednej z wielu dostępnych procedur. Decyzja o wyborze tej a nie innej procedury nie ma charakteru uznaniowego, lecz wynika z obowiązujących przepisów. Często występują sytuacje wymagające dużej odporności psychicznej. Przykłady: sprawowanie funkcji technicznych w budownictwie oraz udział w komisjach odbiorowych; odbiór i sprawdzenie pod względem kompletności i formalno-prawnym koncepcji architektonicznej, dokumentacji projektowej w celu uzyskania dokumentacji zgodnej ze specyfikacją istotnych warunków zamówienia i zgodnej z obowiązującymi przepisami; opracowanie opisu przedmiotu zamówienia do SIWZ w celu wyłonienia wykonawcy robot budowlanych.&lt;br /&gt;</t>
  </si>
  <si>
    <t>Generalna Dyrekcja Dróg Krajowych i Autostrad</t>
  </si>
  <si>
    <t>https://www.praca.pl/specjalista_2754222.html</t>
  </si>
  <si>
    <t>&lt;h4&gt;Wymagania niezbędne&lt;/h4&gt;wykształcenie: wyższe&lt;br /&gt;doświadczenie zawodowe/staż pracy: co najmniej 1 rok doświadczenia zawodowego&lt;br /&gt;- prawo jazdy kat. B,&lt;br /&gt;- znajomość przepisów z zakresu ustawy o drogach publicznych, prawo o ruchu drogowym, prawo zamówień publicznych,&lt;br /&gt;- znajomość zagadnień z inżynierii ruchu,&lt;br /&gt;- Znajomość sieci drogowej i podziału administracyjnego działania Oddziału ze szczególnym uwzględnieniem terenu administracyjnego przez Rejon&lt;br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uprawnienia budowlane w specjalności mostowej lub odpowiadającej im uprawnienia budowlane wydane na podstawie wcześniej obowiązujących przepisów. Przynależność do Okręgowej Izby Inżynierów Budownictwa – posiadanie aktualnego zaświadczenia&lt;br /&gt;- Znajomość przepisów z zakresu: Kodeksu postepowania administracyjnego&lt;br /&gt;</t>
  </si>
  <si>
    <t>&lt;h4&gt;Warunki pracy&lt;/h4&gt;Warunki dotyczące charakteru pracy na stanowisku i sposobu wykonywania zadań:&lt;br /&gt;- praca w biurze i w terenie,&lt;br /&gt;- praca w szczególnie trudnych warunkach środowiskowych,&lt;br /&gt;- praca pod ruchem drogowym.&lt;br /&gt;Miejsce i otoczenie organizacyjno-techniczne stanowiska pracy:&lt;br /&gt;-praca w pomieszczeniach biurowych, z wykorzystaniem komputera i urządzeń biurowych.&lt;br /&gt;-budynek i jego wyposażenie zapewniają bezpieczne i higieniczne warunki pracy, warunki są dostosowane do rodzaju wykonywanych prac,&lt;br /&gt;-praca przy oświetleniu naturalnym i sztucznym.&lt;br /&gt;- budynek nie jest przystosowany dla osób niepełnosprawnych ruchowo.&lt;br /&gt;Pracownikom oferujemy:&lt;br /&gt;? stabilną pracę w jednostce administracji państwowej z wieloletnią tradycją, otwarte i przyjazne środowisko pracy, zatrudnienie na podstawie umowy o pracę,&lt;br /&gt;? dodatek za wieloletnią pracę w wysokości od 5% do 20 % wynagrodzenia zasadniczego&lt;br /&gt;w zależności od udokumentowanego stażu pracy,&lt;br /&gt;? trzynaste wynagrodzenie,&lt;br /&gt;? ruchomy czas pracy lub możliwość ustalenia indywidualnego czasu pracy,&lt;br /&gt;? skuteczne szkolenia wdrożeniowe i stanowiskowe oraz szerokie możliwości dalszego rozwoju kompetencji zawodowych (m.in. refundacja kosztów nauki na studiach, studiach podyplomowych, kursach zawodowych, kursach językowych),&lt;br /&gt;? pakiet socjalny: dofinansowanie wypoczynku pracownika i dzieci, pożyczki pracownicze na preferencyjnych warunkach, karty sportowe,&lt;br /&gt;? dodatkowe ubezpieczenie NNW w przypadku osób wykonujących zadania związane&lt;br /&gt;z: utrzymaniem drogi, obszarem technologii, realizacji inwestycji, kierowaniem ruchem drogowym/pojazdem służbowym,&lt;br /&gt;? możliwość wykupienia ubezpieczenia zdrowotnego i polisy na życie w preferencyjnej cenie,&lt;br /&gt;&lt;h4&gt;Zakres zadań&lt;/h4&gt;&lt;br /&gt;- Prowadzenie spraw związanych z organizacją ruchu drogowego (oznakowanie pionowe i poziome, stałe i tymczasowe), utrzymanie sygnalizacji świetlnej. Współpraca z Kierownikami Służby Liniowej przy dokonywaniu objazdów dróg, zlecaniu i odbiorach robót z zakresu bezpieczeństwa ruchu drogowego,&lt;br /&gt;- Prowadzenie zagadnień związanych ze szkodami komunikacyjnymi i współpraca z towarzystwami ubezpieczeniowymi określając koszty naprawy wyposażenia pasa drogowego, sporządzając opinie i opisy do szkód,&lt;br /&gt;- Opracowywanie projektów decyzji administracyjnych na zajęcie pasa drogowego,&lt;br /&gt;- Przygotowywanie i opracowywanie opinii w sprawie lokalizacji i umieszczania obiektów oraz urządzeń w pasie drogowym , zjazdów, reklam. Współpraca z inwestorami urządzeń oraz Wydziałami Oddziału i urzędów państwowych oraz samorządowych,&lt;br /&gt;- Prowadzi sprawy i korespondencję związaną ze skargami i wnioskami spływającymi do Rejonu dotyczącymi administrowanej sieci dróg,&lt;br /&gt;- Uczestniczenie w posiedzeniach Zespołu Uzgadniania Dokumentacji Projektowych przy Starostwach w spawach dotyczących zarządzanej przez rejon sieci drogowej,&lt;br /&gt;- Przygotowywanie dokumentacji przetargowych i uczestniczenie w postępowaniach o zamówienia publiczne.&lt;br /&gt;</t>
  </si>
  <si>
    <t>Inżynier robót mostowych</t>
  </si>
  <si>
    <t>https://www.praca.pl/inzynier-robot-mostowych_2744264.html</t>
  </si>
  <si>
    <t>&lt;br /&gt;Wymagania:&lt;br /&gt;- wykształcenie wyższe budowlane,&lt;br /&gt;- biegłe czytanie dokumentacji technicznej,&lt;br /&gt;- umiejętność pracy w zespole i kierowania ludźmi,&lt;br /&gt;- dobra znajomość pakietu MS Office,&lt;br /&gt;- dyscyplina i dobra organizacja pracy .&lt;br /&gt;</t>
  </si>
  <si>
    <t>&lt;br /&gt;Opis stanowiska:&lt;br /&gt;nadzór nad prawidłowym przebiegiem robót&lt;br /&gt;, ich zgodnością z wymaganiami kontraktu, dokumentacją oraz harmonogramem,&lt;br /&gt;przygotowanie przedmiarów robót,&lt;br /&gt;kierowanie pracą podległego zespołu,&lt;br /&gt;rozwiązywanie problemów technicznych na budowie,&lt;br /&gt;prowadzenie dokumentacji budowy,&lt;br /&gt;współpraca z przedstawicielami Inwestora oraz z podwykonawcami,&lt;br /&gt;rozwijanie wewnętrznych procesów i procedur zgodnie z kierunkiem całej firmy,&lt;br /&gt;możliwość pracy w delegacji.&lt;br /&gt;</t>
  </si>
  <si>
    <t>Powiatowy Inspektorat Nadzoru Budowlanego dla Miasta Przemyśla</t>
  </si>
  <si>
    <t>https://www.praca.pl/starszy-specjalista_2784284.html</t>
  </si>
  <si>
    <t>&lt;h4&gt;Wymagania niezbędne&lt;/h4&gt;wykształcenie: wyższe techniczne (budowlane lub pokrewne)&lt;br /&gt;doświadczenie zawodowe/staż pracy: doświadczenia zawodowego&lt;br /&gt;- znajomość przepisów Prawa budowlanego&lt;br /&gt;- znajomość przepisów Kodeksu postępowania administracyjnego&lt;br /&gt;- samodzielność&lt;br /&gt;- staranność, rzetelność, obowiązkowość&lt;br /&gt;- umiejętność obsługi komputera&lt;br /&gt;- umiejętność stosowania prawa w praktyce&lt;br /&gt;- Posiadanie obywatelstwa polskiego&lt;br /&gt;- Korzystanie z pełni praw publicznych&lt;br /&gt;- Nieskazanie prawomocnym wyrokiem za umyślne przestępstwo lub umyślne przestępstwo skarbowe&lt;br /&gt;&lt;h4&gt;Wymagania dodatkowe&lt;/h4&gt;&lt;br /&gt;- znajomość przepisów ustawy o służbie cywilnej&lt;br /&gt;- umiejętność samokształcenia&lt;br /&gt;- umiejętność działania w sytuacjach stresowych&lt;br /&gt;- prawo jazdy kat. B&lt;br /&gt;</t>
  </si>
  <si>
    <t>&lt;h4&gt;Warunki pracy&lt;/h4&gt;Praca w siedzibie urzędu oraz poza urzędem (wyjazdy na kontrole terenowe).&lt;br /&gt;Praca przy obsłudze komputera i innych urządzeń biurowych.&lt;br /&gt;Stres związany z obsługą klienta, z odpowiedzialnością za reprezentowanie urzędu na zewnątrz.&lt;br /&gt;Siedziba urzędu mieści się na parterze budynku bez windy.&lt;br /&gt;Toalety i klatka schodowa nie są dostosowane dla osób niepełnosprawnych. &lt;h4&gt;Zakres zadań&lt;/h4&gt;&lt;br /&gt;- przeprowadzanie inspekcji i kontroli terenowych w zakresie prawidłowości przebiegu procesu budowlanego i utrzymania obiektów budowlanych&lt;br /&gt;- prowadzenie postępowań administracyjnych w zakresie właściwości Powiatowego Inspektora&lt;br /&gt;- załatwianie skarg i wniosków w zakresie wynikającym z ustawy Prawo budowlane&lt;br /&gt;</t>
  </si>
  <si>
    <t>Asystent w Dziale Inwestycji Budowlanych</t>
  </si>
  <si>
    <t>https://www.praca.pl/asystent-w-dziale-inwestycji-budowlanych_2816990.html</t>
  </si>
  <si>
    <t>&lt;br /&gt;Oczekiwania:&lt;br /&gt;- Wykształcenie wyższe&lt;br /&gt;- Umiejętność sporządzania i redagowania pism&lt;br /&gt;- Umiejętność pracy w zespole&lt;br /&gt;</t>
  </si>
  <si>
    <t>&lt;br /&gt;Osoba zatrudniona na tym stanowisku odpowiedzialna będzie za pracę administracyjną związaną z prowadzonymi inwestycjami.&lt;br /&gt;</t>
  </si>
  <si>
    <t>Inżynier rozwoju oprogramowania do optymalizacji</t>
  </si>
  <si>
    <t>https://www.pracuj.pl/praca/inzynier-rozwoju-oprogramowania-do-optymalizacji-rzeszow-jasionka-pow-rzeszowski-tajecina-pow-rzeszowski,oferta,7199502</t>
  </si>
  <si>
    <t>Koordynator zespołu automatyków</t>
  </si>
  <si>
    <t>https://www.pracuj.pl/praca/koordynator-zespolu-automatykow-mielec-okolice,oferta,7191297</t>
  </si>
  <si>
    <t>Inżynier Serwisu CNC Maszyn Laserowych</t>
  </si>
  <si>
    <t>https://www.praca.pl/inzynier-serwisu-cnc-maszyn-laserowych_2747538.html</t>
  </si>
  <si>
    <t>&lt;br /&gt;Wymagania:&lt;br /&gt;- Wykształcenie techniczne&lt;br /&gt;- Doświadczenie w obszarze serwisu urządzeń&lt;br /&gt;- Doświadczenie w  serwisowaniu, konserwacji oraz utrzymaniu wycinarek i maszyn laserowych lub tradycyjnych do cięcia metalowych blach - będzie dodatkowym atutem&lt;br /&gt;- Doświadczenie jako Inżynier Serwisu&lt;br /&gt;- Prawo jazdy kat. B&lt;br /&gt;- Znajomość języka angielskiego umożliwiająca swobodną komunikację&lt;br /&gt;- Umiejętność obsługi komputera&lt;br /&gt;- Umiejętność pracy z klientem&lt;br /&gt;- Umiejętność organizacji i optymalizacji swojego czasu pracy&lt;br /&gt;- Doświadczenie: Inżynier Serwisu (Maszyn laserowych)&lt;br /&gt;</t>
  </si>
  <si>
    <t>&lt;br /&gt;Do zadań osoby zatrudnionej będzie należało między innymi:&lt;br /&gt;- Instalacja i kompleksowa obsługa serwisowa&lt;br /&gt;- Doradztwo techniczne&lt;br /&gt;- Dbanie o pozytywny wizerunek firmy, a także utrzymywanie dobrych relacji z klientami&lt;br /&gt;- Naprawa i inżynierska analiza urządzeń u Klientów&lt;br /&gt;- Wykonywanie działań konserwacji prewencyjnych wszystkich urządzeń laserowych&lt;br /&gt;- Dokonywanie zamówień część zamiennych w czasie umożliwiającym płynność prac serwisowych&lt;br /&gt;- Utrzymywanie stałych, pozytywnych relacji biznesowych z klientami firmy&lt;br /&gt;- Regularne uzupełnianie dokumentów serwisowych oraz raportowanie działalności do kierownika serwisu&lt;br /&gt;</t>
  </si>
  <si>
    <t>KARYA sp. z o.o.</t>
  </si>
  <si>
    <t>Operator Maszyn Torowych - także do przyuczenia</t>
  </si>
  <si>
    <t>https://www.pracuj.pl/praca/operator-maszyn-torowych-takze-do-przyuczenia-podkarpackie,oferta,7227096</t>
  </si>
  <si>
    <t>Monter elektryk - elektronik instalacji słaboprądowych</t>
  </si>
  <si>
    <t>Instalator systemów alarmowych</t>
  </si>
  <si>
    <t>RPd057|311402</t>
  </si>
  <si>
    <t>https://www.pracuj.pl/praca/monter-elektryk-elektronik-instalacji-slabopradowych-rzeszow,oferta,7211742</t>
  </si>
  <si>
    <t>Powiatowy Inspektorat Nadzoru Budowlanego w Przeworsku</t>
  </si>
  <si>
    <t>https://www.praca.pl/inspektor-nadzoru-budowlanego_2816180.html</t>
  </si>
  <si>
    <t>09.12.2019</t>
  </si>
  <si>
    <t>&lt;h4&gt;Wymagania niezbędne&lt;/h4&gt;wykształcenie: średnie budowlane&lt;br /&gt;doświadczenie zawodowe/staż pracy: co najmniej 1 rok doświadczenia zawodowego w wykonywaniu samodzielnych funkcji technicznych w budownictwie&lt;br /&gt;- uprawnienia budowlane w ograniczonym zakresie&lt;br /&gt;- prwo jazdy kat.B&lt;br /&gt;- umiejętność obsługi komputera i urządzeń biurowych&lt;br /&gt;- znajomość przepisów Prawa budowlanego&lt;br /&gt;- znajomość przepisów kodeksu postępowania administracyjnego oraz ustawy o postępowaniu egzekucyjnym w administracji&lt;br /&gt;- wiedza techniczna, umiejętność fachowej oceny zjawisk i rozwiązań technicznych&lt;br /&gt;- dyspozycyjność, umiejętność pracy w zespole, odporność na stres&lt;br /&gt;- Posiadanie obywatelstwa polskiego&lt;br /&gt;- Korzystanie z pełni praw publicznych&lt;br /&gt;- Nieskazanie prawomocnym wyrokiem za umyślne przestępstwo lub umyślne przestępstwo skarbowe&lt;br /&gt;&lt;h4&gt;Wymagania dodatkowe&lt;/h4&gt;&lt;br /&gt;- uprawnienia budowlane bez ograniczeń&lt;br /&gt;- umiejętność wykładni przepisów prawa&lt;br /&gt;- komunikatywność, umiejętności organizacyjne&lt;br /&gt;- umiejętność obsługi urządzeń pomiarowych stosowanych podczas kontroli w terenie&lt;br /&gt;</t>
  </si>
  <si>
    <t>&lt;h4&gt;Warunki pracy&lt;/h4&gt;Praca biurowa w siedzibie inspektoratu, przy monitorze ekranowym powyżej 4 godzin. Pomieszczenia biurowe znajdują się na trzecim piętrze budynku. Budynek nie jest wyposażony w windę. Praca poza siedzibą urzędu związana z wyjazdami na kontrole na terenie powiatu przeworskiego, praca na wysokości. Kierowanie samochodem służbowym. Kontakt z interesantami. &lt;h4&gt;Zakres zadań&lt;/h4&gt;&lt;br /&gt;- prowadzenie postępowań administracyjnych w zakresie właściwości Powiatowego Inspektora Nadzoru Budowlanego&lt;br /&gt;- prowadzenie postępowań egzekucyjnych&lt;br /&gt;- załatwianie skarg i wniosków w zakresie wynikającym z ustawy Prawo budowlane&lt;br /&gt;- przygotowywanie projektów decyzji, postanowień, zaświadczeń oraz pism&lt;br /&gt;- wykonywanie czynności inspekcyjno-kontrolnych w zakresie prawidłowości przebiegu procesu budowlanego oraz utrzymania obiektów budowlanych&lt;br /&gt;- sporządzanie protokołów z kontroli, opracowywanie wniosków oraz innych dokumentów przewidzianych przepisami szczególnymi&lt;br /&gt;- prowadzenie postępowań dotyczących katastrof budowlanych&lt;br /&gt;- prowadzenie ewidencji decyzji, postanowień i zgłoszeń z zakresu Prawa budowlanego&lt;br /&gt;- opracowywanie i przekazywanie sprawozdań, analiz, zestawień dla właściwych jednostek&lt;br /&gt;- kompletowanie i porządkowanie akt zgodnie z instrukcją kancelaryjną&lt;br /&gt;- wykonywanie innych zadań zleconych przez Powiatowego Inspektora Nadzoru Budowlanego&lt;br /&gt;</t>
  </si>
  <si>
    <t>https://www.pracuj.pl/praca/graphic-designer-global-team-rzeszow,oferta,7166024</t>
  </si>
  <si>
    <t>https://www.pracuj.pl/praca/glowna-y-ksiegowa-y-rzeszow,oferta,7189947</t>
  </si>
  <si>
    <t>https://www.pracuj.pl/praca/zastepca-glownego-ksiegowego-rzeszow,oferta,7214599</t>
  </si>
  <si>
    <t>O.B.A. sp. z o.o.</t>
  </si>
  <si>
    <t>https://www.pracuj.pl/praca/glowny-a-ksiegowy-a-podkarpackie,oferta,7226089</t>
  </si>
  <si>
    <t>https://www.pracuj.pl/praca/magister-farmacji-tarnobrzeg,oferta,7172005</t>
  </si>
  <si>
    <t>https://www.pracuj.pl/praca/elektryk-rzeszow-okolice-laka-pow-rzeszowski,oferta,7172497</t>
  </si>
  <si>
    <t>Elektryk przemysłowy z VCA Holandia</t>
  </si>
  <si>
    <t>http://gazetapraca.pl/ogl/2823449?utm_campaign=partner&amp;gpid=932672&amp;utm_medium=export&amp;glc_source=zielonalinia0&amp;utm_source=zielonalinia0</t>
  </si>
  <si>
    <t>Wymagania:&lt;br /&gt;&lt;div class="wymaganiaE"&gt;&lt;/div&gt;&lt;ul&gt;&lt;div class="lista"&gt;minimum 5 lat doświadczenia w obszarze przemysłowym&lt;/div&gt;&lt;div class="lista"&gt;komunikatywna znajomość języka angielskiego lub niemieckiego umożliwiająca zrozumienie pracodawcy&lt;/div&gt;&lt;div class="lista"&gt;gotowość do wyjazdu od zaraz&lt;/div&gt;&lt;div class="lista"&gt;certyfikat VCA - warunek konieczny&lt;/div&gt;&lt;div class="lista"&gt;prawo jazdy - warunek konieczny&lt;/div&gt;&lt;div class="lista"&gt;mile widziany własny samochód&lt;/div&gt;&lt;/ul&gt;</t>
  </si>
  <si>
    <t>Obowiązki:&lt;br /&gt;&lt;h2&gt;Główne obowiązki:&lt;/h2&gt;&lt;br /&gt;&lt;ul&gt;&lt;br /&gt;&lt;li&gt;Przyłączanie kabli do rozdzielni oraz do urządzeń przemysłowych takich jak silniki,&lt;/li&gt;&lt;br /&gt;&lt;li&gt;Podłączanie szaf sterowniczych wg. rysunków technicznych&lt;/li&gt;&lt;br /&gt;&lt;li&gt;Wykonywanie okablowania i przyłączanie puszek&lt;/li&gt;&lt;br /&gt;&lt;li&gt;Podłączanie przetwornika prądu&lt;/li&gt;&lt;br /&gt;&lt;li&gt;Usuwanie bieżących usterek&lt;/li&gt;&lt;br /&gt;&lt;li&gt;Instalacja rynien kablowych i rur ochronnych oraz rozprowadzanie różnego rodzaju kabli, przycinanie i wykańczanie okablowania przy użyciu różnych technik przyłączeniowych&lt;/li&gt;&lt;br /&gt;&lt;/ul&gt;</t>
  </si>
  <si>
    <t>https://www.pracuj.pl/praca/elektromechanik-debica,oferta,7173563</t>
  </si>
  <si>
    <t>TABOR DĘBICA SPÓŁKA Z OGRANICZONĄ ODPOWIEDZIALNOŚCIĄ</t>
  </si>
  <si>
    <t>https://www.pracuj.pl/praca/mechanik-debica,oferta,7211714</t>
  </si>
  <si>
    <t>SANPRO CONSULTING BPO</t>
  </si>
  <si>
    <t>https://www.pracuj.pl/praca/elektromechanik-mielec,oferta,7213930</t>
  </si>
  <si>
    <t>Doradca Ubezpieczeniowy</t>
  </si>
  <si>
    <t>https://www.praca.pl/doradca-ubezpieczeniowy_2757146.html</t>
  </si>
  <si>
    <t>&lt;br /&gt;Oczekiwania:&lt;br /&gt;- Wykształcenie min. średnie, mile widziane wyższe kierunkowe (ekonomia, finanse, ubezpieczenia);&lt;br /&gt;- Doświadczenie w aktywnej sprzedaży min. rok;&lt;br /&gt;- Mile widziane 2 lata doświadczenia w firmie ubezpieczeniowej (znajomość rynku ubezpieczeń i usług zdrowotnych;&lt;br /&gt;- Umiejętność pracy z portfelem klientów;&lt;br /&gt;- Doświadczenie w pracy z klientem biznesowym i indywidualnym;&lt;br /&gt;- Znajomość technik sprzedaży, umiejętność pracy w oparciu o cele sprzedażowe;&lt;br /&gt;- Mile widziana własna baza kontaktów sprzedażowych;&lt;br /&gt;- Prawo jazdy kat. B.&lt;br /&gt;</t>
  </si>
  <si>
    <t>&lt;br /&gt;Obowiązki:&lt;br /&gt;- Profesjonalne doradztwo z zakresu produktów zdrowotnych, ubezpieczeniowych i finansowych dla klientów biznesowych i indywidualnych;&lt;br /&gt;- Obsługa przydzielonego portfela klientów&lt;br /&gt;- Poszukiwanie nowych  klientów, pozyskiwanie referencji;&lt;br /&gt;- Realizacja aktywności sprzedażowych zgodnie z obowiązującymi standardami.&lt;br /&gt;</t>
  </si>
  <si>
    <t>Polska, podkarpackie, Rzeszów, Dębica, Mielec, Kolbuszowa, Leżajsk, Grodzisko Dolne, Przeworsk, Kańczuga, Dynów, Głogów Małopolski, Łańcut, Jasło, Kołaczyce, Krosno, Dukla, Jedlicze, Przemyśl, Ropczyce, Sędziszów, Sanok, Lesko, Ustrzyki Dolne, Jarosław, Radymno, Lubaczów</t>
  </si>
  <si>
    <t>https://www.praca.pl/doradca-ubezpieczeniowy_2757098.html</t>
  </si>
  <si>
    <t>https://www.pracuj.pl/praca/dyrektor-oddzialu-debica-jaroslaw-przemysl-rzeszow,oferta,7175757</t>
  </si>
  <si>
    <t>1803,1804,1862,1863</t>
  </si>
  <si>
    <t>https://www.pracuj.pl/praca/dyrektor-handlowy-mielec,oferta,7228128</t>
  </si>
  <si>
    <t>BALTIMPEX TELECOM GROUP S.A.</t>
  </si>
  <si>
    <t>Konsultant ds. Obsługi Klienta w Punkcie Sprzedaży T-Mobile</t>
  </si>
  <si>
    <t>https://www.pracuj.pl/praca/konsultant-ds-obslugi-klienta-w-punkcie-sprzedazy-t-mobile-debica-rzeszow-sanok,oferta,7164033</t>
  </si>
  <si>
    <t>1803,1863,1817</t>
  </si>
  <si>
    <t>https://www.pracuj.pl/praca/doradca-klienta-kolbuszowa,oferta,7173253</t>
  </si>
  <si>
    <t>https://www.pracuj.pl/praca/doradca-klienta-kolbuszowa,oferta,7176424</t>
  </si>
  <si>
    <t>https://www.pracuj.pl/praca/doradca-klienta-jaslo,oferta,7178477</t>
  </si>
  <si>
    <t>MediaMarkt</t>
  </si>
  <si>
    <t>https://www.pracuj.pl/praca/doradca-klienta-rzeszow,oferta,7153760</t>
  </si>
  <si>
    <t>Bank Ochrony Środowiska S.A.</t>
  </si>
  <si>
    <t>https://www.praca.pl/doradca-klienta_2763399.html</t>
  </si>
  <si>
    <t>&lt;br /&gt;Od kandydata oczekujemy:&lt;br /&gt;- wykształcenia min. średniego&lt;br /&gt;- umiejętności skutecznej prezentacji oferty handlowej i pozyskiwania klientów&lt;br /&gt;- mile widziane doświadczenie w sprzedaży produktów lub usług&lt;br /&gt;- dużym atutem będzie doświadczenie w bankowości lub finansach oraz znajomość produktów bankowych, produktów inwestycyjnych&lt;br /&gt;- ukończonego kursu kasjera walutowo-złotowego lub gotowości do jego ukończenia we własnym zakresie&lt;br /&gt;- komunikatywności i umiejętności współdziałania w zespole&lt;br /&gt;- wysokiej kultury osobistej, dyspozycyjności&lt;br /&gt;- zaangażowania, kreatywności i energii w działaniu&lt;br /&gt;</t>
  </si>
  <si>
    <t>&lt;br /&gt;Jeśli:&lt;br /&gt;- lubisz ludzi a kontakt z nimi sprawia Ci przyjemność&lt;br /&gt;- chcesz osiągać osobiste sukcesy finansowe i mieć wpływ na to ile zarabiasz&lt;br /&gt;- nie czekaj! Przyjdź do nas! Zarabiaj i buduj swoją karierę!&lt;br /&gt;Poszukujemy osoby, do której zadań należeć będzie:&lt;br /&gt;- pozyskiwanie i obsługa klientów detalicznych&lt;br /&gt;- aktywna sprzedaż produktów bankowych i obsługa klientów z uwzględnieniem obsługi dyspozycji gotówkowych klientów Banku&lt;br /&gt;- umiejętny dobór oferty produktowej Banku do potrzeb klienta&lt;br /&gt;- budowanie i utrzymywanie relacji z klientami detalicznymi&lt;br /&gt;</t>
  </si>
  <si>
    <t>http://gazetapraca.pl/ogl/2824147?utm_campaign=partner&amp;gpid=934128&amp;utm_medium=export&amp;glc_source=zielonalinia0&amp;utm_source=zielonalinia0</t>
  </si>
  <si>
    <t>OPTIMO Sp. z o.o.</t>
  </si>
  <si>
    <t>Polska, podkarpackie, Rzeszów, Przemyśl</t>
  </si>
  <si>
    <t>https://www.praca.pl/doradca-klienta-biznesowego-orange_2737585.html</t>
  </si>
  <si>
    <t>&lt;br /&gt;Pasujesz do nas jeżeli&lt;br /&gt;- posiadasz doświadczenie w sprzedaży do Klientów Biznesowych&lt;br /&gt;- lubisz wyzwania sprzedażowe i skutecznie pozyskujesz zaufanie Klientów&lt;br /&gt;- masz prawo jazdy i własny samochód&lt;br /&gt;</t>
  </si>
  <si>
    <t>&lt;br /&gt;Nasz zespół: Jesteśmy zespołem ekspertów sprzedaży usług i rozwiązań wiodącego operatora telekomunikacyjnego – Orange Polska. Do naszego dynamicznego kanału dystrybucji, zapraszamy osoby, które chciałyby realizować swoje ambicje współpracując z klientami biznesowymi. Jeśli chcesz rozwijać swój biznes i swoich klientów – dołącz do nas!&lt;br /&gt;Nasz standard&lt;br /&gt;- umowa b2b&lt;br /&gt;- gwarantowane wsparcie finansowe na start&lt;br /&gt;- szkolenia produktowe i sprzedażowe&lt;br /&gt;- premia uzależniona od wyników&lt;br /&gt;- wsparcie operacyjne doświadczonego managera&lt;br /&gt;</t>
  </si>
  <si>
    <t>HARTBEX Sp. z o.o.</t>
  </si>
  <si>
    <t>Cieśla*</t>
  </si>
  <si>
    <t>https://www.pracuj.pl/praca/ciesla-rzeszow-okolice,oferta,7227329</t>
  </si>
  <si>
    <t>Pracownik hotelowy (room boy; page)</t>
  </si>
  <si>
    <t>Boy hotelowy</t>
  </si>
  <si>
    <t>Polska, podkarpackie, Cottbus (Chociebórz)</t>
  </si>
  <si>
    <t>RPd057|962102</t>
  </si>
  <si>
    <t>http://gazetapraca.pl/ogl/2824052?utm_campaign=partner&amp;gpid=933964&amp;utm_medium=export&amp;glc_source=zielonalinia0&amp;utm_source=zielonalinia0</t>
  </si>
  <si>
    <t>Obowiązki:&lt;br /&gt;Stawka: 11 EUR (+ darmowe mieszkanie)&lt;br /&gt;&lt;h2&gt;Opis pracy:&lt;/h2&gt;&lt;br /&gt;&lt;ul&gt;&lt;br /&gt;&lt;li&gt;Praca na stanowisku tzw. room boy'a lub page w ekskluzywnym hotelu 5-gwiazdkowym (leader w branży resort&amp;spa w Niemczech)&lt;/li&gt;&lt;br /&gt;&lt;li&gt;Bezpośrednia obsługa gości hotelowych (przyjęcie gości, odbiór bagaży, odbiór samochodu itp.)&lt;/li&gt;&lt;br /&gt;&lt;li&gt;Bezpośredni kontakt z klientami&lt;/li&gt;&lt;br /&gt;&lt;li&gt;Wsparcie dla innych działów hotelu&lt;/li&gt;&lt;br /&gt;&lt;/ul&gt;&lt;br /&gt;&lt;h2&gt;Wymagania:&lt;/h2&gt;&lt;br /&gt;&lt;ul&gt;&lt;br /&gt;&lt;li&gt;Komunikatywna znajomość języka niemieckiego (min. B1)&lt;/li&gt;&lt;br /&gt;&lt;li&gt;Mile widziane doświadczenie w branży hotelowej&lt;/li&gt;&lt;br /&gt;&lt;li&gt;Aparycja i elokwencja&lt;/li&gt;&lt;br /&gt;&lt;li&gt;Wysoka kultura osobista&lt;/li&gt;&lt;br /&gt;&lt;li&gt;Schludność&lt;/li&gt;&lt;br /&gt;&lt;/ul&gt;&lt;br /&gt;&lt;h2&gt;Oferujemy:&lt;/h2&gt;&lt;br /&gt;&lt;ul&gt;&lt;br /&gt;&lt;li&gt;Polsko-niemiecka umowę o pracę na pełny etat (min. 40 godz. tygodniowo + możliwa dodatkowa praca)&lt;/li&gt;&lt;br /&gt;&lt;li&gt;Praca w bardzo ekskluzywnym kompleksie hotelowym - możliwość zdobycia cennego doświadczenia w branży hotelarskiej&lt;/li&gt;&lt;br /&gt;&lt;li&gt;Legalne zatrudnienie na terenie Niemiec (druk A1, karta EKUZ, dodatkowe ubezpieczenie zdrowotne), podatek od 1 dnia odprowadzany do niemieckiego urzędu skarbowego (Agencja oferuje również pomoc w rocznym rozliczeniu i odzyskaniu znacznej części podatku dochodowego)&lt;/li&gt;&lt;br /&gt;&lt;li&gt;&lt;span &gt;Podstawowa stawka godzinowa: 11,00 EUR/godz.&lt;/span&gt;(wynagrodzenie miesięczne na poziomie min 1.500 - 1.700 Euro netto (na rękę) + możliwość napiwków&lt;/li&gt;&lt;br /&gt;&lt;li&gt;Dodatki za pracę w godzinach nadliczbowych oraz nocnych (25%)&lt;/li&gt;&lt;br /&gt;&lt;li&gt;Praca w niedzielę: stawka 16,5 EUR/h brutto&lt;/li&gt;&lt;br /&gt;&lt;li&gt;Premie wakacyjne oraz świąteczne (2 x 150 EUR/rok)&lt;/li&gt;&lt;br /&gt;&lt;/ul&gt;</t>
  </si>
  <si>
    <t>Praktykant/ka w Audit Delivery Center</t>
  </si>
  <si>
    <t>https://www.pracuj.pl/praca/praktykant-ka-w-audit-delivery-center-rzeszow,oferta,7213070</t>
  </si>
  <si>
    <t>Główny Inspektorat Ochrony Środowiska w Warszawie</t>
  </si>
  <si>
    <t>Audytor  środowiskowy</t>
  </si>
  <si>
    <t>RPd057|213301</t>
  </si>
  <si>
    <t>https://www.praca.pl/specjalista_2767418.html</t>
  </si>
  <si>
    <t>&lt;h4&gt;Wymagania niezbędne&lt;/h4&gt;wykształcenie: wyższe z zakresu ochrony środowiska, inżynierii środowiska, fizyki, geoinformatyki lub pokrewnych&lt;br /&gt;doświadczenie zawodowe/staż pracy: co najmniej 1 rok doświadczenia zawodowego ,w tym 6 miesięcy w obszarze ochrony środowiska lub w zakresie ochrony przed hałasem lub w obszarze badań stanu akustycznego środowiska lub w obszarze GIS,&lt;br /&gt;- znajomość przepisów ustawy o Inspekcji Ochrony Środowiska&lt;br /&gt;- znajomość przepisów ustawy Prawo ochrony środowiska oraz aktów wykonawczych&lt;br /&gt;- znajomość dyrektyw UE dotyczących hałasu środowiskowego&lt;br /&gt;- znajomość podstawowych pojęć z zakresu akustyki&lt;br /&gt;- biegła znajomość obsługi komputera: środowisko Windows, pakiet MS Office, Internet&lt;br /&gt;- Posiadanie obywatelstwa polskiego&lt;br /&gt;- Korzystanie z pełni praw publicznych&lt;br /&gt;- Nieskazanie prawomocnym wyrokiem za umyślne przestępstwo lub umyślne przestępstwo skarbowe&lt;br /&gt;&lt;h4&gt;Wymagania dodatkowe&lt;/h4&gt;&lt;br /&gt;- prawo jazdy kat. B&lt;br /&gt;- znajomość oprogramowania GIS&lt;br /&gt;- znajomość obsługi baz danych&lt;br /&gt;- znajomość oprogramowania do obliczeń rozprzestrzeniania się hałasu&lt;br /&gt;- znajomość języka angielskiego na poziomie A2&lt;br /&gt;</t>
  </si>
  <si>
    <t>&lt;h4&gt;Warunki pracy&lt;/h4&gt;Warunki dotyczące charakteru pracy na stanowisku i sposobu wykonywania zadań&lt;br /&gt;- praca przy komputerze.&lt;br /&gt;- kontakt z klientem zewnętrznym&lt;br /&gt;Miejsce i otoczenie organizacyjno-techniczne stanowiska pracy&lt;br /&gt;- budynek i pomieszczenia urzędu nie są dostosowane do potrzeb osób niepełnosprawnych poruszających się na wózkach inwalidzkich oraz mających problemy z poruszaniem się po schodach - 3 piętrowy budynek, brak windy&lt;br /&gt;&lt;h4&gt;Zakres zadań&lt;/h4&gt;&lt;br /&gt;- Współpraca przy planowaniu i realizacji prac związanych z organizacją i funkcjonowaniem monitoringu hałasu oraz oceną stanu akustycznego środowiska i obserwacji zmian (w tym metody obliczeniowe), zgodnie z wymogami Dyrektywy 2002/49/WE oraz Prawa ochrony środowiska oraz prac związanych z organizacją i funkcjonowaniem monitoringu pól elektromagnetycznych zgodnie z wymogami prawodawstwa krajowego.&lt;br /&gt;- Współpraca przy opracowywaniu wykonawczych programów państwowego monitoringu środowiska w zakresie województwa podkarpackiego lub innego wyznaczonego regionu.&lt;br /&gt;- Branie udziału we wprowadzaniu danych do bazy EHAŁAS i JELMAG w obrębie województwa podkarpackiego oraz w zależności od potrzeb w pomiarach realizowanych przez CLB w wybranych monitoringowych punktach pomiarowych.&lt;br /&gt;- Opracowywanie lub współpraca przy opracowywaniu w zakresie województwa podkarpackiego lub innego wyznaczonego regionu z wykorzystaniem systemów informacji przestrzennej (GIS) raportów, sprawozdań, artykułów, komunikatów, publikacji i bieżących informacji dotyczących hałasu i poziomu pól elektromagnetycznych w środowisku a także działalności PMŚ w zakresie monitoringu hałasu i pól elektromagnetycznych dla potrzeb administracji rządowej, lokalnej oraz społeczeństwa, przekazywanie aktualnych informacji dla serwisu internetowego GIOŚ w zakresie merytorycznym stanowiska.&lt;br /&gt;- Uczestniczenie w sprawach związanych z obsługą techniczną obowiązków sprawozdawczych w zakresie strategicznych map hałasu i programów ochrony środowiska przed hałasem wynikających z wymagań dyrektywy 2002/49/WE oraz zapoznawanie się z pracami i dokumentami krajowymi, Unii Europejskiej i instytucji międzynarodowych (np. ISO, WHO) w zakresie badań i ocen stanu środowiska.&lt;br /&gt;- Gromadzenie informacji o instalacjach emitujących pem.&lt;br /&gt;- Pozyskiwanie danych i informacji o pomiarach, źródłach hałasu i innych dotyczących hałasu w środowisku.&lt;br /&gt;</t>
  </si>
  <si>
    <t>https://www.praca.pl/inspektor_2737288.html</t>
  </si>
  <si>
    <t>&lt;h4&gt;Wymagania niezbędne&lt;/h4&gt;wykształcenie: średnie ogólne&lt;br /&gt;doświadczenie zawodowe/staż pracy: doświadczenia zawodowego&lt;br /&gt;- - obsługa komputera i urządzeń biurowych&lt;br /&gt;- - znajomość technik negocjacyjnych&lt;br /&gt;- - posiadanie prawo jazdy kat. B&lt;br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pozasądowym rozwiązywaniu sporów konsumenckich;&lt;br /&gt;- - znajomość ustawy o prawach konsumenta&lt;br /&gt;- - znajomość Kodeksu cywilnego w zakresie sprzedaży&lt;br /&gt;</t>
  </si>
  <si>
    <t>&lt;h4&gt;Warunki pracy&lt;/h4&gt;- praca administracyjno-biurowa w siedzibie Inspektoratu na I piętrze;&lt;br /&gt;- praca przy monitorze ekranowym powyżej 4 godzin dziennie;&lt;br /&gt;- podstawowe wyposażenie stanowiska to: komputer, urządzenie wielofunkcyjne;&lt;br /&gt;- oświetlenie sztuczne i naturalne w pomieszczeniu klimatyzowanym;&lt;br /&gt;- praca: poniedziałek, środa do piątku w godz. 7.15 do 15.15, wtorek 8.00 do 16.00 ) w dniach dyżuru do 17.00);&lt;br /&gt;- praca z wymagającym klientem &lt;h4&gt;Zakres zadań&lt;/h4&gt;&lt;br /&gt;- - udzielanie porad prawnych konsumentom i przedsiębiorcom w zakresie przepisów dotyczących sprzedaży konsumenckiej;&lt;br /&gt;- - uczestnictwo w postępowaniu mediacyjnym;&lt;br /&gt;- - wykonywanie czynnosći biurowych w celu zapewnienia prawidłowego funkcjonowania wydziału;&lt;br /&gt;- - opracowywanie statystyk oraz sprawozdań opisowych z działalności wydziału&lt;br /&gt;</t>
  </si>
  <si>
    <t>https://www.pracuj.pl/praca/ekspert-finansowy-debica-jaroslaw-przemysl-rzeszow,oferta,7159934</t>
  </si>
  <si>
    <t>1803,1863,1804,1862</t>
  </si>
  <si>
    <t>Indirect Spend Sourcing Analyst</t>
  </si>
  <si>
    <t>https://www.pracuj.pl/praca/indirect-spend-sourcing-analyst-rzeszow,oferta,7167216</t>
  </si>
  <si>
    <t>https://www.pracuj.pl/praca/analityk-finansowy-mielec,oferta,7214980</t>
  </si>
  <si>
    <t>Agent Ubezpieczeniowy (Ubezpieczenia Na Życie)</t>
  </si>
  <si>
    <t>https://www.pracuj.pl/praca/agent-ubezpieczeniowy-ubezpieczenia-na-zycie-rzeszow,oferta,7170914</t>
  </si>
  <si>
    <t>Eurofinance</t>
  </si>
  <si>
    <t>Asystent Sprzedawcy Produktów Ubezpieczeniowych</t>
  </si>
  <si>
    <t>https://www.pracuj.pl/praca/asystent-sprzedawcy-produktow-ubezpieczeniowych-rzeszow,oferta,7197567</t>
  </si>
  <si>
    <t>Rusak Business Services Sp. z o.o.</t>
  </si>
  <si>
    <t>Specjalista ds. Celnych - Agent Celny</t>
  </si>
  <si>
    <t>https://www.pracuj.pl/praca/specjalista-ds-celnych-agent-celny-korczowa-pow-jaroslawski,oferta,7226798</t>
  </si>
  <si>
    <t>Centrum Rozwoju Usług Zrzeszeniowych Sp. z o.o.</t>
  </si>
  <si>
    <t>Administrator Unix/Linux</t>
  </si>
  <si>
    <t>https://www.pracuj.pl/praca/administrator-unix-linux-rzeszow,oferta,7186075</t>
  </si>
  <si>
    <t>Administrator środowiska IBM Domino Lotus Notes</t>
  </si>
  <si>
    <t>https://www.pracuj.pl/praca/administrator-srodowiska-ibm-domino-lotus-notes-rzeszow,oferta,7186035</t>
  </si>
  <si>
    <t>Administrator Serwerów Windows</t>
  </si>
  <si>
    <t>https://www.pracuj.pl/praca/administrator-serwerow-windows-rzeszow,oferta,7185983</t>
  </si>
  <si>
    <t>TRANSSYSTEM S.A</t>
  </si>
  <si>
    <t>Administrator systemów i sieci informatycznych</t>
  </si>
  <si>
    <t>https://www.pracuj.pl/praca/administrator-systemow-i-sieci-informatycznych-lezajsk-lancut-rzeszow-stalowa-wola-wola-dalsza-pow-lancucki,oferta,7226822</t>
  </si>
  <si>
    <t>1808,1810,1863,1818</t>
  </si>
  <si>
    <t>https://www.praca.pl/specjalista_2816090.html</t>
  </si>
  <si>
    <t>&lt;h4&gt;Wymagania niezbędne&lt;/h4&gt;wykształcenie: średnie&lt;br /&gt;doświadczenie zawodowe/staż pracy: doświadczenia zawodowego&lt;br /&gt;- Półtora roku doświadczenia zawodowego w obszarze teleinformatyki&lt;br /&gt;- Znajomość przepisów: Ustawy z dnia 6 kwietnia 1990 o Policji&lt;br /&gt;- Znajomość Zarządzenia nr 1041 KGP z dnia 28 września 2007 r. w sprawie szczegółowych zasad organizacji i zakresu działania komend, komisariatów i innych jednostek organizacyjnych Policji&lt;br /&gt;- Znajomość Rozporządzenia Parlamentu Europejskiego i Rady (UE) 2016/679 z dnia 27 kwietnia 2016 r. w sprawie ochrony osób fizycznych w związku z przetwarzaniem danych osobowych i w sprawie swobodnego przepływu takich danych oraz uchylenia dyrektywy 95/46/WE&lt;br /&gt;- Znajomość obsługi komputera, umiejętność posługiwania się arkuszem kalkulacyjnym MS Excel&lt;br /&gt;- Znajomość podstaw funkcjonowania relacyjnych baz danych, ogólna wiedza o teleinformatycznych systemach bazodanowych wykorzystywanych przez Policję&lt;br /&gt;- Komunikatywność, umiejętność rozwiązywania problemów&lt;br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sprawdzającego&lt;br /&gt;</t>
  </si>
  <si>
    <t>&lt;h4&gt;Warunki pracy&lt;/h4&gt;Ośmiogodzinny system pracy. Budynek nieprzystosowany jest dla osób niepełnosprawnych poruszających się na wózku inwalidzkim: brak wind, brak odpowiednio dostosowanych toalet, brak podjazdów, podjazd tylko na zewnątrz głównego budynku. Praca przy monitorze ekranowym w naturalnym i sztucznym oświetleniu. Współpraca z KGP w zakresie weryfikacji danych w LDAP w celu umożliwienia przydzielania uprawnień użytkownikom systemów. &lt;h4&gt;Zakres zadań&lt;/h4&gt;&lt;br /&gt;- Administrowanie systemem Oracle Identity Management (IdM) w zakresie nadawania , modyfikacji i usuwania uprawnień do Krajowego Systemu Informacji Policji (KSIP) w celu prawidłowego dostępu użytkowników systemu do baz danych, zgodnie z zakresem opisanym we wnioskach;&lt;br /&gt;- Realizowanie czynności związanych z aktywacja, dezaktywacją, recertyfikacją i odblokowaniem kart mikroprocesorowych w celu umożliwienia prawidłowej identyfikacji i uwierzytelniania użytkowników w systemach jawnych Policji;&lt;br /&gt;- Obsługiwanie wojewódzkiego repozytorium danych LDAP polegającego na zakładaniu, usuwaniu i modyfikacji parametrów kont użytkowników upoważnionych do pracy z systemami policyjnymi w celu umożliwienia dostępu użytkowników do systemów policyjnych zgodnie z zatwierdzonymi wnioskami;&lt;br /&gt;- Nadawanie, modyfikacja i usuwanie uprawnień min. do Systemu Wspomagania Dowodzenia (SWD), Systemu Elektronicznej Sprawozdawczości Policji (SESPol), rejestru Sprawców Przestępstw na Tle Seksualnym i innych systemów policyjnych i pozapolicyjnych w celu prawidłowego, zgodnie z zakresem opisanym we wnioskach, umożliwiania korzystania użytkowników systemów bazodanowych;&lt;br /&gt;- Administrowanie Aplikacją Dyżurnego (DNI) w zakresie przydzielania i odbierania uprawnień do pracy w systemie w celu prawidłowego funkcjonowania stanowisk dyżurnych w KWP oraz KMP/KPP;&lt;br /&gt;- Pełnienie funkcji administratora wojewódzkiego do spraw technicznych systemu Pakiet Aplikacji Policyjnych (PAP) dla użytkowników KWP w Rzeszowie w celu właściwego wykorzystania systemów bazodanowych przez uprawnionych użytkowników;&lt;br /&gt;- Udzielanie pomocy i konsultacji użytkownikom systemów teleinformatycznych Policji w zakresie weryfikacji nadanych uprawnień, rozwiązywania problemow z autoryzacją w celu prawidłowej realizacji zadań na stanowisku operatora ds. rejestracji Wojewódzkiego Punktu Rejestracji (PR);&lt;br /&gt;- Udział w pracach komisji ds. brakowania kart mikroprocesorowych.&lt;br /&gt;</t>
  </si>
  <si>
    <t>czy ok?</t>
  </si>
  <si>
    <t>AAGLOB S.A.</t>
  </si>
  <si>
    <t>Kierownik Wydziału Produkcji</t>
  </si>
  <si>
    <t>https://www.pracuj.pl/praca/kierownik-wydzialu-produkcji-krosno,oferta,7236115</t>
  </si>
  <si>
    <t>25.12.2019</t>
  </si>
  <si>
    <t>Anna</t>
  </si>
  <si>
    <t>Kierowca międzynarodowy kat. B – Bardzo atrakcyjne warunki !</t>
  </si>
  <si>
    <t>https://gratka.pl/praca/kierowca-miedzynarodowy-kat-b-bardzo-atrakcyjne-warunki/ob/14299237?utm_source=zielonalinia.pl&amp;utm_medium=zielonalinia&amp;utm_campaign=export_xml</t>
  </si>
  <si>
    <t>Wymagania: &lt;ul&gt;&lt;li&gt;prawo jazdy kat. B,&lt;/li&gt;&lt;li&gt;dobra orientacja w terenie, &lt;/li&gt;&lt;li&gt;wysoka kultura osobista,&lt;/li&gt;&lt;li&gt;dobre umiejętności organizacyjne,&lt;/li&gt;&lt;li&gt;posiadanie lub gotowość do założenia własnej działalności gospodarczej.&lt;/li&gt;&lt;/ul&gt;&lt;br /&gt;</t>
  </si>
  <si>
    <t>Młodszy Specjalista ds. Wdrożeń (bankowość)</t>
  </si>
  <si>
    <t>http://gazetapraca.pl/ogl/2824224?utm_campaign=partner&amp;gpid=934294&amp;utm_medium=export&amp;glc_source=zielonalinia0&amp;utm_source=zielonalinia0</t>
  </si>
  <si>
    <t>Wymagania:&lt;br /&gt;&lt;div&gt;&lt;div&gt;&lt;div&gt;&lt;h2&gt;Czym będziesz się zajmować?&lt;/h2&gt;&lt;/div&gt;&lt;div&gt;&lt;ul&gt;&lt;div class="lista"&gt;Prowadzeniem prac wdrożeniowych u klienta z sektora bankowości:&lt;/div&gt;&lt;ul&gt;&lt;div class="lista"&gt;instalacja dostarczanego oprogramowania&lt;/div&gt;&lt;div class="lista"&gt;asysta przy parametryzacji i testach akceptacyjnych realizowanych przez klienta&lt;/div&gt;&lt;div class="lista"&gt;asysty powdrożeniowe&lt;/div&gt;&lt;div class="lista"&gt;konsultacje merytoryczne dla klientów&lt;/div&gt;&lt;div class="lista"&gt;analiza potrzeb i problemów zgłaszanych w trakcie wdrożenia przez klientów&lt;/div&gt;&lt;/ul&gt;&lt;div class="lista"&gt;Realizacją szkoleń i prezentacji u klienta z dostarczanych rozwiązań&lt;/div&gt;&lt;div class="lista"&gt;Stałym zapoznawaniem się teoretycznym i praktycznym z nowymi rozwiązaniami informatycznymi, technologiami, oprogramowaniem narzędziowym oraz zmianami do istniejących rozwiązań dostarczanych klientom&lt;/div&gt;&lt;div class="lista"&gt;Dokumentowaniem zrealizowanych prac &lt;/div&gt;&lt;/ul&gt;&lt;/div&gt;&lt;/div&gt;&lt;/div&gt;&lt;div&gt;&lt;div&gt;&lt;div class="obowiazkiE"&gt;&lt;/div&gt;&lt;/div&gt;&lt;div&gt;&lt;ul&gt;&lt;div class="lista"&gt;Dobra znajomość zagadnień informatycznych, aplikacji biurowych (MS Office itp.), umiejętność samodzielnej instalacji aplikacji&lt;/div&gt;&lt;div class="lista"&gt;Znajomość podstaw baz danych (Oracle, MS SQL) i języka SQL oraz podstawowa znajomość systemów Windows, UNIX/Linux.&lt;/div&gt;&lt;div class="lista"&gt;Podstawowa znajomość problematyki sieciowej (pod kątem konfiguracji, integracji oraz diagnostyki aplikacji)&lt;/div&gt;&lt;div class="lista"&gt;Gotowość do prowadzenia szkoleń i prezentacji oraz konsultacji dla klientów&lt;/div&gt;&lt;div class="lista"&gt;Doświadczenie w pracy z użytkownikami aplikacji&lt;/div&gt;&lt;div class="lista"&gt;Znajomość języka angielskiego na poziomie średnio-zaawansowanym, umożliwiającym komunikację&lt;/div&gt;&lt;div class="lista"&gt;Prawo jazdy kategorii B&lt;/div&gt;&lt;/ul&gt;Mile widziane:&lt;ul&gt;&lt;div class="lista"&gt;Doświadczenie zawodowe w realizacji prac wdrożeniowych z zakresu informatyki, realizacji szkoleń i prezentacji lub staż pracy w bankowości&lt;/div&gt;&lt;div class="lista"&gt;Odbyte kursy i szkolenia (lub dodatkowe wykształcenie) z zakresu bankowości, informatyki or</t>
  </si>
  <si>
    <t>https://www.pracuj.pl/praca/doradca-ds-energii-i-gazu-debica-mielec-przemysl-rzeszow-sanok-stalowa-wola-tarnobrzeg,oferta,7102877</t>
  </si>
  <si>
    <t>1803,1811,1862,1863,1817,1818,1864</t>
  </si>
  <si>
    <t>https://www.pracuj.pl/praca/konsultant-ds-obslugi-klienta-w-punkcie-sprzedazy-t-mobile-debica-dynow-rzeszow-sanok,oferta,7229914</t>
  </si>
  <si>
    <t>1803,1863,1817,1816</t>
  </si>
  <si>
    <t>https://www.pracuj.pl/praca/doradca-klienta-jaroslaw-jaslo-przemysl-rzeszow-stalowa-wola,oferta,7241268</t>
  </si>
  <si>
    <t>1804,1805,1862,1863,1818</t>
  </si>
  <si>
    <t>Biofarm</t>
  </si>
  <si>
    <t>https://www.pracuj.pl/praca/przedstawiciel-farmaceutyczny-jaroslaw-lancut-przemysl-rzeszow-sanok,oferta,7240355</t>
  </si>
  <si>
    <t>1804,1863,1862,1817,1810</t>
  </si>
  <si>
    <t>BorgWarner Poland Sp. z o.o. – Turbo Systems</t>
  </si>
  <si>
    <t>Technik Laboratorium Materiałowego</t>
  </si>
  <si>
    <t>Inżynier mechanik - maszyny i urządzenia do obróbki metali</t>
  </si>
  <si>
    <t>https://www.pracuj.pl/praca/technik-laboratorium-materialowego-rzeszow-okolice-jasionka-pow-rzeszowski,oferta,7232600</t>
  </si>
  <si>
    <t>https://www.pracuj.pl/praca/lakiernik-krosno,oferta,7239977</t>
  </si>
  <si>
    <t>https://www.pracuj.pl/praca/lakiernik-tajecina-pow-rzeszowski,oferta,7239986</t>
  </si>
  <si>
    <t>Monter</t>
  </si>
  <si>
    <t>https://www.pracuj.pl/praca/monter-krosno,oferta,7239959</t>
  </si>
  <si>
    <t>Operator  CNC</t>
  </si>
  <si>
    <t>https://www.pracuj.pl/praca/operator-cnc-krosno,oferta,7239972</t>
  </si>
  <si>
    <t>https://www.pracuj.pl/praca/operator-cnc-tajecina-pow-rzeszowski,oferta,7239989</t>
  </si>
  <si>
    <t>https://www.pracuj.pl/praca/operator-procesow-chemicznych-krosno,oferta,7239963</t>
  </si>
  <si>
    <t>https://www.pracuj.pl/praca/operator-procesow-chemicznych-tajecina-pow-rzeszowski,oferta,7239987</t>
  </si>
  <si>
    <t>Junior IT Asset and Application Specialist</t>
  </si>
  <si>
    <t>https://www.pracuj.pl/praca/junior-it-asset-and-application-specialist-rzeszow,oferta,7240127</t>
  </si>
  <si>
    <t>EUROTERM TGS Sp. z o.o.</t>
  </si>
  <si>
    <t>https://www.pracuj.pl/praca/specjalista-ds-sprzedazy-mielec,oferta,7242147</t>
  </si>
  <si>
    <t>FFiL ŚNIEŻKA S.A.</t>
  </si>
  <si>
    <t>BRYGADZISTA DS. ENERGETYCZNYCH</t>
  </si>
  <si>
    <t>http://gazetapraca.pl/ogl/2825598?utm_campaign=partner&amp;gpid=937064&amp;utm_medium=export&amp;glc_source=zielonalinia0&amp;utm_source=zielonalinia0</t>
  </si>
  <si>
    <t>30.12.2019</t>
  </si>
  <si>
    <t>Wymagania:&lt;br /&gt;&lt;h2 dir="ltr"&gt;Do Twoich zadań należeć będzie&lt;/h2&gt;&lt;ul&gt;&lt;div class="lista"&gt;Nadzór nad infrastrukturą oraz organizacja pracy zespołu działu energetycznego,&lt;/div&gt;&lt;div class="lista"&gt;Ustalanie grafiku zmian i dyżurów oraz planowanie pracy zespołu,&lt;/div&gt;&lt;div class="lista"&gt;Wsparcie, motywowanie i wpływanie na rozwój każdego pracownika uwzględniając jego indywidulane cele rozwojowe,&lt;/div&gt;&lt;div class="lista"&gt;Aktualizacja dokumentacji elektrycznej,&lt;/div&gt;&lt;div class="lista"&gt;Koordynacja działań z firmami zewnętrznymi oraz nadzorowanie prac wykonawców zewnętrznych,&lt;/div&gt;&lt;div class="lista"&gt;Planowanie terminów oraz organizacja pracy przy wykonywaniu pomiarów ochrony przeciwporażeniowej oraz ochrony odgromowej,&lt;/div&gt;&lt;div class="lista"&gt;Utrzymywanie w pełnej sprawności maszyn i urządzeń produkcyjnych, instalacji elektrycznej, kotłów nagrzewnic, wentylacji i klimatyzacji,&lt;/div&gt;&lt;div class="lista"&gt;Usuwanie usterek maszyn oraz instalacji i sieci elektroenergetycznej.&lt;/div&gt;&lt;/ul&gt;&lt;h2 dir="ltr"&gt;To, czego od Ciebie oczekujemy&lt;/h2&gt;&lt;ul&gt;&lt;div class="lista"&gt;Wykształcenie średnie,&lt;/div&gt;&lt;div class="lista"&gt;Min. 5 lat doświadczenia w obszarze utrzymania ruchu, automatyki lub elektryki,&lt;/div&gt;&lt;div class="lista"&gt;Doświadczenie w obsłudze kotłów gazowych i nagrzewnic,&lt;/div&gt;&lt;div class="lista"&gt;Umiejętność obsługi przetwornic,&lt;/div&gt;&lt;div class="lista"&gt;Podstawowa znajomość sterowników PLC,&lt;/div&gt;&lt;div class="lista"&gt;Uprawnienia SEP Dozór i Eksploatacja grupa 1 (urządzenia i instalacje powyżej 1KV oraz urządzenia i instalacje w wykonaniu przeciwwybuchowym), grupa 2 (mile widziana grupa 3),&lt;/div&gt;&lt;div class="lista"&gt;Swoboda w wykonywaniu pracy pod presją czasu,&lt;/div&gt;&lt;div class="lista"&gt;Rozwinięte umiejętności komunikacji, &lt;/div&gt;&lt;div class="lista"&gt;Samodzielność i umiejętność pracy w zespole.&lt;/div&gt;&lt;/ul&gt;</t>
  </si>
  <si>
    <t>Obowiązki:&lt;br /&gt;&lt;h2 dir="ltr" &gt;Czekają na Ciebie&lt;/h2&gt;&lt;br /&gt;&lt;ul&gt;&lt;br /&gt;&lt;li&gt;Zatrudnienie w ramach umowy o pracę w firmie o ugruntowanej pozycji rynkowej,&lt;/li&gt;&lt;br /&gt;&lt;li&gt;Rozwój kompetencji poprzez dostęp do najnowszej wiedzy i szkoleń oraz współpracę z ekspertami w branży,&lt;/li&gt;&lt;br /&gt;&lt;li&gt;Praca w organizacji, która daje pracownikom możliwość realizacji swoich pomysłów i angażuje ich w podejmowanie decyzji,&lt;/li&gt;&lt;br /&gt;&lt;li&gt;Środowisko w którym kierujemy się jasno określonym systemem wartości,&lt;/li&gt;&lt;br /&gt;&lt;li&gt;Konkurencyjne wynagrodzenie adekwatne do posiadanego doświadczenia i osiąganych wyników,&lt;/li&gt;&lt;br /&gt;&lt;li&gt;Dobre warunki pracy i pakiet socjalny.&lt;/li&gt;&lt;br /&gt;&lt;/ul&gt;</t>
  </si>
  <si>
    <t>GENERAL PROPERTY SP. Z O.O.</t>
  </si>
  <si>
    <t>Serwisant Urządzeń Grzewczych</t>
  </si>
  <si>
    <t>https://www.praca.pl/serwisant-urzadzen-grzewczych_2841452.html</t>
  </si>
  <si>
    <t>24.12.2019</t>
  </si>
  <si>
    <t>&lt;br /&gt;A przy tym spełniasz następujące wymagania: &lt;br /&gt;- masz wykształcenie techniczne, pożądane o specjalności kotłowni węzłów CO&lt;br /&gt;- posiadasz znajomość budowy oraz konserwacji urządzeń kotłowni&lt;br /&gt;- posiadasz świadectwo kwalifikacji uprawniające do eksploatacji urządzeń z grupy 1 , 2 i 3 E&lt;br /&gt;- posiadasz znajomość obsługi  komputera: Windows, MS Office&lt;br /&gt;- masz doświadczenie w serwisowaniu i konserwacji urządzeń kotłowni i Węzłów CO&lt;br /&gt;- posiadasz  znajomość zagadnień oraz chęć poszerzania wiedzy z zakresu HVAC&lt;br /&gt;</t>
  </si>
  <si>
    <t>&lt;br /&gt;Jeśli chcesz odpowiadać za: &lt;br /&gt;- serwisowanie urządzeń węzłów cieplnych (wymiennikowni, rozdzielaczy)&lt;br /&gt;- serwisowanie urządzeń kotłów gazowych, olejowych i węglowych&lt;br /&gt;- serwisowanie urządzeń instalacji centralnego ogrzewania i ciepłej wody&lt;br /&gt;- obsługa w zakresie: utrzymania, eksploatacji, oględzin, przeglądów, remontów i wymiany (montaży/demontaży) urządzeń grzewczych&lt;br /&gt;- współpraca w zakresie ofertowania, zamawiania i dostaw części zamiennych oraz rozliczania robót z pracownikami Zleceniodawcy&lt;br /&gt;- inwentaryzacja oraz prowadzenie baz danych urządzeń grzewczych&lt;br /&gt;- doradztwo techniczne, diagnozy techniczne, oceny stanu technicznego obiektów i urządzeń&lt;br /&gt;- przygotowanie opinii i ekspertyz technicznych&lt;br /&gt;- wykonywanie obligatoryjnych przeglądów technicznych urządzeń grzewczych zgodnie z Prawem Budowlanym (Ustawa z dn. 7 lipca 1994 r. "Prawo Budowlane")&lt;br /&gt;</t>
  </si>
  <si>
    <t>Interhandler Sp. z o.o.</t>
  </si>
  <si>
    <t>Mechanik Serwisu</t>
  </si>
  <si>
    <t>https://www.praca.pl/mechanik-serwisu_2845106.html</t>
  </si>
  <si>
    <t>&lt;br /&gt;Wymagania:&lt;br /&gt;- wymagane min. wykształcenie zawodowe&lt;br /&gt;- doświadczenie na stanowisku mechanika w branży maszyn budowlanych lub w serwisie motoryzacyjnym&lt;br /&gt;- podstawowa znajomość języka angielskiego będzie dodatkowym atutem prawo jazdy kat. B&lt;br /&gt;- dyspozycyjność&lt;br /&gt;</t>
  </si>
  <si>
    <t>&lt;br /&gt;Opis stanowiska:&lt;br /&gt;- wykonywanie napraw gwarancyjnych i pogwarancyjnych maszyn budowlanych w serwisie firmowym oraz u klient&lt;br /&gt;</t>
  </si>
  <si>
    <t>https://www.pracuj.pl/praca/sprzedawca-kasjer-lubaczow,oferta,7223823</t>
  </si>
  <si>
    <t>https://www.praca.pl/logistyk-magazynier_2833106.html</t>
  </si>
  <si>
    <t>21.12.2019</t>
  </si>
  <si>
    <t>Młodszy Specjalista ds. Zakupów</t>
  </si>
  <si>
    <t>https://www.pracuj.pl/praca/mlodszy-specjalista-ds-zakupow-stalowa-wola,oferta,7240106</t>
  </si>
  <si>
    <t>https://www.pracuj.pl/praca/specjalista-ds-zakupow-mielec,oferta,7241236</t>
  </si>
  <si>
    <t>http://gazetapraca.pl/ogl/2823995/pracownik+produkcji?utm_campaign=partner&amp;gpid=933840&amp;utm_medium=export&amp;glc_source=zielonalinia0&amp;utm_source=zielonalinia0</t>
  </si>
  <si>
    <t>Wymagania:&lt;br /&gt;&lt;div style="margin-top:15px; background: url('http://static-ats.gazetapraca.pl/_1192/graf/2_201701051320.jpg') no-repeat left center white; padding-left: 160px;"&gt;     &lt;div&gt;      &lt;div&gt;Oczekujemy jedynie:&lt;/div&gt;&lt;ul&gt;&lt;div class="lista"&gt;Gotowości do pracy 3-zmianowej (6:30-14:30, 14:30-22:30, 22:30-06:30&lt;/div&gt;&lt;div class="lista"&gt;Motywacji i chęci do pracy&lt;/div&gt;&lt;div class="lista"&gt;Zdolności manualne będą dodatkowym atutem&lt;/div&gt;&lt;/ul&gt;     &lt;/div&gt;    &lt;/div&gt;</t>
  </si>
  <si>
    <t>http://gazetapraca.pl/ogl/2825577/technik+utrzymania+ruchu?utm_campaign=partner&amp;gpid=937038&amp;utm_medium=export&amp;glc_source=zielonalinia0&amp;utm_source=zielonalinia0</t>
  </si>
  <si>
    <t>28.12.2019</t>
  </si>
  <si>
    <t>Wymagania:&lt;br /&gt;&lt;div &gt; &lt;div &gt;  Twoje zadania:&lt;ul&gt;&lt;div class="lista"&gt;Bycie częścią zespołu utrzymania ruchu w nowo powstałym oddziale&lt;/div&gt;&lt;div class="lista"&gt;Utrzymywanie pełnej funkcjonalności wszystkich maszyn i urządzeń (taśmy rolkowe, stacje dokujące)&lt;/div&gt;&lt;div class="lista"&gt;Wdrażanie nowych rozwiązań optymalizacyjnych&lt;/div&gt;&lt;div class="lista"&gt;Udział w projektach mających na celu doskonalenie parku maszynowego&lt;/div&gt;&lt;div class="lista"&gt;Wsparcie transferów i uruchomień nowych maszyn&lt;/div&gt;&lt;div class="lista"&gt;Rozpoznawanie przyczyn oraz usuwanie awarii i niesprawności w działaniu urządzeń&lt;/div&gt;&lt;/ul&gt;Miejsce pracy: OkmianyOferta dotyczy pracy stałej &lt;/div&gt; &lt;/div&gt;</t>
  </si>
  <si>
    <t>Obowiązki:&lt;br /&gt;&lt;div &gt;&lt;br /&gt; &lt;div &gt;&lt;br /&gt;  Jakie są nasze wymagania?&lt;br/&gt;&lt;br/&gt;&lt;br /&gt;&lt;ul&gt;&lt;li&gt;Doświadczenie zdobyte na podobnym stanowisku min. rok&lt;/li&gt;&lt;br /&gt;&lt;li&gt;Mile widziane doświadczenie z taśmami rolkowymi, stacjami dokującymi,&lt;/li&gt;&lt;br /&gt;&lt;li&gt;Dobra znajomość rysunku technicznego&lt;/li&gt;&lt;br /&gt;&lt;li&gt;Umiejętność przeprowadzania przeglądów, napraw, konserwacji maszyn i urządzeń&lt;/li&gt;&lt;br /&gt;&lt;/ul&gt; &lt;br /&gt; &lt;/div&gt;&lt;br /&gt; &lt;/div&gt;</t>
  </si>
  <si>
    <t>Medicover sp. z o.o.</t>
  </si>
  <si>
    <t>Pielęgniarka / Pielęgniarz</t>
  </si>
  <si>
    <t>Polska, podkarpackie, Rzeszów, Sanok, Przemyśl, Dębica, Stalowa Wola</t>
  </si>
  <si>
    <t>https://www.praca.pl/pielegniarka-pielegniarz_2849969.html</t>
  </si>
  <si>
    <t>26.12.2019</t>
  </si>
  <si>
    <t>1863,1817,1862,1803,1818</t>
  </si>
  <si>
    <t>&lt;br /&gt;Dołączając do nas masz możliwość:&lt;br /&gt;- rozwoju zawodowego i podążania jasną ścieżką awansu&lt;br /&gt;- uczestniczenia w szkoleniach medycznych - dofinansowujemy kursów specjalistycznych przez Medicover&lt;br /&gt;- zdobycia doświadczenia w renomowanej firmie medycznej&lt;br /&gt;- grafik dostosowany do Twoich potrzeb&lt;br /&gt;</t>
  </si>
  <si>
    <t>&lt;br /&gt;Chcesz pracować w firmie, która od ponad 20 lat zapewnia pacjentom pełną opieką medyczną ? Zastanawiasz się nad przeprowadzką do innego miasta, aby realizować swoje ambicje ?&lt;br /&gt;Medicover do firma medyczna obejmująca usługi ambulatoryjne, laboratoryjne, diagnostykę obrazową, stomatologię i kompleksową opiekę szpitalną.&lt;br /&gt;Wartości jakimi kierujemy się w pracy to wzajemna pomoc, życzliwość i wsparcie współpracowników w codziennych obowiązkach (aż 70% pracowników Medicover uważa atmosferę i relacje jako największy atut firmy).&lt;br /&gt;Zapewniamy elastyczną formę zatrudniania oraz grafik, który pozwoli Ci dostosować się do innych zobowiązań prywatnych i zawodowych. Gwarantujemy też prywatną opieka medyczna dla Ciebie i Twoich bliskich oraz współfinansowanie karty sportowej.&lt;br /&gt;Nasze Centra oferują:&lt;br /&gt;- nowoczesne stanowiska pracy&lt;br /&gt;- wysokiej jakości sprzęt medyczny&lt;br /&gt;- międzynarodowy standard świadczonych usług&lt;br /&gt;</t>
  </si>
  <si>
    <t>Dyrektor Kontraktu</t>
  </si>
  <si>
    <t>Inżynier budowy mostów</t>
  </si>
  <si>
    <t>RPd057|214208</t>
  </si>
  <si>
    <t>https://www.pracuj.pl/praca/dyrektor-kontraktu-rzeszow,oferta,7240385</t>
  </si>
  <si>
    <t>https://www.praca.pl/kierownik-koordynator-robot-sanitarnych_2829200.html</t>
  </si>
  <si>
    <t>20.12.2019</t>
  </si>
  <si>
    <t>Specjalista ds. rozliczeń kontraktu</t>
  </si>
  <si>
    <t>https://www.praca.pl/specjalista-ds-rozliczen-kontraktu_2850065.html</t>
  </si>
  <si>
    <t>&lt;br /&gt;Wymagania:&lt;br /&gt;- wykształcenie wyższe&lt;br /&gt;- min.1 rok doświadczenia na w/w stanowisku lub podobnym&lt;br /&gt;- wysoko rozwinięte umiejętności analityczne&lt;br /&gt;- atutem będzie biegłe czytanie dokumentacji technicznej&lt;br /&gt;- umiejętność pracy w zespole i kierowania ludźmi&lt;br /&gt;- dobra znajomość pakietu MS Office&lt;br /&gt;- mile widziana znajomość j. angielskiego&lt;br /&gt;- dyscyplina i dobra organizacja pracy&lt;br /&gt;</t>
  </si>
  <si>
    <t>&lt;br /&gt;Opis stanowiska:&lt;br /&gt;- zbieranie i kompletowanie dokumentacji dotyczącej sprzedaży&lt;br /&gt;- przygotowanie kart obmiaru robót&lt;br /&gt;- nadzór nad realizacją umów podwykonawczych&lt;br /&gt;- monitorowanie i kontrola wykonanych planów, budżetów&lt;br /&gt;- rozwijanie wewnętrznych procesów i procedur zgodnie z kierunkiem całej firm, ścisła współpraca z działem budżetowania&lt;br /&gt;</t>
  </si>
  <si>
    <t>Koordynator ds. Produkcji do działów obróbki skrawaniem, procesów specjalnych (dwa wakaty)</t>
  </si>
  <si>
    <t>https://www.pracuj.pl/praca/koordynator-ds-produkcji-do-dzialow-obrobki-skrawaniem-procesow-specjalnych-dwa-tajecina-pow-rzeszowski,oferta,7242387</t>
  </si>
  <si>
    <t>https://www.pracuj.pl/praca/doradca-klienta-mielec,oferta,7242312</t>
  </si>
  <si>
    <t>NES GLOBAL TALENT SP Z O O</t>
  </si>
  <si>
    <t>http://gazetapraca.pl/ogl/2825540?utm_campaign=partner&amp;gpid=936256&amp;utm_medium=export&amp;glc_source=zielonalinia0&amp;utm_source=zielonalinia0</t>
  </si>
  <si>
    <t>Obowiązki:&lt;br /&gt;&lt;h2&gt;Zakres odpowiedzialności:&lt;br /&gt;&lt;/h2&gt;&lt;br /&gt;&lt;ul&gt;&lt;br /&gt;&lt;li&gt;Kompleksowe zarządzanie każdym z etapów realizacji inwestycji.&lt;/li&gt;&lt;br /&gt;&lt;li&gt;Udział w działalności handlowej oraz ofertowania.&lt;/li&gt;&lt;br /&gt;&lt;li&gt;Udział w tworzeniu budżetów oraz planów i harmonogramów realizacji inwestycji.&lt;/li&gt;&lt;br /&gt;&lt;li&gt;Koordynowanie pracy podwykonawców i dostawców.&lt;/li&gt;&lt;br /&gt;&lt;li&gt;Zarządzanie podległym zespołem osób na budowie.&lt;/li&gt;&lt;br /&gt;&lt;li&gt;Nadzór nad jakością i terminowością realizowanych robót zgodnie z przyjętym harmonogramem projektu i w zgodności z umowami z Zamawiającym oraz podwykonawcami i dostawcami.&lt;/li&gt;&lt;br /&gt;&lt;li&gt;Zarządzanie harmonogramem, sytuacją finansową i organizacyjną na projekcie.&lt;/li&gt;&lt;br /&gt;&lt;li&gt;Sporządzanie dokumentacji prowadzonego projektu oraz raportowanie.&lt;/li&gt;&lt;br /&gt;&lt;li&gt;Nadzór nad wykonywanymi zadaniami w ramach projektu, bezpośredni kontakt i współpraca z inwestorem.&lt;/li&gt;&lt;br /&gt;&lt;li&gt;Nadzór nad zamówieniami oraz zakupami.&lt;/li&gt;&lt;br /&gt;&lt;/ul&gt;&lt;br /&gt;&lt;h2&gt;Wymagania&lt;br /&gt;&lt;/h2&gt;&lt;br /&gt;&lt;ul&gt;&lt;br /&gt;&lt;li&gt;Wykształcenie wyższe techniczne (budownictwo).&lt;/li&gt;&lt;br /&gt;&lt;li&gt;Doświadczenie około 5 lat na podobnym stanowisku w budownictwie kubaturowym – budynki użyteczności publicznej.&lt;/li&gt;&lt;br /&gt;&lt;li&gt;Posiadanie uprawnień do kierowania robotami budowlanymi bez ograniczeń w specjalności konstrukcyjno-budowlanej.&lt;/li&gt;&lt;br /&gt;&lt;li&gt;Znajomość rynku budownictwa kubaturowego, przepisów prawa budowlanego, procedur administracyjnych.&lt;/li&gt;&lt;br /&gt;&lt;li&gt;Umiejętność zarządzania budową od fazy koncepcji po rozliczenie inwestycji.&lt;/li&gt;&lt;br /&gt;&lt;li&gt;Umiejętność zarządzania budżetami, zespołem osób.&lt;/li&gt;&lt;br /&gt;&lt;li&gt;Koncentracja na realizacji celów biznesowych.&lt;/li&gt;&lt;br /&gt;&lt;li&gt;Samodzielność, dobra organizacja pracy.&lt;/li&gt;&lt;br /&gt;&lt;li&gt;Min. komunikatywna znajomość języka angielskiego w mowie i piśmie.&lt;/li&gt;&lt;br /&gt;&lt;/ul&gt;&lt;br /&gt;&lt;h2&gt;Oferujemy&lt;br /&gt;&lt;/h2&gt;&lt;br /&gt;&lt;ul&gt;&lt;br /&gt;&lt;li&gt;Stałą pracę w dużej firmie budowlanej.&lt;/li&gt;&lt;br /&gt;&lt;li&gt;Stabilne zatrudnienie na pełen etat.&lt;/li&gt;&lt;br /&gt;&lt;li&gt;Atrakcyjne wynagrodzenie / premie.&lt;/li&gt;&lt;br /&gt;&lt;li&gt;Niezbędne narzędzia do pracy w tym samochód służbowy.&lt;/li&gt;&lt;br /&gt;&lt;li&gt;Opieka medyczna.&lt;/li&gt;&lt;br /&gt;&lt;/ul&gt;</t>
  </si>
  <si>
    <t>https://www.pracuj.pl/praca/sprzedawca-rzeszow,oferta,7240387</t>
  </si>
  <si>
    <t>Kontroler Jakości Dział Instalacji</t>
  </si>
  <si>
    <t>https://www.pracuj.pl/praca/kontroler-jakosci-dzial-instalacji-ropczyce,oferta,7235271</t>
  </si>
  <si>
    <t>Technolog ds. Planowania Produkcji</t>
  </si>
  <si>
    <t>https://www.pracuj.pl/praca/technolog-ds-planowania-produkcji-ropczyce,oferta,7235266</t>
  </si>
  <si>
    <t>nlnvestment</t>
  </si>
  <si>
    <t>Wealth Manager | Doradca Klienta Zamożnego VIP</t>
  </si>
  <si>
    <t>https://www.pracuj.pl/praca/wealth-manager-doradca-klienta-zamoznego-vip-rzeszow,oferta,7229751</t>
  </si>
  <si>
    <t>IT Engineer</t>
  </si>
  <si>
    <t>https://www.praca.pl/it-engineer_2840519.html</t>
  </si>
  <si>
    <t>&lt;br /&gt;- posiadasz doświadczenie w pracy z aplikacjami biznesowymi i systemami klasy ERP&lt;br /&gt;- możesz pochwalić się znajomością technologii do raportowania: Crystal Reports, Reporting Services oraz znajomością PHP, JavaScript&lt;br /&gt;</t>
  </si>
  <si>
    <t>&lt;br /&gt;- możesz pochwalić się znajomością relacyjnych baz danych (język SQL)&lt;br /&gt;- znasz język angielski i potrafisz się w nim swobodnie komunikować&lt;br /&gt;- cechuje Cię analityczny sposób myślenia oraz łatwość w rozwiązywaniu problemów&lt;br /&gt;- sprawnie organizujesz swój czas pracy i potrafisz grać zespołowo&lt;br /&gt;- posiadasz prawo jazdy kat. B&lt;br /&gt;</t>
  </si>
  <si>
    <t>Koordynator ds. Wycen i Ofertowania</t>
  </si>
  <si>
    <t>Rzeczoznawca majątkowy</t>
  </si>
  <si>
    <t>RPd057|244002</t>
  </si>
  <si>
    <t>https://www.praca.pl/koordynator-ds-wycen-i-ofertowania_2840543.html</t>
  </si>
  <si>
    <t>&lt;br /&gt;- jesteś osobą otwartą na ludzi i z łatwością przychodzi Ci kontakt z klientem&lt;br /&gt;- bardzo dobrze zarządzasz swoim czasem i skutecznie dążysz do realizacji wyznaczonych celów&lt;br /&gt;- zdolności analityczne to definicja Twojego stylu pracy&lt;br /&gt;- dobrze czujesz się w środowisku MS Office&lt;br /&gt;</t>
  </si>
  <si>
    <t>Mechanik maszyn i urządzeń przemysłowych</t>
  </si>
  <si>
    <t>https://www.pracuj.pl/praca/mechanik-maszyn-szklarskich-jaroslaw,oferta,7239799</t>
  </si>
  <si>
    <t>https://www.pracuj.pl/praca/ekspert-finansowy-debica-jaroslaw-przemysl-rzeszow,oferta,7225084</t>
  </si>
  <si>
    <t>Oshee Polska Sp. z o.o.</t>
  </si>
  <si>
    <t>https://www.pracuj.pl/praca/przedstawiciel-handlowy-podkarpackie,oferta,7206157</t>
  </si>
  <si>
    <t>06.12.2019</t>
  </si>
  <si>
    <t>PGNiG Obrót Detaliczny sp. z o.o.</t>
  </si>
  <si>
    <t>Konsultant ds. Obsługi Klienta (BOK Dębica)</t>
  </si>
  <si>
    <t>https://www.pracuj.pl/praca/konsultant-ds-obslugi-klienta-bok-debica-debica,oferta,7240396</t>
  </si>
  <si>
    <t>POLSKIE STOWARZYSZENIE NA RZECZ OSÓB Z NIEPEŁNOSPRAWNOŚCIĄ INTELEKTUALNĄ KOŁO W JAROSŁAWIU</t>
  </si>
  <si>
    <t>Specjalista ds. BHP i Inwestycji</t>
  </si>
  <si>
    <t>Specjalista ochrony środowiska</t>
  </si>
  <si>
    <t>https://www.pracuj.pl/praca/specjalista-ds-bhp-i-inwestycji-jaroslaw,oferta,500022686</t>
  </si>
  <si>
    <t>https://www.praca.pl/inspektor-weterynaryjny_2844389.html</t>
  </si>
  <si>
    <t>&lt;h4&gt;Wymagania niezbędne&lt;/h4&gt;wykształcenie: wyższe weterynaryjne&lt;br /&gt;doświadczenie zawodowe/staż pracy: doświadczenia zawodowego&lt;br /&gt;- znajomość zagadnień związanych z aktualnymi regulacjami prawnymi dot. inspekcji weterynaryjnej&lt;br /&gt;- prawo wykonywania zawodu lekarza weterynarii&lt;br /&gt;- praktyczna umiejętność prowadzenia samochodu (prawo jazdy kat. B)&lt;br /&gt;- umiejętność obsługi komputera, biegła znajomość pakietu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</si>
  <si>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w siedzibie urzędu oraz w terenie na obszarze powiatu.&lt;br /&gt;Narzędzia i materiały pracy - komputer i inne narzędzia biurowe (fax, skaner, kserokopiarka).&lt;br /&gt;Bariery architektoniczne - brak podjazdów.&lt;br /&gt;&lt;h4&gt;Zakres zadań&lt;/h4&gt;&lt;br /&gt;- wykonywanie zadań inspekcji weterynaryjnej w zakresie ochrony zwierząt i ochrony zdrowia zwierząt&lt;br /&gt;- sporządzanie sprawozdawczości i informacji z wykonywanych zadań&lt;br /&gt;- prowadzenie dokumentacji z wykonywanych zadań&lt;br /&gt;</t>
  </si>
  <si>
    <t>https://www.praca.pl/inspektor-weterynaryjny_2840045.html</t>
  </si>
  <si>
    <t>&lt;h4&gt;Wymagania niezbędne&lt;/h4&gt;wykształcenie: wyższe weterynaryjne lub inne pokrewne z zakresu technologii żywności oraz zootechniki&lt;br /&gt;doświadczenie zawodowe/staż pracy: doświadczenia zawodowego&lt;br /&gt;- znajomość obowiązujących przepisów weterynaryjnych;&lt;br /&gt;- umiejętność obsługi komputera (pakiet MS Office);&lt;br /&gt;- umiejętność organizacji pracy własnej i pracy w zespole;&lt;br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</si>
  <si>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urzędu.&lt;br /&gt;Praca w terenie - dojazdy samochodem służbowym.&lt;br /&gt;Praca przy komputerze i innych powszechnie stosowanych urządzeniach biurowych powyżej 4 godzin dziennie, przy oświetleniu naturalnym i sztucznym. Wyjazdy służbowe, udział w szkoleniach i konferencjach. Bezpośredni kontakt z klientem. Kontakt ze zwierzętami.&lt;br /&gt;Miejsce pracy mieści się na parterze budynku.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</si>
  <si>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Malarz Części Lotniczych</t>
  </si>
  <si>
    <t>https://www.pracuj.pl/praca/malarz-czesci-lotniczych-rzeszow,oferta,7241093</t>
  </si>
  <si>
    <t>Prefab Veranda Polska Sp. z o.o.</t>
  </si>
  <si>
    <t>IT software Project Coordinator</t>
  </si>
  <si>
    <t>https://www.pracuj.pl/praca/it-software-project-coordinator-rzeszow,oferta,500023598</t>
  </si>
  <si>
    <t>Przedsiębiorstwo Robót Inżynieryjnych i Drogowych w Krośnie S. A.</t>
  </si>
  <si>
    <t>Pracownik fizyczny – Monter sieci sanitarnych</t>
  </si>
  <si>
    <t>https://www.pracuj.pl/praca/pracownik-fizyczny-monter-sieci-sanitarnych-krosno,oferta,7241362</t>
  </si>
  <si>
    <t>https://www.praca.pl/asystent-kierownika-sklepu_2849906.html</t>
  </si>
  <si>
    <t>SERON Kołodziejczyk Sp.j.</t>
  </si>
  <si>
    <t>https://www.pracuj.pl/praca/doradca-techniczno-handlowy-stalowa-wola,oferta,7241543</t>
  </si>
  <si>
    <t>Technik elektronik - elektromonter</t>
  </si>
  <si>
    <t>https://www.pracuj.pl/praca/technik-elektronik-elektromonter-stalowa-wola,oferta,7204942</t>
  </si>
  <si>
    <t>Web Developer - WordPress Developer</t>
  </si>
  <si>
    <t>https://www.pracuj.pl/praca/web-developer-wordpress-developer-rzeszow,oferta,7241707</t>
  </si>
  <si>
    <t>Technik Chłodnictwa i Klimatyzacji</t>
  </si>
  <si>
    <t>https://www.pracuj.pl/praca/technik-chlodnictwa-i-klimatyzacji-debica,oferta,7241646</t>
  </si>
  <si>
    <t>Special Precision Solutions</t>
  </si>
  <si>
    <t>Inspektor Działu Kontroli Jakości</t>
  </si>
  <si>
    <t>https://www.pracuj.pl/praca/inspektor-dzialu-kontroli-jakosci-jasionka-pow-rzeszowski,oferta,7231340</t>
  </si>
  <si>
    <t>Kierownik Działu Kontroli Jakości</t>
  </si>
  <si>
    <t>https://www.pracuj.pl/praca/kierownik-dzialu-kontroli-jakosci-jasionka-pow-rzeszowski,oferta,7231313</t>
  </si>
  <si>
    <t>Technolog - Narzędziowiec</t>
  </si>
  <si>
    <t>https://www.pracuj.pl/praca/technolog-narzedziowiec-jasionka-pow-rzeszowski,oferta,7231362</t>
  </si>
  <si>
    <t>Technolog – Programista- Konstruktor</t>
  </si>
  <si>
    <t>https://www.pracuj.pl/praca/technolog-programista-konstruktor-jasionka-pow-rzeszowski,oferta,7231377</t>
  </si>
  <si>
    <t>https://www.pracuj.pl/praca/partner-prowadzacy-salon-prasowy-debica-jaslo,oferta,7225554</t>
  </si>
  <si>
    <t>Koordynator ds. ekspansji salonów gier na automatach</t>
  </si>
  <si>
    <t>https://www.pracuj.pl/praca/koordynator-ds-ekspansji-salonow-gier-na-automatach-rzeszow,oferta,7241515</t>
  </si>
  <si>
    <t>Kierownik Projektu ds. elektrycznych</t>
  </si>
  <si>
    <t>https://www.pracuj.pl/praca/kierownik-projektu-ds-elektrycznych-lezajsk-lancut-rzeszow-stalowa-wola-wola-dalsza-pow-lancucki,oferta,7227237</t>
  </si>
  <si>
    <t>Elektryk (m/k)</t>
  </si>
  <si>
    <t>http://gazetapraca.pl/ogl/2824619?utm_campaign=partner&amp;gpid=935116&amp;utm_medium=export&amp;glc_source=zielonalinia0&amp;utm_source=zielonalinia0</t>
  </si>
  <si>
    <t>Operator prasy (m/k)</t>
  </si>
  <si>
    <t>http://gazetapraca.pl/ogl/2824626?utm_campaign=partner&amp;gpid=935128&amp;utm_medium=export&amp;glc_source=zielonalinia0&amp;utm_source=zielonalinia0</t>
  </si>
  <si>
    <t>WORK SERVICE S.A.</t>
  </si>
  <si>
    <t>http://gazetapraca.pl/ogl/2824408?utm_campaign=partner&amp;gpid=934678&amp;utm_medium=export&amp;glc_source=zielonalinia0&amp;utm_source=zielonalinia0</t>
  </si>
  <si>
    <t>Wymagania:&lt;br /&gt;&lt;span &gt;Czego oczekujemy?&lt;div class="lista"&gt;Min. 3-letniego doświadczenia w pracy jako Agent Celny&lt;/div&gt;&lt;div class="lista"&gt;Uprawnień Agenta Celnego - wpis na listę agentów celnych&lt;/div&gt;&lt;div class="lista"&gt;Znajomości przepisów i procedur związanych z obsługą celną&lt;/div&gt;&lt;div class="lista"&gt;Prawo jazdy kat. B&lt;/div&gt;&lt;div class="lista"&gt;Komunikatywności i umiejętności pracy w zespole&lt;/div&gt;&lt;div class="lista"&gt;Dodatkowym atutem będzie znajomość języka obcego&lt;/div&gt;- Skrupulatności, cierpliwości, konsekwencji w dążeniu do celu.</t>
  </si>
  <si>
    <t>Obowiązki:&lt;br /&gt;&lt;span &gt;Zakres obowiązków:&lt;/span&gt;&lt;br /&gt;- Prawidłowe sporządzanie dokumentacji celnej&lt;br /&gt;- Dokonywanie zgłoszeń celnych&lt;br /&gt;- Organizowanie odpraw celnych w przewozie i wywozie w procedurze uproszczonej&lt;br /&gt;- Doradztwo w zakresie stosowanie procedur celnych&lt;br /&gt;- Reprezentowanie przed organami celnymi klientów firmy.</t>
  </si>
  <si>
    <t>OPERATOR MALARNI</t>
  </si>
  <si>
    <t>Pomocnik lakiernika</t>
  </si>
  <si>
    <t>RPd057|932907</t>
  </si>
  <si>
    <t>http://gazetapraca.pl/ogl/2824885?utm_campaign=partner&amp;gpid=935656&amp;utm_medium=export&amp;glc_source=zielonalinia0&amp;utm_source=zielonalinia0</t>
  </si>
  <si>
    <t>Wymagania:&lt;br /&gt;CZEGO OCZEKUJEMY:&lt;div class="lista"&gt;zaangażowanie, sprawność fizyczna&lt;/div&gt;&lt;div class="lista"&gt;dyspozycyjność i odpowiedzialność&lt;/div&gt;&lt;div class="lista"&gt;umiejętność pracy zespołowej&lt;/div&gt; - mile widziane uprawnienia do 1KWh.</t>
  </si>
  <si>
    <t>Obowiązki:&lt;br /&gt;ZAKRES OBOWIĄZKÓW:&lt;br /&gt;- przygotowanie kabiny malarskiej do pracy,&lt;br /&gt; - wymiana farby w zasobnikach,&lt;br /&gt; - sterowanie panelem obsługi,&lt;br /&gt; - malowanie detali metodą proszkową,&lt;br /&gt; - wizualna kontrola.</t>
  </si>
  <si>
    <t>POMOCNIK OPERATORA</t>
  </si>
  <si>
    <t>http://gazetapraca.pl/ogl/2824897?utm_campaign=partner&amp;gpid=935686&amp;utm_medium=export&amp;glc_source=zielonalinia0&amp;utm_source=zielonalinia0</t>
  </si>
  <si>
    <t>Wymagania:&lt;br /&gt;&lt;h2 &gt;CZEGO OCZEKUJEMY&lt;/h2&gt;&lt;div class="lista"&gt;Zaangażowanie, pracowitość&lt;/div&gt;&lt;div class="lista"&gt;Dyspozycyjność&lt;/div&gt; -Umiejętność pracy zespołowej.</t>
  </si>
  <si>
    <t>Obowiązki:&lt;br /&gt;&lt;h2 &gt;ZAKRES OBOWIĄZKÓW&lt;/h2&gt;&lt;br /&gt;-Organizacja haków i zawiesi,&lt;br /&gt; -Zawieszanie części do malowania,&lt;br /&gt; -Kontrola wizualna zawieszanych części,&lt;br /&gt; -Kontrola wizualna zdejmowanych części,&lt;br /&gt; -Odkładanie gotowych części w wyznaczone miejsce. &lt;br /&gt;</t>
  </si>
  <si>
    <t>fragm.tekstu</t>
  </si>
  <si>
    <t>OK</t>
  </si>
  <si>
    <t>liczba ofert IIp 2016</t>
  </si>
  <si>
    <t>liczba ofert Ip 2017</t>
  </si>
  <si>
    <t>liczba ofert Ip 2018</t>
  </si>
  <si>
    <t>liczba ofert IIp 2017</t>
  </si>
  <si>
    <t>liczba ofert IIp 2018</t>
  </si>
  <si>
    <t>liczba ofert II kw. 2019</t>
  </si>
  <si>
    <t>liczba ofert I kw. 2019</t>
  </si>
  <si>
    <t>liczba ofert Ip 2019</t>
  </si>
  <si>
    <t>liczba ofert III kw. 2019</t>
  </si>
  <si>
    <t>liczba ofert IV kw. 2019</t>
  </si>
  <si>
    <t>11. Liczba ofert w podziale na portale</t>
  </si>
  <si>
    <t>liczba ofert II p. 2019</t>
  </si>
  <si>
    <t>suma</t>
  </si>
  <si>
    <t>Sektory wg prowadzonej działalności</t>
  </si>
  <si>
    <t>IIp'16</t>
  </si>
  <si>
    <t>3 lata</t>
  </si>
  <si>
    <t>Ip'17</t>
  </si>
  <si>
    <t>IIp'17</t>
  </si>
  <si>
    <t>Ip'18</t>
  </si>
  <si>
    <t>IIp'18</t>
  </si>
  <si>
    <t>Ikw'19</t>
  </si>
  <si>
    <t>IIkw'19</t>
  </si>
  <si>
    <t>Ip'19</t>
  </si>
  <si>
    <t>IIIkw'19</t>
  </si>
  <si>
    <t>IVkw'19</t>
  </si>
  <si>
    <t>IIp'19</t>
  </si>
  <si>
    <t>lokata</t>
  </si>
  <si>
    <t>sort 2017-2019</t>
  </si>
  <si>
    <t>nazwa</t>
  </si>
  <si>
    <t>liczba</t>
  </si>
  <si>
    <t>w proc.</t>
  </si>
  <si>
    <t>razem</t>
  </si>
  <si>
    <t>W Viatorze :</t>
  </si>
  <si>
    <t>ABUS Crane Systems Polska Sp. z o.o.</t>
  </si>
  <si>
    <t>Serwisant urządzeń dźwignicowych</t>
  </si>
  <si>
    <t>19.02.2020</t>
  </si>
  <si>
    <t>26.02.2020</t>
  </si>
  <si>
    <t>https://www.pracuj.pl/praca/serwisant-urzadzen-dzwignicowych-rzeszow-stalowa-wola,oferta,7397062</t>
  </si>
  <si>
    <t>25.02.2020</t>
  </si>
  <si>
    <t>Polska, podkarpackie, Jasło, Dębica</t>
  </si>
  <si>
    <t>https://www.praca.pl/doradca-klienta_3031205.html</t>
  </si>
  <si>
    <t>https://www.pracuj.pl/praca/doradca-klienta-jaroslaw-jaslo-krosno-lezajsk-lubaczow-nisko-sanok-tarnobrzeg,oferta,7396243</t>
  </si>
  <si>
    <t>Bankier ds. Sprzedaży Telefonicznej</t>
  </si>
  <si>
    <t>https://www.pracuj.pl/praca/bankier-ds-sprzedazy-telefonicznej-rzeszow,oferta,7388259</t>
  </si>
  <si>
    <t>https://www.pracuj.pl/praca/kierownik-projektu-podkarpackie,oferta,7396197</t>
  </si>
  <si>
    <t>http://gazetapraca.pl/ogl/2829363?utm_campaign=partner&amp;gpid=959248&amp;utm_medium=export&amp;glc_source=zielonalinia0&amp;utm_source=zielonalinia0</t>
  </si>
  <si>
    <t>Młodszy Administrator Aplikacji</t>
  </si>
  <si>
    <t>https://www.pracuj.pl/praca/mlodszy-administrator-aplikacji-rzeszow,oferta,7396663</t>
  </si>
  <si>
    <t>ASTEK Polska</t>
  </si>
  <si>
    <t>Polska, podkarpackie, Rzeszów, Przemyśl, Stalowa Wola, Mielec, Tarnobrzeg, Krosno, Dębica, Jarosław, Sanok, Jasło, Łańcut, Przeworsk, Ropczyce, Nisko, Leżajsk, Lubaczów, Nowa Dęba, Ustrzyki Dolne, Kolbuszowa, Strzyżów, Brzozów, Sędziszów Małopolski, Jedlicze, Lesko</t>
  </si>
  <si>
    <t>https://www.praca.pl/java-developer_3167279.html</t>
  </si>
  <si>
    <t>Bank Polskiej Spółdzielczości S.A.</t>
  </si>
  <si>
    <t>https://www.pracuj.pl/praca/doradca-klienta-biznesowego-rzeszow,oferta,7394710</t>
  </si>
  <si>
    <t>Biuro Sprzedaży</t>
  </si>
  <si>
    <t>Kierownik Zespołu w Biurze Sprzedaży</t>
  </si>
  <si>
    <t>Polska, podkarpackie, Rzeszów, Dębica, Mielec, Stalowa Wola, Jarosław, Przemyśl</t>
  </si>
  <si>
    <t>https://www.praca.pl/kierownik-zespolu-w-biurze-sprzedazy_3130652.html</t>
  </si>
  <si>
    <t>BorgWarner Poland Sp. z o.o. – Centrum Techniczne</t>
  </si>
  <si>
    <t>NVH Engineer - Turbo Systems R&amp;D</t>
  </si>
  <si>
    <t>https://www.pracuj.pl/praca/nvh-engineer-turbo-systems-r-d-rzeszow,oferta,7397076</t>
  </si>
  <si>
    <t>https://www.pracuj.pl/praca/konstruktor-przeworsk,oferta,7397054</t>
  </si>
  <si>
    <t>https://www.pracuj.pl/praca/przedstawiciel-handlowy-rzeszow-okolice,oferta,7394743</t>
  </si>
  <si>
    <t>https://www.pracuj.pl/praca/magazynier-rzeszow-rogoznica-pow-rzeszowski,oferta,7397072</t>
  </si>
  <si>
    <t>Connectis_</t>
  </si>
  <si>
    <t>Analityk systemowo-biznesowy</t>
  </si>
  <si>
    <t>https://www.pracuj.pl/praca/analityk-systemowo-biznesowy-rzeszow,oferta,7396370</t>
  </si>
  <si>
    <t>CONTROL PROCESS S.A.</t>
  </si>
  <si>
    <t>Kierownik budowy \ Kierownik robót</t>
  </si>
  <si>
    <t>https://www.praca.pl/kierownik-budowy-kierownik-robot_3108428.html</t>
  </si>
  <si>
    <t>DoDidDone Sp. z o.o. Sp. k.</t>
  </si>
  <si>
    <t>Promotor - Dedykowany sprzedawca</t>
  </si>
  <si>
    <t>https://www.pracuj.pl/praca/promotor-dedykowany-sprzedawca-rzeszow,oferta,7397239</t>
  </si>
  <si>
    <t>https://www.praca.pl/account-manager_3167447.html</t>
  </si>
  <si>
    <t>DZIKIPIES.PL SPÓŁKA Z OGRANICZONĄ ODPOWIEDZIALNOŚCIĄ</t>
  </si>
  <si>
    <t>Właściciel wyspy handlowej - Franczyzobiorca</t>
  </si>
  <si>
    <t>https://www.pracuj.pl/praca/wlasciciel-wyspy-handlowej-franczyzobiorca-brzozow-debica-jaroslaw-jaslo-kolbuszowa-krosno-lesko-lezajsk-lubaczow-lancut-mielec-nisko-przemysl-przeworsk-ropczyce,oferta,7374726</t>
  </si>
  <si>
    <t>Eko-Sanit Sp. z o.o. Sp.k.</t>
  </si>
  <si>
    <t>Pomocnik Serwisanta Instalacji Klimatyzacyjnych</t>
  </si>
  <si>
    <t>https://www.pracuj.pl/praca/pomocnik-serwisanta-instalacji-klimatyzacyjnych-rzeszow,oferta,7396268</t>
  </si>
  <si>
    <t>Serwisant instalacji klimatyzacyjnych</t>
  </si>
  <si>
    <t>https://www.pracuj.pl/praca/serwisant-instalacji-klimatyzacyjnych-rzeszow,oferta,7396264</t>
  </si>
  <si>
    <t>Grupa Wanicki</t>
  </si>
  <si>
    <t>Mechanik/Elektromechanik autobusów</t>
  </si>
  <si>
    <t>Polska, podkarpackie, Trzciana</t>
  </si>
  <si>
    <t>http://gazetapraca.pl/ogl/2828199?utm_campaign=partner&amp;gpid=955870&amp;utm_medium=export&amp;glc_source=zielonalinia0&amp;utm_source=zielonalinia0</t>
  </si>
  <si>
    <t>Helix Solutions Sp. z o.o.</t>
  </si>
  <si>
    <t>Specjalista ds. VBA</t>
  </si>
  <si>
    <t>http://gazetapraca.pl/ogl/2829464?utm_campaign=partner&amp;gpid=959478&amp;utm_medium=export&amp;glc_source=zielonalinia0&amp;utm_source=zielonalinia0</t>
  </si>
  <si>
    <t>HYDROPURE POLSKA Sp. z o.o.</t>
  </si>
  <si>
    <t>Monter budownictwa wodnego*</t>
  </si>
  <si>
    <t>https://www.praca.pl/serwisant_3167801.html</t>
  </si>
  <si>
    <t>RPd057|711701</t>
  </si>
  <si>
    <t>DevOps - Linux Administrator</t>
  </si>
  <si>
    <t>https://www.pracuj.pl/praca/devops-linux-administrator-rzeszow,oferta,7395225</t>
  </si>
  <si>
    <t>Operacyjny Program Menedżerski (Operations Management Trainee Programme)</t>
  </si>
  <si>
    <t>Polska, podkarpackie, Przemyśl, Rzeszów</t>
  </si>
  <si>
    <t>https://www.praca.pl/operacyjny-program-menedzerski-operations-management-trainee-programme_3154715.html</t>
  </si>
  <si>
    <t>https://www.pracuj.pl/praca/sprzedawca-kasjer-lubaczow,oferta,7377715</t>
  </si>
  <si>
    <t>Klient Pracuj.pl</t>
  </si>
  <si>
    <t>Kierownik ds. Sieci Aptecznych</t>
  </si>
  <si>
    <t>https://www.pracuj.pl/praca/kierownik-ds-sieci-aptecznych-rzeszow,oferta,7385946</t>
  </si>
  <si>
    <t>Kontroler jakości dostaw</t>
  </si>
  <si>
    <t>https://www.pracuj.pl/praca/kontroler-jakosci-dostaw-mielec,oferta,7363281</t>
  </si>
  <si>
    <t>Z-ca Głównej Księgowej</t>
  </si>
  <si>
    <t>https://www.pracuj.pl/praca/z-ca-glownej-ksiegowej-mielec,oferta,7395069</t>
  </si>
  <si>
    <t>LIUGONG DRESSTA MACHINERY SP. Z O.O.</t>
  </si>
  <si>
    <t>Młodszy Inżynier Serwisu</t>
  </si>
  <si>
    <t>https://www.praca.pl/mlodszy-inzynier-serwisu_3161114.html</t>
  </si>
  <si>
    <t>Pracownik produkcji! TYLKO WEEKENDY!</t>
  </si>
  <si>
    <t>https://gratka.pl/praca/pracownik-produkcji-tylko-weekendy/ob/15217066?utm_source=zielonalinia.pl&amp;utm_medium=zielonalinia&amp;utm_campaign=export_xml</t>
  </si>
  <si>
    <t>https://gratka.pl/praca/pracownik-produkcji-tylko-weekendy/ob/15217064?utm_source=zielonalinia.pl&amp;utm_medium=zielonalinia&amp;utm_campaign=export_xml</t>
  </si>
  <si>
    <t>Kierownik Sali Sprzedaży</t>
  </si>
  <si>
    <t>https://www.pracuj.pl/praca/kierownik-sali-sprzedazy-debica,oferta,7377496</t>
  </si>
  <si>
    <t>Recepcjonista Stomatologiczny / Recepcjonistka Stomatologiczna</t>
  </si>
  <si>
    <t>https://www.praca.pl/recepcjonista-stomatologiczny-recepcjonistka-stomatologiczna_3160250.html</t>
  </si>
  <si>
    <t>Technik RTG - Elektroradiolog</t>
  </si>
  <si>
    <t>https://www.praca.pl/technik-rtg-elektroradiolog_3160013.html</t>
  </si>
  <si>
    <t>Konstruktor - Elektryk</t>
  </si>
  <si>
    <t>https://www.pracuj.pl/praca/konstruktor-elektryk-mielec,oferta,7394209</t>
  </si>
  <si>
    <t>https://www.pracuj.pl/praca/operator-palownic-rzeszow,oferta,7396324</t>
  </si>
  <si>
    <t>https://www.pracuj.pl/praca/operator-pompy-do-betonu-rzeszow,oferta,7396341</t>
  </si>
  <si>
    <t>Pracownik w Dziale Marketingu ds. Reklamy</t>
  </si>
  <si>
    <t>Specjalista do spraw reklamy</t>
  </si>
  <si>
    <t>https://www.praca.pl/pracownik-w-dziale-marketingu-ds-reklamy_3159875.html</t>
  </si>
  <si>
    <t>RPd057|243107</t>
  </si>
  <si>
    <t>Zastępca Kierownika Marketu</t>
  </si>
  <si>
    <t>https://www.praca.pl/zastepca-kierownika-marketu_3091682.html</t>
  </si>
  <si>
    <t>https://www.praca.pl/zastepca-kierownika-marketu_3091685.html</t>
  </si>
  <si>
    <t>Mindbox S.A.</t>
  </si>
  <si>
    <t>https://www.pracuj.pl/praca/java-developer-rzeszow,oferta,7377863</t>
  </si>
  <si>
    <t>Specjalista ds. Sprzedaży Ubezpieczeń Grupowych</t>
  </si>
  <si>
    <t>https://www.praca.pl/specjalista-ds-sprzedazy-ubezpieczen-grupowych_3135803.html</t>
  </si>
  <si>
    <t>https://www.praca.pl/specjalista-ds-sprzedazy-ubezpieczen-grupowych_3135806.html</t>
  </si>
  <si>
    <t>NEPCon Sp. z o.o.</t>
  </si>
  <si>
    <t>Customer Relation Specialist</t>
  </si>
  <si>
    <t>https://www.pracuj.pl/praca/customer-relation-specialist-krosno-przemysl-rzeszow-tarnobrzeg,oferta,7366264</t>
  </si>
  <si>
    <t>Kierownik Laboratorium</t>
  </si>
  <si>
    <t>Kierownik działu badawczo-rozwojowego</t>
  </si>
  <si>
    <t>https://www.praca.pl/kierownik-laboratorium_3165626.html</t>
  </si>
  <si>
    <t>RPd057|122302</t>
  </si>
  <si>
    <t>Panasonic Marketing Europe GmbH</t>
  </si>
  <si>
    <t>Sales Engineer CAC - Area Manager CAC w dziale Heating and Cooling Solutions</t>
  </si>
  <si>
    <t>https://www.pracuj.pl/praca/sales-engineer-cac-area-manager-cac-w-dziale-heating-and-cooling-solutions-rzeszow,oferta,7366521</t>
  </si>
  <si>
    <t>Development Manager</t>
  </si>
  <si>
    <t>Kierownik rozwoju technologii informatycznych</t>
  </si>
  <si>
    <t>https://www.pracuj.pl/praca/development-manager-rzeszow,oferta,7375546</t>
  </si>
  <si>
    <t>RPd057|133005</t>
  </si>
  <si>
    <t>https://www.pracuj.pl/praca/specjalista-ds-automatyzacji-testow-oprogramowania-rzeszow,oferta,7369304</t>
  </si>
  <si>
    <t>Polimex Mostostal S.A.</t>
  </si>
  <si>
    <t>Specjalista ds. ofertowania</t>
  </si>
  <si>
    <t>https://www.praca.pl/specjalista-ds-ofertowania_3167756.html</t>
  </si>
  <si>
    <t>POLPHARMA</t>
  </si>
  <si>
    <t>Młodszy Specjalista ds. Inżynierii Produkcji</t>
  </si>
  <si>
    <t>http://gazetapraca.pl/ogl/2829270?utm_campaign=partner&amp;gpid=958996&amp;utm_medium=export&amp;glc_source=zielonalinia0&amp;utm_source=zielonalinia0</t>
  </si>
  <si>
    <t>Młodszy Specjalista ds. Zapewnienia Jakości</t>
  </si>
  <si>
    <t>http://gazetapraca.pl/ogl/2829269?utm_campaign=partner&amp;gpid=958994&amp;utm_medium=export&amp;glc_source=zielonalinia0&amp;utm_source=zielonalinia0</t>
  </si>
  <si>
    <t>https://www.praca.pl/mlodszy-specjalista-ds-zapewnienia-jakosci_3144221.html</t>
  </si>
  <si>
    <t>POLSKIE ePŁATNOŚCI S.A.</t>
  </si>
  <si>
    <t>Specjalista w Centrum Obsługi Akceptanta</t>
  </si>
  <si>
    <t>https://www.pracuj.pl/praca/specjalista-w-centrum-obslugi-akceptanta-rzeszow,oferta,7367666</t>
  </si>
  <si>
    <t>Pracownicy Budowlani</t>
  </si>
  <si>
    <t>https://www.pracuj.pl/praca/majster-budowy-podkarpackie,oferta,7395458</t>
  </si>
  <si>
    <t>Administrator ds. obsługi klienta</t>
  </si>
  <si>
    <t>https://www.pracuj.pl/praca/administrator-ds-obslugi-klienta-rzeszow,oferta,7395731</t>
  </si>
  <si>
    <t>Główna Księgowa/Główny Księgowy</t>
  </si>
  <si>
    <t>https://www.pracuj.pl/praca/glowna-ksiegowa-glowny-ksiegowy-lancut-rzeszow-okolice,oferta,7382029</t>
  </si>
  <si>
    <t>Specjalista ds. Google ADS</t>
  </si>
  <si>
    <t>https://www.pracuj.pl/praca/specjalista-ds-google-ads-rzeszow,oferta,7393637</t>
  </si>
  <si>
    <t>https://www.pracuj.pl/praca/doradca-klienta-sanok-stalowa-wola,oferta,7390964</t>
  </si>
  <si>
    <t>IT SAP Specialist</t>
  </si>
  <si>
    <t>https://www.pracuj.pl/praca/it-sap-specialist-sedziszow-malopolski,oferta,7388545</t>
  </si>
  <si>
    <t>Dekarz - Szwajcaria</t>
  </si>
  <si>
    <t>Polska, podkarpackie, różne lokalizacje na terenie Szwajcarii</t>
  </si>
  <si>
    <t>http://gazetapraca.pl/ogl/2828076?utm_campaign=partner&amp;gpid=955524&amp;utm_medium=export&amp;glc_source=zielonalinia0&amp;utm_source=zielonalinia0</t>
  </si>
  <si>
    <t>Smart Cargo Solutions Sp. z o.o.</t>
  </si>
  <si>
    <t>Sales Executive</t>
  </si>
  <si>
    <t>https://www.pracuj.pl/praca/sales-executive-rzeszow,oferta,7396624</t>
  </si>
  <si>
    <t>https://www.praca.pl/starszy-opiekun-finansowy_3144143.html</t>
  </si>
  <si>
    <t>https://www.praca.pl/starszy-opiekun-finansowy_3144158.html</t>
  </si>
  <si>
    <t>VERTI SPÓŁKA Z OGRANICZONĄ ODPOWIEDZIALNOŚCIĄ SPÓŁKA KOMANDYTOWA</t>
  </si>
  <si>
    <t>Kierownik Recepcji w salonie Masażu Tajskiego</t>
  </si>
  <si>
    <t>https://www.pracuj.pl/praca/kierownik-recepcji-w-salonie-masazu-tajskiego-rzeszow,oferta,7393032</t>
  </si>
  <si>
    <t>VOSTER Spółka z Ograniczoną Odpowiedzialnością sp. k.</t>
  </si>
  <si>
    <t>Wdrożeniowiec - specjalista ds. baz danych</t>
  </si>
  <si>
    <t>https://www.pracuj.pl/praca/wdrozeniowiec-specjalista-ds-baz-danych-stalowa-wola-zarzecze-pow-nizanski,oferta,7393709</t>
  </si>
  <si>
    <t>WALMAR Mariusz Grymuza</t>
  </si>
  <si>
    <t>Inżynier robót sanitarnych</t>
  </si>
  <si>
    <t>https://www.pracuj.pl/praca/inzynier-robot-sanitarnych-rzeszow,oferta,7396254</t>
  </si>
  <si>
    <t>WJ GROUNDWATER sp. z o.o.</t>
  </si>
  <si>
    <t>Monter Wod-Kan</t>
  </si>
  <si>
    <t>Monter sieci wodnych i kanalizacyjnych</t>
  </si>
  <si>
    <t>https://www.pracuj.pl/praca/monter-wod-kan-rzeszow,oferta,500028130</t>
  </si>
  <si>
    <t>RPd057|712612</t>
  </si>
  <si>
    <t>Wojewódzki Inspektorat Ochrony Środowiska w Rzeszowie</t>
  </si>
  <si>
    <t>Inspektor ochrony środowiska</t>
  </si>
  <si>
    <t>https://www.praca.pl/starszy-inspektor_3164837.html</t>
  </si>
  <si>
    <t>RPd057|325504</t>
  </si>
  <si>
    <t>https://www.praca.pl/starszy-inspektor_3164843.html</t>
  </si>
  <si>
    <t>WW WANICKI Sp. z o. o.</t>
  </si>
  <si>
    <t>Doradca Serwisu/Specjalista ds. Sprzedaży części IRIZAR</t>
  </si>
  <si>
    <t>http://gazetapraca.pl/ogl/2828193?utm_campaign=partner&amp;gpid=955838&amp;utm_medium=export&amp;glc_source=zielonalinia0&amp;utm_source=zielonalinia0</t>
  </si>
  <si>
    <t>Zakład Przetwórstwa Mięsnego Drozd</t>
  </si>
  <si>
    <t>https://www.pracuj.pl/praca/przedstawiciel-handlowy-podkarpackie,oferta,7394291</t>
  </si>
  <si>
    <t>12.02.2020</t>
  </si>
  <si>
    <t>17.02.2020</t>
  </si>
  <si>
    <t>Polska, podkarpackie, Ustrzyki Dolne, Brzozów, Dębica, Jarosław, Jasło, Kolbuszowa, Krosno, Lesko, Leżajsk, Lubaczów, Łańcut, Mielec, Nisko, Przemyśl, Przeworsk, Ropczyce, Rzeszów, Sanok, Stalowa Wola, Strzyżów, Tarnobrzeg</t>
  </si>
  <si>
    <t>https://www.praca.pl/devops-engineer_3122906.html</t>
  </si>
  <si>
    <t>https://www.praca.pl/doradca-klienta_3116384.html</t>
  </si>
  <si>
    <t>Dyrektor placówki żłobkowo - przedszkolnej</t>
  </si>
  <si>
    <t>Kierownik żłobka / klubu dziecięcego</t>
  </si>
  <si>
    <t>https://www.praca.pl/dyrektor-placowki-zlobkowo-przedszkolnej_3124277.html</t>
  </si>
  <si>
    <t>RPd057|134104</t>
  </si>
  <si>
    <t>https://www.praca.pl/doradca-klienta-indywidualnego_3065987.html</t>
  </si>
  <si>
    <t>Solartime</t>
  </si>
  <si>
    <t>Reprezentant Handlowy</t>
  </si>
  <si>
    <t>Polska, podkarpackie, Rzeszów, Przemyśl, Dębica, Tarnobrzeg, Stalowa Wola, Jarosław, Lubaczów</t>
  </si>
  <si>
    <t>https://www.praca.pl/reprezentant-handlowy_3129632.html</t>
  </si>
  <si>
    <t>VIA ASSEMBLY Sp. z o.o.</t>
  </si>
  <si>
    <t>Koordynator Budowy</t>
  </si>
  <si>
    <t>https://www.praca.pl/koordynator-budowy_3065363.html</t>
  </si>
  <si>
    <t>VRG S.A.</t>
  </si>
  <si>
    <t>Sprzedawca - Doradca Klienta Vistula</t>
  </si>
  <si>
    <t>Polska, podkarpackie, Rzeszów - CH Millenium Hall</t>
  </si>
  <si>
    <t>https://www.praca.pl/sprzedawca-doradca-klienta-vistula_3122270.html</t>
  </si>
  <si>
    <t>Wojewódzki Inspektorat Jakości Handlowej Artykułów Rolno-Spożywczych w Rzeszowie</t>
  </si>
  <si>
    <t>https://www.praca.pl/glowny-ksiegowy_3128288.html</t>
  </si>
  <si>
    <t>Kierownik w Salonie PLAY</t>
  </si>
  <si>
    <t>05.02.2020</t>
  </si>
  <si>
    <t>13.02.2020</t>
  </si>
  <si>
    <t>https://www.pracuj.pl/praca/kierownik-w-salonie-play-rzeszow,oferta,7329852</t>
  </si>
  <si>
    <t>Dyrektor Salonu</t>
  </si>
  <si>
    <t>https://www.pracuj.pl/praca/dyrektor-salonu-stalowa-wola,oferta,7316581</t>
  </si>
  <si>
    <t>11.02.2020</t>
  </si>
  <si>
    <t>https://www.pracuj.pl/praca/magazynier-debica,oferta,7331581</t>
  </si>
  <si>
    <t>Amlux</t>
  </si>
  <si>
    <t>https://www.pracuj.pl/praca/przedstawiciel-handlowy-rzeszow,oferta,7331839</t>
  </si>
  <si>
    <t>https://www.praca.pl/kierownik-obiektu-k-m_3030083.html</t>
  </si>
  <si>
    <t>ARRA GROUP SP. Z O.O. SP. K.</t>
  </si>
  <si>
    <t>Kierowca kat. B w transporcie krajowym</t>
  </si>
  <si>
    <t>https://www.pracuj.pl/praca/kierowca-kat-b-w-transporcie-krajowym-krosno-przemysl-rzeszow,oferta,7331929</t>
  </si>
  <si>
    <t>Kierowca kat. B w transporcie międzynarodowym</t>
  </si>
  <si>
    <t>https://www.pracuj.pl/praca/kierowca-kat-b-w-transporcie-miedzynarodowym-krosno-przemysl-rzeszow,oferta,7331969</t>
  </si>
  <si>
    <t>ATENEUM sp. z o.o. SPÓŁKA KOMANDYTOWA</t>
  </si>
  <si>
    <t>Doradca ds. kluczowych Klientów</t>
  </si>
  <si>
    <t>https://www.pracuj.pl/praca/doradca-ds-kluczowych-klientow-podkarpackie,oferta,500027444</t>
  </si>
  <si>
    <t>Auto Partner S.A.</t>
  </si>
  <si>
    <t>Specjalista ds. współpracy z warsztatami</t>
  </si>
  <si>
    <t>14.02.2020</t>
  </si>
  <si>
    <t>https://www.pracuj.pl/praca/specjalista-ds-wspolpracy-z-warsztatami-podkarpackie,oferta,7338924</t>
  </si>
  <si>
    <t>Kierownik zespołu Automatyków</t>
  </si>
  <si>
    <t>https://www.pracuj.pl/praca/kierownik-zespolu-automatykow-mielec-okolice,oferta,7334590</t>
  </si>
  <si>
    <t>Banking Champions</t>
  </si>
  <si>
    <t>https://www.pracuj.pl/praca/banking-champions-rzeszow,oferta,7363404</t>
  </si>
  <si>
    <t>BF PRO Fitness sp. z o.o. sp.k.</t>
  </si>
  <si>
    <t>https://www.pracuj.pl/praca/przedstawiciel-handlowy-przeworsk,oferta,7362746</t>
  </si>
  <si>
    <t>Doradca Klienta Premium</t>
  </si>
  <si>
    <t>https://www.pracuj.pl/praca/doradca-klienta-premium-krosno,oferta,7351806</t>
  </si>
  <si>
    <t>Operator Produkcji - Wydział Obróbki</t>
  </si>
  <si>
    <t>https://www.pracuj.pl/praca/operator-produkcji-wydzial-obrobki-jasionka-pow-rzeszowski,oferta,7364682</t>
  </si>
  <si>
    <t>Stażysta/ka w Sekcji Laboratorium R&amp;D</t>
  </si>
  <si>
    <t>https://www.pracuj.pl/praca/stazysta-ka-w-sekcji-laboratorium-r-d-rzeszow,oferta,7364644</t>
  </si>
  <si>
    <t>Cell-Fast Sp. z o.o.</t>
  </si>
  <si>
    <t>Kierownik ds. Sprzedaży</t>
  </si>
  <si>
    <t>https://www.pracuj.pl/praca/kierownik-ds-sprzedazy-krosno,oferta,7333590</t>
  </si>
  <si>
    <t>CERATEC</t>
  </si>
  <si>
    <t>Doradca Techniczno-Handlowy</t>
  </si>
  <si>
    <t>Polska, podkarpackie, Tuszyma (pow. mielecki)</t>
  </si>
  <si>
    <t>https://www.pracuj.pl/praca/doradca-techniczno-handlowy-tuszyma-pow-mielecki,oferta,7333139</t>
  </si>
  <si>
    <t>Comperia.pl S.A.</t>
  </si>
  <si>
    <t>Regionalny Kierownik ds. sprzedaży ubezpieczeń</t>
  </si>
  <si>
    <t>https://www.pracuj.pl/praca/regionalny-kierownik-ds-sprzedazy-ubezpieczen-rzeszow,oferta,7365534</t>
  </si>
  <si>
    <t>CWK Operator Sp. z o.o.</t>
  </si>
  <si>
    <t>Specjalista ds. marketingu i public relations</t>
  </si>
  <si>
    <t>https://www.pracuj.pl/praca/specjalista-ds-marketingu-i-public-relations-rzeszow-okolice-jasionka-pow-rzeszowski,oferta,7332774</t>
  </si>
  <si>
    <t>CYFROWA FOTO Sp. z o.o.</t>
  </si>
  <si>
    <t>Drupal Developer</t>
  </si>
  <si>
    <t>Polska, podkarpackie, Zaczernie k. Rzeszowa</t>
  </si>
  <si>
    <t>https://www.praca.pl/drupal-developer_3092387.html</t>
  </si>
  <si>
    <t>Mid / Senior C# Developer</t>
  </si>
  <si>
    <t>https://www.praca.pl/mid-senior-c-developer_3092306.html</t>
  </si>
  <si>
    <t>Mid PHP Developer</t>
  </si>
  <si>
    <t>https://www.praca.pl/mid-php-developer_3092360.html</t>
  </si>
  <si>
    <t>Senior Project Manager / Program Manager</t>
  </si>
  <si>
    <t>https://www.praca.pl/senior-project-manager-program-manager_3092378.html</t>
  </si>
  <si>
    <t>Web Developer</t>
  </si>
  <si>
    <t>https://www.praca.pl/web-developer_3092396.html</t>
  </si>
  <si>
    <t>Cyfrowa Foto Sp. z.o.o.</t>
  </si>
  <si>
    <t>Analityk systemów IT</t>
  </si>
  <si>
    <t>Analityk systemów teleinformatycznych</t>
  </si>
  <si>
    <t>https://www.pracuj.pl/praca/analityk-systemow-it-rzeszow-okolice-zaczernie-pow-rzeszowski,oferta,7329029</t>
  </si>
  <si>
    <t>RPd057|251101</t>
  </si>
  <si>
    <t>Head of Marketing Operations</t>
  </si>
  <si>
    <t>https://www.pracuj.pl/praca/head-of-marketing-operations-rzeszow,oferta,7334477</t>
  </si>
  <si>
    <t>Senior Android Developer</t>
  </si>
  <si>
    <t>https://www.pracuj.pl/praca/senior-android-developer-zaczernie-pow-rzeszowski,oferta,7328938</t>
  </si>
  <si>
    <t>Senior iOS/Swift Developer</t>
  </si>
  <si>
    <t>https://www.pracuj.pl/praca/senior-ios-swift-developer-zaczernie-pow-rzeszowski,oferta,7328959</t>
  </si>
  <si>
    <t>Specjalista Fb Ads</t>
  </si>
  <si>
    <t>https://www.pracuj.pl/praca/specjalista-fb-ads-rzeszow-okolice-zaczernie-pow-rzeszowski,oferta,7325648</t>
  </si>
  <si>
    <t>DeMi Poland Sp. z o.o. Sp. k.</t>
  </si>
  <si>
    <t>https://www.pracuj.pl/praca/customer-service-representative-with-english-debica,oferta,7364276</t>
  </si>
  <si>
    <t>eService Sp. z o.o</t>
  </si>
  <si>
    <t>Regionalny Przedstawiciel handlowy</t>
  </si>
  <si>
    <t>Polska, podkarpackie, Dębica, Rzeszów</t>
  </si>
  <si>
    <t>https://www.praca.pl/regionalny-przedstawiciel-handlowy_3033611.html</t>
  </si>
  <si>
    <t>https://www.pracuj.pl/praca/regionalny-przedstawiciel-handlowy-debica-rzeszow,oferta,7315158</t>
  </si>
  <si>
    <t>Extrego S.A.</t>
  </si>
  <si>
    <t>Dyspozytor w Transporcie  Międzynarodowym Drogą Lądową</t>
  </si>
  <si>
    <t>https://www.pracuj.pl/praca/dyspozytor-w-transporcie-miedzynarodowym-droga-ladowa-rzeszow-swilcza-pow-rzeszowski,oferta,7365887</t>
  </si>
  <si>
    <t>Spedytor w Transporcie  Międzynarodowym Drogą Lądową</t>
  </si>
  <si>
    <t>https://www.pracuj.pl/praca/spedytor-w-transporcie-miedzynarodowym-droga-ladowa-rzeszow-swilcza-pow-rzeszowski,oferta,7365876</t>
  </si>
  <si>
    <t>Fin Sp. z o.o.</t>
  </si>
  <si>
    <t>Kontroler Jakości</t>
  </si>
  <si>
    <t>https://www.pracuj.pl/praca/kontroler-jakosci-kolbuszowa,oferta,7324042</t>
  </si>
  <si>
    <t>https://www.pracuj.pl/praca/operator-cnc-kolbuszowa,oferta,7324032</t>
  </si>
  <si>
    <t>https://www.pracuj.pl/praca/kontroler-jakosci-mielec,oferta,7318561</t>
  </si>
  <si>
    <t>https://www.pracuj.pl/praca/specjalista-ds-hr-partynia-pow-mielecki,oferta,7325676</t>
  </si>
  <si>
    <t>https://www.pracuj.pl/praca/specjalista-ds-obslugi-zamowien-radomysl-wielki-partynia-pow-mielecki,oferta,7325674</t>
  </si>
  <si>
    <t>Polska, podkarpackie, Białystok</t>
  </si>
  <si>
    <t>https://www.pracuj.pl/praca/node-js-developer-bialystok,oferta,7337378</t>
  </si>
  <si>
    <t>Grupa Eurocash - Faktoria Win</t>
  </si>
  <si>
    <t>Przedstawiciel Handlowy -  Faktoria Win</t>
  </si>
  <si>
    <t>https://www.pracuj.pl/praca/przedstawiciel-handlowy-faktoria-win-nisko,oferta,7363215</t>
  </si>
  <si>
    <t>Grupa "LEW" S.A.</t>
  </si>
  <si>
    <t>Przedstawiciel Handlowy ds. Rynku Biznesowego</t>
  </si>
  <si>
    <t>https://www.pracuj.pl/praca/przedstawiciel-handlowy-ds-rynku-biznesowego-rzeszow,oferta,7325449</t>
  </si>
  <si>
    <t>GRUPA MAROX</t>
  </si>
  <si>
    <t>https://www.pracuj.pl/praca/przedstawiciel-handlowy-rzeszow,oferta,7330554</t>
  </si>
  <si>
    <t>GRUPA MPD SPÓŁKA Z OGRANICZONĄ ODPOWIEDZIALNOŚCIĄ</t>
  </si>
  <si>
    <t>https://www.pracuj.pl/praca/logopeda-jaslo-ropczyce-rzeszow,oferta,7363476</t>
  </si>
  <si>
    <t>Pedagog/Pedagog Specjalny</t>
  </si>
  <si>
    <t>Pedagog specjalny</t>
  </si>
  <si>
    <t>https://www.pracuj.pl/praca/pedagog-pedagog-specjalny-jaslo-ropczyce-rzeszow,oferta,7364787</t>
  </si>
  <si>
    <t>RPd057|235919</t>
  </si>
  <si>
    <t>https://www.pracuj.pl/praca/psycholog-jaslo-ropczyce-rzeszow,oferta,7363471</t>
  </si>
  <si>
    <t>https://www.pracuj.pl/praca/doradca-ds-nieruchomosci-rzeszow,oferta,7331615</t>
  </si>
  <si>
    <t>https://www.pracuj.pl/praca/inzynier-procesu-debica-mielec-ropczyce-sedziszow-malopolski-zawada-pow-debicki,oferta,7339300</t>
  </si>
  <si>
    <t>IDEA PUZZEL CATERING sp. z o.o.</t>
  </si>
  <si>
    <t>https://www.pracuj.pl/praca/szef-kuchni-tarnobrzeg,oferta,500026838</t>
  </si>
  <si>
    <t>Specjalista ds. eksploatacji, serwisowania i wdrożeń systemów informatycznych</t>
  </si>
  <si>
    <t>https://www.pracuj.pl/praca/specjalista-ds-eksploatacji-serwisowania-i-wdrozen-systemow-informatycznych-sedziszow-malopolski,oferta,7361741</t>
  </si>
  <si>
    <t>Specjalista ds. Social Media i Content Marketingu</t>
  </si>
  <si>
    <t>https://www.pracuj.pl/praca/specjalista-ds-social-media-i-content-marketingu-przemysl,oferta,7332648</t>
  </si>
  <si>
    <t>INTE-Maszyny Sp. z o.o.</t>
  </si>
  <si>
    <t>Technik - inżynier serwisu</t>
  </si>
  <si>
    <t>https://www.pracuj.pl/praca/technik-inzynier-serwisu-podkarpackie,oferta,7364199</t>
  </si>
  <si>
    <t>Technik mechanik urządzeń przemysłowych</t>
  </si>
  <si>
    <t>https://www.praca.pl/mechanik-serwisu_3006434.html</t>
  </si>
  <si>
    <t>Jasmine International Dental Polska Sp. z o.o.</t>
  </si>
  <si>
    <t>Przedstawiciel Medyczny – dział implantologii stomatologicznej</t>
  </si>
  <si>
    <t>https://www.praca.pl/przedstawiciel-medyczny-dzial-implantologii-stomatologicznej_2994848.html</t>
  </si>
  <si>
    <t>JOBFORME SP. Z O.O.</t>
  </si>
  <si>
    <t>Manager APT rynek niemiecki</t>
  </si>
  <si>
    <t>https://www.pracuj.pl/praca/manager-apt-rynek-niemiecki-rzeszow,oferta,7339002</t>
  </si>
  <si>
    <t>https://www.pracuj.pl/praca/magazynier-kierowca-rzeszow,oferta,7344968</t>
  </si>
  <si>
    <t>Kierownik Apteki</t>
  </si>
  <si>
    <t>https://www.praca.pl/kierownik-apteki_2995391.html</t>
  </si>
  <si>
    <t>Kierownik działu kontroli jakości</t>
  </si>
  <si>
    <t>https://www.pracuj.pl/praca/kierownik-dzialu-kontroli-jakosci-mielec,oferta,7366317</t>
  </si>
  <si>
    <t>Koelner Rawlplug IP Sp. z o.o. Oddział w Łańcucie</t>
  </si>
  <si>
    <t>Pracownik obróbki skrawaniem</t>
  </si>
  <si>
    <t>https://www.pracuj.pl/praca/pracownik-obrobki-skrawaniem-lancut,oferta,7325782</t>
  </si>
  <si>
    <t>Doradca Klienta - Sektor Ogród</t>
  </si>
  <si>
    <t>https://www.praca.pl/doradca-klienta-sektor-ogrod_3097475.html</t>
  </si>
  <si>
    <t>Sourcing Specialist</t>
  </si>
  <si>
    <t>https://www.pracuj.pl/praca/sourcing-specialist-stalowa-wola,oferta,7364026</t>
  </si>
  <si>
    <t>Polska, podkarpackie, Przemyśl Sanova</t>
  </si>
  <si>
    <t>https://www.praca.pl/sprzedawca-kasjer_3035108.html</t>
  </si>
  <si>
    <t>https://www.praca.pl/sprzedawca-kasjer_3091079.html</t>
  </si>
  <si>
    <t>Młodszy specjalista ds. obsługi małych i średnich przedsiębiorstw</t>
  </si>
  <si>
    <t>https://www.praca.pl/mlodszy-specjalista-ds-obslugi-malych-i-srednich-przedsiebiorstw_3033476.html</t>
  </si>
  <si>
    <t>Medicover</t>
  </si>
  <si>
    <t>Koordynator Centrum Stomatologicznego</t>
  </si>
  <si>
    <t>https://www.pracuj.pl/praca/koordynator-centrum-stomatologicznego-rzeszow,oferta,7365258</t>
  </si>
  <si>
    <t>RPd057|134204</t>
  </si>
  <si>
    <t>https://www.praca.pl/kasjer-kasjerka_3033695.html</t>
  </si>
  <si>
    <t>https://www.praca.pl/magazynier_3035828.html</t>
  </si>
  <si>
    <t>https://www.praca.pl/sprzedawca_3035822.html</t>
  </si>
  <si>
    <t>M&amp;M AIR SEA CARGO S.A.</t>
  </si>
  <si>
    <t>Magazynier - Operator wózka widłowego</t>
  </si>
  <si>
    <t>https://www.pracuj.pl/praca/magazynier-operator-wozka-widlowego-rzeszow,oferta,7363596</t>
  </si>
  <si>
    <t>https://www.pracuj.pl/praca/technik-utrzymania-ruchu-jaroslaw,oferta,7332535</t>
  </si>
  <si>
    <t>Inżynier Budowy (infrastruktura drogowa)</t>
  </si>
  <si>
    <t>Polska, podkarpackie, Jeżowe (pow. niżański)</t>
  </si>
  <si>
    <t>https://www.pracuj.pl/praca/inzynier-budowy-infrastruktura-drogowa-jezowe-pow-nizanski,oferta,7365259</t>
  </si>
  <si>
    <t>Specjalista ds. Jakości i Certyfikacji</t>
  </si>
  <si>
    <t>https://www.pracuj.pl/praca/specjalista-ds-jakosci-i-certyfikacji-tajecina-pow-rzeszowski,oferta,7364848</t>
  </si>
  <si>
    <t>https://www.praca.pl/account-manager-ds-sprzedazy-ubezpieczen-grupowych_3035600.html</t>
  </si>
  <si>
    <t>https://www.praca.pl/account-manager-ds-sprzedazy-ubezpieczen-grupowych_3035603.html</t>
  </si>
  <si>
    <t>https://www.praca.pl/mobilny-przedstawiciel-ds-sprzedazy-ubezpieczen-grupowych_3035714.html</t>
  </si>
  <si>
    <t>https://www.praca.pl/mobilny-przedstawiciel-ds-sprzedazy-ubezpieczen-grupowych_3035717.html</t>
  </si>
  <si>
    <t>https://www.pracuj.pl/praca/pomocnik-sprzedawcy-rzeszow,oferta,7332983</t>
  </si>
  <si>
    <t>Nest Bank S.A.</t>
  </si>
  <si>
    <t>Menedżer ds. Finansów Osobistych</t>
  </si>
  <si>
    <t>Doradca podatkowy</t>
  </si>
  <si>
    <t>https://www.pracuj.pl/praca/menedzer-ds-finansow-osobistych-rzeszow,oferta,7320869</t>
  </si>
  <si>
    <t>RPd057|241204</t>
  </si>
  <si>
    <t>Młodszy Specjalista Dział Obsługi Klienta - z j. francuskim i j. angielskim</t>
  </si>
  <si>
    <t>https://www.praca.pl/mlodszy-specjalista-dzial-obslugi-klienta-z-j-francuskim-i-j-angielskim_3007112.html</t>
  </si>
  <si>
    <t>https://www.praca.pl/specjalista-ds-marketingu_3034982.html</t>
  </si>
  <si>
    <t>O-I POLAND S.A.</t>
  </si>
  <si>
    <t>Operator Maszyn Formujących</t>
  </si>
  <si>
    <t>Operator automatów do formowania wyrobów szklanych</t>
  </si>
  <si>
    <t>https://www.pracuj.pl/praca/operator-maszyn-formujacych-jaroslaw,oferta,7350742</t>
  </si>
  <si>
    <t>RPd057|818101</t>
  </si>
  <si>
    <t>https://www.pracuj.pl/praca/ekspert-ds-ubezpieczen-na-zycie-przemysl-rzeszow-stalowa-wola,oferta,7365927</t>
  </si>
  <si>
    <t>https://www.pracuj.pl/praca/manager-zespolu-przemysl-rzeszow-stalowa-wola,oferta,7365945</t>
  </si>
  <si>
    <t>https://www.pracuj.pl/praca/ekspert-finansowy-debica-jaroslaw-przemysl-rzeszow,oferta,7332013</t>
  </si>
  <si>
    <t>https://www.pracuj.pl/praca/lider-zespolu-debica-jaroslaw-przemysl-rzeszow,oferta,7342168</t>
  </si>
  <si>
    <t>Orange Polska S.A.</t>
  </si>
  <si>
    <t>Specjalista ds. Sprzedaży w Salonie Firmowym Orange</t>
  </si>
  <si>
    <t xml:space="preserve">Polska, podkarpackie, Rzeszów, Al. Józefa Piłsudskiego 44 (Galeria Rzeszów) </t>
  </si>
  <si>
    <t>https://www.praca.pl/specjalista-ds-sprzedazy-w-salonie-firmowym-orange_3004943.html</t>
  </si>
  <si>
    <t>Specjalista ds. utrzymania radiołączności</t>
  </si>
  <si>
    <t>https://www.praca.pl/specjalista-ds-utrzymania-radiolacznosci_3033770.html</t>
  </si>
  <si>
    <t>http://gazetapraca.pl/ogl/2827819?utm_campaign=partner&amp;gpid=954876&amp;utm_medium=export&amp;glc_source=zielonalinia0&amp;utm_source=zielonalinia0</t>
  </si>
  <si>
    <t>POLSAL Sp. z o.o.</t>
  </si>
  <si>
    <t>https://www.praca.pl/elektryk_3031160.html</t>
  </si>
  <si>
    <t>Specjalista do spraw zaopatrzenia</t>
  </si>
  <si>
    <t>https://www.praca.pl/specjalista-do-spraw-zaopatrzenia_3031106.html</t>
  </si>
  <si>
    <t>Monter Sieci i Instalacji Gazowych</t>
  </si>
  <si>
    <t>Monter instalacji gazowych</t>
  </si>
  <si>
    <t>https://www.pracuj.pl/praca/monter-sieci-i-instalacji-gazowych-krosno,oferta,7357383</t>
  </si>
  <si>
    <t>RPd057|712603</t>
  </si>
  <si>
    <t>https://www.pracuj.pl/praca/konserwator-urzadzen-dzwigowych-debica-mielec,oferta,7330113</t>
  </si>
  <si>
    <t>Pomocnik Konserwatora Urządzeń Dźwigowych</t>
  </si>
  <si>
    <t>https://www.pracuj.pl/praca/pomocnik-konserwatora-urzadzen-dzwigowych-debica-mielec,oferta,7330128</t>
  </si>
  <si>
    <t>Monter silników APU</t>
  </si>
  <si>
    <t>Monter silników spalinowych</t>
  </si>
  <si>
    <t>https://www.pracuj.pl/praca/monter-silnikow-apu-rzeszow,oferta,7325638</t>
  </si>
  <si>
    <t>RPd057|821110</t>
  </si>
  <si>
    <t>Primost Południe Sp. z o.o.</t>
  </si>
  <si>
    <t>Inżynier Budowy</t>
  </si>
  <si>
    <t>https://www.praca.pl/inzynier-budowy_3059786.html</t>
  </si>
  <si>
    <t>Kierownik Robót Mostowych</t>
  </si>
  <si>
    <t>https://www.praca.pl/kierownik-robot-mostowych_3059798.html</t>
  </si>
  <si>
    <t>Operator Żurawia</t>
  </si>
  <si>
    <t>https://www.praca.pl/operator-zurawia_3059831.html</t>
  </si>
  <si>
    <t>Przedsiębiorstwo Produkcyjno-Handlowo-Usługowe Elżbieta i Jerzy Pater Sp. z o.o.</t>
  </si>
  <si>
    <t>Operator maszyn i urządzeń do produkcji elementów betonowych</t>
  </si>
  <si>
    <t>Operator urządzeń do produkcji elementów z betonu komórkowego</t>
  </si>
  <si>
    <t>https://www.pracuj.pl/praca/operator-maszyn-i-urzadzen-do-produkcji-elementow-betonowych-debica-okolice-brzeznica-pow-debicki,oferta,7362059</t>
  </si>
  <si>
    <t>https://www.pracuj.pl/praca/partner-ds-sprzedazy-ruch-debica-krosno-lezajsk-przemysl-rzeszow-sedziszow-malopolski-krzeszow-pow-nizanski,oferta,7322998</t>
  </si>
  <si>
    <t>.NET Developer - Pharma</t>
  </si>
  <si>
    <t>https://www.pracuj.pl/praca/net-developer-pharma-rzeszow,oferta,7365129</t>
  </si>
  <si>
    <t>Technolog Programista CNC</t>
  </si>
  <si>
    <t>Technolog – programista obrabiarek</t>
  </si>
  <si>
    <t>https://www.pracuj.pl/praca/technolog-programista-cnc-rzeszow,oferta,7322680</t>
  </si>
  <si>
    <t>SOLIDEXPERT Polska Spółka z ograniczoną odpowiedzialnością Sp. k.</t>
  </si>
  <si>
    <t>https://www.pracuj.pl/praca/specjalista-ds-sprzedazy-rzeszow,oferta,7354753</t>
  </si>
  <si>
    <t>Specjalista Techniczny ds. CAD/PDM</t>
  </si>
  <si>
    <t>https://www.pracuj.pl/praca/specjalista-techniczny-ds-cad-pdm-rzeszow,oferta,7354756</t>
  </si>
  <si>
    <t>https://www.praca.pl/starszy-opiekun-finansowy_3005870.html</t>
  </si>
  <si>
    <t>https://www.praca.pl/starszy-opiekun-finansowy_3005939.html</t>
  </si>
  <si>
    <t>https://www.praca.pl/starszy-opiekun-finansowy_3005885.html</t>
  </si>
  <si>
    <t>Pracownik Działu Obsługi Klienta</t>
  </si>
  <si>
    <t>Polska, podkarpackie, Łąka (pow. rzeszowski)</t>
  </si>
  <si>
    <t>https://www.pracuj.pl/praca/pracownik-dzialu-obslugi-klienta-laka-pow-rzeszowski,oferta,7332853</t>
  </si>
  <si>
    <t>https://www.pracuj.pl/praca/przedstawiciel-handlowy-krosno-mielec-rzeszow-stalowa-wola-tarnobrzeg,oferta,7336776</t>
  </si>
  <si>
    <t>Specjalista ds. Inwestycji i Remontów</t>
  </si>
  <si>
    <t>https://www.pracuj.pl/praca/specjalista-ds-inwestycji-i-remontow-rzeszow,oferta,7323086</t>
  </si>
  <si>
    <t>TRANSSPED Sp. z o.o. Sp. k.</t>
  </si>
  <si>
    <t>Spedytor - Dyspozytor Międzynarodowy</t>
  </si>
  <si>
    <t>https://www.pracuj.pl/praca/spedytor-dyspozytor-miedzynarodowy-rzeszow,oferta,7354230</t>
  </si>
  <si>
    <t>https://www.praca.pl/elektryk-m-k_3065639.html</t>
  </si>
  <si>
    <t>Monter pojazdów i urządzeń transportowych</t>
  </si>
  <si>
    <t>https://www.praca.pl/mechanik-m-k_3065576.html</t>
  </si>
  <si>
    <t>RPd057|821109</t>
  </si>
  <si>
    <t>Operator ładowarki (m/k)</t>
  </si>
  <si>
    <t>Operator ładowarki</t>
  </si>
  <si>
    <t>https://www.praca.pl/operator-ladowarki-m-k_3065699.html</t>
  </si>
  <si>
    <t>RPd057|834207</t>
  </si>
  <si>
    <t>TUV Rheinland Group</t>
  </si>
  <si>
    <t>Audytor SCC</t>
  </si>
  <si>
    <t>https://www.praca.pl/audytor-scc_3031268.html</t>
  </si>
  <si>
    <t>Recepcjonistka w salonie Masażu Tajskiego</t>
  </si>
  <si>
    <t>https://www.pracuj.pl/praca/recepcjonistka-w-salonie-masazu-tajskiego-rzeszow,oferta,7324388</t>
  </si>
  <si>
    <t>Wyższa Szkoła Kształcenia Zawodowego</t>
  </si>
  <si>
    <t>Redaktor/ka</t>
  </si>
  <si>
    <t>Redaktor wydawniczy</t>
  </si>
  <si>
    <t>https://www.pracuj.pl/praca/redaktor-ka-rzeszow,oferta,7347294</t>
  </si>
  <si>
    <t>RPd057|264104</t>
  </si>
  <si>
    <t>https://www.pracuj.pl/praca/spedytor-miedzynarodowy-krajowy-rzeszow,oferta,7332056</t>
  </si>
  <si>
    <t>Inżynieria/Konstrukcje/Technologia</t>
  </si>
  <si>
    <t>18.03.2020</t>
  </si>
  <si>
    <t>&lt;br /&gt;Powiedz „TAK" nowej pracy,&lt;br /&gt;a my pomożemy Ci wytrwać w noworocznym postanowieniu dając Ci:&lt;br /&gt;- umowę o pracę bez okresu próbnego&lt;br /&gt;- dobrą pensję zawsze na czas&lt;br /&gt;- możliwość wypracowania wysokiej premii&lt;br /&gt;- szansę na awans&lt;br /&gt;- zniżki na najlepszy sprzęt, który sprzedajesz&lt;br /&gt;- ubezpieczenie dla Ciebie i Twojej rodziny na preferencyjnych warunkach&lt;br /&gt;- kartę MultiSport&lt;br /&gt;</t>
  </si>
  <si>
    <t>&lt;br /&gt;Nie masz ochoty wstawać do pracy? Masz dość swojego szefa?&lt;br /&gt;Czujesz, że się wypaliłeś?&lt;br /&gt;CZAS NA ZMIANĘ! &lt;br /&gt;</t>
  </si>
  <si>
    <t>Sprzedaż</t>
  </si>
  <si>
    <t>18.02.2020</t>
  </si>
  <si>
    <t>Obsługa klienta/Call Center</t>
  </si>
  <si>
    <t>1804,1805,1861,1808,1809,1812,1817,1864</t>
  </si>
  <si>
    <t>05.03.2020</t>
  </si>
  <si>
    <t>Finanse/Ekonomia</t>
  </si>
  <si>
    <t>10.03.2020</t>
  </si>
  <si>
    <t>Budownictwo/Geodezja</t>
  </si>
  <si>
    <t>Wymagania:&lt;br /&gt;Oczekiwania:&lt;ul&gt;&lt;div class="lista"&gt;Wykształcenie wyższe o profilu mechanicznym lub elektrycznym&lt;/div&gt;&lt;div class="lista"&gt;Doświadczenie przy obsłudze serwisowej maszyn budowlanych, rolniczych lub przemysłowych&lt;/div&gt;&lt;div class="lista"&gt;Znajomość języka angielskiego umożliwiająca komunikację&lt;/div&gt;&lt;div class="lista"&gt;Znajomość mechaniki i konstrukcji maszyn&lt;/div&gt;&lt;div class="lista"&gt;Znajomość pakietu Microsoft Office&lt;/div&gt;&lt;div class="lista"&gt;Dyspozycyjność i gotowość do odbywania zagranicznych podróży służbowych&lt;/div&gt;&lt;div class="lista"&gt;Operatywność, umiejętność logicznego myślenia, jasnego przekazywania wiedzy technicznej&lt;/div&gt;&lt;div class="lista"&gt;Odporność na stres i umiejętność pracy w procesie zmian&lt;/div&gt;&lt;div class="lista"&gt;Wysoka kultura osobista&lt;/div&gt;&lt;/ul&gt;</t>
  </si>
  <si>
    <t>Instalacja/Utrzymanie/Serwis</t>
  </si>
  <si>
    <t>19.03.2020</t>
  </si>
  <si>
    <t>&lt;br /&gt;Skillset: Java, Java EE, SQL, Python, Oracle, Apex, Docker, Spring Boot, Microservices, REST&lt;br /&gt;Role:&lt;br /&gt;- Support in developing automation solutions from modeling workflows through device integration to data analysis.&lt;br /&gt;- The actual tasks are mostly implementation tasks of microservices in tight feedback loops with the customers.&lt;br /&gt;Start: April&lt;br /&gt;</t>
  </si>
  <si>
    <t>Informatyka/Programowanie</t>
  </si>
  <si>
    <t>1863,1862,1818,1811,1864,1861,1803,1804,1817,1805,1810,1814,1815,1812,1808,1809,1820,1801,1806,1819,1802,1821,1807</t>
  </si>
  <si>
    <t>&lt;br /&gt;- posiadasz doświadczenie w pracy zespołowej&lt;br /&gt;- jesteś osobą komunikatywną i łatwo nawiązujesz kontakty&lt;br /&gt;- potrafisz dobrze zorganizować pracę swoją i zespołu&lt;br /&gt;- jesteś przedsiębiorczy i zorientowany na osiąganie celów&lt;br /&gt;- posiadasz wykształcenie minimum wyższe&lt;br /&gt;</t>
  </si>
  <si>
    <t>1863,1803,1811,1818,1804,1862</t>
  </si>
  <si>
    <t>13.03.2020</t>
  </si>
  <si>
    <t>Logistyka/Spedycja/Dystrybucja</t>
  </si>
  <si>
    <t>&lt;br /&gt;- wykształcenie wyższe techniczne&lt;br /&gt;- minimum 2 letnie doświadczenie w pełnieniu funkcji kierownika budowy lub kierownika robót dla obiektów przemysłowych&lt;br /&gt;- uprawnienia budowlane do kierowania robotami budowlanymi bez ograniczeń w specjalności instalacyjnej w zakresie: sieci, instalacji i urządzeń: cieplnych, wentylacyjnych, gazowych wodociągowych i kanalizacyjnych - warunek konieczny&lt;br /&gt;- bardzo dobra znajomość programów: Excel, Word, Microsoft projekt&lt;br /&gt;- dyspozycyjność&lt;br /&gt;- prawo jazdy kat. B&lt;br /&gt;- wykształcenie wyższe techniczne&lt;br /&gt;</t>
  </si>
  <si>
    <t>08.03.2020</t>
  </si>
  <si>
    <t>Inne</t>
  </si>
  <si>
    <t>1802,1803,1804,1805,1806,1861,1821,1808,1809,1810,1811,1812,1862,1814,1815,1863,1817,1818,1864,1801</t>
  </si>
  <si>
    <t>Wymagania:&lt;br /&gt;&lt;h3 dir="ltr"&gt;Zakres obowiązków:&lt;/h3&gt;&lt;ul&gt;&lt;div class="lista"&gt;diagnozowanie przyczyn i usuwanie usterek pojazdów,&lt;/div&gt;&lt;div class="lista"&gt;kompleksowe naprawy gwarancyjne i pogwarancyjne na podstawie instrukcji producentów,&lt;/div&gt;&lt;div class="lista"&gt;montaż dodatkowych akcesoriów (alarmy, stałe systemy nawigacyjne, zestawy głośnomówiące, itp.),&lt;/div&gt;&lt;div class="lista"&gt;dbanie o najwyższy poziom obsługi Klienta, dbanie o właściwą i terminową realizację zleceń,&lt;/div&gt;&lt;div class="lista"&gt;obsługa klienta zgodnie ze standardami marki IRIZAR.&lt;/div&gt;&lt;/ul&gt;&lt;div class="wymaganiaE"&gt;&lt;/div&gt;&lt;ul&gt;&lt;div class="lista"&gt;wykształcenie kierunkowe lub doświadczenie na podobnym stanowisku,&lt;/div&gt;&lt;div class="lista"&gt;znajomość obsługi serwisowych urządzeń diagnostycznych,&lt;/div&gt;&lt;div class="lista"&gt;prawo jazdy kat. D,&lt;/div&gt;&lt;div class="lista"&gt;umiejętność pracy pod presją czasu,&lt;/div&gt;&lt;div class="lista"&gt;praca w godz. 8.00-16.00 (docelowo praca na dwie zmiany 6.00-14.00 i 14.00-22.00).&lt;/div&gt;&lt;/ul&gt;&lt;h3 dir="ltr"&gt;Oferujemy: &lt;/h3&gt;&lt;ul&gt;&lt;div class="lista"&gt;atrakcyjne wynagrodzenie,&lt;/div&gt;&lt;div class="lista"&gt;zatrudnienie na podstawie umowy o pracę,&lt;/div&gt;&lt;div class="lista"&gt;prywatna opieka medyczna,&lt;/div&gt;&lt;div class="lista"&gt;ubezpieczenie na życie i NNW,&lt;/div&gt;&lt;div class="lista"&gt;stabilne zatrudnienie w firmie o ugruntowanej pozycji na rynku,&lt;/div&gt;&lt;div class="lista"&gt;możliwość rozwoju w strukturach organizacji,&lt;/div&gt;&lt;div class="lista"&gt;niezbędne narzędzia pracy,&lt;/div&gt;&lt;div class="lista"&gt;pełen zakres szkoleń.&lt;/div&gt;&lt;/ul&gt;</t>
  </si>
  <si>
    <t>Wymagania:&lt;br /&gt;&lt;div class="wymaganiaE"&gt;&lt;/div&gt;&lt;p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Umiejętność programowania w VBA (Visual Basic for Applications);&lt;p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Znajomość pakietu MS Office (szczególnie Excel);&lt;p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t>
  </si>
  <si>
    <t>01.03.2020</t>
  </si>
  <si>
    <t>&lt;br /&gt;- własny samochód&lt;br /&gt;- telefon&lt;br /&gt;</t>
  </si>
  <si>
    <t>Praca fizyczna</t>
  </si>
  <si>
    <t>&lt;br /&gt;WHY IS THIS FOR YOU? YOU WILL:&lt;br /&gt;- Develop your knowledge on key business concepts;&lt;br /&gt;- Accelerate your career via a hands-on experience at the heart of our business, in Operations (mainly Stores);&lt;br /&gt;- Participate in workshops, meetings, and action learning activities, so that you will know enough about our people and ethics, as well as our business strategy and prospects;&lt;br /&gt;- Have an opportunity to manage people and to develop your leadership skills;&lt;br /&gt;- Have the opportunity to get to know and work in main areas of Biedronka, such as: store management, logistics, supply chain and commercial;&lt;br /&gt;- A very attractive development path with the possibility of promotion to a managerial position.&lt;br /&gt;- Get a permanent employment contract;&lt;br /&gt;- Get a competitive salary and an attractive benefits package.&lt;br /&gt;</t>
  </si>
  <si>
    <t>Kadra zarządzająca</t>
  </si>
  <si>
    <t>17.03.2020</t>
  </si>
  <si>
    <t>Kontrola jakości</t>
  </si>
  <si>
    <t>03.03.2020</t>
  </si>
  <si>
    <t>&lt;br /&gt;W zamian zaoferujemy Ci:&lt;br /&gt;- Międzynarodowe środowisko pracy, w którym będziesz miał okazję spotykać na co dzień inspirujących ludzi,&lt;br /&gt;- Możliwość zdobycia doświadczenia w globalnej firmie z rozpoznawalną na cały świat marką,&lt;br /&gt;- Pakiet socjalny, a w tym dofinansowanie karnetów sportowych, basenu itp.&lt;br /&gt;- Zatrudnienie w oparciu o umowę o pracę.&lt;br /&gt;</t>
  </si>
  <si>
    <t>Jedyne czego wymagamy to: &lt;br /&gt;&lt;ul&gt;&lt;li&gt;Gotowość do pracy w soboty&lt;/li&gt;&lt;br /&gt;&lt;li&gt;Motywacja i chęci do pracy&lt;/li&gt;&lt;br /&gt;&lt;li&gt;Zdolności manualne będą dodatkowym atutem&lt;/li&gt;&lt;br /&gt;&lt;/ul&gt;</t>
  </si>
  <si>
    <t>Do Twoich zadań będą należeć: &lt;br /&gt;&lt;ul&gt;&lt;li&gt;Montaż elementów zgodnie z instrukcją&lt;/li&gt;&lt;br /&gt;&lt;li&gt;Obsługa maszyn - wszystkiego Cię nauczymy :)&lt;/li&gt;&lt;br /&gt;&lt;li&gt;Dbanie o jakość swojej pracy&lt;/li&gt;&lt;br /&gt;&lt;/ul&gt;</t>
  </si>
  <si>
    <t>24.02.2020</t>
  </si>
  <si>
    <t>&lt;br /&gt;A dodatkowo:&lt;br /&gt;- chcesz rozwijać się w stomatologii&lt;br /&gt;- szukasz pracy, która wyróżni Twoje CV w przyszłości&lt;br /&gt;- lubisz ludzi i uwielbiasz z nimi rozmawiać&lt;br /&gt;- angażujesz się w 100% w to co robisz, a dodatkowo nie boisz się podejmowania nowych wyzwań&lt;br /&gt;Chcemy Cię poznać !&lt;br /&gt;</t>
  </si>
  <si>
    <t>Administracja biurowa</t>
  </si>
  <si>
    <t>&lt;br /&gt;Do zadań osoby zatrudnionej na tym stanowisku należeć będzie:&lt;br /&gt;- wykonywanie zdjęć stomatologicznych: punktowe RTG, pantomogram, cefalometryczne,&lt;br /&gt;- nadzorowanie obiegu dokumentacji medycznej, archiwizacja zdjęć i wydawanie ich pacjentom,&lt;br /&gt;- przygotowywanie stanowiska pracy, przygotowanie pacjenta do badania,&lt;br /&gt;</t>
  </si>
  <si>
    <t>Farmaceutyka/Biotechnologia</t>
  </si>
  <si>
    <t>&lt;br /&gt;Wymagania:&lt;br /&gt;- Wykształcenie wyższe lub ostatnie lata studiów&lt;br /&gt;- Umiejętność obsługi komputera oraz programów pakietu MS Office&lt;br /&gt;- Umiejętności pracy w zespole&lt;br /&gt;- Komunikatywność&lt;br /&gt;- Dobra organizacja pracy&lt;br /&gt;- Prawo jazdy kat B - warunek konieczny&lt;br /&gt;- Gotowość do pracy w terenie&lt;br /&gt;</t>
  </si>
  <si>
    <t>Marketing/Reklama/Public Relations</t>
  </si>
  <si>
    <t>&lt;br /&gt;Oczekujemy od kandydatów:&lt;br /&gt;- wykształcenie min. średnie&lt;br /&gt;- dobra organizacja pracy&lt;br /&gt;- wysoka kultura osobista&lt;br /&gt;- komunikatywność i zamiłowanie do pracy w handlu&lt;br /&gt;- zaangażowanie w realizację powierzonych zadań&lt;br /&gt;- umiejętność kierowania zespołem pracowników&lt;br /&gt;- doświadczenie na podobnym stanowisku mile widziane&lt;br /&gt;- mobilność, gotowość do podjęcia pracy w delegacjach&lt;br /&gt;</t>
  </si>
  <si>
    <t>1861,1862,1863,1864</t>
  </si>
  <si>
    <t>29.02.2020</t>
  </si>
  <si>
    <t>&lt;br /&gt;Wymagania:&lt;br /&gt;- Minimum 5 letnie doświadczenie na stanowisku w dziale jakości w branży motoryzacyjnej&lt;br /&gt;- Min. roczne doświadczenie na stanowisku kierowniczym lub udokumentowane doświadczenie kierowania zasobami ludzkimi na innych stanowiskach pracy&lt;br /&gt;- Umiejętność kierowania zespołem i delegowania zadań&lt;br /&gt;- Doskonała znajomość rysunku technicznego i technik pomiarowych&lt;br /&gt;- Samodzielność, duże zaangażowanie, zorientowanie na rezultaty i wyniki biznesowe&lt;br /&gt;- Analityczne rozwiązywanie problemów&lt;br /&gt;- Doskonała komunikacja bezpośrednia i pośrednia&lt;br /&gt;- Doświadczenie w raportowaniu z wykorzystaniem pakietu Office&lt;br /&gt;- Bardzo dobra znajomość języka angielskiego, znajomość drugiego obcego języka, jako dodatkowy atut&lt;br /&gt;- Znajomość narzędzi: 8D, Plan Kontroli, FMEA, FTA, QRQC, PPAP i pochodnych&lt;br /&gt;- Znajomość norm ISO 9001, IATF 16949 oraz VDA&lt;br /&gt;- Znajomość wymagań Klientów OEM&lt;br /&gt;- Gotowość do podroży służbowych&lt;br /&gt;</t>
  </si>
  <si>
    <t>Badania i rozwój</t>
  </si>
  <si>
    <t>&lt;br /&gt;Czego oczekujemy:&lt;br /&gt;- doświadczenia w pracy na podobnym stanowisku,&lt;br /&gt;- wykształcenia wyższego technicznego,&lt;br /&gt;- dobrej znajomości rysunku technicznego,&lt;br /&gt;- znajomości języka angielskiego lub niemieckiego na poziome dobrym,&lt;br /&gt;- mile widziana znajomość programu Ms Project, Primavera, Norma Pro,&lt;br /&gt;- bardzo dobrej znajomości programu Excel.&lt;br /&gt;</t>
  </si>
  <si>
    <t>Wymagania:&lt;br /&gt;&lt;h2 &gt;&lt;span lang="PL" style="mso-fareast-font-family: 'Times New Roman'; mso-ansi-language: PL;"&gt;Na co dzień będziesz zajmować się :&lt;/h2&gt;&lt;span lang="PL" style="mso-fareast-font-family: 'Times New Roman'; mso-ansi-language: PL;"&gt;&lt;ul type="disc"&gt;&lt;li &gt;&lt;span lang="PL" style="mso-fareast-font-family: 'Times New Roman'; mso-ansi-language: PL;"&gt;Opracowywaniem dokumentacji systemu jakości w zakresie procesu pakowania w systemie elektronicznym stosowanym w firmie: Instrukcji Technologicznych Pakowania / Przepakowania, Raportów Szarżowych Pakowania, Instrukcji Postępowania, Instrukcji Obsługi, Procedur&lt;/li&gt;&lt;li &gt;&lt;span lang="PL" style="mso-fareast-font-family: 'Times New Roman'; mso-ansi-language: PL;"&gt;Zadaniami w zakresie potrzeb zakupowych nowych urządzeń technologicznych / oprzyrządowania lub modernizacji i doposażenia obecnych w zakresie pakowania celem prawidłowej realizacji usług pakowania kontraktowego zgodnie z obowiązującymi procedurami&lt;/li&gt;&lt;li &gt;&lt;span lang="PL" style="mso-fareast-font-family: 'Times New Roman'; mso-ansi-language: PL;"&gt;Działaniami mającymi na celu wyjaśnienia odchyleń procesowych w zakresie technologicznym występujących na etapie procesu pakowania zgodnie z procedurami obowiązującymi w Oddziale&lt;/li&gt;&lt;/ul&gt;</t>
  </si>
  <si>
    <t>Wymagania:&lt;br /&gt;&lt;h2 &gt;&lt;span lang="PL" &gt;Na co dzień będziesz zajmować się :&lt;/h2&gt;&lt;ul type="disc"&gt;&lt;li &gt;&lt;span lang="PL" style="mso-fareast-font-family: 'Times New Roman'; mso-ansi-language: PL;"&gt;Działaniami wyjaśniającymi, działaniami korygująco-naprawczymi, kontrolą zmian, przeglądem jakości produktów, reklamacjami audytami&lt;/li&gt;&lt;li &gt;&lt;span lang="PL" style="mso-fareast-font-family: 'Times New Roman'; mso-ansi-language: PL;"&gt;Koordynowaniem i współuczestnictwem w procesach walidacji procesów, kwalifikacji urządzeń, pomieszczeń, systemów pomocniczych zgodnie z wymogami GMP&lt;/li&gt;&lt;li &gt;&lt;span lang="PL" style="mso-fareast-font-family: 'Times New Roman'; mso-ansi-language: PL;"&gt;Współpracą z podmiotami zewnętrznymi w zakresie opracowywania i wdrożenia walidacji optymalnej dla spółki i zgodnej z aktualnymi przepisami, wytycznymi i trendami w zakresie GMP&lt;/li&gt;&lt;li &gt;&lt;span lang="PL" style="mso-fareast-font-family: 'Times New Roman'; mso-ansi-language: PL;"&gt;Współuczestniczeniem w przygotowaniu obszarów produkcyjnych do inspekcji i audytów&lt;/li&gt;&lt;/ul&gt;</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</si>
  <si>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</si>
  <si>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15.03.2020</t>
  </si>
  <si>
    <t>12.03.2020</t>
  </si>
  <si>
    <t>Internet/E-Commerce</t>
  </si>
  <si>
    <t>14.03.2020</t>
  </si>
  <si>
    <t>Wymagania:&lt;br /&gt;&lt;strong style="color: #1a1a1a; font-family: 'Source Sans Pro', sans-serif; font-size: 16px; box-sizing: border-box;"&gt;Wymagania:&lt;ul&gt;&lt;li &gt;komunikatywna znajomość języka niemieckiego&lt;/li&gt;&lt;li &gt;doświadczenie na ww. stanowisku&lt;/li&gt;&lt;li &gt;prawo jazdy kat. B i samochód&lt;/li&gt;&lt;/ul&gt;</t>
  </si>
  <si>
    <t>&lt;h4&gt;Wymagania niezbędne&lt;/h4&gt;wykształcenie: średnie&lt;br /&gt;doświadczenie zawodowe/staż pracy: co najmniej 3 miesiące doświadczenia zawodowego w obszarze stosowania przepisów z zakresu ochrony środowiska&lt;br /&gt;- Prawo jazdy kat. B&lt;br /&gt;- Znajomość przepisów ustawy Prawo ochrony środowiska&lt;br /&gt;- Znajomość przepisów ustawy o Inspekcji Ochrony Środowiska&lt;br /&gt;- Znajomość przepisów ustawy o odpadach&lt;br /&gt;- Znajomość przepisów ustawy Prawo wodne&lt;br /&gt;- Znajomość przepisów ustawy o służbie cywilnej&lt;br /&gt;- Znajomość przepisów ustawy Kodeks Postępowania Administracyjnego&lt;br /&gt;- Posiadanie obywatelstwa polskiego&lt;br /&gt;- Korzystanie z pełni praw publicznych&lt;br /&gt;- Nieskazanie prawomocnym wyrokiem za umyślne przestępstwo lub umyślne przestępstwo skarbowe&lt;br /&gt;&lt;h4&gt;Wymagania dodatkowe&lt;/h4&gt;&lt;br /&gt;</t>
  </si>
  <si>
    <t>Administracja Państwowa</t>
  </si>
  <si>
    <t>Wymagania:&lt;br /&gt;&lt;h3 dir="ltr"&gt;Oczekiwania/wymagania:&lt;/h3&gt;&lt;ul&gt;&lt;div class="lista"&gt;doświadczenie w pracy na podobnym stanowisku,&lt;/div&gt;&lt;div class="lista"&gt;umiejętności planowania, organizowania oraz nadzorowania pracy zespołu,&lt;/div&gt;&lt;div class="lista"&gt;umiejętność analitycznego myślenia,&lt;/div&gt;&lt;div class="lista"&gt;znajomość lokalnego rynku sprzedaży części,&lt;/div&gt;&lt;div class="lista"&gt;prawa jazdy kat B,&lt;/div&gt;&lt;div class="lista"&gt;znajomość języka angielskiego w stopniu umożliwiającym porozumienie się,&lt;/div&gt;&lt;div class="lista"&gt;praca w godz. 8.00-16.00.&lt;/div&gt;&lt;/ul&gt;</t>
  </si>
  <si>
    <t>&lt;br /&gt;Zadania:&lt;br /&gt;- Aktywne wsparcie dla dedykowanych zespołów w zakresie konfiguracji środowiska developerskiego, procesów Continuous Integration/ Continuous Deployment&lt;br /&gt;- Projektowanie i automatyzacja narzędzi developerskich, z wykorzystaniem języków programowania Python lub Java.&lt;br /&gt;Wymagania:&lt;br /&gt;- Praktyczne doświadczenie w implementacji CI/CD&lt;br /&gt;- Doświadczenie w implementacji rozwiązań chmurowych (preferowana platforma AWS)&lt;br /&gt;- Doświadczenie z narzędziami do automatyzacji i monitorowania infrastruktury, tj. Ansible, Chef, Docker, Terraform&lt;br /&gt;- Doświadczenie w budowaniu rozwiązań „Infrastructure as a code”&lt;br /&gt;- Dobra znajomość języka angielskiego&lt;br /&gt;- Dobra znajomość Python.&lt;br /&gt;- Mile widziana znajomość Java&lt;br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</si>
  <si>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/&gt;Miejsce pracy: Praca zdalna&lt;br /&gt;</t>
  </si>
  <si>
    <t>&lt;br /&gt;- wykształcenie pedagogiczne,&lt;br /&gt;- minimum 3 lata pracy na stanowisku wychowawcy,&lt;br /&gt;- studia podyplomowe z zakresu zarządzania – mile widziane.&lt;br /&gt;</t>
  </si>
  <si>
    <t>&lt;br /&gt;- zapewnianie warunków dla prowadzenia prawidłowej działalności dydaktycznej, wychowawczej i opiekuńczej,&lt;br /&gt;- ustalanie programu edukacyjnego,&lt;br /&gt;- zapewnienie bezpiecznych i higienicznych warunków pobytu dzieci,&lt;br /&gt;- prowadzenie działań promocyjnych placówki,&lt;br /&gt;- kontakt z rodzicami,&lt;br /&gt;- prowadzenie dokumentacji oraz pełnej polityki personalnej.&lt;br /&gt;</t>
  </si>
  <si>
    <t>Szkolenia/Edukacja</t>
  </si>
  <si>
    <t>&lt;br /&gt;A na co dzień jako nasz Doradca:&lt;br /&gt;- masz bezpośredni kontakt z naszymi klientami zapewniając im kompleksową obsługę,&lt;br /&gt;- jesteś profesjonalny/a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</si>
  <si>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27.02.2020</t>
  </si>
  <si>
    <t>&lt;br /&gt;Od nas otrzymasz:&lt;br /&gt;- Niezbędne wsparcie w postaci leadów sprzedażowych – nie musisz sam szukać klientów – wystarczy, że odpowiednio zaopiekujesz się już dostarczonym potencjałem&lt;br /&gt;- Niezbędne wsparcie motywacyjne i sprzedażowe przełożonego – jeśli nie masz doświadczenia w pracy w terenie nie szkodzi – nauczymy Cię jak właściwie obsługiwać Klientów&lt;br /&gt;- Wynagrodzenie w postaci podstawy + premii zależnej od twoich wyników (cele realne do realizacji + bonusy za wysoką realizację). Dogodna dla kandydata forma współpracy.&lt;br /&gt;- Niezbędne narzędzia pracy: telefon, laptop i samochód do celów służbowych z kartą paliwową&lt;br /&gt;- Elastyczne godziny pracy – system zadaniowy – sam zarządzasz swoim czasem.&lt;br /&gt;</t>
  </si>
  <si>
    <t>&lt;br /&gt;- Jesteś osobą, która z łatwością nawiązuje kontakt z nowymi ludźmi i z entuzjazmem podchodzi do swoich obowiązków?&lt;br /&gt;- Chcesz być niezależny finansowo i mieć realny wpływ na wysokość swoich zarobków?&lt;br /&gt;- Chcesz być doceniany za swoją pracę i odpowiednio wynagradzany?&lt;br /&gt;- Jesteś kreatywny i nie ma dla Ciebie rzeczy niemożliwych?&lt;br /&gt;- Lubisz sam organizować sobie pracę i wiesz jak to robić?&lt;br /&gt;Jeśli tak zapraszamy do naszego zespołu!&lt;br /&gt;</t>
  </si>
  <si>
    <t>1862,1863,1803,1864,1818,1804,1809</t>
  </si>
  <si>
    <t>&lt;br /&gt;- Wykształcenie: wyższe, architektoniczne lub budowlane;&lt;br /&gt;- Posiadanie uprawnień konstrukcyjno-budowlanych – mile widziane;&lt;br /&gt;- Doświadczenie w pełnieniu funkcji kierownika budowy dla obiektów przemysłowych;&lt;br /&gt;- Znajomość przebiegu procesu budowlanego;&lt;br /&gt;- Samodzielność w działaniu;&lt;br /&gt;- Znajomość języka angielskiego/niemieckiego w stopniu komunikatywnym – mile widziane;&lt;br /&gt;- Uprawnienia na platformy nożycowe oraz wózki widłowe – mile widziane;&lt;br /&gt;- Umiejętność motywowania pracowników i delegowania zadań;&lt;br /&gt;- Prawo jazdy kat. B;&lt;br /&gt;- Poszukujemy osób z całej Polski.&lt;br /&gt;</t>
  </si>
  <si>
    <t>&lt;br /&gt;- Praca w krajach UE;&lt;br /&gt;- Koordynowanie robót na budowie obiektu przemysłowego;&lt;br /&gt;- Udział w przygotowaniu planu realizacji budowy, projektów organizacji robót i montaży;&lt;br /&gt;- Nadzór budowlano-montażowy, BHP, kontrola jakości dostaw i wykonanych prac;&lt;br /&gt;- Nadzór i koordynacja pracy monterów na budowie;&lt;br /&gt;- Koordynacja i kontrola realizacji harmonogramów robót;&lt;br /&gt;- Raportowanie bieżących wyników pracy;&lt;br /&gt;- Praca w delegacji – wyjazdy na budowy zagraniczne kilka razy w miesiącu.&lt;br /&gt;</t>
  </si>
  <si>
    <t>&lt;br /&gt;Jeśli jesteś osobą dyspozycyjną, lubisz pracę z ludźmi, potrafisz się zaangażować i z uśmiechem wykonywać swoje obowiązki DOŁĄCZ DO NASZEGO ZESPOŁU!&lt;br /&gt;</t>
  </si>
  <si>
    <t>&lt;br /&gt;W chwili obecnej do naszych salonów marek Vistula / Wólczanka poszukujemy kandydatów na stanowisko:&lt;br /&gt;</t>
  </si>
  <si>
    <t>&lt;h4&gt;Wymagania niezbędne&lt;/h4&gt;wykształcenie: średnie Spełnienie jednego z poniższych warunków:&lt;br /&gt;a) ukończone ekonomiczne jednolite studia magisterskie, ekonomiczne wyższe studia zawodowe, uzupełniające ekonomiczne studia magisterskie lub ekonomiczne studia podyplomowe i posiada co najmniej 3- letnią praktykę w księgowości,&lt;br /&gt;b) ukończona średnia, policealna lub pomaturalna szkoła ekonomiczna i posiada co najmniej 6 - letnią praktykę w księgowości&lt;br /&gt;c) jest wpisana do rejestru biegłych rewidentów na podstawie odrębnych przepisów,&lt;br /&gt;d) posiada certyfikat księgowy uprawniający do usługowego prowadzenia ksiąg rachunkowych albo świadectwo kwalifikacyjne uprawniające do usługowego prowadzenia ksiąg rachunkowych, wydane na podstawie odrębnych przepisów&lt;br /&gt;doświadczenie zawodowe/staż pracy: doświadczenia zawodowego co najmniej 3-letnia praktyka w księgowości, w przypadku ukończenia ekonomicznych jednolitych studiów magisterskich , ekonomicznych wyższych studiów zawodowych uzupełniających ekonomicznych studiów magisterskich lub ekonomicznych studiów podyplomowych, lub 6-letnia praktyka w księgowości , w przypadku ukończenia średniej lub pomaturalnej szkoły ekonomicznej,&lt;br /&gt;- Profil wykształcenia : ekonomiczne&lt;br /&gt;- znajmość przepisów prawnych : Ustawa o rachunkowości, Ustawa o finansach publicznych, Ustawa o jakości handlowej artykułów rolno - spożywczych&lt;br /&gt;- Posiadanie obywatelstwa polskiego&lt;br /&gt;- Korzystanie z pełni praw publicznych&lt;br /&gt;- Nieskazanie prawomocnym wyrokiem za umyślne przestępstwo lub umyślne przestępstwo skarbowe&lt;br /&gt;&lt;h4&gt;Wymagania dodatkowe&lt;/h4&gt;&lt;br /&gt;- Obsługa komputera - programów Trezor, Buza, Płatnik, NBP&lt;br /&gt;</t>
  </si>
  <si>
    <t>21.02.2020</t>
  </si>
  <si>
    <t>Nieruchomości/Budownictwo</t>
  </si>
  <si>
    <t>04.03.2020</t>
  </si>
  <si>
    <t>20.02.2020</t>
  </si>
  <si>
    <t>Doradztwo/Konsulting</t>
  </si>
  <si>
    <t>&lt;br /&gt;ZAKRES OBOWIĄZKÓW&lt;br /&gt;- Tworzenie nowych aplikacji internetowych opartych o platformę Drupal&lt;br /&gt;- Modyfikowanie istniejących aplikacji internetowych opartych o platformę Drupal 7 i 8&lt;br /&gt;- Tworzenie i modyfikowanie modułów i szablonów dla Drupala&lt;br /&gt;- Tworzenie skryptów w jQuery&lt;br /&gt;POSZUKIWANE KOMPETENCJE&lt;br /&gt;- Minimum 2 lata doświadczenia jako Drupal Developer (w tym tworzenie modułów i własnych szablonów dla Drupala)&lt;br /&gt;- Dobra znajomość HTML/CSS/jQuery&lt;br /&gt;- Znajomość SQL&lt;br /&gt;- Mile widziana znajomość technologii REACT&lt;br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</si>
  <si>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Drupal Developer którego zadaniem będzie wzmocnienie zespołu zajmującego się tworzeniem i modyfikowaniem aplikacji internetowych opartych na platformie Drupal.&lt;br /&gt;</t>
  </si>
  <si>
    <t>&lt;br /&gt;ZAKRES OBOWIĄZKÓW&lt;br /&gt;- Wsparcie architektoniczne nowo tworzonych rozwiązań, (dobór wzorców, tworzenie interfejsów, szkieletów aplikacji)&lt;br /&gt;- Przeprowadzanie code review&lt;br /&gt;- Rozwój wysokowydajnych aplikacji do przygotowywania plików do druku&lt;br /&gt;- Zastąpienie dotychczasowych rozwiązań desktopowych (WPF) na rozwiązania serwerowe oparte na microserwisach (.NET Core, Docker, Rancher)&lt;br /&gt;POSZUKIWANE KOMPETENCJE&lt;br /&gt;- Dobra znajomość programowania w języku C#&lt;br /&gt;- Doświadczenie w tworzeniu aplikacji .NET Core&lt;br /&gt;- Znajomość wzorców projektowych&lt;br /&gt;- Znajomość RabbitMQ lub podobnych metod komunikacji asynchronicznej&lt;br /&gt;- Chęć rozwoju&lt;br /&gt;Mile widziane:&lt;br /&gt;- Znajomość zagadnień związanych z procesowaniem plików graficznych&lt;br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</si>
  <si>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30 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Mid/Senior C# Developer którego zadaniem będzie wzmocnienie zespołu obsługującego oprogramowanie przetwarzające zdjęcia na potrzeby różnych technologii wydruku.&lt;br /&gt;</t>
  </si>
  <si>
    <t>&lt;br /&gt;ZAKRES OBOWIĄZKÓW&lt;br /&gt;- Czynny udział w całym cyklu tworzenia oprogramowania&lt;br /&gt;- Rozwój autorskiego oprogramowania wspierającego produkcję&lt;br /&gt;- Wsparcie w podejmowaniu decyzji architektonicznych powstających elementów firmowej infrastruktury IT&lt;br /&gt;POSZUKIWANE KOMPETENCJE&lt;br /&gt;- Doświadczenie w programowaniu w języku PHP 7&lt;br /&gt;- Znajomość przynajmniej jednego z frameworków (Symfony, Laravel, itp) i jednocześnie brak przywiązania do niego&lt;br /&gt;- Podstawowa znajomość SQL (preferowany MySql)&lt;br /&gt;- Znajomość podstawowych wzorców projektowych i umiejętność ich stosowania&lt;br /&gt;- Umiejętność korzystania z systemu kontroli wersji GIT&lt;br /&gt;- Chęć tworzenia oprogramowania w architekturze DDD, CQRS&lt;br /&gt;Mile widziane:&lt;br /&gt;- Znajomość GraphQL&lt;br /&gt;- Znajomość RabbitMQ lub podobnych metod komunikacji asynchronicznej&lt;br /&gt;- Znajomość innych języków programowania np. JavaScript lub Python&lt;br /&gt;- Doświadczenie w tworzeniu kodu łatwego w testowaniu&lt;br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</si>
  <si>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 PHP Developer którego zadaniem będzie wzmocnienie zespołu rozwijającego oprogramowanie wspierające monitorowanie i automatyzację produkcji.&lt;br /&gt;</t>
  </si>
  <si>
    <t>&lt;br /&gt;Jesteśmy jedną z największych drukarni w Europie. Działamy na styku trzech obszarów - poligrafii, fotografii oraz introligatorstwa. Nasza firma znajduje się w Zaczerniu/k. Rzeszowa zajmując budynek o powierzchni 8000 m2. Zajmujemy się drukiem cyfrowym, wytwarzaniem fotoproduktów takich jak fotoalbumy i fotoksiążki. Naszym kluczem do sukcesu są Ludzie i Technologia.&lt;br /&gt;Aktualnie do naszego działu, Biura Projektów, poszukujemy odpowiedzialnego, i doświadczonego Project Managera, który(a) oprócz samodzielnego kierowania powierzonymi projektami zajmie się doskonaleniem dobrych praktyk z tego zakresu, co pomoże organizacji wspierać i realizować strategiczne plany przedsiębiorstwa oraz doskonalić się w zarządzaniu projektami.&lt;br /&gt;</t>
  </si>
  <si>
    <t>&lt;br /&gt;ZAKRES OBOWIĄZKÓW&lt;br /&gt;- Tworzenie nowych aplikacji internetowych opartych o PHP&lt;br /&gt;- Modyfikowanie istniejących aplikacji internetowych&lt;br /&gt;- Tworzenie i modyfikowanie modułów i szablonów&lt;br /&gt;- Tworzenie skryptów w jQuery&lt;br /&gt;POSZUKIWANE KOMPETENCJE&lt;br /&gt;- Minimum 1 rok doświadczenia komercyjnego w tworzeniu aplikacji webowych lub serwisów internetowych z wykorzystaniem PHP&lt;br /&gt;- Dobra znajomość HTML/CSS/jQuery&lt;br /&gt;- Znajomość SQL&lt;br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</si>
  <si>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Web Developer którego zadaniem będzie wzmocnienie zespołu zajmującego się tworzeniem i modyfikowaniem aplikacji internetowych.&lt;br /&gt;</t>
  </si>
  <si>
    <t>&lt;br /&gt;To stanowisko jest dla Ciebie, jeśli:&lt;br /&gt;- potrafisz łamać schematy i osiągać sukcesy&lt;br /&gt;- znasz techniki sprzedaży i umiesz z nich korzystać&lt;br /&gt;- wyrażasz gotowość do zarejestrowania działalności gospodarczej&lt;br /&gt;- posiadasz prawo jazdy kat. B&lt;br /&gt;- dbasz o utrzymanie relacji z klientami, których masz w opiece&lt;br /&gt;- dokładność i systematyczność w prowadzeniu dokumentów nie są Ci obce&lt;br /&gt;</t>
  </si>
  <si>
    <t>&lt;br /&gt;Twoich zadań należeć będzie:&lt;br /&gt;- rozpoznawanie i definiowanie potrzeb obecnych Klientów oraz doradztwo w zakresie proponowanych rozwiązań&lt;br /&gt;- aktywne pozyskiwanie nowych klientów&lt;br /&gt;- realizacja celów i planów sprzedażowych (kwartalnych i rocznych)&lt;br /&gt;- negocjowanie warunków i umów handlowych&lt;br /&gt;</t>
  </si>
  <si>
    <t>06.02.2020</t>
  </si>
  <si>
    <t>Human Resources</t>
  </si>
  <si>
    <t>1805,1815,1863</t>
  </si>
  <si>
    <t>1803,1811,1815</t>
  </si>
  <si>
    <t>Hotelarstwo/Turystyka/Katering</t>
  </si>
  <si>
    <t>1803,1811,1820</t>
  </si>
  <si>
    <t>&lt;br /&gt;Oczekujemy:&lt;br /&gt;- wykształcenie wyższe&lt;br /&gt;- doświadczenie w strukturach sprzedaży. Mile widziane doświadczenie w branży medycznej.&lt;br /&gt;- prawo jazdy kat. B. oraz doświadczenie w prowadzeniu auta.&lt;br /&gt;- umiejętność planowania i analitycznego myślenia&lt;br /&gt;- umiejętność budowania długotrwałych relacji sprzedażowych&lt;br /&gt;- zaangażowanie oraz motywacja do zdobywania wiedzy&lt;br /&gt;Chcielibyśmy nawiązać współpracę z osobą komunikatywną i samodzielną, mającą świadomość, że na stanowisku Przedstawiciela Medycznego efekty pracy są widoczne tylko przy bardzo dużym zaangażowaniu i determinacji.&lt;br /&gt;</t>
  </si>
  <si>
    <t>&lt;br /&gt;Miejsce pracy:   1. województwa: kujawsko-pomorskie, pomorskie, łódzkie, wielkopolskie&lt;br /&gt;2. województwa: śląskie, małopolskie, świętokrzyskie, podkarpackie&lt;br /&gt;Osoba pracująca na w/w stanowisku odpowiedzialna będzie za przebieg całości procesu handlowego w odniesieniu do obecnych klientów firmy jak również za rozwój sprzedaży związany z pozyskiwaniem nowych klientów w regionie. Poza działalnością sprzedażową oczekujemy również zaangażowania podczas branżowych Kongresów oraz szkoleń.&lt;br /&gt;</t>
  </si>
  <si>
    <t>&lt;br /&gt;- Wykształcenie farmaceutyczne&lt;br /&gt;- Nastawienie na pacjenta&lt;br /&gt;- Dobra organizacja pracy&lt;br /&gt;- Zaangażowanie&lt;br /&gt;- Odpowiedzialność&lt;br /&gt;- Znajomość programu KAMSOFT&lt;br /&gt;</t>
  </si>
  <si>
    <t>&lt;br /&gt;- Organizacja pracy apteki oraz nadzór nad pracą podległego zespołu&lt;br /&gt;- Nadzór nad stanem zaopatrzenia apteki&lt;br /&gt;- Dbałość o wysoką jakość świadczonych usług oraz obsługi Pacjenta&lt;br /&gt;- Realizacja wyznaczonego budżetu&lt;br /&gt;</t>
  </si>
  <si>
    <t>&lt;br /&gt;Będziesz odpowiedzialny za:&lt;br /&gt;- profesjonalną i kompleksową obsługę naszych klientów (wśród asortymentu znajdziesz produkty do urządzania i pielęgnacji ogrodu);&lt;br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</si>
  <si>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</si>
  <si>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&lt;br /&gt;Szukamy osób, które:&lt;br /&gt;- Lubią pracę zespołową&lt;br /&gt;- Łatwo nawiązują kontakt&lt;br /&gt;- Angażują się w powierzone obowiązki&lt;br /&gt;</t>
  </si>
  <si>
    <t>&lt;br /&gt;Do Twoich zadań należeć będzie:&lt;br /&gt;- Profesjonalna obsługa klienta&lt;br /&gt;- Praca z kasą fiskalną&lt;br /&gt;- Dbanie o ekspozycję i estetyczny wygląd sklepu&lt;br /&gt;</t>
  </si>
  <si>
    <t>&lt;br /&gt;Mamy dla Ciebie świetną propozycję. Co powiesz na pracę, nie jakąś tam pierwszą, lepszą, ale taką na serio. Poważną. Taką, w której jesteś swoim szefem, a dodatkowo czeka na Ciebie wiele wyzwań. Taką, w której:&lt;br /&gt;- codziennie kontaktujesz się z przedsiębiorcami z różnych branż,&lt;br /&gt;- poznajesz świat bankowości w zakresie produktów dedykowanych małym i średnim firmom (rachunki, kredyty, transakcje wymiany walut, faktoring) i prezentujesz je klientom,&lt;br /&gt;- pozyskujesz nowych klientów korporacyjnych do współpracy i dajesz im odczuć, że o nich dbamy.&lt;br /&gt;Brzmi ciekawie?&lt;br /&gt;Czeka na Ciebie zespół o wysokich kompetencjach. Przełożony, który jasno określi Twoje cele sprzedażowe i rozwojowe, a Twoja ścieżka awansu będzie jaśniejsza niż słońce.&lt;br /&gt;</t>
  </si>
  <si>
    <t>&lt;br /&gt;Oczekiwania:&lt;br /&gt;- Odpowiedzialność i zaangażowanie w powierzone obowiązki&lt;br /&gt;- Dobra znajomość obsługi komputera&lt;br /&gt;- Obsługa kasy fiskalnej i terminali płatniczych&lt;br /&gt;- Doświadczenie w handlu i kasowej obsłudze klienta&lt;br /&gt;- Komunikatywność i wysoka kultura osobista&lt;br /&gt;- Orzeczony stopień niepełnosprawności (mile widziane)&lt;br /&gt;</t>
  </si>
  <si>
    <t>&lt;br /&gt;Obowiązki:&lt;br /&gt;Osoba zatrudniona na tym stanowisku odpowiedzialna będzie za bieżącą obsługę Klientów w ramach realizacji operacji związanych z obrotem gotówkowym oraz za promowanie produktów i usług firmy.&lt;br /&gt;</t>
  </si>
  <si>
    <t>&lt;br /&gt;Oczekiwania wobec kandydatów:&lt;br /&gt;- wykształcenie zawodowe/średnie&lt;br /&gt;- uprawnienia na wózki widłowe&lt;br /&gt;</t>
  </si>
  <si>
    <t>&lt;br /&gt;Obowiązki:&lt;br /&gt;Do zadań osoby zatrudnionej należeć będzie: przyjmowanie i wydawanie towaru z magazynu.&lt;br /&gt;</t>
  </si>
  <si>
    <t>&lt;br /&gt;Oczekiwania:&lt;br /&gt;- Doświadczenie w handlu i obsłudze klienta - mile widziane&lt;br /&gt;- Umiejętność pracy w zespole&lt;br /&gt;- Samodzielność w działaniu&lt;br /&gt;- Dobra znajomość obsługi komputera&lt;br /&gt;</t>
  </si>
  <si>
    <t>&lt;br /&gt;Obowiązki:&lt;br /&gt;Zatrudniona osoba, będzie odpowiada za obsługę klienta i doradzanie przy wyborze produktów na określonym dziale.&lt;br /&gt;</t>
  </si>
  <si>
    <t>&lt;br /&gt;- znasz inny dodatkowy język obcy&lt;br /&gt;- posiadasz prawo jazdy kat. B&lt;br /&gt;- cechuje Cię systematyczność, terminowość, analityczny sposób myślenia i samodzielność w rozwiązywaniu zadań&lt;br /&gt;</t>
  </si>
  <si>
    <t>&lt;br /&gt;- znasz język francuski i język angielski i potrafisz się w nich swobodnie komunikować&lt;br /&gt;- posiadasz wykształcenie wyższe&lt;br /&gt;- dobrze obsługujesz programy pakietu MS Office&lt;br /&gt;- jesteś osobą otwartą i komunikatywną, potrafisz grać zespołowo i konstruktywnie radzisz sobie ze stresem&lt;br /&gt;</t>
  </si>
  <si>
    <t>&lt;br /&gt;Charakteryzuje Cię:&lt;br /&gt;- pomysłowość, inicjatywa, „lekkie pióro”&lt;br /&gt;- doskonałe umiejętności interpersonalne (otwartość, komunikatywność, umiejętność pracy w zespole)&lt;br /&gt;Jeżeli znasz…&lt;br /&gt;- język angielski na poziomie B1/B2&lt;br /&gt;- MS Office – w szczególności: Excel , Power Point&lt;br /&gt;- trendy w marketingu internetowym, content marketingu oraz sprawnie poruszasz się w social media&lt;br /&gt;Jeżeli masz…&lt;br /&gt;- co najmniej 2- 3 letnie doświadczenie w marketingu kreatywnym&lt;br /&gt;- prawo jazdy kat. B&lt;br /&gt;Jeżeli jesteś:&lt;br /&gt;- kreatywny, dyspozycyjny i nie boisz się nowych wyzwań&lt;br /&gt;Będziesz odpowiedzialny za:&lt;br /&gt;- aktywne kreowanie wsparcia marketingowego dla rynków zagranicznych&lt;br /&gt;- rozwój nowoczesnych gałęzi marketingu i współtworzenie strategii firmy w tym zakresie&lt;br /&gt;- współpracę z zespołem sprzedażowym&lt;br /&gt;- kreowanie treści oraz nadzór nad tworzeniem formy graficznej materiałów (ulotek, prezentacji, newsletterów, materiałów POS)&lt;br /&gt;- monitoring działań promocyjno-reklamowych konkurentów&lt;br /&gt;- administrowanie bazami zdjęć i danych&lt;br /&gt;</t>
  </si>
  <si>
    <t>Produkcja</t>
  </si>
  <si>
    <t>1818,1862,1863</t>
  </si>
  <si>
    <t>&lt;br /&gt;- Masz za sobą pierwsze doświadczenia w sprzedaży i obsłudze Klientów&lt;br /&gt;- Kręci Cię technologia&lt;br /&gt;- Lubisz pracować z ludźmi&lt;br /&gt;</t>
  </si>
  <si>
    <t>&lt;br /&gt;- Promocja i sprzedaż usług Orange Polska zgodnie z obowiązującą strategią&lt;br /&gt;- Edukowanie Klientów o dostępnych dla nich ofertach, usługach oraz technologiach&lt;br /&gt;- Udzielanie wsparcia technicznego Klientom w zakresie oferowanego sprzętu&lt;br /&gt;</t>
  </si>
  <si>
    <t>&lt;br /&gt;Od kandydatów oczekujemy:&lt;br /&gt;- wykształcenie średnie techniczne lub zasadnicze zawodowe techniczne z dziedziny radiokomunikacji lub pokrewne;&lt;br /&gt;- mile widziana znajomość infrastruktury kolejowej;&lt;br /&gt;- umiejętność posługiwania się przyrządami pomiarowymi;&lt;br /&gt;- praktycznej znajomości elektroniki, radioelektroniki, mechaniki;&lt;br /&gt;- prawo jazdy kat. B;&lt;br /&gt;- uprawnienia SEP do 1kV;&lt;br /&gt;- umiejętność pracy pod presją czasu;&lt;br /&gt;- komunikatywność, umiejętność pracy w zespole;&lt;br /&gt;- dyspozycyjność;&lt;br /&gt;- odporność na stres;&lt;br /&gt;- motywacja do rozwoju i podnoszenia swoich kwalifikacji zawodowych.&lt;br /&gt;</t>
  </si>
  <si>
    <t>&lt;br /&gt;Główne zadania.&lt;br /&gt;- naprawa infrastruktury technicznej oraz utrzymanie urządzeń radiołączności związanej z ruchem kolejowym;&lt;br /&gt;- usuwanie usterek i awarii urządzeń radiołączności oraz infrastruktury kolejowej (na obszarze działania brygady specjalistycznej);&lt;br /&gt;- prace związane z naprawami i utrzymaniem urządzeń radiołączności;&lt;br /&gt;- przeglądy i konserwacja urządzeń radiotelefonicznych.&lt;br /&gt;</t>
  </si>
  <si>
    <t>Obowiązki:&lt;br /&gt;&lt;h2&gt;Oferujemy:&lt;br /&gt;&lt;/h2&gt;&lt;br /&gt;&lt;ul&gt;&lt;br /&gt;&lt;li&gt;Stałe wynagrodzenie&lt;/li&gt;&lt;br /&gt;&lt;li&gt;Umowę o pracę&lt;/li&gt;&lt;br /&gt;&lt;li&gt;Prywatną opiekę medyczną&lt;/li&gt;&lt;br /&gt;&lt;li&gt;Szkolenia&lt;/li&gt;&lt;br /&gt;&lt;li&gt;Prezenty świąteczne&lt;/li&gt;&lt;br /&gt;&lt;li&gt;Kartę Sportową&lt;/li&gt;&lt;br /&gt;&lt;li&gt;Dodatkowe ubezpieczenia&lt;/li&gt;&lt;br /&gt;&lt;li&gt;Pakiet Relokacyjny&lt;/li&gt;&lt;br /&gt;&lt;/ul&gt;</t>
  </si>
  <si>
    <t>&lt;br /&gt;- wykształcenie kierunkowe,&lt;br /&gt;- uprawnienia SEPA,&lt;br /&gt;- znajomość schematów elektrycznych,&lt;br /&gt;- znajomość zagadnień z zakresu elektryki,&lt;br /&gt;- umiejętności manualne, samodzielność,&lt;br /&gt;- dokładność w wykonywaniu powierzonych zadań,&lt;br /&gt;- dyspozycyjność,&lt;br /&gt;- mile widziane doświadczenie na podobnym stanowisku.&lt;br /&gt;</t>
  </si>
  <si>
    <t>&lt;br /&gt;- naprawa maszyn i urządzeń elektrycznych,&lt;br /&gt;- montaż instalacji elektrycznych zgodne z dokumentacją,&lt;br /&gt;- naprawa uszkodzonych elementów elektrycznych.&lt;br /&gt;</t>
  </si>
  <si>
    <t>&lt;br /&gt;- biegła znajomość języka angielskiego,&lt;br /&gt;- znajomość pakietu OFFICE,&lt;br /&gt;- dobra organizacja pracy,&lt;br /&gt;- mile widziane doświadczenie na podobnym stanowisku,&lt;br /&gt;- gotowość do wyjazdów służbowych,&lt;br /&gt;- umiejętność pracy w zespole,&lt;br /&gt;- zdolność analitycznego myślenia.&lt;br /&gt;</t>
  </si>
  <si>
    <t>&lt;br /&gt;- opracowanie i składnie zamówień,&lt;br /&gt;- prowadzenie negocjacji handlowych w dostawcami,&lt;br /&gt;- organizacja transportu i procesu logistycznego,&lt;br /&gt;- optymalizacja kosztów zaopatrzenia i transportu,&lt;br /&gt;- współpraca z pozostałymi działami w zakładzie pracy,&lt;br /&gt;- prowadzenie analiz.&lt;br /&gt;</t>
  </si>
  <si>
    <t>Energetyka</t>
  </si>
  <si>
    <t>&lt;br /&gt;WYMAGANIA&lt;br /&gt;- wykształcenie wyższe techniczne, mile widzialne o profilu mostowym&lt;br /&gt;- doświadczenie przy wykonywaniu obiektów mostowych będzie dodatkowym atutem&lt;br /&gt;- bardzo dobra organizacja pracy oraz umiejętność ustalania priorytetów zadań&lt;br /&gt;- dojrzałość emocjonalna, umiejętność pracy pod presją czasu, odporność na stres&lt;br /&gt;- wysoka kultura osobista oraz umiejętności interpersonalne&lt;br /&gt;- samodzielność oraz wysoki poziom zaangażowania w powierzone zadania&lt;br /&gt;- prawo jazdy kat. B&lt;br /&gt;- znajomość pakietu Office i AutoCAD&lt;br /&gt;</t>
  </si>
  <si>
    <t>&lt;br /&gt;OPIS STANOWISKA&lt;br /&gt;- analiza dokumentacji projektowej, technologicznej itp.&lt;br /&gt;- ścisła współpraca z Kierownikiem Budowy, Robót itp.&lt;br /&gt;- udział w nadzorze nad prawidłowym wykonywaniem robót&lt;br /&gt;- pozyskiwanie podwykonawców, usługodawców i dostawców materiałów&lt;br /&gt;- sporządzanie i archiwizacja dokumentacji budowy, kontrola kosztów itp.&lt;br /&gt;</t>
  </si>
  <si>
    <t>&lt;br /&gt;WYMAGANIA&lt;br /&gt;- wykształcenie wyższe techniczne budowlane&lt;br /&gt;- uprawnienia budowlane – mostowe, wykonawcze bez ograniczeń&lt;br /&gt;- przynależność do Okręgowej Izby Inżynierów Budownictwa&lt;br /&gt;- mile widziane doświadczenie na stanowisku kierownika budowy lub kierownik robót mostowych&lt;br /&gt;- umiejętność kierowania zespołem&lt;br /&gt;- umiejętność zarządzania czasem pracy oraz ustalania priorytetów zadań&lt;br /&gt;- samodzielność i wysoki poziom zaangażowania w powierzone zadania&lt;br /&gt;</t>
  </si>
  <si>
    <t>&lt;br /&gt;OPIS STANOWISKA&lt;br /&gt;- planowanie i organizacja placu budowy&lt;br /&gt;- koordynacja prac sił własnych i podwykonawczych&lt;br /&gt;- prowadzenie dokumentacji budowy technicznej w tym dokumentacji finansowej powykonawczej i odbiorczej&lt;br /&gt;- nadzór nad harmonogramem uwzględniającym rzeczowy i finansowy plan wykonania&lt;br /&gt;- analiza dokumentacji technicznej oraz monitoring kosztów budowy&lt;br /&gt;- nadzór nad realizacją prac zgodnie z projektem oraz przepisami Prawa budowlanego i BHP&lt;br /&gt;- optymalizacja technologiczno-materiałowa robót na etapie realizacji inwestycji&lt;br /&gt;- współpraca z inwestorem, podwykonawcą, projektantami, inżynierami i zespołem pracowników&lt;br /&gt;</t>
  </si>
  <si>
    <t>&lt;br /&gt;WYMAGANIA:&lt;br /&gt;- aktualne uprawnienia do obsługi żurawi samojezdnych,&lt;br /&gt;- minimum 2-letnie doświadczenie na stanowisku operatora żurawia samojezdnego,&lt;br /&gt;- podstawowe umiejętności i wiedza z zakresu eksploatacji i obsługi maszyn budowlanych,&lt;br /&gt;- znajomość przepisów BHP w zakresie prowadzenia prac z wykorzystaniem sprzętu ciężkiego,&lt;br /&gt;- sumienność w wykonywaniu powierzonych obowiązków,&lt;br /&gt;- wysoka kultura pracy i dbałość o powierzony sprzęt,&lt;br /&gt;- mile widziane doświadczenie przy pracy na żurawiach o większych tonażach,&lt;br /&gt;- mile widziane doświadczenie przy wykonywaniu prac montażowych (prefabrykaty betonowe, konstrukcje stalowe itp.),&lt;br /&gt;- gotowość do pracy w delegacji.&lt;br /&gt;</t>
  </si>
  <si>
    <t>&lt;br /&gt;OPIS STANOWISKA:&lt;br /&gt;- praca przy wykonywaniu obiektów mostowych,&lt;br /&gt;- obsługa żurawi samojezdnych (18-75 t),&lt;br /&gt;- bieżąca obsługa i konserwacja sprzętu.&lt;br /&gt;</t>
  </si>
  <si>
    <t>1803,1808,1812,1815,1861,1862,1863</t>
  </si>
  <si>
    <t>1811,1818,1861,1863,1864</t>
  </si>
  <si>
    <t>&lt;br /&gt;- doświadczenie w pracy na podobnym stanowisku,&lt;br /&gt;- mile widziana wiedza z zakresu budowy, obsługi i eksploatacji maszyn i urządzeń elektrycznych oraz uprawnienia,&lt;br /&gt;- dyspozycyjność i gotowość pracy w systemie zmianowym.&lt;br /&gt;</t>
  </si>
  <si>
    <t>&lt;br /&gt;- utrzymanie ruchu urządzeń i maszyn elektrycznych na wydziałach produkcyjnych,&lt;br /&gt;- codzienna kontrola urządzeń kontrolno-pomiarowych,&lt;br /&gt;- usuwanie bieżących awarii maszyn i urządzeń oraz przyczyn ich powstania,&lt;br /&gt;- utrzymywanie czystości na stanowisku pracy,&lt;br /&gt;- wykonywanie innych poleceń przełożonego w ramach zajmowanego stanowiska.&lt;br /&gt;</t>
  </si>
  <si>
    <t>&lt;br /&gt;- mile widziane wykształcenie zawodowe,&lt;br /&gt;- uprawnienia do obsługi ładowarek klasy I,&lt;br /&gt;- atutem będzie doświadczenie w pracy na podobnym stanowisku,&lt;br /&gt;- dyspozycyjność.&lt;br /&gt;</t>
  </si>
  <si>
    <t>&lt;br /&gt;- praca przy przerobie, recyklingu,&lt;br /&gt;- załadunek surowca,&lt;br /&gt;- obsługa ładowarki oraz rębaka,&lt;br /&gt;- dbanie o porządek na placu recyklingu.&lt;br /&gt;</t>
  </si>
  <si>
    <t>&lt;br /&gt;Zadania audytora:&lt;br /&gt;- współpraca z Jednostką Certyfikującą w zakresie certyfikacji systemu zarządzania BHP i ochroną środowiska zgodnie z wymaganiami normy SCC:2011&lt;br /&gt;- prowadzenie audytów zgodnie z listą kontrolną&lt;br /&gt;</t>
  </si>
  <si>
    <t>&lt;br /&gt;Nasze oczekiwania:&lt;br /&gt;- wykształcenie wyższe&lt;br /&gt;- czynne powołanie na audytora w obszarze BS OHSAS 18001 lub ISO 45001&lt;br /&gt;- znajomość wymagań listy kontrolnej SCC:2011&lt;br /&gt;- ukończone szkolenie dla służb BHP&lt;br /&gt;- udokumentowane minimum 500 godzin doświadczenia jako specjalista ds. BHP w przeciągu ostatnich dwóch lat&lt;br /&gt;- znajomość przepisów prawa niemieckiego w zakresie bezpieczeństwa pracy potwierdzona certyfikatem&lt;br /&gt;- znajomość języka niemieckiego umożliwiająca swobodną komunikację oraz pracę z dokumentacją&lt;br /&gt;- gotowość do zagranicznych wyjazdów służbowych (głównie Niemcy oraz kraje Beneluksu)&lt;br /&gt;</t>
  </si>
  <si>
    <t>Grafika/Kreacja artystyczna/Fotografia</t>
  </si>
  <si>
    <t>28.02.2020</t>
  </si>
  <si>
    <t>Branża podana w ofercie</t>
  </si>
  <si>
    <t>I-III 2020</t>
  </si>
  <si>
    <t>I kw. 2020</t>
  </si>
  <si>
    <t>sort</t>
  </si>
  <si>
    <t>PRACA -  operator wózka widłowego! WOLNE WEEKENDY!</t>
  </si>
  <si>
    <t>Polska, podkarpackie, Bratkowice</t>
  </si>
  <si>
    <t>https://gratka.pl/praca/praca-operator-wozka-widlowego-wolne-weekendy/ob/15332710?utm_source=zielonalinia.pl&amp;utm_medium=zielonalinia&amp;utm_campaign=export_xml</t>
  </si>
  <si>
    <t>Jakie będą Twoje obowiązki:&lt;br /&gt;&lt;ul&gt;&lt;li&gt;Rozładowanie i układanie materiałów&lt;/li&gt;&lt;br /&gt;&lt;li&gt;Obsługa monitora do składowania kodów kreskowych&lt;/li&gt;&lt;br /&gt;&lt;li&gt;Transport ładunków do miejsca przeznaczenia&lt;/li&gt;&lt;br /&gt;&lt;li&gt;Obsługa wózka widłowego&lt;/li&gt;&lt;br /&gt;&lt;/ul&gt;</t>
  </si>
  <si>
    <t>Miejsce pracy: Rogoźnica&lt;br /&gt;&lt;br /&gt;Co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t>
  </si>
  <si>
    <t>https://gratka.pl/praca/praca-operator-wozka-widlowego-wolne-weekendy/ob/15332708?utm_source=zielonalinia.pl&amp;utm_medium=zielonalinia&amp;utm_campaign=export_xml</t>
  </si>
  <si>
    <t>https://gratka.pl/praca/praca-operator-wozka-widlowego-wolne-weekendy/ob/15332714?utm_source=zielonalinia.pl&amp;utm_medium=zielonalinia&amp;utm_campaign=export_xml</t>
  </si>
  <si>
    <t>https://gratka.pl/praca/praca-operator-wozka-widlowego-wolne-weekendy/ob/15332712?utm_source=zielonalinia.pl&amp;utm_medium=zielonalinia&amp;utm_campaign=export_xml</t>
  </si>
  <si>
    <t>09.03.2020</t>
  </si>
  <si>
    <t>Polska, podkarpackie, Rzeszów Krasne</t>
  </si>
  <si>
    <t>https://www.praca.pl/doradca-klienta_3056780.html</t>
  </si>
  <si>
    <t>&lt;br /&gt;Będziesz odpowiedzialny za:&lt;br /&gt;- profesjonalną i kompleksową obsługę naszych klientów;&lt;br /&gt;- realizację i monitoring procesu zamówień klienta;&lt;br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</si>
  <si>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</si>
  <si>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NEONET S.A .</t>
  </si>
  <si>
    <t>https://www.praca.pl/doradca-klienta_3056372.html</t>
  </si>
  <si>
    <t>https://www.pracuj.pl/praca/doradca-klienta-rzeszow,oferta,7372112</t>
  </si>
  <si>
    <t>RPd057|215101</t>
  </si>
  <si>
    <t>06.03.2020</t>
  </si>
  <si>
    <t>MIĘDZYNARODOWA KANCELARIA KLONOWSKI I WSPÓLNICY SPÓŁKA Z OGRANICZONĄ ODPOWIEDZIALNOŚCIĄ</t>
  </si>
  <si>
    <t>Mobilny Przedstawiciel Kancelarii w Dziale Obsługi, Sprzedaży Mobilnej Kancelarii</t>
  </si>
  <si>
    <t>Legislator</t>
  </si>
  <si>
    <t>https://www.pracuj.pl/praca/mobilny-przedstawiciel-kancelarii-w-dziale-obslugi-sprzedazy-mobilnej-kancelarii-brzozow-debica-jaroslaw-jaslo-kolbuszowa-krosno-lesko-lezajsk-lubaczow-lancut-mi,oferta,7253462</t>
  </si>
  <si>
    <t>1802,1803,1804,1805,1806,1861,1821,1808,1809,1810,1811,1812,1862,1814,1815,1863,1817,1818,1801</t>
  </si>
  <si>
    <t>RPd057|261906</t>
  </si>
  <si>
    <t>Metrohouse – Partner</t>
  </si>
  <si>
    <t>Doradca ds. nieruchomości</t>
  </si>
  <si>
    <t>https://www.pracuj.pl/praca/doradca-ds-nieruchomosci-rzeszow,oferta,7261500</t>
  </si>
  <si>
    <t>CUK Ubezpieczenia</t>
  </si>
  <si>
    <t>https://www.pracuj.pl/praca/wlasciciel-multiagencji-ubezpieczeniowej-debica-jaroslaw-jaslo-kolbuszowa-krosno-lezajsk-lubaczow-lancut-mielec-nisko-nowa-deba-przemysl-przeworsk-ropczyce-rzesz,oferta,7296062</t>
  </si>
  <si>
    <t>https://www.pracuj.pl/praca/ekspert-finansowy-rzeszow,oferta,7360976</t>
  </si>
  <si>
    <t>https://gratka.pl/praca/pracownik-produkcji-tylko-weekendy/ob/15332718?utm_source=zielonalinia.pl&amp;utm_medium=zielonalinia&amp;utm_campaign=export_xml</t>
  </si>
  <si>
    <t>https://gratka.pl/praca/pracownik-produkcji-tylko-weekendy/ob/15332720?utm_source=zielonalinia.pl&amp;utm_medium=zielonalinia&amp;utm_campaign=export_xml</t>
  </si>
  <si>
    <t>IPK Sp. z o.o.</t>
  </si>
  <si>
    <t>Sales Manager – surowce do chemii gospodarczej, przemysłowej i instytucjonalnej</t>
  </si>
  <si>
    <t>Polska, podkarpackie, Warszawa lub biuro domowe w miejscu zamieszkania (home office)</t>
  </si>
  <si>
    <t>http://gazetapraca.pl/ogl/2828273?utm_campaign=partner&amp;gpid=956004&amp;utm_medium=export&amp;glc_source=zielonalinia0&amp;utm_source=zielonalinia0</t>
  </si>
  <si>
    <t>23.02.2020</t>
  </si>
  <si>
    <t>https://www.pracuj.pl/praca/agent-ubezpieczeniowy-brzozow-debica-jaroslaw-jaslo-kolbuszowa-krosno-lesko-lezajsk-lubaczow-lancut-mielec-nisko-przemysl-przeworsk-ropczyce-rzeszow-sanok-stalow,oferta,7405275</t>
  </si>
  <si>
    <t>1801,1802,1803,1804,1805,1806,1808,1809,1810,1811,1812,1814,1815,1817,1818,1819,1821,1861,1862,1863,1864</t>
  </si>
  <si>
    <t>25.03.2020</t>
  </si>
  <si>
    <t>Wall Street Invest Group</t>
  </si>
  <si>
    <t>Ambasador Marki - Wall Street Magazine - Luxury Lifestyle</t>
  </si>
  <si>
    <t>https://www.pracuj.pl/praca/ambasador-marki-wall-street-magazine-luxury-lifestyle-debica-jaroslaw-jaslo-lancut-nisko-przemysl-przeworsk-ropczyce-sanok-stalowa-wola-tarnobrzeg,oferta,6877091</t>
  </si>
  <si>
    <t>1803,1804,1805,1810,1812,1862,1814,1815,1817,1818,1864</t>
  </si>
  <si>
    <t>26.03.2020</t>
  </si>
  <si>
    <t>IGLOTEX</t>
  </si>
  <si>
    <t>https://www.pracuj.pl/praca/przedstawiciel-handlowy-rzeszow,oferta,7304910</t>
  </si>
  <si>
    <t>PPHU SOLO Sobota Marcin</t>
  </si>
  <si>
    <t>Specjalista ds. Sprzedaży Detalicznej</t>
  </si>
  <si>
    <t>https://www.pracuj.pl/praca/specjalista-ds-sprzedazy-detalicznej-debica-rzeszow-stalowa-wola-tarnobrzeg,oferta,7409463</t>
  </si>
  <si>
    <t>1803,1863,1818,1864</t>
  </si>
  <si>
    <t>https://www.pracuj.pl/praca/programista-php-debica,oferta,7378149</t>
  </si>
  <si>
    <t>Kobi Light</t>
  </si>
  <si>
    <t>Młodszy specjalista ds. obsługi Klienta i sprzedaży stacjonarnej</t>
  </si>
  <si>
    <t>https://www.pracuj.pl/praca/mlodszy-specjalista-ds-obslugi-klienta-i-sprzedazy-stacjonarnej-rzeszow,oferta,7409323</t>
  </si>
  <si>
    <t>Polska, podkarpackie, Jesionka k. Rzeszowa</t>
  </si>
  <si>
    <t>https://www.pracuj.pl/praca/inzynier-oprogramowania-jesionka-k-rzeszowa,oferta,7409558</t>
  </si>
  <si>
    <t>https://www.pracuj.pl/praca/menedzer-ds-finansow-osobistych-rzeszow,oferta,7377578</t>
  </si>
  <si>
    <t>16.03.2020</t>
  </si>
  <si>
    <t>Technik Utrzymania Ruchu (Elektronik)</t>
  </si>
  <si>
    <t>https://www.pracuj.pl/praca/technik-utrzymania-ruchu-elektronik-jaroslaw,oferta,7404328</t>
  </si>
  <si>
    <t>HANSEN POLSKA sp. z o.o.</t>
  </si>
  <si>
    <t>Asystent kierownika projektu</t>
  </si>
  <si>
    <t>https://www.pracuj.pl/praca/asystent-kierownika-projektu-rzeszow-okolice,oferta,7405525</t>
  </si>
  <si>
    <t>Specjalista ds. organizacji kongresów i konferencji</t>
  </si>
  <si>
    <t>Organizator usług konferencyjnych</t>
  </si>
  <si>
    <t>https://www.pracuj.pl/praca/specjalista-ds-organizacji-kongresow-i-konferencji-rzeszow-okolice-jasionka-pow-rzeszowski,oferta,7375433</t>
  </si>
  <si>
    <t>Media/Sztuka/Rozrywka</t>
  </si>
  <si>
    <t>RPd057|333204</t>
  </si>
  <si>
    <t>G2A.COM Sp. z.o.o.,</t>
  </si>
  <si>
    <t>Tax Specialist</t>
  </si>
  <si>
    <t>https://www.pracuj.pl/praca/tax-specialist-rzeszow,oferta,7409068</t>
  </si>
  <si>
    <t>Projektant aranżacji przestrzennych</t>
  </si>
  <si>
    <t>Architekt krajobrazu</t>
  </si>
  <si>
    <t>Polska, podkarpackie, Trzeboś (pow. rzeszowski)</t>
  </si>
  <si>
    <t>https://www.pracuj.pl/praca/projektant-aranzacji-przestrzennych-trzebos-pow-rzeszowski,oferta,7408454</t>
  </si>
  <si>
    <t>RPd057|216201</t>
  </si>
  <si>
    <t>Inżynier mechanik - środki transportu</t>
  </si>
  <si>
    <t>https://www.pracuj.pl/praca/konstruktor-mechanik-mielec,oferta,7408554</t>
  </si>
  <si>
    <t>Specjalista/ka w Dziale Wynajmu Wózków Widłowych</t>
  </si>
  <si>
    <t>https://www.pracuj.pl/praca/specjalista-ka-w-dziale-wynajmu-wozkow-widlowych-rzeszow,oferta,7410386</t>
  </si>
  <si>
    <t>Operator Prasy Krawędziowej CNC</t>
  </si>
  <si>
    <t>https://www.pracuj.pl/praca/operator-prasy-krawedziowej-cnc-mielec,oferta,7409347</t>
  </si>
  <si>
    <t>Młodszy kontroler jakości</t>
  </si>
  <si>
    <t>https://www.pracuj.pl/praca/mlodszy-kontroler-jakosci-rzeszow,oferta,7409987</t>
  </si>
  <si>
    <t>Operator Urządzeń do Wykańczania Wyrobów Kutych - Operator Defektoskopu Magnetycznego z Uprawnieniami MT2</t>
  </si>
  <si>
    <t>https://www.pracuj.pl/praca/operator-urzadzen-do-wykanczania-wyrobow-kutych-operator-defektoskopu-magnetyczn-stalowa-wola,oferta,7409455</t>
  </si>
  <si>
    <t>BorgWarner Poland Sp. z o.o. – Morse Systems</t>
  </si>
  <si>
    <t>Lider Zmiany Utrzymania Ruchu</t>
  </si>
  <si>
    <t>https://www.pracuj.pl/praca/lider-zmiany-utrzymania-ruchu-rzeszow-jasionka-pow-rzeszowski,oferta,7409948</t>
  </si>
  <si>
    <t>https://www.pracuj.pl/praca/specjalista-ds-zakupow-trzebos-pow-rzeszowski,oferta,7408450</t>
  </si>
  <si>
    <t>https://www.pracuj.pl/praca/specjalista-fb-ads-zaczernie-pow-rzeszowski,oferta,7409424</t>
  </si>
  <si>
    <t>Specjalista ds. ekspansji</t>
  </si>
  <si>
    <t>Inżynier geodeta - kataster i gospodarka nieruchomościami</t>
  </si>
  <si>
    <t>https://www.pracuj.pl/praca/specjalista-ds-ekspansji-trzebos-pow-rzeszowski,oferta,7408453</t>
  </si>
  <si>
    <t>Księgowa</t>
  </si>
  <si>
    <t>Polska, podkarpackie, Rogoźnica (pow. rzeszowski)</t>
  </si>
  <si>
    <t>https://www.pracuj.pl/praca/ksiegowa-rogoznica-pow-rzeszowski,oferta,500027830</t>
  </si>
  <si>
    <t>https://www.pracuj.pl/praca/specjalista-ds-sprzedazy-trzebos-pow-rzeszowski,oferta,7408449</t>
  </si>
  <si>
    <t>Grand Hotel Boutique****</t>
  </si>
  <si>
    <t>Kierownik do spraw kateringu</t>
  </si>
  <si>
    <t>https://www.pracuj.pl/praca/kierownik-gastronomii-rzeszow,oferta,7409469</t>
  </si>
  <si>
    <t>RPd057|141203</t>
  </si>
  <si>
    <t>Koltex Recykling s.c. Marcin Mitura Urszula Mitura</t>
  </si>
  <si>
    <t>https://www.pracuj.pl/praca/kierownik-produkcji-kolbuszowa,oferta,7410205</t>
  </si>
  <si>
    <t>Specjalista ds. personalnych</t>
  </si>
  <si>
    <t>https://www.pracuj.pl/praca/specjalista-ds-personalnych-ropczyce,oferta,7409464</t>
  </si>
  <si>
    <t>Aplikant ds. sprzedaży</t>
  </si>
  <si>
    <t>https://www.pracuj.pl/praca/aplikant-ds-sprzedazy-tarnobrzeg,oferta,7408775</t>
  </si>
  <si>
    <t>Manager ds. administracyjnych</t>
  </si>
  <si>
    <t>https://www.pracuj.pl/praca/manager-ds-administracyjnych-rogoznica-pow-rzeszowski,oferta,500027828</t>
  </si>
  <si>
    <t>https://www.pracuj.pl/praca/zastepca-kierownika-sklepu-sanok-glogow-malopolski-laszki-pow-jaroslawski-niechobrz-pow-rzeszowski,oferta,7410300</t>
  </si>
  <si>
    <t>1817,1816,1804</t>
  </si>
  <si>
    <t>https://www.pracuj.pl/praca/doradca-klienta-lancut,oferta,7410596</t>
  </si>
  <si>
    <t>Doradca klienta ds. małych i średnich przedsiębiorstw</t>
  </si>
  <si>
    <t>https://www.pracuj.pl/praca/doradca-klienta-ds-malych-i-srednich-przedsiebiorstw-rzeszow,oferta,7411290</t>
  </si>
  <si>
    <t>Młodszy spawacz TIG</t>
  </si>
  <si>
    <t>https://www.pracuj.pl/praca/mlodszy-spawacz-tig-rzeszow,oferta,7410185</t>
  </si>
  <si>
    <t>KS SPORT SIEĆ SKLEPÓW</t>
  </si>
  <si>
    <t>https://www.pracuj.pl/praca/regionalny-kierownik-sprzedazy-rzeszow,oferta,7408330</t>
  </si>
  <si>
    <t>HAMBURGER RECYCLING POLSKA sp. z o.o.</t>
  </si>
  <si>
    <t>Specjalista/ka ds. administracji</t>
  </si>
  <si>
    <t>https://www.pracuj.pl/praca/specjalista-ka-ds-administracji-rzeszow,oferta,7408516</t>
  </si>
  <si>
    <t>Starszy ekspert skarbowy</t>
  </si>
  <si>
    <t>https://www.praca.pl/starszy-ekspert-skarbowy_3196850.html</t>
  </si>
  <si>
    <t>&lt;h4&gt;Wymagania niezbędne&lt;/h4&gt;wykształcenie: wyższe&lt;br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</si>
  <si>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02.03.2020</t>
  </si>
  <si>
    <t>https://www.praca.pl/specjalista_3196868.html</t>
  </si>
  <si>
    <t>&lt;h4&gt;Wymagania niezbędne&lt;/h4&gt;wykształcenie: wyższe w zakresie budownictwa&lt;br /&gt;doświadczenie zawodowe/staż pracy: co najmniej 1 rok doświadczenia zawodowego w techniczno-budowlanym obszarze drogownictwa&lt;br /&gt;- prawo jazdy kat. B,&lt;br /&gt;- znajomość przepisów w zakresie budowy dróg i obiektów inżynierskich,&lt;br /&gt;- znajomość przepisów prawa o ruchu drogowym, Prawa Budowlanego,&lt;br /&gt;- znajomość przepisów specustawy i prawa ochrony środowiska w niezbędnym zakresie&lt;br /&gt;- umiejętność biegłej obsługi programów komputerowych (pakiet Office)&lt;br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umiejętność obsługi graficznych programów komputerowych&lt;br /&gt;- znajomość języków obcych: angielski lub niemiecki na poziomie komunikacyjnym,&lt;br /&gt;- uprawnienie budowlane do projektowania lub wykonywania (w zakresie branży drogowej)&lt;br /&gt;- umiejętność obsługi graficznych programów komputerowych&lt;br /&gt;</t>
  </si>
  <si>
    <t>Zawód wg KZiS (w serwisie branża podana w ofercie)</t>
  </si>
  <si>
    <t>fragm.tekstu - do kodu zawodów</t>
  </si>
  <si>
    <t>wszy</t>
  </si>
  <si>
    <t>wwwwwww712101</t>
  </si>
  <si>
    <t>wwwwwww832202</t>
  </si>
  <si>
    <t>wwwwwww251202</t>
  </si>
  <si>
    <t>wwwwwww332203</t>
  </si>
  <si>
    <t>Nazwa</t>
  </si>
  <si>
    <t>Zawód wg KZiS (wprowadzony przez system)</t>
  </si>
  <si>
    <t>fragm.tekstu - moja formuła</t>
  </si>
  <si>
    <t>kolejność w Viatorze</t>
  </si>
  <si>
    <t>kolejnosc w tabeli</t>
  </si>
  <si>
    <t>kolejnośc w tabeli</t>
  </si>
  <si>
    <t>Nazwa w tabeli, po wygenerowaniu z serwisu:</t>
  </si>
  <si>
    <t>W Viatorze:</t>
  </si>
  <si>
    <t>liczba ofert (liczebność prób)</t>
  </si>
  <si>
    <t>zasięg oferty: całe województwo</t>
  </si>
  <si>
    <t>&lt;br /&gt;Jedyne co musisz zrobić to wysłać swoje CV plus:&lt;br /&gt;- Posiadać wcześniejsze doświadczenia w obsłudze Klientów. Niekoniecznie  w instytucji finansowej. zasięg oferty: całe województwostkiego Cię nauczymy.&lt;br /&gt;- Chcieć pracować w finansach i lubić wygrywać.&lt;br /&gt;Tylko tyle? Zdecydowanie wystarczy!&lt;br /&gt;</t>
  </si>
  <si>
    <t>&lt;br /&gt;Zastanawiasz się czym będziesz się zajmował? To proste:&lt;br /&gt;- Zadbasz o Klientów oferując im szeroką gamę produktów finansowych Kasy Stefczyka.&lt;br /&gt;- Najpierw jednak rozpoznasz ich potrzeby.&lt;br /&gt;- Zrobisz to zarówno bezpośrednio w naszym oddziale jak i telefonicznie - tak, zdecydowanie szukamy osób lubiących rozmawiać i umiejących robić to dobrze! :)&lt;br /&gt;- Kiedy będzie wymagała tego sytuacja zajmiesz się obsługą kasową.&lt;br /&gt;Zastanawiasz się czy to zasięg oferty: całe województwostko dasz radę zrobić samemu? Oczywiście, że nie. Będziemy Ciebie wspierać na każdym kroku naszymi narzędziami!&lt;br /&gt;</t>
  </si>
  <si>
    <t>&lt;br /&gt;To propozycja tylko dla odważnych? &lt;br /&gt;Nie! Ale osiągnąć sukces w tej roli będzie Ci łatwiej, jeśli:&lt;br /&gt;- masz motywację do zdobywania doświadczenia w pracy z klientem firmowym&lt;br /&gt;- potrafisz budować relacje oparte na zaufaniu&lt;br /&gt;- jesteś gotowy/a do współpracy w oparciu o kontrakt (jeśli martwisz się tym, że nie prowadziłeś/aś nigdy działalności gospodarczej, wesprzemy Cię w jej założeniu)&lt;br /&gt;- jesteś otwarty na pracę mobilną – oferujemy auto służbowe przy dobrych wynikach sprzedaży&lt;br /&gt;- posiadasz ukierunkowanie na realizację zadań&lt;br /&gt;- jesteś samodzielny oraz dobrze zarządzasz swoim czasem&lt;br /&gt;- posiadasz prawo jazdy kat. B&lt;br /&gt;Nie czekaj, dołącz do nas już dziś. Aplikuj, a opowiemy Ci o zasięg oferty: całe województwostkim podczas spotkania.&lt;br /&gt;Przygotowaliśmy dla Ciebie krótką ściągawkę dotyczącą działalności gospodarczej: https://www.mbank.pl/pdf/pdf-firmy/mbank-zalozenie-dzialalonosci.pdf&lt;br /&gt;</t>
  </si>
  <si>
    <t>&lt;br /&gt;ZAKRES OBOWIĄZKÓW&lt;br /&gt;- koordynowanie kluczowych parametrów powierzonych projektów tj. harmonogram, budżet i zakres&lt;br /&gt;- nadzór nad zgodnością realizacji projektów z obowiązującym standardem w firmie,&lt;br /&gt;- monitorowanie i raportowanie stanu realizacji prac dla Sponsorów i Zarządu&lt;br /&gt;- wsparcie dla realizowanych w firmie zmian i prowadzenie szkoleń wewnętrznych&lt;br /&gt;- identyfikacja, monitorowanie i analiza ryzyk w prowadzonych projektach oraz planowanie działań zaradczych i nadzorowanie ich realizacji&lt;br /&gt;- zarządzanie zmianą&lt;br /&gt;- zarządzanie komunikacją w projekcie w szczególności dbałość o terminowość i jakość informacji&lt;br /&gt;- koordynowanie prac zespołu projektowego w tym planowanie i rozliczanie zadań oraz motywowanie i zapewnienie wysokiej efektywności pracy&lt;br /&gt;- prowadzenie analiz oraz opracowywanie rekomendacji w zakresie powierzonych projektów oraz ich wpływu na cały portfel zmian&lt;br /&gt;- zapewnienie wytworzenia zasięg oferty: całe województwostkich zaplanowanych produktów projektu zgodnie z przyjętymi dla nich kryteriami jakości oraz obowiązującym standardem i regulacjami wewnętrznymi&lt;br /&gt;POSZUKIWANE KOMPETENCJE&lt;br /&gt;- minimum 5-letnie doświadczenie w samodzielnym kierowaniu projektami, poparte portfolio&lt;br /&gt;- wysoko rozwinięte zdolności komunikacyjne&lt;br /&gt;- umiejętność skutecznego prowadzenia negocjacji&lt;br /&gt;- odwaga w podejmowaniu trudnych decyzji, wprowadzaniu ewentualnych zmian w harmonogramie projektu&lt;br /&gt;- konsekwentność w prowadzonych działaniach&lt;br /&gt;- bardzo dobra organizacja pracy oraz umiejętność efektywnego planowania zadań dla zespołu&lt;br /&gt;- zdolność do prognozowania przeszkód, znajomość ewentualnych problemów i ryzyka jakie może pojawić się w trakcie realizacji projektu&lt;br /&gt;- pożądana inicjatywa w procesie usprawniania norm i standardów realizacji projektów w firmie&lt;br /&gt;- mile widziane certyfikaty (np. IPMA, PMI, PRINCE2, ITIL)&lt;br /&gt;</t>
  </si>
  <si>
    <t>&lt;h4&gt;Warunki pracy&lt;/h4&gt;1) Praca przy monitorze ekranowym: powyżej połowy czasu pracy&lt;br /&gt;2) Korzystanie z samochodu służbowego&lt;br /&gt;3) Praca wykonywana na w/w stanowisku ma charakter administracyjno-biurowy&lt;br /&gt;4) Nie występuje praca na wysokości&lt;br /&gt;5) Występują okresowe wyjazdy służbowe&lt;br /&gt;6) Wyposażenie podstawowe na stanowisku pracy: komputer, drukarka, kserokopiarka, niszczarka dokumentów, telefon, fax&lt;br /&gt;Miejsce i otoczenie organizacyjno - techniczne stanowiska pracy:&lt;br /&gt;- wejście główne do budynku nie jest przystosowane dla osób niepełnosprawnych&lt;br /&gt;- budynek,w którym mieści się komórka organizacyjna jest piętrowy- 2 kondygnacyjny, pomieszczenia Głównego Księgowego zlokalizowane są na parterze. Ze względu na brak podjazdu przy wejściu głównym dla osób niepełnosprawnych w budynku występuje ograniczony dostęp do pomieszczeń zlokalizowanych na piętrze dla osób mających problemy z samodzielnym poruszaniem się po ciągach komunikacyjnych&lt;br /&gt;- budynek stwarza barierę architektoniczną dla osób mających trudności z poruszaniem się, brak podjazdu, schody przy wejściu do budynku, ilość stopni 2&lt;br /&gt;- budynek nie posiada windy i ciągi pieszych nie są przystosowane do osób niepełnosprawnych&lt;br /&gt;- przy budynku jest miejsce parkingowe .&lt;br /&gt;- pomieszczenia sanitarno-higieniczne nie są przystosowane do osób niepełnosprawnych&lt;br /&gt;Stanowisko pracy zlokalizowane jest w pomieszczeniu biurowym oświetlonym przez światło naturalne i sztuczne, wyposażone w zestaw komputerowy z monitorem ekranowym, meble biurowe oraz elektryczne urządzenia biurowe.&lt;br /&gt;Stanowisko pracy nie jest dostosowane do potrzeb osób niedowidzących, niewidomych, niesłyszących i głuchoniemych.&lt;br /&gt;Na stanowisku pracy nie występują czynniki szkodliwe dla zdrowia&lt;br /&gt;&lt;h4&gt;Zakres zadań&lt;/h4&gt;&lt;br /&gt;- Główny Księgowy prowadzi księgi rachunkowe WIJHARS w szczególności dekretuje dowody księgowe zgodnie z Zakładowym Planem Kont w celu klasyfikacji zdarzeń gospodarczych i prawidłowego zaewidencjonowania dokonanych operacji gospodarczych do ksiąg rachunkowych, księguje operacje gospodarcze na podstawie dowodów ksiegowych w komputerowym systemie finansowo - ksiegowym w celu uzyskania bieżącej informacji o dokonanych zdarzeniach gospodarczych , o poniesionych wydatkach i osiąganych dochodach, dokonuje kontroli merytorycznej dokumentów w celu sprawdzenia legalności , zgodności z zawartymi umowami , zgodności z preliminarzem zasięg oferty: całe województwostkich operacji gospodarczych w Inspektoracie ( 50% czasu)- samodzielna realizacja zadania&lt;br /&gt;- Sprawdza rzetelność i poprawność zapisów księgowych ujętych w księgach rachunkowych poprzez uzgadnianie obrotów kont analitycznych z kontami syntetycznymi oraz uzgadnianie i analiza obrotów i sald kont rozrachunkowych w celu uzyskania bieżącej informacji o zobowiązaniach i należnościach WIJHARS, uzgadnianie poniesionych wydatków w układzie klasyfikacji budżetowej z kontami kosztowymi w celu wyelimiowania ewentualnych niezgodności oraz uzyskania prawidłowej informacji do sporządzania w terminie analiz i sprawozdań z wykonywania budżetu, ( 15% czasu pracy) - samodzielna realizacja zadania&lt;br /&gt;- Sporządza plany finansowe, sprawozdania z dochodów i wydatków Wojewódzkiego Inspektoratu zgodnie z obowiązującymi przepisami ( 10% czasu pracy) - samodzielna realizacja zadania&lt;br /&gt;- Prowadzi ewidencję syntetyczną i analityczną wartości majątku środków trwałych i pozostałych środków trwałych ( 5% czasu pracy) samodzielna realizacja zadania.&lt;br /&gt;- Obsługuje specjalistyczne programy: Trezor, Buza, bankowość elektroniczna (NBP), Płatnik, finansowo - ksiegowy, e -Dok ( 5% czasu pracy) - samodzielna realizacja zadania&lt;br /&gt;- Sporządza decyzje budżetowe, pisma dotyczące przesunięć w planie wydatków do Podkarpackiego Urzędu Wojewódzkiego, opracowuje odpowiedzi na przychodzące z PUW pisma ( 5% czasu pracy) samodzielna realizacja zadania&lt;br /&gt;</t>
  </si>
  <si>
    <t>&lt;br /&gt;Jeśli:&lt;br /&gt;- jesteś pasjonatem elektroniki, chętnym poznawania coraz to nozasięg oferty: całe województwoch technologii&lt;br /&gt;- wyzwania działają na Ciebie motywująco i dążysz do ich realizacji&lt;br /&gt;- praca z ludźmi to Twój żywioł, a kontakt z Klientem nakręca Cię do działania&lt;br /&gt;- jesteś zmotywowany, nie umiesz „usiedzieć w jednym miejscu” i zarażasz swoim pozytywnym podejściem innych :)&lt;br /&gt;nie wahaj się – APLIKUJ!&lt;br /&gt;</t>
  </si>
  <si>
    <t>Wordpress Developer</t>
  </si>
  <si>
    <t>27.05.2020</t>
  </si>
  <si>
    <t>01.06.2020</t>
  </si>
  <si>
    <t>https://www.praca.pl/wordpress-developer_3392100.html</t>
  </si>
  <si>
    <t>25.07.2020</t>
  </si>
  <si>
    <t>&lt;br /&gt;W Amsterdam Standard:&lt;br /&gt;- będziesz częścią zgranego zespołu, który ceni dobrą atmosferę zarówno w pracy jak i po,&lt;br /&gt;- rozwijasz się - oferujemy wewnętrzne warsztaty, szkolenia zewnętrzne, hackathony,&lt;br /&gt;- możesz wziąć udział w dofinansowanych przez nas szkoleniach,&lt;br /&gt;- doskonalisz język angielski/niderlandzki przy wsparciu pracodawcy,&lt;br /&gt;- korzystasz z firmowej biblioteki, w której cały czas przybywają kolejne pozycje,&lt;br /&gt;- dbamy o Twój work-life balance, pracujesz w elastycznych godzinach, w trybie zdalnym również&lt;br /&gt;- masz do dyspozycji piłkarzyki, darty, bilard,&lt;br /&gt;- integracja naszych pracowników jest dla nas najważniejsza - możesz liczyć na ciekawe imprezy :)&lt;br /&gt;- masz możliwość skorzystania z opieki medycznej i karty Multisport,&lt;br /&gt;- obecnie rekrutujemy online.&lt;br /&gt;</t>
  </si>
  <si>
    <t>Inżynier Budowy (DBI)</t>
  </si>
  <si>
    <t>https://www.praca.pl/inzynier-budowy-dbi_3392164.html</t>
  </si>
  <si>
    <t>25.06.2020</t>
  </si>
  <si>
    <t>&lt;br /&gt;Od kandydatów oczekujemy:&lt;br /&gt;- wykształcenia wyższego budowlanego infrastrukturalnego, geotechnicznego lub geodezyjnego&lt;br /&gt;- doświadczenia na podobnym stanowisku,&lt;br /&gt;- pasji oraz prawdziwego zainteresowania branżą.&lt;br /&gt;</t>
  </si>
  <si>
    <t>"ECO-LINE"</t>
  </si>
  <si>
    <t>Lakiernik Proszkowy</t>
  </si>
  <si>
    <t>https://www.pracuj.pl/praca/lakiernik-proszkowy-krosno,oferta,1000235920</t>
  </si>
  <si>
    <t>24.06.2020</t>
  </si>
  <si>
    <t>https://www.praca.pl/starszy-referent_3391012.html</t>
  </si>
  <si>
    <t>05.06.2020</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</si>
  <si>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o podatku od towarów i usług i ustawy o podatku akcyzowym,&lt;br /&gt;- Znajomość zasad rachunkowości,&lt;br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</si>
  <si>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https://www.praca.pl/starszy-referent_3391016.html</t>
  </si>
  <si>
    <t>Pracownik budowlany</t>
  </si>
  <si>
    <t>Pozostali mistrzowie produkcji w budownictwie</t>
  </si>
  <si>
    <t>https://gratka.pl/praca/pracownik-budowlany/ob/16760701?utm_source=zielonalinia.pl&amp;utm_medium=zielonalinia&amp;utm_campaign=export_xml</t>
  </si>
  <si>
    <t>RPd057|312390</t>
  </si>
  <si>
    <t>26.06.2020</t>
  </si>
  <si>
    <t>https://www.praca.pl/sprzedawca_3391164.html</t>
  </si>
  <si>
    <t>&lt;br /&gt;Szukamy osób, które:&lt;br /&gt;- Lubią pracę zespołową&lt;br /&gt;- Łatwo nawiązują kontakt&lt;br /&gt;- Angażują się w powierzone obowiązki&lt;br /&gt;- Są dyspozycyjne&lt;br /&gt;</t>
  </si>
  <si>
    <t>Informatyk / Serwisant</t>
  </si>
  <si>
    <t>https://www.praca.pl/informatyk-serwisant_3391790.html</t>
  </si>
  <si>
    <t>&lt;br /&gt;Zakres obowiązków:&lt;br /&gt;- Bieżąca pomoc użytkownikom w przypadku nieprawidłowej pracy sprzętu lub aplikacji.&lt;br /&gt;- Naprawa i zapobieganie awariom sprzętu komputerowego i aplikacji.&lt;br /&gt;- Realizacja przydzielonych zgłoszeń serwisowych z systemu help-desk.&lt;br /&gt;</t>
  </si>
  <si>
    <t>Sprzedawca materiałów budowlanych</t>
  </si>
  <si>
    <t>https://www.praca.pl/sprzedawca-materialow-budowlanych_3391784.html</t>
  </si>
  <si>
    <t>PPHU KOMA MARIUSZ KOT</t>
  </si>
  <si>
    <t>Kierownik warsztatu samochodów ciężarowych</t>
  </si>
  <si>
    <t>Polska, podkarpackie, Żołynia</t>
  </si>
  <si>
    <t>https://www.praca.pl/kierownik-warsztatu-samochodow-ciezarowych_3391904.html</t>
  </si>
  <si>
    <t>&lt;br /&gt;Wymagania:&lt;br /&gt;- mile widziana znajomość angielskiego&lt;br /&gt;- kreatywność&lt;br /&gt;- odpowiedzialność&lt;br /&gt;</t>
  </si>
  <si>
    <t>Specjalista ds Kadr</t>
  </si>
  <si>
    <t>https://www.praca.pl/specjalista-ds-kadr_3391902.html</t>
  </si>
  <si>
    <t>&lt;br /&gt;Główne zadania:&lt;br /&gt;- prowadzenie akt osobowych&lt;br /&gt;- weryfikacja druków i wniosków dot. absencji (tj. L4, wnioski urlopowe, urlop opieka)&lt;br /&gt;- ewidencja i rozliczanie czasu pracy przygotowywanie dokumentów pracowniczych (umowy, aneksy)&lt;br /&gt;- udzielanie informacji pracownikom z zakresu podstawowych zagadnień prawa pracy i naliczanych świadczeń&lt;br /&gt;</t>
  </si>
  <si>
    <t>Securitas Polska Sp. z o. o.</t>
  </si>
  <si>
    <t>Kwalifikowany Pracownik do ochrony transportów kolejowych</t>
  </si>
  <si>
    <t>Funkcjonariusz straży ochrony kolei</t>
  </si>
  <si>
    <t>https://www.praca.pl/kwalifikowany-pracownik-do-ochrony-transportow-kolejowych_3391776.html</t>
  </si>
  <si>
    <t>RPd057|541314</t>
  </si>
  <si>
    <t>&lt;br /&gt;Zakres obowiązków:&lt;br /&gt;- ochrona mienia przed kradzieżą, dewastacją i włamaniem,&lt;br /&gt;- monitorowanie bezpieczeństwa na terenie chronionego obiektu,&lt;br /&gt;- sumienna realizacja obowiązków służbowych.&lt;br /&gt;Poszukujemy osób:&lt;br /&gt;- z wpisem na listę Kwalifikowanych Pracowników Ochrony (warunek konieczny),&lt;br /&gt;- z prawem jazdy kategorii B,&lt;br /&gt;- z dobrą sprawnością psychofizyczną,&lt;br /&gt;- sumiennych i zaangażowanych w wykonywane obowiązki,&lt;br /&gt;- odpowiedzialnych,&lt;br /&gt;- zdecydowanych,&lt;br /&gt;- potrafiących pracować zespołowo.&lt;br /&gt;Mile widziane:&lt;br /&gt;- doświadczenie w pracy na podobnym stanowisku.&lt;br /&gt;Oferujemy:&lt;br /&gt;- umowę o pracę, &lt;br /&gt;- gwarancję wypłaty pełnego wynagrodzenia zawsze 10tego każdego miesiąca,&lt;br /&gt;- ubezpieczenie NW (od nieszczęśliwych wypadków),&lt;br /&gt;- kompletne, bezpłatne umundurowanie,&lt;br /&gt;- dofinansowanie do karnetów sportowo-rekreacyjnych,&lt;br /&gt;- możliwość korzystania z funduszu socjalnego w postaci pożyczek, zapomóg, dopłat do wypoczynku dzieci (ZFŚS),&lt;br /&gt;- możliwość awansu i rozwoju zawodowego w strukturach firmy.&lt;br /&gt;</t>
  </si>
  <si>
    <t>Krawcowa / Krawiec</t>
  </si>
  <si>
    <t>Krawiec*</t>
  </si>
  <si>
    <t>Polska, podkarpackie, Mielec, Polska</t>
  </si>
  <si>
    <t>https://gratka.pl/praca/krawcowa-krawiec/ob/16542268?utm_source=zielonalinia.pl&amp;utm_medium=zielonalinia&amp;utm_campaign=export_xml</t>
  </si>
  <si>
    <t>RPd057|753105</t>
  </si>
  <si>
    <t>07.06.2020</t>
  </si>
  <si>
    <t>Wymagania: &lt;ul&gt;&lt;li&gt;precyzyjność,&lt;/li&gt;&lt;li&gt;cierpliwość,&lt;/li&gt;&lt;li&gt;doświadczenie,&lt;/li&gt;&lt;li&gt;zdolności manualne,&lt;/li&gt;&lt;li&gt;zainteresowanie krawiectwem.&lt;/li&gt;&lt;/ul&gt;</t>
  </si>
  <si>
    <t>Starszy Programista Java (lider techniczny) [rekrutacja online]</t>
  </si>
  <si>
    <t>20.05.2020</t>
  </si>
  <si>
    <t>https://www.praca.pl/starszy-programista-java-lider-techniczny-rekrutacja-online_3378336.html</t>
  </si>
  <si>
    <t>18.07.2020</t>
  </si>
  <si>
    <t>&lt;br /&gt;Co będzie Ci potrzebne, aby móc wykonywać powierzone zadania?&lt;br /&gt;- minimum 5 lat doświadczenia w programowaniu na platformie Java,&lt;br /&gt;- pożądana szczegółowa znajomość jednej lub kilku z wymienionych technologii: JBoss EAP, Java, Hibernate, usługi sieciowe REST i SOAP,&lt;br /&gt;- doświadczenia optymalizacyjne JVM,&lt;br /&gt;- umiejętność doboru technologii do wymagań biznesowych,&lt;br /&gt;- umiejętność posługiwania się Enterprise Architect, posługiwania się dokumentacją/notacją UML i BPMN,&lt;br /&gt;- doświadczenie w optymalizacji wydajności danego rozwiązania,&lt;br /&gt;- umiejętność szacowania zadań projektowych,&lt;br /&gt;- umiejętność prowadzenia dyskusji technicznych (z biznesem i członkami zespołu), argumentowania i przekonywania do wyboru zaproponowanych rozwiązań&lt;br /&gt;- praktyczne doświadczenie w realizacji projektów w metodyce zwinnej,&lt;br /&gt;- umiejętność posługiwania się narzędziami JIRA, Confluence, GIT/Bitbucket, Jenkins/Bamboo&lt;br /&gt;</t>
  </si>
  <si>
    <t>Baubras Polska</t>
  </si>
  <si>
    <t>Młodszy Specjalista ds. marketingu/ rozwoju sprzedaży</t>
  </si>
  <si>
    <t>https://gratka.pl/praca/mlodszy-specjalista-ds-marketingu-rozwoju-sprzedazy/oi/16682082?utm_source=zielonalinia.pl&amp;utm_medium=zielonalinia&amp;utm_campaign=export_xml</t>
  </si>
  <si>
    <t>19.06.2020</t>
  </si>
  <si>
    <t>https://www.praca.pl/doradca-klienta-indywidualnego_3378980.html</t>
  </si>
  <si>
    <t>&lt;br /&gt;- współpracuje –zarówno z Klientami, jak i Pracownikami całego Banku&lt;br /&gt;- inicjuje – poszukuje nowych rozwiązań, pomysłów i metod pracy&lt;br /&gt;- dostarcza – osiąga założone cele i wywiązuje się z terminów&lt;br /&gt;</t>
  </si>
  <si>
    <t>https://www.praca.pl/konsultant-ds-sprzedazy-w-salonie-orange_3378164.html</t>
  </si>
  <si>
    <t>&lt;br /&gt;Twoje zadania:&lt;br /&gt;- sprzedaż i promowanie oferty Orange&lt;br /&gt;- realizacja indywidualnych celów sprzedażowych i jakościowych&lt;br /&gt;- obsługa i budowanie trwałych relacji z Klientami&lt;br /&gt;- posprzedażna obsługa  abonentów Sieci Orange&lt;br /&gt;</t>
  </si>
  <si>
    <t>https://www.pracuj.pl/praca/doradca-klienta-krosno-mielec-rzeszow,oferta,7395499</t>
  </si>
  <si>
    <t>17.05.2020</t>
  </si>
  <si>
    <t>1811,1861,1863</t>
  </si>
  <si>
    <t>https://www.pracuj.pl/praca/logistyk-magazynier-krosno-mielec-rzeszow,oferta,7395339</t>
  </si>
  <si>
    <t>MAGTRANS Sp. z o. o.</t>
  </si>
  <si>
    <t>Kierowca C+E CE (międzynarodowy - EU Europa)</t>
  </si>
  <si>
    <t>Kierowca ciągnika siodłowego</t>
  </si>
  <si>
    <t>https://www.praca.pl/kierowca-c-e-ce-miedzynarodowy-eu-europa_3378350.html</t>
  </si>
  <si>
    <t>&lt;br /&gt;- min. 1 rocznego doświadczenia w prowadzeniu pojazdów min. kategorii C lub C+E,&lt;br /&gt;- komunikacji w języku polskim,&lt;br /&gt;- odpowiedzialności i motywacji do pracy,&lt;br /&gt;- uczciwości i rzetelności w wykonywaniu swoich obowiązków,&lt;br /&gt;- dbałości o powierzone mienie.&lt;br /&gt;</t>
  </si>
  <si>
    <t>https://www.praca.pl/doradca-klienta_3332102.html</t>
  </si>
  <si>
    <t>&lt;br /&gt;Zostając Expertem otrzymasz także:&lt;br /&gt;- możliwość wypracowania wysokiej premii&lt;br /&gt;- zniżki na najlepszy sprzęt z naszych elektromarketów&lt;br /&gt;- ubezpieczenie dla Ciebie i Twojej rodziny na preferencyjnych warunkach&lt;br /&gt;- szansę na awans&lt;br /&gt;- pakiet szkoleń&lt;br /&gt;- dofinansowanie do karty MultiSport dla lepszej formy&lt;br /&gt;- pomoc i opiekę naszej fundacji „Włącz się”&lt;br /&gt;Twoje zadania:&lt;br /&gt;- pomagaj Klientom wybierać najlepsze dla nich produkty&lt;br /&gt;- bądź profesjonalny&lt;br /&gt;To co, jesteśmy umówieni na wspólną przyszłość?&lt;br /&gt;</t>
  </si>
  <si>
    <t>https://www.praca.pl/doradca-klienta_3332212.html</t>
  </si>
  <si>
    <t>https://www.praca.pl/doradca-klienta_3332216.html</t>
  </si>
  <si>
    <t>Pracownik Sklepu Internetowego</t>
  </si>
  <si>
    <t>https://www.praca.pl/pracownik-sklepu-internetowego_3378504.html</t>
  </si>
  <si>
    <t>18.06.2020</t>
  </si>
  <si>
    <t>&lt;br /&gt;Oczekiwania wobec kandydatów:&lt;br /&gt;- Wykształcenie wyższe&lt;br /&gt;- Doświadczenie w pracy na podobnym stanowisku - mile widziane&lt;br /&gt;- Dokładność, sumienność&lt;br /&gt;- Gotowość do pracy w dynamicznie zmieniającym się środowisku oraz pod presją czasu&lt;br /&gt;- Umiejętność zarządzania czasem oraz organizacja pracy własnej&lt;br /&gt;</t>
  </si>
  <si>
    <t>Kierownik strefy – menadżer ds. sprzedaży w sieci dealerskiej</t>
  </si>
  <si>
    <t>https://www.praca.pl/kierownik-strefy-menadzer-ds-sprzedazy-w-sieci-dealerskiej_3378954.html</t>
  </si>
  <si>
    <t>&lt;br /&gt;Twoje zadania:&lt;br /&gt;- pozyskiwanie do współpracy nowych kontrahentów&lt;br /&gt;- współpraca z dealerami, pośrednikami i komisami samochodowymi&lt;br /&gt;- realizacja uzgodnionych planów sprzedaży na podległym terenie&lt;br /&gt;- zarządzanie sprzedażą usług finansowych w sieci dealerskiej&lt;br /&gt;- budowanie i utrzymanie długofalowych relacji z klientami&lt;br /&gt;</t>
  </si>
  <si>
    <t>Nowak-Mosty Sp. z o.o.</t>
  </si>
  <si>
    <t>Majster / Mistrz robót mostowych</t>
  </si>
  <si>
    <t>https://www.praca.pl/majster-mistrz-robot-mostowych_3378460.html</t>
  </si>
  <si>
    <t>&lt;br /&gt;- planowanie i organizacja poszczególnych etapów realizacji prac budowlanych,&lt;br /&gt;- umiejętność zarządzania materiałami i sprzętem,&lt;br /&gt;- umiejętność zarządzania czasem pracy oraz ustalania priorytetów zadań,&lt;br /&gt;- znajomość obsługi i eksploatacji urządzeń budowlanych,&lt;br /&gt;- zaangażowanie, dyspozycyjność do pracy w terenie,&lt;br /&gt;- biegła znajomość czytania rysunków technicznych&lt;br /&gt;- znajomość przepisów i zasad BHP,&lt;br /&gt;- prawo jazdy kategorii B&lt;br /&gt;Doświadczenie&lt;br /&gt;- min. 2 letnie doświadczenie na stanowisku majster/mistrz robót budowlanych/mostowych&lt;br /&gt;</t>
  </si>
  <si>
    <t>https://www.praca.pl/mlodszy-specjalista-ds-zapewnienia-jakosci_3378686.html</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</si>
  <si>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</si>
  <si>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https://www.praca.pl/inspektor-weterynaryjny_3378022.html</t>
  </si>
  <si>
    <t>29.05.2020</t>
  </si>
  <si>
    <t>PRESYSTEM SPÓŁKA Z OGRANICZONĄ ODPOWIEDZIALNOŚCIĄ SPÓŁKA KOMANDYTOWA</t>
  </si>
  <si>
    <t>Monter instalacji sanitarnych (sieci ciepłownicze)</t>
  </si>
  <si>
    <t>https://www.praca.pl/monter-instalacji-sanitarnych-sieci-cieplownicze_3378644.html</t>
  </si>
  <si>
    <t>&lt;br /&gt;- Doświadczenie w pracach związanych z montażem instalacji sanitarnych, rur stalowych&lt;br /&gt;Dodatkowym atutem będą:&lt;br /&gt;- Prawo jazdy kat. B&lt;br /&gt;- Znajomość rysunku technicznego&lt;br /&gt;</t>
  </si>
  <si>
    <t>Sport-Premium Sp. z o.o.</t>
  </si>
  <si>
    <t>https://www.pracuj.pl/praca/przedstawiciel-handlowy-debica,oferta,1000222047</t>
  </si>
  <si>
    <t>17.06.2020</t>
  </si>
  <si>
    <t>https://www.pracuj.pl/praca/przedstawiciel-handlowy-mielec,oferta,1000222085</t>
  </si>
  <si>
    <t>https://www.pracuj.pl/praca/przedstawiciel-handlowy-nisko,oferta,1000222092</t>
  </si>
  <si>
    <t>https://www.pracuj.pl/praca/przedstawiciel-handlowy-przemysl,oferta,1000222108</t>
  </si>
  <si>
    <t>https://www.pracuj.pl/praca/przedstawiciel-handlowy-przeworsk,oferta,1000222109</t>
  </si>
  <si>
    <t>https://www.pracuj.pl/praca/przedstawiciel-handlowy-ropczyce,oferta,1000222114</t>
  </si>
  <si>
    <t>https://www.pracuj.pl/praca/przedstawiciel-handlowy-rzeszow,oferta,1000222117</t>
  </si>
  <si>
    <t>https://www.pracuj.pl/praca/przedstawiciel-handlowy-tarnobrzeg,oferta,1000222139</t>
  </si>
  <si>
    <t>Polska, podkarpackie, Rudnik nad Sanem</t>
  </si>
  <si>
    <t>https://www.pracuj.pl/praca/przedstawiciel-handlowy-rudnik-nad-sanem,oferta,1000222163</t>
  </si>
  <si>
    <t>KIEROWCÓW C+E – na trasach międzynarodowych i krajowych</t>
  </si>
  <si>
    <t>https://gratka.pl/praca/kierowcow-c-e-na-trasach-miedzynarodowych-i-krajowych/ob/16676928?utm_source=zielonalinia.pl&amp;utm_medium=zielonalinia&amp;utm_campaign=export_xml</t>
  </si>
  <si>
    <t>Wymagania: &lt;ul&gt;&lt;li&gt;uprawnienia do wykonywania zawodu (kat. C+E)&lt;/li&gt;&lt;li&gt;ważne badania lekarskie&lt;/li&gt;&lt;li&gt;uczciwość i rzetelność w wykonywaniu obowiązków.&lt;/li&gt;&lt;/ul&gt;</t>
  </si>
  <si>
    <t>Fundacja Aktywizacja</t>
  </si>
  <si>
    <t>Dostawca</t>
  </si>
  <si>
    <t>13.05.2020</t>
  </si>
  <si>
    <t>18.05.2020</t>
  </si>
  <si>
    <t>https://www.praca.pl/dostawca_3366220.html</t>
  </si>
  <si>
    <t>11.06.2020</t>
  </si>
  <si>
    <t>&lt;br /&gt;WYMAGANIA:&lt;br /&gt;- Orzeczenie o niepełnosprawności&lt;br /&gt;- Prawo jazdy kat. B&lt;br /&gt;- Mile widziane doświadczenie na podobnych stanowiskach&lt;br /&gt;- Zdolność do dźwigania (praca polega na doręczaniu korespondencji, dostarczamy również cięższe przesyłki, więc wymagana jest dobra sprawność fizyczna / ruchowa)&lt;br /&gt;- Chęci do pracy&lt;br /&gt;- Komunikatywność&lt;br /&gt;</t>
  </si>
  <si>
    <t>https://www.praca.pl/dostawca_3366232.html</t>
  </si>
  <si>
    <t>Kierowca kat. B</t>
  </si>
  <si>
    <t>https://www.praca.pl/kierowca-kat-b_3366212.html</t>
  </si>
  <si>
    <t>&lt;br /&gt;WYMAGANIA:&lt;br /&gt;- Orzeczenie o niepełnosprawności&lt;br /&gt;- Prawo jazdy kat. B&lt;br /&gt;- Mile widziane doświadczenie na podobnych stanowiskach&lt;br /&gt;- Zdolność do dźwigania (praca polega m.in. na załadunku przesyłek o różnej wadze, więc wymagana jest dobra sprawność fizyczna / ruchowa)&lt;br /&gt;- Chęci do pracy&lt;br /&gt;- Komunikatywność&lt;br /&gt;</t>
  </si>
  <si>
    <t>https://www.praca.pl/kierownik-robot-mostowych_3366196.html</t>
  </si>
  <si>
    <t>PROBET Sp. z o.o.</t>
  </si>
  <si>
    <t>https://www.praca.pl/pracownik-gospodarczy_3366706.html</t>
  </si>
  <si>
    <t>&lt;br /&gt;WYMOGI:&lt;br /&gt;- mile widziane aktualne orzeczenie o niepełnosprawności&lt;br /&gt;- zdecydowanie do podjęcia pracy od zaraz&lt;br /&gt;</t>
  </si>
  <si>
    <t>Ekspert ds. Produktów Finansowych</t>
  </si>
  <si>
    <t>https://www.pracuj.pl/praca/ekspert-ds-produktow-finansowych-debica,oferta,1000217514</t>
  </si>
  <si>
    <t>https://www.pracuj.pl/praca/ekspert-ds-produktow-finansowych-jaroslaw,oferta,1000217515</t>
  </si>
  <si>
    <t>https://www.pracuj.pl/praca/ekspert-ds-produktow-finansowych-jaslo,oferta,1000217516</t>
  </si>
  <si>
    <t>https://www.pracuj.pl/praca/ekspert-ds-produktow-finansowych-kolbuszowa,oferta,1000217517</t>
  </si>
  <si>
    <t>https://www.pracuj.pl/praca/ekspert-ds-produktow-finansowych-krosno,oferta,1000217518</t>
  </si>
  <si>
    <t>https://www.pracuj.pl/praca/ekspert-ds-produktow-finansowych-lesko,oferta,1000217519</t>
  </si>
  <si>
    <t>https://www.pracuj.pl/praca/ekspert-ds-produktow-finansowych-lubaczow,oferta,1000217520</t>
  </si>
  <si>
    <t>https://www.pracuj.pl/praca/ekspert-ds-produktow-finansowych-lancut,oferta,1000217521</t>
  </si>
  <si>
    <t>https://www.pracuj.pl/praca/ekspert-ds-produktow-finansowych-mielec,oferta,1000217522</t>
  </si>
  <si>
    <t>https://www.pracuj.pl/praca/ekspert-ds-produktow-finansowych-nisko,oferta,1000217523</t>
  </si>
  <si>
    <t>https://www.pracuj.pl/praca/ekspert-ds-produktow-finansowych-nowa-deba,oferta,1000217524</t>
  </si>
  <si>
    <t>https://www.pracuj.pl/praca/ekspert-ds-produktow-finansowych-przemysl,oferta,1000217525</t>
  </si>
  <si>
    <t>https://www.pracuj.pl/praca/ekspert-ds-produktow-finansowych-rzeszow,oferta,1000217526</t>
  </si>
  <si>
    <t>https://www.pracuj.pl/praca/ekspert-ds-produktow-finansowych-sanok,oferta,1000217527</t>
  </si>
  <si>
    <t>https://www.pracuj.pl/praca/ekspert-ds-produktow-finansowych-stalowa-wola,oferta,1000217528</t>
  </si>
  <si>
    <t>https://www.pracuj.pl/praca/ekspert-ds-produktow-finansowych-ustrzyki-dolne,oferta,1000217529</t>
  </si>
  <si>
    <t>Polska, podkarpackie, Solina (pow. leski)</t>
  </si>
  <si>
    <t>https://www.pracuj.pl/praca/ekspert-ds-produktow-finansowych-solina-pow-leski,oferta,1000217530</t>
  </si>
  <si>
    <t>Polska, podkarpackie, Polańczyk (pow. leski)</t>
  </si>
  <si>
    <t>https://www.pracuj.pl/praca/ekspert-ds-produktow-finansowych-polanczyk-pow-leski,oferta,1000217531</t>
  </si>
  <si>
    <t>Perfumiarz</t>
  </si>
  <si>
    <t>Polska, podkarpackie, Harasiuki (pow. niżański)</t>
  </si>
  <si>
    <t>https://www.pracuj.pl/praca/ekspert-ds-produktow-finansowych-harasiuki-pow-nizanski,oferta,1000217532</t>
  </si>
  <si>
    <t>RPd057|211304</t>
  </si>
  <si>
    <t>Polska, podkarpackie, Adamówka (pow. przeworski)</t>
  </si>
  <si>
    <t>https://www.pracuj.pl/praca/ekspert-ds-produktow-finansowych-adamowka-pow-przeworski,oferta,1000217533</t>
  </si>
  <si>
    <t>Polska, podkarpackie, Stary Lubliniec (pow. lubaczowski)</t>
  </si>
  <si>
    <t>https://www.pracuj.pl/praca/ekspert-ds-produktow-finansowych-stary-lubliniec-pow-lubaczowski,oferta,1000217534</t>
  </si>
  <si>
    <t>https://www.pracuj.pl/praca/ekspert-ds-produktow-finansowych-tarnobrzeg,oferta,1000217664</t>
  </si>
  <si>
    <t>SNSZ Sp. z. o. o.</t>
  </si>
  <si>
    <t>https://www.praca.pl/kosmetyczka_3366904.html</t>
  </si>
  <si>
    <t>11.07.2020</t>
  </si>
  <si>
    <t>&lt;br /&gt;- Wykształcenie kierunkowe&lt;br /&gt;- Solidność, sumienność, zaangażowanie&lt;br /&gt;- Elastyczność, chęć podnoszenia kwalifikacji&lt;br /&gt;- Miła aparycja i wysoka kultura osobista&lt;br /&gt;- Łatwość nawiązywania kontaktów z ludźmi&lt;br /&gt;- Doświadczenie w zawodzie mile widziane&lt;br /&gt;- Znajomość obsługi komputera&lt;br /&gt;</t>
  </si>
  <si>
    <t>Kierownik Placówki</t>
  </si>
  <si>
    <t>https://www.praca.pl/kierownik-placowki_3366682.html</t>
  </si>
  <si>
    <t>&lt;br /&gt;Jedyne co musisz zrobić to wysłać swoje CV plus:&lt;br /&gt;- Funkcjonować w biznesie finansowym od minimum dwóch lat i rozumieć go, a od roku zarządzać ludźmi.&lt;br /&gt;- Mieć wyższe wykształcenie. Bez tego ani rusz.&lt;br /&gt;- Być mistrzem relacji międzyludzkich i urodzonym liderem.&lt;br /&gt;- Cenić samodzielność. Przyda się w prowadzeniu Twojego biznesu.&lt;br /&gt;</t>
  </si>
  <si>
    <t>Pomocnik operatora (m/k)</t>
  </si>
  <si>
    <t>Pomocnik mechanika</t>
  </si>
  <si>
    <t>https://gratka.pl/praca/pomocnik-operatora-m-k/ob/16249561?utm_source=zielonalinia.pl&amp;utm_medium=zielonalinia&amp;utm_campaign=export_xml</t>
  </si>
  <si>
    <t>RPd057|932908</t>
  </si>
  <si>
    <t>12.05.2020</t>
  </si>
  <si>
    <t>Oczekujemy: &lt;ul&gt;&lt;li&gt;wykształcenie min. zawodowe,&lt;/li&gt;&lt;li&gt;mile widziane doświadczenie w pracy na podobnym stanowisku,&lt;/li&gt;&lt;li&gt;mile widziana umiejętność obsługi maszyn: ciągi impregnacyjne, wciągi łańcuchowe,&lt;/li&gt;&lt;li&gt;umiejętność obsługi komputera,&lt;/li&gt;&lt;li&gt;bardzo dobra organizacja pracy.&lt;/li&gt;&lt;/ul&gt;</t>
  </si>
  <si>
    <t>Apteki Gemini</t>
  </si>
  <si>
    <t>06.05.2020</t>
  </si>
  <si>
    <t>14.05.2020</t>
  </si>
  <si>
    <t>https://www.praca.pl/magister-farmacji_3339348.html</t>
  </si>
  <si>
    <t>&lt;br /&gt;Cenimy:&lt;br /&gt;- Empatię i otwartość w pracy z Pacjentem&lt;br /&gt;- Inicjatywę, która przełoży się na realne działania,&lt;br /&gt;- Samodzielność i umiejętność organizacji pracy własnej,&lt;br /&gt;- Znajomość branży,&lt;br /&gt;- Umiejętność pracy w zespole.&lt;br /&gt;</t>
  </si>
  <si>
    <t>Big Fish</t>
  </si>
  <si>
    <t>Buyer/Category Leader (indirect materials)</t>
  </si>
  <si>
    <t>15.05.2020</t>
  </si>
  <si>
    <t>https://www.goldenline.pl/praca/oferta/1257538/zielonalinia0?utm_campaign=partner&amp;gpid=965988&amp;utm_medium=export&amp;glc_source=zielonalinia0&amp;utm_source=zielonalinia0</t>
  </si>
  <si>
    <t>Wymagania:&lt;br /&gt;&lt;h2&gt;The role&lt;/h2&gt;As a Senior Buyer you will be responsible for definition and execution of purchasing strategy for indirect materials such as: Capex, MRO, administration, IT, facilities. This is a new role in the organization.&lt;h2&gt;Key responsibilities&lt;/h2&gt;Reporting to the Group Purchasing Manager you will be mostly responsible for:definition and execution for indirect materials category strategy analyzing supplier cost performance data, driving cost reduction projects identifying, developing and managing strategic business relationships to ensure the alignment of sourcing strategies to meet local business requirements running procurement projects with cross functional team negotiation of contract agreements with suppliers contract management building trust relations with internal stakeholders suppliers relations management (supplier selection, defining Total Cost of Ownership, market analysis, cost benchmarking &amp; complaint handling)&lt;h2&gt;The Ideal Candidate will have&lt;/h2&gt;&lt;ul&gt;&lt;div class="lista"&gt;BA degree&lt;/div&gt;&lt;div class="lista"&gt;minimum 3 years of procurement related experience ideally from a manufacturing industry&lt;/div&gt;&lt;/ul&gt;Environment&lt;ul&gt;&lt;div class="lista"&gt;minimum 3 years of experience in indirect materials category management&lt;/div&gt;&lt;div class="lista"&gt;strong project management skills and experience in leading and participating in project teams in an internal complex environment&lt;/div&gt;&lt;div class="lista"&gt;strong analytic and systematic skills&lt;/div&gt;&lt;/ul&gt;customer focus to ensure that expectations and needs are met positive attitude and curiosity Problem solving and decision making abilities to ensure fast and proper actions to support the business&lt;ul&gt;&lt;div class="lista"&gt;experience in having the “Customer in focus"&lt;/div&gt;&lt;div class="lista"&gt;strong negotiation skills&lt;/div&gt;&lt;div class="lista"&gt;good people skills and a good ability to impact different stakeholders on different levels in the organization&lt;/div&gt;&lt;div class="lista"&gt;high personal drive and is result oriented&lt;/div&gt;&lt;div class="lista"&gt;strong time management skills&lt;/div&gt;&lt;d</t>
  </si>
  <si>
    <t>Doradca Klienta [rekrutacja prowadzona online lub telefonicznie]</t>
  </si>
  <si>
    <t>https://www.pracuj.pl/praca/doradca-klienta-rekrutacja-prowadzona-online-lub-telefonicznie-nisko,oferta,7450274</t>
  </si>
  <si>
    <t>03.05.2020</t>
  </si>
  <si>
    <t>https://www.pracuj.pl/praca/spawacz-tig-przeworsk,oferta,7458433</t>
  </si>
  <si>
    <t>CCIG Group Sp. z o.o.</t>
  </si>
  <si>
    <t>Telefoniczny Doradca Klienta - Infolinia przychodząca</t>
  </si>
  <si>
    <t>https://www.praca.pl/telefoniczny-doradca-klienta-infolinia-przychodzaca_3322544.html</t>
  </si>
  <si>
    <t>13.06.2020</t>
  </si>
  <si>
    <t>&lt;br /&gt;Wymagania:&lt;br /&gt;- Umiejętność obsługi komputera, w tym znajomość pakietu MS Office,&lt;br /&gt;- Łatwość w nawiązywaniu kontaktów,&lt;br /&gt;- Zaangażowanie i chęć do pracy,&lt;br /&gt;- Swoboda w wypowiadaniu się,&lt;br /&gt;- Odporność na stres, umiejętność analitycznego myślenia i rozwiązywania problemów,&lt;br /&gt;- Wysoka kultura osobista.&lt;br /&gt;</t>
  </si>
  <si>
    <t>Nauczyciel grafiki komputerowej</t>
  </si>
  <si>
    <t>https://www.praca.pl/nauczyciel-grafiki-komputerowej_3355066.html</t>
  </si>
  <si>
    <t>04.06.2020</t>
  </si>
  <si>
    <t>&lt;br /&gt;APLIKUJ, JEŚLI POSIADASZ:&lt;br /&gt;- Wykształcenie kierunkowe&lt;br /&gt;- Kwalifikacje uprawniające do nauczania danego przedmiotu (mile widziane)&lt;br /&gt;- Przygotowanie pedagogiczne (mile widziane)&lt;br /&gt;- Sumienność&lt;br /&gt;- Rzetelność&lt;br /&gt;</t>
  </si>
  <si>
    <t>Nauczyciel języka migowego</t>
  </si>
  <si>
    <t>Tłumacz języka migowego</t>
  </si>
  <si>
    <t>https://www.praca.pl/nauczyciel-jezyka-migowego_3355032.html</t>
  </si>
  <si>
    <t>RPd057|264310</t>
  </si>
  <si>
    <t>Nauczyciel na kierunku rejestratorka medyczna</t>
  </si>
  <si>
    <t>Rejestratorka medyczna</t>
  </si>
  <si>
    <t>https://www.praca.pl/nauczyciel-na-kierunku-rejestratorka-medyczna_3355104.html</t>
  </si>
  <si>
    <t>RPd057|422603</t>
  </si>
  <si>
    <t>Nauczyciel na kierunku Trener personalny</t>
  </si>
  <si>
    <t>https://www.praca.pl/nauczyciel-na-kierunku-trener-personalny_3345594.html</t>
  </si>
  <si>
    <t>Nauczyciel stylizacji</t>
  </si>
  <si>
    <t>https://www.praca.pl/nauczyciel-stylizacji_3355138.html</t>
  </si>
  <si>
    <t>Programista .NET [rekrutacja prowadzona online lub telefonicznie]</t>
  </si>
  <si>
    <t>https://www.pracuj.pl/praca/programista-net-rekrutacja-prowadzona-online-lub-telefonicznie-debica-jaroslaw-jaslo-kolbuszowa-krosno-lezajsk-lubaczow-lancut-mielec-nisko-nowa-deba-przemysl-pr,oferta,7450867</t>
  </si>
  <si>
    <t>1803,1804,1805,1806,1861,1808,1809,1810,1811,1812,1820,1813,1862,1814,1815,1863,1817,1818,1864,1801</t>
  </si>
  <si>
    <t>https://www.pracuj.pl/praca/wlasciciel-multiagencji-ubezpieczeniowej-debica-jaroslaw-jaslo-kolbuszowa-krosno-lezajsk-lubaczow-lancut-mielec-nisko-nowa-deba-przemysl-przeworsk-ropczyce-rzesz,oferta,7296116</t>
  </si>
  <si>
    <t>1803,1804,1805,1806,1861,1808,1809,1810,1811,1812,1820,1862,1814,1815,1863,1817,1818,1864,1801</t>
  </si>
  <si>
    <t>ADC Audit Analyst [rekrutacja prowadzona online lub telefonicznie]</t>
  </si>
  <si>
    <t>https://www.pracuj.pl/praca/adc-audit-analyst-rekrutacja-prowadzona-online-lub-telefonicznie-rzeszow,oferta,7447518</t>
  </si>
  <si>
    <t>Analityk w Audit Delivery Center [rekrutacja prowadzona online lub telefonicznie]</t>
  </si>
  <si>
    <t>https://www.pracuj.pl/praca/analityk-w-audit-delivery-center-rekrutacja-prowadzona-online-lub-telefonicznie-rzeszow,oferta,7447513</t>
  </si>
  <si>
    <t>Staż w Audit Delivery Center [rekrutacja prowadzona online lub telefonicznie]</t>
  </si>
  <si>
    <t>https://www.pracuj.pl/praca/staz-w-audit-delivery-center-rekrutacja-prowadzona-online-lub-telefonicznie-rzeszow,oferta,7448757</t>
  </si>
  <si>
    <t>Dobrowolscy</t>
  </si>
  <si>
    <t>Dyrektor ds. Rynku Tradycyjnego [Rekrutacja prowadzona online]</t>
  </si>
  <si>
    <t>Polska, podkarpackie, Wadowice Górne (pow. mielecki)</t>
  </si>
  <si>
    <t>https://www.pracuj.pl/praca/dyrektor-ds-rynku-tradycyjnego-rekrutacja-prowadzona-online-wadowice-gorne-pow-mielecki,oferta,7446347</t>
  </si>
  <si>
    <t>Test Cell Manager (on line/phone recruitment)</t>
  </si>
  <si>
    <t>https://www.pracuj.pl/praca/test-cell-manager-on-line-phone-recruitment-rzeszow-jasionka-pow-rzeszowski-tajecina-pow-rzeszowski,oferta,7458680</t>
  </si>
  <si>
    <t>Fabryka Wódek Polmos Łańcut S.A.</t>
  </si>
  <si>
    <t>Mechanik - Elektromechanik w Dziale Utrzymania Ruchu [rekrutacja prowadzona online lub telefonicznie]</t>
  </si>
  <si>
    <t>https://www.pracuj.pl/praca/mechanik-elektromechanik-w-dziale-utrzymania-ruchu-rekrutacja-prowadzona-online-lancut,oferta,7447633</t>
  </si>
  <si>
    <t>FBSERWIS SA</t>
  </si>
  <si>
    <t>Koordynator ds. Logistyki</t>
  </si>
  <si>
    <t>https://www.praca.pl/koordynator-ds-logistyki_3343702.html</t>
  </si>
  <si>
    <t>28.05.2020</t>
  </si>
  <si>
    <t>&lt;br /&gt;Zadania, które przed Tobą postawimy:&lt;br /&gt;- Zapewnienie realizacji kontraktów związanych z odbiorem odpadów komunalnych zgodnie z zawartymi umowami&lt;br /&gt;- Planowanie i nadzorowanie pracy podległych pracowników (kierowców oraz ładowaczy)&lt;br /&gt;- Analiza dokumentacji przetargowej i warunków zawartych w umowach z klientami&lt;br /&gt;- Przygotowanie raportów i sprawozdań na potrzeby firmy&lt;br /&gt;- Nadzór nad utrzymaniem sprawności technicznej i eksploatacyjnej pojazdów spółki&lt;br /&gt;- Zdolności organizacyjne, asertywność, umiejętność efektywnej pracy pod presją czasu i stresu&lt;br /&gt;Jakie wymagania stawiamy potencjalnym kandydatom?&lt;br /&gt;- Wykształcenie wyższe (preferowane techniczne)&lt;br /&gt;- Minimum 3 lata doświadczenia na podobnym stanowisku&lt;br /&gt;- Bardzo dobra znajomość programu Excel&lt;br /&gt;- Znajomość zagadnień gospodarki odpadami, mile widziana wiedza dotycząca prawa pracy, zamówień publicznych, transportu&lt;br /&gt;- Prawo jazdy kat B&lt;br /&gt;</t>
  </si>
  <si>
    <t>F.U.H. Monika Mysza</t>
  </si>
  <si>
    <t>Projektant / Architekt Wnętrz</t>
  </si>
  <si>
    <t>https://www.praca.pl/projektant-architekt-wnetrz_3192539.html</t>
  </si>
  <si>
    <t>11.05.2020</t>
  </si>
  <si>
    <t>&lt;br /&gt;- znajomość Autocada oraz Archicada&lt;br /&gt;- doświadczenie w wizualizacjach 3d max studio oraz sketchup&lt;br /&gt;- dyspozycyjność&lt;br /&gt;</t>
  </si>
  <si>
    <t>SPECJALISTA DS. SPRZEDAŻY CZĘŚCI</t>
  </si>
  <si>
    <t>https://www.goldenline.pl/praca/oferta/1256740/zielonalinia0?utm_campaign=partner&amp;gpid=965096&amp;utm_medium=export&amp;glc_source=zielonalinia0&amp;utm_source=zielonalinia0</t>
  </si>
  <si>
    <t>Wymagania:&lt;br /&gt;&lt;h3 dir="ltr"&gt;Zakres obowiązków:&lt;/h3&gt;&lt;ul&gt;&lt;div class="lista"&gt;obsługa klienta w zakresie sprzedaży części zamiennych i akcesoriów do pojazdów,&lt;/div&gt;&lt;div class="lista"&gt;obsługa dotychczasowych klientów, podejmowanie działań mających na celu zbudowanie nowej sieci odbiorców,&lt;/div&gt;&lt;div class="lista"&gt;kreatywne pozyskiwanie klientów,&lt;/div&gt;&lt;div class="lista"&gt;przygotowywanie ofert handlowych dla stałych i nowych klientów,&lt;/div&gt;&lt;div class="lista"&gt;realizacja planów sprzedażowych i celów jakościowych,&lt;/div&gt;&lt;div class="lista"&gt;dbanie o wizerunek firmy oraz najwyższą jakość obsługi.&lt;/div&gt;&lt;/ul&gt;&lt;h3 dir="ltr"&gt;Oczekiwania/wymagania:&lt;/h3&gt;&lt;ul&gt;&lt;div class="lista"&gt;doświadczenie w pracy na podobnym stanowisku,&lt;/div&gt;&lt;div class="lista"&gt;znajomość lokalnego rynku motoryzacyjnego,&lt;/div&gt;&lt;div class="lista"&gt;wysoka kultura osobista, rzetelność i odpowiedzialność za powierzone zadania,&lt;/div&gt;&lt;div class="lista"&gt;znajomość budowy samochodów ciężarowych,&lt;/div&gt;&lt;div class="lista"&gt;dyspozycyjność, bardzo dobra organizacja pracy własnej oraz motywacja do podejmowania działań,&lt;/div&gt;&lt;div class="lista"&gt;płynna obsługa pakietu MS Office,&lt;/div&gt;&lt;div class="lista"&gt;pozytywne nastawienie,&lt;/div&gt;&lt;div class="lista"&gt;prawo jazdy kategorii B.&lt;/div&gt;&lt;/ul&gt;&lt;h3 dir="ltr"&gt;Oferujemy:&lt;/h3&gt;&lt;ul&gt;&lt;div class="lista"&gt;pracę w firmie o ugruntowanej pozycji na rynku,&lt;/div&gt;&lt;div class="lista"&gt;swobodę działania-cenimy ludzi kreatywnych i skutecznych,&lt;/div&gt;&lt;div class="lista"&gt;niezbędne narzędzia do pracy: telefon, komputer, samochód służbowy,&lt;/div&gt;&lt;div class="lista"&gt;ciekawą i pełną wyzwań pracę,&lt;/div&gt;&lt;div class="lista"&gt;możliwość rozwoju zawodowego,&lt;/div&gt;&lt;div class="lista"&gt;atrakcyjne wynagrodzenie,&lt;/div&gt;&lt;div class="lista"&gt;prywatna opieka medyczna,&lt;/div&gt;&lt;div class="lista"&gt;ubezpieczenie na życie i NNW. &lt;/div&gt;&lt;/ul&gt;</t>
  </si>
  <si>
    <t>Order Administrator [rekrutacja prowadzona online]</t>
  </si>
  <si>
    <t>https://www.pracuj.pl/praca/order-administrator-rekrutacja-prowadzona-online-jasionka-pow-rzeszowski,oferta,7460841</t>
  </si>
  <si>
    <t>HR Partner Monika Pszuk</t>
  </si>
  <si>
    <t>Projektant instalacji elektrycznych</t>
  </si>
  <si>
    <t>https://www.goldenline.pl/praca/oferta/1257788/zielonalinia0?utm_campaign=partner&amp;gpid=966324&amp;utm_medium=export&amp;glc_source=zielonalinia0&amp;utm_source=zielonalinia0</t>
  </si>
  <si>
    <t>09.06.2020</t>
  </si>
  <si>
    <t>Wymagania:&lt;br /&gt;&lt;div class="obowiazkiE"&gt;&lt;/div&gt;&lt;ul&gt;&lt;div class="lista"&gt;Przygotowywanie koncepcji instalacji fotowoltaicznych w programie PV Sol&lt;/div&gt;&lt;div class="lista"&gt;Dobór komponentów instalacji fotowoltaicznych&lt;/div&gt;&lt;div class="lista"&gt;Przygotowywanie niezbędnej dokumentacji i praca z systemami IT&lt;/div&gt;&lt;div class="lista"&gt;Realizacja innych obowiązków związanych z procesem przygotowania i realizacji instalacji fotowoltaicznych&lt;/div&gt;&lt;/ul&gt;&lt;div class="wymaganiaE"&gt;&lt;/div&gt;&lt;ul&gt;&lt;div class="lista"&gt;Doświadczenie w projektowaniu instalacji elektrycznych&lt;/div&gt;&lt;div class="lista"&gt;Uprawnienia do projektowania instalacji elektrycznych - warunek konieczny,&lt;/div&gt;&lt;div class="lista"&gt;Mile widziane uprawnienia do projektowania instalacji fotowoltaicznych i uprawnienia UDT w zakresie fotowoltaiki&lt;/div&gt;&lt;div class="lista"&gt;Wykształcenie w kierunku odnawialne źródła energii, energetyka, elektryka, itp&lt;/div&gt;&lt;div class="lista"&gt;Dyspozycyjność min. 20h tygodniowo&lt;/div&gt;&lt;div class="lista"&gt;Znajomość oprogramowania AutoCAD, Pakietu MS Office, PV Sol (mile widziana)&lt;/div&gt;&lt;div class="lista"&gt;Chęć rozwoju kariery w odnawialnych źródłach energii&lt;/div&gt;&lt;/ul&gt;&lt;div class="ofertaE"&gt;&lt;/div&gt;&lt;ul&gt;&lt;div class="lista"&gt;Wynagrodzenie: podstawa 4.000- 5.000 brutto + premia&lt;/div&gt;&lt;div class="lista"&gt;Dynamiczną i interesującą współpracę z firmą o ugruntowanej pozycji na rynku&lt;/div&gt;&lt;div class="lista"&gt;Szkolenia branżowe&lt;/div&gt;&lt;div class="lista"&gt;Wsparcie i doradztwo w okresie wdrożenia&lt;/div&gt;&lt;div class="lista"&gt;Pracę w zespole ludzi, którzy potrafią działać zespołowo&lt;/div&gt;&lt;div class="lista"&gt;Stabilne warunki zatrudnienia&lt;/div&gt;&lt;div class="lista"&gt;Narzędzia pracy tj. telefon służbowy, laptop&lt;/div&gt;&lt;div class="lista"&gt;Udział w ścieżce rozwoju&lt;/div&gt;&lt;/ul&gt;</t>
  </si>
  <si>
    <t>Przedstawiciel handlowy - opakowania foliowe</t>
  </si>
  <si>
    <t>https://www.goldenline.pl/praca/oferta/1256908/zielonalinia0?utm_campaign=partner&amp;gpid=965290&amp;utm_medium=export&amp;glc_source=zielonalinia0&amp;utm_source=zielonalinia0</t>
  </si>
  <si>
    <t>21.05.2020</t>
  </si>
  <si>
    <t>Wymagania:&lt;br /&gt;Jeżeli jesteś zainteresowany ofertą pracy wyślij cv za pomocą przycisku</t>
  </si>
  <si>
    <t>Agent / Doradca ds. Nieruchomości [rekrutacja prowadzona online]</t>
  </si>
  <si>
    <t>https://www.pracuj.pl/praca/agent-doradca-ds-nieruchomosci-rekrutacja-prowadzona-online-krosno-przemysl-rzeszow-stalowa-wola,oferta,7441094</t>
  </si>
  <si>
    <t>1861,1862,1863,1818</t>
  </si>
  <si>
    <t>https://www.pracuj.pl/praca/ksiegowy-a-boguchwala-brzozow-debica-dynow-jaroslaw-jaslo-jedlicze-kanczuga-kolbuszowa-krosno-lesko-lezajsk-lubaczow-lancut-mielec-nisko-nowa-deba-nowa-sarzyna-o,oferta,7436017</t>
  </si>
  <si>
    <t>1816,1802,1803,1804,1805,1801,1806,1861,1807,1808,1809,1810,1811,1812,1820,1813,1864,1862,1863,1815,1817,1818,1819</t>
  </si>
  <si>
    <t>Właściciel multiagencji ubezpieczeniowej [rekrutacja prowadzona online]</t>
  </si>
  <si>
    <t>https://www.pracuj.pl/praca/wlasciciel-multiagencji-ubezpieczeniowej-rekrutacja-prowadzona-online-debica-jaroslaw-jaslo-krosno-lesko-lezajsk-lancut-mielec-nisko-przemysl-przeworsk-rzeszow-s,oferta,7460083</t>
  </si>
  <si>
    <t>1803,1804,1805,1861,1821,1808,1810,1811,1812,1862,1814,1816,1817,1818,1864</t>
  </si>
  <si>
    <t>INTITEK Polska Sp. z o.o.</t>
  </si>
  <si>
    <t>https://www.praca.pl/administrator-systemow-linux_3345010.html</t>
  </si>
  <si>
    <t>27.06.2020</t>
  </si>
  <si>
    <t>&lt;br /&gt;WYMAGANIA:&lt;br /&gt;- doświadczenie w administracji systemami&lt;br /&gt;- zaawansowana znajomość Linuxa&lt;br /&gt;- znajomość narzędzi systemowych oraz umiejętność wykorzystania ich do monitorowania, konfiguracji i optymalizacji parametrów pracy&lt;br /&gt;</t>
  </si>
  <si>
    <t>Konica Minolta Business Solutions Polska</t>
  </si>
  <si>
    <t>https://www.pracuj.pl/praca/technik-serwisu-rzeszow,oferta,7448468</t>
  </si>
  <si>
    <t>https://www.pracuj.pl/praca/doradca-klienta-lesko-ropczyce-ustrzyki-dolne,oferta,7456539</t>
  </si>
  <si>
    <t>1821,1815,1801</t>
  </si>
  <si>
    <t>https://www.pracuj.pl/praca/mobilny-przedstawiciel-kancelarii-w-dziale-obslugi-sprzedazy-mobilnej-kancelarii-brzozow,oferta,1000171946</t>
  </si>
  <si>
    <t>https://www.pracuj.pl/praca/mobilny-przedstawiciel-kancelarii-w-dziale-obslugi-sprzedazy-mobilnej-kancelarii-debica,oferta,1000171947</t>
  </si>
  <si>
    <t>https://www.pracuj.pl/praca/mobilny-przedstawiciel-kancelarii-w-dziale-obslugi-sprzedazy-mobilnej-kancelarii-jaroslaw,oferta,1000171948</t>
  </si>
  <si>
    <t>https://www.pracuj.pl/praca/mobilny-przedstawiciel-kancelarii-w-dziale-obslugi-sprzedazy-mobilnej-kancelarii-jaslo,oferta,1000171949</t>
  </si>
  <si>
    <t>https://www.pracuj.pl/praca/mobilny-przedstawiciel-kancelarii-w-dziale-obslugi-sprzedazy-mobilnej-kancelarii-kolbuszowa,oferta,1000171950</t>
  </si>
  <si>
    <t>https://www.pracuj.pl/praca/mobilny-przedstawiciel-kancelarii-w-dziale-obslugi-sprzedazy-mobilnej-kancelarii-krosno,oferta,1000171951</t>
  </si>
  <si>
    <t>https://www.pracuj.pl/praca/mobilny-przedstawiciel-kancelarii-w-dziale-obslugi-sprzedazy-mobilnej-kancelarii-lesko,oferta,1000171952</t>
  </si>
  <si>
    <t>https://www.pracuj.pl/praca/mobilny-przedstawiciel-kancelarii-w-dziale-obslugi-sprzedazy-mobilnej-kancelarii-lezajsk,oferta,1000171953</t>
  </si>
  <si>
    <t>https://www.pracuj.pl/praca/mobilny-przedstawiciel-kancelarii-w-dziale-obslugi-sprzedazy-mobilnej-kancelarii-lubaczow,oferta,1000171954</t>
  </si>
  <si>
    <t>https://www.pracuj.pl/praca/mobilny-przedstawiciel-kancelarii-w-dziale-obslugi-sprzedazy-mobilnej-kancelarii-lancut,oferta,1000171955</t>
  </si>
  <si>
    <t>https://www.pracuj.pl/praca/mobilny-przedstawiciel-kancelarii-w-dziale-obslugi-sprzedazy-mobilnej-kancelarii-mielec,oferta,1000171956</t>
  </si>
  <si>
    <t>https://www.pracuj.pl/praca/mobilny-przedstawiciel-kancelarii-w-dziale-obslugi-sprzedazy-mobilnej-kancelarii-nisko,oferta,1000171957</t>
  </si>
  <si>
    <t>https://www.pracuj.pl/praca/mobilny-przedstawiciel-kancelarii-w-dziale-obslugi-sprzedazy-mobilnej-kancelarii-przemysl,oferta,1000171958</t>
  </si>
  <si>
    <t>https://www.pracuj.pl/praca/mobilny-przedstawiciel-kancelarii-w-dziale-obslugi-sprzedazy-mobilnej-kancelarii-przeworsk,oferta,1000171959</t>
  </si>
  <si>
    <t>https://www.pracuj.pl/praca/mobilny-przedstawiciel-kancelarii-w-dziale-obslugi-sprzedazy-mobilnej-kancelarii-ropczyce,oferta,1000171960</t>
  </si>
  <si>
    <t>https://www.pracuj.pl/praca/mobilny-przedstawiciel-kancelarii-w-dziale-obslugi-sprzedazy-mobilnej-kancelarii-rzeszow,oferta,1000171961</t>
  </si>
  <si>
    <t>https://www.pracuj.pl/praca/mobilny-przedstawiciel-kancelarii-w-dziale-obslugi-sprzedazy-mobilnej-kancelarii-sanok,oferta,1000171962</t>
  </si>
  <si>
    <t>https://www.pracuj.pl/praca/mobilny-przedstawiciel-kancelarii-w-dziale-obslugi-sprzedazy-mobilnej-kancelarii-stalowa-wola,oferta,1000171963</t>
  </si>
  <si>
    <t>https://www.pracuj.pl/praca/mobilny-przedstawiciel-kancelarii-w-dziale-obslugi-sprzedazy-mobilnej-kancelarii-tarnobrzeg,oferta,1000171964</t>
  </si>
  <si>
    <t>https://www.pracuj.pl/praca/mobilny-przedstawiciel-kancelarii-w-dziale-obslugi-sprzedazy-mobilnej-kancelarii-ustrzyki-dolne,oferta,1000171965</t>
  </si>
  <si>
    <t>https://www.pracuj.pl/praca/magazynier-rogoznica-pow-rzeszowski,oferta,7449870</t>
  </si>
  <si>
    <t>Kierownik Budowy [rekrutacja prowadzona online]</t>
  </si>
  <si>
    <t>https://www.pracuj.pl/praca/kierownik-budowy-rekrutacja-prowadzona-online-podkarpackie,oferta,7458524</t>
  </si>
  <si>
    <t>PHU EUROFAD</t>
  </si>
  <si>
    <t>Pracownik ogólnobudowlany</t>
  </si>
  <si>
    <t>https://gratka.pl/praca/pracownik-ogolnobudowlany/ob/15867762?utm_source=zielonalinia.pl&amp;utm_medium=zielonalinia&amp;utm_campaign=export_xml</t>
  </si>
  <si>
    <t>Podkarpackie Zakłady Mechaniczne Sp. z o. o. sp.k.</t>
  </si>
  <si>
    <t>https://www.praca.pl/inzynier-sprzedazy_3334098.html</t>
  </si>
  <si>
    <t>&lt;br /&gt;- Język obcy w stopniu komunikatywnym,&lt;br /&gt;- Preferowane min. 3 lata doświadczenia handlowo-technicznego w dostarczaniu i wdrażaniu indywidualnych rozwiązań dla przemysłu (np. z zakresu automatyzacji, robotyzacji, budowy maszyn oraz rozwiązań z zakresu logistyki, magazynowania i transportu wewnątrzzakładowego)&lt;br /&gt;- Wysoka mobilność, gotowość do częstych wyjazdów,&lt;br /&gt;- Podstawowa wiedza techniczna, orientacja w podstawowych procesach technologicznych,&lt;br /&gt;- Bardzo wysoka komunikatywność, motywacja, odpowiedzialność i zdolność do poszukiwania nowych rozwiązań.&lt;br /&gt;</t>
  </si>
  <si>
    <t>PST PRESS + SINTERTECHNIK sp. z o.o.</t>
  </si>
  <si>
    <t>Inżynier Mechanik</t>
  </si>
  <si>
    <t>https://www.pracuj.pl/praca/inzynier-mechanik-gorzyce-pow-tarnobrzeski,oferta,500030198</t>
  </si>
  <si>
    <t>https://www.pracuj.pl/praca/doradca-ubezpieczeniowy-baranow-sandomierski,oferta,1000193142</t>
  </si>
  <si>
    <t>https://www.pracuj.pl/praca/doradca-ubezpieczeniowy-brzozow,oferta,1000193165</t>
  </si>
  <si>
    <t>Polska, podkarpackie, Cieszanów</t>
  </si>
  <si>
    <t>https://www.pracuj.pl/praca/doradca-ubezpieczeniowy-cieszanow,oferta,1000193181</t>
  </si>
  <si>
    <t>https://www.pracuj.pl/praca/doradca-ubezpieczeniowy-debica,oferta,1000193198</t>
  </si>
  <si>
    <t>https://www.pracuj.pl/praca/doradca-ubezpieczeniowy-dukla,oferta,1000193207</t>
  </si>
  <si>
    <t>https://www.pracuj.pl/praca/doradca-ubezpieczeniowy-dynow,oferta,1000193208</t>
  </si>
  <si>
    <t>Polska, podkarpackie, Iwonicz-Zdrój</t>
  </si>
  <si>
    <t>https://www.pracuj.pl/praca/doradca-ubezpieczeniowy-iwonicz-zdroj,oferta,1000193250</t>
  </si>
  <si>
    <t>https://www.pracuj.pl/praca/doradca-ubezpieczeniowy-jaroslaw,oferta,1000193255</t>
  </si>
  <si>
    <t>https://www.pracuj.pl/praca/doradca-ubezpieczeniowy-jaslo,oferta,1000193256</t>
  </si>
  <si>
    <t>https://www.pracuj.pl/praca/doradca-ubezpieczeniowy-kolbuszowa,oferta,1000193295</t>
  </si>
  <si>
    <t>https://www.pracuj.pl/praca/doradca-ubezpieczeniowy-krosno,oferta,1000193318</t>
  </si>
  <si>
    <t>https://www.pracuj.pl/praca/doradca-ubezpieczeniowy-lesko,oferta,1000193330</t>
  </si>
  <si>
    <t>https://www.pracuj.pl/praca/doradca-ubezpieczeniowy-lezajsk,oferta,1000193334</t>
  </si>
  <si>
    <t>https://www.pracuj.pl/praca/doradca-ubezpieczeniowy-lubaczow,oferta,1000193338</t>
  </si>
  <si>
    <t>https://www.pracuj.pl/praca/doradca-ubezpieczeniowy-lancut,oferta,1000193350</t>
  </si>
  <si>
    <t>https://www.pracuj.pl/praca/doradca-ubezpieczeniowy-mielec,oferta,1000193369</t>
  </si>
  <si>
    <t>https://www.pracuj.pl/praca/doradca-ubezpieczeniowy-nisko,oferta,1000193401</t>
  </si>
  <si>
    <t>https://www.pracuj.pl/praca/doradca-ubezpieczeniowy-nowa-sarzyna,oferta,1000193402</t>
  </si>
  <si>
    <t>https://www.pracuj.pl/praca/doradca-ubezpieczeniowy-przemysl,oferta,1000193470</t>
  </si>
  <si>
    <t>https://www.pracuj.pl/praca/doradca-ubezpieczeniowy-przeworsk,oferta,1000193471</t>
  </si>
  <si>
    <t>https://www.pracuj.pl/praca/doradca-ubezpieczeniowy-radymno,oferta,1000193481</t>
  </si>
  <si>
    <t>https://www.pracuj.pl/praca/doradca-ubezpieczeniowy-ropczyce,oferta,1000193491</t>
  </si>
  <si>
    <t>https://www.pracuj.pl/praca/doradca-ubezpieczeniowy-rzeszow,oferta,1000193500</t>
  </si>
  <si>
    <t>https://www.pracuj.pl/praca/doradca-ubezpieczeniowy-sanok,oferta,1000193502</t>
  </si>
  <si>
    <t>https://www.pracuj.pl/praca/doradca-ubezpieczeniowy-sedziszow-malopolski,oferta,1000193505</t>
  </si>
  <si>
    <t>https://www.pracuj.pl/praca/doradca-ubezpieczeniowy-sieniawa,oferta,1000193511</t>
  </si>
  <si>
    <t>https://www.pracuj.pl/praca/doradca-ubezpieczeniowy-stalowa-wola,oferta,1000193534</t>
  </si>
  <si>
    <t>https://www.pracuj.pl/praca/doradca-ubezpieczeniowy-strzyzow,oferta,1000193544</t>
  </si>
  <si>
    <t>https://www.pracuj.pl/praca/doradca-ubezpieczeniowy-tarnobrzeg,oferta,1000193575</t>
  </si>
  <si>
    <t>https://www.pracuj.pl/praca/doradca-ubezpieczeniowy-ustrzyki-dolne,oferta,1000193593</t>
  </si>
  <si>
    <t>https://www.pracuj.pl/praca/doradca-ubezpieczeniowy-zagorz,oferta,1000193629</t>
  </si>
  <si>
    <t>https://www.pracuj.pl/praca/doradca-ubezpieczeniowy-rudnik-nad-sanem,oferta,1000193679</t>
  </si>
  <si>
    <t>https://www.pracuj.pl/praca/doradca-ubezpieczeniowy-kolaczyce,oferta,1000193696</t>
  </si>
  <si>
    <t>Polska, podkarpackie, Przecław</t>
  </si>
  <si>
    <t>https://www.pracuj.pl/praca/doradca-ubezpieczeniowy-przeclaw,oferta,1000193713</t>
  </si>
  <si>
    <t>Polska, podkarpackie, Zaklików (pow. stalowowolski)</t>
  </si>
  <si>
    <t>https://www.pracuj.pl/praca/doradca-ubezpieczeniowy-zaklikow-pow-stalowowolski,oferta,1000193722</t>
  </si>
  <si>
    <t>Specjalista ds. administracji - Administrator projektu branża budowlana</t>
  </si>
  <si>
    <t>Polska, podkarpackie, Berlin</t>
  </si>
  <si>
    <t>https://www.goldenline.pl/praca/oferta/1257190/zielonalinia0?utm_campaign=partner&amp;gpid=965666&amp;utm_medium=export&amp;glc_source=zielonalinia0&amp;utm_source=zielonalinia0</t>
  </si>
  <si>
    <t>Zastępca Kierownika Sklepu [rekrutacja prowadzona telefonicznie]</t>
  </si>
  <si>
    <t>https://www.pracuj.pl/praca/zastepca-kierownika-sklepu-rekrutacja-prowadzona-telefonicznie-przeworsk,oferta,7447440</t>
  </si>
  <si>
    <t>Asystent Kierownika Sklepu [rekrutacja telefoniczna]</t>
  </si>
  <si>
    <t>https://www.praca.pl/asystent-kierownika-sklepu-rekrutacja-telefoniczna_3334258.html</t>
  </si>
  <si>
    <t>https://www.praca.pl/asystent-kierownika-sklepu-rekrutacja-telefoniczna_3334254.html</t>
  </si>
  <si>
    <t>Kasjer - Sprzedawca [rekrutacja telefoniczna]</t>
  </si>
  <si>
    <t>https://www.praca.pl/kasjer-sprzedawca-rekrutacja-telefoniczna_3317908.html</t>
  </si>
  <si>
    <t>10.05.2020</t>
  </si>
  <si>
    <t>&lt;br /&gt;Oczekiwania:&lt;br /&gt;- chęć do pracy,&lt;br /&gt;- entuzjazm,&lt;br /&gt;- zaangażowanie.&lt;br /&gt;</t>
  </si>
  <si>
    <t>https://www.praca.pl/kasjer-sprzedawca-rekrutacja-telefoniczna_3334252.html</t>
  </si>
  <si>
    <t>https://www.praca.pl/kasjer-sprzedawca-rekrutacja-telefoniczna_3334250.html</t>
  </si>
  <si>
    <t>Młodszy Kierownik Sklepu [rekrutacja telefoniczna]</t>
  </si>
  <si>
    <t>https://www.praca.pl/mlodszy-kierownik-sklepu-rekrutacja-telefoniczna_3334262.html</t>
  </si>
  <si>
    <t>&lt;br /&gt;Kierownik Sklepu:&lt;br /&gt;- odpowiada za całościowe funkcjonowanie niskoobrotowego sklepu,&lt;br /&gt;- zarządza kilkuosobowym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</si>
  <si>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https://www.praca.pl/mlodszy-kierownik-sklepu-rekrutacja-telefoniczna_3334260.html</t>
  </si>
  <si>
    <t>Programista/Developer Microsoft Dynamics AX</t>
  </si>
  <si>
    <t>https://www.praca.pl/programista-developer-microsoft-dynamics-ax_3355484.html</t>
  </si>
  <si>
    <t>&lt;br /&gt;- Min. 2 lata doświadczenia zawodowego związanego z programowaniem dla Microsoft Dynamics AX&lt;br /&gt;- Znajomość modułów MS Dynamics AX 2009 lub 2012&lt;br /&gt;- Umiejętność programowania w językach X++, C# i/lub C++&lt;br /&gt;- Doświadczenie w administracji Microsoft Dynamics AX oraz baz danych Microsoft SQL Serwer 2008 lub 2003&lt;br /&gt;- Wykształcenie wyższe (najchętniej na kierunku Informatyka lub pokrewnych)&lt;br /&gt;- Komunikatywna znajomość języka angielskiego&lt;br /&gt;- Umiejętność pracy w zespole&lt;br /&gt;- Bardzo dobre umiejętności interpersonalne i komunikacyjne&lt;br /&gt;Dodatkowe atuty:&lt;br /&gt;- Umiejętność programowania z użyciem .NET&lt;br /&gt;</t>
  </si>
  <si>
    <t>Młodzi Liderzy Tesco -Program Rozwojowy na stanowisko Kierownika Sklepu</t>
  </si>
  <si>
    <t>Polska, podkarpackie, Lesko i okolice</t>
  </si>
  <si>
    <t>https://www.praca.pl/mlodzi-liderzy-tesco-program-rozwojowy-na-stanowisko-kierownika-sklepu_3344246.html</t>
  </si>
  <si>
    <t>&lt;br /&gt;ZASKOCZ NAS:&lt;br /&gt;- Wrodzoną osobowością lidera i dążeniem do celu, aby wkrótce zostać Kierownikiem Sklepu&lt;br /&gt;- Przedsiębiorczością, ambicją, empatią, podążaniem za wyzwaniami, kreatywnością, chęcią do nauki i współpracy&lt;br /&gt;- Otwartością na pracę zespołową i pasją do rozwoju w obszarze handlu detalicznego, by wspólnie z innymi współpracownikami stawiać klientów w centrum wszystkiego, co robisz&lt;br /&gt;- Mobilnością do pracy poza aktualnym miejscem zamieszkania - do 100 km&lt;br /&gt;- Jeśli jesteś absolwentem szkoły zawodowej, średniej czy też wyższej, który maksymalnie 2 lata temu zakończył edukację lub w najbliższym czasie Twoja nauka dobiega końca, to jesteś dla nas świetnym kandydatem&lt;br /&gt;</t>
  </si>
  <si>
    <t>Indirect Sourcing Manager - [rekrutacja prowadzona online]</t>
  </si>
  <si>
    <t>https://www.pracuj.pl/praca/indirect-sourcing-manager-rekrutacja-prowadzona-online-debica,oferta,7449524</t>
  </si>
  <si>
    <t>Witold</t>
  </si>
  <si>
    <t>Barman / Kelner / osoba do obsługi kawiarni</t>
  </si>
  <si>
    <t>Barman</t>
  </si>
  <si>
    <t>Polska, podkarpackie, Polańczyk</t>
  </si>
  <si>
    <t>https://gratka.pl/praca/praca-w-kawiarni-osoby-do-obslugi-nowa-kawiarnia-w-polanczyku/oi/16247211?utm_source=zielonalinia.pl&amp;utm_medium=zielonalinia&amp;utm_campaign=export_xml</t>
  </si>
  <si>
    <t>RPd057|513202</t>
  </si>
  <si>
    <t>WW Wanicki Sp. z o.o.</t>
  </si>
  <si>
    <t>Mechanik / Lakiernik</t>
  </si>
  <si>
    <t>Polska, podkarpackie, Trzciana k. Rzeszowa</t>
  </si>
  <si>
    <t>https://www.goldenline.pl/praca/oferta/1256780/zielonalinia0?utm_campaign=partner&amp;gpid=965146&amp;utm_medium=export&amp;glc_source=zielonalinia0&amp;utm_source=zielonalinia0</t>
  </si>
  <si>
    <t>19.05.2020</t>
  </si>
  <si>
    <t>Wymagania:&lt;br /&gt;&lt;h3 dir="ltr"&gt;Zakres obowiązków:&lt;/h3&gt;&lt;ul&gt;&lt;div class="lista"&gt;diagnozowanie przyczyn i przeprowadzanie napraw mechanicznych,&lt;/div&gt;&lt;div class="lista"&gt;naprawa uszkodzeń, wgnieceń, wymiana elementów w pojazdach,&lt;/div&gt;&lt;div class="lista"&gt;demontaż elementów karoserii i przygotowanie do malowania,&lt;/div&gt;&lt;div class="lista"&gt;lakierowanie elementów,&lt;/div&gt;&lt;div class="lista"&gt;wizualna kontrola lakierowanych elementów,&lt;/div&gt;&lt;div class="lista"&gt;obsługa klienta zgodnie ze standardami firmy. &lt;/div&gt;&lt;/ul&gt;&lt;h3 dir="ltr"&gt;Oczekiwania/wymagania:&lt;/h3&gt;&lt;ul&gt;&lt;div class="lista"&gt;wykształcenie kierunkowe lub doświadczenie w pracy na podobnym stanowisku,&lt;/div&gt;&lt;div class="lista"&gt;samodzielność w działaniu i odpowiedzialność,&lt;/div&gt;&lt;div class="lista"&gt;zaangażowanie w wykonywane zadania,&lt;/div&gt;&lt;div class="lista"&gt;umiejętność współpracy z klientem oraz zespołem serwisu, &lt;/div&gt;&lt;div class="lista"&gt;praca pn.-pt. na 2 zmiany (7.00-15.00 i 14.00-22.00) i dwie soboty w miesiącu (7.00-14.00).&lt;/div&gt;&lt;/ul&gt;&lt;h3 dir="ltr"&gt;Oferujemy:&lt;/h3&gt;&lt;ul&gt;&lt;div class="lista"&gt;pracę w renomowanej i stabilnej firmie,&lt;/div&gt;&lt;div class="lista"&gt;umowę o pracę,&lt;/div&gt;&lt;div class="lista"&gt;atrakcyjne wynagrodzenie, wysokość zależna od zaangażowania i doświadczenia, &lt;/div&gt;&lt;div class="lista"&gt;prywatna opieka medyczna,&lt;/div&gt;&lt;div class="lista"&gt;ubezpieczenie na życie i NNW,&lt;/div&gt;&lt;div class="lista"&gt;perspektywy rozwoju osobowego i podnoszenia kwalifikacji zawodowych,&lt;/div&gt;&lt;div class="lista"&gt;wszelkie niezbędne narzędzia do komfortowego wykonywania zadań zawodowych.&lt;/div&gt;&lt;/ul&gt;</t>
  </si>
  <si>
    <t>Informatyka/Administracja</t>
  </si>
  <si>
    <t xml:space="preserve">Pracownik ochrony </t>
  </si>
  <si>
    <t>Architektura</t>
  </si>
  <si>
    <t>IV-VI 2020</t>
  </si>
  <si>
    <t>II kw. 2020</t>
  </si>
  <si>
    <t>WG PUP</t>
  </si>
  <si>
    <t>Powiaty</t>
  </si>
  <si>
    <t>VII-IX 2020</t>
  </si>
  <si>
    <t>I półrocze 2020</t>
  </si>
  <si>
    <t>Data modyfikacji oferty w portalu ZL</t>
  </si>
  <si>
    <t>Data rozpoczęcia ważności oferty</t>
  </si>
  <si>
    <t>Identyfikator oferty</t>
  </si>
  <si>
    <t>Identyfikator oferty w portalu ZL</t>
  </si>
  <si>
    <t>Liczba miejsc pracy dzielona na wszystkie powiaty województwa</t>
  </si>
  <si>
    <t>Numer oferty</t>
  </si>
  <si>
    <t>Opis wymaganego wykształcenia</t>
  </si>
  <si>
    <t>Opis wymaganych umiejętności</t>
  </si>
  <si>
    <t>Opis wymaganych uprawnień</t>
  </si>
  <si>
    <t>Opis wymagań dotyczących zawodu</t>
  </si>
  <si>
    <t>Opis wymagań dotyczących znajomości języków obcych</t>
  </si>
  <si>
    <t>Zawód podany w ofercie</t>
  </si>
  <si>
    <t>Branża wg PKD</t>
  </si>
  <si>
    <t>Województwo</t>
  </si>
  <si>
    <t>EKOPLON</t>
  </si>
  <si>
    <t>Kierownik Zespołu Doradców ds. Żywienia Zwierząt Hodowlanych</t>
  </si>
  <si>
    <t>Inżynier zootechniki</t>
  </si>
  <si>
    <t>26.08.2020</t>
  </si>
  <si>
    <t>03.09.2020</t>
  </si>
  <si>
    <t>https://www.praca.pl/kierownik-zespolu-doradcow-ds-zywienia-zwierzat-hodowlanych_3623120.html</t>
  </si>
  <si>
    <t>26.08.2020 00:40</t>
  </si>
  <si>
    <t>25.08.2020</t>
  </si>
  <si>
    <t>24.09.2020</t>
  </si>
  <si>
    <t>RPd057|213207</t>
  </si>
  <si>
    <t>&lt;br /&gt;Wymagania:&lt;br /&gt;- 2-letnie doświadczenie w pracy w firmach o podobnym profilu (produkcja i dystrybucja środków żywienia zwierząt),&lt;br /&gt;- doświadczenie we współpracy z fermami drobiu będzie dodatkowym atutem,&lt;br /&gt;- minimum 3 lata doświadczenia na stanowisku kierowniczym - zarządzanie zespołem handlowym,&lt;br /&gt;- nastawienie na pracę zespołową: od budowania zespołu do uzyskania rezultatu zespołowego,&lt;br /&gt;- wykształcenie wyższe - mile widziane kierunkowe: zootechniczne lub pokrewne,&lt;br /&gt;- łatwość w nawiązywaniu kontaktów oraz relacji biznesowych,&lt;br /&gt;- prawo jazdy kat. B,&lt;br /&gt;- praktycznej znajomość MS Office.&lt;br /&gt;</t>
  </si>
  <si>
    <t>podkarpackie</t>
  </si>
  <si>
    <t>https://www.pracuj.pl/praca/senior-php-developer-rzeszow,oferta,1000401623</t>
  </si>
  <si>
    <t>26.08.2020 07:00</t>
  </si>
  <si>
    <t>Gi Group Sp z o.o.</t>
  </si>
  <si>
    <t>Elektryk Utrzymania Ruchu</t>
  </si>
  <si>
    <t>https://www.praca.pl/elektryk-utrzymania-ruchu_3623246.html</t>
  </si>
  <si>
    <t>&lt;br /&gt;Wymagania:&lt;br /&gt;- wykształcenie średnie techniczne: elektrotechnika, elektromechanika, automatyka i robotyka&lt;br /&gt;- znajomość napędów analogowych i cyfrowych&lt;br /&gt;- umiejętność czytania rysunku technicznego oraz schematów elektrycznych&lt;br /&gt;- znajomość obsługi oprogramowania MS Office, CAD, SAP&lt;br /&gt;- znajomość układów sterowania CNC&lt;br /&gt;- znajomość zasad działania urządzeń i instalacji elektrycznych oraz prawidłowej ich eksploatacji&lt;br /&gt;- umiejętność sprawnego lokalizowania i usuwania awarii urządzeń i instalacji&lt;br /&gt;Zainteresowała Cię nasza oferta? Nie zwlekaj!&lt;br /&gt;Zadzwoń – 661452450 lub wyślij CV na adresmailto:biuro.gorzyce@gigroup.combiuro.gorzyce@gigroup.coma to my się do Ciebie odezwiemy.&lt;br /&gt;CV można także składać w biurze Gi Group ul. Odlewników 52 Gorzyce&lt;br /&gt;</t>
  </si>
  <si>
    <t>https://www.praca.pl/pracownik-produkcji_3623252.html</t>
  </si>
  <si>
    <t>&lt;br /&gt;Wymagania:&lt;br /&gt;- wykształcenie min. zawodowe&lt;br /&gt;- gotowość do pracy zmianowej&lt;br /&gt;- chęć do zdobywania, doskonalenia i podnoszenia kompetencji zawodowych&lt;br /&gt;- dodatkowym atutem będzie doświadczenie w pracy na liniach produkcyjnych&lt;br /&gt;Zainteresowała Cię nasza oferta? Nie zwlekaj!&lt;br /&gt;Zadzwoń – 661452450 lub wyślij CV na adresmailto:biuro.gorzyce@gigroup.combiuro.gorzyce@gigroup.coma to my się do Ciebie odezwiemy.&lt;br /&gt;CV można także składać w biurze Gi Group ul. Odlewników 52 Gorzyce&lt;br /&gt;</t>
  </si>
  <si>
    <t>Doradca klienta biznesowego (Przedstawiciel handlowy)</t>
  </si>
  <si>
    <t>https://gratka.pl/praca/doradca-klienta-biznesowego-przedstawiciel-handlowy/ob/17495367?utm_source=zielonalinia.pl&amp;utm_medium=zielonalinia&amp;utm_campaign=export_xml</t>
  </si>
  <si>
    <t>26.08.2020 02:00</t>
  </si>
  <si>
    <t>27.08.2020</t>
  </si>
  <si>
    <t>Wymagania:&lt;br /&gt;&lt;ul&gt;&lt;li&gt;Wykształcenie wyższe&lt;/li&gt;&lt;br /&gt;&lt;li&gt;Doświadczenie na pokrewnym stanowisku (Doradca/ Sprzedawca/ Przedstawiciel handlowy) - będzie dodatkowym atutem&lt;/li&gt;&lt;br /&gt;&lt;li&gt;Komunikatywna znajomość języka obcego - będzie dodatkowym atutem&lt;/li&gt;&lt;br /&gt;&lt;li&gt;Prawo jazdy kat. B&lt;/li&gt;&lt;br /&gt;&lt;li&gt;Wysoka determinacja w dążeniu do celu&lt;/li&gt;&lt;br /&gt;&lt;li&gt;Dyspozycyjność do pracy mobilnej na podległym terenie&lt;/li&gt;&lt;br /&gt;&lt;li&gt;Umiejętności domknięcia procesu sprzedaży oraz pozyskiwania klientów z sektora MŚP&lt;/li&gt;&lt;br /&gt;&lt;li&gt;Silna motywacja wewnętrzna i chęć rozwoju&lt;/li&gt;&lt;br /&gt;&lt;li&gt;Regularność i wytrwałość&lt;/li&gt;&lt;br /&gt;&lt;li&gt;Pozytywne nastawienie&lt;/li&gt;&lt;br /&gt;&lt;li&gt;Doskonałe umiejętności interpersonalne i organizacyjne&lt;/li&gt;&lt;br /&gt;&lt;li&gt;Wysoka kultura osobista i uczciwość&lt;/li&gt;&lt;br /&gt;&lt;/ul&gt;</t>
  </si>
  <si>
    <t>Pracownik produkcji: Monter</t>
  </si>
  <si>
    <t>https://gratka.pl/praca/pracownik-produkcji-monter/ob/17491719?utm_source=zielonalinia.pl&amp;utm_medium=zielonalinia&amp;utm_campaign=export_xml</t>
  </si>
  <si>
    <t>Wymagania:&lt;br /&gt;&lt;ul&gt;&lt;li&gt;Gotowość do pracy 3-zmianowej (6:30-14:30; 14:30-22:30 i 22:30-06:30)&lt;/li&gt;&lt;br /&gt;&lt;li&gt;Zdolności manualne&lt;/li&gt;&lt;br /&gt;&lt;li&gt;Nie masz doświadczenia? Bez obaw, wszystkiego Cię nauczymy&lt;/li&gt;&lt;br /&gt;&lt;/ul&gt;</t>
  </si>
  <si>
    <t>https://gratka.pl/praca/pracownik-produkcji-monter/ob/17491721?utm_source=zielonalinia.pl&amp;utm_medium=zielonalinia&amp;utm_campaign=export_xml</t>
  </si>
  <si>
    <t>https://www.praca.pl/magazynier_3623136.html</t>
  </si>
  <si>
    <t>&lt;br /&gt;Oczekiwania wobec kandydatów:&lt;br /&gt;- wykształcenie zawodowe / średnie&lt;br /&gt;- uprawnienia na wózki widłowe - warunek konieczny&lt;br /&gt;- gotowość dp podjęcia pracy w delegacjach&lt;br /&gt;</t>
  </si>
  <si>
    <t>https://www.praca.pl/magazynier_3623138.html</t>
  </si>
  <si>
    <t>&lt;br /&gt;Oczekiwania wobec kandydatów:&lt;br /&gt;- wykształcenie zawodowe/średnie&lt;br /&gt;- uprawnienia na wózki widłowe UDT (mile widziane)&lt;br /&gt;- gotowość dp podjęcia pracy w delegacjach&lt;br /&gt;</t>
  </si>
  <si>
    <t>02.09.2020</t>
  </si>
  <si>
    <t>https://www.praca.pl/doradca-klienta_3543450.html</t>
  </si>
  <si>
    <t>26.08.2020 00:41</t>
  </si>
  <si>
    <t>10.08.2020</t>
  </si>
  <si>
    <t>&lt;br /&gt;- Aktywnie poszukiwać Klientów indywidualnych oraz firmowych&lt;br /&gt;- Prowadzić spotkania oraz rozmowy z Klientami i dbać o utrzymanie długookresowych relacji z nimi&lt;br /&gt;- Realizować oczekiwane cele sprzedażowe i zadania oparte na wyjątkowym podejściu do Klienta&lt;br /&gt;- Dbać o rozbudowę i rzetelną obsługę portfela swoich Klientów&lt;br /&gt;</t>
  </si>
  <si>
    <t>https://www.praca.pl/doradca-klienta_3543440.html</t>
  </si>
  <si>
    <t>https://www.praca.pl/doradca-klienta_3543442.html</t>
  </si>
  <si>
    <t>https://www.praca.pl/doradca-klienta_3543444.html</t>
  </si>
  <si>
    <t>https://www.praca.pl/doradca-klienta_3543446.html</t>
  </si>
  <si>
    <t>https://www.praca.pl/doradca-klienta_3543448.html</t>
  </si>
  <si>
    <t>Polska, podkarpackie, Radomyśl nad Sanem (pow. stalowowolski)</t>
  </si>
  <si>
    <t>https://www.praca.pl/doradca-klienta_3543452.html</t>
  </si>
  <si>
    <t>Polska, podkarpackie, Żabno (pow. stalowowolski)</t>
  </si>
  <si>
    <t>https://www.praca.pl/doradca-klienta_3543454.html</t>
  </si>
  <si>
    <t>PGE Dystrybucja S.A.</t>
  </si>
  <si>
    <t>https://www.praca.pl/elektromonter-pogotowia-elektroenergetycznego_3583002.html</t>
  </si>
  <si>
    <t>24.08.2020</t>
  </si>
  <si>
    <t>&lt;br /&gt;Profil kandydata:&lt;br /&gt;- wykształcenie zawodowe /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 (kat. C mile widziana),&lt;br /&gt;- umiejętność współpracy w zespole,&lt;br /&gt;- dyspozycyjność.&lt;br /&gt;</t>
  </si>
  <si>
    <t>Elektromonter Układów Pomiarowych</t>
  </si>
  <si>
    <t>https://www.praca.pl/elektromonter-ukladow-pomiarowych_3583004.html</t>
  </si>
  <si>
    <t>&lt;br /&gt;Profil kandydata:&lt;br /&gt;- wykształcenie zawodowe / średnie o profilu elektroenergetycznym, informatycznym lub pokrewnym,&lt;br /&gt;- prawo jazdy kat. B,&lt;br /&gt;- świadectwo kwalifikacyjne w zakresie eksploatacji urządzeń energetycznych.&lt;br /&gt;</t>
  </si>
  <si>
    <t>XEROMATIC</t>
  </si>
  <si>
    <t>Twoja Własna Internetowa Agencja Reklamowa</t>
  </si>
  <si>
    <t>https://www.pracuj.pl/praca/twoja-wlasna-internetowa-agencja-reklamowa-debica-jaroslaw-jaslo-krosno-lesko-lezajsk-lancut-mielec-nisko-przemysl-przeworsk-rzeszow-sanok-stalowa-wola-tarnobrze,oferta,7505966</t>
  </si>
  <si>
    <t>Franczyza/własny biznes</t>
  </si>
  <si>
    <t>30.09.2020</t>
  </si>
  <si>
    <t>Zakłady Mięsne ŁUKÓW S.A.</t>
  </si>
  <si>
    <t>https://www.praca.pl/przedstawiciel-handlowy-ds-detalu_3623848.html</t>
  </si>
  <si>
    <t>&lt;br /&gt;Wymagania:&lt;br /&gt;- doświadczenie na stanowisku handlowym w branży mięsnej&lt;br /&gt;- doświadczenie w pozyskiwaniu oraz obsłudze klientów&lt;br /&gt;- wysoko rozwinięte kompetencje interpersonalne i łatwość w budowaniu trwałych relacji&lt;br /&gt;- gotowość do samodzielnej pracy i częstych podróży służbowych&lt;br /&gt;- umiejętność prowadzenia prezentacji handlowych oraz negocjacji&lt;br /&gt;- umiejętność planowania i organizowania pracy własnej&lt;br /&gt;- prawo jazdy kategorii B&lt;br /&gt;</t>
  </si>
  <si>
    <t>19.08.2020</t>
  </si>
  <si>
    <t>https://www.praca.pl/doradca-klienta_3524810.html</t>
  </si>
  <si>
    <t>19.08.2020 00:39</t>
  </si>
  <si>
    <t>&lt;br /&gt;CELE&lt;br /&gt;Realizować oczekiwane&lt;br /&gt;cele sprzedażowe&lt;br /&gt;OBSŁUGA&lt;br /&gt;Dbać o rzetelną&lt;br /&gt;Obsługę&lt;br /&gt;Klienta&lt;br /&gt;KLIENT&lt;br /&gt;Kompleksowo&lt;br /&gt;doradzać w zakresie&lt;br /&gt;oferowanego sprzętu&lt;br /&gt;</t>
  </si>
  <si>
    <t>Kierowca międzynarodowy kat. B  | Bardzo atrakcyjne warunki !</t>
  </si>
  <si>
    <t>https://gratka.pl/praca/kierowca-miedzynarodowy-kat-b-bardzo-atrakcyjne-warunki/ob/17699245?utm_source=zielonalinia.pl&amp;utm_medium=zielonalinia&amp;utm_campaign=export_xml</t>
  </si>
  <si>
    <t>19.08.2020 02:00</t>
  </si>
  <si>
    <t>18.08.2020</t>
  </si>
  <si>
    <t>18.09.2020</t>
  </si>
  <si>
    <t>Wymagania: &lt;ul&gt;&lt;li&gt;prawo jazdy kat. B,&lt;/li&gt;&lt;li&gt;dobra orientacja w terenie, &lt;/li&gt;&lt;li&gt;wysoka kultura osobista,&lt;/li&gt;&lt;li&gt;dobre umiejętności organizacyjne,&lt;/li&gt;&lt;li&gt;posiadanie lub gotowość do założenia własnej działalności gospodarczej.&lt;/li&gt;&lt;/ul&gt;</t>
  </si>
  <si>
    <t>Zawodowy działacz organizacji politycznej</t>
  </si>
  <si>
    <t>https://www.praca.pl/scrum-master_3545506.html</t>
  </si>
  <si>
    <t>11.08.2020</t>
  </si>
  <si>
    <t>RPd057|111402</t>
  </si>
  <si>
    <t>&lt;br /&gt;Scrum Master 100% zdalnie&lt;br /&gt;Miejsce pracy: Praca zdalna&lt;br /&gt;Stawka: do 880zł za dzień/B2B&lt;br /&gt;Na tym stanowisku będziesz odpowiedzialna/-y za:&lt;br /&gt;- współpracę z zespołami projektowymi&lt;br /&gt;- wdrażanie rozwiązań zwiększających efektywność pracy oraz jakość tworzonych produktów&lt;br /&gt;- dbanie o ciągle doskonalenie standardów Scrum w zespole&lt;br /&gt;- wspieranie zespołu pod względem komunikacji&lt;br /&gt;- współpracę z PO i interesariuszami&lt;br /&gt;- prowadzenie warsztatów dla zespołu&lt;br /&gt;Wymagania:&lt;br /&gt;- doświadczenie na podobnym stanowisku&lt;br /&gt;- umiejętności interpersonalne&lt;br /&gt;- znajomość języka angielskiego na poziomie C1&lt;br /&gt;- kreatywne podejście do rozwiązywania problemów&lt;br /&gt;- zaawansowana umiejętność obsługi narzędzi JIRA i Confluence&lt;br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</si>
  <si>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Big Star</t>
  </si>
  <si>
    <t>Polska, podkarpackie, Jarosław – Stara Ujeżdżalnia</t>
  </si>
  <si>
    <t>https://www.praca.pl/sprzedawca_3605396.html</t>
  </si>
  <si>
    <t>01.09.2020</t>
  </si>
  <si>
    <t>&lt;br /&gt;Oczekujemy:&lt;br /&gt;- łatwości nawiązywania kontaktów oraz budowania relacji z klientem,&lt;br /&gt;- umiejętności pracy w zespole,&lt;br /&gt;- znajomości obsługi kasy fiskalnej oraz kart płatniczych,&lt;br /&gt;- mile widziane doświadczenie w obsłudze klienta.&lt;br /&gt;</t>
  </si>
  <si>
    <t>FotoFinder</t>
  </si>
  <si>
    <t>C# Developer / programista</t>
  </si>
  <si>
    <t>https://www.praca.pl/c-developer-programista_3583026.html</t>
  </si>
  <si>
    <t>17.09.2020</t>
  </si>
  <si>
    <t>&lt;br /&gt;C#,  .NET, .NET Core, MS SQL Server, WPF, Azure DevOps&lt;br /&gt;</t>
  </si>
  <si>
    <t>Specjalista ds. sprzedaży maszyn rolniczych</t>
  </si>
  <si>
    <t>https://www.goldenline.pl/praca/oferta/1261068/zielonalinia0?utm_campaign=partner&amp;gpid=969778&amp;utm_medium=export&amp;glc_source=zielonalinia0&amp;utm_source=zielonalinia0</t>
  </si>
  <si>
    <t>19.08.2020 00:20</t>
  </si>
  <si>
    <t>15.07.2020</t>
  </si>
  <si>
    <t>16.08.2020</t>
  </si>
  <si>
    <t>Wymagania:&lt;br /&gt;&lt;div class="wymaganiaE"&gt;&lt;/div&gt;&lt;div class="lista"&gt;znajomość i umiejętność identyfikacji maszyn rolniczych&lt;/div&gt;&lt;div class="lista"&gt;aktywna sprzedaż i realizacja wyznaczonych celów&lt;/div&gt;&lt;div class="lista"&gt;komunikatywności, umiejętność pracy w zespole, łatwość nawiązywania kontaktów&lt;/div&gt;&lt;div class="lista"&gt;rzetelne i sumienne wykonywanie powierzonych obowiązków&lt;/div&gt;&lt;div class="lista"&gt;doświadczenie w pracy na podobnym stanowisku mile widziane.&lt;/div&gt;</t>
  </si>
  <si>
    <t>Specjalista ds. obsługi klienta z j. niemieckim – praca zdalna</t>
  </si>
  <si>
    <t>https://www.praca.pl/specjalista-ds-obslugi-klienta-z-j-niemieckim-praca-zdalna_3605058.html</t>
  </si>
  <si>
    <t>SOK/037/NPA</t>
  </si>
  <si>
    <t>&lt;br /&gt;Wymagania:&lt;br /&gt;- Biegła pisemna oraz ustna znajomość języka niemieckiego (min. B2)&lt;br /&gt;- Komunikatywna znajomość języka angielskiego (min. B1) &lt;br /&gt;- Dostępność do pracy na pełen etat (ok. 8h dziennie) w elastycznym systemie zmianowym (od poniedziałku do niedzieli pomiędzy 6.00 a 24.00)&lt;br /&gt;- Miejsce zamieszkania/pracy na terytorium Polski zapewniające prywatność i umożliwiające swobodną komunikację z klientem bez obecności osób postronnych&lt;br /&gt;- Znajomość obsługi komputera (w tym pakietu MS Office)&lt;br /&gt;</t>
  </si>
  <si>
    <t>Metlife</t>
  </si>
  <si>
    <t>https://www.pracuj.pl/praca/menedzer-zespolu-krosno,oferta,1000391434</t>
  </si>
  <si>
    <t>19.08.2020 07:00</t>
  </si>
  <si>
    <t>1861,1863,1818</t>
  </si>
  <si>
    <t>https://www.pracuj.pl/praca/menedzer-zespolu-rzeszow,oferta,1000391443</t>
  </si>
  <si>
    <t>https://www.pracuj.pl/praca/menedzer-zespolu-stalowa-wola,oferta,1000391445</t>
  </si>
  <si>
    <t>Młodszy Kierownik Projektów Konsultingowych.</t>
  </si>
  <si>
    <t>12.08.2020</t>
  </si>
  <si>
    <t>20.08.2020</t>
  </si>
  <si>
    <t>https://www.pracuj.pl/praca/mlodszy-kierownik-projektow-konsultingowych-rzeszow,oferta,1000366252</t>
  </si>
  <si>
    <t>12.08.2020 07:00</t>
  </si>
  <si>
    <t>10.09.2020</t>
  </si>
  <si>
    <t>Polska, podkarpackie, Krosno, Rzeszów, Mielec, Przemyśl, Tarnobrzeg</t>
  </si>
  <si>
    <t>https://www.praca.pl/doradca-klienta_3504748.html</t>
  </si>
  <si>
    <t>12.08.2020 00:40</t>
  </si>
  <si>
    <t>03.08.2020</t>
  </si>
  <si>
    <t>1861,1863,1811,1862,1864</t>
  </si>
  <si>
    <t>&lt;br /&gt;- Doświadczenia w sprzedaży lub obsłudze Klienta;&lt;br /&gt;- Wykształcenia średniego;&lt;br /&gt;- Wysokich umiejętności interpersonalnych i zaangażowania;&lt;br /&gt;- Samodzielności w planowaniu oraz działaniu.&lt;br /&gt;</t>
  </si>
  <si>
    <t>Kuratorium Oświaty w Rzeszowie</t>
  </si>
  <si>
    <t>https://www.praca.pl/wizytator_3584456.html</t>
  </si>
  <si>
    <t>12.08.2020 00:39</t>
  </si>
  <si>
    <t>21.08.2020</t>
  </si>
  <si>
    <t>&lt;h4&gt;Wymagania niezbędne&lt;/h4&gt;wykształcenie: wyższe magisterskie&lt;br /&gt;doświadczenie zawodowe/staż pracy: doświadczenia zawodowego&lt;br /&gt;- a ponadto:&lt;br /&gt;- 1) posiadanie stopnia awansu zawodowego nauczyciela mianowanego lub dyplomowanego oraz&lt;br /&gt;- a) ukończone formy doskonalenia w zakresie administracji lub zarządzania lub&lt;br /&gt;- b) co najmniej dwuletni staż pracy na stanowisku kierowniczym w szkole, placówce lub zakładzie kształcenia nauczycieli, lub&lt;br /&gt;- c) co najmniej dwuletni staż pracy w urzędzie organu sprawującego nadzór pedagogiczny nad szkołami i placówkami lub w urzędzie organu prowadzacego szkoły lub placówki na stanowisku związanym z organizacją pracy szkół i placówek;&lt;br /&gt;- 2) w przypadku nauczycieli akademickich posiadanie co najmniej pięcioletniego stażu pracy w szkole wyższej i ukończone formy doskonalenia w zakresie administracji lub zarządzania.&lt;br /&gt;- znajomość przepisów ustawy o służbie cywilnej&lt;br /&gt;- znajomość przepisów ustawy Prawo oświatowe&lt;br /&gt;- znajomość przepisów ustawy o systemie oświaty&lt;br /&gt;- znajomość przepisów ustawy Karta Nauczyciela&lt;br /&gt;- znajomość przepisów ustawy Przepisy wprowadzające ustawę - Prawo oświatowe&lt;br /&gt;- znajomość przepisów ustawy Kodeks postępowania administracyjnego&lt;br /&gt;- samodzielność i komunikatywność&lt;br /&gt;- zdolność analitycznego myślenia&lt;br /&gt;- Posiadanie obywatelstwa polskiego&lt;br /&gt;- Korzystanie z pełni praw publicznych&lt;br /&gt;- Nieskazanie prawomocnym wyrokiem za umyślne przestępstwo lub umyślne przestępstwo skarbowe&lt;br /&gt;&lt;h4&gt;Wymagania dodatkowe&lt;/h4&gt;&lt;br /&gt;- ukończone szkolenie w zakresie ewaluacji zewnętrznej,&lt;br /&gt;- znajomość języka angielskiego lub niemieckiego&lt;br /&gt;- dobra organizacja pracy,&lt;br /&gt;- znajomość obsługi platformy nadzoru pedagogicznego&lt;br /&gt;- umiejętność przeprowadzenia analizy statystycznej w programie Excel&lt;br /&gt;</t>
  </si>
  <si>
    <t>https://www.pracuj.pl/praca/pracownik-produkcyjny-mielec,oferta,7388352</t>
  </si>
  <si>
    <t>12.08.2020 00:20</t>
  </si>
  <si>
    <t>09.08.2020</t>
  </si>
  <si>
    <t>https://www.praca.pl/magazynier_3585072.html</t>
  </si>
  <si>
    <t>&lt;br /&gt;Oczekiwania wobec kandydatów:&lt;br /&gt;- wykształcenie zawodowe/średnie&lt;br /&gt;- uprawnienia na wózki widłowe UDT&lt;br /&gt;- gotowość podjęcia szkolenia wdrożeniowego&lt;br /&gt;- praca w delegacji&lt;br /&gt;</t>
  </si>
  <si>
    <t>Sprzedawca w dziale budowlanym</t>
  </si>
  <si>
    <t>https://www.praca.pl/sprzedawca-w-dziale-budowlanym_3585070.html</t>
  </si>
  <si>
    <t>&lt;br /&gt;Oczekiwania:&lt;br /&gt;- Doświadczenie w handlu i obsłudze klienta - mile widziane&lt;br /&gt;- Umiejętność pracy w zespole&lt;br /&gt;- Samodzielność w działaniu&lt;br /&gt;- Dobra znajomość obsługi komputera&lt;br /&gt;- Gotowość do podjęcia pracy w delegacji&lt;br /&gt;- Orzeczenie o stopniu niepełnosprawności - mile widziane&lt;br /&gt;</t>
  </si>
  <si>
    <t>https://www.praca.pl/sprzedawca-w-dziale-budowlanym_3585082.html</t>
  </si>
  <si>
    <t>&lt;br /&gt;Oczekiwania:&lt;br /&gt;- Doświadczenie w handlu i obsłudze klienta - mile widziane&lt;br /&gt;- Umiejętność pracy w zespole&lt;br /&gt;- Samodzielność w działaniu&lt;br /&gt;- Dobra znajomość obsługi komputera&lt;br /&gt;- Gotowość do podjęcia pracy w delegacji - system 3/1&lt;br /&gt;</t>
  </si>
  <si>
    <t>Pracownik ogólnobudowlany, Pracownik budowlany</t>
  </si>
  <si>
    <t>https://gratka.pl/praca/pracownik-ogolnobudowlany-pracownik-budowlany/ob/17028485?utm_source=zielonalinia.pl&amp;utm_medium=zielonalinia&amp;utm_campaign=export_xml</t>
  </si>
  <si>
    <t>12.08.2020 02:00</t>
  </si>
  <si>
    <t>https://www.praca.pl/inspektor-weterynaryjny_3584348.html</t>
  </si>
  <si>
    <t>31.08.2020</t>
  </si>
  <si>
    <t>Polska, podkarpackie, Tarnobrzeg ul. Piłsudskiego 5</t>
  </si>
  <si>
    <t>https://www.praca.pl/asystent-kierownika-sklepu-rekrutacja-telefoniczna_3585870.html</t>
  </si>
  <si>
    <t>Polska, podkarpackie, Ustrzyki Dolne ul. Rynek 23, 24, 25</t>
  </si>
  <si>
    <t>https://www.praca.pl/kasjer-sprzedawca_3585856.html</t>
  </si>
  <si>
    <t>Kierownik Sklepu [rekrutacja telefoniczna]</t>
  </si>
  <si>
    <t>https://www.praca.pl/kierownik-sklepu-rekrutacja-telefoniczna_3585880.html</t>
  </si>
  <si>
    <t>&lt;br /&gt;Kierownik Sklepu:&lt;br /&gt;- zarządza kilkunastoosobowym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</si>
  <si>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https://www.praca.pl/opiekun-finansowy_3585778.html</t>
  </si>
  <si>
    <t>&lt;br /&gt;Jedyne co musisz zrobić to wysłać swoje CV plus:&lt;br /&gt;- Chcieć pracować w finansach, mieć wykształcenie średnie i lubić wygrywać.&lt;br /&gt;Tylko tyle? Zdecydowanie wystarczy!&lt;br /&gt;</t>
  </si>
  <si>
    <t>05.08.2020</t>
  </si>
  <si>
    <t>https://www.praca.pl/it-project-manager_3528244.html</t>
  </si>
  <si>
    <t>05.08.2020 00:39</t>
  </si>
  <si>
    <t>04.08.2020</t>
  </si>
  <si>
    <t>&lt;br /&gt;- Umiejętność logicznego i analitycznego myślenia&lt;br /&gt;- Zdolności interpersonalne – komunikatywność, umiejętność pracy w zespole&lt;br /&gt;- Umiejętność szybkiego przyswajania nowej wiedzy, w tym technicznej&lt;br /&gt;- Znajomość języka angielskiego umożliwiająca korzystanie z dokumentacji&lt;br /&gt;- Bardzo dobra znajomość narzędzi pakietu MS Office (Word, Excel, PowerPoint)&lt;br /&gt;- Mile widziana znajomość relacyjnych baz danych (posługiwanie się językiem SQL)&lt;br /&gt;- Mile widziane wykształcenie wyższe (preferowane wykształcenie informatyczne)&lt;br /&gt;</t>
  </si>
  <si>
    <t>https://www.praca.pl/doradca-klienta_3487544.html</t>
  </si>
  <si>
    <t>05.08.2020 00:40</t>
  </si>
  <si>
    <t>27.07.2020</t>
  </si>
  <si>
    <t>https://www.praca.pl/business-analyst_3537286.html</t>
  </si>
  <si>
    <t>&lt;br /&gt;Zakres obowiązków:&lt;br /&gt;- zarządzanie wymaganiami (gromadzenie, dokumentowanie, analizowanie wymagań, śledzenie postępu realizacji projektów itp.)&lt;br /&gt;- pomoc w koordynowaniu projektów w zależności od stopnia ich złożoności (w ścisłej współpracy z programistami, architektami i kierownikami projektów)&lt;br /&gt;- przekładanie wymagań biznesowych na specyfikacje funkcjonalne&lt;br /&gt;- praca w metodologii Scrum/Agile&lt;br /&gt;Wymagania:&lt;br /&gt;- min. 3-4 lata doświadczenia w roli Analityka Biznesowego / Biznesowo-Systemowego w projektach IT&lt;br /&gt;- dobra, praktyczna znajomość procesów analizy biznesowej (m.in. process modeling, user requirements documentation, functional requirements, user stories, acceptance critera etc.)&lt;br /&gt;- praktyczna znajomość UML, BPMN, Enterprise Architect&lt;br /&gt;- bardzo dobra znajomość języka polskiego oraz angielskiego – min. B2+/C1&lt;br /&gt;- doświadczenie w pracy w Scrumie&lt;br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</si>
  <si>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Konsultant infolinii obsługowej</t>
  </si>
  <si>
    <t>https://www.praca.pl/konsultant-infolinii-obslugowej_3508068.html</t>
  </si>
  <si>
    <t>13.08.2020</t>
  </si>
  <si>
    <t>&lt;br /&gt;Jeżeli:&lt;br /&gt;- posiadasz wykształcenie min. średnie,&lt;br /&gt;- jesteś dyspozycyjny/-a co najmniej 100 - 160 godzin w miesiącu,&lt;br /&gt;- jesteś gotowy/a do pracy zmianowej,&lt;br /&gt;- cechuje Ciebie pozytywne nastawienie do pracy! :)&lt;br /&gt;- jesteś osobą komunikatywną, łatwo nawiązującą relacje i lubisz pracę z ludźmi,&lt;br /&gt;</t>
  </si>
  <si>
    <t>Complete Hemp Technologies sp. z o.o.</t>
  </si>
  <si>
    <t>Magazynier / Logistyk</t>
  </si>
  <si>
    <t>https://www.praca.pl/magazynier-logistyk_3527824.html</t>
  </si>
  <si>
    <t>&lt;br /&gt;- Obsługa komputera – Pakiet Office, Programy magazynowe (preferowane doświadczenie pracy z Asseco WAPRO Mag),&lt;br /&gt;- Dobra organizacja pracy,&lt;br /&gt;- Wysoka dbałość o szczegóły i gotowość do pracy fizycznej&lt;br /&gt;- Motywacji do podjęcia stabilnej pracy na pełen etat,&lt;br /&gt;- Doświadczenia na tym samym lub podobnym stanowisku,&lt;br /&gt;- Zaangażowania w realizację powierzonych zadań,&lt;br /&gt;- Wysoka kultura pracy oraz kultura osobista,&lt;br /&gt;- Komunikatywność,&lt;br /&gt;- Umiejętność pracy w zespole,&lt;br /&gt;- Dyspozycyjności i chęci samorozwoju.&lt;br /&gt;- Punktualność,&lt;br /&gt;- Szybkości uczenia się i pozyskiwania nowych umiejętności,&lt;br /&gt;- Duża niezależność,&lt;br /&gt;- Odpowiedzialność za wykonywaną pracę.&lt;br /&gt;</t>
  </si>
  <si>
    <t>Komenda Powiatowa Policji w Łańcucie</t>
  </si>
  <si>
    <t>Policjant służby wspomagającej</t>
  </si>
  <si>
    <t>https://www.praca.pl/starszy-specjalista_3566070.html</t>
  </si>
  <si>
    <t>14.08.2020</t>
  </si>
  <si>
    <t>RPd057|335505</t>
  </si>
  <si>
    <t>&lt;h4&gt;Wymagania niezbędne&lt;/h4&gt;wykształcenie: wyższe z uprawnieniami do wykonywania zadań służby BHP&lt;br /&gt;doświadczenie zawodowe/staż pracy: co najmniej 3 lata doświadczenia zawodowego praca w pionie BHP&lt;br /&gt;- Znajomość ustawy o Policji,&lt;br /&gt;- Znajomość przepisów prawa pracy,&lt;br /&gt;- znajomość Rozporządzenia Rady Ministrów z dnia 02 września 1997r. w sprawie służby bezpieczeństwa i higieny pracy&lt;br /&gt;- Znajomość Zarządzenia nr 916 Komendanta Głównego Policji z dnia 24 sierpnia 2004r. w sprawie szczegółowych warunków bezpieczeństwa i higieny służby oraz organizacji służby BHP w Policji,&lt;br /&gt;- ZnajomośćRozporządzenia Rady Ministrów z dnia 7 maja 2019r. w sprawie ustalenia okoliczności i przyczyn wypadków w Policji , Straży Granicznej, Straży Marszałkowskiej, Państwowej Straży Pożarnej i służbie Ochrony Państwa&lt;br /&gt;- Znajomość Ustawy z dnia 10 maja 2018r. o ochronie danych osobowych ,&lt;br /&gt;- Znajomość Ustawy z dnia 14 grudnia o ochronie danych osobowych przetwarzanych w związku z zapobieganiem i zwalczaniem przestępczości wdrażająca dyrektywę 2016/680 UODO DODO, oraz wymienionej dyrektywy&lt;br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 zgodnie z ustawą z dnia 5 sierpnia 2010r. o ochronie informacji niejawnych.&lt;br /&gt;- Wykształcenie podyplomowe w zakresie BHP&lt;br /&gt;</t>
  </si>
  <si>
    <t>https://www.praca.pl/elektryk_3537218.html</t>
  </si>
  <si>
    <t>MX/ELE/06/2020</t>
  </si>
  <si>
    <t>&lt;br /&gt;Opis stanowiska:&lt;br /&gt;- Utrzymanie ruchu urządzeń pod względem elektrycznym.&lt;br /&gt;- Bieżące usuwanie awarii.&lt;br /&gt;- Kontrola stanu jednostek napędowych.&lt;br /&gt;- Kontrola urządzeń sterowniczych, aparatury kontrolno-pomiarowej oraz instalacji grzewczej.&lt;br /&gt;- Obchód i kontrola wszystkich urządzeń elektrycznych na podległym obszarze.&lt;br /&gt;- Przestrzeganie przepisów BHP i PPOŻ.&lt;br /&gt;Wymagania&lt;br /&gt;- Wykształcenie zasadnicze, średnie techniczne o profilu elektrycznym lub energetycznym.&lt;br /&gt;- Umiejętność czytania schematów elektrycznych.&lt;br /&gt;- Wiedzy z zakresu budowy, obsługi i eksploatacji maszyn i urządzeń energetycznych oraz systemów sterowania.&lt;br /&gt;- Uprawnienia energetyczne grupy I i II w zakresie eksploatacji i dozoru, powyżej 50kW.&lt;br /&gt;</t>
  </si>
  <si>
    <t>https://www.praca.pl/magazynier_3552568.html</t>
  </si>
  <si>
    <t>29.08.2020</t>
  </si>
  <si>
    <t>&lt;br /&gt;Wymagania:&lt;br /&gt;- Znajomość zasad gospodarki magazynowej&lt;br /&gt;- Wykształcenie min. średnie&lt;br /&gt;- Uprawnienia na wózek widłowy z Urzędu Dozoru Technicznego&lt;br /&gt;- Biegła znajomość obsługi komputera&lt;br /&gt;- Doświadczenie na podobnym stanowisku&lt;br /&gt;</t>
  </si>
  <si>
    <t>Polska, podkarpackie, Jasło, Mielec</t>
  </si>
  <si>
    <t>https://www.praca.pl/zastepca-glownej-ksiegowej_3566956.html</t>
  </si>
  <si>
    <t>Księgowość/Audyt/Podatki</t>
  </si>
  <si>
    <t>ZGKJS/MX 08/2020</t>
  </si>
  <si>
    <t>&lt;br /&gt;WYMAGANIA:&lt;br /&gt;- Długoterminowe zaangażowanie w organizację;&lt;br /&gt;- Otwartość na nowe pomysły i zmiany;&lt;br /&gt;- Bardzo dobra organizacja pracy i samodzielność;&lt;br /&gt;- Praktyczne doświadczenie w zakresie pełnej księgowości;&lt;br /&gt;- Znajomość przepisów ustawy o rachunkowości i przepisów podatkowych;&lt;br /&gt;- Umiejętność współpracy z instytucjami finansowymi;&lt;br /&gt;- Wykształcenie wyższe kierunkowe;&lt;br /&gt;- Dobra znajomość języka angielskiego.&lt;br /&gt;</t>
  </si>
  <si>
    <t>https://www.praca.pl/operator-maszyn-i-urzadzen_3527470.html</t>
  </si>
  <si>
    <t>Pracownik produkcyjny</t>
  </si>
  <si>
    <t>Pozostali robotnicy wykonujący prace proste w przemyśle</t>
  </si>
  <si>
    <t>https://www.praca.pl/pracownik-produkcyjny_3566344.html</t>
  </si>
  <si>
    <t>RPd057|932990</t>
  </si>
  <si>
    <t>Pracownik linii produkcyjnej: Monter</t>
  </si>
  <si>
    <t>https://gratka.pl/praca/pracownik-linii-produkcyjnej-monter/ob/17263789?utm_source=zielonalinia.pl&amp;utm_medium=zielonalinia&amp;utm_campaign=export_xml</t>
  </si>
  <si>
    <t>05.08.2020 02:00</t>
  </si>
  <si>
    <t>02.08.2020</t>
  </si>
  <si>
    <t>Od naszych Kandydatów wymagamy:&lt;br /&gt;&lt;ul&gt;&lt;li&gt;Gotowości do pracy w systemie 2-zmianowym&lt;/li&gt;&lt;br /&gt;&lt;li&gt;Wykształcenie min. zawodowe&lt;/li&gt;&lt;br /&gt;&lt;li&gt;Zdolności manualne będą dodatkowym atutem&lt;/li&gt;&lt;br /&gt;&lt;li&gt;Nie wymagamy doświadczenia! Wiemy, że wszystkiego Cię nauczymy&lt;/li&gt;&lt;br /&gt;&lt;/ul&gt;</t>
  </si>
  <si>
    <t>https://gratka.pl/praca/pracownik-linii-produkcyjnej-monter/ob/17263791?utm_source=zielonalinia.pl&amp;utm_medium=zielonalinia&amp;utm_campaign=export_xml</t>
  </si>
  <si>
    <t>https://gratka.pl/praca/pracownik-linii-produkcyjnej-monter/ob/17263793?utm_source=zielonalinia.pl&amp;utm_medium=zielonalinia&amp;utm_campaign=export_xml</t>
  </si>
  <si>
    <t>https://gratka.pl/praca/pracownik-linii-produkcyjnej-monter/ob/17263795?utm_source=zielonalinia.pl&amp;utm_medium=zielonalinia&amp;utm_campaign=export_xml</t>
  </si>
  <si>
    <t>https://gratka.pl/praca/pracownik-linii-produkcyjnej-monter/ob/17263797?utm_source=zielonalinia.pl&amp;utm_medium=zielonalinia&amp;utm_campaign=export_xml</t>
  </si>
  <si>
    <t>https://www.praca.pl/regionalny-kierownik-sprzedazy_3531576.html</t>
  </si>
  <si>
    <t>RKSR/O37/ABO</t>
  </si>
  <si>
    <t>&lt;br /&gt;Wymagania:&lt;br /&gt;- Doświadczenie w sprzedaży produktów technicznych/chemicznych ok. 3lat&lt;br /&gt;- Doskonałe umiejętności negocjacyjne&lt;br /&gt;- Umiejętność analitycznego myślenia, otwartość na zmiany oraz gotowość do podejmowania wyzwań&lt;br /&gt;- Szybkość w działaniu, chęć ciągłego rozwoju i uczenia się&lt;br /&gt;- Dodatkowym atutem będzie znajomość języka obcego&lt;br /&gt;</t>
  </si>
  <si>
    <t>https://www.praca.pl/specjalista-ds-logistyki_3519106.html</t>
  </si>
  <si>
    <t>&lt;br /&gt;Nasze oczekiwania:&lt;br /&gt;- wykształcenie wyższe (mile widziani tegoroczni absolwenci),&lt;br /&gt;- wysoko rozwinięte umiejętności analitycznego myślenia,&lt;br /&gt;- umiejętność pracy pod presją czasu,&lt;br /&gt;- samodzielność w rozwiązywaniu problemów,&lt;br /&gt;- konsekwencja w działaniu.&lt;br /&gt;</t>
  </si>
  <si>
    <t>https://www.praca.pl/sprzedawca_3567640.html</t>
  </si>
  <si>
    <t>Sprzedawca AGD</t>
  </si>
  <si>
    <t>https://www.praca.pl/sprzedawca-agd_3506994.html</t>
  </si>
  <si>
    <t>&lt;br /&gt;Oczekiwania:&lt;br /&gt;- Doświadczenie w handlu i obsłudze klienta - mile widziane&lt;br /&gt;- Umiejętność pracy w zespole&lt;br /&gt;- Samodzielność w działaniu&lt;br /&gt;- Dobra znajomość obsługi komputera&lt;br /&gt;- Orzeczenie o stopniu niepełnosprawności - nile widziane&lt;br /&gt;</t>
  </si>
  <si>
    <t>CFD SIMULATION ENGINEER</t>
  </si>
  <si>
    <t>https://www.goldenline.pl/praca/oferta/1261672/zielonalinia0?utm_campaign=partner&amp;gpid=970260&amp;utm_medium=export&amp;glc_source=zielonalinia0&amp;utm_source=zielonalinia0</t>
  </si>
  <si>
    <t>05.08.2020 03:30</t>
  </si>
  <si>
    <t>Specjalista Konstruktor</t>
  </si>
  <si>
    <t>https://www.praca.pl/specjalista-konstruktor_3508198.html</t>
  </si>
  <si>
    <t>SK/CBR/07/20</t>
  </si>
  <si>
    <t>&lt;br /&gt;- znasz oprogramowanie Catia, AutoCAD&lt;br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</si>
  <si>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https://www.pracuj.pl/praca/przedstawiciel-farmaceutyczny-podkarpackie,oferta,7594437</t>
  </si>
  <si>
    <t>05.08.2020 07:00</t>
  </si>
  <si>
    <t>Poczta Polska S.A.</t>
  </si>
  <si>
    <t>Partner Biznesowy IT</t>
  </si>
  <si>
    <t>https://www.praca.pl/partner-biznesowy-it_3527840.html</t>
  </si>
  <si>
    <t>PIT/24/2020</t>
  </si>
  <si>
    <t>&lt;br /&gt;Skontaktuj się z nami, jeśli:&lt;br /&gt;- posiadasz wykształcenie wyższe,&lt;br /&gt;- znasz język angielski na poziomie komunikatywnym,&lt;br /&gt;- posiadasz doświadczenie w obszarze zarządzania relacjami na styku IT – biznes,&lt;br /&gt;- posiadasz wiedzę w zakresie architektury rozwiązań IT,&lt;br /&gt;- posiadasz doświadczenie we współpracy i zarządzaniu dostawcami zewnętrznymi oraz wewnętrznymi,&lt;br /&gt;- posiadasz znajomości rynku usług i systemów IT,&lt;br /&gt;- jesteś osobą skuteczną w działaniu i nastawioną na osiąganie rezultatów,&lt;br /&gt;- jesteś osobą silnie zorientowaną na klienta, ukierunkowaną na budowanie relacji, współpracę oraz realizację celu,&lt;br /&gt;- posiadasz wysokie zdolności analitycznego myślenia oraz umiejętności rozwiązywania problemów,&lt;br /&gt;- cechuje Cię wysoka etyka zawodowa i przestrzegane poufności biznesowej.soka etyka zawodowa i przestrzegane poufności biznesowej.&lt;br /&gt;</t>
  </si>
  <si>
    <t>Polska, podkarpackie, Jedlicze, Przysieki</t>
  </si>
  <si>
    <t>https://www.praca.pl/elektromonter_3545880.html</t>
  </si>
  <si>
    <t>&lt;br /&gt;Czego oczekujemy:&lt;br /&gt;- znajomości schematów elektrycznych (czytanie) i umiejętności samodzielnej pracy na ich podstawie (podłączenia, montaż układów),&lt;br /&gt;- uprawnień elektrycznych do 1 kV,&lt;br /&gt;- świadectwa kwalifikacyjnego „E” z zakresu eksploatacji maszyn i urządzeń energetycznych - grupa 1 i 2.&lt;br /&gt;</t>
  </si>
  <si>
    <t>Mistrz</t>
  </si>
  <si>
    <t>https://www.praca.pl/mistrz_3546058.html</t>
  </si>
  <si>
    <t>&lt;br /&gt;Czego oczekujemy:&lt;br /&gt;- mile widziane wykształcenie wyższe inżynierskie,&lt;br /&gt;- uprawnień SCC – mile widziane,&lt;br /&gt;- doświadczenia przy realizacji prac montażowych i/ lub warsztatowych w przemyśle rafineryjno-petrochemicznym, chemicznym – min. 3 letniego,&lt;br /&gt;- doświadczenia w nadzorowaniu pracowników na budowach lub w warsztatach,&lt;br /&gt;- prawa jazdy kat. B,&lt;br /&gt;- praktycznej znajomości programów pakietu MS Office w tym MS Project.&lt;br /&gt;</t>
  </si>
  <si>
    <t>Doradca Klienta [rekrutacja online]</t>
  </si>
  <si>
    <t>https://www.praca.pl/doradca-klienta-rekrutacja-online_3490544.html</t>
  </si>
  <si>
    <t>06.08.2020</t>
  </si>
  <si>
    <t>&lt;br /&gt;Oferujemy:&lt;br /&gt;- Umowę cywilnoprawną o świadczenie usług – odprowadzamy należne składki do ZUS!&lt;br /&gt;- Nieograniczoną wysokość wynagrodzenia zależną od wyników&lt;br /&gt;- Dodatkowe bonusy i możliwość awansu&lt;br /&gt;- Najwyższe standardy i jasne zasady współpracy&lt;br /&gt;- Bezpłatne szkolenia wdrożeniowe i rozwojowe&lt;br /&gt;- Silną markę i sprzedaż produktu cieszącego się zainteresowaniem&lt;br /&gt;- Dodatkowe działania wspierające na początku współpracy&lt;br /&gt;- Elastyczne godziny współpracy dopasowane do Twoich możliwości&lt;br /&gt;- Telefon służbowy z bezpłatnym abonamentem&lt;br /&gt;</t>
  </si>
  <si>
    <t>https://www.praca.pl/doradca-klienta-rekrutacja-online_3490670.html</t>
  </si>
  <si>
    <t>https://www.praca.pl/doradca-klienta-rekrutacja-online_3490672.html</t>
  </si>
  <si>
    <t>https://www.praca.pl/doradca-klienta-rekrutacja-online_3490674.html</t>
  </si>
  <si>
    <t>Polska, podkarpackie, Orły</t>
  </si>
  <si>
    <t>https://www.praca.pl/doradca-klienta-rekrutacja-online_3490676.html</t>
  </si>
  <si>
    <t>Polska, podkarpackie, Bukowsko</t>
  </si>
  <si>
    <t>https://www.praca.pl/doradca-klienta-rekrutacja-online_3490678.html</t>
  </si>
  <si>
    <t>Polska, podkarpackie, Zarszyn</t>
  </si>
  <si>
    <t>https://www.praca.pl/doradca-klienta-rekrutacja-online_3490680.html</t>
  </si>
  <si>
    <t>https://www.praca.pl/doradca-klienta-rekrutacja-online_3490682.html</t>
  </si>
  <si>
    <t>https://www.praca.pl/doradca-klienta-rekrutacja-online_3490684.html</t>
  </si>
  <si>
    <t>Polska, podkarpackie, Bircza</t>
  </si>
  <si>
    <t>https://www.praca.pl/doradca-klienta-rekrutacja-online_3490686.html</t>
  </si>
  <si>
    <t>https://www.praca.pl/doradca-klienta-rekrutacja-online_3490690.html</t>
  </si>
  <si>
    <t>https://www.praca.pl/doradca-klienta-rekrutacja-online_3490688.html</t>
  </si>
  <si>
    <t>https://www.praca.pl/doradca-klienta-rekrutacja-online_3490692.html</t>
  </si>
  <si>
    <t>Polska, podkarpackie, Grabownica Starzeńska</t>
  </si>
  <si>
    <t>https://www.praca.pl/doradca-klienta-rekrutacja-online_3490696.html</t>
  </si>
  <si>
    <t>Polska, podkarpackie, Dydnia</t>
  </si>
  <si>
    <t>https://www.praca.pl/doradca-klienta-rekrutacja-online_3490700.html</t>
  </si>
  <si>
    <t>https://www.praca.pl/doradca-klienta-rekrutacja-online_3490704.html</t>
  </si>
  <si>
    <t>Polska, podkarpackie, Czudec</t>
  </si>
  <si>
    <t>https://www.praca.pl/doradca-klienta-rekrutacja-online_3490706.html</t>
  </si>
  <si>
    <t>https://www.praca.pl/doradca-klienta-rekrutacja-online_3490810.html</t>
  </si>
  <si>
    <t>Polska, podkarpackie, Rzeszów, Dębica, Mielec, Przecław, Kolbuszowa, Leżajsk, Nowa Sarzyna, Przeworsk, Sieniawa, Łańcut, Białobrzegi, Stalowa Wola, Zaklików, Nisko, Rudnik nad Sanem, Tarnobrzeg, Baranów Sandomierski, Dynów, Jasło, Kołaczyce, Krosno, Dukla, Iwonicz-Zdrój</t>
  </si>
  <si>
    <t>https://www.praca.pl/doradca-ubezpieczeniowy_3526926.html</t>
  </si>
  <si>
    <t>1863,1803,1811,1806,1808,1814,1810,1818,1812,1864,1805,1861,1820,1816,1807</t>
  </si>
  <si>
    <t>Z/DU/06/2020</t>
  </si>
  <si>
    <t>Polska, podkarpackie, Brzozów, Przemyśl, Ropczyce, Sędziszów Małopolski, Strzyżów, Sanok, Zagórz, Lesko, Ustrzyki Dolne, Jarosław, Radymno, Lubaczów, Cieszanów</t>
  </si>
  <si>
    <t>https://www.praca.pl/doradca-ubezpieczeniowy_3526958.html</t>
  </si>
  <si>
    <t>1802,1862,1815,1819,1817,1821,1801,1804,1809</t>
  </si>
  <si>
    <t>Polska, podkarpackie, Gorzyce ul. Porucznika Sarny 2</t>
  </si>
  <si>
    <t>https://www.praca.pl/asystent-kierownika-sklepu-rekrutacja-telefoniczna_3548494.html</t>
  </si>
  <si>
    <t>28.08.2020</t>
  </si>
  <si>
    <t>Umowa zastępstwo</t>
  </si>
  <si>
    <t>https://www.praca.pl/kasjer-sprzedawca_3548492.html</t>
  </si>
  <si>
    <t>https://www.praca.pl/pracownik-wsparcia-produkcji_3506996.html</t>
  </si>
  <si>
    <t>SOLIDEXPERT POLSKA Spółka z ograniczoną odpowiedzialnością Sp. k.</t>
  </si>
  <si>
    <t>https://www.praca.pl/specjalista-ds-sprzedazy_3510434.html</t>
  </si>
  <si>
    <t>RPd057|243402</t>
  </si>
  <si>
    <t>&lt;br /&gt;- Nastawienie na realizacje zadań i osiąganie wyznaczonych celów&lt;br /&gt;- Wysoko rozwinięte zdolności interpersonalne czyli swobodę w rozmowie z Klientem&lt;br /&gt;- Entuzjazm i zaangażowanie&lt;br /&gt;- Dobrą organizację czasu pracy&lt;br /&gt;- Umiejętności sprzedażowe, a jeśli ich nie posiadasz – chęć i zapał do nauki&lt;br /&gt;- Znajomość oprogramowania SOLIDWORKS (mile widziana)&lt;br /&gt;- Wiarę we własne możliwości i potencjał!&lt;br /&gt;- Znajomość języka angielskiego w stopniu komunikatywnym&lt;br /&gt;- Prawo jazdy kat. B&lt;br /&gt;</t>
  </si>
  <si>
    <t>STEGU® Sp. z o.o.</t>
  </si>
  <si>
    <t>https://www.praca.pl/przedstawiciel-handlowy_3487192.html</t>
  </si>
  <si>
    <t>28.07.2020</t>
  </si>
  <si>
    <t>1864,1863,1862</t>
  </si>
  <si>
    <t>&lt;br /&gt;Zakres obowiązków:&lt;br /&gt;- realizacja planu sprzedaży na powierzonym terenie zgodnie ze standardami firmy,&lt;br /&gt;- rozbudowa sieci dystrybucji poprzez pozyskiwanie nowych klientów,&lt;br /&gt;- umacnianie wizerunku firmy na rynku i w sieciach dystrybucji,&lt;br /&gt;- dbanie o odpowiednią ekspozycję produktów firmy,&lt;br /&gt;- opieka nad klientami i zdobywanie nowych.&lt;br /&gt;</t>
  </si>
  <si>
    <t>KAM - Specjalista ds. Sprzedaży systemów CAM</t>
  </si>
  <si>
    <t>https://www.praca.pl/kam-specjalista-ds-sprzedazy-systemow-cam_3527658.html</t>
  </si>
  <si>
    <t>38060#20070064</t>
  </si>
  <si>
    <t>&lt;br /&gt;- Sukcesy sprzedażowe poparte wynikami&lt;br /&gt;- 1+ doświadczenia w sprzedaży B2B w branży PRODUKCYJNEJ i/lub PRZEMYSŁOWEJ (najchętniej systemy CAM)&lt;br /&gt;- Umiejętność nawiązywania i utrzymywania trwałych, pozytywnych relacji z Klientem&lt;br /&gt;- Determinacja w realizacji postawionych celów&lt;br /&gt;- Koncentracja na aktywnym poszukiwaniu Klientów&lt;br /&gt;- Znajomość języka angielskiego - B1/B2&lt;br /&gt;- Prawo jazdy kat B. (wyjazdy służbowe)&lt;br /&gt;- Wykształcenie wyższe (najchętniej techniczne kierunkowe: mechanika, mechatronika, budowa/inżynieria maszyn)&lt;br /&gt;- Samodzielne prowadzenie całego procesu sprzedaży (prezentacje, kalkulacje cenowe, ofertowanie, negocjacje cenowe, negocjacje umów)&lt;br /&gt;Dodatkowe atuty:&lt;br /&gt;- Znajomość rynku rozwiązań inżynierskich typu CAM&lt;br /&gt;- Znajomość rynku rozwiązań IT usprawniających procesy produkcyjne&lt;br /&gt;</t>
  </si>
  <si>
    <t>Dyrektor Agencji Ochrony (m/k)</t>
  </si>
  <si>
    <t>Kierownik agencji ochrony mienia i osób</t>
  </si>
  <si>
    <t>https://www.goldenline.pl/praca/oferta/1261234/zielonalinia0?utm_campaign=partner&amp;gpid=969962&amp;utm_medium=export&amp;glc_source=zielonalinia0&amp;utm_source=zielonalinia0</t>
  </si>
  <si>
    <t>17.08.2020</t>
  </si>
  <si>
    <t>RPd057|134903</t>
  </si>
  <si>
    <t>a0t4H00000knp1mQAA</t>
  </si>
  <si>
    <t>bieszczadzki</t>
  </si>
  <si>
    <t>brzozowski</t>
  </si>
  <si>
    <t>dębicki</t>
  </si>
  <si>
    <t>jarosławski</t>
  </si>
  <si>
    <t>jasielski</t>
  </si>
  <si>
    <t>kolbuszowski</t>
  </si>
  <si>
    <t>krośnieński</t>
  </si>
  <si>
    <t>leski</t>
  </si>
  <si>
    <t>leżajski</t>
  </si>
  <si>
    <t>lubaczowski</t>
  </si>
  <si>
    <t>łańcucki</t>
  </si>
  <si>
    <t>mielecki</t>
  </si>
  <si>
    <t>niżański</t>
  </si>
  <si>
    <t>przemyski</t>
  </si>
  <si>
    <t>przeworski</t>
  </si>
  <si>
    <t>ropczycko-sędziszowski</t>
  </si>
  <si>
    <t>rzeszowski</t>
  </si>
  <si>
    <t>sanocki</t>
  </si>
  <si>
    <t>stalowowolski</t>
  </si>
  <si>
    <t>strzyżowski</t>
  </si>
  <si>
    <t>tarnobrzeski</t>
  </si>
  <si>
    <t>m. Krosno</t>
  </si>
  <si>
    <t>m. Przemyśl</t>
  </si>
  <si>
    <t>m. Rzeszów</t>
  </si>
  <si>
    <t>m. Tarnobrzeg</t>
  </si>
  <si>
    <t>Suma</t>
  </si>
  <si>
    <t>z kilkoma wart.</t>
  </si>
  <si>
    <t>III kw. 2020</t>
  </si>
  <si>
    <t>liczebność pób</t>
  </si>
  <si>
    <t>04.11.2020</t>
  </si>
  <si>
    <t>16.11.2020</t>
  </si>
  <si>
    <t>https://www.praca.pl/doradca-klienta_3781443.html</t>
  </si>
  <si>
    <t>04.11.2020 00:42</t>
  </si>
  <si>
    <t>19.10.2020</t>
  </si>
  <si>
    <t>17.11.2020</t>
  </si>
  <si>
    <t>https://www.praca.pl/doradca-klienta_3781446.html</t>
  </si>
  <si>
    <t>https://www.praca.pl/doradca-klienta_3781449.html</t>
  </si>
  <si>
    <t>https://www.praca.pl/doradca-klienta_3781452.html</t>
  </si>
  <si>
    <t>https://www.praca.pl/doradca-klienta_3781455.html</t>
  </si>
  <si>
    <t>https://www.praca.pl/doradca-klienta_3781461.html</t>
  </si>
  <si>
    <t>https://www.praca.pl/doradca-klienta_3781464.html</t>
  </si>
  <si>
    <t>https://www.praca.pl/doradca-klienta_3781467.html</t>
  </si>
  <si>
    <t>18.11.2020</t>
  </si>
  <si>
    <t>https://www.praca.pl/konstruktor_3802293.html</t>
  </si>
  <si>
    <t>04.11.2020 00:41</t>
  </si>
  <si>
    <t>03.11.2020</t>
  </si>
  <si>
    <t>08.11.2020</t>
  </si>
  <si>
    <t>K/CBR/10/20</t>
  </si>
  <si>
    <t>&lt;br /&gt;- masz doświadczenie zawodowe na podobnym stanowisku&lt;br /&gt;- znasz oprogramowanie Catia w zakresie modelowania bryłowego i powierzchniowego&lt;br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</si>
  <si>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Inżynier / Kierownik robót sanitarnych</t>
  </si>
  <si>
    <t>19.11.2020</t>
  </si>
  <si>
    <t>https://www.praca.pl/inzynier-kierownik-robot-sanitarnych_3814464.html</t>
  </si>
  <si>
    <t>12.11.2020</t>
  </si>
  <si>
    <t>&lt;br /&gt;Wymagania:&lt;br /&gt;- wykształcenie wyższe branżowe,&lt;br /&gt;- umiejętność pracy w zespole,&lt;br /&gt;- dobra znajomość pakietu MS Office oraz programów: AutoCad, mile widziana znajomość programów do kosztorysowania Zuzia lub Rodos lub Norma PRO,&lt;br /&gt;- dyscyplina i dobra organizacja pracy umiejętność pracy pod presją czasu,&lt;br /&gt;- samodzielność w działaniu, inicjatywa w rozwiązywaniu problemów,&lt;br /&gt;- sumienność i zaangażowanie w wykonywaniu powierzonych zadań.&lt;br /&gt;</t>
  </si>
  <si>
    <t>Koordynator ds zapasu</t>
  </si>
  <si>
    <t>https://www.praca.pl/koordynator-ds-zapasu_3814251.html</t>
  </si>
  <si>
    <t>&lt;br /&gt;Nasze oczekiwania:&lt;br /&gt;- wykształcenie wyższe (mile widziani są tegoroczni absolwenci)&lt;br /&gt;- bardzo dobra organizacja czasu pracy&lt;br /&gt;- umiejętność logicznego myślenia i syntezowania danych&lt;br /&gt;- gotowość do podjęcia stałej pracy&lt;br /&gt;</t>
  </si>
  <si>
    <t>Polska, podkarpackie, Krosno i okolice</t>
  </si>
  <si>
    <t>https://www.praca.pl/serwisant_3813147.html</t>
  </si>
  <si>
    <t>https://www.praca.pl/c-net-software-developer_3812889.html</t>
  </si>
  <si>
    <t>&lt;br /&gt;Wymagania:&lt;br /&gt;- znajomość języka C# i platformy .NET&lt;br /&gt;- znajomość języka SQL&lt;br /&gt;- mile widziane doświadczenie w pracy z narzędziami: Visual Studio, VS Code, Git&lt;br /&gt;- mile widziana umiejętność tworzenia specyfikacji i/lub dokumentacji&lt;br /&gt;- znajomość programowania obiektowego i wzorców projektowych&lt;br /&gt;- umiejętność analitycznego myślenia, szybkiego uczenia się, pracy w zespole oraz dobra organizacja pracy&lt;br /&gt;- znajomość języka angielskiego umożliwiająca korzystanie z dokumentacji&lt;br /&gt;</t>
  </si>
  <si>
    <t>https://www.praca.pl/przedstawiciel-handlowy_3842298.html</t>
  </si>
  <si>
    <t>04.11.2020 00:25</t>
  </si>
  <si>
    <t>29.10.2020</t>
  </si>
  <si>
    <t>&lt;br /&gt;Profil poszukiwanego kandydata:&lt;br /&gt;- Doświadczenie w sprzedaży B2B&lt;br /&gt;- Umiejętność budowania relacji, poszukiwania klientów, prowadzenia rozmów handlowych&lt;br /&gt;- Silna orientacja na osiąganie celów sprzedażowych&lt;br /&gt;- Dyspozycyjność do wyjazdów służbowych&lt;br /&gt;- Prawo jazdy kat. B&lt;br /&gt;</t>
  </si>
  <si>
    <t>https://www.praca.pl/doradca-klienta_3843267.html</t>
  </si>
  <si>
    <t>27.10.2020</t>
  </si>
  <si>
    <t>Specjalista Dział Obsługi Klienta - z j. niemieckim i j. angielskim</t>
  </si>
  <si>
    <t>https://www.praca.pl/specjalista-dzial-obslugi-klienta-z-j-niemieckim-i-j-angielskim_3874734.html</t>
  </si>
  <si>
    <t>28.11.2020</t>
  </si>
  <si>
    <t>DOK-DE/10/20</t>
  </si>
  <si>
    <t>&lt;br /&gt;- posiadasz prawo jazdy kat. B&lt;br /&gt;- cechuje Cię systematyczność, terminowość, analityczny sposób myślenia i samodzielność w rozwiązywaniu zadań&lt;br /&gt;</t>
  </si>
  <si>
    <t>Młodszy specjalista ds. należności</t>
  </si>
  <si>
    <t>https://www.praca.pl/mlodszy-specjalista-ds-naleznosci_3862659.html</t>
  </si>
  <si>
    <t>MAN/06/20</t>
  </si>
  <si>
    <t>Abra S.A.</t>
  </si>
  <si>
    <t>Kierownik Sprzedawca</t>
  </si>
  <si>
    <t>https://www.praca.pl/kierownik-sprzedawca_3873513.html</t>
  </si>
  <si>
    <t>&lt;br /&gt;Kierownik w naszym sklepie:&lt;br /&gt;- Motywuje podległy zespół&lt;br /&gt;- Sprzedaje i rozumie potrzeby Klientów&lt;br /&gt;- Pracuje zespołowo, dzieli się wiedzą&lt;br /&gt;- Do pracy motywuje Go system premiowy&lt;br /&gt;Chcesz być jednym z nas?&lt;br /&gt;Mamy dla Ciebie:&lt;br /&gt;- System wdrożenia do pracy&lt;br /&gt;- Przejrzysty system premiowy powiązany z wynikami&lt;br /&gt;- Umowę o pracę&lt;br /&gt;- Naukę wszystkiego co w handlu ważne&lt;br /&gt;- Dostęp do karty sportowej&lt;br /&gt;- Rabaty na asortyment sklepu Abra&lt;br /&gt;Zadania, które na Ciebie czekają:&lt;br /&gt;- Kierowanie kilkuosobowym zespołem, delegowanie zadań&lt;br /&gt;- Realizacja planów sprzedażowych&lt;br /&gt;- Sprzedaż i realizacja zamówień&lt;br /&gt;- Dbanie o ekspozycję i wygląd sklepu&lt;br /&gt;</t>
  </si>
  <si>
    <t>https://www.praca.pl/menedzer-zespolu-sprzedazy_3895662.html</t>
  </si>
  <si>
    <t>03.12.2020</t>
  </si>
  <si>
    <t>1811,1861,1862,1863,1864</t>
  </si>
  <si>
    <t>&lt;br /&gt;- Doświadczenia w zarządzaniu zespołem sprzedażowym, minimum 2 lata;&lt;br /&gt;- Wysokich umiejętności sprzedażowych i interpersonalnych;&lt;br /&gt;- Doświadczenia w branży ubezpieczeniowej lub finansowej;&lt;br /&gt;- Umiejętności rekrutacji na stanowiska sprzedażowe;&lt;br /&gt;- Doświadczenia we wdrażaniu nowych osób do pracy;&lt;br /&gt;- Zaangażowania i poczucia misji w naszej branży.&lt;br /&gt;</t>
  </si>
  <si>
    <t>Kierownik działu zarządzania zasobami ludzkimi</t>
  </si>
  <si>
    <t>https://www.praca.pl/hr-manager_3895017.html</t>
  </si>
  <si>
    <t>RPd057|121203</t>
  </si>
  <si>
    <t>HRMMX 12/2019</t>
  </si>
  <si>
    <t>&lt;br /&gt;Nasze oczekiwania:&lt;br /&gt;- Otwartość na długofalową współpracę;&lt;br /&gt;- Otwartość na nowe pomysły i zmiany;&lt;br /&gt;- Doświadczenie zawodowe w obszarze HR, w tym praktyczna znajomość przepisów prawa pracy;&lt;br /&gt;- Doświadczenie w prowadzeniu procesów rekrutacyjnych;&lt;br /&gt;- Predyspozycje managerskie i bardzo dobra organizacja pracy;&lt;br /&gt;- Znajomość branży produkcyjnej (mile widziane);&lt;br /&gt;- Komunikatywna (minimum B2) znajomość języka angielskiego;&lt;br /&gt;- Wykształcenie wyższe, preferowane kierunki: ZZL, Ekonomia, Psychologia.&lt;br /&gt;</t>
  </si>
  <si>
    <t>https://www.praca.pl/przedstawiciel-handlowy-ds-reklamy_3894807.html</t>
  </si>
  <si>
    <t>Specjalista ds. księgowości</t>
  </si>
  <si>
    <t>https://www.praca.pl/specjalista-ds-ksiegowosci_3894882.html</t>
  </si>
  <si>
    <t>&lt;br /&gt;Wymagania:&lt;br /&gt;- Doświadczenia zawodowego na podobnym stanowisku,&lt;br /&gt;- Wykształcenie kierunkowe,&lt;br /&gt;- Znajomość zasad rozliczeń faktur walutowych,&lt;br /&gt;- Praktycznej znajomości przepisów dotyczących wewnątrzwspólnotowego nabycia towarów.&lt;br /&gt;</t>
  </si>
  <si>
    <t>https://www.praca.pl/kasjer-kasjerka_3894885.html</t>
  </si>
  <si>
    <t>Python Developer (Django + Django Rest Framework)</t>
  </si>
  <si>
    <t>https://www.praca.pl/python-developer-django-django-rest-framework_3893982.html</t>
  </si>
  <si>
    <t>39930#20110009</t>
  </si>
  <si>
    <t>&lt;br /&gt;- Minimum 4+ years of commercial experience in building web application engines&lt;br /&gt;- Experience in banking/financial API integrations&lt;br /&gt;- Deep understanding of Python 3 as well as Django 2x and Django Rest Framework&lt;br /&gt;- Proven history of using the following technologies:&lt;br /&gt;- PostgreSQL&lt;br /&gt;- API / REST&lt;br /&gt;- Jenkins&lt;br /&gt;- Supervisor&lt;br /&gt;- AWS&lt;br /&gt;- Treating testing as inherent part of the work&lt;br /&gt;- Autonomy and responsibility combined with strong communication skills&lt;br /&gt;- Problem solving approach - we're oriented to deliver solutions instead of - digging deeper into academic discussions&lt;br /&gt;- Strong analytical skills as well as ability to actively search for knowledge and share it with a team&lt;br /&gt;- Ability to provide clean, maintainable code&lt;br /&gt;- Perfect English&lt;br /&gt;</t>
  </si>
  <si>
    <t>Medicover Sp. z o.o.</t>
  </si>
  <si>
    <t>Lekarz Ortodonta</t>
  </si>
  <si>
    <t>Lekarz dentysta - specjalista ortodoncji</t>
  </si>
  <si>
    <t>https://www.praca.pl/lekarz-ortodonta_3887451.html</t>
  </si>
  <si>
    <t>RPd057|226204</t>
  </si>
  <si>
    <t>&lt;br /&gt;Pracując w naszym Zespole, otrzymasz:&lt;br /&gt;- Gabinety wyposażone w nowoczesny sprzęt medyczny in mikroskopy, kamery wewnątrzustne, skanery wewnątrzustne oraz wysokiej jakości materiały stomatologiczne,&lt;br /&gt;- Możliwość ścisłej współpracy i wymiany doświadczeń z innymi specjalistami,&lt;br /&gt;- Zapełniony grafik Pacjentów oraz możliwość pracy w kilku lokalizacjach,&lt;br /&gt;- Pracę na 4 ręce z wykwalifikowanym personelem,&lt;br /&gt;- Dostęp do kursów, szkoleń, warsztatów oraz aktualności dotyczących standardów wiedzy i leczenia,&lt;br /&gt;- Wsparcie Koordynatora Stomatologii i pracowników administracyjnych w codziennej pracy.&lt;br /&gt;</t>
  </si>
  <si>
    <t>Lekarz Stomatolog Protetyk</t>
  </si>
  <si>
    <t>https://www.praca.pl/lekarz-stomatolog-protetyk_3887466.html</t>
  </si>
  <si>
    <t>Lekarz Stomatolog - Endodonta</t>
  </si>
  <si>
    <t>Lekarz dentysta - specjalista stomatologii zachowawczej z endodoncją</t>
  </si>
  <si>
    <t>https://www.praca.pl/lekarz-stomatolog-endodonta_3887481.html</t>
  </si>
  <si>
    <t>RPd057|226208</t>
  </si>
  <si>
    <t>Lekarz Periodontolog</t>
  </si>
  <si>
    <t>Lekarz dentysta - specjalista periodontologii</t>
  </si>
  <si>
    <t>https://www.praca.pl/lekarz-periodontolog_3887484.html</t>
  </si>
  <si>
    <t>RPd057|226205</t>
  </si>
  <si>
    <t>Lekarz Stomatolog</t>
  </si>
  <si>
    <t>https://www.praca.pl/lekarz-stomatolog_3887487.html</t>
  </si>
  <si>
    <t>Lekarz Pedodonta</t>
  </si>
  <si>
    <t>Lekarz - specjalista pediatrii</t>
  </si>
  <si>
    <t>https://www.praca.pl/lekarz-pedodonta_3887490.html</t>
  </si>
  <si>
    <t>RPd057|221254</t>
  </si>
  <si>
    <t>Lekarz Stomatolog - Chirurg</t>
  </si>
  <si>
    <t>Lekarz dentysta - specjalista chirurgii szczękowo-twarzowej</t>
  </si>
  <si>
    <t>https://www.praca.pl/lekarz-stomatolog-chirurg_3887493.html</t>
  </si>
  <si>
    <t>RPd057|226202</t>
  </si>
  <si>
    <t>Cieśla - Zbrojarz</t>
  </si>
  <si>
    <t>https://www.praca.pl/ciesla-zbrojarz_3888081.html</t>
  </si>
  <si>
    <t>&lt;br /&gt;WYMAGANIA:&lt;br /&gt;- doświadczenie w wykonywaniu robót żelbetowych na obiektach mostowych,&lt;br /&gt;- doświadczenie w pracy z rusztowaniami i deskowaniami systemowymi,&lt;br /&gt;- umiejętność obsługi elektrycznych oraz spalinowych narzędzi budowlanych,&lt;br /&gt;- sumienność w wykonywaniu powierzonych obowiązków,&lt;br /&gt;- wysoka kultura pracy i dbałość o powierzony sprzęt,&lt;br /&gt;- mile widziane doświadczenie w montażu prefabrykatów mostowych (belki typu T, KUJAN itp.),&lt;br /&gt;- mile widziane doświadczenie przy wykonywaniu prac wykończeniowych na obiektach mostowych (montaż desek gzymsowych, kotew talerzowych, krawężników itp.),&lt;br /&gt;- mile widziane kursy i uprawnienia zawodowe (w szczególności podesty ruchome, pilarki łańcuchowe, uprawnienia spawalnicze, kursy BHP itp.),&lt;br /&gt;- gotowość do pracy w delegacji.&lt;br /&gt;</t>
  </si>
  <si>
    <t>https://www.praca.pl/kontroler-weterynaryjny_3893064.html</t>
  </si>
  <si>
    <t>&lt;h4&gt;Wymagania niezbędne&lt;/h4&gt;wykształcenie: średnie weterynaryjne lub pokrewne&lt;br /&gt;doświadczenie zawodowe/staż pracy: doświadczenia zawodowego&lt;br /&gt;- Prawo jazdy kat B&lt;br /&gt;- Posiadanie obywatelstwa polskiego&lt;br /&gt;- Korzystanie z pełni praw publicznych&lt;br /&gt;- Nieskazanie prawomocnym wyrokiem za umyślne przestępstwo lub umyślne przestępstwo skarbowe&lt;br /&gt;&lt;h4&gt;Wymagania dodatkowe&lt;/h4&gt;&lt;br /&gt;</t>
  </si>
  <si>
    <t>Wojewódzki Inspektorat Weterynarii z/s w Krośnie</t>
  </si>
  <si>
    <t>Asystent w zakładzie higieny weterynaryjnej</t>
  </si>
  <si>
    <t>https://www.praca.pl/asystent-w-zakladzie-higieny-weterynaryjnej_3893160.html</t>
  </si>
  <si>
    <t>13.11.2020</t>
  </si>
  <si>
    <t>&lt;h4&gt;Wymagania niezbędne&lt;/h4&gt;wykształcenie: wyższe weterynaryjne lub specjalistyczne&lt;br /&gt;doświadczenie zawodowe/staż pracy: doświadczenia zawodowego&lt;br /&gt;- znajomość języka angielskiego na poziomie średniozaawansowanym,&lt;br /&gt;- znajomość aktualnej normy PN EN ISO/IEC 17025,&lt;br /&gt;- wiedza i umiejętność w zakresie stosowania w laboratorium badawczym spójności metrologicznej,&lt;br /&gt;- biegła znajomość obsługi komputera, aplikacji komputerowych&lt;br /&gt;- Posiadanie obywatelstwa polskiego&lt;br /&gt;- Korzystanie z pełni praw publicznych&lt;br /&gt;- Nieskazanie prawomocnym wyrokiem za umyślne przestępstwo lub umyślne przestępstwo skarbowe&lt;br /&gt;&lt;h4&gt;Wymagania dodatkowe&lt;/h4&gt;&lt;br /&gt;- znajomość programu CELAB,&lt;br /&gt;- 0,5 roczny staż w laboratorium (chemia, mikrobiologia)&lt;br /&gt;</t>
  </si>
  <si>
    <t>https://www.pracuj.pl/praca/sprzedawca-choinek-jaroslaw-jaslo-krosno-rzeszow-sanok-tarnobrzeg,oferta,7738438</t>
  </si>
  <si>
    <t>04.11.2020 07:00</t>
  </si>
  <si>
    <t>02.11.2020</t>
  </si>
  <si>
    <t>02.12.2020</t>
  </si>
  <si>
    <t>1804,1805,1861,1863,1817,1864</t>
  </si>
  <si>
    <t>AGENCJAWIRTUALNA.PL</t>
  </si>
  <si>
    <t>Właściciel Agencji Marketingowej</t>
  </si>
  <si>
    <t>Kierownik agencji reklamowej</t>
  </si>
  <si>
    <t>https://www.pracuj.pl/praca/wlasciciel-agencji-marketingowej-brzozow-debica-jaroslaw-jaslo-kolbuszowa-krosno-lesko-lezajsk-lubaczow-lancut-mielec-nisko-przemysl-przeworsk-ropczyce-sanok-sta,oferta,7742482</t>
  </si>
  <si>
    <t>1802,1803,1804,1805,1806,1861,1821,1808,1809,1810,1811,1812,1862,1814,1815,1817,1818,1819,1864,1801</t>
  </si>
  <si>
    <t>RPd057|122201</t>
  </si>
  <si>
    <t>MetLife I</t>
  </si>
  <si>
    <t>Doradca / Opiekun Klienta w biurze sprzedaży</t>
  </si>
  <si>
    <t>https://www.pracuj.pl/praca/doradca-opiekun-klienta-w-biurze-sprzedazy-debica-jaroslaw-mielec-przemysl-rzeszow-stalowa-wola,oferta,7744324</t>
  </si>
  <si>
    <t>1803,1804,1811,1862,1863,1818</t>
  </si>
  <si>
    <t>Właściciel platformy zakupów rabatowych – Rabatem.pl</t>
  </si>
  <si>
    <t>https://www.pracuj.pl/praca/partner-biznesowy-rabatem-pl-wlasny-multimedialny-portal-debica-jaroslaw-jaslo-krosno-lesko-lezajsk-lancut-mielec-nisko-przemysl-przeworsk-rzeszow-sanok-stalowa-,oferta,7745015</t>
  </si>
  <si>
    <t>Firma testowa PD</t>
  </si>
  <si>
    <t>Tester programów i serwisu</t>
  </si>
  <si>
    <t>Polska, podkarpackie, Skopanie (pow. tarnobrzeski)</t>
  </si>
  <si>
    <t>https://www.pracuj.pl/praca/tester-programow-i-serwisu-skopanie-pow-tarnobrzeski,oferta,7745921</t>
  </si>
  <si>
    <t>"Firma Codogni" Sp.j.</t>
  </si>
  <si>
    <t>Koordynator biura Firmy - Specjalista do spraw kadr z jęz. ang.</t>
  </si>
  <si>
    <t>https://www.pracuj.pl/praca/koordynator-biura-firmy-specjalista-do-spraw-kadr-z-jez-ang-stalowa-wola,oferta,7746210</t>
  </si>
  <si>
    <t>Usługi Budowlano Transportowe Piotr Florek</t>
  </si>
  <si>
    <t>Operator Koparki Dwudrogowej</t>
  </si>
  <si>
    <t>https://www.pracuj.pl/praca/operator-koparki-dwudrogowej-podkarpackie,oferta,500062191</t>
  </si>
  <si>
    <t>https://www.pracuj.pl/praca/wlasciciel-multiagencji-ubezpieczeniowej-debica,oferta,1000177306</t>
  </si>
  <si>
    <t>https://www.pracuj.pl/praca/wlasciciel-multiagencji-ubezpieczeniowej-jaroslaw,oferta,1000177307</t>
  </si>
  <si>
    <t>https://www.pracuj.pl/praca/wlasciciel-multiagencji-ubezpieczeniowej-jaslo,oferta,1000177308</t>
  </si>
  <si>
    <t>https://www.pracuj.pl/praca/wlasciciel-multiagencji-ubezpieczeniowej-krosno,oferta,1000177309</t>
  </si>
  <si>
    <t>https://www.pracuj.pl/praca/wlasciciel-multiagencji-ubezpieczeniowej-lesko,oferta,1000177310</t>
  </si>
  <si>
    <t>https://www.pracuj.pl/praca/wlasciciel-multiagencji-ubezpieczeniowej-lezajsk,oferta,1000177311</t>
  </si>
  <si>
    <t>https://www.pracuj.pl/praca/wlasciciel-multiagencji-ubezpieczeniowej-lancut,oferta,1000177312</t>
  </si>
  <si>
    <t>https://www.pracuj.pl/praca/wlasciciel-multiagencji-ubezpieczeniowej-mielec,oferta,1000177313</t>
  </si>
  <si>
    <t>https://www.pracuj.pl/praca/wlasciciel-multiagencji-ubezpieczeniowej-nisko,oferta,1000177314</t>
  </si>
  <si>
    <t>https://www.pracuj.pl/praca/wlasciciel-multiagencji-ubezpieczeniowej-przemysl,oferta,1000177315</t>
  </si>
  <si>
    <t>https://www.pracuj.pl/praca/wlasciciel-multiagencji-ubezpieczeniowej-przeworsk,oferta,1000177316</t>
  </si>
  <si>
    <t>https://www.pracuj.pl/praca/wlasciciel-multiagencji-ubezpieczeniowej-rzeszow,oferta,1000177317</t>
  </si>
  <si>
    <t>https://www.pracuj.pl/praca/wlasciciel-multiagencji-ubezpieczeniowej-sanok,oferta,1000177318</t>
  </si>
  <si>
    <t>https://www.pracuj.pl/praca/wlasciciel-multiagencji-ubezpieczeniowej-stalowa-wola,oferta,1000177319</t>
  </si>
  <si>
    <t>https://www.pracuj.pl/praca/wlasciciel-multiagencji-ubezpieczeniowej-tarnobrzeg,oferta,1000177320</t>
  </si>
  <si>
    <t>https://www.pracuj.pl/praca/wlasciciel-multiagencji-ubezpieczeniowej-tyczyn,oferta,1000177321</t>
  </si>
  <si>
    <t>Konstruktor Elektronik</t>
  </si>
  <si>
    <t>https://www.pracuj.pl/praca/konstruktor-elektronik-krosno,oferta,1000490748</t>
  </si>
  <si>
    <t>Asystent prawny w Wewnętrznym Dziale Prawnym</t>
  </si>
  <si>
    <t>https://www.pracuj.pl/praca/asystent-prawny-w-wewnetrznym-dziale-prawnym-rzeszow,oferta,1000553947</t>
  </si>
  <si>
    <t>Prawo</t>
  </si>
  <si>
    <t>https://www.pracuj.pl/praca/ajent-saloniku-kolportera-rzeszow,oferta,1000554988</t>
  </si>
  <si>
    <t>https://www.pracuj.pl/praca/kierowca-kat-c%2be-debica,oferta,1000556831</t>
  </si>
  <si>
    <t>https://www.pracuj.pl/praca/kierowca-kat-c%2be-podgrodzie-pow-debicki,oferta,1000556841</t>
  </si>
  <si>
    <t>Empik, Partner Handlowy</t>
  </si>
  <si>
    <t>https://www.pracuj.pl/praca/empik-partner-handlowy-rzeszow,oferta,1000559307</t>
  </si>
  <si>
    <t>https://www.pracuj.pl/praca/technolog-debica,oferta,1000559321</t>
  </si>
  <si>
    <t>https://www.pracuj.pl/praca/spawacz-mielec,oferta,1000559520</t>
  </si>
  <si>
    <t>Polska, podkarpackie, Borowa (pow. mielecki)</t>
  </si>
  <si>
    <t>https://www.pracuj.pl/praca/spawacz-borowa-pow-mielecki,oferta,1000559521</t>
  </si>
  <si>
    <t>Doradca Handlowy ds. Fotowoltaiki</t>
  </si>
  <si>
    <t>https://www.pracuj.pl/praca/doradca-handlowy-ds-fotowoltaiki-jaslo,oferta,1000560281</t>
  </si>
  <si>
    <t>https://www.pracuj.pl/praca/doradca-handlowy-ds-fotowoltaiki-krosno,oferta,1000560294</t>
  </si>
  <si>
    <t>https://www.pracuj.pl/praca/doradca-handlowy-ds-fotowoltaiki-przemysl,oferta,1000560311</t>
  </si>
  <si>
    <t>https://www.pracuj.pl/praca/doradca-handlowy-ds-fotowoltaiki-rzeszow,oferta,1000560314</t>
  </si>
  <si>
    <t>STOKSON Spółka Jawna Henryk Stokłosa i Wspólnicy</t>
  </si>
  <si>
    <t>Przedstawiciel handlowy (Vanselling) (k/m)</t>
  </si>
  <si>
    <t>https://www.pracuj.pl/praca/przedstawiciel-handlowy-vanselling-k-m-rzeszow,oferta,1000560564</t>
  </si>
  <si>
    <t>Specjalista ds. rekrutacji</t>
  </si>
  <si>
    <t>https://www.pracuj.pl/praca/specjalista-ds-rekrutacji-rzeszow,oferta,1000560585</t>
  </si>
  <si>
    <t>Specjalista CAD - Dział Techniki i Rozwoju</t>
  </si>
  <si>
    <t>https://www.pracuj.pl/praca/specjalista-cad-dzial-techniki-i-rozwoju-mielec,oferta,1000560659</t>
  </si>
  <si>
    <t>Zoeller Tech Sp. z o.o.</t>
  </si>
  <si>
    <t>Serwisant mobilny zabudów samochodów specjalnych</t>
  </si>
  <si>
    <t>https://www.pracuj.pl/praca/serwisant-mobilny-zabudow-samochodow-specjalnych-rzeszow,oferta,1000560713</t>
  </si>
  <si>
    <t>Spedytor międzynarodowy (Pilzno)</t>
  </si>
  <si>
    <t>https://www.pracuj.pl/praca/spedytor-miedzynarodowy-pilzno-pilzno,oferta,1000560779</t>
  </si>
  <si>
    <t>Sulzer Mixpac Poland Sp. z o.o.</t>
  </si>
  <si>
    <t>System Manager Digital Procurement</t>
  </si>
  <si>
    <t>https://www.pracuj.pl/praca/system-manager-digital-procurement-rzeszow,oferta,1000561008</t>
  </si>
  <si>
    <t>KAZAR Group Sp. z o.o.</t>
  </si>
  <si>
    <t>Młodszy Specjalista ds. Importu</t>
  </si>
  <si>
    <t>https://www.pracuj.pl/praca/mlodszy-specjalista-ds-importu-przemysl,oferta,1000561196</t>
  </si>
  <si>
    <t>Asystent ds. Obsługi Zamówień Internetowych</t>
  </si>
  <si>
    <t>Ekspedytor sprzedaży wysyłkowej / internetowej</t>
  </si>
  <si>
    <t>https://www.pracuj.pl/praca/asystent-ds-obslugi-zamowien-internetowych-przemysl,oferta,1000561200</t>
  </si>
  <si>
    <t>RPd057|524401</t>
  </si>
  <si>
    <t>11.11.2020</t>
  </si>
  <si>
    <t>https://gratka.pl/praca/ogloszenie/ob/18019299?utm_source=zielonalinia.pl&amp;utm_medium=zielonalinia&amp;utm_campaign=export_xml</t>
  </si>
  <si>
    <t>11.11.2020 02:00</t>
  </si>
  <si>
    <t>https://gratka.pl/praca/ogloszenie/ob/18423223?utm_source=zielonalinia.pl&amp;utm_medium=zielonalinia&amp;utm_campaign=export_xml</t>
  </si>
  <si>
    <t>Wymagania:&lt;br /&gt;&lt;ul&gt;&lt;li&gt;Doświadczenie w sprzedaży produktów technicznych/chemicznych ok. 3lat&lt;/li&gt;&lt;br /&gt;&lt;li&gt;Doskonałe umiejętności negocjacyjne&lt;/li&gt;&lt;br /&gt;&lt;li&gt;Umiejętność analitycznego myślenia, otwartość na zmiany oraz gotowość do podejmowania wyzwań&lt;/li&gt;&lt;br /&gt;&lt;li&gt;Szybkość w działaniu, chęć ciągłego rozwoju i uczenia się&lt;/li&gt;&lt;br /&gt;&lt;li&gt;Dodatkowym atutem będzie znajomość języka obcego&lt;/li&gt;&lt;br /&gt;&lt;/ul&gt;</t>
  </si>
  <si>
    <t>https://www.praca.pl/doradca-klienta_3864849.html</t>
  </si>
  <si>
    <t>11.11.2020 00:26</t>
  </si>
  <si>
    <t>26.11.2020</t>
  </si>
  <si>
    <t>Nauczycielska Agencja Ubezpieczeniowa S.A.</t>
  </si>
  <si>
    <t>Przedstawiciel handlowy (system informatyczny) [rekrutacja online]</t>
  </si>
  <si>
    <t>https://www.praca.pl/przedstawiciel-handlowy-system-informatyczny-rekrutacja-online_3874221.html</t>
  </si>
  <si>
    <t>11.11.2020 00:41</t>
  </si>
  <si>
    <t>10.11.2020</t>
  </si>
  <si>
    <t>&lt;br /&gt;Jesteś poszukwianym przez nas kandydatem, jeśli:&lt;br /&gt;- posiadasz doświadczenie w bezpośredniej sprzedaży w kanale B2B,&lt;br /&gt;- potrafisz budować długotrwałe relacje biznesowe,&lt;br /&gt;- doskonale planujesz i organizujesz sobie pracę,&lt;br /&gt;- z zaangażowaniem realizujesz założone cele,&lt;br /&gt;- charakteryzujesz się rozwiniętymi zdolnościami komunikacyjnymi,&lt;br /&gt;- jesteś zainteresowany nowymi technologiami informatycznymi,&lt;br /&gt;- mile widziane jeśli posiadasz doświadczenie w branży edukacyjnej,&lt;br /&gt;- posiadasz prawo jazdy kat. B i jesteś gotowy do pracy w terenie.&lt;br /&gt;</t>
  </si>
  <si>
    <t>PGNiG Technologie S.A.</t>
  </si>
  <si>
    <t>Malarz Konstrukcji Urządzeń</t>
  </si>
  <si>
    <t>https://www.praca.pl/malarz-konstrukcji-urzadzen_3928134.html</t>
  </si>
  <si>
    <t>10.12.2020</t>
  </si>
  <si>
    <t>&lt;br /&gt;Wymagania:&lt;br /&gt;- Umiejętność malowania metodą natryskową, pistoletem powietrznym,&lt;br /&gt;- Umiejętność malowania metodą hydrodynamiczną,&lt;br /&gt;- Znajomość rysunku technicznego,&lt;br /&gt;- Mile widziane uprawnienia SA 16,&lt;br /&gt;- Staż pracy w zawodzie malarza/lakiernika co najmniej 1 rok,&lt;br /&gt;- Umiejętność czyszczenia powierzchni metodą strumieniowo – ścierną (śrutowanie, piaskowanie),&lt;br /&gt;- Aktualne uprawnienia energetyczne w zakresie ekploatacji Gr 2 i 3,&lt;br /&gt;- Samodzielność i wysoka precyzja w wykonywaniu powierzonych zadań.&lt;br /&gt;</t>
  </si>
  <si>
    <t>Technolog Drewna</t>
  </si>
  <si>
    <t>Polska, podkarpackie, Rzepedź</t>
  </si>
  <si>
    <t>https://www.praca.pl/technolog-drewna_3921069.html</t>
  </si>
  <si>
    <t>TD/07/20</t>
  </si>
  <si>
    <t>&lt;br /&gt;- znasz środowisko systemu CATIA, CAD, AlphaCAM&lt;br /&gt;- posiadasz umiejętność programowania i obsługi obrabiarek sterowanych numerycznie&lt;br /&gt;- posiadasz znajomość narzędzi Lean Manufacturing (6S, TPM)&lt;br /&gt;</t>
  </si>
  <si>
    <t>Technolog w Fabryce Mebli Biurowych</t>
  </si>
  <si>
    <t>https://www.praca.pl/technolog-w-fabryce-mebli-biurowych_3921072.html</t>
  </si>
  <si>
    <t>TEDFMB/CBR/07/20</t>
  </si>
  <si>
    <t>&lt;br /&gt;- możesz pochwalić się znajomością wyrobów meblowych i technologii wytwarzania mebli&lt;br /&gt;- posiadasz 2 letnie doświadczenie na podobnym stanowisku&lt;br /&gt;- komunikujesz się w języku niemieckim lub francuskim&lt;br /&gt;</t>
  </si>
  <si>
    <t>https://www.praca.pl/konstruktor_3927390.html</t>
  </si>
  <si>
    <t>K/CBR/11/20</t>
  </si>
  <si>
    <t>&lt;br /&gt;- posiadasz doświadczenie na podobnym stanowisku lub w zakresie projektowania wyrobów meblowych oraz konstrukcji spawanej&lt;br /&gt;- znasz oprogramowania tj. 3DExperience/Catia/SolidWorks oraz AutoCAD&lt;br /&gt;- posiadasz wiedzę i doświadczenie w zarządzaniu projektami&lt;br /&gt;- masz choćby podstawową wiedzę w zakresie systemów ERP&lt;br /&gt;</t>
  </si>
  <si>
    <t>Doradca Techniczny do sprzedaży obrabiarek do drewna</t>
  </si>
  <si>
    <t>https://www.praca.pl/doradca-techniczny-do-sprzedazy-obrabiarek-do-drewna_3926046.html</t>
  </si>
  <si>
    <t>RPd057|311922</t>
  </si>
  <si>
    <t>&lt;br /&gt;WYMAGANIA&lt;br /&gt;- wykształcenie minimum średnie techniczne&lt;br /&gt;- doświadczenie w sprzedaży bezpośredniej&lt;br /&gt;- samodzielność i dobra organizacja czasu pracy&lt;br /&gt;- dyspozycyjność i prawo jazdy kategorii B&lt;br /&gt;- mile widziana znajomość branży stolarsko-meblarskiej&lt;br /&gt;</t>
  </si>
  <si>
    <t>https://www.praca.pl/inspektor-weterynaryjny_3924894.html</t>
  </si>
  <si>
    <t>20.11.2020</t>
  </si>
  <si>
    <t>&lt;h4&gt;Wymagania niezbędne&lt;/h4&gt;wykształcenie: wyższe weterynaryjne lub wyższe farmaceutyczne&lt;br /&gt;doświadczenie zawodowe/staż pracy: doświadczenia zawodowego&lt;br /&gt;- prawo wykonywania zawodu lekarza weterynarii lub prawo wykonywania zawodu farmaceuty,&lt;br /&gt;- podstawowa znajomość krajowych i wspólnotowych przepisów weterynaryjnych oraz kpa,&lt;br /&gt;- umiejętność organizowania i planowania pracy,&lt;br /&gt;- prawo jazdy kat.B,&lt;br /&gt;- obsługa komputera,&lt;br /&gt;- 6 miesięcy doświadczenia zawodowego w zakresie realizacji zadań związanych z weterynarią lub farmacją&lt;br /&gt;- Posiadanie obywatelstwa polskiego&lt;br /&gt;- Korzystanie z pełni praw publicznych&lt;br /&gt;- Nieskazanie prawomocnym wyrokiem za umyślne przestępstwo lub umyślne przestępstwo skarbowe&lt;br /&gt;&lt;h4&gt;Wymagania dodatkowe&lt;/h4&gt;&lt;br /&gt;- znajomość j. angielskiego lub niemieckiego lub francuskiego na poziomie komunikatywnym,&lt;br /&gt;- zdolność analitycznego myślenia,&lt;br /&gt;- komunikatywność,&lt;br /&gt;- umiejętność przekazywania informacji w sposób jasny, precyzyjny i zwięzły&lt;br /&gt;</t>
  </si>
  <si>
    <t>CCIG Group</t>
  </si>
  <si>
    <t>Telefoniczny Doradca stałych Klientów</t>
  </si>
  <si>
    <t>https://www.goldenline.pl/praca/oferta/1266606/zielonalinia0?utm_campaign=partner&amp;gpid=975622&amp;utm_medium=export&amp;glc_source=zielonalinia0&amp;utm_source=zielonalinia0</t>
  </si>
  <si>
    <t>11.11.2020 03:30</t>
  </si>
  <si>
    <t>11.12.2020</t>
  </si>
  <si>
    <t>10632_8361</t>
  </si>
  <si>
    <t>Kupiec strategiczny</t>
  </si>
  <si>
    <t>https://www.goldenline.pl/praca/oferta/1265350/zielonalinia0?utm_campaign=partner&amp;gpid=974300&amp;utm_medium=export&amp;glc_source=zielonalinia0&amp;utm_source=zielonalinia0</t>
  </si>
  <si>
    <t>Zakupy</t>
  </si>
  <si>
    <t>JN -102020-1237938</t>
  </si>
  <si>
    <t>Wymagania:&lt;br /&gt;&lt;h4 &gt;Kogo szukamy / Profile description:&lt;/h4&gt; &lt;ul&gt;&lt;div class="lista"&gt;Negocjowanie głównych dostaw surowców,&lt;/div&gt;&lt;div class="lista"&gt;Nadzorowanie i prowadzenie procesów ofertowania i kontraktowania dostaw,&lt;/div&gt;&lt;div class="lista"&gt;Kreowanie, opracowanie, uzgadnianie i realizacja planów i strategii zakupowych,&lt;/div&gt;&lt;div class="lista"&gt;Opracowywanie i wdrażanie standardów związanych z procesem zakupów,&lt;/div&gt;&lt;div class="lista"&gt;Przeprowadzanie badań rynku oraz trendów cenowych,&lt;/div&gt;&lt;div class="lista"&gt;Analiza rynku dostawców oraz trendów rozwoju w obszarze zakupów,&lt;/div&gt;&lt;div class="lista"&gt;Nadzór nad realizacją celów biznesowych wynikających z umów zakupowych.&lt;/div&gt;&lt;/ul&gt;</t>
  </si>
  <si>
    <t>https://www.pracuj.pl/praca/doradca-ubezpieczeniowy-baranow-sandomierski-brzozow-cieszanow-debica-dukla-dynow-iwonicz-zdroj-jaroslaw-jaslo-kolbuszowa-krosno-lesko-lezajsk-lubaczow-lancut-mi,oferta,7755695</t>
  </si>
  <si>
    <t>11.11.2020 07:00</t>
  </si>
  <si>
    <t>09.11.2020</t>
  </si>
  <si>
    <t>09.12.2020</t>
  </si>
  <si>
    <t>1820,1802,1803,1816,1804,1805,1806,1861,1821,1808,1810,1811,1809,1812,1862,1814,1815,1817,1818,1819,1801</t>
  </si>
  <si>
    <t>Safety &amp; Quality Manager</t>
  </si>
  <si>
    <t>https://www.pracuj.pl/praca/safety-quality-manager-jasionka-pow-rzeszowski,oferta,1000568270</t>
  </si>
  <si>
    <t>LUK INVEST SPÓŁKA Z OGRANICZONĄ ODPOWIEDZIALNOŚCIĄ</t>
  </si>
  <si>
    <t>Pracownik Działu Księgowości</t>
  </si>
  <si>
    <t>Asystent do spraw księgowości</t>
  </si>
  <si>
    <t>Polska, podkarpackie, Łukawica (pow. leski)</t>
  </si>
  <si>
    <t>https://www.pracuj.pl/praca/pracownik-dzialu-ksiegowosci-lukawica-pow-leski,oferta,1000567883</t>
  </si>
  <si>
    <t>PGNiG SA</t>
  </si>
  <si>
    <t>Specjalista ds. rozwoju kadr</t>
  </si>
  <si>
    <t>https://www.pracuj.pl/praca/specjalista-ds-rozwoju-kadr-sanok,oferta,1000569050</t>
  </si>
  <si>
    <t>https://www.pracuj.pl/praca/specjalista-ds-personalnych-sanok,oferta,1000568955</t>
  </si>
  <si>
    <t>Starszy Ekspert Finansowy</t>
  </si>
  <si>
    <t>https://www.pracuj.pl/praca/starszy-ekspert-finansowy-rzeszow,oferta,1000569729</t>
  </si>
  <si>
    <t>Edge One Solutions Sp. z o.o.</t>
  </si>
  <si>
    <t>Java developer</t>
  </si>
  <si>
    <t>https://www.pracuj.pl/praca/java-developer-rzeszow,oferta,7757826</t>
  </si>
  <si>
    <t>Konsultant ds. sprzedaży</t>
  </si>
  <si>
    <t>https://www.pracuj.pl/praca/konsultant-ds-sprzedazy-brzozow,oferta,1000568098</t>
  </si>
  <si>
    <t>https://www.pracuj.pl/praca/konsultant-ds-sprzedazy-debica,oferta,1000568099</t>
  </si>
  <si>
    <t>https://www.pracuj.pl/praca/konsultant-ds-sprzedazy-krosno,oferta,1000568100</t>
  </si>
  <si>
    <t>https://www.pracuj.pl/praca/konsultant-ds-sprzedazy-sedziszow-malopolski,oferta,1000568101</t>
  </si>
  <si>
    <t>https://www.pracuj.pl/praca/konsultant-ds-sprzedazy-ropczyce,oferta,1000568102</t>
  </si>
  <si>
    <t>SIG Sp. z o.o.</t>
  </si>
  <si>
    <t>Sprzedawca Wewnętrzny</t>
  </si>
  <si>
    <t>https://www.pracuj.pl/praca/sprzedawca-wewnetrzny-przemysl,oferta,7756426</t>
  </si>
  <si>
    <t>https://www.pracuj.pl/praca/konsultant-ds-sprzedazy-jaslo,oferta,1000568060</t>
  </si>
  <si>
    <t>Inżynier wsparcia HelpDesk</t>
  </si>
  <si>
    <t>https://www.pracuj.pl/praca/inzynier-wsparcia-helpdesk-mielec,oferta,500063130</t>
  </si>
  <si>
    <t>Dyrektor Oddziału Sieci NSW Direct</t>
  </si>
  <si>
    <t>https://www.pracuj.pl/praca/dyrektor-oddzialu-sieci-nsw-direct-rzeszow,oferta,1000569848</t>
  </si>
  <si>
    <t>SunRoof</t>
  </si>
  <si>
    <t>Koordynator Projektów Budowlanych</t>
  </si>
  <si>
    <t>https://www.pracuj.pl/praca/koordynator-projektow-budowlanych-rzeszow,oferta,1000571122</t>
  </si>
  <si>
    <t>https://www.pracuj.pl/praca/commercial-manager-mielec,oferta,1000571784</t>
  </si>
  <si>
    <t>Analiza</t>
  </si>
  <si>
    <t>Simplicity Recruitment</t>
  </si>
  <si>
    <t>https://www.pracuj.pl/praca/front-end-developer-rzeszow,oferta,1000571861</t>
  </si>
  <si>
    <t>Specjalista ds. analiz finansowych</t>
  </si>
  <si>
    <t>https://www.pracuj.pl/praca/specjalista-ds-analiz-finansowych-kolbuszowa,oferta,1000571912</t>
  </si>
  <si>
    <t>https://www.pracuj.pl/praca/specjalista-ds-analiz-finansowych-lezajsk,oferta,1000571913</t>
  </si>
  <si>
    <t>https://www.pracuj.pl/praca/specjalista-ds-analiz-finansowych-mielec,oferta,1000571914</t>
  </si>
  <si>
    <t>https://www.pracuj.pl/praca/specjalista-ds-analiz-finansowych-nisko,oferta,1000571915</t>
  </si>
  <si>
    <t>https://www.pracuj.pl/praca/specjalista-ds-analiz-finansowych-nowa-deba,oferta,1000571916</t>
  </si>
  <si>
    <t>https://www.pracuj.pl/praca/specjalista-ds-analiz-finansowych-rzeszow,oferta,1000571917</t>
  </si>
  <si>
    <t>https://www.pracuj.pl/praca/specjalista-ds-analiz-finansowych-stalowa-wola,oferta,1000571918</t>
  </si>
  <si>
    <t>https://www.pracuj.pl/praca/specjalista-ds-analiz-finansowych-tarnobrzeg,oferta,1000571919</t>
  </si>
  <si>
    <t>https://www.pracuj.pl/praca/specjalista-ds-analiz-finansowych-rudnik-nad-sanem,oferta,1000571920</t>
  </si>
  <si>
    <t>Polska, podkarpackie, Przyszów (pow. stalowowolski)</t>
  </si>
  <si>
    <t>https://www.pracuj.pl/praca/specjalista-ds-analiz-finansowych-przyszow-pow-stalowowolski,oferta,1000571921</t>
  </si>
  <si>
    <t>https://www.pracuj.pl/praca/specjalista-ds-analiz-finansowych-gorzyce-pow-tarnobrzeski,oferta,1000571922</t>
  </si>
  <si>
    <t>Polska, podkarpackie, Jarocin (pow. niżański)</t>
  </si>
  <si>
    <t>https://www.pracuj.pl/praca/specjalista-ds-analiz-finansowych-jarocin-pow-nizanski,oferta,1000571923</t>
  </si>
  <si>
    <t>PPHU SYBIU</t>
  </si>
  <si>
    <t>Projektant mebli na wymiar</t>
  </si>
  <si>
    <t>https://www.pracuj.pl/praca/projektant-mebli-na-wymiar-lancut-okolice,oferta,1000572048</t>
  </si>
  <si>
    <t>Polska, podkarpackie, Przeworsk (okolice)</t>
  </si>
  <si>
    <t>https://www.pracuj.pl/praca/projektant-mebli-na-wymiar-przeworsk-okolice,oferta,1000572049</t>
  </si>
  <si>
    <t>https://www.pracuj.pl/praca/projektant-mebli-na-wymiar-rzeszow-okolice,oferta,1000572050</t>
  </si>
  <si>
    <t>https://www.pracuj.pl/praca/projektant-mebli-na-wymiar-gluchow-pow-lancucki,oferta,1000572051</t>
  </si>
  <si>
    <t>Pracownik magazynowy z uprawnieniami UDT</t>
  </si>
  <si>
    <t>https://www.pracuj.pl/praca/pracownik-magazynowy-z-uprawnieniami-udt-debica,oferta,1000572358</t>
  </si>
  <si>
    <t>Polska, podkarpackie, Zawada (pow. dębicki)</t>
  </si>
  <si>
    <t>https://www.pracuj.pl/praca/pracownik-magazynowy-z-uprawnieniami-udt-zawada-pow-debicki,oferta,1000572359</t>
  </si>
  <si>
    <t>Mistrz serwisu blacharsko-lakierniczego</t>
  </si>
  <si>
    <t>https://www.pracuj.pl/praca/mistrz-serwisu-blacharsko-lakierniczego-pilzno,oferta,1000572601</t>
  </si>
  <si>
    <t>Pomocnik doradca klienta</t>
  </si>
  <si>
    <t>https://www.pracuj.pl/praca/pomocnik-doradca-klienta-debica-kanczuga-kolbuszowa-mielec-ropczyce-rzeszow-sanok-stalowa-wola,oferta,7757205</t>
  </si>
  <si>
    <t>25.11.2020</t>
  </si>
  <si>
    <t>Kierownik ds. Zarządzania Produkcją</t>
  </si>
  <si>
    <t>https://www.pracuj.pl/praca/kierownik-ds-zarzadzania-produkcja-krosno,oferta,7758481</t>
  </si>
  <si>
    <t>H88 S.A.</t>
  </si>
  <si>
    <t>Konsultant BOK w dziale technicznym</t>
  </si>
  <si>
    <t>https://www.pracuj.pl/praca/konsultant-bok-w-dziale-technicznym-rzeszow,oferta,500063249</t>
  </si>
  <si>
    <t>Młodszy Kierownik Sklepu</t>
  </si>
  <si>
    <t>https://www.pracuj.pl/praca/mlodszy-kierownik-sklepu-gorzyce-pow-tarnobrzeski,oferta,1000566666</t>
  </si>
  <si>
    <t>iEco Energy</t>
  </si>
  <si>
    <t>Przedstawiciel Handlowy ds. Fotowoltaiki</t>
  </si>
  <si>
    <t>https://www.pracuj.pl/praca/przedstawiciel-handlowy-ds-fotowoltaiki-rzeszow,oferta,1000567271</t>
  </si>
  <si>
    <t>Linux Backend Developer (Python) - Remote</t>
  </si>
  <si>
    <t>https://www.pracuj.pl/praca/linux-backend-developer-python-remote-rzeszow,oferta,1000572640</t>
  </si>
  <si>
    <t>Administrator Bezpieczeństwa Systemów</t>
  </si>
  <si>
    <t>https://www.pracuj.pl/praca/administrator-bezpieczenstwa-systemow-rzeszow,oferta,1000572726</t>
  </si>
  <si>
    <t>Linux System Administrator</t>
  </si>
  <si>
    <t>https://www.pracuj.pl/praca/linux-system-administrator-rzeszow,oferta,1000572819</t>
  </si>
  <si>
    <t>Transition Technologies-Software Sp. z o.o.</t>
  </si>
  <si>
    <t>Programista Baz Danych</t>
  </si>
  <si>
    <t>https://www.pracuj.pl/praca/programista-baz-danych-rzeszow,oferta,1000572917</t>
  </si>
  <si>
    <t>Kierownik Robót Mostowych (m/k)</t>
  </si>
  <si>
    <t>https://www.pracuj.pl/praca/kierownik-robot-mostowych-m-k-nisko,oferta,1000572946</t>
  </si>
  <si>
    <t>Fullstack Software Engineer (Remote)</t>
  </si>
  <si>
    <t>https://www.pracuj.pl/praca/fullstack-software-engineer-remote-rzeszow,oferta,1000573573</t>
  </si>
  <si>
    <t>IT Administrator _ Windows Print Server, XenApp</t>
  </si>
  <si>
    <t>https://www.pracuj.pl/praca/it-administrator-windows-print-server-xenapp-tajecina-pow-rzeszowski,oferta,1000573601</t>
  </si>
  <si>
    <t>MS SharePoint developer</t>
  </si>
  <si>
    <t>https://www.pracuj.pl/praca/ms-sharepoint-developer-tajecina-pow-rzeszowski,oferta,1000573615</t>
  </si>
  <si>
    <t>Inżynier Laboratorium</t>
  </si>
  <si>
    <t>https://www.pracuj.pl/praca/inzynier-laboratorium-tajecina-pow-rzeszowski,oferta,1000573645</t>
  </si>
  <si>
    <t>Zastępca Kierownika Działu Handlowego</t>
  </si>
  <si>
    <t>https://www.pracuj.pl/praca/zastepca-kierownika-dzialu-handlowego-rzeszow,oferta,1000573669</t>
  </si>
  <si>
    <t>Inżynier ds. Analiz Przepływu Ciepła</t>
  </si>
  <si>
    <t>Inżynier mechanik - maszyny i urządzenia energetyczne</t>
  </si>
  <si>
    <t>https://www.pracuj.pl/praca/inzynier-ds-analiz-przeplywu-ciepla-tajecina-pow-rzeszowski,oferta,1000573769</t>
  </si>
  <si>
    <t>RPd057|214403</t>
  </si>
  <si>
    <t>Właściciel Centrum Logistyczno-Wysyłkowego (Franczyzobiorca)</t>
  </si>
  <si>
    <t>https://www.pracuj.pl/praca/wlasciciel-centrum-logistyczno-wysylkowego-franczyzobiorca-debica-jaroslaw-jaslo-krosno-lesko-lezajsk-lancut-mielec-nisko-przemysl-przeworsk-rzeszow-sanok-stalow,oferta,7766018</t>
  </si>
  <si>
    <t>18.11.2020 07:00</t>
  </si>
  <si>
    <t>16.12.2020</t>
  </si>
  <si>
    <t>VOSTER Spółka z ograniczoną odpowiedzialnością sp.k.</t>
  </si>
  <si>
    <t>Zastępca Dyrektora Produkcji</t>
  </si>
  <si>
    <t>27.11.2020</t>
  </si>
  <si>
    <t>https://www.pracuj.pl/praca/zastepca-dyrektora-produkcji-zarzecze-pow-nizanski,oferta,7766059</t>
  </si>
  <si>
    <t>FG ENERGY sp. z o.o</t>
  </si>
  <si>
    <t>MLM ( Multi Level Marketing ) / D2D ( Door 2 Door ) Salesman</t>
  </si>
  <si>
    <t>https://www.pracuj.pl/praca/mlm-multi-level-marketing-d2d-door-2-door-salesman-debica,oferta,7766884</t>
  </si>
  <si>
    <t>1803,1804,1805,1808,1810,1811,1812,1814,1815,1817,1818,1861,1862,1863,1864</t>
  </si>
  <si>
    <t>Młodszy specjalista – Inżynier elektryk</t>
  </si>
  <si>
    <t>https://www.pracuj.pl/praca/mlodszy-specjalista-inzynier-elektryk-rzeszow,oferta,7767497</t>
  </si>
  <si>
    <t>Koordynator w transporcie międzynarodowym – oddział Rzeszów / j. niemiecki</t>
  </si>
  <si>
    <t>https://www.pracuj.pl/praca/koordynator-w-transporcie-miedzynarodowym-oddzial-rzeszow-j-niemiecki-rzeszow,oferta,7767883</t>
  </si>
  <si>
    <t>Hostessa / Fotomodelka / Modelka możliwość pracy zdalnej - online</t>
  </si>
  <si>
    <t>Hostessa</t>
  </si>
  <si>
    <t>https://www.pracuj.pl/praca/hostessa-fotomodelka-modelka-mozliwosc-pracy-zdalnej-online-debica-jaroslaw-jaslo-kolbuszowa-krosno-mielec-przemysl-rzeszow-sanok,oferta,7767980</t>
  </si>
  <si>
    <t>1803,1804,1805,1806,1861,1811,1862,1863,1817</t>
  </si>
  <si>
    <t>RPd057|516903</t>
  </si>
  <si>
    <t>JPB SYSTEME S.A. Uproszczona Oddział w Polsce</t>
  </si>
  <si>
    <t>Konstruktor - Technolog - Design Engineer</t>
  </si>
  <si>
    <t>https://www.pracuj.pl/praca/konstruktor-technolog-design-engineer-jasionka-pow-rzeszowski,oferta,500063993</t>
  </si>
  <si>
    <t>Vision Drafting Services Australia Weronika Elwart</t>
  </si>
  <si>
    <t>Technolog drewna - Konstruktor</t>
  </si>
  <si>
    <t>https://www.pracuj.pl/praca/technolog-drewna-konstruktor-rzeszow,oferta,500064057</t>
  </si>
  <si>
    <t>Web Developer - Programista PHP</t>
  </si>
  <si>
    <t>https://www.pracuj.pl/praca/web-developer-programista-php-rzeszow,oferta,500064138</t>
  </si>
  <si>
    <t>Milkbar Europe Sp. z o.o.</t>
  </si>
  <si>
    <t>https://www.pracuj.pl/praca/pracownik-administracyjno-biurowy-tarnobrzeg,oferta,500064154</t>
  </si>
  <si>
    <t>Pracownik działu produkcji</t>
  </si>
  <si>
    <t>https://www.pracuj.pl/praca/pracownik-dzialu-produkcji-tarnobrzeg,oferta,500064155</t>
  </si>
  <si>
    <t>Python Developer + AWS</t>
  </si>
  <si>
    <t>https://www.pracuj.pl/praca/python-developer-%2b-aws-rzeszow,oferta,1000576492</t>
  </si>
  <si>
    <t>https://www.pracuj.pl/praca/solutions-architect-rzeszow,oferta,1000576756</t>
  </si>
  <si>
    <t>Partner prowadzący Placówkę  Partnerską</t>
  </si>
  <si>
    <t>https://www.pracuj.pl/praca/partner-prowadzacy-placowke-partnerska-kolbuszowa,oferta,1000580274</t>
  </si>
  <si>
    <t>https://www.pracuj.pl/praca/partner-prowadzacy-placowke-partnerska-lezajsk,oferta,1000580278</t>
  </si>
  <si>
    <t>https://www.pracuj.pl/praca/partner-prowadzacy-placowke-partnerska-lubaczow,oferta,1000580280</t>
  </si>
  <si>
    <t>https://www.pracuj.pl/praca/partner-prowadzacy-placowke-partnerska-nisko,oferta,1000580286</t>
  </si>
  <si>
    <t>https://www.pracuj.pl/praca/partner-prowadzacy-placowke-partnerska-ropczyce,oferta,1000580292</t>
  </si>
  <si>
    <t>https://www.pracuj.pl/praca/partner-prowadzacy-placowke-partnerska-sedziszow-malopolski,oferta,1000580294</t>
  </si>
  <si>
    <t>Inżynier ds. Analiz Wytrzymałościowych</t>
  </si>
  <si>
    <t>https://www.pracuj.pl/praca/inzynier-ds-analiz-wytrzymalosciowych-tajecina-pow-rzeszowski,oferta,1000582036</t>
  </si>
  <si>
    <t>BERNACKI INDUSTRIAL SERVICES SP. Z O.O.</t>
  </si>
  <si>
    <t>Przezbrajacz-programista obrabiarek CNC</t>
  </si>
  <si>
    <t>https://www.pracuj.pl/praca/przezbrajacz-programista-obrabiarek-cnc-jasionka-pow-rzeszowski,oferta,1000582045</t>
  </si>
  <si>
    <t>https://www.pracuj.pl/praca/programista-plc-rzeszow,oferta,1000582669</t>
  </si>
  <si>
    <t>Programista robotów online</t>
  </si>
  <si>
    <t>https://www.pracuj.pl/praca/programista-robotow-online-rzeszow,oferta,1000582677</t>
  </si>
  <si>
    <t>Mechanik Silników Lotniczych / Aircraft Engine Mechanic</t>
  </si>
  <si>
    <t>https://www.pracuj.pl/praca/mechanik-silnikow-lotniczych-aircraft-engine-mechanic-jasionka-pow-rzeszowski,oferta,1000582686</t>
  </si>
  <si>
    <t>Business Manager</t>
  </si>
  <si>
    <t>https://www.pracuj.pl/praca/business-manager-rzeszow,oferta,1000582801</t>
  </si>
  <si>
    <t>Inżynier Rozwoju - Wsparcie bieżącej produkcji</t>
  </si>
  <si>
    <t>https://www.pracuj.pl/praca/inzynier-rozwoju-wsparcie-biezacej-produkcji-glogow-malopolski,oferta,1000583076</t>
  </si>
  <si>
    <t>Starszy specjalista – Trener</t>
  </si>
  <si>
    <t>https://www.pracuj.pl/praca/starszy-specjalista-trener-rzeszow,oferta,1000583127</t>
  </si>
  <si>
    <t>3W Dystrybucja Budowlana S.A.</t>
  </si>
  <si>
    <t>Przedstawiciel Handlowy – Doradca Techniczny  – branża materiałów budowlanych</t>
  </si>
  <si>
    <t>https://www.pracuj.pl/praca/przedstawiciel-handlowy-doradca-techniczny-branza-materialow-budowlanych-rzeszow,oferta,1000583162</t>
  </si>
  <si>
    <t>Freedom Nieruchomości</t>
  </si>
  <si>
    <t>Doradca do spraw rynku nieruchomości</t>
  </si>
  <si>
    <t>https://www.pracuj.pl/praca/doradca-ds-nieruchomosci-rzeszow,oferta,1000583199</t>
  </si>
  <si>
    <t>Planning &amp; Forecasting Analyst</t>
  </si>
  <si>
    <t>https://www.pracuj.pl/praca/planning-forecasting-analyst-rzeszow,oferta,1000583434</t>
  </si>
  <si>
    <t>Administrator IT / Pracownik działu IT</t>
  </si>
  <si>
    <t>https://www.pracuj.pl/praca/administrator-it-pracownik-dzialu-it-brzeznica-pow-debicki,oferta,1000583452</t>
  </si>
  <si>
    <t>HILTI</t>
  </si>
  <si>
    <t>Terytorialny Przedstawiciel Sprzedaży</t>
  </si>
  <si>
    <t>https://www.pracuj.pl/praca/terytorialny-przedstawiciel-sprzedazy-rzeszow,oferta,1000583482</t>
  </si>
  <si>
    <t>https://www.pracuj.pl/praca/net-developer-rzeszow,oferta,1000583511</t>
  </si>
  <si>
    <t>https://www.pracuj.pl/praca/specjalista-ds-zakupow-pustkow-osiedle-pow-debicki,oferta,1000583527</t>
  </si>
  <si>
    <t>Antal SSC/BPO</t>
  </si>
  <si>
    <t>Customer Service Specialist with German (manufacturing sector)</t>
  </si>
  <si>
    <t>https://www.pracuj.pl/praca/customer-service-specialist-with-german-manufacturing-sector-rzeszow,oferta,1000583954</t>
  </si>
  <si>
    <t>DORADCA KLIENTA</t>
  </si>
  <si>
    <t>01.12.2020</t>
  </si>
  <si>
    <t>https://www.goldenline.pl/praca/oferta/1266890/zielonalinia0?utm_campaign=partner&amp;gpid=975886&amp;utm_medium=export&amp;glc_source=zielonalinia0&amp;utm_source=zielonalinia0</t>
  </si>
  <si>
    <t>25.11.2020 00:24</t>
  </si>
  <si>
    <t>23.11.2020</t>
  </si>
  <si>
    <t>17.12.2020</t>
  </si>
  <si>
    <t>Wymagania:&lt;br /&gt;&lt;h4 &gt;SZUKAMY LUDZI, KTÓRYM CHCE SIĘ CHCIEĆ!&lt;/h4&gt;Lubisz handel, kochasz pracę z ludźmi i angażujesz się w wykonywaną przez siebie pracę?Pragniesz zmian, wyzwań i chcesz pracować w największej sieci handlowej w Polsce AGD/ IT/ RTV?&lt;h3 &gt;DOŁĄCZ DO NAJLEPSZYCH!&lt;/h3&gt;&lt;h2 &gt;NA START OTRZYMASZ:&lt;/h2&gt;&lt;ul&gt;&lt;div class="lista"&gt;Umowę bez okresu próbnego – doceniamy Twoją pracę&lt;/div&gt;&lt;div class="lista"&gt;Najwyższe zarobki w branży – nieograniczone pieniądze w systemie premiowym&lt;/div&gt;&lt;div class="lista"&gt;Bogaty pakiet benefitów i ubezpieczeń – stawiamy na Twoje zdrowie&lt;/div&gt;&lt;div class="lista"&gt;Fundacja stworzona dla Ciebie – pomagamy Tobie i Twoim bliskim&lt;/div&gt;&lt;/ul&gt;</t>
  </si>
  <si>
    <t>https://www.pracuj.pl/praca/doradca-klienta-krosno,oferta,1000182575</t>
  </si>
  <si>
    <t>22.11.2020</t>
  </si>
  <si>
    <t>22.12.2020</t>
  </si>
  <si>
    <t>https://www.pracuj.pl/praca/doradca-klienta-rzeszow,oferta,1000182577</t>
  </si>
  <si>
    <t>REFRATEC sp. z o.o.</t>
  </si>
  <si>
    <t>Murarz pieców przemysłowych</t>
  </si>
  <si>
    <t>https://www.pracuj.pl/praca/murarz-piecow-przemyslowych-podkarpackie,oferta,7776865</t>
  </si>
  <si>
    <t>25.11.2020 07:00</t>
  </si>
  <si>
    <t>23.12.2020</t>
  </si>
  <si>
    <t>Pomocnik murarza pieców przemysłowych</t>
  </si>
  <si>
    <t>https://www.pracuj.pl/praca/pomocnik-murarza-piecow-przemyslowych-podkarpackie,oferta,7777265</t>
  </si>
  <si>
    <t>https://www.pracuj.pl/praca/tokarz-debica,oferta,7777134</t>
  </si>
  <si>
    <t>https://www.pracuj.pl/praca/frezer-debica,oferta,7777119</t>
  </si>
  <si>
    <t>https://www.pracuj.pl/praca/szlifierz-debica,oferta,7777113</t>
  </si>
  <si>
    <t>BOCHMA INSTAL-EKSPERT BOCHNIK MACIEJ</t>
  </si>
  <si>
    <t>Brygadzista w branży sanitarnej z możliwością przyuczenia</t>
  </si>
  <si>
    <t>Technik urządzeń sanitarnych*</t>
  </si>
  <si>
    <t>https://www.pracuj.pl/praca/brygadzista-w-branzy-sanitarnej-z-mozliwoscia-przyuczenia-podkarpackie,oferta,7777360</t>
  </si>
  <si>
    <t>25.11.2020 08:28</t>
  </si>
  <si>
    <t>02.01.2001</t>
  </si>
  <si>
    <t>https://www.pracuj.pl/praca/specjalista-ds-zakupow-rzeszow,oferta,1000596063</t>
  </si>
  <si>
    <t>DHC Business Solutions Sp. z o.o.</t>
  </si>
  <si>
    <t>Software Tester</t>
  </si>
  <si>
    <t>https://www.pracuj.pl/praca/software-tester-jasionka-pow-rzeszowski,oferta,1000596485</t>
  </si>
  <si>
    <t>Inżynier ds. Osiągów Silników Lotniczych</t>
  </si>
  <si>
    <t>https://www.pracuj.pl/praca/inzynier-ds-osiagow-silnikow-lotniczych-tajecina-pow-rzeszowski,oferta,1000596628</t>
  </si>
  <si>
    <t>Inżynier mechanik - cieplno-mechaniczne urządzenia, instalacje i sieci energetyczne</t>
  </si>
  <si>
    <t>https://www.pracuj.pl/praca/inzynier-ds-analiz-przeplywu-ciepla-tajecina,oferta,7777701</t>
  </si>
  <si>
    <t>RPd057|214401</t>
  </si>
  <si>
    <t>HICRON sp. z o.o.</t>
  </si>
  <si>
    <t>SAP Cloud Architect</t>
  </si>
  <si>
    <t>https://www.pracuj.pl/praca/sap-cloud-architect-podkarpackie,oferta,7777976</t>
  </si>
  <si>
    <t>KRZYSZTOF BŁAŻOWSKI GLOBALO MAX</t>
  </si>
  <si>
    <t>Social Media Manager</t>
  </si>
  <si>
    <t>Specjalista do spraw mediów interaktywnych</t>
  </si>
  <si>
    <t>https://www.pracuj.pl/praca/social-media-manager-rzeszow,oferta,500065175</t>
  </si>
  <si>
    <t>RPd057|243108</t>
  </si>
  <si>
    <t>https://www.pracuj.pl/praca/analityk-biznesowy-rzeszow,oferta,1000597151</t>
  </si>
  <si>
    <t>AWS?DevOps?Engineer</t>
  </si>
  <si>
    <t>https://www.pracuj.pl/praca/aws-devops-engineer-rzeszow,oferta,1000597276</t>
  </si>
  <si>
    <t>C Embedded Developer - automotive sector</t>
  </si>
  <si>
    <t>https://www.pracuj.pl/praca/c-embedded-developer-automotive-sector-rzeszow,oferta,1000596909</t>
  </si>
  <si>
    <t>3A Composites Mobility S.A.</t>
  </si>
  <si>
    <t>https://www.pracuj.pl/praca/spedytor-mielec,oferta,7778482</t>
  </si>
  <si>
    <t>Zarząd Dróg Powiatowych w Łańcucie</t>
  </si>
  <si>
    <t>Inspektor powiatowy ds. utrzymania dróg</t>
  </si>
  <si>
    <t>https://www.pracuj.pl/praca/inspektor-powiatowy-ds-utrzymania-drog-lancut,oferta,500065201</t>
  </si>
  <si>
    <t>Specjalista ds. projektów B+R+I oraz inwestycyjnych</t>
  </si>
  <si>
    <t>https://www.pracuj.pl/praca/specjalista-ds-projektow-b%2br%2bi-oraz-inwestycyjnych-krosno,oferta,1000597562</t>
  </si>
  <si>
    <t>Albert Polska Spółka z ograniczoną odpowiedzialnością</t>
  </si>
  <si>
    <t>https://www.pracuj.pl/praca/przedstawiciel-farmaceutyczny-podkarpackie,oferta,500065204</t>
  </si>
  <si>
    <t>CONSEA POLAND</t>
  </si>
  <si>
    <t>Specjalista ds. Analizy Danych Produkcyjnych z Językiem Włoskim</t>
  </si>
  <si>
    <t>https://www.pracuj.pl/praca/specjalista-ds-analizy-danych-produkcyjnych-z-jezykiem-wloskim-podkarpackie,oferta,7778157</t>
  </si>
  <si>
    <t>CELL-FAST Sp. z o.o.</t>
  </si>
  <si>
    <t>Główny Specjalista ds. zakupów</t>
  </si>
  <si>
    <t>https://www.pracuj.pl/praca/glowny-specjalista-ds-zakupow-krosno,oferta,1000597009</t>
  </si>
  <si>
    <t>Inżynier Jakości Dostawców (K/M)</t>
  </si>
  <si>
    <t>https://www.pracuj.pl/praca/inzynier-jakosci-dostawcow-k-m-podkarpackie,oferta,7778235</t>
  </si>
  <si>
    <t>Spedytor Krajowy - Międzynarodowy</t>
  </si>
  <si>
    <t>https://www.pracuj.pl/praca/spedytor-krajowy-miedzynarodowy-rzeszow,oferta,1000596902</t>
  </si>
  <si>
    <t>Euvic IT S.A.</t>
  </si>
  <si>
    <t>Microsoft Security Specialist</t>
  </si>
  <si>
    <t>https://www.pracuj.pl/praca/microsoft-security-specialist-rzeszow,oferta,1000596797</t>
  </si>
  <si>
    <t>Castorama Polska</t>
  </si>
  <si>
    <t>Asystent/ka ds. Obsługi Klienta</t>
  </si>
  <si>
    <t>https://www.pracuj.pl/praca/asystent-ka-ds-obslugi-klienta-rzeszow,oferta,1000597843</t>
  </si>
  <si>
    <t>Helpdesk Consultant</t>
  </si>
  <si>
    <t>https://www.pracuj.pl/praca/helpdesk-consultant-rzeszow,oferta,1000597032</t>
  </si>
  <si>
    <t>https://www.pracuj.pl/praca/analityk-finansowy-rakszawa-pow-lancucki,oferta,7778854</t>
  </si>
  <si>
    <t>KANCELARIA RADCÓW PRAWNYCH V4 LEGAL P.SZMOLKE sp.k.</t>
  </si>
  <si>
    <t>Samodzielna/y księgowa/y</t>
  </si>
  <si>
    <t>https://www.pracuj.pl/praca/samodzielna-y-ksiegowa-y-przeworsk,oferta,7778861</t>
  </si>
  <si>
    <t>Mamut Polska S.A.</t>
  </si>
  <si>
    <t>Regionalny Koordynator Sprzedaży</t>
  </si>
  <si>
    <t>https://www.pracuj.pl/praca/regionalny-koordynator-sprzedazy-rzeszow,oferta,1000597944</t>
  </si>
  <si>
    <t>Stażysta/ka w Sekcji Laboratorium R&amp;D (Testy bezpieczeństwa urządzeń)</t>
  </si>
  <si>
    <t>https://www.pracuj.pl/praca/stazysta-ka-w-sekcji-laboratorium-r-d-testy-bezpieczenstwa-urzadzen-rzeszow,oferta,1000597914</t>
  </si>
  <si>
    <t>Dressler Dublin Spółka z ograniczoną odpowiedzialnością, właściciel sieci "Księgarnie Świat Książki"</t>
  </si>
  <si>
    <t>Księgarz – Sprzedawca</t>
  </si>
  <si>
    <t>https://www.pracuj.pl/praca/ksiegarz-sprzedawca-debica,oferta,1000596925</t>
  </si>
  <si>
    <t>https://www.pracuj.pl/praca/ksiegarz-sprzedawca-krosno,oferta,1000596942</t>
  </si>
  <si>
    <t>https://www.pracuj.pl/praca/ksiegarz-sprzedawca-mielec,oferta,1000596946</t>
  </si>
  <si>
    <t>https://www.pracuj.pl/praca/ksiegarz-sprzedawca-przemysl,oferta,1000596956</t>
  </si>
  <si>
    <t>https://www.pracuj.pl/praca/ksiegarz-sprzedawca-rzeszow,oferta,1000596959</t>
  </si>
  <si>
    <t>https://www.pracuj.pl/praca/ksiegarz-sprzedawca-stalowa-wola,oferta,1000596962</t>
  </si>
  <si>
    <t>https://www.pracuj.pl/praca/doradca-handlowy-rzeszow,oferta,1000597808</t>
  </si>
  <si>
    <t>Pracownik Sektora Logistyki</t>
  </si>
  <si>
    <t>https://www.pracuj.pl/praca/pracownik-sektora-logistyki-rzeszow,oferta,1000597812</t>
  </si>
  <si>
    <t>Metlife III</t>
  </si>
  <si>
    <t>Specjalista ds. Planowania Finansów</t>
  </si>
  <si>
    <t>https://www.pracuj.pl/praca/specjalista-ds-planowania-finansow-debica-jaroslaw-mielec-przemysl-rzeszow-stalowa-wola,oferta,7778956</t>
  </si>
  <si>
    <t>https://www.pracuj.pl/praca/menedzer-zespolu-krosno,oferta,7779083</t>
  </si>
  <si>
    <t>Kierownik Oddziału Banku</t>
  </si>
  <si>
    <t>https://www.pracuj.pl/praca/kierownik-oddzialu-banku-rzeszow,oferta,1000546837</t>
  </si>
  <si>
    <t>Chemobudowa-Kraków S.A.</t>
  </si>
  <si>
    <t>Kosztorysant</t>
  </si>
  <si>
    <t>https://www.goldenline.pl/praca/oferta/1267174/zielonalinia0?utm_campaign=partner&amp;gpid=976192&amp;utm_medium=export&amp;glc_source=zielonalinia0&amp;utm_source=zielonalinia0</t>
  </si>
  <si>
    <t>18.11.2020 03:30</t>
  </si>
  <si>
    <t>4927_2966</t>
  </si>
  <si>
    <t>bez wart.</t>
  </si>
  <si>
    <t>X-XII 2020</t>
  </si>
  <si>
    <t>goldenline.pl</t>
  </si>
  <si>
    <t>razem 1</t>
  </si>
  <si>
    <t>razem 2</t>
  </si>
  <si>
    <t>1+2</t>
  </si>
  <si>
    <t>bez przyp.</t>
  </si>
  <si>
    <t>wiele pow.</t>
  </si>
  <si>
    <t>I 2019</t>
  </si>
  <si>
    <t>II 2019</t>
  </si>
  <si>
    <t>III 2019</t>
  </si>
  <si>
    <t>IV 2019</t>
  </si>
  <si>
    <t>I 2020</t>
  </si>
  <si>
    <t>II 2020</t>
  </si>
  <si>
    <t>III 2020</t>
  </si>
  <si>
    <t>IV 2020</t>
  </si>
  <si>
    <t>I-III 2021</t>
  </si>
  <si>
    <t>Asystent ds. Obsługi Pacjenta</t>
  </si>
  <si>
    <t>24.02.2021</t>
  </si>
  <si>
    <t>08.03.2021</t>
  </si>
  <si>
    <t>https://www.praca.pl/asystent-ds-obslugi-pacjenta_4289055.html</t>
  </si>
  <si>
    <t>24.02.2021 03:05</t>
  </si>
  <si>
    <t>22.02.2021</t>
  </si>
  <si>
    <t>24.03.2021</t>
  </si>
  <si>
    <t>&lt;br /&gt;Twoje zadania:&lt;br /&gt;- umawianie Pacjentów na badania, w tym obsługa Pacjentów zgodnie ze standardami Grupy Affidea&lt;br /&gt;- udzielanie Pacjentom niezbędnych informacji o zakresie świadczonych usług medycznych, możliwych terminach ich wykonania, sposobie rejestracji, oraz niezbędnych dokumentach&lt;br /&gt;- budowanie długotrwałych relacji z Pacjentem poprzez zapewnienie najwyższej jakości obsługi&lt;br /&gt;- dbanie o pozytywny wizerunek firmy&lt;br /&gt;- współpraca z personelem medycznym&lt;br /&gt;Jeśli wyróżniasz się:&lt;br /&gt;- pozytywnym nastawieniem do ludzi oraz chęcią pomocy innym&lt;br /&gt;- cierpliwością i wrażliwością na potrzeby innych&lt;br /&gt;- wyznawaniem zasady, że nie ma problemów, są za to rozwiązania&lt;br /&gt;- czerpaniem przyjemności płynącej z kreowania pozytywnego wizerunku firmy&lt;br /&gt;- umiejętnością współpracy w zespole oraz wysoką kulturą osobistą&lt;br /&gt;- samodzielnością i wykazywaniem inicjatywy&lt;br /&gt;- tym, że praca dla Ciebie to coś więcej niż wykonywaniem zadań od A do Z&lt;br /&gt;- gotowością do pracy w różnych godzinach, w tym również w weekendy&lt;br /&gt;</t>
  </si>
  <si>
    <t>02.03.2021</t>
  </si>
  <si>
    <t>https://www.praca.pl/doradca-handlowo-techniczny_4294123.html</t>
  </si>
  <si>
    <t>23.02.2021</t>
  </si>
  <si>
    <t>25.03.2021</t>
  </si>
  <si>
    <t>&lt;br /&gt;Wymagania:&lt;br /&gt;- Wykształcenie min. średnie&lt;br /&gt;- Umiejętności sprzedażowe&lt;br /&gt;- Zaangażowanie i motywacja do osiągania wysokich rezultatów w sprzedaży&lt;br /&gt;- Umiejętności interpersonalne i negocjacyjne&lt;br /&gt;- Zaangażowanie w relacje z klientami i realizację ich potrzeb zakupowych&lt;br /&gt;- Znajomość rynku produktów do maszyn (budowlanych, rolniczych) będzie atutem&lt;br /&gt;- Prawo jazdy kat. B&lt;br /&gt;</t>
  </si>
  <si>
    <t>&lt;br /&gt;Opis stanowiska:&lt;br /&gt;- Codzienna obsługa Klientów w terenie, aktywne pozyskiwanie nowych i utrzymywanie relacji z bieżącymi klientami&lt;br /&gt;- Sprzedaż wszystkich produktów z oferty dla klientów po zakupie maszyny: osprzęty do maszyn, opony, naprawy, umowy serwisowe, wynajem, części, agregaty - zgodnie z obowiązującym planem sprzedaży w regionie&lt;br /&gt;- Wsparcie w doborze produktów do potrzeb Klienta, profesjonalne doradztwo&lt;br /&gt;- Prowadzenie i systematyczna aktualizacja bazy danych klientów w regionie&lt;br /&gt;- Sporządzanie raportów sprzedaży, w tym w systemie CRM&lt;br /&gt;- Pozyskiwanie wiedzy o rynku produktów z oferty&lt;br /&gt;- Kontrola płatności&lt;br /&gt;- Dbanie o wizerunek firmy i marki JCB w terenie&lt;br /&gt;</t>
  </si>
  <si>
    <t>https://www.praca.pl/przedstawiciel-medyczny_4290147.html</t>
  </si>
  <si>
    <t>PM/podkarpackie</t>
  </si>
  <si>
    <t>&lt;br /&gt;OCZEKUJEMY&lt;br /&gt;wykształcenia wyższego jako wymóg obligatoryjny&lt;br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</si>
  <si>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&lt;br /&gt;CEL PRACY&lt;br /&gt;- promocja leków Rx w środowisku lekarzy i farmaceutów&lt;br /&gt;- reprezentowanie firmy podczas zjazdów i konferencji naukowych&lt;br /&gt;- stałe doskonalenie wiedzy i podnoszenie kwalifikacji zawodowych&lt;br /&gt;</t>
  </si>
  <si>
    <t>Kierownik działu automatyki</t>
  </si>
  <si>
    <t>https://www.praca.pl/kierownik-dzialu-automatyki_4294971.html</t>
  </si>
  <si>
    <t>&lt;br /&gt;Oczekiwania wobec kandydatów:&lt;br /&gt;- wykształcenie wyższe techniczne (automatyka, robotyka, elektrotechnika)&lt;br /&gt;- minimum 3-letnie doświadczenie w zarządzaniu zespołem w obszarze utrzymania ruchu&lt;br /&gt;- umiejętność budowania relacji i zaangażowania w zespole&lt;br /&gt;- znajomość zaawansowanych systemów automatyki i sterowania&lt;br /&gt;- umiejętność programowania sterowników PLC i paneli operatorskich (Allen-Bradley, Siemens, Pro-Face)&lt;br /&gt;- znajomość układów pneumatycznych i hydraulicznych&lt;br /&gt;- Komunikatywny poziom j. angielskiego&lt;br /&gt;</t>
  </si>
  <si>
    <t>&lt;br /&gt;Zakres odpowiedzialności:&lt;br /&gt;- organizacja pracy Działu Automatyki w organizacji&lt;br /&gt;- wyznaczanie zadań dla zespołu i nadzór nad ich realizacją zgodnie z harmonogramem&lt;br /&gt;- diagnozowanie problemów dotyczących systemów automatyki i sterowania&lt;br /&gt;- wsparcie techników w eliminacji usterek&lt;br /&gt;- programowanie sterowników PLC oraz paneli operatorskich&lt;br /&gt;- analiza dostępności, wybór oraz testowanie nowych rozwiązań technicznych&lt;br /&gt;- kreatywne podejście do usprawnień w zakresie pracy maszyn i procesów&lt;br /&gt;- opracowywanie założeń technicznych dla nowych projektów w zakresie automatyki&lt;br /&gt;</t>
  </si>
  <si>
    <t>https://www.praca.pl/elektromonter-pogotowia-elektroenergetycznego_4295313.html</t>
  </si>
  <si>
    <t>09.03.2021</t>
  </si>
  <si>
    <t>&lt;br /&gt;Profil kandydata:&lt;br /&gt;- Wykształcenie o profilu elektrycznym&lt;br /&gt;- Podstawowa wiedza z zakresu budowy oraz zasad eksploatacji urządzeń elektroenergetycznych&lt;br /&gt;- Wiedza z zakresu organizacji pracy przy urządzeniach elektroenergetycznych&lt;br /&gt;- Praca na wysokości&lt;br /&gt;- Umiejętność pracy w zespole&lt;br /&gt;- Świadectwo kwalifikacyjne uprawniające do zajmowania się eksploatacją urządzeń, instalacji&lt;br /&gt;i sieci na stanowisku eksploatacji&lt;br /&gt;- Prawo jazdy kat B /dodatkowo kat. C mile widziana/&lt;br /&gt;</t>
  </si>
  <si>
    <t>&lt;br /&gt;Do głównych zadań osoby zatrudnionej należeć będzie m. in.:&lt;br /&gt;- Wykonywanie przeglądów, napraw, remontów, pomiarów aparatury, urządzeń, instalacji elektroenergetycznych (linii napowietrznych i kablowych SN, nN, oraz stacji transformatorowych SN/nN)&lt;br /&gt;- Udział w usuwaniu awarii na urządzeniach elektroenergetycznych średniego i niskiego napięcia&lt;br /&gt;- Wykonywanie prac ziemnych (wykopy, porządkowanie terenu)&lt;br /&gt;- Wycinka drzew, gałęzi, podrostów&lt;br /&gt;</t>
  </si>
  <si>
    <t>Tłumacz języka japońskiego</t>
  </si>
  <si>
    <t>https://www.goldenline.pl/praca/oferta/1269846/zielonalinia0?utm_campaign=partner&amp;gpid=979336&amp;utm_medium=export&amp;glc_source=zielonalinia0&amp;utm_source=zielonalinia0</t>
  </si>
  <si>
    <t>24.02.2021 03:30</t>
  </si>
  <si>
    <t>Obowiązki:&lt;br /&gt;&lt;div &gt;&lt;strong &gt;Obowiązki&lt;br /&gt;&lt;br /&gt;&lt;ul &gt;&lt;br /&gt;&lt;li &gt;Tłumaczenie dokumentów z języka japońskiego na polski i z polskiego na japoński&lt;/li&gt;&lt;br /&gt;&lt;li &gt;Zarządzanie przepływem informacji&lt;/li&gt;&lt;br /&gt;&lt;li &gt;Koordynowanie projektów&lt;/li&gt;&lt;br /&gt;&lt;li &gt;Tworzenie prezentacji, pism, raportów do Tokyo HQ&lt;/li&gt;&lt;br /&gt;&lt;/ul&gt;&lt;br /&gt;&lt;/div&gt;&lt;br /&gt;&lt;div &gt;&lt;br /&gt;Od kandydata oczekujemy:&lt;br /&gt;&lt;ul &gt;&lt;br /&gt;&lt;li &gt;Znajomości języka japońskiego i angielskiego&lt;/li&gt;&lt;br /&gt;&lt;li &gt;Wykształcenia wyższego&lt;/li&gt;&lt;br /&gt;&lt;li &gt;Znajomości MS Office&lt;/li&gt;&lt;br /&gt;&lt;/ul&gt;&lt;br /&gt;&lt;/div&gt;</t>
  </si>
  <si>
    <t>Translator with French</t>
  </si>
  <si>
    <t>https://www.goldenline.pl/praca/oferta/1269700/zielonalinia0?utm_campaign=partner&amp;gpid=979214&amp;utm_medium=export&amp;glc_source=zielonalinia0&amp;utm_source=zielonalinia0</t>
  </si>
  <si>
    <t>Tłumaczenia</t>
  </si>
  <si>
    <t>24.02.2021 00:20</t>
  </si>
  <si>
    <t>23.01.2021</t>
  </si>
  <si>
    <t>21.02.2021</t>
  </si>
  <si>
    <t>Wymagania:&lt;br /&gt;&lt;div &gt;For one of our clients we are looking for a Translator with French language who will be responsible for translations of Web texts. &lt;/div&gt;&lt;h2&gt;Responsibilities:&lt;/h2&gt;&lt;ul&gt;&lt;div class="lista"&gt;Preparing translations from Polish or English to French &lt;/div&gt;&lt;div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French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</si>
  <si>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Obowiązki:&lt;br /&gt;online</t>
  </si>
  <si>
    <t>Backend/Symfony Developer</t>
  </si>
  <si>
    <t>https://www.praca.pl/backend-symfony-developer_4294473.html</t>
  </si>
  <si>
    <t>42460#21020080</t>
  </si>
  <si>
    <t>&lt;br /&gt;- 3+ lat doświadczenia w PHP&lt;br /&gt;- Dobra znajomość Symfony (idealnie Symfony 4) lub jakiegokolwiek większego frameworka PHP np. Laravel&lt;br /&gt;- Znajomość Twiga&lt;br /&gt;- Podstawowa znajomość jQuery&lt;br /&gt;- Doświadczenie w pracy z kilkoma instancjami serwerów (load balancer, sesje, etc.)&lt;br /&gt;- Znajomość angielskiego B2&lt;br /&gt;</t>
  </si>
  <si>
    <t>&lt;br /&gt;- Współpraca ze zespołem programistów&lt;br /&gt;- Współpraca z Project Managerem/działem biznes&lt;br /&gt;- Optymalizacja oraz naprawa błędów&lt;br /&gt;- Dodawanie nowych funkcjonalności - rozszerzanie istniejącego systemu (API, raporty, rozszerzenia)&lt;br /&gt;- Tworzenie customowych rozwiązań zgodnie z zapotrzebowaniem Klientów&lt;br /&gt;</t>
  </si>
  <si>
    <t>iOS Application Developer</t>
  </si>
  <si>
    <t>https://www.praca.pl/ios-application-developer_4294955.html</t>
  </si>
  <si>
    <t>38150#21020081</t>
  </si>
  <si>
    <t>&lt;br /&gt;- min 2-3 lata doświadczenia w programowaniu iOS&lt;br /&gt;- bardzo dobra znajomość Swift&lt;br /&gt;- język angielski w stopniu komunikatywnym (minimum B2)&lt;br /&gt;- kreatywne podejście do rozwiązywania problemów&lt;br /&gt;Dodatkowe atuty:&lt;br /&gt;- Dobra znajomość Objective-C&lt;br /&gt;</t>
  </si>
  <si>
    <t>&lt;br /&gt;- zarządzanie techniczną stroną naszych projektów&lt;br /&gt;- tworzenie aplikacji iOS dla ciekawych światowych marek i startupów,&lt;br /&gt;- projektowanie i nawiązywanie komunikacji z serwerowymi źródłami danych,&lt;br /&gt;- praca z niektórymi z naszych istniejących aplikacji, aby je dalej rozwijać i optymalizować,&lt;br /&gt;- testowanie efektów swojej pracy&lt;br /&gt;- branie udziału w przygotowaniu odpowiedniej dokumentacji projektowej,&lt;br /&gt;</t>
  </si>
  <si>
    <t>Linux Administrator</t>
  </si>
  <si>
    <t>https://www.praca.pl/linux-administrator_4293361.html</t>
  </si>
  <si>
    <t>42170#21020078</t>
  </si>
  <si>
    <t>&lt;br /&gt;- Minimu 2-letnie doświadczenie w pracy jako administrator systemów Linux&lt;br /&gt;- Znajomość przynajmniej jednego języka programowania na poziomie potrzebnym do automatyzcji zadań&lt;br /&gt;- Doświadczenie w konfiguracji narzędzi do monitoringu (Icinga, Grafana)&lt;br /&gt;- Doświadczenie w konfiguracji usług (np.: nginx, apache, haproxy, varnish i wielu innych)&lt;br /&gt;- Gotowość do dodatkowo płatnych dyżurów pod telefonem (ustalanych wspólnie, nigdy samotnie, po wdrożeniu)&lt;br /&gt;- Pasja w administracji Linuxem i multitasking&lt;br /&gt;- Znajomość języka angielskiego na poziomie minimum B2&lt;br /&gt;Dodatkowe atuty:&lt;br /&gt;- Doświadczenie z rozwiązaniami HA&lt;br /&gt;</t>
  </si>
  <si>
    <t>&lt;br /&gt;- Rozwiązywanie problemów, czyli reagowanie na awarie oraz obsługa zgłoszeń Klientów. Przykładowe problemy z jakimi możesz się zetknąć:&lt;br /&gt;- namierzanie źródła niedostępności serwisów / aplikacji / usług&lt;br /&gt;- analiza obciążenia systemu (np. wzmożony ruch, wolne zapytania sql, atak)&lt;br /&gt;- analiza problemów z pocztą (nie dochodzi do serwera, wpada do folderu SPAM)&lt;br /&gt;- zmiany w konfiguracji usług nginx, apache, haproxy, varnish i wielu innych&lt;br /&gt;- odtwarzanie plików lub całych środowisk z kopii zapasowych&lt;br /&gt;- tworzenie, usuwanie kont, dostępów VPN i dostępów użytkowników&lt;br /&gt;- automatyzacja powyższych zadań :)&lt;br /&gt;- Realizacja projektów, czyli tworzenie środowisk od podstaw, konfiguracja nowych usług i wdrażanie nowych rozwiązań. Z czym to się dokładnie wiąże?&lt;br /&gt;- instalacja nowych systemów&lt;br /&gt;- wdrażanie rozwiązań HA (klastry, replikacje, load balancing)&lt;br /&gt;- optymalizacja wydajności (tuning baz danych, wdrażanie cache)&lt;br /&gt;- skalowanie usług&lt;br /&gt;- automatyzacja (pisanie skryptów, scenariuszy ansible)&lt;br /&gt;- pisanie dokumentacji technicznej (ale głównie na wew. wiki!)&lt;br /&gt;</t>
  </si>
  <si>
    <t>Wadwicz sp. z o.o.</t>
  </si>
  <si>
    <t>Inżynier Utrzymania Rozwiązań Zaawansowanych z językiem angielskim</t>
  </si>
  <si>
    <t>https://www.goldenline.pl/praca/oferta/1269892/zielonalinia0?utm_campaign=partner&amp;gpid=979388&amp;utm_medium=export&amp;glc_source=zielonalinia0&amp;utm_source=zielonalinia0</t>
  </si>
  <si>
    <t>Wymagania:&lt;br /&gt;&lt;div class="obowiazkiE"&gt;&lt;/div&gt;&lt;ol&gt;&lt;div class="lista"&gt;obsługa zaawansowanej transmisji danych (w tym usług IP/BGP) na potrzeby Klientów Operatorów&lt;/div&gt;&lt;div class="lista"&gt;współpraca z dostawcami zewnętrznymi i wewnętrznymi&lt;/div&gt;&lt;div class="lista"&gt;bieżący kontakt z Klientami Operatorami (w tym klienci anglojęzyczni) przy utrzymaniu i zmianach usług niestandardowych i zaawansowanej transmisji danych (w tym usług IP/BGP) .&lt;/div&gt;&lt;div class="lista"&gt;zarządzanie usługami IP/BGP dla Klientów Operatorów na platformach sieciowych&lt;/div&gt;&lt;div class="lista"&gt;prace związane z monitorowaniem jakości usług dla Klientów Operatorów&lt;/div&gt;&lt;/ol&gt;&lt;div class="wymaganiaE"&gt;&lt;/div&gt;&lt;ol&gt;&lt;div class="lista"&gt;wykształcenie wyższe techniczne (preferowane kierunki: telekomunikacja, informatyka)&lt;/div&gt;&lt;div class="lista"&gt;znajomość protokołu BGP&lt;/div&gt;&lt;div class="lista"&gt;doświadczenie w konfiguracji i administracji JunOS i/lub CiscoIOS&lt;/div&gt;&lt;div class="lista"&gt;znajomość zagadnień związanych z sieciami LAN i Metro Ethernet&lt;/div&gt;&lt;div class="lista"&gt;bardzo dobra znajomość języka angielskiego - warunek konieczny&lt;/div&gt;&lt;div class="lista"&gt;otwartość i nastawienie na realizację potrzeb klientów&lt;/div&gt;&lt;div class="lista"&gt;skuteczność w realizacji celów&lt;/div&gt;&lt;/ol&gt;&lt;div class="milewidzianeE"&gt;&lt;/div&gt;&lt;ol&gt;&lt;div class="lista"&gt;podstawowa znajomość budowy sieci telekomunikacyjnych i technik komputerowych&lt;/div&gt;&lt;div class="lista"&gt;doświadczenie w obsłudze telefonicznej&lt;/div&gt;&lt;div class="lista"&gt;znajomość platform LINUX oraz języka Python&lt;/div&gt;&lt;div class="lista"&gt;doświadczenie ze współpracy na operatorskim rynku internetowym&lt;/div&gt;&lt;div class="lista"&gt;umiejętność szybkiego reagowania w sytuacjach kryzysowych&lt;/div&gt;&lt;div class="lista"&gt;zainteresowanie nowymi technologiami i pozyskiwaniem wiedzy w tym zakresie&lt;/div&gt;&lt;div class="lista"&gt;certyfikaty potwierdzające wiedzę i umiejętności&lt;/div&gt;&lt;/ol&gt;&lt;div class="ofertaE"&gt;&lt;/div&gt;&lt;ol&gt;&lt;div class="lista"&gt;pracę zdalną, docelowo praca w modelu hybrydowym (1-2 dni tygodniowo w biurze)&lt;/div&gt;&lt;div class="lista"&gt;pracę w dynamicznie rozwijającym się zespole&lt;/div&gt;&lt;di</t>
  </si>
  <si>
    <t>Nauczyciel na kierunku Terapeuta uzależnień</t>
  </si>
  <si>
    <t>Specjalista terapii uzależnień</t>
  </si>
  <si>
    <t>17.02.2021</t>
  </si>
  <si>
    <t>https://www.praca.pl/nauczyciel-na-kierunku-terapeuta-uzaleznien_4258549.html</t>
  </si>
  <si>
    <t>17.02.2021 03:04</t>
  </si>
  <si>
    <t>16.02.2021</t>
  </si>
  <si>
    <t>18.03.2021</t>
  </si>
  <si>
    <t>RPd057|229907</t>
  </si>
  <si>
    <t>&lt;br /&gt;JEŚLI DO NAS DOŁĄCZYSZ BĘDZIESZ SIĘ ZAJMOWAĆ:&lt;br /&gt;- Zapewnieniem nauczania na najwyższym poziomie i profesjonalizmu w działaniu&lt;br /&gt;- Sprawieniem, aby nasi uczniowie i słuchacze byli przygotowani do pracy w wybranych zawodach, a później jak najlepiej funkcjonowali na rynku pracy&lt;br /&gt;</t>
  </si>
  <si>
    <t>Technolog branży energetycznej</t>
  </si>
  <si>
    <t>https://www.praca.pl/technolog-branzy-energetycznej_4257593.html</t>
  </si>
  <si>
    <t>&lt;br /&gt;- wykształcenie wyższe,&lt;br /&gt;- min. 2 letnie doświadczenie w pracy na podobnym stanowisku,&lt;br /&gt;- umiejętność analizy i weryfikacji dokumentacji projektowej,&lt;br /&gt;- bardzo dobra znajomość branży przemysłowej związanej z wytwarzaniem energii elektrycznej i cieplnej w oparciu o układy silników gazowych, kotłów biomasy i fluidalnych, instalacji ORC, spalarnie odpadów/osadów ściekowych.&lt;br /&gt;- dobra znajomość pakietu MS Office,&lt;br /&gt;- znajomość oprogramowania CAD,&lt;br /&gt;- zdolności analitycznego myślenia,&lt;br /&gt;- znajomość języka angielskiego,&lt;br /&gt;- odpowiedzialność i samodzielność w działaniu, dobra organizacja pracy,&lt;br /&gt;</t>
  </si>
  <si>
    <t>&lt;br /&gt;weryfikacja projektów przetargowych,&lt;br /&gt;nadzór nad branżą technologiczną, dobór urządzeń dla układów związanych z wytwarzaniem energii elektrycznej i cieplnej,&lt;br /&gt;opracowanie koncepcji i procesu technologicznego danego projektu,&lt;br /&gt;gromadzenie i analiza danych niezbędnych do przygotowania oferty handlowej,&lt;br /&gt;analiza rozwiązań technicznych i dobór optymalnych rozwiązań,&lt;br /&gt;pozyskiwanie i analizowanie ofert podwykonawczych,&lt;br /&gt;sporządzanie kosztorysów ofertowych i wykonawczych w oparciu o ścisłą współpracę z klientem i innymi zespołami grupy ,&lt;br /&gt;kompletowanie oferty i budżetu realizacyjnego,&lt;br /&gt;przygotowywanie harmonogramów realizacyjnych.&lt;br /&gt;</t>
  </si>
  <si>
    <t>Polska, podkarpackie, Jarosław, Przeworsk</t>
  </si>
  <si>
    <t>https://www.praca.pl/doradca-klienta_4213108.html</t>
  </si>
  <si>
    <t>17.02.2021 00:24</t>
  </si>
  <si>
    <t>09.02.2021</t>
  </si>
  <si>
    <t>04.03.2021</t>
  </si>
  <si>
    <t>P/DKL/02/21/nazwa miasta</t>
  </si>
  <si>
    <t>&lt;br /&gt;Pracując u nas będziesz odpowiedzialny za:&lt;br /&gt;- profesjonalne, zindywidualizowane doradztwo oraz sprzedaż produktów bankowości detalicznej przy jednoczesnej obsłudze operacyjnej Klientów,&lt;br /&gt;- pozyskiwanie i budowanie długotrwałych relacji z Klientami,&lt;br /&gt;- dbałość o standardy obsługi klienta oraz kształtowanie pozytywnego wizerunku Banku,&lt;br /&gt;- zarządzanie przypisanym portfelem Klientów.&lt;br /&gt;Oczekujemy od Ciebie:&lt;br /&gt;- doświadczenia w pracy związanej ze sprzedażą lub obsługą klienta,&lt;br /&gt;- minimum średniego wykształcenia,&lt;br /&gt;- praktycznej znajomości pakietu Microsoft Office,&lt;br /&gt;- dobrze rozwiniętych umiejętności komunikacyjnych,&lt;br /&gt;- umiejętności szybkiego uczenia się i chęci rozwoju w branży finansowej,&lt;br /&gt;- umiejętności budowania relacji,&lt;br /&gt;- pozytywnego nastawienia oraz otwartości na przyswajanie nowej wiedzy.&lt;br /&gt;Dołącz do nas, a tak jak wszyscy nasi pracownicy otrzymasz:&lt;br /&gt;- stabilne zatrudnienie na podstawie umowy o pracę,&lt;br /&gt;- wynagrodzenie podstawowe na poziomie min. 4000 PLN brutto, a do tego premie powiązane z wynikami pracy,&lt;br /&gt;- benefity w postaci karty MultiSport, prywatnej opieki medycznej, dostęp do platformy MyBenefit z szeroką ofertą benefitów (bilety do kina, teatru), dostęp do różnorodnych akcji w ramach funduszu socjalnego,&lt;br /&gt;- samodzielne stanowisko pracy, wspierane szkoleniami oraz indywidualnymi coachingami podnoszącymi efektywność,&lt;br /&gt;- pracę w  energicznym i ambitnym zespole, dla którego satysfakcja Klienta jest priorytetem.&lt;br /&gt;</t>
  </si>
  <si>
    <t>Grafton Recruitment Polska Sp. z o.o.</t>
  </si>
  <si>
    <t>Client Due Diligence Specialist</t>
  </si>
  <si>
    <t>https://www.praca.pl/client-due-diligence-specialist_4264123.html</t>
  </si>
  <si>
    <t>7-17-60283</t>
  </si>
  <si>
    <t>&lt;br /&gt;- preferowane wykształcenie prawnicze (otwartość na naukę i wykorzystanie wiedzy prawniczej w celu analizy CDD),&lt;br /&gt;- doświadczenie w pracy w obszarze CDD (warunek konieczny),&lt;br /&gt;- biegła znajomość języka angielskiego (warunek konieczny),&lt;br /&gt;- znajomość innych języków obcych - mile widziana,&lt;br /&gt;- wysoko rozwinięte umiejętności interpersonalne, analityczne oraz organizacyjne.&lt;br /&gt;</t>
  </si>
  <si>
    <t>&lt;br /&gt;Dla naszego Klienta - prężnie rozwijającej się firmy z branży usług prawnych, kadrowo-księgowych i podatkowych - wspieramy budowę nowego zespołu dedykowanego do obszaru analizy związanej ze sprawdzeniem wierzytelności potencjalnego Klienta (Client Due Dilligence), pod kątem prawnym.&lt;br /&gt;Szukamy osób, które obejmą stanowisko: Client Due Dilligence Specialist (praca 100% zdalna)&lt;br /&gt;Zakres obowiązków:&lt;br /&gt;- rzetelne identyfikowanie potencjalnego ryzyka współpracy z klientem poprzez sporządzanie analiz w obszarze due dilligence,&lt;br /&gt;- sprawdzanie, czy klienci spełniają wszystkie wymagania prawne dotyczące adekwatnych obszarów,&lt;br /&gt;- współpraca z członkami zespołu, udzielając pomocy prawnej związanej z CDD (Client Due Dilligence),&lt;br /&gt;- analiza dokumentów oraz wyodrębnianie informacji wymaganych do przygotowania raportów odnośnie potencjalnego ryzyka klienta,&lt;br /&gt;- aktualizowanie i utrzymywanie baz danych, aby zapewnić odpowiednio sprawny przepływ informacji niezbędny do prawidłowej współpracy z urzędami, sądem i innymi instytucjami.&lt;br /&gt;</t>
  </si>
  <si>
    <t>https://www.praca.pl/audytor-wewnetrzny_4261753.html</t>
  </si>
  <si>
    <t>17.02.2021 03:05</t>
  </si>
  <si>
    <t>26.02.2021</t>
  </si>
  <si>
    <t>&lt;h4&gt;Wymagania niezbędne&lt;/h4&gt;wykształcenie: wyższe oraz specjalistyczne uprawnienia wskazane w art. 286 ustawy o finansach publicznych (Dz. U. z 2019 r. poz. 869 z ze zm.)&lt;br /&gt;doświadczenie zawodowe/staż pracy: doświadczenia zawodowego powyżej 2 lat w obszarze audytu wewnętrznego&lt;br /&gt;- Znajomość przepisów prawa, w szczególności ustawy o Krajowej Administracji Skarbowej oraz prawa podatkowego&lt;br /&gt;- Znajomość przepisów kodeksu postępowania administracyjnego&lt;br /&gt;- Umiejętność stosowania prawa w praktyce&lt;br /&gt;- Umiejętności analityczne&lt;br /&gt;- Umiejętność obsługi systemów informatycznych&lt;br /&gt;- Znajomość metodyki przeprowadzania audytu wewnętrznego&lt;br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</si>
  <si>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/&gt;W przypadku świadczenia pracy w Rzeszowie:&lt;br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/&gt;W przypadku świadczenia pracy w Przemyślu:&lt;br /&gt;Stanowisko pracy zlokalizowane w pomieszczeniu biurowym oświetlonym przez światło naturalne i sztuczne, wyposażone w zestaw komputerowy z monitorem ekranowym, meble biurowe oraz elektryczne urządzenia biurowe. Lokalizacja w jednym pięciokondygnacyjnym budynku biurowym (dźwig osobowy). Wejście do budynku przystosowane do potrzeb osób niepełnosprawnych, toalety przystosowane dla osób niepełnosprawnych. Stanowisko pracy nie jest dostosowane do potrzeb osób niedowidzących, niewidomych, niesłyszących i głuchoniemych.&lt;br /&gt;&lt;h4&gt;Zakres zadań&lt;/h4&gt;&lt;br /&gt;- Wspiera Dyrektora w realizacji celów i zadań przez systematyczną ocenę funkcjonującego systemu kontroli zarządczej oraz czynności doradcze&lt;br /&gt;- Dokonuje oceny adekwatności, efektywności i skuteczność kontroli zarządczej w Izbie oraz podległych urzędach&lt;br /&gt;- Realizuje zadania zapewniające oraz świadczy usługi doradczych na rzecz Dyrektora&lt;br /&gt;- Monitoruje realizacje zaleceń oraz przeprowadzonych czynności sprawdzających polegających na ocenie dostosowania działań Izby oraz podległych urzędów do zaleceń zawartych w sprawozdaniu z audytu&lt;br /&gt;- Realizuje zadania zlecone przez Prezesa Rady Ministrów, Ministra oraz Szefa KAS&lt;br /&gt;</t>
  </si>
  <si>
    <t>https://www.praca.pl/referent_4261737.html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</si>
  <si>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oraz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</si>
  <si>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przystosowane do potrzeb osób niepełnosprawnych, na parterze budynku znajduje się toaleta przystosowana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sprawdzające&lt;br /&gt;- Dokonuje czynności sprawdzające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</si>
  <si>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https://www.praca.pl/grafik_4262735.html</t>
  </si>
  <si>
    <t>GR/1/DH</t>
  </si>
  <si>
    <t>&lt;br /&gt;- Zaangażowanie i pasja związane z grafiką 3D&lt;br /&gt;- Dobra znajomość środowiska 3D - najlepiej jeden z programów takich jak: Cinema 4d lub Blender, mile widziana znajomość Redshift&lt;br /&gt;- Znajomości programu Photoshop&lt;br /&gt;- Umiejętność pracy z harmonogramem&lt;br /&gt;- Wymagane doświadczenie poparte portfolio.&lt;br /&gt;</t>
  </si>
  <si>
    <t>&lt;br /&gt;Co będziesz robić?&lt;br /&gt;- Przygotowywać wizualizacje produktowe&lt;br /&gt;- Tworzyć modele 3D produktów marek własnych oraz renderować je.&lt;br /&gt;- Projektować opakowania produktów.&lt;br /&gt;- Pracować stacjonarnie w biurze w Stalowej Woli.&lt;br /&gt;</t>
  </si>
  <si>
    <t>https://www.praca.pl/kupiec_4265101.html</t>
  </si>
  <si>
    <t>&lt;br /&gt;- Znajomość oferty oraz producentów artykułów spożywczych,&lt;br /&gt;- Doświadczenie na stanowisku kupca w branży FMCG,&lt;br /&gt;- Doświadczenie w samodzielnych negocjacjach,&lt;br /&gt;- Zdolności analityczne,&lt;br /&gt;- Odporność na stres, szybkość i sprawność działania,&lt;br /&gt;</t>
  </si>
  <si>
    <t>&lt;br /&gt;- Zarządzanie wybranymi grupami asortymentowymi,&lt;br /&gt;- Samodzielne negocjacje handlowe,&lt;br /&gt;- Kontrola realizacji umów,&lt;br /&gt;- Rozliczanie dokumentacji handlowej,&lt;br /&gt;- Organizowanie akcji marketingowych,&lt;br /&gt;- Sporządzanie raportów i analiz,&lt;br /&gt;</t>
  </si>
  <si>
    <t>Projektant geotechniczny</t>
  </si>
  <si>
    <t>https://gratka.pl/praca/ogloszenie/ob/20049009?utm_source=zielonalinia.pl&amp;utm_medium=zielonalinia&amp;utm_campaign=export_xml</t>
  </si>
  <si>
    <t>17.02.2021 03:15</t>
  </si>
  <si>
    <t>18.02.2021</t>
  </si>
  <si>
    <t>RPd057|214209</t>
  </si>
  <si>
    <t>Wymagania:&lt;br /&gt;&lt;ul&gt;&lt;li&gt;Wykształcenie wyższe techniczne&lt;/li&gt;&lt;br /&gt;&lt;li&gt;Minimum 3-letnie doświadczenie w zakresie projektowania geotechnicznego&lt;/li&gt;&lt;br /&gt;&lt;li&gt;Znajomość programu AutoCad&lt;/li&gt;&lt;br /&gt;&lt;li&gt;Znajomość specjalistycznych programów geotechnicznych EXPERT Pale; RM-WIN; GEO5; PLAXIS; GGU Retain&lt;/li&gt;&lt;br /&gt;&lt;li&gt;Uprawnienia budowlane do projektowania w specjalności konstrukcyjno-budowlanej w nieograniczonym zakresie&lt;/li&gt;&lt;br /&gt;&lt;li&gt;Mile widziana znajomość języka angielskiego na poziomie B2&lt;/li&gt;&lt;br /&gt;&lt;/ul&gt;</t>
  </si>
  <si>
    <t>Oferujemy: &lt;br /&gt;&lt;ul&gt;&lt;li&gt;Możliwość pracy zdalnej ( wymagana 1 wizyta w miesiącu w oddziale firmy w Szczecinie)&lt;/li&gt;&lt;br /&gt;&lt;li&gt;Stabilne zatrudnienie w oparciu o umowę B2B/UoP&lt;/li&gt;&lt;br /&gt;&lt;li&gt;Atrakcyjne wynagrodzenie wraz z premiami (od realizacji zadań/ świątecznymi/noworocznymi)&lt;/li&gt;&lt;br /&gt;&lt;li&gt;Wsparcie w ewentualnej relokacji&lt;/li&gt;&lt;br /&gt;&lt;/ul&gt;</t>
  </si>
  <si>
    <t>Kasjer / Fakturzysta</t>
  </si>
  <si>
    <t>https://www.praca.pl/kasjer-fakturzysta_4264895.html</t>
  </si>
  <si>
    <t>Szwaczka</t>
  </si>
  <si>
    <t>https://www.praca.pl/szwaczka_4262353.html</t>
  </si>
  <si>
    <t>SZ/10/2020</t>
  </si>
  <si>
    <t>&lt;br /&gt;- otwartość na zmiany, chęć rozwoju i podnoszenia swoich kwalifikacji&lt;br /&gt;</t>
  </si>
  <si>
    <t>&lt;br /&gt;- wykazujesz gotowość do pracy w systemie zmianowym&lt;br /&gt;- posiadasz doświadczenie w szyciu tkanin&lt;br /&gt;- cechujesz się odpowiedzialnością, dokładnością i zaangażowaniem&lt;br /&gt;w wykonywaną pracę&lt;br /&gt;- potrafisz pracować w zespole i według wytycznych procesu technologicznego&lt;br /&gt;- potrafisz pracować pod presją czasu i podejmować samodzielne decyzje&lt;br /&gt;</t>
  </si>
  <si>
    <t>Magazynier / Operator wózka widłowego</t>
  </si>
  <si>
    <t>https://www.praca.pl/magazynier-operator-wozka-widlowego_4262107.html</t>
  </si>
  <si>
    <t>&lt;br /&gt;Jeśli:&lt;br /&gt;- Posiadasz uprawnienia UDT oraz doświadczenie w kierowaniu wózkiem widłowym&lt;br /&gt;- Posiadasz prawo jazdy kat. B&lt;br /&gt;- Chcesz pracować w jednej z największych firm logistycznych w Polsce&lt;br /&gt;- Jesteś sumienny i odpowiedzialny&lt;br /&gt;Zapraszamy do pracy w PEKAES!&lt;br /&gt;</t>
  </si>
  <si>
    <t>https://www.praca.pl/starszy-specjalista_4261783.html</t>
  </si>
  <si>
    <t>&lt;h4&gt;Wymagania niezbędne&lt;/h4&gt;wykształcenie: wyższe na kierunku prawo lub administracja&lt;br /&gt;doświadczenie zawodowe/staż pracy: doświadczenia zawodowego&lt;br /&gt;- doświadczenie zawodowe w administracji publicznej w obszarze realizacji zadań organizacyjnych - powyżej 1 roku,&lt;br /&gt;- znajomość przepisów ustaw: o służbie cywilnej, o wojewodzie i administracji rządowej w województwie, Kodeks postępowania administracyjnego, o ochronie danych osobowych,&lt;br /&gt;- znajomość ogólnego rozporządzenia o ochronie danych osobowych (RODO),&lt;br /&gt;- umiejętność obsługi komputera (MS Word i MS Excel).&lt;br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</si>
  <si>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koordynuje działania w Urzędzie i prowadzi sprawy związane z organizacją i funkcjonowaniem rządowej administracji zespolonej w województwie,&lt;br /&gt;- koordynuje działania i prowadzi sprawy związane z uczestnictwem PUW w projektach i programach w zakresie doskonalenia administracji publicznej,&lt;br /&gt;- współuczestniczy w koordynowaniu działań oraz prowadzeniu spraw związanych z delegowaniem kompetencji w PUW,&lt;br /&gt;- koordynuje działania i prowadzi sprawy związane z organizacją i obsługą narad Dyrektora Generalnego PUW oraz Dyrektora Wydziału,&lt;br /&gt;- prowadzi sprawy związane z nadawaniem statutów jednostkom organizacyjnym podporządkowanym Wojewodzie Podkarpackiemu.&lt;br /&gt;</t>
  </si>
  <si>
    <t>17.02.2021 03:30</t>
  </si>
  <si>
    <t>https://www.praca.pl/magazynier_4264111.html</t>
  </si>
  <si>
    <t>&lt;br /&gt;Od Kandydata oczekujemy:&lt;br /&gt;- uprawnienia do prowadzenia wózków widłowych&lt;br /&gt;- minimum 3 lata doświadczenia na stanowisku Magazyniera&lt;br /&gt;- posługiwanie się obowiązującą dokumentacją magazynową, instrukcjami i normami&lt;br /&gt;- odpowiedzialności za powierzone mienie&lt;br /&gt;- czynnego prawa jazdy kategorii B&lt;br /&gt;</t>
  </si>
  <si>
    <t>&lt;br /&gt;Zakres obowiązków Kandydata:&lt;br /&gt;- organizowanie pracy zgodnie z przepisami BHP i przeciwpożarowymi&lt;br /&gt;- przyjmowanie towarów do magazynu&lt;br /&gt;- odbiór jakościowy i ilościowy przyjmowanego towaru&lt;br /&gt;- przechowywanie i składowanie towaru&lt;br /&gt;- kompletowanie towaru oraz jego rozsyłka&lt;br /&gt;- przyjmowanie i rozpatrywanie reklamacji&lt;br /&gt;- gospodarowanie opakowaniami&lt;br /&gt;- współpraca z klientami i dostawcami&lt;br /&gt;- ciągłe monitorowanie zapasów magazynowych&lt;br /&gt;</t>
  </si>
  <si>
    <t>Android Application Developer</t>
  </si>
  <si>
    <t>https://www.praca.pl/android-application-developer_4263315.html</t>
  </si>
  <si>
    <t>43810#21020053</t>
  </si>
  <si>
    <t>&lt;br /&gt;- At least 3+ years of experience in developing Android-based software,&lt;br /&gt;- Knowledge of Android API, Kotlin, suitable project patterns and good practices,&lt;br /&gt;- Excellent command of English,&lt;br /&gt;- Creativity - we do not want you to do your job uncritically good ideas are always welcome!&lt;br /&gt;- Good communication skills - we want you to interact with the people we work with, learn and share knowledge,&lt;br /&gt;- Attention to detail, consistency, and accuracy - it's ok to make mistakes but make sure you learn from them.&lt;br /&gt;</t>
  </si>
  <si>
    <t>&lt;br /&gt;- Taking technical responsibility for the process of creating great Android apps,&lt;br /&gt;- Choosing the most suitable tools, and following good practices,&lt;br /&gt;- Leading teams of developers dedicated to different projects,&lt;br /&gt;- Creating user interfaces based on mock-ups prepared by UX/UI experts,&lt;br /&gt;- Designing and implementing communication with server data sources,&lt;br /&gt;- Testing the effects of both your and your team's work,&lt;br /&gt;- Preparing project documentation,&lt;br /&gt;- Sometimes it's also about developing, extending and optimizing existing apps,&lt;br /&gt;</t>
  </si>
  <si>
    <t>https://gratka.pl/praca/ogloszenie/ob/20461673?utm_source=zielonalinia.pl&amp;utm_medium=zielonalinia&amp;utm_campaign=export_xml</t>
  </si>
  <si>
    <t>19.03.2021</t>
  </si>
  <si>
    <t>Aleksander</t>
  </si>
  <si>
    <t>MONTER WOD-KAN (SIECI ZEWNĘTRZNE 21-24 zł/godz.)</t>
  </si>
  <si>
    <t>10.02.2021</t>
  </si>
  <si>
    <t>19.02.2021</t>
  </si>
  <si>
    <t>https://gratka.pl/praca/ogloszenie/oi/20155933?utm_source=zielonalinia.pl&amp;utm_medium=zielonalinia&amp;utm_campaign=export_xml</t>
  </si>
  <si>
    <t>10.02.2021 13:30</t>
  </si>
  <si>
    <t>26.01.2021</t>
  </si>
  <si>
    <t>Nauczyciel Florysta</t>
  </si>
  <si>
    <t>Florysta*</t>
  </si>
  <si>
    <t>https://www.praca.pl/nauczyciel-florysta_4233414.html</t>
  </si>
  <si>
    <t>10.02.2021 03:05</t>
  </si>
  <si>
    <t>11.03.2021</t>
  </si>
  <si>
    <t>RPd057|343203</t>
  </si>
  <si>
    <t>Trener osobisty (coach, mentor, tutor)</t>
  </si>
  <si>
    <t>https://www.praca.pl/nauczyciel-na-kierunku-trener-personalny_4233383.html</t>
  </si>
  <si>
    <t>RPd057|235920</t>
  </si>
  <si>
    <t>&lt;br /&gt;JEŚLI DO NAS DOŁĄCZYSZ BĘDZIESZ SIĘ ZAJMOWAĆ:&lt;br /&gt;- Prowadzeniem zajęć z zakresu techniki i metodyki wykonywania ćwiczeń oraz realizacji indywidualnej sesji treningowej z podopiecznymi&lt;br /&gt;- Zapewnieniem nauczania na najwyższym poziomie i profesjonalizmu w działaniu&lt;br /&gt;- Sprawieniem, aby nasi uczniowie i słuchacze byli przygotowani do pracy w wybranych zawodach, a później jak najlepiej funkcjonowali na rynku pracy&lt;br /&gt;</t>
  </si>
  <si>
    <t>Nauczyciel na kierunku wizażystka</t>
  </si>
  <si>
    <t>Wizażystka / stylistka</t>
  </si>
  <si>
    <t>https://www.praca.pl/nauczyciel-na-kierunku-wizazystka_4233352.html</t>
  </si>
  <si>
    <t>RPd057|514208</t>
  </si>
  <si>
    <t>Opiekun marki</t>
  </si>
  <si>
    <t>https://www.praca.pl/opiekun-marki_4235636.html</t>
  </si>
  <si>
    <t>&lt;br /&gt;POSZUKIWANE KOMPETENCJE&lt;br /&gt;- wiedza i doświadczenie w obszarze digital marketingu i e-commerce&lt;br /&gt;- doświadczenie w zarządzaniu projektami marketingowymi&lt;br /&gt;- znajomość narzędzi (w tym GA, MA, CMS, CRM)&lt;br /&gt;- wysoko rozwinięte zdolności analityczne&lt;br /&gt;- komunikatywność oraz umiejętność pracy w zespole i budowania efektywnych relacji biznesowych&lt;br /&gt;- zorientowanie na rezultat w oparciu o wyznaczone wskaźniki&lt;br /&gt;- j. angielski i/lub j. niemiecki na poziomie pozwalającym na swobodne porozumiewanie się i korespondencję (B2/C1)&lt;br /&gt;</t>
  </si>
  <si>
    <t>&lt;br /&gt;ZAKRES OBOWIĄZKÓW&lt;br /&gt;- zapewnienie efektywnego funkcjonowania marki we wszystkich obszarach biznesu i technologii&lt;br /&gt;- prowadzenie i uczestnictwo w projektach rozwojowych domeny oraz powiązanych produktów&lt;br /&gt;- monitorowanie rynku i trendów&lt;br /&gt;- aktywna współpraca z innymi działami w firmie&lt;br /&gt;- bieżąca analiza realizowanych działań, raportowanie wyników&lt;br /&gt;</t>
  </si>
  <si>
    <t>Dussmann Polska Sp.z o.o.</t>
  </si>
  <si>
    <t>Kierownik Obiektów (Branża – Utrzymanie Czystości)</t>
  </si>
  <si>
    <t>https://www.praca.pl/kierownik-obiektow-branza-utrzymanie-czystosci_4238536.html</t>
  </si>
  <si>
    <t>&lt;br /&gt;Obowiązki&lt;br /&gt;- Koordynacja pracy ekip utrzymania czystości na podległym kontrakcie, w zakładzie produkcyjnym&lt;br /&gt;- Kontrola czasu pracy pracowników, rozliczenia czasu pracy, rekrutacje, grafiki,&lt;br /&gt;- Kontrola kosztów i zarządzanie budżetem kontraktu,&lt;br /&gt;- Współpraca z przedstawicielami klienta,&lt;br /&gt;- Dbałość o najwyższą jakość świadczonej usługi,&lt;br /&gt;- Szkolenie nowych pracowników,&lt;br /&gt;- Ścisła współpraca z innymi działami firmy,&lt;br /&gt;- Raportowanie wyników do przełożonych.&lt;br /&gt;</t>
  </si>
  <si>
    <t>&lt;br /&gt;Oferujemy&lt;br /&gt;- Konkurencyjne wynagrodzenie (podstawa i miesięczny/kwartalny system premiowy)&lt;br /&gt;- Umowę o pracę&lt;br /&gt;- Benefity pozapłacowe (szkolenia, opieka medyczna, ubezpieczenie na życie, karta sportowa),&lt;br /&gt;- Zadaniowy system pracy pozwalający realizować cele,&lt;br /&gt;- Pracę dla międzynarodowej organizacji o szerokim zasięgu działania,&lt;br /&gt;- Wyposażenie we wszelkie niezbędne narzędzia pracy (auto, telefon, komupter)&lt;br /&gt;- Wsparcie pozostałych członków firmy, w tym pracowników centrali.&lt;br /&gt;</t>
  </si>
  <si>
    <t>eobuwie.pl S.A.</t>
  </si>
  <si>
    <t>Specjalista ds. Obsługi Klienta (j. niemiecki)</t>
  </si>
  <si>
    <t>https://www.praca.pl/specjalista-ds-obslugi-klienta-j-niemiecki_4237612.html</t>
  </si>
  <si>
    <t>&lt;br /&gt;Czego oczekujemy od Ciebie?&lt;br /&gt;- biegła znajomość języka niemieckiego,&lt;br /&gt;- bardzo dobra znajomość języka polskiego,&lt;br /&gt;- dobra dykcja,&lt;br /&gt;- dobra znajomość zasad ortografii i gramatyki,&lt;br /&gt;- łatwość nawiązywania kontaktów przez telefon,&lt;br /&gt;- wysoka kultura osobista,&lt;br /&gt;- opanowanie, cierpliwość,&lt;br /&gt;- umiejętność pracy pod presją czasu w trybie wielozadaniowym,&lt;br /&gt;- sumienność w wykonywaniu obowiązków,&lt;br /&gt;- umiejętności obsługi komputera,&lt;br /&gt;- umiejętność pracy zespołowej,&lt;br /&gt;- gotowości do pracy zdalnej na pełen etat.&lt;br /&gt;</t>
  </si>
  <si>
    <t>&lt;br /&gt;Czym będziesz się zajmować?&lt;br /&gt;- profesjonalną rozmową z Klientami zagranicznymi (infolinia przychodząca),&lt;br /&gt;- odpowiadaniem na pytania Klientów,&lt;br /&gt;- udzielaniem informacji Klientom,&lt;br /&gt;- doradztwem oraz badaniem potrzeb w zakresie oferowanych produktów,&lt;br /&gt;- obsługą korespondencji e-mailowej oraz chatu,&lt;br /&gt;- elektroniczną obsługą zleceń,&lt;br /&gt;- drobnymi tłumaczeniami.&lt;br /&gt;</t>
  </si>
  <si>
    <t>Tłumacz - branża Fashion (język hiszpański)</t>
  </si>
  <si>
    <t>https://www.praca.pl/tlumacz-branza-fashion-jezyk-hiszpanski_4235907.html</t>
  </si>
  <si>
    <t>&lt;br /&gt;Czego od Ciebie oczekujemy?&lt;br /&gt;- znajomości w stopniu natywnym lub prawie rodzimym (C1+) języka hiszpańskiego,&lt;br /&gt;- bardzo dobrej znajomość języka polskiego (C1+),&lt;br /&gt;- gotowości do pracy zdalnej na pełen etat,&lt;br /&gt;- doskonałej umiejętności pisania, kreatywności i dbałości o szczegóły,&lt;br /&gt;- umiejętności rozpoznawania błędów gramatycznych, ortograficznych i interpunkcyjnych przy realizacji korekt,&lt;br /&gt;- doskonałej organizacji pracy i dotrzymywania terminów,&lt;br /&gt;- samodyscypliny i odpowiedzialności,&lt;br /&gt;- nastawienia na realizację celów,&lt;br /&gt;- znajomości narzędzi Google opartych na chmurze oraz oprogramowania MS Office,&lt;br /&gt;- kilkuletniego doświadczenie na podobnym stanowisku bądź przy realizacji własnych projektów tłumaczeniowych,&lt;br /&gt;- zainteresowania modą i śledzenia aktualnych trendów w korelacji ze specyfiką rynku hiszpańskiego.&lt;br /&gt;</t>
  </si>
  <si>
    <t>&lt;br /&gt;Czym będziesz się zajmować?&lt;br /&gt;- Tłumaczeniami branżowych tekstów marketingowych z języka polskiego na język hiszpański,&lt;br /&gt;- Tłumaczeniami regulaminów, klauzul oraz innych zleconych tekstów.&lt;br /&gt;</t>
  </si>
  <si>
    <t>Grupa ERBUD</t>
  </si>
  <si>
    <t>https://www.praca.pl/kierownik-robot-elektrycznych_4201868.html</t>
  </si>
  <si>
    <t>01.03.2021</t>
  </si>
  <si>
    <t>&lt;br /&gt;Wymagania:&lt;br /&gt;- Wykształcenie wyższe techniczne (preferowany kierunek: elektrotechnika/elektronika) w specjalności uprawniającej do uzyskania uprawnień budowlanych – elektrycznych bez ograniczeń (znajomość i doświadczenie w realizacji robót niskoprądowych, automatyki i systemów BMS będzie dodatkowym atutem).&lt;br /&gt;- Minimum 3-letnie doświadczenie w bezpośrednim nadzorze nad wykonywaniem prac instalacyjnych;&lt;br /&gt;- Znajomości zasad kosztorysowania&lt;br /&gt;- Samodzielność i dobra organizacja pracy w wykonywaniu zadań objętych przedmiotem działania,&lt;br /&gt;- praktyczna znajomość pakietu MS Office w tym MS Project, AutoCAD, NORMA PRO.&lt;br /&gt;- Uprawnienia budowlane w specjalności instalacyjnej w zakresie sieci, instalacji i urządzeń elektrycznych i elektroenergetycznych bez ograniczeń;&lt;br /&gt;- Prawo jazdy kat. B;&lt;br /&gt;- znajomość obowiązujących norm technicznych i przepisów,&lt;br /&gt;- umiejętność zarządzania, wyznaczania celów, delegowania zadań, koordynacji pracy.&lt;br /&gt;</t>
  </si>
  <si>
    <t>&lt;br /&gt;Opis stanowiska:&lt;br /&gt;- Obszar działania: Rzeszów i południowo-wschodnia część Polski&lt;br /&gt;- Nadzór nad powierzonymi robotami elektrycznymi w zakresie zgodności z projektem oraz zasadami wiedzy technicznej;&lt;br /&gt;- Koordynowanie prac podwykonawców branży elektrycznej z innymi branżami,&lt;br /&gt;- Opracowanie, uzgadnianie oraz nadzór nad harmonogramami realizacji robót.&lt;br /&gt;- Kontraktacja oraz aktywne uczestnictwo w spotkaniach negocjacyjnych&lt;br /&gt;- Współpraca z inwestorami oraz z biurami projektowymi w zakresie branży elektrycznej,&lt;br /&gt;- Szczegółowa analiza merytoryczna i techniczna dokumentacji wraz z wykonaniem/weryfikacją przedmiarów i wyceną robót&lt;br /&gt;</t>
  </si>
  <si>
    <t>Magazynier Placu Drewna</t>
  </si>
  <si>
    <t>https://www.praca.pl/magazynier-placu-drewna_4222087.html</t>
  </si>
  <si>
    <t>06.03.2021</t>
  </si>
  <si>
    <t>MX17/MPD2021</t>
  </si>
  <si>
    <t>&lt;br /&gt;Do obowiązków osoby na tym stanowisku należeć będzie m.in.:&lt;br /&gt;- Kontrola ilości i jakości surowca drzewnego przyjmowanego na Plac Drewna&lt;br /&gt;- Nadzór nad prawidłowym składowaniem i dozowaniem surowca do produkcji&lt;br /&gt;- Organizacja sprawnego i bezpiecznego rozładunku surowca na magazynie&lt;br /&gt;- Nadzór nad prawidłowym wykonywaniem prac podległych pracowników&lt;br /&gt;- Dbanie o przestrzeganie porządku na Placu Drewna&lt;br /&gt;- Nadzór nad stanem technicznym maszyn i urządzeń&lt;br /&gt;- Współpraca z Kierownikiem Wydziału Palcu Drewna&lt;br /&gt;Oferujemy:&lt;br /&gt;- Pracę w międzynarodowej firmie o ugruntowanej pozycji&lt;br /&gt;- Konkurencyjne wynagrodzenie&lt;br /&gt;- Możliwość rozwoju i poszerzenia uprawnień (szkolenia, kursy)&lt;br /&gt;- Szkolenia wewnętrzne i wsparcie merytoryczne w okresie wdrożenia&lt;br /&gt;- Stabilne warunki zatrudnienia (umowa o pracę)&lt;br /&gt;</t>
  </si>
  <si>
    <t>Specjalista ds. wsparcia sprzedaży - back office</t>
  </si>
  <si>
    <t>https://www.praca.pl/specjalista-ds-wsparcia-sprzedazy-back-office_4237029.html</t>
  </si>
  <si>
    <t>BOC</t>
  </si>
  <si>
    <t>&lt;br /&gt;Oczekujemy:&lt;br /&gt;- doświadczenia w pracy na podobnym stanowisku w obszarze sprzedaży&lt;br /&gt;- znajomości języka angielskiego na poziomie umożliwiającym swobodną komunikacje (warunek konieczny)&lt;br /&gt;- wysoko rozwiniętych zdolności komunikacyjnych&lt;br /&gt;- samodzielności, zdolności analitycznego myślenia&lt;br /&gt;- znajomość innego języka angielskiego będzie dodatkowym atutem&lt;br /&gt;</t>
  </si>
  <si>
    <t>&lt;br /&gt;Do obowiązków osoby na tym stanowisku należeć będzie m.in.:&lt;br /&gt;- obsługa klienta w zakresie wsparcia sprzedaży&lt;br /&gt;- koordynowanie terminowej realizacji zamówień, monitorowanie dostępności towaru, uzgadnianie zmian w realizowanych zamówieniach&lt;br /&gt;- przygotowanie dokumentacji sprzedażowej&lt;br /&gt;- rejestracja ewentualnych reklamacji&lt;br /&gt;</t>
  </si>
  <si>
    <t>Kierownik projektu ( napowietrzne linie energetyczne)</t>
  </si>
  <si>
    <t>Inżynier budownictwa - urządzenia, instalacje i sieci energetyczne</t>
  </si>
  <si>
    <t>https://gratka.pl/praca/ogloszenie/ob/19960711?utm_source=zielonalinia.pl&amp;utm_medium=zielonalinia&amp;utm_campaign=export_xml</t>
  </si>
  <si>
    <t>11.02.2021</t>
  </si>
  <si>
    <t>Wymagania: &lt;br /&gt;&lt;ul&gt;&lt;li&gt;Wykształcenie wyższe na kierunku inżynierii lądowej, planowania krajobrazu, geodezji, elektrotechniki, energetyki lub doświadczenie zawodowe potwierdzające umiejętności z tego zakresu&lt;/li&gt;&lt;br /&gt;&lt;li&gt;Min. 5 lat doświadczenia w budowie linii napowietrznych lub kablowych, w szczególności w projektowaniu sieci wysokiego napięcia&lt;/li&gt;&lt;br /&gt;&lt;li&gt;Znajomość języka niemieckiego na poziomie min. B2&lt;/li&gt;&lt;br /&gt;&lt;li&gt;Wiedza na temat planowania, prawa procesowego i administracyjnego&lt;/li&gt;&lt;br /&gt;&lt;li&gt;Bardzo dobra znajomość CAD i GIS (np. ArcGIS, AutoCAD, MicroStation)/ Seil ++ i / lub FM-PROFIL&lt;/li&gt;&lt;br /&gt;&lt;li&gt;Znajomość języka angielskiego jest dodatkowym atutem&lt;/li&gt;&lt;br /&gt;&lt;/ul&gt;</t>
  </si>
  <si>
    <t>Oferujemy: &lt;br /&gt;&lt;ul&gt;&lt;li&gt;Stabilne i długotrwałe zatrudnienie przy przedsięwzięciu na szeroką skalę ( nawet do 2031 roku)&lt;/li&gt;&lt;br /&gt;&lt;li&gt;Dowolną formę współpracy : UoP/B2B/freelancer&lt;/li&gt;&lt;br /&gt;&lt;li&gt;Atrakcyjne wynagrodzenie&lt;/li&gt;&lt;br /&gt;&lt;li&gt;Pomoc w relokacji&lt;/li&gt;&lt;br /&gt;&lt;/ul&gt;</t>
  </si>
  <si>
    <t>MW Automatic Waldemar Niemiec</t>
  </si>
  <si>
    <t>Elektryk, elektromonter</t>
  </si>
  <si>
    <t>https://gratka.pl/praca/ogloszenie/ob/20109731?utm_source=zielonalinia.pl&amp;utm_medium=zielonalinia&amp;utm_campaign=export_xml</t>
  </si>
  <si>
    <t>21.01.2021</t>
  </si>
  <si>
    <t>Wymagania: &lt;ul&gt;&lt;li&gt;Wykształcenie zawodowe lub średnie techniczne – elektryczne&lt;/li&gt;&lt;li&gt;Doświadczenie z zakresu instalacji elektrycznych na budowach&lt;/li&gt;&lt;li&gt;Mile widziane aktualne uprawnienia min. SEP Eksploatacja do 1kV lub gotowość do ich wykonania&lt;/li&gt;&lt;li&gt;Umiejętność pracy w zespole&lt;/li&gt;&lt;li&gt;Samodzielność w wykonywaniu powierzonych prac&lt;/li&gt;&lt;li&gt;Staranność, dokładność, rzetelność i zaangażowanie w wykonywane obowiązki&lt;/li&gt;&lt;li&gt;Dyspozycyjność i zaangażowanie w wykonywaną pracę&lt;/li&gt;&lt;li&gt;Wiedza w zakresie mechaniki, elektryki i elektroniki przemysłowej&lt;/li&gt;&lt;li&gt;Wiedza z zakresu sterowania i zasilania napędów eklektycznych&lt;/li&gt;&lt;li&gt;Umiejętności czytania dokumentacji technicznej i schematów elektrycznych&lt;/li&gt;&lt;/ul&gt;</t>
  </si>
  <si>
    <t>Opis stanowiska / Obowiązki: &lt;ul&gt;&lt;li&gt;Prefabrykacja szaf sterowniczych&lt;/li&gt;&lt;li&gt;Montaż instalacji elektrycznych, pneumatycznych, teletechnicznych w zakładach przemysłowych&lt;/li&gt;&lt;li&gt;Instalowanie maszyn i urządzeń przemysłowych&lt;/li&gt;&lt;li&gt;Uczestnictwo w przygotowywaniu i uruchamianiu nowych lub modernizacjach maszyn i urządzeń produkcyjnych,&lt;/li&gt;&lt;/ul&gt;</t>
  </si>
  <si>
    <t>https://www.praca.pl/kosztorysant_4237391.html</t>
  </si>
  <si>
    <t>&lt;br /&gt;Wymagania:&lt;br /&gt;- Wykształcenie (w zakresie elektrycznym lub elektroenergetycznym): inżynier, magister inż. lub technik Techniker,&lt;br /&gt;- Doświadczenie zawodowe w zakresie kosztorysowania,&lt;br /&gt;- Znajomości specyfiki kosztorysowej w zakresie robót budowlano-montażowych i elektrycznych,&lt;br /&gt;- Język polski ojczysty,&lt;br /&gt;- Język angielski na poziomie komunikatywnym,&lt;br /&gt;- Język niemiecki komunikatywny - warunek obowiązkowy,&lt;br /&gt;- Prawo jazdy kat. B,&lt;br /&gt;- Gotowość do wzięcia odpowiedzialności,&lt;br /&gt;- Gotowość na okresowe wyjazdy służbowe: wizja w terenie, ustalenia, negocjacje,&lt;br /&gt;- Otwartość na zmiany.&lt;br /&gt;</t>
  </si>
  <si>
    <t>&lt;br /&gt;Odpowiedzialność za:&lt;br /&gt;- Analizę dokumentacji przetargowych, dokumentacji projektowych,&lt;br /&gt;- Opracowanie listy zakresów prac do realizacji w ramach danego projektu/dokumentacji/przetargu,&lt;br /&gt;- Wizje lokalne na miejscu planowanych prac – obszar Niemiec,&lt;br /&gt;- Przygotowywanie szczegółowych wycen i kalkulacji, opracowywanie i kompletowanie ofert,&lt;br /&gt;- Udział w opracowywaniu harmonogramów realizacji,&lt;br /&gt;- Sporządzanie kosztorysów szczegółowych na roboty budowlano-montażowe i elektryczne,&lt;br /&gt;- Ustalenia w kwestii wycen,&lt;br /&gt;- Współpraca i koordynacja procesu ofertowania na styku z osobami przygotowującymi oferty ze spółek należących do Grupy Kapitałowej klienta.&lt;br /&gt;</t>
  </si>
  <si>
    <t>https://gratka.pl/praca/ogloszenie/ob/19563005?utm_source=zielonalinia.pl&amp;utm_medium=zielonalinia&amp;utm_campaign=export_xml</t>
  </si>
  <si>
    <t>18.12.2020</t>
  </si>
  <si>
    <t>Powiatowy Inspektorat Weterynarii w Brzozowie</t>
  </si>
  <si>
    <t>https://www.praca.pl/inspektor-weterynaryjny_4234741.html</t>
  </si>
  <si>
    <t>Rolnictwo/Ochrona środowiska</t>
  </si>
  <si>
    <t>&lt;h4&gt;Wymagania niezbędne&lt;/h4&gt;wykształcenie: wyższe weterynaryjne&lt;br /&gt;doświadczenie zawodowe/staż pracy: doświadczenia zawodowego&lt;br /&gt;- Znajomość obowiązujących przepisów weterynaryjnych oraz przepisów kodeksu postępowania administracyjnego&lt;br /&gt;- Umiejętność obsługi komputera&lt;br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</si>
  <si>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w inspektoracie Budynek jednopiętrowy - brak windy Praca w terenie - wykonywanie kontroli gospodarstw i podmiotów Prowadzenie samochodu osobowego&lt;br /&gt;&lt;h4&gt;Zakres zadań&lt;/h4&gt;&lt;br /&gt;- Sprawowanie nadzoru nad podmiotami zajmującymi się rolniczym handlem detalicznym&lt;br /&gt;- Sprawowanie nadzoru nad gospodarstwami pozyskującymi mleko&lt;br /&gt;- Sprawowanie nadzoru nad podmiotami zajmującymi się sprzedażą bezpośrednią produktów pochodzenia zwierzęcego&lt;br /&gt;- Prowadzenie obowiązującej dokumentacji&lt;br /&gt;- Prowadzenie obowiązującej sprawozdawczości&lt;br /&gt;- Pobieranie prób w ramach badań monitoringowych pozostałości środków spożywczych pochodzenia zwierzęcego&lt;br /&gt;</t>
  </si>
  <si>
    <t>PT Dystrybucja S.A.</t>
  </si>
  <si>
    <t>https://www.praca.pl/przedstawiciel-handlowy_4189071.html</t>
  </si>
  <si>
    <t>10.02.2021 00:27</t>
  </si>
  <si>
    <t>02.02.2021</t>
  </si>
  <si>
    <t>&lt;br /&gt;Oferta skierowana tylko dla tych, którzy chcą i potrafią konkretnie zarabiać.&lt;br /&gt;Oczekiwania:&lt;br /&gt;- niezbędne doświadczenie w firmie dystrybucyjnej FMCG&lt;br /&gt;- czynne prawo jazdy kat. B&lt;br /&gt;- znajomość rynku lokalnego&lt;br /&gt;- łatwości nawiązywania kontaktów i wysokiej kultury osobistej&lt;br /&gt;Preferowane osoby z doświadczeniem w dystrybucji FMCG.&lt;br /&gt;</t>
  </si>
  <si>
    <t>&lt;br /&gt;</t>
  </si>
  <si>
    <t>Ramex</t>
  </si>
  <si>
    <t>Przedstawiciel handlowy z doświadczeniem w branży budowlanej</t>
  </si>
  <si>
    <t>https://gratka.pl/praca/ogloszenie/oi/19876349?utm_source=zielonalinia.pl&amp;utm_medium=zielonalinia&amp;utm_campaign=export_xml</t>
  </si>
  <si>
    <t>08.02.2021</t>
  </si>
  <si>
    <t>Asystentka / Sekretarka [online - praca zdalna]</t>
  </si>
  <si>
    <t>https://www.goldenline.pl/praca/oferta/1269718/zielonalinia0?utm_campaign=partner&amp;gpid=979234&amp;utm_medium=export&amp;glc_source=zielonalinia0&amp;utm_source=zielonalinia0</t>
  </si>
  <si>
    <t>10.02.2021 13:32</t>
  </si>
  <si>
    <t>06.02.2021</t>
  </si>
  <si>
    <t>27.02.2021</t>
  </si>
  <si>
    <t>Obowiązki:&lt;br /&gt;&lt;h3 dir="auto"&gt;Zadania:&lt;br /&gt;&lt;/h3&gt;&lt;br /&gt;&lt;ul&gt;&lt;br /&gt;&lt;li&gt;telefoniczna i e-mailowa obsługa klientów,&lt;/li&gt;&lt;br /&gt;&lt;li&gt;przygotowywanie dokumentacji firmowej, pism, analiz, raportów i zestawień,&lt;/li&gt;&lt;br /&gt;&lt;li&gt;reagowanie na bieżące zapytania klientów,&lt;/li&gt;&lt;br /&gt;&lt;li&gt;administracyjna obsługa,&lt;/li&gt;&lt;br /&gt;&lt;li&gt;obsługa korespondencji przychodzącej i wychodzącej,&lt;/li&gt;&lt;br /&gt;&lt;li&gt;prowadzenie kalendarza spotkań,&lt;/li&gt;&lt;br /&gt;&lt;li&gt;wydawanie i ewidencja materiałów reklamowych,&lt;/li&gt;&lt;br /&gt;&lt;li&gt;inne prace administracyjne,&lt;/li&gt;&lt;br /&gt;&lt;li&gt;monitorowaniem kalendarza atrakcyjnych wydarzeń w branży rozrywkowej związanych ze sportem, muzyką, teatrem, motoryzacją&lt;/li&gt;&lt;br /&gt;&lt;li&gt;współpraca z innymi działami firmy.&lt;/li&gt;&lt;br /&gt;&lt;/ul&gt;&lt;br /&gt;&lt;h3 dir="auto"&gt;Oczekujemy:&lt;/h3&gt;&lt;br /&gt;&lt;ul&gt;&lt;br /&gt;&lt;li&gt;komunikatywności i zdolność budowania dobrych relacji z klientem,&lt;/li&gt;&lt;br /&gt;&lt;li&gt;dokładności, samodzielności oraz bardzo dobrej organizacji pracy,&lt;/li&gt;&lt;br /&gt;&lt;li&gt;dyspozycyjności&lt;/li&gt;&lt;br /&gt;&lt;li&gt;sumienności w realizacji obowiązków,&lt;/li&gt;&lt;br /&gt;&lt;li&gt;pozytywnego nastawienia i uśmiechu&lt;/li&gt;&lt;br /&gt;&lt;li&gt;wysokich umiejętności komunikacyjnych oraz umiejętności rozwijania sieci kontaktów&lt;/li&gt;&lt;br /&gt;&lt;li&gt;dobrej znajomości pakietu MS Office,&lt;/li&gt;&lt;br /&gt;&lt;li&gt;wysokiej kultury osobistej.&lt;/li&gt;&lt;br /&gt;&lt;/ul&gt;</t>
  </si>
  <si>
    <t>Hostessa Fotomodelki Modelki</t>
  </si>
  <si>
    <t>https://www.goldenline.pl/praca/oferta/1269738/zielonalinia0?utm_campaign=partner&amp;gpid=979266&amp;utm_medium=export&amp;glc_source=zielonalinia0&amp;utm_source=zielonalinia0</t>
  </si>
  <si>
    <t>1863,1803,1861,1805,1817,1862,1804,1811,1806</t>
  </si>
  <si>
    <t>Obowiązki:&lt;br /&gt;&lt;h2 dir="auto"&gt;Zadania:&lt;/h2&gt;&lt;br /&gt;&lt;ul&gt;&lt;br /&gt;&lt;li&gt;Prowadzenie akcji promocyjnej mającej na celu wzrost sprzedaży&lt;/li&gt;&lt;br /&gt;&lt;li&gt;promowanych produktów&lt;/li&gt;&lt;br /&gt;&lt;li&gt;Informowanie o aktualnych promocjach Klienta&lt;/li&gt;&lt;br /&gt;&lt;li&gt;Udzielanie informacji o firmie&lt;/li&gt;&lt;br /&gt;&lt;li&gt;Budowanie i utrzymywanie pozytywnych relacji z Klientem&lt;/li&gt;&lt;br /&gt;&lt;li&gt;Degustacje&lt;/li&gt;&lt;br /&gt;&lt;li&gt;Dbanie o dobry wizerunek firmy&lt;/li&gt;&lt;br /&gt;&lt;li&gt;Sesje promocyjne i wizerunkowe (hotele, kluby fitness, centa konferencyjne)&lt;/li&gt;&lt;br /&gt;&lt;li&gt;Telefoniczna i e-mailowa obsługa klientów&lt;/li&gt;&lt;br /&gt;&lt;li&gt;Możliwość pracy zdalnej - online&lt;/li&gt;&lt;br /&gt;&lt;li&gt;Promocja produktów online&lt;/li&gt;&lt;br /&gt;&lt;li&gt;Video rozmowa z klientem online&lt;/li&gt;&lt;br /&gt;&lt;/ul&gt;&lt;br /&gt;&lt;h2 dir="auto"&gt;Wymagania:&lt;/h2&gt;&lt;br /&gt;&lt;ul&gt;&lt;br /&gt;&lt;li&gt;Komunikatywności i zdolność budowania dobrych relacji z klientem,&lt;/li&gt;&lt;br /&gt;&lt;li&gt;Zaangażowanie i dyspozycyjności&lt;/li&gt;&lt;br /&gt;&lt;li&gt;Pozytywnego nastawienia i uśmiechu&lt;/li&gt;&lt;br /&gt;&lt;li&gt;Wysokiej kultury osobistej.&lt;/li&gt;&lt;br /&gt;&lt;li&gt;Otwartość, komunikatywność&lt;/li&gt;&lt;br /&gt;&lt;/ul&gt;&lt;br /&gt;&lt;h2 dir="auto"&gt;Oferujemy:&lt;/h2&gt;&lt;br /&gt;&lt;ul&gt;&lt;br /&gt;&lt;li&gt;Szkolenia przygotowujące do wykonywania obowiązków&lt;/li&gt;&lt;br /&gt;&lt;li&gt;Opiekę Koordynatora Rejonu&lt;/li&gt;&lt;br /&gt;&lt;li&gt;Możliwość długotrwałej współpracy&lt;/li&gt;&lt;br /&gt;&lt;li&gt;Możliwość pracy zdalny - online&lt;/li&gt;&lt;br /&gt;&lt;/ul&gt;</t>
  </si>
  <si>
    <t>Silva Sp. z o.o.</t>
  </si>
  <si>
    <t>Kierowca C + E + HDS</t>
  </si>
  <si>
    <t>https://www.praca.pl/kierowca-c-e-hds_4208901.html</t>
  </si>
  <si>
    <t>&lt;br /&gt;Wymagania:&lt;br /&gt;- Prawo jazdy kategorii CE&lt;br /&gt;- Uprawnienia UDT na HDS&lt;br /&gt;- Doświadczenie w prowadzeniu samochodów ciężarowych&lt;br /&gt;- Gotowości do pracy w systemie dwuzmianowym&lt;br /&gt;- Dbałość o pojazd i powierzone mienie&lt;br /&gt;</t>
  </si>
  <si>
    <t>&lt;br /&gt;Zadania:&lt;br /&gt;- Przewóz surowca drzewnego&lt;br /&gt;- Krótkie trasy krajowe do 200 km w jedną stronę z codziennym powrotem do domu&lt;br /&gt;</t>
  </si>
  <si>
    <t>https://www.praca.pl/python-developer_4236107.html</t>
  </si>
  <si>
    <t>44050#21020028</t>
  </si>
  <si>
    <t>&lt;br /&gt;- Minimum 3 letnie doświadczenie na podobnym stanowisku&lt;br /&gt;- Bardzo dobra znajomość języka Python w wersji 3.x&lt;br /&gt;- Średnio-zaawansowana znajomość technologii frontendowych: Javascript ES6, CSS (SASS), HTML 5&lt;br /&gt;- Dobra znajomość relacyjnych baz danych i Redis&lt;br /&gt;- Bardzo dobra znajomość Django Framework, Celery&lt;br /&gt;- Dobra znajomość Docker i Docker Compose&lt;br /&gt;- Znajomość języka angielskiego na poziomie bardzo dobrym w piśmie i mowie&lt;br /&gt;- Dobra znajomość git oraz git-flow&lt;br /&gt;</t>
  </si>
  <si>
    <t>&lt;br /&gt;- Tworzenie stron, serwisów i aplikacji internetowych opartych o Django Framework oraz autorskie rozwiązania&lt;br /&gt;- Rozwijanie autorskiego oprogramowania&lt;br /&gt;- Integracja zewnętrznych systemów informatycznych&lt;br /&gt;- Wymiana doświadczeń wewnątrz zespołu i uczenie się nowych technologii oraz nowych metod programowania&lt;br /&gt;</t>
  </si>
  <si>
    <t>T-Mobile Polska S.A.</t>
  </si>
  <si>
    <t>Konsultant / Konsultantka ds. Sprzedaży - Sklep Firmowy T-Mobile</t>
  </si>
  <si>
    <t>https://www.praca.pl/konsultant-konsultantka-ds-sprzedazy-sklep-firmowy-t-mobile_4222556.html</t>
  </si>
  <si>
    <t>&lt;br /&gt;Zadania, które&lt;br /&gt;na Ciebie&lt;br /&gt;czekają:&lt;br /&gt;- Sprzedaż pełnej gamy produktów i usług świadczonych przez T-Mobile z wykorzystaniem dostępnych kanałów sprzedaży&lt;br /&gt;- Realizacja indywidualnych celów sprzedażowych, jakościowych i ilościowych&lt;br /&gt;- Profesjonalna obsługa Klientów T- Mobile&lt;br /&gt;- Budowanie przewagi rynkowej poprzez posprzedażową obsługę abonentów Sieci T-Mobile&lt;br /&gt;</t>
  </si>
  <si>
    <t>&lt;br /&gt;Czego możesz&lt;br /&gt;się spodziewać?&lt;br /&gt;Dzisiaj technologie pozwalają naszym Klientom prowadzić biznes, spełniać marzenia i dbać o relacje z bliskimi. Dzięki pracy w T-mobile możesz być częścią życia naszych Klientów.&lt;br /&gt;Chcesz być na bieżąco z nowinkami ze świata technologii i telekomunikacji? Chcesz się ciągle rozwijać, a do tego praca z ludźmi napędza Cię do działania? Chcesz mieć realny wpływ na swoje wynagrodzenie, a do pracy motywuje Cię realizacja celów? Jeśli na wszystkie pytania odpowiedziałeś/-aś twierdząco to nie czekaj i aplikuj do nas!&lt;br /&gt;</t>
  </si>
  <si>
    <t>https://gratka.pl/praca/ogloszenie/ob/19959025?utm_source=zielonalinia.pl&amp;utm_medium=zielonalinia&amp;utm_campaign=export_xml</t>
  </si>
  <si>
    <t>04.02.2021</t>
  </si>
  <si>
    <t>Wymagania: &lt;ul&gt;&lt;li&gt;sprawność manualna,&lt;/li&gt;&lt;li&gt;dyspozycyjność, zaangażowanie,&lt;/li&gt;&lt;li&gt;uprawnienia do obsługi suwnic mile widziane,&lt;/li&gt;&lt;li&gt;nie wymagamy doświadczenia.&lt;/li&gt;&lt;/ul&gt;</t>
  </si>
  <si>
    <t>Obowiązki: &lt;ul&gt;&lt;li&gt;wykonywanie czynności montażowych zgodnie z instrukcją,&lt;/li&gt;&lt;li&gt;utrzymywanie porządku na stanowisku,&lt;/li&gt;&lt;li&gt;przestrzeganie obowiązujących procedur działania.&lt;/li&gt;&lt;/ul&gt;</t>
  </si>
  <si>
    <t>Vanse Auto</t>
  </si>
  <si>
    <t>https://gratka.pl/praca/ogloszenie/ob/20218435?utm_source=zielonalinia.pl&amp;utm_medium=zielonalinia&amp;utm_campaign=export_xml</t>
  </si>
  <si>
    <t>29.01.2021</t>
  </si>
  <si>
    <t>Mile widziane: &lt;ul&gt;&lt;li&gt;doświadczenia z różnymi markami oraz motorami samochodowymi&lt;/li&gt;&lt;li&gt;doświadczenia z oponami&lt;/li&gt;&lt;li&gt;certyfikat na PKK (Profil Kandydata na Kierowcę) / kontrola unijna&lt;/li&gt;&lt;/ul&gt;&lt;br /&gt;</t>
  </si>
  <si>
    <t>Wymagania: &lt;ul&gt;&lt;li&gt;wykształcenie jako mechanik samochodowy&lt;/li&gt;&lt;li&gt;conajmniej 4 lata doświadczenia w zawodzie od daty ukończenia szkolenia zawodu&lt;/li&gt;&lt;li&gt;dobra znajomość z zakresu napraw elektrycznych i diagnostyki pojazdów samochodowych&lt;/li&gt;&lt;li&gt;dobra znajomość języka angielskiego lub niemieckiego&lt;/li&gt;&lt;/ul&gt;&lt;br /&gt;&lt;br /&gt;</t>
  </si>
  <si>
    <t>https://gratka.pl/praca/ogloszenie/ob/19982131?utm_source=zielonalinia.pl&amp;utm_medium=zielonalinia&amp;utm_campaign=export_xml</t>
  </si>
  <si>
    <t>25.01.2021</t>
  </si>
  <si>
    <t>12.02.2021</t>
  </si>
  <si>
    <t>ALDI Sp. z o.o.</t>
  </si>
  <si>
    <t>03.02.2021</t>
  </si>
  <si>
    <t>https://www.pracuj.pl/praca/zastepca-kierownika-sklepu-rzeszow,oferta,1000725915</t>
  </si>
  <si>
    <t>03.02.2021 03:40</t>
  </si>
  <si>
    <t>01.02.2021</t>
  </si>
  <si>
    <t>03.03.2021</t>
  </si>
  <si>
    <t>ARFA HR BEATA PRZONDO</t>
  </si>
  <si>
    <t>Regionalny Przedstawiciel dla Klientów Biznesowych Premium</t>
  </si>
  <si>
    <t>https://www.pracuj.pl/praca/regionalny-przedstawiciel-dla-klientow-biznesowych-premium-podkarpackie,oferta,7891305</t>
  </si>
  <si>
    <t>Asystent Prezesa Zarządu / Dyrektora Finansowego</t>
  </si>
  <si>
    <t>Polska, podkarpackie, Wola Ociecka (pow. ropczycko-sędziszowski)</t>
  </si>
  <si>
    <t>https://www.pracuj.pl/praca/asystent-prezesa-zarzadu-dyrektora-finansowego-wola-ociecka-pow-ropczycko-sedziszowski,oferta,1000726712</t>
  </si>
  <si>
    <t>Opiekun Klienta w Oddziale Banku</t>
  </si>
  <si>
    <t>https://www.pracuj.pl/praca/opiekun-klienta-w-oddziale-banku-jaroslaw,oferta,1000726123</t>
  </si>
  <si>
    <t>15.02.2021</t>
  </si>
  <si>
    <t>https://www.pracuj.pl/praca/opiekun-klienta-w-oddziale-banku-przemysl,oferta,1000726132</t>
  </si>
  <si>
    <t>https://www.pracuj.pl/praca/opiekun-klienta-w-oddziale-banku-rzeszow,oferta,1000726135</t>
  </si>
  <si>
    <t>B-BIO Sp. z o.o.</t>
  </si>
  <si>
    <t>Koordynator ds. Kluczowego Detalu</t>
  </si>
  <si>
    <t>https://www.pracuj.pl/praca/koordynator-ds-kluczowego-detalu-rzeszow,oferta,500077908</t>
  </si>
  <si>
    <t>Operator maszyn CNC (frezer)</t>
  </si>
  <si>
    <t>https://www.pracuj.pl/praca/operator-maszyn-cnc-frezer-rzeszow,oferta,1000725609</t>
  </si>
  <si>
    <t>Billennium S.A.</t>
  </si>
  <si>
    <t>Frontend Developer</t>
  </si>
  <si>
    <t>https://www.pracuj.pl/praca/frontend-developer-rzeszow,oferta,1000724457</t>
  </si>
  <si>
    <t>https://www.pracuj.pl/praca/specjalista-ds-marketingu-gluchow-pow-lancucki,oferta,1000724173</t>
  </si>
  <si>
    <t>Technolog produkcji kosmetyków</t>
  </si>
  <si>
    <t>Technik technologii środków kosmetycznych</t>
  </si>
  <si>
    <t>https://www.pracuj.pl/praca/technolog-produkcji-kosmetykow-gluchow-pow-lancucki,oferta,1000654412</t>
  </si>
  <si>
    <t>RPd057|311605</t>
  </si>
  <si>
    <t>B&amp;P Engineering Sp. z o.o.</t>
  </si>
  <si>
    <t>https://www.pracuj.pl/praca/brygadzista-przeworsk,oferta,1000726489</t>
  </si>
  <si>
    <t>BrilliantMind</t>
  </si>
  <si>
    <t>Magazynier aut nowych</t>
  </si>
  <si>
    <t>https://www.pracuj.pl/praca/magazynier-aut-nowych-rzeszow,oferta,1000718228</t>
  </si>
  <si>
    <t>Kierownik Robót Branżowych (branża spawalnicza)</t>
  </si>
  <si>
    <t>Inżynier inżynierii środowiska - gazowe urządzenia, instalacje i sieci energetyczne</t>
  </si>
  <si>
    <t>https://www.praca.pl/kierownik-robot-branzowych-branza-spawalnicza_4213595.html</t>
  </si>
  <si>
    <t>03.02.2021 03:04</t>
  </si>
  <si>
    <t>&lt;br /&gt;Od kandydatów oczekujemy:&lt;br /&gt;- wykształcenia wyższego technicznego (kierunek Inżynieria Środowiska),&lt;br /&gt;- doświadczenia w pracy na podobnym stanowisku,&lt;br /&gt;- uprawnień budowlanych bez ograniczeń w zakresie sieci i instalacji gazowych, wod-kan, cieplnych i wentylacyjnych,&lt;br /&gt;- pełnej wiedzy technicznej w zakresie prowadzenia budowy,&lt;br /&gt;- znajomości Ustawy Prawo Budowlane,&lt;br /&gt;- dobrej praktycznej znajomości pakietu MS Office,&lt;br /&gt;- sumienności i odpowiedzialności,&lt;br /&gt;- prawa jazdy kategorii B,&lt;br /&gt;- dyspozycyjności (praca w delegacji)&lt;br /&gt;</t>
  </si>
  <si>
    <t>&lt;br /&gt;Do Twoich zadań należeć będzie:&lt;br /&gt;- nadzór nad procesem budowlanym – budowa gazociągu przesyłowego w/c DN1000 relacji Strachocina – granica RP,&lt;br /&gt;- zarządzanie zagadnieniami związanymi z Klientem w fazie przegotowania oferty oraz w fazie produkcji w zakresie prowadzenia robót i nadzoru spawalniczego zgodnie z wymaganiami klienta, norm i prawa,&lt;br /&gt;- czytanie, analiza i weryfikacja dokumentacji technicznej,&lt;br /&gt;- bieżące rozliczanie dokumentów budowy,&lt;br /&gt;- opracowywanie dokumentacji bieżącej i powykonawczej budowy,&lt;br /&gt;- bieżące rozwiązywanie problemów na budowie oraz proponowanie rozwiązań technicznych,&lt;br /&gt;- uczestniczenie w odbiorach i kontrolach poszczególnych etapów prac.&lt;br /&gt;</t>
  </si>
  <si>
    <t>CIECH Sarzyna S.A</t>
  </si>
  <si>
    <t>Specjalista Utrzymania Ruchu (ds. budowlanych)</t>
  </si>
  <si>
    <t>https://www.praca.pl/specjalista-utrzymania-ruchu-ds-budowlanych_4166607.html</t>
  </si>
  <si>
    <t>&lt;br /&gt;…jeśli posiadasz:&lt;br /&gt;- wykształcenie wyższe kierunkowe, budownictwo&lt;br /&gt;- uprawnienia budowlane do kierowania robotami w specjalności konstrukcyjno- budowlanej&lt;br /&gt;- znajomość programów kosztorysujących&lt;br /&gt;- co najmniej 3- letnie doświadczenie na podobnym stanowisku w budownictwie przemysłowym, komercyjnym lub mieszkaniowym (mile widziane)&lt;br /&gt;</t>
  </si>
  <si>
    <t>&lt;br /&gt;Jeśli praca, której szukasz to:&lt;br /&gt;zarządzanie infrastrukturą budowlaną w celu utrzymania jej stanu zgodnie z obowiązującymi przepisami oraz nadzorowanie przeglądów i kontroli technicznych&lt;br /&gt;…jeśli chcesz być odpowiedzialny/na za:&lt;br /&gt;- stan infrastruktury budowlanej w skład, której wchodzą instalacje produkcyjne, budynki, magazyny, budowle&lt;br /&gt;- współpracę z firmami świadczącymi usługi budowlane, remontowe, instalacyjne&lt;br /&gt;- przygotowanie kosztorysów i prowadzenie zadań inwestycyjnych, kierowanie pracami budowlanymi i remontowymi&lt;br /&gt;- realizację budżetu danego projektu czy inwestycji&lt;br /&gt;</t>
  </si>
  <si>
    <t>Technik Utrzymania Ruchu - Automatyk</t>
  </si>
  <si>
    <t>https://www.praca.pl/technik-utrzymania-ruchu-automatyk_4166595.html</t>
  </si>
  <si>
    <t>&lt;br /&gt;…jeśli posiadasz:&lt;br /&gt;- wykształcenie średnie, lub wyższe, preferowana automatyka, robotyka, elektronika, mechatronika czy elektroenergetyka&lt;br /&gt;- umiejętność czytania schematów elektrycznych&lt;br /&gt;- umiejętność programowania falowników, sterowników np. firmy Siemens&lt;br /&gt;- doświadczenie w diagnostyce awarii układów automatyki i elektryki&lt;br /&gt;- doświadczenie w kalibracji przetworników poziomu, temperatury, ciśnienia itp.&lt;br /&gt;- doświadczenie w pracy w zakładzie produkcyjnym w obszarze utrzymania ruchu&lt;br /&gt;- uprawnienia SEP E+D do 1 kV&lt;br /&gt;</t>
  </si>
  <si>
    <t>&lt;br /&gt;Jeśli praca, której szukasz to:&lt;br /&gt;zarządzanie infrastrukturą budowlaną w celu utrzymania jej stanu zgodnie z obowiązującymi przepisami oraz nadzorowanie przeglądów i kontroli technicznych&lt;br /&gt;…jeśli chcesz być odpowiedzialny/na za:&lt;br /&gt;- utrzymanie w sprawności urządzeń instalacyjnych i konfekcyjnych&lt;br /&gt;- zapobieganie awariom poprzez bieżące i okresowe przeglądy&lt;br /&gt;- diagnozowanie i usuwanie przyczyn awarii w zakresie automatyki, a także elektryki i mechaniki&lt;br /&gt;- wykonywanie pomiarów elektrycznych w instalacjach do 1 kV&lt;br /&gt;- wprowadzanie udoskonaleń w liniach produkcyjnych i konfekcyjnych&lt;br /&gt;- przezbrajanie linii konfekcyjnych&lt;br /&gt;</t>
  </si>
  <si>
    <t>Specjalista Produktów Chemicznych</t>
  </si>
  <si>
    <t>https://www.praca.pl/specjalista-produktow-chemicznych_4176101.html</t>
  </si>
  <si>
    <t>&lt;br /&gt;…jeśli posiadasz:&lt;br /&gt;- wykształcenie wyższe chemiczne&lt;br /&gt;- znajomość przepisów prawnych związanych z wprowadzaniem do obrotu produktów chemicznych (REACH, CLP, RID, ADR)&lt;br /&gt;- doświadczenie w pracy lub znajomość zasad klasyfikacji substancji i mieszanin chemicznych oraz opracowywania kart charakterystyki&lt;br /&gt;- znajomość języka angielskiego - co najmniej poziom B2,&lt;br /&gt;- znajomość systemów zarządzania jakością będzie dodatkowym atutem&lt;br /&gt;</t>
  </si>
  <si>
    <t>&lt;br /&gt;Jeśli praca, której szukasz to:&lt;br /&gt;aktywne uczestniczenie w obrocie środkami chemicznymi na rynku polskim i zagranicznym, wykorzystanie w praktyce wiedzy chemicznej i kompetencji językowych&lt;br /&gt;…jeśli chcesz być odpowiedzialny/na za:&lt;br /&gt;- wprowadzanie wyrobów chemicznych do obrotu zgodnie z obowiązującymi przepisami prawnymi dotyczącymi substancji i mieszanin chemicznych&lt;br /&gt;- monitorowanie procesu rejestracji, weryfikację i aktualizację zgłoszeń w oparciu o rozporządzenia REACH i CLP&lt;br /&gt;- klasyfikację produktów chemicznych wg RID, ADR&lt;br /&gt;- współpracę z krajowymi i europejskimi agencjami ds. chemikaliów,&lt;br /&gt;- opracowanie i aktualizację i rozpowszechnianie dokumentacji dotyczącej wyrobów wprowadzanych do obrotu, w tym m.in.: karty charakterystyki, informacje o produkcie, arkusze techniczne, specyfikacje na surowce, przepisy analityczne&lt;br /&gt;- współpracę z innymi działami w zakresie dostarczania danych do opracowania etykiet, kodów UFI&lt;br /&gt;</t>
  </si>
  <si>
    <t>Kierownik Robót Drogowych</t>
  </si>
  <si>
    <t>https://www.pracuj.pl/praca/kierownik-robot-drogowych-rzeszow,oferta,1000724132</t>
  </si>
  <si>
    <t>https://www.pracuj.pl/praca/lektor-nauczyciel-jezyka-angielskiego-rzeszow,oferta,1000629804</t>
  </si>
  <si>
    <t>EBA Sp. z o.o.</t>
  </si>
  <si>
    <t>Kierownik Działu Zarządzania Projektami</t>
  </si>
  <si>
    <t>https://www.pracuj.pl/praca/kierownik-dzialu-zarzadzania-projektami-krosno,oferta,1000724017</t>
  </si>
  <si>
    <t>Specjalista ds. druku 3D</t>
  </si>
  <si>
    <t>https://www.pracuj.pl/praca/specjalista-ds-druku-3d-krosno,oferta,1000724030</t>
  </si>
  <si>
    <t>Przedstawiciel handlowy - Doradca ds. żywienia zwierząt</t>
  </si>
  <si>
    <t>https://www.praca.pl/przedstawiciel-handlowy-doradca-ds-zywienia-zwierzat_4187375.html</t>
  </si>
  <si>
    <t>25.02.2021</t>
  </si>
  <si>
    <t>&lt;br /&gt;Wymagania:&lt;br /&gt;- Umiejętności sprzedażowe oraz znajomość specyfiki handlowej branży rolnej,&lt;br /&gt;- łatwość w nawiązywaniu kontaktów oraz relacji biznesowych,&lt;br /&gt;- znajomości pakietu Microsoft Office (przede wszystkim Excel, Power Point),&lt;br /&gt;- prawo jazdy kat. B&lt;br /&gt;Mile widziane:&lt;br /&gt;- Znajomość lokalnego rynku hodowców trzody i bydła (zgodnie z obszarem działania)&lt;br /&gt;- Umiejętność układania dawek żywieniowych dla bydła i trzody&lt;br /&gt;- Wykształcenie zootechniczne&lt;br /&gt;- 2-letnie doświadczenie w pracy w firmach o podobnym profilu.&lt;br /&gt;</t>
  </si>
  <si>
    <t>&lt;br /&gt;Osoba zatrudniona na tym stanowisku będzie odpowiedzialna za:&lt;br /&gt;- rozwijanie rynku sprzedaży produktów EKOPLON,&lt;br /&gt;- realizację założonych celów sprzedażowych środków żywienia trzody i bydła,&lt;br /&gt;- realizacja działań okołosprzedażowych - zapewnienie obsługi posprzedażowej (serwisu),&lt;br /&gt;- utrzymywanie stałych kontaktów i budowanie pozytywnych relacji z klientami firmy&lt;br /&gt;- aktywne pozyskiwanie nowych klientów,&lt;br /&gt;- koordynowanie dostaw i nadzór nad przebiegiem ich realizacji,&lt;br /&gt;- prowadzenie działań doradczych dla hodowców i dystrybutorów.&lt;br /&gt;</t>
  </si>
  <si>
    <t>Monter konstrukcji stalowych / gięciarz rur</t>
  </si>
  <si>
    <t>https://www.pracuj.pl/praca/monter-konstrukcji-stalowych-gieciarz-rur-rzeszow,oferta,1000726646</t>
  </si>
  <si>
    <t>Essve Poland Sp. z o.o.</t>
  </si>
  <si>
    <t>https://www.pracuj.pl/praca/regionalny-przedstawiciel-handlowy-podkarpackie,oferta,7889405</t>
  </si>
  <si>
    <t>Excellent</t>
  </si>
  <si>
    <t>https://www.pracuj.pl/praca/magazynier-tarnobrzeg,oferta,1000727651</t>
  </si>
  <si>
    <t>Gardner Aerospace Sp. z o.o.</t>
  </si>
  <si>
    <t>Interim Buyer</t>
  </si>
  <si>
    <t>https://www.pracuj.pl/praca/interim-buyer-mielec,oferta,1000725410</t>
  </si>
  <si>
    <t>https://www.pracuj.pl/praca/interim-buyer-nowa-deba,oferta,1000725411</t>
  </si>
  <si>
    <t>Polska, podkarpackie, Świlcza (pow. rzeszowski)</t>
  </si>
  <si>
    <t>https://www.pracuj.pl/praca/interim-buyer-swilcza-pow-rzeszowski,oferta,1000725412</t>
  </si>
  <si>
    <t>Genpact PL</t>
  </si>
  <si>
    <t>Specjalista ds. zamówień z j. niemieckim</t>
  </si>
  <si>
    <t>https://www.praca.pl/specjalista-ds-zamowien-z-j-niemieckim_4198949.html</t>
  </si>
  <si>
    <t>&lt;br /&gt;Wymagania:&lt;br /&gt;- Znajomość języka niemieckiego na poziomie C1;&lt;br /&gt;- Znajomość języka angielskiego na poziomie B2;&lt;br /&gt;- Dobra znajomość pakietu MS Office;&lt;br /&gt;- Umiejętność analitycznego myślenia, szybkiego przyswajania wiedzy;&lt;br /&gt;- Wysoka kultura osobista w pracy z klientem na co dzień;&lt;br /&gt;- Motywacja do pracy i chęć nauki nowych procesów;&lt;br /&gt;- Mile widziane doświadczenie w pracy w dziale Order Management/ OTC/ Collection/ Customer Service;&lt;br /&gt;- Mile widziana znajomość programu SAP;&lt;br /&gt;</t>
  </si>
  <si>
    <t>&lt;br /&gt;Obecnie poszukujemy osób na stanowisko: Specjalista ds. zamówień z j. Niemieckim &lt;br /&gt;Zakres obowiązków:&lt;br /&gt;- Tworzenie zamówień w systemie ERP, wprowadzanie danych do systemu;&lt;br /&gt;- Rozwiązywanie problemów klienta, odpowiadanie na zapytania;&lt;br /&gt;- Kontakt z klientem – mailowy oraz telefoniczny;&lt;br /&gt;- Aktualizowanie informacji w systemie (odnośnie klientów, dostaw, cen);&lt;br /&gt;- Zbieranie informacji od działu logistyki oraz informowanie klientów o dostępności oraz dostawach;&lt;br /&gt;- Budowanie relacji z klientami;&lt;br /&gt;- Monitorowanie statusu zamówień;&lt;br /&gt;- Udział w projektach mających na celu zoptymalizowanie procesu;&lt;br /&gt;- Pisanie procedur operacyjnych;&lt;br /&gt;</t>
  </si>
  <si>
    <t>Monter wyrobów z drewna</t>
  </si>
  <si>
    <t>https://www.pracuj.pl/praca/monter-wyrobow-z-drewna-mielec,oferta,1000669000</t>
  </si>
  <si>
    <t>RPd057|821905</t>
  </si>
  <si>
    <t>Grafton Recruitment Sp. z o.o.</t>
  </si>
  <si>
    <t>Key Account Manager - systemy vendingowe</t>
  </si>
  <si>
    <t>https://www.praca.pl/key-account-manager-systemy-vendingowe_4187239.html</t>
  </si>
  <si>
    <t>9-23-60338</t>
  </si>
  <si>
    <t>&lt;br /&gt;- Min. 3-letnie doświadczenie zawodowe w zakresie sprzedaży i współpracy z kluczowymi klientami z branży produkcyjnej i logistycznej,&lt;br /&gt;- Bardzo dobra organizacja pracy,&lt;br /&gt;- Umiejętność efektywnego budowania relacji biznesowych,&lt;br /&gt;- Nastawienie na rezultat oraz umiejętności sprzedażowe,&lt;br /&gt;- Zainteresowanie nowinkami technicznymi i technologiami IT&lt;br /&gt;- Ważne prawo jazdy kat. B.&lt;br /&gt;</t>
  </si>
  <si>
    <t>&lt;br /&gt;Obecnie dla jednego z naszych Klientow – firmy dostarczajacej inteligentne punkty sprzedażowe, automatyczne sklepy i systemy vendingowe, poszukujemy osoby na stanowisko: Key Account Manager&lt;br /&gt;Rejon działania: woj. podkarpackie, woj.lubelskie, woj. świętokrzyskie&lt;br /&gt;Zakres obowiązków:&lt;br /&gt;- Realizacja wyznaczonych planów sprzedażowych,&lt;br /&gt;- Bezpośrednia współpraca z dotychczasowymi klientami w kanale B2B,&lt;br /&gt;- Poszukiwanie i nawiązywanie współpracy z nowymi klientami,&lt;br /&gt;- Przygotowanie strategicznych planów rozwoju poszczególnych linii usług u klientów,&lt;br /&gt;- Budowanie długofalowej współpracy poprzez wdrażanie promocji i akcji marketingowych.&lt;br /&gt;</t>
  </si>
  <si>
    <t>GREEN ENERGY ZONE SPÓŁKA Z OGRANICZONĄ ODPOWIEDZIALNOŚCIĄ</t>
  </si>
  <si>
    <t>Menager ds. Sprzedaży – Fotowoltaika</t>
  </si>
  <si>
    <t>https://www.pracuj.pl/praca/menager-ds-sprzedazy-fotowoltaika-rzeszow,oferta,1000726344</t>
  </si>
  <si>
    <t>https://www.praca.pl/konsultant-ds-sprzedazy-w-salonie-orange_4189647.html</t>
  </si>
  <si>
    <t>&lt;br /&gt;Dołącz do nas, jeśli:&lt;br /&gt;- jesteś osobą komunikatywną i chcesz pracować z ludźmi&lt;br /&gt;- chcesz poznawać tajniki sprzedaży i chcesz się uczyć od najlepszych&lt;br /&gt;- rozwój jest dla Ciebie ważny&lt;br /&gt;- angażujesz się w to co robisz i podejmujesz inicjatywę&lt;br /&gt;- masz ukończoną szkołę średnią (matura)&lt;br /&gt;</t>
  </si>
  <si>
    <t>Mechanik Awionik</t>
  </si>
  <si>
    <t>Inżynier awionik</t>
  </si>
  <si>
    <t>https://www.pracuj.pl/praca/mechanik-awionik-jasionka-pow-rzeszowski,oferta,1000726486</t>
  </si>
  <si>
    <t>RPd057|214904</t>
  </si>
  <si>
    <t>https://www.praca.pl/serwisant_4188893.html</t>
  </si>
  <si>
    <t>&lt;br /&gt;- montaż urządzeń do oczyszczania wody&lt;br /&gt;- obsługa serwisowa przydzielonych klientów&lt;br /&gt;- naprawy gwarancyjne&lt;br /&gt;</t>
  </si>
  <si>
    <t>Doradca Leasingowy - pojazdy lekkie</t>
  </si>
  <si>
    <t>https://www.pracuj.pl/praca/doradca-leasingowy-pojazdy-lekkie-rzeszow,oferta,1000723546</t>
  </si>
  <si>
    <t>K&amp;K Selekt Centrum Doradztwa Personalnego</t>
  </si>
  <si>
    <t>Polska, podkarpackie, Rzeszów Area</t>
  </si>
  <si>
    <t>https://www.goldenline.pl/praca/oferta/1270034/zielonalinia0?utm_campaign=partner&amp;gpid=979550&amp;utm_medium=export&amp;glc_source=zielonalinia0&amp;utm_source=zielonalinia0</t>
  </si>
  <si>
    <t>03.02.2021 11:35</t>
  </si>
  <si>
    <t>Wymagania:&lt;br /&gt;Responsible for the operations processes of production, manufacturing, engineering and maintenance.&lt;h3&gt;Key Accountabilities:&lt;/h3&gt;&lt;ul&gt;&lt;div class="lista"&gt;Align operations objectives with overall business unit strategy&lt;/div&gt;&lt;div class="lista"&gt;Ensure maximum efficiency and productivity&lt;/div&gt;&lt;div class="lista"&gt;Ensure production volume, cost, quality of production and customer schedules are met&lt;/div&gt;&lt;div class="lista"&gt;Meet or exceed all financial and operational goals&lt;/div&gt;&lt;div class="lista"&gt;Monitor line and labor efficiency and drive continuous improvements&lt;/div&gt;&lt;div class="lista"&gt;Demonstrate strong leadership on the shop floor&lt;/div&gt;&lt;div class="lista"&gt;Manage, train and develop competencies of the team&lt;/div&gt;&lt;div class="lista"&gt;Ensure safety and drive safety behavior and culture..&lt;/div&gt;&lt;/ul&gt;&lt;h3&gt;Candidate Profile:&lt;/h3&gt;&lt;ul&gt;&lt;div class="lista"&gt;10 plus years of experience on the manufacturing plant, preferred in the automotive industry, includingthe experience in managing production area&lt;/div&gt;&lt;div class="lista"&gt;Higher technical education,&lt;/div&gt;&lt;div class="lista"&gt;Experience in problem solving, project management, Lean processes&lt;/div&gt;&lt;div class="lista"&gt;Strong leadership skills, including team development,&lt;/div&gt;&lt;div class="lista"&gt;Drive for results&lt;/div&gt;&lt;div class="lista"&gt;Knowledge of English allowing flawless communication on daily basis.&lt;/div&gt;&lt;/ul&gt;&lt;h3&gt;Our Partner offers:&lt;/h3&gt;&lt;ul&gt;&lt;div class="lista"&gt;Work in a steadily growing company&lt;/div&gt;&lt;div class="lista"&gt;Excellent prospects of development&lt;/div&gt;&lt;div class="lista"&gt;High quality trainings&lt;/div&gt;&lt;div class="lista"&gt;Working in an international environment&lt;/div&gt;&lt;div class="lista"&gt;Company car&lt;/div&gt;&lt;div class="lista"&gt;Employee benefits&lt;/div&gt;&lt;div class="lista"&gt;Wide package of medical and sport services.&lt;/div&gt;&lt;/ul&gt;If you are interested in our offer, please send in your CV in English.Please note that we will contact only selected candidates.</t>
  </si>
  <si>
    <t>https://www.pracuj.pl/praca/planning-forecasting-analyst-rzeszow,oferta,1000724156</t>
  </si>
  <si>
    <t>Samodzielny Specjalista ds. Kadr i Płac</t>
  </si>
  <si>
    <t>https://www.pracuj.pl/praca/samodzielny-specjalista-ds-kadr-i-plac-podkarpackie,oferta,7890128</t>
  </si>
  <si>
    <t>KLIMAX ARTUR CHYŁA</t>
  </si>
  <si>
    <t>Pomocnik montera klimatyzacji i wentylacji</t>
  </si>
  <si>
    <t>https://www.pracuj.pl/praca/pomocnik-montera-klimatyzacji-i-wentylacji-rzeszow,oferta,500077747</t>
  </si>
  <si>
    <t>Koloseum Nieruchomości</t>
  </si>
  <si>
    <t>Manager Zespołu Sprzedażowego - Kierownik Biura Nieruchomości</t>
  </si>
  <si>
    <t>https://www.pracuj.pl/praca/manager-zespolu-sprzedazowego-kierownik-biura-nieruchomosci-rzeszow,oferta,500077851</t>
  </si>
  <si>
    <t>https://www.praca.pl/inspektor_4211471.html</t>
  </si>
  <si>
    <t>&lt;h4&gt;Wymagania niezbędne&lt;/h4&gt;wykształcenie: średnie&lt;br /&gt;doświadczenie zawodowe/staż pracy: co najmniej 1 rok doświadczenia zawodowego w administracji publicznej&lt;br /&gt;- Umiejętność interpretacji przepisów prawnych w zakresie ich stosowania&lt;br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Umiejętność organizacji pracy własnej&lt;br /&gt;- Posiadanie obywatelstwa polskiego&lt;br /&gt;- Korzystanie z pełni praw publicznych&lt;br /&gt;- Nieskazanie prawomocnym wyrokiem za umyślne przestępstwo lub umyślne przestępstwo skarbowe&lt;br /&gt;&lt;h4&gt;Wymagania dodatkowe&lt;/h4&gt;&lt;br /&gt;</t>
  </si>
  <si>
    <t>&lt;h4&gt;Warunki pracy&lt;/h4&gt;&lt;br /&gt;Stałe stanowisko pracy usytuowane na drugim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i aktualizuje ewidencję jawnych resortowych i pozaresortowych aktów prawnych&lt;br /&gt;- Zapoznaje z bieżącymi przepisami funkcjonariuszy i pracowników&lt;br /&gt;- Relizuje czynności związane z obiegiem poczty janwej&lt;br /&gt;- Gromadzi, rejestruje i analizuje obowiązujące jawne akty prawne&lt;br /&gt;- Realizuje czynności związane z przewozem poczty jawnej&lt;br /&gt;- Realizuje zadania związane z weryfikacją i przesyłaniem zagubionych rzeczy i dokumentów&lt;br /&gt;- Brakuje dokumentację&lt;br /&gt;</t>
  </si>
  <si>
    <t>https://www.praca.pl/starszy-referent_4211468.html</t>
  </si>
  <si>
    <t>&lt;h4&gt;Wymagania niezbędne&lt;/h4&gt;wykształcenie: średnie&lt;br /&gt;doświadczenie zawodowe/staż pracy: co najmniej 6 miesięcy doświadczenia zawodowego w sekretariacie administracji publicznej&lt;br /&gt;- Bardzo dobra znajomość zasad pracy kancelaryjnej&lt;br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Posiadanie obywatelstwa polskiego&lt;br /&gt;- Korzystanie z pełni praw publicznych&lt;br /&gt;- Nieskazanie prawomocnym wyrokiem za umyślne przestępstwo lub umyślne przestępstwo skarbowe&lt;br /&gt;&lt;h4&gt;Wymagania dodatkowe&lt;/h4&gt;&lt;br /&gt;- poświadczenie bezpieczeństwa&lt;br /&gt;</t>
  </si>
  <si>
    <t>&lt;h4&gt;Warunki pracy&lt;/h4&gt;&lt;br /&gt;Stałe stanowisko pracy usytuowane na pierwszym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rozlicza dzienniki korespondencyjne i rejestry jawne&lt;br /&gt;- Przygotowuje materiały i archiwizuje dokumenty&lt;br /&gt;- Prowadzi składnice dowodów rzeczowych&lt;br /&gt;- Prowadzi rejestry aktów prawnych&lt;br /&gt;- Prowadzi rejestrację wszelkiej korespondencji wpływającej i wychodzącej z jednostki&lt;br /&gt;- Sporządza pisma, udziela odpowiedzi&lt;br /&gt;</t>
  </si>
  <si>
    <t>KRAK-OLD ELMET sp. z o.o.</t>
  </si>
  <si>
    <t>Doradca Techniczno-Handlowy - Handlowiec</t>
  </si>
  <si>
    <t>https://www.pracuj.pl/praca/doradca-techniczno-handlowy-handlowiec-ropczyce,oferta,1000725688</t>
  </si>
  <si>
    <t>https://www.pracuj.pl/praca/doradca-techniczno-handlowy-handlowiec-rzeszow,oferta,1000725689</t>
  </si>
  <si>
    <t>https://www.pracuj.pl/praca/commercial-manager-mielec,oferta,1000724763</t>
  </si>
  <si>
    <t>https://www.pracuj.pl/praca/kierownik-utrzymania-ruchu-jaslo,oferta,1000726513</t>
  </si>
  <si>
    <t>Lendi sp. z o.o.</t>
  </si>
  <si>
    <t>https://www.pracuj.pl/praca/ekspert-kredytowy-mielec,oferta,1000727250</t>
  </si>
  <si>
    <t>https://www.pracuj.pl/praca/ekspert-kredytowy-rzeszow,oferta,1000727253</t>
  </si>
  <si>
    <t>Lidl Sp. z o.o. Sp. k.</t>
  </si>
  <si>
    <t>https://www.pracuj.pl/praca/pracownik-sklepu-niepelny-etat-lubaczow,oferta,1000724116</t>
  </si>
  <si>
    <t>https://www.pracuj.pl/praca/pracownik-sklepu-niepelny-etat-brzozow,oferta,1000724199</t>
  </si>
  <si>
    <t>https://www.pracuj.pl/praca/zastepca-managera-sklepu-stalowa-wola,oferta,1000724340</t>
  </si>
  <si>
    <t>https://www.pracuj.pl/praca/zastepca-managera-sklepu-brzozow,oferta,1000724366</t>
  </si>
  <si>
    <t>Makarony Polskie S.A.</t>
  </si>
  <si>
    <t>Administrator Systemu ERP</t>
  </si>
  <si>
    <t>https://www.pracuj.pl/praca/administrator-systemu-erp-rzeszow,oferta,1000724792</t>
  </si>
  <si>
    <t>Pracownik pomocniczy produkcji</t>
  </si>
  <si>
    <t>https://gratka.pl/praca/ogloszenie/ob/19811517?utm_source=zielonalinia.pl&amp;utm_medium=zielonalinia&amp;utm_campaign=export_xml</t>
  </si>
  <si>
    <t>03.02.2021 03:15</t>
  </si>
  <si>
    <t>Miejsce pracy: Głogów Małopolski/ Rogoźnica k. Rzeszowa&lt;br /&gt;&lt;br /&gt;Co możemy Ci zaoferować:&lt;br /&gt;&lt;ul&gt;&lt;li&gt;Pracę na pełny etat od zaraz&lt;/li&gt;&lt;br /&gt;&lt;li&gt;Atrakcyjne wynagrodzienie oraz premie &lt;/li&gt;&lt;br /&gt;&lt;li&gt;Możliwość związania się z firmą w dłuższej perspektywie czasowej&lt;/li&gt;&lt;br /&gt;&lt;li&gt;Możliwość zdobycia doświadczenia i rozwoju w znanej firmie o stabilnej pozycji na rynku&lt;/li&gt;&lt;br /&gt;&lt;li&gt;Wsparcie Konsultanta Manpower na każdym etapie rekrutacji i zatrudnienia&lt;/li&gt;&lt;br /&gt;&lt;li&gt;Liczne benefity pracownicze Manpower Premium: kartę Multisport, prywatną opiekę medyczną, ubezpieczenie medyczne, atrakcyjne zniżki i kupony rabatowe do wielu miejsc (pizzerii, kręgielni, klubów fitness i siłowni, szkół wyższych, sklepów internetowych oraz wielu innych miejsc, a także na naukę j. obcych)&lt;/li&gt;&lt;br /&gt;&lt;li&gt;Przyjazną atmosferę pracy&lt;/li&gt;&lt;br /&gt;&lt;/ul&gt;</t>
  </si>
  <si>
    <t>https://gratka.pl/praca/ogloszenie/ob/19811519?utm_source=zielonalinia.pl&amp;utm_medium=zielonalinia&amp;utm_campaign=export_xml</t>
  </si>
  <si>
    <t>MARMED S.A.</t>
  </si>
  <si>
    <t>Asystentka/Asystent Protetyka Słuchu</t>
  </si>
  <si>
    <t>https://www.pracuj.pl/praca/asystentka-asystent-protetyka-sluchu-jaslo,oferta,1000725968</t>
  </si>
  <si>
    <t>https://www.pracuj.pl/praca/doradca-klienta-dzial-rekreacja-jaroslaw-jaslo-krosno-lezajsk-lubaczow-nisko-sanok-stalowa-wola-tarnobrzeg,oferta,7890873</t>
  </si>
  <si>
    <t>1804,1805,1861,1808,1809,1812,1817,1818,1864</t>
  </si>
  <si>
    <t>Metall-Expres Sp. z o.o.</t>
  </si>
  <si>
    <t>https://www.pracuj.pl/praca/specjalista-ds-handlowych-rzeszow,oferta,1000724349</t>
  </si>
  <si>
    <t>https://www.pracuj.pl/praca/specjalista-ds-handlowych-zaczernie-pow-rzeszowski,oferta,1000724350</t>
  </si>
  <si>
    <t>Metkom Sp. z o.o.</t>
  </si>
  <si>
    <t>Specjalista ds. Handlu międzynarodowego  w zakresie złomów i wyrobów gotowych</t>
  </si>
  <si>
    <t>https://www.pracuj.pl/praca/specjalista-ds-handlu-miedzynarodowego-w-zakresie-zlomow-i-wyrobow-gotowych-debica,oferta,1000727281</t>
  </si>
  <si>
    <t>Motorola Solutions Systems Polska</t>
  </si>
  <si>
    <t>Customer Web Portal Java Developer (Senior)</t>
  </si>
  <si>
    <t>https://www.praca.pl/customer-web-portal-java-developer-senior_4104781.html</t>
  </si>
  <si>
    <t>03.02.2021 03:05</t>
  </si>
  <si>
    <t>27.01.2021</t>
  </si>
  <si>
    <t>ZPL99</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</si>
  <si>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citizens.&lt;br /&gt;For our newest project, part of the Command Central portfolio, we are looking for passionate engineers willing to help us bring newest technology to the Public Safety world. Together with us you will be responsible for the development of a web portal for customers so they have insights into how Motorola runs software that helps in their day to day work.&lt;br /&gt;Learn more about the suite that saves lifes - https://www.motorolasolutions.com/en_us/products/command-center-software.html&lt;br /&gt;Job Description&lt;br /&gt;I am  looking for Senior Java Developer interested in developing and running in production Customer Web Portal. The key is willingness to learn and share!&lt;br /&gt;The product will run on Azure cloud infrastructure, gather data from multiple Command Central products/services and present reports, service availability and dozens other factors in a way that a user managing a service understands the situation, acts quickly and confidently .&lt;br /&gt;The team and you create pipelines as code, test automatically and deploy with confidence, today git repo is empty, need to fill it in - there are teams in the same product space you can pick up code, ideas and knowledge quickly, they even have the same technology stack - and there is over 200 other developers in Krakow (many more worldwide).&lt;br /&gt;Contact Motorola recruitment team or Dominik Wojtaszek via Linked In if you would like to know more.&lt;br /&gt;Team Description &lt;br /&gt;You are joining a team that is being formed right now with a local Product Owner. The PO is happy to support the test first approach and experiment where there is something new to learn. The team is supplemented with a UX designer backed by a local team that provides vision, mocks, design, and guidance for best user experience.&lt;br /&gt;How do we work?&lt;br /&gt;The process is based on SCRUM and the team tailors it as needed. You choose your own editor and OS (Windows or Linux), the team chooses the tools and technology that gets results.&lt;br /&gt;Technologies used in projects are:&lt;br /&gt;Azure Cloud, Kubernetes/Docker, Java 11, Spring Boot, Azure DevOps (Git, Task &amp; Bug mgmt).&lt;br /&gt;Basic Requirements&lt;br /&gt;- Bachelor’s Degree in Computer Science, Software Engineering, Math or related fields or equivalent in work experience&lt;br /&gt;- Outstanding communication skills to share concepts, design and software development practices across the organization (from senior management to mentoring juniors)&lt;br /&gt;- Excellent Java programming skills (Spring Boot a major advantage),&lt;br /&gt;- Practical knowledge of testing microservices (UTs, API, performance, etc) and products&lt;br /&gt;- Knowledge of IT security concepts and practices&lt;br /&gt;- Familiar with cloud / distributed computing concepts, understanding Azure (or any other cloud)&lt;br /&gt;- DevOps background a major plus&lt;br /&gt;- Good knowledge of computer networks&lt;br /&gt;- Experience with Linux&lt;br /&gt;</t>
  </si>
  <si>
    <t>Java Software Engineer - Cloud</t>
  </si>
  <si>
    <t>https://www.praca.pl/java-software-engineer-cloud_4104749.html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</si>
  <si>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/&gt;You are joing a team that has been formed in early 2019 and now grows from 12 to 20 engineers with a local Product Owner. The PO is happy to support test first approach and experiment where is something new to learn.&lt;br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/&gt;A little about us&lt;br /&gt;- We are looking for a skilled Java Developerwho will help a new application in Motorola’s CommandCentral suite.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/&gt;Basic Requirements&lt;br /&gt;What we are expecting from you:&lt;br /&gt;- Bachelor’s Degree in Computer Science, Software Engineering, Math or related fields&lt;br /&gt;- Effective verbal and written English communication skills&lt;br /&gt;- Practical Java programming skills&lt;br /&gt;- Practical knowledge of unit testing&lt;br /&gt;- Good knowledge of computer networks&lt;br /&gt;- Experience with Linux&lt;br /&gt;- Knowledge of IT security concepts and practices&lt;br /&gt;- Familiar with cloud / distributed computing concepts&lt;br /&gt;- Familiar with Azure&lt;br /&gt;- DevOps background a major plus&lt;br /&gt;</t>
  </si>
  <si>
    <t>SIP Software Engineer with Java - Cloud</t>
  </si>
  <si>
    <t>https://www.praca.pl/sip-software-engineer-with-java-cloud_4104717.html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</si>
  <si>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 We are looking for a skilled SIPDeveloper with Javawho will help a new application build cloud native SIP stack that scales to million of calls.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/&gt;Team Description&lt;br /&gt;You are joining teams that have been formed in early 2019 and now grow from 12 to 20 engineers with a local Product Owner. The PO is happy to support test first approach and experiment where is something new to learn.&lt;br /&gt;Feel free to contact lead Dominik Wojtaszek via Linkedin directly.&lt;br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/&gt;Basic Requirements&lt;br /&gt;- Bachelor’s Degree in Computer Science, Software Engineering, Math or related fields&lt;br /&gt;- Effective verbal and written English communication skills&lt;br /&gt;- SIP protocol experience&lt;br /&gt;- Practical Java programming skills&lt;br /&gt;- Practical knowledge of unit testing&lt;br /&gt;- Good knowledge of computer networks&lt;br /&gt;- Experience with Linux&lt;br /&gt;- Knowledge of IT security concepts and practices&lt;br /&gt;- Familiar with cloud / distributed computing concepts&lt;br /&gt;- DevOps background a major plus&lt;br /&gt;</t>
  </si>
  <si>
    <t>https://www.praca.pl/przedstawiciel-ubezpieczeniowy-premium_4211921.html</t>
  </si>
  <si>
    <t>&lt;br /&gt;ZAKRES OBOWIĄZKÓW:&lt;br /&gt;- Budowanie długotrwałych relacji z Klientami – Klienci są dla nas ważni i chcemy, aby czuli się dobrze w relacji z Tobą i firmą&lt;br /&gt;- Sprzedaż produktów Nationale - Nederlanden – dajemy Ci dobre produkty, które odpowiadają na większość potrzeb z obszaru ubezpieczeń&lt;br /&gt;- Pozyskiwanie nowych klientów oraz obsługa Klientów z portfela firmy&lt;br /&gt;</t>
  </si>
  <si>
    <t>&lt;br /&gt;FIRMA OFERUJE:&lt;br /&gt;- Dochód oparty o wysoką część stałą oraz atrakcyjny system prowizyjny&lt;br /&gt;- Szkolenia rozwojowe&lt;br /&gt;- Jasno określoną ścieżkę kariery&lt;br /&gt;- Pakiet benefitów, tj.: karta sportowa, opieka medyczna, ubezpieczenie grupowe, program emerytalny&lt;br /&gt;- Konkursy, które pozwolą Ci zwiedzić świat i zwiększyć dochody&lt;br /&gt;- Wsparcie menedżera oraz zespołu&lt;br /&gt;</t>
  </si>
  <si>
    <t>https://www.praca.pl/przedstawiciel-ubezpieczeniowy-premium_4212559.html</t>
  </si>
  <si>
    <t>NEW BALANCE POLAND SPÓŁKA Z OGRANICZONĄ ODPOWIEDZIALNOŚCIĄ</t>
  </si>
  <si>
    <t>https://www.pracuj.pl/praca/sprzedawca-przemysl,oferta,1000727817</t>
  </si>
  <si>
    <t>https://www.pracuj.pl/praca/sprzedawca-rzeszow,oferta,1000727818</t>
  </si>
  <si>
    <t>O-I Poland S.A.</t>
  </si>
  <si>
    <t>Mistrz Mechanik/Mechatronik</t>
  </si>
  <si>
    <t>https://www.pracuj.pl/praca/mistrz-mechanik-mechatronik-jaroslaw,oferta,1000723735</t>
  </si>
  <si>
    <t>Operator Logistyczny Sp. z o.o.</t>
  </si>
  <si>
    <t>Asystent Agenta Celnego</t>
  </si>
  <si>
    <t>https://www.pracuj.pl/praca/asystent-agenta-celnego-korczowa-pow-jaroslawski,oferta,1000725966</t>
  </si>
  <si>
    <t>https://www.pracuj.pl/praca/specjalista-ds-marketingu-tajecina-pow-rzeszowski,oferta,1000724738</t>
  </si>
  <si>
    <t>https://www.pracuj.pl/praca/senior-net-developer-rzeszow,oferta,1000724923</t>
  </si>
  <si>
    <t>PHU BOWI Eugeniusz Borówka</t>
  </si>
  <si>
    <t>Doradca ds. kluczowych klientów – Handlowiec</t>
  </si>
  <si>
    <t>https://www.pracuj.pl/praca/doradca-ds-kluczowych-klientow-handlowiec-brzozow-debica-jaroslaw-jaslo-kolbuszowa-krosno-lesko-lezajsk-lubaczow-lancut-mielec-nisko-przemysl-przeworsk-ropczyce-,oferta,7885702</t>
  </si>
  <si>
    <t>Referent ds. administacji i zamówień publicznych</t>
  </si>
  <si>
    <t>Specjalista do spraw zamówień publicznych</t>
  </si>
  <si>
    <t>https://www.pracuj.pl/praca/referent-ds-administacji-i-zamowien-publicznych-rzeszow,oferta,1000727333</t>
  </si>
  <si>
    <t>RPd057|242225</t>
  </si>
  <si>
    <t>RavenDB</t>
  </si>
  <si>
    <t>Pre-Sales Engineer - Remote</t>
  </si>
  <si>
    <t>https://www.pracuj.pl/praca/pre-sales-engineer-remote-rzeszow,oferta,500077985</t>
  </si>
  <si>
    <t>Pomocnik operatora</t>
  </si>
  <si>
    <t>Palacz pieców zwykłych</t>
  </si>
  <si>
    <t>https://www.pracuj.pl/praca/pomocnik-operatora-rzeszow,oferta,1000723767</t>
  </si>
  <si>
    <t>RPd057|911202</t>
  </si>
  <si>
    <t>Pracownik magazynu</t>
  </si>
  <si>
    <t>https://www.pracuj.pl/praca/pracownik-magazynu-rzeszow,oferta,1000724367</t>
  </si>
  <si>
    <t>Pracownik ds. obsługi e-commerce</t>
  </si>
  <si>
    <t>https://www.pracuj.pl/praca/pracownik-ds-obslugi-e-commerce-lancut,oferta,1000725961</t>
  </si>
  <si>
    <t>RSF Sp. z o.o.</t>
  </si>
  <si>
    <t>Polska, podkarpackie, Kombornia (pow. krośnieński)</t>
  </si>
  <si>
    <t>https://www.pracuj.pl/praca/fizjoterapeuta-kombornia-pow-krosnienski,oferta,500077604</t>
  </si>
  <si>
    <t>02.04.2021</t>
  </si>
  <si>
    <t>Salony Fachowiec Sp. z o.o. Sp. K.</t>
  </si>
  <si>
    <t>Doradca Produktowy</t>
  </si>
  <si>
    <t>https://www.pracuj.pl/praca/doradca-produktowy-rzeszow,oferta,1000726414</t>
  </si>
  <si>
    <t>SIAD Poland sp. z o.o.</t>
  </si>
  <si>
    <t>Regionalny Przedstawiciel Techniczno – Handlowy</t>
  </si>
  <si>
    <t>https://www.pracuj.pl/praca/regionalny-przedstawiciel-techniczno-handlowy-rzeszow,oferta,1000719021</t>
  </si>
  <si>
    <t>https://www.praca.pl/android-application-developer_4148129.html</t>
  </si>
  <si>
    <t>28.01.2021</t>
  </si>
  <si>
    <t>13.02.2021</t>
  </si>
  <si>
    <t>43810#21010051</t>
  </si>
  <si>
    <t>TELL Sp. z o.o.</t>
  </si>
  <si>
    <t>Account Manager Orange/ Doradca Klienta Biznesowego</t>
  </si>
  <si>
    <t>https://www.pracuj.pl/praca/account-manager-orange-doradca-klienta-biznesowego-przemysl,oferta,1000706766</t>
  </si>
  <si>
    <t>https://www.pracuj.pl/praca/account-manager-orange-doradca-klienta-biznesowego-rzeszow,oferta,1000706769</t>
  </si>
  <si>
    <t>Junior Trade Marketing Manager</t>
  </si>
  <si>
    <t>https://www.pracuj.pl/praca/junior-trade-marketing-manager-rakszawa-pow-lancucki,oferta,1000724656</t>
  </si>
  <si>
    <t>https://www.pracuj.pl/praca/kupiec-rakszawa-pow-lancucki,oferta,1000724630</t>
  </si>
  <si>
    <t>WELDORO TEXTILE</t>
  </si>
  <si>
    <t>Przedstawiciel handlowy z j. rosyjskim</t>
  </si>
  <si>
    <t>https://www.pracuj.pl/praca/przedstawiciel-handlowy-z-j-rosyjskim-medyka-pow-przemyski,oferta,500077861</t>
  </si>
  <si>
    <t>Weron Bartosz Weron</t>
  </si>
  <si>
    <t>Digital &amp; Social Media Specjalista</t>
  </si>
  <si>
    <t>https://www.pracuj.pl/praca/digital-social-media-specjalista-rzeszow,oferta,500077649</t>
  </si>
  <si>
    <t>WGN - NIERUCHOMOŚCI</t>
  </si>
  <si>
    <t>https://www.pracuj.pl/praca/partner-franczyzowy-mielec,oferta,1000724387</t>
  </si>
  <si>
    <t>https://www.pracuj.pl/praca/partner-franczyzowy-przemysl,oferta,1000724399</t>
  </si>
  <si>
    <t>https://www.pracuj.pl/praca/partner-franczyzowy-rzeszow,oferta,1000724401</t>
  </si>
  <si>
    <t>Wojewódzki Inspektorat Farmaceutyczny w Rzeszowie</t>
  </si>
  <si>
    <t>https://www.praca.pl/starszy-specjalista_4211524.html</t>
  </si>
  <si>
    <t>&lt;h4&gt;Wymagania niezbędne&lt;/h4&gt;wykształcenie: wyższe magisterskie, na kierunku administracja,&lt;br /&gt;doświadczenie zawodowe/staż pracy: co najmniej 1 rok doświadczenia zawodowego na stanowisku administracyjno-biurowym&lt;br /&gt;- Znajomość Rozporządzenia Prezesa Rady Ministrów w sprawie instrukcji kancelaryjnej, jednolitych rzeczowych wykazów akt oraz instrukcji w sprawie organizacji i zakresu działania archiwów zakładowych;&lt;br /&gt;- Znajomość ustawy Kodeks pracy&lt;br /&gt;- Znajomość ustawy o służbie cywilnej&lt;br /&gt;- Obsługa komputera MS Office: Microsoft Word i Excel&lt;br /&gt;- Posiadanie obywatelstwa polskiego&lt;br /&gt;- Korzystanie z pełni praw publicznych&lt;br /&gt;- Nieskazanie prawomocnym wyrokiem za umyślne przestępstwo lub umyślne przestępstwo skarbowe&lt;br /&gt;&lt;h4&gt;Wymagania dodatkowe&lt;/h4&gt;&lt;br /&gt;- umiejętność obsługi narzędzi do organizacji webinarów&lt;br /&gt;- komunikatywność&lt;br /&gt;</t>
  </si>
  <si>
    <t>&lt;h4&gt;Warunki pracy&lt;/h4&gt;&lt;br /&gt;Praca administracyjno-biurowa, obsługa komputera powyżej 4 godzin dziennie.&lt;br /&gt;Praca związana z kontaktem z pracownikami.&lt;br /&gt;Pomieszczenie biurowe znajduje sie na parterze budynku, budynek dostosowany dla potrzeb osób ze szczególnymi potrzebami, wyposażony w windę.&lt;br /&gt;&lt;h4&gt;Zakres zadań&lt;/h4&gt;&lt;br /&gt;- Współpracuje przy tworzeniu i prowadzeniu dokumentacji pracowniczej tj. akt osobowych, ewidencji czasu pracy.&lt;br /&gt;- Organizuje służbę przygotowawczą, współpracuje przy przeprowadzaniu pierwszej oceny i ocen okresowych w służbie cywilnej.&lt;br /&gt;- Prowadzi sprawy związane ze szkoleniami: zgłasza pracowników na szkolenia, prowadzi rejestr szkoleń, współpracuje w procesie tworzenia Indywidualnych Programów Rozwoju Zawodowego.&lt;br /&gt;- Wykonuje czynności kancelaryjne, uczestniczy w pracach dot. archiwum zakładowego,&lt;br /&gt;- Organizuje, protokołuje narady i spotkania z pracownikami.&lt;br /&gt;- Prowadzi rejestry zarządzeń: Podkarpackiego Wojewódzkiego Inspektora Farmaceutycznego, Wojewody Podkarpackiego, Głównego Inspektora Farmaceutycznego.&lt;br /&gt;</t>
  </si>
  <si>
    <t>https://www.praca.pl/inspektor_4211529.html</t>
  </si>
  <si>
    <t>07.02.2021</t>
  </si>
  <si>
    <t>&lt;h4&gt;Wymagania niezbędne&lt;/h4&gt;wykształcenie: średnie&lt;br /&gt;doświadczenie zawodowe/staż pracy: doświadczenia zawodowego brak&lt;br /&gt;- Znajomość: Ustawy z dnia 21 grudnia 2000 roku o jakości handlowej artykułów rolno-spożywczych, Rozporządzenia Ministra Rolnictwa i Rozwoju Wsi z dnia 23 grudnia 2014 roku w sprawie znakowania poszczególnych rodzajów środków spożywczych, Rozporządzenia Parlamentu Europejskiego i Rady (UE) Nr 1169/2011 z dnia 25 października 2011 roku w sprawie przekazywania konsumentom informacji na temat żywności, zmiany rozporządzeń Parlamentu Europejskiego i Rady (WE) nr 1924/2006 i (WE) nr 1925/2006 oraz uchylenia dyrektywy Komisji 87/250/EWG, dyrektywy Rady 90/496/EWG, dyrektywy Komisji 1999/10/WE, dyrektywy 2000/13/WE Parlamentu Europejskiego i Rady, dyrektyw Komisji 2002/67/W i 2008/5/WE oraz rozporządzenia Komisji (WE) nr 608/2004, ustawy z dnia 22 lipca 2006 roku o paszach, ustawy z dnia 14 czerwca 1960 roku - Kodeks postępowania administracyjnego , ustawy z dnia 21 listopada 2008 roku o służbie cywilnej&lt;br /&gt;- Umiejętność obsługi komputera i programów biurowych Word, Excel, PowerPoint, Outlook&lt;br /&gt;- Posiadanie obywatelstwa polskiego&lt;br /&gt;- Korzystanie z pełni praw publicznych&lt;br /&gt;- Nieskazanie prawomocnym wyrokiem za umyślne przestępstwo lub umyślne przestępstwo skarbowe&lt;br /&gt;&lt;h4&gt;Wymagania dodatkowe&lt;/h4&gt;&lt;br /&gt;- Przeszkolenie z zakresu kodeksu postępowania administracyjnego wymagane potwierdzenie dokumentem&lt;br /&gt;- Posiadanie uprawnień do kierowania samochodem osobowym, wymagane potwierdzenie dokumentem&lt;br /&gt;</t>
  </si>
  <si>
    <t>&lt;h4&gt;Warunki pracy&lt;/h4&gt;&lt;br /&gt;Praca przy monitorze ekranowym powyżej połowy czasu pracy. Korzystanie z samochodu służbowego. Praca wykonywana na w/w stanowisku ma charakter: biurowo- terenowy. Występuje praca na wysokości. Występują częste (min. kilka razy w tygodniu ) wyjazdy służbowe. Wyposażenie podstawowe na stanowisku pracy: komputer , drukarka , kserokopiarka , niszczarka dokumentów , telefon ,fax Miejsce i otoczenie organizacyjno-techniczne stanowiska pracy: • Wejście główne do budynku nie jest przystosowane dla osób niepełnosprawnych • Budynek, w którym mieści się komórka organizacyjna jest: piętrowy - 2 - kondygnacyjny, pomieszczenia Wydziału Kontroli zlokalizowane są na 1 piętrze. Ze względu na brak podjazdu przy wejściu głównym dla osób niepełnosprawnych w budynku występuje ograniczony dostęp do pomieszczeń zlokalizowanych na piętrze dla osób mających problemy z samodzielnym poruszaniem się po ciągach komunikacyjnych. • Budynek stwarza barierę architektoniczną dla osób mających trudności z poruszaniem się brak podjazdu/schody przy wejściu do budynku - ilość stopni: 2 • Budynek nie posiada windy i ciągi pieszych nie są przystosowane dla osób niepełnosprawnych. • Pomieszczenia sanitarno-higieniczne - nie są przystosowane dla osób niepełnosprawnych. • Przy budynku jest miejsce parkingowe. Stanowisko pracy zlokalizowane jest w pomieszczeniu biurowym oświetlonym przez światło naturalne i sztuczne, wyposażone w zestaw komputerowy z monitorem ekranowym, meble biurowe oraz elektryczne urządzenia biurowe. Stanowisko pracy nie jest dostosowane do potrzeb osób niedowidzących, niewidomych, niesłyszących i głuchoniemych. Na stanowisku pracy nie występują czynniki szkodliwe dla zdrowia.&lt;br /&gt;&lt;h4&gt;Zakres zadań&lt;/h4&gt;&lt;br /&gt;- Kontroluje artykuły rolno - spożywcze i środki produkcji pochodzenia krajowego w zakresie: jakości handlowej artykułów rolno - spożywczych w produkcji i obrocie, w tym wywożone za granicę oraz warunki ich składowania i transportu w celu wyeliminowania z obrotu artykułów rolno - spożywczych nieodpowiadających obowiązującym przepisom i deklaracji producenta - samodzielna realizacja zadania .&lt;br /&gt;- Kontroluje jakość handlową artykułów rolno - spożywczych przywożonych spoza państw członkowskich Unii Europejskiej oraz spoza państw członkowskich Europejskiego Porozumienia o Wolnym Handlu (EFTA) - stron umowy o Europejskim Obszarze Gospodarczym ( w tym kontrola graniczna tych artykułów ) w celu wyeliminowania z obrotu artykułów rolno - spożywczych nieodpowiadających obowiązującym przepisom prawa i deklaracji producenta - samodzielna realizacja zadania.&lt;br /&gt;- Ocenia jakość handlową artykułów rolno - spożywczych na wniosek przedsiębiorcy oraz wydaje Świadectwo Jakości Handlowej w celu potwierdzenia deklarowanej jakości artykułu - samodzielna realizacja zadania.&lt;br /&gt;- Kontroluje prawidłowość wprowadzania do obrotu detalicznego pasz przeznaczonych dla zwierząt domowych, z wyłączeniem obrotu tymi paszami prowadzonego przez zakłady lecznicze dla zwierząt- samodzielna realizacja zadania.&lt;br /&gt;- Kontroluje prawidłowość wprowadzania do obrotu i oznakowania materiałów przeznaczonych do kontaktu z żywnością w celu wyeliminowania z obrotu materiałów przeznaczonych do kontaktu z żywnością nieodpowiadających obowiązującym przepisom prawa i deklaracji producenta - samodzielna realizacja zadania.&lt;br /&gt;- Sporządza protokoły i inną dokumentację z przeprowadzonych kontroli lub ocen jakości handlowej artykułów rolno - spożywczych zgodnie z obowiązującymi przepisami i wytycznymi w celu udokumentowania wyników kontroli lub ocen - samodzielna realizacja zadania.&lt;br /&gt;- Opracowuje informacje o wynikach kontroli w celu sporządzenia sprawozdawczości dla jednostek nadrzędnych - samodzielna realizacja zadania.&lt;br /&gt;- Przygotowuje projekty dokumentów w celu prowadzenia postępowania administracyjnego przez Wojewódzkiego Inspektora - samodzielna realizacja zadania.&lt;br /&gt;</t>
  </si>
  <si>
    <t>https://www.pracuj.pl/praca/twoja-wlasna-internetowa-agencja-reklamowa-debica-jaroslaw-jaslo-krosno-lesko-lezajsk-lancut-mielec-nisko-przemysl-przeworsk-rzeszow-sanok-stalowa-wola-tarnobrze,oferta,7792332</t>
  </si>
  <si>
    <t>Kierownik ds. Rozwoju Sieci</t>
  </si>
  <si>
    <t>https://www.pracuj.pl/praca/kierownik-ds-rozwoju-sieci-debica,oferta,1000727843</t>
  </si>
  <si>
    <t>https://www.pracuj.pl/praca/kierownik-ds-rozwoju-sieci-przemysl,oferta,1000727844</t>
  </si>
  <si>
    <t>https://www.pracuj.pl/praca/kierownik-ds-rozwoju-sieci-rzeszow,oferta,1000727845</t>
  </si>
  <si>
    <t>https://www.pracuj.pl/praca/kierownik-ds-rozwoju-sieci-sanok,oferta,1000727846</t>
  </si>
  <si>
    <t>I 2021</t>
  </si>
  <si>
    <t>IV-VI 2021</t>
  </si>
  <si>
    <t>SAP Basis Specialist</t>
  </si>
  <si>
    <t>19.05.2021</t>
  </si>
  <si>
    <t>25.05.2021</t>
  </si>
  <si>
    <t>https://www.praca.pl/sap-basis-specialist_4723650.html</t>
  </si>
  <si>
    <t>19.05.2021 03:07</t>
  </si>
  <si>
    <t>18.05.2021</t>
  </si>
  <si>
    <t>17.06.2021</t>
  </si>
  <si>
    <t>&lt;br /&gt;Miejsce pracy: 100% zdalnie lub Warszawa / Poznań / Kraków&lt;br /&gt; B2B: 800 - 960 PLN netto + Vat&lt;br /&gt;Obowiązki:&lt;br /&gt;- Zapewnienie bezpieczeństwa i dostępności systemów&lt;br /&gt;- Udział w projektach wdrożeniowych&lt;br /&gt;- Rozwiązywanie problemów serwisowych&lt;br /&gt; Wymagania:&lt;br /&gt;- Min. 2 letnie doświadczenie SAP Basis&lt;br /&gt;- Bardzo dobra znajomość wybranego systemu operacyjnego i bazy danych&lt;br /&gt;- Język angielski min.B2&lt;br /&gt;- Mile widziany język niemiecki min.B2&lt;br /&gt;- Mile widziane posiadanie certyfikatów technicznych z zakresu SAP Basis, SAP ABAP, baz danych i systemów operacyjnych.&lt;br /&gt;Osoby zainteresowane zachęcam do kontaktu:mailto:istutzka@astek.plistutzka@astek.pl</t>
  </si>
  <si>
    <t>Luxoft</t>
  </si>
  <si>
    <t>Senior Unix Administrator</t>
  </si>
  <si>
    <t>24.05.2021</t>
  </si>
  <si>
    <t>https://www.praca.pl/senior-unix-administrator_4726473.html</t>
  </si>
  <si>
    <t>VR-61481</t>
  </si>
  <si>
    <t>&lt;br /&gt;- University degree with 7+ years' experience in supporting UNIX based distributed computing environment with a large number of systems (200+)&lt;br /&gt;- Ability to distil work into discreet packages for execution by other team members, Independent problem-solving skills and effective time management, Ability to analyze and solve problems quickly and completely&lt;br /&gt;- A solid understanding of a UNIX-based operating system, preferable Solaris 8/10 and Red Hat Enterprise Linux, Good troubleshooting skills with knowledge of key operating system concepts such as paging and swapping, inter-process communication, devices and what device drivers do, file system concepts, disk management/partitioning, automounter, etc&lt;br /&gt;- Understanding and working knowledge of authentication and naming services, including NIS, LDAP with Kerberos, Power Broker, DNS, NTP, etc.&lt;br /&gt;- Familiarity with fundamental networking/distributed computing environment concepts, such as NFS, routing, troubleshooting network related issues.&lt;br /&gt;- Fundamental skills with Veritas Storage Foundations, Volume Manager, File System and Cluster server.&lt;br /&gt;- Ability to write scripts in some administrative language (for example Tk, Perl, ksh, sh, csh)&lt;br /&gt;- Basic understanding of the Banking and Finance industries with previous job experience, relational databases knowledge , Knowledge of SAN and NAS, Knowledge of VMWare ESX, Knowledge of Veritas Cluster Volume Manager concepts and operations&lt;br /&gt;</t>
  </si>
  <si>
    <t>&lt;br /&gt;- Provide global production support for the Sun Solaris and Red Hat Enterprise Linux distributed infrastructure while on shift.&lt;br /&gt;- Address incidents picked up by the monitoring systems alerting on global Unix &amp; Linux infrastructure within a timely manner&lt;br /&gt;- Resolve problem tickets allocated to a team on central management tools (e.g. SNOW)&lt;br /&gt;- Implement requests for service as generated in manual and automated ticketing systems (e.g. SNOW, etc)&lt;br /&gt;- Regular verbal and written communication with business partners and other support teams to clarify details of incidents or service requests to maintain production stability and meet established SLA's.&lt;br /&gt;- Liaise with vendors to analyze crash dumps or infrastructure problems&lt;br /&gt;- Write technical documentation as needed&lt;br /&gt;- Operational knowledge of key technologies, such as Sun Solaris 8/10, RHEL 3/5, VERITAS Storage Foundation Suite, SVM/LVM/VxVM, VCS/Sun Cluster/RHCS, NetBackup, Sun Fire &amp; Enterprise product line, Fujitsu Prime Power, Blade technology, SAN/NAS storage&lt;br /&gt;- Provide projects support for the Sun Solaris and Red Hat Enterprise Linux distributed infrastructure, preferably worked in Storage Migration, DC Exit, OS Migration, Unix estate wide remediation projects and BCM/Isolation tests, Power-down activitiesYour&lt;br /&gt;</t>
  </si>
  <si>
    <t>UPS Global Business Services Polska Sp. z o.o.</t>
  </si>
  <si>
    <t>26.05.2021</t>
  </si>
  <si>
    <t>07.06.2021</t>
  </si>
  <si>
    <t>https://www.praca.pl/agent-celny_4664220.html</t>
  </si>
  <si>
    <t>26.05.2021 00:27</t>
  </si>
  <si>
    <t>23.05.2021</t>
  </si>
  <si>
    <t>10.06.2021</t>
  </si>
  <si>
    <t>Pełny etat, praca zdalna</t>
  </si>
  <si>
    <t>&lt;br /&gt;BENEFITY&lt;br /&gt;- PRYWATNA OPIEKA MEDYCZNA&lt;br /&gt;- UBEZPIECZENIE NA ŻYCIE&lt;br /&gt;- DOFINANSOWANIE ZAJĘĆ SPORTOWYCH&lt;br /&gt;- ATRAKCYJNA LOKALIZACJA&lt;br /&gt;- UPS UNIVERSITY&lt;br /&gt;- PROGRAM ONBOARDINGOWY&lt;br /&gt;- PROGRAM REKOMENDACJI PRACOWNIKÓW&lt;br /&gt;- PROGRAM EMERYTALNY&lt;br /&gt;</t>
  </si>
  <si>
    <t>&lt;br /&gt;Twój zakres obowiązków&lt;br /&gt;- obsługa klientów oraz przewoźników w zakresie spraw celnych i realizacji przesyłek spedycji lotniczej&lt;br /&gt;- dokonywanie zgłoszeń celnych w imporcie i eksporcie&lt;br /&gt;- prawidłowe, zgodne z obowiązującym prawem sporządzanie dokumentów SAD wraz załącznikami dla importerów i eksporterów towarów&lt;br /&gt;- współpraca z urzędem celnym w zakresie właściwego sporządzania dokumentacji&lt;br /&gt;- współpraca z Klientami&lt;br /&gt;- odpowiedzialność za utrzymanie wymaganych standardów jakości&lt;br /&gt;Nasze wymagania&lt;br /&gt;- aktualny wpis na listę agentów celnych&lt;br /&gt;- praca wyłącznie w systemie zdalnym&lt;br /&gt;- doświadczenie w przygotowywaniu dokumentów do odpraw celnych będzie dodatkowym atutem&lt;br /&gt;- wykształcenie minimum średnie&lt;br /&gt;- mile widziana znajomość języka angielskiego w stopniu komunikatywnym&lt;br /&gt;- dobra znajomość pakietu MS Office&lt;br /&gt;- dobra organizacja pracy, samodzielność, zaangażowanie, umiejętność pracy w zespole, komunikatywność&lt;br /&gt;- gotowość do pracy w nocy&lt;br /&gt;To oferujemy&lt;br /&gt;- stabilne zatrudnienie w oparciu o umowę o pracę&lt;br /&gt;- możliwość pracy zdalnej&lt;br /&gt;- ubezpieczenie na życie&lt;br /&gt;- plan emerytalny&lt;br /&gt;- prywatną opiekę medyczną&lt;br /&gt;- dofinansowanie do karty Multisport&lt;br /&gt;- specjalny program wdrożeniowy dla nowych pracowników&lt;br /&gt;- zdobycie cennego doświadczenia zawodowego w międzynarodowym środowisku&lt;br /&gt;</t>
  </si>
  <si>
    <t>Procurement Specialist with Russian</t>
  </si>
  <si>
    <t>08.06.2021</t>
  </si>
  <si>
    <t>https://www.praca.pl/procurement-specialist-with-russian_4776105.html</t>
  </si>
  <si>
    <t>26.05.2021 03:09</t>
  </si>
  <si>
    <t>23.06.2021</t>
  </si>
  <si>
    <t>&lt;br /&gt;Qualifications:&lt;br /&gt;- Advanced Russian language skills&lt;br /&gt;- Good communication skills&lt;br /&gt;- Strong proficiency in MS Office tools (Excel, Word, Outlook , Access, PowerPoint);&lt;br /&gt;- Similar work experience in this field;&lt;br /&gt;- Familiarity with procurement or ERP (represents and advantage);&lt;br /&gt;- Effective communication skills (oral and written);&lt;br /&gt;- Display proactivity, initiative and embrace a problem solving attitude;&lt;br /&gt;</t>
  </si>
  <si>
    <t>&lt;br /&gt;Responsibilities:&lt;br /&gt;- Processing of procurement documents, including writing, updating and improving of SOP;&lt;br /&gt;- Processing &amp; booking of purchasing requisitions, purchase orders, materials catalogues, delivery notes, goods receipts and other procurement documents&lt;br /&gt;- Answering supplier’s requests &amp; purchasing hotline&lt;br /&gt;- SOX &amp; compliance processing; Procurement reporting&lt;br /&gt;- Procurement hotline&lt;br /&gt;- Reception and verification of requisitioning of users and buyers&lt;br /&gt;- Analyze completeness of purchase requisitions, RFQ packages and technical specifications&lt;br /&gt;- Customer concern of vendor identification; RFP preparation and communication with supplies&lt;br /&gt;- Contact management; e-sourcing support&lt;br /&gt;- Purchase order preparation and issuance&lt;br /&gt;- Close collaboration with Category Managers&lt;br /&gt;</t>
  </si>
  <si>
    <t>Aviva Sp. z o. o.</t>
  </si>
  <si>
    <t>Przedstawiciel</t>
  </si>
  <si>
    <t>https://www.goldenline.pl/praca/oferta/1275908/zielonalinia0?utm_campaign=partner&amp;gpid=984706&amp;utm_medium=export&amp;glc_source=zielonalinia0&amp;utm_source=zielonalinia0</t>
  </si>
  <si>
    <t>Ubezpieczenia</t>
  </si>
  <si>
    <t>19.05.2021 03:30</t>
  </si>
  <si>
    <t>11364_11600</t>
  </si>
  <si>
    <t>Refinitiv, an LSEG business</t>
  </si>
  <si>
    <t>Data Analyst with intermediate Russian</t>
  </si>
  <si>
    <t>12.05.2021</t>
  </si>
  <si>
    <t>17.05.2021</t>
  </si>
  <si>
    <t>https://www.praca.pl/data-analyst-with-intermediate-russian_4619280.html</t>
  </si>
  <si>
    <t>12.05.2021 03:07</t>
  </si>
  <si>
    <t>11.05.2021</t>
  </si>
  <si>
    <t>04.06.2021</t>
  </si>
  <si>
    <t>&lt;br /&gt;WHAT DO YOU NEED TO BRING?&lt;br /&gt;- Very good knowledge of English and at least intermediate knowledge of Russian&lt;br /&gt;- Motivation to begin a career in finance&lt;br /&gt;- Attention to details because you will take care of a number of data and information&lt;br /&gt;- Good prioritization skills because you will handle various tasks&lt;br /&gt;- Curiosity to learn because we want you to stay and grow with our company&lt;br /&gt;COMPENSATION:&lt;br /&gt;- You will receive the annual gross salary of 48 000 PLN. You will also be entitled to a bonus scheme and additional benefits that we offer to Refinitiv colleagues.&lt;br /&gt;</t>
  </si>
  <si>
    <t>&lt;br /&gt;Please be informed that our office is located in Gdynia, yet working remotely due to pandemic.&lt;br /&gt;The job of a Data Analyst is one where specific experience or background is not needed. Motivation and curiosity are what we're looking for. In the beginning, we'll provide you with training to make your first months in the company smooth.&lt;br /&gt;SOME OF THE DAILY TASKS:&lt;br /&gt;- In short, your job will be about:&lt;br /&gt;- Collecting, processing and verifying specific financial information; text-based or number-based data&lt;br /&gt;- Doing research on financial information&lt;br /&gt;- Working with large databases (maintaining, updating, improving)&lt;br /&gt;What is more, you join projects to stimulate your ambitions of an early professional and let you develop your career.&lt;br /&gt;</t>
  </si>
  <si>
    <t>Data Scientist  [rekrutacja online]</t>
  </si>
  <si>
    <t>https://www.praca.pl/data-scientist-rekrutacja-online_4715244.html</t>
  </si>
  <si>
    <t>&lt;br /&gt;Location: Wrocław&lt;br /&gt;Daily activities&lt;br /&gt;In this position you will be responsible for building and maintaining small-to-large analytics solutions to be used across the business and conduct research, design, prototyping, and validation of cutting-edge algorithms to analyze diverse data sources, as well as to set strategies assuring achievement of desired business outcomes in diverse aspects of telecommunication market.&lt;br /&gt;On daily basis, you will identify internal and external properties and processes which govern business performance of the company. You will deliver key analytical solutions, e.g. preparation of data sets for exploration and visualization as well as selection of analytical methods and tools adequate to properties of the analyzed systems and data sets and to the desired business outcomes. In addition, you will prepare high quality reports and presentations and present data analysis workflow and results to management and colleagues. Since you will work with cross-functional teams, you have to be able to communicate the logic of your processing flow in a clear and comprehensible manner, even to non-technical audience. Finally, you will automate selected parts of business / analytical processes by developing high quality code.&lt;br /&gt;We work with:&lt;br /&gt;- Advanced analytics methods: from statistical modeling through optimization techniques to machine learning methods&lt;br /&gt;- Python / Matlab&lt;br /&gt;- Microsoft Azure&lt;br /&gt;- MS SQL Server&lt;br /&gt;- Power BI&lt;br /&gt;- Project management and CI / CD tools (Azure DevOps)&lt;br /&gt;- Version control systems (Git)&lt;br /&gt;- Variety of data types and sources (SQL Server, Rest API, Excel, CSV, JSON)&lt;br /&gt;Our expectations:&lt;br /&gt;- M.Sc. / Ph.D. degree in Electrical / Electronics Engineering, Econometrics, Mathematics, Physics, or similar quantitative / technical field of study&lt;br /&gt;- 5+ years of professional experience in data science&lt;br /&gt;- Excellence in analyzing large, complex, multi-dimensional data sets with a variety of analytics methods (math, statistics, machine learning, etc.) and software tools (Python / Matlab)&lt;br /&gt;- Experience with optimization techniques: linear, mixed-integer, and other mathematical programming methods&lt;br /&gt;- Familiarity with database technologies and querying languages&lt;br /&gt;- Collecting business requirements related to data analysis and data-based insights generation&lt;br /&gt;- Ability to translate business requirements into technical solutions&lt;br /&gt;- Excellent communication skills and ability to explain complex technical topics to a wide audience&lt;br /&gt;- Excellent presentation skills&lt;br /&gt;- Business orientation&lt;br /&gt;- Proactiveness, openness&lt;br /&gt;- Strong analytical, problem solving and synthesis skills&lt;br /&gt;- Intellectual curiosity&lt;br /&gt;- Highly responsible person&lt;br /&gt;- Team player&lt;br /&gt;- Fluent English (both written and spoken)&lt;br /&gt;</t>
  </si>
  <si>
    <t>Senior Business Analyst</t>
  </si>
  <si>
    <t>https://www.praca.pl/senior-business-analyst_4665456.html</t>
  </si>
  <si>
    <t>12.05.2021 03:06</t>
  </si>
  <si>
    <t>VR-56933</t>
  </si>
  <si>
    <t>&lt;br /&gt;- Strong background in Business and System analysis;&lt;br /&gt;- Requirements and Risk management;&lt;br /&gt;- Experience in managing stakeholders and coordinating dev teams;&lt;br /&gt;- Good communication skills, fluent English, ability to express thoughts clearly;&lt;br /&gt;- Confident technical knowledge in data structures, XML, SQL;&lt;br /&gt;- Tech savvy.&lt;br /&gt;</t>
  </si>
  <si>
    <t>&lt;br /&gt;- Requirements analysis, decomposition, and translation into work items for dev team;&lt;br /&gt;- Data mapping and gap analysis;&lt;br /&gt;- Preparing requirements specifications;&lt;br /&gt;- Assisting requestors in applications-related technical questions;&lt;br /&gt;- Coordination between requester and multiple development tea;&lt;br /&gt;- Owned features coordination, progress tracking and reporting;&lt;br /&gt;- Onboarding of new systems onto reference data hubs.&lt;br /&gt;</t>
  </si>
  <si>
    <t>Back Office - SME Specialist</t>
  </si>
  <si>
    <t>https://www.praca.pl/back-office-sme-specialist_4665129.html</t>
  </si>
  <si>
    <t>VR-61161</t>
  </si>
  <si>
    <t>&lt;br /&gt;- Task-specific requirements:&lt;br /&gt;- Experience in Murex projects as a business analyst Profound Murex knowledge (Murex Version 4) Experience in the survey of actual processes and in the conception and documentation of target processes Comprehensive experience and knowledge of securities processing, 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</si>
  <si>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/&gt;Support of the Operations Financial Markets department (back office trading transactions)&lt;br /&gt;- Advice and support in the implementation of the bank-wide preliminary study for the migration of securities transactions from the iSeries to Murex Recording of actual business processes and definition of technical and functional requirements (TARGET processes) together with the representatives of the connected departments and with IT Documentation in technical concepts and specifications&lt;br /&gt;</t>
  </si>
  <si>
    <t>Business Analyst for Big Data project</t>
  </si>
  <si>
    <t>https://www.praca.pl/business-analyst-for-big-data-project_4726323.html</t>
  </si>
  <si>
    <t>VR-61489</t>
  </si>
  <si>
    <t>&lt;br /&gt;- Minimum 5 years experience in a similar role, preferably within investment banking / risk management domain&lt;br /&gt;- Good knowledge of SQL, awareness of Big Data technology stack&lt;br /&gt;- Strong ability to take responsibility for a project work stream and work proactively towards implementation&lt;br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</si>
  <si>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/&gt;The candidate should be a proven problem solver, someone who enjoys and embraces the variety of tasks a role like this provides:&lt;br /&gt;- Understand complex regulatory requirements and define specifications that meet them&lt;br /&gt;- Understand and explain requirements and solutions from both technical and business functional point of view&lt;br /&gt;- Collaborate with business stakeholders and technology teams dealing with issues as they arise&lt;br /&gt;- Take active role in team work planning and reporting activities&lt;br /&gt;- Support implementation of functional enhancements, change requests and bug fixes&lt;br /&gt;- Support functional and regression testing processes&lt;br /&gt;</t>
  </si>
  <si>
    <t>Avenga</t>
  </si>
  <si>
    <t>https://www.praca.pl/business-analyst_4558366.html</t>
  </si>
  <si>
    <t>21.06.2021</t>
  </si>
  <si>
    <t>LP/BA/POZ/04</t>
  </si>
  <si>
    <t>&lt;br /&gt;We are looking for a person with these required skills to achieve our goals:&lt;br /&gt;- Experience with analysing and improving self-service solutions (Service portals, knowledge documents, Virtual Agent dialogues, Service Request forms)&lt;br /&gt;- Experience with developing ServiceNow Catalog Items (Request forms)&lt;br /&gt;- Experience in driving user-centric support experience and shift-left strategies&lt;br /&gt;- Has deep understanding of Service Portfolio design, including establishment of appropriate Business Services, Service Offerings &amp; Configuration Items&lt;br /&gt;- Excellent written and verbal communication skills in English&lt;br /&gt;Additional preferred skills:&lt;br /&gt;- Solid understanding of ITIL&lt;br /&gt;- Organizational and time management skills with the ability to prioritize, self-starter able to work independently with minimum of supervision&lt;br /&gt;- A team player&lt;br /&gt;- Previous experience working with/within Agile teams will be an advantage&lt;br /&gt;</t>
  </si>
  <si>
    <t>&lt;br /&gt;A Business Analyst will join the Enterprise Service Management &amp; Operations team, Core Technology, responsible for partnering with the enterprise services to drive high-quality adoption of the Service Now capabilities. Through the use of these capabilities, our goal will be to achieve significant cost saving and employee efficiency gains through automation and self-service of employee support needs.&lt;br /&gt;Service Management Optimization team is responsible for:&lt;br /&gt;- Enforcing quality standards and drive removal of existing costs from operations&lt;br /&gt;- Establishing clear standards and best practices for end-user and service desk knowledge; drive high-quality knowledge for end-users and service desks&lt;br /&gt;- Defining and implementing large-scale virtual agent dialogue creation and management process&lt;br /&gt;- Establishing and managing quality gates for knowledge and virtual agents dialogues&lt;br /&gt;- Assessing and leveraging opportunities to fully leverage vendors to create process efficiencies&lt;br /&gt;- Partnering with Platforms org to develop and implement virtual agent automated testing strategy&lt;br /&gt;- Developing repeatable process for opportunity identification, prioritization, diagnosis, treatment, and follow-up; create reporting to support processes&lt;br /&gt;- Identifying and prioritizing opportunities for automation and service requests; partner with Services and ESM Platforms team to execute; clarify fulfilment processes and intake queues&lt;br /&gt;Responsibilities:&lt;br /&gt;- Communicating with Tech Service Leads to help them understand data points available and formulate requirements to fulfil business needs in most cost-effective and user-centric way&lt;br /&gt;- Partner with peers to drive measurable efficiencies in the service desk and other services&lt;br /&gt;- Building forms in ServiceNow Request module&lt;br /&gt;- Participation in implementing Virtual Agent solutions&lt;br /&gt;- Review and quality assurance of Knowledge Articles&lt;br /&gt;- 100 PLN per hour&lt;br /&gt;</t>
  </si>
  <si>
    <t>https://www.praca.pl/business-analyst_4775007.html</t>
  </si>
  <si>
    <t>24.06.2021</t>
  </si>
  <si>
    <t>&lt;br /&gt;Responsibilities:&lt;br /&gt;- understand, detail, analyse, and properly document the use cases/processes submitted by the stakeholders&lt;br /&gt;- facilitate the decisions to select the solution and the teams to get involved&lt;br /&gt;- follow-up with the development teams the construction of the final solution, testing, and delivery&lt;br /&gt;- facilitate and support system and user acceptance testing&lt;br /&gt;Requirements:&lt;br /&gt;- at least 3-years’ experience in Business Analyst role&lt;br /&gt;- very good knowledge regarding Business Analysis (areas &amp; techniques)&lt;br /&gt;- proficiency in English (written and spoken)&lt;br /&gt;- knowledge of tools/techniques to gather requirements and process analysis, ability to document business processes (UML, BPMN)&lt;br /&gt;- curiosity and analytical thinking, ability to ask the right questions, to challenge requirements and business processes&lt;br /&gt;- practical understanding of Agile/Scrum&lt;br /&gt;Nice to have:&lt;br /&gt;- programming experience&lt;br /&gt;- Google Workspace (Drive, Sites, Google documents, etc.)&lt;br /&gt;We offer:&lt;br /&gt;- attractive salary&lt;br /&gt;- stable employment and professional development opportunities in an international environment&lt;br /&gt;- possibility of choosing preferred type of contract&lt;br /&gt;- working for well-known Polish and global brands&lt;br /&gt;- trainings&lt;br /&gt;- interesting, long-term projects&lt;br /&gt;- employee benefits package (private medical care, Multisport card), nice work atmosphere and team-building meetings&lt;br /&gt;- constant support of dedicated Astek Polska manager&lt;br /&gt;- cooperation with specialists in a given field&lt;br /&gt;</t>
  </si>
  <si>
    <t>&lt;br /&gt;100% remote&lt;br /&gt;</t>
  </si>
  <si>
    <t>05.05.2021</t>
  </si>
  <si>
    <t>10.05.2021</t>
  </si>
  <si>
    <t>https://www.goldenline.pl/praca/oferta/1274160/zielonalinia0?utm_campaign=partner&amp;gpid=983730&amp;utm_medium=export&amp;glc_source=zielonalinia0&amp;utm_source=zielonalinia0</t>
  </si>
  <si>
    <t>05.05.2021 07:40</t>
  </si>
  <si>
    <t>03.05.2021</t>
  </si>
  <si>
    <t>31.05.2021</t>
  </si>
  <si>
    <t>AFI/061/AOL</t>
  </si>
  <si>
    <t>https://gratka.pl/praca/analityk-finansowy/ob/21292201?utm_source=zielonalinia.pl&amp;utm_medium=zielonalinia&amp;utm_campaign=export_xml</t>
  </si>
  <si>
    <t>26.05.2021 03:15</t>
  </si>
  <si>
    <t>27.05.2021</t>
  </si>
  <si>
    <t>Kluczowe umiejętności:&lt;br /&gt;&lt;ul&gt;&lt;li&gt;Język angielski co najmniej na poziomie B2&lt;/li&gt;&lt;br /&gt;&lt;li&gt;MS Excel&lt;/li&gt;&lt;br /&gt;&lt;li&gt;Znajomość oprogramowania SAP&lt;/li&gt;&lt;br /&gt;&lt;li&gt;Co najmniej 2 lata doświadczenia na podobnym stanowisku&lt;/li&gt;&lt;br /&gt;&lt;li&gt;Wykształcenie wyższe: ekonomia, rachunkowość i finanse, matematyka&lt;/li&gt;&lt;br /&gt;&lt;/ul&gt;</t>
  </si>
  <si>
    <t>Oferujemy:&lt;br /&gt;&lt;ul&gt;&lt;li&gt;Pracę w dużej, prestiżowej firmie&lt;/li&gt;&lt;br /&gt;&lt;li&gt;Atrakcyjne wynagrodzenie&lt;/li&gt;&lt;br /&gt;&lt;li&gt;Pakiet benefitów&lt;/li&gt;&lt;br /&gt;&lt;/ul&gt;</t>
  </si>
  <si>
    <t>PostgreSQL Administrator</t>
  </si>
  <si>
    <t>https://www.praca.pl/postgresql-administrator_4665180.html</t>
  </si>
  <si>
    <t>VR-61166</t>
  </si>
  <si>
    <t>&lt;br /&gt;- 5+ years of experience in providing DBA support for a medium/large number of databases in PostgreSQL. Experience in any other RDBMS technology will be a plus&lt;br /&gt;You will have experience and knowledge of:&lt;br /&gt;- PostgreSQL 11,12&lt;br /&gt;- Replication and Disaster Recovery tools like Patroni&lt;br /&gt;- Backups management using pgbasebackup, pgdump etc.&lt;br /&gt;- SSL / Non-SSL based connections&lt;br /&gt;- LDAP / Kerberos based user authentications&lt;br /&gt;- Utilities like pgadmin, pg_badger&lt;br /&gt;- Automation experience using shell scripts, iPSoft, Python, etc is a plus&lt;br /&gt;</t>
  </si>
  <si>
    <t>&lt;br /&gt;- Day to day administration PostgreSQL Databases&lt;br /&gt;- Experience in PostgreSQL Installation 11,12 Production support&lt;br /&gt;- Experienced in Backup &amp; Recovery using native Backup utilities and logical / physical backups&lt;br /&gt;- Monitoring and optimizing the performance of the database&lt;br /&gt;- Experience in user management and authentication methods&lt;br /&gt;- Implemented and Configured Postgresql Replication for more than one hot Standby and also handled concepts like transferring WAL to standby machines to make sure zero percent data loss.&lt;br /&gt;- Troubleshooting end user queries related to connectivity, performance, space etc.&lt;br /&gt;- Well versed with Vacuuming concepts&lt;br /&gt;- Creation of Clone Database for Development/Testing Environments&lt;br /&gt;- Upgrades of PostgreSQL Databases and migrations from other RDBMS&lt;br /&gt;- Installing and working on tools &amp; clients like pgadmin&lt;br /&gt;- Automate and perform regular database maintenance (e.g., Vacuum, Reindexing, Archiving, Connection pooling).&lt;br /&gt;- Out of hours rota and weekend working as required.&lt;br /&gt;- Ensure compliance with operational / change management guidelines.&lt;br /&gt;- Support for application and infrastructure BCM tests.&lt;br /&gt;- Knowledge of supporting Databases on cloud would be advantage.&lt;br /&gt;</t>
  </si>
  <si>
    <t>LEROY MERLIN POLSKA Sp. z o. o.</t>
  </si>
  <si>
    <t>Projektant - Handel</t>
  </si>
  <si>
    <t>https://www.goldenline.pl/praca/oferta/1276270/zielonalinia0?utm_campaign=partner&amp;gpid=985854&amp;utm_medium=export&amp;glc_source=zielonalinia0&amp;utm_source=zielonalinia0</t>
  </si>
  <si>
    <t>26.05.2021 03:30</t>
  </si>
  <si>
    <t>29.06.2021</t>
  </si>
  <si>
    <t>Wymagania:&lt;br /&gt;&lt;h3&gt;&lt;span &gt;JEŻELI:&lt;/h3&gt;&lt;ul&gt;&lt;div class="lista"&gt;potrafisz projektować i aranżować wnętrza;&lt;/div&gt;&lt;div class="lista"&gt;śledzisz nowe trendy i rozwiązania;&lt;/div&gt;&lt;div class="lista"&gt;lubisz pracę w handlu i jesteś otwarty na kontakt z ludźmi;&lt;/div&gt;&lt;div class="lista"&gt;potrafisz słuchać i proponować inspirujące rozwiązania;&lt;/div&gt;&lt;div class="lista"&gt;potrafisz działać zespołowo.&lt;/div&gt;&lt;/ul&gt;</t>
  </si>
  <si>
    <t>Obowiązki:&lt;br /&gt;&lt;h3&gt;&lt;span &gt;BĘDZIESZ ODPOWIEDZIALNY ZA:&lt;/h3&gt;&lt;ul&gt;&lt;div class="lista"&gt;przygotowywanie wizualizacji projektów zleconych przez klientów;&lt;/div&gt;&lt;div class="lista"&gt;profesjonalną i kompleksową obsługę sprzedażową w punkcie projektowania;&lt;/div&gt;&lt;div class="lista"&gt;dbałość o wizerunek i ekspozycję w strefie aranżacji.&lt;/div&gt;&lt;/ul&gt;</t>
  </si>
  <si>
    <t>Personal Assistant for Family Office</t>
  </si>
  <si>
    <t>Asystent osobisty (concierge)</t>
  </si>
  <si>
    <t>https://www.praca.pl/personal-assistant-for-family-office_4660743.html</t>
  </si>
  <si>
    <t>RPd057|516902</t>
  </si>
  <si>
    <t>Wymagania&lt;br /&gt;&lt;br /&gt;REQUIREMENTS&lt;br /&gt;- Fluent in English, German, and Polish: both oral and written.&lt;br /&gt;- More than 5 years of professional experience as a Personal Assistant in an international environment, preferably in a Family Office, Law Firm, Management Consultancy or Luxury Hospitality.&lt;br /&gt;- Very client and service oriented, high attention to detail.&lt;br /&gt;- High emotional intelligence and self-awareness.&lt;br /&gt;- Ability to plan effectively and operate in a fast paced environment.&lt;br /&gt;- Proficiency in office and appointment scheduling software and online collaboration tools (e.g., Google Suite), agility in learning new tools (e.g., Quire, Element)&lt;br /&gt;RESPONSIBILITIES&lt;br /&gt;- Lifestyle management&lt;br /&gt;- Manage the private calendars and liaise with other assistants to avoid calendar conflicts.&lt;br /&gt;- Suggest and prepare complete itineraries for activities and trips, book travel, accommodation and other hospitality for the couple and other family members.&lt;br /&gt;- Assist in research and purchase of lifestyle and other assets (online).&lt;br /&gt;- Research and manage health and wellness activities.&lt;br /&gt;- Manage private events, make reservations, book tickets, coordinate catering, etc.&lt;br /&gt;- Administration&lt;br /&gt;- Receive, process, circulate, and file documents (mail, contracts, bills).&lt;br /&gt;- Pay bills, reconcile bank statements, keep track of expenses.&lt;br /&gt;- Liaise with personal accountants and lawyers to provide information and documents when needed.&lt;br /&gt;- Liaise with household service providers and property managers.&lt;br /&gt;- Assist with special projects such as real estate acquisitions, art and culture projects, architectural projects.&lt;br /&gt;</t>
  </si>
  <si>
    <t>Opis stanowiska&lt;br /&gt;</t>
  </si>
  <si>
    <t>GO-leasing Sp. z o.o.</t>
  </si>
  <si>
    <t>Doradca ds. Leasingu Samochodów Osobowych</t>
  </si>
  <si>
    <t>https://www.pracuj.pl/praca/doradca-ds-leasingu-samochodow-osobowych-krosno,oferta,1000917000</t>
  </si>
  <si>
    <t>05.05.2021 03:40</t>
  </si>
  <si>
    <t>02.06.2021</t>
  </si>
  <si>
    <t>https://www.praca.pl/doradca-handlowy_4610140.html</t>
  </si>
  <si>
    <t>05.05.2021 03:06</t>
  </si>
  <si>
    <t>04.05.2021</t>
  </si>
  <si>
    <t>03.06.2021</t>
  </si>
  <si>
    <t>&lt;br /&gt;Oczekiwania wobec kandydatów:&lt;br /&gt;- umiejętność prowadzenia rozmów z Klientami&lt;br /&gt;- kreatywność oraz poczucie estetyki&lt;br /&gt;- dobra organizacja pracy i zaangażowanie w realizację zada&lt;br /&gt;- gotowość do podjęcia szkolenia wdrożeniowego&lt;br /&gt;</t>
  </si>
  <si>
    <t>&lt;br /&gt;Poszukujemy osób:&lt;br /&gt;- profesjonalne doradztwo techniczne oraz aktywna sprzedaż produktów&lt;br /&gt;- dbanie o ekspozycję, porządek i estetykę sklepu&lt;br /&gt;</t>
  </si>
  <si>
    <t>https://www.pracuj.pl/praca/konsultant-ds-obslugi-klienta-w-punkcie-sprzedazy-t-mobile-rzeszow,oferta,1000551094</t>
  </si>
  <si>
    <t>https://www.pracuj.pl/praca/konsultant-ds-obslugi-klienta-w-punkcie-sprzedazy-t-mobile-sanok,oferta,1000551095</t>
  </si>
  <si>
    <t>https://www.praca.pl/doradca-klienta_4570536.html</t>
  </si>
  <si>
    <t>12.05.2021 00:28</t>
  </si>
  <si>
    <t>&lt;br /&gt;Lubisz handel, kochasz pracę z ludźmi i angażujesz się w wykonywaną przez siebie pracę?&lt;br /&gt;Pragniesz zmian, wyzwań i chcesz pracować w największej sieci handlowej w Polsce branży AGD/IT/RTV?&lt;br /&gt;DOŁĄCZ DO NAJLEPSZYCH!&lt;br /&gt;NA START OTRZYMASZ:&lt;br /&gt;- Umowę bez okresu próbnego - doceniamy Twoją pracę&lt;br /&gt;- Najwyższe zarobki w branży - nieograniczone pieniądze w systemie premiowym&lt;br /&gt;- Bogaty pakiet benefitów i ubezpieczeń - stawiamy na Twoje zdrowie&lt;br /&gt;- Fundacja stworzona dla Ciebie - pomagamy Tobie i Twoim bliskim&lt;br /&gt;WSPÓLNIE BĘDZIEMY:&lt;br /&gt;</t>
  </si>
  <si>
    <t>https://www.praca.pl/doradca-klienta_4611283.html</t>
  </si>
  <si>
    <t>19.05.2021 00:27</t>
  </si>
  <si>
    <t>14.05.2021</t>
  </si>
  <si>
    <t>Centrum Zaopatrzenia Medycznego "Cezal" S.A.</t>
  </si>
  <si>
    <t>Specjalista ds. obsługi kontrahentów</t>
  </si>
  <si>
    <t>https://www.praca.pl/specjalista-ds-obslugi-kontrahentow_4720971.html</t>
  </si>
  <si>
    <t>&lt;br /&gt;Wymagania:&lt;br /&gt;- mile widziana znajomość sprzętu medycznego, wyrobów medycznych i produktów leczniczych,&lt;br /&gt;- mile widziane doświadczenie na podobnym stanowisku związanym z bezpośrednią obsługą klientów oraz pracą w dziale handlowym,&lt;br /&gt;- praktyczna znajomość obsługi programów sprzedażowych,&lt;br /&gt;- znajomość programów Excel i Word,&lt;br /&gt;- komunikatywność, umiejętność pracy w zespole,&lt;br /&gt;- wykształcenie: wyższe.&lt;br /&gt;</t>
  </si>
  <si>
    <t>&lt;br /&gt;Zadania:&lt;br /&gt;- realizacja zamówień do dostawców i odbiorców,&lt;br /&gt;- bieżąca obsługa klientów,&lt;br /&gt;- sporządzanie analiz zakupowych i sprzedażowych,&lt;br /&gt;- udział w szkoleniach produktowych,&lt;br /&gt;- praca z systemem komputerowym,&lt;br /&gt;- fakturowanie.&lt;br /&gt;</t>
  </si>
  <si>
    <t>Nauczyciel - kurs fakturowania</t>
  </si>
  <si>
    <t>https://www.praca.pl/nauczyciel-kurs-fakturowania_4724247.html</t>
  </si>
  <si>
    <t>&lt;br /&gt;APLIKUJ, JEŚLI POSIADASZ:&lt;br /&gt;- Wykształcenie kierunkowe&lt;br /&gt;- Kwalifikacje uprawniające do nauczania danego przedmiotu&lt;br /&gt;- Przygotowanie pedagogiczne&lt;br /&gt;- Sumienność&lt;br /&gt;- Rzetelność&lt;br /&gt;</t>
  </si>
  <si>
    <t>Komenda Miejska Państwowej Straży Pożarnej w Krośnie</t>
  </si>
  <si>
    <t>https://www.praca.pl/starszy-referent_4770261.html</t>
  </si>
  <si>
    <t>&lt;h4&gt;Wymagania niezbędne&lt;/h4&gt;wykształcenie: średnie&lt;br /&gt;doświadczenie zawodowe/staż pracy: co najmniej 6 miesięcy doświadczenia zawodowego w pracy na stanowiskach urzędniczych w administracji państwowej lub samorządowej.&lt;br /&gt;- Znajomość przepisów ustawy o Służbie Cywilnej, ustawy o Państwowej Straży Pożarnej, ustawy o finansach publicznych, ustawy o rachunkowości i innych aktów prawnych normujących zasady naliczania świadczeń przysługujących pracownikom zatrudnionych w urzędach administracji państwowej&lt;br /&gt;- Znajomość obsługi komputera w środowisku Windows&lt;br /&gt;- obsługa podstawowych programów komputerowych pakietu Office: Word, Excel&lt;br /&gt;- Posiadanie obywatelstwa polskiego&lt;br /&gt;- Korzystanie z pełni praw publicznych&lt;br /&gt;- Nieskazanie prawomocnym wyrokiem za umyślne przestępstwo lub umyślne przestępstwo skarbowe&lt;br /&gt;&lt;h4&gt;Wymagania dodatkowe&lt;/h4&gt;&lt;br /&gt;- Umiejętność obsługi programu Płatnik&lt;br /&gt;</t>
  </si>
  <si>
    <t>&lt;h4&gt;Warunki pracy&lt;/h4&gt;&lt;br /&gt;- praca o charakterze administracyjno-biurowym z wykorzystaniem komputera i innych urządzeń biurowych,&lt;br /&gt;- praca od poniedziałku do piątku w stałych godzinach 7.30 – 15.30,&lt;br /&gt;- stanowisko pracy zlokalizowane na II piętrze budynku 2 kondygnacyjnego,&lt;br /&gt;- w budynku bariery architektoniczne: brak wind, podjazdów i innych ułatwień dla osób z niepełnosprawnością ruchową, drzwi wejściowe do pomieszczeń biurowych o szerokości 80 cm, pomieszczenia higieniczno-sanitarne nie przystosowane dla osób niepełnosprawnych,&lt;br /&gt;- praca przy monitorze ekranowym powyżej 4 godz. na dobę,&lt;br /&gt;- praca wymagająca długotrwałej pozycji siedzącej.&lt;br /&gt;&lt;h4&gt;Zakres zadań&lt;/h4&gt;&lt;br /&gt;- sporządza listy płac strażaków i pracowników cywilnych&lt;br /&gt;- prowadzi karty wynagrodzeń&lt;br /&gt;- wykonuje przelewy bankowe środków na wynagrodzenia na indywidualne konta bankowe pracowników&lt;br /&gt;- przygotowuje deklaracje rozliczeniowe do ZUS&lt;br /&gt;- sporządza listy wypłat pozostałych świadczeń pieniężnych należnych strażakom i pracownikom cywilnym&lt;br /&gt;- rozlicza delegacje służbowe&lt;br /&gt;- sporządza zaświadczenia o wysokości wynagrodzeń dla strażaków i pracowników cywilnych&lt;br /&gt;- prowadzi księgowość analityczną dochodów, wydatków i kosztów&lt;br /&gt;- prowadzi księgowość budżetową i poza budżetową materiałów na magazynie paliw, materiałów gospodarczych, środków łączności, części zamiennych, odzieży ochronnej i umundurowania oraz sprzętu p.poż. środków gaśniczych i neutralizatorów&lt;br /&gt;- prowadzi księgowość syntetyczną dla działalności budżetowej&lt;br /&gt;- nalicza i odprowadza podatek dochodowy od osób fizycznych dla strażaków i pracowników cywilnych oraz sporządza informacje roczne o dochodach&lt;br /&gt;- wydaje na żądanie zaświadczenia o wysokości zarobków w tym zaświadczenia o wysokości składek odprowadzonych do Zakładu Ubezpieczeń Społecznych dla pracowników i byłych pracowników&lt;br /&gt;- prowadzi kasę&lt;br /&gt;</t>
  </si>
  <si>
    <t>https://www.praca.pl/elektromonter-pogotowia-elektroenergetycznego_4612342.html</t>
  </si>
  <si>
    <t>&lt;br /&gt;Profil kandydata:&lt;br /&gt;- wykształcenie zawodowe lub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B,&lt;br /&gt;- umiejętność współpracy w zespole,&lt;br /&gt;- dyspozycyjność.&lt;br /&gt;</t>
  </si>
  <si>
    <t>&lt;br /&gt;Do głównych zadań osoby zatrudnionej należeć będzie m. in.:&lt;br /&gt;- utrzymanie i eksploatacja sieci elektroenergetycznej nN i SN ,&lt;br /&gt;- usuwanie awarii i usterek na urządzeniach elektroenergetycznych,&lt;br /&gt;- obsługa odbiorców w zakresie usług dystrybucyjnych.&lt;br /&gt;</t>
  </si>
  <si>
    <t>Elektromonter (elektryk)</t>
  </si>
  <si>
    <t>https://www.praca.pl/elektromonter-elektryk_4564316.html</t>
  </si>
  <si>
    <t>&lt;br /&gt;Wymagania:&lt;br /&gt;- wykształcenie średnie techniczne lub zasadnicze zawodowe w zawodzie elektryk lub elektrotechnik&lt;br /&gt;- uprawnienia E grupa I&lt;br /&gt;- doświadczenie w zakresie obsługi, konserwacji i remontów urządzeń, instalacji oraz sieci elektroenergetycznych&lt;br /&gt;- umiejętność czytania schematów elektrycznych&lt;br /&gt;- doświadczenie w pracy na podobnym stanowisku&lt;br /&gt;</t>
  </si>
  <si>
    <t>&lt;br /&gt;Zadania szczegółowe:&lt;br /&gt;- serwisowanie urządzeń elektrycznych&lt;br /&gt;- wykonywanie prac serwisowych rozdzielnic elektrycznych NN, maszyn, urządzeń i linii technologicznych&lt;br /&gt;- kontrolowanie pracy GPZ wraz z rozdzielnią 15 kV&lt;br /&gt;- raportowanie prowadzonych prac w systemie TPM&lt;br /&gt;- wykonywanie przeglądów oraz prowadzenie zapisów w książkach przeglądowych urządzeń i obiektów&lt;br /&gt;- wykonywanie prac elektrycznych w budynkach oraz przy urządzeniach i instalacjach infrastruktury zakładu&lt;br /&gt;</t>
  </si>
  <si>
    <t>https://www.praca.pl/starszy-referent_4606777.html</t>
  </si>
  <si>
    <t>RPd057|335101</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</si>
  <si>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ustawy o podatku od towarów i usług i ustawy o podatku akcyzowym&lt;br /&gt;- Znajomość zasad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</si>
  <si>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Prowadzi kontrolę celno-skarbową w zakresie rzetelności deklarowanych podstaw opodatkowania oraz prawidłowości obliczania i wpłacania podatków stanowiących dochód budżetu państwa, a także innych należności pieniężnych budżetu państwa lub państwowych funduszy celowych pod nadzorem lidera kontroli&lt;br /&gt;- Współpracuje przy realizacji zadań z innymi organami&lt;br /&gt;- Współpracuje przy realizacji zadań z innymi komórkami organizacyjnymi urzędu i jednostkami organizacyjnymi KAS oraz innymi służbami i organami państwa&lt;br /&gt;- Prowadzi wymagane ewidencje i rejestry&lt;br /&gt;- Archiwizuje dokumenty&lt;br /&gt;</t>
  </si>
  <si>
    <t>Wojewódzki Urząd Ochrony Zabytków w Przemyślu</t>
  </si>
  <si>
    <t>Historyk sztuki</t>
  </si>
  <si>
    <t>https://www.praca.pl/inspektor-ochrony-zabytkow_4719933.html</t>
  </si>
  <si>
    <t>RPd057|263303</t>
  </si>
  <si>
    <t>&lt;h4&gt;Wymagania niezbędne&lt;/h4&gt;wykształcenie: wyższe na kierunku historia sztuki lub archeologia&lt;br /&gt;doświadczenie zawodowe/staż pracy: doświadczenia zawodowego&lt;br /&gt;- Znajomość ustawy o ochronie zabytków i opiece nad zabytkami&lt;br /&gt;- Znajomość ustawy o służbie cywilnej&lt;br /&gt;- Znajomość kodeksu postępowania administracyjnego&lt;br /&gt;- Znajomość ustawy o dostępie do informacji publicznej&lt;br /&gt;- Znajomość ogólnego rozporządzenia o ochronie danych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</si>
  <si>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pracy&lt;br /&gt;·      praca administracyjno–biurowa w pozycji siedzącej, przy monitorze ekranowym przez co najmniej połowę dobowego wymiaru czasu pracy,&lt;br /&gt;·      wyjazdy w teren&lt;br /&gt;·      obsługa urządzeń biurowych (komputer, kserokopiarka, fax, niszczarka),&lt;br /&gt;·      kontakt z klientem wewnętrznym i zewnętrznym.&lt;br /&gt;&lt;h4&gt;Zakres zadań&lt;/h4&gt;&lt;br /&gt;- Prowadzenie postępowań administracyjnych, weryfikowanie dokumentów oraz opracowywanie decyzji administracyjnych w sprawach dotyczących zabytków nieruchomych&lt;br /&gt;- Opracowywanie opinii i wytycznych konserwatorskich w sprawach dotyczących zabytków nieruchomych&lt;br /&gt;- Prowadzenie z upoważnienia Podkarpackiego Wojewódzkiego Konserwatora Zabytków kontroli zabytków nieruchomych&lt;br /&gt;- Udział w komisjach związanych z odbiorem prac prowadzonych przy obiektach zabytkowych w oparciu o wydane pozwolenia&lt;br /&gt;- Prowadzenie postępowań związanych z nakładaniem administracyjnych kar pieniężnych&lt;br /&gt;- Prowadzenie postępowań dotyczących dostępu do informacji publicznej&lt;br /&gt;- Udzielanie informacji i wyjaśnień w sprawach dotyczących zabytków nieruchomych&lt;br /&gt;</t>
  </si>
  <si>
    <t>https://www.praca.pl/inzynier-robot-mostowych_4770510.html</t>
  </si>
  <si>
    <t>RPd057|214201</t>
  </si>
  <si>
    <t>&lt;br /&gt;Wymagania:&lt;br /&gt;- wykształcenie wyższe budowlane,&lt;br /&gt;- biegłe czytanie dokumentacji technicznej,&lt;br /&gt;- umiejętność pracy w zespole i kierowania ludźmi,&lt;br /&gt;- dobra znajomość pakietu MS Office,&lt;br /&gt;- dyscyplina i dobra organizacja pracy,&lt;br /&gt;- doświadczenie w realizacji obiektów mostowych.&lt;br /&gt;</t>
  </si>
  <si>
    <t>&lt;br /&gt;kontrakt S19 Rudnik-Zdziary&lt;br /&gt;Region: woj. podkarpackie&lt;br /&gt;Opis stanowiska:&lt;br /&gt;- nadzór nad prawidłowym przebiegiem robót, ich zgodnością z wymaganiami kontraktu, dokumentacją oraz harmonogramem,&lt;br /&gt;- kierowanie pracą podległego zespołu,&lt;br /&gt;- rozwiązywanie problemów technicznych na budowie,&lt;br /&gt;- prowadzenie dokumentacji budowy,&lt;br /&gt;- współpraca z przedstawicielami Inwestora oraz z podwykonawcami,&lt;br /&gt;- rozwijanie wewnętrznych procesów i procedur zgodnie z kierunkiem całej firmy.&lt;br /&gt;</t>
  </si>
  <si>
    <t>Brygadzista - monter</t>
  </si>
  <si>
    <t>https://www.praca.pl/brygadzista-monter_4713918.html</t>
  </si>
  <si>
    <t>Wymagania&lt;br /&gt;&lt;br /&gt;- Wykształcenie: wyższe, architektoniczne lub budowlane;&lt;br /&gt;- Posiadanie uprawnień konstrukcyjno-budowlanych – mile widziane;&lt;br /&gt;- Doświadczenie w pełnieniu funkcji kierownika budowy dla obiektów przemysłowych;&lt;br /&gt;- Znajomość rysunku technicznego;&lt;br /&gt;- Znajomość przebiegu procesu budowlanego;&lt;br /&gt;- Samodzielność w działaniu;&lt;br /&gt;- Umiejętność motywowania pracowników i delegowania zadań;&lt;br /&gt;- Znajomość języka angielskiego/niemieckiego w stopniu komunikatywnym – mile widziane;&lt;br /&gt;- Uprawnienia na platformy nożycowe oraz wózki widłowe – mile widziane;&lt;br /&gt;- Prawo jazdy kat. B – mile widziane;&lt;br /&gt;- Poszukujemy osób z całej Polski.&lt;br /&gt;</t>
  </si>
  <si>
    <t>Opis stanowiska&lt;br /&gt;&lt;br /&gt;- Praca w krajach UE;&lt;br /&gt;- Koordynowanie robót na budowie obiektu przemysłowego;&lt;br /&gt;- Montaż konstrukcji stalowych, regałów wysokiego składowania, regałów magazynowych na podstawie rysunku technicznego, przy użyciu określonych technik i narzędzi;&lt;br /&gt;- Nadzór budowlano-montażowy, kontrola jakości dostaw i wykonanych prac;&lt;br /&gt;- Nadzór i koordynacja pracy monterów na budowie;&lt;br /&gt;- Czytanie rysunku technicznego; planów niezbędnych przy montażu konstrukcji stalowych;&lt;br /&gt;- Koordynacja i kontrola realizacji harmonogramów robót;&lt;br /&gt;- Raportowanie bieżących wyników pracy&lt;br /&gt;</t>
  </si>
  <si>
    <t>Horyzont Doradztwo Personalne</t>
  </si>
  <si>
    <t>Projektant Elektryk</t>
  </si>
  <si>
    <t>https://www.praca.pl/projektant-elektryk_4787130.html</t>
  </si>
  <si>
    <t>05/2021/BN/PE</t>
  </si>
  <si>
    <t>&lt;br /&gt;Wymagania:&lt;br /&gt;- doświadczenie w projektowaniu w jednym z wymienionych obszarów:&lt;br /&gt;- obwodów pierwotnych stacji elektroenergetycznych Wn i sieci,&lt;br /&gt;- obwodów wtórnych j.w.,&lt;br /&gt;- projektowaniu elektrowni słonecznych powyżej 1MW,&lt;br /&gt;- uprawnienia budowlane do projektowania w zakresie sieci, instalacji i urządzeń elektrycznych (zapraszamy także osoby będące w trakcie ich zdobywania),&lt;br /&gt;- znajomość narzędzi wspomagających projektowanie (AutoCad, EPLAN itp.),&lt;br /&gt;- prawo jazdy,&lt;br /&gt;- mile widziana komunikatywna znajomość języka angielskiego.&lt;br /&gt;</t>
  </si>
  <si>
    <t>&lt;br /&gt;Główne zadania:&lt;br /&gt;- udział w wykonywaniu projektów koncepcyjnych, budowlanych oraz wykonawczych w zakresie instalacji elektrycznych i sieci elektroenergetycznych, w tym:&lt;br /&gt;- tworzenie założeń projektowych i przetargowych,&lt;br /&gt;- współtworzenie kosztorysów,&lt;br /&gt;- kontakt z urzędami, inwestorami, interesariuszami po stronie społecznej,&lt;br /&gt;- projektowanie i koordynowanie prac itp.&lt;br /&gt;</t>
  </si>
  <si>
    <t>CCPORTER Sp. z o.o.</t>
  </si>
  <si>
    <t>Sales Specialist with Spanish</t>
  </si>
  <si>
    <t>https://www.praca.pl/sales-specialist-with-spanish_4716588.html</t>
  </si>
  <si>
    <t>&lt;br /&gt;- Very good command of Spanish (native or close to native)&lt;br /&gt;- Very good command of English&lt;br /&gt;- Ability to work at least 20 hours a week (for students) or 30 (for non-students) and attending a 5 days paid online inicial training&lt;br /&gt;- Experience in a position related to the sales and customer services is always appreciated&lt;br /&gt;</t>
  </si>
  <si>
    <t>&lt;br /&gt;- Active selling and promoting company’s products by phone to existing customers from Spanish market&lt;br /&gt;- Being responsible for phone and e-mail communication with existing customers&lt;br /&gt;- Confirming orders from the customers and upgrading the value of the order made by our customers&lt;br /&gt;- Cooperating closely with Back Office Team in solving incoming inquires of clients&lt;br /&gt;</t>
  </si>
  <si>
    <t>Senior Middleware Engineer</t>
  </si>
  <si>
    <t>https://www.praca.pl/senior-middleware-engineer_4665555.html</t>
  </si>
  <si>
    <t>VR-61073</t>
  </si>
  <si>
    <t>&lt;br /&gt;? Good knowledge of Websphere Application Server&lt;br /&gt;? Good knowledge of Apache Tomcat Application Server? Extensive experience in supporting Apache and Tomcat applications on Redhat Linux in a DMZ.&lt;br /&gt;? Good knowledge of web load balancing technologies, preferably F5s.&lt;br /&gt;? Extensive experience of networking, firewalls and DNS.&lt;br /&gt;? Be able to troubleshoot web, network connectivity and routing issues in a DMZ.&lt;br /&gt;? Previous experience of working with and managing Third Party Vendors.&lt;br /&gt;</t>
  </si>
  <si>
    <t>&lt;br /&gt;? Technical resource for internal and externally facing projects&lt;br /&gt;? Produce production support documentation&lt;br /&gt;? Maintain system stability and high availability&lt;br /&gt;? Provide 3rd line application support on complex internall and DMZ based applications.&lt;br /&gt;? Interact with internal teams and external 3rd party vendors to trouble shoot and resolve complex problems&lt;br /&gt;? Application administration, monitoring, performance tuning&lt;br /&gt;? Deploy application releases and configuration changes&lt;br /&gt;? Develop implementation, backup and roll-back plans&lt;br /&gt;? Adhere to appropriate departmental and company procedures and policies (i.e. change control, security and auditing, release, configuration, problem and incident management)&lt;br /&gt;? Configuration management&lt;br /&gt;? Incident management&lt;br /&gt;</t>
  </si>
  <si>
    <t>SHOOKAI SP Z O O</t>
  </si>
  <si>
    <t>Junior Business Intelligence Developer</t>
  </si>
  <si>
    <t>https://www.praca.pl/junior-business-intelligence-developer_4788105.html</t>
  </si>
  <si>
    <t>&lt;br /&gt;Our expectations towards you:&lt;br /&gt;- Fluent written and spoken English (B2 / C1).&lt;br /&gt;- Technical education (at least engineer degree in IT or similar).&lt;br /&gt;- Knowledge of MS Excel and SQL databases.&lt;br /&gt;- Strong analytical, organizational and problem-solving skills.&lt;br /&gt;It would be nice if you have:&lt;br /&gt;- About 1 year experience in a similar position or as a database programmer.&lt;br /&gt;- Practical experience with data analysis (in MS Excel / BI Tools / Python), preparing ad hoc reports, reporting to management.&lt;br /&gt;- Programming and algorithmic thinking.&lt;br /&gt;</t>
  </si>
  <si>
    <t>&lt;br /&gt;As a Junior BI Developer, you will be responsible for: &lt;br /&gt;- Creation and maintenance of analytics applications using tools like Qlik Sense, Alteryx, Matillion and/or Python, data extraction from external data sources like databases, APIs and static files, validation, transformation and modeling data for further analysis or visualization proofed via code review and efficient commenting good practices.&lt;br /&gt;- Creation of project documentation enabling accurate and seamless functioning of designed applications and smooth exchange of knowledge across the Team and Business.&lt;br /&gt;- Communication with the Team supporting team members by open and transparent communication enabling you to effectively brainstorm, design and complete tasks, a team player striving to be on the same page with your Team members and Customer.&lt;br /&gt;</t>
  </si>
  <si>
    <t>Zakłady Chemiczne ANSER Sp. z o.o. z siedzibą w Wiskitki (96-315), Chemików 1</t>
  </si>
  <si>
    <t>Laborant / Technolog</t>
  </si>
  <si>
    <t>https://www.praca.pl/laborant-technolog_4722882.html</t>
  </si>
  <si>
    <t>01.06.2021</t>
  </si>
  <si>
    <t>Wymagania&lt;br /&gt;&lt;br /&gt;- wykształcenie wyższe chemiczne&lt;br /&gt;- doświadczenie w pracy w laboratorium&lt;br /&gt;- bardzo dobra znajomość języka angielskiego lub niemieckiego (mile widziane)&lt;br /&gt;- umiejętność pracy w zespole&lt;br /&gt;</t>
  </si>
  <si>
    <t>Opis stanowiska&lt;br /&gt;&lt;br /&gt;- badanie wyrobów gotowych&lt;br /&gt;- opracowywanie nowych receptur&lt;br /&gt;Miejsce pracy: mazowieckie/ Wiskitki k. Żyrardowa - zapewniamy pakiet relokacyjny.&lt;br /&gt;</t>
  </si>
  <si>
    <t>Iglotex</t>
  </si>
  <si>
    <t>Kierownik ds. Wsparcia IT</t>
  </si>
  <si>
    <t>https://www.praca.pl/kierownik-ds-wsparcia-it_4506308.html</t>
  </si>
  <si>
    <t>13.05.2021</t>
  </si>
  <si>
    <t>&lt;br /&gt;Twoje zadania:&lt;br /&gt;- zarządzanie i rozwój kompetencji kilkuosobowego zespołu&lt;br /&gt;- prowadzenie działu wsparcia IT w codziennych obowiązkach&lt;br /&gt;- zapewnienie wsparcia i edukacji użytkowników w zakresie obsługi narzędzi IT oraz funkcjonowania systemów informatycznych i teleinformatycznych&lt;br /&gt;- bieżąca współpraca z klientem biznesowym (pierwsza linia wsparcia), dostawcami sprzętu oraz usług IT&lt;br /&gt;- zarządzanie lokalną infrastrukturą IT, prowadzenie ewidencji sprzętu teleinformatycznego oraz nadzór nad prawidłowym działaniem sprzętu i urządzeń IT&lt;br /&gt;- zarządzanie budżetem&lt;br /&gt;</t>
  </si>
  <si>
    <t>&lt;br /&gt;Miejsce pracy: Cała Polska (praca zdalna)&lt;br /&gt;Oferujemy:&lt;br /&gt;- możliwość pracy zdalnej z dowolnego miejsca w Polsce&lt;br /&gt;- stabilne zatrudnienie w formie umowy o pracę&lt;br /&gt;- rozwój zawodowy w zakresie wdrażania nowoczesnych rozwiązań w obszarze IT dla firmy będącej niekwestionowanym liderem w swojej branż&lt;br /&gt;- pracę w dynamicznym, zorientowanym biznesowo środowisku&lt;br /&gt;- niezbędne narzędzia pracy&lt;br /&gt;- kompleksowy program wdrożeniowy&lt;br /&gt;- możliwość skorzystania z pakietu prywatnej opieki medycznej&lt;br /&gt;- dostęp do grupowego ubezpieczenia na życie&lt;br /&gt;</t>
  </si>
  <si>
    <t>Business Process Analyst / Modeller</t>
  </si>
  <si>
    <t>https://www.praca.pl/business-process-analyst-modeller_4665345.html</t>
  </si>
  <si>
    <t>VR-58996</t>
  </si>
  <si>
    <t>&lt;br /&gt;- 5+ years of work experience in IT&lt;br /&gt;- 2+ years of experience as a business process modelling consultant or similar&lt;br /&gt;- MSc in computer science, mathematics, engineering or similar&lt;br /&gt;- Hands-on experience with Flowable, Activiti or other workflow tool/engine – very strongly needed&lt;br /&gt;- Strong level of BPMN 2.0&lt;br /&gt;- CMMN basics&lt;br /&gt;- DMN basics&lt;br /&gt;- JavaScript basics. Ability to read and understand JavaScript code&lt;br /&gt;- Requirements elicitation and gathering, requirements analysis skills&lt;br /&gt;- Excellent problem solving and decision making skills&lt;br /&gt;- Experience with Jira and Confluence&lt;br /&gt;- Fluent English&lt;br /&gt;- Programming knowledge, especially with JavaScript / React&lt;br /&gt;</t>
  </si>
  <si>
    <t>&lt;br /&gt;- Analyse the requirements and develop business process models&lt;br /&gt;- Define main business workflows&lt;br /&gt;- Requirements elicitation and documentation, defining user stories, acceptance criteria&lt;br /&gt;- Support users during UAT&lt;br /&gt;</t>
  </si>
  <si>
    <t>https://www.praca.pl/senior-java-developer_4729740.html</t>
  </si>
  <si>
    <t>VR-61394</t>
  </si>
  <si>
    <t>&lt;br /&gt;Strong knowledge of OOP and software design principles&lt;br /&gt;Fluency in Java 8 (or higher)&lt;br /&gt;Strong in Spring/SpringBoot, Hibernate and SQL&lt;br /&gt;Solid knowledge of software testing standards (JUnit, TestNG)&lt;br /&gt;User experience working in a Unix/Linux environment&lt;br /&gt;DevOps mindset - You Build It You Run I&lt;br /&gt;Good communication skills in English (written and spoken)&lt;br /&gt;</t>
  </si>
  <si>
    <t>&lt;br /&gt;4+ years of experience in development and good Bachelor's/Master's degree or equivalent in computer science or related technical discipline&lt;br /&gt;Fluency in Java 8 (or higher)&lt;br /&gt;Strong in Spring/SpringBoot, Hibernate and SQL&lt;br /&gt;</t>
  </si>
  <si>
    <t>THESAR Systemy Informatyczne Sp. z o.o.</t>
  </si>
  <si>
    <t>Developer WWW</t>
  </si>
  <si>
    <t>https://www.praca.pl/developer-www_4721055.html</t>
  </si>
  <si>
    <t>DWWW.21.05</t>
  </si>
  <si>
    <t>Wymagania&lt;br /&gt;&lt;br /&gt;- Wykształcenie wyższe na kierunkach telekomunikacja, informatyka, matematyka lub pokrewnych&lt;br /&gt;- Bardzo dobra znajomość HTML, CSS, PHP, JavaScript.&lt;br /&gt;- Bardzo dobra znajomość bazy danych Oracle Database 11g lub nowszej.&lt;br /&gt;- Wskazana znajomość języka skryptowego AutoIt do czytania kodu.&lt;br /&gt;- Znajomość systemu operacyjnego Linux w zakresie konfiguracji aplikacji webowych.&lt;br /&gt;- Umiejętność czytania i analizy kodu istniejącej aplikacji której rozwój będzie przedmiotem realizowanych zadań.&lt;br /&gt;</t>
  </si>
  <si>
    <t>Opis stanowiska&lt;br /&gt;&lt;br /&gt;Osoba zatrudniona na tym stanowisku będzie świadczyła usługi w ramach outsourcingu na rzecz naszego klienta - wiodącej na rynku firmy z branży telekomunikacyjnej.&lt;br /&gt;Realizowane zadania - rozwój aplikacji WEB&lt;br /&gt;</t>
  </si>
  <si>
    <t>Fakturzysta - Kasjer</t>
  </si>
  <si>
    <t>https://www.praca.pl/fakturzysta-kasjer_4579676.html</t>
  </si>
  <si>
    <t>29.05.2021</t>
  </si>
  <si>
    <t>C322</t>
  </si>
  <si>
    <t>&lt;br /&gt;Oferujemy:&lt;br /&gt;- Umowę o pracę i wynagrodzenie zawsze na czas,&lt;br /&gt;- Pracę w systemie 2-zmianowym,&lt;br /&gt;- Bogaty pakiet benefitów.&lt;br /&gt;</t>
  </si>
  <si>
    <t>&lt;br /&gt;ZGŁOŚ SIĘ DO NAS!&lt;br /&gt;Na co dzień będziesz zajmować się:&lt;br /&gt;- Obsługą kasową klientów,&lt;br /&gt;- Wystawianiem faktur,&lt;br /&gt;- Dbaniem o ekspozycję towarów na półkach.&lt;br /&gt;Potrzebujemy od Ciebie:&lt;br /&gt;- Książeczkę do celów sanitarno-epidemiologicznych,&lt;br /&gt;- Rzetelności,&lt;br /&gt;- Punktualności, i zaangażowania w realizację zadań,&lt;br /&gt;- Doświadczenia na podobnym stanowisku - mile widziane ;)&lt;br /&gt;</t>
  </si>
  <si>
    <t>ROHLIG SUUS Logistics SA</t>
  </si>
  <si>
    <t>Specjalista ds. administracji i rozliczeń, kasjer</t>
  </si>
  <si>
    <t>https://www.praca.pl/specjalista-ds-administracji-i-rozliczen,kasjer_4668780.html</t>
  </si>
  <si>
    <t>&lt;br /&gt;Aplikuj jeśli:&lt;br /&gt;- Dobrze znasz pakiet Office, zwłaszcza Excel&lt;br /&gt;- Bardzo dobrze organizujesz pracę&lt;br /&gt;- Potrafisz pracować w zespole&lt;br /&gt;- Znajomość podstaw księgowości i doświadczenie w pracy biurowo-administracyjnej będzie dodatkowym atutem&lt;br /&gt;</t>
  </si>
  <si>
    <t>&lt;br /&gt;Do Twoich zadań należeć będzie:&lt;br /&gt;- Zapewnienie profesjonalnej obsługi klientów firmy&lt;br /&gt;- Porządkowanie dokumentacji spedycyjnej&lt;br /&gt;- Przyjmowanie pobrań gotówkowych&lt;br /&gt;- Rozliczenie transportów oraz faktur&lt;br /&gt;- Współpraca z innymi działami firmy&lt;br /&gt;- Praca w systemie spedycyjnym&lt;br /&gt;</t>
  </si>
  <si>
    <t>Kasjerka / Kasjer</t>
  </si>
  <si>
    <t>Polska, podkarpackie, Krasne</t>
  </si>
  <si>
    <t>https://www.praca.pl/kasjerka-kasjer_4721403.html</t>
  </si>
  <si>
    <t>20/KAS/AH/12</t>
  </si>
  <si>
    <t>&lt;br /&gt;Będziesz odpowiedzialny za:&lt;br /&gt;- profesjonalną i kompleksową obsługę naszych klientów;&lt;br /&gt;- kontrolowanie towarów w kasach;&lt;br /&gt;- prawidłowe rozliczanie i zabezpieczenie środków finansowych i dokumentów firmowych;&lt;br /&gt;- udzielanie pełnych informacji klientom na temat oferowanych usług.&lt;br /&gt;</t>
  </si>
  <si>
    <t>&lt;br /&gt;Jeżeli:&lt;br /&gt;- lubisz pracę w handlu i jesteś otwarty na kontakt z ludźmi;&lt;br /&gt;- potrafisz działać zespołowo;&lt;br /&gt;- skrupulatność i dokładność to Twoje mocne strony;&lt;br /&gt;- jesteś gotowy na pracę w systemie zmianowym (także w weekendy) w godzinach otwarcia sklepu;&lt;br /&gt;- mile widziane orzeczenie o niepełnosprawności.&lt;br /&gt;</t>
  </si>
  <si>
    <t>https://www.praca.pl/kasjer-kasjerka_4721151.html</t>
  </si>
  <si>
    <t>USŁUGI TRANSPORTOWE STANISŁAW ADAMCZYK</t>
  </si>
  <si>
    <t>Kierowca Samochodu Ciężarowego - cysterna spożywcza</t>
  </si>
  <si>
    <t>https://www.praca.pl/kierowca-samochodu-ciezarowego-cysterna-spozywcza_4720575.html</t>
  </si>
  <si>
    <t>Wymagania&lt;br /&gt;&lt;br /&gt;- Prawo jazdy C+E&lt;br /&gt;</t>
  </si>
  <si>
    <t>Opis stanowiska&lt;br /&gt;&lt;br /&gt;Zatrudnię kierowcę samochodu ciężarowego - cysterna spożywcza.&lt;br /&gt;Umowa o pracę stawka godzinowa. tel. 501455056&lt;br /&gt;</t>
  </si>
  <si>
    <t>Kierowca kat. C+E w transporcie międzynarodowym</t>
  </si>
  <si>
    <t>https://www.praca.pl/kierowca-kat-c-e-w-transporcie-miedzynarodowym_4704255.html</t>
  </si>
  <si>
    <t>&lt;br /&gt;Wymagania:&lt;br /&gt;- doświadczenie na trasach Unii Europejskiej&lt;br /&gt;- prawo jazdy kategorii C+E&lt;br /&gt;- karta kierowcy&lt;br /&gt;- świadectwo kwalifikacji zawodowej/aktualnego kursu na przewóz rzeczy&lt;br /&gt;- aktualny kurs ADR mile widziany&lt;br /&gt;</t>
  </si>
  <si>
    <t>&lt;br /&gt;Zadania:&lt;br /&gt;- realizacja zleceń transportowych po terenie Unii Europejskiej&lt;br /&gt;- wyjazdy w systemie 2/1&lt;br /&gt;- praca na chłodni&lt;br /&gt;</t>
  </si>
  <si>
    <t>https://www.praca.pl/kierowca-kat-c-e-w-transporcie-miedzynarodowym_4712892.html</t>
  </si>
  <si>
    <t>https://www.praca.pl/kierowca-kat-c-e-w-transporcie-miedzynarodowym_4712940.html</t>
  </si>
  <si>
    <t>https://www.praca.pl/kierowca-kat-c-e-w-transporcie-miedzynarodowym_4712988.html</t>
  </si>
  <si>
    <t>https://www.praca.pl/kierowca-kat-c-e-w-transporcie-miedzynarodowym_4713036.html</t>
  </si>
  <si>
    <t>https://gratka.pl/praca/kierowca-miedzynarodowy-kat-b-bardzo-atrakcyjne-warunki/ob/21677785?utm_source=zielonalinia.pl&amp;utm_medium=zielonalinia&amp;utm_campaign=export_xml</t>
  </si>
  <si>
    <t>25.06.2021</t>
  </si>
  <si>
    <t>Wymagania: &lt;ul&gt;&lt;li&gt;prawo jazdy kat. B,&lt;/li&gt;&lt;li&gt;dobra orientacja w terenie, &lt;/li&gt;&lt;li&gt;wysoka kultura osobista,&lt;/li&gt;&lt;li&gt;dobre umiejętności organizacyjne,&lt;/li&gt;&lt;li&gt;posiadanie lub gotowość do założenia własnej działalności gospodarczej&lt;/li&gt;&lt;/ul&gt;</t>
  </si>
  <si>
    <t>https://gratka.pl/praca/kierowca-miedzynarodowy-kat-b-bardzo-atrakcyjne-warunki/ob/21677851?utm_source=zielonalinia.pl&amp;utm_medium=zielonalinia&amp;utm_campaign=export_xml</t>
  </si>
  <si>
    <t>https://gratka.pl/praca/kierowca-miedzynarodowy-kat-b-bardzo-atrakcyjne-warunki/ob/21677459?utm_source=zielonalinia.pl&amp;utm_medium=zielonalinia&amp;utm_campaign=export_xml</t>
  </si>
  <si>
    <t>https://gratka.pl/praca/kierowca-miedzynarodowy-kat-b-bardzo-atrakcyjne-warunki/ob/21677553?utm_source=zielonalinia.pl&amp;utm_medium=zielonalinia&amp;utm_campaign=export_xml</t>
  </si>
  <si>
    <t>Monter - Operator wózka widłowego (UDT)</t>
  </si>
  <si>
    <t>https://www.praca.pl/monter-operator-wozka-widlowego-udt_4714020.html</t>
  </si>
  <si>
    <t>Wymagania&lt;br /&gt;&lt;br /&gt;- uprawnienia do obsługi platformy nożycowej/podnośnika nożycowego (warunek konieczny);&lt;br /&gt;- doświadczenie na podobnym stanowisku;&lt;br /&gt;- wysoka motywacja do pracy;&lt;br /&gt;- dyspozycyjność;&lt;br /&gt;- sumienność;&lt;br /&gt;- dokładność;&lt;br /&gt;- odpowiedzialność za powierzone zadania;&lt;br /&gt;</t>
  </si>
  <si>
    <t>Opis stanowiska&lt;br /&gt;&lt;br /&gt;- praca w krajach UE;&lt;br /&gt;- ładowanie i rozładowywanie towaru (konstrukcje stalowe);&lt;br /&gt;- montaż konstrukcji stalowych, regałów magazynowych.&lt;br /&gt;</t>
  </si>
  <si>
    <t>Polska, podkarpackie, Rzeszów, Rudna Mała</t>
  </si>
  <si>
    <t>https://www.praca.pl/kierowca-kat-c_4723926.html</t>
  </si>
  <si>
    <t>Wymagania&lt;br /&gt;&lt;br /&gt;- Prawo jazdy kat C&lt;br /&gt;- Wszystkie dokumenty kierowcy&lt;br /&gt;- Dyspozycyjność&lt;br /&gt;- Dokładność i staranność&lt;br /&gt;- Dobry stan zdrowia&lt;br /&gt;- Karta kierowcy&lt;br /&gt;</t>
  </si>
  <si>
    <t>Opis stanowiska&lt;br /&gt;&lt;br /&gt;- Załadunek, transport i wyładunek towaru - załoga dwuosobowa&lt;br /&gt;- Dbałość o przewożony asortyment i inne powierzone mienie&lt;br /&gt;- Wyjazd i powrót w tym samym dniu&lt;br /&gt;- Trasy na terenie płd-wsch. Polski&lt;br /&gt;- Prace drobne ma magazynie&lt;br /&gt;</t>
  </si>
  <si>
    <t>GruntBudowa</t>
  </si>
  <si>
    <t>https://www.praca.pl/kierownik-robot-drogowych_4613155.html</t>
  </si>
  <si>
    <t>&lt;br /&gt;Wymagania:&lt;br /&gt;- studia wyższe – budownictwo drogowe lub pokrewne (technologia i organizacja budownictwa, konstrukcje budowlane),&lt;br /&gt;- minimum 2 – letnie doświadczenie na podobnym stanowisku lub 2 – letnie doświadczenie na budowie poparte wiedzą praktyczną,&lt;br /&gt;- wysoka ambicja i nastawienie na cel,&lt;br /&gt;- bardzo dobra organizacja pracy własnej oraz innych osób,&lt;br /&gt;- umiejętność planowania strategicznego, operacyjnego i optymalizacji procesów,&lt;br /&gt;- umiejętność zarządzania sprzętem ciężkim,&lt;br /&gt;- umiejętność wyznaczania celów i elastycznej zmiany priorytetów,&lt;br /&gt;- wiedza oraz predyspozycje liderskie,&lt;br /&gt;- wysoki poziom wiedzy teoretycznej z budownictwa drogowego,&lt;br /&gt;- prawo jazdy kat. B.&lt;br /&gt;Dodatkowe kwalifikacje:&lt;br /&gt;- nastawienie na rozwój,&lt;br /&gt;- biegła obsługa komputera (oprogramowanie MS Office, AutoCAD),&lt;br /&gt;- wiedza z budownictwa kubaturowego,&lt;br /&gt;- uprawnienia budowlane.&lt;br /&gt;</t>
  </si>
  <si>
    <t>&lt;br /&gt;Opis stanowiska:&lt;br /&gt;Głównymi zadaniami osoby na tym stanowisku będzie prowadzenie robót budowlanych, współpraca i współdziałanie z Kierownikiem Projektu z wysoką orientacją na cel.&lt;br /&gt;Kierownik Robót Drogowych będzie odpowiedzialny za:&lt;br /&gt;- bieżącą analizę i planowanie w zakresie zapotrzebowania niezbędnych zasobów ludzkich, materiałowych i sprzętowych,&lt;br /&gt;- zarządzanie robotami / zasobami zaangażowanymi w realizację inwestycji,&lt;br /&gt;- czynne zarządzanie robotami – kierowanie strategiczne i operacyjne pracą podległych pracowników i sprzętu ciężkiego,&lt;br /&gt;- prowadzenie bieżącej ewidencji kosztów, kontrola budżetu inwestycji,&lt;br /&gt;- przygotowywanie raportów i sprawozdań, prowadzenie ewidencji dokumentacji technicznej oraz korespondencji budowy,&lt;br /&gt;- kontrolowanie i rozliczanie zakresu robót objętych kontraktem,&lt;br /&gt;- kreowanie dobrej atmosfery na budowie i dobrych relacji z klientem,&lt;br /&gt;- ścisła współpraca z biurem projektów oraz menedżerem projektu.&lt;br /&gt;</t>
  </si>
  <si>
    <t>Inżynier budowy elektryk</t>
  </si>
  <si>
    <t>https://www.praca.pl/inzynier-budowy-elektryk_4666389.html</t>
  </si>
  <si>
    <t>&lt;br /&gt;Wymagania:&lt;br /&gt;- Wykształcenie wyższe.&lt;br /&gt;- Znajomość języka angielskiego w stopniu komunikatywnym, pozwalająca na swobodne komunikowanie się z zagranicznym Inwestorem.&lt;br /&gt;- Dyspozycyjność oraz gotowość pracy w miejscach realizowanych kontraktów (kontrakty na terenie Polski).&lt;br /&gt;- Znajomość podstawowych programów biurowych (m.in. Word, Excel).&lt;br /&gt;- Prawo jazdy kat. B.&lt;br /&gt;- Komunikatywność.&lt;br /&gt;- Umiejętność pracy w zespole.&lt;br /&gt;- Samodzielność, odpowiedzialność i dokładność.&lt;br /&gt;- Mile widziane doświadczenie przy budowie Farm Wiatrowych, stacji elektroenergetycznych WN/SN lub obiektów przemysłowych.&lt;br /&gt;</t>
  </si>
  <si>
    <t>&lt;br /&gt;Zakres obowiązków&lt;br /&gt;- Wsparcie Kierownika Budowy/Robót lub Kierownika kontraktu w organizacji, planowaniu i nadzorze nad realizowanymi pracami, w zakresie budowy farm wiatrowych i innych obiektów OZE oraz przemysłowych (w szczególności: fundamenty, drogi, budynki na stacjach WN/SN, linie kablowe WN/SN).&lt;br /&gt;- Kontakt z Inwestorem i jego przedstawicielami.&lt;br /&gt;- Kontrola jakości i terminowości prowadzonych prac.&lt;br /&gt;- Sprawowanie kontroli przestrzegania przepisów BHP podczas prowadzonych prac.&lt;br /&gt;- Prowadzenie dokumentacji budowy, w tym przygotowanie dokumentacji powykonawczej.&lt;br /&gt;- Udział w rozliczaniu prac podwykonawców.&lt;br /&gt;- Zamówienia materiałów w systemie ERP.&lt;br /&gt;</t>
  </si>
  <si>
    <t>Inżynier budowy / Kierownik budowy</t>
  </si>
  <si>
    <t>https://www.praca.pl/inzynier-budowy-kierownik-budowy_4660341.html</t>
  </si>
  <si>
    <t>&lt;br /&gt;Wymagania:&lt;br /&gt;- uprawnienia budowlane do kierowania robotami w specjalności kostrukcyjno budowlanej ( w przypadku kierownika budowy )&lt;br /&gt;- doświadczenie zawodowe na bodobnym stanowisku z zakresu robót budowlanych&lt;br /&gt;- doświadczenie w robotach żelbetowych, wykończeniowych, elewacyjnych, robotach ziemnych&lt;br /&gt;- dobra znajomość pakietu MS Office&lt;br /&gt;- komunikatywność, samodzielność, dobra organizacja pracy, dyspozycyjność&lt;br /&gt;- odpowiednie podejście do obowiązków, uczciwość, konsekwencja w dążeniu do celu&lt;br /&gt;- prawo jazdy kat. B&lt;br /&gt;</t>
  </si>
  <si>
    <t>&lt;br /&gt;Opis stanowiska:&lt;br /&gt;- prowadzenie, nadzorowanie i koordynacja robót budowlanych zgodnie z obowiązującymi przepisami, sztuką budowlaną i zasadami BHP&lt;br /&gt;- współpraca z podwykonawcami, inwestorem i projektantami&lt;br /&gt;- kontrola budżetu oraz rozliczanie prowadzonych robót&lt;br /&gt;- zarządzanie podległym zespołem&lt;br /&gt;</t>
  </si>
  <si>
    <t>Remitent sp. z o. o.</t>
  </si>
  <si>
    <t>Kierownik robót drogowych (z uprawnieniami drogowo-konstrukcyjnymi)</t>
  </si>
  <si>
    <t>https://www.praca.pl/kierownik-robot-drogowych-z-uprawnieniami-drogowo-konstrukcyjnymi_4771683.html</t>
  </si>
  <si>
    <t>&lt;br /&gt;Oczekiwania:&lt;br /&gt;- wykształcenia wyższego technicznego o profilu drogowym&lt;br /&gt;- posiadania uprawnień do kierowania robotami budowlanymi bez ograniczeń w specjalności drogowej i konstrukcyjnej&lt;br /&gt;- biegłej obsługi komputera (MS Project, AutoCAD),&lt;br /&gt;- dyspozycyjności&lt;br /&gt;- prawo jazdy kat.B&lt;br /&gt;</t>
  </si>
  <si>
    <t>&lt;br /&gt;Opis stanowiska:&lt;br /&gt;- Osoba zatrudniona na tym stanowisku będzie odpowiedzialna za kontrolę i nadzór nad prawidłową realizacją robót drogowych bezpośrednio na budowie.&lt;br /&gt;- Miejscem pracy są biura budów zlokalizowane na terenie całego kraju w szczególności województwo śląskie, łódzkie i mazowieckie.&lt;br /&gt;- Siedziba firmy znajduje się w Mysłowicach.&lt;br /&gt;Obowiązki :&lt;br /&gt;- bezpośrednie nadzorowanie jakości realizowanych robót&lt;br /&gt;- koordynacja i podział robót na powierzonym odcinku&lt;br /&gt;- planowanie potrzeb w zakresie sił i środków produkcji&lt;br /&gt;- bieżące monitorowanie założonego budżetu&lt;br /&gt;- uczestnictwo przy negocjacjach i wyborze podwykonawców&lt;br /&gt;- prowadzenie dziennika budowy&lt;br /&gt;- uczestnictwo w naradach koordynacyjnych&lt;br /&gt;</t>
  </si>
  <si>
    <t>Kierownik robót instalacyjnych</t>
  </si>
  <si>
    <t>https://www.praca.pl/kierownik-robot-instalacyjnych_4771635.html</t>
  </si>
  <si>
    <t>&lt;br /&gt;Wymagania:&lt;br /&gt;- doświadczenie przy pełnieniu funkcji kierownika budowy lub kierownika robót w pracach zawiązanych z budową zewnętrznych sieci wod-kan&lt;br /&gt;- umiejętność czytania map i projektów oraz obsługi niwelatora&lt;br /&gt;- uprawnienia budowlane do prowadzenia i nadzorowania robót budowlanych w specjalności sanitarnej (sieci zewnętrzne: wod-kan, gaz)&lt;br /&gt;- doświadczenie w nadzorowaniu robót instalacyjnych jako kierownik robót/kierownik budowy&lt;br /&gt;- umiejętność obsługi programu AUTOCAD&lt;br /&gt;- prawo jazdy kat.B&lt;br /&gt;- dyspozycyjność&lt;br /&gt;</t>
  </si>
  <si>
    <t>&lt;br /&gt;Opis stanowiska:&lt;br /&gt;- Osoba zatrudniona na tym stanowisku będzie odpowiedzialna za kontrolę i nadzór nad prawidłową realizacją robót instalacyjnych bezpośrednio na budowie.&lt;br /&gt;- Miejscem pracy są biura budów zlokalizowane na terenie całego kraju w szczególności województwo śląskie, łódzkie i mazowieckie.&lt;br /&gt;- Siedziba firmy znajduje się w Mysłowicach.&lt;br /&gt;Obowiązki:&lt;br /&gt;- nadzorowanie i koordynacja robót sanitarnych prowadzonych na budowie&lt;br /&gt;- współpraca z podwykonawcami, inwestorem i projektantami&lt;br /&gt;- kontrola budżetu oraz rozliczanie robót&lt;br /&gt;- prowadzenie dokumentacji technicznej i uczestnictwo w odbiorach&lt;br /&gt;- optymalizacja rozwiązań technicznych i materiałowych&lt;br /&gt;- opracowywanie harmonogramów budowy, bieżące monitorowanie stopnia zaawansowania robót&lt;br /&gt;- nadzór nad pracą podległych pracowników&lt;br /&gt;- dbałość o racjonalne gospodarowanie środkami sprzętowo-materiałowymi&lt;br /&gt;</t>
  </si>
  <si>
    <t>Football Academy</t>
  </si>
  <si>
    <t>Właściciel oddziału - szkółka piłkarska dla dzieci</t>
  </si>
  <si>
    <t>Kierownik centrum rozrywki dla dzieci</t>
  </si>
  <si>
    <t>Polska, podkarpackie, Przemyśl, Mielec, Tarnobrzeg, Krosno, Dębica, Sanok, Jasło, Łańcut, Ropczyce, Przeworsk, Leżajsk</t>
  </si>
  <si>
    <t>https://www.praca.pl/wlasciciel-oddzialu-szkolka-pilkarska-dla-dzieci_4725747.html</t>
  </si>
  <si>
    <t>1862,1811,1864,1861,1803,1817,1805,1810,1815,1814,1808</t>
  </si>
  <si>
    <t>RPd057|134101</t>
  </si>
  <si>
    <t>&lt;br /&gt;Twój zakres obowiązków:&lt;br /&gt;- określenie potencjału i wybór miejscowości/miasta do prowadzenia własnej szkółki piłkarskiej&lt;br /&gt;- znalezienie odpowiedniej kadry do prowadzenia zajęć&lt;br /&gt;- zlokalizowanie i rezerwacja odpowiedniego obiektu treningowego (boisko ze sztuczną murawą lub wysokiej klasy trawą naturalną, sala gimnastyczna lub hala)&lt;br /&gt;- zabezpieczenie niewielkiego budżetu reklamowego oraz zakupu pakietu sprzętowego&lt;br /&gt;- prowadzenie oddziału Football Academy zgodnie z naszymi standardami&lt;br /&gt;Nasze wymagania:&lt;br /&gt;- posiadasz pierwiastek przedsiębiorcy&lt;br /&gt;- jesteś gotowy na prowadzenie własnej szkółki piłkarskiej pod szyldem Football Academy&lt;br /&gt;- jesteś nastawiony na cel&lt;br /&gt;- lubisz ludzi i pracę z nimi&lt;br /&gt;- kochasz sport&lt;br /&gt;- wyróżnia cię zaangażowanie, inicjatywa i duża kreatywność w działaniu&lt;br /&gt;- mile widziani trenerzy piłki nożnej, pedagodzy, absolwenci kierunków wychowania fizycznego oraz wszyscy pasjonaci sportu&lt;br /&gt;- mile widziani trenerzy piłki nożnej, pedagodzy, absolwenci kierunków wychowania fizycznego oraz wszyscy pasjonaci sportu&lt;br /&gt;Co nas wyróżnia:&lt;br /&gt;- 11 lat doświadczenia na rynku&lt;br /&gt;- największa sieć szkółek piłkarskich dla dzieci&lt;br /&gt;- ponad 130 oddziałów w Polsce&lt;br /&gt;- współpraca z Lechem Poznań i 22 krotnym mistrzem Portugalii Sportingiem Lizbona&lt;br /&gt;</t>
  </si>
  <si>
    <t>Woodward Poland Sp. z o.o.</t>
  </si>
  <si>
    <t>Materials Systems/Logistics Manager</t>
  </si>
  <si>
    <t>https://www.praca.pl/materials-systems-logistics-manager_4663191.html</t>
  </si>
  <si>
    <t>&lt;br /&gt;JOB QUALIFICATIONS / REQUIREMENTS:&lt;br /&gt;- Excellent people, time management, and project management skills&lt;br /&gt;- Significant understanding of materials management processes and Lean Manufacturing principles&lt;br /&gt;- Ability to facilitate and coordinate problem-solving activities internal and with the suppliers to assure on time deliveries&lt;br /&gt;- Analytical mind and out of the box thinking&lt;br /&gt;- 3-5 years leadership experience in logistics within industrial manufacturing environment (preferable high mix, low volume)&lt;br /&gt;- BSc degree in Logistics or related field&lt;br /&gt;</t>
  </si>
  <si>
    <t>&lt;br /&gt;DUTIES:&lt;br /&gt;- Develops and manages material and production planning team and staff of stock-handlers&lt;br /&gt;- Develops and executes inventory strategies internally and with suppliers&lt;br /&gt;- Implements LEAN solutions into material management and logistics processes&lt;br /&gt;- Initiates and drives continuous improvement activities related to logistics matters (in order to improve safety, quality, delivery, responsiveness and cost)&lt;br /&gt;- Stockrooms management and optimization&lt;br /&gt;</t>
  </si>
  <si>
    <t>Murex Project Manager</t>
  </si>
  <si>
    <t>https://www.praca.pl/murex-project-manager_4665399.html</t>
  </si>
  <si>
    <t>VR-61165</t>
  </si>
  <si>
    <t>&lt;br /&gt;- Project management experience of several projects in the risk controlling and capital market environment with a size of several hundred person days Experience in multi-project, program and project portfolio management Management experience (social skills, conflict management, control,&lt;br /&gt;coaching) Knowledge and application experience of different project management methods&lt;br /&gt;Standard market certification in project management (e.g. PMI, IPMA , PRINCE2) In-depth&lt;br /&gt;knowledge of the money and capital markets (products and processes) Communication with the project team and with Murex SAS in English&lt;br /&gt;Comprehensive experience and knowledge of securities processing, custody account accounting and depository administration (OTC business with bearer bonds)&lt;br /&gt;Banking background&lt;br /&gt;Very good analytical and conceptual skills, strong communication&lt;br /&gt;skills, ability to work in a team and resilience. Independence /&lt;br /&gt;independent work&lt;br /&gt;Fluent written and spoken German and English&lt;br /&gt;custody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</si>
  <si>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/&gt;Project management of various projects in the project portfolio&lt;br /&gt;Planning, controlling and reporting in relation to budget, deadlines, quality with the&lt;br /&gt;involvement of the PMO&lt;br /&gt;Determination of resource requirements, resource planning, resource control and tracking&lt;br /&gt;Ongoing validation of work progress and initiation of preventive measures or countermeasures to&lt;br /&gt;secure deadlines and results&lt;br /&gt;Active risk management and implementation of escalations in the event of delayed deadlines,&lt;br /&gt;resource bottlenecks, quality deficits, etc.&lt;br /&gt;Control of the project team&lt;br /&gt;Communication and coordination of common tasks with the company Murex SAS&lt;br /&gt;Communication of project results and status to the management of the bank Close&lt;br /&gt;coordination with the project management team of the bank&lt;br /&gt;</t>
  </si>
  <si>
    <t>Service Owner</t>
  </si>
  <si>
    <t>https://www.praca.pl/service-owner_4662246.html</t>
  </si>
  <si>
    <t>&lt;br /&gt;Requirements:&lt;br /&gt;- 5 years of experience in leading full cycle of IT Operations&lt;br /&gt;- 5 years of experience in leading virtual/dispersed and multinational teams in IT Operations&lt;br /&gt;- Experience in successful using SCRUM or other Agile and/or Lean methods/toolsAdvanced knowledge of ITIL processes and agile methodologies (preferably confirmed with a certificate)&lt;br /&gt;- Advanced knowledge of Service Management tools preferably ServiceNow and Jira&lt;br /&gt;- Nice to have: Experience in Cloud Integration&lt;br /&gt;Responsibilities:&lt;br /&gt;- Maintaining roadmap for solution lifecycle within the Legal area, and aligned with Business and IT strategies, lead strategy with Enterprise Architecture&lt;br /&gt;- Managing customers' experience and satisfaction with the Solution (covering all involved components), identify and assess prospects to evolve service and maintain trust&lt;br /&gt;- Providing oversight and escalation for adherence to IT Standards (incl Security, Privacy, Quality and Processes)&lt;br /&gt;- Responsible for driving continuous improvements to facilitate 'good enough' team output and elevating overall service experience&lt;br /&gt;- Working with vendors to ensure effective and appropriate mapping of business needs to technology capabilities&lt;br /&gt;- Communicating proactively and reactively around solution related events (Change, Incident and Major Updates)&lt;br /&gt;</t>
  </si>
  <si>
    <t>&lt;br /&gt;We are looking for an experienced Service Owner!&lt;br /&gt;Location: Remote&lt;br /&gt;$: 830 zł net/day/B2B&lt;br /&gt;</t>
  </si>
  <si>
    <t>Cosmedica</t>
  </si>
  <si>
    <t>Dermokonsultant / Dermokonsultantka</t>
  </si>
  <si>
    <t>https://www.praca.pl/dermokonsultant-dermokonsultantka_4568335.html</t>
  </si>
  <si>
    <t>&lt;br /&gt;Jakich osób szukamy?&lt;br /&gt;- Zaangażowanych i lubiących kontakt z Klientem&lt;br /&gt;- Dokładnych i chętnych do nauki&lt;br /&gt;- Mających doświadczenie na stanowisku sprzedażowym/ konsultanta&lt;br /&gt;- Zainteresowanych Kosmetologią i podążających za najnowszymi trendami&lt;br /&gt;- Nastawionych na współpracę i osiąganie wyznaczonych celów&lt;br /&gt;Do Twoich obowiązków będzie należeć:&lt;br /&gt;- Budowanie relacji z Klientem w oparciu o najwyższe standardy obsługi&lt;br /&gt;- Dobór odpowiednich dermokosmetyków w zależności od potrzeb Klienta&lt;br /&gt;</t>
  </si>
  <si>
    <t>&lt;br /&gt;Mielec&lt;br /&gt;</t>
  </si>
  <si>
    <t>https://www.praca.pl/kontroler-skarbowy_4658445.html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</si>
  <si>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ustaw o podatku dochodowym, podatku akcyzowym, podatku od towarów i usług oraz przepisów w zakresie identyfikacji i rejestracji podatkowej&lt;br /&gt;- Znajomość przepisów o postępowaniu przed sądami administracyjnymi&lt;br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</si>
  <si>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Opracowuje zestawienia, których obowiązek sporządzania wynika z przepisów prawa w zakresie właściwości komórki,&lt;br /&gt;- Sprawuje nadzór nad wprowadzaniem i rzetelnością danych w Centralnej Ewidencji Kas Rejestrujących,&lt;br /&gt;- Wdraża i koordynuje w zakresie właściwości komórki stosowanie jednolitych standardów w komórkach organizacyjnych podległych urzędów,&lt;br /&gt;- Sporządza informacje, analizy i sprawozdania w zakresie realizowanych zadań,&lt;br /&gt;- Przygotowuje i opracowuje materiały źródłowe niezbędne do udzielenia informacji publicznej,&lt;br /&gt;- Sprawuje nadzór nad poprawnością danych w aplikacjach informatycznych wspierających pracę w poszczególnych obszarach,&lt;br /&gt;- Rozpatruje wnioski o wyłączenie z udziału w postępowaniu pracownika komórki na podstawie art. 130 Ordynacji podatkowej,&lt;br /&gt;- Współpracuje przy realizacji zadań z komórkami organizacyjnymi Izby i innymi jednostkami organizacyjnymi KAS.&lt;br /&gt;</t>
  </si>
  <si>
    <t>https://www.praca.pl/kontroler-skarbowy_4658448.html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</si>
  <si>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i ustawy o podatku akcyzowym&lt;br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</si>
  <si>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postępowania w zakresie uregulowanym ustawą o podatku akcyzowym dotyczącym obrotu krajowego i transakcji wewnątrzwspólnotowych, ustawą o grach hazardowych, ustawą o podatku od wydobycia niektórych kopalin, ustawą o podatku od towarów i usług w przypadku wewnątrzwspólnotowego nabycia paliw silnikowych, ustawą o autostradach płatnych oraz Krajowym Funduszu Drogowym w zakresie opłaty paliwowej od paliw silnikowych ciążącej na podmiotach innych niż importer, ustawą – Prawa ochrony środowiska w zakresie opłaty emisyjnej&lt;br /&gt;- Prowadzi postępowania w sprawach nakładania kar pieniężnych przewidzianych w ustawie podatku akcyzowym&lt;br /&gt;- Prowadzi postępowania w sprawach zezwoleń na wykonywanie działalności w zakresie podatku akcyzowego&lt;br /&gt;- Obsługuje system EMCS PL w zakresie monitorowania przemieszczania wyrobów akcyzowych z zastosowaniem procedury zawieszenia poboru akcyzy&lt;br /&gt;- Współpracuje przy realizacji zadań z innymi organami&lt;br /&gt;- Dokonuje poświadczeń ewidencji zaświadczeń prowadzonych przez podmiot urządzający grę hazardową i poświadcza ewidencje wydanych zaświadczeń o uzyskanej wygranej w grach hazardowych&lt;br /&gt;- Dokonuje urzędowych adnotacji związanych z powstaniem i wykonaniem zobowiązań podatkowych na dokumentach potwierdzających złożenie zabezpieczenia akcyzowego&lt;br /&gt;- Prowadzi czynności sprawdzające&lt;br /&gt;</t>
  </si>
  <si>
    <t>https://www.praca.pl/kucharz_4724799.html</t>
  </si>
  <si>
    <t>Wymagania&lt;br /&gt;&lt;br /&gt;- wysoka kultura osobista&lt;br /&gt;- samodzielność&lt;br /&gt;- odpowiedzialność&lt;br /&gt;- doświadczenie na podobnym stanowisku&lt;br /&gt;- umiejętność pracy w zespole&lt;br /&gt;- pasja do gotowania&lt;br /&gt;- doskonała organizacja pracy własnej&lt;br /&gt;- komunikatywność i zaangażowanie&lt;br /&gt;- energiczność&lt;br /&gt;- wysoka jakość pracy (terminowość, dokładność, staranność)&lt;br /&gt;- aktualna książeczka Sanepidu&lt;br /&gt;- racjonalne gospodarowanie produktem&lt;br /&gt;- współpraca z obsługą restauracji&lt;br /&gt;</t>
  </si>
  <si>
    <t>Pracownik magazynowy</t>
  </si>
  <si>
    <t>https://www.praca.pl/pracownik-magazynowy_4563770.html</t>
  </si>
  <si>
    <t>&lt;br /&gt;- pracowitość,&lt;br /&gt;- sumienność,&lt;br /&gt;- mile widziane uprawnienia na wózki widłowe.&lt;br /&gt;</t>
  </si>
  <si>
    <t>&lt;br /&gt;Zadania:&lt;br /&gt;- przyjmowanie do magazynu i wydawanie gotowych wyrobów,&lt;br /&gt;- zapewnienie odpowiedniego przechowywania i wydawania towaru,&lt;br /&gt;- udział w inwentaryzacjach,&lt;br /&gt;- sporządzanie odpowiedniej dokumentacji,&lt;br /&gt;- sporządzanie spisów zapasów magazynowych.&lt;br /&gt;</t>
  </si>
  <si>
    <t>https://www.praca.pl/magazynier_4610032.html</t>
  </si>
  <si>
    <t>&lt;br /&gt;Oczekiwania wobec kandydatów:&lt;br /&gt;- wykształcenie zawodowe/średnie&lt;br /&gt;- uprawnienia na wózki widłowe UDT&lt;br /&gt;</t>
  </si>
  <si>
    <t>https://www.praca.pl/magazynier_4721175.html</t>
  </si>
  <si>
    <t>https://www.praca.pl/magazynier_4721274.html</t>
  </si>
  <si>
    <t>&lt;br /&gt;Oczekiwania wobec kandydatów:&lt;br /&gt;- wykształcenie zawodowe/średnie&lt;br /&gt;- uprawnienia na wózki widłowe UDT&lt;br /&gt;- gotowość podjęcia szkolenia wdrożeniowego&lt;br /&gt;</t>
  </si>
  <si>
    <t>https://www.praca.pl/magazynier_4785684.html</t>
  </si>
  <si>
    <t>&lt;br /&gt;Oczekiwania wobec kandydatów:&lt;br /&gt;- wykształcenie zawodowe/średnie&lt;br /&gt;- uprawnienia na wózki widłowe UDT (mile widziane)&lt;br /&gt;- gotowość podjęcia szkolenia wdrożeniowego&lt;br /&gt;</t>
  </si>
  <si>
    <t>Operator tamponiarki</t>
  </si>
  <si>
    <t>Maszynista maszyn wklęsłodrukowych</t>
  </si>
  <si>
    <t>https://www.praca.pl/operator-tamponiarki_4563769.html</t>
  </si>
  <si>
    <t>RPd057|732207</t>
  </si>
  <si>
    <t>&lt;br /&gt;- pracowitość,&lt;br /&gt;- dyspozycyjność,&lt;br /&gt;- dokładność,&lt;br /&gt;- gotowość pracy w ruchu ciągłym.&lt;br /&gt;</t>
  </si>
  <si>
    <t>&lt;br /&gt;Zadania:&lt;br /&gt;- obsługa maszyn do tampodruku,&lt;br /&gt;- wykonywanie nadruku,&lt;br /&gt;- bieżąca kontrola jakości nadruku,&lt;br /&gt;</t>
  </si>
  <si>
    <t>MULTiSERWIS Sp. z o.o.</t>
  </si>
  <si>
    <t>Monter instalacji wentylacyjnych, grzewczych i sanitarnych</t>
  </si>
  <si>
    <t>https://www.praca.pl/monter-instalacji-wentylacyjnych,grzewczych-i-sanitarnych_4667523.html</t>
  </si>
  <si>
    <t>&lt;br /&gt;Oczekiwania:&lt;br /&gt;- Komunikatywna znajomość języka niemieckiego – warunek konieczny&lt;br /&gt;- Umiejętność czytania rysunku technicznego&lt;br /&gt;- Minimum 2-letnie doświadczenie na w/w stanowisku&lt;br /&gt;- Prawo jazdy kat. B&lt;br /&gt;</t>
  </si>
  <si>
    <t>&lt;br /&gt;Miejsce pracy: Austria – Wiedeń, Innsbruck&lt;br /&gt;Zakres obowiązków:&lt;br /&gt;- Praca na budowach przy montażu kanałów wentylacyjnych, instalacji sanitarnych i grzewczych&lt;br /&gt;- Montaż i serwisowanie urządzeń wentylacyjnych, sanitarnych i grzewczych&lt;br /&gt;</t>
  </si>
  <si>
    <t>https://www.praca.pl/monter-konstrukcji-stalowych_4713756.html</t>
  </si>
  <si>
    <t>Wymagania&lt;br /&gt;&lt;br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</si>
  <si>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montaż konstrukcji stalowych, regałów wysokiego składowania, regałów magazynowych na podstawie rysunku technicznego, przy użyciu określonych technik i narzędzi.&lt;br /&gt;</t>
  </si>
  <si>
    <t>Monter do budowy antresol magazynowych</t>
  </si>
  <si>
    <t>https://www.praca.pl/monter-do-budowy-antresol-magazynowych_4713870.html</t>
  </si>
  <si>
    <t>Wymagania&lt;br /&gt;&lt;br /&gt;- doświadczenie na podobnym stanowisku;&lt;br /&gt;- uprawnienia na platformy nożycowe, wózki widłowe;&lt;br /&gt;- znajomość rysunku technicznego;&lt;br /&gt;- brak przeciwwskazań do prac na wysokości powyżej 3m;&lt;br /&gt;- wysoka motywacja do pracy;&lt;br /&gt;- dyspozycyjność;&lt;br /&gt;- sumienność; dokładność;&lt;br /&gt;- odpowiedzialność za powierzone zadania;&lt;br /&gt;- prawo jazdy kat. B;&lt;br /&gt;- poszukujemy osób z całej Polski&lt;br /&gt;</t>
  </si>
  <si>
    <t>Opis stanowiska&lt;br /&gt;&lt;br /&gt;- praca w krajach UE&lt;br /&gt;- montaż antresol przemysłowych, magazynowych.&lt;br /&gt;</t>
  </si>
  <si>
    <t>Monter regałów magazynowych z językiem niemieckim</t>
  </si>
  <si>
    <t>https://www.praca.pl/monter-regalow-magazynowych-z-jezykiem-niemieckim_4713969.html</t>
  </si>
  <si>
    <t>Wymagania&lt;br /&gt;&lt;br /&gt;- znajomość języka niemieckiego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</si>
  <si>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zapewnienie na budowie komunikacji w języku niemieckim;&lt;br /&gt;- drobne prace przy montażu regałów magazynowych;&lt;br /&gt;</t>
  </si>
  <si>
    <t>Monter regałów magazynowych z językiem angielskim</t>
  </si>
  <si>
    <t>https://www.praca.pl/monter-regalow-magazynowych-z-jezykiem-angielskim_4714068.html</t>
  </si>
  <si>
    <t>Wymagania&lt;br /&gt;&lt;br /&gt;- znajomość języka angielskiego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</si>
  <si>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zapewnienie komunikacji w języku angielskim na budowie;&lt;br /&gt;- drobne prace przy montażu regałów magazynowych;&lt;br /&gt;- praca w krajach UE.&lt;br /&gt;</t>
  </si>
  <si>
    <t>Nauczyciel na kursie Kierownik wypoczynku</t>
  </si>
  <si>
    <t>https://www.praca.pl/nauczyciel-na-kursie-kierownik-wypoczynku_4724349.html</t>
  </si>
  <si>
    <t>&lt;br /&gt;APLIKUJ, JEŚLI POSIADASZ:&lt;br /&gt;- Wykształcenie kierunkowe (pedagogika, psychologia, administracja lub opieka społeczna)&lt;br /&gt;- Kwalifikacje uprawniające do nauczania danego przedmiotu&lt;br /&gt;- Przygotowanie pedagogiczne&lt;br /&gt;- Sumienność&lt;br /&gt;- Rzetelność&lt;br /&gt;</t>
  </si>
  <si>
    <t>AllRight</t>
  </si>
  <si>
    <t>Nauczyciel języka angielskiego</t>
  </si>
  <si>
    <t>Nauczyciel języka obcego w szkole podstawowej</t>
  </si>
  <si>
    <t>https://www.praca.pl/nauczyciel-jezyka-angielskiego_4663077.html</t>
  </si>
  <si>
    <t>RPd057|234104</t>
  </si>
  <si>
    <t>Wymagania&lt;br /&gt;&lt;br /&gt;- A passion for working with children, and a willingness to learn new skills&lt;br /&gt;- At least a C1 in English&lt;br /&gt;- Availability to teach for at least 15 hours per week during peak hours in the Warsaw time zone (16:00 to 21:00 Monday to Friday, and 11:00 to 21:00 on weekends)&lt;br /&gt;- A Bachelors degree in Education (or similar) OR a teaching certificate (TESOL/TESL/TEFL/CELTA or other).&lt;br /&gt;- Polish language skills.&lt;br /&gt;</t>
  </si>
  <si>
    <t>Nauczyciel na kierunku Opiekun w żłobku lub klubie dziecięcym</t>
  </si>
  <si>
    <t>https://www.praca.pl/nauczyciel-na-kierunku-opiekun-w-zlobku-lub-klubie-dzieciecym_4724148.html</t>
  </si>
  <si>
    <t>RPd057|234201</t>
  </si>
  <si>
    <t>Operator maszyn produkcyjnych</t>
  </si>
  <si>
    <t>Operator maszyn introligatorskich</t>
  </si>
  <si>
    <t>Polska, podkarpackie, Zaczernie</t>
  </si>
  <si>
    <t>https://www.praca.pl/operator-maszyn-produkcyjnych_4662726.html</t>
  </si>
  <si>
    <t>RPd057|732304</t>
  </si>
  <si>
    <t>&lt;br /&gt;Poszukiwane kompetencje&lt;br /&gt;- doświadczenie na podobnym stanowisku min. 1 rok&lt;br /&gt;- doświadczenie w firmie produkcyjnej przy obsłudze maszyn&lt;br /&gt;- umiejętność przezbrajania linii/maszyn oraz usuwania drobnych awarii&lt;br /&gt;- umiejętność rozwiązywania problemów&lt;br /&gt;- obsługa komputera&lt;br /&gt;- samodzielność, dokładność&lt;br /&gt;- dobra organizacja pracy, terminowość&lt;br /&gt;</t>
  </si>
  <si>
    <t>&lt;br /&gt;Zakres obowiązków&lt;br /&gt;- obsługa maszyn introligatorskich do oprawy fotoksiążek&lt;br /&gt;- obsługa ploterów tnących sterowanych numerycznie&lt;br /&gt;- obsługa półautomatycznych maszyn do składania fotoobrazów&lt;br /&gt;- przygotowywanie surowców&lt;br /&gt;- bieżące monitorowanie procesu produkcyjnego&lt;br /&gt;- dbanie o stan techniczny maszyn,narzędzi i przyrządów pomiarowych&lt;br /&gt;- rozwiązywanie problemów technologicznych w trakcie bieżącej produkcji&lt;br /&gt;- nadzór i kontrola sprawności maszyn&lt;br /&gt;- terminowe realizowanie harmonogramu produkcji&lt;br /&gt;- prace porządkowe i dbanie o czystość miejsca pracy&lt;br /&gt;- dbanie o zachowanie najwyższej jakości produktów&lt;br /&gt;- przestrzeganie zasad bezpieczeństwa i higieny pracy&lt;br /&gt;</t>
  </si>
  <si>
    <t>Armadas</t>
  </si>
  <si>
    <t>Operator prasy krawędziowej CNC</t>
  </si>
  <si>
    <t>https://www.praca.pl/operator-prasy-krawedziowej-cnc_4723722.html</t>
  </si>
  <si>
    <t>&lt;br /&gt;Wymagania:&lt;br /&gt;- doświadczenie na stanowisku operatora maszyn CNC (Trumpf i LVD) mile widziane&lt;br /&gt;- umiejętność programowania maszyn z pulpitu mile widziana&lt;br /&gt;- umiejętność doboru narzędzi oraz parametrów&lt;br /&gt;- znajomość obsługi narzędzi pomiarowych - suwmiarka, mikrometr&lt;br /&gt;- znajomość rysunku technicznego&lt;br /&gt;- dobra znajomość języka angielskiego, niemieckiego lub niderlandzkiego&lt;br /&gt;- po krótkim okresie szkolenia, praca na zmianę popołudniową (15.00- 23.30)&lt;br /&gt;- wysoka kultura osobista, odpowiedzialność oraz zaangażowanie&lt;br /&gt;</t>
  </si>
  <si>
    <t>&lt;br /&gt;Miejsce pracy: Holandia / Eersel &lt;br /&gt;Firma z branży metalurgicznej z ponad 50 letnim doświadczeniem specjalizująca się w produkcji wyrobów ze stali, stali nierdzewnej oraz aluminium poszukuje operatora prasy krawedziowej.&lt;br /&gt;Zakres obowiązków:&lt;br /&gt;- Obsługa nowoczesnych pras krawędziowych (Triumpf i LVD)&lt;br /&gt;- Praca na różnorodnych produktach wykonanych ze stali, stali nierdzewnej lub aluminium&lt;br /&gt;- Samodzielne operowanie maszyny na podstawie rysunku technicznego&lt;br /&gt;- Ustawianie parametrów maszyny i wprowadzanie poprawek w programach&lt;br /&gt;- Kontrola jakości wykonywanych elementów&lt;br /&gt;</t>
  </si>
  <si>
    <t>Operator Spycharki</t>
  </si>
  <si>
    <t>Operator spycharki</t>
  </si>
  <si>
    <t>https://www.praca.pl/operator-spycharki_4610905.html</t>
  </si>
  <si>
    <t>RPd057|834208</t>
  </si>
  <si>
    <t>&lt;br /&gt;Wymagania lub mile widziane umiejętności związane ze stanowiskiem pracy:&lt;br /&gt;- posiadanie uprawnień oraz kwalifikacji do obsługi maszyn budowlano – drogowych;&lt;br /&gt;- min. 1 rok doświadczenia w pracy na spycharce;&lt;br /&gt;- mile widziana znajomość obsługi systemu sterowania Trimble;&lt;br /&gt;- wykształcenie zawodowe;&lt;br /&gt;- dobra organizacja pracy własnej i samodzielność przy wykonywaniu wytyczonych zadań;&lt;br /&gt;- zdolności manualne, dokładność, precyzja i estetyka wykonywanych prac;&lt;br /&gt;- gotowość do podjęcia pracy „od zaraz”;&lt;br /&gt;- gotowość do odbywania delegacji / dyspozycyjność – praca na terenie południowych i centralnych województw Polski;&lt;br /&gt;- zaangażowanie w wykonywaną pracę;&lt;br /&gt;- umiejętność pracy w grupie / zespole.&lt;br /&gt;</t>
  </si>
  <si>
    <t>&lt;br /&gt;Do głównych obowiązków przyjętej osoby będzie należało:&lt;br /&gt;- obsługa maszyn budowlanych takich jak: spycharka gąsienicowa, zgodnie z zasadami bezpieczeństwa;&lt;br /&gt;- dbanie o powierzony sprzęt, bieżąca konserwacja i drobne naprawy;&lt;br /&gt;- współpraca z zespołem realizującym projekt.&lt;br /&gt;</t>
  </si>
  <si>
    <t>Operator wtryskarki / Operator wtryskarki - brygadzista</t>
  </si>
  <si>
    <t>https://www.praca.pl/operator-wtryskarki-operator-wtryskarki-brygadzista_4564156.html</t>
  </si>
  <si>
    <t>&lt;br /&gt;- doświadczenie na podobnym stanowisku&lt;br /&gt;- znajomość procesów przetwórstwa tworzyw sztucznych&lt;br /&gt;- mile widziane uprawnienia na suwnice&lt;br /&gt;- umiejętność organizacji pracy podległych pracowników&lt;br /&gt;</t>
  </si>
  <si>
    <t>&lt;br /&gt;Zadania:&lt;br /&gt;- ustawianie parametrów wtrysku tworzyw sztucznych i/lub gumy&lt;br /&gt;- nadzorowanie bieżącej produkcji i przezbrojeń&lt;br /&gt;- usuwanie niezgodności i wad wyprasek&lt;br /&gt;- współpraca z działem jakości i narzędziownią&lt;br /&gt;</t>
  </si>
  <si>
    <t>https://www.goldenline.pl/praca/oferta/1274208/zielonalinia0?utm_campaign=partner&amp;gpid=983780&amp;utm_medium=export&amp;glc_source=zielonalinia0&amp;utm_source=zielonalinia0</t>
  </si>
  <si>
    <t>05.05.2021 07:39</t>
  </si>
  <si>
    <t>a0t5800000Zse1KAAR</t>
  </si>
  <si>
    <t>https://gratka.pl/praca/operator-linii-montazowej/ob/21354745?utm_source=zielonalinia.pl&amp;utm_medium=zielonalinia&amp;utm_campaign=export_xml</t>
  </si>
  <si>
    <t>Polska, podkarpackie, Jarosław, Mielec, Przemyśl, Rzeszów, Stalowa Wola</t>
  </si>
  <si>
    <t>https://www.praca.pl/opiekun-klienta_4536804.html</t>
  </si>
  <si>
    <t>05.05.2021 00:24</t>
  </si>
  <si>
    <t>27.04.2021</t>
  </si>
  <si>
    <t>20.05.2021</t>
  </si>
  <si>
    <t>1804,1811,1862,1863,1818</t>
  </si>
  <si>
    <t>Op_mk_04.21</t>
  </si>
  <si>
    <t>&lt;br /&gt;Twoje zadania:&lt;br /&gt;- aktywne pozyskiwanie klienta&lt;br /&gt;- budowanie relacji z klientem&lt;br /&gt;- promowanie produktów oraz usług oferowanych przez naszą firmę&lt;br /&gt;- reprezentowanie najwyższych standardów jakości obsługi klienta&lt;br /&gt;</t>
  </si>
  <si>
    <t>&lt;br /&gt;Potrzebne Ci będzie:&lt;br /&gt;- zaangażowanie w realizację celów&lt;br /&gt;- umiejętność współpracy w zespole&lt;br /&gt;- gotowość do pracy w galerii handlowej w systemie zmianowym&lt;br /&gt;- min. średnie wykształcenie&lt;br /&gt;</t>
  </si>
  <si>
    <t>HomeGlobal</t>
  </si>
  <si>
    <t>Specjalista Back Office ze znajomością języka niemieckiego</t>
  </si>
  <si>
    <t>https://www.praca.pl/specjalista-back-office-ze-znajomoscia-jezyka-niemieckiego_4726272.html</t>
  </si>
  <si>
    <t>&lt;br /&gt;W wykonaniu tych zadań pomoże Ci:&lt;br /&gt;- Biegła znajomość języka niemieckiego;&lt;br /&gt;- Otwartość na kontakt z klientem zarówno w formie mailowej jak i telefonicznej;&lt;br /&gt;- Wysoka kultura osobista oraz gotowość do przyswajania nowej wiedzy;&lt;br /&gt;- Inicjatywa i konsekwencja w realizacji zadań;&lt;br /&gt;- Doświadczenie w telefonicznej lub mailowej obsłudze klienta będzie Twoim dodatkowym atutem.&lt;br /&gt;</t>
  </si>
  <si>
    <t>&lt;br /&gt;Lokalizacja: Warszawa/współpraca zdalna&lt;br /&gt;Twoim zadaniem będzie:&lt;br /&gt;- Mailowe oraz telefoniczne wsparcie klienta w zakresie obsługi posprzedażowej;&lt;br /&gt;- Zapewnianie klientom pomocy w trakcie procesów składania zamówień, zwrotów lub wymian;&lt;br /&gt;- Dostarczanie informacji o usługach oraz rozwiązywanie pojawiających się problemów;&lt;br /&gt;- Dbanie o satysfakcję klientów oraz identyfikowanie ich potrzeb.&lt;br /&gt;</t>
  </si>
  <si>
    <t>Soczewki24.pl</t>
  </si>
  <si>
    <t>Optometrysta / Refrakcjonista w Salonie Optycznym</t>
  </si>
  <si>
    <t>Optometrysta</t>
  </si>
  <si>
    <t>https://www.praca.pl/optometrysta-refrakcjonista-w-salonie-optycznym_4784694.html</t>
  </si>
  <si>
    <t>RPd057|229501</t>
  </si>
  <si>
    <t>&lt;br /&gt;Wymagania:&lt;br /&gt;- umiejętność badania wzroku klientów salonu potwierdzona stosownymi dokumentami (Refrakcjonista lub Optometrysta) – WARUNEK KONIECZNY!&lt;br /&gt;- umiejętność pracy w zespole&lt;br /&gt;- wysoka kultura osobista&lt;br /&gt;- dyspozycyjność&lt;br /&gt;- udział w szkoleniach organizowanych przez pracodawcę&lt;br /&gt;- znajomość języka angielskiego lub niemieckiego będzie dodatkowym atutem&lt;br /&gt;- doświadczenie w przeprowadzaniu refrakcji będzie dodatkowym atutem&lt;br /&gt;</t>
  </si>
  <si>
    <t>&lt;br /&gt;Opis stanowiska:&lt;br /&gt;- przeprowadzanie badań wzroku&lt;br /&gt;- obsługa Klienta zgodnie z wysokimi standardami obowiązującymi w firmie&lt;br /&gt;- profesjonalne doradztwo i sprzedaż&lt;br /&gt;- wzorowa organizacja czasu pracy&lt;br /&gt;- realizacja założonych planów sprzedażowych&lt;br /&gt;- dbałość o asortyment i salon&lt;br /&gt;- rekomendowanie najlepszych rozwiązań dla Klienta&lt;br /&gt;- udział w eventach marketingowych i sprzedażowych&lt;br /&gt;</t>
  </si>
  <si>
    <t>Nauczyciel na kursie pedagogicznym dla instruktorów praktycznej nauki zawodu</t>
  </si>
  <si>
    <t>Pedagog</t>
  </si>
  <si>
    <t>https://www.praca.pl/nauczyciel-na-kursie-pedagogicznym-dla-instruktorow-praktycznej-nauki-zawodu_4724196.html</t>
  </si>
  <si>
    <t>RPd057|235921</t>
  </si>
  <si>
    <t>Nauczyciel na kierunku Pomoc nauczyciela przedszkola</t>
  </si>
  <si>
    <t>Pedagog szkolny</t>
  </si>
  <si>
    <t>https://www.praca.pl/nauczyciel-na-kierunku-pomoc-nauczyciela-przedszkola_4724100.html</t>
  </si>
  <si>
    <t>RPd057|235912</t>
  </si>
  <si>
    <t>BBR Polska Sp. z o.o.</t>
  </si>
  <si>
    <t>Pracownik Ogólnobudowlany</t>
  </si>
  <si>
    <t>https://www.praca.pl/pracownik-ogolnobudowlany_4726761.html</t>
  </si>
  <si>
    <t>&lt;br /&gt;Wymagania&lt;br /&gt;- wykształcenie minimum zawodowe,&lt;br /&gt;- doświadczenie w pracy na budowie,&lt;br /&gt;- umiejętność obsługi podstawowego sprzętu stosowanego przy robotach budowlanych,&lt;br /&gt;- gotowość do pracy w delegacji,&lt;br /&gt;- samodzielność w realizacji powierzonych zadań,&lt;br /&gt;- pracowitość i umiejętność pracy w małych zespołach monterskich,&lt;br /&gt;- prawo jazdy kat. B.&lt;br /&gt;</t>
  </si>
  <si>
    <t>&lt;br /&gt;Obowiązki&lt;br /&gt;- wykonywanie prac związanych głównie ze sprężaniem konstrukcji mostów kablami sprężającymi ich podwieszaniem oraz montażem urządzeń dylatacyjnych,&lt;br /&gt;- obsługa sprzętu budowlanego w tym elektronarzędzi i sprzętu hydraulicznego,&lt;br /&gt;- organizacja pracy w zakresie prowadzonych robót,&lt;br /&gt;- terminowa realizacja zleconych zadań.&lt;br /&gt;</t>
  </si>
  <si>
    <t>Pracownik fizyczny</t>
  </si>
  <si>
    <t>Pomocniczy robotnik polowy</t>
  </si>
  <si>
    <t>https://www.praca.pl/pracownik-fizyczny_4721331.html</t>
  </si>
  <si>
    <t>RPd057|921101</t>
  </si>
  <si>
    <t>&lt;br /&gt;Oczekiwania wobec kandydatów:&lt;br /&gt;- gotowość do podjęcia stałej pracy zagranicą (firma zabezpiecza mieszkanie służbowe, przejazd, wyżywienie)&lt;br /&gt;- sumienność, dokładność i zaangażowanie w wykonywanie obowiązków&lt;br /&gt;- prawo jazdy kat B&lt;br /&gt;</t>
  </si>
  <si>
    <t>&lt;br /&gt;Obowiązki:&lt;br /&gt;Osoba zatrudniona na tym stanowisku dopowiedziana będzie za udział w pracach przy zatowarowaniu marketu oraz pracach organizacyjnych przy tworzeniu nowych ekspozycji i stanowisk wystawienniczych.&lt;br /&gt;</t>
  </si>
  <si>
    <t>Portier / Dozorca</t>
  </si>
  <si>
    <t>Portier</t>
  </si>
  <si>
    <t>https://www.praca.pl/portier-dozorca_4610065.html</t>
  </si>
  <si>
    <t>RPd057|541306</t>
  </si>
  <si>
    <t>&lt;br /&gt;Zadaniem zatrudnionej osoby będzie dozór obiektu handlowego, magazynu i pomieszczeń przynależnych w godzinach nocnych.&lt;br /&gt;</t>
  </si>
  <si>
    <t>&lt;br /&gt;Oczekiwania:&lt;br /&gt;- Orzeczony stopień o niepełnosprawności - mile widziane&lt;br /&gt;- Samodzielność w działaniu&lt;br /&gt;- Gotowość do podjęcia w godzinach nocnych&lt;br /&gt;</t>
  </si>
  <si>
    <t>https://www.praca.pl/portier-dozorca_4785729.html</t>
  </si>
  <si>
    <t>&lt;br /&gt;Oczekiwania:&lt;br /&gt;- Orzeczony stopień o niepełnosprawności (mile widziane)&lt;br /&gt;- Samodzielność w działaniu&lt;br /&gt;- Gotowość do podjęcia w godzinach nocnych&lt;br /&gt;</t>
  </si>
  <si>
    <t>Regular QA Specialist with C# and Azure</t>
  </si>
  <si>
    <t>Pozostali programiści aplikacji</t>
  </si>
  <si>
    <t>https://www.praca.pl/regular-qa-specialist-with-c-and-azure_4789272.html</t>
  </si>
  <si>
    <t>RPd057|251490</t>
  </si>
  <si>
    <t>VR-61543</t>
  </si>
  <si>
    <t>&lt;br /&gt;C#&lt;br /&gt;.Net Core&lt;br /&gt;MS SQL&lt;br /&gt;NUnit/XUnit/MSTest&lt;br /&gt;RestAPI&lt;br /&gt;GIT&lt;br /&gt;Visual Studio/Visual Studio Code&lt;br /&gt;Postman&lt;br /&gt;Azure Cloud&lt;br /&gt;Azure Devops&lt;br /&gt;</t>
  </si>
  <si>
    <t>&lt;br /&gt;Successful candidate will translate business requirements into test scenarios and test cases, will create test documentation, will be responsible for design and execution of functional test cases, reporting testing progress and defects, will improve testing process and develop test automation scripts.&lt;br /&gt;Candidate will work closely with project managers, technical leaders, business analysts, and other test team members and will proactively work to resolve any issues.&lt;br /&gt;</t>
  </si>
  <si>
    <t>Pozostali specjaliści do spraw administracji i rozwoju</t>
  </si>
  <si>
    <t>https://www.praca.pl/inspektor_4658439.html</t>
  </si>
  <si>
    <t>RPd057|242290</t>
  </si>
  <si>
    <t>&lt;h4&gt;Wymagania niezbędne&lt;/h4&gt;wykształcenie: średnie&lt;br /&gt;doświadczenie zawodowe/staż pracy: doświadczenia zawodowego powyżej 1,5 roku w administracji&lt;br /&gt;- Znajomość przepisów ustawy o Krajowej Administracji Skarbowej oraz prawa podatkowego, w szczególności: ustawy Ordynacja podatkowa&lt;br /&gt;- Znajomość przepisów ustaw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</si>
  <si>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obsługę kancelaryjną urzędu&lt;br /&gt;- Organizuje obieg informacji i dokumentacji w urzędzie&lt;br /&gt;- Rozpatruje przekazane do załatwienia skargi na pracowników obsługujących naczelnika urzędu oraz wnioski i petycje&lt;br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i mienia, ochrony przeciwpożarowej, składnicy akt lub archiwum&lt;br /&gt;</t>
  </si>
  <si>
    <t>Specjalista ds. obsługi klienta i sprzedaży z językiem fińskim</t>
  </si>
  <si>
    <t>https://www.praca.pl/specjalista-ds-obslugi-klienta-i-sprzedazy-z-jezykiem-finskim_4651680.html</t>
  </si>
  <si>
    <t>&lt;br /&gt;Wymagania:&lt;br /&gt;- Bardzo dobra znajomość języka fińskiego&lt;br /&gt;- Komunikatywna znajomość języka polskiego lub angielskiego&lt;br /&gt;- Doświadczenie w telefonicznej obsłudze klienta lub sprzedaży będzie atutem&lt;br /&gt;- Wysoko rozwinięte umiejętności interpersonalne&lt;br /&gt;- Komunikatywność, poprawność i płynność językowa&lt;br /&gt;oraz nastawienie na potrzeby klienta&lt;br /&gt;- Profesjonalizm w kontakcie telefonicznym z klientem&lt;br /&gt;- Swobodne posługiwanie się komputerem&lt;br /&gt;- Sumienność, odpowiedzialność&lt;br /&gt;</t>
  </si>
  <si>
    <t>&lt;br /&gt;Opis stanowiska:&lt;br /&gt;- Kompleksowa telefoniczna obsługa klientów i sprzedaż w języku fińskim&lt;br /&gt;- Doradzanie klientom w kwestiach dopasowania oferty produktowej do indywidualnych potrzeb&lt;br /&gt;- Badanie potrzeb klientów i dbanie o budowanie pozytywnych relacji&lt;br /&gt;- Administrowanie systemem zamówień&lt;br /&gt;- Dbanie o dobry wizerunek firmy&lt;br /&gt;</t>
  </si>
  <si>
    <t>Customer Service Agent with German</t>
  </si>
  <si>
    <t>https://www.praca.pl/customer-service-agent-with-german_4659363.html</t>
  </si>
  <si>
    <t>&lt;br /&gt;Requirements&lt;br /&gt;- Superior verbal and written communication – minimum C1/native language skills&lt;br /&gt;- Mastery of program expectations and policies, ability to exercise independent judgment and discretion&lt;br /&gt;- Experience in actively contributing to increase sales through anticipating, understanding and addressing customer needs&lt;br /&gt;- Effective and professional verbal and written communication – both with internal and external customers, partners&lt;br /&gt;- Thrive in an environment with high performance standards&lt;br /&gt;- Able to use effective and probing questioning and listening techniques to identify customer needs&lt;br /&gt;- Detail oriented with a focus on quality and accuracy, ability to multitask, strong sense of urgency and commitment to excellence&lt;br /&gt;- Have a genuine passion for fashion, fragrance, cosmetics, and luxury goods&lt;br /&gt;Preferred Qualifications&lt;br /&gt;- Previous online customer care or in-store fashion retail experience&lt;br /&gt;- Experience in luxury retail is a plus, but not mandatory&lt;br /&gt;- High school diploma or equivalent required, university in progress/graduate is preferable&lt;br /&gt;- Proficient knowledge of computers, the Internet and office automation.&lt;br /&gt;- Demonstrable experience in positively responding to customer emails, telephone calls, chat requests or other contacts, identifying sales and communication opportunities (preferable)&lt;br /&gt;- Demonstrates flexibility in providing coverage and/or availability for the call center via scheduling adjustments for unexpected absences, events, or volume spikes&lt;br /&gt;- Has experience with luxury brands and serving affluent customers (preferred)&lt;br /&gt;</t>
  </si>
  <si>
    <t>&lt;br /&gt;Responsibilities&lt;br /&gt;- Provides consumers and professionals with product information following all policies, procedures and documentation&lt;br /&gt;- Explains complex terms/information in layman terms to consumers using scripted responses&lt;br /&gt;- Utilizes proactive and intuitive techniques to increase customer experience by providing suggestions for products that match interests and needs&lt;br /&gt;- Strives for quality work in handling phone calls, administering in databases, bookkeeping and in other customer service activities.&lt;br /&gt;- Utilizes multiple service channels (email, chat, phone, text, etc.) to provide an outstanding customer experience&lt;br /&gt;- Ability to use empathy and intuition to anticipate and understand customers’ needs, persevering with and resolving any product related issues, with specialist understanding of post-sales customer care - feedback, refunds, order status, credit notes etc.&lt;br /&gt;- Ability to retain and convey thorough knowledge and benefits of products&lt;br /&gt;- Confident and driven to find solutions to customers issues&lt;br /&gt;- Ability to maintain an elevated customer conversation and exhibit genuine empathy when appropriate&lt;br /&gt;- Embrace the commitment to customer service and nourishes brand loyalty&lt;br /&gt;- Ability to accurately document customer interaction details&lt;br /&gt;- Applies high-quality customer service guidelines while servicing customers&lt;br /&gt;</t>
  </si>
  <si>
    <t>Customer Service Agent with French</t>
  </si>
  <si>
    <t>https://www.praca.pl/customer-service-agent-with-french_4659315.html</t>
  </si>
  <si>
    <t>Customer Service Agent with Italian</t>
  </si>
  <si>
    <t>https://www.praca.pl/customer-service-agent-with-italian_4659264.html</t>
  </si>
  <si>
    <t>Customer Service Agent with Spanish</t>
  </si>
  <si>
    <t>https://www.praca.pl/customer-service-agent-with-spanish_4659216.html</t>
  </si>
  <si>
    <t>Customer Service Agent with Polish</t>
  </si>
  <si>
    <t>https://www.praca.pl/customer-service-agent-with-polish_4659168.html</t>
  </si>
  <si>
    <t>Customer Service Agent with Czech</t>
  </si>
  <si>
    <t>https://www.praca.pl/customer-service-agent-with-czech_4659120.html</t>
  </si>
  <si>
    <t>Customer Service Agent with Danish</t>
  </si>
  <si>
    <t>https://www.praca.pl/customer-service-agent-with-danish_4659072.html</t>
  </si>
  <si>
    <t>Customer Service Agent with Norwegian</t>
  </si>
  <si>
    <t>https://www.praca.pl/customer-service-agent-with-norwegian_4659024.html</t>
  </si>
  <si>
    <t>Customer Service Agent with Swedish</t>
  </si>
  <si>
    <t>https://www.praca.pl/customer-service-agent-with-swedish_4658976.html</t>
  </si>
  <si>
    <t>Customer Service Agent with Dutch</t>
  </si>
  <si>
    <t>https://www.praca.pl/customer-service-agent-with-dutch_4658925.html</t>
  </si>
  <si>
    <t>Customer Service Agent with Hungarian</t>
  </si>
  <si>
    <t>https://www.praca.pl/customer-service-agent-with-hungarian_4658877.html</t>
  </si>
  <si>
    <t>Back Office Specialist - Finnish speaker</t>
  </si>
  <si>
    <t>https://www.praca.pl/back-office-specialist-finnish-speaker_4785630.html</t>
  </si>
  <si>
    <t>&lt;br /&gt;Requirements:&lt;br /&gt;- Fluency to native level in Finnish;&lt;br /&gt;- Must have excellent written communications skills;&lt;br /&gt;- Call Centre experience will be an asset;&lt;br /&gt;- Experience working with direct consumers in B2C environment as a plus;&lt;br /&gt;- Positive attitude and energy;&lt;br /&gt;- Robust multitasking skills.&lt;br /&gt;</t>
  </si>
  <si>
    <t>&lt;br /&gt;location: Warsaw/remotely&lt;br /&gt;Job description:&lt;br /&gt;- Effectively manage e-mail customer’s queries to ensure excellent service standards;&lt;br /&gt;- Provide services information and resolve any emerging problems that our clients might face with accuracy and efficiency;&lt;br /&gt;- Assist with placement of orders, refunds or exchanges;&lt;br /&gt;- Identify and assess customer’s needs to achieve satisfaction;&lt;br /&gt;- Communicate in positive manner with team members and business partners.&lt;br /&gt;</t>
  </si>
  <si>
    <t>Konsultant</t>
  </si>
  <si>
    <t>https://www.praca.pl/konsultant_4781109.html</t>
  </si>
  <si>
    <t>Wymagania&lt;br /&gt;&lt;br /&gt;Jeśli:&lt;br /&gt;- jesteś pełny/a pozytywnej energii&lt;br /&gt;- chcesz się rozwijać i szybko się uczysz&lt;br /&gt;- uważasz, że WARTO ROZMAWIAĆ - umiesz wysłuchać, doradzić i przekonać&lt;br /&gt;- chcesz dołączyć do jednego z najlepszych zespołów Konsultantów w Polsce (jesteśmy trzykrotnym laureatem konkursu Telemarketer Roku!)&lt;br /&gt;- chcesz pomagać Klientom w radzeniu sobie z zadłużeniem&lt;br /&gt;- lubisz mieć jasno określone cele i realny wpływ na to, ile zarabiasz&lt;br /&gt;- masz co najmniej średnie wykształcenie i dobrze sobie radzisz w pracy z komputerem&lt;br /&gt;- jesteś gotowy do pracy w systemie zmianowym oraz w niektóre soboty.&lt;br /&gt;Dołącz do naszego zespołu!&lt;br /&gt;</t>
  </si>
  <si>
    <t>Opis stanowiska&lt;br /&gt;&lt;br /&gt;Na stanowisku Konsultanta będziesz odpowiedzialny/a za telefoniczny kontakt z Klientami BEST, w tym za:&lt;br /&gt;- wspólne ustalanie warunków spłaty&lt;br /&gt;- wyjaśnianie przyczyn opóźnień w zakresie płatności&lt;br /&gt;- udzielanie odpowiedzi na pytania Klientów.&lt;br /&gt;</t>
  </si>
  <si>
    <t>Objectivity Sp. z o.o.</t>
  </si>
  <si>
    <t>https://www.praca.pl/java-developer_4507567.html</t>
  </si>
  <si>
    <t>&lt;br /&gt;You are The One, if you have:&lt;br /&gt;- Experience in designing, implementing and supporting Java applications. You’ve participated in the development of successfully productionized commercial product(s).&lt;br /&gt;- Practical knowledge of Spring Boot/Dropwizard.&lt;br /&gt;- Knowledge of container technologies (Docker).&lt;br /&gt;- Experience with the Agile delivery environment with tooling to include GIT, Maven/Gradle, Team City/Jenkins/AWS CodePipeline, FlyWay etc.&lt;br /&gt;- Ability to communicate in English: spoken &amp; written.&lt;br /&gt;- Solid foundation in Spring Framework/JEE.&lt;br /&gt;- Experience with relational databases (e.g. Postgres, MySQL, MS SQL, Amazon RDS, Amazon Aurora) and knowledge of JPA (preferable Hibernate).&lt;br /&gt;- Exposure to concepts and challenges of distributed systems (RESTful Web Services, event-driven architectures, microservices).&lt;br /&gt;- Strong interpersonal and communication skills.&lt;br /&gt;- Practical knowledge of AWS or Kotlin is nice to have.&lt;br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Therefore, we are not familiar with the phenomenon of Dev-QA wars.&lt;br /&gt;… Even if we do not get to start our cooperation, you are certain to receive extensive feedback including both business and technical aspects. We believe it is one of the most valuable development tools.&lt;br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</si>
  <si>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/&gt;The most commonly used frameworks and tools:&lt;br /&gt;- Spring Boot and Dropwizard to quickly build web services running on Tomcat.&lt;br /&gt;- Flyway as db migration tool.&lt;br /&gt;- MongoDB, CouchBase, Amazon DynamoDB as key/value and document databases.&lt;br /&gt;- Angular or React on the front-end.&lt;br /&gt;- Jenkins, Team City and recently Amazon CodePipeline to setup CI/CD.&lt;br /&gt;- Kotlin as a secondary language.&lt;br /&gt;- Spring Data (and Hibernate as the most common JPA provider) to access the data.&lt;br /&gt;- Postgres, MySQL, AWS Aurora/RDS as relational databases.&lt;br /&gt;- RabbitMQ, Amazon SNS/SQS to integrate services.&lt;br /&gt;- Git as a source control.&lt;br /&gt;- AWS as a hosting platform.&lt;br /&gt;Your role:&lt;br /&gt;- Developing systems based on JAVA technologies.&lt;br /&gt;- Following the clean code standards for programming.&lt;br /&gt;- Participating in the process of analysis, design, implementation and testing of new functionalities.&lt;br /&gt;</t>
  </si>
  <si>
    <t>Regular/Senior .Net Developer</t>
  </si>
  <si>
    <t>https://www.praca.pl/regular-senior-net-developer_4665603.html</t>
  </si>
  <si>
    <t>VR-61159</t>
  </si>
  <si>
    <t>&lt;br /&gt;- 5+ years of professional experience&lt;br /&gt;- Knowledge of OOP and Design Patterns&lt;br /&gt;- Experience working with .NET (C#, WCF, Windows Services, .NET Core)&lt;br /&gt;- Experience in TDD using NUnit, MSTest or other frameworks&lt;br /&gt;- Database design and development with MS SQL Server, T-SQL or other RDMS&lt;br /&gt;- Experience with Docker containers or Kubernetes&lt;br /&gt;- Understanding of / experience with CI/CD - preferably Jenkins&lt;br /&gt;- Strong problem solving and analytical skills&lt;br /&gt;- Good verbal communication skills&lt;br /&gt;- Commitment to the highest ethical standards while working with sensitive data&lt;br /&gt;</t>
  </si>
  <si>
    <t>&lt;br /&gt;- Work closely with business stake holders to develop software solutions using test-driven and agile software development methodologies&lt;br /&gt;- Deliver software enhancements and projects supporting Point72's corporate Finance and Operations systems&lt;br /&gt;- Design cloud-based computing solutions&lt;br /&gt;- Be responsible for system upgrades, features supporting resiliency and capacity improvements, automation and controls, integration with internal and external vendors and services.&lt;br /&gt;- Work with DevOps teams to manage, resolve operational issues and leverage CI/CD platforms, follow DevOps practices within the team and projects&lt;br /&gt;- Continuously improve the platforms, using the latest technologies and software development ideas&lt;br /&gt;- Develop close working relationships with other technology teams in the firm in order to advance cross team initiatives.&lt;br /&gt;</t>
  </si>
  <si>
    <t>https://www.praca.pl/senior-java-developer_4665651.html</t>
  </si>
  <si>
    <t>VR-61155</t>
  </si>
  <si>
    <t>&lt;br /&gt;- In depth knowledge of Java (8 and above), distributed systems, caching technologies&lt;br /&gt;- In depth knowledge of microservices architecture&lt;br /&gt;- Experience of RESTful interfaces&lt;br /&gt;- Understanding of Interest Rate Derivative products, instruments, market data&lt;br /&gt;- Experience in Agile environment&lt;br /&gt;- Excellent multithreaded server-side Java development&lt;br /&gt;- Proven experience designing and building scalable, high performance applications in global deployment scenarios.&lt;br /&gt;- Performance profiling of java applications&lt;br /&gt;- Experience of Linux/Unix environments and scripting&lt;br /&gt;- Delivery/solution orientated individual, self-starter and strong team player.&lt;br /&gt;- Ability to consider abstract distributed system use cases&lt;br /&gt;- Excellent interpersonal and influencing skills&lt;br /&gt;- Excellent organizational, planning and time management skills&lt;br /&gt;- The ability to think clearly under pressure&lt;br /&gt;- High level of attention to detail coupled with good energy levels&lt;br /&gt;</t>
  </si>
  <si>
    <t>&lt;br /&gt;- The team is currently 4 London based developers working with another sister team in India (10 engineers). A QA team is also in place&lt;br /&gt;- The platform is being developed closely with user working groups and business who sit in London&lt;br /&gt;- The IRD area is Java server-side services written using microservice architecture. It's a technically challenging environment due to the distributed services architecture. These services support trade processing, querying, workflows and is used by various consumers in the bank&lt;br /&gt;- Specific responsibilities to include design, development, testing and releasing to production of new functionality through the stack across a number of technologies and components. An element of technical analysis and data modelling will be expected to be completed as part of significant deliverables, in conjunction with the technical BAs made available as appropriate&lt;br /&gt;</t>
  </si>
  <si>
    <t>Senior DevOps Engineer</t>
  </si>
  <si>
    <t>https://www.praca.pl/senior-devops-engineer_4665504.html</t>
  </si>
  <si>
    <t>VR-61156</t>
  </si>
  <si>
    <t>&lt;br /&gt;Deep expertise on using GitLab, Azure DevOps, CI/CD, Automated Deployments, Kubernetes, Docker &amp; Branching strategies.&lt;br /&gt;</t>
  </si>
  <si>
    <t>&lt;br /&gt;Your role&lt;br /&gt;We are looking for a senior devops engineer to:&lt;br /&gt;- maintain CI\CD process&lt;br /&gt;- build gitlab pipelines&lt;br /&gt;- create dockerfiles to build and run microservices&lt;br /&gt;- integrate with AKS using helm charts and terraform scripts&lt;br /&gt;- work in an Agile environment&lt;br /&gt;- setup monitoring solution: collect metrics and notify about errors from logs&lt;br /&gt;Your expertise&lt;br /&gt;We recruit T-shaped &amp; well-rounded professionals who are deep experts in their core technologies, and are open to learning new technologies. Core skills include:&lt;br /&gt;- Linux&lt;br /&gt;- Containers, Docker, Kubernetes&lt;br /&gt;- Azure, AKS, Vaults, Logs&lt;br /&gt;- Terraform, Helm&lt;br /&gt;- Bash scripts&lt;br /&gt;- Git, GitLab&lt;br /&gt;</t>
  </si>
  <si>
    <t>Programista .NET/C#</t>
  </si>
  <si>
    <t>https://www.praca.pl/programista-net-c_4661979.html</t>
  </si>
  <si>
    <t>&lt;br /&gt;Dla naszego klienta, poszukujemy programisty C# .Net&lt;br /&gt;Localizacja: Remote &lt;br /&gt;Start: ASAP &lt;br /&gt;Zakres obowiązków:&lt;br /&gt;Migracja na .Net aplikacji klasy ERP. Celem zespołu będzie udział w procesie migracyjnego, refaktoryzacja kodu zgodnie z nowymi standardami oraz wprowadzanie nowych funkcjonalności.&lt;br /&gt;Oczekiwane umiejętności i kompetencje&lt;br /&gt;- Minimum 3 lata doświadczenia w technologiach .NET i C#&lt;br /&gt;- Znajomość WinForms i/lub WPF&lt;br /&gt;- Znajomość SQL&lt;br /&gt;- Znajomość dobrych praktyk i wzorców projektowych&lt;br /&gt;- Język angielski na poziomie pozwalającym swobodnie czytać dokumentację&lt;br /&gt;Dodatkowym atutem będzie:&lt;br /&gt;- Znajomość .NET Core, GIT, Docker, RabbitMQ&lt;br /&gt;- Doświadczenie w pracy z mikroserwisami&lt;br /&gt;- Umiejętność pisania testów jednostkowych&lt;br /&gt;- Umiejętność pracy w metodykach zwinnych&lt;br /&gt;</t>
  </si>
  <si>
    <t>https://www.praca.pl/senior-java-developer_4656772.html</t>
  </si>
  <si>
    <t>&lt;br /&gt;Osoba na tym stanowisku będzie odpowiedzialna za:&lt;br /&gt;- Tworzenie aplikacji dla klienta z branży medycznej&lt;br /&gt;- Rozwój oprogramowania i wdrażanie nowych funkcjonalności&lt;br /&gt;- Przeprowadzanie analiz systemowych, a także testów jednostkowych i integracyjnych&lt;br /&gt;- Współpracę z zespołem projektowym oraz wsparcie w realizacji zadań&lt;br /&gt;Wymagania:&lt;br /&gt;- Minimum 4-letnie doświadczenie na stanowisku programisty Java&lt;br /&gt;- Praktyczne doświadczenie z Java 11 oraz znajomość Spring Boot 2&lt;br /&gt;- Doświadczenie w pracy z RabbitMQ, JUnit, Maven oraz Docker&lt;br /&gt;- Znajomość PostgreSQL&lt;br /&gt;- Mile widziane doświadczenie w roli Fullstack Developera (znajomość Angular 2+)&lt;br /&gt;- Umiejętność pracy w metodologii Scrum/Agile&lt;br /&gt;- Znajomość języka angielskiego na poziomie umożliwiającym swobodną komunikację w mowie i piśmie&lt;br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</si>
  <si>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/&gt;Do projektu z branży medycznej poszukujemy osoby na stanowisko Senior Java Developer.&lt;br /&gt;Wynagrodzenie: do 900 zł netto + VAT/dzień (B2B)&lt;br /&gt;Lokalizacja: praca 100% zdalna&lt;br /&gt;</t>
  </si>
  <si>
    <t>Power Media</t>
  </si>
  <si>
    <t>https://www.praca.pl/php-developer_4655270.html</t>
  </si>
  <si>
    <t>PHP/WWA/ZD/KJ</t>
  </si>
  <si>
    <t>&lt;br /&gt;Wymagania:&lt;br /&gt;- min. 2 lata doświadczenia jako PHP Developer&lt;br /&gt;- dobra znajomość MySQL oraz pisania złożonych zapytań SQL,&lt;br /&gt;- bardzo dobra znajomość programowania obiektowego&lt;br /&gt;- duża samodzielność w działaniu&lt;br /&gt;- dobra znajomość j. angielskiego (min. B2)&lt;br /&gt;Mile widziane:&lt;br /&gt;- doświadczenie z frameworskiem: Symfony (preferowane), Laravel lub Zend&lt;br /&gt;- doświadczenie w pracy z zewnętrznymi API (integracje),&lt;br /&gt;- podstawowa znajomość środowiska Unix,&lt;br /&gt;- znajomość Javascript,&lt;br /&gt;- doświadczenie w pracy z Docker.&lt;br /&gt;</t>
  </si>
  <si>
    <t>&lt;br /&gt;? Interesuje Cię stabilna współpraca i stronisz od korporacyjnej atmosfery?&lt;br /&gt;? Chcesz pracować w miejscu, gdzie dobry nastrój w pracy spotyka się z pełnym profesjonalizmem?&lt;br /&gt;? Jesteś pasjonatem uwielbiającym nowe technologie internetowe?&lt;br /&gt;Świetnie!&lt;br /&gt;Dołącz do zespołu, który kreuje nowe rozwiązania dla klientów w obszarze tworzenia stron internetowych, rozbudowywaniu systemów webowych klasy B2B oraz B2C. Twórz rozwiązania dla klientów z Polski jak i całego świata.&lt;br /&gt;Szukamy Programisty PHP do pracy przy dużych systemach B2C opartych na Symfony, które dotyczą m.in. platformy obsługujące gry i kasyna online.&lt;br /&gt;Zakres obowiązków:&lt;br /&gt;- Współpraca ze zespołem programistów,&lt;br /&gt;- Implementacja nowych funkcjonalności: integracje z zewnętrznymi API, pisanie złożonych zapytań SQL,&lt;br /&gt;- Optymalizacja i obsługa dużych zbiorów danych,&lt;br /&gt;- Naprawa błędów.&lt;br /&gt;</t>
  </si>
  <si>
    <t>DevOps Engineer with Azure</t>
  </si>
  <si>
    <t>https://www.praca.pl/devops-engineer-with-azure_4533894.html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</si>
  <si>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t>
  </si>
  <si>
    <t>&lt;br /&gt;Your role:&lt;br /&gt;- Create, maintain and improve tools and processes used to build, release and deploy our software products.&lt;br /&gt;- Advise development teams on application architecture and infrastructure.&lt;br /&gt;- Share best practices with regards to CI/CD among our development community.&lt;br /&gt;You are The One, if you have:&lt;br /&gt;- Knowledge of Git and Git Workflows.&lt;br /&gt;- Knowledge of scripting languages (PowerShell, Bash).&lt;br /&gt;- Good speaking and writing English skills.&lt;br /&gt;- Knowledge of configuration management and orchestration tools (ARM Templates, Terraform, Kubernetes).&lt;br /&gt;- Basic knowledge of networking concept.&lt;br /&gt;- Knowledge of container technologies (preferably Docker).&lt;br /&gt;- Basic knowledge of Linux system.&lt;br /&gt;- Knowledge of CI/CD processes and tools (Azure DevOps, TeamCity) based on work experience.&lt;br /&gt;- Knowledge of concepts of virtualization.&lt;br /&gt;Desirable skills:&lt;br /&gt;- Experience in monitoring tools (both non-cloud and cloud related).&lt;br /&gt;- Knowledge of Azure-based architecture patterns.&lt;br /&gt;Why it is worth joining us?&lt;br /&gt;- We have wide range of infrastructure types: AWS, Azure, Google, IBM, on-premises.&lt;br /&gt;- Both R&amp;D and maintenance projects on board.&lt;br /&gt;- Diversified projects: shorter and longer, different when it comes to infrastructure and customized.&lt;br /&gt;- Application modernisation.&lt;br /&gt;- DevOps in projects with data science, low-code.&lt;br /&gt;- Upskill and knowledge sharing: meetings of internal DevOps, Azure and AWS Communities, internal trainings, DevOps conferences.&lt;br /&gt;- Migration to cloud.&lt;br /&gt;- We’re Microsoft Azure and AWS partners.&lt;br /&gt;- ...and there are other benefits, which you can see below.&lt;br /&gt;… Even if we do not get to start our cooperation, you are certain to receive extensive feedback including both business and technical aspects. We believe it is one of the most valuable development tools.&lt;br /&gt;</t>
  </si>
  <si>
    <t>Regular / Senior Software Engineer (C/Bash/Linux)</t>
  </si>
  <si>
    <t>https://www.praca.pl/regular-senior-software-engineer-c-bash-linux_4632030.html</t>
  </si>
  <si>
    <t>05.06.2021</t>
  </si>
  <si>
    <t>&lt;br /&gt;- Solid knowledge and experience with Ansi C language and GNU toolchain.&lt;br /&gt;- Solid knowledge and experience with Linux environment.&lt;br /&gt;- Experience with debugging techniques and tools (Valgrind, GDB).&lt;br /&gt;- Experience with multithread programming and interprocess communication.&lt;br /&gt;- Experience with version control systems (SVN, Git).&lt;br /&gt;- Good English language skills (B2 level minimum).&lt;br /&gt;- Passion for software development and handling of non trivial problems.&lt;br /&gt;- Precision and strong focus on quality of work.&lt;br /&gt;Nice to have&lt;br /&gt;- Knowledge of at least one other programming language (C++, Python, Bash...).&lt;br /&gt;- Knowledge of server technology.&lt;br /&gt;- Experience with CI/CD tools such as Jenkins.&lt;br /&gt;- Experience with Docker.&lt;br /&gt;- Experience with JIRA, Confluence.&lt;br /&gt;</t>
  </si>
  <si>
    <t>&lt;br /&gt;- Product Development. Designs, develops, implements and tests modules and products including hardware, software, operating systems, firmware and BIOS, in line with agreed timelines, budget, costs, quality and development standards. Actively participates in calculation of development and product costs.&lt;br /&gt;- IT Integration. Provides integration facilities and provisions logistics.&lt;br /&gt;- Process Improvement. Suggests and implements proposals for process improvements within projects.&lt;br /&gt;- Innovation. Uses new technologies and methods actively to develop highly competitive products.&lt;br /&gt;- Documentation. Provides technical documentation on realized modules / products, following internal standards.&lt;br /&gt;- Maintenance. Provides Back Level maintenance support, including problem solving, for own modules and if necessary for foreign (sourced from third party supplier) components.&lt;br /&gt;- Lifecycle. Provides development support during lifecycle of modules and products. Is responsible for development of new versions and updates based on defined requirements.&lt;br /&gt;- Technical Expertise.  Maintains high level of product and solution knowledge. Maintains his skill profile up-to-date.&lt;br /&gt;</t>
  </si>
  <si>
    <t>KUBO Poland Sp. z o.o.</t>
  </si>
  <si>
    <t>OutSystems Developer</t>
  </si>
  <si>
    <t>https://www.praca.pl/outsystems-developer_4712517.html</t>
  </si>
  <si>
    <t>16.06.2021</t>
  </si>
  <si>
    <t>&lt;br /&gt;Obowiązki:&lt;br /&gt;- projektowania i optymalizacji aplikacji oraz integracji danych pomiędzy systemami&lt;br /&gt;- tworzenie platformy i wspólnych podstawowych modułów wielokrotnego użytku i API&lt;br /&gt;- pilotowanie aplikacji w celu zapewnienia, że platforma i zarządzanie będą zgodne z zakresem i przeznaczeniem&lt;br /&gt;Wymagania:&lt;br /&gt;- dobra znajomość platformy OutSystems&lt;br /&gt;- minimum 2 lata doświadczenia z powyższą technologią&lt;br /&gt;- mile widziana znajomość: MVC, Web API, entity framework, SQL Server, API integration, Unit Testing, Mobile&amp;Web Services, React, Git/SVN&lt;br /&gt;- bardzo dobry język angielski (minimum B2/C1)&lt;br /&gt;Oferujemy&lt;br /&gt;- stała, długoterminowa współpraca w międzynarodowym środowisku&lt;br /&gt;- formę współpracy B2B&lt;br /&gt;- prywatną opiekę zdrowotną&lt;br /&gt;- ubezpieczenie na życie&lt;br /&gt;- 50% dopłaty do Multisportu&lt;br /&gt;</t>
  </si>
  <si>
    <t>&lt;br /&gt;Dla naszego klienta z branży medyczno-diagnostycznej zajmującego się produkcją leków, tworzeniem zaawansowanych narzędzi IT dla naukowców wspierających prace badawcze oraz hurtowniami danych medycznych poszukujemy OutSystems Developera.&lt;br /&gt;</t>
  </si>
  <si>
    <t>Application Engineer / DevOps</t>
  </si>
  <si>
    <t>https://www.praca.pl/application-engineer-devops_4729644.html</t>
  </si>
  <si>
    <t>VR-61433</t>
  </si>
  <si>
    <t>&lt;br /&gt;Kubernetes and docker&lt;br /&gt;AWS Cloud and Azure Cloud&lt;br /&gt;Linux operating system (Debian/Ubuntu is advantage)&lt;br /&gt;TCP/IP networks&lt;br /&gt;Ansible automation language&lt;br /&gt;IaaS - teraform language&lt;br /&gt;Bash scripting&lt;br /&gt;</t>
  </si>
  <si>
    <t>&lt;br /&gt;Kubernetes and docker&lt;br /&gt;AWS Cloud and Azure Cloud&lt;br /&gt;Linux operating system (Debian/Ubuntu is advantage)"&lt;br /&gt;</t>
  </si>
  <si>
    <t>https://www.praca.pl/python-developer_4729692.html</t>
  </si>
  <si>
    <t>VR-61300</t>
  </si>
  <si>
    <t>&lt;br /&gt;Python Web development&lt;br /&gt;Amazon SQS, MQ Series or Rabbit MQ understanding&lt;br /&gt;</t>
  </si>
  <si>
    <t>&lt;br /&gt;Currently, we're looking for a Python Developer to join the world largest logistics provider. The main duties relates to the Python Web development and external systems integration.&lt;br /&gt;Integration of Python applications with external services (Web-based, such as REST) and databases (Postgresql, nosql Amazon DynamoDB).&lt;br /&gt;</t>
  </si>
  <si>
    <t>Senior Full-Stack Developer (Node.js/Angular)</t>
  </si>
  <si>
    <t>https://www.praca.pl/senior-full-stack-developer-node-js-angular_4729596.html</t>
  </si>
  <si>
    <t>VR-61428</t>
  </si>
  <si>
    <t>&lt;br /&gt;4+ years of experience in development and good Bachelor's/Master's degree or equivalent in computer science or related technical discipline&lt;br /&gt;Strong knowledge in Node.js (written in Type Script)&lt;br /&gt;Strong know-how in Angular&lt;br /&gt;Good knowledge on Web standard HTML5, CSS3, Browser APIs and Web security&lt;br /&gt;Experienced with software testing and practices like TDD, Unit-, End2End-testing and Frameworks&lt;br /&gt;Good knowledge of SQL, experience with PostgreSQL is an advantage&lt;br /&gt;Experience writing systems that are scalable and reliable under high load•Enthusiastic about great UI/UX design, usability and performance"&lt;br /&gt;</t>
  </si>
  <si>
    <t>&lt;br /&gt;4+ years of experience in development and good Bachelor's/Master's degree or equivalent in computer science or related technical discipline&lt;br /&gt;Strong knowledge in Node.js (written in Type Script)Strong know-how in Angular&lt;br /&gt;Good knowledge on Web standard HTML5, CSS3, Browser APIs and Web security"&lt;br /&gt;</t>
  </si>
  <si>
    <t>Loan IQ Senior Architect</t>
  </si>
  <si>
    <t>https://www.praca.pl/loan-iq-senior-architect_4729548.html</t>
  </si>
  <si>
    <t>VR-61414</t>
  </si>
  <si>
    <t>&lt;br /&gt;You are an ambitious and experienced Functional Loan IQ expert who can add value based on his knowledge. Next to your functional expertise you also have knowledge about the technical setup of Loan IQ. You are passionate, bring new ideas, open to others suggestion and a great team player. You have good communication skills and open to learn new skills. You are on top of market trends and would be at ease talking about how technology as well as Lending is evolving.&lt;br /&gt;- Good functional knowledge of the Loan IQ application, its transactions and their lifecycle&lt;br /&gt;- Experience in testing Loan IQ functionality with the ability to define detailed test cases&lt;br /&gt;- Loan IQ Object Model and data model knowledge&lt;br /&gt;- XQuery scripting knowledge to build and maintain scripts that are used for data extraction from Loan IQ objects at real time&lt;br /&gt;- Advanced Understanding of (syndicated) lending business&lt;br /&gt;- Experience of working in an Agile/Scrum environment is preferred&lt;br /&gt;- Experience in leading project or project stream&lt;br /&gt;</t>
  </si>
  <si>
    <t>&lt;br /&gt;Your primary tasks would include:&lt;br /&gt;- Lead various streams of LoanIQ implementation&lt;br /&gt;- Facilitate client workshops to help business to express their business needs&lt;br /&gt;- Liaise with Finastra(supplier of Loan IQ) to ensure that fixes are delivered with the right priority&lt;br /&gt;- Analyze business requirements and design, implement them using Loan IQ features&lt;br /&gt;- Create LoanIQ queries to help analyze issues/requirements&lt;br /&gt;</t>
  </si>
  <si>
    <t>IT Support Analyst [RDBMS, UNIX, automation]</t>
  </si>
  <si>
    <t>https://www.praca.pl/it-support-analyst-rdbms,unix,automation_4726422.html</t>
  </si>
  <si>
    <t>VR-61466</t>
  </si>
  <si>
    <t>&lt;br /&gt;- Working knowledge with UNIX/LINUX, Windows, RDBMS, PL/SQL, Informatica, Autosys. Microsoft Azure&lt;br /&gt;- Ability to contribute towards automation using PowerShell, Python and automation tools.&lt;br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</si>
  <si>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&lt;br /&gt;- be responsible for providing hands-on production support of Corporate Center business aligned applications&lt;br /&gt;- govern production support execution as aligned to existing ITIL framework&lt;br /&gt;- follow effective and efficient operational policies, processes and procedures&lt;br /&gt;- ensure all forms of workload are managed in line with established processes and procedures&lt;br /&gt;- work closely with the vendor, key stakeholders to plan for cost optimized solutions, manage delivery, implementation, process improvement and production product support.&lt;br /&gt;- possess strong analytical, problem-solving and synthesizing skills (i.e. you know how to figure problems out)&lt;br /&gt;- possess strong verbal, writing and communication skills&lt;br /&gt;- have a strong ability to solve complex issues&lt;br /&gt;</t>
  </si>
  <si>
    <t>Lead Java Developer</t>
  </si>
  <si>
    <t>https://www.praca.pl/lead-java-developer_4726371.html</t>
  </si>
  <si>
    <t>VR-54119</t>
  </si>
  <si>
    <t>&lt;br /&gt;- 5+ years of experience with developing Java applications&lt;br /&gt;- 3+ years of experience with Oracle&lt;br /&gt;- Experience with software architecture and design&lt;br /&gt;- Experience with Scala, Spring Batch, Spring Integration(Integration with External Systems, FTP/SFTP, JMS, Email, WebServices, scheduling, cache),&lt;br /&gt;- Experience with RESTFul API, Drools, Angular JS&lt;br /&gt;- Experience with Autosys, Jetty, Shell script, Puppet Scripts&lt;br /&gt;- Expirience with Test Frameworks: Spring Testing, Mockito, Cucumber, Fitnesse, ScalaTest&lt;br /&gt;- Ability to supervise team of developers&lt;br /&gt;- Knowledge of Agile methodology and approaches&lt;br /&gt;</t>
  </si>
  <si>
    <t>&lt;br /&gt;Design and build applications&lt;br /&gt;Participate in the entire software lifecycle - development, testing, CI&lt;br /&gt;Providing estimates&lt;br /&gt;Prepare system documentation&lt;br /&gt;Work with destibuted teams&lt;br /&gt;</t>
  </si>
  <si>
    <t>IT Support Analyst [RDBMS, UNIX, mainframe environment]</t>
  </si>
  <si>
    <t>https://www.praca.pl/it-support-analyst-rdbms,unix,mainframe-environment_4726221.html</t>
  </si>
  <si>
    <t>VR-61465</t>
  </si>
  <si>
    <t>&lt;br /&gt;- Working knowledge with UNIX/LINUX, Windows, RDBMS, PL/SQL, Informatica, Autosys. Microsoft Azure&lt;br /&gt;- knowledge and understanding of distributed and mainframe environment&lt;br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</si>
  <si>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IT Support Analyst (UNIX/LINUX, RDBMS Machine Learning basics)</t>
  </si>
  <si>
    <t>https://www.praca.pl/it-support-analyst-unix-linux,rdbms-machine-learning-basics_4726170.html</t>
  </si>
  <si>
    <t>VR-61464</t>
  </si>
  <si>
    <t>&lt;br /&gt;- Working knowledge with UNIX/LINUX, Windows, RDBMS, PL/SQL, Informatica, Autosys&lt;br /&gt;- Knowledge of Microsoft Azure and Machine Learning basics&lt;br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</si>
  <si>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Senior BigData Developer (with Python)</t>
  </si>
  <si>
    <t>https://www.praca.pl/senior-bigdata-developer-with-python_4725924.html</t>
  </si>
  <si>
    <t>VR-61488</t>
  </si>
  <si>
    <t>&lt;br /&gt;- Minimum 3+ years' experience in a similar role, preferably within financial services&lt;br /&gt;- Functional knowledge Python is mandatory&lt;br /&gt;- Fluent with SQL&lt;br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</si>
  <si>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 Responsible for overall technology direction for the assigned module/project&lt;br /&gt;- Designs, develops and modifies code based on functional and system requirements&lt;br /&gt;- Ensure that architectural designs are future-proofed from a scale, load, and performance perspective&lt;br /&gt;- Design and implementation of data processing systems and software&lt;br /&gt;- Integration of existing databases in processing pipeline&lt;br /&gt;- Implementation of low-latency and highly available APIs&lt;br /&gt;- Perform development tool and environment design and configuration&lt;br /&gt;- Support bug fixes, change requests and functional enhancement on the code&lt;br /&gt;- Validates scope, plans and deliverables for assigned projects&lt;br /&gt;- Interacts with Design team and Test team for requirements and defects&lt;br /&gt;- Write reusable, testable and efficient code&lt;br /&gt;- Participate in testing process through unit and functional testing&lt;br /&gt;</t>
  </si>
  <si>
    <t>https://www.praca.pl/senior-java-developer_4725153.html</t>
  </si>
  <si>
    <t>&lt;br /&gt;Requirements:&lt;br /&gt;- At least 5-years of experience as Java Programmer&lt;br /&gt;- English level: B2/C1&lt;br /&gt;- University degree&lt;br /&gt;- Expert knowledge regarding Java technologies&lt;br /&gt;- Ability to train people&lt;br /&gt;- Ability to work as Solution Architect&lt;br /&gt;- Ability to work as development or technical lead&lt;br /&gt;- Experience in use Agile methodology&lt;br /&gt;- Solving issues within the cooperation with solution owners/vendors (for example with Oracle support team&lt;br /&gt;- Ability to lead the team (plan and organize work).&lt;br /&gt;- Experience in working in modern architecture models, like Microservices, CQRS etc...&lt;br /&gt;- Experience in Docker and Cloud (AWS/Azure/Google) or other cloud provider&lt;br /&gt;- Knowledge of at least one cloud platform (Cloud (AWS/Azure/Google), Azure, GCP)&lt;br /&gt;- At least basic knowledge of: Angular.js&lt;br /&gt;Technology stack:&lt;br /&gt;- JVM based programming languages and frameworks (Scala, Grails)&lt;br /&gt;- Java&lt;br /&gt;- REST&lt;br /&gt;- Struts 2 / Spring MVC&lt;br /&gt;- Spring&lt;br /&gt;- Hibernate/JPA&lt;br /&gt;- SQL&lt;br /&gt;- Maven2&lt;br /&gt;- Google App Engine&lt;br /&gt;- Twitter Bootstrap&lt;br /&gt;</t>
  </si>
  <si>
    <t>&lt;br /&gt;Salary: 900-1000 PLN net/day + VAT&lt;br /&gt;Project description:&lt;br /&gt;A cloud-based workflow product that securely integrates and displays relevant aggregated data into a single, holistic patient dashboard for oncology care teams to review, align and decide on the optimal treatment for the patient.&lt;br /&gt;</t>
  </si>
  <si>
    <t>Junior Python Developer</t>
  </si>
  <si>
    <t>https://www.praca.pl/junior-python-developer_4724934.html</t>
  </si>
  <si>
    <t>&lt;br /&gt;100% zdalnie&lt;br /&gt; Widełki: 500-600 zł + VAT/B2B/Dzień&lt;br /&gt; Dostępność: Jak najszybciej&lt;br /&gt;Oczekiwane kompetencje:&lt;br /&gt;- Angielski poziom minimum B2&lt;br /&gt;- Python&lt;br /&gt;- Numpy, scipy, scikit-learn, tensorflow, matplotlib&lt;br /&gt;- SQL&lt;br /&gt;</t>
  </si>
  <si>
    <t>Front-end Developer (React)</t>
  </si>
  <si>
    <t>https://www.praca.pl/front-end-developer-react_4724913.html</t>
  </si>
  <si>
    <t>48980#21050064</t>
  </si>
  <si>
    <t>&lt;br /&gt;- Doświadczenie na podobnym stanowisku minimum 2 lata&lt;br /&gt;- Doświadczenie w pracy z React&lt;br /&gt;- Znajomość TypeScript&lt;br /&gt;- Doświadczenie w pracy z:&lt;br /&gt;- HTML&lt;br /&gt;- CSS&lt;br /&gt;- JavaScript&lt;br /&gt;- Swobodne korzystanie z systemu kontroli wersji Git&lt;br /&gt;- Znajomość preprocesora CSS (Sass)&lt;br /&gt;- Doświadczenie z REST API&lt;br /&gt;- Znajomość najpopularniejszych bibliotek np. Formik, React Router, React Hooks, React Table, RxJS&lt;br /&gt;- Komunikatywność, otwartość, zaangażowanie, skrupulatność&lt;br /&gt;Dodatkowe atuty:&lt;br /&gt;- Dobra znajomość:&lt;br /&gt;- Podstaw programowania w języku Java&lt;br /&gt;- Angulara&lt;br /&gt;- Biblioteki D3.js&lt;br /&gt;- Metodyki Scrum&lt;br /&gt;</t>
  </si>
  <si>
    <t>&lt;br /&gt;- Implementacja widoków oraz proponowanie nowych rozwiązań z wykorzystaniem biblioteki React&lt;br /&gt;- Aktywne uczestniczenie w rozwoju produktu&lt;br /&gt;</t>
  </si>
  <si>
    <t>Senior FullStack Developer (Java/Node.js/Angular)</t>
  </si>
  <si>
    <t>https://www.praca.pl/senior-fullstack-developer-java-node-js-angular_4789545.html</t>
  </si>
  <si>
    <t>VR-61883</t>
  </si>
  <si>
    <t>&lt;br /&gt;Fluency in Java 8 (or higher)&lt;br /&gt;Strong in Spring/SpringBoot, Hibernate and SQL&lt;br /&gt;Good knowledge in Node.js (written in Type Script)&lt;br /&gt;</t>
  </si>
  <si>
    <t>&lt;br /&gt;Fluency in Java 8 (or higher)&lt;br /&gt;Strong in Spring/SpringBoot, Hibernate and SQL&lt;br /&gt;Good knowledge in Node.js (written in Type Script)&lt;br /&gt;Good knowledge / know-how in Angular&lt;br /&gt;Good knowledge of Web standard HTML5, CSS3, Browser APIs and Web security"&lt;br /&gt;</t>
  </si>
  <si>
    <t>Senior Java/Scala Developer</t>
  </si>
  <si>
    <t>https://www.praca.pl/senior-java-scala-developer_4789494.html</t>
  </si>
  <si>
    <t>VR-61881</t>
  </si>
  <si>
    <t>&lt;br /&gt;Strong Java 8+ or Kotlin or Scala experience. OOAD &amp; design patterns.&lt;br /&gt;Spring 5 and Hibernate (Or JPA) 4+ experience.&lt;br /&gt;</t>
  </si>
  <si>
    <t>&lt;br /&gt;Develop and deliver cloud native micro services&lt;br /&gt;Profound knowledge of distributed systems. Event sourcing and messaging systems (Kafka is preferred)&lt;br /&gt;Strong working knowledge in Kubernetes, Docker and Jenkins&lt;br /&gt;Strong knowledge of monitoring systems eg Prometheus&lt;br /&gt;</t>
  </si>
  <si>
    <t>https://www.praca.pl/front-end-developer_4789368.html</t>
  </si>
  <si>
    <t>VR-61806</t>
  </si>
  <si>
    <t>&lt;br /&gt;- 3+ years experience in Front-end development&lt;br /&gt;- Strong knowledge of Angular 9+ and Typescript&lt;br /&gt;- Strong experience in HTML5, CSS3, and writing cross-browser compatible code&lt;br /&gt;- Understanding of design patterns, OOP principles&lt;br /&gt;- Understanding of principles of integration front-end with back-end&lt;br /&gt;- Hands on experience with GIT, BitBucket, Jira, Confluence, IntelliJ IDEA.&lt;br /&gt;- Familiarity with CI/CD, code versioning, SDLC processes&lt;br /&gt;- Strong communication and interpersonal skills&lt;br /&gt;- Experience working in an Agile team&lt;br /&gt;</t>
  </si>
  <si>
    <t>&lt;br /&gt;The candidate will be expected to;&lt;br /&gt;- Develop front-end side of applications using Angular&lt;br /&gt;- Review requirements, design, implement, document and test front-end features&lt;br /&gt;- Support other team members in development&lt;br /&gt;- Perform code reviews&lt;br /&gt;- Participate in Agile ceremonies (Scrum/Kanban)&lt;br /&gt;- Performing Demos to the team and to client&lt;br /&gt;</t>
  </si>
  <si>
    <t>https://www.praca.pl/senior-java-developer_4789224.html</t>
  </si>
  <si>
    <t>VR-60424</t>
  </si>
  <si>
    <t>&lt;br /&gt;- Strong Java is a must&lt;br /&gt;- Mandatory experience with:&lt;br /&gt;- Microservices&lt;br /&gt;- Kubernetes&lt;br /&gt;- Spanner&lt;br /&gt;- RabbitMQ&lt;br /&gt;- Hazelcast&lt;br /&gt;</t>
  </si>
  <si>
    <t>&lt;br /&gt;You would take part of development of banking mobile application, new features, bug fixing.&lt;br /&gt;Development is split to two teams. One is focus on bug fixing and code review, second one is developing new features.&lt;br /&gt;You will have chance to work in both teams - the developer has an option to move from one team to second one.&lt;br /&gt;Team responsible for new features is organized into smaller teams 2-4 developers that are responsible for one larger functionality.&lt;br /&gt;</t>
  </si>
  <si>
    <t>Fenergo Experienced QA Specialist</t>
  </si>
  <si>
    <t>https://www.praca.pl/fenergo-experienced-qa-specialist_4789176.html</t>
  </si>
  <si>
    <t>VR-61755</t>
  </si>
  <si>
    <t>&lt;br /&gt;- Minimum 5 years QA and software testing experience&lt;br /&gt;- Minimum 1.5 years experience working on Fenergo&lt;br /&gt;- Testing of systems developed in .NET, C#, ASP.NET, SQL Server and/or Oracle is essential&lt;br /&gt;- Experience in interrogating SQL Server and Oracle databases through the use of medium-level SQL queries&lt;br /&gt;- Experience in testing on data migration / data driven projects&lt;br /&gt;- Experience with bug and issue management tools&lt;br /&gt;- Exposure to testing in a financial services environment&lt;br /&gt;- Experience with Automated test frameworks would be an advantage&lt;br /&gt;- ISTQB accreditation (or similar) desirable&lt;br /&gt;- Solid understanding of Project management methodologies&lt;br /&gt;</t>
  </si>
  <si>
    <t>&lt;br /&gt;- Produce structured test plans based on functional and data driven requirements&lt;br /&gt;- Develop comprehensive test cases to cover both UI and database level testing for both SIT and Regression testing phases&lt;br /&gt;- Creating, executing and recording the results of test cases&lt;br /&gt;- Tracking progress of test phases and reporting to Management with regular updates&lt;br /&gt;- Raise &amp; track defects, highlight potential risks&lt;br /&gt;- Contribute to our projects and processes as a team member, from requirements analysis and design, to final feature implementation and release&lt;br /&gt;- Ensure that quality standards are maintained at all times throughout the development cycle&lt;br /&gt;- Develop process improvement initiatives&lt;br /&gt;</t>
  </si>
  <si>
    <t>https://www.praca.pl/senior-java-developer_4789080.html</t>
  </si>
  <si>
    <t>VR-61772</t>
  </si>
  <si>
    <t>&lt;br /&gt;- More than 7 years of experience in software development with 5-7 years' experience using Java/JavaEE&lt;br /&gt;- Experience in Spring Frameworks (Spring Boot/Spring MVC/Spring Data etc.)&lt;br /&gt;- Experience in development of RESTful / SOAP Web Services&lt;br /&gt;- Practical experience working with JUnit and Git&lt;br /&gt;- Good knowledge of OOP (Object Oriented Programming) concepts and design patterns&lt;br /&gt;- Experience in implementation of Microservices and multi-tier application platforms&lt;br /&gt;- Good knowledge of JPA and SQL (preferable Oracle SQL)&lt;br /&gt;- Fluent written and spoken English&lt;br /&gt;- Practical knowledge of UML and design tools (e.g. Enterprise Architect)&lt;br /&gt;- Experience in development, roll-out and maintenance of complex applications&lt;br /&gt;- In-depth knowledge of IntelliJ IDEA or Eclipse&lt;br /&gt;</t>
  </si>
  <si>
    <t>&lt;br /&gt;- Implementation of the JAVA code as a part of the Agile (Scrum) team.&lt;br /&gt;- Participating in the design activities&lt;br /&gt;- Writing unit tests for created software&lt;br /&gt;- Documenting the code and developed solutions&lt;br /&gt;- Bug fixing and maintenance of created software&lt;br /&gt;- Close cooperation with other Software Engineers, Solution Architects, Requirements Engineers, Project Manager and Test Engineers&lt;br /&gt;- Performing review of the requirement specifications prepared by Requirement Engineers&lt;br /&gt;- Supporting Test Engineers in all test activities&lt;br /&gt;</t>
  </si>
  <si>
    <t>https://www.praca.pl/senior-php-developer_4788249.html</t>
  </si>
  <si>
    <t>49420#21050090</t>
  </si>
  <si>
    <t>&lt;br /&gt;- Excellent knowledge of PHP (any framework) and databases (MySQL)&lt;br /&gt;- Good knowledge of other backend technologies such as Memcached/Redis, Docker etc.&lt;br /&gt;- Nice to have: knowledge of AWS, RabbitMQ&lt;br /&gt;- Experience in unit &amp; functional testing&lt;br /&gt;- Experience in designing and implementing communication between systems (API / messaging queues)&lt;br /&gt;</t>
  </si>
  <si>
    <t>&lt;br /&gt;- Developing robust backend logic of a warehouse management system&lt;br /&gt;- Developing communication with other internal systems using APIs and message queues&lt;br /&gt;- Keeping the performance of a high traffic system&lt;br /&gt;- Profiling and debugging challenging cases using industry-leading tools (e.g. NewRelic, Blackfire)&lt;br /&gt;- Developing high quality code ensuring best practices, patterns and coding standards.&lt;br /&gt;</t>
  </si>
  <si>
    <t>Portfolio Manager</t>
  </si>
  <si>
    <t>https://www.praca.pl/portfolio-manager_4787235.html</t>
  </si>
  <si>
    <t>LP/PM/ZD/05</t>
  </si>
  <si>
    <t>&lt;br /&gt;- Jira advanced skills – to set up Jira on the project and portfolio level, within organisational Jira framework; Jira reporting setup and maintenance, Jira users support&lt;br /&gt;- Understanding project management, both agile and waterfall; personal experience could be an advantage&lt;br /&gt;- Understanding portfolio management&lt;br /&gt;- Fluent English&lt;br /&gt;- PMO member experience could be an advantage&lt;br /&gt;- Advanced Excel skills could be an advantage&lt;br /&gt;- Poznan based could be an advantage&lt;br /&gt;- 110 - 120 PLN (B2B)&lt;br /&gt;</t>
  </si>
  <si>
    <t>https://www.praca.pl/programista-php_4786701.html</t>
  </si>
  <si>
    <t>&lt;br /&gt;czego oczekujemy:&lt;br /&gt;- bardzo dobrej znajomości obiektowego PHP&lt;br /&gt;- bardzo dobrej znajomości Phalcon/Symfony&lt;br /&gt;- bardzo dobrej znajomości JavaScript/CSS/Bootstrap&lt;br /&gt;- bardzo dobrej znajomości GIT-a&lt;br /&gt;- minimum 2 lata doświadczenia&lt;br /&gt;</t>
  </si>
  <si>
    <t>&lt;br /&gt;praca zdalna&lt;br /&gt;co będziesz u nas robić:&lt;br /&gt;- pracować i rozwijać się przy projektowaniu aplikacji internetowych realizowanych z użyciem PHP 5.6/7 (w tym Phalcon), mySQL, jQuery, Bootstrap, GIT&lt;br /&gt;- dbać o najwyższą jakość kodu, jego precyzyjną dokumentację i testowanie&lt;br /&gt;- projektować, rozbudowywać, optymalizować, implementować i utrzymywać funkcjonujące rozwiązania&lt;br /&gt;- realnie kształtować system wspierający i integrujący wszystkie aspekty prowadzenia wielooddziałowej, zatrudniającej kilka tysięcy osób, firmy&lt;br /&gt;</t>
  </si>
  <si>
    <t>Back-end Developer (.NET)</t>
  </si>
  <si>
    <t>https://www.praca.pl/back-end-developer-net_4765302.html</t>
  </si>
  <si>
    <t>LP/BED/POZ/04</t>
  </si>
  <si>
    <t>&lt;br /&gt;Basic Qualifications:&lt;br /&gt;- We are looking for engineers with these required skills to achieve our goal:&lt;br /&gt;- Computer Science or related bachelor’s degree desirable although meaningful experience is equally valued&lt;br /&gt;- Minimum 2 years of commercial experience working as Back-end Developer&lt;br /&gt;- Experience with .Net&lt;br /&gt;- Experience in Agile development and different approaches, but specifically Scrum.&lt;br /&gt;- Database – definition and manipulation (Oracle SQL, PostgreSQL, graphQL)&lt;br /&gt;- Restful API’s – consumption and creation&lt;br /&gt;- Good analytical, problem-solving and troubleshooting skills&lt;br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Javascript, like Node.js knowledge&lt;br /&gt;- Subject matter expertise with relevant business process&lt;br /&gt;- SAP Konowledge&lt;br /&gt;</t>
  </si>
  <si>
    <t>&lt;br /&gt;As a Back-end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</si>
  <si>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CLOUD Developer</t>
  </si>
  <si>
    <t>https://www.praca.pl/cloud-developer_4765353.html</t>
  </si>
  <si>
    <t>LP/CD/POZ/05</t>
  </si>
  <si>
    <t>&lt;br /&gt;Basic Qualifications:&lt;br /&gt;- We are looking for professionals with these required skills to achieve our goals:&lt;br /&gt;- Multiple years of experience in building, deploying, scaling, and shaping an API product including API gateway&lt;br /&gt;- Practical experience in operating technical software systems based on cloud environments (Azure or GCP) including site reliability thinking&lt;br /&gt;- Understanding of resilience patterns and for building distributed systems in an organization at scale as well as strong track record in microservice architectures&lt;br /&gt;</t>
  </si>
  <si>
    <t>&lt;br /&gt;Working closely with Product Design, Business Analysis, Systems Analysis, Quality Assurance and Customer Support to help assess, enhance, maintain and support software solutions to business problems. Using strong logic, computer language skills, combined with healthcare industry and practical knowledge, deliver and maintain applications and software providing comprehensive business solutions to the healthcare industry.&lt;br /&gt;This role will provide you the opportunity to lead key activities to progress your career.&lt;br /&gt;These responsibilities include some of the following:&lt;br /&gt;- You implement, deploy and operate your team’s cloud native microservices in the production environment and foresee, identify and solve production issues&lt;br /&gt;- You support junior team colleagues through coaching and code reviews&lt;br /&gt;- You follow agile working principles and focus on values such as objectives and key results&lt;br /&gt;- You drive quality and standards in our engineering community&lt;br /&gt;</t>
  </si>
  <si>
    <t>Full-Stack Developer</t>
  </si>
  <si>
    <t>https://www.praca.pl/full-stack-developer_4765404.html</t>
  </si>
  <si>
    <t>LP/FD/POZ/04</t>
  </si>
  <si>
    <t>&lt;br /&gt;We are looking for professionals with these required skills to achieve our goal:&lt;br /&gt;- Computer Science r related bachelor's degree required although relevant experience is equally valued&lt;br /&gt;- Data science (e.g. AI/ML) or data analytics &amp; data quality/integrity&lt;br /&gt;- Testing strategies &amp; Frameworks (Selenium or Tosca)&lt;br /&gt;- Experience in Agile development and different approaches, but specifically Scrum.&lt;br /&gt;- Containerizations Kubernetes or Docker&lt;br /&gt;- DataBricks / Apache Spark / Understand the value and implementation of CI/CD pipelines.&lt;br /&gt;- Development languages preferably at least 2 of the following Java script, python, Java or .Net&lt;br /&gt;- DevSecOps knowledge, specifically on Azure&lt;br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Experience with data structures (i.e. information management), data models or relational database design&lt;br /&gt;- Subject matter expertise with relevant business process&lt;br /&gt;- SAP Knowledge&lt;br /&gt;</t>
  </si>
  <si>
    <t>&lt;br /&gt;Full-Stack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</si>
  <si>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 Senior Software Developer</t>
  </si>
  <si>
    <t>https://www.praca.pl/c-senior-software-developer_4784937.html</t>
  </si>
  <si>
    <t>&lt;br /&gt;Responsibilities:&lt;br /&gt;? Under general direction, develop, code, test and debug new complex software solutions or enhancements to existing software in a maintenance capacity&lt;br /&gt;? Design and code complex applications using advanced technology&lt;br /&gt;? Resolve customer complaints with software and respond to suggestions for improvements and enhancements&lt;br /&gt;? Assess and recommend the best technical solutions for complex projects&lt;br /&gt;?Create new ideas to improve application performance and stability&lt;br /&gt;? Control quality of coding and implementation of implemented solutions&lt;br /&gt;Requirements:&lt;br /&gt;?Excellent knowledge of C++ programming in UNIX/Linux environment, 5 years of C++ experience&lt;br /&gt;? Very good knowledge of STL, boost libraries, object-oriented design and design patterns&lt;br /&gt;?Knowledge and experience of relational database programming&lt;br /&gt;? Excellent problem solving and analytical skills&lt;br /&gt;? Good English communication skills; written and verbal required&lt;br /&gt;? Self-disciplined and commitment-oriented approach to work&lt;br /&gt;</t>
  </si>
  <si>
    <t>&lt;br /&gt;5 FTE open role&lt;br /&gt;Salary: 800 - 1000 PLN/ MD/ B2B or to 15 050 PLN gross / job contract&lt;br /&gt;Working model: 100% remotely&lt;br /&gt;Level: Mid / Senior&lt;br /&gt;</t>
  </si>
  <si>
    <t>Lovo Software Sp. z o.o.</t>
  </si>
  <si>
    <t>Specjalista ds. wdrożeń ze znajomością JavaScript</t>
  </si>
  <si>
    <t>https://www.praca.pl/specjalista-ds-wdrozen-ze-znajomoscia-javascript_4784166.html</t>
  </si>
  <si>
    <t>&lt;br /&gt;Czekamy na Ciebie jeśli:&lt;br /&gt;- Masz co najmniej 2 lata doświadczenia w programowaniu JavaScript&lt;br /&gt;- Znasz protokół http oraz REST API&lt;br /&gt;- Potrafisz tworzyć i testować aplikacje webowych&lt;br /&gt;- Rozumiesz zagadnienia UI/UX&lt;br /&gt;- Masz doświadczenie w prowadzeniu wielu projektów jednocześnie&lt;br /&gt;- Umiesz analizować dane i wyciągać wnioski&lt;br /&gt;- Chcesz rozwijać swoje kompetencje w obszarach biznesu i IT&lt;br /&gt;- Masz wykształcenie informatyczne lub pokrewne&lt;br /&gt;Dodatkowo docenimy jeśli posiadasz:&lt;br /&gt;- Znajomość teoretyczną lub praktyczną Bonita, Camunda lub innych narzędzi do zarządzania procesami&lt;br /&gt;- Znajomość języka angielskiego&lt;br /&gt;</t>
  </si>
  <si>
    <t>&lt;br /&gt;W ramach Twojego zakresu obowiązków będziesz:&lt;br /&gt;- Przeprowadzać konsultację oraz analizę potrzeb biznesowych klienta&lt;br /&gt;- Konfigurować i optymalizować platformę celem dostosowania do wymagań klienta&lt;br /&gt;- Prowadzić szkolenia z funkcjonalności platformy dla kluczowych użytkowników&lt;br /&gt;- Zapewniać wsparcie powdrożeniowe platformy&lt;br /&gt;- Współpracować z zespołem deweloperów nad rozbudową i optymalizacją platformy&lt;br /&gt;- Tworzyć dokumentację wdrożeniową&lt;br /&gt;</t>
  </si>
  <si>
    <t>Recruit Europe Ltd.</t>
  </si>
  <si>
    <t>Front End Web Developer - Vue JS, Programista aplikacji mobilnych IOS Android</t>
  </si>
  <si>
    <t>Polska, podkarpackie, Rzeszów, Dębica, Krosno, Jasło, Sanok, Przemyśl, Jarosław, Mielec, Kolbuszowa</t>
  </si>
  <si>
    <t>https://www.praca.pl/front-end-web-developer-vue-js,programista-aplikacji-mobilnych-ios-android_4776153.html</t>
  </si>
  <si>
    <t>&lt;br /&gt;Wymagania:&lt;br /&gt;- znajomość projektowania UI/UX platform mobilnych (smartfonów, tabletów)&lt;br /&gt;- znajomość zagadnień obsługi interfejsów API (webservices)&lt;br /&gt;- mile widziana znajomość VueJS&lt;br /&gt;- mile widziana znajomosc C#, TypeScript, VueJS, WebRTC&lt;br /&gt;- znajomość języka angielskiego na poziomie komunikatywnym oraz w zakresie czytania i rozumienia dokumentacji technicznej&lt;br /&gt;- kreatywność&lt;br /&gt;- analizować dane i wyciągać wnioski i budować nowe trendy&lt;br /&gt;- interesować się zagadnieniami z zakresu marketingu, analiz rynku, zarządzania i chcieć zdobyć ciekawe doświadczenie w tym obszarze&lt;br /&gt;&lt;dl&gt;&lt;dt&gt;&lt;/dt&gt;&lt;/dl&gt;</t>
  </si>
  <si>
    <t>&lt;br /&gt;Opis stanowiska:&lt;br /&gt;- praca programisty aplikacji mobilnych w zakresie systemów iOS Android&lt;br /&gt;- współprojektowanie i współtworzenie Internet portal web site&lt;br /&gt;- wsparcie w rozwiązywaniu problemów informatycznych&lt;br /&gt;- dbanie o wysoką jakość kodu&lt;br /&gt;- prowadzenie i aktualizacja dokumentacji związanej z projektem&lt;br /&gt;</t>
  </si>
  <si>
    <t>Data Scientist</t>
  </si>
  <si>
    <t>Projektant baz danych</t>
  </si>
  <si>
    <t>https://www.praca.pl/data-scientist_4725102.html</t>
  </si>
  <si>
    <t>RPd057|252103</t>
  </si>
  <si>
    <t>&lt;br /&gt;Wymagania:&lt;br /&gt;- Minimum 5 lat doświadczenia jako Data Scientist&lt;br /&gt;- Praktyczne doświadczenie w takich dziedzinach jak: rozpoznawanie zawartości obrazów, modelowanie predykcyjne, NLP&lt;br /&gt;- Bardzo dobra znajomość Bazy Danych SQL, Python, R&lt;br /&gt;- Odpowiedzialność, rzetelność, zorientowanie na cel i rozwiązywanie problemów&lt;br /&gt;</t>
  </si>
  <si>
    <t>&lt;br /&gt;Aktualnie dla naszego klienta z branży farmaceutycznej poszukujemy Data Scientist. Projekt będzie dotyczył analizy danych pochodzących z smartwatche E4 w celu przewidywania początku bólu u pacjentów z endometriozą. Prace będą prowadzone w środowisku GIS ECAS.&lt;br /&gt;Lokalizacja: 100 % zdalnie&lt;br /&gt;Branża: Farmaceutyczna&lt;br /&gt;Finanse: do 1200 zł MD&lt;br /&gt;</t>
  </si>
  <si>
    <t>Experum HR</t>
  </si>
  <si>
    <t>https://www.praca.pl/przedstawiciel-handlowy_4502403.html</t>
  </si>
  <si>
    <t>12.05.2021 03:09</t>
  </si>
  <si>
    <t>8813/PH</t>
  </si>
  <si>
    <t>&lt;br /&gt;Obowiązki:&lt;br /&gt;- aktywne pozyskiwanie klientów,&lt;br /&gt;- umiejętne określanie potrzeb Klienta i dobór do nich rozwiązań,&lt;br /&gt;- przeprowadzanie audytów technicznych.&lt;br /&gt;</t>
  </si>
  <si>
    <t>&lt;br /&gt;Wymagania:&lt;br /&gt;- wykształcenie minimum średnie,&lt;br /&gt;- minimum 1 rok doświadczenia w sprzedaży bezpośredniej D2D w sektorze B2C,&lt;br /&gt;- wysokie umiejętności interpersonalne,&lt;br /&gt;- wysokie nastawienie na osiąganie celów,&lt;br /&gt;- umiejętności autoprezentacji i sprzedażowe,&lt;br /&gt;- orientacja na klienta.&lt;br /&gt;</t>
  </si>
  <si>
    <t>FAKRO</t>
  </si>
  <si>
    <t>Przedstawiciel Handlowy - Stolarka Dachowa</t>
  </si>
  <si>
    <t>https://www.praca.pl/przedstawiciel-handlowy-stolarka-dachowa_4668834.html</t>
  </si>
  <si>
    <t>2/PHRZ/03_2021</t>
  </si>
  <si>
    <t>&lt;br /&gt;Wymagania:&lt;br /&gt;- samodyscyplina i zadaniowe podejście do pracy&lt;br /&gt;- wysokie zdolności komunikacyjne&lt;br /&gt;- dyspozycyjność i szybkość działania&lt;br /&gt;- wykształcenie min. średnie&lt;br /&gt;- umiejętność czytania rysunku technicznego&lt;br /&gt;- prawo jazdy kategorii B&lt;br /&gt;</t>
  </si>
  <si>
    <t>&lt;br /&gt;Osoba zatrudniona na powyższym stanowisku będzie odpowiedzialna za:&lt;br /&gt;- realizowanie strategii produktowej i sprzedażowej na wyznaczonym terenie&lt;br /&gt;- budowanie i utrzymywanie dobrych relacji z klientami&lt;br /&gt;- analizę potrzeb konsumentów, trendów na rynku i działań konkurencji&lt;br /&gt;- organizowanie prezentacji i szkoleń produktowych&lt;br /&gt;- doradztwo i wsparcie techniczne&lt;br /&gt;</t>
  </si>
  <si>
    <t>Polska, podkarpackie, Dębica, Przemyśl, Rzeszów, Sanok, Tarnobrzeg</t>
  </si>
  <si>
    <t>https://www.praca.pl/reprezentant-handlowy_4660878.html</t>
  </si>
  <si>
    <t>1803,1862,1863,1817,1864</t>
  </si>
  <si>
    <t>&lt;br /&gt;Od nas otrzymasz&lt;br /&gt;- Niezbędne wsparcie w postaci leadów sprzedażowych&lt;br /&gt;- Profesjonalne szkolenia oraz wdrożenie na wstępnym etapie zatrudnienia&lt;br /&gt;- Jasno określoną ścieżkę rozwoju&lt;br /&gt;- Umowę o pracę oraz wynagrodzenie w postaci podstawy + premii&lt;br /&gt;- Elastyczny czas pracy, służbowy samochód i komplet narzędzi pracy (laptop, telefon)&lt;br /&gt;- Wsparcie zespołu, przełożonych, Call Center, działu projektowego, marketingu&lt;br /&gt;</t>
  </si>
  <si>
    <t>&lt;br /&gt;- Jesteś osobą która pracuje z klientem, u klienta i dla klienta&lt;br /&gt;- Jesteś specjalistą, który potrafi dostrzec i wskazać klientowi korzyści z zakupu&lt;br /&gt;- Jesteś ekspertem, który potrafi dobrać i zaprezentować odpowiednie rozwiązanie techniczne&lt;br /&gt;- Jesteś człowiekiem, który codziennie rozwija się i realizuje swoje cele osobiste i zawodowe&lt;br /&gt;- Jesteś liderem, który w najbliższym czasie chce osiągnąć sukces zawodowy i finansowy&lt;br /&gt;Jeśli tak zapraszamy do naszego zespołu!&lt;br /&gt;</t>
  </si>
  <si>
    <t>https://www.praca.pl/ajent-saloniku-prasowego_4720485.html</t>
  </si>
  <si>
    <t>&lt;br /&gt;Decydując się na współpracę z nami otrzymasz:&lt;br /&gt;- w pełni urządzony i zatowarowany salonik, bez konieczności wnoszenia wkładu własnego,&lt;br /&gt;- gwarantowane wynagrodzenie podstawowe,&lt;br /&gt;- atrakcyjny system prowizji,&lt;br /&gt;- wsparcie ze strony przedstawicieli firmy,&lt;br /&gt;- niezbędną wiedzę i atrakcyjny system szkoleń,&lt;br /&gt;- możliwość rozwoju.&lt;br /&gt;Jeśli jesteś aktywny i zaangażowany oraz cenisz sobie swobodę w działaniu to dołącz do nas.&lt;br /&gt;</t>
  </si>
  <si>
    <t>&lt;br /&gt;Prowadzenie Saloniku Kolportera to:&lt;br /&gt;- Sprawdzony pomysł na rodzinny biznes.&lt;br /&gt;- Stałe, gwarantowane wynagrodzenie.&lt;br /&gt;- Działalność bez ryzyka.&lt;br /&gt;</t>
  </si>
  <si>
    <t>https://www.praca.pl/doradca-handlowy_4785687.html</t>
  </si>
  <si>
    <t>https://www.praca.pl/przedstawiciel-medyczny_4726701.html</t>
  </si>
  <si>
    <t>1801,1802,1803,1804,1805,1806,1807,1808,1809,1810,1811,1814,1815,1816,1817,1818,1819,1821,1862,1864</t>
  </si>
  <si>
    <t>&lt;br /&gt;OCZEKUJEMY&lt;br /&gt;wykształcenia wyższego jako warunek konieczny&lt;br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</si>
  <si>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Nauczyciel na kursie Wychowawca wypoczynku</t>
  </si>
  <si>
    <t>https://www.praca.pl/nauczyciel-na-kursie-wychowawca-wypoczynku_4724301.html</t>
  </si>
  <si>
    <t>Ratownik medyczny</t>
  </si>
  <si>
    <t>https://www.praca.pl/starszy-specjalista_4719981.html</t>
  </si>
  <si>
    <t>28.05.2021</t>
  </si>
  <si>
    <t>RPd057|325601</t>
  </si>
  <si>
    <t>&lt;h4&gt;Wymagania niezbędne&lt;/h4&gt;wykształcenie: wyższe&lt;br /&gt;doświadczenie zawodowe/staż pracy: doświadczenia zawodowego&lt;br /&gt;- Doświadczenie zawodowe w jednostkach sektora finansów publicznych - co najmniej 6 miesięcy,&lt;br /&gt;- Znajomość przepisów ustaw: o Państwowym Ratownictwie Medycznym, o dostępie do informacji publicznej, o służbie cywilnej, o wojewodzie i administracji rządowej w województwie, Kodeks postępowania administracyjnego,&lt;br /&gt;- Znajomość ogólnego rozporządzenia o ochronie danych osobowych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</si>
  <si>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praca w nietypowych godzinach,&lt;br /&gt;- na stanowisku pracy występują zadania wymagające umiejętności szybkiego reagowania, koncentracji, zrównoważenia emocjonalnego, dobrej pamięci, skrupulatności, spostrzegawczości oraz odporności na stres,&lt;br /&gt;- kontakt z klientem wewnętrznym oraz zewnętrznym.&lt;br /&gt;Stanowisko pracy zlokalizowane jest w pokoju biurowym na VII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określa współpracę jednostek systemu państwowego ratownictwa medycznego z organami administracji publicznej oraz z jednostkami współpracującymi z systemem ze szczególnym uwzględnieniem sposobu powiadamiania, alarmowania i dysponowania jednostek, organizacji działań ratowniczych na miejscu zdarzenia, analizy działań ratowniczych oraz organizacji wspólnych ćwiczeń,&lt;br /&gt;- współdziała w opracowywaniu i aktualizacji Planu działania systemu PRM w zakresie określania kosztów działalności zespołów ratownictwa medycznego,&lt;br /&gt;- przygotowywuje uwagi do projektów aktów prawnych z zakresu ratownictwa medycznego oraz propozycje zmian przepisów prawnych,&lt;br /&gt;- prowadzi sprawy związane z zatwierdzaniem okresu edukacyjnego i wydawaniem kart doskonalenia zawodowego dla ratowników medycznych oraz dla dyspozytorów medycznych,&lt;br /&gt;- prowadzi sprawy związane z właściwym funkcjonowaniem jednostek systemu PRM w czasie sytuacji kryzysowych oraz odziaływaniem na podmioty lecznicze,&lt;br /&gt;- prowadzi bieżącą obsługę stanowiska wojewódzkiego koordynatora ratownictwa medycznego, przygotowywuje grafiki czasu pracy oraz przygotowywuje pisma do podmiotów leczniczych i Narodowego Funduszu Zdrowia.&lt;br /&gt;</t>
  </si>
  <si>
    <t>Sales Supervisor with French language</t>
  </si>
  <si>
    <t>https://www.praca.pl/sales-supervisor-with-french-language_4787859.html</t>
  </si>
  <si>
    <t>Wymagania&lt;br /&gt;&lt;br /&gt;- Fluent command of French language&lt;br /&gt;- Very good English language (min. B2)&lt;br /&gt;- Min. 2 years of experience in tele-sales or direct sales position&lt;br /&gt;- Good command of Excel&lt;br /&gt;- Ambition and high sense of ownership&lt;br /&gt;- Experience in team management as a plus&lt;br /&gt;</t>
  </si>
  <si>
    <t>Opis stanowiska&lt;br /&gt;&lt;br /&gt;An international contact center company offers great Career Path for French speaking Sales Supervisor who:&lt;br /&gt;Feels confident in sales&lt;br /&gt;Acquires outstanding sales skills and techniques&lt;br /&gt;Has experience in leading the team or consider herself/himself as a team leader.&lt;br /&gt;How does Sales Supervisor Careers Path look like:&lt;br /&gt;First few weeks you get to know the system, make calls to our existing French customers in order to sell company’s product.&lt;br /&gt;When you acquire this knowledge you will be sharing this with your team as an official Team Leader and also:&lt;br /&gt;- Report sales results and find ways of improving them&lt;br /&gt;- Mentor and lead the team of sales consultants&lt;br /&gt;- Develop and coach your team to success&lt;br /&gt;- Assist with recruitment of the new team members&lt;br /&gt;- Support and teach new team members to be excellent in sales&lt;br /&gt;- Verify the quality and efficiency of consultants’ services&lt;br /&gt;</t>
  </si>
  <si>
    <t>Sunday Polska Sp. z o.o.</t>
  </si>
  <si>
    <t>Partner ds. Ekspansji i Rozwoju Sieci Sprzedaży</t>
  </si>
  <si>
    <t>https://www.praca.pl/partner-ds-ekspansji-i-rozwoju-sieci-sprzedazy_4764084.html</t>
  </si>
  <si>
    <t>&lt;br /&gt;Wymagania:&lt;br /&gt;- Posiadane relacje biznesowe na rynku b2b&lt;br /&gt;- Doświadczenie i znajomość zewnętrznych sieci sprzedaży&lt;br /&gt;- Prawo jazdy kat. B&lt;br /&gt;- Kreatywność i dynamika w działaniu&lt;br /&gt;- Dyspozycyjność, umiejętność organizacji pracy własnej&lt;br /&gt;- Dobra znajomość pakietu MS Office&lt;br /&gt;</t>
  </si>
  <si>
    <t>&lt;br /&gt;Zakres obowiązków:&lt;br /&gt;- Pozyskiwanie Partnerów do współpracy&lt;br /&gt;- Organizacja i rozwój sieci sprzedaży poprzez budowanie długotrwałych i pozytywnych relacji z Partnerami&lt;br /&gt;- Motywowanie, wspieranie i szkolenie Partnerów&lt;br /&gt;- Realizacja ustalonych planów sprzedażowych&lt;br /&gt;- Dbanie o pozytywny wizerunek marki&lt;br /&gt;</t>
  </si>
  <si>
    <t>Cyber Assurance Manager (Cyber Risk)</t>
  </si>
  <si>
    <t>Specjalista bezpieczeństwa systemów teleinformatycznych</t>
  </si>
  <si>
    <t>https://www.praca.pl/cyber-assurance-manager-cyber-risk_4765014.html</t>
  </si>
  <si>
    <t>RPd057|252902</t>
  </si>
  <si>
    <t>LP/CAM(CR)/POZ/05</t>
  </si>
  <si>
    <t>&lt;br /&gt;Requirements:&lt;br /&gt;- 10+ years of cyber security experience Business engagement&lt;br /&gt;- Experience and knowledge across different frameworks and standards such as ISO 27001, NIST, CIS etc.&lt;br /&gt;- CISSP, CISM&lt;br /&gt;- Demonstrated experience and understanding of cyber security principles, IT security controls, and related technologies and products&lt;br /&gt;- Experience in working with outsourced providers and bringing positive changes to the organisation by working in partnership&lt;br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t>
  </si>
  <si>
    <t>&lt;br /&gt;The primary purpose of this position is to partner with the business and global support functions to embed the concept of “secure by design” by influencing projects and operations to implement proportionate cyber security coverage throughout the development Lifecyle.&lt;br /&gt;This is more on the design and SME support rather than ‘run’&lt;br /&gt;This is achieved by acting as a cyber security focal point for the business, acting as a conduit to other security teams (such as Cyber Security Operations, Governance Risk and Compliance and Architecture and Engineering) as required to meet business needs.&lt;br /&gt;Job description:&lt;br /&gt;- To identify, document and report business cyber risks to senior stakeholders and positively influence the cyber security posture&lt;br /&gt;- Provide high level SME support and guidance in identifying and managing risks in all cores of cyber security like data, application, cloud, IAM etc.&lt;br /&gt;- Formally assess and evaluate cyber security risks related to business projects, determine the potential impact of those risks, and conduct follow-up on any necessary remediation efforts. Ensure that IT solutions and business processes comply with GSK’s policies, controls and applicable legal and regulatory requirements whilst also ensuring that business objectives are met&lt;br /&gt;- Collaborate with internal third-party relationship owners and third-party representatives to recommend necessary security and privacy controls to effectively mitigate risks to GSK&lt;br /&gt;- Evangelize third-party risk management processes across business lines to help influence a strong culture of proactive awareness for third-party security risks&lt;br /&gt;- To guide business owners and relevant stakeholders throughout the entire delivery lifecycle ensuring that information security is considered in a proportionate and tailored way&lt;br /&gt;- To carry out expert security assessments in supporting the business and global support functions utilising a thorough understanding of pharma and effectively create/monitor delivery of the remediation plans on identified risks and support on all levels within the business.&lt;br /&gt;- To partner effectively with the business, GRC and the wider Tech Security/Risk teams to eliminate overlaps and provide a holistic and consistent cyber security position including key initiatives such as cyber incidents and resilience.&lt;br /&gt;- To ensure consistent and continual alignment to the business and TSR strategy through oversight of the Cyber Risk Management framework, activities and processes including all aspects of the metrics/reporting.&lt;br /&gt;- To contribute to the development of global cyber security baselines, guidelines, standards, policies and procedures&lt;br /&gt;- Ability to support multiple teams to conduct threat modelling exercises for applications on an ongoing basis and embed strong cyber controls around data governance within business processes&lt;br /&gt;- Maintain current knowledge of cyber risk management requirements and accreditation standards and monitor changes in technology impacting security &amp; risk posture.&lt;br /&gt;- To serve as a coach and mentor to peers and engage in upskilling activities for the overall team&lt;br /&gt;- Identifying and implementing automation initiatives like control testing to enhance the delivery time and improve efficiency&lt;br /&gt;- Identify and implement areas of duplication and propose ways of eliminating duplication to bring cost effectiveness and efficiency&lt;br /&gt;- Partner with outsourced third-party provider in effectively providing a cyber risk service reducing response times and improving on integration and automation&lt;br /&gt;This role will engage with senior business stakeholders and requires a clear understanding of business imperatives in order to build commensurate cyber security controls. Knowledge of such controls needs to be at an expert level.&lt;br /&gt;This is a global role, across multiple business functions and will require the ability to understand business strategy and influence stakeholders to embed cyber risk mitigation into those strategies and also into operations.&lt;br /&gt;This role will interact with senior roles across the business and global support functions. It requires the ability to influence and also to bring in both internal and external benchmark information.&lt;br /&gt;This role will interact across all geographies that the client operates within. It will also require interaction outside the client with groups such as regulators.&lt;br /&gt;This role has direct influence on the cyber security posture of the business. It will directly influence the delivery of business objectives and interoperate with senior stakeholders.&lt;br /&gt;Salary: 140-180 PLN per hour (B2B)&lt;br /&gt;</t>
  </si>
  <si>
    <t>Senior Security Service Analyst (Risk Management)</t>
  </si>
  <si>
    <t>https://www.praca.pl/senior-security-service-analyst-risk-management_4765065.html</t>
  </si>
  <si>
    <t>LP/CSSSA(RM)/POZ/05</t>
  </si>
  <si>
    <t>&lt;br /&gt;Requirements:&lt;br /&gt;General&lt;br /&gt;- Experience and knowledge across different frameworks and standards such as ISO 27001, NIST, CIS etc.&lt;br /&gt;- Demonstrated experience and understanding of cyber security principles, IT security controls, and related technologies and products&lt;br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 Technical/Functional (Line) Expertise (Breadth and depth of knowledge, application and complexity of technical knowledge)&lt;br /&gt;- Experience in evaluating third parties for the presence of fundamental information security controls.&lt;br /&gt;- Experience conducting risk assessments and applying concepts of inherent and residual risk in order to draw appropriate conclusions and articulate the same to non-technical audiences.&lt;br /&gt;- Ability to effectively negotiate appropriate remediation of security gaps with third party representatives to ensure protection of GSK information.&lt;br /&gt;- Leadership (Vision, strategy and business alignment, people management, communication, influencing others, managing change)&lt;br /&gt;- Influencing action across various business lines and geographies to achieve program objectives.&lt;br /&gt;- Ability to effectively manage conflicting priorities in alignment with overall business and departmental strategies.&lt;br /&gt;- Developing strong relationships with leaders of complementary programs (e.g. Procurement, Legal, Ethics &amp; Compliance) to ensure harmonization.&lt;br /&gt;- Decision-making and Autonomy (The capacity and authority to make organizational decisions, autonomy in decision-making, complexity of decisions, impact of decisions, problem-solving)&lt;br /&gt;- Operates autonomously in the execution of the third-party security risk program framework.&lt;br /&gt;- Serves as central point-of-contact for evaluating security risks associated with all third-party engagements.&lt;br /&gt;- Recommends and agrees with Line Manager the need for shifts in program strategy.&lt;br /&gt;- Interaction (The span and nature of one’s engagement with others when performing one’s job, internal and external relationships)&lt;br /&gt;- Excellent project management skills to effectively balance unexpected and conflicting priorities as they arise&lt;br /&gt;- Experience operating effectively across matrixed organizations&lt;br /&gt;- Intercultural sensitivity&lt;br /&gt;- Innovation (The required level of scientific knowledge, knowledge sharing, innovation and risk taking)&lt;br /&gt;- Understand innovations and evolving best practices amongst industry practitioners of third-party security risk management to continually mature GSK’s program.&lt;br /&gt;- Ability to apply innovative approaches to balancing business constraints with program goals to identify win-win solutions.&lt;br /&gt;- Complexity (Products managed, mix of businesses, internal and/or external business environment, cultural considerations)&lt;br /&gt;- Global SME role, but with coordination to the global third-party program.&lt;br /&gt;- Operate across geographies and across business lines.&lt;br /&gt;- Collaborate effectively with relevant third parties and managed service provider.&lt;br /&gt;</t>
  </si>
  <si>
    <t>&lt;br /&gt;Job description:&lt;br /&gt;- 8+ years of proven experience in cyber security and/or third party security risk management&lt;br /&gt;- Execute and support the full lifecycle of information security third-party risk assessments as needed, either individually or through available resources.&lt;br /&gt;- Collaborate with internal third-party relationship owners and third-party representatives to recommend necessary security controls to effectively mitigate risks to the client&lt;br /&gt;- Evangelize third-party risk management processes across business lines to help influence a strong culture of proactive awareness for third-party security risks&lt;br /&gt;- Maintain and mature the third-party risk management process framework for security risk, including necessary standards, procedures, and technologies&lt;br /&gt;- Execute and support the full lifecycle of information security and third-party risk assessments as needed, either individually or through available resources.&lt;br /&gt;- Provide clarifying support, where necessary, to internal third-party relationship owners or third-party representatives in their efforts to provide responses to the security risk assessment questionnaire.&lt;br /&gt;- Coordinate with Legal and Procurement representatives to ensure proper security and privacy clauses are included in third-party contracts&lt;br /&gt;- Effectively translate third-party responses to assessment questionnaire, using sound judgement, into concise risk exposure reporting for delivery to internal stakeholders&lt;br /&gt;- Collaborate with internal third-party relationship owners and third-party representatives to recommend necessary security controls to effectively mitigate risks to GSK&lt;br /&gt;- Ensure robust tracking and remediation of third-party security and privacy risk exposures identified through assessment processes&lt;br /&gt;- Evangelize third-party risk management processes across business lines to help influence a strong culture of proactive awareness for third-party risks&lt;br /&gt;- Provide any necessary training and awareness related to the third-party security risk assessment process&lt;br /&gt;- Contribute to the gathering and distribution of periodic program metrics and/or dashboards&lt;br /&gt;- Provide insights on other security risk management matters, as necessary, in collaboration with the broader GRC/Cyber Risk team.&lt;br /&gt;- Provide consultancy SME support in conducting security posture assessments as part of continuous monitoring or post breach scenarios to ensure that suppliers have adequate security controls.&lt;br /&gt;- This role will engage with senior business stakeholders and requires a clear understanding of business imperatives in order to build commensurate cyber security controls around third-party risk. Knowledge of such controls needs to be at an expert level.&lt;br /&gt;- Salary: 140 - 180 PLN per hour (B2B)&lt;br /&gt;</t>
  </si>
  <si>
    <t>Incident Manager</t>
  </si>
  <si>
    <t>https://www.praca.pl/incident-manager_4789320.html</t>
  </si>
  <si>
    <t>VR-61633</t>
  </si>
  <si>
    <t>&lt;ol&gt;&lt;br /&gt;- Strong knowledge of ITSM processes, especially incident&lt;br /&gt;- Proven experience in execution of (but not limited to) incident management&lt;br /&gt;- Proven and strong experience of working in the IT Service industry&lt;br /&gt;- Confident personality with effective relationship management skills to interact with team member and senior stakeholders across various departments and regions&lt;br /&gt;- Ability to effectively prioritize and execute tasks in a high-pressure environment&lt;br /&gt;&lt;/ol&gt;</t>
  </si>
  <si>
    <t>&lt;br /&gt;- You will support day-to-day activities and actively contribute to the vision and direction of the team.&lt;br /&gt;- Actively contribute to continual service improvement initiatives (from a people, process and tool perspective), improving operational efficiencies, evolving existing processes and enhancing the user experience of incident management&lt;br /&gt;- You will guide and collaborate with other teams in various geographical locations.&lt;br /&gt;- You will build relationships and partner with the key stakeholders both in and out of region.&lt;br /&gt;- You will actively contribute to improving communication and training capabilities of the process team to stakeholders&lt;br /&gt;- Contribute to monthly working groups for Incident Management, which represent all areas using Incident Management and will also chair this forum as and when required.&lt;br /&gt;- Define and document in-scope processes working with business partners across IT and the business and aligned to the ITIL framework.&lt;br /&gt;- Assist with the prioritisation, UAT co-ordination and post implementation testing of the Incident Management portion of regular Servicenow releases&lt;br /&gt;- Participate in process ownership governance activities and meetings to ensure effective process management and adoption across the organization.&lt;br /&gt;- Oversee and drive projects relating to IM Process across all areas within Credit Suisse&lt;br /&gt;- Actively contribute to the identification and implementation of automation initiatives to remove manual overhead and at the same time improve the process governance provided by the Global Incident Management team. These automated initiatives covers tools, reporting, data quality and improved flow of data between the different ITSM functions within the bank.&lt;br /&gt;</t>
  </si>
  <si>
    <t>SuperDrob S.A.</t>
  </si>
  <si>
    <t>https://www.praca.pl/supply-chain-manager_4666545.html</t>
  </si>
  <si>
    <t>&lt;br /&gt;Nasze oczekiwania:&lt;br /&gt;- wykształcenie wyższe, preferowane w obszarze logistyki lub zarządzania,&lt;br /&gt;- minimum 7 lat doświadczenia zawodowego na stanowisku Managera Supply chain, logistyki, zakupów, transportu, mile widziane w obszarze produkcyjnym w branży spożywczej,&lt;br /&gt;- minimum 5 lat doświadczenia w efektywnym zarządzaniu zespołem w strukturze rozproszonej,&lt;br /&gt;- zdolność do praktycznego stosowania metod analizy kosztów i jakości w obszarze logistyki,&lt;br /&gt;- wykazywanie chęci inicjowania zmian popartych praktycznymi doświadczeniami w implementacji nowych rozwiązań w obszarze logistyki oraz wprowadzania usprawnień w istniejących procesach,&lt;br /&gt;- bardzo dobra znajomość języka angielskiego w mowie i piśmie, umożliwiająca swobodną komunikację w środowisku biznesowym,&lt;br /&gt;- znajomość środowiska SAP,&lt;br /&gt;- bardzo dobra znajomość obsługi pakietu MS Office oraz systemów wspierających procesy logistyczne,&lt;br /&gt;- aktualne orzeczenie do celów sanitarno-epidemiologicznych lub gotowość do przystąpienia do badań,&lt;br /&gt;- prawo jazdy kat. B i gotowość do podróży służbowych,&lt;br /&gt;- umiejętność działania pod presją czasu, odporność na stres, asertywność,&lt;br /&gt;- silna motywacja do osiągania założonych celów,&lt;br /&gt;- wysoko rozwinięte zdolności komunikacyjne i interpersonalne oraz umiejętności negocjacyjne i analityczne.&lt;br /&gt;</t>
  </si>
  <si>
    <t>&lt;br /&gt;Główne zadania:&lt;br /&gt;- budowanie, zarządzanie i rozwijanie procesów związanych z całościowym łańcuchem dostaw obejmujące współpracę z podległymi Dyrektorami Działów: Dyrektorem ds. Logistyki, Dyrektorem ds. Zakupów oraz Dyrektorem ds. Planowania,&lt;br /&gt;- kierowanie realizacją zadań z obszaru gospodarki magazynowej, transportu, nadzoru nad obrotem opakowań zwrotnych, zakupów oraz planowania zaopatrzenia i rozwojem łańcucha dostaw poprzez realizację planów i celów biznesowych,&lt;br /&gt;- zarządzanie budżetem, ustalanie i monitoring wskaźników KPI oraz raportowanie,&lt;br /&gt;- bieżąca analiza kosztów logistycznych;&lt;br /&gt;- zapewnienie odpowiedniego stanu magazynowego, forecastowanie zapotrzebowań i zamówień;&lt;br /&gt;- wdrażanie nowoczesnych rozwiązań supply chain oraz zarządzanie procesami zakupowymi i logistycznymi;&lt;br /&gt;- optymalizacja procesów poprzez działania minimalizujące koszty operacyjne.&lt;br /&gt;</t>
  </si>
  <si>
    <t>Stanley Black &amp; Decker® Polska Sp. z o.o.</t>
  </si>
  <si>
    <t>Customer Verifications Analyst with German</t>
  </si>
  <si>
    <t>https://www.praca.pl/customer-verifications-analyst-with-german_4722699.html</t>
  </si>
  <si>
    <t>&lt;br /&gt;Requirements:&lt;br /&gt;- Relevant Higher Degree&lt;br /&gt;- Relevant work experience is an advantage&lt;br /&gt;- Strong knowledge of German, good knowledge of English&lt;br /&gt;- Good knowledge of Excel, and a drive to further develop Excel skills&lt;br /&gt;- Strong team player&lt;br /&gt;- Ability to work both independently and cooperatively with a wide range of people&lt;br /&gt;- Organized, details-oriented with good time management skills&lt;br /&gt;- Analytic, critical thinker who enjoys solving problems&lt;br /&gt;- Growth mindset, curious, ambitious, and loves to learn&lt;br /&gt;- Thrives in a fast-paced environment, and adapts well to change&lt;br /&gt;</t>
  </si>
  <si>
    <t>&lt;br /&gt;Location: Remote (with possibility of using our Warsaw Office)&lt;br /&gt;Purpose:&lt;br /&gt;This role is responsible to support Phone Validations process for vendor master, coordinate master data management related matters between Outsourcing Partner, Business Partners and Global DMG Team; for in-scope ERPs, driving standardization and efficiency through establishing global data governance model. The Voice Validation Analyst ensures requirements are met with consistency and best in class solutions.&lt;br /&gt;Responsibilities:&lt;br /&gt;- Perform phone validations process of the vendors data in order to avoid any fraud situation&lt;br /&gt;- Applying red flag assessment and checklist, confirming to Accenture on vendor master changes can be actioned&lt;br /&gt;- Mitigate the possible impact of a red flag identified in the vendors change process&lt;br /&gt;- Support and partnership with peers in other regions&lt;br /&gt;- Support Global DMG team on SBD vendors master data phone validation process and initiatives drive with Accenture organization&lt;br /&gt;- Support phone validations activities related to projects, migrations, acquisitions, ERP conversions, reporting need&lt;br /&gt;- Coordinating and update Accenture changes in SBD guidelines, playbook, Delegation of Authority (DoA) and other information that related to phone validations processes&lt;br /&gt;- Understand SBD vendor master data structure especially related to phone validation processes for all in-scope ERP applications&lt;br /&gt;- Understand the Governance model and ownership of master data for in-scope instance, support driving and developing process improvements on voice validation processes&lt;br /&gt;- Responsible to adhering to applicable policy, procedures, standards and internal controls&lt;br /&gt;- Perform other duties as assigned by Global Business Partner Lead&lt;br /&gt;- Ensure compliance with Sarbanes-Oxley control objectives&lt;br /&gt;</t>
  </si>
  <si>
    <t>https://www.praca.pl/specjalista-ds-marketingu_4563269.html</t>
  </si>
  <si>
    <t>&lt;br /&gt;Wymagania:&lt;br /&gt;- Kilkuletnie doświadczenie na podobnym stanowisku w obszarach wymienionych powyżej&lt;br /&gt;- Dużym atutem będzie doświadczenie w samodzielnym prowadzeniu działań, szczególnie w kreowaniu i wdrażaniu strategii marketingowej&lt;br /&gt;- Znajomość najnowszych trendów w obszarze digital marketingu&lt;br /&gt;- Bardzo dobra znajomość języka angielskiego w mowie i piśmie – warunek konieczny, gdyż nasze publikacje są również w języku angielskim&lt;br /&gt;-  Znajomość innych języków obcych będzie dodatkowym atutem&lt;br /&gt;- Samodzielność i odpowiedzialność za powierzone zadania&lt;br /&gt;- Dobra organizacja czasu i pracy i nastawienie na realizację wyznaczonych celów&lt;br /&gt;- Umiejętności interpersonalne i wysoka kultura osobista&lt;br /&gt;- Kreatywność, inicjatywa  i mnóstwo pomysłów&lt;br /&gt;- Nastawienie na ciągłe zdobywanie wiedzy i doświadczenia&lt;br /&gt;</t>
  </si>
  <si>
    <t>&lt;br /&gt;Oferujemy:&lt;br /&gt;- Możliwość uczestniczenia w ciekawych projektach i realizowania swoich pomysłów&lt;br /&gt;- Rozwój zawodowy na samodzielnym stanowisku&lt;br /&gt;- Stabilne warunki zatrudnienia i perspektywa długofalowej współpracy&lt;br /&gt;- Prywatna opieka medyczna&lt;br /&gt;- Dofinansowanie zajęć sportowych&lt;br /&gt;- Dofinansowanie kursów i szkoleń&lt;br /&gt;- Możliwość częściowej pracy zdalnej&lt;br /&gt;- Elastyczny czas pracy&lt;br /&gt;- Piątkowe obiady&lt;br /&gt;- Program Poleceń Pracowniczych&lt;br /&gt;</t>
  </si>
  <si>
    <t>Content Labelling Specialist with German (B1/B2)</t>
  </si>
  <si>
    <t>https://www.praca.pl/content-labelling-specialist-with-german-b1-b2_4717734.html</t>
  </si>
  <si>
    <t>&lt;br /&gt;Qualifications:&lt;br /&gt;Minimum qualifications:&lt;br /&gt;- Good level of German min. B1.&lt;br /&gt;- very good level of English, min B2.&lt;br /&gt;- Previous experience in data labelling would be an asset&lt;br /&gt;- Education: High School Diploma/GED; Some degree of further education/college desirable&lt;br /&gt;- This job will request working from Monday to Friday with the possibility to work in the weekends.&lt;br /&gt;</t>
  </si>
  <si>
    <t>&lt;br /&gt;Responsibilities:&lt;br /&gt;- Analyze online videos, social media, web page and advertising content for compliance; Examine the content which could be in text, image, audio, video or other format daily&lt;br /&gt;- Review content within set turnaround times and standards of quality&lt;br /&gt;- Assist our community and help resolve inquiries empathetically, accurately and on time&lt;br /&gt;- Become and remain knowledgeable about client’s products and community standards&lt;br /&gt;- Make well balanced decisions and be personally driven to be an effective advocate for our community&lt;br /&gt;- Display a strong bias to do what’s right for our community in supporting the client’s mission&lt;br /&gt;- Investigate and resolve issues that are reported on clients site such as reports of potentially abusive content&lt;br /&gt;- Use market specific knowledge, signals and insights to spot and scope scalable solutions to improve the support of our community of users&lt;br /&gt;- Gather, analyze and utilize relevant data to develop ways to improve the overall user experience on the site&lt;br /&gt;- Identify inefficiencies in workflows and suggest solutions&lt;br /&gt;</t>
  </si>
  <si>
    <t>Homeglobal</t>
  </si>
  <si>
    <t>Customer Service and Sales Specialist with Romanian language</t>
  </si>
  <si>
    <t>https://www.praca.pl/customer-service-and-sales-specialist-with-romanian-language_4775073.html</t>
  </si>
  <si>
    <t>&lt;br /&gt;Job description&lt;br /&gt;- Contact with clients from the Romanian market and active sales of products;&lt;br /&gt;- Promoting products;&lt;br /&gt;- Taking care of relationship with customers;&lt;br /&gt;- Shaping a good image of the company;&lt;br /&gt;- Act as an advisory in terms of matching products to individual needs;&lt;br /&gt;- Administration and operation of the internal system.&lt;br /&gt;</t>
  </si>
  <si>
    <t>&lt;br /&gt;Ideal Candidate&lt;br /&gt;- Fluency in Romanian language;&lt;br /&gt;- Experience in sales or customer service will be an advantage (call center/contact center);&lt;br /&gt;- High communication and interpersonal skills;&lt;br /&gt;- Independence, ability to solve problems;&lt;br /&gt;- Assigned responsibility for actions;&lt;br /&gt;- Motivation and commitment;&lt;br /&gt;- Enthusiasm, good attitude and sense of humor.&lt;br /&gt;</t>
  </si>
  <si>
    <t>JT S.A.</t>
  </si>
  <si>
    <t>Specjalista ds. kontroli jakości / Inżynier ds. jakości / Inspektor</t>
  </si>
  <si>
    <t>https://www.praca.pl/specjalista-ds-kontroli-jakosci-inzynier-ds-jakosci-inspektor_4692042.html</t>
  </si>
  <si>
    <t>Gorzów Wielkopolski</t>
  </si>
  <si>
    <t>&lt;br /&gt;- doświadczenie pozyskane w trakcie realizacji budowy gazociągu/ paliwociągu, obiektu technologicznego na stanowisku: Kontroler Jakości/ Inżynier Budowy/ Kierownik Robót-warunek konieczny&lt;br /&gt;- bardzo dobra organizacja pracy własnej, zaangażowanie w wykonywane obowiązki&lt;br /&gt;- wysokie umiejętności interpersonalne, komunikatywność&lt;br /&gt;- prawo jazdy kat. B&lt;br /&gt;- mile widziane wykształcenie wyższe kierunkowe (inżynieria środowiska/ inżynieria wod.-kan./ gazownictwo/ mechanika)&lt;br /&gt;- mile widziana znajomość programu AUTO CAD&lt;br /&gt;- mile widziana znajomość języka angielskiego na poziomie komunikatywnym&lt;br /&gt;</t>
  </si>
  <si>
    <t>&lt;br /&gt;- kontrola jakości prac spawalniczych oraz wszelkich prac ziemnych, montażowych i budowlanych&lt;br /&gt;- kontrola i ocena zgodności materiałów/ robót oraz dopuszczenie do realizacji następnego etapu wykonywanych prac&lt;br /&gt;- bieżąca analiza projektów, standardów technicznych, wymagań prawnych i normatywnych dotyczących wykonywanych prac&lt;br /&gt;- opracowywanie dokumentów służących dopuszczeniu JT S.A. do realizacji prac na realizowanych zadaniach&lt;br /&gt;- udział w odbiorach wykonanych prac, próbach i testach&lt;br /&gt;- tworzenie dokumentacji powykonawczej&lt;br /&gt;- bieżąca współpraca z Kierownictwem Budowy, przedstawicielami Zamawiającego i Nadzoru.&lt;br /&gt;- miejscem wykonywania pracy po zakończeniu przedmiotowej Inwestycji są zorganizowane budowy na terenie całego kraju&lt;br /&gt;</t>
  </si>
  <si>
    <t>Osoba do utrzymania czystości</t>
  </si>
  <si>
    <t>https://www.praca.pl/osoba-do-utrzymania-czystosci_4570480.html</t>
  </si>
  <si>
    <t>&lt;br /&gt;Wymagania:&lt;br /&gt;- sumienność,&lt;br /&gt;- dokładność,&lt;br /&gt;- orzeczenie o stopniu niepełnosprawności (mile widziane).&lt;br /&gt;</t>
  </si>
  <si>
    <t>&lt;br /&gt;Zakres obowiązków:&lt;br /&gt;Osoba zatrudniona na tym stanowisku odpowiedzialna będzie za utrzymanie czystości na terenie sklepu.&lt;br /&gt;</t>
  </si>
  <si>
    <t>Pracownik Sprzątający</t>
  </si>
  <si>
    <t>https://www.praca.pl/pracownik-sprzatajacy_4610071.html</t>
  </si>
  <si>
    <t>https://www.praca.pl/osoba-do-utrzymania-czystosci_4721124.html</t>
  </si>
  <si>
    <t>https://www.praca.pl/osoba-do-utrzymania-czystosci_4721127.html</t>
  </si>
  <si>
    <t>https://www.praca.pl/sprzedawca_4570482.html</t>
  </si>
  <si>
    <t>Super-Pharm</t>
  </si>
  <si>
    <t>Polska, podkarpackie, Rzeszów - Millenium Hall</t>
  </si>
  <si>
    <t>https://www.praca.pl/sprzedawca_4662054.html</t>
  </si>
  <si>
    <t>&lt;br /&gt;SUPERKANDYDAT DO SUPER-PHARM:&lt;br /&gt;- pasjonuje się światem zdrowia i urody&lt;br /&gt;- dobrze czuje się w pracy z Klientem&lt;br /&gt;- interesuje się nowinkami kosmetycznymi&lt;br /&gt;- posiada zmysł estetyczny, który pomoże zadbać o atrakcyjny wygląd sklepu&lt;br /&gt;- ma energię i zapał do nauki&lt;br /&gt;- potrafi obsługiwać kasę fiskalną&lt;br /&gt;</t>
  </si>
  <si>
    <t>&lt;br /&gt;SUPEROFERTA OD SUPER-PHARM TO:&lt;br /&gt;- możliwość zdobycia cennego doświadczenia w obsłudze Klienta&lt;br /&gt;- możliwość zdobycia wiedzy w zakresie asortymentu drogeryjnego i perfumeryjnego&lt;br /&gt;- możliwość pracy w otwartej, przyjaznej i koleżeńskiej atmosferze&lt;br /&gt;- elastyczne godziny pracy i zatrudnienie w oparciu o umowę zlecenia w wymiarze pół etatu&lt;br /&gt;</t>
  </si>
  <si>
    <t>Polska, podkarpackie, Rzeszów - Millenium Hall, Rzeszów - Galeria Rzeszów</t>
  </si>
  <si>
    <t>https://www.praca.pl/sprzedawca_4658364.html</t>
  </si>
  <si>
    <t>&lt;br /&gt;Dołączając do nas otrzymasz:&lt;br /&gt;- Ciekawą i rozwojową pracę w energicznym Zespole&lt;br /&gt;- Atrakcyjne wynagrodzenie – uzależnione od realizacji założonych celów&lt;br /&gt;- Szkolenia wdrożeniowe i produktowe&lt;br /&gt;- Pracę w Firmie o ugruntowanej pozycji na rynku&lt;br /&gt;- Odzież i obuwie pracownicze NB&lt;br /&gt;- Zniżki pracownicze&lt;br /&gt;- Kartę Multisport&lt;br /&gt;- Umowę o pracę oraz stabilne zatrudnienie&lt;br /&gt;Szukamy osób, które:&lt;br /&gt;- Są nastawione na obsługę Klienta&lt;br /&gt;- Są wielozadaniowe i nie boją się wyzwań, szybko się uczą&lt;br /&gt;- Są dyspozycyjne, również w weekendy&lt;br /&gt;- Angażują się w wykonywaną pracę zgodnie z wartościami Firmy&lt;br /&gt;- Posiadają doświadczenie w aktywnej sprzedaży&lt;br /&gt;Twoim zadaniem będzie:&lt;br /&gt;- Aktywna obsługa Klienta zgodnie ze standardami Firmy&lt;br /&gt;- Realizacja planów sprzedażowych&lt;br /&gt;- Wykonywanie zadań związanych z funkcjonowaniem Salonu&lt;br /&gt;</t>
  </si>
  <si>
    <t>&lt;br /&gt;Aplikując, wskaż: lokalizację oraz preferowany wymiar czasu pracy&lt;br /&gt;</t>
  </si>
  <si>
    <t>https://www.praca.pl/sprzedawca_4721088.html</t>
  </si>
  <si>
    <t>https://www.praca.pl/sprzedawca_4721091.html</t>
  </si>
  <si>
    <t>&lt;br /&gt;Oczekiwania:&lt;br /&gt;- Doświadczenie w handlu i obsłudze klienta - mile widziane&lt;br /&gt;- Umiejętność pracy w zespole&lt;br /&gt;- Samodzielność w działaniu&lt;br /&gt;- Dobra znajomość obsługi komputera&lt;br /&gt;- Gotowość do podjęcia pracy w delegacji&lt;br /&gt;</t>
  </si>
  <si>
    <t>Sprzedawca - dział stolarka</t>
  </si>
  <si>
    <t>https://www.praca.pl/sprzedawca-dzial-stolarka_4721097.html</t>
  </si>
  <si>
    <t>Eurocash Franczyza</t>
  </si>
  <si>
    <t>Pracownik Lady Mięsnej</t>
  </si>
  <si>
    <t>Polska, podkarpackie, Mielec - ul. Biernackiego</t>
  </si>
  <si>
    <t>https://www.praca.pl/pracownik-lady-miesnej_4789674.html</t>
  </si>
  <si>
    <t>&lt;br /&gt;Jesteś ciekawy/a, jak będzie wyglądała Twoja praca? Zadania, które na Ciebie czekają to:&lt;br /&gt;- Profesjonalna obsługa Klienta zgodnie ze standardami firmy – to Twoje główne zadanie!&lt;br /&gt;- Dbałość o stoisko mięsne – prawidłową ekspozycję, zatowarowanie, czystość i estetykę – lubimy gdy wszystko jest na swoim miejscu&lt;br /&gt;- Systematyczna kontrola wyglądu sklepu i dbałość o zachowanie standardów sieci w powierzonym dziale i całym sklepie – aby nasi Klienci czuli się jak u siebie&lt;br /&gt;- Udział w szkoleniach dedykowanych do stanowiska – Twój rozwój to dla nas podstawa!&lt;br /&gt;</t>
  </si>
  <si>
    <t>&lt;br /&gt;Sprawdź co możemy Ci zaoferować!&lt;br /&gt;- Umowę o pracę na pełny etat&lt;br /&gt;- Zmianowy czas pracy&lt;br /&gt;- Pakiet szkoleń zawodowych&lt;br /&gt;- Realne możliwości rozwoju&lt;br /&gt;- Paczki i bony okolicznościowe&lt;br /&gt;- Ubezpieczenie grupowe, opieka medyczna, karty sportowe;&lt;br /&gt;- Program stypendialny dla dzieci pracowników.&lt;br /&gt;</t>
  </si>
  <si>
    <t>https://www.praca.pl/sprzedawca-w-dziale-budowlanym_4569836.html</t>
  </si>
  <si>
    <t>&lt;br /&gt;Oczekiwania:&lt;br /&gt;- Doświadczenie w handlu i obsłudze klienta - mile widziane&lt;br /&gt;- Umiejętność pracy w zespole&lt;br /&gt;- Samodzielność w działaniu&lt;br /&gt;- Dobra znajomość obsługi komputera&lt;br /&gt;- Gotowość do podjęcia pracy w delegacji&lt;br /&gt;- Mile widziane orzeczenie o niepełnosprawności&lt;br /&gt;</t>
  </si>
  <si>
    <t>https://www.praca.pl/sprzedawca-w-dziale-budowlanym_4610074.html</t>
  </si>
  <si>
    <t>Operator elektrodrążarki</t>
  </si>
  <si>
    <t>Strugacz</t>
  </si>
  <si>
    <t>https://www.praca.pl/operator-elektrodrazarki_4563762.html</t>
  </si>
  <si>
    <t>RPd057|722311</t>
  </si>
  <si>
    <t>&lt;br /&gt;- wykształcenie min. zasadnicze zawodowe,&lt;br /&gt;- doświadczenie na w/w stanowisku,&lt;br /&gt;- rzetelność oraz dokładność,&lt;br /&gt;- dobra organizacja pracy,&lt;br /&gt;- zaangażowanie i motywacja do pracy.&lt;br /&gt;</t>
  </si>
  <si>
    <t>&lt;br /&gt;Zadania:&lt;br /&gt;- obsługa elektrodrążarki drutowej i wgłębnej&lt;br /&gt;- obróbka podzespołów form wtryskowych&lt;br /&gt;</t>
  </si>
  <si>
    <t>Szlifierz narzędziowy</t>
  </si>
  <si>
    <t>https://www.praca.pl/szlifierz-narzedziowy_4563766.html</t>
  </si>
  <si>
    <t>&lt;br /&gt;- mile widziane doświadczenie na podobnym stanowisku,&lt;br /&gt;- bardzo dobra znajomość rysunku technicznego,&lt;br /&gt;- rzetelność oraz dokładność,&lt;br /&gt;- dobra organizacja pracy,&lt;br /&gt;- zaangażowanie i motywacja do pracy.&lt;br /&gt;</t>
  </si>
  <si>
    <t>&lt;br /&gt;Zadania:&lt;br /&gt;- szlifowanie na płasko i okrągło elementów form wtryskowych.&lt;br /&gt;</t>
  </si>
  <si>
    <t>Ślusarz*</t>
  </si>
  <si>
    <t>https://www.praca.pl/slusarz_4663647.html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</si>
  <si>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Prawo jazdy kat. B&lt;br /&gt;</t>
  </si>
  <si>
    <t>&lt;br /&gt;Miejsce pracy: Niemcy, Szwecja, Holandia, Finlandia, Belgia, Norwegia&lt;br /&gt;Na tym stanowisku będziesz odpowiedzialny za:                            &lt;br /&gt;- Obsługę maszyn i narzędzi ślusarskich&lt;br /&gt;- Wykonywanie instalacji zgodnie z dokumentacja techniczną&lt;br /&gt;- Montaż elementów składowych rurociągów kotłów urządzeń&lt;br /&gt;- Przygotowanie rurociągów i innych elementów do spawania&lt;br /&gt;- Montaż połączeń kołnierzowych według EN 1591-4&lt;br /&gt;</t>
  </si>
  <si>
    <t>Ślusarz - mechanik</t>
  </si>
  <si>
    <t>https://www.praca.pl/slusarz-mechanik_4663590.html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</si>
  <si>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Uprawnienia SEP do 1kV – mile widziane&lt;br /&gt;- Prawo jazdy kat. B&lt;br /&gt;</t>
  </si>
  <si>
    <t>&lt;br /&gt;Miejsce pracy: Niemcy, Belgia, Holandia, Finlandia, Norwegia&lt;br /&gt;Na tym stanowisku będziesz odpowiedzialny za: &lt;br /&gt;- Prace mechaniczno-ślusarskie przy naprawie maszyn i urządzeń na projektach zakładów chemicznych&lt;br /&gt;- Usuwanie usterek napędów hydraulicznych&lt;br /&gt;- Kontrolę stanu technicznego urządzeń&lt;br /&gt;</t>
  </si>
  <si>
    <t>Ślusarz narzędziowy</t>
  </si>
  <si>
    <t>https://www.praca.pl/slusarz-narzedziowy_4563760.html</t>
  </si>
  <si>
    <t>RPd057|722206</t>
  </si>
  <si>
    <t>&lt;br /&gt;- wykształcenie min. zasadnicze zawodowe,&lt;br /&gt;- mile widziane doświadczenie na podobnym stanowisku,&lt;br /&gt;- bardzo dobra znajomość rysunku technicznego,&lt;br /&gt;- rzetelność oraz dokładność,&lt;br /&gt;- dobra organizacja pracy,&lt;br /&gt;- zaangażowanie i motywacja do pracy.&lt;br /&gt;</t>
  </si>
  <si>
    <t>&lt;br /&gt;Zadania:&lt;br /&gt;- przeglądy i montaż form wtryskowych,&lt;br /&gt;- polerowanie elementów formujących,&lt;br /&gt;- precyzyjne prace ślusarskie.&lt;br /&gt;</t>
  </si>
  <si>
    <t>Detektyw sklepowy</t>
  </si>
  <si>
    <t>Tajemniczy klient (mystery shopper)</t>
  </si>
  <si>
    <t>https://www.praca.pl/detektyw-sklepowy_4721148.html</t>
  </si>
  <si>
    <t>RPd057|333905</t>
  </si>
  <si>
    <t>&lt;br /&gt;Oczekiwania wobec kandydatek i kandydatów:&lt;br /&gt;- dobra organizacja czasu pracy, komunikatywność i dyspozycyjność&lt;br /&gt;- odpowiedzialność, samodzielność i spostrzegawczość,&lt;br /&gt;- orzeczenie o niepełnosprawności - mile widziane.&lt;br /&gt;</t>
  </si>
  <si>
    <t>&lt;br /&gt;Zadania na stanowisku:&lt;br /&gt;- zapewnienie bezpieczeństwa w obiekcie handlowym,&lt;br /&gt;- monitorowanie, kontrola działu handlowego,&lt;br /&gt;- raportowanie ujawnionych nieprawidłowości.&lt;br /&gt;</t>
  </si>
  <si>
    <t>https://www.praca.pl/inspektor_4719996.html</t>
  </si>
  <si>
    <t>&lt;h4&gt;Wymagania niezbędne&lt;/h4&gt;wykształcenie: średnie&lt;br /&gt;doświadczenie zawodowe/staż pracy: co najmniej 1 rok doświadczenia zawodowego w administracji&lt;br /&gt;- Znajomość ustawy z dnia 6 kwietnia 190 roku o Policji (tj. Dz. U z 2020 roku, poz. 360 z późn. zm.)&lt;br /&gt;- Znajomość ustawy z dnia 21 listopada 2008 roku o służbie cywilnej (Dz. U. z 2019 roku, poz. 2020 z późn. zm.)&lt;br /&gt;- Znajomość ustawy z dnia 16 września 1982 roku o pracownikach urzędów państwowych (tj. Dz. U. z 2020 roku, poz. 537 z późn. zm.)&lt;br /&gt;- Oświadczenie o wyrażeniu zgody na poddanie się procedurze sprawdzającej zgodnie z ustawą o Ochronie Informacji Niejawnych lub kopia Poświadczenia Bezpieczeństwa o dostępie do informacji niejawnych oznaczonych klauzulą "POUFNE"&lt;br /&gt;- Umiejętność obsługi komputerowych programów biurowych.&lt;br /&gt;- Wymagania interpersonalne: grzeczność i uprzejmość, łatwość komunikacji, umiejętność pracy w zespole, odporność na stres&lt;br /&gt;- ZARZĄDZENIE NR 20 MINISTRA SPRAW WEWNĘTRZNYCH I ADMINISTRACJI W SPRAWIE INSTRUKCJI KANCELARYJNEJ ORAZ JEDNOLITEGO RZECZOWEGO WYKAZU AKT MINISTERSTWA SPRAW WEWNĘTRZNYCH I ADMINISTRACJI z dnia 19 kwietnia 2016 r. (Dz.Urz.MSWiA z 2016 r. poz. 20)&lt;br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</si>
  <si>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stanowisko pracy zlokalizowane w pokoju biurowym. Podstawowe wyposażenie stanowiska pracy to zestaw komputerowy z oprogramowaniem. Większość czynności wykonywana jest w wymuszonej pozycji siedzącej - praca z dokumentami, obsługa monitora ekranowego poniżej 4 godzin na dobę. Kontakt z klientem zewnętrznym. Stanowisko pracy zlokalizowane w pomiesczeniu biurowym oświetlonym przez światło naturalne i sztuczne, wyposażone w zestaw komputerowy z monitorem ekranowym, meble biurowe. Lokalizacja w budynku biurowym z windą na 1 piętrze. Brak podjazdu dla osób niepełnosprawnych.&lt;br /&gt;&lt;h4&gt;Zakres zadań&lt;/h4&gt;&lt;br /&gt;- Przyjmuje i wysyła korespondencje jawną oraz odbiera osobiście korespondencję dostarczoną przez interesantów, otwiera otrzymywane przesyłki.&lt;br /&gt;- Przedkłada korespondencję jawną kierownictwu, celem dekretacji na poszczególne komórki organizacyjne lub jednostki Policji.&lt;br /&gt;- Rejestruje korespondencję w dzienniku podawczym, doręcza korespondencję oraz prowadzi książki doręczeń.&lt;br /&gt;- Terminowo przekazuje zadekretowaną korespondencję właściwym komórkom organizacyjnym i jednostkom za pokwitowaniem w dzienniku podawczym.&lt;br /&gt;- Sporządza wykazy dla korespondencji wychodzącej do Starostwa Powiatowego, Urzędu Miasta, Prokuratury, Sądu, Poczty Resortowej.&lt;br /&gt;- Wysyła korespondencję listową za pośrednictwem Poczty Polskiej, obsługuje elektroniczny rejestr przesyłek pocztowych "Elektroniczny Nadawca" oraz prowadzi wykaz przesyłek.&lt;br /&gt;- Zapewnia prawidłowe funkcjonowanie Policyjnej Poczty Elektronicznej.&lt;br /&gt;- Prowadzi rejestr teczek i spraw, rejestr delegacji.&lt;br /&gt;- Gromadzi i udostępnia resortowe i pozaresortowe akty prawne w KMP w Przemyśl.&lt;br /&gt;- Prowadzi rejestr: aktów prawnych Komendanta Miejskiego Policji w Przemyślu, Komendanta Wojewódzkiego Policji w Rzeszowie, MSW oraz KGP.&lt;br /&gt;- Archiwizuje i brakuje akty prawne, archiwizuje dokumenty oraz rejestry kancelaryjne znajdujące się na stanie sekretariatu.&lt;br /&gt;- Kontroluje obieg dokumentacji oraz prawidłowość funkcjonowania poszczególnych komórek organizacyjnych w zakresie wypełniania postanowień instrukcji kancelaryjnej.&lt;br /&gt;- Sprawdza i udziela informacje, co do zdarzeń zarejestrowanych w prowadzonych dziennikach, opracowuje na potrzeby kierownictwa jednostki pisma.&lt;br /&gt;- Rejestruje karty zdarzeń doraźnych, zapewnia właściwą ochronę dokumentów znajdujących się na stanie sekretariatu, odbiera i łączy telefony.&lt;br /&gt;- Udziela informacje interesantom, a w razie potrzeby kieruje ich do właściwej komórki organizacyjnej, jednostki Policji lub stanowisk pracy.&lt;br /&gt;</t>
  </si>
  <si>
    <t>https://www.praca.pl/mlodszy-inspektor-nadzoru-budowlanego_4770267.html</t>
  </si>
  <si>
    <t>18.06.2021</t>
  </si>
  <si>
    <t>&lt;h4&gt;Wymagania niezbędne&lt;/h4&gt;wykształcenie: średnie średnie budowlane + uprawnienia budowlane&lt;br /&gt;doświadczenie zawodowe/staż pracy: doświadczenia zawodowego&lt;br /&gt;- o znajomość ustawy Prawo budowlane i przepisów wykonawczych,&lt;br /&gt;- o znajomość przepisów Kodeksu postępowania administracyjnego i procedur obowiązujących w administracji,&lt;br /&gt;- o znajomość przepisów ustawy Postępowanie egzekucyjne w administracji,&lt;br /&gt;- o umiejętność stosowania prawa w praktyce,&lt;br /&gt;- o umiejętność obsługi komputera, systemu informatycznego oraz urządzeń biurowych,&lt;br /&gt;- o umiejętność działania w sytuacjach stresowych,&lt;br /&gt;- o umiejętność rozwiązywania problemów,&lt;br /&gt;- o prawo jazdy kategorii B,&lt;br /&gt;- o posiadanie obywatelstwa polskiego,&lt;br /&gt;- o korzystanie z pełni praw publicznych,&lt;br /&gt;- o nieskazanie prawomocnym wyrokiem za umyślne przestępstwo lub umyślne przestępstwo skarbowe&lt;br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</si>
  <si>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dotyczące charakteru pracy na stanowisku i sposobu wykonywania zadań&lt;br /&gt;Praca w siedzibie inspektoratu i poza nią. Kontrole na terenie powiatu  niżańskiego, praca przy komputerze, okresowa dyspozycyjność całodobowa na wypadek katastrofy budowlanej. W trakcie wykonywania kontroli, praca w trudnych warunkach pogodowych i terenowych, na wysokości i na zewnątrz obiektów. Narzędzia pracy – komputer, aparat fotograficzny, przyrządy pomiarowe.&lt;br /&gt;Siedziba inspektoratu znajduje się na 2 piętrze- w budynku brak jest windy.        Codzienne przyjmowanie interesantów, stron postępowań i udzielanie informacji – stres związany z obsługą interesantów.&lt;br /&gt;Nie jest możliwe łączenie zatrudnienia w PINB z wykonywaniem zadań tożsamych, pozostających w sprzeczności lub związanych z zajęciami, które pracownik wykonywać będzie w ramach obowiązków służbowych, wywołujących uzasadnione podejrzenie o stronniczość lub interesowność.&lt;br /&gt;&lt;h4&gt;Zakres zadań&lt;/h4&gt;&lt;br /&gt;- • prowadzenie kontroli budów, robót budowlanych i utrzymania obiektów budowlanych,&lt;br /&gt;- • prowadzenie postępowań administracyjnych i egzekucyjnych wynikających z ustawy – Prawo budowlane z zakresu właściwości powiatowego inspektora nadzoru budowlanego,&lt;br /&gt;- • przygotowywanie projektów decyzji, postanowień i innych pism,&lt;br /&gt;- • załatwianie skarg i wniosków w zakresie właściwości Powiatowego Inspektora Nadzoru Budowlanego,&lt;br /&gt;- • inne zadania zlecone przez Powiatowego Inspektora Nadzoru Budowlanego w Nisku.&lt;br /&gt;</t>
  </si>
  <si>
    <t>EACTIVE sp. z o.o.</t>
  </si>
  <si>
    <t>https://www.praca.pl/handlowiec_4663422.html</t>
  </si>
  <si>
    <t>&lt;br /&gt;Wymagania:&lt;br /&gt;- doświadczenie w sprzedaży B2B min. 2 lata,&lt;br /&gt;- umiejętność budowania relacji z klientem,&lt;br /&gt;- samodzielność i zaangażowanie,&lt;br /&gt;- umiejętności negocjacyjne,&lt;br /&gt;- chęć uczenia się i doskonalenia własnych umiejętności.&lt;br /&gt;Dodatkowym atutem będzie:&lt;br /&gt;- wiedza z zakresu marketingu internetowego,&lt;br /&gt;- podstawowa wiedza z zakresu SEO/SEM.&lt;br /&gt;</t>
  </si>
  <si>
    <t>&lt;br /&gt;Szukamy nowej osoby do naszego działu zajmującego się sprzedażą, na stanowisko&lt;br /&gt;Digital Marketing Adivisor&lt;br /&gt;Masz doświadczenie w sprzedaży, a negocjacje nie mają przed Tobą żadnych tajemnic? Interesuje Cię marketing internetowy i wiesz, że to przyszłość każdej strony?&lt;br /&gt;Nie ma lepszego miejsca dla Ciebie niż dział New Business w EACTIVE.&lt;br /&gt;Dołącz do nas i zacznij z nami tworzyć Zespół, w którym #wiemyjak&lt;br /&gt;Na tym stanowisku, w zależności od stopnia Twojego zaawansowania będziesz odpowiadać za:&lt;br /&gt;- pozyskiwanie klientów B2B na podstawie zapytań, które do nas przychodzą,&lt;br /&gt;- spotkania z Klientami,&lt;br /&gt;- przygotowywanie ofert i prezentacji handlowych,&lt;br /&gt;- negocjacje z Klientami,&lt;br /&gt;- zawieranie umów w imieniu firmy.&lt;br /&gt;Narzędzia, na których będziesz pracować:&lt;br /&gt;- na co dzień pracujemy na pipedrive, ale dodatkowo będziesz korzystać z Senuto, Majestica i Ahrefsa; jeśli nie umiesz ich obsługiwać, nie bój się – nauczymy Cię.&lt;br /&gt;</t>
  </si>
  <si>
    <t>https://www.praca.pl/handlowiec_4786611.html</t>
  </si>
  <si>
    <t>Rzeszów</t>
  </si>
  <si>
    <t>&lt;br /&gt;Ta oferta jest dla Ciebie, jeżeli:&lt;br /&gt;- Pasjonujesz się tematyką motoryzacyjną&lt;br /&gt;- Motywuje Cię praca z klientem w obszarze doradztwa i sprzedaży&lt;br /&gt;- Jesteś gotowy do prowadzenia własnej działalności gospodarczej&lt;br /&gt;- Komunikatywność i zaangażowanie w wykonywane działania są Twoją mocną stroną&lt;br /&gt;- Posiadasz prawo jazdy kat. B&lt;br /&gt;</t>
  </si>
  <si>
    <t>&lt;br /&gt;Wyzwania, które będziesz podejmować:&lt;br /&gt;- Współpraca w branży, która jest Twoją pasją&lt;br /&gt;- Opieka nad klientami z rejonu: doradztwo, sprzedaż i aktywne pozyskiwanie klientów&lt;br /&gt;- Rozpoznawanie potrzeb i analiza klientów&lt;br /&gt;- Stałe poszerzanie wiedzy z zakresu motoryzacji&lt;br /&gt;</t>
  </si>
  <si>
    <t>Zaopatrzeniowiec / Handlowiec</t>
  </si>
  <si>
    <t>https://www.praca.pl/zaopatrzeniowiec-handlowiec_4786569.html</t>
  </si>
  <si>
    <t>&lt;br /&gt;- Wykształcenie związane z branżą motoryzacyjną&lt;br /&gt;- Umiejętność pracy w zespole, komunikatywność, odpowiedzialność&lt;br /&gt;- Podstawowa znajomość części motoryzacyjnych&lt;br /&gt;- Czynne prawo jazdy kat. B; bezkolizyjna jazda samochodem&lt;br /&gt;- Gotowość do prowadzenia własnej działalności gospodarczej&lt;br /&gt;</t>
  </si>
  <si>
    <t>&lt;br /&gt;- Dostarczanie zamówionych towarów do klientów&lt;br /&gt;- Opieka nad klientami z rejonu: doradztwo, sprzedaż i aktywne pozyskiwanie klientów&lt;br /&gt;- Rozpoznawanie potrzeb i analiza klientów&lt;br /&gt;</t>
  </si>
  <si>
    <t>Lider/ka Oddziału</t>
  </si>
  <si>
    <t>https://www.goldenline.pl/praca/oferta/1273462/zielonalinia0?utm_campaign=partner&amp;gpid=983020&amp;utm_medium=export&amp;glc_source=zielonalinia0&amp;utm_source=zielonalinia0</t>
  </si>
  <si>
    <t>30.04.2021</t>
  </si>
  <si>
    <t>07.05.2021</t>
  </si>
  <si>
    <t>a0t4H00000tEwXLQA0</t>
  </si>
  <si>
    <t>Mechanik Maszyn i Urządzeń</t>
  </si>
  <si>
    <t>https://www.praca.pl/mechanik-maszyn-i-urzadzen_4668846.html</t>
  </si>
  <si>
    <t>1/MMR/01_2021</t>
  </si>
  <si>
    <t>&lt;br /&gt;Wymagania:&lt;br /&gt;- wykształcenie zawodowe lub średnie techniczne&lt;br /&gt;- znajomość podstaw rysunku technicznego&lt;br /&gt;- gotowość do wykonywania pracy stojącej oraz manualnej&lt;br /&gt;- samodzielność w działaniu i dobra organizacja pracy, rzetelność&lt;br /&gt;- mile widziane doświadczenie na stanowisku mechanika w dziale utrzymania ruchu oraz uprawnienia do obsługi wózka widłowego i uprawnienia elektryczne do 1 kW&lt;br /&gt;</t>
  </si>
  <si>
    <t>&lt;br /&gt;Zadania:&lt;br /&gt;- Naprawa maszyn i urządzeń produkcyjnych oraz wykonywanie przeglądów technicznych maszyn i urządzeń.&lt;br /&gt;</t>
  </si>
  <si>
    <t>MAN ON THE MOON Sp. z o. o.</t>
  </si>
  <si>
    <t>Content Publisher (Digital &amp; E-commerce)</t>
  </si>
  <si>
    <t>https://www.praca.pl/content-publisher-digital-e-commerce_4723491.html</t>
  </si>
  <si>
    <t>Pathfinder 23</t>
  </si>
  <si>
    <t>&lt;br /&gt;Your mission if you choose to accept it, will be:&lt;br /&gt;Get secret knowledge and real, unquestionable skills! As a Content Publisher , you will develop in the area of&lt;br /&gt;- working on E-commerce content delivery to E-retailers and online shops, eg. Amazon&lt;br /&gt;- working on E-commerce content delivery to serviced brands via Digital Asset Management&lt;br /&gt;- gathering content information (images, copy, data) from various sources and presenting them in the Client requested form,&lt;br /&gt;- building Product Pages,&lt;br /&gt;- working with automation tools on content monitoring &amp; improvements (online shops and social media),&lt;br /&gt;- work with TOP brands on global/regional/local level,&lt;br /&gt;- working in an energetic environment with TOP talents in the industry.&lt;br /&gt;What you’ll need to succeed:&lt;br /&gt;- understanding of internet shopping and E-commerce from a general point of view,&lt;br /&gt;- passion for digital marketing,&lt;br /&gt;- basic knowledge of MS Office: Excel, PowerPoint, Outlook, Sharepoint and related&lt;br /&gt;- good command of English (other languages are welcome),&lt;br /&gt;- excellent organizational skills with attention to detail and ability to follow processes,&lt;br /&gt;- technical curiosity with a thirst for knowledge for Online Marketing,&lt;br /&gt;- ability to operate on agreed delivery dates with minimum supervision,&lt;br /&gt;- willingness to play in a team&lt;br /&gt;We offer:&lt;br /&gt;- the chance to be a part of a rapidly growing company and the next success story&lt;br /&gt;- join the rocket ship! Join us and build with us a new generation of global e-commerce experts!&lt;br /&gt;- an international and diverse work atmosphere - we speak in 18 languages!&lt;br /&gt;- structured career development - our team of industry &amp; HR experts are here to support and work with you to explore your learning potential and career goals&lt;br /&gt;- other fabulous benefits such as multisport card, private premium healthcare, fitness classes online&lt;br /&gt;- life's too short for the wrong job - take this opportunity ;)&lt;br /&gt;</t>
  </si>
  <si>
    <t>&lt;br /&gt;Company description:&lt;br /&gt;At Pathfinder 23 (PF23) we define our mission as&lt;br /&gt;#brandbuildingin&lt;br /&gt;#ecommerce&lt;br /&gt;Our team has unique experience in delivering complex E-commerce projects in EMEA, NA, and LATAM.&lt;br /&gt;#globalecomm&lt;br /&gt;Our combined experience covers cooperation with over 50&lt;br /&gt;#topbrands&lt;br /&gt;and over 300&lt;br /&gt;#eretailers&lt;br /&gt;globally.&lt;br /&gt;PF23 is part of Brand New Galaxy (BNG), an independent platform integrating smart business solutions from the areas of marketing and technology.&lt;br /&gt;#PF23 #forthegalaxy #BRANDNEWGALAXY &lt;br /&gt;www.pathfinder23.com/&lt;br /&gt;www.brandnewgalaxy.com/&lt;br /&gt;</t>
  </si>
  <si>
    <t>https://www.praca.pl/inspektor_4606840.html</t>
  </si>
  <si>
    <t>21.05.2021</t>
  </si>
  <si>
    <t>&lt;h4&gt;Wymagania niezbędne&lt;/h4&gt;wykształcenie: średnie techniczne telekomunikacyjne/ elektroniczne/ teleinformatyczne.&lt;br /&gt;doświadczenie zawodowe/staż pracy: doświadczenia zawodowego - powyżej 12 miesięcy w pracach związanych z wykonywaniem czynności serwisowych w zakresie lokalizacji i usuwania usterek w sieciach telekomunikacyjnych oraz montażu komponentów i instalacji urządzeń sieci LAN.&lt;br /&gt;- Wiedza z zakresu funkcjonowania sieci telekomunikacyjnych i teleinformatycznych.&lt;br /&gt;- Umiejętność obsługi programów pakietu biurowego.&lt;br /&gt;- Posiadanie obywatelstwa polskiego&lt;br /&gt;- Korzystanie z pełni praw publicznych&lt;br /&gt;- Nieskazanie prawomocnym wyrokiem za umyślne przestępstwo lub umyślne przestępstwo skarbowe&lt;br /&gt;&lt;h4&gt;Wymagania dodatkowe&lt;/h4&gt;&lt;br /&gt;</t>
  </si>
  <si>
    <t>&lt;h4&gt;Warunki pracy&lt;/h4&gt;&lt;br /&gt;- CEL ISTNIENIA STANOWISKA PRACY: ciągłe monitorowanie i utrzymanie w pełnej sprawności technicznej urządzeń i systemów telekomunikacyjnych Bieszczadzkiego Oddziału SG. Lokalizowanie i niezwłoczne usuwanie występujących awarii i niesprawności systemów. Wykonywanie prac związanych z administracją sieci takich jak; instalacja i uruchamianie komponentów sieciowych WAN  i LAN/WLAN, stanowisk abonenckich systemów telefonicznych IPT i teleinformatycznych oraz modernizacja sieci telekomunikacyjnych .&lt;br /&gt;- CHARAKTER STANOWISKA I SPOSÓB WYKONYWANIA NA NIM ZADAŃ oraz CZYNNIKI SZCZEGÓLNIE UTRUDNIAJĄCE WYKONYWANIE ZADAŃ: nietypowe godziny pracy (w tym dyżury), praca biurowa w systemie równoważnym (od 8.00 do 20.00 lub od 20.00 do 8.00), obsługa komputera powyżej 4 godzin dziennie, wyjazdy służbowe, wysiłek fizyczny, praca wymagająca dyspozycyjności.&lt;br /&gt;- MIEJSCE I OTOCZENIE ORGANIZACYJNO-TECHNICZNE STANOWISKA PRACY: stanowisko pracy zlokalizowane jest w pokoju biurowym na I piętrze w budynku na terenie kompleksu koszarowego Komendy Bieszczadzkiego Oddziału Straży Granicznej - brak wind, podjazdów i innych ułatwień dla osób z niepełnosprawnością ruchową. Podstawowe wyposażenie stanowiska to: zestaw komputerowy, kserokopiarka, fax, niszczarka, skaner, narzędzia ręczne i elektromechaniczne, urządzenia pomiarowe. Budynek nieprzystosowany do szczególnych potrzeb osób niepełnosprawnych. Na zewnątrz budynku znajdują się miejsca parkingowe dla pracowników.&lt;br /&gt;- ZŁOŻONOŚĆ I KREATYWNOŚĆ: Realizacja zadań na zajmowanym stanowisku pracy określona jest w odpowiednich przepisach, instrukcjach i obowiązkach szczególnie w części dotyczącej utrzymania i monitorowania sieci, montażu urządzeń. Jednak szybki postęp technologiczny w dziedzinie teleinformatyki (urządzeń sieciowych i komponentów sieci strukturalnej) oraz wprowadzanie nowych bardziej zaawansowanych technicznie rozwiązań, wymagają od pracownika na tym stanowisku odpowiedniego poziomu wiedzy technicznej i umiejętności w doborze sposobu diagnozowania usterki, podejmowania decyzji oraz działania określonego w odpowiednich procedurach i przepisach w porozumieniu z przełożonym dobiera nowe sposoby działania.&lt;br /&gt;- NIEZBĘDNA SAMODZIELNOŚĆ I INICJATYWA: Stanowisko pracy w pewnym zakresie wymaga samodzielności, realizacja zadań w znaczącym zakresie określona jest w instrukcjach i obowiązkach. Wymagane jest wykazanie się inicjatywą w zakresie wykrycia i sprawnego usunięcia usterki, wymagana jest również umiejętność rozwiązywania problemów nieujętych w standardowych instrukcjach lub wytycznych a dotyczących montażu i serwisowania urządzeń oraz komponentów sieci telekomunikacyjnej. Od przełożonego otrzymuje polecenia i informacje o sposobie realizacji zadania.&lt;br /&gt;- KONTAKTY ZEWNĘTRZNE: kilka razy w miesiącu z przedstawicielami firm zewnętrznych świadczących usługi telekomunikacyjne w celu weryfikacji sytuacji awaryjnych lub zgłoszenie usterki sieci.&lt;br /&gt;- CZYNNIKI SZCZEGÓLNIE UTRUDNIAJĄCE WYKONYWANIE ZADAŃ: nietypowe godziny pracy (w tym dyżury)&lt;br /&gt;&lt;h4&gt;Zakres zadań&lt;/h4&gt;&lt;br /&gt;- Wykonuje ciągły monitoring sieci telekomunikacyjnej Bieszczadzkiego Oddziału SG w celu utrzymywania w pełnej sprawności technicznej sieci i systemów telekomunikacyjnych. Praca wspomagana oprogramowaniem systemowym.&lt;br /&gt;- Lokalizuje i niezwłocznie usuwa występujące awarie i niesprawności systemów telekomunikacyjnych, samodzielnie bądź we współpracy ze specjalistami właściwych sekcji wydziału, służbami technicznymi CWT KGSG, jednostek organizacyjnych resortu MSWiA, operatorów publicznych, dostawców usług sieciowych oraz innych w zależności od lokalizacji i stopnia złożoności awarii. Praca wspomagana oprogramowaniem systemowym.&lt;br /&gt;- Wykonuje prace związane z administracją sieci takie jak: instalacja i uruchamianie komponentów sieciowych WAN i LAN, stanowisk abonenckich systemów telefonicznych IPT i teleinformatycznych oraz modernizacja sieci telekomunikacyjnych w celu sprawnego utrzymania systemu telekomunikacyjnego.&lt;br /&gt;- Zna organizację systemów telekomunikacyjnych oraz zasady eksploatacji i konserwacji urządzeń telefonicznych i teleinformatycznych zainstalowanych w sieci telekomunikacyjnej Bieszczadzkiego Oddziału SG.&lt;br /&gt;- Prowadzi bieżącą dokumentację techniczno-eksploatacyjną, dotyczącą występujących zmian w infrastrukturze sieci telekomunikacyjnej oraz dokumentuje zadania i czynności, realizowane w trakcie pełnienia dyżuru.&lt;br /&gt;- Dokonuje zmiany konfiguracyjne w bazach danych systemu telefonicznego Bieszczadzkiego Oddziału SG oraz aplikacjach wspomagających pracę: operatora sieci i użytkowników stanowisk abonenckich na polecenie przełożonych.&lt;br /&gt;- Bierze udział w pracach komisji określającej stan techniczny urządzeń łączności w celu odpowiedniego określenia stanu technicznego urządzenia i jego przydatności w dalszej działalności służbowej.&lt;br /&gt;- Informuje przełożonych o występujących awariach, podjętych i wykonanych czynnościach serwisowych mających na celu usunięcie niesprawności.&lt;br /&gt;</t>
  </si>
  <si>
    <t>Tester  (manualny / automatyczny)</t>
  </si>
  <si>
    <t>https://www.praca.pl/tester-manualny-automatyczny_4721430.html</t>
  </si>
  <si>
    <t>&lt;br /&gt;Zatrudniona osoba będzie odpowiedzialna za&lt;br /&gt;- Realizację testów funkcjonalnych oprogramowania (manualne i automatyczne)&lt;br /&gt;- Analizę zakresu testowanego rozwiązania&lt;br /&gt;- Tworzenie przypadków i scenariuszy testowych&lt;br /&gt;- Automatyzację testów&lt;br /&gt;- Raportowanie wyników przeprowadzonych testów&lt;br /&gt;Od kandydatów oczekujemy:&lt;br /&gt;- Min. podstawowej wiedzy z zakresu automatyzacji testów i chęć rozwoju w tym kierunku&lt;br /&gt;- Znajomości metodologii testowania oprogramowania&lt;br /&gt;- Znajomości narzędzi do automatyzacji testów, np. Selenium, Katalon Studio, Locust, Gatling, Web Load&lt;br /&gt;- Mile widziana znajomość testów wydajnościowych&lt;br /&gt;</t>
  </si>
  <si>
    <t>&lt;br /&gt;100% zdalnie&lt;br /&gt;Praca będzie obejmowała wsparcie testów w obszarze CRM (dwie istniejące aplikacje) oraz pracę w nowym projekcie nad nową aplikacją CRM.&lt;br /&gt;</t>
  </si>
  <si>
    <t>Tester manualny</t>
  </si>
  <si>
    <t>https://www.praca.pl/tester-manualny_4720779.html</t>
  </si>
  <si>
    <t>&lt;br /&gt;Wymagania:&lt;br /&gt;- Min. 2 lata doświadczenie w manualnym testowaniu aplikacji webowych&lt;br /&gt;- Doświadczenie w testach wydajnościowych (JMeter)&lt;br /&gt;- Umiejętność tworzenia zapytań do baz danych SQL&lt;br /&gt;- Umiejętność pracy z Jira, Confluence&lt;br /&gt;- Doświadczenie w pracy w metodykach zwinnych&lt;br /&gt;- Znajomość języka angielskiego umożliwiająca swobodną komunikację&lt;br /&gt;Oferujemy:&lt;br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sportową)&lt;br /&gt;- Stałe wsparcie opiekuna z ramienia ASTEK Polska&lt;br /&gt;- Współpracę ze specjalistami w swojej dziedzinie&lt;br /&gt;</t>
  </si>
  <si>
    <t>&lt;br /&gt;Aktualnie poszukujemy osoby na stanowisko Tester Manualny, która dołączył do zespołu pracującego zdalnie.&lt;br /&gt;Na tym stanowisku będziesz odpowiedzialna/-y za:&lt;br /&gt;- Testowanie manualne aplikacji webowych&lt;br /&gt;- Tworzenie dokumentacji testowej&lt;br /&gt;- Przygotowanie i realizację scenariuszy testowych&lt;br /&gt;- Analizę scenariuszy testowych&lt;br /&gt;- Współpracę z zespołem analityków i Proxy Product Owner&lt;br /&gt;- Realizację projektu w metodyce SCRUM&lt;br /&gt;</t>
  </si>
  <si>
    <t>QA Engineer (with Automation) - JAP</t>
  </si>
  <si>
    <t>https://www.praca.pl/qa-engineer-with-automation-jap_4789128.html</t>
  </si>
  <si>
    <t>VR-61805</t>
  </si>
  <si>
    <t>&lt;br /&gt;- 3+ years of experience in software testing&lt;br /&gt;- BSc/MSc in Computer science/Finance/Economics/Math or relevant&lt;br /&gt;- Familiarity with different types of testing, test techniques, testing theory&lt;br /&gt;- Hands-on experience with test design, funtional testing, test reporting&lt;br /&gt;- Hands-on test automation experience&lt;br /&gt;- Selenium Webdriver with Java&lt;br /&gt;- Understanding of Web Services, SOAP/REST API, JSON, etc.&lt;br /&gt;- Good SQL level&lt;br /&gt;- Strong communication skills&lt;br /&gt;</t>
  </si>
  <si>
    <t>&lt;br /&gt;- Perform exploratory and functional manual testing&lt;br /&gt;- Regression testing of application (manual and automated)&lt;br /&gt;- Create automation tests using Selenium (Java)&lt;br /&gt;- Support users during UAT&lt;br /&gt;Role implies both manial and autotomated testing&lt;br /&gt;</t>
  </si>
  <si>
    <t>NIPPON SEIKI (Europe) B.V.</t>
  </si>
  <si>
    <t>Software Quality Assurance Engineer (Automotive)</t>
  </si>
  <si>
    <t>https://www.praca.pl/software-quality-assurance-engineer-automotive_4786188.html</t>
  </si>
  <si>
    <t>&lt;br /&gt;Your profile&lt;br /&gt;- University degree in Software Engineering, IT Engineering, Quality Engineering or similar&lt;br /&gt;- Experience in quality engineering minimum 2 years&lt;br /&gt;- Good knowledge and experience quality engineering, reporting and problem solving methods&lt;br /&gt;- Hands on experience in tools: e.g. JIRA, RTC, PTC, Confluence, Jenkins, SVN, GIT, etc.&lt;br /&gt;- Practical knowledge of Windows and Microsoft Office tools&lt;br /&gt;- Knowledge of ASPICE, IATF (nice to have in practice)&lt;br /&gt;- Good intercultural communication skills&lt;br /&gt;- Very good command of the English language, both written and spoken&lt;br /&gt;- Soft Skills: Proactive, Cooperative, Team Player, with "Can Do" attitude and "Bright" open minded&lt;br /&gt;</t>
  </si>
  <si>
    <t>&lt;br /&gt;Workplace: Gdańsk&lt;br /&gt;Our Company&lt;br /&gt;Nippon Seiki Group is one of the world's leading suppliers for the Automotive Industry with an innovative product range in Driver Information Systems. Our passion and goal is deliver instrument panels and display modules with high quality, readability and reliability throughout the entire lifecycle of a car.&lt;br /&gt;Being market leader in high-end Head-Up Display, Nippon Seiki is a benchmark to the industry for middle and high segment automobile brands.&lt;br /&gt;Our 15.000 employees all over the globe strive every day to design, develop and produce high-end product solutions for our customers. Working closely with larger international automotive manufacturers, from the early life stage of new car models to the manufacturing process, we operate at the center of next generation driver information systems development.&lt;br /&gt;Nippon Seiki (Europe) B.V (NSEU) has been established in 2002 and is a fully owned subsidiary of Nippon Seiki Co. Ltd., based in Nagaoka, Japan. Our European headquarter is located in Hoofddorp – The Netherlands. We focus on the European automotive market with our engineering sites located close to the industry in Munich, Rüsselsheim, Paris, Redditch (UK) and a software development office in Gdansk.&lt;br /&gt;The role&lt;br /&gt;As a SQA Engineer within the Process and Tools Group, you are responsible for measuring, monitoring and reporting status of projects. This also includes KPI reporting. You will work closely with the process team, the project development teams, IT and DevOps to achieve goals required for projects.&lt;br /&gt;Key Responsibilities&lt;br /&gt;- Participate in engineering reviews to ensure that NSEU process is followed in projects&lt;br /&gt;- Estimate, prioritize, plan and coordinate software quality assurance activities (Assessments, Audits, Reviews etc.)&lt;br /&gt;- Interpret and implement NSEU software quality assurance standards and procedures&lt;br /&gt;- Review the implementation and efficiency of quality and inspection systems&lt;br /&gt;- Document internal audits and other software quality assurance activities&lt;br /&gt;- Analyze data to identify areas for improvement in the software quality system&lt;br /&gt;- Develop, recommend and monitor corrective and preventive actions&lt;br /&gt;- Prepare reports to communicate outcomes of software quality activities&lt;br /&gt;- Coordinate and support on-site audits conducted by external providers&lt;br /&gt;- Assure ongoing compliance with quality and industry regulatory requirements&lt;br /&gt;- Evaluate audit findings and monitor appropriate corrective actions&lt;br /&gt;</t>
  </si>
  <si>
    <t>Test Manager</t>
  </si>
  <si>
    <t>https://www.praca.pl/test-manager_4785873.html</t>
  </si>
  <si>
    <t>&lt;br /&gt;Our client has defined a customer-oriented future vision and launched the New behavioural scorecards are being implemented in TRIAD as part of the Model Development Programme. Many downstream IT-systems &amp; retail credit processes in company are consuming data from the current Scoring solution. Examples of retail credit processes in scope are Loan promise, Mortgage, Consumer loans (NCCLs) and Credit cards.&lt;br /&gt;The BSc project was commenced in early February 2021 with the objective to understand the impact towards retail credit processes and related IT-systems when introducing the new Scorecards. The main objective is to ensure backward compatibility of retail credit processes and systems when the new model releases. The key assumption is minimize the change downstreams.&lt;br /&gt;The project intends to finalise detailed business impact analysis. This includes to the completion of the Reason Code analysis and current usage of Risk Grade &amp; Reason Codes in retail credit processes &amp; IT systems.&lt;br /&gt;Being part of this project means that you will work in a diverse, highly international environment with ambitious people, working agile, determined to reach our common goal – to meet the unique needs of our customers.&lt;br /&gt;We are looking for Test Manager able to lead the test management team in large scope project.&lt;br /&gt;Responsibilities:&lt;br /&gt;- Leading test team&lt;br /&gt;- Ensuring that all required types and levels of testing are planned, implemented, executed and reported in accordance with Copmany Test Strategy&lt;br /&gt;- Leading all QA efforts especially across integration and E2E tests in large scale project (~30 components/systems)&lt;br /&gt;- Responsible for driving continuous improvement and introduction of best practices, ensuring the availability of test environment and test data, understanding and addressing testing skill gaps as well as coaching and helping team members to ensure agility and excellent deliveries&lt;br /&gt;Requirements:&lt;br /&gt;- At least 4 years professional experience as Test Manager for large, complex solutions&lt;br /&gt;- Financial domain knowledge is a must&lt;br /&gt;- Proven, solid experience in managing integration and E2E tests for large projects with number of teams involved - is a must&lt;br /&gt;- Understanding of legacy systems&lt;br /&gt;- Some experience with Web, http or API related testing as well as some JAVA development&lt;br /&gt;- Knowledge of test automation&lt;br /&gt;- Experience in testing in agile projects - preferably in SAFe&lt;br /&gt;- Excellent communication skills&lt;br /&gt;</t>
  </si>
  <si>
    <t>&lt;br /&gt;Salary: 880-960 PLN / MD&lt;br /&gt;</t>
  </si>
  <si>
    <t>Be | Shaping the Future Poland</t>
  </si>
  <si>
    <t>Web Application Test Automation engineer</t>
  </si>
  <si>
    <t>https://www.praca.pl/web-application-test-automation-engineer_4785246.html</t>
  </si>
  <si>
    <t>&lt;br /&gt;The role:&lt;br /&gt;- Set up and automate a series of test cases&lt;br /&gt;- Establish the process of maintaining the test cases&lt;br /&gt;- Train staff (client + ours) on test case maintenance&lt;br /&gt;- Construct and review test scenarios, acceptance criteria, and scripts&lt;br /&gt;- Perform test coordination and execution&lt;br /&gt;- Document and report test processes&lt;br /&gt;- Enhance test frameworks and develop automated tests&lt;br /&gt;Skills:&lt;br /&gt;- Selenium&lt;br /&gt;- Have proven knowledge in testing technologies, methodologies, and tools&lt;br /&gt;- Have abilities in documentation and reporting&lt;br /&gt;- Have strong analytical skills&lt;br /&gt;- Can integrate into an international/multi-cultural environment&lt;br /&gt;</t>
  </si>
  <si>
    <t>&lt;br /&gt;Remote Poland &lt;br /&gt;</t>
  </si>
  <si>
    <t>Translator with Spanish / Tłumacz języka Hiszpańskiego</t>
  </si>
  <si>
    <t>https://www.goldenline.pl/praca/oferta/1273540/zielonalinia0?utm_campaign=partner&amp;gpid=983104&amp;utm_medium=export&amp;glc_source=zielonalinia0&amp;utm_source=zielonalinia0</t>
  </si>
  <si>
    <t>Wymagania:&lt;br /&gt;&lt;div &gt;For one of our clients we are looking for a &lt;span &gt;Translator with Spanish language who will be responsible for translations of Web texts. &lt;/div&gt;&lt;h2&gt;Responsibilities:&lt;/h2&gt;&lt;ul&gt;&lt;div class="lista"&gt;Preparing translations from Polish or English to Spanish&lt;/div&gt;&lt;div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Spanish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</si>
  <si>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https://www.praca.pl/specjalista_4606771.html</t>
  </si>
  <si>
    <t>&lt;h4&gt;Wymagania niezbędne&lt;/h4&gt;wykształcenie: wyższe&lt;br /&gt;doświadczenie zawodowe/staż pracy: doświadczenia zawodowego powyżej 2 lat w administracji skarbowej&lt;br /&gt;- Znajomość przepisów ustawy o Krajowej Administracji Skarbowej oraz prawa podatkowego, w szczególności: ustawy Ordynacja podatkowa&lt;br /&gt;- Znajomość przepisów ustawy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</si>
  <si>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osobowego).Wejście do budynku przystosowane do potrzeb osób niepełnosprawnych, toaleta przystosowana dla osób niepełnosprawnych. Stanowisko pracy nie jest dostosowane do potrzeb osób niedowidzących, niewidomych, niesłyszących i głuchoniemych.&lt;br /&gt;&lt;h4&gt;Zakres zadań&lt;/h4&gt;&lt;br /&gt;- Prowadzi obsługę kancelaryjną urzędu,&lt;br /&gt;- Prowadzi sekretariat naczelnika urzędu oraz jego zastępców,&lt;br /&gt;- Organizuje obieg informacji i dokumentacji w urzędzie,&lt;br /&gt;- Prowadzi sprawy związane z udzielaniem upoważnień do podejmowania czynności w imieniu naczelnika urzędu, z wyjątkiem zastrzeżonych do właściwości innej komórki organizacyjnej,&lt;br /&gt;- Koordynuje udzielanie informacji publicznej,&lt;br /&gt;- Gromadzi informacje zarządcze w zakresie funkcjonowania urzędu,&lt;br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mienia, ochrony przeciwpożarowej, składnicy akt lub archiwum,&lt;br /&gt;- Prowadzi sprawy dotyczące decyzji, wewnętrznych procedur postępowania i innych dokumentów wydawanych przez naczelnika urzędu w zakresie realizacji zadań określonych w art. 28 ustawy o KAS oraz w przepisach odrębnych.&lt;br /&gt;</t>
  </si>
  <si>
    <t>Starszy kontroler rozliczeń</t>
  </si>
  <si>
    <t>https://www.praca.pl/starszy-kontroler-rozliczen_4606780.html</t>
  </si>
  <si>
    <t>&lt;h4&gt;Wymagania niezbędne&lt;/h4&gt;wykształcenie: średnie&lt;br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oraz podatku od towarów i usług,&lt;br /&gt;- Znajomość przepisów z zakresu ustawy o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</si>
  <si>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4-kondygnacyjnym budynku biurowym (dźwig osobowy). Wejście do budynku przystosowane do potrzeb osób niepełnosprawnych, na każdej kondygnacji znajdują się pomieszczenia sanitarne dostosowane dla osób niepełnosprawnych. Stanowisko pracy nie jest dostosowane do potrzeb osób niedowidzących, niewidomych, niesłyszących i głuchoniemych.&lt;br /&gt;&lt;h4&gt;Zakres zadań&lt;/h4&gt;&lt;br /&gt;- Dokonuje rozliczenia z tytułu wpłat, nadpłat, zaległości oraz wydaje postanowienia w tym zakresie,&lt;br /&gt;- Prowadzi ewidencje grzywien, mandatów, kar pieniężnych, kosztów egzekucyjnych związanych z dochodzonymi należnościami i innych należności nałożonych na podstawie właściwych przepisów prawnych,&lt;br /&gt;- Prowadzi ewidencje przypisów, odpisów, wpłat, zwrotów i zaliczeń nadpłat z tytułu podatków i ceł,&lt;br /&gt;- Obsługuje zajęcia wierzytelności z tytułu nadpłaty podatku,&lt;br /&gt;- Kontroluje prawidłowości potrąceń wynagrodzeń dokonywanych przez płatników i inkasentów,&lt;br /&gt;- Udziela odpowiedzi na zajęcia wierzytelności dokonywane przez sądowe organy egzekucyjne,&lt;br /&gt;- Dokonuje rozliczeń z tytułu zwrotów podatków i ceł oraz wydaje postanowienia w tym zakresie,&lt;br /&gt;- Rozlicza i przekazuje wpływy uprawnionym podmiotom.&lt;br /&gt;</t>
  </si>
  <si>
    <t>https://www.praca.pl/referent_4606783.html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</si>
  <si>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</si>
  <si>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Kontaktu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 Wejście do budynku przystosowane do potrzeb osób niepełnosprawnych, toaleta przystosowana dla osób niepełnosprawnych. Stanowisko pracy nie jest dostosowane do potrzeb osób niedowidzących, niewidomych, niesłyszących i głuchoniemych.&lt;br /&gt;&lt;h4&gt;Zakres zadań&lt;/h4&gt;&lt;br /&gt;- Przetwarza dane przesyłane za pośrednictwem środków komunikacji elektronicznej,&lt;br /&gt;- Wprowadza do systemu informatycznego dane szczegółowe z deklaracji podatkowych oraz innych dokumentów,&lt;br /&gt;- Przyjmuje i ewidencjonuje składane deklaracje podatkowe, wnioski, informacje i inne dokumenty, w tym w postaci elektronicznej,&lt;br /&gt;- Udziela pisemnych informacji podmiotom uprawnionym,&lt;br /&gt;- Tworzy rejestry przypisów i odpisów,&lt;br /&gt;- Prowadzi wymagane ewidencje i rejestry, w tym ewidencjonuje prowadzone sprawy i dokumenty w systemach informatycznych,&lt;br /&gt;</t>
  </si>
  <si>
    <t>https://www.praca.pl/starszy-referent_4606786.html</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</si>
  <si>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oraz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</si>
  <si>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sprawdzających,&lt;br /&gt;- Dokonuje czynności sprawdzających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</si>
  <si>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Prodrive Technologies</t>
  </si>
  <si>
    <t>Technician / Operator / Assembly worker / Production worker</t>
  </si>
  <si>
    <t>Polska, podkarpackie, Science Park Eindhoven 5501</t>
  </si>
  <si>
    <t>https://www.goldenline.pl/praca/oferta/1273204/zielonalinia0?utm_campaign=partner&amp;gpid=982618&amp;utm_medium=export&amp;glc_source=zielonalinia0&amp;utm_source=zielonalinia0</t>
  </si>
  <si>
    <t>Wymagania:&lt;br /&gt;&lt;h2&gt;Profile&lt;/h2&gt;&lt;ul&gt;&lt;div class="lista"&gt;(Technical) experience is not required, a passion for technology is a plus&lt;/div&gt;&lt;div class="lista"&gt;A professional attitude and sense of responsibility&lt;/div&gt;&lt;div class="lista"&gt;Practical minded and hands-on&lt;/div&gt;&lt;div class="lista"&gt;Ability to effectively communicate in English&lt;/div&gt;&lt;/ul&gt;&lt;h2&gt;Offer&lt;/h2&gt;&lt;ul&gt;&lt;div class="lista"&gt;Direct full-time employment (38h.)&lt;/div&gt;&lt;div class="lista"&gt;A competitive salary&lt;/div&gt;&lt;div class="lista"&gt;Generous terms of employment (such as free lunch and dinner, a private gym, an Iphone, and profit distribution)&lt;/div&gt;&lt;div class="lista"&gt;A flat organization and therefore many growth opportunities&lt;/div&gt;&lt;div class="lista"&gt;Sufficient internal and external training opportunities&lt;/div&gt;&lt;/ul&gt;&lt;h2&gt;Characteristics&lt;/h2&gt;&lt;ul&gt;&lt;div class="lista"&gt;Work in a young and dynamic high-tech environment&lt;/div&gt;&lt;div class="lista"&gt;Work in two shifts (06:00 - 14:30 and 14:30 - 23:00)&lt;/div&gt;&lt;div class="lista"&gt;Work on challenging and diverse products&lt;/div&gt;&lt;/ul&gt;As a Technician you are, for example, responsible for the assembly of high-tech electromechanical products, using state-of-the art production methods and test equipment.You are responsible for the quality of the end product, which is achieved through a structured method and an eye for detail. You work on products for different markets: the medical, industrial, infrastructure, automotive, and semiconductor market. The versatility of Prodrive Technologies’ products makes your work very diverse. From this position, there are many opportunities for broadening and deepening, so that there are always opportunities to take on new responsibilities.Interested? Apply now!Mike de Beer+ 316 54 77 71 59Mike.de.beer@prodrive-technologies.com</t>
  </si>
  <si>
    <t>https://www.praca.pl/senior-net-developer_4507336.html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</si>
  <si>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</si>
  <si>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/&gt;Your role:&lt;br /&gt;- Developing systems based on .NET technologies,&lt;br /&gt;- Following the industry and company’s best practices, i.e. the clean code standards for programming,&lt;br /&gt;- Constant active improvement as a technical expert and a valuable team member.&lt;br /&gt;- Participation in the process of analysis, design, implementation, testing, deployment and maintenance of new functionalities,&lt;br /&gt;- Sharing your knowledge and experience among your team and across the company,&lt;br /&gt;You are The One, if you have:&lt;br /&gt;- At least 3 years of experience in designing, implementing and supporting .NET enterprise applications,&lt;br /&gt;- Experience with RESTful web services,&lt;br /&gt;- Experience in relational databases (e.g. SQL Server, Oracle, PostgreSQL) and data modelling.,&lt;br /&gt;- Strong interpersonal and communication skills,&lt;br /&gt;- Teamwork abilities.&lt;br /&gt;- Strong skills and experience with .NET and mainstream ORM,&lt;br /&gt;- Experience in developing Single Page Applications (Angular/React) , TypeScript/JavaScript and RWD with HTML5/CSS3.,&lt;br /&gt;- Experience in the Agile delivery environment with tooling to include GIT, TeamCity, NUnit, MOQ, PowerShell, Azure DevOps, Docker etc.&lt;br /&gt;- Procustomer attitude and ability to communicate in both spoken and written English,&lt;br /&gt;Desirable:&lt;br /&gt;- Experience with Azure,&lt;br /&gt;- Experience with NoSQL (e.g. DocumentDB, MongoDB),&lt;br /&gt;- Knowledge of common security pitfalls in web development,&lt;br /&gt;- Exposure to concepts and challenges of distributed systems (event-driven architectures, microservices).&lt;br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We are not familiar with the phenomenon of Dev-QA wars.&lt;br /&gt;- We do our best to make you feel comfortable with us - we provide, among others: English classes within working hours, medical care for you and your family or partner, Multisport card.&lt;br /&gt;… Even if we do not get to start our cooperation, you are certain to receive extensive feedback including both business and technical aspects. We believe it is one of the most valuable development tools.&lt;br /&gt;</t>
  </si>
  <si>
    <t>Software Engineer (SQL)</t>
  </si>
  <si>
    <t>https://www.praca.pl/software-engineer-sql_4507404.html</t>
  </si>
  <si>
    <t>&lt;br /&gt;Your role:&lt;br /&gt;- Designing and developing fixes and enhancements.&lt;br /&gt;- Cooperation with PMs, BAs, TAs, QEs and Developers.&lt;br /&gt;- Detecting and solving issues in the client’s system based on Microsoft's technologies.&lt;br /&gt;- Maintaining client’s system following established rules.&lt;br /&gt;- Participant in commercial projects.&lt;br /&gt;- Implementing changes in the system.&lt;br /&gt;- Actively monitoring and optimizing existing systems.&lt;br /&gt;- Maintain communication with customers.&lt;br /&gt;You are The One, if you have:&lt;br /&gt;- Broad T-SQL knowledge.&lt;br /&gt;- ITIL v3 Foundation certificate or at least knowledge of ITIL framework.&lt;br /&gt;- MS SQL SSIS knowledge will be a significant plus.&lt;br /&gt;- Willingness to self-development for both hard and soft skills areas.&lt;br /&gt;- Knowing AGILE methodology will be a plus.&lt;br /&gt;- At least 2 years of experience using MS SQL Server.&lt;br /&gt;- Good command of English (B2 or higher).&lt;br /&gt;- Ability to analyse and optymise C# code.&lt;br /&gt;- Customer oriented mindset and excellent communication skills.&lt;br /&gt;Why it is worth joining us:&lt;br /&gt;- 95% of our engineers agreed or strongly agreed with the Happiness Index statement “I am happy to be part of this team”.&lt;br /&gt;- We believe in partnership-based approach when working in a team – we listen to each other, we take decisions together and we provide space for making mistakes.&lt;br /&gt;- Your team will consist of 12 people – both Team Leaders and Software Engineers, who are keen on their jobs thanks to a variety of tasks and technologies.&lt;br /&gt;- You will be given an opportunity to take part in extensive decision-making process regarding good practices, work methodologies, as well as communication with the client.&lt;br /&gt;- You will have a space to design implement and develop your own solution.&lt;br /&gt;- Our clients consider us as technical experts, which means that they trust our recommendations, accept the decisions we take and believe that we always propose the best solutions.&lt;br /&gt;- We went beyond the standard support scheme. Thanks to such an approach, our Engineers also could carry out development tasks.&lt;br /&gt;… Even if we do not get to start our cooperation, you are certain to receive extensive feedback including both business and technical aspects. We believe it is one of the most valuable development tools.&lt;br /&gt;</t>
  </si>
  <si>
    <t>.Net Software Engineer</t>
  </si>
  <si>
    <t>https://www.praca.pl/net-software-engineer_4507106.html</t>
  </si>
  <si>
    <t>&lt;br /&gt;Your Role:&lt;br /&gt;- You will be responsible for analysis, maintenance, enhancements and automation of a variety of core applications for different customers.&lt;br /&gt;- You will create and improve monitoring.&lt;br /&gt;- You will be a member of a code level support team, but you will also cooperate with 3rd/2nd level of support.&lt;br /&gt;- You will monitor the build quality and provide the right unit and component tests that will ensure the right coverage for your design.&lt;br /&gt;- You will investigate and analyse defects in order to provide the root cause.&lt;br /&gt;- You will support releases, changes, tests and planned fail-overs, and you will also take part in on-call rotation.&lt;br /&gt;- You will write a code and unit tests for implementing user stories.&lt;br /&gt;You are The One, if:&lt;br /&gt;- You are good with C#/.NET.&lt;br /&gt;- You are good at debugging, troubleshooting - and you have good analytical skills.&lt;br /&gt;- You have working experience with Azure Cloud/Azure Devops.&lt;br /&gt;- You know JavaScript and/or Typescript.&lt;br /&gt;- You have good English language skills both in writing and speaking.&lt;br /&gt;- You have worked with ASP.NET platform.&lt;br /&gt;- You have already worked with a source repository, such as GIT, svn.&lt;br /&gt;- You know the SQL language and databases (Microsoft SQL preferable).&lt;br /&gt;- Nice to know at least one of the frontend frameworks (Angular, react, vue).&lt;br /&gt;The typical tech stack is:&lt;br /&gt;- C#/.NET, .Net core.&lt;br /&gt;- Microsoft SQL Server Database (we will still be interested to meet you if you have experience with other DB).&lt;br /&gt;- JavaScript or TypeScript depends on a project.&lt;br /&gt;- GIT and Azure DevOps.&lt;br /&gt;Why it is worth joining us:&lt;br /&gt;- We are an agile-oriented, value-driven team of professionals, who strive to deliver excellent software to our clients.&lt;br /&gt;- Your voice is heard - our philosophy is based on good practices and open communication.&lt;br /&gt;- We offer a relocation package for candidates from outside of Lower Silesia.&lt;br /&gt;- We offer an inspiring working environment - where you cooperate with experts from various fields. Our organizational culture is based on knowledge-sharing and helping one another.&lt;br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 We make you feel comfortable with us by offering benefits such as: English classes during working hours, medical care for you and your family or partner, a Multisport card.&lt;br /&gt;… Even if we do not get to start our cooperation, you are certain to receive extensive feedback including both business and technical aspects. We believe it is one of the most valuable development tools.&lt;br /&gt;</t>
  </si>
  <si>
    <t>.NET Technical Architect</t>
  </si>
  <si>
    <t>https://www.praca.pl/net-technical-architect_4507196.html</t>
  </si>
  <si>
    <t>&lt;br /&gt;Your daily responsibilities will include:&lt;br /&gt;- Designing Software Architecture that will meet the client’s requirements.&lt;br /&gt;- Creating proof of concept (PoC) to evaluate potential technical solutions.&lt;br /&gt;- Mentoring the development team - being a hands-on developer whenever it’s necessary.&lt;br /&gt;- Providing a high-quality software.&lt;br /&gt;- Defining non-functional requirements.&lt;br /&gt;- Communicating and building a relationship with customers.&lt;br /&gt;- Participating in all delivery phases, from pre-sales activities - through estimation - to release.&lt;br /&gt;You are the One, if you have:&lt;br /&gt;- At least 5 years of professional experience in IT, including 1-2 years in a similar position.&lt;br /&gt;- Knowledge of web technologies and relational databases.&lt;br /&gt;- Good understanding of microservices architecture.&lt;br /&gt;- Understanding of the best practices of application monitoring and security.&lt;br /&gt;- Solid understanding of design patterns and good software development practices.&lt;br /&gt;- Awareness of DevOps processes and its best practices.&lt;br /&gt;- English language at an advanced level (minimum C1).,&lt;br /&gt;- Polish language at a communicative level (minimum B1).&lt;br /&gt;- Experience with design, architecture and implementation using .NET Platform.&lt;br /&gt;- Familiarity with cloud technologies (Azure, AWS, Google Cloud) is highly desired.&lt;br /&gt;- Very good knowledge of automating a software development process (testing, deployment, best CI/CD practices).&lt;br /&gt;- Ability to actively communicate, inspire and motivate a team.&lt;br /&gt;- Excellent knowledge of and experience in REST API design and development.&lt;br /&gt;- Excellent analytical, design and prioritization skills.&lt;br /&gt;- Additional German language will be an advantage.&lt;br /&gt;Why is it worth joining us:&lt;br /&gt;- We are passionate about software. Microservices, CQRS, Event sourcing, Outbox patterns – these are some topics we discuss and implement.&lt;br /&gt;- Our projects are usually relatively short (i.e. couple of months), so you don’t have to change your job to change a project.&lt;br /&gt;- We have 35+ Technical and Solution Architects, so you can learn from them and consult them whenever you need.&lt;br /&gt;- A dedicated, self-organising team is our default delivery model and you will be a part of it.&lt;br /&gt;- As an architect, you will have an ultimate technical responsibility for a project and a significant impact on solution architecture.&lt;br /&gt;- It’s all about development. No maintenance.&lt;br /&gt;- You will have 8 days yearly for self-development, training and conferences.&lt;br /&gt;… Even if we do not get to start our cooperation, you are certain to receive extensive feedback including both business and technical aspects. We believe it is one of the most valuable development tools.&lt;br /&gt;</t>
  </si>
  <si>
    <t>Junior .NET Software Engineer</t>
  </si>
  <si>
    <t>https://www.praca.pl/junior-net-software-engineer_4507069.html</t>
  </si>
  <si>
    <t>&lt;br /&gt;Your Role:&lt;br /&gt;- You will be responsible for analysis, maintenance, enhancement and automation of a variety of core applications for different customers.&lt;br /&gt;- You will investigate and analyse defects in order to provide the root cause.&lt;br /&gt;- You will support releases, changes, tests and planned fail-overs, and you will also take part in on-call rotation.&lt;br /&gt;- You will be a member of a code-level support team, but you will also cooperate with 3rd/2nd level of support.&lt;br /&gt;- You will create and improve monitoring.&lt;br /&gt;The typical tech stack is:&lt;br /&gt;- C#/.NET, .Net core.&lt;br /&gt;- GIT and Azure DevOps.&lt;br /&gt;- JavaScript or TypeScript depends on a project.&lt;br /&gt;- Microsoft SQL Server Database (we will still be interested to meet you if you have experience with other DB).&lt;br /&gt;You are The One, if:&lt;br /&gt;- You have good knowledge of C#/.NET.&lt;br /&gt;- You know JavaScript and/or Typescript.&lt;br /&gt;- You have already worked with a source repository, such as GIT.&lt;br /&gt;- You have a good command of SQL language and you have the knowledge of databases.&lt;br /&gt;- You are good at debugging, troubleshooting, and you have good analytical skills.&lt;br /&gt;- You have good English language skills both in writing and speaking.&lt;br /&gt;We offer:&lt;br /&gt;- We offer an inspiring working environment - where you cooperate with experts from various fields. Our organizational culture is based on knowledge-sharing and helping one another.&lt;br /&gt;- Your voice is heard - our philosophy is based on good practices and open communication.&lt;br /&gt;- We make you feel comfortable with us by offering benefits such as: English classes during working hours, medical care for you and your family or partner, a Multisport card.&lt;br /&gt;- We are an agile-oriented, value-driven team of professionals, who strive to deliver excellent software to our clients.&lt;br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/&gt;Even if we do not get to start our cooperation, you are certain to receive extensive feedback including both business and technical aspects. We believe it is one of the most valuable development tools.&lt;br /&gt;</t>
  </si>
  <si>
    <t>Senior Project Manager</t>
  </si>
  <si>
    <t>https://www.praca.pl/senior-project-manager_4507598.html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</si>
  <si>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 Everything you need to know about onboarding of PMs can be found in the “Project Management Handbook”, also known as thehttp://www.objectivity.co.uk/download/OBJECTIVITY_PM_Handbook_en.pdf“PM Survival Kit&lt;br /&gt;”,&lt;br /&gt;which is certainly worth reading.&lt;br /&gt;</t>
  </si>
  <si>
    <t>&lt;br /&gt;How you will work:&lt;br /&gt;- You are fully responsible for all project management areas.&lt;br /&gt;- Your people work only with you. We do not remove people from your team without consulting with you and obtaining your agreement.&lt;br /&gt;- You work with experienced specialists who help you deliver projects successfully.&lt;br /&gt;- As a PM you are fully responsible for project budgets: you provide estimates and ensure software delivery within the established budget.&lt;br /&gt;- All team members are in contact with the client, thus you are not the only contact interface. Consequently, all your people have advanced client-facing skills.&lt;br /&gt;- Objectivity employs mostly senior engineers with extensive experience. As a result, you have access to the most advanced technologies in software development.&lt;br /&gt;- You are supported by our Project Management Office and people performing a project support role. They assist with charts, timesheets and reporting.&lt;br /&gt;What we?offer:&lt;br /&gt;- You can make your own independent decisions.&lt;br /&gt;- We focus on good practices and open communication.&lt;br /&gt;- Working in international?environment, as we work mostly with clients from UK and Germany.&lt;br /&gt;- We offer an inspiring working environment: end to end?projects?among various?business areas: banking, transportation?etc.&lt;br /&gt;- Cooperation?with highly skilled professionals including TA and BA. You will be supported by Project Management Office and people performing a project support role. They assist with charts, timesheets and reporting.&lt;br /&gt;- Our organizational culture is based on knowledge-sharing and friendly help.&lt;br /&gt;- You will be working with Project Assurance Team who ensure the deliverables and project process is correctly in place.&lt;br /&gt;- Time for self-development. You decide how?do?you want to grow. We are eager to share knowledge // support you in gaining knowledge.&lt;br /&gt;This is what you will do:&lt;br /&gt;- You will be?independent and?responsible for project?scope,?budget and timeline, which means that you will create and maintain financial metrics and project plan.&lt;br /&gt;- You will be managing project for the whole project lifecycle, from initiation to closure.&lt;br /&gt;- You will look after all project management areas to ensure that each is properly managed to ensure project success.&lt;br /&gt;- Monitor project delivery and identifying issues that may occur will be important part of your role.&lt;br /&gt;- All team members are in contact with the client,?although you will be the first point of contact in terms of project delivery.&lt;br /&gt;- Significant amount of time you will spend on communication, both with the Client as well as the project team and supporting roles at Objectivity.&lt;br /&gt;- As a leader you will be?managing and mentoring project team will be part of your role. This includes: ensuring that team is performing well, all team members are motivated, solving problems, ensuring that you have the right team composition for the project, ensuring that team knows what to do.&lt;br /&gt;- You will be responsible for project reporting and presenting it to senior stakeholders.&lt;br /&gt;- You will become a mentor for other Project Managers within the organization.&lt;br /&gt;- Sharing knowledge and experience with other?people within the organization is crucial for us, hence you will be involved in running internal workshops.&lt;br /&gt;Apply if you?have:&lt;br /&gt;- Problem-solving skills.&lt;br /&gt;- Great passion about people and leadership &amp; proven experience in team management.&lt;br /&gt;- Fluent English (essential).&lt;br /&gt;- Minimum?5?years of project management experience.&lt;br /&gt;- Knowledge of the software development process and experience in managing software projects.&lt;br /&gt;- Experience in negotiating.&lt;br /&gt;- Excellent organizational skills.&lt;br /&gt;- Practical knowledge of?various?project management methodologies?(Scrum, Kanban, DSDM, Scaled Agile).&lt;br /&gt;- A knack for establishing business relationships.&lt;br /&gt;- Independency in executing assigned tasks.&lt;br /&gt;- Experience in running workshops/trainings.&lt;br /&gt;- Highly developed communication skills.&lt;br /&gt;- Experience as mentor for other Project Managers.&lt;br /&gt;… Even if we do not get to start our cooperation, you are certain to receive extensive feedback including both business and technical aspects. We believe it is one of the most valuable development tools.&lt;br /&gt;</t>
  </si>
  <si>
    <t>UX Consultant</t>
  </si>
  <si>
    <t>https://www.praca.pl/ux-consultant_4507535.html</t>
  </si>
  <si>
    <t>&lt;br /&gt;Your Role:&lt;br /&gt;- Matching business and users’ needs with the most optimal experience design solution.&lt;br /&gt;- Participating in sales activities, including proposal development.&lt;br /&gt;- Defining or advising teammates on a UX approach for the project.&lt;br /&gt;- Contributing to the product discovery process.&lt;br /&gt;- Creating wireframes, mockups and interactive prototypes for web and mobile applications.&lt;br /&gt;- Estimating UX project efforts and managing the workload.&lt;br /&gt;- Engaging with internal and external stakeholders to promote and evangelize the importance of design within the company.&lt;br /&gt;- Focusing on strategy, long-term goals and communication.&lt;br /&gt;- Planning, conducting, and leading client co-design sessions, design sprints, design workshops, and project meetings.&lt;br /&gt;- Proactively looking for opportunities to drive design changes inside and outside the company.&lt;br /&gt;- Planning and conducting user research, analysing findings and running usability tests.&lt;br /&gt;- Designing different types of applications (b2c and b2b applications, enterprise solutions).&lt;br /&gt;- Being a mentor and coach for colleagues.&lt;br /&gt;- Sharing trends: emerging design, technology, industry, regulatory and market ones with the team or community.&lt;br /&gt;You are The One, if you have:&lt;br /&gt;- At least five years of experience in UX Design, Service Design or a similar area.&lt;br /&gt;- Excellent communication skills in the English language (C1+).&lt;br /&gt;- Leadership skills.&lt;br /&gt;- Can-do approach.&lt;br /&gt;- Ability to collaborate in an interdisciplinary team.&lt;br /&gt;- Ability to design lo-fi mock-ups (hi-fi is an advantage).&lt;br /&gt;- Understanding of and experience in research methods, design techniques and user testing.&lt;br /&gt;- Great communication and interpersonal skills that allow to effectively work with senior stakeholders and facilitate difficult discussions with the team.&lt;br /&gt;- Experience in facilitating on-site and remote design/discovery workshops.&lt;br /&gt;- Courage to speak up and challenge a client or teammates.&lt;br /&gt;- Experience in working in multiple projects simultaneously.&lt;br /&gt;- Ability to generate ideas of solutions, mockups, user flows and diagrams on the fly.&lt;br /&gt;- Understanding of capabilities and limitations of the current Web technologies as well as mobile trends and technology.&lt;br /&gt;- Understanding of and empathy towards business stakeholders’ needs.&lt;br /&gt;Why it is worth joining us:&lt;br /&gt;- UX is an important area at Objectivity. Our team consists of experienced designers (UX Designers, UI Designers, Illustrators and Animators).&lt;br /&gt;- It’s up to us (to a large extent) what the UX will become for the client - an artifact in the form of a mock-up or an approach to the "user first" project.&lt;br /&gt;- We create system design, design modern solutions for IoT, augmented reality. We build user experience in conversations with chat bots.&lt;br /&gt;- We spread knowledge and promote the value of User Experience both inside and outside the company.&lt;br /&gt;- We help clients make strategic decisions related to the implementation and development of products (we conduct a lot of workshops).&lt;br /&gt;- We design solutions supporting the work of users from many different industries, e.g. retail, finance, aviation, real estate.&lt;br /&gt;- We design in line with the business (BA), conceptual (UI) and technological (Frontend) assumptions, which means that we are close to the project.&lt;br /&gt;… Even if we do not get to start our cooperation, you are certain to receive extensive feedback including both business and technical aspects. We believe it is one of the most valuable development tools.&lt;br /&gt;</t>
  </si>
  <si>
    <t>Recruitment &amp; Onboarding Specialist</t>
  </si>
  <si>
    <t>https://www.praca.pl/recruitment-onboarding-specialist_4507469.html</t>
  </si>
  <si>
    <t>&lt;br /&gt;Your role:&lt;br /&gt;- Being part of the best in-house recruitment team.&lt;br /&gt;- Participation in building the employer's image thanks to out-of-the box ideas.&lt;br /&gt;- Conducting end-to-end recruitment processes for both Polish and sometimes the British or German market.&lt;br /&gt;- Having a variety of tasks and freedom in action.&lt;br /&gt;- Cooperating with the leaders in an on-boarding process. Taking care of a new employee at Objectivity for the first three months.&lt;br /&gt;- Building a partner relationship with a business - an important voice in the decision-making process.&lt;br /&gt;- Cooperating with technical recruiters.&lt;br /&gt;- Creating an extraordinary Candidate Experience.&lt;br /&gt;- Monitoring your process and assessing its effectiveness by means of available tools.&lt;br /&gt;- Cooperating with recruitment agencies and software houses.&lt;br /&gt;You are The One, if you:&lt;br /&gt;- Have (at least) 3 years of experience, thanks to which you do not mistake Java with JavaScript. :)&lt;br /&gt;- Do not expect loads of CVs in response to an advertisement and if you come to us with ideas of how to reach the best candidates - proactive attitude.&lt;br /&gt;- Know that the recruitment meeting is an opportunity to get to know each other better and not to test the candidate.&lt;br /&gt;- Switch to English fluently (at least C1 level).&lt;br /&gt;- Build partner relations with technical recruiters and other stakeholders.&lt;br /&gt;- Like to talk and if you are a great listener that pays attention to conversations held in a great atmosphere.&lt;br /&gt;Why it is worth joining us:&lt;br /&gt;- You will be part of a larger ecosystem because the People and Culture Guild also includes Learning, HR BP and Retain Team.&lt;br /&gt;- Recruitment is the core but also the beginning of your tasks. You will also be responsible for the onboarding process, which definitely extends the scope of responsibility, but at the same times provides you with interesting challenges.&lt;br /&gt;- If you manage to find time to support other HR projects, nothing will stop you from implementing your ideas as a team.&lt;br /&gt;- You will join a team that puts an emphasis on the quality of recruitment processes. Candidates rate us 4.7 / 5!&lt;br /&gt;- 0 Recruiting KPIs, reporting limited to the necessary minimum - common sense replaces them well in the agile work environment.&lt;br /&gt;- We do realise that development is also an important factore. That is why we find time for conceptual work outside the company's walls, where we give ourselves space to think about what we can do better. We established an HR Community associating companies similar to us, where we can exchange knowledge. We train and develop ourselves by participating in internal and external events. We also find time to read books or articles during working hours.&lt;br /&gt;… Even if we do not get to start our cooperation, you are certain to receive extensive feedback including both business and technical aspects. We believe it is one of the most valuable development tools.&lt;br /&gt;</t>
  </si>
  <si>
    <t>Analyst Case Activation and Allocation</t>
  </si>
  <si>
    <t>https://www.praca.pl/analyst-case-activation-and-allocation_4619538.html</t>
  </si>
  <si>
    <t>&lt;br /&gt;WHAT DO YOU NEED TO BRING?&lt;br /&gt;- Good communication skills and presentation skills,&lt;br /&gt;- Excellent analytical and multi-tasking skills,&lt;br /&gt;- Problem-solving capabilities,&lt;br /&gt;- Ability to connect well with cross-functional regional-based colleagues across the globe.&lt;br /&gt;YOU WILL BE EVEN MORE COMPETITIVE IF YOU HAVE:&lt;br /&gt;- Technical skills (Microsoft Share point, Power automate, Power Bi, Sway etc.)&lt;br /&gt;</t>
  </si>
  <si>
    <t>&lt;br /&gt;Please be informed that our office is located in Gdynia, yet working remotely due to pandemic.&lt;br /&gt;OME OF THE DAILY TASKS:&lt;br /&gt;- Case activation within 1-2hrs, after validating the prerequisite details such as billing details, client information, client report scope, client account numbers, case fee, client due dates etc. (activation involves EDDO, GT and manual order forms channels),&lt;br /&gt;- Case activation for IPO’s and IBM’s cases,&lt;br /&gt;- Case allocation to the right team based upon region,&lt;br /&gt;- Case creation on PSA platform,&lt;br /&gt;- Attending to e-mails sent by various partners,&lt;br /&gt;- Keeping a track of various improvements required on PSA platform, while performing daily activities,&lt;br /&gt;- Changing case due dates and cases status as per DD teams requests,&lt;br /&gt;- E-sharing the final reports to the client for manual orders,&lt;br /&gt;- Collaborating closely with SAM/CSM, DD team and other partners as applicable.&lt;br /&gt;</t>
  </si>
  <si>
    <t>DevOps?Engineer [rekrutacja online]</t>
  </si>
  <si>
    <t>https://www.praca.pl/devopsengineer-rekrutacja-online_4653015.html</t>
  </si>
  <si>
    <t>&lt;br /&gt;Location: Wrocław&lt;br /&gt;Daily activities&lt;br /&gt;You will be responsible for design, implementation, analyzing and solving complex engineering problems regarding by building and delivery testing frameworks and take care of the uninterrupted operation of the testing system through cooperation with other departments around the world.&lt;br /&gt;We work with:&lt;br /&gt;- Docker/LXC&lt;br /&gt;- Kubernetes&lt;br /&gt;- Openstack&lt;br /&gt;- Linux&lt;br /&gt;- Yocto/Bitbake&lt;br /&gt;- Testing frameworks (C++, Python)&lt;br /&gt;- JIRA&lt;br /&gt;- GIT(gerrit, gitlab)/SVN&lt;br /&gt;- Continuous integration systems&lt;br /&gt;Our expectations:&lt;br /&gt;- Master’s or Bachelor’s degree in Engineering, Computer Science or Software Technology or equivalent education&lt;br /&gt;- Scripting languages (Bash, Python)&lt;br /&gt;- Containerization tools (Docker, LXC)&lt;br /&gt;- Linux environment in terms of system administration (e.g. Ubuntu, Debian, RedHat, Centos)&lt;br /&gt;- Good communication in English (both written and spoken)&lt;br /&gt;- Git and SVN version control system&lt;br /&gt;- Continuous Integration tools:&lt;br /&gt;- Jenkins - configuration and maintenance,&lt;br /&gt;- gitLab - pipelines and jobs configuration,&lt;br /&gt;- gitlab-runners configuration,&lt;br /&gt;- Problem solving/technical analysis skills,&lt;br /&gt;- configuration and maintenance of Kubernetes - Knowledge of openstack (user point of view)&lt;br /&gt;- Beneficial skills:&lt;br /&gt;- Experience in working in the Agile methodology&lt;br /&gt;- Automation tools (ansible, puppet)&lt;br /&gt;</t>
  </si>
  <si>
    <t>Logistics Supervisor</t>
  </si>
  <si>
    <t>https://www.praca.pl/logistics-supervisor_4725657.html</t>
  </si>
  <si>
    <t>&lt;br /&gt;JOB QUALIFICATIONS / REQUIREMENTS:&lt;br /&gt;- Solid knowledge about LEAN in logistics&lt;br /&gt;- High school diploma or equivalent, preferable bachelor’s degree&lt;br /&gt;- Solid knowledge of business computer systems (MRP)&lt;br /&gt;- Strong English language skills and communication skills&lt;br /&gt;- Ability to quickly learn processes, equipment and tools used in specific areas of responsibility&lt;br /&gt;- Ability to analyze data and prepare reports / presentations of ongoing logistics processes&lt;br /&gt;- Ability to effectively organize and prioritize day-to-day activities and issues within functional area&lt;br /&gt;- Ability to make decisions in a timely manner, sometimes with incomplete information and under tight deadlines and pressure.&lt;br /&gt;- Demonstrate experience leading continuous improvement activities through strong team-building and problem-solving&lt;br /&gt;- 3-5 years experience in leadership position within logistics (warehouse)&lt;br /&gt;</t>
  </si>
  <si>
    <t>&lt;br /&gt;DUTIES:&lt;br /&gt;- Directs the activities of, and has responsibility for, subordinates in warehouse and shipping department&lt;br /&gt;- Responsible for the proper handling of incoming products through the receiving docks, and stocking and handling of components&lt;br /&gt;- Implements LEAN solutions into material handling and logistics processes&lt;br /&gt;- Work directly with the freight carriers to ensure compliance with Woodward freight initiatives and policies&lt;br /&gt;- Responsible for the preparation of all necessary paperwork and the coordination of cycle count and all necessary activities required to package and ship materials and products required to satisfy customer requirements&lt;br /&gt;- Responsible for achieving departmental goals &amp; performance measures KPI’s&lt;br /&gt;- Coordinates work load requirements and work scheduling with teams (target – up to 40 members team)&lt;br /&gt;- Develops, reviews and maintains staffing requirements&lt;br /&gt;- Responsible for annual performance evaluations and discipline of the subordinates&lt;br /&gt;- Identify and provide training needs related to safety, quality, new technologies and application tools for members development&lt;br /&gt;</t>
  </si>
  <si>
    <t>https://www.praca.pl/inzynier-budowy_4691994.html</t>
  </si>
  <si>
    <t>Suwałki</t>
  </si>
  <si>
    <t>&lt;br /&gt;- mile widziane wykształcenie wyższe kierunkowe (inżynieria środowiska/inżynieria wod.-kan./gazownictwo/budownictwo)&lt;br /&gt;- bardzo dobra znajomość pakietu MS Office&lt;br /&gt;- dokładność, cierpliwość, skrupulatność i terminowość w realizacji działań&lt;br /&gt;- prawo jazdy kat. B&lt;br /&gt;- mile widziana znajomość programu AUTO CAD&lt;br /&gt;- mile widziana znajomość języka angielskiego na poziomie komunikatywnym&lt;br /&gt;</t>
  </si>
  <si>
    <t>&lt;br /&gt;- bieżąca analiza projektów, standardów technicznych, wymagań prawnych i normatywnych dotyczących wykonywanych prac&lt;br /&gt;- nadzorowanie zadań na budowie, powierzonych przez Kierownika Budowy/Robót&lt;br /&gt;- organizowanie pracy własnej oraz podwykonawców zgodnie z wytycznymi Kierownika Budowy/Robót&lt;br /&gt;- kontrola i rozliczanie czasu pracy ludzi i sprzętu własnego lub/i podwykonawców&lt;br /&gt;- kontrola poprawności i terminowości wykonanych prac oraz ich odbiór&lt;br /&gt;- uczestniczenie w opracowywaniu planu potrzeb materiałowych, sprzętowych, kadrowych dla realizowanych Zadań&lt;br /&gt;- nadzorowanie zużycia materiałów zgodnie z limitem materiałowym i budżetem budowy&lt;br /&gt;- raportowanie do Kierownika Budowy/Robót zaawansowania prac z nadzorowanych odcinków robót&lt;br /&gt;- tworzenie dokumentacji powykonawczej&lt;br /&gt;- miejscem wykonywania pracy są zorganizowane budowy na terenie całego kraju&lt;br /&gt;</t>
  </si>
  <si>
    <t>Kierownik Zakładu Klejów i Zapraw Suchych</t>
  </si>
  <si>
    <t>https://www.praca.pl/kierownik-zakladu-klejow-i-zapraw-suchych_4722954.html</t>
  </si>
  <si>
    <t>Wymagania&lt;br /&gt;&lt;br /&gt;- doświadczenie w pracy na podobnym stanowisku&lt;br /&gt;- umiejętność czytania specyfikacji technicznej&lt;br /&gt;- umiejętność zarządzania zespołem pracowników&lt;br /&gt;- czynne prawo jazdy kat. B&lt;br /&gt;</t>
  </si>
  <si>
    <t>Opis stanowiska&lt;br /&gt;&lt;br /&gt;- samodzielny kierownik zakładu produkcyjnego w branży chemicznej&lt;br /&gt;Miejsce pracy: zachodniopomorskie/ okolice Połczyn-Zdrój&lt;br /&gt;</t>
  </si>
  <si>
    <t>Pomocnik Montera Rusztowań - oferta z kursem</t>
  </si>
  <si>
    <t>https://www.praca.pl/pomocnik-montera-rusztowan-oferta-z-kursem_4715085.html</t>
  </si>
  <si>
    <t>&lt;br /&gt;Na stanowisku Pomocnika Montera Rusztowań będziesz odpowiedzialny za:            &lt;br /&gt;- Montaż i demontaż rusztowań&lt;br /&gt;- Prace pomocnicze związane z montażem rusztowań&lt;br /&gt;- Rozładunek i załadunek aut ciężarowych z rusztowaniami&lt;br /&gt;</t>
  </si>
  <si>
    <t>&lt;br /&gt;Miejsce pracy: Belgia, Holandia, Niemcy&lt;br /&gt;Przyuczenie do zawodu Pomocnika Montera Rusztowań to 5 dniowe szkolenie, którego pozytywne ukończenie daje kandydatowi gwarancję zatrudnienia w Multiserwis. Kurs organizowany jest w oddziale firmy w Ostrzeszowie (województwo wielkopolskie). Po jego odbyciu uczestnik ma możliwość wyjazdu do pracy za granicę – do Niemiec, Holandii bądź Belgii.&lt;br /&gt;Oczekiwany profil kandydata: &lt;br /&gt;- Umiejętność pracy w zespole&lt;br /&gt;- Chęć zdobycia nowych doświadczeń&lt;br /&gt;- Brak lęku wysokości&lt;br /&gt;- Dobry stan zdrowia/ogólna sprawność fizyczna&lt;br /&gt;- Odpowiedzialność i zdyscyplinowanie&lt;br /&gt;- Skrupulatność i sumienność w wykonywaniu powierzonych zadań&lt;br /&gt;- Mile widziane prawo jazdy kat. B/C/C+E&lt;br /&gt;- Mile widziana znajomość języka niemieckiego i/lub angielskiego&lt;br /&gt;</t>
  </si>
  <si>
    <t>MGsolutions MGJJ Sp. z o. o.  Sp. k.</t>
  </si>
  <si>
    <t>Pracownik Fizyczny / Pomocnik Magazynowy / Pomocnik Produkcji</t>
  </si>
  <si>
    <t>https://www.praca.pl/pracownik-fizyczny-pomocnik-magazynowy-pomocnik-produkcji_4722300.html</t>
  </si>
  <si>
    <t>&lt;br /&gt;Praca na produkcji lub na magazynie przy pakowaniu towaru.&lt;br /&gt;Kontrola jakości oraz inne prace pomocnicze niewymagające doświadczenia ani znajomości języka.&lt;br /&gt;Oczekujemy gotowości do pracy w systemie 2- lub 3-zmianowym (w zależności od konkretnej oferty); oferty kierowane są głównie do osób mobilnych (dojazdy z miejsca zakwaterowania do miejsca pracy, w przypadku par lub grup oczywiście wystarczy 1 kierowca/ 1 samochód na parę/ grupę). Znajomość języka oraz doświadczenie nie jest konieczne.&lt;br /&gt;Oferujemy każdorazowo UMOWĘ O PRACĘ NA PEŁEN ETAT (gwarantowana ilość godzin!), w pełni wyposażone zakwaterowanie (max. pokoje 2 os. z darmowym internetem i miejscem parkingowym), atrakcyjne wynagrodzenia godzinowe i szereg premii &amp; benefitów, stała pomoc polskiego opiekuna projektu.&lt;br /&gt;</t>
  </si>
  <si>
    <t>&lt;br /&gt;(PRACA W NIEMCZECH)&lt;br /&gt;</t>
  </si>
  <si>
    <t>Unihouse S.A.</t>
  </si>
  <si>
    <t>Młodszy Inżynier Budowy z językiem szwedzkim</t>
  </si>
  <si>
    <t>https://www.praca.pl/mlodszy-inzynier-budowy-z-jezykiem-szwedzkim_4715166.html</t>
  </si>
  <si>
    <t>&lt;br /&gt;Osoba zatrudniona będzie odpowiedzialna za:&lt;br /&gt;- współpracę z Działem Projektowym i Fabryką Domów Modułowych w Bielsku Podlaskim w zakresie przygotowania kontraktu do realizacji&lt;br /&gt;- Współpracę z kierownikiem w zakresie planowania i kierowania montażem modułów w Szwecji&lt;br /&gt;- Nadzór nad jakością prac i przestrzeganiem przepisów BHP na powierzonym odcinku&lt;br /&gt;- Nadzór nad podległymi pracownikami i podwykonawcami&lt;br /&gt;Od kandydatów oczekujemy:&lt;br /&gt;- Wykształcenia wyższego budowlanego&lt;br /&gt;- Dobrej znajomości jęz. szwedzkiego (B2/C1) – warunek konieczny, mile widziana znajomość jęz. angielskiego&lt;br /&gt;- Doświadczenie na podobnym stanowisku na rynkach zagranicznych / skandynawskich – mile widziane&lt;br /&gt;- Dyspozycyjności w zakresie naprzemiennej pracy - zarówno w Fabryce UNIHOUSE w Bielsku Podlaskim, jak i na budowie szwedzkiej&lt;br /&gt;- Wskazane posiadanie polskich uprawnień budowlanych wykonawczych, doświadczenie w budownictwie drewnianym będzie dodatkowym atutem&lt;br /&gt;Warunki pracy:&lt;br /&gt;- Wynagrodzenie zasadnicze z systemem premiowym – miesięczne w PLN w czasie pobytu w Polsce, godzinowe w SEK oraz dodatek za wyżywienie w Szwecji&lt;br /&gt;- Zakwaterowanie w Szwecji i transport między Fabryką, a budową w Szwecji (oraz transport między Bielskiem Podlaskim, a Białymstokiem w razie potrzeby)&lt;br /&gt;- Budowa trwa zwykle ok. 6-11 miesięcy. Praca w trakcie budowy odbywa się w przybliżonych cyklach naprzemiennie: 1,5 mc na budowie oraz ok. 2tyg w Polsce.&lt;br /&gt;- Okres między budowami trwa ok. 2-4 mce w Polsce&lt;br /&gt;Oferujemy:&lt;br /&gt;- Stabilne zatrudnienie w firmie o międzynaodowym zasięgu - umowa o pracę&lt;br /&gt;- Możliwość rozwoju - szkolenia dofinansowane przez firmę&lt;br /&gt;- Pakiet benefitów (dofinansowanie do wypoczynku, karty sportowe, prywatna opieka medyczna, dodatki świąteczne, imprezy integracyjne, itp)&lt;br /&gt;</t>
  </si>
  <si>
    <t>&lt;br /&gt;w Polsce 4 000 - 5 000 PLN + premia; w Szwecji 210 SEK/h + dodatki&lt;br /&gt;</t>
  </si>
  <si>
    <t>Monter rurociągów – brygadzista</t>
  </si>
  <si>
    <t>https://www.praca.pl/monter-rurociagow-brygadzista_4715037.html</t>
  </si>
  <si>
    <t>&lt;br /&gt;Oczekiwany profil kandydata: &lt;br /&gt;- Znajomość języka niemieckiego na poziomie min. B2 – warunek konieczny&lt;br /&gt;- Udokumentowane doświadczenie na w/w stanowisku&lt;br /&gt;- Certyfikat VCA lub SCC – możliwość zrobienia w Multiserwis&lt;br /&gt;- Umiejętność czytania rysunku technicznego/izometrycznego&lt;br /&gt;- Mile widziane uprawnienie zgodne z normą EN 1591-4 dotyczące połączeń kołnierzowych&lt;br /&gt;- Umiejętność organizacji pracy podległej brygady&lt;br /&gt;- Umiejętność rozwiązywania problemów technicznych&lt;br /&gt;- Prawo jazdy kat. B&lt;br /&gt;</t>
  </si>
  <si>
    <t>&lt;br /&gt;Miejsce pracy: Niemcy&lt;br /&gt;Na tym stanowisku będziesz odpowiedzialny za:                            &lt;br /&gt;- Montaż rurociągów i połączeń kołnierzowych&lt;br /&gt;- Przygotowanie rur do spawania oraz cięcie i gięcie rur&lt;br /&gt;- Wykonywanie instalacji zgodnie z dokumentacja techniczną (izometrią)&lt;br /&gt;- Wykonywanie prób szczelności&lt;br /&gt;- Przygotowanie kolan &lt;90&lt;sup&gt;o&lt;/sup&gt; z gotowych elementów&lt;br /&gt;- Oznaczanie elementów kołnierzy&lt;br /&gt;- Prowadzenie dokumentacji budowy&lt;br /&gt;- Nadzorowanie i koordynację robót  prowadzonych na budowie&lt;br /&gt;- Pobieranie pozwoleń na prace (permit)&lt;br /&gt;</t>
  </si>
  <si>
    <t>Feature Program Manager [rekrutacja online]</t>
  </si>
  <si>
    <t>https://www.praca.pl/feature-program-manager-rekrutacja-online_4787079.html</t>
  </si>
  <si>
    <t>&lt;br /&gt;Location: Wrocław&lt;br /&gt;Daily activities&lt;br /&gt;He/she leads a feature development of a customer feature(s) / new RF product(s) with a passion to excellent quality through a specification, implementation and testing.&lt;br /&gt;To be able to work in a complex product development he/she should be fluent in communication, social and capable to co-operations in multi-culture company.&lt;br /&gt;With a strong experience of project/program management he/she creates a feature schedule plans and integration steps together with Feature Owner Team (FOT). She/he motivates people and support them and gets them committed to the targets.&lt;br /&gt;Responsibilities:&lt;br /&gt;- Aligns development plans across all impacted Development Areas&lt;br /&gt;- Manages critical path of Feature deliveries&lt;br /&gt;- Ensures Feature integration plan is created and maintained&lt;br /&gt;- Owns mitigation actions related to Feature development plan&lt;br /&gt;- Ensures FOT follows all needed processes&lt;br /&gt;- Risk management of the feature development&lt;br /&gt;- Facilitates FOT meetings&lt;br /&gt;Our expectations:&lt;br /&gt;- Strong technical program/project manager background (at least 5 years) with a proven track record in developing and shipping software or products; experience with telecommunication or SW development is preferred&lt;br /&gt;- Demonstrated ability to use data to influence &amp; drive decisions&lt;br /&gt;- Demonstrated collaboration skills that require influencing peers and leaders to embrace best practices and align to engineering goals&lt;br /&gt;- Ability to thrive in a fast-paced environment working with diverse engineering organizations across Nokia&lt;br /&gt;- Excellent communication skills and the ability to tailor your message to different audiences&lt;br /&gt;- Proven experience dealing with ambiguity, being an enterprising, and showing bias for action&lt;br /&gt;- BSc or MSc in telecommunication or in computer&lt;br /&gt;</t>
  </si>
  <si>
    <t>Specjalista ds. Sprzedaży i Obsługi Klienta z językiem rumuńskim</t>
  </si>
  <si>
    <t>https://www.praca.pl/specjalista-ds-sprzedazy-i-obslugi-klienta-z-jezykiem-rumunskim_4775610.html</t>
  </si>
  <si>
    <t>&lt;br /&gt;Zapraszamy wszystkich, którzy:&lt;br /&gt;- posługują się biegle językiem rumuńskim (+ komunikatywnie językiem polskim lub angielskim),&lt;br /&gt;- lubią kontakt z ludźmi i nie boją się sprzedaży,&lt;br /&gt;- sprawnie posługują się komputerem,&lt;br /&gt;- są otwarci na nowe wyzwania.&lt;br /&gt;Jako członek naszego zespołu będziesz:&lt;br /&gt;- w stałym telefonicznym kontakcie z klientami zainteresowanymi produktami z sektora Zdrowie i Uroda,&lt;br /&gt;- wprowadzać zamówienia od klientów zainteresowanych produktem,&lt;br /&gt;- obsługiwać połączenia przychodzące i wychodzące,&lt;br /&gt;- budować i utrzymywać dobre relacje z klientem,&lt;br /&gt;- cały czas się rozwijać!&lt;br /&gt;</t>
  </si>
  <si>
    <t>&lt;br /&gt;Miejsce pracy: Warszawa / zdalnie&lt;br /&gt;Czy chcesz:&lt;br /&gt;- pracować za duże pieniądze,&lt;br /&gt;- współpracować z ciekawymi ludźmi z różnych stron świata,&lt;br /&gt;- rozwijać się wraz z firmą, razem z nią tworzyć nowe standardy działania,&lt;br /&gt;- pracować, a jednocześnie miło spędzać czas?&lt;br /&gt;Jeśli tak - dołącz do nas!&lt;br /&gt;</t>
  </si>
  <si>
    <t>LTE / 5G Baseband Physical Layer Algorithm Specialist  [rekrutacja online]</t>
  </si>
  <si>
    <t>https://www.praca.pl/lte-5g-baseband-physical-layer-algorithm-specialist-rekrutacja-online_4780932.html</t>
  </si>
  <si>
    <t>&lt;h1&gt; &lt;/h1&gt;</t>
  </si>
  <si>
    <t>&lt;br /&gt;Location: Wrocław&lt;br /&gt;Daily activities&lt;br /&gt;Our tribe is responsible for L1 architecture definition, specifications, algorithm development and simulations. It assumes a close interaction with L1 and SoC development units.&lt;br /&gt;We are looking for a technical expert experienced in physical layer algorithm development to join our team responsible for L1 reference model of 4G/5G Nokia products. We provide an opportunity to join our global expert community and start contributing to Nokia success by delivering best-in-class algorithms for SW/HW implementation.&lt;br /&gt;- Algorithm development for 4G/5G physical layer and specification&lt;br /&gt;- Simulations and link-level performance evaluation&lt;br /&gt;- Maintenance of L1 reference model&lt;br /&gt;- Interaction with development units, specification and system design colleagues&lt;br /&gt;We work with:&lt;br /&gt;- Matlab&lt;br /&gt;Our expectations:&lt;br /&gt;- Experience in physical layer algorithm development for communication systems. We also consider candidates with telecom experience in adjacent areas and fresh graduates with wireless communications background&lt;br /&gt;- Strong background in communication theory and signal processing&lt;br /&gt;- Matlab proficiency&lt;br /&gt;- Good analytical and troubleshooting skills&lt;br /&gt;- Good understanding of relevant 3GPP specifications (36 and 38 series)&lt;br /&gt;- Fluent verbal communication and writing skills in the English language&lt;br /&gt;- Good teamwork skills, ability to work in a multicultural environment&lt;br /&gt;- Master or above (preferred), major in telecommunications, electronic engineering, computer science, or related&lt;br /&gt;Nice to have:&lt;br /&gt;- Experience in 3GPP RAN1/RAN4 standardization&lt;br /&gt;- Experience in L1 SW/HW development&lt;br /&gt;- Experience in specification and system design&lt;br /&gt;- C/C++/Python&lt;br /&gt;</t>
  </si>
  <si>
    <t>https://www.praca.pl/pracownik-ogolnobudowlany_4748340.html</t>
  </si>
  <si>
    <t>Gorzów Wlkp.</t>
  </si>
  <si>
    <t>&lt;br /&gt;- doświadczenie w pracach na budowie&lt;br /&gt;- chęć do pracy i zaangażowanie w wykonywane obowiązki&lt;br /&gt;miejscem wykonywania pracy są zorganizowane budowy na terenie całego kraju&lt;br /&gt;Ponadto mile widziane są:&lt;br /&gt;- uprawnienia na wózek widłowy&lt;br /&gt;- prawo jazdy kat. B&lt;br /&gt;</t>
  </si>
  <si>
    <t>&lt;br /&gt;- podstawowe prace budowlane: kopanie, izolowanie, szlifowanie&lt;br /&gt;- praca przy odwodnieniach wykopów budowlanych&lt;br /&gt;- praca przy układce rurociągu&lt;br /&gt;- Wykonywanie prac ogólnobudowlanych i porządkowych na terenie bazy&lt;br /&gt;</t>
  </si>
  <si>
    <t>https://www.praca.pl/monter_4748532.html</t>
  </si>
  <si>
    <t>&lt;br /&gt;- minimum rok doświadczenia w montażu zewnętrznych sieci gazowych/ropociągowych/ciepłowniczych&lt;br /&gt;- bardzo dobrej organizacji pracy własnej, zaangażowania w wykonywane obowiązki&lt;br /&gt;- gotowości do pracy w zmiennych warunkach atmosferycznych&lt;br /&gt;Ponadto mile widziane są:&lt;br /&gt;- uprawnienia energetyczne grupy 3 E&lt;br /&gt;- prawo jazdy kat. B&lt;br /&gt;</t>
  </si>
  <si>
    <t>&lt;br /&gt;- obróbka elementów stalowych i przygotowanie ich do dalszych procesów technologicznych&lt;br /&gt;- przygotowywanie armatury do montażu&lt;br /&gt;- montaż orurowania i armatury&lt;br /&gt;- montaż elementów infrastruktury gazowniczej&lt;br /&gt;- miejscem wykonywania pracy są zorganizowane budowy na terenie całego kraju&lt;br /&gt;</t>
  </si>
  <si>
    <t>Brygadzista - Monter</t>
  </si>
  <si>
    <t>https://www.praca.pl/brygadzista-monter_4748625.html</t>
  </si>
  <si>
    <t>&lt;br /&gt;- bardzo dobra znajomość i umiejętność czytania rysunku technicznego, izometryków montażowych&lt;br /&gt;- umiejętność prowadzenia grup montażowych, delegowania zadań oraz rozliczania z wykonanych zakresów przez podległy zespół,&lt;br /&gt;- umiejętność właściwego i efektywnego dysponowania sprzętem ciężkim w grupach montażowych,&lt;br /&gt;- znajomość przepisów BHP i Ppoż.&lt;br /&gt;- prawa jazdy kat. B&lt;br /&gt;Ponadto mile widziane są:&lt;br /&gt;- uprawnienia energetyczne grupy 3 (eksploatacja i dozór)&lt;br /&gt;</t>
  </si>
  <si>
    <t>&lt;br /&gt;- nadzór nad realizacją kontraktu w oparciu o wymagania dokumentacji, harmonogramu i planów organizacji robót&lt;br /&gt;- kontrola jakości wykonywanych prac&lt;br /&gt;- zarządzanie podległymi pracownikami&lt;br /&gt;- obróbka elementów stalowych i przygotowanie ich do dalszych procesów technologicznych&lt;br /&gt;- przygotowywanie armatury do montażu&lt;br /&gt;- doraźna obsługa szlifierki kątowej, szlifowanie końcówek rur&lt;br /&gt;- montaż orurowania i armatury&lt;br /&gt;- montaż elementów infrastruktury gazowniczej&lt;br /&gt;- miejscem wykonywania pracy są zorganizowane budowy na terenie całego kraju&lt;br /&gt;</t>
  </si>
  <si>
    <t>XXXXXXX313904</t>
  </si>
  <si>
    <t>XXXXXXX252302</t>
  </si>
  <si>
    <t>XXXXXXX251401</t>
  </si>
  <si>
    <t>XXXXXXX121904</t>
  </si>
  <si>
    <t>XXXXXXX251903</t>
  </si>
  <si>
    <t>XXXXXXX242307</t>
  </si>
  <si>
    <t>XXXXXXX334304</t>
  </si>
  <si>
    <t>XXXXXXX251202</t>
  </si>
  <si>
    <t>XXXXXXX251402</t>
  </si>
  <si>
    <t>XXXXXXX132401</t>
  </si>
  <si>
    <t>XXXXXXX712603</t>
  </si>
  <si>
    <t>XXXXXXX931301</t>
  </si>
  <si>
    <t>XXXXXXX132301</t>
  </si>
  <si>
    <t>XXXXXXX422201</t>
  </si>
  <si>
    <t>XXXXXXX711903</t>
  </si>
  <si>
    <t>XXXXXXX712607</t>
  </si>
  <si>
    <t>XXXXXXX933304</t>
  </si>
  <si>
    <t>XXXXXXX211302</t>
  </si>
  <si>
    <t>z województwa</t>
  </si>
  <si>
    <t>poza województwem</t>
  </si>
  <si>
    <t>ilość miejsc pracy wg portali</t>
  </si>
  <si>
    <t>II 2021</t>
  </si>
  <si>
    <t>3e Software House</t>
  </si>
  <si>
    <t>Analityk IT / Analityk biznesowy</t>
  </si>
  <si>
    <t>25.08.2021</t>
  </si>
  <si>
    <t>1</t>
  </si>
  <si>
    <t>12.10.2021</t>
  </si>
  <si>
    <t>Polska, podkarpackie, null</t>
  </si>
  <si>
    <t>https://www.pracuj.pl/praca/analityk-it-analityk-biznesowy-podkarpackie,oferta,8326938</t>
  </si>
  <si>
    <t>25.08.2021 03:40</t>
  </si>
  <si>
    <t>23.08.2021</t>
  </si>
  <si>
    <t>22.09.2021</t>
  </si>
  <si>
    <t>2144905</t>
  </si>
  <si>
    <t>25562774</t>
  </si>
  <si>
    <t>18</t>
  </si>
  <si>
    <t>25</t>
  </si>
  <si>
    <t/>
  </si>
  <si>
    <t>Acxiom Global Service Center Polska sp. z o. o</t>
  </si>
  <si>
    <t>Cloud Solutions Developer</t>
  </si>
  <si>
    <t>https://www.pracuj.pl/praca/cloud-solutions-developer-subcarpathia,oferta,8325421</t>
  </si>
  <si>
    <t>2144421</t>
  </si>
  <si>
    <t>25562290</t>
  </si>
  <si>
    <t>Java Solutions Developer</t>
  </si>
  <si>
    <t>16.09.2021</t>
  </si>
  <si>
    <t>https://www.pracuj.pl/praca/java-solutions-developer-subcarpathia,oferta,8325438</t>
  </si>
  <si>
    <t>2144436</t>
  </si>
  <si>
    <t>25562305</t>
  </si>
  <si>
    <t>Software Engineer in Test</t>
  </si>
  <si>
    <t>https://www.pracuj.pl/praca/software-engineer-in-test-subcarpathia,oferta,8326057</t>
  </si>
  <si>
    <t>2144631</t>
  </si>
  <si>
    <t>25562500</t>
  </si>
  <si>
    <t>Software Engineer (Node.js/REST API)</t>
  </si>
  <si>
    <t>https://www.pracuj.pl/praca/software-engineer-node-js-rest-api-subcarpathia,oferta,8325459</t>
  </si>
  <si>
    <t>2144451</t>
  </si>
  <si>
    <t>25562320</t>
  </si>
  <si>
    <t>Bankier Klienta - Specjalność Produkty Hipoteczne</t>
  </si>
  <si>
    <t>https://www.pracuj.pl/praca/bankier-klienta-specjalnosc-produkty-hipoteczne-rzeszow,oferta,1001151052</t>
  </si>
  <si>
    <t>2146331</t>
  </si>
  <si>
    <t>25564200</t>
  </si>
  <si>
    <t>1863</t>
  </si>
  <si>
    <t>Starszy Analityk Biznesowo-Systemowy</t>
  </si>
  <si>
    <t>https://www.pracuj.pl/praca/starszy-analityk-biznesowo-systemowy-rzeszow,oferta,1001152753</t>
  </si>
  <si>
    <t>2147873</t>
  </si>
  <si>
    <t>25565742</t>
  </si>
  <si>
    <t>08.10.2021</t>
  </si>
  <si>
    <t>https://www.praca.pl/python-developer_5448113.html</t>
  </si>
  <si>
    <t>25.08.2021 03:05</t>
  </si>
  <si>
    <t>24.08.2021</t>
  </si>
  <si>
    <t>23.09.2021</t>
  </si>
  <si>
    <t>2139642</t>
  </si>
  <si>
    <t>25509007</t>
  </si>
  <si>
    <t>Atos Poland Global Services Sp. z o.o.</t>
  </si>
  <si>
    <t>Network Engineer with Linux</t>
  </si>
  <si>
    <t>https://www.pracuj.pl/praca/network-engineer-with-linux-subcarpathia,oferta,8327026</t>
  </si>
  <si>
    <t>2144936</t>
  </si>
  <si>
    <t>25562805</t>
  </si>
  <si>
    <t>17.09.2021</t>
  </si>
  <si>
    <t>https://www.pracuj.pl/praca/mechanik-samochodowy-rzeszow,oferta,1001151924</t>
  </si>
  <si>
    <t>2147124</t>
  </si>
  <si>
    <t>25564993</t>
  </si>
  <si>
    <t>Prawnik</t>
  </si>
  <si>
    <t>11.10.2021</t>
  </si>
  <si>
    <t>https://www.pracuj.pl/praca/prawnik-rzeszow,oferta,500135088</t>
  </si>
  <si>
    <t>2145245</t>
  </si>
  <si>
    <t>25563114</t>
  </si>
  <si>
    <t>Subversion / Bitbucket Developer with Java</t>
  </si>
  <si>
    <t>https://www.praca.pl/subversion-bitbucket-developer-with-java_5449286.html</t>
  </si>
  <si>
    <t>2139507</t>
  </si>
  <si>
    <t>25508868</t>
  </si>
  <si>
    <t>https://www.pracuj.pl/praca/specjalista-ds-logistyki-gluchow-pow-lancucki,oferta,1001151904</t>
  </si>
  <si>
    <t>2147104</t>
  </si>
  <si>
    <t>25564973</t>
  </si>
  <si>
    <t>1810</t>
  </si>
  <si>
    <t>Bonus Nieruchomości</t>
  </si>
  <si>
    <t>15.09.2021</t>
  </si>
  <si>
    <t>https://www.pracuj.pl/praca/doradca-ds-nieruchomosci-rzeszow,oferta,1001151283</t>
  </si>
  <si>
    <t>2146547</t>
  </si>
  <si>
    <t>25564416</t>
  </si>
  <si>
    <t>Booksy International Sp. z o.o.</t>
  </si>
  <si>
    <t>https://www.pracuj.pl/praca/javascript-developer-podkarpackie,oferta,8326818</t>
  </si>
  <si>
    <t>2144878</t>
  </si>
  <si>
    <t>25562747</t>
  </si>
  <si>
    <t>Filolog języka nowożytnego</t>
  </si>
  <si>
    <t>https://www.pracuj.pl/praca/technical-writer-subcarpathia,oferta,8326795</t>
  </si>
  <si>
    <t>2144857</t>
  </si>
  <si>
    <t>25562726</t>
  </si>
  <si>
    <t>RPd057|264302</t>
  </si>
  <si>
    <t>Brenen Polska</t>
  </si>
  <si>
    <t>31.08.2021</t>
  </si>
  <si>
    <t>https://www.pracuj.pl/praca/przedstawiciel-handlowy-podkarpackie,oferta,8325976</t>
  </si>
  <si>
    <t>2144612</t>
  </si>
  <si>
    <t>25562481</t>
  </si>
  <si>
    <t>Britenet Sp. z o.o.</t>
  </si>
  <si>
    <t>Starszy Analityk Biznesowy</t>
  </si>
  <si>
    <t>https://www.pracuj.pl/praca/starszy-analityk-biznesowy-podkarpackie,oferta,8327605</t>
  </si>
  <si>
    <t>2145044</t>
  </si>
  <si>
    <t>25562913</t>
  </si>
  <si>
    <t>Starszy Analityk Systemowy</t>
  </si>
  <si>
    <t>https://www.pracuj.pl/praca/starszy-analityk-systemowy-podkarpackie,oferta,8327620</t>
  </si>
  <si>
    <t>2145059</t>
  </si>
  <si>
    <t>25562928</t>
  </si>
  <si>
    <t>Inżynier Budowy (roboty ziemne)</t>
  </si>
  <si>
    <t>https://www.praca.pl/inzynier-budowy-roboty-ziemne_5447027.html</t>
  </si>
  <si>
    <t>2139810</t>
  </si>
  <si>
    <t>25509179</t>
  </si>
  <si>
    <t>ButyJana.pl</t>
  </si>
  <si>
    <t>Pracownik do obsługi sprzedaży zagranicznej</t>
  </si>
  <si>
    <t>https://www.pracuj.pl/praca/pracownik-do-obslugi-sprzedazy-zagranicznej-rzeszow,oferta,1001151909</t>
  </si>
  <si>
    <t>2147109</t>
  </si>
  <si>
    <t>25564978</t>
  </si>
  <si>
    <t>BWI Poland Technologies Sp. z o.o. Oddział w Krośnie</t>
  </si>
  <si>
    <t>Inżynier ds. Zapewnienia Jakości (Dział Jakości)</t>
  </si>
  <si>
    <t>https://www.pracuj.pl/praca/inzynier-ds-zapewnienia-jakosci-dzial-jakosci-krosno,oferta,1001151791</t>
  </si>
  <si>
    <t>2146999</t>
  </si>
  <si>
    <t>25564868</t>
  </si>
  <si>
    <t>1861</t>
  </si>
  <si>
    <t>Technolog Procesu (Dział Inżynierii)</t>
  </si>
  <si>
    <t>20.10.2021</t>
  </si>
  <si>
    <t>https://www.pracuj.pl/praca/technolog-procesu-dzial-inzynierii-krosno,oferta,1001151788</t>
  </si>
  <si>
    <t>2146996</t>
  </si>
  <si>
    <t>25564865</t>
  </si>
  <si>
    <t>Caret</t>
  </si>
  <si>
    <t>Junior Data Specialist (DE lub FR lub ES lub IT)</t>
  </si>
  <si>
    <t>https://www.pracuj.pl/praca/junior-data-specialist-de-lub-fr-lub-es-lub-it-podkarpackie,oferta,8326673</t>
  </si>
  <si>
    <t>2144790</t>
  </si>
  <si>
    <t>25562659</t>
  </si>
  <si>
    <t>CASP SYSTEM SP. Z O.O.</t>
  </si>
  <si>
    <t>Specjalista ds. badań nieniszczących</t>
  </si>
  <si>
    <t>https://www.pracuj.pl/praca/specjalista-ds-badan-nieniszczacych-podkarpackie,oferta,8327157</t>
  </si>
  <si>
    <t>2144954</t>
  </si>
  <si>
    <t>25562823</t>
  </si>
  <si>
    <t>Staż w sklepie CCC Krosno</t>
  </si>
  <si>
    <t>https://www.goldenline.pl/praca/oferta/1287348/zielonalinia0?utm_campaign=partner&amp;gpid=997110&amp;utm_medium=export&amp;glc_source=zielonalinia0&amp;utm_source=zielonalinia0</t>
  </si>
  <si>
    <t>25.08.2021 03:31</t>
  </si>
  <si>
    <t>12.08.2021</t>
  </si>
  <si>
    <t>14.09.2021</t>
  </si>
  <si>
    <t>2143973</t>
  </si>
  <si>
    <t>25561764</t>
  </si>
  <si>
    <t>null</t>
  </si>
  <si>
    <t>Staż w sklepie CCC Lesko</t>
  </si>
  <si>
    <t>https://www.goldenline.pl/praca/oferta/1287346/zielonalinia0?utm_campaign=partner&amp;gpid=997108&amp;utm_medium=export&amp;glc_source=zielonalinia0&amp;utm_source=zielonalinia0</t>
  </si>
  <si>
    <t>25.08.2021 03:30</t>
  </si>
  <si>
    <t>11.08.2021</t>
  </si>
  <si>
    <t>2141033</t>
  </si>
  <si>
    <t>25558824</t>
  </si>
  <si>
    <t>1821</t>
  </si>
  <si>
    <t>https://www.praca.pl/java-developer_5450780.html</t>
  </si>
  <si>
    <t>2139267</t>
  </si>
  <si>
    <t>25508615</t>
  </si>
  <si>
    <t>https://www.praca.pl/net-developer_5450732.html</t>
  </si>
  <si>
    <t>2139283</t>
  </si>
  <si>
    <t>25508631</t>
  </si>
  <si>
    <t>Coberon Sp. z o.o. (Coberon Chronos Group)</t>
  </si>
  <si>
    <t>Contract Logistics Director</t>
  </si>
  <si>
    <t>https://www.pracuj.pl/praca/contract-logistics-director-rzeszow,oferta,1001151321</t>
  </si>
  <si>
    <t>2146581</t>
  </si>
  <si>
    <t>25564450</t>
  </si>
  <si>
    <t>"COMMERCECON" sp. z o.o. SPÓŁKA KOMANDYTOWA</t>
  </si>
  <si>
    <t>https://www.pracuj.pl/praca/inzynier-budowy-podkarpackie,oferta,8325650</t>
  </si>
  <si>
    <t>2144508</t>
  </si>
  <si>
    <t>25562377</t>
  </si>
  <si>
    <t>https://www.pracuj.pl/praca/kierownik-budowy-podkarpackie,oferta,8325677</t>
  </si>
  <si>
    <t>25.08.2021 04:37</t>
  </si>
  <si>
    <t>2144524</t>
  </si>
  <si>
    <t>25562393</t>
  </si>
  <si>
    <t>Compensa Dystrybucja Sp. Z o.o., Vienna Insurance Group</t>
  </si>
  <si>
    <t>08.09.2021</t>
  </si>
  <si>
    <t>https://www.pracuj.pl/praca/doradca-klienta-krosno,oferta,1001150872</t>
  </si>
  <si>
    <t>2146174</t>
  </si>
  <si>
    <t>25564043</t>
  </si>
  <si>
    <t>https://www.pracuj.pl/praca/doradca-klienta-mielec,oferta,1001150880</t>
  </si>
  <si>
    <t>2146182</t>
  </si>
  <si>
    <t>25564051</t>
  </si>
  <si>
    <t>1811</t>
  </si>
  <si>
    <t>https://www.pracuj.pl/praca/doradca-klienta-przemysl,oferta,1001150893</t>
  </si>
  <si>
    <t>2146195</t>
  </si>
  <si>
    <t>25564064</t>
  </si>
  <si>
    <t>1862</t>
  </si>
  <si>
    <t>https://www.pracuj.pl/praca/doradca-klienta-rzeszow,oferta,1001150896</t>
  </si>
  <si>
    <t>2146198</t>
  </si>
  <si>
    <t>25564067</t>
  </si>
  <si>
    <t>https://www.pracuj.pl/praca/doradca-klienta-tarnobrzeg,oferta,1001150903</t>
  </si>
  <si>
    <t>2146205</t>
  </si>
  <si>
    <t>25564074</t>
  </si>
  <si>
    <t>1864</t>
  </si>
  <si>
    <t>https://www.pracuj.pl/praca/kierownik-zespolu-ds-sprzedazy-ubezpieczen-podkarpackie,oferta,8325622</t>
  </si>
  <si>
    <t>2144496</t>
  </si>
  <si>
    <t>25562365</t>
  </si>
  <si>
    <t>Kierownik Zdalnych Przedstawicieli Handlowych</t>
  </si>
  <si>
    <t>Pozostali kierownicy do spraw marketingu i sprzedaży</t>
  </si>
  <si>
    <t>https://www.goldenline.pl/praca/oferta/1288296/zielonalinia0?utm_campaign=partner&amp;gpid=998066&amp;utm_medium=export&amp;glc_source=zielonalinia0&amp;utm_source=zielonalinia0</t>
  </si>
  <si>
    <t>20.08.2021</t>
  </si>
  <si>
    <t>2141703</t>
  </si>
  <si>
    <t>25559494</t>
  </si>
  <si>
    <t>RPd057|122190</t>
  </si>
  <si>
    <t>Zdalny przedstawiciel handlowy</t>
  </si>
  <si>
    <t>13.09.2021</t>
  </si>
  <si>
    <t>https://www.goldenline.pl/praca/oferta/1282766/zielonalinia0?utm_campaign=partner&amp;gpid=992482&amp;utm_medium=export&amp;glc_source=zielonalinia0&amp;utm_source=zielonalinia0</t>
  </si>
  <si>
    <t>31.07.2021</t>
  </si>
  <si>
    <t>28.08.2021</t>
  </si>
  <si>
    <t>2143700</t>
  </si>
  <si>
    <t>25561491</t>
  </si>
  <si>
    <t>Coral Travel Poland Sp. z o. o.</t>
  </si>
  <si>
    <t>Specjalista do spraw organizacji usług gastronomicznych, hotelowych i turystycznych</t>
  </si>
  <si>
    <t>https://www.pracuj.pl/praca/specjalista-ds-turystyki-rzeszow,oferta,1001152260</t>
  </si>
  <si>
    <t>2147432</t>
  </si>
  <si>
    <t>25565301</t>
  </si>
  <si>
    <t>RPd057|242113</t>
  </si>
  <si>
    <t>https://www.pracuj.pl/praca/partner-prowadzacy-placowke-partnerska-lezajsk,oferta,1001150300</t>
  </si>
  <si>
    <t>2145667</t>
  </si>
  <si>
    <t>25563536</t>
  </si>
  <si>
    <t>1808</t>
  </si>
  <si>
    <t>https://www.pracuj.pl/praca/partner-prowadzacy-placowke-partnerska-lubaczow,oferta,1001150302</t>
  </si>
  <si>
    <t>2145669</t>
  </si>
  <si>
    <t>25563538</t>
  </si>
  <si>
    <t>1809</t>
  </si>
  <si>
    <t>https://www.pracuj.pl/praca/partner-prowadzacy-placowke-partnerska-nisko,oferta,1001150308</t>
  </si>
  <si>
    <t>2145675</t>
  </si>
  <si>
    <t>25563544</t>
  </si>
  <si>
    <t>1812</t>
  </si>
  <si>
    <t>https://www.pracuj.pl/praca/partner-prowadzacy-placowke-partnerska-ropczyce,oferta,1001150313</t>
  </si>
  <si>
    <t>2145680</t>
  </si>
  <si>
    <t>25563549</t>
  </si>
  <si>
    <t>1815</t>
  </si>
  <si>
    <t>https://www.pracuj.pl/praca/partner-prowadzacy-placowke-partnerska-sedziszow-malopolski,oferta,1001150315</t>
  </si>
  <si>
    <t>2145682</t>
  </si>
  <si>
    <t>25563551</t>
  </si>
  <si>
    <t>Cyclad Sp. z o.o.</t>
  </si>
  <si>
    <t>Android Developer</t>
  </si>
  <si>
    <t>Polska, podkarpackie, Praca zdalna</t>
  </si>
  <si>
    <t>https://www.goldenline.pl/praca/oferta/1285776/zielonalinia0?utm_campaign=partner&amp;gpid=995530&amp;utm_medium=export&amp;glc_source=zielonalinia0&amp;utm_source=zielonalinia0</t>
  </si>
  <si>
    <t>08.08.2021</t>
  </si>
  <si>
    <t>2142506</t>
  </si>
  <si>
    <t>25560297</t>
  </si>
  <si>
    <t>BI Consultant (Azure)-100% zdalnie</t>
  </si>
  <si>
    <t>https://www.goldenline.pl/praca/oferta/1290304/zielonalinia0?utm_campaign=partner&amp;gpid=1000182&amp;utm_medium=export&amp;glc_source=zielonalinia0&amp;utm_source=zielonalinia0</t>
  </si>
  <si>
    <t>27.09.2021</t>
  </si>
  <si>
    <t>2141923</t>
  </si>
  <si>
    <t>25559714</t>
  </si>
  <si>
    <t>Polska, pomorskie, Rzeszów</t>
  </si>
  <si>
    <t>https://www.goldenline.pl/praca/oferta/1286506/zielonalinia0?utm_campaign=partner&amp;gpid=996264&amp;utm_medium=export&amp;glc_source=zielonalinia0&amp;utm_source=zielonalinia0</t>
  </si>
  <si>
    <t>09.08.2021</t>
  </si>
  <si>
    <t>09.09.2021</t>
  </si>
  <si>
    <t>2143944</t>
  </si>
  <si>
    <t>25561735</t>
  </si>
  <si>
    <t>https://www.goldenline.pl/praca/oferta/1288544/zielonalinia0?utm_campaign=partner&amp;gpid=998338&amp;utm_medium=export&amp;glc_source=zielonalinia0&amp;utm_source=zielonalinia0</t>
  </si>
  <si>
    <t>22.08.2021</t>
  </si>
  <si>
    <t>20.09.2021</t>
  </si>
  <si>
    <t>2144014</t>
  </si>
  <si>
    <t>25561805</t>
  </si>
  <si>
    <t>Data Engineer (Azure, MS SQL Server) - 100% zdalnie</t>
  </si>
  <si>
    <t>https://www.goldenline.pl/praca/oferta/1286072/zielonalinia0?utm_campaign=partner&amp;gpid=995824&amp;utm_medium=export&amp;glc_source=zielonalinia0&amp;utm_source=zielonalinia0</t>
  </si>
  <si>
    <t>2141564</t>
  </si>
  <si>
    <t>25559355</t>
  </si>
  <si>
    <t>https://www.goldenline.pl/praca/oferta/1290442/zielonalinia0?utm_campaign=partner&amp;gpid=1000322&amp;utm_medium=export&amp;glc_source=zielonalinia0&amp;utm_source=zielonalinia0</t>
  </si>
  <si>
    <t>2143354</t>
  </si>
  <si>
    <t>25561145</t>
  </si>
  <si>
    <t>https://www.goldenline.pl/praca/oferta/1286318/zielonalinia0?utm_campaign=partner&amp;gpid=996072&amp;utm_medium=export&amp;glc_source=zielonalinia0&amp;utm_source=zielonalinia0</t>
  </si>
  <si>
    <t>21.08.2021</t>
  </si>
  <si>
    <t>2144112</t>
  </si>
  <si>
    <t>25561903</t>
  </si>
  <si>
    <t>https://www.goldenline.pl/praca/oferta/1288952/zielonalinia0?utm_campaign=partner&amp;gpid=998758&amp;utm_medium=export&amp;glc_source=zielonalinia0&amp;utm_source=zielonalinia0</t>
  </si>
  <si>
    <t>21.09.2021</t>
  </si>
  <si>
    <t>2144189</t>
  </si>
  <si>
    <t>25561980</t>
  </si>
  <si>
    <t>FrontEnd Developer (Angular) – 100% zdalnie</t>
  </si>
  <si>
    <t>https://www.goldenline.pl/praca/oferta/1289326/zielonalinia0?utm_campaign=partner&amp;gpid=999164&amp;utm_medium=export&amp;glc_source=zielonalinia0&amp;utm_source=zielonalinia0</t>
  </si>
  <si>
    <t>2142109</t>
  </si>
  <si>
    <t>25559900</t>
  </si>
  <si>
    <t>Frontend Developer (React)-100% zdalnie/Mid./Sr.</t>
  </si>
  <si>
    <t>https://www.goldenline.pl/praca/oferta/1285732/zielonalinia0?utm_campaign=partner&amp;gpid=995494&amp;utm_medium=export&amp;glc_source=zielonalinia0&amp;utm_source=zielonalinia0</t>
  </si>
  <si>
    <t>2142066</t>
  </si>
  <si>
    <t>25559857</t>
  </si>
  <si>
    <t>https://www.goldenline.pl/praca/oferta/1288732/zielonalinia0?utm_campaign=partner&amp;gpid=998536&amp;utm_medium=export&amp;glc_source=zielonalinia0&amp;utm_source=zielonalinia0</t>
  </si>
  <si>
    <t>2144234</t>
  </si>
  <si>
    <t>25562025</t>
  </si>
  <si>
    <t>Interim Manager - IT Operations</t>
  </si>
  <si>
    <t>https://www.goldenline.pl/praca/oferta/1283824/zielonalinia0?utm_campaign=partner&amp;gpid=993548&amp;utm_medium=export&amp;glc_source=zielonalinia0&amp;utm_source=zielonalinia0</t>
  </si>
  <si>
    <t>01.08.2021</t>
  </si>
  <si>
    <t>01.09.2021</t>
  </si>
  <si>
    <t>2142979</t>
  </si>
  <si>
    <t>25560770</t>
  </si>
  <si>
    <t>IT Recruitment Specialist</t>
  </si>
  <si>
    <t>Polska, podkarpackie, Remote work</t>
  </si>
  <si>
    <t>https://www.goldenline.pl/praca/oferta/1287962/zielonalinia0?utm_campaign=partner&amp;gpid=997714&amp;utm_medium=export&amp;glc_source=zielonalinia0&amp;utm_source=zielonalinia0</t>
  </si>
  <si>
    <t>2140437</t>
  </si>
  <si>
    <t>25558228</t>
  </si>
  <si>
    <t>https://www.goldenline.pl/praca/oferta/1287206/zielonalinia0?utm_campaign=partner&amp;gpid=996952&amp;utm_medium=export&amp;glc_source=zielonalinia0&amp;utm_source=zielonalinia0</t>
  </si>
  <si>
    <t>14.08.2021</t>
  </si>
  <si>
    <t>2141349</t>
  </si>
  <si>
    <t>25559140</t>
  </si>
  <si>
    <t>Java Software Engineer</t>
  </si>
  <si>
    <t>https://www.goldenline.pl/praca/oferta/1289236/zielonalinia0?utm_campaign=partner&amp;gpid=999068&amp;utm_medium=export&amp;glc_source=zielonalinia0&amp;utm_source=zielonalinia0</t>
  </si>
  <si>
    <t>17.08.2021</t>
  </si>
  <si>
    <t>2143366</t>
  </si>
  <si>
    <t>25561157</t>
  </si>
  <si>
    <t>MS SQL Database Administrator (100% zdalnie)</t>
  </si>
  <si>
    <t>https://www.goldenline.pl/praca/oferta/1290408/zielonalinia0?utm_campaign=partner&amp;gpid=1000286&amp;utm_medium=export&amp;glc_source=zielonalinia0&amp;utm_source=zielonalinia0</t>
  </si>
  <si>
    <t>2141471</t>
  </si>
  <si>
    <t>25559262</t>
  </si>
  <si>
    <t>https://www.goldenline.pl/praca/oferta/1288988/zielonalinia0?utm_campaign=partner&amp;gpid=998798&amp;utm_medium=export&amp;glc_source=zielonalinia0&amp;utm_source=zielonalinia0</t>
  </si>
  <si>
    <t>2141626</t>
  </si>
  <si>
    <t>25559417</t>
  </si>
  <si>
    <t>https://www.goldenline.pl/praca/oferta/1286448/zielonalinia0?utm_campaign=partner&amp;gpid=996202&amp;utm_medium=export&amp;glc_source=zielonalinia0&amp;utm_source=zielonalinia0</t>
  </si>
  <si>
    <t>2142653</t>
  </si>
  <si>
    <t>25560444</t>
  </si>
  <si>
    <t>.NET Developer - 100% zdalnie</t>
  </si>
  <si>
    <t>https://www.goldenline.pl/praca/oferta/1284086/zielonalinia0?utm_campaign=partner&amp;gpid=993814&amp;utm_medium=export&amp;glc_source=zielonalinia0&amp;utm_source=zielonalinia0</t>
  </si>
  <si>
    <t>29.07.2021</t>
  </si>
  <si>
    <t>02.09.2021</t>
  </si>
  <si>
    <t>2142243</t>
  </si>
  <si>
    <t>25560034</t>
  </si>
  <si>
    <t>Oracle Database Administrator-Mid/Senior (100% zdalnie)</t>
  </si>
  <si>
    <t>https://www.goldenline.pl/praca/oferta/1288666/zielonalinia0?utm_campaign=partner&amp;gpid=998460&amp;utm_medium=export&amp;glc_source=zielonalinia0&amp;utm_source=zielonalinia0</t>
  </si>
  <si>
    <t>2141299</t>
  </si>
  <si>
    <t>25559090</t>
  </si>
  <si>
    <t>https://www.goldenline.pl/praca/oferta/1286356/zielonalinia0?utm_campaign=partner&amp;gpid=996110&amp;utm_medium=export&amp;glc_source=zielonalinia0&amp;utm_source=zielonalinia0</t>
  </si>
  <si>
    <t>2142940</t>
  </si>
  <si>
    <t>25560731</t>
  </si>
  <si>
    <t>QA Engineer (100% praca zdalna)</t>
  </si>
  <si>
    <t>https://www.goldenline.pl/praca/oferta/1289438/zielonalinia0?utm_campaign=partner&amp;gpid=999278&amp;utm_medium=export&amp;glc_source=zielonalinia0&amp;utm_source=zielonalinia0</t>
  </si>
  <si>
    <t>2141929</t>
  </si>
  <si>
    <t>25559720</t>
  </si>
  <si>
    <t>QA Engineer (Java/Selenium-100% zdalnie)</t>
  </si>
  <si>
    <t>https://www.goldenline.pl/praca/oferta/1289028/zielonalinia0?utm_campaign=partner&amp;gpid=998838&amp;utm_medium=export&amp;glc_source=zielonalinia0&amp;utm_source=zielonalinia0</t>
  </si>
  <si>
    <t>2142848</t>
  </si>
  <si>
    <t>25560639</t>
  </si>
  <si>
    <t>React Developer (Mid./Senior)-100% zdalnie</t>
  </si>
  <si>
    <t>https://www.goldenline.pl/praca/oferta/1288762/zielonalinia0?utm_campaign=partner&amp;gpid=998572&amp;utm_medium=export&amp;glc_source=zielonalinia0&amp;utm_source=zielonalinia0</t>
  </si>
  <si>
    <t>2140361</t>
  </si>
  <si>
    <t>25558152</t>
  </si>
  <si>
    <t>React Developer (Mid/Senior)-ZDALNIE</t>
  </si>
  <si>
    <t>https://www.goldenline.pl/praca/oferta/1287566/zielonalinia0?utm_campaign=partner&amp;gpid=997350&amp;utm_medium=export&amp;glc_source=zielonalinia0&amp;utm_source=zielonalinia0</t>
  </si>
  <si>
    <t>2141793</t>
  </si>
  <si>
    <t>25559584</t>
  </si>
  <si>
    <t>https://www.goldenline.pl/praca/oferta/1288432/zielonalinia0?utm_campaign=partner&amp;gpid=998222&amp;utm_medium=export&amp;glc_source=zielonalinia0&amp;utm_source=zielonalinia0</t>
  </si>
  <si>
    <t>2142228</t>
  </si>
  <si>
    <t>25560019</t>
  </si>
  <si>
    <t>https://www.goldenline.pl/praca/oferta/1290262/zielonalinia0?utm_campaign=partner&amp;gpid=1000140&amp;utm_medium=export&amp;glc_source=zielonalinia0&amp;utm_source=zielonalinia0</t>
  </si>
  <si>
    <t>2143408</t>
  </si>
  <si>
    <t>25561199</t>
  </si>
  <si>
    <t>React.js/React Native Developer (100% zdalnie)</t>
  </si>
  <si>
    <t>https://www.goldenline.pl/praca/oferta/1288614/zielonalinia0?utm_campaign=partner&amp;gpid=998408&amp;utm_medium=export&amp;glc_source=zielonalinia0&amp;utm_source=zielonalinia0</t>
  </si>
  <si>
    <t>2140509</t>
  </si>
  <si>
    <t>25558300</t>
  </si>
  <si>
    <t>https://www.goldenline.pl/praca/oferta/1285812/zielonalinia0?utm_campaign=partner&amp;gpid=995564&amp;utm_medium=export&amp;glc_source=zielonalinia0&amp;utm_source=zielonalinia0</t>
  </si>
  <si>
    <t>2141365</t>
  </si>
  <si>
    <t>25559156</t>
  </si>
  <si>
    <t>Senior FrontEnd Developer (Angular) – 100% zdalnie</t>
  </si>
  <si>
    <t>https://www.goldenline.pl/praca/oferta/1289402/zielonalinia0?utm_campaign=partner&amp;gpid=999242&amp;utm_medium=export&amp;glc_source=zielonalinia0&amp;utm_source=zielonalinia0</t>
  </si>
  <si>
    <t>2144084</t>
  </si>
  <si>
    <t>25561875</t>
  </si>
  <si>
    <t>Senior Java Software Engineer</t>
  </si>
  <si>
    <t>https://www.goldenline.pl/praca/oferta/1283682/zielonalinia0?utm_campaign=partner&amp;gpid=993400&amp;utm_medium=export&amp;glc_source=zielonalinia0&amp;utm_source=zielonalinia0</t>
  </si>
  <si>
    <t>2141757</t>
  </si>
  <si>
    <t>25559548</t>
  </si>
  <si>
    <t>Senior React Developer (100% zdalnie)</t>
  </si>
  <si>
    <t>https://www.goldenline.pl/praca/oferta/1288508/zielonalinia0?utm_campaign=partner&amp;gpid=998302&amp;utm_medium=export&amp;glc_source=zielonalinia0&amp;utm_source=zielonalinia0</t>
  </si>
  <si>
    <t>2142025</t>
  </si>
  <si>
    <t>25559816</t>
  </si>
  <si>
    <t>https://www.goldenline.pl/praca/oferta/1290352/zielonalinia0?utm_campaign=partner&amp;gpid=1000230&amp;utm_medium=export&amp;glc_source=zielonalinia0&amp;utm_source=zielonalinia0</t>
  </si>
  <si>
    <t>2142171</t>
  </si>
  <si>
    <t>25559962</t>
  </si>
  <si>
    <t>Service Delivery Manager - IT Operations</t>
  </si>
  <si>
    <t>https://www.goldenline.pl/praca/oferta/1282722/zielonalinia0?utm_campaign=partner&amp;gpid=992440&amp;utm_medium=export&amp;glc_source=zielonalinia0&amp;utm_source=zielonalinia0</t>
  </si>
  <si>
    <t>25.08.2021 04:20</t>
  </si>
  <si>
    <t>23.07.2021</t>
  </si>
  <si>
    <t>2142500</t>
  </si>
  <si>
    <t>25560291</t>
  </si>
  <si>
    <t>Site Reliability Engineer</t>
  </si>
  <si>
    <t>https://www.goldenline.pl/praca/oferta/1286246/zielonalinia0?utm_campaign=partner&amp;gpid=996000&amp;utm_medium=export&amp;glc_source=zielonalinia0&amp;utm_source=zielonalinia0</t>
  </si>
  <si>
    <t>2140510</t>
  </si>
  <si>
    <t>25558301</t>
  </si>
  <si>
    <t>https://www.goldenline.pl/praca/oferta/1286202/zielonalinia0?utm_campaign=partner&amp;gpid=995956&amp;utm_medium=export&amp;glc_source=zielonalinia0&amp;utm_source=zielonalinia0</t>
  </si>
  <si>
    <t>2140762</t>
  </si>
  <si>
    <t>25558553</t>
  </si>
  <si>
    <t>https://www.goldenline.pl/praca/oferta/1286166/zielonalinia0?utm_campaign=partner&amp;gpid=995918&amp;utm_medium=export&amp;glc_source=zielonalinia0&amp;utm_source=zielonalinia0</t>
  </si>
  <si>
    <t>2141285</t>
  </si>
  <si>
    <t>25559076</t>
  </si>
  <si>
    <t>https://www.goldenline.pl/praca/oferta/1285914/zielonalinia0?utm_campaign=partner&amp;gpid=995666&amp;utm_medium=export&amp;glc_source=zielonalinia0&amp;utm_source=zielonalinia0</t>
  </si>
  <si>
    <t>2141584</t>
  </si>
  <si>
    <t>25559375</t>
  </si>
  <si>
    <t>https://www.goldenline.pl/praca/oferta/1285686/zielonalinia0?utm_campaign=partner&amp;gpid=995444&amp;utm_medium=export&amp;glc_source=zielonalinia0&amp;utm_source=zielonalinia0</t>
  </si>
  <si>
    <t>2141962</t>
  </si>
  <si>
    <t>25559753</t>
  </si>
  <si>
    <t>https://www.goldenline.pl/praca/oferta/1285844/zielonalinia0?utm_campaign=partner&amp;gpid=995598&amp;utm_medium=export&amp;glc_source=zielonalinia0&amp;utm_source=zielonalinia0</t>
  </si>
  <si>
    <t>2142134</t>
  </si>
  <si>
    <t>25559925</t>
  </si>
  <si>
    <t>https://www.goldenline.pl/praca/oferta/1285882/zielonalinia0?utm_campaign=partner&amp;gpid=995634&amp;utm_medium=export&amp;glc_source=zielonalinia0&amp;utm_source=zielonalinia0</t>
  </si>
  <si>
    <t>2142552</t>
  </si>
  <si>
    <t>25560343</t>
  </si>
  <si>
    <t>https://www.goldenline.pl/praca/oferta/1286126/zielonalinia0?utm_campaign=partner&amp;gpid=995878&amp;utm_medium=export&amp;glc_source=zielonalinia0&amp;utm_source=zielonalinia0</t>
  </si>
  <si>
    <t>2142749</t>
  </si>
  <si>
    <t>25560540</t>
  </si>
  <si>
    <t>https://www.goldenline.pl/praca/oferta/1285916/zielonalinia0?utm_campaign=partner&amp;gpid=995668&amp;utm_medium=export&amp;glc_source=zielonalinia0&amp;utm_source=zielonalinia0</t>
  </si>
  <si>
    <t>2142753</t>
  </si>
  <si>
    <t>25560544</t>
  </si>
  <si>
    <t>https://www.goldenline.pl/praca/oferta/1285980/zielonalinia0?utm_campaign=partner&amp;gpid=995732&amp;utm_medium=export&amp;glc_source=zielonalinia0&amp;utm_source=zielonalinia0</t>
  </si>
  <si>
    <t>2142832</t>
  </si>
  <si>
    <t>25560623</t>
  </si>
  <si>
    <t>https://www.goldenline.pl/praca/oferta/1286394/zielonalinia0?utm_campaign=partner&amp;gpid=996148&amp;utm_medium=export&amp;glc_source=zielonalinia0&amp;utm_source=zielonalinia0</t>
  </si>
  <si>
    <t>2142986</t>
  </si>
  <si>
    <t>25560777</t>
  </si>
  <si>
    <t>https://www.goldenline.pl/praca/oferta/1285950/zielonalinia0?utm_campaign=partner&amp;gpid=995702&amp;utm_medium=export&amp;glc_source=zielonalinia0&amp;utm_source=zielonalinia0</t>
  </si>
  <si>
    <t>2143459</t>
  </si>
  <si>
    <t>25561250</t>
  </si>
  <si>
    <t>Software Engineer (React, Node.js)-100% zdalnie</t>
  </si>
  <si>
    <t>https://www.goldenline.pl/praca/oferta/1288476/zielonalinia0?utm_campaign=partner&amp;gpid=998266&amp;utm_medium=export&amp;glc_source=zielonalinia0&amp;utm_source=zielonalinia0</t>
  </si>
  <si>
    <t>2140653</t>
  </si>
  <si>
    <t>25558444</t>
  </si>
  <si>
    <t>https://www.goldenline.pl/praca/oferta/1287500/zielonalinia0?utm_campaign=partner&amp;gpid=997262&amp;utm_medium=export&amp;glc_source=zielonalinia0&amp;utm_source=zielonalinia0</t>
  </si>
  <si>
    <t>2143928</t>
  </si>
  <si>
    <t>25561719</t>
  </si>
  <si>
    <t>Starszy Programista baz danych (PostgreSQL/AWS) -ZDALNIE</t>
  </si>
  <si>
    <t>10.09.2021</t>
  </si>
  <si>
    <t>https://www.goldenline.pl/praca/oferta/1288578/zielonalinia0?utm_campaign=partner&amp;gpid=998372&amp;utm_medium=export&amp;glc_source=zielonalinia0&amp;utm_source=zielonalinia0</t>
  </si>
  <si>
    <t>2143228</t>
  </si>
  <si>
    <t>25561019</t>
  </si>
  <si>
    <t>https://www.goldenline.pl/praca/oferta/1286016/zielonalinia0?utm_campaign=partner&amp;gpid=995768&amp;utm_medium=export&amp;glc_source=zielonalinia0&amp;utm_source=zielonalinia0</t>
  </si>
  <si>
    <t>2144046</t>
  </si>
  <si>
    <t>25561837</t>
  </si>
  <si>
    <t>Technical Architect</t>
  </si>
  <si>
    <t>Polska, podkarpackie, Remote</t>
  </si>
  <si>
    <t>https://www.goldenline.pl/praca/oferta/1283922/zielonalinia0?utm_campaign=partner&amp;gpid=993648&amp;utm_medium=export&amp;glc_source=zielonalinia0&amp;utm_source=zielonalinia0</t>
  </si>
  <si>
    <t>28.07.2021</t>
  </si>
  <si>
    <t>2143398</t>
  </si>
  <si>
    <t>25561189</t>
  </si>
  <si>
    <t>Pozostali pracownicy przy pracach przygotowawczych do druku</t>
  </si>
  <si>
    <t>https://www.praca.pl/pracownik-produkcji_5447108.html</t>
  </si>
  <si>
    <t>2139797</t>
  </si>
  <si>
    <t>25509166</t>
  </si>
  <si>
    <t>1816</t>
  </si>
  <si>
    <t>RPd057|732190</t>
  </si>
  <si>
    <t>Dek Optica Sp. j. Daniluk, Doleczek</t>
  </si>
  <si>
    <t>https://www.pracuj.pl/praca/przedstawiciel-handlowy-podkarpackie,oferta,8326989</t>
  </si>
  <si>
    <t>2144915</t>
  </si>
  <si>
    <t>25562784</t>
  </si>
  <si>
    <t>Księgowa/y w dziale księgowości zarządczej</t>
  </si>
  <si>
    <t>https://www.pracuj.pl/praca/ksiegowa-y-w-dziale-ksiegowosci-zarzadczej-rzeszow,oferta,1001152264</t>
  </si>
  <si>
    <t>2147436</t>
  </si>
  <si>
    <t>25565305</t>
  </si>
  <si>
    <t>Specjalista ds. projektowania ankiet</t>
  </si>
  <si>
    <t>21.10.2021</t>
  </si>
  <si>
    <t>https://www.pracuj.pl/praca/specjalista-ds-projektowania-ankiet-rzeszow,oferta,1001151554</t>
  </si>
  <si>
    <t>2146781</t>
  </si>
  <si>
    <t>25564650</t>
  </si>
  <si>
    <t>Manager (Managing Associate) ds. Jednostek Samorządu Terytorialnego</t>
  </si>
  <si>
    <t>13.10.2021</t>
  </si>
  <si>
    <t>https://www.pracuj.pl/praca/manager-managing-associate-ds-jednostek-samorzadu-terytorialnego-rzeszow,oferta,1001152678</t>
  </si>
  <si>
    <t>2147802</t>
  </si>
  <si>
    <t>25565671</t>
  </si>
  <si>
    <t>DIAVERUM POLSKA SP. Z O.O.</t>
  </si>
  <si>
    <t>Lekarz/Lekarka w stacji dializ</t>
  </si>
  <si>
    <t>https://www.goldenline.pl/praca/oferta/1284700/zielonalinia0?utm_campaign=partner&amp;gpid=994434&amp;utm_medium=export&amp;glc_source=zielonalinia0&amp;utm_source=zielonalinia0</t>
  </si>
  <si>
    <t>02.08.2021</t>
  </si>
  <si>
    <t>03.09.2021</t>
  </si>
  <si>
    <t>2142395</t>
  </si>
  <si>
    <t>25560186</t>
  </si>
  <si>
    <t>1814</t>
  </si>
  <si>
    <t>Dopłaty Powypadkowe</t>
  </si>
  <si>
    <t>Przedstawiciel Handlowy - Doradca Motoryzacyjny</t>
  </si>
  <si>
    <t>https://www.pracuj.pl/praca/przedstawiciel-handlowy-doradca-motoryzacyjny-podkarpackie,oferta,8326622</t>
  </si>
  <si>
    <t>2144771</t>
  </si>
  <si>
    <t>25562640</t>
  </si>
  <si>
    <t>ERBUD S.A.</t>
  </si>
  <si>
    <t>https://www.pracuj.pl/praca/specjalista-ds-handlowych-jasionka-pow-rzeszowski,oferta,1001152401</t>
  </si>
  <si>
    <t>2147559</t>
  </si>
  <si>
    <t>25565428</t>
  </si>
  <si>
    <t>Erontrans Sp. z o.o.</t>
  </si>
  <si>
    <t>Przewoźnik</t>
  </si>
  <si>
    <t>https://www.praca.pl/przewoznik_5446871.html</t>
  </si>
  <si>
    <t>2139724</t>
  </si>
  <si>
    <t>25509092</t>
  </si>
  <si>
    <t>https://www.praca.pl/kierownik-magazynu_5361863.html</t>
  </si>
  <si>
    <t>2139151</t>
  </si>
  <si>
    <t>24771652</t>
  </si>
  <si>
    <t>EXCO A2A POLSKA Sp. z o.o.</t>
  </si>
  <si>
    <t>Asystent/ka w dziale Księgowości</t>
  </si>
  <si>
    <t>https://www.pracuj.pl/praca/asystent-ka-w-dziale-ksiegowosci-podkarpackie,oferta,8326779</t>
  </si>
  <si>
    <t>2144842</t>
  </si>
  <si>
    <t>25562711</t>
  </si>
  <si>
    <t>Expert System Group</t>
  </si>
  <si>
    <t>Przedstawiciel handlowy w branży OZE</t>
  </si>
  <si>
    <t>https://www.pracuj.pl/praca/przedstawiciel-handlowy-w-branzy-oze-podkarpackie,oferta,500135100</t>
  </si>
  <si>
    <t>2145257</t>
  </si>
  <si>
    <t>25563126</t>
  </si>
  <si>
    <t>FFiL Śnieżka SA</t>
  </si>
  <si>
    <t>Młodszy Laborant/ Laborant</t>
  </si>
  <si>
    <t>https://www.pracuj.pl/praca/mlodszy-laborant-laborant-brzeznica-pow-debicki,oferta,1001151798</t>
  </si>
  <si>
    <t>2147006</t>
  </si>
  <si>
    <t>25564875</t>
  </si>
  <si>
    <t>1803</t>
  </si>
  <si>
    <t>RPd057|311202</t>
  </si>
  <si>
    <t>Fundacja Grupy Ergo Hestia INTEGRALIA</t>
  </si>
  <si>
    <t>https://www.goldenline.pl/praca/oferta/1289204/zielonalinia0?utm_campaign=partner&amp;gpid=999034&amp;utm_medium=export&amp;glc_source=zielonalinia0&amp;utm_source=zielonalinia0</t>
  </si>
  <si>
    <t>2141270</t>
  </si>
  <si>
    <t>25559061</t>
  </si>
  <si>
    <t>Accounts Payable Accountant with German</t>
  </si>
  <si>
    <t>https://www.praca.pl/accounts-payable-accountant-with-german_5446655.html</t>
  </si>
  <si>
    <t>25.08.2021 03:06</t>
  </si>
  <si>
    <t>2139873</t>
  </si>
  <si>
    <t>25509244</t>
  </si>
  <si>
    <t>Accounts Receivable Specialist with German</t>
  </si>
  <si>
    <t>Specjalista do spraw rachunkowości</t>
  </si>
  <si>
    <t>https://www.praca.pl/accounts-receivable-specialist-with-german_5446553.html</t>
  </si>
  <si>
    <t>2139907</t>
  </si>
  <si>
    <t>25509278</t>
  </si>
  <si>
    <t>Billing Management with Spanish</t>
  </si>
  <si>
    <t>Pozostali specjaliści do spraw księgowości i rachunkowości</t>
  </si>
  <si>
    <t>https://www.praca.pl/billing-management-with-spanish_5438603.html</t>
  </si>
  <si>
    <t>2140271</t>
  </si>
  <si>
    <t>25509655</t>
  </si>
  <si>
    <t>RPd057|241190</t>
  </si>
  <si>
    <t>Financial Accounting and Reporting Specialist with Czech</t>
  </si>
  <si>
    <t>https://www.praca.pl/financial-accounting-and-reporting-specialist-with-czech_5439128.html</t>
  </si>
  <si>
    <t>2140255</t>
  </si>
  <si>
    <t>25509639</t>
  </si>
  <si>
    <t>Logistics and Supply Chain Coordinator with Czech</t>
  </si>
  <si>
    <t>https://www.praca.pl/logistics-and-supply-chain-coordinator-with-czech_5445785.html</t>
  </si>
  <si>
    <t>2140062</t>
  </si>
  <si>
    <t>25509435</t>
  </si>
  <si>
    <t>Logistics and Supply Chain Coordinator with German</t>
  </si>
  <si>
    <t>https://www.praca.pl/logistics-and-supply-chain-coordinator-with-german_5445938.html</t>
  </si>
  <si>
    <t>2140044</t>
  </si>
  <si>
    <t>25509417</t>
  </si>
  <si>
    <t>Management Accounting Specialist with Czech</t>
  </si>
  <si>
    <t>Specjalista do spraw rachunkowości zarządczej</t>
  </si>
  <si>
    <t>https://www.praca.pl/management-accounting-specialist-with-czech_5445734.html</t>
  </si>
  <si>
    <t>2140079</t>
  </si>
  <si>
    <t>25509454</t>
  </si>
  <si>
    <t>RPd057|241106</t>
  </si>
  <si>
    <t>Supply Chain Planning and Buying Specialist with Czech</t>
  </si>
  <si>
    <t>https://www.praca.pl/supply-chain-planning-and-buying-specialist-with-czech_5444981.html</t>
  </si>
  <si>
    <t>2140159</t>
  </si>
  <si>
    <t>25509539</t>
  </si>
  <si>
    <t>Supply Chain Planning and Buying Specialist with German</t>
  </si>
  <si>
    <t>https://www.praca.pl/supply-chain-planning-and-buying-specialist-with-german_5445044.html</t>
  </si>
  <si>
    <t>2140141</t>
  </si>
  <si>
    <t>25509521</t>
  </si>
  <si>
    <t>https://www.praca.pl/doradca-klienta_5358485.html</t>
  </si>
  <si>
    <t>18.08.2021</t>
  </si>
  <si>
    <t>2139160</t>
  </si>
  <si>
    <t>24772158</t>
  </si>
  <si>
    <t>Global Food Hygiene</t>
  </si>
  <si>
    <t>https://www.praca.pl/key-account-manager_5440799.html</t>
  </si>
  <si>
    <t>2140003</t>
  </si>
  <si>
    <t>25509375</t>
  </si>
  <si>
    <t>https://www.praca.pl/specjalista-ds-handlowych_5448398.html</t>
  </si>
  <si>
    <t>2139618</t>
  </si>
  <si>
    <t>25508983</t>
  </si>
  <si>
    <t>Grupa Geis</t>
  </si>
  <si>
    <t>Asystent Dyspozytora Drobnicy Krajowej</t>
  </si>
  <si>
    <t>Pracownik sortowania przesyłek i towarów</t>
  </si>
  <si>
    <t>https://www.goldenline.pl/praca/oferta/1282578/zielonalinia0?utm_campaign=partner&amp;gpid=992296&amp;utm_medium=export&amp;glc_source=zielonalinia0&amp;utm_source=zielonalinia0</t>
  </si>
  <si>
    <t>2142417</t>
  </si>
  <si>
    <t>25560208</t>
  </si>
  <si>
    <t>RPd057|432105</t>
  </si>
  <si>
    <t>Mistrz produkcji w budownictwie przemysłowym</t>
  </si>
  <si>
    <t>https://www.pracuj.pl/praca/mistrz-jedlicze,oferta,1001151984</t>
  </si>
  <si>
    <t>2147172</t>
  </si>
  <si>
    <t>25565041</t>
  </si>
  <si>
    <t>1807</t>
  </si>
  <si>
    <t>RPd057|312305</t>
  </si>
  <si>
    <t>GRUPA KAPITAŁOWA SPECJAŁ</t>
  </si>
  <si>
    <t>https://www.pracuj.pl/praca/kupiec-rzeszow,oferta,1001151237</t>
  </si>
  <si>
    <t>2146504</t>
  </si>
  <si>
    <t>25564373</t>
  </si>
  <si>
    <t>HCL Poland Sp. z o.o.</t>
  </si>
  <si>
    <t>IT Analyst with German &amp; English</t>
  </si>
  <si>
    <t>https://www.praca.pl/it-analyst-with-german-english_5446703.html</t>
  </si>
  <si>
    <t>2139889</t>
  </si>
  <si>
    <t>25509260</t>
  </si>
  <si>
    <t>Technical Support Agent with French &amp; English</t>
  </si>
  <si>
    <t>https://www.praca.pl/technical-support-agent-with-french-english_5446772.html</t>
  </si>
  <si>
    <t>2139857</t>
  </si>
  <si>
    <t>25509228</t>
  </si>
  <si>
    <t>Inżynier Sprzedaży (m/k)</t>
  </si>
  <si>
    <t>https://www.pracuj.pl/praca/inzynier-sprzedazy-m-k-podkarpackie,oferta,8326748</t>
  </si>
  <si>
    <t>2144831</t>
  </si>
  <si>
    <t>25562700</t>
  </si>
  <si>
    <t>Prowadzący Linię Produkcyjną</t>
  </si>
  <si>
    <t>https://www.pracuj.pl/praca/prowadzacy-linie-produkcyjna-zawada-pow-debicki,oferta,1001151045</t>
  </si>
  <si>
    <t>2146325</t>
  </si>
  <si>
    <t>25564194</t>
  </si>
  <si>
    <t>https://www.praca.pl/serwisant_5449070.html</t>
  </si>
  <si>
    <t>2139495</t>
  </si>
  <si>
    <t>25508856</t>
  </si>
  <si>
    <t>INSTALATOR sp. z o.o. SPÓŁKA KOMANDYTOWA</t>
  </si>
  <si>
    <t>https://www.pracuj.pl/praca/handlowiec-krosno,oferta,1001151817</t>
  </si>
  <si>
    <t>2147025</t>
  </si>
  <si>
    <t>25564894</t>
  </si>
  <si>
    <t>InterKadra Sp. z o.o.</t>
  </si>
  <si>
    <t>https://www.goldenline.pl/praca/oferta/1283458/zielonalinia0?utm_campaign=partner&amp;gpid=993176&amp;utm_medium=export&amp;glc_source=zielonalinia0&amp;utm_source=zielonalinia0</t>
  </si>
  <si>
    <t>25.08.2021 04:36</t>
  </si>
  <si>
    <t>06.08.2021</t>
  </si>
  <si>
    <t>2140575</t>
  </si>
  <si>
    <t>25558366</t>
  </si>
  <si>
    <t>1820</t>
  </si>
  <si>
    <t>INVO SYSTEM sp. z o.o.</t>
  </si>
  <si>
    <t>Konsultant ds. Obsługi Klienta</t>
  </si>
  <si>
    <t>Specjalista do spraw konsultingu</t>
  </si>
  <si>
    <t>https://www.pracuj.pl/praca/konsultant-ds-obslugi-klienta-podkarpackie,oferta,500134974</t>
  </si>
  <si>
    <t>2145132</t>
  </si>
  <si>
    <t>25563001</t>
  </si>
  <si>
    <t>RPd057|242107</t>
  </si>
  <si>
    <t>IT CONNECT Sp. z o.o.</t>
  </si>
  <si>
    <t>https://www.praca.pl/business-analyst_5448170.html</t>
  </si>
  <si>
    <t>2139701</t>
  </si>
  <si>
    <t>25509068</t>
  </si>
  <si>
    <t>https://www.praca.pl/program-manager_5448464.html</t>
  </si>
  <si>
    <t>2139628</t>
  </si>
  <si>
    <t>25508993</t>
  </si>
  <si>
    <t>Job Impulse</t>
  </si>
  <si>
    <t>Specjalista ds. pracy tymczasowej</t>
  </si>
  <si>
    <t>Pracownik agencji pracy tymczasowej</t>
  </si>
  <si>
    <t>https://www.goldenline.pl/praca/oferta/1284548/zielonalinia0?utm_campaign=partner&amp;gpid=994276&amp;utm_medium=export&amp;glc_source=zielonalinia0&amp;utm_source=zielonalinia0</t>
  </si>
  <si>
    <t>30.07.2021</t>
  </si>
  <si>
    <t>2143209</t>
  </si>
  <si>
    <t>25561000</t>
  </si>
  <si>
    <t>RPd057|333302</t>
  </si>
  <si>
    <t>Job Impulse Polska Sp. z o.o.</t>
  </si>
  <si>
    <t>Polska, podkarpackie, Głogów Małopolski - Rogoźnica</t>
  </si>
  <si>
    <t>https://www.goldenline.pl/praca/oferta/1290770/zielonalinia0?utm_campaign=partner&amp;gpid=1000678&amp;utm_medium=export&amp;glc_source=zielonalinia0&amp;utm_source=zielonalinia0</t>
  </si>
  <si>
    <t>28.09.2021</t>
  </si>
  <si>
    <t>2143396</t>
  </si>
  <si>
    <t>25561187</t>
  </si>
  <si>
    <t>Pracownik produkcji - małe AGD</t>
  </si>
  <si>
    <t>Monter elektrycznego sprzętu gospodarstwa domowego</t>
  </si>
  <si>
    <t>https://www.goldenline.pl/praca/oferta/1290758/zielonalinia0?utm_campaign=partner&amp;gpid=1000664&amp;utm_medium=export&amp;glc_source=zielonalinia0&amp;utm_source=zielonalinia0</t>
  </si>
  <si>
    <t>2142293</t>
  </si>
  <si>
    <t>25560084</t>
  </si>
  <si>
    <t>RPd057|821202</t>
  </si>
  <si>
    <t>KBJ/Softy Labs/Albit Software/Roemer&amp;Szczepkowski</t>
  </si>
  <si>
    <t>https://www.goldenline.pl/praca/oferta/1285428/zielonalinia0?utm_campaign=partner&amp;gpid=995192&amp;utm_medium=export&amp;glc_source=zielonalinia0&amp;utm_source=zielonalinia0</t>
  </si>
  <si>
    <t>03.08.2021</t>
  </si>
  <si>
    <t>07.09.2021</t>
  </si>
  <si>
    <t>2142162</t>
  </si>
  <si>
    <t>25559953</t>
  </si>
  <si>
    <t>https://www.goldenline.pl/praca/oferta/1285386/zielonalinia0?utm_campaign=partner&amp;gpid=995150&amp;utm_medium=export&amp;glc_source=zielonalinia0&amp;utm_source=zielonalinia0</t>
  </si>
  <si>
    <t>2143096</t>
  </si>
  <si>
    <t>25560887</t>
  </si>
  <si>
    <t>PHP Developer / PHP Architekt</t>
  </si>
  <si>
    <t>https://www.goldenline.pl/praca/oferta/1288264/zielonalinia0?utm_campaign=partner&amp;gpid=998030&amp;utm_medium=export&amp;glc_source=zielonalinia0&amp;utm_source=zielonalinia0</t>
  </si>
  <si>
    <t>13.08.2021</t>
  </si>
  <si>
    <t>2143457</t>
  </si>
  <si>
    <t>25561248</t>
  </si>
  <si>
    <t>KNOWABLE</t>
  </si>
  <si>
    <t>Contract Specialist with French</t>
  </si>
  <si>
    <t>https://www.pracuj.pl/praca/contract-specialist-with-french-subcarpathia,oferta,8326157</t>
  </si>
  <si>
    <t>2144667</t>
  </si>
  <si>
    <t>25562536</t>
  </si>
  <si>
    <t>0</t>
  </si>
  <si>
    <t>Legal Contract Analyst with French</t>
  </si>
  <si>
    <t>https://www.pracuj.pl/praca/legal-contract-analyst-with-french-subcarpathia,oferta,8326139</t>
  </si>
  <si>
    <t>2144652</t>
  </si>
  <si>
    <t>25562521</t>
  </si>
  <si>
    <t>Kolporter Sp. z o.o.</t>
  </si>
  <si>
    <t>Partner ds. Sprzedaży w Saloniku Kolporter w Sędziszowie Małopolskim</t>
  </si>
  <si>
    <t>Pozostali specjaliści do spraw sprzedaży (z wyłączeniem technologii informacyjno-komunikacyjnych)</t>
  </si>
  <si>
    <t>https://www.goldenline.pl/praca/oferta/1288340/zielonalinia0?utm_campaign=partner&amp;gpid=998108&amp;utm_medium=export&amp;glc_source=zielonalinia0&amp;utm_source=zielonalinia0</t>
  </si>
  <si>
    <t>15.08.2021</t>
  </si>
  <si>
    <t>19.09.2021</t>
  </si>
  <si>
    <t>2141951</t>
  </si>
  <si>
    <t>25559742</t>
  </si>
  <si>
    <t>RPd057|243390</t>
  </si>
  <si>
    <t>Specjalista ds. zakupów oraz ofertowania (hurtownie elektrotechniczne)</t>
  </si>
  <si>
    <t>https://www.pracuj.pl/praca/specjalista-ds-zakupow-oraz-ofertowania-hurtownie-elektrotechniczne-rzeszow,oferta,1001152287</t>
  </si>
  <si>
    <t>2147456</t>
  </si>
  <si>
    <t>25565325</t>
  </si>
  <si>
    <t>Operator Maszyn w Mielcu - praca od zaraz!</t>
  </si>
  <si>
    <t>https://www.goldenline.pl/praca/oferta/1283152/zielonalinia0?utm_campaign=partner&amp;gpid=992870&amp;utm_medium=export&amp;glc_source=zielonalinia0&amp;utm_source=zielonalinia0</t>
  </si>
  <si>
    <t>27.07.2021</t>
  </si>
  <si>
    <t>30.08.2021</t>
  </si>
  <si>
    <t>2143825</t>
  </si>
  <si>
    <t>25561616</t>
  </si>
  <si>
    <t>Pracownik biurowy z językiem niemieckim i angielskim</t>
  </si>
  <si>
    <t>https://www.praca.pl/pracownik-biurowy-z-jezykiem-niemieckim-i-angielskim_5449550.html</t>
  </si>
  <si>
    <t>2139462</t>
  </si>
  <si>
    <t>25508816</t>
  </si>
  <si>
    <t>1805</t>
  </si>
  <si>
    <t>Pracownik Sklepu - etat 87h lub 130h</t>
  </si>
  <si>
    <t>https://www.pracuj.pl/praca/pracownik-sklepu-etat-87h-lub-130h-glogow-malopolski,oferta,1001150755</t>
  </si>
  <si>
    <t>06.09.2021</t>
  </si>
  <si>
    <t>2146068</t>
  </si>
  <si>
    <t>25563937</t>
  </si>
  <si>
    <t>https://www.pracuj.pl/praca/pracownik-sklepu-etat-87h-lub-130h-sedziszow-malopolski,oferta,1001150756</t>
  </si>
  <si>
    <t>2146069</t>
  </si>
  <si>
    <t>25563938</t>
  </si>
  <si>
    <t>Doradca ds. Techniczno-Handlowych</t>
  </si>
  <si>
    <t>https://www.pracuj.pl/praca/doradca-ds-techniczno-handlowych-podkarpackie,oferta,8326015</t>
  </si>
  <si>
    <t>2144623</t>
  </si>
  <si>
    <t>25562492</t>
  </si>
  <si>
    <t>Linetech S.A.</t>
  </si>
  <si>
    <t>Inżynier Obsługi Technicznej</t>
  </si>
  <si>
    <t>22.10.2021</t>
  </si>
  <si>
    <t>https://www.pracuj.pl/praca/inzynier-obslugi-technicznej-jasionka-pow-rzeszowski,oferta,1001150705</t>
  </si>
  <si>
    <t>2146021</t>
  </si>
  <si>
    <t>25563890</t>
  </si>
  <si>
    <t>Link Tools Polska Sp. z o.o.</t>
  </si>
  <si>
    <t>https://www.pracuj.pl/praca/doradca-techniczno-handlowy-podkarpackie,oferta,500135118</t>
  </si>
  <si>
    <t>2145275</t>
  </si>
  <si>
    <t>25563144</t>
  </si>
  <si>
    <t>Locotranssped Sp. Z O.O.</t>
  </si>
  <si>
    <t>Business Development Director / Dyrektor ds. Rozwoju</t>
  </si>
  <si>
    <t>https://www.praca.pl/business-development-director-dyrektor-ds-rozwoju_5448599.html</t>
  </si>
  <si>
    <t>2139590</t>
  </si>
  <si>
    <t>25508953</t>
  </si>
  <si>
    <t>LPP S.A.</t>
  </si>
  <si>
    <t>Sprzedawca / House / Galeria Rzeszów / Rzeszów</t>
  </si>
  <si>
    <t>https://www.goldenline.pl/praca/oferta/1287154/zielonalinia0?utm_campaign=partner&amp;gpid=996902&amp;utm_medium=export&amp;glc_source=zielonalinia0&amp;utm_source=zielonalinia0</t>
  </si>
  <si>
    <t>10.08.2021</t>
  </si>
  <si>
    <t>2140825</t>
  </si>
  <si>
    <t>25558616</t>
  </si>
  <si>
    <t>Sprzedawca / Mohito / VIVO! Stalowa Wola / Stalowa Wola</t>
  </si>
  <si>
    <t>https://www.goldenline.pl/praca/oferta/1289752/zielonalinia0?utm_campaign=partner&amp;gpid=999622&amp;utm_medium=export&amp;glc_source=zielonalinia0&amp;utm_source=zielonalinia0</t>
  </si>
  <si>
    <t>2140432</t>
  </si>
  <si>
    <t>25558223</t>
  </si>
  <si>
    <t>1818</t>
  </si>
  <si>
    <t>Dyrektor tartaku</t>
  </si>
  <si>
    <t>https://www.pracuj.pl/praca/dyrektor-tartaku-lukawica-pow-leski,oferta,1001151242</t>
  </si>
  <si>
    <t>2146509</t>
  </si>
  <si>
    <t>25564378</t>
  </si>
  <si>
    <t>MAXI ZOO</t>
  </si>
  <si>
    <t>https://www.pracuj.pl/praca/kierownik-sklepu-rzeszow,oferta,1001150492</t>
  </si>
  <si>
    <t>2145840</t>
  </si>
  <si>
    <t>25563709</t>
  </si>
  <si>
    <t>Specjalista ds. sprzedaży produktów bankowych dla firm</t>
  </si>
  <si>
    <t>https://www.praca.pl/specjalista-ds-sprzedazy-produktow-bankowych-dla-firm_5450630.html</t>
  </si>
  <si>
    <t>2139307</t>
  </si>
  <si>
    <t>25508655</t>
  </si>
  <si>
    <t>Lekarz Ginekolog</t>
  </si>
  <si>
    <t>Lekarz - specjalista położnictwa i ginekologii</t>
  </si>
  <si>
    <t>https://www.praca.pl/lekarz-ginekolog_5448050.html</t>
  </si>
  <si>
    <t>2139674</t>
  </si>
  <si>
    <t>25509041</t>
  </si>
  <si>
    <t>RPd057|221255</t>
  </si>
  <si>
    <t>https://www.praca.pl/magazynier_5447114.html</t>
  </si>
  <si>
    <t>2139795</t>
  </si>
  <si>
    <t>25509164</t>
  </si>
  <si>
    <t>Sprzedawca - dział chemii budowlanej</t>
  </si>
  <si>
    <t>https://www.praca.pl/sprzedawca-dzial-chemii-budowlanej_5447117.html</t>
  </si>
  <si>
    <t>2139796</t>
  </si>
  <si>
    <t>25509165</t>
  </si>
  <si>
    <t>Kierownik Projektów Inwestycyjnych</t>
  </si>
  <si>
    <t>Polska, podkarpackie, Polska</t>
  </si>
  <si>
    <t>https://www.goldenline.pl/praca/oferta/1286830/zielonalinia0?utm_campaign=partner&amp;gpid=996580&amp;utm_medium=export&amp;glc_source=zielonalinia0&amp;utm_source=zielonalinia0</t>
  </si>
  <si>
    <t>2141357</t>
  </si>
  <si>
    <t>25559148</t>
  </si>
  <si>
    <t>Niezapominajka Sp. z o. o. Sp. k.</t>
  </si>
  <si>
    <t>https://www.goldenline.pl/praca/oferta/1283320/zielonalinia0?utm_campaign=partner&amp;gpid=993038&amp;utm_medium=export&amp;glc_source=zielonalinia0&amp;utm_source=zielonalinia0</t>
  </si>
  <si>
    <t>16.08.2021</t>
  </si>
  <si>
    <t>2144198</t>
  </si>
  <si>
    <t>25561989</t>
  </si>
  <si>
    <t>NMS Recruitment</t>
  </si>
  <si>
    <t>Lektor Języka Angielskiego</t>
  </si>
  <si>
    <t>https://www.pracuj.pl/praca/lektor-jezyka-angielskiego-rzeszow,oferta,1001152040</t>
  </si>
  <si>
    <t>2147226</t>
  </si>
  <si>
    <t>25565095</t>
  </si>
  <si>
    <t>Architect, Specification Engineer  [rekrutacja online]</t>
  </si>
  <si>
    <t>https://www.praca.pl/architect,specification-engineer-rekrutacja-online_5444888.html</t>
  </si>
  <si>
    <t>2140168</t>
  </si>
  <si>
    <t>25509548</t>
  </si>
  <si>
    <t>Customer and System Engineering  [rekrutacja online]</t>
  </si>
  <si>
    <t>https://www.praca.pl/customer-and-system-engineering-rekrutacja-online_5449949.html</t>
  </si>
  <si>
    <t>2139341</t>
  </si>
  <si>
    <t>25508690</t>
  </si>
  <si>
    <t>Data Analyst [rekrutacja online]</t>
  </si>
  <si>
    <t>https://www.praca.pl/data-analyst-rekrutacja-online_5436812.html</t>
  </si>
  <si>
    <t>2139924</t>
  </si>
  <si>
    <t>25509296</t>
  </si>
  <si>
    <t>https://www.pracuj.pl/praca/product-manager-subcarpathia,oferta,8327828</t>
  </si>
  <si>
    <t>2145094</t>
  </si>
  <si>
    <t>25562963</t>
  </si>
  <si>
    <t>R&amp;D Engineer, Lab Support  [rekrutacja online]</t>
  </si>
  <si>
    <t>https://www.praca.pl/r-d-engineer,lab-support-rekrutacja-online_5450042.html</t>
  </si>
  <si>
    <t>2139357</t>
  </si>
  <si>
    <t>25508706</t>
  </si>
  <si>
    <t>https://www.praca.pl/devops-engineer-with-azure_5363678.html</t>
  </si>
  <si>
    <t>11.09.2021</t>
  </si>
  <si>
    <t>2139176</t>
  </si>
  <si>
    <t>24832890</t>
  </si>
  <si>
    <t>Objectivity sp. z o.o.</t>
  </si>
  <si>
    <t>Fullstack Developer (Java with Angular)</t>
  </si>
  <si>
    <t>https://www.pracuj.pl/praca/fullstack-developer-java-with-angular-subcarpathia,oferta,8325895</t>
  </si>
  <si>
    <t>2144592</t>
  </si>
  <si>
    <t>25562461</t>
  </si>
  <si>
    <t>https://www.praca.pl/software-engineer-sql_5367134.html</t>
  </si>
  <si>
    <t>2139194</t>
  </si>
  <si>
    <t>24833223</t>
  </si>
  <si>
    <t>OLIMP LABS SP. Z O.O.</t>
  </si>
  <si>
    <t>Kierownik Zakładu Produkcji Leków i Suplementów Diety</t>
  </si>
  <si>
    <t>https://www.pracuj.pl/praca/kierownik-zakladu-produkcji-lekow-i-suplementow-diety-nagawczyna-pow-debicki,oferta,1001151258</t>
  </si>
  <si>
    <t>2146523</t>
  </si>
  <si>
    <t>25564392</t>
  </si>
  <si>
    <t>ORIGEN Sp. z o.o. Sp. k.</t>
  </si>
  <si>
    <t>Konsultant telefoniczny</t>
  </si>
  <si>
    <t>Polska, podkarpackie, Miejscowość Dowolna</t>
  </si>
  <si>
    <t>https://www.goldenline.pl/praca/oferta/1290488/zielonalinia0?utm_campaign=partner&amp;gpid=1000370&amp;utm_medium=export&amp;glc_source=zielonalinia0&amp;utm_source=zielonalinia0</t>
  </si>
  <si>
    <t>2144049</t>
  </si>
  <si>
    <t>25561840</t>
  </si>
  <si>
    <t>Konsultant/ka ds. obsługi klienta - praca zdalna</t>
  </si>
  <si>
    <t>Polska, podkarpackie, Miejscowość dowolna - Praca zdalna</t>
  </si>
  <si>
    <t>https://www.goldenline.pl/praca/oferta/1290524/zielonalinia0?utm_campaign=partner&amp;gpid=1000408&amp;utm_medium=export&amp;glc_source=zielonalinia0&amp;utm_source=zielonalinia0</t>
  </si>
  <si>
    <t>2140464</t>
  </si>
  <si>
    <t>25558255</t>
  </si>
  <si>
    <t>PBO - CONSTRUCTION SP. Z O.O. SP.K.</t>
  </si>
  <si>
    <t>Szpachlarz - kosmetyk prefabrykowanych elementów betonowych</t>
  </si>
  <si>
    <t>Szpachlarz</t>
  </si>
  <si>
    <t>https://www.pracuj.pl/praca/szpachlarz-kosmetyk-prefabrykowanych-elementow-betonowych-podkarpackie,oferta,8325568</t>
  </si>
  <si>
    <t>2144479</t>
  </si>
  <si>
    <t>25562348</t>
  </si>
  <si>
    <t>RPd057|713104</t>
  </si>
  <si>
    <t>https://www.pracuj.pl/praca/magazynier-rzeszow,oferta,1001151545</t>
  </si>
  <si>
    <t>2146772</t>
  </si>
  <si>
    <t>25564641</t>
  </si>
  <si>
    <t>PFLEGETEAM GROUP SPÓŁKA Z OGRANICZONĄ ODPOWIEDZIALNOŚCIĄ SPÓŁKA KOMANDYTOWA</t>
  </si>
  <si>
    <t>Koordynator kontraktów - branża opiekuńcza</t>
  </si>
  <si>
    <t>https://www.pracuj.pl/praca/koordynator-kontraktow-branza-opiekuncza-podkarpackie,oferta,8326332</t>
  </si>
  <si>
    <t>2144706</t>
  </si>
  <si>
    <t>25562575</t>
  </si>
  <si>
    <t>Rekruter - branża opiekuńcza</t>
  </si>
  <si>
    <t>https://www.pracuj.pl/praca/rekruter-branza-opiekuncza-podkarpackie,oferta,8326710</t>
  </si>
  <si>
    <t>2144807</t>
  </si>
  <si>
    <t>25562676</t>
  </si>
  <si>
    <t>PGA Team sp. z o.o.</t>
  </si>
  <si>
    <t>Monter GSM/BTS - Alpinista Przemysłowy</t>
  </si>
  <si>
    <t>Alpinista przemysłowy</t>
  </si>
  <si>
    <t>https://www.praca.pl/monter-gsm-bts-alpinista-przemyslowy_5447243.html</t>
  </si>
  <si>
    <t>2139767</t>
  </si>
  <si>
    <t>25509136</t>
  </si>
  <si>
    <t>RPd057|713301</t>
  </si>
  <si>
    <t>Specjalista ds. kontrolingu</t>
  </si>
  <si>
    <t>https://www.praca.pl/specjalista-ds-kontrolingu_5450195.html</t>
  </si>
  <si>
    <t>2139335</t>
  </si>
  <si>
    <t>25508683</t>
  </si>
  <si>
    <t>"POŁONINY-KURORT" sp. z o.o.</t>
  </si>
  <si>
    <t>Kucharz - Caryńska Resort&amp;Spa</t>
  </si>
  <si>
    <t>Polska, podkarpackie, Dwernik (pow. bieszczadzki)</t>
  </si>
  <si>
    <t>https://www.pracuj.pl/praca/kucharz-carynska-resort-spa-dwernik-pow-bieszczadzki,oferta,500135021</t>
  </si>
  <si>
    <t>2145178</t>
  </si>
  <si>
    <t>25563047</t>
  </si>
  <si>
    <t>1801</t>
  </si>
  <si>
    <t>Kucharz - White Sails Solina</t>
  </si>
  <si>
    <t>https://www.pracuj.pl/praca/kucharz-white-sails-solina-solina-pow-leski,oferta,500135017</t>
  </si>
  <si>
    <t>2145174</t>
  </si>
  <si>
    <t>25563043</t>
  </si>
  <si>
    <t>Powiatowy Inspektorat Weterynarii w Leżajsku</t>
  </si>
  <si>
    <t>https://www.praca.pl/inspektor-weterynaryjny_5444516.html</t>
  </si>
  <si>
    <t>2140207</t>
  </si>
  <si>
    <t>25509590</t>
  </si>
  <si>
    <t>PPHU Specjał Sp. z o.o.</t>
  </si>
  <si>
    <t>Agencja ochrony</t>
  </si>
  <si>
    <t>https://www.goldenline.pl/praca/oferta/1289796/zielonalinia0?utm_campaign=partner&amp;gpid=999670&amp;utm_medium=export&amp;glc_source=zielonalinia0&amp;utm_source=zielonalinia0</t>
  </si>
  <si>
    <t>24.09.2021</t>
  </si>
  <si>
    <t>2142820</t>
  </si>
  <si>
    <t>25560611</t>
  </si>
  <si>
    <t>https://www.goldenline.pl/praca/oferta/1287774/zielonalinia0?utm_campaign=partner&amp;gpid=997570&amp;utm_medium=export&amp;glc_source=zielonalinia0&amp;utm_source=zielonalinia0</t>
  </si>
  <si>
    <t>2143091</t>
  </si>
  <si>
    <t>25560882</t>
  </si>
  <si>
    <t>Kierowca kategorii C</t>
  </si>
  <si>
    <t>https://www.goldenline.pl/praca/oferta/1286986/zielonalinia0?utm_campaign=partner&amp;gpid=996736&amp;utm_medium=export&amp;glc_source=zielonalinia0&amp;utm_source=zielonalinia0</t>
  </si>
  <si>
    <t>2142077</t>
  </si>
  <si>
    <t>25559868</t>
  </si>
  <si>
    <t>Kierownik/Lider lady mięsnej - Rzeszów</t>
  </si>
  <si>
    <t>https://www.goldenline.pl/praca/oferta/1286978/zielonalinia0?utm_campaign=partner&amp;gpid=996728&amp;utm_medium=export&amp;glc_source=zielonalinia0&amp;utm_source=zielonalinia0</t>
  </si>
  <si>
    <t>2142694</t>
  </si>
  <si>
    <t>25560485</t>
  </si>
  <si>
    <t>https://www.goldenline.pl/praca/oferta/1290104/zielonalinia0?utm_campaign=partner&amp;gpid=1000000&amp;utm_medium=export&amp;glc_source=zielonalinia0&amp;utm_source=zielonalinia0</t>
  </si>
  <si>
    <t>2143183</t>
  </si>
  <si>
    <t>25560974</t>
  </si>
  <si>
    <t>Magazynier Rzeszów</t>
  </si>
  <si>
    <t>https://www.goldenline.pl/praca/oferta/1287120/zielonalinia0?utm_campaign=partner&amp;gpid=996868&amp;utm_medium=export&amp;glc_source=zielonalinia0&amp;utm_source=zielonalinia0</t>
  </si>
  <si>
    <t>2140644</t>
  </si>
  <si>
    <t>25558435</t>
  </si>
  <si>
    <t>Operator wózka widłowego - Rzeszów</t>
  </si>
  <si>
    <t>https://www.goldenline.pl/praca/oferta/1286936/zielonalinia0?utm_campaign=partner&amp;gpid=996684&amp;utm_medium=export&amp;glc_source=zielonalinia0&amp;utm_source=zielonalinia0</t>
  </si>
  <si>
    <t>2141140</t>
  </si>
  <si>
    <t>25558931</t>
  </si>
  <si>
    <t>Operator Załadunku - Rzeszów</t>
  </si>
  <si>
    <t>https://www.goldenline.pl/praca/oferta/1286806/zielonalinia0?utm_campaign=partner&amp;gpid=996554&amp;utm_medium=export&amp;glc_source=zielonalinia0&amp;utm_source=zielonalinia0</t>
  </si>
  <si>
    <t>2141148</t>
  </si>
  <si>
    <t>25558939</t>
  </si>
  <si>
    <t>Personel sprzątający</t>
  </si>
  <si>
    <t>https://www.goldenline.pl/praca/oferta/1289820/zielonalinia0?utm_campaign=partner&amp;gpid=999700&amp;utm_medium=export&amp;glc_source=zielonalinia0&amp;utm_source=zielonalinia0</t>
  </si>
  <si>
    <t>2141055</t>
  </si>
  <si>
    <t>25558846</t>
  </si>
  <si>
    <t>https://www.goldenline.pl/praca/oferta/1289790/zielonalinia0?utm_campaign=partner&amp;gpid=999664&amp;utm_medium=export&amp;glc_source=zielonalinia0&amp;utm_source=zielonalinia0</t>
  </si>
  <si>
    <t>2143632</t>
  </si>
  <si>
    <t>25561423</t>
  </si>
  <si>
    <t>Personel Sprzątający Rogoźnica</t>
  </si>
  <si>
    <t>https://www.goldenline.pl/praca/oferta/1289810/zielonalinia0?utm_campaign=partner&amp;gpid=999688&amp;utm_medium=export&amp;glc_source=zielonalinia0&amp;utm_source=zielonalinia0</t>
  </si>
  <si>
    <t>2142044</t>
  </si>
  <si>
    <t>25559835</t>
  </si>
  <si>
    <t>Pomocnik kierowcy</t>
  </si>
  <si>
    <t>https://www.goldenline.pl/praca/oferta/1286930/zielonalinia0?utm_campaign=partner&amp;gpid=996678&amp;utm_medium=export&amp;glc_source=zielonalinia0&amp;utm_source=zielonalinia0</t>
  </si>
  <si>
    <t>2143432</t>
  </si>
  <si>
    <t>25561223</t>
  </si>
  <si>
    <t>Przedstawiciel handlowy ds detalu</t>
  </si>
  <si>
    <t>https://www.goldenline.pl/praca/oferta/1285654/zielonalinia0?utm_campaign=partner&amp;gpid=995410&amp;utm_medium=export&amp;glc_source=zielonalinia0&amp;utm_source=zielonalinia0</t>
  </si>
  <si>
    <t>04.08.2021</t>
  </si>
  <si>
    <t>2140682</t>
  </si>
  <si>
    <t>25558473</t>
  </si>
  <si>
    <t>Przedstawiciel handlowy ds. rozwoju sieci franczyzowej</t>
  </si>
  <si>
    <t>https://www.goldenline.pl/praca/oferta/1290586/zielonalinia0?utm_campaign=partner&amp;gpid=1000474&amp;utm_medium=export&amp;glc_source=zielonalinia0&amp;utm_source=zielonalinia0</t>
  </si>
  <si>
    <t>2143858</t>
  </si>
  <si>
    <t>25561649</t>
  </si>
  <si>
    <t>Specjalista ds. Rekrutacji</t>
  </si>
  <si>
    <t>https://www.goldenline.pl/praca/oferta/1283782/zielonalinia0?utm_campaign=partner&amp;gpid=993506&amp;utm_medium=export&amp;glc_source=zielonalinia0&amp;utm_source=zielonalinia0</t>
  </si>
  <si>
    <t>2143013</t>
  </si>
  <si>
    <t>25560804</t>
  </si>
  <si>
    <t>https://www.pracuj.pl/praca/elektronik-rzeszow,oferta,1001150500</t>
  </si>
  <si>
    <t>2145847</t>
  </si>
  <si>
    <t>25563716</t>
  </si>
  <si>
    <t>PROJEKT-SOLARTECHNIK GROUP SPÓŁKA Z OGRANICZONĄ ODPOWIEDZIALNOŚCIĄ</t>
  </si>
  <si>
    <t>Serwisant instalacji fotowoltaicznych</t>
  </si>
  <si>
    <t>Technik urządzeń i systemów energetyki odnawialnej*</t>
  </si>
  <si>
    <t>https://www.pracuj.pl/praca/serwisant-instalacji-fotowoltaicznych-podkarpackie,oferta,8325312</t>
  </si>
  <si>
    <t>2144394</t>
  </si>
  <si>
    <t>25562263</t>
  </si>
  <si>
    <t>"PRUSZYŃSKI" sp. z o.o.</t>
  </si>
  <si>
    <t>Przedstawiciel handlowy – Sprzedawca</t>
  </si>
  <si>
    <t>https://www.pracuj.pl/praca/przedstawiciel-handlowy-sprzedawca-podkarpackie,oferta,8326408</t>
  </si>
  <si>
    <t>2144726</t>
  </si>
  <si>
    <t>25562595</t>
  </si>
  <si>
    <t>Przedsiębiorstwo Przewozu Towarów PKS Gdańsk-Oliwa S.A.</t>
  </si>
  <si>
    <t>https://www.pracuj.pl/praca/spedytor-podkarpackie,oferta,8327183</t>
  </si>
  <si>
    <t>2144963</t>
  </si>
  <si>
    <t>25562832</t>
  </si>
  <si>
    <t>PSH Nasz Sklep S.A.</t>
  </si>
  <si>
    <t>Ajent/Prowadzący sklep</t>
  </si>
  <si>
    <t>https://www.goldenline.pl/praca/oferta/1284298/zielonalinia0?utm_campaign=partner&amp;gpid=994026&amp;utm_medium=export&amp;glc_source=zielonalinia0&amp;utm_source=zielonalinia0</t>
  </si>
  <si>
    <t>05.08.2021</t>
  </si>
  <si>
    <t>2144005</t>
  </si>
  <si>
    <t>25561796</t>
  </si>
  <si>
    <t>Kasjer / Sprzedawca - Rzeszów</t>
  </si>
  <si>
    <t>https://www.goldenline.pl/praca/oferta/1290686/zielonalinia0?utm_campaign=partner&amp;gpid=1000590&amp;utm_medium=export&amp;glc_source=zielonalinia0&amp;utm_source=zielonalinia0</t>
  </si>
  <si>
    <t>2141785</t>
  </si>
  <si>
    <t>25559576</t>
  </si>
  <si>
    <t>https://www.goldenline.pl/praca/oferta/1283086/zielonalinia0?utm_campaign=partner&amp;gpid=992804&amp;utm_medium=export&amp;glc_source=zielonalinia0&amp;utm_source=zielonalinia0</t>
  </si>
  <si>
    <t>26.07.2021</t>
  </si>
  <si>
    <t>2143378</t>
  </si>
  <si>
    <t>25561169</t>
  </si>
  <si>
    <t>Kasjer/Sprzedawca Delikatesy Sezam - Tarnobrzeg</t>
  </si>
  <si>
    <t>https://www.goldenline.pl/praca/oferta/1283784/zielonalinia0?utm_campaign=partner&amp;gpid=993508&amp;utm_medium=export&amp;glc_source=zielonalinia0&amp;utm_source=zielonalinia0</t>
  </si>
  <si>
    <t>2141290</t>
  </si>
  <si>
    <t>25559081</t>
  </si>
  <si>
    <t>Kasjer/Sprzedawca w sklepie LIVIO - Trzebownisko</t>
  </si>
  <si>
    <t>Polska, podkarpackie, Trzebownisko</t>
  </si>
  <si>
    <t>https://www.goldenline.pl/praca/oferta/1290112/zielonalinia0?utm_campaign=partner&amp;gpid=1000012&amp;utm_medium=export&amp;glc_source=zielonalinia0&amp;utm_source=zielonalinia0</t>
  </si>
  <si>
    <t>2141545</t>
  </si>
  <si>
    <t>25559336</t>
  </si>
  <si>
    <t>Kasjer/Sprzedawca w sklepie spożywczym - Trzebownisko</t>
  </si>
  <si>
    <t>https://www.goldenline.pl/praca/oferta/1285340/zielonalinia0?utm_campaign=partner&amp;gpid=995100&amp;utm_medium=export&amp;glc_source=zielonalinia0&amp;utm_source=zielonalinia0</t>
  </si>
  <si>
    <t>2142990</t>
  </si>
  <si>
    <t>25560781</t>
  </si>
  <si>
    <t>Kierownik Sklepu - Rzeszów</t>
  </si>
  <si>
    <t>https://www.goldenline.pl/praca/oferta/1290106/zielonalinia0?utm_campaign=partner&amp;gpid=1000004&amp;utm_medium=export&amp;glc_source=zielonalinia0&amp;utm_source=zielonalinia0</t>
  </si>
  <si>
    <t>2142580</t>
  </si>
  <si>
    <t>25560371</t>
  </si>
  <si>
    <t>Pracownik lady mięso-wędliny - Rzeszów</t>
  </si>
  <si>
    <t>https://www.goldenline.pl/praca/oferta/1285290/zielonalinia0?utm_campaign=partner&amp;gpid=995040&amp;utm_medium=export&amp;glc_source=zielonalinia0&amp;utm_source=zielonalinia0</t>
  </si>
  <si>
    <t>2143821</t>
  </si>
  <si>
    <t>25561612</t>
  </si>
  <si>
    <t>Trener Stoisk Świeżych</t>
  </si>
  <si>
    <t>https://www.goldenline.pl/praca/oferta/1284296/zielonalinia0?utm_campaign=partner&amp;gpid=994024&amp;utm_medium=export&amp;glc_source=zielonalinia0&amp;utm_source=zielonalinia0</t>
  </si>
  <si>
    <t>2143130</t>
  </si>
  <si>
    <t>25560921</t>
  </si>
  <si>
    <t>Zastępca kierownika/Kierownik zmiany - Rzeszów</t>
  </si>
  <si>
    <t>https://www.goldenline.pl/praca/oferta/1283082/zielonalinia0?utm_campaign=partner&amp;gpid=992800&amp;utm_medium=export&amp;glc_source=zielonalinia0&amp;utm_source=zielonalinia0</t>
  </si>
  <si>
    <t>2140651</t>
  </si>
  <si>
    <t>25558442</t>
  </si>
  <si>
    <t>PZU SA</t>
  </si>
  <si>
    <t>https://www.goldenline.pl/praca/oferta/1288630/zielonalinia0?utm_campaign=partner&amp;gpid=998424&amp;utm_medium=export&amp;glc_source=zielonalinia0&amp;utm_source=zielonalinia0</t>
  </si>
  <si>
    <t>2142376</t>
  </si>
  <si>
    <t>25560167</t>
  </si>
  <si>
    <t>Agent Ubezpieczeniowy - firma</t>
  </si>
  <si>
    <t>https://www.goldenline.pl/praca/oferta/1290198/zielonalinia0?utm_campaign=partner&amp;gpid=999364&amp;utm_medium=export&amp;glc_source=zielonalinia0&amp;utm_source=zielonalinia0</t>
  </si>
  <si>
    <t>2143137</t>
  </si>
  <si>
    <t>25560928</t>
  </si>
  <si>
    <t>Kierownik produkcji</t>
  </si>
  <si>
    <t>https://www.pracuj.pl/praca/kierownik-produkcji-mielec,oferta,1001149294</t>
  </si>
  <si>
    <t>2145500</t>
  </si>
  <si>
    <t>25563369</t>
  </si>
  <si>
    <t>Ringier Axel Springer Polska Sp. z o.o.</t>
  </si>
  <si>
    <t>Node.js Engineer - Ring Publishing</t>
  </si>
  <si>
    <t>https://www.pracuj.pl/praca/node-js-engineer-ring-publishing-podkarpackie,oferta,8327867</t>
  </si>
  <si>
    <t>2145108</t>
  </si>
  <si>
    <t>25562977</t>
  </si>
  <si>
    <t>Senior BigData Engineer - Ad Platforms</t>
  </si>
  <si>
    <t>https://www.pracuj.pl/praca/senior-bigdata-engineer-ad-platforms-subcarpathia,oferta,8327712</t>
  </si>
  <si>
    <t>2145075</t>
  </si>
  <si>
    <t>25562944</t>
  </si>
  <si>
    <t>ROHOS Sp. z o.o. Sp.k.</t>
  </si>
  <si>
    <t>Dyrektor ds. Sprzedaży Bezpośredniej</t>
  </si>
  <si>
    <t>https://www.pracuj.pl/praca/dyrektor-ds-sprzedazy-bezposredniej-debica,oferta,8327476</t>
  </si>
  <si>
    <t>2145015</t>
  </si>
  <si>
    <t>25562884</t>
  </si>
  <si>
    <t>Specjalista ds. sprzedaży eksportowej z j. angielskim</t>
  </si>
  <si>
    <t>https://www.pracuj.pl/praca/specjalista-ds-sprzedazy-eksportowej-z-j-angielskim-lancut,oferta,1001151896</t>
  </si>
  <si>
    <t>2147096</t>
  </si>
  <si>
    <t>25564965</t>
  </si>
  <si>
    <t>Partner ds. Sprzedaży RUCH S.A</t>
  </si>
  <si>
    <t>https://www.pracuj.pl/praca/partner-ds-sprzedazy-ruch-s-a-debica,oferta,8327218</t>
  </si>
  <si>
    <t>2144983</t>
  </si>
  <si>
    <t>25562852</t>
  </si>
  <si>
    <t>SafeFleet sp. z o.o.</t>
  </si>
  <si>
    <t>https://www.pracuj.pl/praca/przedstawiciel-handlowy-podkarpackie,oferta,500135218</t>
  </si>
  <si>
    <t>2145374</t>
  </si>
  <si>
    <t>25563243</t>
  </si>
  <si>
    <t>https://www.pracuj.pl/praca/handlowiec-sedziszow-malopolski,oferta,1001150948</t>
  </si>
  <si>
    <t>2146245</t>
  </si>
  <si>
    <t>25564114</t>
  </si>
  <si>
    <t>SGS</t>
  </si>
  <si>
    <t>Risk Management and Internal Control Manager (NCE+EEME)</t>
  </si>
  <si>
    <t>https://www.pracuj.pl/praca/risk-management-and-internal-control-manager-nce%2beeme-subcarpathia,oferta,8325768</t>
  </si>
  <si>
    <t>2144565</t>
  </si>
  <si>
    <t>25562434</t>
  </si>
  <si>
    <t>AEM Developer</t>
  </si>
  <si>
    <t>https://www.pracuj.pl/praca/aem-developer-rzeszow,oferta,1001151724</t>
  </si>
  <si>
    <t>2146939</t>
  </si>
  <si>
    <t>25564808</t>
  </si>
  <si>
    <t>Consultant SAP SD</t>
  </si>
  <si>
    <t>https://www.pracuj.pl/praca/consultant-sap-sd-rzeszow,oferta,1001152362</t>
  </si>
  <si>
    <t>2147523</t>
  </si>
  <si>
    <t>25565392</t>
  </si>
  <si>
    <t>Data Scientist – Artificial Intelligence AI</t>
  </si>
  <si>
    <t>https://www.pracuj.pl/praca/data-scientist-artificial-intelligence-ai-rzeszow,oferta,1001152740</t>
  </si>
  <si>
    <t>2147860</t>
  </si>
  <si>
    <t>25565729</t>
  </si>
  <si>
    <t>Defect Manager</t>
  </si>
  <si>
    <t>https://www.pracuj.pl/praca/defect-manager-rzeszow,oferta,1001152578</t>
  </si>
  <si>
    <t>2147717</t>
  </si>
  <si>
    <t>25565586</t>
  </si>
  <si>
    <t>Machine Learning Engineer – Artificial Intelligence AI</t>
  </si>
  <si>
    <t>https://www.pracuj.pl/praca/machine-learning-engineer-artificial-intelligence-ai-rzeszow,oferta,8326494</t>
  </si>
  <si>
    <t>2144762</t>
  </si>
  <si>
    <t>25562631</t>
  </si>
  <si>
    <t>Process Engineer</t>
  </si>
  <si>
    <t>https://www.pracuj.pl/praca/process-engineer-rzeszow,oferta,1001151703</t>
  </si>
  <si>
    <t>2146918</t>
  </si>
  <si>
    <t>25564787</t>
  </si>
  <si>
    <t>https://www.pracuj.pl/praca/programista-plc-rzeszow,oferta,1001151708</t>
  </si>
  <si>
    <t>2146923</t>
  </si>
  <si>
    <t>25564792</t>
  </si>
  <si>
    <t>https://www.pracuj.pl/praca/senior-test-automation-engineer-rzeszow,oferta,1001152727</t>
  </si>
  <si>
    <t>2147847</t>
  </si>
  <si>
    <t>25565716</t>
  </si>
  <si>
    <t>Specjalista ds. wsparcia IT z j. niemieckim</t>
  </si>
  <si>
    <t>https://www.pracuj.pl/praca/specjalista-ds-wsparcia-it-z-j-niemieckim-rzeszow,oferta,1001151749</t>
  </si>
  <si>
    <t>2146964</t>
  </si>
  <si>
    <t>25564833</t>
  </si>
  <si>
    <t>Test Lead</t>
  </si>
  <si>
    <t>https://www.pracuj.pl/praca/test-lead-rzeszow,oferta,1001151740</t>
  </si>
  <si>
    <t>2146955</t>
  </si>
  <si>
    <t>25564824</t>
  </si>
  <si>
    <t>https://www.praca.pl/kierowca-c-e_5427929.html</t>
  </si>
  <si>
    <t>2139298</t>
  </si>
  <si>
    <t>25508646</t>
  </si>
  <si>
    <t>Kierowca C+E (bez doświadczenia)</t>
  </si>
  <si>
    <t>https://www.praca.pl/kierowca-c-e-bez-doswiadczenia_5427923.html</t>
  </si>
  <si>
    <t>2139296</t>
  </si>
  <si>
    <t>25508644</t>
  </si>
  <si>
    <t>Sobiesław Zasada Automotive Spółka z ograniczona odpowiedzialnoscia Sp. j.</t>
  </si>
  <si>
    <t>Diagnosta Okręgowej Stacji Kontroli Pojazdów</t>
  </si>
  <si>
    <t>Diagnosta uprawniony do wykonywania badań technicznych pojazdów</t>
  </si>
  <si>
    <t>https://www.praca.pl/diagnosta-okregowej-stacji-kontroli-pojazdow_5427833.html</t>
  </si>
  <si>
    <t>2139615</t>
  </si>
  <si>
    <t>25508980</t>
  </si>
  <si>
    <t>RPd057|311501</t>
  </si>
  <si>
    <t>Mechanik Samochodowy</t>
  </si>
  <si>
    <t>https://www.praca.pl/mechanik-samochodowy_5448128.html</t>
  </si>
  <si>
    <t>2139609</t>
  </si>
  <si>
    <t>25508974</t>
  </si>
  <si>
    <t>Pracownik Myjni</t>
  </si>
  <si>
    <t>Operator myjni</t>
  </si>
  <si>
    <t>https://www.praca.pl/pracownik-myjni_5448095.html</t>
  </si>
  <si>
    <t>2139612</t>
  </si>
  <si>
    <t>25508977</t>
  </si>
  <si>
    <t>RPd057|912202</t>
  </si>
  <si>
    <t>Regionalny Kierownik Sprzedaży B2B</t>
  </si>
  <si>
    <t>https://www.praca.pl/regionalny-kierownik-sprzedazy-b2b_5450306.html</t>
  </si>
  <si>
    <t>2139317</t>
  </si>
  <si>
    <t>25508665</t>
  </si>
  <si>
    <t>Stava S.A.</t>
  </si>
  <si>
    <t>Właściciel oddziału – dowozy jedzenia - dostawy zakupów</t>
  </si>
  <si>
    <t>https://www.pracuj.pl/praca/wlasciciel-oddzialu-dowozy-jedzenia-dostawy-zakupow-podkarpackie,oferta,500135174</t>
  </si>
  <si>
    <t>2145331</t>
  </si>
  <si>
    <t>25563200</t>
  </si>
  <si>
    <t>SUN FAMILY SPÓŁKA Z OGRANICZONĄ ODPOWIEDZIALNOŚCIĄ</t>
  </si>
  <si>
    <t>Audytor - Przedstawiciel handlowy/Kierownik Regionalny k/m</t>
  </si>
  <si>
    <t>https://www.goldenline.pl/praca/oferta/1284264/zielonalinia0?utm_campaign=partner&amp;gpid=993992&amp;utm_medium=export&amp;glc_source=zielonalinia0&amp;utm_source=zielonalinia0</t>
  </si>
  <si>
    <t>2140718</t>
  </si>
  <si>
    <t>25558509</t>
  </si>
  <si>
    <t>https://www.goldenline.pl/praca/oferta/1284268/zielonalinia0?utm_campaign=partner&amp;gpid=993996&amp;utm_medium=export&amp;glc_source=zielonalinia0&amp;utm_source=zielonalinia0</t>
  </si>
  <si>
    <t>2142294</t>
  </si>
  <si>
    <t>25560085</t>
  </si>
  <si>
    <t>https://www.goldenline.pl/praca/oferta/1284258/zielonalinia0?utm_campaign=partner&amp;gpid=993986&amp;utm_medium=export&amp;glc_source=zielonalinia0&amp;utm_source=zielonalinia0</t>
  </si>
  <si>
    <t>2142306</t>
  </si>
  <si>
    <t>25560097</t>
  </si>
  <si>
    <t>https://www.goldenline.pl/praca/oferta/1284266/zielonalinia0?utm_campaign=partner&amp;gpid=993994&amp;utm_medium=export&amp;glc_source=zielonalinia0&amp;utm_source=zielonalinia0</t>
  </si>
  <si>
    <t>2142947</t>
  </si>
  <si>
    <t>25560738</t>
  </si>
  <si>
    <t>1817</t>
  </si>
  <si>
    <t>https://www.goldenline.pl/praca/oferta/1284262/zielonalinia0?utm_campaign=partner&amp;gpid=993990&amp;utm_medium=export&amp;glc_source=zielonalinia0&amp;utm_source=zielonalinia0</t>
  </si>
  <si>
    <t>2143143</t>
  </si>
  <si>
    <t>25560934</t>
  </si>
  <si>
    <t>https://www.goldenline.pl/praca/oferta/1284260/zielonalinia0?utm_campaign=partner&amp;gpid=993988&amp;utm_medium=export&amp;glc_source=zielonalinia0&amp;utm_source=zielonalinia0</t>
  </si>
  <si>
    <t>2143504</t>
  </si>
  <si>
    <t>25561295</t>
  </si>
  <si>
    <t>TAGVENUE POLAND SP. Z O. O.</t>
  </si>
  <si>
    <t>Junior Finance Assistant</t>
  </si>
  <si>
    <t>https://www.pracuj.pl/praca/junior-finance-assistant-rzeszow,oferta,500135274</t>
  </si>
  <si>
    <t>2145430</t>
  </si>
  <si>
    <t>25563299</t>
  </si>
  <si>
    <t>https://www.pracuj.pl/praca/elektromechanik-debica,oferta,1001152305</t>
  </si>
  <si>
    <t>2147474</t>
  </si>
  <si>
    <t>25565343</t>
  </si>
  <si>
    <t>Procurement Coordinator</t>
  </si>
  <si>
    <t>https://www.pracuj.pl/praca/procurement-coordinator-debica,oferta,1001151845</t>
  </si>
  <si>
    <t>2147052</t>
  </si>
  <si>
    <t>25564921</t>
  </si>
  <si>
    <t>TEREZ PERFORMANCE POLYMERS SP. z o.o.</t>
  </si>
  <si>
    <t>https://www.pracuj.pl/praca/pomocnik-operatora-wytlaczarki-rogoznica-pow-rzeszowski,oferta,1001152085</t>
  </si>
  <si>
    <t>2147266</t>
  </si>
  <si>
    <t>25565135</t>
  </si>
  <si>
    <t>TextilMarket</t>
  </si>
  <si>
    <t>Kierownik Marketu</t>
  </si>
  <si>
    <t>https://www.pracuj.pl/praca/kierownik-marketu-lubaczow,oferta,1001150683</t>
  </si>
  <si>
    <t>2145999</t>
  </si>
  <si>
    <t>25563868</t>
  </si>
  <si>
    <t>TOP Headhunters Paweł Kowalczyk</t>
  </si>
  <si>
    <t>Regionalny Szef Sprzedaży - Ekspert w obszarze ubezpieczeń zdrowotnych</t>
  </si>
  <si>
    <t>https://www.pracuj.pl/praca/regionalny-szef-sprzedazy-ekspert-w-obszarze-ubezpieczen-zdrowotnych-podkarpackie,oferta,500135036</t>
  </si>
  <si>
    <t>2145193</t>
  </si>
  <si>
    <t>25563062</t>
  </si>
  <si>
    <t>TRAKCJA S.A.</t>
  </si>
  <si>
    <t>Administrator Kontraktu</t>
  </si>
  <si>
    <t>https://www.praca.pl/administrator-kontraktu_5446163.html</t>
  </si>
  <si>
    <t>2139952</t>
  </si>
  <si>
    <t>25509324</t>
  </si>
  <si>
    <t>https://www.praca.pl/kierownik-budowy_5447174.html</t>
  </si>
  <si>
    <t>2139777</t>
  </si>
  <si>
    <t>25509146</t>
  </si>
  <si>
    <t>Kierownik robót mostowych</t>
  </si>
  <si>
    <t>https://www.praca.pl/kierownik-robot-mostowych_5446298.html</t>
  </si>
  <si>
    <t>2139984</t>
  </si>
  <si>
    <t>25509356</t>
  </si>
  <si>
    <t>Starszy specjalista ds. rozliczeń</t>
  </si>
  <si>
    <t>https://www.praca.pl/starszy-specjalista-ds-rozliczen_5446226.html</t>
  </si>
  <si>
    <t>2139968</t>
  </si>
  <si>
    <t>25509340</t>
  </si>
  <si>
    <t>TSL Sp. z o.o.</t>
  </si>
  <si>
    <t>Kierowca C+E , ADR / transport międzynarodowy</t>
  </si>
  <si>
    <t>https://www.praca.pl/kierowca-c-e,adr-transport-miedzynarodowy_5449901.html</t>
  </si>
  <si>
    <t>2139375</t>
  </si>
  <si>
    <t>25508724</t>
  </si>
  <si>
    <t>Kierowca C+E / transport krajowy</t>
  </si>
  <si>
    <t>https://www.praca.pl/kierowca-c-e-transport-krajowy_5449796.html</t>
  </si>
  <si>
    <t>2139392</t>
  </si>
  <si>
    <t>25508741</t>
  </si>
  <si>
    <t>Veolia Wschód</t>
  </si>
  <si>
    <t>Specjalista ds. technicznych - technik ds. obsługi kotłowni gazowej</t>
  </si>
  <si>
    <t>https://www.pracuj.pl/praca/specjalista-ds-technicznych-technik-ds-obslugi-kotlowni-gazowej-lezajsk,oferta,1001152582</t>
  </si>
  <si>
    <t>2147720</t>
  </si>
  <si>
    <t>25565589</t>
  </si>
  <si>
    <t>VILLA CARPATIA WCZASY ZDROWOTNE UCHMAN SPÓŁKA JAWNA</t>
  </si>
  <si>
    <t>Recepcjonista / Recepcjonistka</t>
  </si>
  <si>
    <t>Recepcjonista hotelowy</t>
  </si>
  <si>
    <t>https://www.pracuj.pl/praca/recepcjonista-recepcjonistka-zolynia-pow-lancucki,oferta,500135024</t>
  </si>
  <si>
    <t>2145181</t>
  </si>
  <si>
    <t>25563050</t>
  </si>
  <si>
    <t>RPd057|422401</t>
  </si>
  <si>
    <t>Volkswagen Group Services sp. z o.o.</t>
  </si>
  <si>
    <t>Księgowy AP z j. angielskim (portugalskim/hiszpańskim)</t>
  </si>
  <si>
    <t>https://www.pracuj.pl/praca/ksiegowy-ap-z-j-angielskim-portugalskim-hiszpanskim-podkarpackie,oferta,8325710</t>
  </si>
  <si>
    <t>2144545</t>
  </si>
  <si>
    <t>25562414</t>
  </si>
  <si>
    <t>VRG Spółka Akcyjna</t>
  </si>
  <si>
    <t>Doradca Klienta Wólczanka</t>
  </si>
  <si>
    <t>https://www.goldenline.pl/praca/oferta/1286904/zielonalinia0?utm_campaign=partner&amp;gpid=996652&amp;utm_medium=export&amp;glc_source=zielonalinia0&amp;utm_source=zielonalinia0</t>
  </si>
  <si>
    <t>2144079</t>
  </si>
  <si>
    <t>25561870</t>
  </si>
  <si>
    <t>WEICON GmbH &amp; Co. KG</t>
  </si>
  <si>
    <t>https://www.pracuj.pl/praca/area-sales-manager-rzeszow,oferta,1001150613</t>
  </si>
  <si>
    <t>2145944</t>
  </si>
  <si>
    <t>25563813</t>
  </si>
  <si>
    <t>Wikiera Uchman Sp. K.</t>
  </si>
  <si>
    <t>https://www.pracuj.pl/praca/operator-maszyn-cnc-lancut,oferta,1001150631</t>
  </si>
  <si>
    <t>2145960</t>
  </si>
  <si>
    <t>25563829</t>
  </si>
  <si>
    <t>Polska, podkarpackie, Kosina (pow. łańcucki)</t>
  </si>
  <si>
    <t>https://www.pracuj.pl/praca/operator-maszyn-cnc-kosina-pow-lancucki,oferta,1001150632</t>
  </si>
  <si>
    <t>2145961</t>
  </si>
  <si>
    <t>25563830</t>
  </si>
  <si>
    <t>Programista / Trener programowania</t>
  </si>
  <si>
    <t>https://www.pracuj.pl/praca/programista-trener-programowania-podkarpackie,oferta,8325169</t>
  </si>
  <si>
    <t>2144373</t>
  </si>
  <si>
    <t>25562242</t>
  </si>
  <si>
    <t>x-kom sp. z o.o.</t>
  </si>
  <si>
    <t>Doradca klienta w salonie stacjonarnym</t>
  </si>
  <si>
    <t>https://www.pracuj.pl/praca/doradca-klienta-w-salonie-stacjonarnym-rzeszow,oferta,1001151589</t>
  </si>
  <si>
    <t>2146816</t>
  </si>
  <si>
    <t>25564685</t>
  </si>
  <si>
    <t>ZEN.COM sp. z o.o.</t>
  </si>
  <si>
    <t>Settlement Expert / Starszy specjalista ds. Rozliczeń</t>
  </si>
  <si>
    <t>https://www.pracuj.pl/praca/settlement-expert-starszy-specjalista-ds-rozliczen-subcarpathia,oferta,8327452</t>
  </si>
  <si>
    <t>2145000</t>
  </si>
  <si>
    <t>25562869</t>
  </si>
  <si>
    <t>ZEPTER INTERNATIONAL POLAND sp. z o.o.</t>
  </si>
  <si>
    <t>Regionalny dyrektor sprzedaży</t>
  </si>
  <si>
    <t>https://www.pracuj.pl/praca/regionalny-dyrektor-sprzedazy-podkarpackie,oferta,8327329</t>
  </si>
  <si>
    <t>2144990</t>
  </si>
  <si>
    <t>25562859</t>
  </si>
  <si>
    <t>ZIMMER GROUP POLSKA sp. z o.o.</t>
  </si>
  <si>
    <t>https://www.pracuj.pl/praca/przedstawiciel-handlowy-podkarpackie,oferta,500135062</t>
  </si>
  <si>
    <t>2145219</t>
  </si>
  <si>
    <t>25563088</t>
  </si>
  <si>
    <t>ZPUE S.A.</t>
  </si>
  <si>
    <t>Inżynier Projektant (mechanik, elektryk)</t>
  </si>
  <si>
    <t>https://www.goldenline.pl/praca/oferta/1286098/zielonalinia0?utm_campaign=partner&amp;gpid=995850&amp;utm_medium=export&amp;glc_source=zielonalinia0&amp;utm_source=zielonalinia0</t>
  </si>
  <si>
    <t>2144003</t>
  </si>
  <si>
    <t>25561794</t>
  </si>
  <si>
    <t>Accenture Corporate Function</t>
  </si>
  <si>
    <t>https://www.pracuj.pl/praca/specjalista-ds-rekrutacji-podkarpackie,oferta,8310048</t>
  </si>
  <si>
    <t>18.08.2021 03:40</t>
  </si>
  <si>
    <t>2076510</t>
  </si>
  <si>
    <t>25149119</t>
  </si>
  <si>
    <t>Agrii</t>
  </si>
  <si>
    <t>Doradca Terenowy – branża ogrodnicza</t>
  </si>
  <si>
    <t>https://www.pracuj.pl/praca/doradca-terenowy-branza-ogrodnicza-podkarpackie,oferta,8310766</t>
  </si>
  <si>
    <t>2076700</t>
  </si>
  <si>
    <t>25149309</t>
  </si>
  <si>
    <t>AmRest Sp. z o.o. - Pizza Hut</t>
  </si>
  <si>
    <t>Pracownik Restauracji Pizza Hut</t>
  </si>
  <si>
    <t>29.11.2021</t>
  </si>
  <si>
    <t>https://www.pracuj.pl/praca/pracownik-restauracji-pizza-hut-rzeszow,oferta,1001135294</t>
  </si>
  <si>
    <t>2077440</t>
  </si>
  <si>
    <t>25150049</t>
  </si>
  <si>
    <t>Aon</t>
  </si>
  <si>
    <t>Risk &amp; Healthcare Administrator</t>
  </si>
  <si>
    <t>https://www.pracuj.pl/praca/risk-healthcare-administrator-subcarpathia,oferta,8310386</t>
  </si>
  <si>
    <t>2076590</t>
  </si>
  <si>
    <t>25149199</t>
  </si>
  <si>
    <t>https://www.praca.pl/kierowca-kat-c-e-w-transporcie-miedzynarodowym_5345312.html</t>
  </si>
  <si>
    <t>18.08.2021 03:05</t>
  </si>
  <si>
    <t>2070415</t>
  </si>
  <si>
    <t>24712158</t>
  </si>
  <si>
    <t>https://www.praca.pl/kierowca-kat-c-e-w-transporcie-miedzynarodowym_5345360.html</t>
  </si>
  <si>
    <t>2070431</t>
  </si>
  <si>
    <t>24712174</t>
  </si>
  <si>
    <t>Administrator systemów i aplikacji linuxowych</t>
  </si>
  <si>
    <t>26.11.2021</t>
  </si>
  <si>
    <t>https://www.pracuj.pl/praca/administrator-systemow-i-aplikacji-linuxowych-rzeszow,oferta,1001138369</t>
  </si>
  <si>
    <t>2079789</t>
  </si>
  <si>
    <t>25152398</t>
  </si>
  <si>
    <t>SharePoint Architect</t>
  </si>
  <si>
    <t>https://www.pracuj.pl/praca/sharepoint-architect-subcarpathia,oferta,8311519</t>
  </si>
  <si>
    <t>2076894</t>
  </si>
  <si>
    <t>25149503</t>
  </si>
  <si>
    <t>Architect - Senior</t>
  </si>
  <si>
    <t>https://www.praca.pl/architect-senior_5384396.html</t>
  </si>
  <si>
    <t>2070763</t>
  </si>
  <si>
    <t>25014569</t>
  </si>
  <si>
    <t>Python Developer- Senior</t>
  </si>
  <si>
    <t>https://www.praca.pl/python-developer-senior_5384273.html</t>
  </si>
  <si>
    <t>2070779</t>
  </si>
  <si>
    <t>25014585</t>
  </si>
  <si>
    <t>17.11.2021</t>
  </si>
  <si>
    <t>https://www.praca.pl/scrum-master_5397575.html</t>
  </si>
  <si>
    <t>18.08.2021 03:06</t>
  </si>
  <si>
    <t>2071431</t>
  </si>
  <si>
    <t>25095979</t>
  </si>
  <si>
    <t>Specjalista ds. walidacji</t>
  </si>
  <si>
    <t>https://www.praca.pl/specjalista-ds-walidacji_5331503.html</t>
  </si>
  <si>
    <t>2070186</t>
  </si>
  <si>
    <t>24544106</t>
  </si>
  <si>
    <t>Technical Writer- Professional (Service Now)</t>
  </si>
  <si>
    <t>Pozostali specjaliści do spraw rozwoju systemów informatycznych</t>
  </si>
  <si>
    <t>https://www.praca.pl/technical-writer-professional-service-now_5384174.html</t>
  </si>
  <si>
    <t>2070795</t>
  </si>
  <si>
    <t>25014601</t>
  </si>
  <si>
    <t>RPd057|251290</t>
  </si>
  <si>
    <t>Bama Logistics</t>
  </si>
  <si>
    <t>Kierowca C+E w transporcie krajowym</t>
  </si>
  <si>
    <t>https://www.pracuj.pl/praca/kierowca-c%2be-w-transporcie-krajowym-debica,oferta,1001138068</t>
  </si>
  <si>
    <t>2079512</t>
  </si>
  <si>
    <t>25152121</t>
  </si>
  <si>
    <t>https://www.pracuj.pl/praca/opiekun-klienta-w-oddziale-banku-stalowa-wola,oferta,1001137044</t>
  </si>
  <si>
    <t>2078581</t>
  </si>
  <si>
    <t>25151190</t>
  </si>
  <si>
    <t>https://www.pracuj.pl/praca/java-software-engineer-podkarpackie,oferta,8309055</t>
  </si>
  <si>
    <t>2076220</t>
  </si>
  <si>
    <t>25148829</t>
  </si>
  <si>
    <t>Doradca / Opiekun Klienta w biurze sprzedaży [rekrutacja prowadzona online]</t>
  </si>
  <si>
    <t>https://www.praca.pl/doradca-opiekun-klienta-w-biurze-sprzedazy-rekrutacja-prowadzona-online_5396345.html</t>
  </si>
  <si>
    <t>2071623</t>
  </si>
  <si>
    <t>25096191</t>
  </si>
  <si>
    <t>6</t>
  </si>
  <si>
    <t>Data Migration Specialist</t>
  </si>
  <si>
    <t>https://www.pracuj.pl/praca/data-migration-specialist-subcarpathia,oferta,8311442</t>
  </si>
  <si>
    <t>2076855</t>
  </si>
  <si>
    <t>25149464</t>
  </si>
  <si>
    <t>QA Engineer / Tester</t>
  </si>
  <si>
    <t>https://www.pracuj.pl/praca/qa-engineer-tester-podkarpackie,oferta,8311787</t>
  </si>
  <si>
    <t>2076948</t>
  </si>
  <si>
    <t>25149557</t>
  </si>
  <si>
    <t>Bremer Sp. z o.o.</t>
  </si>
  <si>
    <t>Kierownik/Inżynier budowy</t>
  </si>
  <si>
    <t>https://www.pracuj.pl/praca/kierownik-inzynier-budowy-podkarpackie,oferta,8309478</t>
  </si>
  <si>
    <t>2076367</t>
  </si>
  <si>
    <t>25148976</t>
  </si>
  <si>
    <t>BSH SPRZĘT GOSPODARSTWA DOMOWEGO sp. z o.o.</t>
  </si>
  <si>
    <t>Stażysta/ka ds. optymalizacji przepływów materiałów w produkcji</t>
  </si>
  <si>
    <t>https://www.pracuj.pl/praca/stazysta-ka-ds-optymalizacji-przeplywow-materialow-w-produkcji-glogow-malopolski,oferta,1001136626</t>
  </si>
  <si>
    <t>2078247</t>
  </si>
  <si>
    <t>25150856</t>
  </si>
  <si>
    <t>Starszy asystent projektanta drogowego</t>
  </si>
  <si>
    <t>https://www.praca.pl/starszy-asystent-projektanta-drogowego_5397743.html</t>
  </si>
  <si>
    <t>2071386</t>
  </si>
  <si>
    <t>25095933</t>
  </si>
  <si>
    <t>Business Bridge Group Sp. z o.o.</t>
  </si>
  <si>
    <t>Przedstawiciel Handlowy (fotowoltaika)</t>
  </si>
  <si>
    <t>https://www.goldenline.pl/praca/oferta/1281694/zielonalinia0?utm_campaign=partner&amp;gpid=991372&amp;utm_medium=export&amp;glc_source=zielonalinia0&amp;utm_source=zielonalinia0</t>
  </si>
  <si>
    <t>18.08.2021 03:31</t>
  </si>
  <si>
    <t>2073582</t>
  </si>
  <si>
    <t>25146133</t>
  </si>
  <si>
    <t>BZK Group Sp zoo</t>
  </si>
  <si>
    <t>Magazynier - Laborant</t>
  </si>
  <si>
    <t>Technik technologii żywności*</t>
  </si>
  <si>
    <t>https://www.goldenline.pl/praca/oferta/1281846/zielonalinia0?utm_campaign=partner&amp;gpid=991522&amp;utm_medium=export&amp;glc_source=zielonalinia0&amp;utm_source=zielonalinia0</t>
  </si>
  <si>
    <t>2073508</t>
  </si>
  <si>
    <t>25146059</t>
  </si>
  <si>
    <t>RPd057|314403</t>
  </si>
  <si>
    <t>Specjalista ds. skupu</t>
  </si>
  <si>
    <t>Pracownik punktu skupu</t>
  </si>
  <si>
    <t>https://www.goldenline.pl/praca/oferta/1281770/zielonalinia0?utm_campaign=partner&amp;gpid=991446&amp;utm_medium=export&amp;glc_source=zielonalinia0&amp;utm_source=zielonalinia0</t>
  </si>
  <si>
    <t>2075057</t>
  </si>
  <si>
    <t>25147608</t>
  </si>
  <si>
    <t>RPd057|432104</t>
  </si>
  <si>
    <t>Capgemini Polska</t>
  </si>
  <si>
    <t>Akademia ServiceNOW</t>
  </si>
  <si>
    <t>https://www.pracuj.pl/praca/akademia-servicenow-podkarpackie,oferta,8311651</t>
  </si>
  <si>
    <t>2076912</t>
  </si>
  <si>
    <t>25149521</t>
  </si>
  <si>
    <t>2075973</t>
  </si>
  <si>
    <t>25148524</t>
  </si>
  <si>
    <t>18.08.2021 03:30</t>
  </si>
  <si>
    <t>2072184</t>
  </si>
  <si>
    <t>25144735</t>
  </si>
  <si>
    <t>COLLINS AEROSPACE</t>
  </si>
  <si>
    <t>Inspektor Badań Nieniszczących</t>
  </si>
  <si>
    <t>https://www.pracuj.pl/praca/inspektor-badan-nieniszczacych-krosno,oferta,1001136136</t>
  </si>
  <si>
    <t>2077794</t>
  </si>
  <si>
    <t>25150403</t>
  </si>
  <si>
    <t>https://www.pracuj.pl/praca/inspektor-badan-nieniszczacych-tajecina-pow-rzeszowski,oferta,1001136138</t>
  </si>
  <si>
    <t>2077796</t>
  </si>
  <si>
    <t>25150405</t>
  </si>
  <si>
    <t>https://www.pracuj.pl/praca/lakiernik-krosno,oferta,1001135862</t>
  </si>
  <si>
    <t>2077574</t>
  </si>
  <si>
    <t>25150183</t>
  </si>
  <si>
    <t>https://www.pracuj.pl/praca/lakiernik-tajecina-pow-rzeszowski,oferta,1001135866</t>
  </si>
  <si>
    <t>2077577</t>
  </si>
  <si>
    <t>25150186</t>
  </si>
  <si>
    <t>Młodszy Inżynier Procesu</t>
  </si>
  <si>
    <t>https://www.pracuj.pl/praca/mlodszy-inzynier-procesu-krosno,oferta,1001136089</t>
  </si>
  <si>
    <t>2077766</t>
  </si>
  <si>
    <t>25150375</t>
  </si>
  <si>
    <t>Operator Obrabiarek Konwencjonalnych</t>
  </si>
  <si>
    <t>https://www.pracuj.pl/praca/operator-obrabiarek-konwencjonalnych-krosno,oferta,1001135848</t>
  </si>
  <si>
    <t>2077563</t>
  </si>
  <si>
    <t>25150172</t>
  </si>
  <si>
    <t>Operator Obrabiarek OSN</t>
  </si>
  <si>
    <t>https://www.pracuj.pl/praca/operator-obrabiarek-osn-krosno,oferta,1001136020</t>
  </si>
  <si>
    <t>2077704</t>
  </si>
  <si>
    <t>25150313</t>
  </si>
  <si>
    <t>https://www.pracuj.pl/praca/operator-obrabiarek-osn-tajecina-pow-rzeszowski,oferta,1001136023</t>
  </si>
  <si>
    <t>2077707</t>
  </si>
  <si>
    <t>25150316</t>
  </si>
  <si>
    <t>https://www.pracuj.pl/praca/operator-procesow-chemicznych-tajecina-pow-rzeszowski,oferta,1001135935</t>
  </si>
  <si>
    <t>2077629</t>
  </si>
  <si>
    <t>25150238</t>
  </si>
  <si>
    <t>Operator Umacniania Powierzchniowego</t>
  </si>
  <si>
    <t>https://www.pracuj.pl/praca/operator-umacniania-powierzchniowego-krosno,oferta,1001135937</t>
  </si>
  <si>
    <t>2077631</t>
  </si>
  <si>
    <t>25150240</t>
  </si>
  <si>
    <t>https://www.pracuj.pl/praca/polerowacz-krosno,oferta,1001135917</t>
  </si>
  <si>
    <t>2077614</t>
  </si>
  <si>
    <t>25150223</t>
  </si>
  <si>
    <t>https://www.pracuj.pl/praca/polerowacz-tajecina-pow-rzeszowski,oferta,1001135926</t>
  </si>
  <si>
    <t>2077623</t>
  </si>
  <si>
    <t>25150232</t>
  </si>
  <si>
    <t>Specjalista ds. Zapewnienia Dostaw</t>
  </si>
  <si>
    <t>https://www.pracuj.pl/praca/specjalista-ds-zapewnienia-dostaw-tajecina-pow-rzeszowski,oferta,1001135944</t>
  </si>
  <si>
    <t>2077637</t>
  </si>
  <si>
    <t>25150246</t>
  </si>
  <si>
    <t>Compensa Towarzystwo Ubezpieczeń na Życie S.A. Vienna Insurance Group</t>
  </si>
  <si>
    <t>Regionalny Dyrektor Ubezpieczeń Zdrowotnych</t>
  </si>
  <si>
    <t>https://www.praca.pl/regionalny-dyrektor-ubezpieczen-zdrowotnych_5331839.html</t>
  </si>
  <si>
    <t>2070168</t>
  </si>
  <si>
    <t>24543986</t>
  </si>
  <si>
    <t>2072554</t>
  </si>
  <si>
    <t>25145105</t>
  </si>
  <si>
    <t>2075828</t>
  </si>
  <si>
    <t>25148379</t>
  </si>
  <si>
    <t>CRE Polskie ePłatności</t>
  </si>
  <si>
    <t>Junior/HR Business Partner</t>
  </si>
  <si>
    <t>https://www.pracuj.pl/praca/junior-hr-business-partner-tajecina-pow-rzeszowski,oferta,1001137258</t>
  </si>
  <si>
    <t>2078784</t>
  </si>
  <si>
    <t>25151393</t>
  </si>
  <si>
    <t>Młodszy specjalista ds. rekrutacji</t>
  </si>
  <si>
    <t>https://www.pracuj.pl/praca/mlodszy-specjalista-ds-rekrutacji-rzeszow,oferta,1001137136</t>
  </si>
  <si>
    <t>2078665</t>
  </si>
  <si>
    <t>25151274</t>
  </si>
  <si>
    <t>https://www.pracuj.pl/praca/przedstawiciel-handlowy-podkarpackie,oferta,8310821</t>
  </si>
  <si>
    <t>2076727</t>
  </si>
  <si>
    <t>25149336</t>
  </si>
  <si>
    <t>CSM</t>
  </si>
  <si>
    <t>Regionalny Przedstawiciel Handlowy - Technolog</t>
  </si>
  <si>
    <t>https://www.pracuj.pl/praca/regionalny-przedstawiciel-handlowy-technolog-podkarpackie,oferta,8310137</t>
  </si>
  <si>
    <t>2076530</t>
  </si>
  <si>
    <t>25149139</t>
  </si>
  <si>
    <t>Programista Full-Stack</t>
  </si>
  <si>
    <t>https://www.pracuj.pl/praca/programista-full-stack-rzeszow,oferta,1001136047</t>
  </si>
  <si>
    <t>2077729</t>
  </si>
  <si>
    <t>25150338</t>
  </si>
  <si>
    <t>2075159</t>
  </si>
  <si>
    <t>25147710</t>
  </si>
  <si>
    <t>Application Integration Adminstrator</t>
  </si>
  <si>
    <t>https://www.goldenline.pl/praca/oferta/1281540/zielonalinia0?utm_campaign=partner&amp;gpid=991218&amp;utm_medium=export&amp;glc_source=zielonalinia0&amp;utm_source=zielonalinia0</t>
  </si>
  <si>
    <t>2076153</t>
  </si>
  <si>
    <t>25148704</t>
  </si>
  <si>
    <t>Application Operations Engineer</t>
  </si>
  <si>
    <t>https://www.goldenline.pl/praca/oferta/1281634/zielonalinia0?utm_campaign=partner&amp;gpid=991312&amp;utm_medium=export&amp;glc_source=zielonalinia0&amp;utm_source=zielonalinia0</t>
  </si>
  <si>
    <t>2075171</t>
  </si>
  <si>
    <t>25147722</t>
  </si>
  <si>
    <t>2073784</t>
  </si>
  <si>
    <t>25146335</t>
  </si>
  <si>
    <t>2073823</t>
  </si>
  <si>
    <t>25146374</t>
  </si>
  <si>
    <t>Cloud Orchestration Engineer</t>
  </si>
  <si>
    <t>https://www.goldenline.pl/praca/oferta/1281610/zielonalinia0?utm_campaign=partner&amp;gpid=991288&amp;utm_medium=export&amp;glc_source=zielonalinia0&amp;utm_source=zielonalinia0</t>
  </si>
  <si>
    <t>2074277</t>
  </si>
  <si>
    <t>25146828</t>
  </si>
  <si>
    <t>Consultant (PM/Analyst) with Cloud</t>
  </si>
  <si>
    <t>https://www.goldenline.pl/praca/oferta/1280874/zielonalinia0?utm_campaign=partner&amp;gpid=990544&amp;utm_medium=export&amp;glc_source=zielonalinia0&amp;utm_source=zielonalinia0</t>
  </si>
  <si>
    <t>2072523</t>
  </si>
  <si>
    <t>25145074</t>
  </si>
  <si>
    <t>2072480</t>
  </si>
  <si>
    <t>25145031</t>
  </si>
  <si>
    <t>2073878</t>
  </si>
  <si>
    <t>25146429</t>
  </si>
  <si>
    <t>2073936</t>
  </si>
  <si>
    <t>25146487</t>
  </si>
  <si>
    <t>https://www.goldenline.pl/praca/oferta/1280922/zielonalinia0?utm_campaign=partner&amp;gpid=990590&amp;utm_medium=export&amp;glc_source=zielonalinia0&amp;utm_source=zielonalinia0</t>
  </si>
  <si>
    <t>2074702</t>
  </si>
  <si>
    <t>25147253</t>
  </si>
  <si>
    <t>2074929</t>
  </si>
  <si>
    <t>25147480</t>
  </si>
  <si>
    <t>2073259</t>
  </si>
  <si>
    <t>25145810</t>
  </si>
  <si>
    <t>IT Analyst</t>
  </si>
  <si>
    <t>https://www.goldenline.pl/praca/oferta/1282230/zielonalinia0?utm_campaign=partner&amp;gpid=991944&amp;utm_medium=export&amp;glc_source=zielonalinia0&amp;utm_source=zielonalinia0</t>
  </si>
  <si>
    <t>26.08.2021</t>
  </si>
  <si>
    <t>2075641</t>
  </si>
  <si>
    <t>25148192</t>
  </si>
  <si>
    <t>2071856</t>
  </si>
  <si>
    <t>25144407</t>
  </si>
  <si>
    <t>2074526</t>
  </si>
  <si>
    <t>25147077</t>
  </si>
  <si>
    <t>2073074</t>
  </si>
  <si>
    <t>25145625</t>
  </si>
  <si>
    <t>https://www.goldenline.pl/praca/oferta/1279882/zielonalinia0?utm_campaign=partner&amp;gpid=989556&amp;utm_medium=export&amp;glc_source=zielonalinia0&amp;utm_source=zielonalinia0</t>
  </si>
  <si>
    <t>19.08.2021</t>
  </si>
  <si>
    <t>2074293</t>
  </si>
  <si>
    <t>25146844</t>
  </si>
  <si>
    <t>2075022</t>
  </si>
  <si>
    <t>25147573</t>
  </si>
  <si>
    <t>.NET Developer (100% zdalnie)</t>
  </si>
  <si>
    <t>https://www.goldenline.pl/praca/oferta/1279960/zielonalinia0?utm_campaign=partner&amp;gpid=989632&amp;utm_medium=export&amp;glc_source=zielonalinia0&amp;utm_source=zielonalinia0</t>
  </si>
  <si>
    <t>2072806</t>
  </si>
  <si>
    <t>25145357</t>
  </si>
  <si>
    <t>https://www.goldenline.pl/praca/oferta/1281080/zielonalinia0?utm_campaign=partner&amp;gpid=990748&amp;utm_medium=export&amp;glc_source=zielonalinia0&amp;utm_source=zielonalinia0</t>
  </si>
  <si>
    <t>2074594</t>
  </si>
  <si>
    <t>25147145</t>
  </si>
  <si>
    <t>2072329</t>
  </si>
  <si>
    <t>25144880</t>
  </si>
  <si>
    <t>https://www.goldenline.pl/praca/oferta/1281114/zielonalinia0?utm_campaign=partner&amp;gpid=990782&amp;utm_medium=export&amp;glc_source=zielonalinia0&amp;utm_source=zielonalinia0</t>
  </si>
  <si>
    <t>2073668</t>
  </si>
  <si>
    <t>25146219</t>
  </si>
  <si>
    <t>2075396</t>
  </si>
  <si>
    <t>25147947</t>
  </si>
  <si>
    <t>https://www.goldenline.pl/praca/oferta/1279916/zielonalinia0?utm_campaign=partner&amp;gpid=989592&amp;utm_medium=export&amp;glc_source=zielonalinia0&amp;utm_source=zielonalinia0</t>
  </si>
  <si>
    <t>2075835</t>
  </si>
  <si>
    <t>25148386</t>
  </si>
  <si>
    <t>QA Analyst (Test Automation-100% zdalnie)</t>
  </si>
  <si>
    <t>https://www.goldenline.pl/praca/oferta/1280838/zielonalinia0?utm_campaign=partner&amp;gpid=990506&amp;utm_medium=export&amp;glc_source=zielonalinia0&amp;utm_source=zielonalinia0</t>
  </si>
  <si>
    <t>2074861</t>
  </si>
  <si>
    <t>25147412</t>
  </si>
  <si>
    <t>https://www.goldenline.pl/praca/oferta/1280984/zielonalinia0?utm_campaign=partner&amp;gpid=990652&amp;utm_medium=export&amp;glc_source=zielonalinia0&amp;utm_source=zielonalinia0</t>
  </si>
  <si>
    <t>2072061</t>
  </si>
  <si>
    <t>25144612</t>
  </si>
  <si>
    <t>https://www.goldenline.pl/praca/oferta/1280076/zielonalinia0?utm_campaign=partner&amp;gpid=989750&amp;utm_medium=export&amp;glc_source=zielonalinia0&amp;utm_source=zielonalinia0</t>
  </si>
  <si>
    <t>2072927</t>
  </si>
  <si>
    <t>25145478</t>
  </si>
  <si>
    <t>https://www.goldenline.pl/praca/oferta/1280748/zielonalinia0?utm_campaign=partner&amp;gpid=990416&amp;utm_medium=export&amp;glc_source=zielonalinia0&amp;utm_source=zielonalinia0</t>
  </si>
  <si>
    <t>2071884</t>
  </si>
  <si>
    <t>25144435</t>
  </si>
  <si>
    <t>2073999</t>
  </si>
  <si>
    <t>25146550</t>
  </si>
  <si>
    <t>2072596</t>
  </si>
  <si>
    <t>25145147</t>
  </si>
  <si>
    <t>2072821</t>
  </si>
  <si>
    <t>25145372</t>
  </si>
  <si>
    <t>2072371</t>
  </si>
  <si>
    <t>25144922</t>
  </si>
  <si>
    <t>https://www.goldenline.pl/praca/oferta/1281032/zielonalinia0?utm_campaign=partner&amp;gpid=990700&amp;utm_medium=export&amp;glc_source=zielonalinia0&amp;utm_source=zielonalinia0</t>
  </si>
  <si>
    <t>2072842</t>
  </si>
  <si>
    <t>25145393</t>
  </si>
  <si>
    <t>2074071</t>
  </si>
  <si>
    <t>25146622</t>
  </si>
  <si>
    <t>https://www.goldenline.pl/praca/oferta/1280028/zielonalinia0?utm_campaign=partner&amp;gpid=989702&amp;utm_medium=export&amp;glc_source=zielonalinia0&amp;utm_source=zielonalinia0</t>
  </si>
  <si>
    <t>2074893</t>
  </si>
  <si>
    <t>25147444</t>
  </si>
  <si>
    <t>2074760</t>
  </si>
  <si>
    <t>25147311</t>
  </si>
  <si>
    <t>https://www.goldenline.pl/praca/oferta/1280698/zielonalinia0?utm_campaign=partner&amp;gpid=990366&amp;utm_medium=export&amp;glc_source=zielonalinia0&amp;utm_source=zielonalinia0</t>
  </si>
  <si>
    <t>2072398</t>
  </si>
  <si>
    <t>25144949</t>
  </si>
  <si>
    <t>2072709</t>
  </si>
  <si>
    <t>25145260</t>
  </si>
  <si>
    <t>https://www.goldenline.pl/praca/oferta/1280294/zielonalinia0?utm_campaign=partner&amp;gpid=989970&amp;utm_medium=export&amp;glc_source=zielonalinia0&amp;utm_source=zielonalinia0</t>
  </si>
  <si>
    <t>2074414</t>
  </si>
  <si>
    <t>25146965</t>
  </si>
  <si>
    <t>27.08.2021</t>
  </si>
  <si>
    <t>2072986</t>
  </si>
  <si>
    <t>25145537</t>
  </si>
  <si>
    <t>2071895</t>
  </si>
  <si>
    <t>25144446</t>
  </si>
  <si>
    <t>2072322</t>
  </si>
  <si>
    <t>25144873</t>
  </si>
  <si>
    <t>2072664</t>
  </si>
  <si>
    <t>25145215</t>
  </si>
  <si>
    <t>2072764</t>
  </si>
  <si>
    <t>25145315</t>
  </si>
  <si>
    <t>2073137</t>
  </si>
  <si>
    <t>25145688</t>
  </si>
  <si>
    <t>2073520</t>
  </si>
  <si>
    <t>25146071</t>
  </si>
  <si>
    <t>2074208</t>
  </si>
  <si>
    <t>25146759</t>
  </si>
  <si>
    <t>2074667</t>
  </si>
  <si>
    <t>25147218</t>
  </si>
  <si>
    <t>2075183</t>
  </si>
  <si>
    <t>25147734</t>
  </si>
  <si>
    <t>2075292</t>
  </si>
  <si>
    <t>25147843</t>
  </si>
  <si>
    <t>2075332</t>
  </si>
  <si>
    <t>25147883</t>
  </si>
  <si>
    <t>2075428</t>
  </si>
  <si>
    <t>25147979</t>
  </si>
  <si>
    <t>2071970</t>
  </si>
  <si>
    <t>25144521</t>
  </si>
  <si>
    <t>2075951</t>
  </si>
  <si>
    <t>25148502</t>
  </si>
  <si>
    <t>Software QA Engineer (100% zdalnie)</t>
  </si>
  <si>
    <t>https://www.goldenline.pl/praca/oferta/1280790/zielonalinia0?utm_campaign=partner&amp;gpid=990458&amp;utm_medium=export&amp;glc_source=zielonalinia0&amp;utm_source=zielonalinia0</t>
  </si>
  <si>
    <t>2074387</t>
  </si>
  <si>
    <t>25146938</t>
  </si>
  <si>
    <t>https://www.goldenline.pl/praca/oferta/1281148/zielonalinia0?utm_campaign=partner&amp;gpid=990816&amp;utm_medium=export&amp;glc_source=zielonalinia0&amp;utm_source=zielonalinia0</t>
  </si>
  <si>
    <t>2074144</t>
  </si>
  <si>
    <t>25146695</t>
  </si>
  <si>
    <t>2075566</t>
  </si>
  <si>
    <t>25148117</t>
  </si>
  <si>
    <t>https://www.goldenline.pl/praca/oferta/1279796/zielonalinia0?utm_campaign=partner&amp;gpid=989466&amp;utm_medium=export&amp;glc_source=zielonalinia0&amp;utm_source=zielonalinia0</t>
  </si>
  <si>
    <t>2075746</t>
  </si>
  <si>
    <t>25148297</t>
  </si>
  <si>
    <t>2076015</t>
  </si>
  <si>
    <t>25148566</t>
  </si>
  <si>
    <t>2073487</t>
  </si>
  <si>
    <t>25146038</t>
  </si>
  <si>
    <t>Dealz Poland Sp. z o.o.</t>
  </si>
  <si>
    <t>Kierownik Sklepu - Rzeszów, Galeria Rzeszów</t>
  </si>
  <si>
    <t>https://www.pracuj.pl/praca/kierownik-sklepu-rzeszow-galeria-rzeszow-rzeszow,oferta,1001137424</t>
  </si>
  <si>
    <t>2078914</t>
  </si>
  <si>
    <t>25151523</t>
  </si>
  <si>
    <t>Financial Controller</t>
  </si>
  <si>
    <t>https://www.pracuj.pl/praca/financial-controller-rzeszow,oferta,1001136690</t>
  </si>
  <si>
    <t>2078307</t>
  </si>
  <si>
    <t>25150916</t>
  </si>
  <si>
    <t>2072928</t>
  </si>
  <si>
    <t>25145479</t>
  </si>
  <si>
    <t>Dr.Max Polska</t>
  </si>
  <si>
    <t>https://www.pracuj.pl/praca/magister-farmacji-debica,oferta,1001137650</t>
  </si>
  <si>
    <t>2079126</t>
  </si>
  <si>
    <t>25151735</t>
  </si>
  <si>
    <t>https://www.pracuj.pl/praca/magister-farmacji-mielec,oferta,1001137664</t>
  </si>
  <si>
    <t>2079140</t>
  </si>
  <si>
    <t>25151749</t>
  </si>
  <si>
    <t>https://www.pracuj.pl/praca/magister-farmacji-przemysl,oferta,1001137672</t>
  </si>
  <si>
    <t>2079148</t>
  </si>
  <si>
    <t>25151757</t>
  </si>
  <si>
    <t>https://www.pracuj.pl/praca/magister-farmacji-ropczyce,oferta,1001137674</t>
  </si>
  <si>
    <t>2079150</t>
  </si>
  <si>
    <t>25151759</t>
  </si>
  <si>
    <t>https://www.pracuj.pl/praca/magister-farmacji-sanok,oferta,1001137675</t>
  </si>
  <si>
    <t>2079151</t>
  </si>
  <si>
    <t>25151760</t>
  </si>
  <si>
    <t>DSA Investment S.A.</t>
  </si>
  <si>
    <t>https://www.pracuj.pl/praca/sprzedawca-podkarpackie,oferta,8311254</t>
  </si>
  <si>
    <t>2076787</t>
  </si>
  <si>
    <t>25149396</t>
  </si>
  <si>
    <t>DTH Selection</t>
  </si>
  <si>
    <t>Technik / Inżynier Serwisu</t>
  </si>
  <si>
    <t>https://www.praca.pl/technik-inzynier-serwisu_5399489.html</t>
  </si>
  <si>
    <t>2071177</t>
  </si>
  <si>
    <t>25095705</t>
  </si>
  <si>
    <t>E100 International Trade Sp. z o.o.</t>
  </si>
  <si>
    <t>https://www.pracuj.pl/praca/regionalny-przedstawiciel-handlowy-podkarpackie,oferta,8310076</t>
  </si>
  <si>
    <t>2076527</t>
  </si>
  <si>
    <t>25149136</t>
  </si>
  <si>
    <t>https://www.pracuj.pl/praca/spawacz-krosno,oferta,1001137454</t>
  </si>
  <si>
    <t>2078938</t>
  </si>
  <si>
    <t>25151547</t>
  </si>
  <si>
    <t>EGREENO sp. z o.o.</t>
  </si>
  <si>
    <t>Regionalny Przedstawiciel Handlowy ds. fotowoltaiki</t>
  </si>
  <si>
    <t>https://www.pracuj.pl/praca/regionalny-przedstawiciel-handlowy-ds-fotowoltaiki-podkarpackie,oferta,500133147</t>
  </si>
  <si>
    <t>2077205</t>
  </si>
  <si>
    <t>25149814</t>
  </si>
  <si>
    <t>Specjalista ds. Obsługi Klienta (język bułgarski)</t>
  </si>
  <si>
    <t>https://www.praca.pl/specjalista-ds-obslugi-klienta-jezyk-bulgarski_5352956.html</t>
  </si>
  <si>
    <t>2070447</t>
  </si>
  <si>
    <t>24712190</t>
  </si>
  <si>
    <t>EOS KSI Polska Sp. z o. o.</t>
  </si>
  <si>
    <t>Project Manager</t>
  </si>
  <si>
    <t>https://www.pracuj.pl/praca/project-manager-rzeszow,oferta,1001136341</t>
  </si>
  <si>
    <t>2077983</t>
  </si>
  <si>
    <t>25150592</t>
  </si>
  <si>
    <t>Exorigo-Upos sp. z o.o.</t>
  </si>
  <si>
    <t>Developer C++</t>
  </si>
  <si>
    <t>https://www.praca.pl/developer-c_5401586.html</t>
  </si>
  <si>
    <t>2070898</t>
  </si>
  <si>
    <t>25095412</t>
  </si>
  <si>
    <t>expondo Polska</t>
  </si>
  <si>
    <t>Backend PHP Engineer</t>
  </si>
  <si>
    <t>https://www.pracuj.pl/praca/backend-php-engineer-subcarpathia,oferta,8309695</t>
  </si>
  <si>
    <t>2076458</t>
  </si>
  <si>
    <t>25149067</t>
  </si>
  <si>
    <t>Frontend Engineer</t>
  </si>
  <si>
    <t>https://www.pracuj.pl/praca/frontend-engineer-subcarpathia,oferta,8312085</t>
  </si>
  <si>
    <t>2077048</t>
  </si>
  <si>
    <t>25149657</t>
  </si>
  <si>
    <t>Linux System Engineer</t>
  </si>
  <si>
    <t>https://www.pracuj.pl/praca/linux-system-engineer-subcarpathia,oferta,8309521</t>
  </si>
  <si>
    <t>2076386</t>
  </si>
  <si>
    <t>25148995</t>
  </si>
  <si>
    <t>Senior Process Excellence Manager - Product Lifecycle</t>
  </si>
  <si>
    <t>https://www.pracuj.pl/praca/senior-process-excellence-manager-product-lifecycle-subcarpathia,oferta,8309166</t>
  </si>
  <si>
    <t>2076275</t>
  </si>
  <si>
    <t>25148884</t>
  </si>
  <si>
    <t>Autoryzowany Partner Agencyjny</t>
  </si>
  <si>
    <t>https://www.pracuj.pl/praca/autoryzowany-partner-agencyjny-podkarpackie,oferta,8309231</t>
  </si>
  <si>
    <t>2076290</t>
  </si>
  <si>
    <t>25148899</t>
  </si>
  <si>
    <t>Fielmann Sp. z o.o.</t>
  </si>
  <si>
    <t>Optyk (k/m) do nowego butiku optycznego Fielmann</t>
  </si>
  <si>
    <t>Technik optyk*</t>
  </si>
  <si>
    <t>https://www.praca.pl/optyk-k-m-do-nowego-butiku-optycznego-fielmann_5376131.html</t>
  </si>
  <si>
    <t>2070736</t>
  </si>
  <si>
    <t>24952619</t>
  </si>
  <si>
    <t>RPd057|325302</t>
  </si>
  <si>
    <t>Frontiers Open Science sp. z o.o.</t>
  </si>
  <si>
    <t>Azure DevOps Engineer</t>
  </si>
  <si>
    <t>https://www.pracuj.pl/praca/azure-devops-engineer-subcarpathia,oferta,8309954</t>
  </si>
  <si>
    <t>2076233</t>
  </si>
  <si>
    <t>25148842</t>
  </si>
  <si>
    <t>Data Engineer</t>
  </si>
  <si>
    <t>https://www.pracuj.pl/praca/data-engineer-subcarpathia,oferta,8309918</t>
  </si>
  <si>
    <t>2076486</t>
  </si>
  <si>
    <t>25149095</t>
  </si>
  <si>
    <t>Data Engineering Team Lead</t>
  </si>
  <si>
    <t>https://www.pracuj.pl/praca/data-engineering-team-lead-subcarpathia,oferta,8309312</t>
  </si>
  <si>
    <t>2076322</t>
  </si>
  <si>
    <t>25148931</t>
  </si>
  <si>
    <t>Specjalista: Recenzja Naukowa</t>
  </si>
  <si>
    <t>Filolog polski</t>
  </si>
  <si>
    <t>https://www.pracuj.pl/praca/specjalista-recenzja-naukowa-podkarpackie,oferta,8309292</t>
  </si>
  <si>
    <t>2076306</t>
  </si>
  <si>
    <t>25148915</t>
  </si>
  <si>
    <t>RPd057|264303</t>
  </si>
  <si>
    <t>FUNDACJA MŁODZI LUDZIOM</t>
  </si>
  <si>
    <t>Adwokat/ Radca Prawny / Doradca Obywatelski / Mediator - do punktów NPP i NPO</t>
  </si>
  <si>
    <t>https://www.pracuj.pl/praca/adwokat-radca-prawny-doradca-obywatelski-mediator-do-punktow-npp-i-npo-podkarpackie,oferta,8310149</t>
  </si>
  <si>
    <t>2076541</t>
  </si>
  <si>
    <t>25149150</t>
  </si>
  <si>
    <t>Geyer</t>
  </si>
  <si>
    <t>https://www.pracuj.pl/praca/elektryk-automatyk-partynia-pow-mielecki,oferta,1001136477</t>
  </si>
  <si>
    <t>2078116</t>
  </si>
  <si>
    <t>25150725</t>
  </si>
  <si>
    <t>Konserwator – Złota Rączka</t>
  </si>
  <si>
    <t>https://www.pracuj.pl/praca/konserwator-zlota-raczka-partynia-pow-mielecki,oferta,1001136473</t>
  </si>
  <si>
    <t>2078112</t>
  </si>
  <si>
    <t>25150721</t>
  </si>
  <si>
    <t>Operator Maszyn i Urządzeń Produkcyjnych</t>
  </si>
  <si>
    <t>https://www.pracuj.pl/praca/operator-maszyn-i-urzadzen-produkcyjnych-partynia-pow-mielecki,oferta,1001136422</t>
  </si>
  <si>
    <t>2078061</t>
  </si>
  <si>
    <t>25150670</t>
  </si>
  <si>
    <t>Specjalista ds. Analiz Chemicznych</t>
  </si>
  <si>
    <t>https://www.pracuj.pl/praca/specjalista-ds-analiz-chemicznych-partynia-pow-mielecki,oferta,1001136435</t>
  </si>
  <si>
    <t>2078074</t>
  </si>
  <si>
    <t>25150683</t>
  </si>
  <si>
    <t>GK Farmacol</t>
  </si>
  <si>
    <t>https://www.pracuj.pl/praca/konserwator-elektryk-glogow-malopolski,oferta,1001136479</t>
  </si>
  <si>
    <t>2078118</t>
  </si>
  <si>
    <t>25150727</t>
  </si>
  <si>
    <t>Goldsun Radosław Szewczuk</t>
  </si>
  <si>
    <t>Doradca techniczno-handlowy</t>
  </si>
  <si>
    <t>https://www.pracuj.pl/praca/doradca-techniczno-handlowy-krosno,oferta,1001137824</t>
  </si>
  <si>
    <t>2079287</t>
  </si>
  <si>
    <t>25151896</t>
  </si>
  <si>
    <t>https://www.pracuj.pl/praca/doradca-techniczno-handlowy-przemysl,oferta,1001137835</t>
  </si>
  <si>
    <t>2079298</t>
  </si>
  <si>
    <t>25151907</t>
  </si>
  <si>
    <t>https://www.pracuj.pl/praca/doradca-techniczno-handlowy-rzeszow,oferta,1001137839</t>
  </si>
  <si>
    <t>2079302</t>
  </si>
  <si>
    <t>25151911</t>
  </si>
  <si>
    <t>https://www.pracuj.pl/praca/doradca-techniczno-handlowy-tarnobrzeg,oferta,1001137843</t>
  </si>
  <si>
    <t>2079306</t>
  </si>
  <si>
    <t>25151915</t>
  </si>
  <si>
    <t>GREEN M  sp. z o.o.</t>
  </si>
  <si>
    <t>Specjalista - Doradca - Przedstawiciel - Sprzedawca - Handlowiec</t>
  </si>
  <si>
    <t>https://www.pracuj.pl/praca/specjalista-doradca-przedstawiciel-sprzedawca-handlowiec-stalowa-wola,oferta,8311379</t>
  </si>
  <si>
    <t>2076834</t>
  </si>
  <si>
    <t>25149443</t>
  </si>
  <si>
    <t>2072935</t>
  </si>
  <si>
    <t>25145486</t>
  </si>
  <si>
    <t>Grupa Inter Cars</t>
  </si>
  <si>
    <t>Manager Centrum Kompetencji Silnikowej</t>
  </si>
  <si>
    <t>https://www.praca.pl/manager-centrum-kompetencji-silnikowej_5397644.html</t>
  </si>
  <si>
    <t>2071407</t>
  </si>
  <si>
    <t>25095955</t>
  </si>
  <si>
    <t>Health Resort &amp; Medical Spa Panorama Morska</t>
  </si>
  <si>
    <t>Germanista, Rusycysta, Anglista do recepcji</t>
  </si>
  <si>
    <t>https://www.praca.pl/germanista,rusycysta,anglista-do-recepcji_5332976.html</t>
  </si>
  <si>
    <t>2070356</t>
  </si>
  <si>
    <t>24712088</t>
  </si>
  <si>
    <t>Recepcjonista z jęz. niemieckim</t>
  </si>
  <si>
    <t>https://www.praca.pl/recepcjonista-z-jez-niemieckim_5333024.html</t>
  </si>
  <si>
    <t>2070372</t>
  </si>
  <si>
    <t>24712104</t>
  </si>
  <si>
    <t>Developer - BizTalk</t>
  </si>
  <si>
    <t>https://www.pracuj.pl/praca/developer-biztalk-rzeszow,oferta,1001135951</t>
  </si>
  <si>
    <t>2077642</t>
  </si>
  <si>
    <t>25150251</t>
  </si>
  <si>
    <t>Hellmann Worldwide Logistics Polska sp. z o.o. sp.k</t>
  </si>
  <si>
    <t>Specjalista ds. sprzedaży frachtu morskiego</t>
  </si>
  <si>
    <t>https://www.pracuj.pl/praca/specjalista-ds-sprzedazy-frachtu-morskiego-podkarpackie,oferta,8311146</t>
  </si>
  <si>
    <t>2076760</t>
  </si>
  <si>
    <t>25149369</t>
  </si>
  <si>
    <t>HERBAL PHARMACEUTICALS SP. Z O.O.</t>
  </si>
  <si>
    <t>https://www.pracuj.pl/praca/przedstawiciel-farmaceutyczny-podkarpackie,oferta,500133125</t>
  </si>
  <si>
    <t>2077183</t>
  </si>
  <si>
    <t>25149792</t>
  </si>
  <si>
    <t>"HOLLYWOOD TEXTILE SERVICE" SP. Z O.O.</t>
  </si>
  <si>
    <t>https://www.pracuj.pl/praca/przedstawiciel-handlowy-podkarpackie,oferta,8312252</t>
  </si>
  <si>
    <t>2077098</t>
  </si>
  <si>
    <t>25149707</t>
  </si>
  <si>
    <t>Intecrowd</t>
  </si>
  <si>
    <t>Workday HCM Data Conversion Consultant</t>
  </si>
  <si>
    <t>https://www.pracuj.pl/praca/workday-hcm-data-conversion-consultant-subcarpathia,oferta,8312041</t>
  </si>
  <si>
    <t>18.08.2021 06:31</t>
  </si>
  <si>
    <t>2077030</t>
  </si>
  <si>
    <t>25149639</t>
  </si>
  <si>
    <t>18.08.2021 04:36</t>
  </si>
  <si>
    <t>2074108</t>
  </si>
  <si>
    <t>25146659</t>
  </si>
  <si>
    <t>https://www.praca.pl/full-stack-developer_5392931.html</t>
  </si>
  <si>
    <t>2070822</t>
  </si>
  <si>
    <t>25095335</t>
  </si>
  <si>
    <t>https://www.praca.pl/starszy-referent_5395943.html</t>
  </si>
  <si>
    <t>2071703</t>
  </si>
  <si>
    <t>25096274</t>
  </si>
  <si>
    <t>https://www.praca.pl/starszy-referent_5395949.html</t>
  </si>
  <si>
    <t>2071704</t>
  </si>
  <si>
    <t>25096275</t>
  </si>
  <si>
    <t>2075558</t>
  </si>
  <si>
    <t>25148109</t>
  </si>
  <si>
    <t>https://www.goldenline.pl/praca/oferta/1281768/zielonalinia0?utm_campaign=partner&amp;gpid=991444&amp;utm_medium=export&amp;glc_source=zielonalinia0&amp;utm_source=zielonalinia0</t>
  </si>
  <si>
    <t>2072659</t>
  </si>
  <si>
    <t>25145210</t>
  </si>
  <si>
    <t>JOBHOUSE</t>
  </si>
  <si>
    <t>Specjalista ds. Obsługi Klienta z językiem niemieckim</t>
  </si>
  <si>
    <t>https://www.pracuj.pl/praca/specjalista-ds-obslugi-klienta-z-jezykiem-niemieckim-podkarpackie,oferta,8305656</t>
  </si>
  <si>
    <t>2076191</t>
  </si>
  <si>
    <t>25148800</t>
  </si>
  <si>
    <t>Inżynier Spawalnik / Technolog Spawalnik</t>
  </si>
  <si>
    <t>https://www.praca.pl/inzynier-spawalnik-technolog-spawalnik_5351516.html</t>
  </si>
  <si>
    <t>2070630</t>
  </si>
  <si>
    <t>24772322</t>
  </si>
  <si>
    <t>2073316</t>
  </si>
  <si>
    <t>25145867</t>
  </si>
  <si>
    <t>2074980</t>
  </si>
  <si>
    <t>25147531</t>
  </si>
  <si>
    <t>2073519</t>
  </si>
  <si>
    <t>25146070</t>
  </si>
  <si>
    <t>https://www.goldenline.pl/praca/oferta/1281788/zielonalinia0?utm_campaign=partner&amp;gpid=991464&amp;utm_medium=export&amp;glc_source=zielonalinia0&amp;utm_source=zielonalinia0</t>
  </si>
  <si>
    <t>21.07.2021</t>
  </si>
  <si>
    <t>2072617</t>
  </si>
  <si>
    <t>25145168</t>
  </si>
  <si>
    <t>2072656</t>
  </si>
  <si>
    <t>25145207</t>
  </si>
  <si>
    <t>Aparatowy</t>
  </si>
  <si>
    <t>https://www.praca.pl/aparatowy_5345405.html</t>
  </si>
  <si>
    <t>2070354</t>
  </si>
  <si>
    <t>24712085</t>
  </si>
  <si>
    <t>RPd057|813101</t>
  </si>
  <si>
    <t>Junior Production Manager</t>
  </si>
  <si>
    <t>Polska, podkarpackie, Pustków-Osiedle</t>
  </si>
  <si>
    <t>https://www.praca.pl/junior-production-manager_5379893.html</t>
  </si>
  <si>
    <t>2070734</t>
  </si>
  <si>
    <t>24952616</t>
  </si>
  <si>
    <t>Lambda S.A.</t>
  </si>
  <si>
    <t>https://www.praca.pl/ciesla_5390198.html</t>
  </si>
  <si>
    <t>2071284</t>
  </si>
  <si>
    <t>25095825</t>
  </si>
  <si>
    <t>Monter karton-gips</t>
  </si>
  <si>
    <t>Monter płyt kartonowo-gipsowych</t>
  </si>
  <si>
    <t>https://www.praca.pl/monter-karton-gips_5390246.html</t>
  </si>
  <si>
    <t>2071747</t>
  </si>
  <si>
    <t>25096318</t>
  </si>
  <si>
    <t>RPd057|712901</t>
  </si>
  <si>
    <t>LCloud Sp. z o.o.</t>
  </si>
  <si>
    <t>Junior Linux Administrator &amp; IT Specialist</t>
  </si>
  <si>
    <t>https://www.pracuj.pl/praca/junior-linux-administrator-it-specialist-podkarpackie,oferta,500133088</t>
  </si>
  <si>
    <t>2077146</t>
  </si>
  <si>
    <t>25149755</t>
  </si>
  <si>
    <t>2073719</t>
  </si>
  <si>
    <t>25146270</t>
  </si>
  <si>
    <t>https://www.pracuj.pl/praca/pracownik-sklepu-etat-87h-lub-130h-brzozow,oferta,1001137222</t>
  </si>
  <si>
    <t>2078749</t>
  </si>
  <si>
    <t>25151358</t>
  </si>
  <si>
    <t>1802</t>
  </si>
  <si>
    <t>https://www.pracuj.pl/praca/pracownik-sklepu-etat-87h-lub-130h-sanok,oferta,1001137223</t>
  </si>
  <si>
    <t>2078750</t>
  </si>
  <si>
    <t>25151359</t>
  </si>
  <si>
    <t>https://www.pracuj.pl/praca/it-helpdesk-support-mielec,oferta,1001136470</t>
  </si>
  <si>
    <t>2078109</t>
  </si>
  <si>
    <t>25150718</t>
  </si>
  <si>
    <t>2072066</t>
  </si>
  <si>
    <t>25144617</t>
  </si>
  <si>
    <t>Lumel Alucast Sp. z o.o.</t>
  </si>
  <si>
    <t>Menadżer Sprzedaży Systemów Średniego Napięcia</t>
  </si>
  <si>
    <t>https://www.praca.pl/menadzer-sprzedazy-systemow-sredniego-napiecia_5351048.html</t>
  </si>
  <si>
    <t>2070646</t>
  </si>
  <si>
    <t>24772340</t>
  </si>
  <si>
    <t>MAM Przedsiębiorstwo Produkcyjno-Usługowo-Handlowe</t>
  </si>
  <si>
    <t>Polska, podkarpackie, Dobrzechów (pow. strzyżowski)</t>
  </si>
  <si>
    <t>https://www.pracuj.pl/praca/operator-maszyn-cnc-dobrzechow-pow-strzyzowski,oferta,1001138001</t>
  </si>
  <si>
    <t>2079455</t>
  </si>
  <si>
    <t>25152064</t>
  </si>
  <si>
    <t>1819</t>
  </si>
  <si>
    <t>(Junior) Strategy Planner</t>
  </si>
  <si>
    <t>https://www.praca.pl/junior-strategy-planner_5397269.html</t>
  </si>
  <si>
    <t>2071510</t>
  </si>
  <si>
    <t>25096059</t>
  </si>
  <si>
    <t>https://gratka.pl/praca/pracownik-produkcji/ob/22329643?utm_source=zielonalinia.pl&amp;utm_medium=zielonalinia&amp;utm_campaign=export_xml</t>
  </si>
  <si>
    <t>18.08.2021 03:15</t>
  </si>
  <si>
    <t>2070074</t>
  </si>
  <si>
    <t>23506841</t>
  </si>
  <si>
    <t>1804</t>
  </si>
  <si>
    <t>Lekarz Endodonta</t>
  </si>
  <si>
    <t>https://www.praca.pl/lekarz-endodonta_5401481.html</t>
  </si>
  <si>
    <t>2070933</t>
  </si>
  <si>
    <t>25095449</t>
  </si>
  <si>
    <t>Lekarz dentysta - specjalista stomatologii dziecięcej</t>
  </si>
  <si>
    <t>https://www.praca.pl/lekarz-stomatolog_5401460.html</t>
  </si>
  <si>
    <t>2070931</t>
  </si>
  <si>
    <t>25095447</t>
  </si>
  <si>
    <t>RPd057|226207</t>
  </si>
  <si>
    <t>MERXU SPÓŁKA Z OGRANICZONĄ ODPOWIEDZIALNOŚCIĄ</t>
  </si>
  <si>
    <t>Telefoniczny doradca ds. sprzedaży B2B</t>
  </si>
  <si>
    <t>https://www.pracuj.pl/praca/telefoniczny-doradca-ds-sprzedazy-b2b-podkarpackie,oferta,8312214</t>
  </si>
  <si>
    <t>2077066</t>
  </si>
  <si>
    <t>25149675</t>
  </si>
  <si>
    <t>Doradca Klienta - Opiekun Klienta w Biurze Sprzedaży</t>
  </si>
  <si>
    <t>https://www.pracuj.pl/praca/doradca-klienta-opiekun-klienta-w-biurze-sprzedazy-debica,oferta,8311881</t>
  </si>
  <si>
    <t>2076995</t>
  </si>
  <si>
    <t>25149604</t>
  </si>
  <si>
    <t>Ekspert kredytowy</t>
  </si>
  <si>
    <t>https://www.praca.pl/ekspert-kredytowy_5401208.html</t>
  </si>
  <si>
    <t>2070855</t>
  </si>
  <si>
    <t>25095368</t>
  </si>
  <si>
    <t>Opiekun ds. obsługi klienta</t>
  </si>
  <si>
    <t>https://www.praca.pl/opiekun-ds-obslugi-klienta_5401814.html</t>
  </si>
  <si>
    <t>2070840</t>
  </si>
  <si>
    <t>25095353</t>
  </si>
  <si>
    <t>https://www.praca.pl/operator-wozka-widlowego_5397422.html</t>
  </si>
  <si>
    <t>2071458</t>
  </si>
  <si>
    <t>25096006</t>
  </si>
  <si>
    <t>Pomocnik produkcyjny - pralnia (mile widziane pary)</t>
  </si>
  <si>
    <t>Pracownik pralni chemicznej</t>
  </si>
  <si>
    <t>https://www.praca.pl/pomocnik-produkcyjny-pralnia-mile-widziane-pary_5351729.html</t>
  </si>
  <si>
    <t>2070528</t>
  </si>
  <si>
    <t>24712344</t>
  </si>
  <si>
    <t>RPd057|815702</t>
  </si>
  <si>
    <t>Pomocnik w pralni przemysłowej - praca również dla par i grup</t>
  </si>
  <si>
    <t>https://www.praca.pl/pomocnik-w-pralni-przemyslowej-praca-rowniez-dla-par-i-grup_5397374.html</t>
  </si>
  <si>
    <t>2071474</t>
  </si>
  <si>
    <t>25096022</t>
  </si>
  <si>
    <t>Pracownik laboratorium - produkcja sadzonek - bez znajomości j. niem.</t>
  </si>
  <si>
    <t>Pomoc laboratoryjna</t>
  </si>
  <si>
    <t>https://www.praca.pl/pracownik-laboratorium-produkcja-sadzonek-bez-znajomosci-j-niem_5397503.html</t>
  </si>
  <si>
    <t>2071441</t>
  </si>
  <si>
    <t>25095989</t>
  </si>
  <si>
    <t>RPd057|911204</t>
  </si>
  <si>
    <t>Pracownik produkcji - dekoracje czekoladowe</t>
  </si>
  <si>
    <t>https://www.praca.pl/pracownik-produkcji-dekoracje-czekoladowe_5397326.html</t>
  </si>
  <si>
    <t>2071490</t>
  </si>
  <si>
    <t>25096038</t>
  </si>
  <si>
    <t>Stażysta ds. Sprzedaży Leasingu  W Oddziale Korporacyjnym</t>
  </si>
  <si>
    <t>https://www.pracuj.pl/praca/stazysta-ds-sprzedazy-leasingu-w-oddziale-korporacyjnym-rzeszow,oferta,1001136950</t>
  </si>
  <si>
    <t>2078487</t>
  </si>
  <si>
    <t>25151096</t>
  </si>
  <si>
    <t>2072367</t>
  </si>
  <si>
    <t>25144918</t>
  </si>
  <si>
    <t>Stażysta/ka w Dziale Komunikacji Wewnętrznej i PR</t>
  </si>
  <si>
    <t>https://www.pracuj.pl/praca/stazysta-ka-w-dziale-komunikacji-wewnetrznej-i-pr-tajecina-pow-rzeszowski,oferta,1001105611</t>
  </si>
  <si>
    <t>18.08.2021 22:50</t>
  </si>
  <si>
    <t>2070126</t>
  </si>
  <si>
    <t>24359671</t>
  </si>
  <si>
    <t>https://www.pracuj.pl/praca/regionalny-przedstawiciel-sprzedazy-podkarpackie,oferta,8310665</t>
  </si>
  <si>
    <t>2076684</t>
  </si>
  <si>
    <t>25149293</t>
  </si>
  <si>
    <t>NDG MEDICAL Sp. z o.o.</t>
  </si>
  <si>
    <t>https://www.pracuj.pl/praca/przedstawiciel-medyczno-farmaceutyczny-podkarpackie,oferta,8311367</t>
  </si>
  <si>
    <t>2076822</t>
  </si>
  <si>
    <t>25149431</t>
  </si>
  <si>
    <t>Netmove Sp. z o.o.</t>
  </si>
  <si>
    <t>Senior SEO Specialist (Starszy specjalista ds. SEO)</t>
  </si>
  <si>
    <t>https://www.pracuj.pl/praca/senior-seo-specialist-starszy-specjalista-ds-seo-podkarpackie,oferta,8311836</t>
  </si>
  <si>
    <t>2076963</t>
  </si>
  <si>
    <t>25149572</t>
  </si>
  <si>
    <t>RPd057|351404</t>
  </si>
  <si>
    <t>2076086</t>
  </si>
  <si>
    <t>25148637</t>
  </si>
  <si>
    <t>Technik farmaceutyczny Dębica</t>
  </si>
  <si>
    <t>https://www.goldenline.pl/praca/oferta/1281894/zielonalinia0?utm_campaign=partner&amp;gpid=991578&amp;utm_medium=export&amp;glc_source=zielonalinia0&amp;utm_source=zielonalinia0</t>
  </si>
  <si>
    <t>2073012</t>
  </si>
  <si>
    <t>25145563</t>
  </si>
  <si>
    <t>BTS Operability Specification Engineer [rekrutacja online]</t>
  </si>
  <si>
    <t>https://www.praca.pl/bts-operability-specification-engineer-rekrutacja-online_5377889.html</t>
  </si>
  <si>
    <t>2070703</t>
  </si>
  <si>
    <t>24952578</t>
  </si>
  <si>
    <t>Feature Project Manager</t>
  </si>
  <si>
    <t>https://www.pracuj.pl/praca/feature-project-manager-subcarpathia,oferta,8311727</t>
  </si>
  <si>
    <t>30.09.2021</t>
  </si>
  <si>
    <t>2076932</t>
  </si>
  <si>
    <t>25149541</t>
  </si>
  <si>
    <t>Feature Project Manager [rekrutacja online]</t>
  </si>
  <si>
    <t>https://www.praca.pl/feature-project-manager-rekrutacja-online_5352605.html</t>
  </si>
  <si>
    <t>2070397</t>
  </si>
  <si>
    <t>24712140</t>
  </si>
  <si>
    <t>Java Software Developer   [rekrutacja online]</t>
  </si>
  <si>
    <t>https://www.praca.pl/java-software-developer-rekrutacja-online_5352659.html</t>
  </si>
  <si>
    <t>2070467</t>
  </si>
  <si>
    <t>24712219</t>
  </si>
  <si>
    <t>Linux C Embedded Software Engineer [rekrutacja online]</t>
  </si>
  <si>
    <t>https://www.praca.pl/linux-c-embedded-software-engineer-rekrutacja-online_5377841.html</t>
  </si>
  <si>
    <t>2070719</t>
  </si>
  <si>
    <t>24952594</t>
  </si>
  <si>
    <t>Python Automation Engineer [rekrutacja online]</t>
  </si>
  <si>
    <t>https://www.praca.pl/python-automation-engineer-rekrutacja-online_5398640.html</t>
  </si>
  <si>
    <t>2071313</t>
  </si>
  <si>
    <t>25095854</t>
  </si>
  <si>
    <t>Novartis Pharma</t>
  </si>
  <si>
    <t>Przedstawiciel Medyczny Przedstawiciel Medyczny Linia Alergologia i Pulmonologia  (Rzeszów, Olkusz, Wieliczka, Nowy Sącz, Tarnów)</t>
  </si>
  <si>
    <t>https://www.pracuj.pl/praca/przedstawiciel-medyczny-przedstawiciel-medyczny-linia-alergologia-i-pulmonologia-rzeszow,oferta,1001136306</t>
  </si>
  <si>
    <t>2077950</t>
  </si>
  <si>
    <t>25150559</t>
  </si>
  <si>
    <t>Low-code Engineer (PowerApps)</t>
  </si>
  <si>
    <t>https://www.praca.pl/low-code-engineer-powerapps_5320118.html</t>
  </si>
  <si>
    <t>04.09.2021</t>
  </si>
  <si>
    <t>2070152</t>
  </si>
  <si>
    <t>24426454</t>
  </si>
  <si>
    <t>https://www.pracuj.pl/praca/project-manager-subcarpathia,oferta,8310188</t>
  </si>
  <si>
    <t>2076558</t>
  </si>
  <si>
    <t>25149167</t>
  </si>
  <si>
    <t>Polska, podkarpackie, Jarosław - CH Stara Ujeżdżalnia</t>
  </si>
  <si>
    <t>https://www.praca.pl/doradca-klienta_5360069.html</t>
  </si>
  <si>
    <t>18.08.2021 04:37</t>
  </si>
  <si>
    <t>2070587</t>
  </si>
  <si>
    <t>24771958</t>
  </si>
  <si>
    <t>https://www.praca.pl/doradca-klienta_5360063.html</t>
  </si>
  <si>
    <t>2070590</t>
  </si>
  <si>
    <t>24771962</t>
  </si>
  <si>
    <t>Asystent ds. Rekrutacji i Szkoleń Kosmetycznych</t>
  </si>
  <si>
    <t>https://www.pracuj.pl/praca/asystent-ds-rekrutacji-i-szkolen-kosmetycznych-podkarpackie,oferta,500133186</t>
  </si>
  <si>
    <t>2077244</t>
  </si>
  <si>
    <t>25149853</t>
  </si>
  <si>
    <t>Pareto Publishing</t>
  </si>
  <si>
    <t>Junior Email Marketing Specialist</t>
  </si>
  <si>
    <t>https://www.praca.pl/junior-email-marketing-specialist_5401178.html</t>
  </si>
  <si>
    <t>2070949</t>
  </si>
  <si>
    <t>25095465</t>
  </si>
  <si>
    <t>(Remote) E-commerce Strategy Planner</t>
  </si>
  <si>
    <t>https://www.pracuj.pl/praca/remote-e-commerce-strategy-planner-subcarpathia,oferta,8311949</t>
  </si>
  <si>
    <t>2077010</t>
  </si>
  <si>
    <t>25149619</t>
  </si>
  <si>
    <t>PHOENIX CONTACT E-MOBILITY SPÓŁKA Z OGRANICZONĄ ODPOWIEDZIALNOŚCIĄ</t>
  </si>
  <si>
    <t>Dysponent Logistyki</t>
  </si>
  <si>
    <t>https://www.pracuj.pl/praca/dysponent-logistyki-rzeszow,oferta,1001136785</t>
  </si>
  <si>
    <t>2078371</t>
  </si>
  <si>
    <t>25150980</t>
  </si>
  <si>
    <t>Specjalista ds. Jakości</t>
  </si>
  <si>
    <t>https://www.pracuj.pl/praca/specjalista-ds-jakosci-rzeszow,oferta,1001137729</t>
  </si>
  <si>
    <t>2079202</t>
  </si>
  <si>
    <t>25151811</t>
  </si>
  <si>
    <t>PHU ALEX Aleksander Śnieżko-Błocki</t>
  </si>
  <si>
    <t>Doradca Energetyczny ds. OZE Fotowoltaika, Pompy Ciepła, Elektromobilność</t>
  </si>
  <si>
    <t>https://www.pracuj.pl/praca/doradca-energetyczny-ds-oze-fotowoltaika-pompy-ciepla-elektromobilnosc-podkarpackie,oferta,500133243</t>
  </si>
  <si>
    <t>2077300</t>
  </si>
  <si>
    <t>25149909</t>
  </si>
  <si>
    <t>Kontroler wewnętrzny ds. kontroli gospodarczej</t>
  </si>
  <si>
    <t>Kontroler kolejowy</t>
  </si>
  <si>
    <t>https://www.praca.pl/kontroler-wewnetrzny-ds-kontroli-gospodarczej_5399417.html</t>
  </si>
  <si>
    <t>2071201</t>
  </si>
  <si>
    <t>25095730</t>
  </si>
  <si>
    <t>RPd057|214920</t>
  </si>
  <si>
    <t>Polsko-Niemiecka Izba Przemysłowo-Handlowa (AHK Polska)</t>
  </si>
  <si>
    <t>Kierownik Sprzedaży usług do zarządzania flotą samochodową</t>
  </si>
  <si>
    <t>https://www.pracuj.pl/praca/kierownik-sprzedazy-uslug-do-zarzadzania-flota-samochodowa-podkarpackie,oferta,8310006</t>
  </si>
  <si>
    <t>2076493</t>
  </si>
  <si>
    <t>25149102</t>
  </si>
  <si>
    <t>Pontoon Solutions</t>
  </si>
  <si>
    <t>Reporting Data Analyst</t>
  </si>
  <si>
    <t>https://www.pracuj.pl/praca/reporting-data-analyst-rzeszow,oferta,1001137088</t>
  </si>
  <si>
    <t>2078622</t>
  </si>
  <si>
    <t>25151231</t>
  </si>
  <si>
    <t>Powiatowy Inspektorat Nadzoru Budowlanego w Leżajsku</t>
  </si>
  <si>
    <t>https://www.praca.pl/ekspert-nadzoru-budowlanego_5396018.html</t>
  </si>
  <si>
    <t>2071724</t>
  </si>
  <si>
    <t>25096295</t>
  </si>
  <si>
    <t>2075490</t>
  </si>
  <si>
    <t>25148041</t>
  </si>
  <si>
    <t>2072732</t>
  </si>
  <si>
    <t>25145283</t>
  </si>
  <si>
    <t>2075256</t>
  </si>
  <si>
    <t>25147807</t>
  </si>
  <si>
    <t>2071967</t>
  </si>
  <si>
    <t>25144518</t>
  </si>
  <si>
    <t>2074424</t>
  </si>
  <si>
    <t>25146975</t>
  </si>
  <si>
    <t>2072240</t>
  </si>
  <si>
    <t>25144791</t>
  </si>
  <si>
    <t>2073504</t>
  </si>
  <si>
    <t>25146055</t>
  </si>
  <si>
    <t>2074169</t>
  </si>
  <si>
    <t>25146720</t>
  </si>
  <si>
    <t>https://www.goldenline.pl/praca/oferta/1281872/zielonalinia0?utm_campaign=partner&amp;gpid=991554&amp;utm_medium=export&amp;glc_source=zielonalinia0&amp;utm_source=zielonalinia0</t>
  </si>
  <si>
    <t>2073660</t>
  </si>
  <si>
    <t>25146211</t>
  </si>
  <si>
    <t>2075445</t>
  </si>
  <si>
    <t>25147996</t>
  </si>
  <si>
    <t>Prosperum Care sp. z o.o. sp.k.</t>
  </si>
  <si>
    <t>Opiekun Klienta z językiem niemieckim</t>
  </si>
  <si>
    <t>https://www.praca.pl/opiekun-klienta-z-jezykiem-niemieckim_5399372.html</t>
  </si>
  <si>
    <t>2071218</t>
  </si>
  <si>
    <t>25095747</t>
  </si>
  <si>
    <t>2073818</t>
  </si>
  <si>
    <t>25146369</t>
  </si>
  <si>
    <t>2075655</t>
  </si>
  <si>
    <t>25148206</t>
  </si>
  <si>
    <t>2074502</t>
  </si>
  <si>
    <t>25147053</t>
  </si>
  <si>
    <t>2073265</t>
  </si>
  <si>
    <t>25145816</t>
  </si>
  <si>
    <t>https://www.goldenline.pl/praca/oferta/1281170/zielonalinia0?utm_campaign=partner&amp;gpid=990838&amp;utm_medium=export&amp;glc_source=zielonalinia0&amp;utm_source=zielonalinia0</t>
  </si>
  <si>
    <t>19.07.2021</t>
  </si>
  <si>
    <t>2074569</t>
  </si>
  <si>
    <t>25147120</t>
  </si>
  <si>
    <t>2073718</t>
  </si>
  <si>
    <t>25146269</t>
  </si>
  <si>
    <t>2075521</t>
  </si>
  <si>
    <t>25148072</t>
  </si>
  <si>
    <t>2074152</t>
  </si>
  <si>
    <t>25146703</t>
  </si>
  <si>
    <t>https://www.goldenline.pl/praca/oferta/1280218/zielonalinia0?utm_campaign=partner&amp;gpid=989894&amp;utm_medium=export&amp;glc_source=zielonalinia0&amp;utm_source=zielonalinia0</t>
  </si>
  <si>
    <t>22.07.2021</t>
  </si>
  <si>
    <t>2072810</t>
  </si>
  <si>
    <t>25145361</t>
  </si>
  <si>
    <t>https://www.goldenline.pl/praca/oferta/1280528/zielonalinia0?utm_campaign=partner&amp;gpid=990204&amp;utm_medium=export&amp;glc_source=zielonalinia0&amp;utm_source=zielonalinia0</t>
  </si>
  <si>
    <t>16.07.2021</t>
  </si>
  <si>
    <t>2072870</t>
  </si>
  <si>
    <t>25145421</t>
  </si>
  <si>
    <t>https://www.goldenline.pl/praca/oferta/1282030/zielonalinia0?utm_campaign=partner&amp;gpid=991836&amp;utm_medium=export&amp;glc_source=zielonalinia0&amp;utm_source=zielonalinia0</t>
  </si>
  <si>
    <t>2072973</t>
  </si>
  <si>
    <t>25145524</t>
  </si>
  <si>
    <t>https://www.goldenline.pl/praca/oferta/1280530/zielonalinia0?utm_campaign=partner&amp;gpid=990206&amp;utm_medium=export&amp;glc_source=zielonalinia0&amp;utm_source=zielonalinia0</t>
  </si>
  <si>
    <t>2073725</t>
  </si>
  <si>
    <t>25146276</t>
  </si>
  <si>
    <t>1806</t>
  </si>
  <si>
    <t>2075083</t>
  </si>
  <si>
    <t>25147634</t>
  </si>
  <si>
    <t>https://www.goldenline.pl/praca/oferta/1280216/zielonalinia0?utm_campaign=partner&amp;gpid=989892&amp;utm_medium=export&amp;glc_source=zielonalinia0&amp;utm_source=zielonalinia0</t>
  </si>
  <si>
    <t>2075922</t>
  </si>
  <si>
    <t>25148473</t>
  </si>
  <si>
    <t>QBICO SPÓŁKA Z OGRANICZONĄ ODPOWIEDZIALNOŚCIĄ</t>
  </si>
  <si>
    <t>C# Developer</t>
  </si>
  <si>
    <t>https://www.pracuj.pl/praca/c%23-developer-podkarpackie,oferta,8311865</t>
  </si>
  <si>
    <t>2076979</t>
  </si>
  <si>
    <t>25149588</t>
  </si>
  <si>
    <t>QODECA sp. z o.o.</t>
  </si>
  <si>
    <t>https://www.pracuj.pl/praca/frontend-developer-rzeszow,oferta,1001137488</t>
  </si>
  <si>
    <t>2078971</t>
  </si>
  <si>
    <t>25151580</t>
  </si>
  <si>
    <t>https://www.pracuj.pl/praca/net-developer-rzeszow,oferta,1001137510</t>
  </si>
  <si>
    <t>2078993</t>
  </si>
  <si>
    <t>25151602</t>
  </si>
  <si>
    <t>https://www.goldenline.pl/praca/oferta/1282084/zielonalinia0?utm_campaign=partner&amp;gpid=991752&amp;utm_medium=export&amp;glc_source=zielonalinia0&amp;utm_source=zielonalinia0</t>
  </si>
  <si>
    <t>2075717</t>
  </si>
  <si>
    <t>25148268</t>
  </si>
  <si>
    <t>Recruit Europe Sp.zo.o.</t>
  </si>
  <si>
    <t>https://www.goldenline.pl/praca/oferta/1282042/zielonalinia0?utm_campaign=partner&amp;gpid=991820&amp;utm_medium=export&amp;glc_source=zielonalinia0&amp;utm_source=zielonalinia0</t>
  </si>
  <si>
    <t>2074978</t>
  </si>
  <si>
    <t>25147529</t>
  </si>
  <si>
    <t>https://www.praca.pl/operator-koparki_5352293.html</t>
  </si>
  <si>
    <t>2070497</t>
  </si>
  <si>
    <t>24712265</t>
  </si>
  <si>
    <t>https://www.pracuj.pl/praca/asystent-kierownika-sklepu-rzeszow,oferta,1001138548</t>
  </si>
  <si>
    <t>2079949</t>
  </si>
  <si>
    <t>25152558</t>
  </si>
  <si>
    <t>Programista baz danych</t>
  </si>
  <si>
    <t>https://www.pracuj.pl/praca/programista-baz-danych-podkarpackie,oferta,8311495</t>
  </si>
  <si>
    <t>2076877</t>
  </si>
  <si>
    <t>25149486</t>
  </si>
  <si>
    <t>Samat Polska Sp. z o.o.</t>
  </si>
  <si>
    <t>Kierowca kat. C+E w transporcie międzynarodowym - Autotransport</t>
  </si>
  <si>
    <t>https://www.pracuj.pl/praca/kierowca-kat-c%2be-w-transporcie-miedzynarodowym-autotransport-podkarpackie,oferta,8311187</t>
  </si>
  <si>
    <t>2076770</t>
  </si>
  <si>
    <t>25149379</t>
  </si>
  <si>
    <t>Sempre Farby Sp. z o.o.</t>
  </si>
  <si>
    <t>https://www.pracuj.pl/praca/regionalny-przedstawiciel-handlowy-podkarpackie,oferta,8309768</t>
  </si>
  <si>
    <t>2076473</t>
  </si>
  <si>
    <t>25149082</t>
  </si>
  <si>
    <t>AEM Front-End Developer</t>
  </si>
  <si>
    <t>https://www.pracuj.pl/praca/aem-front-end-developer-rzeszow,oferta,1001136826</t>
  </si>
  <si>
    <t>2078410</t>
  </si>
  <si>
    <t>25151019</t>
  </si>
  <si>
    <t>IBMi/RPG Engineer</t>
  </si>
  <si>
    <t>https://www.pracuj.pl/praca/ibmi-rpg-engineer-rzeszow,oferta,1001138318</t>
  </si>
  <si>
    <t>2079742</t>
  </si>
  <si>
    <t>25152351</t>
  </si>
  <si>
    <t>Konsultant Microsoft Dynamics 365 CRM</t>
  </si>
  <si>
    <t>https://www.pracuj.pl/praca/konsultant-microsoft-dynamics-365-crm-rzeszow,oferta,1001135074</t>
  </si>
  <si>
    <t>2077430</t>
  </si>
  <si>
    <t>25150039</t>
  </si>
  <si>
    <t>https://www.pracuj.pl/praca/net-developer-rzeszow,oferta,1001134975</t>
  </si>
  <si>
    <t>2077415</t>
  </si>
  <si>
    <t>25150024</t>
  </si>
  <si>
    <t>NodeJS Developer</t>
  </si>
  <si>
    <t>https://www.pracuj.pl/praca/nodejs-developer-rzeszow,oferta,1001138284</t>
  </si>
  <si>
    <t>2079710</t>
  </si>
  <si>
    <t>25152319</t>
  </si>
  <si>
    <t>Regular Java Developer</t>
  </si>
  <si>
    <t>https://www.pracuj.pl/praca/regular-java-developer-rzeszow,oferta,1001138265</t>
  </si>
  <si>
    <t>2079692</t>
  </si>
  <si>
    <t>25152301</t>
  </si>
  <si>
    <t>Regular Java Developer in Test</t>
  </si>
  <si>
    <t>https://www.pracuj.pl/praca/regular-java-developer-in-test-rzeszow,oferta,1001138355</t>
  </si>
  <si>
    <t>2079776</t>
  </si>
  <si>
    <t>25152385</t>
  </si>
  <si>
    <t>SAS Infrastructure Engineer</t>
  </si>
  <si>
    <t>https://www.pracuj.pl/praca/sas-infrastructure-engineer-rzeszow,oferta,1001138304</t>
  </si>
  <si>
    <t>2079728</t>
  </si>
  <si>
    <t>25152337</t>
  </si>
  <si>
    <t>Xamarin Developer</t>
  </si>
  <si>
    <t>https://www.pracuj.pl/praca/xamarin-developer-rzeszow,oferta,1001137273</t>
  </si>
  <si>
    <t>2078799</t>
  </si>
  <si>
    <t>25151408</t>
  </si>
  <si>
    <t>Silky Coders sp. z o.o.</t>
  </si>
  <si>
    <t>System Architekt - Backend</t>
  </si>
  <si>
    <t>https://www.pracuj.pl/praca/system-architekt-backend-podkarpackie,oferta,8310416</t>
  </si>
  <si>
    <t>2076604</t>
  </si>
  <si>
    <t>25149213</t>
  </si>
  <si>
    <t>SimpleHomes Inc.</t>
  </si>
  <si>
    <t>3D CAD Designer</t>
  </si>
  <si>
    <t>https://www.praca.pl/3d-cad-designer_5396813.html</t>
  </si>
  <si>
    <t>2071580</t>
  </si>
  <si>
    <t>25096147</t>
  </si>
  <si>
    <t>SOLENERGA SP. Z O.O.</t>
  </si>
  <si>
    <t>Partner Handlowy ds. OZE</t>
  </si>
  <si>
    <t>https://www.pracuj.pl/praca/partner-handlowy-ds-oze-podkarpackie,oferta,8309668</t>
  </si>
  <si>
    <t>2076447</t>
  </si>
  <si>
    <t>25149056</t>
  </si>
  <si>
    <t>Przedstawiciel Handlowy ds. Fotowoltaiki i Pomp Ciepła</t>
  </si>
  <si>
    <t>https://www.pracuj.pl/praca/przedstawiciel-handlowy-ds-fotowoltaiki-i-pomp-ciepla-podkarpackie,oferta,8309637</t>
  </si>
  <si>
    <t>2076423</t>
  </si>
  <si>
    <t>25149032</t>
  </si>
  <si>
    <t>Specjalista/ Koordynator Montaży Pomp Ciepła</t>
  </si>
  <si>
    <t>Inżynier inżynierii środowiska - systemy wodociągowe i kanalizacyjne</t>
  </si>
  <si>
    <t>https://www.pracuj.pl/praca/specjalista-koordynator-montazy-pomp-ciepla-podkarpackie,oferta,8309618</t>
  </si>
  <si>
    <t>2076408</t>
  </si>
  <si>
    <t>25149017</t>
  </si>
  <si>
    <t>RPd057|214306</t>
  </si>
  <si>
    <t>Płatny Staż na stanowisku Operator Pras do Obróbki Plastycznej Blach na Zimno</t>
  </si>
  <si>
    <t>Operator urządzeń walcowni</t>
  </si>
  <si>
    <t>https://www.pracuj.pl/praca/platny-staz-na-stanowisku-operator-pras-do-obrobki-plastycznej-blach-na-zimno-tajecina-pow-rzeszowski,oferta,1001138294</t>
  </si>
  <si>
    <t>2079719</t>
  </si>
  <si>
    <t>25152328</t>
  </si>
  <si>
    <t>RPd057|812114</t>
  </si>
  <si>
    <t>2072867</t>
  </si>
  <si>
    <t>25145418</t>
  </si>
  <si>
    <t>2072875</t>
  </si>
  <si>
    <t>25145426</t>
  </si>
  <si>
    <t>2073245</t>
  </si>
  <si>
    <t>25145796</t>
  </si>
  <si>
    <t>2073338</t>
  </si>
  <si>
    <t>25145889</t>
  </si>
  <si>
    <t>2073545</t>
  </si>
  <si>
    <t>25146096</t>
  </si>
  <si>
    <t>2074189</t>
  </si>
  <si>
    <t>25146740</t>
  </si>
  <si>
    <t>TBM SOFTWARE SPÓŁKA Z O.O.</t>
  </si>
  <si>
    <t>https://www.pracuj.pl/praca/kierownik-budowy-podkarpackie,oferta,8310806</t>
  </si>
  <si>
    <t>2076718</t>
  </si>
  <si>
    <t>25149327</t>
  </si>
  <si>
    <t>Kosztorysant Robót Budowlanych</t>
  </si>
  <si>
    <t>https://www.pracuj.pl/praca/kosztorysant-robot-budowlanych-podkarpackie,oferta,8310800</t>
  </si>
  <si>
    <t>2076716</t>
  </si>
  <si>
    <t>25149325</t>
  </si>
  <si>
    <t>Teleperformance Polska</t>
  </si>
  <si>
    <t>English – Polish Translator</t>
  </si>
  <si>
    <t>https://www.pracuj.pl/praca/english-polish-translator-subcarpathia,oferta,8311278</t>
  </si>
  <si>
    <t>2076802</t>
  </si>
  <si>
    <t>25149411</t>
  </si>
  <si>
    <t>telXira GmbH</t>
  </si>
  <si>
    <t>https://www.pracuj.pl/praca/devops-engineer-podkarpackie,oferta,8310558</t>
  </si>
  <si>
    <t>2076645</t>
  </si>
  <si>
    <t>25149254</t>
  </si>
  <si>
    <t>Full Stack Developer</t>
  </si>
  <si>
    <t>https://www.pracuj.pl/praca/full-stack-developer-podkarpackie,oferta,8310532</t>
  </si>
  <si>
    <t>2076629</t>
  </si>
  <si>
    <t>25149238</t>
  </si>
  <si>
    <t>TMF Group</t>
  </si>
  <si>
    <t>Legal Counsel IT</t>
  </si>
  <si>
    <t>https://www.pracuj.pl/praca/legal-counsel-it-subcarpathia,oferta,8310211</t>
  </si>
  <si>
    <t>2076574</t>
  </si>
  <si>
    <t>25149183</t>
  </si>
  <si>
    <t>TOP DESIGN STUDIO SP Z O O</t>
  </si>
  <si>
    <t>Stolarz Meblowy</t>
  </si>
  <si>
    <t>Stolarz meblowy</t>
  </si>
  <si>
    <t>https://www.pracuj.pl/praca/stolarz-meblowy-jasionka-pow-rzeszowski,oferta,1001137287</t>
  </si>
  <si>
    <t>2078808</t>
  </si>
  <si>
    <t>25151417</t>
  </si>
  <si>
    <t>RPd057|752208</t>
  </si>
  <si>
    <t>TP TELTECH Sp. z o.o.</t>
  </si>
  <si>
    <t>Specjalista ds. Sprzedaży fotowoltaiki</t>
  </si>
  <si>
    <t>https://www.goldenline.pl/praca/oferta/1280566/zielonalinia0?utm_campaign=partner&amp;gpid=990240&amp;utm_medium=export&amp;glc_source=zielonalinia0&amp;utm_source=zielonalinia0</t>
  </si>
  <si>
    <t>2075536</t>
  </si>
  <si>
    <t>25148087</t>
  </si>
  <si>
    <t>Und-Hair Distribution</t>
  </si>
  <si>
    <t>https://www.pracuj.pl/praca/przedstawiciel-handlowy-podkarpackie,oferta,8309460</t>
  </si>
  <si>
    <t>2076352</t>
  </si>
  <si>
    <t>25148961</t>
  </si>
  <si>
    <t>VITA SP. Z O.O.</t>
  </si>
  <si>
    <t>https://www.pracuj.pl/praca/glowna-ksiegowa-swilcza-pow-rzeszowski,oferta,500133252</t>
  </si>
  <si>
    <t>2077309</t>
  </si>
  <si>
    <t>25149918</t>
  </si>
  <si>
    <t>Vosti Energy Sp. z. o. o. Sp.k.</t>
  </si>
  <si>
    <t>Doradca Techniczno-Handlowy B2B w branży fotowoltaicznej</t>
  </si>
  <si>
    <t>https://www.pracuj.pl/praca/doradca-techniczno-handlowy-b2b-w-branzy-fotowoltaicznej-podkarpackie,oferta,8309445</t>
  </si>
  <si>
    <t>2076340</t>
  </si>
  <si>
    <t>25148949</t>
  </si>
  <si>
    <t>VOTUM ENERGY S.A.</t>
  </si>
  <si>
    <t>Doradca ds. fotowoltaiki i systemów grzewczych</t>
  </si>
  <si>
    <t>https://www.pracuj.pl/praca/doradca-ds-fotowoltaiki-i-systemow-grzewczych-podkarpackie,oferta,8312243</t>
  </si>
  <si>
    <t>2077089</t>
  </si>
  <si>
    <t>25149698</t>
  </si>
  <si>
    <t>2076028</t>
  </si>
  <si>
    <t>25148579</t>
  </si>
  <si>
    <t>WelmaS</t>
  </si>
  <si>
    <t>https://www.pracuj.pl/praca/przedstawiciel-handlowy-brzozow,oferta,8310596</t>
  </si>
  <si>
    <t>2076661</t>
  </si>
  <si>
    <t>25149270</t>
  </si>
  <si>
    <t>Wurth Polska Sp. z o.o.</t>
  </si>
  <si>
    <t>Przedstawiciel handlowy ds. sprzedaży do warsztatów i serwisów samochodowych</t>
  </si>
  <si>
    <t>https://www.praca.pl/przedstawiciel-handlowy-ds-sprzedazy-do-warsztatow-i-serwisow-samochodowych_5399219.html</t>
  </si>
  <si>
    <t>2071252</t>
  </si>
  <si>
    <t>25095783</t>
  </si>
  <si>
    <t>Menedżer Salonu</t>
  </si>
  <si>
    <t>https://www.pracuj.pl/praca/menedzer-salonu-rzeszow,oferta,1001137425</t>
  </si>
  <si>
    <t>2078915</t>
  </si>
  <si>
    <t>25151524</t>
  </si>
  <si>
    <t>Zakład Artykułów Ściernych "ARMES"</t>
  </si>
  <si>
    <t>Pracownik Narzędziowni</t>
  </si>
  <si>
    <t>https://www.pracuj.pl/praca/pracownik-narzedziowni-nisko,oferta,1001138340</t>
  </si>
  <si>
    <t>2079762</t>
  </si>
  <si>
    <t>25152371</t>
  </si>
  <si>
    <t>Enterprise Sales Manager</t>
  </si>
  <si>
    <t>https://www.pracuj.pl/praca/enterprise-sales-manager-subcarpathia,oferta,8311456</t>
  </si>
  <si>
    <t>2076863</t>
  </si>
  <si>
    <t>25149472</t>
  </si>
  <si>
    <t>2073816</t>
  </si>
  <si>
    <t>25146367</t>
  </si>
  <si>
    <t>https://www.pracuj.pl/praca/dyrektor-finansowy-mielec,oferta,1001119698</t>
  </si>
  <si>
    <t>11.08.2021 04:36</t>
  </si>
  <si>
    <t>2086740</t>
  </si>
  <si>
    <t>24765999</t>
  </si>
  <si>
    <t>Abalone Poland Sp. z o.o.</t>
  </si>
  <si>
    <t>https://www.pracuj.pl/praca/inzynier-utrzymania-ruchu-stalowa-wola,oferta,1001122856</t>
  </si>
  <si>
    <t>11.08.2021 03:40</t>
  </si>
  <si>
    <t>2088819</t>
  </si>
  <si>
    <t>24768079</t>
  </si>
  <si>
    <t>Mechanik - Automatyk</t>
  </si>
  <si>
    <t>16.11.2021</t>
  </si>
  <si>
    <t>https://www.pracuj.pl/praca/mechanik-automatyk-stalowa-wola,oferta,1001122899</t>
  </si>
  <si>
    <t>2088858</t>
  </si>
  <si>
    <t>24768118</t>
  </si>
  <si>
    <t>Accenture Technology</t>
  </si>
  <si>
    <t>AWS Data Engineer</t>
  </si>
  <si>
    <t>03.11.2021</t>
  </si>
  <si>
    <t>https://www.pracuj.pl/praca/aws-data-engineer-podkarpackie,oferta,8226249</t>
  </si>
  <si>
    <t>2085164</t>
  </si>
  <si>
    <t>24764423</t>
  </si>
  <si>
    <t>Big Data Developer (praca zdalna)</t>
  </si>
  <si>
    <t>https://www.pracuj.pl/praca/big-data-developer-praca-zdalna-podkarpackie,oferta,8295193</t>
  </si>
  <si>
    <t>2085695</t>
  </si>
  <si>
    <t>24764954</t>
  </si>
  <si>
    <t>Data &amp; AI Analyst</t>
  </si>
  <si>
    <t>https://www.pracuj.pl/praca/data-ai-analyst-podkarpackie,oferta,8295027</t>
  </si>
  <si>
    <t>2085618</t>
  </si>
  <si>
    <t>24764877</t>
  </si>
  <si>
    <t>Frontend Developer (Tableau, Alteryx)</t>
  </si>
  <si>
    <t>https://www.pracuj.pl/praca/frontend-developer-tableau-alteryx-podkarpackie,oferta,8295114</t>
  </si>
  <si>
    <t>2085650</t>
  </si>
  <si>
    <t>24764909</t>
  </si>
  <si>
    <t>Jira Administrator</t>
  </si>
  <si>
    <t>https://www.pracuj.pl/praca/jira-administrator-podkarpackie,oferta,8291159</t>
  </si>
  <si>
    <t>2085266</t>
  </si>
  <si>
    <t>24764525</t>
  </si>
  <si>
    <t>Junior AWS Data Engineer (get the AWS skill)</t>
  </si>
  <si>
    <t>https://www.pracuj.pl/praca/junior-aws-data-engineer-get-the-aws-skill-podkarpackie,oferta,8295052</t>
  </si>
  <si>
    <t>2085987</t>
  </si>
  <si>
    <t>24765246</t>
  </si>
  <si>
    <t>Junior GCP Data Engineer/Google Academy (zdalnie)</t>
  </si>
  <si>
    <t>https://www.pracuj.pl/praca/junior-gcp-data-engineer-google-academy-zdalnie-podkarpackie,oferta,8295217</t>
  </si>
  <si>
    <t>2085711</t>
  </si>
  <si>
    <t>24764970</t>
  </si>
  <si>
    <t>Vehicle Network Engineer (Możliwość pracy 100% zdalnej)</t>
  </si>
  <si>
    <t>https://www.pracuj.pl/praca/vehicle-network-engineer-mozliwosc-pracy-100-zdalnej-podkarpackie,oferta,8293703</t>
  </si>
  <si>
    <t>2085484</t>
  </si>
  <si>
    <t>24764743</t>
  </si>
  <si>
    <t>https://www.pracuj.pl/praca/bankier-klienta-debica,oferta,1001122653</t>
  </si>
  <si>
    <t>2088642</t>
  </si>
  <si>
    <t>24767902</t>
  </si>
  <si>
    <t>https://www.pracuj.pl/praca/bankier-klienta-krosno,oferta,1001122658</t>
  </si>
  <si>
    <t>2088647</t>
  </si>
  <si>
    <t>24767907</t>
  </si>
  <si>
    <t>https://www.pracuj.pl/praca/bankier-klienta-rzeszow,oferta,1001122668</t>
  </si>
  <si>
    <t>2088657</t>
  </si>
  <si>
    <t>24767917</t>
  </si>
  <si>
    <t>https://www.pracuj.pl/praca/net-developer-rzeszow,oferta,1001122484</t>
  </si>
  <si>
    <t>2088488</t>
  </si>
  <si>
    <t>24767748</t>
  </si>
  <si>
    <t>AMW SINEVIA Sp. z o.o.</t>
  </si>
  <si>
    <t>https://www.pracuj.pl/praca/inzynier-budowy-jaroslaw,oferta,1001120208</t>
  </si>
  <si>
    <t>2087189</t>
  </si>
  <si>
    <t>24766448</t>
  </si>
  <si>
    <t>Inżynier Budowy (Branża elektryczna)</t>
  </si>
  <si>
    <t>https://www.pracuj.pl/praca/inzynier-budowy-branza-elektryczna-jaroslaw,oferta,1001119706</t>
  </si>
  <si>
    <t>2086748</t>
  </si>
  <si>
    <t>24766007</t>
  </si>
  <si>
    <t>Archiwum Państwowe w Przemyślu</t>
  </si>
  <si>
    <t>Młodszy archiwista</t>
  </si>
  <si>
    <t>Archiwista</t>
  </si>
  <si>
    <t>https://www.praca.pl/mlodszy-archiwista_5350484.html</t>
  </si>
  <si>
    <t>11.08.2021 03:05</t>
  </si>
  <si>
    <t>2080876</t>
  </si>
  <si>
    <t>24712543</t>
  </si>
  <si>
    <t>RPd057|262101</t>
  </si>
  <si>
    <t>Arvato Polska</t>
  </si>
  <si>
    <t>https://www.pracuj.pl/praca/net-developer-podkarpackie,oferta,8294206</t>
  </si>
  <si>
    <t>2085884</t>
  </si>
  <si>
    <t>24765143</t>
  </si>
  <si>
    <t>SAP WM Consultant</t>
  </si>
  <si>
    <t>Konsultant komitetu technicznego</t>
  </si>
  <si>
    <t>https://www.pracuj.pl/praca/sap-wm-consultant-podkarpackie,oferta,8294244</t>
  </si>
  <si>
    <t>2085852</t>
  </si>
  <si>
    <t>24765111</t>
  </si>
  <si>
    <t>RPd057|214105</t>
  </si>
  <si>
    <t>Senior Fullstack Developer</t>
  </si>
  <si>
    <t>https://www.praca.pl/senior-fullstack-developer_5289293.html</t>
  </si>
  <si>
    <t>2080267</t>
  </si>
  <si>
    <t>24199027</t>
  </si>
  <si>
    <t>https://www.praca.pl/test-automation-engineer_5248766.html</t>
  </si>
  <si>
    <t>2080211</t>
  </si>
  <si>
    <t>24145620</t>
  </si>
  <si>
    <t>Linux Engineer / DevOps Engineer</t>
  </si>
  <si>
    <t>https://www.praca.pl/linux-engineer-devops-engineer_5306249.html</t>
  </si>
  <si>
    <t>2080349</t>
  </si>
  <si>
    <t>24306035</t>
  </si>
  <si>
    <t>https://www.pracuj.pl/praca/devops-engineer-podkarpackie,oferta,8294441</t>
  </si>
  <si>
    <t>2085761</t>
  </si>
  <si>
    <t>24765020</t>
  </si>
  <si>
    <t>Geodeta Torowy</t>
  </si>
  <si>
    <t>https://www.praca.pl/geodeta-torowy_5351981.html</t>
  </si>
  <si>
    <t>2080789</t>
  </si>
  <si>
    <t>24712283</t>
  </si>
  <si>
    <t>11.08.2021 03:30</t>
  </si>
  <si>
    <t>2082638</t>
  </si>
  <si>
    <t>24761837</t>
  </si>
  <si>
    <t>Programista Frontend CSS, HTML</t>
  </si>
  <si>
    <t>https://www.pracuj.pl/praca/programista-frontend-css-html-rzeszow,oferta,1001121922</t>
  </si>
  <si>
    <t>2087985</t>
  </si>
  <si>
    <t>24767245</t>
  </si>
  <si>
    <t>2082568</t>
  </si>
  <si>
    <t>24761767</t>
  </si>
  <si>
    <t>2084069</t>
  </si>
  <si>
    <t>24763268</t>
  </si>
  <si>
    <t>2084948</t>
  </si>
  <si>
    <t>24764147</t>
  </si>
  <si>
    <t>2081308</t>
  </si>
  <si>
    <t>24760507</t>
  </si>
  <si>
    <t>Kieronik ds. sprzedaży</t>
  </si>
  <si>
    <t>https://www.pracuj.pl/praca/kieronik-ds-sprzedazy-krosno,oferta,1001121853</t>
  </si>
  <si>
    <t>2087917</t>
  </si>
  <si>
    <t>24767177</t>
  </si>
  <si>
    <t>Technolog Betonu</t>
  </si>
  <si>
    <t>https://www.pracuj.pl/praca/technolog-betonu-podkarpackie,oferta,8292983</t>
  </si>
  <si>
    <t>2085356</t>
  </si>
  <si>
    <t>24764615</t>
  </si>
  <si>
    <t>https://www.pracuj.pl/praca/monter-krosno,oferta,1001122306</t>
  </si>
  <si>
    <t>2088327</t>
  </si>
  <si>
    <t>24767587</t>
  </si>
  <si>
    <t>https://www.pracuj.pl/praca/regionalny-kierownik-sprzedazy-podkarpackie,oferta,8295169</t>
  </si>
  <si>
    <t>2086007</t>
  </si>
  <si>
    <t>24765266</t>
  </si>
  <si>
    <t>2084819</t>
  </si>
  <si>
    <t>24764018</t>
  </si>
  <si>
    <t>Continental Opony Polska Sp. z o.o.</t>
  </si>
  <si>
    <t>Area Sales Manager - Regionalny kierownik sprzedaży</t>
  </si>
  <si>
    <t>https://www.pracuj.pl/praca/area-sales-manager-regionalny-kierownik-sprzedazy-podkarpackie,oferta,8294285</t>
  </si>
  <si>
    <t>2085825</t>
  </si>
  <si>
    <t>24765084</t>
  </si>
  <si>
    <t>Administrator Middleware/Cloudnative</t>
  </si>
  <si>
    <t>https://www.pracuj.pl/praca/administrator-middleware-cloudnative-podkarpackie,oferta,8294154</t>
  </si>
  <si>
    <t>2085915</t>
  </si>
  <si>
    <t>24765174</t>
  </si>
  <si>
    <t>2084170</t>
  </si>
  <si>
    <t>24763369</t>
  </si>
  <si>
    <t>2085120</t>
  </si>
  <si>
    <t>24764319</t>
  </si>
  <si>
    <t>2084181</t>
  </si>
  <si>
    <t>24763380</t>
  </si>
  <si>
    <t>2082836</t>
  </si>
  <si>
    <t>24762035</t>
  </si>
  <si>
    <t>2083302</t>
  </si>
  <si>
    <t>24762501</t>
  </si>
  <si>
    <t>2081630</t>
  </si>
  <si>
    <t>24760829</t>
  </si>
  <si>
    <t>2081589</t>
  </si>
  <si>
    <t>24760788</t>
  </si>
  <si>
    <t>2082924</t>
  </si>
  <si>
    <t>24762123</t>
  </si>
  <si>
    <t>2083720</t>
  </si>
  <si>
    <t>24762919</t>
  </si>
  <si>
    <t>2083933</t>
  </si>
  <si>
    <t>24763132</t>
  </si>
  <si>
    <t>https://www.goldenline.pl/praca/oferta/1279682/zielonalinia0?utm_campaign=partner&amp;gpid=989350&amp;utm_medium=export&amp;glc_source=zielonalinia0&amp;utm_source=zielonalinia0</t>
  </si>
  <si>
    <t>2083935</t>
  </si>
  <si>
    <t>24763134</t>
  </si>
  <si>
    <t>2082341</t>
  </si>
  <si>
    <t>24761540</t>
  </si>
  <si>
    <t>2084635</t>
  </si>
  <si>
    <t>24763834</t>
  </si>
  <si>
    <t>2083545</t>
  </si>
  <si>
    <t>24762744</t>
  </si>
  <si>
    <t>2082171</t>
  </si>
  <si>
    <t>24761370</t>
  </si>
  <si>
    <t>2083315</t>
  </si>
  <si>
    <t>24762514</t>
  </si>
  <si>
    <t>2084030</t>
  </si>
  <si>
    <t>24763229</t>
  </si>
  <si>
    <t>2081902</t>
  </si>
  <si>
    <t>24761101</t>
  </si>
  <si>
    <t>2083611</t>
  </si>
  <si>
    <t>24762810</t>
  </si>
  <si>
    <t>2082719</t>
  </si>
  <si>
    <t>24761918</t>
  </si>
  <si>
    <t>2084395</t>
  </si>
  <si>
    <t>24763594</t>
  </si>
  <si>
    <t>2084826</t>
  </si>
  <si>
    <t>24764025</t>
  </si>
  <si>
    <t>https://www.goldenline.pl/praca/oferta/1279574/zielonalinia0?utm_campaign=partner&amp;gpid=989238&amp;utm_medium=export&amp;glc_source=zielonalinia0&amp;utm_source=zielonalinia0</t>
  </si>
  <si>
    <t>2081755</t>
  </si>
  <si>
    <t>24760954</t>
  </si>
  <si>
    <t>2083865</t>
  </si>
  <si>
    <t>24763064</t>
  </si>
  <si>
    <t>2081190</t>
  </si>
  <si>
    <t>24760389</t>
  </si>
  <si>
    <t>2082020</t>
  </si>
  <si>
    <t>24761219</t>
  </si>
  <si>
    <t>2081017</t>
  </si>
  <si>
    <t>24760216</t>
  </si>
  <si>
    <t>https://www.goldenline.pl/praca/oferta/1279494/zielonalinia0?utm_campaign=partner&amp;gpid=989160&amp;utm_medium=export&amp;glc_source=zielonalinia0&amp;utm_source=zielonalinia0</t>
  </si>
  <si>
    <t>2081834</t>
  </si>
  <si>
    <t>24761033</t>
  </si>
  <si>
    <t>2081485</t>
  </si>
  <si>
    <t>24760684</t>
  </si>
  <si>
    <t>2081940</t>
  </si>
  <si>
    <t>24761139</t>
  </si>
  <si>
    <t>2083897</t>
  </si>
  <si>
    <t>24763096</t>
  </si>
  <si>
    <t>2083770</t>
  </si>
  <si>
    <t>24762969</t>
  </si>
  <si>
    <t>2081512</t>
  </si>
  <si>
    <t>24760711</t>
  </si>
  <si>
    <t>2083428</t>
  </si>
  <si>
    <t>24762627</t>
  </si>
  <si>
    <t>2082082</t>
  </si>
  <si>
    <t>24761281</t>
  </si>
  <si>
    <t>2081030</t>
  </si>
  <si>
    <t>24760229</t>
  </si>
  <si>
    <t>2081441</t>
  </si>
  <si>
    <t>24760640</t>
  </si>
  <si>
    <t>2081774</t>
  </si>
  <si>
    <t>24760973</t>
  </si>
  <si>
    <t>2081866</t>
  </si>
  <si>
    <t>24761065</t>
  </si>
  <si>
    <t>2082227</t>
  </si>
  <si>
    <t>24761426</t>
  </si>
  <si>
    <t>2082579</t>
  </si>
  <si>
    <t>24761778</t>
  </si>
  <si>
    <t>2083238</t>
  </si>
  <si>
    <t>24762437</t>
  </si>
  <si>
    <t>2083686</t>
  </si>
  <si>
    <t>24762885</t>
  </si>
  <si>
    <t>2084192</t>
  </si>
  <si>
    <t>24763391</t>
  </si>
  <si>
    <t>2084297</t>
  </si>
  <si>
    <t>24763496</t>
  </si>
  <si>
    <t>2084336</t>
  </si>
  <si>
    <t>24763535</t>
  </si>
  <si>
    <t>2084428</t>
  </si>
  <si>
    <t>24763627</t>
  </si>
  <si>
    <t>2083400</t>
  </si>
  <si>
    <t>24762599</t>
  </si>
  <si>
    <t>https://www.goldenline.pl/praca/oferta/1279526/zielonalinia0?utm_campaign=partner&amp;gpid=989192&amp;utm_medium=export&amp;glc_source=zielonalinia0&amp;utm_source=zielonalinia0</t>
  </si>
  <si>
    <t>2085116</t>
  </si>
  <si>
    <t>24764315</t>
  </si>
  <si>
    <t>2083177</t>
  </si>
  <si>
    <t>24762376</t>
  </si>
  <si>
    <t>2084740</t>
  </si>
  <si>
    <t>24763939</t>
  </si>
  <si>
    <t>2084986</t>
  </si>
  <si>
    <t>24764185</t>
  </si>
  <si>
    <t>2082550</t>
  </si>
  <si>
    <t>24761749</t>
  </si>
  <si>
    <t>Test Automation Engineer (Selenium)-100% zdalnie</t>
  </si>
  <si>
    <t>https://www.goldenline.pl/praca/oferta/1279618/zielonalinia0?utm_campaign=partner&amp;gpid=989284&amp;utm_medium=export&amp;glc_source=zielonalinia0&amp;utm_source=zielonalinia0</t>
  </si>
  <si>
    <t>2081599</t>
  </si>
  <si>
    <t>24760798</t>
  </si>
  <si>
    <t>Test Engineer (Cypress)-ZDALNIE</t>
  </si>
  <si>
    <t>https://www.goldenline.pl/praca/oferta/1279458/zielonalinia0?utm_campaign=partner&amp;gpid=989128&amp;utm_medium=export&amp;glc_source=zielonalinia0&amp;utm_source=zielonalinia0</t>
  </si>
  <si>
    <t>2084486</t>
  </si>
  <si>
    <t>24763685</t>
  </si>
  <si>
    <t>IT Helpdesk Consultant with German</t>
  </si>
  <si>
    <t>https://www.pracuj.pl/praca/it-helpdesk-consultant-with-german-rzeszow,oferta,1001122897</t>
  </si>
  <si>
    <t>2088856</t>
  </si>
  <si>
    <t>24768116</t>
  </si>
  <si>
    <t>2082021</t>
  </si>
  <si>
    <t>24761220</t>
  </si>
  <si>
    <t>DTH Selection sp. z o.o.</t>
  </si>
  <si>
    <t>Doradca Techniczno – Handlowy (HVAC)</t>
  </si>
  <si>
    <t>https://www.pracuj.pl/praca/doradca-techniczno-handlowy-hvac-podkarpackie,oferta,8295653</t>
  </si>
  <si>
    <t>2086084</t>
  </si>
  <si>
    <t>24765343</t>
  </si>
  <si>
    <t>EME Aero Sp.z o.o</t>
  </si>
  <si>
    <t>Operator Hamowni/Test Cell Operator</t>
  </si>
  <si>
    <t>https://www.pracuj.pl/praca/operator-hamowni-test-cell-operator-jasionka-pow-rzeszowski,oferta,1001122429</t>
  </si>
  <si>
    <t>2088439</t>
  </si>
  <si>
    <t>24767699</t>
  </si>
  <si>
    <t>ENERGO-SYSTEM S.A.</t>
  </si>
  <si>
    <t>https://www.pracuj.pl/praca/glowny-ksiegowy-rzeszow,oferta,1001122443</t>
  </si>
  <si>
    <t>2088451</t>
  </si>
  <si>
    <t>24767711</t>
  </si>
  <si>
    <t>Enprom Sp. z o.o.</t>
  </si>
  <si>
    <t>Inżynier Budowy z j. niemieckim</t>
  </si>
  <si>
    <t>https://www.pracuj.pl/praca/inzynier-budowy-z-j-niemieckim-podkarpackie,oferta,8294058</t>
  </si>
  <si>
    <t>2085572</t>
  </si>
  <si>
    <t>24764831</t>
  </si>
  <si>
    <t>eSoleo</t>
  </si>
  <si>
    <t>Przedstawiciel Handlowy – Specjalista ds. Sprzedaży fotowoltaiki – Projekt eSoleo</t>
  </si>
  <si>
    <t>https://www.pracuj.pl/praca/przedstawiciel-handlowy-specjalista-ds-sprzedazy-fotowoltaiki-projekt-esoleo-rzeszow,oferta,1001120273</t>
  </si>
  <si>
    <t>2087251</t>
  </si>
  <si>
    <t>24766510</t>
  </si>
  <si>
    <t>https://www.pracuj.pl/praca/przedstawiciel-handlowy-specjalista-ds-sprzedazy-fotowoltaiki-projekt-esoleo-debica,oferta,1001121592</t>
  </si>
  <si>
    <t>2087678</t>
  </si>
  <si>
    <t>24766937</t>
  </si>
  <si>
    <t>https://www.pracuj.pl/praca/przedstawiciel-handlowy-specjalista-ds-sprzedazy-fotowoltaiki-projekt-esoleo-jaroslaw,oferta,1001121596</t>
  </si>
  <si>
    <t>2087682</t>
  </si>
  <si>
    <t>24766941</t>
  </si>
  <si>
    <t>https://www.pracuj.pl/praca/przedstawiciel-handlowy-specjalista-ds-sprzedazy-fotowoltaiki-projekt-esoleo-przemysl,oferta,1001121607</t>
  </si>
  <si>
    <t>2087693</t>
  </si>
  <si>
    <t>24766952</t>
  </si>
  <si>
    <t>https://www.pracuj.pl/praca/przedstawiciel-handlowy-specjalista-ds-sprzedazy-fotowoltaiki-projekt-esoleo-przeworsk,oferta,1001121608</t>
  </si>
  <si>
    <t>2087694</t>
  </si>
  <si>
    <t>24766953</t>
  </si>
  <si>
    <t>https://www.pracuj.pl/praca/przedstawiciel-handlowy-specjalista-ds-sprzedazy-fotowoltaiki-projekt-esoleo-sanok,oferta,1001121610</t>
  </si>
  <si>
    <t>2087696</t>
  </si>
  <si>
    <t>24766955</t>
  </si>
  <si>
    <t>https://www.pracuj.pl/praca/przedstawiciel-handlowy-specjalista-ds-sprzedazy-fotowoltaiki-projekt-esoleo-stalowa-wola,oferta,1001121611</t>
  </si>
  <si>
    <t>2087697</t>
  </si>
  <si>
    <t>24766956</t>
  </si>
  <si>
    <t>https://www.pracuj.pl/praca/przedstawiciel-handlowy-specjalista-ds-sprzedazy-fotowoltaiki-projekt-esoleo-mielec,oferta,1001122972</t>
  </si>
  <si>
    <t>2088918</t>
  </si>
  <si>
    <t>24768178</t>
  </si>
  <si>
    <t>https://www.pracuj.pl/praca/przedstawiciel-handlowy-specjalista-ds-sprzedazy-fotowoltaiki-projekt-esoleo-tarnobrzeg,oferta,1001122977</t>
  </si>
  <si>
    <t>2088923</t>
  </si>
  <si>
    <t>24768183</t>
  </si>
  <si>
    <t>ESOLEO Sp. z o.o.</t>
  </si>
  <si>
    <t>Doradca Klienta (Fotowoltaika)</t>
  </si>
  <si>
    <t>https://www.praca.pl/doradca-klienta-fotowoltaika_5295911.html</t>
  </si>
  <si>
    <t>2080519</t>
  </si>
  <si>
    <t>24306511</t>
  </si>
  <si>
    <t>EURO EXPRESS Sp.z.o.o.</t>
  </si>
  <si>
    <t>Kierowca w transporcie międzynarodowym C+E</t>
  </si>
  <si>
    <t>https://www.pracuj.pl/praca/kierowca-w-transporcie-miedzynarodowym-c%2be-podkarpackie,oferta,8293225</t>
  </si>
  <si>
    <t>2085401</t>
  </si>
  <si>
    <t>24764660</t>
  </si>
  <si>
    <t>Asystent ds. fakturowania i rozliczeń</t>
  </si>
  <si>
    <t>https://www.pracuj.pl/praca/asystent-ds-fakturowania-i-rozliczen-rzeszow,oferta,1001119649</t>
  </si>
  <si>
    <t>2086691</t>
  </si>
  <si>
    <t>24765950</t>
  </si>
  <si>
    <t>Euroservice Zakłady Przemysłu Tłuszczowego w Surochowie Sp. z o.o.</t>
  </si>
  <si>
    <t>Pracownik Księgowości</t>
  </si>
  <si>
    <t>Polska, podkarpackie, Surochów (pow. jarosławski)</t>
  </si>
  <si>
    <t>https://www.pracuj.pl/praca/pracownik-ksiegowosci-surochow-pow-jaroslawski,oferta,500131679</t>
  </si>
  <si>
    <t>2086358</t>
  </si>
  <si>
    <t>24765617</t>
  </si>
  <si>
    <t>AP Accountant with English - 100% remote</t>
  </si>
  <si>
    <t>https://www.pracuj.pl/praca/ap-accountant-with-english-100-remote-rzeszow,oferta,1001110282</t>
  </si>
  <si>
    <t>2086552</t>
  </si>
  <si>
    <t>24765811</t>
  </si>
  <si>
    <t>Grupa Eurocash – Kontigo Sp. z o.o.</t>
  </si>
  <si>
    <t>Agent</t>
  </si>
  <si>
    <t>https://www.pracuj.pl/praca/agent-rzeszow,oferta,1001122449</t>
  </si>
  <si>
    <t>2088457</t>
  </si>
  <si>
    <t>24767717</t>
  </si>
  <si>
    <t>2082028</t>
  </si>
  <si>
    <t>24761227</t>
  </si>
  <si>
    <t>https://www.pracuj.pl/praca/specjalista-ds-rekrutacji-rzeszow,oferta,1001121833</t>
  </si>
  <si>
    <t>2087899</t>
  </si>
  <si>
    <t>24767159</t>
  </si>
  <si>
    <t>https://www.pracuj.pl/praca/data-scientist-podkarpackie,oferta,8294820</t>
  </si>
  <si>
    <t>2085631</t>
  </si>
  <si>
    <t>24764890</t>
  </si>
  <si>
    <t>DevOps</t>
  </si>
  <si>
    <t>https://www.pracuj.pl/praca/devops-podkarpackie,oferta,8293071</t>
  </si>
  <si>
    <t>2085372</t>
  </si>
  <si>
    <t>24764631</t>
  </si>
  <si>
    <t>https://www.pracuj.pl/praca/frontend-developer-podkarpackie,oferta,8294729</t>
  </si>
  <si>
    <t>2085709</t>
  </si>
  <si>
    <t>24764968</t>
  </si>
  <si>
    <t>https://www.pracuj.pl/praca/full-stack-developer-rzeszow,oferta,1001121967</t>
  </si>
  <si>
    <t>2088029</t>
  </si>
  <si>
    <t>24767289</t>
  </si>
  <si>
    <t>Programista RPG</t>
  </si>
  <si>
    <t>https://www.pracuj.pl/praca/programista-rpg-podkarpackie,oferta,8293093</t>
  </si>
  <si>
    <t>2085388</t>
  </si>
  <si>
    <t>24764647</t>
  </si>
  <si>
    <t>https://www.pracuj.pl/praca/qa-engineer-podkarpackie,oferta,8294779</t>
  </si>
  <si>
    <t>2085668</t>
  </si>
  <si>
    <t>24764927</t>
  </si>
  <si>
    <t>Specjalista IT - aplikacja Aldon LMi</t>
  </si>
  <si>
    <t>https://www.pracuj.pl/praca/specjalista-it-aplikacja-aldon-lmi-podkarpackie,oferta,8295476</t>
  </si>
  <si>
    <t>2086047</t>
  </si>
  <si>
    <t>24765306</t>
  </si>
  <si>
    <t>11.08.2021 04:35</t>
  </si>
  <si>
    <t>2083143</t>
  </si>
  <si>
    <t>24762342</t>
  </si>
  <si>
    <t>IQFM Sp. z o.o.</t>
  </si>
  <si>
    <t>Promotor Sprzedaży AGD/RTV/IT</t>
  </si>
  <si>
    <t>https://www.pracuj.pl/praca/promotor-sprzedazy-agd-rtv-it-przemysl,oferta,1001120702</t>
  </si>
  <si>
    <t>2087582</t>
  </si>
  <si>
    <t>24766841</t>
  </si>
  <si>
    <t>https://www.praca.pl/psycholog_5350541.html</t>
  </si>
  <si>
    <t>2080890</t>
  </si>
  <si>
    <t>24712557</t>
  </si>
  <si>
    <t>https://www.pracuj.pl/praca/agent-celny-przemysl,oferta,1001120416</t>
  </si>
  <si>
    <t>2087385</t>
  </si>
  <si>
    <t>24766644</t>
  </si>
  <si>
    <t>https://www.pracuj.pl/praca/agent-celny-stalowa-wola,oferta,1001120417</t>
  </si>
  <si>
    <t>2087386</t>
  </si>
  <si>
    <t>24766645</t>
  </si>
  <si>
    <t>https://www.pracuj.pl/praca/agent-celny-rzeszow,oferta,1001120425</t>
  </si>
  <si>
    <t>2087394</t>
  </si>
  <si>
    <t>24766653</t>
  </si>
  <si>
    <t>Magazynier - Operator Wózka Widłowego (Dział Spedycji Krajowej)</t>
  </si>
  <si>
    <t>https://www.pracuj.pl/praca/magazynier-operator-wozka-widlowego-dzial-spedycji-krajowej-jasionka-pow-rzeszowski,oferta,1001119661</t>
  </si>
  <si>
    <t>2086703</t>
  </si>
  <si>
    <t>24765962</t>
  </si>
  <si>
    <t>2081770</t>
  </si>
  <si>
    <t>24760969</t>
  </si>
  <si>
    <t>Kaaral Polska</t>
  </si>
  <si>
    <t>https://www.praca.pl/przedstawiciel-handlowy_5265551.html</t>
  </si>
  <si>
    <t>2080180</t>
  </si>
  <si>
    <t>24028042</t>
  </si>
  <si>
    <t>2082396</t>
  </si>
  <si>
    <t>24761595</t>
  </si>
  <si>
    <t>2083982</t>
  </si>
  <si>
    <t>24763181</t>
  </si>
  <si>
    <t>Regular Python Developer</t>
  </si>
  <si>
    <t>https://www.goldenline.pl/praca/oferta/1278706/zielonalinia0?utm_campaign=partner&amp;gpid=988368&amp;utm_medium=export&amp;glc_source=zielonalinia0&amp;utm_source=zielonalinia0</t>
  </si>
  <si>
    <t>12.07.2021</t>
  </si>
  <si>
    <t>2084687</t>
  </si>
  <si>
    <t>24763886</t>
  </si>
  <si>
    <t>2081724</t>
  </si>
  <si>
    <t>24760923</t>
  </si>
  <si>
    <t>2082773</t>
  </si>
  <si>
    <t>24761972</t>
  </si>
  <si>
    <t>2081195</t>
  </si>
  <si>
    <t>24760394</t>
  </si>
  <si>
    <t>Magtrans Sp. z o.o.</t>
  </si>
  <si>
    <t>Kierowca Międzynarodowy kat. C+E CE (Europa, zagranica, FTL, firanka)</t>
  </si>
  <si>
    <t>https://www.pracuj.pl/praca/kierowca-miedzynarodowy-kat-c%2be-ce-europa-zagranica-ftl-firanka-podkarpackie,oferta,8294085</t>
  </si>
  <si>
    <t>2085945</t>
  </si>
  <si>
    <t>24765204</t>
  </si>
  <si>
    <t>Support Specialist with English</t>
  </si>
  <si>
    <t>4</t>
  </si>
  <si>
    <t>https://www.pracuj.pl/praca/support-specialist-with-english-debica-jaslo-krosno-rzeszow,oferta,8293829</t>
  </si>
  <si>
    <t>2085527</t>
  </si>
  <si>
    <t>24764786</t>
  </si>
  <si>
    <t>1803,1805,1861,1863</t>
  </si>
  <si>
    <t>Project Manager (Automotive)</t>
  </si>
  <si>
    <t>https://gratka.pl/praca/project-manager-automotive/ob/22252791?utm_source=zielonalinia.pl&amp;utm_medium=zielonalinia&amp;utm_campaign=export_xml</t>
  </si>
  <si>
    <t>11.08.2021 03:15</t>
  </si>
  <si>
    <t>2079980</t>
  </si>
  <si>
    <t>23130190</t>
  </si>
  <si>
    <t>https://www.pracuj.pl/praca/wlasciciel-centrum-logistyczno-wysylkowego-franczyzobiorca-debica,oferta,8294753</t>
  </si>
  <si>
    <t>2085698</t>
  </si>
  <si>
    <t>24764957</t>
  </si>
  <si>
    <t>Magazynier UDT</t>
  </si>
  <si>
    <t>https://www.praca.pl/magazynier-udt_5304332.html</t>
  </si>
  <si>
    <t>2080465</t>
  </si>
  <si>
    <t>24306367</t>
  </si>
  <si>
    <t>Sprzątaczka</t>
  </si>
  <si>
    <t>https://www.praca.pl/sprzataczka_5304338.html</t>
  </si>
  <si>
    <t>2080464</t>
  </si>
  <si>
    <t>24306366</t>
  </si>
  <si>
    <t>https://www.praca.pl/sprzedawca-w-dziale-budowlanym_5304329.html</t>
  </si>
  <si>
    <t>2080466</t>
  </si>
  <si>
    <t>24306368</t>
  </si>
  <si>
    <t>Pracownik produkcji czekolady</t>
  </si>
  <si>
    <t>Operator urządzeń do produkcji wyrobów cukierniczych</t>
  </si>
  <si>
    <t>https://www.praca.pl/pracownik-produkcji-czekolady_5303636.html</t>
  </si>
  <si>
    <t>2080490</t>
  </si>
  <si>
    <t>24306448</t>
  </si>
  <si>
    <t>RPd057|816017</t>
  </si>
  <si>
    <t>MVGM PROPERTY MANAGEMENT POLAND SPÓŁKA Z OGRANICZONĄ ODPOWIEDZIALNOŚCIĄ</t>
  </si>
  <si>
    <t>https://www.pracuj.pl/praca/analityk-finansowy-podkarpackie,oferta,8294926</t>
  </si>
  <si>
    <t>2085596</t>
  </si>
  <si>
    <t>24764855</t>
  </si>
  <si>
    <t>2085056</t>
  </si>
  <si>
    <t>24764255</t>
  </si>
  <si>
    <t>2082107</t>
  </si>
  <si>
    <t>24761306</t>
  </si>
  <si>
    <t>Angular Developer (Regular/Senior)</t>
  </si>
  <si>
    <t>https://www.praca.pl/angular-developer-regular-senior_5269754.html</t>
  </si>
  <si>
    <t>2080133</t>
  </si>
  <si>
    <t>24027680</t>
  </si>
  <si>
    <t>https://www.praca.pl/angular-developer-regular-senior_5269847.html</t>
  </si>
  <si>
    <t>2080149</t>
  </si>
  <si>
    <t>24027696</t>
  </si>
  <si>
    <t>https://www.praca.pl/java-developer_5272124.html</t>
  </si>
  <si>
    <t>2080109</t>
  </si>
  <si>
    <t>24027476</t>
  </si>
  <si>
    <t>https://www.praca.pl/senior-java-developer_5272184.html</t>
  </si>
  <si>
    <t>2080092</t>
  </si>
  <si>
    <t>24027455</t>
  </si>
  <si>
    <t>https://www.pracuj.pl/praca/software-engineer-sql-subcarpathia,oferta,8294010</t>
  </si>
  <si>
    <t>2085563</t>
  </si>
  <si>
    <t>24764822</t>
  </si>
  <si>
    <t>Kasjer - Sprzedawca - Tarnobrzeg, Kwiatkowskiego 8</t>
  </si>
  <si>
    <t>https://www.pracuj.pl/praca/kasjer-sprzedawca-tarnobrzeg-kwiatkowskiego-8-tarnobrzeg,oferta,1001121993</t>
  </si>
  <si>
    <t>2088053</t>
  </si>
  <si>
    <t>24767313</t>
  </si>
  <si>
    <t>https://www.pracuj.pl/praca/analityk-biznesowy-rzeszow,oferta,1001120338</t>
  </si>
  <si>
    <t>2087313</t>
  </si>
  <si>
    <t>24766572</t>
  </si>
  <si>
    <t>Playbook Engineering</t>
  </si>
  <si>
    <t>DevOps Engineer [online recruitment]</t>
  </si>
  <si>
    <t>https://www.praca.pl/devops-engineer-online-recruitment_5205003.html</t>
  </si>
  <si>
    <t>2080598</t>
  </si>
  <si>
    <t>24366895</t>
  </si>
  <si>
    <t>Junior Scala Developer [online recruitment]</t>
  </si>
  <si>
    <t>https://www.praca.pl/junior-scala-developer-online-recruitment_5204859.html</t>
  </si>
  <si>
    <t>2080646</t>
  </si>
  <si>
    <t>24366943</t>
  </si>
  <si>
    <t>Senior QA Engineer [online recruitment]</t>
  </si>
  <si>
    <t>https://www.praca.pl/senior-qa-engineer-online-recruitment_5205051.html</t>
  </si>
  <si>
    <t>2080582</t>
  </si>
  <si>
    <t>24366879</t>
  </si>
  <si>
    <t>Site Reliability Engineer [online recruitment]</t>
  </si>
  <si>
    <t>https://www.praca.pl/site-reliability-engineer-online-recruitment_5204907.html</t>
  </si>
  <si>
    <t>2080630</t>
  </si>
  <si>
    <t>24366927</t>
  </si>
  <si>
    <t>Operator Maszyn i Urządzeń CNC</t>
  </si>
  <si>
    <t>https://www.pracuj.pl/praca/operator-maszyn-i-urzadzen-cnc-przemysl,oferta,1001120457</t>
  </si>
  <si>
    <t>2087423</t>
  </si>
  <si>
    <t>24766682</t>
  </si>
  <si>
    <t>2081837</t>
  </si>
  <si>
    <t>24761036</t>
  </si>
  <si>
    <t>2081096</t>
  </si>
  <si>
    <t>24760295</t>
  </si>
  <si>
    <t>2083438</t>
  </si>
  <si>
    <t>24762637</t>
  </si>
  <si>
    <t>2081362</t>
  </si>
  <si>
    <t>24760561</t>
  </si>
  <si>
    <t>2083205</t>
  </si>
  <si>
    <t>24762404</t>
  </si>
  <si>
    <t>2082711</t>
  </si>
  <si>
    <t>24761910</t>
  </si>
  <si>
    <t>2084442</t>
  </si>
  <si>
    <t>24763641</t>
  </si>
  <si>
    <t>Precisely</t>
  </si>
  <si>
    <t>Senior QA Engineer</t>
  </si>
  <si>
    <t>https://www.pracuj.pl/praca/senior-qa-engineer-subcarpathia,oferta,8295750</t>
  </si>
  <si>
    <t>2086125</t>
  </si>
  <si>
    <t>24765384</t>
  </si>
  <si>
    <t>Software Engineer</t>
  </si>
  <si>
    <t>https://www.pracuj.pl/praca/software-engineer-subcarpathia,oferta,8295771</t>
  </si>
  <si>
    <t>2086135</t>
  </si>
  <si>
    <t>24765394</t>
  </si>
  <si>
    <t>2082871</t>
  </si>
  <si>
    <t>24762070</t>
  </si>
  <si>
    <t>2084649</t>
  </si>
  <si>
    <t>24763848</t>
  </si>
  <si>
    <t>2083524</t>
  </si>
  <si>
    <t>24762723</t>
  </si>
  <si>
    <t>2082346</t>
  </si>
  <si>
    <t>24761545</t>
  </si>
  <si>
    <t>2083584</t>
  </si>
  <si>
    <t>24762783</t>
  </si>
  <si>
    <t>2082772</t>
  </si>
  <si>
    <t>24761971</t>
  </si>
  <si>
    <t>2084512</t>
  </si>
  <si>
    <t>24763711</t>
  </si>
  <si>
    <t>2083186</t>
  </si>
  <si>
    <t>24762385</t>
  </si>
  <si>
    <t>2081906</t>
  </si>
  <si>
    <t>24761105</t>
  </si>
  <si>
    <t>2081965</t>
  </si>
  <si>
    <t>24761164</t>
  </si>
  <si>
    <t>2082068</t>
  </si>
  <si>
    <t>24761267</t>
  </si>
  <si>
    <t>2082780</t>
  </si>
  <si>
    <t>24761979</t>
  </si>
  <si>
    <t>2084903</t>
  </si>
  <si>
    <t>24764102</t>
  </si>
  <si>
    <t>https://www.pracuj.pl/praca/agent-ubezpieczeniowy-baranow-sandomierski-brzozow-cieszanow-debica-dukla-dynow-iwonicz-zdroj-jaroslaw-jaslo-kolbuszowa-krosno-lesko-lezajsk-lubaczow-lancut-miel,oferta,8283922</t>
  </si>
  <si>
    <t>2085192</t>
  </si>
  <si>
    <t>24764451</t>
  </si>
  <si>
    <t>https://www.pracuj.pl/praca/doradca-ubezpieczeniowy-baranow-sandomierski-brzozow-cieszanow-debica-dukla-dynow-iwonicz-zdroj-jaroslaw-jaslo-kolbuszowa-krosno-lesko-lezajsk-lubaczow-lancut-mi,oferta,8283897</t>
  </si>
  <si>
    <t>2085176</t>
  </si>
  <si>
    <t>24764435</t>
  </si>
  <si>
    <t>2083980</t>
  </si>
  <si>
    <t>24763179</t>
  </si>
  <si>
    <t>rekrutacje.com.pl Robert Lizak</t>
  </si>
  <si>
    <t>Przedstawiciel techniczno-handlowy – Urządzenia procesowe</t>
  </si>
  <si>
    <t>https://www.pracuj.pl/praca/przedstawiciel-techniczno-handlowy-urzadzenia-procesowe-podkarpackie,oferta,8295807</t>
  </si>
  <si>
    <t>2086165</t>
  </si>
  <si>
    <t>24765424</t>
  </si>
  <si>
    <t>RUNBIT Spółka z Ograniczoną Odpowiedzialnością Spółka Komandytowa</t>
  </si>
  <si>
    <t>Programista PLC / Robotyk</t>
  </si>
  <si>
    <t>https://www.praca.pl/programista-plc-robotyk_5279519.html</t>
  </si>
  <si>
    <t>29.08.2021</t>
  </si>
  <si>
    <t>2080191</t>
  </si>
  <si>
    <t>24085611</t>
  </si>
  <si>
    <t>Administrator Systemu Linux</t>
  </si>
  <si>
    <t>https://www.pracuj.pl/praca/administrator-systemu-linux-rzeszow,oferta,1001122931</t>
  </si>
  <si>
    <t>2088886</t>
  </si>
  <si>
    <t>24768146</t>
  </si>
  <si>
    <t>AEM Backend Developer</t>
  </si>
  <si>
    <t>https://www.pracuj.pl/praca/aem-backend-developer-rzeszow,oferta,1001121648</t>
  </si>
  <si>
    <t>2087734</t>
  </si>
  <si>
    <t>24766993</t>
  </si>
  <si>
    <t>Golang Developer</t>
  </si>
  <si>
    <t>https://www.pracuj.pl/praca/golang-developer-rzeszow,oferta,1001121868</t>
  </si>
  <si>
    <t>2087932</t>
  </si>
  <si>
    <t>24767192</t>
  </si>
  <si>
    <t>.NET Developer – ePayment FinTech</t>
  </si>
  <si>
    <t>https://www.pracuj.pl/praca/net-developer-epayment-fintech-rzeszow,oferta,1001121880</t>
  </si>
  <si>
    <t>2087944</t>
  </si>
  <si>
    <t>24767204</t>
  </si>
  <si>
    <t>https://www.pracuj.pl/praca/software-tester-podkarpackie,oferta,8294969</t>
  </si>
  <si>
    <t>2085956</t>
  </si>
  <si>
    <t>24765215</t>
  </si>
  <si>
    <t>2081961</t>
  </si>
  <si>
    <t>24761160</t>
  </si>
  <si>
    <t>2081969</t>
  </si>
  <si>
    <t>24761168</t>
  </si>
  <si>
    <t>2082327</t>
  </si>
  <si>
    <t>24761526</t>
  </si>
  <si>
    <t>2082420</t>
  </si>
  <si>
    <t>24761619</t>
  </si>
  <si>
    <t>2082607</t>
  </si>
  <si>
    <t>24761806</t>
  </si>
  <si>
    <t>2083223</t>
  </si>
  <si>
    <t>24762422</t>
  </si>
  <si>
    <t>TACTICA Pharmaceuticals</t>
  </si>
  <si>
    <t>Przedstawiciel medyczny / Przedstawiciel farmaceutyczny</t>
  </si>
  <si>
    <t>https://www.pracuj.pl/praca/przedstawiciel-medyczny-przedstawiciel-farmaceutyczny-podkarpackie,oferta,8294992</t>
  </si>
  <si>
    <t>2085967</t>
  </si>
  <si>
    <t>24765226</t>
  </si>
  <si>
    <t>TMC Sp. z o.o.</t>
  </si>
  <si>
    <t>Przedstawiciel Handlowy elementów złącznych</t>
  </si>
  <si>
    <t>https://www.praca.pl/przedstawiciel-handlowy-elementow-zlacznych_5305226.html</t>
  </si>
  <si>
    <t>2080428</t>
  </si>
  <si>
    <t>24306189</t>
  </si>
  <si>
    <t>2084532</t>
  </si>
  <si>
    <t>24763731</t>
  </si>
  <si>
    <t>Polska, podkarpackie, Sadkowa Góra</t>
  </si>
  <si>
    <t>https://www.goldenline.pl/praca/oferta/1281522/zielonalinia0?utm_campaign=partner&amp;gpid=991200&amp;utm_medium=export&amp;glc_source=zielonalinia0&amp;utm_source=zielonalinia0</t>
  </si>
  <si>
    <t>2083817</t>
  </si>
  <si>
    <t>24763016</t>
  </si>
  <si>
    <t>Vetoquinol Biowet</t>
  </si>
  <si>
    <t>https://www.pracuj.pl/praca/reprezentant-handlowy-podkarpackie,oferta,8293322</t>
  </si>
  <si>
    <t>2085426</t>
  </si>
  <si>
    <t>24764685</t>
  </si>
  <si>
    <t>VICZIUNAI-POL Spółka z o.o.</t>
  </si>
  <si>
    <t>https://www.pracuj.pl/praca/junior-key-account-manager-podkarpackie,oferta,8293398</t>
  </si>
  <si>
    <t>2085448</t>
  </si>
  <si>
    <t>24764707</t>
  </si>
  <si>
    <t>2084999</t>
  </si>
  <si>
    <t>24764198</t>
  </si>
  <si>
    <t>Work Service S. A.</t>
  </si>
  <si>
    <t>Technik montażu (układów szaf sterowniczych)</t>
  </si>
  <si>
    <t>https://www.praca.pl/technik-montazu-ukladow-szaf-sterowniczych_5304977.html</t>
  </si>
  <si>
    <t>11.08.2021 03:06</t>
  </si>
  <si>
    <t>2080443</t>
  </si>
  <si>
    <t>24306300</t>
  </si>
  <si>
    <t>YouCanBookMe Limited</t>
  </si>
  <si>
    <t>https://www.pracuj.pl/praca/java-software-engineer-subcarpathia,oferta,8292862</t>
  </si>
  <si>
    <t>2085311</t>
  </si>
  <si>
    <t>24764570</t>
  </si>
  <si>
    <t>2082869</t>
  </si>
  <si>
    <t>24762068</t>
  </si>
  <si>
    <t>Chemik - Technolog Przetwórstwa Tworzyw Sztucznych</t>
  </si>
  <si>
    <t>https://www.pracuj.pl/praca/chemik-technolog-przetworstwa-tworzyw-sztucznych-krosno,oferta,1001106482</t>
  </si>
  <si>
    <t>04.08.2021 03:40</t>
  </si>
  <si>
    <t>2066925</t>
  </si>
  <si>
    <t>24360461</t>
  </si>
  <si>
    <t>Analityk SAP SuccessFactors</t>
  </si>
  <si>
    <t>https://www.pracuj.pl/praca/analityk-sap-successfactors-podkarpackie,oferta,8277907</t>
  </si>
  <si>
    <t>2064637</t>
  </si>
  <si>
    <t>24358172</t>
  </si>
  <si>
    <t>Release&amp;Deployment Engineer</t>
  </si>
  <si>
    <t>https://www.pracuj.pl/praca/release-deployment-engineer-subcarpathia,oferta,8276636</t>
  </si>
  <si>
    <t>2064348</t>
  </si>
  <si>
    <t>24357883</t>
  </si>
  <si>
    <t>Senior Private Cloud Automation Engineer</t>
  </si>
  <si>
    <t>https://www.pracuj.pl/praca/senior-private-cloud-automation-engineer-subcarpathia,oferta,8276619</t>
  </si>
  <si>
    <t>2064363</t>
  </si>
  <si>
    <t>24357898</t>
  </si>
  <si>
    <t>Senior Public Cloud Automation Engineer</t>
  </si>
  <si>
    <t>28.10.2021</t>
  </si>
  <si>
    <t>https://www.pracuj.pl/praca/senior-public-cloud-automation-engineer-subcarpathia,oferta,8276657</t>
  </si>
  <si>
    <t>2064333</t>
  </si>
  <si>
    <t>24357868</t>
  </si>
  <si>
    <t>Adecco Poland</t>
  </si>
  <si>
    <t>Administrator ds. wsparcia rekrutacji (praca zdalna w języku angielskim)</t>
  </si>
  <si>
    <t>https://www.pracuj.pl/praca/administrator-ds-wsparcia-rekrutacji-praca-zdalna-w-jezyku-angielskim-podkarpackie,oferta,8274648</t>
  </si>
  <si>
    <t>2064466</t>
  </si>
  <si>
    <t>24358001</t>
  </si>
  <si>
    <t>AK TRANS SPÓŁKA Z OGRANICZONĄ ODPOWIEDZIALNOŚCIĄ</t>
  </si>
  <si>
    <t>Spedytor Międzynarodowy / Handlowiec ds. Transportu</t>
  </si>
  <si>
    <t>25.10.2021</t>
  </si>
  <si>
    <t>https://www.pracuj.pl/praca/spedytor-miedzynarodowy-handlowiec-ds-transportu-rzeszow,oferta,1001105332</t>
  </si>
  <si>
    <t>2065888</t>
  </si>
  <si>
    <t>24359423</t>
  </si>
  <si>
    <t>Doradca ds. Obsługi Klienta - Zespół Infolinii</t>
  </si>
  <si>
    <t>https://www.pracuj.pl/praca/doradca-ds-obslugi-klienta-zespol-infolinii-rzeszow,oferta,1001106010</t>
  </si>
  <si>
    <t>2066499</t>
  </si>
  <si>
    <t>24360035</t>
  </si>
  <si>
    <t>ANTHEAP sp. z o.o.</t>
  </si>
  <si>
    <t>Programista VBA w MS Excel + Business Intelligence (Power BI) – Middle Developer</t>
  </si>
  <si>
    <t>https://www.pracuj.pl/praca/programista-vba-w-ms-excel-%2b-business-intelligence-power-bi-middle-developer-rzeszow,oferta,500129353</t>
  </si>
  <si>
    <t>2065003</t>
  </si>
  <si>
    <t>24358538</t>
  </si>
  <si>
    <t>Customer Service Advisor with Dutch</t>
  </si>
  <si>
    <t>02.11.2021</t>
  </si>
  <si>
    <t>https://www.pracuj.pl/praca/customer-service-advisor-with-dutch-rzeszow,oferta,1001106604</t>
  </si>
  <si>
    <t>2067037</t>
  </si>
  <si>
    <t>24360573</t>
  </si>
  <si>
    <t>Junior Benefits Advisor with French</t>
  </si>
  <si>
    <t>https://www.pracuj.pl/praca/junior-benefits-advisor-with-french-rzeszow,oferta,1001106621</t>
  </si>
  <si>
    <t>2067054</t>
  </si>
  <si>
    <t>24360590</t>
  </si>
  <si>
    <t>Junior Benefits Advisor with Portuguese</t>
  </si>
  <si>
    <t>https://www.pracuj.pl/praca/junior-benefits-advisor-with-portuguese-rzeszow,oferta,1001106638</t>
  </si>
  <si>
    <t>2067071</t>
  </si>
  <si>
    <t>24360607</t>
  </si>
  <si>
    <t>Dietetyk Kliniczny / Dietetyk Sportowy</t>
  </si>
  <si>
    <t>https://www.pracuj.pl/praca/dietetyk-kliniczny-dietetyk-sportowy-przemysl,oferta,8277563</t>
  </si>
  <si>
    <t>2064525</t>
  </si>
  <si>
    <t>24358060</t>
  </si>
  <si>
    <t>Młodszy Specjalista ds. wdrożeń aplikacji bankowych</t>
  </si>
  <si>
    <t>https://www.pracuj.pl/praca/mlodszy-specjalista-ds-wdrozen-aplikacji-bankowych-rzeszow,oferta,1001107071</t>
  </si>
  <si>
    <t>2067451</t>
  </si>
  <si>
    <t>24360987</t>
  </si>
  <si>
    <t>Specjalista ds. wdrożeń aplikacji bankowych</t>
  </si>
  <si>
    <t>27.10.2021</t>
  </si>
  <si>
    <t>https://www.pracuj.pl/praca/specjalista-ds-wdrozen-aplikacji-bankowych-rzeszow,oferta,1001107122</t>
  </si>
  <si>
    <t>2067501</t>
  </si>
  <si>
    <t>24361037</t>
  </si>
  <si>
    <t>Specjalista Programowania Aplikacji Webowych</t>
  </si>
  <si>
    <t>https://www.pracuj.pl/praca/specjalista-programowania-aplikacji-webowych-stalowa-wola,oferta,1001104787</t>
  </si>
  <si>
    <t>2065428</t>
  </si>
  <si>
    <t>24358963</t>
  </si>
  <si>
    <t>Młodszy Planista</t>
  </si>
  <si>
    <t>https://www.pracuj.pl/praca/mlodszy-planista-kanczuga,oferta,1001106068</t>
  </si>
  <si>
    <t>2066556</t>
  </si>
  <si>
    <t>24360092</t>
  </si>
  <si>
    <t>https://www.pracuj.pl/praca/net-developer-rzeszow,oferta,1001107042</t>
  </si>
  <si>
    <t>2067425</t>
  </si>
  <si>
    <t>24360961</t>
  </si>
  <si>
    <t>Przedstawiciel Medyczny - linia pulmonologiczna</t>
  </si>
  <si>
    <t>https://www.pracuj.pl/praca/przedstawiciel-medyczny-linia-pulmonologiczna-rzeszow,oferta,1001107135</t>
  </si>
  <si>
    <t>2067512</t>
  </si>
  <si>
    <t>24361048</t>
  </si>
  <si>
    <t>https://www.pracuj.pl/praca/przedstawiciel-medyczny-linia-pulmonologiczna-debica,oferta,1001107136</t>
  </si>
  <si>
    <t>2067513</t>
  </si>
  <si>
    <t>24361049</t>
  </si>
  <si>
    <t>https://www.pracuj.pl/praca/przedstawiciel-medyczny-linia-pulmonologiczna-jaroslaw,oferta,1001107137</t>
  </si>
  <si>
    <t>2067514</t>
  </si>
  <si>
    <t>24361050</t>
  </si>
  <si>
    <t>https://www.pracuj.pl/praca/przedstawiciel-medyczny-linia-pulmonologiczna-jaslo,oferta,1001107138</t>
  </si>
  <si>
    <t>2067515</t>
  </si>
  <si>
    <t>24361051</t>
  </si>
  <si>
    <t>https://www.pracuj.pl/praca/przedstawiciel-medyczny-linia-pulmonologiczna-krosno,oferta,1001107139</t>
  </si>
  <si>
    <t>2067516</t>
  </si>
  <si>
    <t>24361052</t>
  </si>
  <si>
    <t>https://www.pracuj.pl/praca/przedstawiciel-medyczny-linia-pulmonologiczna-przemysl,oferta,1001107140</t>
  </si>
  <si>
    <t>2067517</t>
  </si>
  <si>
    <t>24361053</t>
  </si>
  <si>
    <t>https://www.pracuj.pl/praca/przedstawiciel-medyczny-linia-pulmonologiczna-sanok,oferta,1001107141</t>
  </si>
  <si>
    <t>2067518</t>
  </si>
  <si>
    <t>24361054</t>
  </si>
  <si>
    <t>https://www.pracuj.pl/praca/przedstawiciel-medyczny-linia-pulmonologiczna-stalowa-wola,oferta,1001107142</t>
  </si>
  <si>
    <t>2067519</t>
  </si>
  <si>
    <t>24361055</t>
  </si>
  <si>
    <t>https://www.pracuj.pl/praca/przedstawiciel-medyczny-linia-pulmonologiczna-tarnobrzeg,oferta,1001107143</t>
  </si>
  <si>
    <t>2067520</t>
  </si>
  <si>
    <t>24361056</t>
  </si>
  <si>
    <t>BUSHIDO GAMES sp. z o.o.</t>
  </si>
  <si>
    <t>https://www.pracuj.pl/praca/specjalista-ds-zakupow-podkarpackie,oferta,500129471</t>
  </si>
  <si>
    <t>2065120</t>
  </si>
  <si>
    <t>24358655</t>
  </si>
  <si>
    <t>04.08.2021 03:30</t>
  </si>
  <si>
    <t>2063519</t>
  </si>
  <si>
    <t>24356987</t>
  </si>
  <si>
    <t>2063419</t>
  </si>
  <si>
    <t>24356887</t>
  </si>
  <si>
    <t>2062401</t>
  </si>
  <si>
    <t>24355869</t>
  </si>
  <si>
    <t>Cloud Specialist</t>
  </si>
  <si>
    <t>https://www.pracuj.pl/praca/cloud-specialist-subcarpathia,oferta,8278026</t>
  </si>
  <si>
    <t>2064677</t>
  </si>
  <si>
    <t>24358212</t>
  </si>
  <si>
    <t>https://www.praca.pl/front-end-developer_5257223.html</t>
  </si>
  <si>
    <t>04.08.2021 03:05</t>
  </si>
  <si>
    <t>2060423</t>
  </si>
  <si>
    <t>23970184</t>
  </si>
  <si>
    <t>Coca-Cola HBC Polska Sp. z o.o.</t>
  </si>
  <si>
    <t>https://www.pracuj.pl/praca/kierownik-zespolu-sprzedazy-rzeszow,oferta,1001107321</t>
  </si>
  <si>
    <t>2067680</t>
  </si>
  <si>
    <t>24361216</t>
  </si>
  <si>
    <t>Doradca Energetyczny ds. OZE</t>
  </si>
  <si>
    <t>https://www.pracuj.pl/praca/doradca-energetyczny-ds-oze-podkarpackie,oferta,8278361</t>
  </si>
  <si>
    <t>2064715</t>
  </si>
  <si>
    <t>24358250</t>
  </si>
  <si>
    <t>Doradca Energetyczny ds. Sprzedaży Bezpośredniej D2D</t>
  </si>
  <si>
    <t>https://www.pracuj.pl/praca/doradca-energetyczny-ds-sprzedazy-bezposredniej-d2d-podkarpackie,oferta,8276766</t>
  </si>
  <si>
    <t>2064316</t>
  </si>
  <si>
    <t>24357851</t>
  </si>
  <si>
    <t>Doradca Klienta Biznesowego w branży Retail</t>
  </si>
  <si>
    <t>https://www.pracuj.pl/praca/doradca-klienta-biznesowego-w-branzy-retail-podkarpackie,oferta,8276552</t>
  </si>
  <si>
    <t>2064410</t>
  </si>
  <si>
    <t>24357945</t>
  </si>
  <si>
    <t>Doradca Klienta Biznesowego w Przemyśle Spożywczym</t>
  </si>
  <si>
    <t>https://www.pracuj.pl/praca/doradca-klienta-biznesowego-w-przemysle-spozywczym-podkarpackie,oferta,8276535</t>
  </si>
  <si>
    <t>2064426</t>
  </si>
  <si>
    <t>24357961</t>
  </si>
  <si>
    <t>Doradca Klienta Biznesowego w segmencie Horeca</t>
  </si>
  <si>
    <t>https://www.pracuj.pl/praca/doradca-klienta-biznesowego-w-segmencie-horeca-podkarpackie,oferta,8276568</t>
  </si>
  <si>
    <t>2064394</t>
  </si>
  <si>
    <t>24357929</t>
  </si>
  <si>
    <t>Doradca Klienta Biznesowego w segmencie nieruchomości komercyjnych</t>
  </si>
  <si>
    <t>https://www.pracuj.pl/praca/doradca-klienta-biznesowego-w-segmencie-nieruchomosci-komercyjnych-podkarpackie,oferta,8276584</t>
  </si>
  <si>
    <t>2064378</t>
  </si>
  <si>
    <t>24357913</t>
  </si>
  <si>
    <t>2063641</t>
  </si>
  <si>
    <t>24357109</t>
  </si>
  <si>
    <t>2064151</t>
  </si>
  <si>
    <t>24357619</t>
  </si>
  <si>
    <t>2062600</t>
  </si>
  <si>
    <t>24356068</t>
  </si>
  <si>
    <t>2061156</t>
  </si>
  <si>
    <t>24354624</t>
  </si>
  <si>
    <t>2061830</t>
  </si>
  <si>
    <t>24355298</t>
  </si>
  <si>
    <t>2061840</t>
  </si>
  <si>
    <t>24355308</t>
  </si>
  <si>
    <t>2062174</t>
  </si>
  <si>
    <t>24355642</t>
  </si>
  <si>
    <t>2063015</t>
  </si>
  <si>
    <t>24356483</t>
  </si>
  <si>
    <t>2063347</t>
  </si>
  <si>
    <t>24356815</t>
  </si>
  <si>
    <t>2061177</t>
  </si>
  <si>
    <t>24354645</t>
  </si>
  <si>
    <t>2062334</t>
  </si>
  <si>
    <t>24355802</t>
  </si>
  <si>
    <t>2061660</t>
  </si>
  <si>
    <t>24355128</t>
  </si>
  <si>
    <t>2062294</t>
  </si>
  <si>
    <t>24355762</t>
  </si>
  <si>
    <t>2063649</t>
  </si>
  <si>
    <t>24357117</t>
  </si>
  <si>
    <t>2063667</t>
  </si>
  <si>
    <t>24357135</t>
  </si>
  <si>
    <t>2062038</t>
  </si>
  <si>
    <t>24355506</t>
  </si>
  <si>
    <t>2062049</t>
  </si>
  <si>
    <t>24355517</t>
  </si>
  <si>
    <t>2061089</t>
  </si>
  <si>
    <t>24354557</t>
  </si>
  <si>
    <t>2062477</t>
  </si>
  <si>
    <t>24355945</t>
  </si>
  <si>
    <t>2060819</t>
  </si>
  <si>
    <t>24354287</t>
  </si>
  <si>
    <t>2062173</t>
  </si>
  <si>
    <t>24355641</t>
  </si>
  <si>
    <t>2062112</t>
  </si>
  <si>
    <t>24355580</t>
  </si>
  <si>
    <t>2062353</t>
  </si>
  <si>
    <t>24355821</t>
  </si>
  <si>
    <t>2061916</t>
  </si>
  <si>
    <t>24355384</t>
  </si>
  <si>
    <t>2061354</t>
  </si>
  <si>
    <t>24354822</t>
  </si>
  <si>
    <t>2061619</t>
  </si>
  <si>
    <t>24355087</t>
  </si>
  <si>
    <t>2062582</t>
  </si>
  <si>
    <t>24356050</t>
  </si>
  <si>
    <t>2061297</t>
  </si>
  <si>
    <t>24354765</t>
  </si>
  <si>
    <t>2064141</t>
  </si>
  <si>
    <t>24357609</t>
  </si>
  <si>
    <t>2060949</t>
  </si>
  <si>
    <t>24354417</t>
  </si>
  <si>
    <t>2063503</t>
  </si>
  <si>
    <t>24356971</t>
  </si>
  <si>
    <t>2063385</t>
  </si>
  <si>
    <t>24356853</t>
  </si>
  <si>
    <t>2061790</t>
  </si>
  <si>
    <t>24355258</t>
  </si>
  <si>
    <t>2063112</t>
  </si>
  <si>
    <t>24356580</t>
  </si>
  <si>
    <t>Supervisor ds. operacyjnych w dziale Audyt Delivery Center</t>
  </si>
  <si>
    <t>https://www.pracuj.pl/praca/supervisor-ds-operacyjnych-w-dziale-audyt-delivery-center-rzeszow,oferta,1001105325</t>
  </si>
  <si>
    <t>2065881</t>
  </si>
  <si>
    <t>24359416</t>
  </si>
  <si>
    <t>2062478</t>
  </si>
  <si>
    <t>24355946</t>
  </si>
  <si>
    <t>EENGINE.PL sp. z o.o.</t>
  </si>
  <si>
    <t>https://www.pracuj.pl/praca/php-developer-rzeszow,oferta,500129592</t>
  </si>
  <si>
    <t>2065226</t>
  </si>
  <si>
    <t>24358761</t>
  </si>
  <si>
    <t>e-r-s Polska sp. z o.o.</t>
  </si>
  <si>
    <t>Cieśla szalunkowy</t>
  </si>
  <si>
    <t>https://www.praca.pl/ciesla-szalunkowy_5253752.html</t>
  </si>
  <si>
    <t>2060234</t>
  </si>
  <si>
    <t>23911801</t>
  </si>
  <si>
    <t>Murarz / Monter</t>
  </si>
  <si>
    <t>https://www.praca.pl/murarz-monter_5253212.html</t>
  </si>
  <si>
    <t>2060272</t>
  </si>
  <si>
    <t>23911864</t>
  </si>
  <si>
    <t>FOLSYSTEMS SP Z O O</t>
  </si>
  <si>
    <t>Rzeczoznawca / Ekspert Motoryzacyjny</t>
  </si>
  <si>
    <t>https://www.praca.pl/rzeczoznawca-ekspert-motoryzacyjny_5306723.html</t>
  </si>
  <si>
    <t>2060462</t>
  </si>
  <si>
    <t>24305906</t>
  </si>
  <si>
    <t>FR Sp. z o.o.</t>
  </si>
  <si>
    <t>Monter reklam</t>
  </si>
  <si>
    <t>https://www.praca.pl/monter-reklam_5202906.html</t>
  </si>
  <si>
    <t>2059967</t>
  </si>
  <si>
    <t>23583473</t>
  </si>
  <si>
    <t>RPd057|711902</t>
  </si>
  <si>
    <t>Junior Email Security Engineer</t>
  </si>
  <si>
    <t>https://www.pracuj.pl/praca/junior-email-security-engineer-subcarpathia,oferta,8276809</t>
  </si>
  <si>
    <t>2064294</t>
  </si>
  <si>
    <t>24357829</t>
  </si>
  <si>
    <t>GAMUZA sp. z o.o.</t>
  </si>
  <si>
    <t>Pilarz - Arborysta</t>
  </si>
  <si>
    <t>Pilarz</t>
  </si>
  <si>
    <t>https://www.pracuj.pl/praca/pilarz-arborysta-podkarpackie,oferta,500129574</t>
  </si>
  <si>
    <t>2065208</t>
  </si>
  <si>
    <t>24358743</t>
  </si>
  <si>
    <t>RPd057|817210</t>
  </si>
  <si>
    <t>Gi Group</t>
  </si>
  <si>
    <t>https://www.pracuj.pl/praca/pracownik-magazynu-podkarpackie,oferta,8275427</t>
  </si>
  <si>
    <t>2064450</t>
  </si>
  <si>
    <t>24357985</t>
  </si>
  <si>
    <t>G+K SteelCon Sp.zo.o.</t>
  </si>
  <si>
    <t>https://www.praca.pl/kontroler-jakosci_5305835.html</t>
  </si>
  <si>
    <t>2060517</t>
  </si>
  <si>
    <t>24306154</t>
  </si>
  <si>
    <t>Oracle lub MS SQL DBA z niemieckim</t>
  </si>
  <si>
    <t>https://www.pracuj.pl/praca/oracle-lub-ms-sql-dba-z-niemieckim-rzeszow,oferta,1001106270</t>
  </si>
  <si>
    <t>2066742</t>
  </si>
  <si>
    <t>24360278</t>
  </si>
  <si>
    <t>Przedstawiciel Handlowy – Specjalista ds. Sprzedaży fotowoltaiki i pomp ciepła</t>
  </si>
  <si>
    <t>https://www.pracuj.pl/praca/przedstawiciel-handlowy-specjalista-ds-sprzedazy-fotowoltaiki-i-pomp-ciepla-rzeszow,oferta,1001104896</t>
  </si>
  <si>
    <t>2065321</t>
  </si>
  <si>
    <t>24358856</t>
  </si>
  <si>
    <t>Grupa Assiduus</t>
  </si>
  <si>
    <t>Doradca Finansowo - Ubezpieczeniowy</t>
  </si>
  <si>
    <t>https://www.pracuj.pl/praca/doradca-finansowo-ubezpieczeniowy-podkarpackie,oferta,8278832</t>
  </si>
  <si>
    <t>2064827</t>
  </si>
  <si>
    <t>24358362</t>
  </si>
  <si>
    <t>2062500</t>
  </si>
  <si>
    <t>24355968</t>
  </si>
  <si>
    <t>https://www.pracuj.pl/praca/fizjoterapeuta-mielec,oferta,1001105283</t>
  </si>
  <si>
    <t>Lekarz/Farmaceuta/Weterynarz</t>
  </si>
  <si>
    <t>2065839</t>
  </si>
  <si>
    <t>24359374</t>
  </si>
  <si>
    <t>https://www.pracuj.pl/praca/fizjoterapeuta-ropczyce,oferta,1001105284</t>
  </si>
  <si>
    <t>2065840</t>
  </si>
  <si>
    <t>24359375</t>
  </si>
  <si>
    <t>https://www.pracuj.pl/praca/fizjoterapeuta-rzeszow,oferta,1001105285</t>
  </si>
  <si>
    <t>2065841</t>
  </si>
  <si>
    <t>24359376</t>
  </si>
  <si>
    <t>https://www.pracuj.pl/praca/fizjoterapeuta-jaslo,oferta,1001105286</t>
  </si>
  <si>
    <t>2065842</t>
  </si>
  <si>
    <t>24359377</t>
  </si>
  <si>
    <t>https://www.pracuj.pl/praca/fizjoterapeuta-strzyzow,oferta,1001105287</t>
  </si>
  <si>
    <t>2065843</t>
  </si>
  <si>
    <t>24359378</t>
  </si>
  <si>
    <t>https://www.pracuj.pl/praca/fizjoterapeuta-kolbuszowa,oferta,1001105288</t>
  </si>
  <si>
    <t>2065844</t>
  </si>
  <si>
    <t>24359379</t>
  </si>
  <si>
    <t>Pedagog - Pedagog Specjalny</t>
  </si>
  <si>
    <t>https://www.pracuj.pl/praca/pedagog-pedagog-specjalny-jaslo,oferta,1001105272</t>
  </si>
  <si>
    <t>2065831</t>
  </si>
  <si>
    <t>24359366</t>
  </si>
  <si>
    <t>https://www.pracuj.pl/praca/pedagog-pedagog-specjalny-mielec,oferta,1001105273</t>
  </si>
  <si>
    <t>2065832</t>
  </si>
  <si>
    <t>24359367</t>
  </si>
  <si>
    <t>https://www.pracuj.pl/praca/pedagog-pedagog-specjalny-ropczyce,oferta,1001105274</t>
  </si>
  <si>
    <t>2065833</t>
  </si>
  <si>
    <t>24359368</t>
  </si>
  <si>
    <t>https://www.pracuj.pl/praca/pedagog-pedagog-specjalny-rzeszow,oferta,1001105275</t>
  </si>
  <si>
    <t>2065834</t>
  </si>
  <si>
    <t>24359369</t>
  </si>
  <si>
    <t>https://www.pracuj.pl/praca/pedagog-pedagog-specjalny-strzyzow,oferta,1001105276</t>
  </si>
  <si>
    <t>2065835</t>
  </si>
  <si>
    <t>24359370</t>
  </si>
  <si>
    <t>https://www.pracuj.pl/praca/pedagog-pedagog-specjalny-kolbuszowa,oferta,1001105277</t>
  </si>
  <si>
    <t>2065836</t>
  </si>
  <si>
    <t>24359371</t>
  </si>
  <si>
    <t>https://www.pracuj.pl/praca/psycholog-jaslo,oferta,1001105306</t>
  </si>
  <si>
    <t>2065862</t>
  </si>
  <si>
    <t>24359397</t>
  </si>
  <si>
    <t>https://www.pracuj.pl/praca/psycholog-mielec,oferta,1001105307</t>
  </si>
  <si>
    <t>2065863</t>
  </si>
  <si>
    <t>24359398</t>
  </si>
  <si>
    <t>https://www.pracuj.pl/praca/psycholog-ropczyce,oferta,1001105308</t>
  </si>
  <si>
    <t>2065864</t>
  </si>
  <si>
    <t>24359399</t>
  </si>
  <si>
    <t>https://www.pracuj.pl/praca/psycholog-rzeszow,oferta,1001105309</t>
  </si>
  <si>
    <t>2065865</t>
  </si>
  <si>
    <t>24359400</t>
  </si>
  <si>
    <t>https://www.pracuj.pl/praca/psycholog-strzyzow,oferta,1001105310</t>
  </si>
  <si>
    <t>2065866</t>
  </si>
  <si>
    <t>24359401</t>
  </si>
  <si>
    <t>https://www.pracuj.pl/praca/psycholog-kolbuszowa,oferta,1001105311</t>
  </si>
  <si>
    <t>2065867</t>
  </si>
  <si>
    <t>24359402</t>
  </si>
  <si>
    <t>Sr. Analyst - Pricing &amp; Market Intelligence</t>
  </si>
  <si>
    <t>https://www.pracuj.pl/praca/sr-analyst-pricing-market-intelligence-jasionka-pow-rzeszowski,oferta,1001105821</t>
  </si>
  <si>
    <t>04.08.2021 06:32</t>
  </si>
  <si>
    <t>2066349</t>
  </si>
  <si>
    <t>24359885</t>
  </si>
  <si>
    <t>Hymon Fotowoltaika Sp. z o.o.</t>
  </si>
  <si>
    <t>Przedstawiciel handlowy ds. Fotowoltaiki i Pomp Ciepła</t>
  </si>
  <si>
    <t>https://www.praca.pl/przedstawiciel-handlowy-ds-fotowoltaiki-i-pomp-ciepla_5251400.html</t>
  </si>
  <si>
    <t>2060383</t>
  </si>
  <si>
    <t>23912194</t>
  </si>
  <si>
    <t>INSTAL SOLAR SPÓŁKA Z OGRANICZONĄ ODPOWIEDZIALNOŚCIĄ</t>
  </si>
  <si>
    <t>https://www.pracuj.pl/praca/przedstawiciel-handlowy-debica,oferta,8277742</t>
  </si>
  <si>
    <t>04.08.2021 04:37</t>
  </si>
  <si>
    <t>2064604</t>
  </si>
  <si>
    <t>24358139</t>
  </si>
  <si>
    <t>04.08.2021 04:36</t>
  </si>
  <si>
    <t>2060892</t>
  </si>
  <si>
    <t>24354360</t>
  </si>
  <si>
    <t>JLM TRANS sp. z o.o.</t>
  </si>
  <si>
    <t>https://www.pracuj.pl/praca/kierowca-kat-c%2be-rzeszow,oferta,500129478</t>
  </si>
  <si>
    <t>2065127</t>
  </si>
  <si>
    <t>24358662</t>
  </si>
  <si>
    <t>2063218</t>
  </si>
  <si>
    <t>24356686</t>
  </si>
  <si>
    <t>2062078</t>
  </si>
  <si>
    <t>24355546</t>
  </si>
  <si>
    <t>2062254</t>
  </si>
  <si>
    <t>24355722</t>
  </si>
  <si>
    <t>2063119</t>
  </si>
  <si>
    <t>24356587</t>
  </si>
  <si>
    <t>2063427</t>
  </si>
  <si>
    <t>24356895</t>
  </si>
  <si>
    <t>2061980</t>
  </si>
  <si>
    <t>24355448</t>
  </si>
  <si>
    <t>KCR PLACEMENT SP. Z O.O.</t>
  </si>
  <si>
    <t>Clinical Data Management Specialist</t>
  </si>
  <si>
    <t>https://www.pracuj.pl/praca/clinical-data-management-specialist-podkarpackie,oferta,8275115</t>
  </si>
  <si>
    <t>2064457</t>
  </si>
  <si>
    <t>24357992</t>
  </si>
  <si>
    <t>2063745</t>
  </si>
  <si>
    <t>24357213</t>
  </si>
  <si>
    <t>INSPEKTOR DS. TECHNICZNYCH - ADMINISTRACJA</t>
  </si>
  <si>
    <t>https://www.goldenline.pl/praca/oferta/1279252/zielonalinia0?utm_campaign=partner&amp;gpid=988868&amp;utm_medium=export&amp;glc_source=zielonalinia0&amp;utm_source=zielonalinia0</t>
  </si>
  <si>
    <t>2063052</t>
  </si>
  <si>
    <t>24356520</t>
  </si>
  <si>
    <t>https://www.praca.pl/doradca-klienta_5213094.html</t>
  </si>
  <si>
    <t>2059950</t>
  </si>
  <si>
    <t>23582858</t>
  </si>
  <si>
    <t>https://www.pracuj.pl/praca/pracownik-sklepu-etat-87h-lub-130h-tarnobrzeg,oferta,1001105728</t>
  </si>
  <si>
    <t>2066453</t>
  </si>
  <si>
    <t>24359989</t>
  </si>
  <si>
    <t>https://www.pracuj.pl/praca/pracownik-sklepu-etat-87h-lub-130h-sedziszow-malopolski,oferta,1001105727</t>
  </si>
  <si>
    <t>2066454</t>
  </si>
  <si>
    <t>24359990</t>
  </si>
  <si>
    <t>https://www.pracuj.pl/praca/pracownik-sklepu-etat-87h-lub-130h-nowa-deba,oferta,1001105726</t>
  </si>
  <si>
    <t>2066455</t>
  </si>
  <si>
    <t>24359991</t>
  </si>
  <si>
    <t>https://www.pracuj.pl/praca/pracownik-sklepu-etat-87h-lub-130h-glogow-malopolski,oferta,1001105725</t>
  </si>
  <si>
    <t>2066456</t>
  </si>
  <si>
    <t>24359992</t>
  </si>
  <si>
    <t>https://www.pracuj.pl/praca/zastepca-managera-sklepu-nowa-deba,oferta,1001105793</t>
  </si>
  <si>
    <t>2066376</t>
  </si>
  <si>
    <t>24359912</t>
  </si>
  <si>
    <t>Przedstawiciel Handlowy (Przemyśl, Jarosław i okolice)</t>
  </si>
  <si>
    <t>https://www.pracuj.pl/praca/przedstawiciel-handlowy-przemysl-jaroslaw-i-okolice-przemysl,oferta,1001107132</t>
  </si>
  <si>
    <t>2067509</t>
  </si>
  <si>
    <t>24361045</t>
  </si>
  <si>
    <t>Przedstawiciel Handlowy (Sanok, Ustrzyki Dolne i okolice)</t>
  </si>
  <si>
    <t>https://www.pracuj.pl/praca/przedstawiciel-handlowy-sanok-ustrzyki-dolne-i-okolice-sanok,oferta,1001107123</t>
  </si>
  <si>
    <t>2067502</t>
  </si>
  <si>
    <t>24361038</t>
  </si>
  <si>
    <t>Lupus Fire Ireneusz Bereżański</t>
  </si>
  <si>
    <t>https://www.pracuj.pl/praca/pracownik-administracyjno-biurowy-lubaczow,oferta,500129377</t>
  </si>
  <si>
    <t>2065027</t>
  </si>
  <si>
    <t>24358562</t>
  </si>
  <si>
    <t>MagnaPharm Poland sp. z o.o.</t>
  </si>
  <si>
    <t>Przedstawiciel Medyczny - linia ginekologiczno-urologiczna</t>
  </si>
  <si>
    <t>https://www.pracuj.pl/praca/przedstawiciel-medyczny-linia-ginekologiczno-urologiczna-podkarpackie,oferta,8279247</t>
  </si>
  <si>
    <t>2064882</t>
  </si>
  <si>
    <t>24358417</t>
  </si>
  <si>
    <t>Maszoński Logistic</t>
  </si>
  <si>
    <t>Kierowca C+E u.niemiecka</t>
  </si>
  <si>
    <t>https://www.pracuj.pl/praca/kierowca-c%2be-u-niemiecka-podkarpackie,oferta,8278380</t>
  </si>
  <si>
    <t>2064734</t>
  </si>
  <si>
    <t>24358269</t>
  </si>
  <si>
    <t>MB "SFERINIS KINAS" SPÓŁKA MAŁA ODDZIAŁ W POLSCE</t>
  </si>
  <si>
    <t>Pracownik Mobilnego Planetarium - Edukator</t>
  </si>
  <si>
    <t>https://www.pracuj.pl/praca/pracownik-mobilnego-planetarium-edukator-debica,oferta,1001105476</t>
  </si>
  <si>
    <t>2066017</t>
  </si>
  <si>
    <t>24359552</t>
  </si>
  <si>
    <t>https://www.pracuj.pl/praca/pracownik-mobilnego-planetarium-edukator-mielec,oferta,1001105490</t>
  </si>
  <si>
    <t>2066031</t>
  </si>
  <si>
    <t>24359566</t>
  </si>
  <si>
    <t>https://www.pracuj.pl/praca/pracownik-mobilnego-planetarium-edukator-rzeszow,oferta,1001105501</t>
  </si>
  <si>
    <t>2066042</t>
  </si>
  <si>
    <t>24359577</t>
  </si>
  <si>
    <t>https://www.pracuj.pl/praca/pracownik-mobilnego-planetarium-edukator-stalowa-wola,oferta,1001105502</t>
  </si>
  <si>
    <t>2066043</t>
  </si>
  <si>
    <t>24359578</t>
  </si>
  <si>
    <t>https://www.pracuj.pl/praca/pracownik-mobilnego-planetarium-edukator-tarnobrzeg,oferta,1001105504</t>
  </si>
  <si>
    <t>2066045</t>
  </si>
  <si>
    <t>24359580</t>
  </si>
  <si>
    <t>Specjalista ds. Zdalnej Sprzedaży Telefonicznej i Obsługi Klienta</t>
  </si>
  <si>
    <t>https://www.pracuj.pl/praca/specjalista-ds-zdalnej-sprzedazy-telefonicznej-i-obslugi-klienta-rzeszow,oferta,1001105461</t>
  </si>
  <si>
    <t>2066005</t>
  </si>
  <si>
    <t>24359540</t>
  </si>
  <si>
    <t>Specjalista ds. bankowości korporacyjnej – segment MŚP</t>
  </si>
  <si>
    <t>https://www.praca.pl/specjalista-ds-bankowosci-korporacyjnej-segment-msp_5251811.html</t>
  </si>
  <si>
    <t>2060354</t>
  </si>
  <si>
    <t>23912153</t>
  </si>
  <si>
    <t>MCD Electronics Sp. z o.o.</t>
  </si>
  <si>
    <t>Projektant instalacji sanitarnych</t>
  </si>
  <si>
    <t>https://www.pracuj.pl/praca/projektant-instalacji-sanitarnych-podkarpackie,oferta,8277879</t>
  </si>
  <si>
    <t>2064622</t>
  </si>
  <si>
    <t>24358157</t>
  </si>
  <si>
    <t>Dostawca – Instalator sprzętu RTV/AGD</t>
  </si>
  <si>
    <t>Monter sprzętu radiowego i telewizyjnego</t>
  </si>
  <si>
    <t>https://www.pracuj.pl/praca/dostawca-instalator-sprzetu-rtv-agd-rzeszow,oferta,1001105079</t>
  </si>
  <si>
    <t>2065674</t>
  </si>
  <si>
    <t>24359209</t>
  </si>
  <si>
    <t>RPd057|821305</t>
  </si>
  <si>
    <t>https://www.pracuj.pl/praca/dostawca-instalator-sprzetu-rtv-agd-glogow-malopolski,oferta,1001105085</t>
  </si>
  <si>
    <t>2065680</t>
  </si>
  <si>
    <t>24359215</t>
  </si>
  <si>
    <t>Lekarz Radiolog (opisy badań CBCT)</t>
  </si>
  <si>
    <t>Elektroradiolog</t>
  </si>
  <si>
    <t>https://www.praca.pl/lekarz-radiolog-opisy-badan-cbct_5247935.html</t>
  </si>
  <si>
    <t>2060165</t>
  </si>
  <si>
    <t>23911663</t>
  </si>
  <si>
    <t>RPd057|229913</t>
  </si>
  <si>
    <t>https://www.praca.pl/kasjer-kasjerka_5254265.html</t>
  </si>
  <si>
    <t>2060202</t>
  </si>
  <si>
    <t>23911720</t>
  </si>
  <si>
    <t>https://www.praca.pl/magazynier_5254277.html</t>
  </si>
  <si>
    <t>2060116</t>
  </si>
  <si>
    <t>23911576</t>
  </si>
  <si>
    <t>Sprzątaczka domowa</t>
  </si>
  <si>
    <t>https://www.praca.pl/sprzataczka_5254256.html</t>
  </si>
  <si>
    <t>2060200</t>
  </si>
  <si>
    <t>23911718</t>
  </si>
  <si>
    <t>RPd057|911102</t>
  </si>
  <si>
    <t>https://www.praca.pl/sprzedawca_5254229.html</t>
  </si>
  <si>
    <t>2060198</t>
  </si>
  <si>
    <t>23911716</t>
  </si>
  <si>
    <t>https://www.praca.pl/sprzedawca_5254232.html</t>
  </si>
  <si>
    <t>2060199</t>
  </si>
  <si>
    <t>23911717</t>
  </si>
  <si>
    <t>https://www.praca.pl/sprzedawca_5254262.html</t>
  </si>
  <si>
    <t>2060201</t>
  </si>
  <si>
    <t>23911719</t>
  </si>
  <si>
    <t>MIRBUD S.A.</t>
  </si>
  <si>
    <t>https://www.pracuj.pl/praca/kierownik-budowy-podkarpackie,oferta,8278808</t>
  </si>
  <si>
    <t>2064809</t>
  </si>
  <si>
    <t>24358344</t>
  </si>
  <si>
    <t>Kierownik kontraktu</t>
  </si>
  <si>
    <t>https://www.pracuj.pl/praca/kierownik-kontraktu-podkarpackie,oferta,8277651</t>
  </si>
  <si>
    <t>2064567</t>
  </si>
  <si>
    <t>24358102</t>
  </si>
  <si>
    <t>Kierownik robót elektrycznych / teletechnicznych</t>
  </si>
  <si>
    <t>https://www.pracuj.pl/praca/kierownik-robot-elektrycznych-teletechnicznych-podkarpackie,oferta,8277598</t>
  </si>
  <si>
    <t>2064535</t>
  </si>
  <si>
    <t>24358070</t>
  </si>
  <si>
    <t>Kierownik robót sanitarnych</t>
  </si>
  <si>
    <t>https://www.pracuj.pl/praca/kierownik-robot-sanitarnych-podkarpackie,oferta,8277631</t>
  </si>
  <si>
    <t>2064551</t>
  </si>
  <si>
    <t>24358086</t>
  </si>
  <si>
    <t>https://www.goldenline.pl/praca/oferta/1278766/zielonalinia0?utm_campaign=partner&amp;gpid=988428&amp;utm_medium=export&amp;glc_source=zielonalinia0&amp;utm_source=zielonalinia0</t>
  </si>
  <si>
    <t>2062833</t>
  </si>
  <si>
    <t>24356301</t>
  </si>
  <si>
    <t>"Moss" Wiesław Mossoczy</t>
  </si>
  <si>
    <t>Doradca Klienta (salon meblowy)</t>
  </si>
  <si>
    <t>https://www.pracuj.pl/praca/doradca-klienta-salon-meblowy-jaroslaw,oferta,1001106882</t>
  </si>
  <si>
    <t>2067302</t>
  </si>
  <si>
    <t>24360838</t>
  </si>
  <si>
    <t>Nexio Management Sp. z o.o.</t>
  </si>
  <si>
    <t>Starszy Programista Java</t>
  </si>
  <si>
    <t>https://www.pracuj.pl/praca/starszy-programista-java-rzeszow,oferta,1001105303</t>
  </si>
  <si>
    <t>2065859</t>
  </si>
  <si>
    <t>24359394</t>
  </si>
  <si>
    <t>2064052</t>
  </si>
  <si>
    <t>24357520</t>
  </si>
  <si>
    <t>2062617</t>
  </si>
  <si>
    <t>24356085</t>
  </si>
  <si>
    <t>https://www.praca.pl/frontend-developer_5243246.html</t>
  </si>
  <si>
    <t>2060301</t>
  </si>
  <si>
    <t>23911929</t>
  </si>
  <si>
    <t>Senior Python Web Developer [rekrutacja online]</t>
  </si>
  <si>
    <t>https://www.praca.pl/senior-python-web-developer-rekrutacja-online_5247050.html</t>
  </si>
  <si>
    <t>2060120</t>
  </si>
  <si>
    <t>23911600</t>
  </si>
  <si>
    <t>OEX Cursor S.A.</t>
  </si>
  <si>
    <t>Hostessa/Host</t>
  </si>
  <si>
    <t>https://www.pracuj.pl/praca/hostessa-host-rzeszow,oferta,1001105019</t>
  </si>
  <si>
    <t>2065632</t>
  </si>
  <si>
    <t>24359167</t>
  </si>
  <si>
    <t>https://www.pracuj.pl/praca/hostessa-host-przemysl,oferta,1001105024</t>
  </si>
  <si>
    <t>2065637</t>
  </si>
  <si>
    <t>24359172</t>
  </si>
  <si>
    <t>Orbico sp. z o.o.</t>
  </si>
  <si>
    <t>Przedstawiciel handlowy (HoReCa) – P&amp;G Professional</t>
  </si>
  <si>
    <t>https://www.pracuj.pl/praca/przedstawiciel-handlowy-horeca-p-g-professional-rzeszow,oferta,1001106575</t>
  </si>
  <si>
    <t>2067010</t>
  </si>
  <si>
    <t>24360546</t>
  </si>
  <si>
    <t>https://www.pracuj.pl/praca/przedstawiciel-handlowy-horeca-p-g-professional-krosno,oferta,1001106576</t>
  </si>
  <si>
    <t>2067011</t>
  </si>
  <si>
    <t>24360547</t>
  </si>
  <si>
    <t>https://www.pracuj.pl/praca/przedstawiciel-handlowy-horeca-p-g-professional-przemysl,oferta,1001106577</t>
  </si>
  <si>
    <t>2067012</t>
  </si>
  <si>
    <t>24360548</t>
  </si>
  <si>
    <t>Junior Transcreation Project Coordinator</t>
  </si>
  <si>
    <t>https://www.pracuj.pl/praca/junior-transcreation-project-coordinator-rzeszow,oferta,1001107083</t>
  </si>
  <si>
    <t>2067462</t>
  </si>
  <si>
    <t>24360998</t>
  </si>
  <si>
    <t>Patrol Group</t>
  </si>
  <si>
    <t>Manager ds. Kluczowych Klientów z językiem niemieckim</t>
  </si>
  <si>
    <t>https://www.pracuj.pl/praca/manager-ds-kluczowych-klientow-z-jezykiem-niemieckim-rzeszow,oferta,1001105956</t>
  </si>
  <si>
    <t>2066234</t>
  </si>
  <si>
    <t>24359770</t>
  </si>
  <si>
    <t>Perfect Beauty</t>
  </si>
  <si>
    <t>Manager Sprzedaży / Specjalista ds. Rozwoju Sprzedaży</t>
  </si>
  <si>
    <t>https://www.pracuj.pl/praca/manager-sprzedazy-specjalista-ds-rozwoju-sprzedazy-rzeszow,oferta,1001107198</t>
  </si>
  <si>
    <t>2067574</t>
  </si>
  <si>
    <t>24361110</t>
  </si>
  <si>
    <t>Pitney Bowes Polska sp z o.o.</t>
  </si>
  <si>
    <t>.NET Developer – 100% remote</t>
  </si>
  <si>
    <t>https://www.pracuj.pl/praca/net-developer-100-remote-rzeszow,oferta,1001104965</t>
  </si>
  <si>
    <t>2065578</t>
  </si>
  <si>
    <t>24359113</t>
  </si>
  <si>
    <t>Architekt Domenowy</t>
  </si>
  <si>
    <t>https://www.praca.pl/architekt-domenowy_5255360.html</t>
  </si>
  <si>
    <t>2060099</t>
  </si>
  <si>
    <t>23911552</t>
  </si>
  <si>
    <t>https://www.pracuj.pl/praca/specjalista-ds-logistyki-przemysl,oferta,1001105815</t>
  </si>
  <si>
    <t>2066354</t>
  </si>
  <si>
    <t>24359890</t>
  </si>
  <si>
    <t>POLSKA SIEĆ HANDLOWA "NASZ SKLEP" S.A.</t>
  </si>
  <si>
    <t>Dyrektor Sieci Sklepów</t>
  </si>
  <si>
    <t>https://www.pracuj.pl/praca/dyrektor-sieci-sklepow-podkarpackie,oferta,8279048</t>
  </si>
  <si>
    <t>2064845</t>
  </si>
  <si>
    <t>24358380</t>
  </si>
  <si>
    <t>https://www.pracuj.pl/praca/zastepca-glownej-ksiegowej-rzeszow,oferta,1001107172</t>
  </si>
  <si>
    <t>2067548</t>
  </si>
  <si>
    <t>24361084</t>
  </si>
  <si>
    <t>2063658</t>
  </si>
  <si>
    <t>24357126</t>
  </si>
  <si>
    <t>2063042</t>
  </si>
  <si>
    <t>24356510</t>
  </si>
  <si>
    <t>Grafik komputerowy 3D - rysowanie mebli i pomieszczeń</t>
  </si>
  <si>
    <t>https://www.pracuj.pl/praca/grafik-komputerowy-3d-rysowanie-mebli-i-pomieszczen-lancut,oferta,1001105175</t>
  </si>
  <si>
    <t>2065754</t>
  </si>
  <si>
    <t>24359289</t>
  </si>
  <si>
    <t>https://www.pracuj.pl/praca/grafik-komputerowy-3d-rysowanie-mebli-i-pomieszczen-rzeszow,oferta,1001105176</t>
  </si>
  <si>
    <t>2065755</t>
  </si>
  <si>
    <t>24359290</t>
  </si>
  <si>
    <t>https://www.pracuj.pl/praca/grafik-komputerowy-3d-rysowanie-mebli-i-pomieszczen-przeworsk,oferta,1001105177</t>
  </si>
  <si>
    <t>2065756</t>
  </si>
  <si>
    <t>24359291</t>
  </si>
  <si>
    <t>Specjalista ds. kosztorysowania</t>
  </si>
  <si>
    <t>https://www.pracuj.pl/praca/specjalista-ds-kosztorysowania-lancut,oferta,1001105180</t>
  </si>
  <si>
    <t>2065759</t>
  </si>
  <si>
    <t>24359294</t>
  </si>
  <si>
    <t>https://www.pracuj.pl/praca/specjalista-ds-kosztorysowania-rzeszow,oferta,1001105181</t>
  </si>
  <si>
    <t>2065760</t>
  </si>
  <si>
    <t>24359295</t>
  </si>
  <si>
    <t>https://www.pracuj.pl/praca/specjalista-ds-kosztorysowania-przeworsk,oferta,1001105182</t>
  </si>
  <si>
    <t>2065761</t>
  </si>
  <si>
    <t>24359296</t>
  </si>
  <si>
    <t>Młodszy Analityk  Finansowy (obsługa klienta zagranicznego)</t>
  </si>
  <si>
    <t>https://www.pracuj.pl/praca/mlodszy-analityk-finansowy-obsluga-klienta-zagranicznego-rzeszow,oferta,1001105425</t>
  </si>
  <si>
    <t>2065970</t>
  </si>
  <si>
    <t>24359505</t>
  </si>
  <si>
    <t>Młodszy Pracownik Produkcyjny</t>
  </si>
  <si>
    <t>https://www.pracuj.pl/praca/mlodszy-pracownik-produkcyjny-rzeszow,oferta,1001105429</t>
  </si>
  <si>
    <t>2065974</t>
  </si>
  <si>
    <t>24359509</t>
  </si>
  <si>
    <t>PROMAG INTERNATIONAL Sp. z o.o.</t>
  </si>
  <si>
    <t>https://www.pracuj.pl/praca/przedstawiciel-handlowy-podkarpackie,oferta,500129277</t>
  </si>
  <si>
    <t>2064928</t>
  </si>
  <si>
    <t>24358463</t>
  </si>
  <si>
    <t>PROVIVE MP SPÓŁKA Z OGRANICZONĄ ODPOWIEDZIALNOŚCIĄ</t>
  </si>
  <si>
    <t>Niezależny Agent Nieruchomości w systemie mobilnym lub stacjonarnym</t>
  </si>
  <si>
    <t>https://www.pracuj.pl/praca/niezalezny-agent-nieruchomosci-w-systemie-mobilnym-lub-stacjonarnym-podkarpackie,oferta,8279117</t>
  </si>
  <si>
    <t>2064865</t>
  </si>
  <si>
    <t>24358400</t>
  </si>
  <si>
    <t>2063909</t>
  </si>
  <si>
    <t>24357377</t>
  </si>
  <si>
    <t>2063373</t>
  </si>
  <si>
    <t>24356841</t>
  </si>
  <si>
    <t>2061516</t>
  </si>
  <si>
    <t>24354984</t>
  </si>
  <si>
    <t>2063025</t>
  </si>
  <si>
    <t>24356493</t>
  </si>
  <si>
    <t>2061615</t>
  </si>
  <si>
    <t>24355083</t>
  </si>
  <si>
    <t>2063741</t>
  </si>
  <si>
    <t>24357209</t>
  </si>
  <si>
    <t>2063157</t>
  </si>
  <si>
    <t>24356625</t>
  </si>
  <si>
    <t>2060957</t>
  </si>
  <si>
    <t>24354425</t>
  </si>
  <si>
    <t>PV System Sp. z o.o.</t>
  </si>
  <si>
    <t>https://www.pracuj.pl/praca/przedstawiciel-handlowy-podkarpackie,oferta,8278476</t>
  </si>
  <si>
    <t>2064739</t>
  </si>
  <si>
    <t>24358274</t>
  </si>
  <si>
    <t>2062298</t>
  </si>
  <si>
    <t>24355766</t>
  </si>
  <si>
    <t>2062385</t>
  </si>
  <si>
    <t>24355853</t>
  </si>
  <si>
    <t>2062555</t>
  </si>
  <si>
    <t>24356023</t>
  </si>
  <si>
    <t>2063756</t>
  </si>
  <si>
    <t>24357224</t>
  </si>
  <si>
    <t>2063794</t>
  </si>
  <si>
    <t>24357262</t>
  </si>
  <si>
    <t>QBUSOFT SPÓŁKA Z OGRANICZONĄ ODPOWIEDZIALNOŚCIĄ</t>
  </si>
  <si>
    <t>https://www.pracuj.pl/praca/specjalista-ds-obslugi-klienta-rzeszow,oferta,1001106054</t>
  </si>
  <si>
    <t>2066542</t>
  </si>
  <si>
    <t>24360078</t>
  </si>
  <si>
    <t>Praktykant/ka w dziale HR w Randstad Rzeszów (bezpłatne)</t>
  </si>
  <si>
    <t>https://www.pracuj.pl/praca/praktykant-ka-w-dziale-hr-w-randstad-rzeszow-bezplatne-rzeszow,oferta,1001106315</t>
  </si>
  <si>
    <t>2066784</t>
  </si>
  <si>
    <t>24360320</t>
  </si>
  <si>
    <t>2063462</t>
  </si>
  <si>
    <t>24356930</t>
  </si>
  <si>
    <t>2062252</t>
  </si>
  <si>
    <t>24355720</t>
  </si>
  <si>
    <t>Specjalista ds. Należności z j. niemieckim</t>
  </si>
  <si>
    <t>https://www.pracuj.pl/praca/specjalista-ds-naleznosci-z-j-niemieckim-podkarpackie,oferta,8276980</t>
  </si>
  <si>
    <t>2064265</t>
  </si>
  <si>
    <t>24357800</t>
  </si>
  <si>
    <t>Sidrom Sp. z o.o.</t>
  </si>
  <si>
    <t>https://www.praca.pl/kucharz_5248523.html</t>
  </si>
  <si>
    <t>2060400</t>
  </si>
  <si>
    <t>23912308</t>
  </si>
  <si>
    <t>Siemens Sp. z o.o</t>
  </si>
  <si>
    <t>Inżynier / Inżynierka ds. Uruchomień (elektroenergetyka)</t>
  </si>
  <si>
    <t>https://www.pracuj.pl/praca/inzynier-inzynierka-ds-uruchomien-elektroenergetyka-podkarpackie,oferta,8277457</t>
  </si>
  <si>
    <t>2064478</t>
  </si>
  <si>
    <t>24358013</t>
  </si>
  <si>
    <t>Logistics Specialist with Finnish (f/m)</t>
  </si>
  <si>
    <t>https://www.pracuj.pl/praca/logistics-specialist-with-finnish-f-m-subcarpathia,oferta,8277434</t>
  </si>
  <si>
    <t>2064204</t>
  </si>
  <si>
    <t>24357739</t>
  </si>
  <si>
    <t>Specjalista / Specjalistka w zakresie technologii sieciowych i cyberbezpieczeństwa w automatyce przemysłowej</t>
  </si>
  <si>
    <t>https://www.pracuj.pl/praca/specjalista-specjalistka-w-zakresie-technologii-sieciowych-i-cyberbezpieczenstwa-podkarpackie,oferta,8277513</t>
  </si>
  <si>
    <t>2064499</t>
  </si>
  <si>
    <t>24358034</t>
  </si>
  <si>
    <t>Angular TypeScript Developer</t>
  </si>
  <si>
    <t>https://www.pracuj.pl/praca/angular-typescript-developer-rzeszow,oferta,1001104212</t>
  </si>
  <si>
    <t>2065525</t>
  </si>
  <si>
    <t>24359060</t>
  </si>
  <si>
    <t>iOS Developer</t>
  </si>
  <si>
    <t>https://www.pracuj.pl/praca/ios-developer-rzeszow,oferta,1001105801</t>
  </si>
  <si>
    <t>2066368</t>
  </si>
  <si>
    <t>24359904</t>
  </si>
  <si>
    <t>ServiceNow Developer</t>
  </si>
  <si>
    <t>https://www.pracuj.pl/praca/servicenow-developer-rzeszow,oferta,1001106650</t>
  </si>
  <si>
    <t>2067083</t>
  </si>
  <si>
    <t>24360619</t>
  </si>
  <si>
    <t>ServiceNow Solution Architect</t>
  </si>
  <si>
    <t>https://www.pracuj.pl/praca/servicenow-solution-architect-rzeszow,oferta,1001107414</t>
  </si>
  <si>
    <t>2067764</t>
  </si>
  <si>
    <t>24361300</t>
  </si>
  <si>
    <t>Solar Smart Solutions sp. z o. o.</t>
  </si>
  <si>
    <t>https://www.pracuj.pl/praca/doradca-techniczno-handlowy-podkarpackie,oferta,500129333</t>
  </si>
  <si>
    <t>2064983</t>
  </si>
  <si>
    <t>24358518</t>
  </si>
  <si>
    <t>SolarSpot Sp. z o.o.</t>
  </si>
  <si>
    <t>Doradca Klienta Biznesowego ds. Fotowoltaiki</t>
  </si>
  <si>
    <t>https://www.pracuj.pl/praca/doradca-klienta-biznesowego-ds-fotowoltaiki-debica,oferta,8277053</t>
  </si>
  <si>
    <t>2064246</t>
  </si>
  <si>
    <t>24357781</t>
  </si>
  <si>
    <t>Solvera Gawel Tehnology S.A</t>
  </si>
  <si>
    <t>Magazynier - Narzędziowiec</t>
  </si>
  <si>
    <t>https://www.pracuj.pl/praca/magazynier-narzedziowiec-laka-pow-rzeszowski,oferta,1001106260</t>
  </si>
  <si>
    <t>2066733</t>
  </si>
  <si>
    <t>24360269</t>
  </si>
  <si>
    <t>Specjalista ds. kontrolingu - Analityk finansowy</t>
  </si>
  <si>
    <t>https://www.pracuj.pl/praca/specjalista-ds-kontrolingu-analityk-finansowy-laka-pow-rzeszowski,oferta,1001106810</t>
  </si>
  <si>
    <t>2067237</t>
  </si>
  <si>
    <t>24360773</t>
  </si>
  <si>
    <t>Ślusarz Narzędziowy</t>
  </si>
  <si>
    <t>https://www.pracuj.pl/praca/slusarz-narzedziowy-tajecina-pow-rzeszowski,oferta,1001106248</t>
  </si>
  <si>
    <t>2066723</t>
  </si>
  <si>
    <t>24360259</t>
  </si>
  <si>
    <t>Ustawiacz/Operator Pras do Obróbki Plastycznej Blach na Zimno</t>
  </si>
  <si>
    <t>Pozostali ustawiacze i operatorzy obrabiarek do metali i pokrewni</t>
  </si>
  <si>
    <t>https://www.pracuj.pl/praca/ustawiacz-operator-pras-do-obrobki-plastycznej-blach-na-zimno-rzeszow,oferta,1001106268</t>
  </si>
  <si>
    <t>2066740</t>
  </si>
  <si>
    <t>24360276</t>
  </si>
  <si>
    <t>RPd057|722390</t>
  </si>
  <si>
    <t>Stella Pack S.A.</t>
  </si>
  <si>
    <t>https://www.pracuj.pl/praca/przedstawiciel-handlowy-podkarpackie,oferta,8277981</t>
  </si>
  <si>
    <t>2064659</t>
  </si>
  <si>
    <t>24358194</t>
  </si>
  <si>
    <t>2061011</t>
  </si>
  <si>
    <t>24354479</t>
  </si>
  <si>
    <t>2062381</t>
  </si>
  <si>
    <t>24355849</t>
  </si>
  <si>
    <t>2062397</t>
  </si>
  <si>
    <t>24355865</t>
  </si>
  <si>
    <t>2062984</t>
  </si>
  <si>
    <t>24356452</t>
  </si>
  <si>
    <t>2063167</t>
  </si>
  <si>
    <t>24356635</t>
  </si>
  <si>
    <t>2063473</t>
  </si>
  <si>
    <t>24356941</t>
  </si>
  <si>
    <t>https://www.pracuj.pl/praca/przedstawiciel-handlowy-chlopice-pow-jaroslawski,oferta,1001106975</t>
  </si>
  <si>
    <t>2067366</t>
  </si>
  <si>
    <t>24360902</t>
  </si>
  <si>
    <t>Telemedi sp. z o.o.</t>
  </si>
  <si>
    <t>Manager zespołu medycznego</t>
  </si>
  <si>
    <t>https://www.praca.pl/manager-zespolu-medycznego_5252864.html</t>
  </si>
  <si>
    <t>2060324</t>
  </si>
  <si>
    <t>23911952</t>
  </si>
  <si>
    <t>2063185</t>
  </si>
  <si>
    <t>24356653</t>
  </si>
  <si>
    <t>Polska, podkarpackie, Wola Dalsza (pow. łańcucki)</t>
  </si>
  <si>
    <t>https://www.pracuj.pl/praca/ksiegowa-wola-dalsza-pow-lancucki,oferta,1001105314</t>
  </si>
  <si>
    <t>2065870</t>
  </si>
  <si>
    <t>24359405</t>
  </si>
  <si>
    <t>Starszy Projektant Konstrukcji Stalowych</t>
  </si>
  <si>
    <t>https://www.pracuj.pl/praca/starszy-projektant-konstrukcji-stalowych-wola-dalsza-pow-lancucki,oferta,1001105291</t>
  </si>
  <si>
    <t>2065847</t>
  </si>
  <si>
    <t>24359382</t>
  </si>
  <si>
    <t>2061983</t>
  </si>
  <si>
    <t>24355451</t>
  </si>
  <si>
    <t>TSSI Ltd</t>
  </si>
  <si>
    <t>https://www.praca.pl/java-developer_5304623.html</t>
  </si>
  <si>
    <t>2060502</t>
  </si>
  <si>
    <t>24306059</t>
  </si>
  <si>
    <t>Unum Życie TUiR S.A.</t>
  </si>
  <si>
    <t>https://www.pracuj.pl/praca/menedzer-sprzedazy-podkarpackie,oferta,8278668</t>
  </si>
  <si>
    <t>2064769</t>
  </si>
  <si>
    <t>24358304</t>
  </si>
  <si>
    <t>Wawel SA</t>
  </si>
  <si>
    <t>https://www.pracuj.pl/praca/przedstawiciel-handlowy-mielec,oferta,1001104784</t>
  </si>
  <si>
    <t>2065431</t>
  </si>
  <si>
    <t>24358966</t>
  </si>
  <si>
    <t>Projektant Instalacji Fotowoltaicznych – Instalacje PV</t>
  </si>
  <si>
    <t>Inżynier urządzeń i systemów energetyki odnawialnej</t>
  </si>
  <si>
    <t>https://www.goldenline.pl/praca/oferta/1279292/zielonalinia0?utm_campaign=partner&amp;gpid=988876&amp;utm_medium=export&amp;glc_source=zielonalinia0&amp;utm_source=zielonalinia0</t>
  </si>
  <si>
    <t>14.07.2021</t>
  </si>
  <si>
    <t>2060965</t>
  </si>
  <si>
    <t>24354433</t>
  </si>
  <si>
    <t>Specjalista ds. sprzedaży szkoleń językowych</t>
  </si>
  <si>
    <t>https://www.goldenline.pl/praca/oferta/1279288/zielonalinia0?utm_campaign=partner&amp;gpid=988884&amp;utm_medium=export&amp;glc_source=zielonalinia0&amp;utm_source=zielonalinia0</t>
  </si>
  <si>
    <t>2062242</t>
  </si>
  <si>
    <t>24355710</t>
  </si>
  <si>
    <t>Specjalista sprzedaży dotacji dla firm i ulgi badawczo rozwojowej</t>
  </si>
  <si>
    <t>https://www.goldenline.pl/praca/oferta/1279290/zielonalinia0?utm_campaign=partner&amp;gpid=988880&amp;utm_medium=export&amp;glc_source=zielonalinia0&amp;utm_source=zielonalinia0</t>
  </si>
  <si>
    <t>2061732</t>
  </si>
  <si>
    <t>24355200</t>
  </si>
  <si>
    <t>Terenowy technik serwisu</t>
  </si>
  <si>
    <t>https://www.praca.pl/terenowy-technik-serwisu_5304770.html</t>
  </si>
  <si>
    <t>2060541</t>
  </si>
  <si>
    <t>24306317</t>
  </si>
  <si>
    <t>Przedstawiciel Handlowy w Branży Stolarsko - Meblarskiej</t>
  </si>
  <si>
    <t>https://www.pracuj.pl/praca/przedstawiciel-handlowy-w-branzy-stolarsko-meblarskiej-mielec,oferta,1001105370</t>
  </si>
  <si>
    <t>2065920</t>
  </si>
  <si>
    <t>24359455</t>
  </si>
  <si>
    <t>https://www.pracuj.pl/praca/przedstawiciel-handlowy-w-branzy-stolarsko-meblarskiej-rzeszow,oferta,1001105371</t>
  </si>
  <si>
    <t>2065921</t>
  </si>
  <si>
    <t>24359456</t>
  </si>
  <si>
    <t>https://www.pracuj.pl/praca/przedstawiciel-handlowy-w-branzy-stolarsko-meblarskiej-stalowa-wola,oferta,1001105372</t>
  </si>
  <si>
    <t>2065922</t>
  </si>
  <si>
    <t>24359457</t>
  </si>
  <si>
    <t>https://www.pracuj.pl/praca/key-account-manager-podkarpackie,oferta,8278705</t>
  </si>
  <si>
    <t>2064785</t>
  </si>
  <si>
    <t>24358320</t>
  </si>
  <si>
    <t>VII-IX 2021</t>
  </si>
  <si>
    <t>a1</t>
  </si>
  <si>
    <t>a2</t>
  </si>
  <si>
    <t>a3</t>
  </si>
  <si>
    <t>a0</t>
  </si>
  <si>
    <t>IIp.16</t>
  </si>
  <si>
    <t>Ip17</t>
  </si>
  <si>
    <t>IIp.17</t>
  </si>
  <si>
    <t>Ip.18</t>
  </si>
  <si>
    <t>IIp.18</t>
  </si>
  <si>
    <t>Ikw.19</t>
  </si>
  <si>
    <t>IIkw.19</t>
  </si>
  <si>
    <t>Ikw.19+IIkw.19</t>
  </si>
  <si>
    <t>IIIkw.19</t>
  </si>
  <si>
    <t>IVkw.19</t>
  </si>
  <si>
    <t>Ikw.20</t>
  </si>
  <si>
    <t>IIkw.20</t>
  </si>
  <si>
    <t>E</t>
  </si>
  <si>
    <t>F</t>
  </si>
  <si>
    <t>G</t>
  </si>
  <si>
    <t>H</t>
  </si>
  <si>
    <t>III kw. 20</t>
  </si>
  <si>
    <t>IV kw. 20</t>
  </si>
  <si>
    <t>II półrocze 2020</t>
  </si>
  <si>
    <t>Ikw. 21</t>
  </si>
  <si>
    <t>II kw. 21</t>
  </si>
  <si>
    <t>III kw. 21</t>
  </si>
  <si>
    <t>Ikw 19</t>
  </si>
  <si>
    <t>IIkw 19</t>
  </si>
  <si>
    <t>IIIkw 19</t>
  </si>
  <si>
    <t>IVkw 19</t>
  </si>
  <si>
    <t>Ikw 20</t>
  </si>
  <si>
    <t>IIkw 20</t>
  </si>
  <si>
    <t>IIIkw 20</t>
  </si>
  <si>
    <t>IVkw 20</t>
  </si>
  <si>
    <t>Ikw 21</t>
  </si>
  <si>
    <t>IIkw 21</t>
  </si>
  <si>
    <t>IIIkw 21</t>
  </si>
  <si>
    <t>J</t>
  </si>
  <si>
    <t>I półrocze 2021</t>
  </si>
  <si>
    <t>Przek.</t>
  </si>
  <si>
    <t>III 2021</t>
  </si>
  <si>
    <t>Usługi finansowe, HR i inne</t>
  </si>
  <si>
    <t>IIp16</t>
  </si>
  <si>
    <t>IIp17</t>
  </si>
  <si>
    <t>Ip18</t>
  </si>
  <si>
    <t>IIp18</t>
  </si>
  <si>
    <t>Ip19</t>
  </si>
  <si>
    <t>IIp19</t>
  </si>
  <si>
    <t>Ip20</t>
  </si>
  <si>
    <t>IIp20</t>
  </si>
  <si>
    <t>Ip21</t>
  </si>
  <si>
    <t>X-XII 2021</t>
  </si>
  <si>
    <t>K</t>
  </si>
  <si>
    <t>II półrocze 2021</t>
  </si>
  <si>
    <t>IV kw. 21</t>
  </si>
  <si>
    <t>24.11.2021</t>
  </si>
  <si>
    <t>03.12.2021</t>
  </si>
  <si>
    <t>https://www.pracuj.pl/praca/technolog-mielec,oferta,1001364525</t>
  </si>
  <si>
    <t>24.11.2021 03:40</t>
  </si>
  <si>
    <t>22.11.2021</t>
  </si>
  <si>
    <t>22.12.2021</t>
  </si>
  <si>
    <t>2293314</t>
  </si>
  <si>
    <t>30476004</t>
  </si>
  <si>
    <t>Specjalista ds. BHP i ochrony środowiska</t>
  </si>
  <si>
    <t>07.12.2021</t>
  </si>
  <si>
    <t>https://www.pracuj.pl/praca/specjalista-ds-bhp-i-ochrony-srodowiska-krosno,oferta,1001364548</t>
  </si>
  <si>
    <t>2293335</t>
  </si>
  <si>
    <t>30476025</t>
  </si>
  <si>
    <t>AB INDUSTRY S.A.</t>
  </si>
  <si>
    <t>Inżynier robót montażowych</t>
  </si>
  <si>
    <t>08.12.2021</t>
  </si>
  <si>
    <t>https://www.praca.pl/inzynier-robot-montazowych_6067416.html</t>
  </si>
  <si>
    <t>24.11.2021 03:05</t>
  </si>
  <si>
    <t>23.11.2021</t>
  </si>
  <si>
    <t>23.12.2021</t>
  </si>
  <si>
    <t>2290621</t>
  </si>
  <si>
    <t>30432099</t>
  </si>
  <si>
    <t>Kierownik ds. analiz</t>
  </si>
  <si>
    <t>https://www.pracuj.pl/praca/kierownik-ds-analiz-podkarpackie,oferta,8573769</t>
  </si>
  <si>
    <t>2292483</t>
  </si>
  <si>
    <t>30475173</t>
  </si>
  <si>
    <t>ABRA S.A.</t>
  </si>
  <si>
    <t>https://www.pracuj.pl/praca/sprzedawca-kasjer-mielec,oferta,1001364755</t>
  </si>
  <si>
    <t>2293536</t>
  </si>
  <si>
    <t>30476226</t>
  </si>
  <si>
    <t>Microsoft Dynamics CRM Developer</t>
  </si>
  <si>
    <t>https://www.pracuj.pl/praca/microsoft-dynamics-crm-developer-podkarpackie,oferta,8573300</t>
  </si>
  <si>
    <t>2292362</t>
  </si>
  <si>
    <t>30475052</t>
  </si>
  <si>
    <t>https://www.pracuj.pl/praca/net-developer-podkarpackie,oferta,8572625</t>
  </si>
  <si>
    <t>2292102</t>
  </si>
  <si>
    <t>30474792</t>
  </si>
  <si>
    <t>Project Management Officer with German</t>
  </si>
  <si>
    <t>https://www.pracuj.pl/praca/project-management-officer-with-german-podkarpackie,oferta,8572925</t>
  </si>
  <si>
    <t>2292212</t>
  </si>
  <si>
    <t>30474902</t>
  </si>
  <si>
    <t>Starszy Tester Automatyzujący</t>
  </si>
  <si>
    <t>06.12.2021</t>
  </si>
  <si>
    <t>https://www.pracuj.pl/praca/starszy-tester-automatyzujacy-podkarpackie,oferta,8573283</t>
  </si>
  <si>
    <t>2292348</t>
  </si>
  <si>
    <t>30475038</t>
  </si>
  <si>
    <t>Starszy Tester Funkcjonalny</t>
  </si>
  <si>
    <t>https://www.pracuj.pl/praca/starszy-tester-funkcjonalny-podkarpackie,oferta,8573261</t>
  </si>
  <si>
    <t>2292329</t>
  </si>
  <si>
    <t>30475019</t>
  </si>
  <si>
    <t>01.12.2021</t>
  </si>
  <si>
    <t>https://www.praca.pl/doradca-klienta_5992362.html</t>
  </si>
  <si>
    <t>24.11.2021 04:37</t>
  </si>
  <si>
    <t>20.11.2021</t>
  </si>
  <si>
    <t>10.12.2021</t>
  </si>
  <si>
    <t>2289285</t>
  </si>
  <si>
    <t>29757483</t>
  </si>
  <si>
    <t>Senior Test Specialist - aplikacje mobilne i webowe</t>
  </si>
  <si>
    <t>https://www.pracuj.pl/praca/senior-test-specialist-aplikacje-mobilne-i-webowe-rzeszow,oferta,1001366956</t>
  </si>
  <si>
    <t>2295561</t>
  </si>
  <si>
    <t>30478251</t>
  </si>
  <si>
    <t>Software Developer - Android</t>
  </si>
  <si>
    <t>https://www.pracuj.pl/praca/software-developer-android-podkarpackie,oferta,8572853</t>
  </si>
  <si>
    <t>2292191</t>
  </si>
  <si>
    <t>30474881</t>
  </si>
  <si>
    <t>https://www.pracuj.pl/praca/pracownik-restauracji-pizza-hut-rzeszow,oferta,1001365031</t>
  </si>
  <si>
    <t>2293789</t>
  </si>
  <si>
    <t>30476479</t>
  </si>
  <si>
    <t>Commercial Risk Team Manager</t>
  </si>
  <si>
    <t>https://www.pracuj.pl/praca/commercial-risk-team-manager-rzeszow,oferta,1001366658</t>
  </si>
  <si>
    <t>2295304</t>
  </si>
  <si>
    <t>30477994</t>
  </si>
  <si>
    <t>https://www.pracuj.pl/praca/technical-project-manager-rzeszow,oferta,1001366775</t>
  </si>
  <si>
    <t>2295403</t>
  </si>
  <si>
    <t>30478093</t>
  </si>
  <si>
    <t>Apteka Dr.Max</t>
  </si>
  <si>
    <t>Technik Farmaceutyczny</t>
  </si>
  <si>
    <t>https://www.praca.pl/technik-farmaceutyczny_5990775.html</t>
  </si>
  <si>
    <t>2289299</t>
  </si>
  <si>
    <t>29757597</t>
  </si>
  <si>
    <t>Technik farmaceutyczny</t>
  </si>
  <si>
    <t>https://www.praca.pl/technik-farmaceutyczny_5990778.html</t>
  </si>
  <si>
    <t>2289300</t>
  </si>
  <si>
    <t>29757598</t>
  </si>
  <si>
    <t>https://www.praca.pl/technik-farmaceutyczny_5990868.html</t>
  </si>
  <si>
    <t>2289309</t>
  </si>
  <si>
    <t>29757607</t>
  </si>
  <si>
    <t>ARPI Staffing Sp. z o. o.</t>
  </si>
  <si>
    <t>Doradca Techniczno – Handlowy - IT</t>
  </si>
  <si>
    <t>https://www.praca.pl/doradca-techniczno-handlowy-it_5933994.html</t>
  </si>
  <si>
    <t>02.12.2021</t>
  </si>
  <si>
    <t>2289489</t>
  </si>
  <si>
    <t>30062854</t>
  </si>
  <si>
    <t>https://www.pracuj.pl/praca/kierowca-kat-c%2be-w-transporcie-miedzynarodowym-krosno,oferta,1001365454</t>
  </si>
  <si>
    <t>2294191</t>
  </si>
  <si>
    <t>30476881</t>
  </si>
  <si>
    <t>https://www.pracuj.pl/praca/kierowca-kat-c%2be-w-transporcie-miedzynarodowym-przemysl,oferta,1001365469</t>
  </si>
  <si>
    <t>2294206</t>
  </si>
  <si>
    <t>30476896</t>
  </si>
  <si>
    <t>https://www.pracuj.pl/praca/kierowca-kat-c%2be-w-transporcie-miedzynarodowym-rzeszow,oferta,1001365473</t>
  </si>
  <si>
    <t>2294210</t>
  </si>
  <si>
    <t>30476900</t>
  </si>
  <si>
    <t>https://www.pracuj.pl/praca/frontend-developer-subcarpathia,oferta,8571014</t>
  </si>
  <si>
    <t>2291759</t>
  </si>
  <si>
    <t>30474449</t>
  </si>
  <si>
    <t>Nexthink Engineer</t>
  </si>
  <si>
    <t>https://www.pracuj.pl/praca/nexthink-engineer-subcarpathia,oferta,8572082</t>
  </si>
  <si>
    <t>2291998</t>
  </si>
  <si>
    <t>30474688</t>
  </si>
  <si>
    <t>Performance Test Engineer</t>
  </si>
  <si>
    <t>https://www.pracuj.pl/praca/performance-test-engineer-subcarpathia,oferta,8575050</t>
  </si>
  <si>
    <t>2292940</t>
  </si>
  <si>
    <t>30475630</t>
  </si>
  <si>
    <t>Software Test Engineer in Banking Domain</t>
  </si>
  <si>
    <t>https://www.pracuj.pl/praca/software-test-engineer-in-banking-domain-subcarpathia,oferta,8575078</t>
  </si>
  <si>
    <t>2292956</t>
  </si>
  <si>
    <t>30475646</t>
  </si>
  <si>
    <t>ATRIA Sp. z o.o. Sp. k.</t>
  </si>
  <si>
    <t>Kosmetolog ze znajomością języka niemieckiego</t>
  </si>
  <si>
    <t>https://www.pracuj.pl/praca/kosmetolog-ze-znajomoscia-jezyka-niemieckiego-podkarpackie,oferta,8574336</t>
  </si>
  <si>
    <t>2292729</t>
  </si>
  <si>
    <t>30475419</t>
  </si>
  <si>
    <t>AURA Technologies Sp. z o.o.</t>
  </si>
  <si>
    <t>Młodszy specjalista ds. marketingu</t>
  </si>
  <si>
    <t>https://www.praca.pl/mlodszy-specjalista-ds-marketingu_6017673.html</t>
  </si>
  <si>
    <t>16.12.2021</t>
  </si>
  <si>
    <t>2289705</t>
  </si>
  <si>
    <t>30063277</t>
  </si>
  <si>
    <t>AUXILIA S.A.</t>
  </si>
  <si>
    <t>Kierownik Regionalny Sprzedaży</t>
  </si>
  <si>
    <t>https://www.pracuj.pl/praca/kierownik-regionalny-sprzedazy-podkarpackie,oferta,8574061</t>
  </si>
  <si>
    <t>2292590</t>
  </si>
  <si>
    <t>30475280</t>
  </si>
  <si>
    <t>Data Engineer - Senior</t>
  </si>
  <si>
    <t>https://www.praca.pl/data-engineer-senior_6051798.html</t>
  </si>
  <si>
    <t>20.12.2021</t>
  </si>
  <si>
    <t>2290048</t>
  </si>
  <si>
    <t>30333554</t>
  </si>
  <si>
    <t>Fullstack Senior Developer</t>
  </si>
  <si>
    <t>https://www.praca.pl/fullstack-senior-developer_6052200.html</t>
  </si>
  <si>
    <t>2290000</t>
  </si>
  <si>
    <t>30333506</t>
  </si>
  <si>
    <t>ML OPS Professional</t>
  </si>
  <si>
    <t>https://www.praca.pl/ml-ops-professional_6051951.html</t>
  </si>
  <si>
    <t>2290016</t>
  </si>
  <si>
    <t>30333522</t>
  </si>
  <si>
    <t>.Net Senior Developer</t>
  </si>
  <si>
    <t>https://www.praca.pl/net-senior-developer_6051897.html</t>
  </si>
  <si>
    <t>2290032</t>
  </si>
  <si>
    <t>30333538</t>
  </si>
  <si>
    <t>Product Analyst</t>
  </si>
  <si>
    <t>https://www.praca.pl/product-analyst_6068994.html</t>
  </si>
  <si>
    <t>2290407</t>
  </si>
  <si>
    <t>30431854</t>
  </si>
  <si>
    <t>https://www.praca.pl/python-developer_6051099.html</t>
  </si>
  <si>
    <t>2290081</t>
  </si>
  <si>
    <t>30333587</t>
  </si>
  <si>
    <t>https://www.praca.pl/python-developer_6051024.html</t>
  </si>
  <si>
    <t>2290097</t>
  </si>
  <si>
    <t>30333603</t>
  </si>
  <si>
    <t>Senior ML OPS Developer</t>
  </si>
  <si>
    <t>https://www.praca.pl/senior-ml-ops-developer_6051744.html</t>
  </si>
  <si>
    <t>2290065</t>
  </si>
  <si>
    <t>30333571</t>
  </si>
  <si>
    <t>https://www.pracuj.pl/praca/opiekun-klienta-w-galerii-handlowej-rzeszow,oferta,1001365908</t>
  </si>
  <si>
    <t>2294617</t>
  </si>
  <si>
    <t>30477307</t>
  </si>
  <si>
    <t>https://www.pracuj.pl/praca/opiekun-klienta-w-oddziale-banku-przemysl,oferta,1001365821</t>
  </si>
  <si>
    <t>2294538</t>
  </si>
  <si>
    <t>30477228</t>
  </si>
  <si>
    <t>https://www.pracuj.pl/praca/opiekun-klienta-w-oddziale-banku-stalowa-wola,oferta,1001365824</t>
  </si>
  <si>
    <t>2294541</t>
  </si>
  <si>
    <t>30477231</t>
  </si>
  <si>
    <t>Programista C#/.NET</t>
  </si>
  <si>
    <t>Polska, podkarpackie, Warszawa</t>
  </si>
  <si>
    <t>https://www.goldenline.pl/praca/oferta/1294710/zielonalinia0?utm_campaign=partner&amp;gpid=1004628&amp;utm_medium=export&amp;glc_source=zielonalinia0&amp;utm_source=zielonalinia0</t>
  </si>
  <si>
    <t>24.11.2021 03:30</t>
  </si>
  <si>
    <t>2291130</t>
  </si>
  <si>
    <t>30473761</t>
  </si>
  <si>
    <t>Polska, podkarpackie, Gdańsk</t>
  </si>
  <si>
    <t>https://www.goldenline.pl/praca/oferta/1294618/zielonalinia0?utm_campaign=partner&amp;gpid=1004512&amp;utm_medium=export&amp;glc_source=zielonalinia0&amp;utm_source=zielonalinia0</t>
  </si>
  <si>
    <t>30.11.2021</t>
  </si>
  <si>
    <t>2291113</t>
  </si>
  <si>
    <t>30473744</t>
  </si>
  <si>
    <t>Specjalista ds. Sprzedaży Produktów Bankowych</t>
  </si>
  <si>
    <t>https://www.pracuj.pl/praca/specjalista-ds-sprzedazy-produktow-bankowych-rzeszow,oferta,1001365943</t>
  </si>
  <si>
    <t>2294652</t>
  </si>
  <si>
    <t>30477342</t>
  </si>
  <si>
    <t>https://www.pracuj.pl/praca/doradca-klienta-rzeszow,oferta,1001366241</t>
  </si>
  <si>
    <t>2294923</t>
  </si>
  <si>
    <t>30477613</t>
  </si>
  <si>
    <t>"BH-RES" MĘDREK I WSPÓLNICY SPÓŁKA JAWNA</t>
  </si>
  <si>
    <t>Monter instalacji wentylacyjnych</t>
  </si>
  <si>
    <t>09.12.2021</t>
  </si>
  <si>
    <t>https://www.pracuj.pl/praca/monter-instalacji-wentylacyjnych-rzeszow,oferta,1001367499</t>
  </si>
  <si>
    <t>2296043</t>
  </si>
  <si>
    <t>30478733</t>
  </si>
  <si>
    <t>Biameditek sp. z o.o.</t>
  </si>
  <si>
    <t>Sales and Marketing Manager</t>
  </si>
  <si>
    <t>Diagnosta laboratoryjny</t>
  </si>
  <si>
    <t>https://www.pracuj.pl/praca/sales-and-marketing-manager-podkarpackie,oferta,8573983</t>
  </si>
  <si>
    <t>2292562</t>
  </si>
  <si>
    <t>30475252</t>
  </si>
  <si>
    <t>RPd057|227101</t>
  </si>
  <si>
    <t>Blubina GmbH</t>
  </si>
  <si>
    <t>Finance Software Tool Specialist</t>
  </si>
  <si>
    <t>https://www.pracuj.pl/praca/finance-software-tool-specialist-subcarpathia,oferta,8572229</t>
  </si>
  <si>
    <t>2292021</t>
  </si>
  <si>
    <t>30474711</t>
  </si>
  <si>
    <t>HR Specialist</t>
  </si>
  <si>
    <t>https://www.pracuj.pl/praca/hr-specialist-subcarpathia,oferta,8573497</t>
  </si>
  <si>
    <t>2292412</t>
  </si>
  <si>
    <t>30475102</t>
  </si>
  <si>
    <t>Stażysta/ka w Dziale Rozwoju</t>
  </si>
  <si>
    <t>https://www.pracuj.pl/praca/stazysta-ka-w-dziale-rozwoju-glogow-malopolski,oferta,1001364911</t>
  </si>
  <si>
    <t>2293679</t>
  </si>
  <si>
    <t>30476369</t>
  </si>
  <si>
    <t>Dyrektor ds. rozwoju (gospodarka wodno-ściekowa)</t>
  </si>
  <si>
    <t>Inżynier inżynierii środowiska - gospodarka wodna i hydrologia</t>
  </si>
  <si>
    <t>https://www.praca.pl/dyrektor-ds-rozwoju-gospodarka-wodno-sciekowa_6018384.html</t>
  </si>
  <si>
    <t>2289625</t>
  </si>
  <si>
    <t>30063121</t>
  </si>
  <si>
    <t>Inspektor ds. BHP</t>
  </si>
  <si>
    <t>https://www.pracuj.pl/praca/inspektor-ds-bhp-mielec,oferta,1001365748</t>
  </si>
  <si>
    <t>2294471</t>
  </si>
  <si>
    <t>30477161</t>
  </si>
  <si>
    <t>Młodszy Specjalista ds. Kosztów i Budżetowania</t>
  </si>
  <si>
    <t>https://www.pracuj.pl/praca/mlodszy-specjalista-ds-kosztow-i-budzetowania-krosno,oferta,1001364500</t>
  </si>
  <si>
    <t>2293290</t>
  </si>
  <si>
    <t>30475980</t>
  </si>
  <si>
    <t>Ceneo.pl Sp. z o.o.</t>
  </si>
  <si>
    <t>https://www.pracuj.pl/praca/specjalista-ds-seo-podkarpackie,oferta,8573613</t>
  </si>
  <si>
    <t>2292461</t>
  </si>
  <si>
    <t>30475151</t>
  </si>
  <si>
    <t>COLAS RAIL Polska sp. z o.o.</t>
  </si>
  <si>
    <t>Inżynier Budowy (branża konstrukcyjno-budowlana)</t>
  </si>
  <si>
    <t>https://www.pracuj.pl/praca/inzynier-budowy-branza-konstrukcyjno-budowlana-podkarpackie,oferta,8572967</t>
  </si>
  <si>
    <t>2292238</t>
  </si>
  <si>
    <t>30474928</t>
  </si>
  <si>
    <t>Handlowiec ds. Fotowoltaiki</t>
  </si>
  <si>
    <t>https://www.pracuj.pl/praca/handlowiec-ds-fotowoltaiki-podkarpackie,oferta,8570990</t>
  </si>
  <si>
    <t>2291743</t>
  </si>
  <si>
    <t>30474433</t>
  </si>
  <si>
    <t>Comarch SA</t>
  </si>
  <si>
    <t>Inżynier asysty technicznej</t>
  </si>
  <si>
    <t>https://www.pracuj.pl/praca/inzynier-asysty-technicznej-rzeszow,oferta,1001365846</t>
  </si>
  <si>
    <t>2294563</t>
  </si>
  <si>
    <t>30477253</t>
  </si>
  <si>
    <t>DAZN</t>
  </si>
  <si>
    <t>Android TV Developer</t>
  </si>
  <si>
    <t>https://www.pracuj.pl/praca/android-tv-developer-subcarpathia,oferta,8574729</t>
  </si>
  <si>
    <t>2292788</t>
  </si>
  <si>
    <t>30475478</t>
  </si>
  <si>
    <t>Delikatesy Centrum</t>
  </si>
  <si>
    <t>Polska, podkarpackie, Mielec ul. Biernackiego</t>
  </si>
  <si>
    <t>https://www.praca.pl/pracownik-lady-miesnej_6065526.html</t>
  </si>
  <si>
    <t>2290823</t>
  </si>
  <si>
    <t>30432327</t>
  </si>
  <si>
    <t>Prawnik/Prawniczka - Wewnętrzny Dział Prawny</t>
  </si>
  <si>
    <t>https://www.pracuj.pl/praca/prawnik-prawniczka-wewnetrzny-dzial-prawny-podkarpackie,oferta,8574301</t>
  </si>
  <si>
    <t>2292699</t>
  </si>
  <si>
    <t>30475389</t>
  </si>
  <si>
    <t>Prawnik/Prawniczka ze znajomością prawa pracy - Wewnętrzny Dział Prawny</t>
  </si>
  <si>
    <t>https://www.pracuj.pl/praca/prawnik-prawniczka-ze-znajomoscia-prawa-pracy-wewnetrzny-dzial-prawny-podkarpackie,oferta,8573030</t>
  </si>
  <si>
    <t>2292254</t>
  </si>
  <si>
    <t>30474944</t>
  </si>
  <si>
    <t>Specjalista ds. Rozwoju Biznesu</t>
  </si>
  <si>
    <t>https://www.pracuj.pl/praca/specjalista-ds-rozwoju-biznesu-rzeszow,oferta,1001366587</t>
  </si>
  <si>
    <t>2295244</t>
  </si>
  <si>
    <t>30477934</t>
  </si>
  <si>
    <t>Döner King Andrzej Burczyk</t>
  </si>
  <si>
    <t>Fakturzysta/ka</t>
  </si>
  <si>
    <t>Fakturzystka</t>
  </si>
  <si>
    <t>Polska, podkarpackie, Wysoka Głogowska (pow. rzeszowski)</t>
  </si>
  <si>
    <t>https://www.pracuj.pl/praca/fakturzysta-ka-wysoka-glogowska-pow-rzeszowski,oferta,1001364304</t>
  </si>
  <si>
    <t>2293112</t>
  </si>
  <si>
    <t>30475802</t>
  </si>
  <si>
    <t>RPd057|431102</t>
  </si>
  <si>
    <t>https://www.pracuj.pl/praca/sprzedawca-podkarpackie,oferta,8571666</t>
  </si>
  <si>
    <t>2291887</t>
  </si>
  <si>
    <t>30474577</t>
  </si>
  <si>
    <t>Pracownik biura obsługi klienta (branża  przemysłowa)</t>
  </si>
  <si>
    <t>https://www.pracuj.pl/praca/pracownik-biura-obslugi-klienta-branza-przemyslowa-krosno,oferta,1001364458</t>
  </si>
  <si>
    <t>2293249</t>
  </si>
  <si>
    <t>30475939</t>
  </si>
  <si>
    <t>Projektant CAD</t>
  </si>
  <si>
    <t>https://www.pracuj.pl/praca/projektant-cad-krosno,oferta,1001365024</t>
  </si>
  <si>
    <t>2293782</t>
  </si>
  <si>
    <t>30476472</t>
  </si>
  <si>
    <t>EduGO P.S.A.</t>
  </si>
  <si>
    <t>Nauczyciel/-ka programowania w Minecraft</t>
  </si>
  <si>
    <t>Nauczyciel informatyki / technologii informacyjnej</t>
  </si>
  <si>
    <t>https://www.pracuj.pl/praca/nauczyciel-ka-programowania-w-minecraft-rzeszow,oferta,8573466</t>
  </si>
  <si>
    <t>2292402</t>
  </si>
  <si>
    <t>30475092</t>
  </si>
  <si>
    <t>RPd057|233007</t>
  </si>
  <si>
    <t>ELTEL NETWORKS ENGINEERING SPÓŁKA AKCYJNA</t>
  </si>
  <si>
    <t>Projektant linii elektroenergetycznych WN</t>
  </si>
  <si>
    <t>https://www.pracuj.pl/praca/projektant-linii-elektroenergetycznych-wn-rzeszow,oferta,1001365337</t>
  </si>
  <si>
    <t>2294081</t>
  </si>
  <si>
    <t>30476771</t>
  </si>
  <si>
    <t>EMERALLD POLSKA sp. z o.o.</t>
  </si>
  <si>
    <t>https://www.pracuj.pl/praca/przedstawiciel-handlowy-podkarpackie,oferta,8573739</t>
  </si>
  <si>
    <t>2292476</t>
  </si>
  <si>
    <t>30475166</t>
  </si>
  <si>
    <t>FIBRAIN Sp. z o.o.</t>
  </si>
  <si>
    <t>Młodszy operator produkcji włókna światłowodowego</t>
  </si>
  <si>
    <t>Operator maszyn i urządzeń do przetwórstwa tworzyw sztucznych*</t>
  </si>
  <si>
    <t>https://www.pracuj.pl/praca/mlodszy-operator-produkcji-wlokna-swiatlowodowego-zaczernie-pow-rzeszowski,oferta,1001366597</t>
  </si>
  <si>
    <t>2295254</t>
  </si>
  <si>
    <t>30477944</t>
  </si>
  <si>
    <t>FleetCor Poland Sp. z o.o.</t>
  </si>
  <si>
    <t>Salesforce QA</t>
  </si>
  <si>
    <t>https://www.praca.pl/salesforce-qa_6067815.html</t>
  </si>
  <si>
    <t>24.11.2021 03:28</t>
  </si>
  <si>
    <t>2290546</t>
  </si>
  <si>
    <t>30432021</t>
  </si>
  <si>
    <t>Foster High sp. z o.o.</t>
  </si>
  <si>
    <t>Nauczyciel matematyki do prowadzenia zajęć online</t>
  </si>
  <si>
    <t>https://www.pracuj.pl/praca/nauczyciel-matematyki-do-prowadzenia-zajec-online-podkarpackie,oferta,8572064</t>
  </si>
  <si>
    <t>2291714</t>
  </si>
  <si>
    <t>30474404</t>
  </si>
  <si>
    <t>Franklin Templeton Investments Poland Sp. z o.o.</t>
  </si>
  <si>
    <t>Investment Writer</t>
  </si>
  <si>
    <t>https://www.pracuj.pl/praca/investment-writer-subcarpathia,oferta,8573554</t>
  </si>
  <si>
    <t>2292428</t>
  </si>
  <si>
    <t>30475118</t>
  </si>
  <si>
    <t>F-Trust</t>
  </si>
  <si>
    <t>Doradca klienta zamożnego (Private Banking)</t>
  </si>
  <si>
    <t>https://www.pracuj.pl/praca/doradca-klienta-zamoznego-private-banking-podkarpackie,oferta,8575020</t>
  </si>
  <si>
    <t>2292920</t>
  </si>
  <si>
    <t>30475610</t>
  </si>
  <si>
    <t>Dynamics 365 F&amp;O Senior Support Engineer</t>
  </si>
  <si>
    <t>https://www.pracuj.pl/praca/dynamics-365-f-o-senior-support-engineer-subcarpathia,oferta,8574819</t>
  </si>
  <si>
    <t>2292839</t>
  </si>
  <si>
    <t>30475529</t>
  </si>
  <si>
    <t>Technical Services Team Manager</t>
  </si>
  <si>
    <t>https://www.pracuj.pl/praca/technical-services-team-manager-subcarpathia,oferta,8574842</t>
  </si>
  <si>
    <t>2292853</t>
  </si>
  <si>
    <t>30475543</t>
  </si>
  <si>
    <t>FUNDACJA CENTRUM ROZWIĄZAŃ BIZNESOWYCH</t>
  </si>
  <si>
    <t>Trener</t>
  </si>
  <si>
    <t>https://www.praca.pl/trener_6066420.html</t>
  </si>
  <si>
    <t>2290678</t>
  </si>
  <si>
    <t>30432156</t>
  </si>
  <si>
    <t>Inżynier geolog - geologia górnicza i poszukiwawcza</t>
  </si>
  <si>
    <t>https://www.praca.pl/specjalista_6064077.html</t>
  </si>
  <si>
    <t>2290931</t>
  </si>
  <si>
    <t>30432443</t>
  </si>
  <si>
    <t>RPd057|214609</t>
  </si>
  <si>
    <t>Pracownik dz. Księgowości z j. Rosyjskim</t>
  </si>
  <si>
    <t>https://www.praca.pl/pracownik-dz-ksiegowosci-z-j-rosyjskim_6038688.html</t>
  </si>
  <si>
    <t>18.12.2021</t>
  </si>
  <si>
    <t>2289964</t>
  </si>
  <si>
    <t>30228320</t>
  </si>
  <si>
    <t>GGT SOLUTIONS S.A.</t>
  </si>
  <si>
    <t>https://www.praca.pl/inzynier-budowy_6067920.html</t>
  </si>
  <si>
    <t>2290504</t>
  </si>
  <si>
    <t>30431977</t>
  </si>
  <si>
    <t>GreenSource Engineering Sp. z o.o.</t>
  </si>
  <si>
    <t>https://www.pracuj.pl/praca/serwisant-podkarpackie,oferta,8573908</t>
  </si>
  <si>
    <t>2292528</t>
  </si>
  <si>
    <t>30475218</t>
  </si>
  <si>
    <t>Grupa ContactHouse.pl Sp. z o.o.</t>
  </si>
  <si>
    <t>Koordynator Projektu</t>
  </si>
  <si>
    <t>https://www.praca.pl/koordynator-projektu_6063537.html</t>
  </si>
  <si>
    <t>2290770</t>
  </si>
  <si>
    <t>30432250</t>
  </si>
  <si>
    <t>Grupa Kapitałowa VOX</t>
  </si>
  <si>
    <t>Mid Full Stack PHP Developer</t>
  </si>
  <si>
    <t>https://www.pracuj.pl/praca/mid-full-stack-php-developer-podkarpackie,oferta,8571957</t>
  </si>
  <si>
    <t>2291976</t>
  </si>
  <si>
    <t>30474666</t>
  </si>
  <si>
    <t>Grupa MGN</t>
  </si>
  <si>
    <t>https://www.praca.pl/sprzataczka_6059409.html</t>
  </si>
  <si>
    <t>2290190</t>
  </si>
  <si>
    <t>30431615</t>
  </si>
  <si>
    <t>Kierownik Rozwoju Portfela Agentów</t>
  </si>
  <si>
    <t>https://www.pracuj.pl/praca/kierownik-rozwoju-portfela-agentow-rzeszow,oferta,1001366745</t>
  </si>
  <si>
    <t>2295373</t>
  </si>
  <si>
    <t>30478063</t>
  </si>
  <si>
    <t>Kierownik salonu sprzedaży Orange</t>
  </si>
  <si>
    <t>https://www.pracuj.pl/praca/kierownik-salonu-sprzedazy-orange-lezajsk,oferta,1001367536</t>
  </si>
  <si>
    <t>2296080</t>
  </si>
  <si>
    <t>30478770</t>
  </si>
  <si>
    <t>HARMAN</t>
  </si>
  <si>
    <t>Android Technical Lead</t>
  </si>
  <si>
    <t>https://www.pracuj.pl/praca/android-technical-lead-subcarpathia,oferta,8574200</t>
  </si>
  <si>
    <t>2292645</t>
  </si>
  <si>
    <t>30475335</t>
  </si>
  <si>
    <t>HCL Poland</t>
  </si>
  <si>
    <t>Software administrator/Developer</t>
  </si>
  <si>
    <t>https://www.praca.pl/software-administrator-developer_6020451.html</t>
  </si>
  <si>
    <t>2289839</t>
  </si>
  <si>
    <t>30173698</t>
  </si>
  <si>
    <t>Hert Sp. z o.o. Serwis Sp.k.</t>
  </si>
  <si>
    <t>Technik Serwisu / Inżynier Serwisu</t>
  </si>
  <si>
    <t>https://www.praca.pl/technik-serwisu-inzynier-serwisu_6021417.html</t>
  </si>
  <si>
    <t>2289419</t>
  </si>
  <si>
    <t>30062745</t>
  </si>
  <si>
    <t>HOLENDERSKA GENETYKA PLUS sp. z o.o.</t>
  </si>
  <si>
    <t>Doradca Klienta Kluczowego</t>
  </si>
  <si>
    <t>https://www.pracuj.pl/praca/doradca-klienta-kluczowego-podkarpackie,oferta,8574896</t>
  </si>
  <si>
    <t>2292883</t>
  </si>
  <si>
    <t>30475573</t>
  </si>
  <si>
    <t>Client Support Specialist with Spanish</t>
  </si>
  <si>
    <t>Polska, podkarpackie, Cała Polska</t>
  </si>
  <si>
    <t>https://www.pracuj.pl/praca/client-support-specialist-with-spanish-cala-polska,oferta,8573590</t>
  </si>
  <si>
    <t>21.12.2021</t>
  </si>
  <si>
    <t>2292447</t>
  </si>
  <si>
    <t>30475137</t>
  </si>
  <si>
    <t>IBG Instalbud sp. z o.o.</t>
  </si>
  <si>
    <t>Monter instalacji przemysłowych lub spawacz/ Brygadzista</t>
  </si>
  <si>
    <t>https://www.pracuj.pl/praca/monter-instalacji-przemyslowych-lub-spawacz-brygadzista-rzeszow,oferta,1001366346</t>
  </si>
  <si>
    <t>2295017</t>
  </si>
  <si>
    <t>30477707</t>
  </si>
  <si>
    <t>https://www.pracuj.pl/praca/analityk-systemowo-biznesowy-podkarpackie,oferta,8571164</t>
  </si>
  <si>
    <t>2291802</t>
  </si>
  <si>
    <t>30474492</t>
  </si>
  <si>
    <t>Jobman Group Sp. z o.o.</t>
  </si>
  <si>
    <t>Koordynator Regionalny</t>
  </si>
  <si>
    <t>https://www.praca.pl/koordynator-regionalny_6067527.html</t>
  </si>
  <si>
    <t>2290587</t>
  </si>
  <si>
    <t>30432064</t>
  </si>
  <si>
    <t>Jonckers Translation &amp; Engineering s.r.o.</t>
  </si>
  <si>
    <t>Community Talent Finder</t>
  </si>
  <si>
    <t>https://www.pracuj.pl/praca/community-talent-finder-subcarpathia,oferta,8573848</t>
  </si>
  <si>
    <t>2292508</t>
  </si>
  <si>
    <t>30475198</t>
  </si>
  <si>
    <t>kaes.</t>
  </si>
  <si>
    <t>Specjalista ds. Inwestycji i Serwisu</t>
  </si>
  <si>
    <t>https://www.pracuj.pl/praca/specjalista-ds-inwestycji-i-serwisu-podkarpackie,oferta,8574789</t>
  </si>
  <si>
    <t>2292823</t>
  </si>
  <si>
    <t>30475513</t>
  </si>
  <si>
    <t>KARTONY24 sp. z o.o.</t>
  </si>
  <si>
    <t>https://www.pracuj.pl/praca/kierownik-magazynu-rudna-mala-pow-rzeszowski,oferta,1001365957</t>
  </si>
  <si>
    <t>2294666</t>
  </si>
  <si>
    <t>30477356</t>
  </si>
  <si>
    <t>Kredyt Inkaso S.A.</t>
  </si>
  <si>
    <t>https://www.pracuj.pl/praca/windykator-terenowy-podkarpackie,oferta,8571497</t>
  </si>
  <si>
    <t>2291859</t>
  </si>
  <si>
    <t>30474549</t>
  </si>
  <si>
    <t>KROT INVEST 2 KR INŻYNIERIA Sp. z o.o. Sp. Komandytowa</t>
  </si>
  <si>
    <t>https://www.pracuj.pl/praca/serwisant-podkarpackie,oferta,8574142</t>
  </si>
  <si>
    <t>2292621</t>
  </si>
  <si>
    <t>30475311</t>
  </si>
  <si>
    <t>Kuehne + Nagel Sp. z o.o.</t>
  </si>
  <si>
    <t>Key Account Manager - Customer Goods</t>
  </si>
  <si>
    <t>https://www.pracuj.pl/praca/key-account-manager-customer-goods-podkarpackie,oferta,8571885</t>
  </si>
  <si>
    <t>2291960</t>
  </si>
  <si>
    <t>30474650</t>
  </si>
  <si>
    <t>Labofarm</t>
  </si>
  <si>
    <t>Przedstawiciel Farmaceutyczno-Medyczny</t>
  </si>
  <si>
    <t>https://www.pracuj.pl/praca/przedstawiciel-farmaceutyczno-medyczny-podkarpackie,oferta,8571374</t>
  </si>
  <si>
    <t>2291839</t>
  </si>
  <si>
    <t>30474529</t>
  </si>
  <si>
    <t>Lemarpol Sp. z o.o.</t>
  </si>
  <si>
    <t>Mechanik Serwisant</t>
  </si>
  <si>
    <t>https://www.pracuj.pl/praca/mechanik-serwisant-podkarpackie,oferta,8572450</t>
  </si>
  <si>
    <t>2292078</t>
  </si>
  <si>
    <t>30474768</t>
  </si>
  <si>
    <t>https://www.pracuj.pl/praca/doradca-klienta-krosno,oferta,1001364623</t>
  </si>
  <si>
    <t>2293407</t>
  </si>
  <si>
    <t>30476097</t>
  </si>
  <si>
    <t>https://www.pracuj.pl/praca/doradca-klienta-mielec,oferta,1001364628</t>
  </si>
  <si>
    <t>2293412</t>
  </si>
  <si>
    <t>30476102</t>
  </si>
  <si>
    <t>https://www.pracuj.pl/praca/doradca-klienta-rzeszow,oferta,1001364638</t>
  </si>
  <si>
    <t>2293422</t>
  </si>
  <si>
    <t>30476112</t>
  </si>
  <si>
    <t>https://www.pracuj.pl/praca/doradca-klienta-krasne-pow-rzeszowski,oferta,1001364656</t>
  </si>
  <si>
    <t>2293440</t>
  </si>
  <si>
    <t>30476130</t>
  </si>
  <si>
    <t>Lerta</t>
  </si>
  <si>
    <t>Doradca klienta biznesowego ds. fotowoltaiki</t>
  </si>
  <si>
    <t>Polska, podkarpackie, Rzeszów, Tarnobrzeg, Przemyśl, Krosno</t>
  </si>
  <si>
    <t>https://www.praca.pl/doradca-klienta-biznesowego-ds-fotowoltaiki_6018630.html</t>
  </si>
  <si>
    <t>2289646</t>
  </si>
  <si>
    <t>30063158</t>
  </si>
  <si>
    <t>1863,1864,1862,1861</t>
  </si>
  <si>
    <t>Mb Recycling Sp. z o.o. Przedsiębiorstwo Gospodarki Odpadami sp.k.</t>
  </si>
  <si>
    <t>Kierownik Zakładu</t>
  </si>
  <si>
    <t>Inżynier inżynierii środowiska - oczyszczanie miast i gospodarka odpadami</t>
  </si>
  <si>
    <t>https://www.pracuj.pl/praca/kierownik-zakladu-podkarpackie,oferta,8571227</t>
  </si>
  <si>
    <t>2291818</t>
  </si>
  <si>
    <t>30474508</t>
  </si>
  <si>
    <t>RPd057|214305</t>
  </si>
  <si>
    <t>Specjalista ds. dotacji</t>
  </si>
  <si>
    <t>Analityk inwestycyjny</t>
  </si>
  <si>
    <t>https://www.pracuj.pl/praca/specjalista-ds-dotacji-podkarpackie,oferta,8571301</t>
  </si>
  <si>
    <t>2291834</t>
  </si>
  <si>
    <t>30474524</t>
  </si>
  <si>
    <t>RPd057|241311</t>
  </si>
  <si>
    <t>MDM MECHANICAL INSTALLATION SPÓŁKA Z OGRANICZONĄ ODPOWIEDZIALNOŚCIĄ - SPÓŁKA KOMANDYTOWA</t>
  </si>
  <si>
    <t>Asystent Kierownika Projektu - Inżynier Budowy</t>
  </si>
  <si>
    <t>https://www.pracuj.pl/praca/asystent-kierownika-projektu-inzynier-budowy-rzeszow,oferta,1001364505</t>
  </si>
  <si>
    <t>2293294</t>
  </si>
  <si>
    <t>30475984</t>
  </si>
  <si>
    <t>Specjalista ds. obsługi Klienta</t>
  </si>
  <si>
    <t>https://www.praca.pl/specjalista-ds-obslugi-klienta_6069255.html</t>
  </si>
  <si>
    <t>2290350</t>
  </si>
  <si>
    <t>30431794</t>
  </si>
  <si>
    <t>Komisjoner - magazyn spożywczy</t>
  </si>
  <si>
    <t>https://www.praca.pl/komisjoner-magazyn-spozywczy_6019890.html</t>
  </si>
  <si>
    <t>2289538</t>
  </si>
  <si>
    <t>30062940</t>
  </si>
  <si>
    <t>SAP ME/MII Specialist</t>
  </si>
  <si>
    <t>https://www.pracuj.pl/praca/sap-me-mii-specialist-tajecina-pow-rzeszowski,oferta,1001367266</t>
  </si>
  <si>
    <t>2295836</t>
  </si>
  <si>
    <t>30478526</t>
  </si>
  <si>
    <t>NATEK POLAND</t>
  </si>
  <si>
    <t>Analityk Danych</t>
  </si>
  <si>
    <t>https://www.pracuj.pl/praca/analityk-danych-rzeszow,oferta,1001367117</t>
  </si>
  <si>
    <t>2295711</t>
  </si>
  <si>
    <t>30478401</t>
  </si>
  <si>
    <t>UX Designer</t>
  </si>
  <si>
    <t>https://www.pracuj.pl/praca/ux-designer-rzeszow,oferta,1001367367</t>
  </si>
  <si>
    <t>2295924</t>
  </si>
  <si>
    <t>30478614</t>
  </si>
  <si>
    <t>https://www.pracuj.pl/praca/doradca-klienta-brzozow,oferta,8573925</t>
  </si>
  <si>
    <t>2292539</t>
  </si>
  <si>
    <t>30475229</t>
  </si>
  <si>
    <t>1802,1803,1804,1805,1806,1861,1808,1809,1811,1862,1814,1815,1863,1818,1819</t>
  </si>
  <si>
    <t>15</t>
  </si>
  <si>
    <t>Construction Engineer (Roads and Hardstands)</t>
  </si>
  <si>
    <t>https://www.praca.pl/construction-engineer-roads-and-hardstands_6066348.html</t>
  </si>
  <si>
    <t>2290653</t>
  </si>
  <si>
    <t>30432131</t>
  </si>
  <si>
    <t>Inżynier budowy – specjalność budowlana</t>
  </si>
  <si>
    <t>https://www.praca.pl/inzynier-budowy-specjalnosc-budowlana_6022377.html</t>
  </si>
  <si>
    <t>2289391</t>
  </si>
  <si>
    <t>30062701</t>
  </si>
  <si>
    <t>https://www.praca.pl/kierownik-projektu_6066543.html</t>
  </si>
  <si>
    <t>2290668</t>
  </si>
  <si>
    <t>30432146</t>
  </si>
  <si>
    <t>Ekspert ds. Audytu Wewnętrznego</t>
  </si>
  <si>
    <t>https://www.pracuj.pl/praca/ekspert-ds-audytu-wewnetrznego-podkarpackie,oferta,8572754</t>
  </si>
  <si>
    <t>2292152</t>
  </si>
  <si>
    <t>30474842</t>
  </si>
  <si>
    <t>Specjalista ds. Polityki Kredytowej</t>
  </si>
  <si>
    <t>https://www.pracuj.pl/praca/specjalista-ds-polityki-kredytowej-podkarpackie,oferta,8572699</t>
  </si>
  <si>
    <t>2292133</t>
  </si>
  <si>
    <t>30474823</t>
  </si>
  <si>
    <t>NIKMET sp. z o.o. SPÓŁKA KOMANDYTOWA</t>
  </si>
  <si>
    <t>Technolog / Programista CNC</t>
  </si>
  <si>
    <t>Polska, podkarpackie, Grzybów (pow. mielecki)</t>
  </si>
  <si>
    <t>https://www.pracuj.pl/praca/technolog-programista-cnc-grzybow-pow-mielecki,oferta,1001365557</t>
  </si>
  <si>
    <t>2294289</t>
  </si>
  <si>
    <t>30476979</t>
  </si>
  <si>
    <t>NOBLEPROG POLSKA sp. z o.o.</t>
  </si>
  <si>
    <t>Specjalista ds. sprzedaży szkoleń i usług IT</t>
  </si>
  <si>
    <t>https://www.pracuj.pl/praca/specjalista-ds-sprzedazy-szkolen-i-uslug-it-rzeszow,oferta,1001367300</t>
  </si>
  <si>
    <t>2295862</t>
  </si>
  <si>
    <t>30478552</t>
  </si>
  <si>
    <t>5G L1 FPGA Design Engineer</t>
  </si>
  <si>
    <t>https://www.pracuj.pl/praca/5g-l1-fpga-design-engineer-subcarpathia,oferta,8575088</t>
  </si>
  <si>
    <t>07.01.2022</t>
  </si>
  <si>
    <t>2292965</t>
  </si>
  <si>
    <t>30475655</t>
  </si>
  <si>
    <t>5G RF EMF Architect  [rekrutacja online]</t>
  </si>
  <si>
    <t>https://www.praca.pl/5g-rf-emf-architect-rekrutacja-online_6070026.html</t>
  </si>
  <si>
    <t>2290256</t>
  </si>
  <si>
    <t>30431684</t>
  </si>
  <si>
    <t>5G RF Test Engineer</t>
  </si>
  <si>
    <t>https://www.pracuj.pl/praca/5g-rf-test-engineer-subcarpathia,oferta,8571733</t>
  </si>
  <si>
    <t>06.01.2022</t>
  </si>
  <si>
    <t>2291921</t>
  </si>
  <si>
    <t>30474611</t>
  </si>
  <si>
    <t>Administrative Assistant - Working Student</t>
  </si>
  <si>
    <t>https://www.pracuj.pl/praca/administrative-assistant-working-student-subcarpathia,oferta,8573366</t>
  </si>
  <si>
    <t>2292379</t>
  </si>
  <si>
    <t>30475069</t>
  </si>
  <si>
    <t>Area Product Owner</t>
  </si>
  <si>
    <t>https://www.pracuj.pl/praca/area-product-owner-subcarpathia,oferta,8494991</t>
  </si>
  <si>
    <t>24.11.2021 04:20</t>
  </si>
  <si>
    <t>23.10.2021</t>
  </si>
  <si>
    <t>21.11.2021</t>
  </si>
  <si>
    <t>2289224</t>
  </si>
  <si>
    <t>28914510</t>
  </si>
  <si>
    <t>Business Analyst  [rekrutacja online]</t>
  </si>
  <si>
    <t>https://www.praca.pl/business-analyst-rekrutacja-online_6069639.html</t>
  </si>
  <si>
    <t>2290290</t>
  </si>
  <si>
    <t>30431718</t>
  </si>
  <si>
    <t>FPGA Design Verification Engineer</t>
  </si>
  <si>
    <t>https://www.pracuj.pl/praca/fpga-design-verification-engineer-subcarpathia,oferta,8574997</t>
  </si>
  <si>
    <t>2292901</t>
  </si>
  <si>
    <t>30475591</t>
  </si>
  <si>
    <t>Java Software Developer  [rekrutacja online]</t>
  </si>
  <si>
    <t>https://www.praca.pl/java-software-developer-rekrutacja-online_6069708.html</t>
  </si>
  <si>
    <t>2290272</t>
  </si>
  <si>
    <t>30431700</t>
  </si>
  <si>
    <t>Linux Scripting DevOps Working Studnet with Bash/Python</t>
  </si>
  <si>
    <t>https://www.pracuj.pl/praca/linux-scripting-devops-working-studnet-with-bash-python-subcarpathia,oferta,8574316</t>
  </si>
  <si>
    <t>2292713</t>
  </si>
  <si>
    <t>30475403</t>
  </si>
  <si>
    <t>SRN Integration Engineer [rekrutacja online]</t>
  </si>
  <si>
    <t>https://www.praca.pl/srn-integration-engineer-rekrutacja-online_6011865.html</t>
  </si>
  <si>
    <t>2289432</t>
  </si>
  <si>
    <t>30062761</t>
  </si>
  <si>
    <t>Novascon Pharmaceuticals Sp. z o.o.</t>
  </si>
  <si>
    <t>Regionalny Przedstawiciel Medyczno-Farmaceutyczny</t>
  </si>
  <si>
    <t>https://www.pracuj.pl/praca/regionalny-przedstawiciel-medyczno-farmaceutyczny-podkarpackie,oferta,8572278</t>
  </si>
  <si>
    <t>2292033</t>
  </si>
  <si>
    <t>30474723</t>
  </si>
  <si>
    <t>NOWALED ILL sp. z o.o.</t>
  </si>
  <si>
    <t>https://www.pracuj.pl/praca/doradca-techniczno-handlowy-podkarpackie,oferta,8574882</t>
  </si>
  <si>
    <t>2292872</t>
  </si>
  <si>
    <t>30475562</t>
  </si>
  <si>
    <t>Inżynier Danych / Technolog</t>
  </si>
  <si>
    <t>https://www.praca.pl/inzynier-danych-technolog_6036774.html</t>
  </si>
  <si>
    <t>2289828</t>
  </si>
  <si>
    <t>30173543</t>
  </si>
  <si>
    <t>Monter Mebli</t>
  </si>
  <si>
    <t>https://www.praca.pl/monter-mebli_5988936.html</t>
  </si>
  <si>
    <t>2289351</t>
  </si>
  <si>
    <t>29758005</t>
  </si>
  <si>
    <t>Organizator / Organizatorka produkcji</t>
  </si>
  <si>
    <t>https://www.praca.pl/organizator-organizatorka-produkcji_6034956.html</t>
  </si>
  <si>
    <t>2289864</t>
  </si>
  <si>
    <t>30173979</t>
  </si>
  <si>
    <t>Software Developer (Programista IT)</t>
  </si>
  <si>
    <t>https://www.praca.pl/software-developer-programista-it_6034965.html</t>
  </si>
  <si>
    <t>2289863</t>
  </si>
  <si>
    <t>30173978</t>
  </si>
  <si>
    <t>Specjalista / Młodszy Specjalista Dział Obsługi Klienta - z j. niemieckim i j. angielskim</t>
  </si>
  <si>
    <t>https://www.praca.pl/specjalista-mlodszy-specjalista-dzial-obslugi-klienta-z-j-niemieckim-i-j-angielskim_6012645.html</t>
  </si>
  <si>
    <t>2289824</t>
  </si>
  <si>
    <t>30173439</t>
  </si>
  <si>
    <t>Specjalista ds. Logistyki  z j. angielskim</t>
  </si>
  <si>
    <t>https://www.praca.pl/specjalista-ds-logistyki-z-j-angielskim_6034959.html</t>
  </si>
  <si>
    <t>2289858</t>
  </si>
  <si>
    <t>30173973</t>
  </si>
  <si>
    <t>Specjalista ds. Logistyki  z j. niemieckim</t>
  </si>
  <si>
    <t>https://www.praca.pl/specjalista-ds-logistyki-z-j-niemieckim_6034971.html</t>
  </si>
  <si>
    <t>2289860</t>
  </si>
  <si>
    <t>30173975</t>
  </si>
  <si>
    <t>Specjalista ds. Transportu z j. niemieckim</t>
  </si>
  <si>
    <t>https://www.praca.pl/specjalista-ds-transportu-z-j-niemieckim_6034974.html</t>
  </si>
  <si>
    <t>2289861</t>
  </si>
  <si>
    <t>30173976</t>
  </si>
  <si>
    <t>Wdrożeniowiec Aplikacji</t>
  </si>
  <si>
    <t>https://www.praca.pl/wdrozeniowiec-aplikacji_6034968.html</t>
  </si>
  <si>
    <t>2289862</t>
  </si>
  <si>
    <t>30173977</t>
  </si>
  <si>
    <t>Nowy Styl https://ICP/11/21</t>
  </si>
  <si>
    <t>Inżynier ds. Rozwoju CAD/PLM</t>
  </si>
  <si>
    <t>https://www.praca.pl/inzynier-ds-rozwoju-cad-plm_6037131.html</t>
  </si>
  <si>
    <t>2289826</t>
  </si>
  <si>
    <t>30173502</t>
  </si>
  <si>
    <t>NTT DATA Business Solutions sp. z o.o.</t>
  </si>
  <si>
    <t>Service Delivery Manager</t>
  </si>
  <si>
    <t>https://www.pracuj.pl/praca/service-delivery-manager-subcarpathia,oferta,8574006</t>
  </si>
  <si>
    <t>2292578</t>
  </si>
  <si>
    <t>30475268</t>
  </si>
  <si>
    <t>Oferteo S.A.</t>
  </si>
  <si>
    <t>https://www.pracuj.pl/praca/specjalista-ds-sprzedazy-rzeszow,oferta,1001365958</t>
  </si>
  <si>
    <t>2294667</t>
  </si>
  <si>
    <t>30477357</t>
  </si>
  <si>
    <t>https://www.pracuj.pl/praca/specjalista-ds-eksportu-ropczyce,oferta,1001367228</t>
  </si>
  <si>
    <t>2295800</t>
  </si>
  <si>
    <t>30478490</t>
  </si>
  <si>
    <t>https://www.pracuj.pl/praca/specjalista-ds-eksportu-jezowe-pow-nizanski,oferta,1001367229</t>
  </si>
  <si>
    <t>2295801</t>
  </si>
  <si>
    <t>30478491</t>
  </si>
  <si>
    <t>QA Automation Engineer (UI &amp; API)</t>
  </si>
  <si>
    <t>https://www.pracuj.pl/praca/qa-automation-engineer-ui-api-rzeszow,oferta,1001366423</t>
  </si>
  <si>
    <t>2295093</t>
  </si>
  <si>
    <t>30477783</t>
  </si>
  <si>
    <t>PNEUMAT SYSTEM Sp. z o.o.</t>
  </si>
  <si>
    <t>Doradca ds. techniczno-handlowych (praca biurowa)</t>
  </si>
  <si>
    <t>https://www.praca.pl/doradca-ds-techniczno-handlowych-praca-biurowa_6070449.html</t>
  </si>
  <si>
    <t>2290226</t>
  </si>
  <si>
    <t>30431653</t>
  </si>
  <si>
    <t>Pracownik socjalny</t>
  </si>
  <si>
    <t>https://www.praca.pl/starszy-specjalista_6064167.html</t>
  </si>
  <si>
    <t>2290961</t>
  </si>
  <si>
    <t>30432473</t>
  </si>
  <si>
    <t>RPd057|341205</t>
  </si>
  <si>
    <t>Polpharma S.A.</t>
  </si>
  <si>
    <t>Młodszy Operator</t>
  </si>
  <si>
    <t>Operator urządzeń do produkcji wyrobów farmaceutycznych</t>
  </si>
  <si>
    <t>https://www.pracuj.pl/praca/mlodszy-operator-nowa-deba,oferta,1001367200</t>
  </si>
  <si>
    <t>2295774</t>
  </si>
  <si>
    <t>30478464</t>
  </si>
  <si>
    <t>RPd057|813126</t>
  </si>
  <si>
    <t>Operator</t>
  </si>
  <si>
    <t>https://www.pracuj.pl/praca/operator-nowa-deba,oferta,1001367491</t>
  </si>
  <si>
    <t>2296035</t>
  </si>
  <si>
    <t>30478725</t>
  </si>
  <si>
    <t>Polski Tytoń S.A.</t>
  </si>
  <si>
    <t>https://www.praca.pl/specjalista-ds-sprzedazy_6019005.html</t>
  </si>
  <si>
    <t>2289621</t>
  </si>
  <si>
    <t>30063116</t>
  </si>
  <si>
    <t>Recruiter with German</t>
  </si>
  <si>
    <t>https://www.pracuj.pl/praca/recruiter-with-german-rzeszow,oferta,1001364428</t>
  </si>
  <si>
    <t>2293220</t>
  </si>
  <si>
    <t>30475910</t>
  </si>
  <si>
    <t>Accountant</t>
  </si>
  <si>
    <t>https://www.pracuj.pl/praca/accountant-rzeszow,oferta,1001364461</t>
  </si>
  <si>
    <t>2293252</t>
  </si>
  <si>
    <t>30475942</t>
  </si>
  <si>
    <t>Junior Accountant</t>
  </si>
  <si>
    <t>https://www.pracuj.pl/praca/junior-accountant-rzeszow,oferta,1001364471</t>
  </si>
  <si>
    <t>2293262</t>
  </si>
  <si>
    <t>30475952</t>
  </si>
  <si>
    <t>Mechanik Wydziałowy</t>
  </si>
  <si>
    <t>https://www.pracuj.pl/praca/mechanik-wydzialowy-rzeszow,oferta,1001365778</t>
  </si>
  <si>
    <t>2294496</t>
  </si>
  <si>
    <t>30477186</t>
  </si>
  <si>
    <t>Senior Accountant</t>
  </si>
  <si>
    <t>https://www.pracuj.pl/praca/senior-accountant-rzeszow,oferta,1001364467</t>
  </si>
  <si>
    <t>2293258</t>
  </si>
  <si>
    <t>30475948</t>
  </si>
  <si>
    <t>Elektronik / Programista</t>
  </si>
  <si>
    <t>https://www.pracuj.pl/praca/elektronik-programista-lezajsk,oferta,1001365399</t>
  </si>
  <si>
    <t>2294141</t>
  </si>
  <si>
    <t>30476831</t>
  </si>
  <si>
    <t>Kosztorysant Branży Drogowej / Kierownik Robót Drogowych</t>
  </si>
  <si>
    <t>https://www.praca.pl/kosztorysant-branzy-drogowej-kierownik-robot-drogowych_6027873.html</t>
  </si>
  <si>
    <t>2289875</t>
  </si>
  <si>
    <t>30174094</t>
  </si>
  <si>
    <t>Producent Okien PCV i ALU Patryk Pankowski</t>
  </si>
  <si>
    <t>Handlowiec na rynki zagraniczne</t>
  </si>
  <si>
    <t>https://www.pracuj.pl/praca/handlowiec-na-rynki-zagraniczne-podkarpackie,oferta,8572386</t>
  </si>
  <si>
    <t>2292051</t>
  </si>
  <si>
    <t>30474741</t>
  </si>
  <si>
    <t>PROFI-LINGUA Szkoła Języków Obcych</t>
  </si>
  <si>
    <t>https://www.praca.pl/lektor-jezyka-angielskiego_6060132.html</t>
  </si>
  <si>
    <t>2290484</t>
  </si>
  <si>
    <t>30431940</t>
  </si>
  <si>
    <t>Lektor języka angielskiego - Disney English</t>
  </si>
  <si>
    <t>https://www.praca.pl/lektor-jezyka-angielskiego-disney-english_6060093.html</t>
  </si>
  <si>
    <t>2290369</t>
  </si>
  <si>
    <t>30431814</t>
  </si>
  <si>
    <t>Lektor języka angielskiego – kursy online</t>
  </si>
  <si>
    <t>https://www.praca.pl/lektor-jezyka-angielskiego-kursy-online_6060171.html</t>
  </si>
  <si>
    <t>2290334</t>
  </si>
  <si>
    <t>30431764</t>
  </si>
  <si>
    <t>Lektor języka duńskiego - kursy online</t>
  </si>
  <si>
    <t>https://www.praca.pl/lektor-jezyka-dunskiego-kursy-online_6066243.html</t>
  </si>
  <si>
    <t>2290724</t>
  </si>
  <si>
    <t>30432203</t>
  </si>
  <si>
    <t>Lektor języka niderlandzkiego – kursy online</t>
  </si>
  <si>
    <t>https://www.praca.pl/lektor-jezyka-niderlandzkiego-kursy-online_6066195.html</t>
  </si>
  <si>
    <t>2290708</t>
  </si>
  <si>
    <t>30432187</t>
  </si>
  <si>
    <t>Lektor języka norweskiego - kursy online</t>
  </si>
  <si>
    <t>https://www.praca.pl/lektor-jezyka-norweskiego-kursy-online_6066297.html</t>
  </si>
  <si>
    <t>2290740</t>
  </si>
  <si>
    <t>30432219</t>
  </si>
  <si>
    <t>Profitroom S.A.</t>
  </si>
  <si>
    <t>https://www.pracuj.pl/praca/frontend-developer-subcarpathia,oferta,8572833</t>
  </si>
  <si>
    <t>2292172</t>
  </si>
  <si>
    <t>30474862</t>
  </si>
  <si>
    <t>https://www.pracuj.pl/praca/full-stack-developer-subcarpathia,oferta,8572642</t>
  </si>
  <si>
    <t>2292112</t>
  </si>
  <si>
    <t>30474802</t>
  </si>
  <si>
    <t>https://www.pracuj.pl/praca/php-developer-subcarpathia,oferta,8572944</t>
  </si>
  <si>
    <t>2292222</t>
  </si>
  <si>
    <t>30474912</t>
  </si>
  <si>
    <t>Przedsiębiorstwo Budowlane BUDIREM</t>
  </si>
  <si>
    <t>Operator dźwigu samochodowego</t>
  </si>
  <si>
    <t>https://www.praca.pl/operator-dzwigu-samochodowego_6017604.html</t>
  </si>
  <si>
    <t>19.12.2021</t>
  </si>
  <si>
    <t>2289915</t>
  </si>
  <si>
    <t>30227431</t>
  </si>
  <si>
    <t>Operator maszyn budowlanych</t>
  </si>
  <si>
    <t>https://www.praca.pl/operator-maszyn-budowlanych_6017556.html</t>
  </si>
  <si>
    <t>2289899</t>
  </si>
  <si>
    <t>30227415</t>
  </si>
  <si>
    <t>PRZEDSIĘBIORSTWO PRODUKCYJNO-HANDLOWO-USŁUGOWE ELŻBIETA I JERZY PATER Sp. z o.o.</t>
  </si>
  <si>
    <t>Projektant - Konstruktor</t>
  </si>
  <si>
    <t>https://www.pracuj.pl/praca/projektant-konstruktor-brzeznica-pow-debicki,oferta,1001365799</t>
  </si>
  <si>
    <t>2294516</t>
  </si>
  <si>
    <t>30477206</t>
  </si>
  <si>
    <t>PZL SĘDZISZÓW S. A.</t>
  </si>
  <si>
    <t>Business Development Engineer</t>
  </si>
  <si>
    <t>https://www.pracuj.pl/praca/business-development-engineer-sedziszow-malopolski,oferta,1001364951</t>
  </si>
  <si>
    <t>2293713</t>
  </si>
  <si>
    <t>30476403</t>
  </si>
  <si>
    <t>RADPOL S.A.</t>
  </si>
  <si>
    <t>Regionalny Kierownik Sprzedaży sprzedaż eksportowa – Niemcy, Austria, Szwajcaria</t>
  </si>
  <si>
    <t>https://www.praca.pl/regionalny-kierownik-sprzedazy-sprzedaz-eksportowa-niemcy,austria,szwajcaria_6020016.html</t>
  </si>
  <si>
    <t>2289521</t>
  </si>
  <si>
    <t>30062920</t>
  </si>
  <si>
    <t>IT Administrator</t>
  </si>
  <si>
    <t>https://www.pracuj.pl/praca/it-administrator-mielec,oferta,1001365144</t>
  </si>
  <si>
    <t>2293888</t>
  </si>
  <si>
    <t>30476578</t>
  </si>
  <si>
    <t>https://www.goldenline.pl/praca/oferta/1295296/zielonalinia0?utm_campaign=partner&amp;gpid=1005100&amp;utm_medium=export&amp;glc_source=zielonalinia0&amp;utm_source=zielonalinia0</t>
  </si>
  <si>
    <t>2291505</t>
  </si>
  <si>
    <t>30474136</t>
  </si>
  <si>
    <t>https://www.goldenline.pl/praca/oferta/1295282/zielonalinia0?utm_campaign=partner&amp;gpid=1005188&amp;utm_medium=export&amp;glc_source=zielonalinia0&amp;utm_source=zielonalinia0</t>
  </si>
  <si>
    <t>2291524</t>
  </si>
  <si>
    <t>30474155</t>
  </si>
  <si>
    <t>Senior MLOps Engineer</t>
  </si>
  <si>
    <t>https://www.pracuj.pl/praca/senior-mlops-engineer-subcarpathia,oferta,8573099</t>
  </si>
  <si>
    <t>2292275</t>
  </si>
  <si>
    <t>30474965</t>
  </si>
  <si>
    <t>Software Developer C#</t>
  </si>
  <si>
    <t>https://www.pracuj.pl/praca/software-developer-c%23-podkarpackie,oferta,8574403</t>
  </si>
  <si>
    <t>2292746</t>
  </si>
  <si>
    <t>30475436</t>
  </si>
  <si>
    <t>https://www.pracuj.pl/praca/specjalista-ds-kontroli-jakosci-lancut,oferta,1001364890</t>
  </si>
  <si>
    <t>2293658</t>
  </si>
  <si>
    <t>30476348</t>
  </si>
  <si>
    <t>https://www.pracuj.pl/praca/specjalista-ds-kontroli-jakosci-rzeszow,oferta,1001364891</t>
  </si>
  <si>
    <t>2293659</t>
  </si>
  <si>
    <t>30476349</t>
  </si>
  <si>
    <t>Samsung Electronics Polska</t>
  </si>
  <si>
    <t>Junior Key Account Manager - Eco Heating System</t>
  </si>
  <si>
    <t>https://www.pracuj.pl/praca/junior-key-account-manager-eco-heating-system-rzeszow,oferta,1001367497</t>
  </si>
  <si>
    <t>2296041</t>
  </si>
  <si>
    <t>30478731</t>
  </si>
  <si>
    <t>Doradca klienta biznesowego</t>
  </si>
  <si>
    <t>https://www.pracuj.pl/praca/doradca-klienta-biznesowego-rzeszow,oferta,1001366353</t>
  </si>
  <si>
    <t>2295024</t>
  </si>
  <si>
    <t>30477714</t>
  </si>
  <si>
    <t>Servier Polska Sp. z o.o.</t>
  </si>
  <si>
    <t>https://www.pracuj.pl/praca/przedstawiciel-medyczny-rzeszow,oferta,1001366475</t>
  </si>
  <si>
    <t>2295142</t>
  </si>
  <si>
    <t>30477832</t>
  </si>
  <si>
    <t>AWS Cloud Engineer</t>
  </si>
  <si>
    <t>https://www.pracuj.pl/praca/aws-cloud-engineer-rzeszow,oferta,1001363314</t>
  </si>
  <si>
    <t>2293053</t>
  </si>
  <si>
    <t>30475743</t>
  </si>
  <si>
    <t>Java Test Developer</t>
  </si>
  <si>
    <t>https://www.pracuj.pl/praca/java-test-developer-rzeszow,oferta,1001364962</t>
  </si>
  <si>
    <t>2293724</t>
  </si>
  <si>
    <t>30476414</t>
  </si>
  <si>
    <t>Konsultant Dynamics 365 F/SCM</t>
  </si>
  <si>
    <t>https://www.pracuj.pl/praca/konsultant-dynamics-365-f-scm-rzeszow,oferta,1001363283</t>
  </si>
  <si>
    <t>2293022</t>
  </si>
  <si>
    <t>30475712</t>
  </si>
  <si>
    <t>Konsultant logistyczny Dynamics AX/ 365 SCM</t>
  </si>
  <si>
    <t>https://www.pracuj.pl/praca/konsultant-logistyczny-dynamics-ax-365-scm-rzeszow,oferta,1001363303</t>
  </si>
  <si>
    <t>2293042</t>
  </si>
  <si>
    <t>30475732</t>
  </si>
  <si>
    <t>Low Severity Incident Coordinator</t>
  </si>
  <si>
    <t>Pracownik zarządzania kryzysowego</t>
  </si>
  <si>
    <t>https://www.pracuj.pl/praca/low-severity-incident-coordinator-rzeszow,oferta,1001365422</t>
  </si>
  <si>
    <t>2294164</t>
  </si>
  <si>
    <t>30476854</t>
  </si>
  <si>
    <t>RPd057|341206</t>
  </si>
  <si>
    <t>Specjalista ds. wsparcia IT z j. niemieckim lub j. francuskim</t>
  </si>
  <si>
    <t>https://www.pracuj.pl/praca/specjalista-ds-wsparcia-it-z-j-niemieckim-lub-j-francuskim-rzeszow,oferta,1001363300</t>
  </si>
  <si>
    <t>2293039</t>
  </si>
  <si>
    <t>30475729</t>
  </si>
  <si>
    <t>Starszy Administrator Baz Danych MySQL</t>
  </si>
  <si>
    <t>https://www.pracuj.pl/praca/starszy-administrator-baz-danych-mysql-podkarpackie,oferta,8573806</t>
  </si>
  <si>
    <t>2292493</t>
  </si>
  <si>
    <t>30475183</t>
  </si>
  <si>
    <t>SNP Poland Sp. z o.o.</t>
  </si>
  <si>
    <t>Konsultant Service Desk z j. niemieckim i angielskim</t>
  </si>
  <si>
    <t>https://www.pracuj.pl/praca/konsultant-service-desk-z-j-niemieckim-i-angielskim-podkarpackie,oferta,8571092</t>
  </si>
  <si>
    <t>2291776</t>
  </si>
  <si>
    <t>30474466</t>
  </si>
  <si>
    <t>SOLEKTRO sp. z o.o.</t>
  </si>
  <si>
    <t>Menager ds. sprzedaży – Fotowoltaika i pompy ciepła</t>
  </si>
  <si>
    <t>https://www.pracuj.pl/praca/menager-ds-sprzedazy-fotowoltaika-i-pompy-ciepla-debica,oferta,8574262</t>
  </si>
  <si>
    <t>2292665</t>
  </si>
  <si>
    <t>30475355</t>
  </si>
  <si>
    <t>https://www.pracuj.pl/praca/przedstawiciel-handlowy-specjalista-ds-sprzedazy-fotowoltaiki-i-pomp-ciepla-debica,oferta,8574281</t>
  </si>
  <si>
    <t>2292681</t>
  </si>
  <si>
    <t>30475371</t>
  </si>
  <si>
    <t>Instalator / serwisant systemów alarmowych i CCTV</t>
  </si>
  <si>
    <t>https://www.pracuj.pl/praca/instalator-serwisant-systemow-alarmowych-i-cctv-rzeszow,oferta,1001365283</t>
  </si>
  <si>
    <t>2294027</t>
  </si>
  <si>
    <t>30476717</t>
  </si>
  <si>
    <t>https://www.pracuj.pl/praca/wlasciciel-oddzialu-dowozy-jedzenia-dostawy-zakupow-podkarpackie,oferta,8571696</t>
  </si>
  <si>
    <t>2291909</t>
  </si>
  <si>
    <t>30474599</t>
  </si>
  <si>
    <t>Junior Operations Analyst</t>
  </si>
  <si>
    <t>https://www.pracuj.pl/praca/junior-operations-analyst-subcarpathia,oferta,8573187</t>
  </si>
  <si>
    <t>2292298</t>
  </si>
  <si>
    <t>30474988</t>
  </si>
  <si>
    <t>Studio Kolor Sp. z o.o.</t>
  </si>
  <si>
    <t>Technik poligraf</t>
  </si>
  <si>
    <t>https://www.goldenline.pl/praca/oferta/1294752/zielonalinia0?utm_campaign=partner&amp;gpid=1004640&amp;utm_medium=export&amp;glc_source=zielonalinia0&amp;utm_source=zielonalinia0</t>
  </si>
  <si>
    <t>2291546</t>
  </si>
  <si>
    <t>30474177</t>
  </si>
  <si>
    <t>RPd057|311918</t>
  </si>
  <si>
    <t>STUDIO KOLOR Sp. z o.o.</t>
  </si>
  <si>
    <t>https://www.goldenline.pl/praca/oferta/1294754/zielonalinia0?utm_campaign=partner&amp;gpid=1004638&amp;utm_medium=export&amp;glc_source=zielonalinia0&amp;utm_source=zielonalinia0</t>
  </si>
  <si>
    <t>2291667</t>
  </si>
  <si>
    <t>30474298</t>
  </si>
  <si>
    <t>SWIETELSKY RAIL POLSKA Sp. z o.o.</t>
  </si>
  <si>
    <t>Kierownik robót drogowych</t>
  </si>
  <si>
    <t>https://www.pracuj.pl/praca/kierownik-robot-drogowych-podkarpackie,oferta,8573340</t>
  </si>
  <si>
    <t>2292370</t>
  </si>
  <si>
    <t>30475060</t>
  </si>
  <si>
    <t>Śnieżka Trade of Colours Sp. z o.o.</t>
  </si>
  <si>
    <t>Regional Export Manager</t>
  </si>
  <si>
    <t>https://www.pracuj.pl/praca/regional-export-manager-brzeznica-pow-debicki,oferta,1001366095</t>
  </si>
  <si>
    <t>2294786</t>
  </si>
  <si>
    <t>30477476</t>
  </si>
  <si>
    <t>TALIO sp. z o.o.</t>
  </si>
  <si>
    <t>Partner ds. Fotowoltaiki Orange Energia</t>
  </si>
  <si>
    <t>https://www.pracuj.pl/praca/partner-ds-fotowoltaiki-orange-energia-podkarpackie,oferta,8574157</t>
  </si>
  <si>
    <t>2292630</t>
  </si>
  <si>
    <t>30475320</t>
  </si>
  <si>
    <t>Taylor Shipping Solutions</t>
  </si>
  <si>
    <t>Młodszy specjalista ds. transportu (bez doświadczenia z j. angielskim)</t>
  </si>
  <si>
    <t>https://www.praca.pl/mlodszy-specjalista-ds-transportu-bez-doswiadczenia-z-j-angielskim_6013704.html</t>
  </si>
  <si>
    <t>2289735</t>
  </si>
  <si>
    <t>30063310</t>
  </si>
  <si>
    <t>TNS Sp. z o.o.</t>
  </si>
  <si>
    <t>https://www.praca.pl/slusarz_6046542.html</t>
  </si>
  <si>
    <t>2289971</t>
  </si>
  <si>
    <t>30282553</t>
  </si>
  <si>
    <t>Operator linii montażowej (możliwość zdobycia uprawnień SEP)</t>
  </si>
  <si>
    <t>https://www.goldenline.pl/praca/oferta/1294776/zielonalinia0?utm_campaign=partner&amp;gpid=1004696&amp;utm_medium=export&amp;glc_source=zielonalinia0&amp;utm_source=zielonalinia0</t>
  </si>
  <si>
    <t>19.11.2021</t>
  </si>
  <si>
    <t>2291583</t>
  </si>
  <si>
    <t>30474214</t>
  </si>
  <si>
    <t>Specjalista ds. zamówień / Ekspedytor (m/k) z językiem angielskim</t>
  </si>
  <si>
    <t>Ekspedytor</t>
  </si>
  <si>
    <t>https://www.goldenline.pl/praca/oferta/1294992/zielonalinia0?utm_campaign=partner&amp;gpid=1004940&amp;utm_medium=export&amp;glc_source=zielonalinia0&amp;utm_source=zielonalinia0</t>
  </si>
  <si>
    <t>2291250</t>
  </si>
  <si>
    <t>30473881</t>
  </si>
  <si>
    <t>RPd057|432303</t>
  </si>
  <si>
    <t>https://www.praca.pl/kierowca-c-e,adr-transport-miedzynarodowy_6058878.html</t>
  </si>
  <si>
    <t>2290145</t>
  </si>
  <si>
    <t>30431568</t>
  </si>
  <si>
    <t>https://www.praca.pl/kierowca-c-e-transport-krajowy_6058971.html</t>
  </si>
  <si>
    <t>2290161</t>
  </si>
  <si>
    <t>30431584</t>
  </si>
  <si>
    <t>Tutore.eu</t>
  </si>
  <si>
    <t>Metodyk języka angielskiego</t>
  </si>
  <si>
    <t>https://www.pracuj.pl/praca/metodyk-jezyka-angielskiego-podkarpackie,oferta,8573239</t>
  </si>
  <si>
    <t>2292317</t>
  </si>
  <si>
    <t>30475007</t>
  </si>
  <si>
    <t>Urząd Lotnictwa Cywilnego w Warszawie</t>
  </si>
  <si>
    <t>https://www.praca.pl/starszy-specjalista_6063990.html</t>
  </si>
  <si>
    <t>2290902</t>
  </si>
  <si>
    <t>30432414</t>
  </si>
  <si>
    <t>VECTOR SOLUTIONS sp. z o.o.</t>
  </si>
  <si>
    <t>Dyrektor Sprzedaży</t>
  </si>
  <si>
    <t>https://www.pracuj.pl/praca/dyrektor-sprzedazy-podkarpackie,oferta,8571750</t>
  </si>
  <si>
    <t>2291937</t>
  </si>
  <si>
    <t>30474627</t>
  </si>
  <si>
    <t>VECTRA S.A.</t>
  </si>
  <si>
    <t>Trener wewnętrzny</t>
  </si>
  <si>
    <t>https://www.praca.pl/trener-wewnetrzny_5931204.html</t>
  </si>
  <si>
    <t>2290814</t>
  </si>
  <si>
    <t>30432318</t>
  </si>
  <si>
    <t>Wavin Shared Services sp. z o.o.</t>
  </si>
  <si>
    <t>Compliance Specialist</t>
  </si>
  <si>
    <t>Administrator zintegrowanych systemów zarządzania</t>
  </si>
  <si>
    <t>https://www.pracuj.pl/praca/compliance-specialist-subcarpathia,oferta,8572421</t>
  </si>
  <si>
    <t>2292061</t>
  </si>
  <si>
    <t>30474751</t>
  </si>
  <si>
    <t>RPd057|252202</t>
  </si>
  <si>
    <t>Specjalista ds. sprzedaży telefonicznej B2B</t>
  </si>
  <si>
    <t>https://www.pracuj.pl/praca/specjalista-ds-sprzedazy-telefonicznej-b2b-podkarpackie,oferta,8574491</t>
  </si>
  <si>
    <t>2292762</t>
  </si>
  <si>
    <t>30475452</t>
  </si>
  <si>
    <t>Windows of NYC</t>
  </si>
  <si>
    <t>Koordynator ds. obsługi klienta -  Customer service coordinator</t>
  </si>
  <si>
    <t>https://www.pracuj.pl/praca/koordynator-ds-obslugi-klienta-customer-service-coordinator-subcarpathia,oferta,8574771</t>
  </si>
  <si>
    <t>2292806</t>
  </si>
  <si>
    <t>30475496</t>
  </si>
  <si>
    <t>WISE INVESTMENTS SP. Z O.O. SPÓŁKA KOMANDYTOWA</t>
  </si>
  <si>
    <t>Kierowca międzynarodowy kat. B</t>
  </si>
  <si>
    <t>https://www.praca.pl/kierowca-miedzynarodowy-kat-b_6017862.html</t>
  </si>
  <si>
    <t>2289691</t>
  </si>
  <si>
    <t>30063256</t>
  </si>
  <si>
    <t>XPLUS S.A.</t>
  </si>
  <si>
    <t>https://www.pracuj.pl/praca/product-manager-podkarpackie,oferta,8572003</t>
  </si>
  <si>
    <t>2291699</t>
  </si>
  <si>
    <t>30474389</t>
  </si>
  <si>
    <t>ZAUFANY KSIĘGOWY SPÓŁKA Z OGRANICZONĄ ODPOWIEDZIALNOŚCIĄ</t>
  </si>
  <si>
    <t>Młodszy księgowy/Młodsza księgowa</t>
  </si>
  <si>
    <t>https://www.pracuj.pl/praca/mlodszy-ksiegowy-mlodsza-ksiegowa-lezajsk,oferta,1001367616</t>
  </si>
  <si>
    <t>2296151</t>
  </si>
  <si>
    <t>30478841</t>
  </si>
  <si>
    <t>Samodzielny/a Księgowy/a – Specjalista/ka ds. księgowości</t>
  </si>
  <si>
    <t>https://www.pracuj.pl/praca/samodzielny-a-ksiegowy-a-specjalista-ka-ds-ksiegowosci-lezajsk,oferta,1001367614</t>
  </si>
  <si>
    <t>2296149</t>
  </si>
  <si>
    <t>30478839</t>
  </si>
  <si>
    <t>ZUE S.A.</t>
  </si>
  <si>
    <t>Inżynier budowy ds. elektroenergetycznych (kolejowa sieć trakcyjna)</t>
  </si>
  <si>
    <t>https://www.pracuj.pl/praca/inzynier-budowy-ds-elektroenergetycznych-kolejowa-siec-trakcyjna-podkarpackie,oferta,8570939</t>
  </si>
  <si>
    <t>2291733</t>
  </si>
  <si>
    <t>30474423</t>
  </si>
  <si>
    <t>ABC NA KOŁACH SPÓŁKA Z OGRANICZONĄ ODPOWIEDZIALNOŚCIĄ</t>
  </si>
  <si>
    <t>Agent - Mobilny Sprzedawca</t>
  </si>
  <si>
    <t>https://www.pracuj.pl/praca/agent-mobilny-sprzedawca-debica,oferta,1001348286</t>
  </si>
  <si>
    <t>17.11.2021 03:40</t>
  </si>
  <si>
    <t>15.11.2021</t>
  </si>
  <si>
    <t>15.12.2021</t>
  </si>
  <si>
    <t>2263268</t>
  </si>
  <si>
    <t>30111571</t>
  </si>
  <si>
    <t>https://www.pracuj.pl/praca/agent-mobilny-sprzedawca-jaroslaw,oferta,1001348288</t>
  </si>
  <si>
    <t>2263270</t>
  </si>
  <si>
    <t>30111573</t>
  </si>
  <si>
    <t>https://www.pracuj.pl/praca/agent-mobilny-sprzedawca-jaslo,oferta,1001348289</t>
  </si>
  <si>
    <t>2263271</t>
  </si>
  <si>
    <t>30111574</t>
  </si>
  <si>
    <t>https://www.pracuj.pl/praca/agent-mobilny-sprzedawca-przemysl,oferta,1001348296</t>
  </si>
  <si>
    <t>2263278</t>
  </si>
  <si>
    <t>30111581</t>
  </si>
  <si>
    <t>https://www.pracuj.pl/praca/agent-mobilny-sprzedawca-rzeszow,oferta,1001348298</t>
  </si>
  <si>
    <t>2263280</t>
  </si>
  <si>
    <t>30111583</t>
  </si>
  <si>
    <t>https://www.pracuj.pl/praca/agent-mobilny-sprzedawca-stalowa-wola,oferta,1001348301</t>
  </si>
  <si>
    <t>2263283</t>
  </si>
  <si>
    <t>30111586</t>
  </si>
  <si>
    <t>https://www.pracuj.pl/praca/agent-mobilny-sprzedawca-tarnobrzeg,oferta,1001348303</t>
  </si>
  <si>
    <t>2263285</t>
  </si>
  <si>
    <t>30111588</t>
  </si>
  <si>
    <t>Accenture Capability Network</t>
  </si>
  <si>
    <t>Automotive Industry Analyst/ Consultant – German speaking (CN)</t>
  </si>
  <si>
    <t>https://www.pracuj.pl/praca/automotive-industry-analyst-consultant-german-speaking-cn-podkarpackie,oferta,8549899</t>
  </si>
  <si>
    <t>2260384</t>
  </si>
  <si>
    <t>30108687</t>
  </si>
  <si>
    <t>Consultant in the Life Sciences (CN)</t>
  </si>
  <si>
    <t>https://www.pracuj.pl/praca/consultant-in-the-life-sciences-cn-podkarpackie,oferta,8549914</t>
  </si>
  <si>
    <t>2260399</t>
  </si>
  <si>
    <t>30108702</t>
  </si>
  <si>
    <t>Consumer Goods Analyst/ Consultant - Digital Commerce (CN)</t>
  </si>
  <si>
    <t>Kierownik do spraw marketingu internetowego</t>
  </si>
  <si>
    <t>https://www.pracuj.pl/praca/consumer-goods-analyst-consultant-digital-commerce-cn-podkarpackie,oferta,8550504</t>
  </si>
  <si>
    <t>2260655</t>
  </si>
  <si>
    <t>30108958</t>
  </si>
  <si>
    <t>RPd057|122104</t>
  </si>
  <si>
    <t>Consumer Goods Analyst/Consultant - ERP/CRM/BI/Cloud Deployment (CN)</t>
  </si>
  <si>
    <t>https://www.pracuj.pl/praca/consumer-goods-analyst-consultant-erp-crm-bi-cloud-deployment-cn-podkarpackie,oferta,8549947</t>
  </si>
  <si>
    <t>2260430</t>
  </si>
  <si>
    <t>30108733</t>
  </si>
  <si>
    <t>Contact Center Consultant (CN)</t>
  </si>
  <si>
    <t>https://www.pracuj.pl/praca/contact-center-consultant-cn-podkarpackie,oferta,8549996</t>
  </si>
  <si>
    <t>2260476</t>
  </si>
  <si>
    <t>30108779</t>
  </si>
  <si>
    <t>Customer Experience Analyst/ Consultant (CN)</t>
  </si>
  <si>
    <t>https://www.pracuj.pl/praca/customer-experience-analyst-consultant-cn-podkarpackie,oferta,8549961</t>
  </si>
  <si>
    <t>2260443</t>
  </si>
  <si>
    <t>30108746</t>
  </si>
  <si>
    <t>Customer Sales and Services Consultant (CN)</t>
  </si>
  <si>
    <t>https://www.pracuj.pl/praca/customer-sales-and-services-consultant-cn-podkarpackie,oferta,8549982</t>
  </si>
  <si>
    <t>2260462</t>
  </si>
  <si>
    <t>30108765</t>
  </si>
  <si>
    <t>Speech Analytics Consultant (CN)</t>
  </si>
  <si>
    <t>Specjalista systemów rozpoznawania mowy</t>
  </si>
  <si>
    <t>https://www.pracuj.pl/praca/speech-analytics-consultant-cn-podkarpackie,oferta,8550013</t>
  </si>
  <si>
    <t>2260492</t>
  </si>
  <si>
    <t>30108795</t>
  </si>
  <si>
    <t>RPd057|251905</t>
  </si>
  <si>
    <t>Regular/Senior Front-end Developer</t>
  </si>
  <si>
    <t>https://www.pracuj.pl/praca/regular-senior-front-end-developer-podkarpackie,oferta,8551678</t>
  </si>
  <si>
    <t>2260959</t>
  </si>
  <si>
    <t>30109262</t>
  </si>
  <si>
    <t>Młodszy doradca ds. HR z językiem niemieckim</t>
  </si>
  <si>
    <t>https://www.pracuj.pl/praca/mlodszy-doradca-ds-hr-z-jezykiem-niemieckim-podkarpackie,oferta,8550468</t>
  </si>
  <si>
    <t>2260634</t>
  </si>
  <si>
    <t>30108937</t>
  </si>
  <si>
    <t>Pracownik biurowy ze znajomością języka niemieckiego</t>
  </si>
  <si>
    <t>https://www.pracuj.pl/praca/pracownik-biurowy-ze-znajomoscia-jezyka-niemieckiego-podkarpackie,oferta,8550477</t>
  </si>
  <si>
    <t>2260636</t>
  </si>
  <si>
    <t>30108939</t>
  </si>
  <si>
    <t>AESCULAP CHIFA SP. Z O.O.</t>
  </si>
  <si>
    <t>Technik Serwisu Urządzeń B.Braun</t>
  </si>
  <si>
    <t>Serwisant urządzeń medycznych</t>
  </si>
  <si>
    <t>https://www.pracuj.pl/praca/technik-serwisu-urzadzen-b-braun-podkarpackie,oferta,8550483</t>
  </si>
  <si>
    <t>2260640</t>
  </si>
  <si>
    <t>30108943</t>
  </si>
  <si>
    <t>RPd057|311907</t>
  </si>
  <si>
    <t>Air Liquide Polska Sp. z o.o.</t>
  </si>
  <si>
    <t>Projects Procurement Manager</t>
  </si>
  <si>
    <t>https://www.pracuj.pl/praca/projects-procurement-manager-subcarpathia,oferta,8551146</t>
  </si>
  <si>
    <t>2260796</t>
  </si>
  <si>
    <t>30109099</t>
  </si>
  <si>
    <t>Aleksander Mariański</t>
  </si>
  <si>
    <t>Lektor języka norweskiego</t>
  </si>
  <si>
    <t>https://www.pracuj.pl/praca/lektor-jezyka-norweskiego-podkarpackie,oferta,8553564</t>
  </si>
  <si>
    <t>2261598</t>
  </si>
  <si>
    <t>30109901</t>
  </si>
  <si>
    <t>Alerabat.com sp. z o.o.</t>
  </si>
  <si>
    <t>Head of product / Product manager</t>
  </si>
  <si>
    <t>https://www.pracuj.pl/praca/head-of-product-product-manager-podkarpackie,oferta,8550791</t>
  </si>
  <si>
    <t>2260715</t>
  </si>
  <si>
    <t>30109018</t>
  </si>
  <si>
    <t>Specjalista ds. Bezpieczeństwa IT</t>
  </si>
  <si>
    <t>https://www.pracuj.pl/praca/specjalista-ds-bezpieczenstwa-it-podkarpackie,oferta,8549610</t>
  </si>
  <si>
    <t>2260302</t>
  </si>
  <si>
    <t>30108605</t>
  </si>
  <si>
    <t>Alior Bank Spółka Akcyjna</t>
  </si>
  <si>
    <t>https://www.goldenline.pl/praca/oferta/1294274/zielonalinia0?utm_campaign=partner&amp;gpid=1003916&amp;utm_medium=export&amp;glc_source=zielonalinia0&amp;utm_source=zielonalinia0</t>
  </si>
  <si>
    <t>17.11.2021 03:30</t>
  </si>
  <si>
    <t>2260052</t>
  </si>
  <si>
    <t>30108275</t>
  </si>
  <si>
    <t>Bankier Klienta Biznesowego</t>
  </si>
  <si>
    <t>https://www.goldenline.pl/praca/oferta/1294246/zielonalinia0?utm_campaign=partner&amp;gpid=1003950&amp;utm_medium=export&amp;glc_source=zielonalinia0&amp;utm_source=zielonalinia0</t>
  </si>
  <si>
    <t>2259707</t>
  </si>
  <si>
    <t>30107930</t>
  </si>
  <si>
    <t>https://www.pracuj.pl/praca/net-developer-podkarpackie,oferta,8550298</t>
  </si>
  <si>
    <t>2260600</t>
  </si>
  <si>
    <t>30108903</t>
  </si>
  <si>
    <t>SAP EWM Consultant</t>
  </si>
  <si>
    <t>https://www.pracuj.pl/praca/sap-ewm-consultant-podkarpackie,oferta,8550254</t>
  </si>
  <si>
    <t>2260568</t>
  </si>
  <si>
    <t>30108871</t>
  </si>
  <si>
    <t>https://www.pracuj.pl/praca/sap-wm-consultant-podkarpackie,oferta,8550275</t>
  </si>
  <si>
    <t>2260584</t>
  </si>
  <si>
    <t>30108887</t>
  </si>
  <si>
    <t>Nexthink Service Coordinator</t>
  </si>
  <si>
    <t>https://www.pracuj.pl/praca/nexthink-service-coordinator-subcarpathia,oferta,8551815</t>
  </si>
  <si>
    <t>2260995</t>
  </si>
  <si>
    <t>30109298</t>
  </si>
  <si>
    <t>Avaus Marketing Innovations Poland Sp. z o.o.</t>
  </si>
  <si>
    <t>Salesforce Consultant (Bootcamp)</t>
  </si>
  <si>
    <t>https://www.pracuj.pl/praca/salesforce-consultant-bootcamp-subcarpathia,oferta,8552151</t>
  </si>
  <si>
    <t>2261104</t>
  </si>
  <si>
    <t>30109407</t>
  </si>
  <si>
    <t>AXXIOME HEALTH POLSKA SPÓŁKA Z OGRANICZONĄ ODPOWIEDZIALNOŚCIĄ</t>
  </si>
  <si>
    <t>https://www.pracuj.pl/praca/senior-android-developer-subcarpathia,oferta,8552409</t>
  </si>
  <si>
    <t>2261222</t>
  </si>
  <si>
    <t>30109525</t>
  </si>
  <si>
    <t>https://www.pracuj.pl/praca/senior-devops-engineer-subcarpathia,oferta,8552391</t>
  </si>
  <si>
    <t>2261206</t>
  </si>
  <si>
    <t>30109509</t>
  </si>
  <si>
    <t>2259614</t>
  </si>
  <si>
    <t>30107837</t>
  </si>
  <si>
    <t>2259598</t>
  </si>
  <si>
    <t>30107821</t>
  </si>
  <si>
    <t>Governance, Risk, Compliance Analyst</t>
  </si>
  <si>
    <t>Administrator bezpieczeństwa informacji (Inspektor ochrony danych)</t>
  </si>
  <si>
    <t>https://www.pracuj.pl/praca/governance-risk-compliance-analyst-podkarpackie,oferta,8550514</t>
  </si>
  <si>
    <t>2260665</t>
  </si>
  <si>
    <t>30108968</t>
  </si>
  <si>
    <t>RPd057|242111</t>
  </si>
  <si>
    <t>Junior JavaScript Developer (Billing)</t>
  </si>
  <si>
    <t>https://www.pracuj.pl/praca/junior-javascript-developer-billing-podkarpackie,oferta,8549432</t>
  </si>
  <si>
    <t>2260231</t>
  </si>
  <si>
    <t>30108534</t>
  </si>
  <si>
    <t>Python Developer (New Tech Team)</t>
  </si>
  <si>
    <t>https://www.pracuj.pl/praca/python-developer-new-tech-team-podkarpackie,oferta,8551651</t>
  </si>
  <si>
    <t>2260943</t>
  </si>
  <si>
    <t>30109246</t>
  </si>
  <si>
    <t>Python Developer (Performance &amp; Productivity Team)</t>
  </si>
  <si>
    <t>https://www.pracuj.pl/praca/python-developer-performance-productivity-team-podkarpackie,oferta,8551616</t>
  </si>
  <si>
    <t>2260911</t>
  </si>
  <si>
    <t>30109214</t>
  </si>
  <si>
    <t>Senior Python Developer (Booksy for Business)</t>
  </si>
  <si>
    <t>https://www.pracuj.pl/praca/senior-python-developer-booksy-for-business-podkarpackie,oferta,8551595</t>
  </si>
  <si>
    <t>2260895</t>
  </si>
  <si>
    <t>30109198</t>
  </si>
  <si>
    <t>Senior Python Developer (Performance &amp; Productivity Team)</t>
  </si>
  <si>
    <t>https://www.pracuj.pl/praca/senior-python-developer-performance-productivity-team-podkarpackie,oferta,8551632</t>
  </si>
  <si>
    <t>2260927</t>
  </si>
  <si>
    <t>30109230</t>
  </si>
  <si>
    <t>Inżynier Rozwoju w Obszarze Konstrukcji Opakowań</t>
  </si>
  <si>
    <t>https://www.pracuj.pl/praca/inzynier-rozwoju-w-obszarze-konstrukcji-opakowan-rzeszow,oferta,1001347147</t>
  </si>
  <si>
    <t>2262297</t>
  </si>
  <si>
    <t>30110600</t>
  </si>
  <si>
    <t>Specjalista ds. Logistyki Wewnętrznej - umowa na zastępstwo</t>
  </si>
  <si>
    <t>https://www.pracuj.pl/praca/specjalista-ds-logistyki-wewnetrznej-umowa-na-zastepstwo-glogow-malopolski,oferta,1001347215</t>
  </si>
  <si>
    <t>2262361</t>
  </si>
  <si>
    <t>30110664</t>
  </si>
  <si>
    <t>Specjalista ds. Ochrony Środowiska i BHP</t>
  </si>
  <si>
    <t>https://www.pracuj.pl/praca/specjalista-ds-ochrony-srodowiska-i-bhp-glogow-malopolski,oferta,1001347157</t>
  </si>
  <si>
    <t>2262307</t>
  </si>
  <si>
    <t>30110610</t>
  </si>
  <si>
    <t>Stażysta/ka w Sekcji Konstrukcji</t>
  </si>
  <si>
    <t>https://www.pracuj.pl/praca/stazysta-ka-w-sekcji-konstrukcji-glogow-malopolski,oferta,1001347239</t>
  </si>
  <si>
    <t>2262383</t>
  </si>
  <si>
    <t>30110686</t>
  </si>
  <si>
    <t>https://www.pracuj.pl/praca/pracownik-do-obslugi-sprzedazy-zagranicznej-rzeszow,oferta,1001348847</t>
  </si>
  <si>
    <t>2263789</t>
  </si>
  <si>
    <t>30112092</t>
  </si>
  <si>
    <t>Pracownik do obsługi sprzedaży zagranicznej na Ukrainę</t>
  </si>
  <si>
    <t>https://www.pracuj.pl/praca/pracownik-do-obslugi-sprzedazy-zagranicznej-na-ukraine-rzeszow,oferta,1001346514</t>
  </si>
  <si>
    <t>2261711</t>
  </si>
  <si>
    <t>30110014</t>
  </si>
  <si>
    <t>CLAWROCK SPÓŁKA Z OGRANICZONĄ ODPOWIEDZIALNOŚCIĄ SPÓŁKA KOMANDYTOWA</t>
  </si>
  <si>
    <t>https://www.pracuj.pl/praca/php-developer-podkarpackie,oferta,8552531</t>
  </si>
  <si>
    <t>2261280</t>
  </si>
  <si>
    <t>30109583</t>
  </si>
  <si>
    <t>Key Account Manager - Przedstawiciel Handlowy (Branża opakowań / tworzyw sztucznych i poligrafii)</t>
  </si>
  <si>
    <t>https://www.pracuj.pl/praca/key-account-manager-przedstawiciel-handlowy-branza-opakowan-tworzyw-sztucznych-i-podkarpackie,oferta,8550367</t>
  </si>
  <si>
    <t>2260617</t>
  </si>
  <si>
    <t>30108920</t>
  </si>
  <si>
    <t>Inżynier Procesu - Montaż</t>
  </si>
  <si>
    <t>https://www.pracuj.pl/praca/inzynier-procesu-montaz-krosno,oferta,1001348825</t>
  </si>
  <si>
    <t>2263768</t>
  </si>
  <si>
    <t>30112071</t>
  </si>
  <si>
    <t>https://www.pracuj.pl/praca/operator-obrabiarek-osn-tajecina-pow-rzeszowski,oferta,1001347662</t>
  </si>
  <si>
    <t>2262709</t>
  </si>
  <si>
    <t>30111012</t>
  </si>
  <si>
    <t>Specjalista ds. Magazynowych</t>
  </si>
  <si>
    <t>https://www.pracuj.pl/praca/specjalista-ds-magazynowych-krosno,oferta,1001348814</t>
  </si>
  <si>
    <t>2263758</t>
  </si>
  <si>
    <t>30112061</t>
  </si>
  <si>
    <t>Specjalista ds. Planowania Długoterminowego</t>
  </si>
  <si>
    <t>https://www.pracuj.pl/praca/specjalista-ds-planowania-dlugoterminowego-tajecina-pow-rzeszowski,oferta,1001349582</t>
  </si>
  <si>
    <t>2264441</t>
  </si>
  <si>
    <t>30112744</t>
  </si>
  <si>
    <t>https://www.pracuj.pl/praca/specjalista-ds-planowania-produkcji-tajecina-pow-rzeszowski,oferta,1001349571</t>
  </si>
  <si>
    <t>2264433</t>
  </si>
  <si>
    <t>30112736</t>
  </si>
  <si>
    <t>Starszy Mistrz - Montaż</t>
  </si>
  <si>
    <t>https://www.pracuj.pl/praca/starszy-mistrz-montaz-tajecina-pow-rzeszowski,oferta,1001348818</t>
  </si>
  <si>
    <t>2263761</t>
  </si>
  <si>
    <t>30112064</t>
  </si>
  <si>
    <t>Starszy Mistrz - Procesy Specjalne</t>
  </si>
  <si>
    <t>Mistrz produkcji w przemyśle metalurgicznym</t>
  </si>
  <si>
    <t>https://www.pracuj.pl/praca/starszy-mistrz-procesy-specjalne-krosno,oferta,1001348808</t>
  </si>
  <si>
    <t>2263752</t>
  </si>
  <si>
    <t>30112055</t>
  </si>
  <si>
    <t>RPd057|312206</t>
  </si>
  <si>
    <t>https://www.pracuj.pl/praca/tester-oprogramowania-podkarpackie,oferta,8549592</t>
  </si>
  <si>
    <t>2260288</t>
  </si>
  <si>
    <t>30108591</t>
  </si>
  <si>
    <t>Danwood S.A.</t>
  </si>
  <si>
    <t>Stolarz Budowlany</t>
  </si>
  <si>
    <t>https://www.praca.pl/stolarz-budowlany_5943435.html</t>
  </si>
  <si>
    <t>17.11.2021 04:37</t>
  </si>
  <si>
    <t>13.11.2021</t>
  </si>
  <si>
    <t>2259291</t>
  </si>
  <si>
    <t>29390182</t>
  </si>
  <si>
    <t>Financial Crime Analyst</t>
  </si>
  <si>
    <t>https://www.pracuj.pl/praca/financial-crime-analyst-podkarpackie,oferta,8549804</t>
  </si>
  <si>
    <t>2260365</t>
  </si>
  <si>
    <t>30108668</t>
  </si>
  <si>
    <t>https://www.pracuj.pl/praca/graphic-designer-rzeszow,oferta,1001346881</t>
  </si>
  <si>
    <t>2262063</t>
  </si>
  <si>
    <t>30110366</t>
  </si>
  <si>
    <t>Junior Graphic Designer</t>
  </si>
  <si>
    <t>https://www.pracuj.pl/praca/junior-graphic-designer-rzeszow,oferta,1001346877</t>
  </si>
  <si>
    <t>2262059</t>
  </si>
  <si>
    <t>30110362</t>
  </si>
  <si>
    <t>Devire</t>
  </si>
  <si>
    <t>Finance and Accounting Specialist (Project Accounting)</t>
  </si>
  <si>
    <t>https://www.pracuj.pl/praca/finance-and-accounting-specialist-project-accounting-rzeszow,oferta,1001347961</t>
  </si>
  <si>
    <t>2262982</t>
  </si>
  <si>
    <t>30111285</t>
  </si>
  <si>
    <t>https://www.pracuj.pl/praca/magister-farmacji-debica,oferta,1001346752</t>
  </si>
  <si>
    <t>2261939</t>
  </si>
  <si>
    <t>30110242</t>
  </si>
  <si>
    <t>https://www.pracuj.pl/praca/magister-farmacji-lubaczow,oferta,1001346772</t>
  </si>
  <si>
    <t>2261959</t>
  </si>
  <si>
    <t>30110262</t>
  </si>
  <si>
    <t>https://www.pracuj.pl/praca/magister-farmacji-mielec,oferta,1001346776</t>
  </si>
  <si>
    <t>2261963</t>
  </si>
  <si>
    <t>30110266</t>
  </si>
  <si>
    <t>https://www.pracuj.pl/praca/magister-farmacji-przemysl,oferta,1001346784</t>
  </si>
  <si>
    <t>2261971</t>
  </si>
  <si>
    <t>30110274</t>
  </si>
  <si>
    <t>https://www.pracuj.pl/praca/magister-farmacji-ropczyce,oferta,1001346785</t>
  </si>
  <si>
    <t>2261972</t>
  </si>
  <si>
    <t>30110275</t>
  </si>
  <si>
    <t>https://www.pracuj.pl/praca/magister-farmacji-rzeszow,oferta,1001346786</t>
  </si>
  <si>
    <t>2261973</t>
  </si>
  <si>
    <t>30110276</t>
  </si>
  <si>
    <t>https://www.pracuj.pl/praca/nauczyciel-jezyka-angielskiego-rzeszow,oferta,8551341</t>
  </si>
  <si>
    <t>2260867</t>
  </si>
  <si>
    <t>30109170</t>
  </si>
  <si>
    <t>Kosztorysant branży elektrycznej</t>
  </si>
  <si>
    <t>https://www.pracuj.pl/praca/kosztorysant-branzy-elektrycznej-rzeszow,oferta,1001349008</t>
  </si>
  <si>
    <t>17.11.2021 06:31</t>
  </si>
  <si>
    <t>2263937</t>
  </si>
  <si>
    <t>30112240</t>
  </si>
  <si>
    <t>Experis</t>
  </si>
  <si>
    <t>Młodszy specjalista ds. IT</t>
  </si>
  <si>
    <t>https://www.pracuj.pl/praca/mlodszy-specjalista-ds-it-podkarpackie,oferta,8549274</t>
  </si>
  <si>
    <t>2260177</t>
  </si>
  <si>
    <t>30108480</t>
  </si>
  <si>
    <t>FG Energy Sp. z o. o.</t>
  </si>
  <si>
    <t>Kierownik Oddziału (Kierownik Biura)</t>
  </si>
  <si>
    <t>https://www.pracuj.pl/praca/kierownik-oddzialu-kierownik-biura-podkarpackie,oferta,8549451</t>
  </si>
  <si>
    <t>2260246</t>
  </si>
  <si>
    <t>30108549</t>
  </si>
  <si>
    <t>https://www.pracuj.pl/praca/kierownik-oddzialu-kierownik-biura-podkarpackie,oferta,8549476</t>
  </si>
  <si>
    <t>2260264</t>
  </si>
  <si>
    <t>30108567</t>
  </si>
  <si>
    <t>Fluentbe Sp. z o.o.</t>
  </si>
  <si>
    <t>PHP Backend Developer</t>
  </si>
  <si>
    <t>https://www.pracuj.pl/praca/php-backend-developer-rzeszow,oferta,1001348474</t>
  </si>
  <si>
    <t>2263446</t>
  </si>
  <si>
    <t>30111749</t>
  </si>
  <si>
    <t>Free Press for Eastern Europe</t>
  </si>
  <si>
    <t>Country Coordinator to support local capacities of independent news gathering on medical issues</t>
  </si>
  <si>
    <t>https://www.pracuj.pl/praca/country-coordinator-to-support-local-capacities-of-independent-news-gathering-on-subcarpathia,oferta,8553166</t>
  </si>
  <si>
    <t>2261458</t>
  </si>
  <si>
    <t>30109761</t>
  </si>
  <si>
    <t>C Senior Software Developer</t>
  </si>
  <si>
    <t>https://www.praca.pl/c-senior-software-developer_5948847.html</t>
  </si>
  <si>
    <t>17.11.2021 03:05</t>
  </si>
  <si>
    <t>04.12.2021</t>
  </si>
  <si>
    <t>2259343</t>
  </si>
  <si>
    <t>29444839</t>
  </si>
  <si>
    <t>DevOps Engineer (AI project)</t>
  </si>
  <si>
    <t>https://www.pracuj.pl/praca/devops-engineer-ai-project-subcarpathia,oferta,8553411</t>
  </si>
  <si>
    <t>2261542</t>
  </si>
  <si>
    <t>30109845</t>
  </si>
  <si>
    <t>Junior ServiceNow Application Developer</t>
  </si>
  <si>
    <t>https://www.pracuj.pl/praca/junior-servicenow-application-developer-subcarpathia,oferta,8550586</t>
  </si>
  <si>
    <t>2260686</t>
  </si>
  <si>
    <t>30108989</t>
  </si>
  <si>
    <t>Lead Java Developer (AI project)</t>
  </si>
  <si>
    <t>https://www.pracuj.pl/praca/lead-java-developer-ai-project-subcarpathia,oferta,8553033</t>
  </si>
  <si>
    <t>2261417</t>
  </si>
  <si>
    <t>30109720</t>
  </si>
  <si>
    <t>Python Software Developer</t>
  </si>
  <si>
    <t>https://www.pracuj.pl/praca/python-software-developer-subcarpathia,oferta,8552723</t>
  </si>
  <si>
    <t>2261356</t>
  </si>
  <si>
    <t>30109659</t>
  </si>
  <si>
    <t>Service Process Analyst mit Deutsch - Change Management</t>
  </si>
  <si>
    <t>https://www.pracuj.pl/praca/service-process-analyst-mit-deutsch-change-management-subcarpathia,oferta,8551835</t>
  </si>
  <si>
    <t>2261011</t>
  </si>
  <si>
    <t>30109314</t>
  </si>
  <si>
    <t>Service Process Manager - Change Management</t>
  </si>
  <si>
    <t>https://www.pracuj.pl/praca/service-process-manager-change-management-subcarpathia,oferta,8551888</t>
  </si>
  <si>
    <t>2261037</t>
  </si>
  <si>
    <t>30109340</t>
  </si>
  <si>
    <t>SIEM &amp; Vulnerability Management Architect</t>
  </si>
  <si>
    <t>https://www.pracuj.pl/praca/siem-vulnerability-management-architect-subcarpathia,oferta,8550605</t>
  </si>
  <si>
    <t>2260702</t>
  </si>
  <si>
    <t>30109005</t>
  </si>
  <si>
    <t>HIPOKRATES</t>
  </si>
  <si>
    <t>https://www.pracuj.pl/praca/przedstawiciel-medyczny-podkarpackie,oferta,8549354</t>
  </si>
  <si>
    <t>2260214</t>
  </si>
  <si>
    <t>30108517</t>
  </si>
  <si>
    <t>HR Design Group</t>
  </si>
  <si>
    <t>https://www.pracuj.pl/praca/project-manager-podkarpackie,oferta,8549315</t>
  </si>
  <si>
    <t>2260187</t>
  </si>
  <si>
    <t>30108490</t>
  </si>
  <si>
    <t>Export Manager FMCG (Non-food)</t>
  </si>
  <si>
    <t>https://www.pracuj.pl/praca/export-manager-fmcg-non-food-podkarpackie,oferta,8553298</t>
  </si>
  <si>
    <t>14.12.2021</t>
  </si>
  <si>
    <t>2261507</t>
  </si>
  <si>
    <t>30109810</t>
  </si>
  <si>
    <t>Iglotech Sp. z o.o</t>
  </si>
  <si>
    <t>https://www.pracuj.pl/praca/mlodszy-specjalista-ds-sprzedazy-rzeszow,oferta,1001349433</t>
  </si>
  <si>
    <t>2264326</t>
  </si>
  <si>
    <t>30112629</t>
  </si>
  <si>
    <t>Sprzedawca - magazynier</t>
  </si>
  <si>
    <t>https://www.pracuj.pl/praca/sprzedawca-magazynier-rzeszow,oferta,1001349439</t>
  </si>
  <si>
    <t>2264332</t>
  </si>
  <si>
    <t>30112635</t>
  </si>
  <si>
    <t>DevOps Continuous Delivery</t>
  </si>
  <si>
    <t>https://www.pracuj.pl/praca/devops-continuous-delivery-podkarpackie,oferta,8550234</t>
  </si>
  <si>
    <t>2260552</t>
  </si>
  <si>
    <t>30108855</t>
  </si>
  <si>
    <t>https://www.pracuj.pl/praca/specjalista-it-aplikacja-aldon-lmi-podkarpackie,oferta,8550214</t>
  </si>
  <si>
    <t>2260537</t>
  </si>
  <si>
    <t>30108840</t>
  </si>
  <si>
    <t>https://www.pracuj.pl/praca/wlasciciel-multiagencji-ubezpieczeniowej-debica,oferta,8549631</t>
  </si>
  <si>
    <t>2260323</t>
  </si>
  <si>
    <t>30108626</t>
  </si>
  <si>
    <t>iPOS SA</t>
  </si>
  <si>
    <t>Starszy tester oprogramowania</t>
  </si>
  <si>
    <t>https://www.pracuj.pl/praca/starszy-tester-oprogramowania-podkarpackie,oferta,8550183</t>
  </si>
  <si>
    <t>2260519</t>
  </si>
  <si>
    <t>30108822</t>
  </si>
  <si>
    <t>Kennametal</t>
  </si>
  <si>
    <t>Project Manager – Metal cutting</t>
  </si>
  <si>
    <t>https://www.praca.pl/project-manager-metal-cutting_6019821.html</t>
  </si>
  <si>
    <t>2259418</t>
  </si>
  <si>
    <t>30062965</t>
  </si>
  <si>
    <t>Kronospan Polska</t>
  </si>
  <si>
    <t>Purchasing Specialist (chamical raw materials)</t>
  </si>
  <si>
    <t>https://www.pracuj.pl/praca/purchasing-specialist-chamical-raw-materials-mielec,oferta,1001348203</t>
  </si>
  <si>
    <t>2263192</t>
  </si>
  <si>
    <t>30111495</t>
  </si>
  <si>
    <t>https://www.pracuj.pl/praca/purchasing-specialist-chamical-raw-materials-pustkow-osiedle-pow-debicki,oferta,1001348204</t>
  </si>
  <si>
    <t>2263193</t>
  </si>
  <si>
    <t>30111496</t>
  </si>
  <si>
    <t>LARSSON NOBEL sp. z o.o.</t>
  </si>
  <si>
    <t>Kierownik ds. Sprzedaży - Fotowoltaika i pompy ciepła</t>
  </si>
  <si>
    <t>https://www.pracuj.pl/praca/kierownik-ds-sprzedazy-fotowoltaika-i-pompy-ciepla-podkarpackie,oferta,8552573</t>
  </si>
  <si>
    <t>2261300</t>
  </si>
  <si>
    <t>30109603</t>
  </si>
  <si>
    <t>https://www.pracuj.pl/praca/pracownik-sklepu-etat-87h-lub-130h-glogow-malopolski,oferta,1001347772</t>
  </si>
  <si>
    <t>2262819</t>
  </si>
  <si>
    <t>30111122</t>
  </si>
  <si>
    <t>Pracownik Sklepu - pełen etat</t>
  </si>
  <si>
    <t>https://www.pracuj.pl/praca/pracownik-sklepu-pelen-etat-glogow-malopolski,oferta,1001347707</t>
  </si>
  <si>
    <t>2262754</t>
  </si>
  <si>
    <t>30111057</t>
  </si>
  <si>
    <t>L.M. GROUP POLAND</t>
  </si>
  <si>
    <t>Młodszy Specjalista ds. administracji międzynarodowej - j. francuski</t>
  </si>
  <si>
    <t>https://www.pracuj.pl/praca/mlodszy-specjalista-ds-administracji-miedzynarodowej-j-francuski-podkarpackie,oferta,8552350</t>
  </si>
  <si>
    <t>2261175</t>
  </si>
  <si>
    <t>30109478</t>
  </si>
  <si>
    <t>Młodszy Specjalista ds. administracji międzynarodowej – j. niemiecki</t>
  </si>
  <si>
    <t>https://www.pracuj.pl/praca/mlodszy-specjalista-ds-administracji-miedzynarodowej-j-niemiecki-podkarpackie,oferta,8552367</t>
  </si>
  <si>
    <t>2261191</t>
  </si>
  <si>
    <t>30109494</t>
  </si>
  <si>
    <t>https://www.pracuj.pl/praca/operator-cnc-mielec,oferta,1001349591</t>
  </si>
  <si>
    <t>2264449</t>
  </si>
  <si>
    <t>30112752</t>
  </si>
  <si>
    <t>MAHLE Shared Services Poland Sp. z o.o.</t>
  </si>
  <si>
    <t>Expert Organizational Development</t>
  </si>
  <si>
    <t>https://www.pracuj.pl/praca/expert-organizational-development-subcarpathia,oferta,8552268</t>
  </si>
  <si>
    <t>2261139</t>
  </si>
  <si>
    <t>30109442</t>
  </si>
  <si>
    <t>MAJSTER BUDOWLANE ABC sp. z o.o.</t>
  </si>
  <si>
    <t>https://www.pracuj.pl/praca/dyrektor-finansowy-podkarpackie,oferta,8549693</t>
  </si>
  <si>
    <t>2260336</t>
  </si>
  <si>
    <t>30108639</t>
  </si>
  <si>
    <t>Medifar Sp. z o.o</t>
  </si>
  <si>
    <t>Przedstawiciel Farmaceutyczno - Handlowy</t>
  </si>
  <si>
    <t>https://www.pracuj.pl/praca/przedstawiciel-farmaceutyczno-handlowy-podkarpackie,oferta,8551922</t>
  </si>
  <si>
    <t>2261053</t>
  </si>
  <si>
    <t>30109356</t>
  </si>
  <si>
    <t>Multimedia Polska S.A.</t>
  </si>
  <si>
    <t>Konsultant Infolinii Przychodzącej</t>
  </si>
  <si>
    <t>https://www.praca.pl/konsultant-infolinii-przychodzacej_5975109.html</t>
  </si>
  <si>
    <t>2259364</t>
  </si>
  <si>
    <t>29651583</t>
  </si>
  <si>
    <t>National Westminster Bank plc</t>
  </si>
  <si>
    <t>Customer Service &amp; Operations Analyst - Anti Money Laundering</t>
  </si>
  <si>
    <t>Pozostali analitycy finansowi</t>
  </si>
  <si>
    <t>https://www.pracuj.pl/praca/customer-service-operations-analyst-anti-money-laundering-subcarpathia,oferta,8552440</t>
  </si>
  <si>
    <t>2261242</t>
  </si>
  <si>
    <t>30109545</t>
  </si>
  <si>
    <t>RPd057|241390</t>
  </si>
  <si>
    <t>NEWMAX Nowak i Wspólnicy spółka komandytowa</t>
  </si>
  <si>
    <t>Junior Brand Manager</t>
  </si>
  <si>
    <t>https://www.pracuj.pl/praca/junior-brand-manager-podkarpackie,oferta,8553473</t>
  </si>
  <si>
    <t>2261574</t>
  </si>
  <si>
    <t>30109877</t>
  </si>
  <si>
    <t>5G Senior Software Test Engineer</t>
  </si>
  <si>
    <t>https://www.pracuj.pl/praca/5g-senior-software-test-engineer-subcarpathia,oferta,8552106</t>
  </si>
  <si>
    <t>2261078</t>
  </si>
  <si>
    <t>30109381</t>
  </si>
  <si>
    <t>https://www.pracuj.pl/praca/scrum-master-subcarpathia,oferta,8473866</t>
  </si>
  <si>
    <t>17.11.2021 04:20</t>
  </si>
  <si>
    <t>16.10.2021</t>
  </si>
  <si>
    <t>14.11.2021</t>
  </si>
  <si>
    <t>2259211</t>
  </si>
  <si>
    <t>28536237</t>
  </si>
  <si>
    <t>Technical Manager (Chief DevOps Engineer)</t>
  </si>
  <si>
    <t>https://www.pracuj.pl/praca/technical-manager-chief-devops-engineer-subcarpathia,oferta,8473889</t>
  </si>
  <si>
    <t>2259197</t>
  </si>
  <si>
    <t>28536222</t>
  </si>
  <si>
    <t>NRG Plus sp. z o.o.</t>
  </si>
  <si>
    <t>Specjalista ds. pozyskiwania nieruchomości - OZE</t>
  </si>
  <si>
    <t>https://www.pracuj.pl/praca/specjalista-ds-pozyskiwania-nieruchomosci-oze-podkarpackie,oferta,8549326</t>
  </si>
  <si>
    <t>2260197</t>
  </si>
  <si>
    <t>30108500</t>
  </si>
  <si>
    <t>Inżynier procesu (regeneracja form)</t>
  </si>
  <si>
    <t>https://www.pracuj.pl/praca/inzynier-procesu-regeneracja-form-jaroslaw,oferta,1001347994</t>
  </si>
  <si>
    <t>2262997</t>
  </si>
  <si>
    <t>30111300</t>
  </si>
  <si>
    <t>Lider Pracujący - Brygadzista</t>
  </si>
  <si>
    <t>https://www.pracuj.pl/praca/lider-pracujacy-brygadzista-jaroslaw,oferta,1001347966</t>
  </si>
  <si>
    <t>2262987</t>
  </si>
  <si>
    <t>30111290</t>
  </si>
  <si>
    <t>Program Rozwoju Inżynierów</t>
  </si>
  <si>
    <t>https://www.pracuj.pl/praca/program-rozwoju-inzynierow-jaroslaw,oferta,1001347972</t>
  </si>
  <si>
    <t>2262993</t>
  </si>
  <si>
    <t>30111296</t>
  </si>
  <si>
    <t>PAUL HARTMANN Polska Sp. z o.o.</t>
  </si>
  <si>
    <t>Przedstawiciel Regionalny (Incontinence Outpatient)</t>
  </si>
  <si>
    <t>https://www.pracuj.pl/praca/przedstawiciel-regionalny-incontinence-outpatient-podkarpackie,oferta,8552915</t>
  </si>
  <si>
    <t>2261377</t>
  </si>
  <si>
    <t>30109680</t>
  </si>
  <si>
    <t>PerkinElmer Shared Services sp. z o.o.</t>
  </si>
  <si>
    <t>Credit Management Analyst, US</t>
  </si>
  <si>
    <t>Nauczyciel akademicki - nauki ekonomiczne</t>
  </si>
  <si>
    <t>https://www.pracuj.pl/praca/credit-management-analyst-us-subcarpathia,oferta,8550907</t>
  </si>
  <si>
    <t>2260772</t>
  </si>
  <si>
    <t>30109075</t>
  </si>
  <si>
    <t>RPd057|231003</t>
  </si>
  <si>
    <t>Perrigo Poland sp. z o.o.</t>
  </si>
  <si>
    <t>https://www.pracuj.pl/praca/przedstawiciel-farmaceutyczny-podkarpackie,oferta,8549498</t>
  </si>
  <si>
    <t>2260275</t>
  </si>
  <si>
    <t>30108578</t>
  </si>
  <si>
    <t>PGEOZE PV SPÓŁKA Z OGRANICZONĄ ODPOWIEDZIALNOŚCIĄ</t>
  </si>
  <si>
    <t>Konsultant telefoniczny – Branża OZE</t>
  </si>
  <si>
    <t>https://www.pracuj.pl/praca/konsultant-telefoniczny-branza-oze-podkarpackie,oferta,8552182</t>
  </si>
  <si>
    <t>2261116</t>
  </si>
  <si>
    <t>30109419</t>
  </si>
  <si>
    <t>https://www.pracuj.pl/praca/frontend-developer-rzeszow,oferta,1001347284</t>
  </si>
  <si>
    <t>2262418</t>
  </si>
  <si>
    <t>30110721</t>
  </si>
  <si>
    <t>https://www.praca.pl/starszy-specjalista_6016935.html</t>
  </si>
  <si>
    <t>2259506</t>
  </si>
  <si>
    <t>30063435</t>
  </si>
  <si>
    <t>POLSKIE CENTRA DIETETYCZNE SPÓŁKA Z OGRANICZONĄ ODPOWIEDZIALNOŚCIĄ</t>
  </si>
  <si>
    <t>https://www.pracuj.pl/praca/dietetyk-mielec,oferta,1001349290</t>
  </si>
  <si>
    <t>2264194</t>
  </si>
  <si>
    <t>30112497</t>
  </si>
  <si>
    <t>https://www.pracuj.pl/praca/dietetyk-krosno,oferta,1001349291</t>
  </si>
  <si>
    <t>2264195</t>
  </si>
  <si>
    <t>30112498</t>
  </si>
  <si>
    <t>Polskie Centrum Doradztwa Energetycznego</t>
  </si>
  <si>
    <t>https://www.pracuj.pl/praca/regionalny-manager-sprzedazy-podkarpackie,oferta,8552629</t>
  </si>
  <si>
    <t>2261317</t>
  </si>
  <si>
    <t>30109620</t>
  </si>
  <si>
    <t>Polskie Zakłady Lotnicze - A Lockheed Martin Company</t>
  </si>
  <si>
    <t>https://www.pracuj.pl/praca/analityk-finansowy-mielec,oferta,1001348758</t>
  </si>
  <si>
    <t>2263706</t>
  </si>
  <si>
    <t>30112009</t>
  </si>
  <si>
    <t>Pomorskie Przedsiębiorstwo Mechaniczno-Torowe Sp. z o.o.</t>
  </si>
  <si>
    <t>https://www.pracuj.pl/praca/inzynier-robot-mostowych-podkarpackie,oferta,8552319</t>
  </si>
  <si>
    <t>2261155</t>
  </si>
  <si>
    <t>30109458</t>
  </si>
  <si>
    <t>Procam Polska Sp. z o.o.</t>
  </si>
  <si>
    <t>Specjalista ds. Uprawy Ziemniaka</t>
  </si>
  <si>
    <t>Rolnik upraw polowych</t>
  </si>
  <si>
    <t>https://www.pracuj.pl/praca/specjalista-ds-uprawy-ziemniaka-podkarpackie,oferta,8553434</t>
  </si>
  <si>
    <t>2261561</t>
  </si>
  <si>
    <t>30109864</t>
  </si>
  <si>
    <t>RPd057|611104</t>
  </si>
  <si>
    <t>Pro-expert Łukasz Górski Spółka Komandytowa</t>
  </si>
  <si>
    <t>Doradca Klienta – VOX. Salon Drzwi i Podłóg</t>
  </si>
  <si>
    <t>https://www.pracuj.pl/praca/doradca-klienta-vox-salon-drzwi-i-podlog-rzeszow,oferta,1001349384</t>
  </si>
  <si>
    <t>2264285</t>
  </si>
  <si>
    <t>30112588</t>
  </si>
  <si>
    <t>https://www.pracuj.pl/praca/przedstawiciel-handlowy-podkarpackie,oferta,8553151</t>
  </si>
  <si>
    <t>2261447</t>
  </si>
  <si>
    <t>30109750</t>
  </si>
  <si>
    <t>ProPoint S.A.</t>
  </si>
  <si>
    <t>Lider elektryków / Kierownik Sekcji</t>
  </si>
  <si>
    <t>Polska, podkarpackie, Rzeszów, Przemyśl, Stalowa Wola, Tarnobrzeg, Mielec</t>
  </si>
  <si>
    <t>https://www.praca.pl/lider-elektrykow-kierownik-sekcji_5970903.html</t>
  </si>
  <si>
    <t>2259367</t>
  </si>
  <si>
    <t>29652324</t>
  </si>
  <si>
    <t>1862,1863,1818,1864,1811</t>
  </si>
  <si>
    <t>5</t>
  </si>
  <si>
    <t>2259986</t>
  </si>
  <si>
    <t>30108209</t>
  </si>
  <si>
    <t>2260003</t>
  </si>
  <si>
    <t>30108226</t>
  </si>
  <si>
    <t>ROMET SP. Z O.O.</t>
  </si>
  <si>
    <t>Monter rowerowy</t>
  </si>
  <si>
    <t>https://www.pracuj.pl/praca/monter-rowerowy-podgrodzie-pow-debicki,oferta,1001348089</t>
  </si>
  <si>
    <t>2263080</t>
  </si>
  <si>
    <t>30111383</t>
  </si>
  <si>
    <t>https://www.pracuj.pl/praca/spedytor-miedzynarodowy-podgrodzie-pow-debicki,oferta,1001349301</t>
  </si>
  <si>
    <t>2264205</t>
  </si>
  <si>
    <t>30112508</t>
  </si>
  <si>
    <t>Backend Developer</t>
  </si>
  <si>
    <t>https://www.pracuj.pl/praca/backend-developer-podkarpackie,oferta,8550819</t>
  </si>
  <si>
    <t>2260738</t>
  </si>
  <si>
    <t>30109041</t>
  </si>
  <si>
    <t>Development Engineer</t>
  </si>
  <si>
    <t>https://www.pracuj.pl/praca/development-engineer-sedziszow-malopolski,oferta,1001347817</t>
  </si>
  <si>
    <t>2262863</t>
  </si>
  <si>
    <t>30111166</t>
  </si>
  <si>
    <t>Planista produkcji</t>
  </si>
  <si>
    <t>https://www.pracuj.pl/praca/planista-produkcji-sedziszow-malopolski,oferta,1001347838</t>
  </si>
  <si>
    <t>2262884</t>
  </si>
  <si>
    <t>30111187</t>
  </si>
  <si>
    <t>Specjalista ds. Należności z j. niemieckim i angielskim</t>
  </si>
  <si>
    <t>https://www.pracuj.pl/praca/specjalista-ds-naleznosci-z-j-niemieckim-i-angielskim-podkarpackie,oferta,8553217</t>
  </si>
  <si>
    <t>2261490</t>
  </si>
  <si>
    <t>30109793</t>
  </si>
  <si>
    <t>Java Developer - AWS/Azure</t>
  </si>
  <si>
    <t>https://www.pracuj.pl/praca/java-developer-aws-azure-rzeszow,oferta,1001347090</t>
  </si>
  <si>
    <t>2262241</t>
  </si>
  <si>
    <t>30110544</t>
  </si>
  <si>
    <t>Monter Elektryczny</t>
  </si>
  <si>
    <t>https://www.pracuj.pl/praca/monter-elektryczny-rzeszow,oferta,1001347596</t>
  </si>
  <si>
    <t>2262649</t>
  </si>
  <si>
    <t>30110952</t>
  </si>
  <si>
    <t>MS Azure Administrator</t>
  </si>
  <si>
    <t>https://www.pracuj.pl/praca/ms-azure-administrator-rzeszow,oferta,1001347607</t>
  </si>
  <si>
    <t>2262660</t>
  </si>
  <si>
    <t>30110963</t>
  </si>
  <si>
    <t>https://www.pracuj.pl/praca/servicenow-developer-rzeszow,oferta,1001347618</t>
  </si>
  <si>
    <t>2262671</t>
  </si>
  <si>
    <t>30110974</t>
  </si>
  <si>
    <t>Database Developer</t>
  </si>
  <si>
    <t>https://www.pracuj.pl/praca/database-developer-podkarpackie,oferta,8551771</t>
  </si>
  <si>
    <t>2260976</t>
  </si>
  <si>
    <t>30109279</t>
  </si>
  <si>
    <t>GCP Data Engineer</t>
  </si>
  <si>
    <t>https://www.pracuj.pl/praca/gcp-data-engineer-podkarpackie,oferta,8550841</t>
  </si>
  <si>
    <t>2260755</t>
  </si>
  <si>
    <t>30109058</t>
  </si>
  <si>
    <t>SKOK im. Z. Chmielewskiego</t>
  </si>
  <si>
    <t>Specjalista ds sprzedaży produktów finansowych - kasjer</t>
  </si>
  <si>
    <t>https://www.pracuj.pl/praca/specjalista-ds-sprzedazy-produktow-finansowych-kasjer-brzozow,oferta,1001347240</t>
  </si>
  <si>
    <t>2262384</t>
  </si>
  <si>
    <t>30110687</t>
  </si>
  <si>
    <t>https://www.pracuj.pl/praca/specjalista-ds-sprzedazy-produktow-finansowych-kasjer-jaslo,oferta,1001347242</t>
  </si>
  <si>
    <t>2262386</t>
  </si>
  <si>
    <t>30110689</t>
  </si>
  <si>
    <t>SM-PROJECT sp. z o.o.</t>
  </si>
  <si>
    <t>https://www.pracuj.pl/praca/przedstawiciel-handlowy-w-branzy-oze-podkarpackie,oferta,8553130</t>
  </si>
  <si>
    <t>2261427</t>
  </si>
  <si>
    <t>30109730</t>
  </si>
  <si>
    <t>Specjalista branży grzewczej - pompy ciepła</t>
  </si>
  <si>
    <t>https://www.pracuj.pl/praca/specjalista-branzy-grzewczej-pompy-ciepla-podkarpackie,oferta,8553136</t>
  </si>
  <si>
    <t>2261432</t>
  </si>
  <si>
    <t>30109735</t>
  </si>
  <si>
    <t>Bussines Development Manager</t>
  </si>
  <si>
    <t>https://www.pracuj.pl/praca/bussines-development-manager-jasionka-pow-rzeszowski,oferta,1001348274</t>
  </si>
  <si>
    <t>2263256</t>
  </si>
  <si>
    <t>30111559</t>
  </si>
  <si>
    <t>2260022</t>
  </si>
  <si>
    <t>30108245</t>
  </si>
  <si>
    <t>2260156</t>
  </si>
  <si>
    <t>30108379</t>
  </si>
  <si>
    <t>Suntrans Sp. z o. o. Spółka komandytowa</t>
  </si>
  <si>
    <t>Elektryk - Elektromonter instalacji fotowoltaicznych</t>
  </si>
  <si>
    <t>https://www.pracuj.pl/praca/elektryk-elektromonter-instalacji-fotowoltaicznych-podkarpackie,oferta,8549231</t>
  </si>
  <si>
    <t>2260170</t>
  </si>
  <si>
    <t>30108473</t>
  </si>
  <si>
    <t>Monter instalacji fotowoltaicznych</t>
  </si>
  <si>
    <t>https://www.pracuj.pl/praca/monter-instalacji-fotowoltaicznych-podkarpackie,oferta,8549234</t>
  </si>
  <si>
    <t>2260171</t>
  </si>
  <si>
    <t>30108474</t>
  </si>
  <si>
    <t>SUWMONT</t>
  </si>
  <si>
    <t>Elektryk - Konserwator suwnic</t>
  </si>
  <si>
    <t>https://www.pracuj.pl/praca/elektryk-konserwator-suwnic-rzeszow,oferta,1001349054</t>
  </si>
  <si>
    <t>2263977</t>
  </si>
  <si>
    <t>30112280</t>
  </si>
  <si>
    <t>Specjalista ds. Social Media</t>
  </si>
  <si>
    <t>https://www.pracuj.pl/praca/specjalista-ds-social-media-brzeznica-pow-debicki,oferta,1001346729</t>
  </si>
  <si>
    <t>2261918</t>
  </si>
  <si>
    <t>30110221</t>
  </si>
  <si>
    <t>TEXOM sp. z o.o.</t>
  </si>
  <si>
    <t>Inżynier budowy</t>
  </si>
  <si>
    <t>https://www.pracuj.pl/praca/inzynier-budowy-podkarpackie,oferta,8551363</t>
  </si>
  <si>
    <t>2260877</t>
  </si>
  <si>
    <t>30109180</t>
  </si>
  <si>
    <t>Key Account Manager – Rynki Międzynarodowe</t>
  </si>
  <si>
    <t>https://www.pracuj.pl/praca/key-account-manager-rynki-miedzynarodowe-podkarpackie,oferta,8553186</t>
  </si>
  <si>
    <t>2261470</t>
  </si>
  <si>
    <t>30109773</t>
  </si>
  <si>
    <t>29.10.2021</t>
  </si>
  <si>
    <t>2260071</t>
  </si>
  <si>
    <t>30108294</t>
  </si>
  <si>
    <t>05.11.2021</t>
  </si>
  <si>
    <t>2259726</t>
  </si>
  <si>
    <t>30107949</t>
  </si>
  <si>
    <t>TUnŻ Warta S.A</t>
  </si>
  <si>
    <t>https://www.pracuj.pl/praca/agent-ubezpieczeniowy-ubezpieczenia-na-zycie-rzeszow,oferta,1001347525</t>
  </si>
  <si>
    <t>2262585</t>
  </si>
  <si>
    <t>30110888</t>
  </si>
  <si>
    <t>https://www.pracuj.pl/praca/regionalny-koordynator-sprzedazy-podkarpackie,oferta,8553006</t>
  </si>
  <si>
    <t>2261401</t>
  </si>
  <si>
    <t>30109704</t>
  </si>
  <si>
    <t>Uniserv Jarosław sp. z o.o.</t>
  </si>
  <si>
    <t>https://www.praca.pl/kierownik-budowy_5942784.html</t>
  </si>
  <si>
    <t>10.11.2021</t>
  </si>
  <si>
    <t>2259308</t>
  </si>
  <si>
    <t>29390329</t>
  </si>
  <si>
    <t>VERSIM S.A.</t>
  </si>
  <si>
    <t>Trener Szkoleń Technicznych</t>
  </si>
  <si>
    <t>https://www.pracuj.pl/praca/trener-szkolen-technicznych-podkarpackie,oferta,8552683</t>
  </si>
  <si>
    <t>2261339</t>
  </si>
  <si>
    <t>30109642</t>
  </si>
  <si>
    <t>V-TAC POLAND sp. z o.o.</t>
  </si>
  <si>
    <t>https://www.pracuj.pl/praca/regionalny-kierownik-sprzedazy-podkarpackie,oferta,8553361</t>
  </si>
  <si>
    <t>2261525</t>
  </si>
  <si>
    <t>30109828</t>
  </si>
  <si>
    <t>Watkem Sp. z o.o.</t>
  </si>
  <si>
    <t>Sprzedawca Paliw</t>
  </si>
  <si>
    <t>https://www.pracuj.pl/praca/sprzedawca-paliw-rzeszow,oferta,1001346832</t>
  </si>
  <si>
    <t>2262019</t>
  </si>
  <si>
    <t>30110322</t>
  </si>
  <si>
    <t>https://www.pracuj.pl/praca/operator-maszyn-cnc-kosina-pow-lancucki,oferta,1001347927</t>
  </si>
  <si>
    <t>2262954</t>
  </si>
  <si>
    <t>30111257</t>
  </si>
  <si>
    <t>Prelegent - Wykładowca Akademicki</t>
  </si>
  <si>
    <t>Nauczyciel psycholog</t>
  </si>
  <si>
    <t>https://www.pracuj.pl/praca/prelegent-wykladowca-akademicki-podkarpackie,oferta,8549711</t>
  </si>
  <si>
    <t>2260351</t>
  </si>
  <si>
    <t>30108654</t>
  </si>
  <si>
    <t>RPd057|235908</t>
  </si>
  <si>
    <t>CRM Lead Developer</t>
  </si>
  <si>
    <t>25.11.2021</t>
  </si>
  <si>
    <t>https://www.pracuj.pl/praca/crm-lead-developer-podkarpackie,oferta,8525031</t>
  </si>
  <si>
    <t>10.11.2021 03:40</t>
  </si>
  <si>
    <t>08.11.2021</t>
  </si>
  <si>
    <t>2234257</t>
  </si>
  <si>
    <t>29748108</t>
  </si>
  <si>
    <t>Junior Developer Integracji Systemów (Mulesoft)</t>
  </si>
  <si>
    <t>https://www.pracuj.pl/praca/junior-developer-integracji-systemow-mulesoft-podkarpackie,oferta,8525021</t>
  </si>
  <si>
    <t>2234252</t>
  </si>
  <si>
    <t>29748103</t>
  </si>
  <si>
    <t>Mulesoft Senior Developer / Architekt Integracji</t>
  </si>
  <si>
    <t>18.11.2021</t>
  </si>
  <si>
    <t>https://www.pracuj.pl/praca/mulesoft-senior-developer-architekt-integracji-podkarpackie,oferta,8524931</t>
  </si>
  <si>
    <t>2234224</t>
  </si>
  <si>
    <t>29748075</t>
  </si>
  <si>
    <t>Salesforce Architect</t>
  </si>
  <si>
    <t>https://www.pracuj.pl/praca/salesforce-architect-podkarpackie,oferta,8524913</t>
  </si>
  <si>
    <t>2234210</t>
  </si>
  <si>
    <t>29748061</t>
  </si>
  <si>
    <t>Salesforce Lead Developer</t>
  </si>
  <si>
    <t>https://www.pracuj.pl/praca/salesforce-lead-developer-podkarpackie,oferta,8524877</t>
  </si>
  <si>
    <t>2234197</t>
  </si>
  <si>
    <t>29748048</t>
  </si>
  <si>
    <t>Senior Frontend Developer</t>
  </si>
  <si>
    <t>https://www.pracuj.pl/praca/senior-frontend-developer-podkarpackie,oferta,8524998</t>
  </si>
  <si>
    <t>2234236</t>
  </si>
  <si>
    <t>29748087</t>
  </si>
  <si>
    <t>Java Solution Developer (DevOps)</t>
  </si>
  <si>
    <t>https://www.pracuj.pl/praca/java-solution-developer-devops-subcarpathia,oferta,8535192</t>
  </si>
  <si>
    <t>2234877</t>
  </si>
  <si>
    <t>29748728</t>
  </si>
  <si>
    <t>https://www.praca.pl/doradca-klienta_5896893.html</t>
  </si>
  <si>
    <t>10.11.2021 04:38</t>
  </si>
  <si>
    <t>06.11.2021</t>
  </si>
  <si>
    <t>2232620</t>
  </si>
  <si>
    <t>29028277</t>
  </si>
  <si>
    <t>Germanista</t>
  </si>
  <si>
    <t>https://www.pracuj.pl/praca/germanista-podkarpackie,oferta,8533873</t>
  </si>
  <si>
    <t>2234606</t>
  </si>
  <si>
    <t>29748457</t>
  </si>
  <si>
    <t>Menedżer ds. Klienta Indywidualnego</t>
  </si>
  <si>
    <t>https://www.pracuj.pl/praca/menedzer-ds-klienta-indywidualnego-krosno,oferta,1001333318</t>
  </si>
  <si>
    <t>2236977</t>
  </si>
  <si>
    <t>29750250</t>
  </si>
  <si>
    <t>10.11.2021 03:30</t>
  </si>
  <si>
    <t>2234074</t>
  </si>
  <si>
    <t>29747828</t>
  </si>
  <si>
    <t>2233741</t>
  </si>
  <si>
    <t>29747495</t>
  </si>
  <si>
    <t>Allianz</t>
  </si>
  <si>
    <t>Menedżer Sieci Multiagencyjnej</t>
  </si>
  <si>
    <t>https://www.pracuj.pl/praca/menedzer-sieci-multiagencyjnej-podkarpackie,oferta,8536509</t>
  </si>
  <si>
    <t>2235246</t>
  </si>
  <si>
    <t>29749054</t>
  </si>
  <si>
    <t>https://www.pracuj.pl/praca/menedzer-sprzedazy-podkarpackie,oferta,8536492</t>
  </si>
  <si>
    <t>2235214</t>
  </si>
  <si>
    <t>29749038</t>
  </si>
  <si>
    <t>Regionalny Menadżer ds. wsparcia sprzedaży ubezpieczeń Małego i Średniego Biznesu - majątek</t>
  </si>
  <si>
    <t>https://www.pracuj.pl/praca/regionalny-menadzer-ds-wsparcia-sprzedazy-ubezpieczen-malego-i-sredniego-biznesu-podkarpackie,oferta,8536545</t>
  </si>
  <si>
    <t>2235304</t>
  </si>
  <si>
    <t>29749086</t>
  </si>
  <si>
    <t>Regionalny Menedżer Ubezpieczeń na Życie</t>
  </si>
  <si>
    <t>https://www.pracuj.pl/praca/regionalny-menedzer-ubezpieczen-na-zycie-podkarpackie,oferta,8536527</t>
  </si>
  <si>
    <t>2235273</t>
  </si>
  <si>
    <t>29749070</t>
  </si>
  <si>
    <t>https://gratka.pl/praca/slusarz/ob/23332749?utm_source=zielonalinia.pl&amp;utm_medium=zielonalinia&amp;utm_campaign=export_xml</t>
  </si>
  <si>
    <t>10.11.2021 04:37</t>
  </si>
  <si>
    <t>2232571</t>
  </si>
  <si>
    <t>28200086</t>
  </si>
  <si>
    <t>Radca Prawny</t>
  </si>
  <si>
    <t>https://www.pracuj.pl/praca/radca-prawny-jaroslaw,oferta,1001335136</t>
  </si>
  <si>
    <t>2240214</t>
  </si>
  <si>
    <t>29751859</t>
  </si>
  <si>
    <t>https://www.pracuj.pl/praca/przedstawiciel-medyczny-krosno,oferta,1001334170</t>
  </si>
  <si>
    <t>2238391</t>
  </si>
  <si>
    <t>29750950</t>
  </si>
  <si>
    <t>https://www.pracuj.pl/praca/przedstawiciel-medyczny-przemysl,oferta,1001334171</t>
  </si>
  <si>
    <t>2238393</t>
  </si>
  <si>
    <t>29750951</t>
  </si>
  <si>
    <t>https://www.pracuj.pl/praca/przedstawiciel-medyczny-rzeszow,oferta,1001334172</t>
  </si>
  <si>
    <t>2238395</t>
  </si>
  <si>
    <t>29750952</t>
  </si>
  <si>
    <t>ARGENTA</t>
  </si>
  <si>
    <t>Inżynier Serwisu</t>
  </si>
  <si>
    <t>https://www.pracuj.pl/praca/inzynier-serwisu-podkarpackie,oferta,8535859</t>
  </si>
  <si>
    <t>2235001</t>
  </si>
  <si>
    <t>29748852</t>
  </si>
  <si>
    <t>ASSECO DATA SYSTEMS S.A.</t>
  </si>
  <si>
    <t>Junior/Middle Java Developer</t>
  </si>
  <si>
    <t>https://www.pracuj.pl/praca/junior-middle-java-developer-podkarpackie,oferta,8535030</t>
  </si>
  <si>
    <t>2234841</t>
  </si>
  <si>
    <t>29748692</t>
  </si>
  <si>
    <t>Specjalista ds. Wdrożeń</t>
  </si>
  <si>
    <t>https://www.pracuj.pl/praca/specjalista-ds-wdrozen-rzeszow,oferta,1001335506</t>
  </si>
  <si>
    <t>2240875</t>
  </si>
  <si>
    <t>29752191</t>
  </si>
  <si>
    <t>Starszy Specjalista ds. Księgowości</t>
  </si>
  <si>
    <t>https://www.pracuj.pl/praca/starszy-specjalista-ds-ksiegowosci-rzeszow,oferta,1001335592</t>
  </si>
  <si>
    <t>2241006</t>
  </si>
  <si>
    <t>29752258</t>
  </si>
  <si>
    <t>Information Security Analyst (CSIRT Incident Response)</t>
  </si>
  <si>
    <t>https://www.pracuj.pl/praca/information-security-analyst-csirt-incident-response-subcarpathia,oferta,8533704</t>
  </si>
  <si>
    <t>2234572</t>
  </si>
  <si>
    <t>29748423</t>
  </si>
  <si>
    <t>Threat Intelligence (TI) Analyst</t>
  </si>
  <si>
    <t>https://www.pracuj.pl/praca/threat-intelligence-ti-analyst-subcarpathia,oferta,8533723</t>
  </si>
  <si>
    <t>2234588</t>
  </si>
  <si>
    <t>29748439</t>
  </si>
  <si>
    <t>Architekt Integracji</t>
  </si>
  <si>
    <t>https://www.praca.pl/architekt-integracji_5967717.html</t>
  </si>
  <si>
    <t>10.11.2021 03:05</t>
  </si>
  <si>
    <t>09.11.2021</t>
  </si>
  <si>
    <t>2232784</t>
  </si>
  <si>
    <t>29603917</t>
  </si>
  <si>
    <t>Data Engineer - Professional</t>
  </si>
  <si>
    <t>https://www.praca.pl/data-engineer-professional_5967663.html</t>
  </si>
  <si>
    <t>2232801</t>
  </si>
  <si>
    <t>29603934</t>
  </si>
  <si>
    <t>https://www.praca.pl/fullstack-senior-developer_5968056.html</t>
  </si>
  <si>
    <t>2232671</t>
  </si>
  <si>
    <t>29603804</t>
  </si>
  <si>
    <t>https://www.praca.pl/fullstack-senior-developer_5967957.html</t>
  </si>
  <si>
    <t>2232704</t>
  </si>
  <si>
    <t>29603837</t>
  </si>
  <si>
    <t>Senior Data Engineer</t>
  </si>
  <si>
    <t>https://www.praca.pl/senior-data-engineer_5967567.html</t>
  </si>
  <si>
    <t>2232833</t>
  </si>
  <si>
    <t>29603966</t>
  </si>
  <si>
    <t>https://www.praca.pl/senior-data-engineer_5967471.html</t>
  </si>
  <si>
    <t>2232865</t>
  </si>
  <si>
    <t>29603998</t>
  </si>
  <si>
    <t>https://www.praca.pl/senior-ml-ops-developer_5967519.html</t>
  </si>
  <si>
    <t>2232849</t>
  </si>
  <si>
    <t>29603982</t>
  </si>
  <si>
    <t>Senior Python Developer</t>
  </si>
  <si>
    <t>https://www.praca.pl/senior-python-developer_5967909.html</t>
  </si>
  <si>
    <t>2232720</t>
  </si>
  <si>
    <t>29603853</t>
  </si>
  <si>
    <t>Senior Solution Architekt</t>
  </si>
  <si>
    <t>https://www.praca.pl/senior-solution-architekt_5968005.html</t>
  </si>
  <si>
    <t>2232688</t>
  </si>
  <si>
    <t>29603821</t>
  </si>
  <si>
    <t>https://www.praca.pl/senior-solution-architekt_5967861.html</t>
  </si>
  <si>
    <t>2232736</t>
  </si>
  <si>
    <t>29603869</t>
  </si>
  <si>
    <t>Senior Tech Lead</t>
  </si>
  <si>
    <t>https://www.praca.pl/senior-tech-lead_5967765.html</t>
  </si>
  <si>
    <t>2232768</t>
  </si>
  <si>
    <t>29603901</t>
  </si>
  <si>
    <t>Solution Architect (projekt: BioSample 16513)</t>
  </si>
  <si>
    <t>https://www.praca.pl/solution-architect-projekt-biosample-16513_5967813.html</t>
  </si>
  <si>
    <t>2232752</t>
  </si>
  <si>
    <t>29603885</t>
  </si>
  <si>
    <t>https://www.praca.pl/technical-writer_5967615.html</t>
  </si>
  <si>
    <t>2232817</t>
  </si>
  <si>
    <t>29603950</t>
  </si>
  <si>
    <t>https://www.pracuj.pl/praca/konsultant-ds-obslugi-klienta-w-punkcie-sprzedazy-t-mobile-rzeszow,oferta,1001334566</t>
  </si>
  <si>
    <t>2239123</t>
  </si>
  <si>
    <t>29751315</t>
  </si>
  <si>
    <t>https://www.pracuj.pl/praca/konsultant-ds-obslugi-klienta-w-punkcie-sprzedazy-t-mobile-sanok,oferta,1001334567</t>
  </si>
  <si>
    <t>2239125</t>
  </si>
  <si>
    <t>29751316</t>
  </si>
  <si>
    <t>2233653</t>
  </si>
  <si>
    <t>29747407</t>
  </si>
  <si>
    <t>2233641</t>
  </si>
  <si>
    <t>29747395</t>
  </si>
  <si>
    <t>Mechanik - Narzędziowiec w dziale utrzymania ruchu (19,02 € brutto/h)</t>
  </si>
  <si>
    <t>https://www.pracuj.pl/praca/mechanik-narzedziowiec-w-dziale-utrzymania-ruchu-19-02-brutto-h-rzeszow,oferta,1001333253</t>
  </si>
  <si>
    <t>2236853</t>
  </si>
  <si>
    <t>29750187</t>
  </si>
  <si>
    <t>https://www.praca.pl/windykator-terenowy_5978952.html</t>
  </si>
  <si>
    <t>2233321</t>
  </si>
  <si>
    <t>29702951</t>
  </si>
  <si>
    <t>Biedronka (Jeronimo Martins Polska S.A.)</t>
  </si>
  <si>
    <t>https://www.pracuj.pl/praca/kierownik-sklepu-rzeszow,oferta,1001332544</t>
  </si>
  <si>
    <t>2235847</t>
  </si>
  <si>
    <t>29749581</t>
  </si>
  <si>
    <t>BIO ENERGY GROUP sp. z o.o.</t>
  </si>
  <si>
    <t>Operator maszyn</t>
  </si>
  <si>
    <t>https://www.pracuj.pl/praca/operator-maszyn-zolynia-pow-lancucki,oferta,1001335475</t>
  </si>
  <si>
    <t>2240820</t>
  </si>
  <si>
    <t>29752163</t>
  </si>
  <si>
    <t>BIOMED S.A.</t>
  </si>
  <si>
    <t>https://www.pracuj.pl/praca/przedstawiciel-farmaceutyczny-podkarpackie,oferta,8534860</t>
  </si>
  <si>
    <t>2234811</t>
  </si>
  <si>
    <t>29748662</t>
  </si>
  <si>
    <t>Biznes Projekt Radosław Siejka</t>
  </si>
  <si>
    <t>https://www.pracuj.pl/praca/mobilny-doradca-klienta-podkarpackie,oferta,8533112</t>
  </si>
  <si>
    <t>2234426</t>
  </si>
  <si>
    <t>29748277</t>
  </si>
  <si>
    <t>https://www.pracuj.pl/praca/doradca-ds-nieruchomosci-rzeszow,oferta,1001334607</t>
  </si>
  <si>
    <t>2239205</t>
  </si>
  <si>
    <t>29751356</t>
  </si>
  <si>
    <t>Architekt Systemowy (Payments Team)</t>
  </si>
  <si>
    <t>https://www.pracuj.pl/praca/architekt-systemowy-payments-team-podkarpackie,oferta,8536078</t>
  </si>
  <si>
    <t>2235065</t>
  </si>
  <si>
    <t>29748916</t>
  </si>
  <si>
    <t>iOS Developer (Billing &amp; Subscriptions Team)</t>
  </si>
  <si>
    <t>https://www.pracuj.pl/praca/ios-developer-billing-subscriptions-team-podkarpackie,oferta,8534107</t>
  </si>
  <si>
    <t>2234666</t>
  </si>
  <si>
    <t>29748517</t>
  </si>
  <si>
    <t>Senior Python Developer (Payments Team)</t>
  </si>
  <si>
    <t>https://www.pracuj.pl/praca/senior-python-developer-payments-team-podkarpackie,oferta,8536117</t>
  </si>
  <si>
    <t>2235097</t>
  </si>
  <si>
    <t>29748948</t>
  </si>
  <si>
    <t>UX/UI Designer</t>
  </si>
  <si>
    <t>https://www.pracuj.pl/praca/ux-ui-designer-podkarpackie,oferta,8534062</t>
  </si>
  <si>
    <t>2234644</t>
  </si>
  <si>
    <t>29748495</t>
  </si>
  <si>
    <t>Kierownik Kontraktu</t>
  </si>
  <si>
    <t>https://www.praca.pl/kierownik-kontraktu_5980884.html</t>
  </si>
  <si>
    <t>2233262</t>
  </si>
  <si>
    <t>29702614</t>
  </si>
  <si>
    <t>https://www.pracuj.pl/praca/specjalista-ds-zakupow-rzeszow,oferta,1001332607</t>
  </si>
  <si>
    <t>2235907</t>
  </si>
  <si>
    <t>29749641</t>
  </si>
  <si>
    <t>CANPACK Group</t>
  </si>
  <si>
    <t>Operator maszyn i urządzeń przemysłu spożywczego*</t>
  </si>
  <si>
    <t>https://www.pracuj.pl/praca/operator-maszyn-debica,oferta,1001333880</t>
  </si>
  <si>
    <t>2237897</t>
  </si>
  <si>
    <t>29750705</t>
  </si>
  <si>
    <t>Konsultant ds. korespondencji mailowej</t>
  </si>
  <si>
    <t>https://www.praca.pl/konsultant-ds-korespondencji-mailowej_5984010.html</t>
  </si>
  <si>
    <t>2232965</t>
  </si>
  <si>
    <t>29702094</t>
  </si>
  <si>
    <t>Konsultant infolinii obsługowej (połączenia przychodzące)</t>
  </si>
  <si>
    <t>https://www.pracuj.pl/praca/konsultant-infolinii-obslugowej-polaczenia-przychodzace-rzeszow,oferta,1001333070</t>
  </si>
  <si>
    <t>2236527</t>
  </si>
  <si>
    <t>29750022</t>
  </si>
  <si>
    <t>CertusVia Sp. z o.o.</t>
  </si>
  <si>
    <t>Projektant Drogowy</t>
  </si>
  <si>
    <t>https://www.pracuj.pl/praca/projektant-drogowy-podkarpackie,oferta,8534816</t>
  </si>
  <si>
    <t>2234801</t>
  </si>
  <si>
    <t>29748652</t>
  </si>
  <si>
    <t>CHANDON WALLER</t>
  </si>
  <si>
    <t>https://www.pracuj.pl/praca/samodzielna-ksiegowa-samodzielny-ksiegowy-rzeszow,oferta,1001332334</t>
  </si>
  <si>
    <t>2235642</t>
  </si>
  <si>
    <t>29749376</t>
  </si>
  <si>
    <t>Kierownik Zapewnienia Dostaw</t>
  </si>
  <si>
    <t>https://www.pracuj.pl/praca/kierownik-zapewnienia-dostaw-tajecina-pow-rzeszowski,oferta,1001332670</t>
  </si>
  <si>
    <t>2235965</t>
  </si>
  <si>
    <t>29749698</t>
  </si>
  <si>
    <t>Młodszy Specjalista ds. Magazynowych</t>
  </si>
  <si>
    <t>https://www.pracuj.pl/praca/mlodszy-specjalista-ds-magazynowych-tajecina-pow-rzeszowski,oferta,1001332858</t>
  </si>
  <si>
    <t>2236234</t>
  </si>
  <si>
    <t>29749875</t>
  </si>
  <si>
    <t>Specjalista ds. Koordynacji Programów</t>
  </si>
  <si>
    <t>https://www.pracuj.pl/praca/specjalista-ds-koordynacji-programow-krosno,oferta,1001336006</t>
  </si>
  <si>
    <t>10.11.2021 03:41</t>
  </si>
  <si>
    <t>2241786</t>
  </si>
  <si>
    <t>29752651</t>
  </si>
  <si>
    <t>Conversion Sp. z o.o.</t>
  </si>
  <si>
    <t>Digital Analyst - Analityk internetowy</t>
  </si>
  <si>
    <t>https://www.pracuj.pl/praca/digital-analyst-analityk-internetowy-rzeszow,oferta,1001333018</t>
  </si>
  <si>
    <t>2236425</t>
  </si>
  <si>
    <t>29749971</t>
  </si>
  <si>
    <t>https://www.pracuj.pl/praca/digital-analyst-analityk-internetowy-przemysl,oferta,1001333019</t>
  </si>
  <si>
    <t>2236427</t>
  </si>
  <si>
    <t>29749972</t>
  </si>
  <si>
    <t>https://www.pracuj.pl/praca/digital-analyst-analityk-internetowy-krosno,oferta,1001333020</t>
  </si>
  <si>
    <t>2236429</t>
  </si>
  <si>
    <t>29749973</t>
  </si>
  <si>
    <t>CTER Sp. z o.o.</t>
  </si>
  <si>
    <t>Dyrektor Sprzedaży D2D</t>
  </si>
  <si>
    <t>https://www.pracuj.pl/praca/dyrektor-sprzedazy-d2d-podkarpackie,oferta,8535101</t>
  </si>
  <si>
    <t>2234862</t>
  </si>
  <si>
    <t>29748713</t>
  </si>
  <si>
    <t>Młodszy Programista .NET</t>
  </si>
  <si>
    <t>https://www.pracuj.pl/praca/mlodszy-programista-net-podkarpackie,oferta,8532771</t>
  </si>
  <si>
    <t>2234319</t>
  </si>
  <si>
    <t>29748170</t>
  </si>
  <si>
    <t>https://www.pracuj.pl/praca/konstruktor-rzeszow,oferta,1001335042</t>
  </si>
  <si>
    <t>2240025</t>
  </si>
  <si>
    <t>29751765</t>
  </si>
  <si>
    <t>Dębickie Centrum Spedycji T. Bielatowicz, M. Kos</t>
  </si>
  <si>
    <t>Kierowca transportu międzynarodowego</t>
  </si>
  <si>
    <t>https://gratka.pl/praca/kierowca-transportu-miedzynarodowego/ob/23760039?utm_source=zielonalinia.pl&amp;utm_medium=zielonalinia&amp;utm_campaign=export_xml</t>
  </si>
  <si>
    <t>10.11.2021 03:15</t>
  </si>
  <si>
    <t>2233579</t>
  </si>
  <si>
    <t>29737711</t>
  </si>
  <si>
    <t>Konsultant BI</t>
  </si>
  <si>
    <t>https://www.pracuj.pl/praca/konsultant-bi-podkarpackie,oferta,8536709</t>
  </si>
  <si>
    <t>2235340</t>
  </si>
  <si>
    <t>29749106</t>
  </si>
  <si>
    <t>Early Stage</t>
  </si>
  <si>
    <t>https://www.pracuj.pl/praca/lektor-nauczyciel-jezyka-angielskiego-kolbuszowa,oferta,8536842</t>
  </si>
  <si>
    <t>2235376</t>
  </si>
  <si>
    <t>29749142</t>
  </si>
  <si>
    <t>1806,1802,1815</t>
  </si>
  <si>
    <t>3</t>
  </si>
  <si>
    <t>Właściciel szkoły języka angielskiego</t>
  </si>
  <si>
    <t>https://www.pracuj.pl/praca/wlasciciel-szkoly-jezyka-angielskiego-debica,oferta,8535914</t>
  </si>
  <si>
    <t>2235037</t>
  </si>
  <si>
    <t>29748888</t>
  </si>
  <si>
    <t>1803,1804,1805,1861,1808,1810,1811,1862,1817,1864,1809</t>
  </si>
  <si>
    <t>11</t>
  </si>
  <si>
    <t>https://www.pracuj.pl/praca/magazynier-mielec,oferta,1001335032</t>
  </si>
  <si>
    <t>2240004</t>
  </si>
  <si>
    <t>29751755</t>
  </si>
  <si>
    <t>ECO TEAM SOLUTIONS sp. z o.o.</t>
  </si>
  <si>
    <t>Doradca Klienta ds. OZE</t>
  </si>
  <si>
    <t>https://www.pracuj.pl/praca/doradca-klienta-ds-oze-debica,oferta,1001335059</t>
  </si>
  <si>
    <t>2240061</t>
  </si>
  <si>
    <t>29751782</t>
  </si>
  <si>
    <t>https://www.pracuj.pl/praca/doradca-klienta-ds-oze-krosno,oferta,1001335064</t>
  </si>
  <si>
    <t>2240071</t>
  </si>
  <si>
    <t>29751787</t>
  </si>
  <si>
    <t>https://www.pracuj.pl/praca/doradca-klienta-ds-oze-lezajsk,oferta,1001335065</t>
  </si>
  <si>
    <t>2240073</t>
  </si>
  <si>
    <t>29751788</t>
  </si>
  <si>
    <t>https://www.pracuj.pl/praca/doradca-klienta-ds-oze-lancut,oferta,1001335066</t>
  </si>
  <si>
    <t>2240075</t>
  </si>
  <si>
    <t>29751789</t>
  </si>
  <si>
    <t>https://www.pracuj.pl/praca/doradca-klienta-ds-oze-mielec,oferta,1001335067</t>
  </si>
  <si>
    <t>2240077</t>
  </si>
  <si>
    <t>29751790</t>
  </si>
  <si>
    <t>https://www.pracuj.pl/praca/doradca-klienta-ds-oze-przeworsk,oferta,1001335069</t>
  </si>
  <si>
    <t>2240081</t>
  </si>
  <si>
    <t>29751792</t>
  </si>
  <si>
    <t>https://www.pracuj.pl/praca/doradca-klienta-ds-oze-rzeszow,oferta,1001335083</t>
  </si>
  <si>
    <t>2240109</t>
  </si>
  <si>
    <t>29751806</t>
  </si>
  <si>
    <t>EDISON HEAT SPÓŁKA Z OGRANICZONĄ ODPOWIEDZIALNOŚCIĄ</t>
  </si>
  <si>
    <t>Manager Sprzedaży</t>
  </si>
  <si>
    <t>https://www.pracuj.pl/praca/manager-sprzedazy-podkarpackie,oferta,8536039</t>
  </si>
  <si>
    <t>2235053</t>
  </si>
  <si>
    <t>29748904</t>
  </si>
  <si>
    <t>ELEMONT SP. Z O.O.</t>
  </si>
  <si>
    <t>https://www.pracuj.pl/praca/inzynier-budowy-podkarpackie,oferta,8536097</t>
  </si>
  <si>
    <t>2235081</t>
  </si>
  <si>
    <t>29748932</t>
  </si>
  <si>
    <t>ENERGIAPORT SPÓŁKA Z OGRANICZONĄ ODPOWIEDZIALNOŚCIĄ</t>
  </si>
  <si>
    <t>Doradca Techniczno–Handlowy – Odnawialne Źródła Energii</t>
  </si>
  <si>
    <t>https://www.pracuj.pl/praca/doradca-techniczno-handlowy-odnawialne-zrodla-energii-podkarpackie,oferta,8536865</t>
  </si>
  <si>
    <t>2235392</t>
  </si>
  <si>
    <t>29749158</t>
  </si>
  <si>
    <t>https://www.pracuj.pl/praca/ciesla-podkarpackie,oferta,8536296</t>
  </si>
  <si>
    <t>10.11.2021 06:32</t>
  </si>
  <si>
    <t>2235142</t>
  </si>
  <si>
    <t>29748993</t>
  </si>
  <si>
    <t>ESSELS INTERNATIONAL sp. z o.o.</t>
  </si>
  <si>
    <t>https://www.pracuj.pl/praca/sprzedawca-podkarpackie,oferta,8533219</t>
  </si>
  <si>
    <t>2234473</t>
  </si>
  <si>
    <t>29748324</t>
  </si>
  <si>
    <t>EXVOLT sp. z o.o.</t>
  </si>
  <si>
    <t>https://www.pracuj.pl/praca/elektromonter-przemysl,oferta,1001335550</t>
  </si>
  <si>
    <t>2240952</t>
  </si>
  <si>
    <t>29752230</t>
  </si>
  <si>
    <t>https://www.pracuj.pl/praca/elektromonter-jaroslaw,oferta,1001335551</t>
  </si>
  <si>
    <t>2240954</t>
  </si>
  <si>
    <t>29752231</t>
  </si>
  <si>
    <t>https://www.pracuj.pl/praca/elektromonter-rzeszow,oferta,1001335552</t>
  </si>
  <si>
    <t>2240955</t>
  </si>
  <si>
    <t>29752232</t>
  </si>
  <si>
    <t>Młodszy Magazynier</t>
  </si>
  <si>
    <t>Polska, podkarpackie, Rudnik Nad Sanem</t>
  </si>
  <si>
    <t>https://www.praca.pl/mlodszy-magazynier_5982246.html</t>
  </si>
  <si>
    <t>2233136</t>
  </si>
  <si>
    <t>29702396</t>
  </si>
  <si>
    <t>FBSERWIS S A</t>
  </si>
  <si>
    <t>https://www.pracuj.pl/praca/koordynator-ds-logistyki-przemysl,oferta,1001333860</t>
  </si>
  <si>
    <t>2237872</t>
  </si>
  <si>
    <t>29750692</t>
  </si>
  <si>
    <t>Fiberhost</t>
  </si>
  <si>
    <t>Cybersecurity Specialist (f/m)</t>
  </si>
  <si>
    <t>https://www.pracuj.pl/praca/cybersecurity-specialist-f-m-podkarpackie,oferta,8533258</t>
  </si>
  <si>
    <t>2234486</t>
  </si>
  <si>
    <t>29748337</t>
  </si>
  <si>
    <t>Pomocnik operatora maszyn kablowych</t>
  </si>
  <si>
    <t>https://www.pracuj.pl/praca/pomocnik-operatora-maszyn-kablowych-jasionka-pow-rzeszowski,oferta,1001334730</t>
  </si>
  <si>
    <t>2239441</t>
  </si>
  <si>
    <t>29751474</t>
  </si>
  <si>
    <t>Firma Handlowo-Usługowa Mazur&amp;Mazur, J. Mazur, P. Mazur s.c</t>
  </si>
  <si>
    <t>https://www.pracuj.pl/praca/kucharz-kucharka-mielec,oferta,1001336066</t>
  </si>
  <si>
    <t>2241886</t>
  </si>
  <si>
    <t>29752700</t>
  </si>
  <si>
    <t>Manager Regionu - cała Polska</t>
  </si>
  <si>
    <t>https://www.pracuj.pl/praca/manager-regionu-cala-polska-rzeszow,oferta,1001333790</t>
  </si>
  <si>
    <t>2237741</t>
  </si>
  <si>
    <t>29750627</t>
  </si>
  <si>
    <t>Frac Detal Sp. z o.o.</t>
  </si>
  <si>
    <t>https://www.pracuj.pl/praca/magazynier-rzeszow,oferta,1001334827</t>
  </si>
  <si>
    <t>2239621</t>
  </si>
  <si>
    <t>29751564</t>
  </si>
  <si>
    <t>Network Security Engineer</t>
  </si>
  <si>
    <t>https://www.pracuj.pl/praca/network-security-engineer-subcarpathia,oferta,8533136</t>
  </si>
  <si>
    <t>2234438</t>
  </si>
  <si>
    <t>29748289</t>
  </si>
  <si>
    <t>Vulnerability Management Engineer</t>
  </si>
  <si>
    <t>https://www.pracuj.pl/praca/vulnerability-management-engineer-subcarpathia,oferta,8536916</t>
  </si>
  <si>
    <t>2235419</t>
  </si>
  <si>
    <t>29749175</t>
  </si>
  <si>
    <t>G2A.COM Sp. z.o.o.</t>
  </si>
  <si>
    <t>Junior Security Support Specialist</t>
  </si>
  <si>
    <t>Pozostali specjaliści do spraw sieci komputerowych</t>
  </si>
  <si>
    <t>https://www.pracuj.pl/praca/junior-security-support-specialist-rzeszow,oferta,1001334280</t>
  </si>
  <si>
    <t>2238602</t>
  </si>
  <si>
    <t>29751054</t>
  </si>
  <si>
    <t>RPd057|252390</t>
  </si>
  <si>
    <t>Giganci Programowania sp. z o.o.</t>
  </si>
  <si>
    <t>https://www.pracuj.pl/praca/trener-programowania-dla-dzieci-i-mlodziezy-debica,oferta,8532831</t>
  </si>
  <si>
    <t>2234334</t>
  </si>
  <si>
    <t>29748185</t>
  </si>
  <si>
    <t>GOLIK TRANSPORT SP Z O O SPÓŁKA KOMANDYTOWA</t>
  </si>
  <si>
    <t>Kierowca C+E w ruchu międzynarodowym lub krajowym, silos</t>
  </si>
  <si>
    <t>https://www.pracuj.pl/praca/kierowca-c%2be-w-ruchu-miedzynarodowym-lub-krajowym-silos-podkarpackie,oferta,8535545</t>
  </si>
  <si>
    <t>2234971</t>
  </si>
  <si>
    <t>29748822</t>
  </si>
  <si>
    <t>Grupa Eurocash - Eurocash Dystrybucja</t>
  </si>
  <si>
    <t>Specjalista ds. Zarządzania Grupą Kategorii</t>
  </si>
  <si>
    <t>https://www.pracuj.pl/praca/specjalista-ds-zarzadzania-grupa-kategorii-debica,oferta,1001332538</t>
  </si>
  <si>
    <t>2235841</t>
  </si>
  <si>
    <t>29749575</t>
  </si>
  <si>
    <t>RPd057|522304</t>
  </si>
  <si>
    <t>Specjalista ds. finansowo - księgowych</t>
  </si>
  <si>
    <t>https://www.pracuj.pl/praca/specjalista-ds-finansowo-ksiegowych-jedlicze,oferta,1001334586</t>
  </si>
  <si>
    <t>2239163</t>
  </si>
  <si>
    <t>29751335</t>
  </si>
  <si>
    <t>Specjalista ds. rozliczeń i promocji</t>
  </si>
  <si>
    <t>https://www.pracuj.pl/praca/specjalista-ds-rozliczen-i-promocji-rzeszow,oferta,1001333413</t>
  </si>
  <si>
    <t>2237153</t>
  </si>
  <si>
    <t>29750337</t>
  </si>
  <si>
    <t>Buyer</t>
  </si>
  <si>
    <t>https://www.pracuj.pl/praca/buyer-rzeszow,oferta,1001334041</t>
  </si>
  <si>
    <t>2238173</t>
  </si>
  <si>
    <t>29750841</t>
  </si>
  <si>
    <t>Hranipex sp. z o.o.</t>
  </si>
  <si>
    <t>https://www.pracuj.pl/praca/product-manager-podkarpackie,oferta,8535894</t>
  </si>
  <si>
    <t>2235019</t>
  </si>
  <si>
    <t>29748870</t>
  </si>
  <si>
    <t>HSM Polska Sp. z o.o.</t>
  </si>
  <si>
    <t>Inżynier Serwisu - Podwykonawca</t>
  </si>
  <si>
    <t>https://www.pracuj.pl/praca/inzynier-serwisu-podwykonawca-podkarpackie,oferta,8536788</t>
  </si>
  <si>
    <t>2235352</t>
  </si>
  <si>
    <t>29749118</t>
  </si>
  <si>
    <t>IMPEL Business Solutions Sp. z o.o.</t>
  </si>
  <si>
    <t>Młodszy specjalista ds. kontrolingu / rachunkowości zarządczej</t>
  </si>
  <si>
    <t>https://www.pracuj.pl/praca/mlodszy-specjalista-ds-kontrolingu-rachunkowosci-zarzadczej-rzeszow,oferta,1001332876</t>
  </si>
  <si>
    <t>2236266</t>
  </si>
  <si>
    <t>29749892</t>
  </si>
  <si>
    <t>Intergiro</t>
  </si>
  <si>
    <t>Payroll Administrator</t>
  </si>
  <si>
    <t>https://www.pracuj.pl/praca/payroll-administrator-subcarpathia,oferta,8532944</t>
  </si>
  <si>
    <t>2234375</t>
  </si>
  <si>
    <t>29748226</t>
  </si>
  <si>
    <t>IQVIA Technology Solutions Poland Sp. z o.o.</t>
  </si>
  <si>
    <t>https://www.pracuj.pl/praca/przedstawiciel-medyczny-podkarpackie,oferta,8534535</t>
  </si>
  <si>
    <t>2234760</t>
  </si>
  <si>
    <t>29748611</t>
  </si>
  <si>
    <t>JAMAD Budownictwo Sp. z o.o. Sp. K</t>
  </si>
  <si>
    <t>Operator koparki / spycharki</t>
  </si>
  <si>
    <t>https://www.praca.pl/operator-koparki-spycharki_5981748.html</t>
  </si>
  <si>
    <t>2233160</t>
  </si>
  <si>
    <t>29702438</t>
  </si>
  <si>
    <t>1863,1862,1818,1864,1811</t>
  </si>
  <si>
    <t>Operator Równiarki</t>
  </si>
  <si>
    <t>https://www.praca.pl/operator-rowniarki_5981658.html</t>
  </si>
  <si>
    <t>2233164</t>
  </si>
  <si>
    <t>29702442</t>
  </si>
  <si>
    <t>Operator walca drogowego stalowego i walca  guma-guma</t>
  </si>
  <si>
    <t>Operator urządzeń do przetwórstwa surowców gumowych</t>
  </si>
  <si>
    <t>Polska, podkarpackie, Rzeszów, Przemyśl, Stalowa Wola, Tarnobrzeg</t>
  </si>
  <si>
    <t>https://www.praca.pl/operator-walca-drogowego-stalowego-i-walca-guma-guma_5982777.html</t>
  </si>
  <si>
    <t>2233110</t>
  </si>
  <si>
    <t>29702352</t>
  </si>
  <si>
    <t>1863,1862,1818,1864</t>
  </si>
  <si>
    <t>RPd057|814103</t>
  </si>
  <si>
    <t>Kierowca serwisant</t>
  </si>
  <si>
    <t>Kierowca mechanik*</t>
  </si>
  <si>
    <t>https://www.praca.pl/kierowca-serwisant_5982726.html</t>
  </si>
  <si>
    <t>2232900</t>
  </si>
  <si>
    <t>29701921</t>
  </si>
  <si>
    <t>RPd057|832201</t>
  </si>
  <si>
    <t>LANCERTO S.A.</t>
  </si>
  <si>
    <t>https://www.pracuj.pl/praca/graphic-designer-lancut,oferta,1001332598</t>
  </si>
  <si>
    <t>2235899</t>
  </si>
  <si>
    <t>29749633</t>
  </si>
  <si>
    <t>Specjalista ds. marketplace</t>
  </si>
  <si>
    <t>https://www.pracuj.pl/praca/specjalista-ds-marketplace-lancut,oferta,1001333879</t>
  </si>
  <si>
    <t>2237895</t>
  </si>
  <si>
    <t>29750704</t>
  </si>
  <si>
    <t>Doradca ds. Sprzedaży - Fotowoltaika i pompy ciepła</t>
  </si>
  <si>
    <t>https://www.pracuj.pl/praca/doradca-ds-sprzedazy-fotowoltaika-i-pompy-ciepla-podkarpackie,oferta,8532662</t>
  </si>
  <si>
    <t>2234299</t>
  </si>
  <si>
    <t>29748150</t>
  </si>
  <si>
    <t>https://www.pracuj.pl/praca/product-manager-pustkow-osiedle-pow-debicki,oferta,1001334432</t>
  </si>
  <si>
    <t>2238877</t>
  </si>
  <si>
    <t>29751193</t>
  </si>
  <si>
    <t>Projektant / Projektantka</t>
  </si>
  <si>
    <t>https://www.pracuj.pl/praca/projektant-projektantka-rzeszow,oferta,1001334661</t>
  </si>
  <si>
    <t>2239310</t>
  </si>
  <si>
    <t>29751408</t>
  </si>
  <si>
    <t>ManpowerGroup</t>
  </si>
  <si>
    <t>Recruiter</t>
  </si>
  <si>
    <t>https://www.pracuj.pl/praca/recruiter-podkarpackie,oferta,8532402</t>
  </si>
  <si>
    <t>2234283</t>
  </si>
  <si>
    <t>29748134</t>
  </si>
  <si>
    <t>https://www.praca.pl/doradca-ds-leasingu_5984133.html</t>
  </si>
  <si>
    <t>2232955</t>
  </si>
  <si>
    <t>29702083</t>
  </si>
  <si>
    <t>MDH Sp. z o.o.</t>
  </si>
  <si>
    <t>https://www.pracuj.pl/praca/przedstawiciel-handlowy-podkarpackie,oferta,8534442</t>
  </si>
  <si>
    <t>2234745</t>
  </si>
  <si>
    <t>29748596</t>
  </si>
  <si>
    <t>Ekspert ds. produktów firmowych i hipotecznych</t>
  </si>
  <si>
    <t>https://www.pracuj.pl/praca/ekspert-ds-produktow-firmowych-i-hipotecznych-debica,oferta,1001334333</t>
  </si>
  <si>
    <t>2238694</t>
  </si>
  <si>
    <t>29751100</t>
  </si>
  <si>
    <t>https://www.pracuj.pl/praca/ekspert-ds-produktow-firmowych-i-hipotecznych-jaroslaw,oferta,1001334336</t>
  </si>
  <si>
    <t>2238700</t>
  </si>
  <si>
    <t>29751103</t>
  </si>
  <si>
    <t>https://www.pracuj.pl/praca/ekspert-ds-produktow-firmowych-i-hipotecznych-jaslo,oferta,1001334337</t>
  </si>
  <si>
    <t>2238702</t>
  </si>
  <si>
    <t>29751104</t>
  </si>
  <si>
    <t>https://www.pracuj.pl/praca/ekspert-ds-produktow-firmowych-i-hipotecznych-krosno,oferta,1001334347</t>
  </si>
  <si>
    <t>2238723</t>
  </si>
  <si>
    <t>29751114</t>
  </si>
  <si>
    <t>https://www.pracuj.pl/praca/ekspert-ds-produktow-firmowych-i-hipotecznych-mielec,oferta,1001334352</t>
  </si>
  <si>
    <t>2238734</t>
  </si>
  <si>
    <t>29751119</t>
  </si>
  <si>
    <t>Magazynier - Komisjoner</t>
  </si>
  <si>
    <t>https://www.praca.pl/magazynier-komisjoner_5981172.html</t>
  </si>
  <si>
    <t>2233233</t>
  </si>
  <si>
    <t>29702575</t>
  </si>
  <si>
    <t>https://www.praca.pl/operator-wozka-widlowego_5981220.html</t>
  </si>
  <si>
    <t>2233217</t>
  </si>
  <si>
    <t>29702559</t>
  </si>
  <si>
    <t>Pracownik fizyczny - bez znajomości języka</t>
  </si>
  <si>
    <t>Pracownik rozkładający towar na półkach</t>
  </si>
  <si>
    <t>https://www.praca.pl/pracownik-fizyczny-bez-znajomosci-jezyka_5981268.html</t>
  </si>
  <si>
    <t>2233201</t>
  </si>
  <si>
    <t>29702543</t>
  </si>
  <si>
    <t>Pracownik produkcji napojów - mile widziane pary</t>
  </si>
  <si>
    <t>Operator urządzeń do produkcji napojów bezalkoholowych</t>
  </si>
  <si>
    <t>https://www.praca.pl/pracownik-produkcji-napojow-mile-widziane-pary_5981316.html</t>
  </si>
  <si>
    <t>2233185</t>
  </si>
  <si>
    <t>29702527</t>
  </si>
  <si>
    <t>RPd057|816010</t>
  </si>
  <si>
    <t>ML SYSTEM SPÓŁKA AKCYJNA</t>
  </si>
  <si>
    <t>https://www.pracuj.pl/praca/magazynier-zaczernie-pow-rzeszowski,oferta,1001332577</t>
  </si>
  <si>
    <t>2235878</t>
  </si>
  <si>
    <t>29749612</t>
  </si>
  <si>
    <t>https://www.pracuj.pl/praca/pracownik-produkcji-zaczernie-pow-rzeszowski,oferta,1001332532</t>
  </si>
  <si>
    <t>2235835</t>
  </si>
  <si>
    <t>29749569</t>
  </si>
  <si>
    <t>Regionalny Dyrektor Sprzedaży - Manager Projektów</t>
  </si>
  <si>
    <t>https://www.pracuj.pl/praca/regionalny-dyrektor-sprzedazy-manager-projektow-podkarpackie,oferta,8532905</t>
  </si>
  <si>
    <t>2234362</t>
  </si>
  <si>
    <t>29748213</t>
  </si>
  <si>
    <t>IT Specialist</t>
  </si>
  <si>
    <t>https://www.pracuj.pl/praca/it-specialist-tajecina-pow-rzeszowski,oferta,1001334989</t>
  </si>
  <si>
    <t>2239921</t>
  </si>
  <si>
    <t>29751715</t>
  </si>
  <si>
    <t>neonet s.a.</t>
  </si>
  <si>
    <t>https://www.pracuj.pl/praca/kierownik-sklepu-debica,oferta,1001335719</t>
  </si>
  <si>
    <t>2241232</t>
  </si>
  <si>
    <t>29752370</t>
  </si>
  <si>
    <t>Neutron Ventures Poland Sp. z o.o.</t>
  </si>
  <si>
    <t>Customer Service Representative</t>
  </si>
  <si>
    <t>https://www.pracuj.pl/praca/customer-service-representative-subcarpathia,oferta,8533289</t>
  </si>
  <si>
    <t>2234505</t>
  </si>
  <si>
    <t>29748356</t>
  </si>
  <si>
    <t>No Fluff Jobs sp. z o.o.</t>
  </si>
  <si>
    <t>Copywriter</t>
  </si>
  <si>
    <t>Autor tekstów i sloganów reklamowych (copywriter)</t>
  </si>
  <si>
    <t>https://www.pracuj.pl/praca/copywriter-podkarpackie,oferta,8536245</t>
  </si>
  <si>
    <t>2235127</t>
  </si>
  <si>
    <t>29748978</t>
  </si>
  <si>
    <t>RPd057|243102</t>
  </si>
  <si>
    <t>NOMAD ELECTRIC Sp. z o.o.</t>
  </si>
  <si>
    <t>Head of Business Development Italy</t>
  </si>
  <si>
    <t>https://www.pracuj.pl/praca/head-of-business-development-italy-subcarpathia,oferta,8536425</t>
  </si>
  <si>
    <t>2235171</t>
  </si>
  <si>
    <t>29749016</t>
  </si>
  <si>
    <t>NPPP PODKARPACIAK</t>
  </si>
  <si>
    <t>Diagnosta/Terapeuta Integracji Sensorycznej</t>
  </si>
  <si>
    <t>https://gratka.pl/praca/diagnosta-terapeuta-procesow-integracji-sensorycznej/oi/23759287?utm_source=zielonalinia.pl&amp;utm_medium=zielonalinia&amp;utm_campaign=export_xml</t>
  </si>
  <si>
    <t>2233589</t>
  </si>
  <si>
    <t>29737766</t>
  </si>
  <si>
    <t>NTT Poland sp. z o.o.</t>
  </si>
  <si>
    <t>Ekspert Systemów Data Center</t>
  </si>
  <si>
    <t>https://www.pracuj.pl/praca/ekspert-systemow-data-center-podkarpackie,oferta,8533021</t>
  </si>
  <si>
    <t>2234398</t>
  </si>
  <si>
    <t>29748249</t>
  </si>
  <si>
    <t>Oleofarm sp. z o. o.</t>
  </si>
  <si>
    <t>https://www.pracuj.pl/praca/przedstawiciel-handlowy-podkarpackie,oferta,8535322</t>
  </si>
  <si>
    <t>2234912</t>
  </si>
  <si>
    <t>29748763</t>
  </si>
  <si>
    <t>Olikol Rail Energy Sp. z o.o.Sp.k.</t>
  </si>
  <si>
    <t>Automatyk srk</t>
  </si>
  <si>
    <t>https://www.praca.pl/automatyk-srk_5975967.html</t>
  </si>
  <si>
    <t>2232969</t>
  </si>
  <si>
    <t>29702099</t>
  </si>
  <si>
    <t>https://www.praca.pl/elektromonter_5976015.html</t>
  </si>
  <si>
    <t>2232985</t>
  </si>
  <si>
    <t>29702115</t>
  </si>
  <si>
    <t>https://www.praca.pl/pracownik-budowlany_5976066.html</t>
  </si>
  <si>
    <t>2233002</t>
  </si>
  <si>
    <t>29702132</t>
  </si>
  <si>
    <t>https://www.pracuj.pl/praca/magazynier-udt-rzeszow,oferta,1001335998</t>
  </si>
  <si>
    <t>2241771</t>
  </si>
  <si>
    <t>29752643</t>
  </si>
  <si>
    <t>PACKHELP SPÓŁKA AKCYJNA</t>
  </si>
  <si>
    <t>Sales Development Representative with German</t>
  </si>
  <si>
    <t>https://www.pracuj.pl/praca/sales-development-representative-with-german-rzeszow,oferta,1001335947</t>
  </si>
  <si>
    <t>2241673</t>
  </si>
  <si>
    <t>29752594</t>
  </si>
  <si>
    <t>PDR GARAGE</t>
  </si>
  <si>
    <t>https://www.pracuj.pl/praca/lakiernik-samochodowy-rzeszow,oferta,1001332383</t>
  </si>
  <si>
    <t>2235690</t>
  </si>
  <si>
    <t>29749424</t>
  </si>
  <si>
    <t>Pentacomp</t>
  </si>
  <si>
    <t>Kierownik Projektów IT</t>
  </si>
  <si>
    <t>https://www.pracuj.pl/praca/kierownik-projektow-it-podkarpackie,oferta,8535370</t>
  </si>
  <si>
    <t>2234930</t>
  </si>
  <si>
    <t>29748781</t>
  </si>
  <si>
    <t>https://www.pracuj.pl/praca/net-developer-rzeszow,oferta,1001333244</t>
  </si>
  <si>
    <t>2236835</t>
  </si>
  <si>
    <t>29750178</t>
  </si>
  <si>
    <t>Product Owner</t>
  </si>
  <si>
    <t>https://www.pracuj.pl/praca/product-owner-rzeszow,oferta,1001333259</t>
  </si>
  <si>
    <t>2236864</t>
  </si>
  <si>
    <t>29750193</t>
  </si>
  <si>
    <t>https://www.pracuj.pl/praca/python-developer-rzeszow,oferta,1001333268</t>
  </si>
  <si>
    <t>2236882</t>
  </si>
  <si>
    <t>29750202</t>
  </si>
  <si>
    <t>https://www.pracuj.pl/praca/specjalista-ds-automatyzacji-testow-oprogramowania-rzeszow,oferta,1001333250</t>
  </si>
  <si>
    <t>2236847</t>
  </si>
  <si>
    <t>29750184</t>
  </si>
  <si>
    <t>Inżynier geodeta - geodezyjne pomiary podstawowe i satelitarne</t>
  </si>
  <si>
    <t>https://www.praca.pl/starszy-specjalista_5978172.html</t>
  </si>
  <si>
    <t>2233509</t>
  </si>
  <si>
    <t>29703147</t>
  </si>
  <si>
    <t>RPd057|216505</t>
  </si>
  <si>
    <t>POLSAROS SP. Z O.O.</t>
  </si>
  <si>
    <t>Pracownik działu Handlu i Logistyki</t>
  </si>
  <si>
    <t>Polska, podkarpackie, Mokrzec (pow. dębicki)</t>
  </si>
  <si>
    <t>https://www.pracuj.pl/praca/pracownik-dzialu-handlu-i-logistyki-mokrzec-pow-debicki,oferta,1001335033</t>
  </si>
  <si>
    <t>2240006</t>
  </si>
  <si>
    <t>29751756</t>
  </si>
  <si>
    <t>Specjalista ds. Administracji</t>
  </si>
  <si>
    <t>https://www.pracuj.pl/praca/specjalista-ds-administracji-rzeszow,oferta,1001333342</t>
  </si>
  <si>
    <t>2237022</t>
  </si>
  <si>
    <t>29750272</t>
  </si>
  <si>
    <t>Kierownik Budowy - branża kolejowa</t>
  </si>
  <si>
    <t>https://www.pracuj.pl/praca/kierownik-budowy-branza-kolejowa-podkarpackie,oferta,8534357</t>
  </si>
  <si>
    <t>2234714</t>
  </si>
  <si>
    <t>29748565</t>
  </si>
  <si>
    <t>Kierownik Robót Torowych – branża kolejowa</t>
  </si>
  <si>
    <t>https://www.pracuj.pl/praca/kierownik-robot-torowych-branza-kolejowa-podkarpackie,oferta,8534374</t>
  </si>
  <si>
    <t>2234730</t>
  </si>
  <si>
    <t>29748581</t>
  </si>
  <si>
    <t>Administrator systemów ERP</t>
  </si>
  <si>
    <t>https://www.pracuj.pl/praca/administrator-systemow-erp-rzeszow,oferta,1001333723</t>
  </si>
  <si>
    <t>2237647</t>
  </si>
  <si>
    <t>29750581</t>
  </si>
  <si>
    <t>IT Delivery Manager</t>
  </si>
  <si>
    <t>https://www.pracuj.pl/praca/it-delivery-manager-rzeszow,oferta,1001333765</t>
  </si>
  <si>
    <t>2237694</t>
  </si>
  <si>
    <t>29750604</t>
  </si>
  <si>
    <t>Junior Recruiter</t>
  </si>
  <si>
    <t>https://www.pracuj.pl/praca/junior-recruiter-podkarpackie,oferta,8534462</t>
  </si>
  <si>
    <t>2234746</t>
  </si>
  <si>
    <t>29748597</t>
  </si>
  <si>
    <t>https://www.pracuj.pl/praca/reporting-data-analyst-rzeszow,oferta,1001335572</t>
  </si>
  <si>
    <t>2240981</t>
  </si>
  <si>
    <t>29752245</t>
  </si>
  <si>
    <t>Senior IT Recruiter</t>
  </si>
  <si>
    <t>https://www.pracuj.pl/praca/senior-it-recruiter-rzeszow,oferta,1001333836</t>
  </si>
  <si>
    <t>2237826</t>
  </si>
  <si>
    <t>29750669</t>
  </si>
  <si>
    <t>PREFAB VERANDA POLSKA SP. Z O.O.</t>
  </si>
  <si>
    <t>Młodszy Konstruktor / Projektant</t>
  </si>
  <si>
    <t>https://www.pracuj.pl/praca/mlodszy-konstruktor-projektant-tajecina-pow-rzeszowski,oferta,1001332892</t>
  </si>
  <si>
    <t>2236297</t>
  </si>
  <si>
    <t>29749908</t>
  </si>
  <si>
    <t>https://www.pracuj.pl/praca/mlodszy-konstruktor-projektant-jasionka-pow-rzeszowski,oferta,1001332893</t>
  </si>
  <si>
    <t>2236299</t>
  </si>
  <si>
    <t>29749909</t>
  </si>
  <si>
    <t>telefoniczny doradca ds. sprzedaży</t>
  </si>
  <si>
    <t>https://www.pracuj.pl/praca/telefoniczny-doradca-ds-sprzedazy-lublin,oferta,8536229</t>
  </si>
  <si>
    <t>2235118</t>
  </si>
  <si>
    <t>29748969</t>
  </si>
  <si>
    <t>https://www.goldenline.pl/praca/oferta/1293748/zielonalinia0?utm_campaign=partner&amp;gpid=1003472&amp;utm_medium=export&amp;glc_source=zielonalinia0&amp;utm_source=zielonalinia0</t>
  </si>
  <si>
    <t>12.11.2021</t>
  </si>
  <si>
    <t>2233861</t>
  </si>
  <si>
    <t>29747615</t>
  </si>
  <si>
    <t>Recruit Europe Sp.z o.o.</t>
  </si>
  <si>
    <t>Translator with Hungarian / Tłumacz języka Węgierskiego</t>
  </si>
  <si>
    <t>Polska, podkarpackie, cała Polska</t>
  </si>
  <si>
    <t>https://www.goldenline.pl/praca/oferta/1293716/zielonalinia0?utm_campaign=partner&amp;gpid=1003460&amp;utm_medium=export&amp;glc_source=zielonalinia0&amp;utm_source=zielonalinia0</t>
  </si>
  <si>
    <t>2233688</t>
  </si>
  <si>
    <t>29747442</t>
  </si>
  <si>
    <t>https://www.goldenline.pl/praca/oferta/1293614/zielonalinia0?utm_campaign=partner&amp;gpid=1003610&amp;utm_medium=export&amp;glc_source=zielonalinia0&amp;utm_source=zielonalinia0</t>
  </si>
  <si>
    <t>2233694</t>
  </si>
  <si>
    <t>29747448</t>
  </si>
  <si>
    <t>Reslogistic Sp. z o.o., Sp. Komandytowa</t>
  </si>
  <si>
    <t>Spedytor krajowy - Dyspozytor przesyłek drobnicowych</t>
  </si>
  <si>
    <t>https://www.pracuj.pl/praca/spedytor-krajowy-dyspozytor-przesylek-drobnicowych-glogow-malopolski,oferta,1001336132</t>
  </si>
  <si>
    <t>2241998</t>
  </si>
  <si>
    <t>29752756</t>
  </si>
  <si>
    <t>https://www.pracuj.pl/praca/spawacz-mielec,oferta,1001332495</t>
  </si>
  <si>
    <t>2235799</t>
  </si>
  <si>
    <t>29749533</t>
  </si>
  <si>
    <t>Ślusarz Produkcyjny - Monter</t>
  </si>
  <si>
    <t>https://www.pracuj.pl/praca/slusarz-produkcyjny-monter-mielec,oferta,1001332487</t>
  </si>
  <si>
    <t>2235791</t>
  </si>
  <si>
    <t>29749525</t>
  </si>
  <si>
    <t>Przedstawicel Medyczny</t>
  </si>
  <si>
    <t>https://www.pracuj.pl/praca/przedstawicel-medyczny-podkarpackie,oferta,8534010</t>
  </si>
  <si>
    <t>2234617</t>
  </si>
  <si>
    <t>29748468</t>
  </si>
  <si>
    <t>https://www.pracuj.pl/praca/aem-backend-developer-rzeszow,oferta,1001331942</t>
  </si>
  <si>
    <t>2235590</t>
  </si>
  <si>
    <t>29749324</t>
  </si>
  <si>
    <t>Architekt Rozwiązań Chmurowych</t>
  </si>
  <si>
    <t>https://www.pracuj.pl/praca/architekt-rozwiazan-chmurowych-rzeszow,oferta,1001331820</t>
  </si>
  <si>
    <t>2235551</t>
  </si>
  <si>
    <t>29749285</t>
  </si>
  <si>
    <t>Delivery Operation Specialist w dziale projektowym Microsoft 365</t>
  </si>
  <si>
    <t>https://www.pracuj.pl/praca/delivery-operation-specialist-w-dziale-projektowym-microsoft-365-rzeszow,oferta,1001335860</t>
  </si>
  <si>
    <t>2241503</t>
  </si>
  <si>
    <t>29752508</t>
  </si>
  <si>
    <t>https://www.pracuj.pl/praca/devops-engineer-rzeszow,oferta,1001331831</t>
  </si>
  <si>
    <t>2235562</t>
  </si>
  <si>
    <t>29749296</t>
  </si>
  <si>
    <t>Integration Developer do Centrum Kompetencyjnego Digital</t>
  </si>
  <si>
    <t>https://www.pracuj.pl/praca/integration-developer-do-centrum-kompetencyjnego-digital-rzeszow,oferta,1001331924</t>
  </si>
  <si>
    <t>2235572</t>
  </si>
  <si>
    <t>29749306</t>
  </si>
  <si>
    <t>Java 11 Developer</t>
  </si>
  <si>
    <t>https://www.pracuj.pl/praca/java-11-developer-rzeszow,oferta,1001331931</t>
  </si>
  <si>
    <t>2235579</t>
  </si>
  <si>
    <t>29749313</t>
  </si>
  <si>
    <t>https://www.pracuj.pl/praca/projektant-elektryk-rzeszow,oferta,1001334921</t>
  </si>
  <si>
    <t>2239796</t>
  </si>
  <si>
    <t>29751651</t>
  </si>
  <si>
    <t>Projektant Instalacji Elektrycznych EPLAN</t>
  </si>
  <si>
    <t>https://www.pracuj.pl/praca/projektant-instalacji-elektrycznych-eplan-rzeszow,oferta,1001334915</t>
  </si>
  <si>
    <t>2239785</t>
  </si>
  <si>
    <t>29751645</t>
  </si>
  <si>
    <t>https://www.praca.pl/pracownik-magazynu_5982612.html</t>
  </si>
  <si>
    <t>2233129</t>
  </si>
  <si>
    <t>29702375</t>
  </si>
  <si>
    <t>Asystent/ka Przedstawiciela Handlowego</t>
  </si>
  <si>
    <t>https://www.pracuj.pl/praca/asystent-ka-przedstawiciela-handlowego-rzeszow,oferta,1001335390</t>
  </si>
  <si>
    <t>2240690</t>
  </si>
  <si>
    <t>29752097</t>
  </si>
  <si>
    <t>Młodszy Przedstawiciel Handlowy</t>
  </si>
  <si>
    <t>https://www.pracuj.pl/praca/mlodszy-przedstawiciel-handlowy-rzeszow,oferta,1001335310</t>
  </si>
  <si>
    <t>2240538</t>
  </si>
  <si>
    <t>29752021</t>
  </si>
  <si>
    <t>Stanley Black &amp; Decker</t>
  </si>
  <si>
    <t>Sales &amp; Marketing SLP (Graduate Leadership Program)</t>
  </si>
  <si>
    <t>https://www.pracuj.pl/praca/sales-marketing-slp-graduate-leadership-program-rzeszow,oferta,1001334782</t>
  </si>
  <si>
    <t>2239533</t>
  </si>
  <si>
    <t>29751520</t>
  </si>
  <si>
    <t>Inside Sales Representative with German</t>
  </si>
  <si>
    <t>https://www.praca.pl/inside-sales-representative-with-german_5983209.html</t>
  </si>
  <si>
    <t>2233056</t>
  </si>
  <si>
    <t>29702214</t>
  </si>
  <si>
    <t>Inside Sales Representative-CribMaster</t>
  </si>
  <si>
    <t>https://www.praca.pl/inside-sales-representative-cribmaster_5983260.html</t>
  </si>
  <si>
    <t>2233040</t>
  </si>
  <si>
    <t>29702198</t>
  </si>
  <si>
    <t>Sprzedawca na Stoisku Mięsnym</t>
  </si>
  <si>
    <t>Polska, podkarpackie, Chorzelów (pow. mielecki)</t>
  </si>
  <si>
    <t>https://www.pracuj.pl/praca/sprzedawca-na-stoisku-miesnym-chorzelow-pow-mielecki,oferta,1001335817</t>
  </si>
  <si>
    <t>2241422</t>
  </si>
  <si>
    <t>29752467</t>
  </si>
  <si>
    <t>https://www.pracuj.pl/praca/sprzedawca-na-stoisku-miesnym-kolbuszowa,oferta,1001335818</t>
  </si>
  <si>
    <t>2241424</t>
  </si>
  <si>
    <t>29752468</t>
  </si>
  <si>
    <t>https://www.pracuj.pl/praca/sprzedawca-na-stoisku-miesnym-nowa-deba,oferta,1001335819</t>
  </si>
  <si>
    <t>2241426</t>
  </si>
  <si>
    <t>29752469</t>
  </si>
  <si>
    <t>2234047</t>
  </si>
  <si>
    <t>29747801</t>
  </si>
  <si>
    <t>2234180</t>
  </si>
  <si>
    <t>29747934</t>
  </si>
  <si>
    <t>Regionalny Manager ds. Sieci Agencyjnej</t>
  </si>
  <si>
    <t>https://www.pracuj.pl/praca/regionalny-manager-ds-sieci-agencyjnej-podkarpackie,oferta,8534969</t>
  </si>
  <si>
    <t>2234828</t>
  </si>
  <si>
    <t>29748679</t>
  </si>
  <si>
    <t>Consumer Insight Specialist</t>
  </si>
  <si>
    <t>https://www.pracuj.pl/praca/consumer-insight-specialist-brzeznica-pow-debicki,oferta,1001334423</t>
  </si>
  <si>
    <t>2238862</t>
  </si>
  <si>
    <t>29751185</t>
  </si>
  <si>
    <t>Trade Marketing Manager</t>
  </si>
  <si>
    <t>https://www.pracuj.pl/praca/trade-marketing-manager-brzeznica-pow-debicki,oferta,1001333839</t>
  </si>
  <si>
    <t>2237832</t>
  </si>
  <si>
    <t>29750672</t>
  </si>
  <si>
    <t>Tarkett Polska Sp. Z o.o. Oddział w Jaśle</t>
  </si>
  <si>
    <t>Inżynier Projektu</t>
  </si>
  <si>
    <t>https://www.pracuj.pl/praca/inzynier-projektu-jaslo,oferta,1001334169</t>
  </si>
  <si>
    <t>2238389</t>
  </si>
  <si>
    <t>29750949</t>
  </si>
  <si>
    <t>Kierownik Działu Jakości</t>
  </si>
  <si>
    <t>https://www.pracuj.pl/praca/kierownik-dzialu-jakosci-stalowa-wola,oferta,1001334792</t>
  </si>
  <si>
    <t>2239552</t>
  </si>
  <si>
    <t>29751530</t>
  </si>
  <si>
    <t>Specjalista ds. Księgowości</t>
  </si>
  <si>
    <t>https://www.pracuj.pl/praca/specjalista-ds-ksiegowosci-przeworsk,oferta,1001336096</t>
  </si>
  <si>
    <t>2241926</t>
  </si>
  <si>
    <t>29752720</t>
  </si>
  <si>
    <t>Kierownik ds. personalnych (HR Manager)</t>
  </si>
  <si>
    <t>https://www.pracuj.pl/praca/kierownik-ds-personalnych-hr-manager-wola-dalsza-pow-lancucki,oferta,1001334734</t>
  </si>
  <si>
    <t>2239445</t>
  </si>
  <si>
    <t>29751476</t>
  </si>
  <si>
    <t>https://www.goldenline.pl/praca/oferta/1293978/zielonalinia0?utm_campaign=partner&amp;gpid=1003868&amp;utm_medium=export&amp;glc_source=zielonalinia0&amp;utm_source=zielonalinia0</t>
  </si>
  <si>
    <t>2234045</t>
  </si>
  <si>
    <t>29747799</t>
  </si>
  <si>
    <t>2234093</t>
  </si>
  <si>
    <t>29747847</t>
  </si>
  <si>
    <t>UNIDEX J.Kania J.Wiktor Spółka jawna</t>
  </si>
  <si>
    <t>https://www.pracuj.pl/praca/magazynier-straszecin-pow-debicki,oferta,1001334260</t>
  </si>
  <si>
    <t>2238565</t>
  </si>
  <si>
    <t>29751036</t>
  </si>
  <si>
    <t>https://www.pracuj.pl/praca/menedzer-sprzedazy-rzeszow,oferta,1001335246</t>
  </si>
  <si>
    <t>2240414</t>
  </si>
  <si>
    <t>29751959</t>
  </si>
  <si>
    <t>USŁUGI BUDOWLANO DEKARSKIE Mariusz Pięta</t>
  </si>
  <si>
    <t>Dekarz (możliwość przyuczenia)</t>
  </si>
  <si>
    <t>Polska, podkarpackie, Gnojnica (pow. ropczycko-sędziszowski)</t>
  </si>
  <si>
    <t>https://www.pracuj.pl/praca/dekarz-mozliwosc-przyuczenia-gnojnica-pow-ropczycko-sedziszowski,oferta,1001334139</t>
  </si>
  <si>
    <t>2238333</t>
  </si>
  <si>
    <t>29750921</t>
  </si>
  <si>
    <t>RPd057|712101</t>
  </si>
  <si>
    <t>Varimed Sp. z o. o.</t>
  </si>
  <si>
    <t>Mobilny Serwisant Sprzętu Medycznego</t>
  </si>
  <si>
    <t>https://www.pracuj.pl/praca/mobilny-serwisant-sprzetu-medycznego-podkarpackie,oferta,8536129</t>
  </si>
  <si>
    <t>2235105</t>
  </si>
  <si>
    <t>29748956</t>
  </si>
  <si>
    <t>VIRTUS LOGISTICS SP. Z O.O.</t>
  </si>
  <si>
    <t>Spedytor / Team Leader</t>
  </si>
  <si>
    <t>https://www.pracuj.pl/praca/spedytor-team-leader-mielec,oferta,1001336111</t>
  </si>
  <si>
    <t>2241956</t>
  </si>
  <si>
    <t>29752735</t>
  </si>
  <si>
    <t>VSHAPER Sp. z o.o.</t>
  </si>
  <si>
    <t>Konstruktor – Dział R&amp;D</t>
  </si>
  <si>
    <t>https://www.pracuj.pl/praca/konstruktor-dzial-r-d-rzeszow,oferta,1001335131</t>
  </si>
  <si>
    <t>2240204</t>
  </si>
  <si>
    <t>29751854</t>
  </si>
  <si>
    <t>AR Accountant</t>
  </si>
  <si>
    <t>https://www.pracuj.pl/praca/ar-accountant-subcarpathia,oferta,8533157</t>
  </si>
  <si>
    <t>2234454</t>
  </si>
  <si>
    <t>29748305</t>
  </si>
  <si>
    <t>https://www.praca.pl/starszy-specjalista_5978223.html</t>
  </si>
  <si>
    <t>2233524</t>
  </si>
  <si>
    <t>29703162</t>
  </si>
  <si>
    <t>X - Comp Sp. z o.o.</t>
  </si>
  <si>
    <t>Serwisant do prac w zakresie hydrauliki przemysłowej</t>
  </si>
  <si>
    <t>Operator reaktora</t>
  </si>
  <si>
    <t>https://www.pracuj.pl/praca/serwisant-do-prac-w-zakresie-hydrauliki-przemyslowej-podkarpackie,oferta,8535596</t>
  </si>
  <si>
    <t>2234978</t>
  </si>
  <si>
    <t>29748829</t>
  </si>
  <si>
    <t>RPd057|311905</t>
  </si>
  <si>
    <t>Xometry Europe GmbH</t>
  </si>
  <si>
    <t>Head of Xometry Supplies</t>
  </si>
  <si>
    <t>https://www.pracuj.pl/praca/head-of-xometry-supplies-subcarpathia,oferta,8535230</t>
  </si>
  <si>
    <t>2234892</t>
  </si>
  <si>
    <t>29748743</t>
  </si>
  <si>
    <t>Junior Sales Activation Specialist</t>
  </si>
  <si>
    <t>https://www.pracuj.pl/praca/junior-sales-activation-specialist-subcarpathia,oferta,8533309</t>
  </si>
  <si>
    <t>2234513</t>
  </si>
  <si>
    <t>29748364</t>
  </si>
  <si>
    <t>zielonyVOLT.pl</t>
  </si>
  <si>
    <t>https://www.pracuj.pl/praca/doradca-klienta-biznesowego-brzozow,oferta,8533534</t>
  </si>
  <si>
    <t>2234542</t>
  </si>
  <si>
    <t>29748393</t>
  </si>
  <si>
    <t>Kierownik robót ds. elektrycznych (przebudowa linii tramwajowej)</t>
  </si>
  <si>
    <t>https://www.praca.pl/kierownik-robot-ds-elektrycznych-przebudowa-linii-tramwajowej_5984895.html</t>
  </si>
  <si>
    <t>2232930</t>
  </si>
  <si>
    <t>29701951</t>
  </si>
  <si>
    <t>03.11.2021 03:31</t>
  </si>
  <si>
    <t>26.10.2021</t>
  </si>
  <si>
    <t>2199602</t>
  </si>
  <si>
    <t>29385356</t>
  </si>
  <si>
    <t>2199240</t>
  </si>
  <si>
    <t>29384994</t>
  </si>
  <si>
    <t>https://www.praca.pl/doradca-techniczno-handlowy_5933994.html</t>
  </si>
  <si>
    <t>03.11.2021 03:05</t>
  </si>
  <si>
    <t>2198496</t>
  </si>
  <si>
    <t>29340334</t>
  </si>
  <si>
    <t>Kierowca kat. B w transporcie międzynarodowym - pracownik sezonowy</t>
  </si>
  <si>
    <t>https://www.praca.pl/kierowca-kat-b-w-transporcie-miedzynarodowym-pracownik-sezonowy_5891805.html</t>
  </si>
  <si>
    <t>2197480</t>
  </si>
  <si>
    <t>28970987</t>
  </si>
  <si>
    <t>https://www.praca.pl/architect-senior_5876805.html</t>
  </si>
  <si>
    <t>2197377</t>
  </si>
  <si>
    <t>28869881</t>
  </si>
  <si>
    <t>Architect Senior</t>
  </si>
  <si>
    <t>https://www.praca.pl/architect-senior_5876757.html</t>
  </si>
  <si>
    <t>2197393</t>
  </si>
  <si>
    <t>28869897</t>
  </si>
  <si>
    <t>Python Developer- Professional</t>
  </si>
  <si>
    <t>https://www.praca.pl/python-developer-professional_5876853.html</t>
  </si>
  <si>
    <t>2197361</t>
  </si>
  <si>
    <t>28869865</t>
  </si>
  <si>
    <t>Python Developer Senior</t>
  </si>
  <si>
    <t>https://www.praca.pl/python-developer-senior_5876901.html</t>
  </si>
  <si>
    <t>2197345</t>
  </si>
  <si>
    <t>28869849</t>
  </si>
  <si>
    <t>Senior CSV Consultant</t>
  </si>
  <si>
    <t>https://www.praca.pl/senior-csv-consultant_5933667.html</t>
  </si>
  <si>
    <t>2198567</t>
  </si>
  <si>
    <t>29340407</t>
  </si>
  <si>
    <t>Senior Tech Lead Wayfind-R and Collaboration Network</t>
  </si>
  <si>
    <t>https://www.praca.pl/senior-tech-lead-wayfind-r-and-collaboration-network_5876661.html</t>
  </si>
  <si>
    <t>2197409</t>
  </si>
  <si>
    <t>28869913</t>
  </si>
  <si>
    <t>Solution Architect (projekt: BioSample)</t>
  </si>
  <si>
    <t>https://www.praca.pl/solution-architect-projekt-biosample_5876709.html</t>
  </si>
  <si>
    <t>2197448</t>
  </si>
  <si>
    <t>28919295</t>
  </si>
  <si>
    <t>2199148</t>
  </si>
  <si>
    <t>29384902</t>
  </si>
  <si>
    <t>2199136</t>
  </si>
  <si>
    <t>29384890</t>
  </si>
  <si>
    <t>B-CONSULTING Bartłomiej Gębarowski</t>
  </si>
  <si>
    <t>Trener do zajęć z seniorami</t>
  </si>
  <si>
    <t>https://www.pracuj.pl/praca/trener-do-zajec-z-seniorami-rzeszow,oferta,1001317275</t>
  </si>
  <si>
    <t>03.11.2021 03:40</t>
  </si>
  <si>
    <t>01.11.2021</t>
  </si>
  <si>
    <t>2199896</t>
  </si>
  <si>
    <t>29385721</t>
  </si>
  <si>
    <t>Trener Kompetencji Miękkich</t>
  </si>
  <si>
    <t>https://www.pracuj.pl/praca/trener-kompetencji-miekkich-rzeszow,oferta,1001317215</t>
  </si>
  <si>
    <t>2199836</t>
  </si>
  <si>
    <t>29385661</t>
  </si>
  <si>
    <t>https://www.praca.pl/starszy-asystent-projektanta-drogowego_5887899.html</t>
  </si>
  <si>
    <t>2197752</t>
  </si>
  <si>
    <t>28971529</t>
  </si>
  <si>
    <t>https://www.praca.pl/pracownik-produkcji_5937453.html</t>
  </si>
  <si>
    <t>2198217</t>
  </si>
  <si>
    <t>29340032</t>
  </si>
  <si>
    <t>ECOL Sp. z o.o.</t>
  </si>
  <si>
    <t>Monter - Pracownik Serwisu Remontowego</t>
  </si>
  <si>
    <t>Pozostali monterzy elektronicy i serwisanci urządzeń elektronicznych</t>
  </si>
  <si>
    <t>https://www.praca.pl/monter-pracownik-serwisu-remontowego_5891013.html</t>
  </si>
  <si>
    <t>2197532</t>
  </si>
  <si>
    <t>28971061</t>
  </si>
  <si>
    <t>RPd057|742190</t>
  </si>
  <si>
    <t>Koordynator ds. Obsługi Rynku Estońskiego</t>
  </si>
  <si>
    <t>Pozostali pośrednicy handlowi</t>
  </si>
  <si>
    <t>https://www.praca.pl/koordynator-ds-obslugi-rynku-estonskiego_5916681.html</t>
  </si>
  <si>
    <t>2198045</t>
  </si>
  <si>
    <t>29194380</t>
  </si>
  <si>
    <t>Doradca Klienta D2D (Fotowoltaika)</t>
  </si>
  <si>
    <t>https://www.praca.pl/doradca-klienta-d2d-fotowoltaika_5930238.html</t>
  </si>
  <si>
    <t>2199002</t>
  </si>
  <si>
    <t>29340875</t>
  </si>
  <si>
    <t>Elektromonter instalacji fotowoltaicznych</t>
  </si>
  <si>
    <t>https://www.praca.pl/elektromonter-instalacji-fotowoltaicznych_5930277.html</t>
  </si>
  <si>
    <t>2199015</t>
  </si>
  <si>
    <t>29340888</t>
  </si>
  <si>
    <t>Exorigo-Upos S. A.</t>
  </si>
  <si>
    <t>Analityk Biznesowo-Systemowy</t>
  </si>
  <si>
    <t>https://www.praca.pl/analityk-biznesowo-systemowy_5902749.html</t>
  </si>
  <si>
    <t>27.11.2021</t>
  </si>
  <si>
    <t>2197943</t>
  </si>
  <si>
    <t>29082933</t>
  </si>
  <si>
    <t>F. L. Polska Sp. z o. o.</t>
  </si>
  <si>
    <t>https://www.praca.pl/kierowca-w-transporcie-miedzynarodowym-c-e_5162043.html</t>
  </si>
  <si>
    <t>2198945</t>
  </si>
  <si>
    <t>29340818</t>
  </si>
  <si>
    <t>Generalny Partner Finansowy</t>
  </si>
  <si>
    <t>Multiagent ubezpieczeniowy</t>
  </si>
  <si>
    <t>https://www.pracuj.pl/praca/multiagent-ubezpieczeniowy-debica,oferta,8514331</t>
  </si>
  <si>
    <t>2199763</t>
  </si>
  <si>
    <t>29385588</t>
  </si>
  <si>
    <t>https://www.praca.pl/logistics-and-supply-chain-coordinator-with-czech_5869053.html</t>
  </si>
  <si>
    <t>2197271</t>
  </si>
  <si>
    <t>28816646</t>
  </si>
  <si>
    <t>https://www.praca.pl/logistics-and-supply-chain-coordinator-with-german_5851272.html</t>
  </si>
  <si>
    <t>2197207</t>
  </si>
  <si>
    <t>28816582</t>
  </si>
  <si>
    <t>https://www.praca.pl/logistics-and-supply-chain-coordinator-with-german_5851320.html</t>
  </si>
  <si>
    <t>2197223</t>
  </si>
  <si>
    <t>28816598</t>
  </si>
  <si>
    <t>https://www.praca.pl/logistics-and-supply-chain-coordinator-with-german_5869164.html</t>
  </si>
  <si>
    <t>2197287</t>
  </si>
  <si>
    <t>28816662</t>
  </si>
  <si>
    <t>Management Accounting Specialist with German</t>
  </si>
  <si>
    <t>https://www.praca.pl/management-accounting-specialist-with-german_5851368.html</t>
  </si>
  <si>
    <t>2197239</t>
  </si>
  <si>
    <t>28816614</t>
  </si>
  <si>
    <t>https://www.praca.pl/management-accounting-specialist-with-german_5869266.html</t>
  </si>
  <si>
    <t>2197319</t>
  </si>
  <si>
    <t>28816694</t>
  </si>
  <si>
    <t>https://www.praca.pl/supply-chain-planning-and-buying-specialist-with-german_5851416.html</t>
  </si>
  <si>
    <t>2197255</t>
  </si>
  <si>
    <t>28816630</t>
  </si>
  <si>
    <t>https://www.praca.pl/supply-chain-planning-and-buying-specialist-with-german_5869212.html</t>
  </si>
  <si>
    <t>2197303</t>
  </si>
  <si>
    <t>28816678</t>
  </si>
  <si>
    <t>GetResponse Sp. z o.o.</t>
  </si>
  <si>
    <t>Application Tester</t>
  </si>
  <si>
    <t>https://www.praca.pl/application-tester_5931045.html</t>
  </si>
  <si>
    <t>2198899</t>
  </si>
  <si>
    <t>29340769</t>
  </si>
  <si>
    <t>https://www.praca.pl/front-end-developer_5930865.html</t>
  </si>
  <si>
    <t>2198835</t>
  </si>
  <si>
    <t>29340705</t>
  </si>
  <si>
    <t>https://www.praca.pl/php-developer_5930997.html</t>
  </si>
  <si>
    <t>2198883</t>
  </si>
  <si>
    <t>29340753</t>
  </si>
  <si>
    <t>PHP Developer with WordPress</t>
  </si>
  <si>
    <t>https://www.praca.pl/php-developer-with-wordpress_5930919.html</t>
  </si>
  <si>
    <t>2198867</t>
  </si>
  <si>
    <t>29340737</t>
  </si>
  <si>
    <t>Software Development Manager</t>
  </si>
  <si>
    <t>https://www.praca.pl/software-development-manager_5937132.html</t>
  </si>
  <si>
    <t>2198232</t>
  </si>
  <si>
    <t>29340050</t>
  </si>
  <si>
    <t>https://www.praca.pl/it-analyst-with-german-english_5858199.html</t>
  </si>
  <si>
    <t>2197189</t>
  </si>
  <si>
    <t>28816547</t>
  </si>
  <si>
    <t>https://www.praca.pl/technical-support-agent-with-french-english_5858151.html</t>
  </si>
  <si>
    <t>2197173</t>
  </si>
  <si>
    <t>28816531</t>
  </si>
  <si>
    <t>Integra Software Sp. z o.o.</t>
  </si>
  <si>
    <t>https://www.praca.pl/specjalista-ds-marketingu_5930817.html</t>
  </si>
  <si>
    <t>2198778</t>
  </si>
  <si>
    <t>29340646</t>
  </si>
  <si>
    <t>https://www.praca.pl/kierownik-robot_5932710.html</t>
  </si>
  <si>
    <t>2198658</t>
  </si>
  <si>
    <t>29340516</t>
  </si>
  <si>
    <t>Operator Dźwigu Kat II Ż</t>
  </si>
  <si>
    <t>https://www.praca.pl/operator-dzwigu-kat-ii-z_5936679.html</t>
  </si>
  <si>
    <t>2198272</t>
  </si>
  <si>
    <t>29340091</t>
  </si>
  <si>
    <t>Operator Koparki Kategorii 1 [rekrutacja online]</t>
  </si>
  <si>
    <t>https://www.praca.pl/operator-koparki-kategorii-1-rekrutacja-online_5936631.html</t>
  </si>
  <si>
    <t>2198256</t>
  </si>
  <si>
    <t>29340075</t>
  </si>
  <si>
    <t>https://www.praca.pl/pracownik-produkcji_5937438.html</t>
  </si>
  <si>
    <t>2198224</t>
  </si>
  <si>
    <t>29340041</t>
  </si>
  <si>
    <t>https://www.praca.pl/pracownik-produkcji_5937441.html</t>
  </si>
  <si>
    <t>2198225</t>
  </si>
  <si>
    <t>29340042</t>
  </si>
  <si>
    <t>Monter konstrukcji budowlanych*</t>
  </si>
  <si>
    <t>https://www.praca.pl/monter-karton-gips_5889543.html</t>
  </si>
  <si>
    <t>2197605</t>
  </si>
  <si>
    <t>28971298</t>
  </si>
  <si>
    <t>RPd057|711102</t>
  </si>
  <si>
    <t>https://www.praca.pl/zbrojarz_5889597.html</t>
  </si>
  <si>
    <t>2197587</t>
  </si>
  <si>
    <t>28971280</t>
  </si>
  <si>
    <t>LeasingTeam Professional</t>
  </si>
  <si>
    <t>Specjalista ds. obsługi klienta z językiem niemieckim</t>
  </si>
  <si>
    <t>https://www.praca.pl/specjalista-ds-obslugi-klienta-z-jezykiem-niemieckim_5937486.html</t>
  </si>
  <si>
    <t>2198204</t>
  </si>
  <si>
    <t>29340017</t>
  </si>
  <si>
    <t>LOBO HR</t>
  </si>
  <si>
    <t>Mechanik maszyn budowlanych</t>
  </si>
  <si>
    <t>Mechanik maszyn i urządzeń budowlanych i melioracyjnych</t>
  </si>
  <si>
    <t>Polska, podkarpackie, Rzeszów, Krosno</t>
  </si>
  <si>
    <t>https://www.praca.pl/mechanik-maszyn-budowlanych_5887953.html</t>
  </si>
  <si>
    <t>2197729</t>
  </si>
  <si>
    <t>28971505</t>
  </si>
  <si>
    <t>1863,1861</t>
  </si>
  <si>
    <t>RPd057|723303</t>
  </si>
  <si>
    <t>2</t>
  </si>
  <si>
    <t>LUX MED Sp. z o.o.</t>
  </si>
  <si>
    <t>Lekarz Stomatolog (stomatologia zachowawcza)</t>
  </si>
  <si>
    <t>https://www.praca.pl/lekarz-stomatolog-stomatologia-zachowawcza_5750655.html</t>
  </si>
  <si>
    <t>2198023</t>
  </si>
  <si>
    <t>29139963</t>
  </si>
  <si>
    <t>Inżynier operacyjny zarządzania programami (również z orzeczeniem) Rzeszów</t>
  </si>
  <si>
    <t>https://www.goldenline.pl/praca/oferta/1293474/zielonalinia0?utm_campaign=partner&amp;gpid=1003324&amp;utm_medium=export&amp;glc_source=zielonalinia0&amp;utm_source=zielonalinia0</t>
  </si>
  <si>
    <t>03.11.2021 03:30</t>
  </si>
  <si>
    <t>09.10.2021</t>
  </si>
  <si>
    <t>2199117</t>
  </si>
  <si>
    <t>29384871</t>
  </si>
  <si>
    <t>Specjalista helpdesk z językiem francuskim</t>
  </si>
  <si>
    <t>https://gratka.pl/praca/specjalista-helpdesk-z-jezykiem-francuskim/ob/23302051?utm_source=zielonalinia.pl&amp;utm_medium=zielonalinia&amp;utm_campaign=export_xml</t>
  </si>
  <si>
    <t>Telekomunikacja</t>
  </si>
  <si>
    <t>03.11.2021 03:15</t>
  </si>
  <si>
    <t>04.11.2021</t>
  </si>
  <si>
    <t>2197035</t>
  </si>
  <si>
    <t>27836050</t>
  </si>
  <si>
    <t>Asystent Zarządu</t>
  </si>
  <si>
    <t>Asystent zarządu</t>
  </si>
  <si>
    <t>https://www.pracuj.pl/praca/asystent-zarzadu-krosno,oferta,1001317268</t>
  </si>
  <si>
    <t>03.11.2021 04:38</t>
  </si>
  <si>
    <t>2199889</t>
  </si>
  <si>
    <t>29385714</t>
  </si>
  <si>
    <t>https://www.praca.pl/opiekun-klienta_5852532.html</t>
  </si>
  <si>
    <t>2197056</t>
  </si>
  <si>
    <t>28648747</t>
  </si>
  <si>
    <t>1811,1863</t>
  </si>
  <si>
    <t>Pracownik robót tunelowych z doświadczeniem przy obsłudze sprzętu tunelowego</t>
  </si>
  <si>
    <t>https://www.praca.pl/pracownik-robot-tunelowych-z-doswiadczeniem-przy-obsludze-sprzetu-tunelowego_5934405.html</t>
  </si>
  <si>
    <t>2198469</t>
  </si>
  <si>
    <t>29340292</t>
  </si>
  <si>
    <t>Kierownik Robót Budowlanych / Kierownik Budowy</t>
  </si>
  <si>
    <t>https://www.praca.pl/kierownik-robot-budowlanych-kierownik-budowy_5936082.html</t>
  </si>
  <si>
    <t>2198313</t>
  </si>
  <si>
    <t>29340132</t>
  </si>
  <si>
    <t>https://www.praca.pl/kierownik-robot-drogowych_5936130.html</t>
  </si>
  <si>
    <t>2198329</t>
  </si>
  <si>
    <t>29340148</t>
  </si>
  <si>
    <t>FPGA Design Engineer   [rekrutacja online]</t>
  </si>
  <si>
    <t>https://www.praca.pl/fpga-design-engineer-rekrutacja-online_5891427.html</t>
  </si>
  <si>
    <t>2197503</t>
  </si>
  <si>
    <t>28971014</t>
  </si>
  <si>
    <t>L1 Specification Engineer</t>
  </si>
  <si>
    <t>https://www.pracuj.pl/praca/l1-specification-engineer-subcarpathia,oferta,8432357</t>
  </si>
  <si>
    <t>03.11.2021 04:20</t>
  </si>
  <si>
    <t>02.10.2021</t>
  </si>
  <si>
    <t>31.10.2021</t>
  </si>
  <si>
    <t>2196999</t>
  </si>
  <si>
    <t>27796607</t>
  </si>
  <si>
    <t>Linux Scripting Engineer</t>
  </si>
  <si>
    <t>https://www.pracuj.pl/praca/linux-scripting-engineer-subcarpathia,oferta,8432470</t>
  </si>
  <si>
    <t>2196984</t>
  </si>
  <si>
    <t>27796544</t>
  </si>
  <si>
    <t>PCRF Technical Care Specialist  [rekrutacja online]</t>
  </si>
  <si>
    <t>https://www.praca.pl/pcrf-technical-care-specialist-rekrutacja-online_5887521.html</t>
  </si>
  <si>
    <t>2197794</t>
  </si>
  <si>
    <t>28971610</t>
  </si>
  <si>
    <t>Power Consumption measurements Engineer  [rekrutacja online]</t>
  </si>
  <si>
    <t>https://www.praca.pl/power-consumption-measurements-engineer-rekrutacja-online_5931093.html</t>
  </si>
  <si>
    <t>2198851</t>
  </si>
  <si>
    <t>29340721</t>
  </si>
  <si>
    <t>Python &amp; JavaScript Developer [rekrutacja online]</t>
  </si>
  <si>
    <t>https://www.praca.pl/python-javascript-developer-rekrutacja-online_5912514.html</t>
  </si>
  <si>
    <t>2198027</t>
  </si>
  <si>
    <t>29194338</t>
  </si>
  <si>
    <t>Senior Integration Specialist  [rekrutacja online]</t>
  </si>
  <si>
    <t>https://www.praca.pl/senior-integration-specialist-rekrutacja-online_5887467.html</t>
  </si>
  <si>
    <t>2197810</t>
  </si>
  <si>
    <t>28971626</t>
  </si>
  <si>
    <t>Telco Troubleshooter  [rekrutacja online]</t>
  </si>
  <si>
    <t>https://www.praca.pl/telco-troubleshooter-rekrutacja-online_5880024.html</t>
  </si>
  <si>
    <t>2197834</t>
  </si>
  <si>
    <t>28971650</t>
  </si>
  <si>
    <t>https://www.pracuj.pl/praca/dyrektor-oddzialu-rzeszow,oferta,1001317251</t>
  </si>
  <si>
    <t>2199872</t>
  </si>
  <si>
    <t>29385697</t>
  </si>
  <si>
    <t>Nowa Itaka Sp. z o.o.</t>
  </si>
  <si>
    <t>Animator Czasu Wolnego</t>
  </si>
  <si>
    <t>Animator czasu wolnego młodzieży (pracownik młodzieżowy)</t>
  </si>
  <si>
    <t>https://www.praca.pl/animator-czasu-wolnego_5931603.html</t>
  </si>
  <si>
    <t>Sport/Rekreacja</t>
  </si>
  <si>
    <t>2198758</t>
  </si>
  <si>
    <t>29340626</t>
  </si>
  <si>
    <t>RPd057|235916</t>
  </si>
  <si>
    <t>https://www.praca.pl/elektryk_5905554.html</t>
  </si>
  <si>
    <t>2197907</t>
  </si>
  <si>
    <t>29082510</t>
  </si>
  <si>
    <t>Monter / Tapicer / Pakowacz</t>
  </si>
  <si>
    <t>Tapicer*</t>
  </si>
  <si>
    <t>https://www.praca.pl/monter-tapicer-pakowacz_5932464.html</t>
  </si>
  <si>
    <t>2198697</t>
  </si>
  <si>
    <t>29340565</t>
  </si>
  <si>
    <t>RPd057|753402</t>
  </si>
  <si>
    <t>https://www.praca.pl/stolarz_5932590.html</t>
  </si>
  <si>
    <t>2198693</t>
  </si>
  <si>
    <t>29340560</t>
  </si>
  <si>
    <t>Szwaczka / Szwacz</t>
  </si>
  <si>
    <t>Szwaczka ręczna</t>
  </si>
  <si>
    <t>https://www.praca.pl/szwaczka-szwacz_5932581.html</t>
  </si>
  <si>
    <t>2198692</t>
  </si>
  <si>
    <t>29340559</t>
  </si>
  <si>
    <t>RPd057|753303</t>
  </si>
  <si>
    <t>https://www.praca.pl/zaopatrzeniowiec-handlowiec_5935818.html</t>
  </si>
  <si>
    <t>2198376</t>
  </si>
  <si>
    <t>29340198</t>
  </si>
  <si>
    <t>Probon Serwis</t>
  </si>
  <si>
    <t>Projektant Instalacji HVAC (Instalacje Chłodnicze, Grzewcze i Wentylacyjne)</t>
  </si>
  <si>
    <t>https://www.praca.pl/projektant-instalacji-hvac-instalacje-chlodnicze,grzewcze-i-wentylacyjne_5930574.html</t>
  </si>
  <si>
    <t>2198923</t>
  </si>
  <si>
    <t>29340794</t>
  </si>
  <si>
    <t>Kierownik / Inżynier Budowy</t>
  </si>
  <si>
    <t>https://www.praca.pl/kierownik-inzynier-budowy_5917158.html</t>
  </si>
  <si>
    <t>2198979</t>
  </si>
  <si>
    <t>29340852</t>
  </si>
  <si>
    <t>2199370</t>
  </si>
  <si>
    <t>29385124</t>
  </si>
  <si>
    <t>2199179</t>
  </si>
  <si>
    <t>29384933</t>
  </si>
  <si>
    <t>2199186</t>
  </si>
  <si>
    <t>29384940</t>
  </si>
  <si>
    <t>Kierowca / Serwisant myjni przemysłowych i warsztatowych</t>
  </si>
  <si>
    <t>https://www.praca.pl/kierowca-serwisant-myjni-przemyslowych-i-warsztatowych_5932326.html</t>
  </si>
  <si>
    <t>2198537</t>
  </si>
  <si>
    <t>29340377</t>
  </si>
  <si>
    <t>SANTEX Kazimierz Czapka</t>
  </si>
  <si>
    <t>Monter Sieci Sanitarnych / Pracownik budowlany</t>
  </si>
  <si>
    <t>https://www.praca.pl/monter-sieci-sanitarnych-pracownik-budowlany_5903397.html</t>
  </si>
  <si>
    <t>2197936</t>
  </si>
  <si>
    <t>29082804</t>
  </si>
  <si>
    <t>Customer Success Manager with German and English</t>
  </si>
  <si>
    <t>https://www.praca.pl/customer-success-manager-with-german-and-english_5889084.html</t>
  </si>
  <si>
    <t>2197664</t>
  </si>
  <si>
    <t>28971383</t>
  </si>
  <si>
    <t>Doradca Serwisowy</t>
  </si>
  <si>
    <t>https://www.praca.pl/doradca-serwisowy_5888787.html</t>
  </si>
  <si>
    <t>2197696</t>
  </si>
  <si>
    <t>28971439</t>
  </si>
  <si>
    <t>SOVITA-2 Traczyk Rybski Sp. k.</t>
  </si>
  <si>
    <t>Specjalista ds. Sprzedaży ze znajomością języka niemieckiego</t>
  </si>
  <si>
    <t>https://www.praca.pl/specjalista-ds-sprzedazy-ze-znajomoscia-jezyka-niemieckiego_5915559.html</t>
  </si>
  <si>
    <t>2198961</t>
  </si>
  <si>
    <t>29340834</t>
  </si>
  <si>
    <t>Staff Selection Sp. z o. o.</t>
  </si>
  <si>
    <t>https://www.praca.pl/specjalista-ds-kadr-i-plac_5931222.html</t>
  </si>
  <si>
    <t>2198819</t>
  </si>
  <si>
    <t>29340689</t>
  </si>
  <si>
    <t>2199572</t>
  </si>
  <si>
    <t>29385326</t>
  </si>
  <si>
    <t>2199711</t>
  </si>
  <si>
    <t>29385465</t>
  </si>
  <si>
    <t>Key Account Manager (rynek nowoczesny)</t>
  </si>
  <si>
    <t>https://www.praca.pl/key-account-manager-rynek-nowoczesny_5936262.html</t>
  </si>
  <si>
    <t>2198292</t>
  </si>
  <si>
    <t>29340111</t>
  </si>
  <si>
    <t>TRANS POLONIA S.A.</t>
  </si>
  <si>
    <t>https://www.pracuj.pl/praca/kierowca-c%2be-podkarpackie,oferta,8514283</t>
  </si>
  <si>
    <t>2199744</t>
  </si>
  <si>
    <t>29385569</t>
  </si>
  <si>
    <t>2199567</t>
  </si>
  <si>
    <t>29385321</t>
  </si>
  <si>
    <t>2199624</t>
  </si>
  <si>
    <t>29385378</t>
  </si>
  <si>
    <t>UNIBEP S.A.</t>
  </si>
  <si>
    <t>Inżynier / Majster budowy - budownictwo przemysłowe / energetyczne</t>
  </si>
  <si>
    <t>https://www.praca.pl/inzynier-majster-budowy-budownictwo-przemyslowe-energetyczne_5932470.html</t>
  </si>
  <si>
    <t>2198699</t>
  </si>
  <si>
    <t>29340567</t>
  </si>
  <si>
    <t>Inżynier Budowy - budownictwo modułowe</t>
  </si>
  <si>
    <t>https://www.praca.pl/inzynier-budowy-budownictwo-modulowe_5930439.html</t>
  </si>
  <si>
    <t>2198071</t>
  </si>
  <si>
    <t>29339860</t>
  </si>
  <si>
    <t>Trener sprzedaży w Call Center</t>
  </si>
  <si>
    <t>https://www.praca.pl/trener-sprzedazy-w-call-center_5931204.html</t>
  </si>
  <si>
    <t>2198824</t>
  </si>
  <si>
    <t>29340694</t>
  </si>
  <si>
    <t>VIVALDI MEBLE Sp. z o.o. Sp. K.</t>
  </si>
  <si>
    <t>Specjalista ds. Sprzedaży E-commerce - Rynki Francuskojęzyczne</t>
  </si>
  <si>
    <t>https://www.praca.pl/specjalista-ds-sprzedazy-e-commerce-rynki-francuskojezyczne_5914821.html</t>
  </si>
  <si>
    <t>28.11.2021</t>
  </si>
  <si>
    <t>2198017</t>
  </si>
  <si>
    <t>29138352</t>
  </si>
  <si>
    <t>Yabimo Sp. z o.o.</t>
  </si>
  <si>
    <t>Kierownik Montażu Konstrukcji Stalowych</t>
  </si>
  <si>
    <t>https://www.praca.pl/kierownik-montazu-konstrukcji-stalowych_5889423.html</t>
  </si>
  <si>
    <t>2197620</t>
  </si>
  <si>
    <t>28971316</t>
  </si>
  <si>
    <t>https://www.praca.pl/mlodszy-specjalista-ds-rekrutacji_5936379.html</t>
  </si>
  <si>
    <t>2198289</t>
  </si>
  <si>
    <t>29340108</t>
  </si>
  <si>
    <t>ZAMEK BOBOLICE HOTEL RESTAURACJA</t>
  </si>
  <si>
    <t>Manager Hotelu</t>
  </si>
  <si>
    <t>https://www.praca.pl/manager-hotelu_5913762.html</t>
  </si>
  <si>
    <t>2198001</t>
  </si>
  <si>
    <t>29138289</t>
  </si>
  <si>
    <t>Pracownik Restauracji</t>
  </si>
  <si>
    <t>https://www.praca.pl/pracownik-restauracji_5917209.html</t>
  </si>
  <si>
    <t>2197970</t>
  </si>
  <si>
    <t>29137820</t>
  </si>
  <si>
    <t>RPd057|834302</t>
  </si>
  <si>
    <t>IVkw 21</t>
  </si>
  <si>
    <t>IIp21</t>
  </si>
  <si>
    <t>IV 2021</t>
  </si>
  <si>
    <t>z jednym kodem - razem</t>
  </si>
  <si>
    <t>bez przyp. kodu</t>
  </si>
  <si>
    <t>wiele pow. fausz.</t>
  </si>
  <si>
    <t>03.03.2022</t>
  </si>
  <si>
    <t>31.01.2022</t>
  </si>
  <si>
    <t>02.02.2022 03:40</t>
  </si>
  <si>
    <t>https://www.pracuj.pl/praca/przedstawiciel-handlowy-rzeszow,oferta,1001532101</t>
  </si>
  <si>
    <t>22.02.2022</t>
  </si>
  <si>
    <t>02.02.2022</t>
  </si>
  <si>
    <t>Biurkom-Flampol Sp. z o.o.</t>
  </si>
  <si>
    <t>https://www.pracuj.pl/praca/przedstawiciel-handlowy-przemysl,oferta,1001532099</t>
  </si>
  <si>
    <t>https://www.pracuj.pl/praca/przedstawiciel-handlowy-mielec,oferta,1001532095</t>
  </si>
  <si>
    <t>https://www.pracuj.pl/praca/przedstawiciel-handlowy-krosno,oferta,1001532090</t>
  </si>
  <si>
    <t>Elektromechanik FDM/CAN (Morse Systems)</t>
  </si>
  <si>
    <t>RPd057|311304</t>
  </si>
  <si>
    <t>https://www.pracuj.pl/praca/elektromechanik-fdm-can-morse-systems-jasionka-pow-rzeszowski,oferta,1001532062</t>
  </si>
  <si>
    <t>04.03.2022</t>
  </si>
  <si>
    <t>Technik elektryk kolejowych sieci elektroenergetycznych</t>
  </si>
  <si>
    <t>BorgWarner Poland Sp. z o.o. - Morse Systems</t>
  </si>
  <si>
    <t>Mówca - Specjalista - Praktyk</t>
  </si>
  <si>
    <t>https://www.pracuj.pl/praca/mowca-specjalista-praktyk-rzeszow,oferta,1001532028</t>
  </si>
  <si>
    <t>02.03.2022</t>
  </si>
  <si>
    <t>https://www.pracuj.pl/praca/specjalista-ds-wsparcia-sprzedazy-rzeszow,oferta,1001531905</t>
  </si>
  <si>
    <t>24.02.2022</t>
  </si>
  <si>
    <t>Salesbook SA</t>
  </si>
  <si>
    <t>https://www.pracuj.pl/praca/specjalista-ds-sprzedazy-podgrodzie-pow-debicki,oferta,1001531867</t>
  </si>
  <si>
    <t>Doradca/-czyni Klienta Biznesowego</t>
  </si>
  <si>
    <t>https://www.pracuj.pl/praca/doradca-czyni-klienta-biznesowego-rzeszow,oferta,1001531851</t>
  </si>
  <si>
    <t>23.02.2022</t>
  </si>
  <si>
    <t>https://www.pracuj.pl/praca/przedstawiciel-handlowy-doradca-klienta-rzeszow,oferta,1001531733</t>
  </si>
  <si>
    <t>AIR SYSTEM sp. z o.o.</t>
  </si>
  <si>
    <t>Manager Klienta</t>
  </si>
  <si>
    <t>https://www.pracuj.pl/praca/manager-klienta-glogow-malopolski,oferta,1001531656</t>
  </si>
  <si>
    <t>07.03.2022</t>
  </si>
  <si>
    <t>Dyrektor Zespołu Sieci Sprzedaży Bezpośredniej</t>
  </si>
  <si>
    <t>https://www.pracuj.pl/praca/dyrektor-zespolu-sieci-sprzedazy-bezposredniej-rzeszow,oferta,1001531576</t>
  </si>
  <si>
    <t>RPd057|754903</t>
  </si>
  <si>
    <t>https://www.pracuj.pl/praca/pracownik-produkcji-mielec,oferta,1001531533</t>
  </si>
  <si>
    <t>25.02.2022</t>
  </si>
  <si>
    <t>https://www.pracuj.pl/praca/magazynier-mielec,oferta,1001531528</t>
  </si>
  <si>
    <t>Konstruktor oprzyrządowania technologicznego</t>
  </si>
  <si>
    <t>https://www.pracuj.pl/praca/konstruktor-oprzyrzadowania-technologicznego-mielec,oferta,1001531520</t>
  </si>
  <si>
    <t>Handlowiec ds. systemów szalunkowych</t>
  </si>
  <si>
    <t>https://www.pracuj.pl/praca/handlowiec-ds-systemow-szalunkowych-rzeszow,oferta,1001531397</t>
  </si>
  <si>
    <t>EXALL D.SOBIESZCZAŃSKA, T.WAPIŃSKI, J.SKAWIŃSKI SPÓŁKA JAWNA</t>
  </si>
  <si>
    <t>https://www.pracuj.pl/praca/konsultant-sprzedawca-rzeszow,oferta,1001531389</t>
  </si>
  <si>
    <t>HEBE Jeronimo Martins Drogerie i Farmacja</t>
  </si>
  <si>
    <t>02.02.2022 04:44</t>
  </si>
  <si>
    <t>https://www.pracuj.pl/praca/przedstawiciel-handlowy-debica,oferta,1001531308</t>
  </si>
  <si>
    <t>Hurtownia Motoryzacyjna "GORDON" Sp. z o.o.</t>
  </si>
  <si>
    <t>Przedstawiciel ds. Inwestycji Budowlanych</t>
  </si>
  <si>
    <t>https://www.pracuj.pl/praca/przedstawiciel-ds-inwestycji-budowlanych-sanok,oferta,1001531305</t>
  </si>
  <si>
    <t>ATLAS Sp. z o.o.</t>
  </si>
  <si>
    <t>https://www.pracuj.pl/praca/przedstawiciel-ds-inwestycji-budowlanych-rzeszow,oferta,1001531304</t>
  </si>
  <si>
    <t>https://www.pracuj.pl/praca/przedstawiciel-ds-inwestycji-budowlanych-krosno,oferta,1001531303</t>
  </si>
  <si>
    <t>Kierownik zespołu instalacji indywidualnych PV</t>
  </si>
  <si>
    <t>https://www.pracuj.pl/praca/kierownik-zespolu-instalacji-indywidualnych-pv-zaczernie-pow-rzeszowski,oferta,1001531256</t>
  </si>
  <si>
    <t>Specjalista ds. e-marketingu</t>
  </si>
  <si>
    <t>https://www.pracuj.pl/praca/specjalista-ds-e-marketingu-zaczernie-pow-rzeszowski,oferta,1001531250</t>
  </si>
  <si>
    <t>Pracownik Transportu Wewnętrznego (UDT)</t>
  </si>
  <si>
    <t>https://www.pracuj.pl/praca/pracownik-transportu-wewnetrznego-udt-glogow-malopolski,oferta,1001531182</t>
  </si>
  <si>
    <t>https://www.pracuj.pl/praca/specjalista-ds-bhp-mielec,oferta,1001531098</t>
  </si>
  <si>
    <t>Młodszy Operator Obrabiarek Konwencjonalnych - Frezarka, Szlifierka</t>
  </si>
  <si>
    <t>https://www.pracuj.pl/praca/mlodszy-operator-obrabiarek-konwencjonalnych-frezarka-szlifierka-rzeszow,oferta,1001531080</t>
  </si>
  <si>
    <t>Rekruter dla branży przemysłowej</t>
  </si>
  <si>
    <t>https://www.pracuj.pl/praca/rekruter-dla-branzy-przemyslowej-ropczyce,oferta,1001530995</t>
  </si>
  <si>
    <t>Bailey Industries sp. z o.o.</t>
  </si>
  <si>
    <t>https://www.pracuj.pl/praca/programista-cnc-rzeszow,oferta,1001530987</t>
  </si>
  <si>
    <t>14.02.2022</t>
  </si>
  <si>
    <t>https://www.pracuj.pl/praca/specjalista-ds-sprzedazy-produktow-bankowych-rzeszow,oferta,1001530809</t>
  </si>
  <si>
    <t>https://www.pracuj.pl/praca/opiekun-klienta-w-oddziale-banku-przemysl,oferta,1001530782</t>
  </si>
  <si>
    <t>Konstruktor elektryk - Inżynier ds. testów</t>
  </si>
  <si>
    <t>https://www.pracuj.pl/praca/konstruktor-elektryk-inzynier-ds-testow-mielec,oferta,1001530704</t>
  </si>
  <si>
    <t>Purcell Systems International AB Sp. z o.o. Oddział Polska</t>
  </si>
  <si>
    <t>Logistyk/Magazynier</t>
  </si>
  <si>
    <t>https://www.pracuj.pl/praca/logistyk-magazynier-rzeszow,oferta,1001530693</t>
  </si>
  <si>
    <t>28.02.2022</t>
  </si>
  <si>
    <t>Specjalista ds. ochrony środowiska</t>
  </si>
  <si>
    <t>https://www.pracuj.pl/praca/specjalista-ds-ochrony-srodowiska-chmielow-pow-tarnobrzeski,oferta,1001530663</t>
  </si>
  <si>
    <t>Niezależny Partner Biznesowy</t>
  </si>
  <si>
    <t>https://www.pracuj.pl/praca/niezalezny-partner-biznesowy-rzeszow,oferta,1001530597</t>
  </si>
  <si>
    <t>FI Finance Polska</t>
  </si>
  <si>
    <t>https://www.pracuj.pl/praca/pracownik-sklepu-etat-87h-lub-130h-sanok,oferta,1001530569</t>
  </si>
  <si>
    <t>https://www.pracuj.pl/praca/specjalista-ds-eksportu-przeworsk,oferta,1001530382</t>
  </si>
  <si>
    <t>Doradca Leasingowy - Oddział Korporacyjny</t>
  </si>
  <si>
    <t>https://www.pracuj.pl/praca/doradca-leasingowy-oddzial-korporacyjny-rzeszow,oferta,1001530205</t>
  </si>
  <si>
    <t>Manager Zespołu - Kierownik Biura Nieruchomości</t>
  </si>
  <si>
    <t>https://www.pracuj.pl/praca/manager-zespolu-kierownik-biura-nieruchomosci-rzeszow,oferta,1001530089</t>
  </si>
  <si>
    <t>Specjalista ds.  nowych przyłączeń światłowodowych</t>
  </si>
  <si>
    <t>https://www.pracuj.pl/praca/specjalista-ds-nowych-przylaczen-swiatlowodowych-rzeszow,oferta,1001530026</t>
  </si>
  <si>
    <t>https://www.pracuj.pl/praca/specjalista-ds-nowych-przylaczen-swiatlowodowych-mielec,oferta,1001530020</t>
  </si>
  <si>
    <t>Pracownik Działu Marketingu i Sprzedaży</t>
  </si>
  <si>
    <t>https://www.pracuj.pl/praca/pracownik-dzialu-marketingu-i-sprzedazy-rzeszow,oferta,1001529993</t>
  </si>
  <si>
    <t>https://www.pracuj.pl/praca/programista-plc-rzeszow,oferta,1001529916</t>
  </si>
  <si>
    <t>STERNEL sp. z o.o.</t>
  </si>
  <si>
    <t>https://www.pracuj.pl/praca/laborant-nowa-sarzyna,oferta,1001529804</t>
  </si>
  <si>
    <t>CIECH SARZYNA S.A.</t>
  </si>
  <si>
    <t>https://www.pracuj.pl/praca/inzynier-procesu-mielec,oferta,1001529777</t>
  </si>
  <si>
    <t>https://www.pracuj.pl/praca/technolog-mielec,oferta,1001529773</t>
  </si>
  <si>
    <t>Specjalista ds. Technicznych i Inwestycji</t>
  </si>
  <si>
    <t>https://www.pracuj.pl/praca/specjalista-ds-technicznych-i-inwestycji-brzeznica-pow-debicki,oferta,1001529739</t>
  </si>
  <si>
    <t>Grupa Śnieżka</t>
  </si>
  <si>
    <t>https://www.pracuj.pl/praca/specjalista-ds-sprzedazy-stalowa-wola,oferta,1001529639</t>
  </si>
  <si>
    <t>Wolante Investments Spółka z o.o.</t>
  </si>
  <si>
    <t>https://www.pracuj.pl/praca/konstruktor-technolog-kolbuszowa,oferta,1001529636</t>
  </si>
  <si>
    <t>Lekarz o specjalizacji kardiologia</t>
  </si>
  <si>
    <t>RPd057|221230</t>
  </si>
  <si>
    <t>https://www.pracuj.pl/praca/lekarz-o-specjalizacji-kardiologia-rymanow-zdroj-pow-krosnienski,oferta,1001529604</t>
  </si>
  <si>
    <t>Polska, podkarpackie, Rymanów-Zdrój (pow. krośnieński)</t>
  </si>
  <si>
    <t>Lekarz - specjalista kardiologii</t>
  </si>
  <si>
    <t>Uzdrowisko Rymanów S.A.</t>
  </si>
  <si>
    <t>https://www.pracuj.pl/praca/specjalista-ds-ochrony-srodowiska-i-bhp-glogow-malopolski,oferta,1001529569</t>
  </si>
  <si>
    <t>https://www.pracuj.pl/praca/konstruktor-mielec,oferta,1001529511</t>
  </si>
  <si>
    <t>https://www.pracuj.pl/praca/analityk-finansowy-mielec,oferta,1001529506</t>
  </si>
  <si>
    <t>Specjalista ds. rekrutacji i szkoleń - Specjalista ds. administracyjnych i zaopatrzenia</t>
  </si>
  <si>
    <t>https://www.pracuj.pl/praca/specjalista-ds-rekrutacji-i-szkolen-specjalista-ds-administracyjnych-i-zaopatrze-rzeszow,oferta,1001529440</t>
  </si>
  <si>
    <t>https://www.pracuj.pl/praca/specjalista-ds-ofertowania-jedlicze,oferta,1001529430</t>
  </si>
  <si>
    <t>Specjalista ds. zakupów ze znajomością j. angielskiego</t>
  </si>
  <si>
    <t>https://www.pracuj.pl/praca/specjalista-ds-zakupow-ze-znajomoscia-j-angielskiego-rzeszow,oferta,1001529419</t>
  </si>
  <si>
    <t>https://www.pracuj.pl/praca/specjalista-ds-zakupow-ze-znajomoscia-j-angielskiego-lancut,oferta,1001529418</t>
  </si>
  <si>
    <t>Młodszy Operator Urządzeń Specjalnych- obsługa Wyważarki Schenck</t>
  </si>
  <si>
    <t>RPd057|722310</t>
  </si>
  <si>
    <t>https://www.pracuj.pl/praca/mlodszy-operator-urzadzen-specjalnych-obsluga-wywazarki-schenck-rzeszow,oferta,1001529413</t>
  </si>
  <si>
    <t>Operator urządzeń do wyważania i centrowania</t>
  </si>
  <si>
    <t>Technik dentystyczny - Projektant CAD</t>
  </si>
  <si>
    <t>RPd057|321402</t>
  </si>
  <si>
    <t>https://www.pracuj.pl/praca/technik-dentystyczny-projektant-cad-sedziszow-malopolski,oferta,1001529388</t>
  </si>
  <si>
    <t>Technik dentystyczny*</t>
  </si>
  <si>
    <t>PRO-DENT Laboratorium Protetyczne Joanna Jakubek</t>
  </si>
  <si>
    <t>https://www.pracuj.pl/praca/elektryk-automatyk-mielec,oferta,1001529288</t>
  </si>
  <si>
    <t>Enervigo</t>
  </si>
  <si>
    <t>https://www.pracuj.pl/praca/magazynier-mielec,oferta,1001529286</t>
  </si>
  <si>
    <t>Kierownik  Produkcji</t>
  </si>
  <si>
    <t>https://www.pracuj.pl/praca/kierownik-produkcji-mielec,oferta,1001529284</t>
  </si>
  <si>
    <t>Doradca Klienta / Handlowiec</t>
  </si>
  <si>
    <t>https://www.pracuj.pl/praca/doradca-klienta-handlowiec-debica,oferta,8765218</t>
  </si>
  <si>
    <t>https://www.pracuj.pl/praca/przedstawiciel-handlowy-podkarpackie,oferta,8765132</t>
  </si>
  <si>
    <t>"BEST COMPANY SOLUTIONS" sp. z o.o.</t>
  </si>
  <si>
    <t>01.03.2022</t>
  </si>
  <si>
    <t>https://www.pracuj.pl/praca/specjalista-ds-sprzedazy-brzozow,oferta,8765109</t>
  </si>
  <si>
    <t>https://www.pracuj.pl/praca/specjalista-ds-wsparcia-sprzedazy-podkarpackie,oferta,8764934</t>
  </si>
  <si>
    <t>Cartrack Polska Sp. z o.o.</t>
  </si>
  <si>
    <t>Business Development Director</t>
  </si>
  <si>
    <t>https://www.pracuj.pl/praca/business-development-director-subcarpathia,oferta,8764911</t>
  </si>
  <si>
    <t>MessageBird B.V.</t>
  </si>
  <si>
    <t>Solutions Engineer</t>
  </si>
  <si>
    <t>https://www.pracuj.pl/praca/solutions-engineer-subcarpathia,oferta,8764894</t>
  </si>
  <si>
    <t>https://www.pracuj.pl/praca/business-development-manager-subcarpathia,oferta,8764875</t>
  </si>
  <si>
    <t>Recruitment Lead</t>
  </si>
  <si>
    <t>https://www.pracuj.pl/praca/recruitment-lead-subcarpathia,oferta,8764835</t>
  </si>
  <si>
    <t>Specjalista ds. kontroli dokumentacji księgowo-magazynowej</t>
  </si>
  <si>
    <t>https://www.pracuj.pl/praca/specjalista-ds-kontroli-dokumentacji-ksiegowo-magazynowej-podkarpackie,oferta,8764496</t>
  </si>
  <si>
    <t>Specjalista HelpDesk z SQL</t>
  </si>
  <si>
    <t>https://www.pracuj.pl/praca/specjalista-helpdesk-z-sql-podkarpackie,oferta,8764454</t>
  </si>
  <si>
    <t>TRADESOFT sp. z o.o.</t>
  </si>
  <si>
    <t>https://www.pracuj.pl/praca/key-account-manager-podkarpackie,oferta,8764405</t>
  </si>
  <si>
    <t>DISANO ILLUMINAZIONE S.P.A</t>
  </si>
  <si>
    <t>Specjalista ds. pomp ciepła/ hydrauliki</t>
  </si>
  <si>
    <t>https://www.pracuj.pl/praca/specjalista-ds-pomp-ciepla-hydrauliki-podkarpackie,oferta,8764370</t>
  </si>
  <si>
    <t>HYMON FOTOWOLTAIKA SP. Z O. O.</t>
  </si>
  <si>
    <t>Przedstawiciel Handlowy - Rowery</t>
  </si>
  <si>
    <t>https://www.pracuj.pl/praca/przedstawiciel-handlowy-rowery-podkarpackie,oferta,8764278</t>
  </si>
  <si>
    <t>Strategic Buyer with German</t>
  </si>
  <si>
    <t>https://www.pracuj.pl/praca/strategic-buyer-with-german-podkarpackie,oferta,8764270</t>
  </si>
  <si>
    <t>https://www.pracuj.pl/praca/konstruktor-podkarpackie,oferta,8764263</t>
  </si>
  <si>
    <t>Koordynator Bancassurance</t>
  </si>
  <si>
    <t>https://www.pracuj.pl/praca/koordynator-bancassurance-podkarpackie,oferta,8764230</t>
  </si>
  <si>
    <t>Agencja Konsultant Sp. z o.o.</t>
  </si>
  <si>
    <t>Analityk Systemowy</t>
  </si>
  <si>
    <t>https://www.pracuj.pl/praca/analityk-systemowy-podkarpackie,oferta,8764183</t>
  </si>
  <si>
    <t>https://www.pracuj.pl/praca/analityk-biznesowy-podkarpackie,oferta,8764167</t>
  </si>
  <si>
    <t>Programista PLC - SPS</t>
  </si>
  <si>
    <t>https://www.pracuj.pl/praca/programista-plc-sps-podkarpackie,oferta,8764116</t>
  </si>
  <si>
    <t>SMG Solutions Sp. z o.o.</t>
  </si>
  <si>
    <t>E-commerce Client Partner</t>
  </si>
  <si>
    <t>https://www.pracuj.pl/praca/e-commerce-client-partner-podkarpackie,oferta,8764041</t>
  </si>
  <si>
    <t>Inżynier ds. sprzedaży – budynki halowe i zbiorniki żelbetowe (branża budowlana)</t>
  </si>
  <si>
    <t>https://www.pracuj.pl/praca/inzynier-ds-sprzedazy-budynki-halowe-i-zbiorniki-zelbetowe-branza-budowlana-podkarpackie,oferta,8763895</t>
  </si>
  <si>
    <t>WOLF SYSTEM Sp. z o. o.</t>
  </si>
  <si>
    <t>https://www.pracuj.pl/praca/serwisant-podkarpackie,oferta,8763867</t>
  </si>
  <si>
    <t>Specjalista ds. Rekrutacji ze znajomością języka bułgarskiego lub chorwackiego</t>
  </si>
  <si>
    <t>https://www.pracuj.pl/praca/specjalista-ds-rekrutacji-ze-znajomoscia-jezyka-bulgarskiego-lub-chorwackiego-debica,oferta,8763849</t>
  </si>
  <si>
    <t>Senior Power BI developer - Data Analyst</t>
  </si>
  <si>
    <t>https://www.pracuj.pl/praca/senior-power-bi-developer-data-analyst-subcarpathia,oferta,8763818</t>
  </si>
  <si>
    <t>https://www.pracuj.pl/praca/przedstawiciel-handlowy-podkarpackie,oferta,8763793</t>
  </si>
  <si>
    <t>Geoplan Spółka z o.o.</t>
  </si>
  <si>
    <t>Senior Systems Architect BI-DWH</t>
  </si>
  <si>
    <t>https://www.pracuj.pl/praca/senior-systems-architect-bi-dwh-subcarpathia,oferta,8763617</t>
  </si>
  <si>
    <t>Salesforce Marketing Cloud Functional Consultant</t>
  </si>
  <si>
    <t>https://www.pracuj.pl/praca/salesforce-marketing-cloud-functional-consultant-podkarpackie,oferta,8763287</t>
  </si>
  <si>
    <t>Salesforce Technical Architect</t>
  </si>
  <si>
    <t>https://www.pracuj.pl/praca/salesforce-technical-architect-podkarpackie,oferta,8763264</t>
  </si>
  <si>
    <t>https://www.pracuj.pl/praca/przedstawiciel-farmaceutyczny-podkarpackie,oferta,8763247</t>
  </si>
  <si>
    <t>Przedstawiciel handlowy ds. sprzętu medycznego - diagnostyka obrazowa</t>
  </si>
  <si>
    <t>https://www.pracuj.pl/praca/przedstawiciel-handlowy-ds-sprzetu-medycznego-diagnostyka-obrazowa-podkarpackie,oferta,8763073</t>
  </si>
  <si>
    <t>Kosmed Sp. z o.o.</t>
  </si>
  <si>
    <t>Konsultant ds. kampanii wychodzących (Outbound Campaigns)</t>
  </si>
  <si>
    <t>https://www.pracuj.pl/praca/konsultant-ds-kampanii-wychodzacych-outbound-campaigns-podkarpackie,oferta,8762987</t>
  </si>
  <si>
    <t>Customer Success Consultant / Konsultant ds. Technicznej Obsługi Klienta</t>
  </si>
  <si>
    <t>https://www.pracuj.pl/praca/customer-success-consultant-konsultant-ds-technicznej-obslugi-klienta-podkarpackie,oferta,8762968</t>
  </si>
  <si>
    <t>Specjalista/tka ds. komunikacji</t>
  </si>
  <si>
    <t>RPd057|263510</t>
  </si>
  <si>
    <t>https://www.pracuj.pl/praca/specjalista-tka-ds-komunikacji-podkarpackie,oferta,8762919</t>
  </si>
  <si>
    <t>Specjalista komunikacji społecznej</t>
  </si>
  <si>
    <t>Transition Technologies MS S.A.</t>
  </si>
  <si>
    <t>UI Designer</t>
  </si>
  <si>
    <t>https://www.pracuj.pl/praca/ui-designer-podkarpackie,oferta,8762831</t>
  </si>
  <si>
    <t>Country Manager Poland (Electrotechnical Business)</t>
  </si>
  <si>
    <t>17.03.2022</t>
  </si>
  <si>
    <t>https://www.pracuj.pl/praca/country-manager-poland-electrotechnical-business-subcarpathia,oferta,8762774</t>
  </si>
  <si>
    <t>NOARK Electric Sp. z o.o.</t>
  </si>
  <si>
    <t>Executive Assistant</t>
  </si>
  <si>
    <t>https://www.pracuj.pl/praca/executive-assistant-subcarpathia,oferta,8762698</t>
  </si>
  <si>
    <t>SILENT EIGHT PTE. LTD.</t>
  </si>
  <si>
    <t>https://www.pracuj.pl/praca/hydraulik-podkarpackie,oferta,8762552</t>
  </si>
  <si>
    <t>Monter – Brygadzista Pomp Ciepła</t>
  </si>
  <si>
    <t>RPd057|821190</t>
  </si>
  <si>
    <t>https://www.pracuj.pl/praca/monter-brygadzista-pomp-ciepla-podkarpackie,oferta,8762545</t>
  </si>
  <si>
    <t>Pozostali monterzy maszyn i urządzeń mechanicznych</t>
  </si>
  <si>
    <t>https://www.pracuj.pl/praca/programista-java-podkarpackie,oferta,8762504</t>
  </si>
  <si>
    <t>Specjalista ds. pozyskiwania gruntów (farmy fotowoltaiczne)</t>
  </si>
  <si>
    <t>https://www.pracuj.pl/praca/specjalista-ds-pozyskiwania-gruntow-farmy-fotowoltaiczne-podkarpackie,oferta,8762453</t>
  </si>
  <si>
    <t>PHOTON ENERGY POLSKA sp. z o.o.</t>
  </si>
  <si>
    <t>Serwisant pomp ciepła</t>
  </si>
  <si>
    <t>RPd057|712608</t>
  </si>
  <si>
    <t>https://www.pracuj.pl/praca/serwisant-pomp-ciepla-podkarpackie,oferta,8762443</t>
  </si>
  <si>
    <t>Monter sieci cieplnych</t>
  </si>
  <si>
    <t>https://www.pracuj.pl/praca/inzynier-budowy-podkarpackie,oferta,8762330</t>
  </si>
  <si>
    <t>EKOKAN</t>
  </si>
  <si>
    <t>Kierownik Budowy - Robót</t>
  </si>
  <si>
    <t>https://www.pracuj.pl/praca/kierownik-budowy-robot-podkarpackie,oferta,8762318</t>
  </si>
  <si>
    <t>Specialist Finance Operations</t>
  </si>
  <si>
    <t>https://www.pracuj.pl/praca/specialist-finance-operations-podkarpackie,oferta,8762149</t>
  </si>
  <si>
    <t>AMS</t>
  </si>
  <si>
    <t>Critical Incident Manager</t>
  </si>
  <si>
    <t>https://www.pracuj.pl/praca/critical-incident-manager-subcarpathia,oferta,8762097</t>
  </si>
  <si>
    <t>Specjalista do spraw cyberbezpieczeństwa</t>
  </si>
  <si>
    <t>BI Developer</t>
  </si>
  <si>
    <t>https://www.pracuj.pl/praca/bi-developer-podkarpackie,oferta,8762023</t>
  </si>
  <si>
    <t>https://www.pracuj.pl/praca/przedstawiciel-techniczno-handlowy-podkarpackie,oferta,8761972</t>
  </si>
  <si>
    <t>Kaeser Kompressoren Sp. z o.o.</t>
  </si>
  <si>
    <t>https://www.pracuj.pl/praca/android-developer-podkarpackie,oferta,8761964</t>
  </si>
  <si>
    <t>Programista SAP – moduł HR</t>
  </si>
  <si>
    <t>https://www.pracuj.pl/praca/programista-sap-modul-hr-podkarpackie,oferta,8761947</t>
  </si>
  <si>
    <t>https://www.pracuj.pl/praca/android-developer-podkarpackie,oferta,8761931</t>
  </si>
  <si>
    <t>https://www.pracuj.pl/praca/python-developer-podkarpackie,oferta,8761916</t>
  </si>
  <si>
    <t>System-business Analyst</t>
  </si>
  <si>
    <t>https://www.pracuj.pl/praca/system-business-analyst-subcarpathia,oferta,8761896</t>
  </si>
  <si>
    <t>https://www.pracuj.pl/praca/analityk-systemowo-biznesowy-podkarpackie,oferta,8761880</t>
  </si>
  <si>
    <t>Java Developer (Service mesh)</t>
  </si>
  <si>
    <t>https://www.pracuj.pl/praca/java-developer-service-mesh-podkarpackie,oferta,8761859</t>
  </si>
  <si>
    <t>Specjalista ds. rysunku technicznego - projektant mebli</t>
  </si>
  <si>
    <t>https://www.pracuj.pl/praca/specjalista-ds-rysunku-technicznego-projektant-mebli-podkarpackie,oferta,8761824</t>
  </si>
  <si>
    <t>Rust Sp. Z O.O.</t>
  </si>
  <si>
    <t>Młodszy Specjalista ds. E-Commerce</t>
  </si>
  <si>
    <t>https://www.pracuj.pl/praca/mlodszy-specjalista-ds-e-commerce-podkarpackie,oferta,8761795</t>
  </si>
  <si>
    <t>GTX SERVICE SP. Z O.O. SPÓŁKA KOMANDYTOWA</t>
  </si>
  <si>
    <t>Learning &amp; Development Coordinator</t>
  </si>
  <si>
    <t>https://www.pracuj.pl/praca/learning-development-coordinator-podkarpackie,oferta,8761772</t>
  </si>
  <si>
    <t>21.02.2022</t>
  </si>
  <si>
    <t>02.02.2022 03:30</t>
  </si>
  <si>
    <t>https://www.goldenline.pl/praca/oferta/1298278/zielonalinia0?utm_brand=goldenline&amp;utm_source=zielonalinia0&amp;gpid=1008292&amp;utm_channel=free&amp;utm_medium=oferta&amp;utm_department=marketing</t>
  </si>
  <si>
    <t>09.02.2022</t>
  </si>
  <si>
    <t>26.01.2022</t>
  </si>
  <si>
    <t>https://www.goldenline.pl/praca/oferta/1297812/zielonalinia0?utm_brand=goldenline&amp;utm_source=zielonalinia0&amp;gpid=1007914&amp;utm_channel=free&amp;utm_medium=oferta&amp;utm_department=marketing</t>
  </si>
  <si>
    <t>Specjalista/ka Rekrutacji i Kadr</t>
  </si>
  <si>
    <t>RPd057|524101</t>
  </si>
  <si>
    <t>https://www.goldenline.pl/praca/oferta/1298250/zielonalinia0?utm_brand=goldenline&amp;utm_source=zielonalinia0&amp;gpid=1007772&amp;utm_channel=free&amp;utm_medium=oferta&amp;utm_department=marketing</t>
  </si>
  <si>
    <t>Modelka / model</t>
  </si>
  <si>
    <t>https://www.goldenline.pl/praca/oferta/1298282/zielonalinia0?utm_brand=goldenline&amp;utm_source=zielonalinia0&amp;gpid=1008296&amp;utm_channel=free&amp;utm_medium=oferta&amp;utm_department=marketing</t>
  </si>
  <si>
    <t>Magazynier / Operator wózka widłowego (m/k)</t>
  </si>
  <si>
    <t>05.02.2022</t>
  </si>
  <si>
    <t>29.01.2022</t>
  </si>
  <si>
    <t>https://www.goldenline.pl/praca/oferta/1297362/zielonalinia0?utm_brand=goldenline&amp;utm_source=zielonalinia0&amp;gpid=1007396&amp;utm_channel=free&amp;utm_medium=oferta&amp;utm_department=marketing</t>
  </si>
  <si>
    <t>Przedstawiciel Handlowy Inżynier sprzedaży - Junior Key Account Manager (High Tech industrial machines)</t>
  </si>
  <si>
    <t>https://www.goldenline.pl/praca/oferta/1298160/zielonalinia0?utm_brand=goldenline&amp;utm_source=zielonalinia0&amp;gpid=1007682&amp;utm_channel=free&amp;utm_medium=oferta&amp;utm_department=marketing</t>
  </si>
  <si>
    <t>https://www.goldenline.pl/praca/oferta/1298288/zielonalinia0?utm_brand=goldenline&amp;utm_source=zielonalinia0&amp;gpid=1008302&amp;utm_channel=free&amp;utm_medium=oferta&amp;utm_department=marketing</t>
  </si>
  <si>
    <t>Specjalista ds. zamówień z językiem angielskim (m/k)</t>
  </si>
  <si>
    <t>https://www.goldenline.pl/praca/oferta/1297458/zielonalinia0?utm_brand=goldenline&amp;utm_source=zielonalinia0&amp;gpid=1007272&amp;utm_channel=free&amp;utm_medium=oferta&amp;utm_department=marketing</t>
  </si>
  <si>
    <t>Software Engineer - Linux drivers</t>
  </si>
  <si>
    <t>INTEL</t>
  </si>
  <si>
    <t>https://www.goldenline.pl/praca/oferta/1298234/zielonalinia0?utm_brand=goldenline&amp;utm_source=zielonalinia0&amp;gpid=1007710&amp;utm_channel=free&amp;utm_medium=oferta&amp;utm_department=marketing</t>
  </si>
  <si>
    <t>Translator with Greek / Tłumacz języka Greckiego</t>
  </si>
  <si>
    <t>26.02.2022</t>
  </si>
  <si>
    <t>19.01.2022</t>
  </si>
  <si>
    <t>https://www.goldenline.pl/praca/oferta/1297206/zielonalinia0?utm_brand=goldenline&amp;utm_source=zielonalinia0&amp;gpid=1007072&amp;utm_channel=free&amp;utm_medium=oferta&amp;utm_department=marketing</t>
  </si>
  <si>
    <t>Polska, podkarpackie, Katowice</t>
  </si>
  <si>
    <t>Deep Learning HW Engineer</t>
  </si>
  <si>
    <t>https://www.goldenline.pl/praca/oferta/1297456/zielonalinia0?utm_brand=goldenline&amp;utm_source=zielonalinia0&amp;gpid=1007276&amp;utm_channel=free&amp;utm_medium=oferta&amp;utm_department=marketing</t>
  </si>
  <si>
    <t>DevOps Architect</t>
  </si>
  <si>
    <t>01.02.2022</t>
  </si>
  <si>
    <t>02.02.2022 03:15</t>
  </si>
  <si>
    <t>https://gratka.pl/praca/warehouse-supervisor/ob/24687577?utm_source=zielonalinia.pl&amp;utm_medium=zielonalinia&amp;utm_campaign=export_xml</t>
  </si>
  <si>
    <t>Warehouse Supervisor</t>
  </si>
  <si>
    <t>Fileder Filter Systems sp z. o.o.</t>
  </si>
  <si>
    <t>Digital Data Architect</t>
  </si>
  <si>
    <t>02.02.2022 03:04</t>
  </si>
  <si>
    <t>https://www.praca.pl/digital-data-architect_6459120.html</t>
  </si>
  <si>
    <t>Starszy inspektor weterynaryjny</t>
  </si>
  <si>
    <t>11.02.2022</t>
  </si>
  <si>
    <t>https://www.praca.pl/starszy-inspektor-weterynaryjny_6459417.html</t>
  </si>
  <si>
    <t>https://www.praca.pl/inspektor-weterynaryjny_6459324.html</t>
  </si>
  <si>
    <t>Spawacz metodami MIG (131), MAG (135), 136, 138, TIG (141)</t>
  </si>
  <si>
    <t>https://www.praca.pl/spawacz-metodami-mig-131,mag-135,136,138,tig-141_6462993.html</t>
  </si>
  <si>
    <t>TEMIDA HR sp z o.o.</t>
  </si>
  <si>
    <t>Inżynier budowy (HVAC)</t>
  </si>
  <si>
    <t>https://www.praca.pl/inzynier-budowy-hvac_6464454.html</t>
  </si>
  <si>
    <t>FRIZO Sp. z o.o.</t>
  </si>
  <si>
    <t>Specjalistka / Specjalista ds. analizy danych</t>
  </si>
  <si>
    <t>https://www.praca.pl/specjalistka-specjalista-ds-analizy-danych_6412215.html</t>
  </si>
  <si>
    <t>Analityk baz danych (data scientist)</t>
  </si>
  <si>
    <t>https://www.praca.pl/inzynier-serwisu_6433275.html</t>
  </si>
  <si>
    <t>Kierownik budowy - kierownik kontraktu</t>
  </si>
  <si>
    <t>https://www.praca.pl/kierownik-budowy-kierownik-kontraktu_6433704.html</t>
  </si>
  <si>
    <t>Dyrektor Działu Export</t>
  </si>
  <si>
    <t>https://www.praca.pl/dyrektor-dzialu-export_6417264.html</t>
  </si>
  <si>
    <t>Over Group</t>
  </si>
  <si>
    <t>Monter / Brygadzista (gazociąg)</t>
  </si>
  <si>
    <t>RPd057|712610</t>
  </si>
  <si>
    <t>https://www.praca.pl/monter-brygadzista-gazociag_6418302.html</t>
  </si>
  <si>
    <t>Monter sieci gazowych</t>
  </si>
  <si>
    <t>Pracownik myjni samochodów ciężarowych</t>
  </si>
  <si>
    <t>https://www.praca.pl/pracownik-myjni-samochodow-ciezarowych_6418431.html</t>
  </si>
  <si>
    <t>BAS Holding</t>
  </si>
  <si>
    <t>Masażysta</t>
  </si>
  <si>
    <t>RPd057|325402</t>
  </si>
  <si>
    <t>https://www.praca.pl/masazysta_6418848.html</t>
  </si>
  <si>
    <t>Technik masażysta*</t>
  </si>
  <si>
    <t>Operator / Operatorka urządzeń montażowych</t>
  </si>
  <si>
    <t>https://www.praca.pl/operator-operatorka-urzadzen-montazowych_6419451.html</t>
  </si>
  <si>
    <t>Pilot wycieczek</t>
  </si>
  <si>
    <t>RPd057|511301</t>
  </si>
  <si>
    <t>27.01.2022</t>
  </si>
  <si>
    <t>https://www.praca.pl/pilot-wycieczek_6250176.html</t>
  </si>
  <si>
    <t>Pilot Wycieczek</t>
  </si>
  <si>
    <t>Grecos Holiday Sp. z o.o.</t>
  </si>
  <si>
    <t>Controller Produkcji</t>
  </si>
  <si>
    <t>https://www.praca.pl/controller-produkcji_6403857.html</t>
  </si>
  <si>
    <t>18.02.2022</t>
  </si>
  <si>
    <t>https://www.praca.pl/inzynier-spawalnik_6389298.html</t>
  </si>
  <si>
    <t>Inżynier Spawalnik</t>
  </si>
  <si>
    <t>ZRUG Sp. z o.o.</t>
  </si>
  <si>
    <t>UX Writer</t>
  </si>
  <si>
    <t>02.02.2022 03:05</t>
  </si>
  <si>
    <t>https://www.praca.pl/ux-writer_6389622.html</t>
  </si>
  <si>
    <t>03.02.2022</t>
  </si>
  <si>
    <t>https://gratka.pl/praca/specjalista-ds-ochrony-srodowiska-i-bhp/ob/24353849?utm_source=zielonalinia.pl&amp;utm_medium=zielonalinia&amp;utm_campaign=export_xml</t>
  </si>
  <si>
    <t>10.03.2022</t>
  </si>
  <si>
    <t>07.02.2022</t>
  </si>
  <si>
    <t>09.02.2022 03:40</t>
  </si>
  <si>
    <t>https://www.pracuj.pl/praca/monter-wyrobow-z-drewna-mielec,oferta,1001551850</t>
  </si>
  <si>
    <t>GLF POLSKA</t>
  </si>
  <si>
    <t>09.03.2022</t>
  </si>
  <si>
    <t>https://www.pracuj.pl/praca/przedstawiciel-medyczny-jaroslaw,oferta,1001551804</t>
  </si>
  <si>
    <t>https://www.pracuj.pl/praca/przedstawiciel-medyczny-przeworsk,oferta,1001551803</t>
  </si>
  <si>
    <t>Asystent/-ka Zarządu</t>
  </si>
  <si>
    <t>https://www.pracuj.pl/praca/asystent-ka-zarzadu-rzeszow,oferta,1001551740</t>
  </si>
  <si>
    <t>Appsilon Sp. z o.o.</t>
  </si>
  <si>
    <t>https://www.pracuj.pl/praca/specjalista-ds-wsparcia-it-z-j-niemieckim-lub-j-francuskim-rzeszow,oferta,1001551690</t>
  </si>
  <si>
    <t>https://www.pracuj.pl/praca/specjalista-ka-ds-sprzedazy-w-terenie-mielec,oferta,1001551636</t>
  </si>
  <si>
    <t>Philip Morris Polska Distribution Spółka z o.o.</t>
  </si>
  <si>
    <t>https://www.pracuj.pl/praca/sprzedawca-mielec,oferta,1001551618</t>
  </si>
  <si>
    <t>ALDI Polska</t>
  </si>
  <si>
    <t>Manager operacyjny klubu</t>
  </si>
  <si>
    <t>RPd057|143110</t>
  </si>
  <si>
    <t>https://www.pracuj.pl/praca/manager-operacyjny-klubu-rzeszow,oferta,1001551404</t>
  </si>
  <si>
    <t>Kierownik klubu sportowego</t>
  </si>
  <si>
    <t>Hotel Rzeszów</t>
  </si>
  <si>
    <t>https://www.pracuj.pl/praca/inzynier-serwisu-rzeszow,oferta,1001551382</t>
  </si>
  <si>
    <t>"MODERN-EXPO" S.A.</t>
  </si>
  <si>
    <t>Kierownik Strefy w Zespole Ciepłowni i Dystrybucji Mediów w Dziale Inżynierii</t>
  </si>
  <si>
    <t>https://www.pracuj.pl/praca/kierownik-strefy-w-zespole-cieplowni-i-dystrybucji-mediow-w-dziale-inzynierii-debica,oferta,1001551279</t>
  </si>
  <si>
    <t>Sales Specialist with Italian and English</t>
  </si>
  <si>
    <t>https://www.pracuj.pl/praca/sales-specialist-with-italian-and-english-rzeszow,oferta,1001551225</t>
  </si>
  <si>
    <t>CCPORTER SPÓŁKA Z OGRANICZONĄ ODPOWIEDZIALNOŚCIĄ</t>
  </si>
  <si>
    <t>https://www.pracuj.pl/praca/operator-nowa-deba,oferta,1001551155</t>
  </si>
  <si>
    <t>Asystent/-ka kierownika projektów informatycznych</t>
  </si>
  <si>
    <t>https://www.pracuj.pl/praca/asystent-ka-kierownika-projektow-informatycznych-rzeszow,oferta,1001551086</t>
  </si>
  <si>
    <t>ASISTON SP. Z O.O.</t>
  </si>
  <si>
    <t>https://www.pracuj.pl/praca/dyrektor-oddzialu-krosno,oferta,1001551072</t>
  </si>
  <si>
    <t>Inżynier Danych</t>
  </si>
  <si>
    <t>https://www.pracuj.pl/praca/inzynier-danych-rzeszow,oferta,1001551046</t>
  </si>
  <si>
    <t>Starszy Referent ds. Zarządzania Dokumentacją Techniczną</t>
  </si>
  <si>
    <t>https://www.pracuj.pl/praca/starszy-referent-ds-zarzadzania-dokumentacja-techniczna-tajecina-pow-rzeszowski,oferta,1001551037</t>
  </si>
  <si>
    <t>Opiekun Klienta ze znajomością języka niemieckiego</t>
  </si>
  <si>
    <t>https://www.pracuj.pl/praca/opiekun-klienta-ze-znajomoscia-jezyka-niemieckiego-jaslo,oferta,1001550835</t>
  </si>
  <si>
    <t>TRADE SOFTWARE &amp; CONSULT SPÓŁKA Z OGRANICZONĄ ODPOWIEDZIALNOŚCIĄ</t>
  </si>
  <si>
    <t>Partner Sales Manager CEE - systemy sterowania oświetleniem</t>
  </si>
  <si>
    <t>RPd057|215105</t>
  </si>
  <si>
    <t>https://www.pracuj.pl/praca/partner-sales-manager-cee-systemy-sterowania-oswietleniem-rzeszow,oferta,1001550852</t>
  </si>
  <si>
    <t>Inżynier techniki świetlnej</t>
  </si>
  <si>
    <t>Helvar</t>
  </si>
  <si>
    <t>Starszy Konsultant w Zespole Podatkowym Deals</t>
  </si>
  <si>
    <t>https://www.pracuj.pl/praca/starszy-konsultant-w-zespole-podatkowym-deals-rzeszow,oferta,1001550914</t>
  </si>
  <si>
    <t>Specjalista ds. sprzedaży okien i drzwi z językiem niemieckim</t>
  </si>
  <si>
    <t>https://www.pracuj.pl/praca/specjalista-ds-sprzedazy-okien-i-drzwi-z-jezykiem-niemieckim-jaslo,oferta,1001550927</t>
  </si>
  <si>
    <t>https://www.pracuj.pl/praca/pracownik-sklepu-pelen-etat-rzeszow,oferta,1001550741</t>
  </si>
  <si>
    <t>https://www.pracuj.pl/praca/pracownik-sklepu-etat-87h-lub-130h-rzeszow,oferta,1001550644</t>
  </si>
  <si>
    <t>Kierownik sprzedaży ds. gastronomii lub detalu</t>
  </si>
  <si>
    <t>https://www.pracuj.pl/praca/kierownik-sprzedazy-ds-gastronomii-lub-detalu-rzeszow,oferta,1001550599</t>
  </si>
  <si>
    <t>DRIMPOL SPÓŁKA Z OGRANICZONĄ ODPOWIEDZIALNOŚCIĄ</t>
  </si>
  <si>
    <t>https://www.pracuj.pl/praca/ksiegowa-y-zawada-pow-debicki,oferta,1001550543</t>
  </si>
  <si>
    <t>Elektryk -  Doradca Techniczno - Handlowy - Przedstawiciel Handlowy</t>
  </si>
  <si>
    <t>20.02.2022</t>
  </si>
  <si>
    <t>https://www.pracuj.pl/praca/elektryk-doradca-techniczno-handlowy-przedstawiciel-handlowy-rzeszow,oferta,1001550533</t>
  </si>
  <si>
    <t>Schrack Technik Polska Sp. z o.o.</t>
  </si>
  <si>
    <t>https://www.pracuj.pl/praca/specjalista-ds-it-rzeszow,oferta,1001550521</t>
  </si>
  <si>
    <t>Inżynier Produktu i Konfiguracji</t>
  </si>
  <si>
    <t>https://www.pracuj.pl/praca/inzynier-produktu-i-konfiguracji-mielec,oferta,1001550516</t>
  </si>
  <si>
    <t>Project Manager z językiem niemieckim</t>
  </si>
  <si>
    <t>https://www.pracuj.pl/praca/project-manager-z-jezykiem-niemieckim-mielec,oferta,1001550498</t>
  </si>
  <si>
    <t>C++ Validation Engineer</t>
  </si>
  <si>
    <t>https://www.pracuj.pl/praca/c%2b%2b-validation-engineer-rzeszow,oferta,1001550444</t>
  </si>
  <si>
    <t>Bombardier Transportation (ZWUS) Polska Sp. z o.o.</t>
  </si>
  <si>
    <t>https://www.pracuj.pl/praca/regionalny-przedstawiciel-sprzedazy-rzeszow,oferta,1001550403</t>
  </si>
  <si>
    <t>https://www.pracuj.pl/praca/regionalny-przedstawiciel-sprzedazy-sanok,oferta,1001550402</t>
  </si>
  <si>
    <t>Inżynier Energoelektronik</t>
  </si>
  <si>
    <t>https://www.pracuj.pl/praca/inzynier-energoelektronik-mielec,oferta,1001550268</t>
  </si>
  <si>
    <t>Kierownik Zakupów i Administracji</t>
  </si>
  <si>
    <t>https://www.pracuj.pl/praca/kierownik-zakupow-i-administracji-glogow-malopolski,oferta,1001550248</t>
  </si>
  <si>
    <t>Mechanik/Elektromechanik</t>
  </si>
  <si>
    <t>https://www.pracuj.pl/praca/mechanik-elektromechanik-jasionka-pow-rzeszowski,oferta,1001550244</t>
  </si>
  <si>
    <t>ADVANCED TECHNICAL SERVICES sp. z o.o.</t>
  </si>
  <si>
    <t>https://www.pracuj.pl/praca/mechanik-elektromechanik-sedziszow-malopolski,oferta,1001550243</t>
  </si>
  <si>
    <t>https://www.pracuj.pl/praca/mechanik-elektromechanik-lancut,oferta,1001550242</t>
  </si>
  <si>
    <t>https://www.pracuj.pl/praca/mechanik-elektromechanik-kolbuszowa,oferta,1001550241</t>
  </si>
  <si>
    <t>https://www.pracuj.pl/praca/mechanik-elektromechanik-rzeszow,oferta,1001550240</t>
  </si>
  <si>
    <t>https://www.pracuj.pl/praca/glowna-ksiegowa-glowny-ksiegowy-rzeszow,oferta,1001550133</t>
  </si>
  <si>
    <t>PASADENA FOUND SPÓŁKA Z OGRANICZONĄ ODPOWIEDZIALNOŚCIĄ SPÓŁKA KOMANDYTOWO - AKCYJNA</t>
  </si>
  <si>
    <t>https://www.pracuj.pl/praca/zastepca-managera-sklepu-krosno,oferta,1001550074</t>
  </si>
  <si>
    <t>https://www.pracuj.pl/praca/zastepca-managera-sklepu-jaslo,oferta,1001550072</t>
  </si>
  <si>
    <t>HRIS Project Manager</t>
  </si>
  <si>
    <t>https://www.pracuj.pl/praca/hris-project-manager-rzeszow,oferta,1001550051</t>
  </si>
  <si>
    <t>https://www.pracuj.pl/praca/logistyk-magazynier-krosno,oferta,1001549997</t>
  </si>
  <si>
    <t>https://www.pracuj.pl/praca/logistyk-magazynier-mielec,oferta,1001549996</t>
  </si>
  <si>
    <t>https://www.pracuj.pl/praca/logistyk-magazynier-rzeszow,oferta,1001549995</t>
  </si>
  <si>
    <t>https://www.pracuj.pl/praca/logistyk-magazynier-krasne-pow-rzeszowski,oferta,1001549994</t>
  </si>
  <si>
    <t>https://www.pracuj.pl/praca/mechanik-rzeszow,oferta,1001549942</t>
  </si>
  <si>
    <t>RENTA SPÓŁKA Z OGRANICZONĄ ODPOWIEDZIALNOŚCIĄ</t>
  </si>
  <si>
    <t>IT Project Manager (Developer)</t>
  </si>
  <si>
    <t>https://www.pracuj.pl/praca/it-project-manager-developer-jaslo,oferta,1001549917</t>
  </si>
  <si>
    <t>Junior Back-end Developer (PHP, MYSQL)</t>
  </si>
  <si>
    <t>https://www.pracuj.pl/praca/junior-back-end-developer-php-mysql-jaslo,oferta,1001549911</t>
  </si>
  <si>
    <t>Back-end Developer (PHP, MYSQL)</t>
  </si>
  <si>
    <t>https://www.pracuj.pl/praca/back-end-developer-php-mysql-jaslo,oferta,1001549909</t>
  </si>
  <si>
    <t>https://www.pracuj.pl/praca/specjalista-ds-obslugi-klienta-z-jezykiem-niemieckim-jaslo,oferta,1001549906</t>
  </si>
  <si>
    <t>Front-end Developer (HTML, CSS, Javascript)</t>
  </si>
  <si>
    <t>https://www.pracuj.pl/praca/front-end-developer-html-css-javascript-jaslo,oferta,1001549905</t>
  </si>
  <si>
    <t>https://www.pracuj.pl/praca/elektryk-rzeszow,oferta,1001549886</t>
  </si>
  <si>
    <t>Cegelec Sp. z o.o.</t>
  </si>
  <si>
    <t>Trener B2B</t>
  </si>
  <si>
    <t>https://www.pracuj.pl/praca/trener-b2b-rzeszow,oferta,1001549877</t>
  </si>
  <si>
    <t>OBI Centrala Systemowa</t>
  </si>
  <si>
    <t>https://www.pracuj.pl/praca/trener-b2b-krosno,oferta,1001549873</t>
  </si>
  <si>
    <t>https://www.pracuj.pl/praca/kierownik-sklepu-brzostek,oferta,1001549790</t>
  </si>
  <si>
    <t>https://www.pracuj.pl/praca/python-developer-rzeszow,oferta,1001549775</t>
  </si>
  <si>
    <t>https://www.pracuj.pl/praca/hr-business-partner-rzeszow,oferta,1001549712</t>
  </si>
  <si>
    <t>https://www.pracuj.pl/praca/pracownik-produkcji-rzeszow,oferta,1001549666</t>
  </si>
  <si>
    <t>https://www.pracuj.pl/praca/magazynier-kolbuszowa,oferta,1001549633</t>
  </si>
  <si>
    <t>Mitura Krzysztof Przedsiębiorstwo Produkcyjno-Handlowo-Uslugowe "KOLTEX"</t>
  </si>
  <si>
    <t>Konsultant/-ka ds. Sprzedaży w Sklepie Firmowym T-Mobile (CH Sanowa)</t>
  </si>
  <si>
    <t>https://www.pracuj.pl/praca/konsultant-ka-ds-sprzedazy-w-sklepie-firmowym-t-mobile-ch-sanowa-przemysl,oferta,1001549624</t>
  </si>
  <si>
    <t>https://www.pracuj.pl/praca/monter-rzeszow,oferta,1001549592</t>
  </si>
  <si>
    <t>https://www.pracuj.pl/praca/monter-rowerowy-podgrodzie-pow-debicki,oferta,1001548718</t>
  </si>
  <si>
    <t>Mechanik-monter maszyn i urządzeń*</t>
  </si>
  <si>
    <t>Doradca Klienta ds. Leasingu w segmencie Klientów Korporacyjnych</t>
  </si>
  <si>
    <t>https://www.pracuj.pl/praca/doradca-klienta-ds-leasingu-w-segmencie-klientow-korporacyjnych-rzeszow,oferta,1001548690</t>
  </si>
  <si>
    <t>PEKAO LEASING SP. Z O.O.</t>
  </si>
  <si>
    <t>Doradca Klienta ds. Leasingu w segmencie Mikro Przedsiębiorstw</t>
  </si>
  <si>
    <t>https://www.pracuj.pl/praca/doradca-klienta-ds-leasingu-w-segmencie-mikro-przedsiebiorstw-rzeszow,oferta,1001548651</t>
  </si>
  <si>
    <t>Doradca Klienta ds. Leasingu w segmencie vendorskim</t>
  </si>
  <si>
    <t>https://www.pracuj.pl/praca/doradca-klienta-ds-leasingu-w-segmencie-vendorskim-rzeszow,oferta,1001548619</t>
  </si>
  <si>
    <t>https://www.pracuj.pl/praca/zastepca-kierownika-sklepu-boguchwala,oferta,1001548591</t>
  </si>
  <si>
    <t>Doradca Klienta ds. Leasingu w segmencie MŚP</t>
  </si>
  <si>
    <t>https://www.pracuj.pl/praca/doradca-klienta-ds-leasingu-w-segmencie-msp-rzeszow,oferta,1001548576</t>
  </si>
  <si>
    <t>https://www.pracuj.pl/praca/zastepca-kierownika-sklepu-chorzelow-pow-mielecki,oferta,1001548534</t>
  </si>
  <si>
    <t>https://www.pracuj.pl/praca/zastepca-kierownika-sklepu-rzeszow,oferta,1001548508</t>
  </si>
  <si>
    <t>https://www.pracuj.pl/praca/zastepca-kierownika-sklepu-mielec,oferta,1001548498</t>
  </si>
  <si>
    <t>https://www.pracuj.pl/praca/zastepca-kierownika-sklepu-brzostek,oferta,1001548478</t>
  </si>
  <si>
    <t>https://www.pracuj.pl/praca/samodzielna-y-ksiegowa-y-rzeszow,oferta,1001548470</t>
  </si>
  <si>
    <t>FLY PARK IN spółka z ograniczoną odpowiedzialnością spółka komandytowa</t>
  </si>
  <si>
    <t>https://www.pracuj.pl/praca/specjalista-ds-it-tajecina-pow-rzeszowski,oferta,1001548349</t>
  </si>
  <si>
    <t>https://www.pracuj.pl/praca/python-developer-rzeszow,oferta,1001548339</t>
  </si>
  <si>
    <t>Polski Bank Komórek Macierzystych S.A.</t>
  </si>
  <si>
    <t>https://www.pracuj.pl/praca/executive-assistant-rzeszow,oferta,1001548304</t>
  </si>
  <si>
    <t>https://www.pracuj.pl/praca/kucharz-kucharka-rzeszow,oferta,1001548298</t>
  </si>
  <si>
    <t>ZEST</t>
  </si>
  <si>
    <t>Dyrektor hotelu</t>
  </si>
  <si>
    <t>https://www.pracuj.pl/praca/dyrektor-hotelu-cisna-pow-leski,oferta,1001548289</t>
  </si>
  <si>
    <t>Polska, podkarpackie, Cisna (pow. leski)</t>
  </si>
  <si>
    <t>Carpatia Bieszczadzki Gościniec</t>
  </si>
  <si>
    <t>Dyrektor hotelowej karczmy w hotelu</t>
  </si>
  <si>
    <t>https://www.pracuj.pl/praca/dyrektor-hotelowej-karczmy-w-hotelu-cisna-pow-leski,oferta,1001548284</t>
  </si>
  <si>
    <t>https://www.pracuj.pl/praca/servicenow-solution-architect-rzeszow,oferta,1001548109</t>
  </si>
  <si>
    <t>Technik budownictwa</t>
  </si>
  <si>
    <t>09.02.2022 04:36</t>
  </si>
  <si>
    <t>https://www.pracuj.pl/praca/technik-budownictwa-rzeszow,oferta,1001548078</t>
  </si>
  <si>
    <t>Technik Budownictwa</t>
  </si>
  <si>
    <t>Polgrys Kruszywa Sp. z o.o. Sp. k.</t>
  </si>
  <si>
    <t>https://www.pracuj.pl/praca/technolog-rzeszow,oferta,1001548053</t>
  </si>
  <si>
    <t>Project Manager (Obszar Retail)</t>
  </si>
  <si>
    <t>https://www.pracuj.pl/praca/project-manager-obszar-retail-rzeszow,oferta,1001548042</t>
  </si>
  <si>
    <t>Asystent Specjalisty ds. Kluczowych Klientów</t>
  </si>
  <si>
    <t>https://www.pracuj.pl/praca/asystent-specjalisty-ds-kluczowych-klientow-rzeszow,oferta,1001548021</t>
  </si>
  <si>
    <t>Konsorcjum Stali SA</t>
  </si>
  <si>
    <t>https://www.pracuj.pl/praca/specjalista-ds-handlowych-rzeszow,oferta,1001548019</t>
  </si>
  <si>
    <t>Inżynier DevOps</t>
  </si>
  <si>
    <t>https://www.pracuj.pl/praca/inzynier-devops-rzeszow,oferta,1001547982</t>
  </si>
  <si>
    <t>LINK4 Towarzystwo Ubezpieczeń S.A.</t>
  </si>
  <si>
    <t>https://www.pracuj.pl/praca/doradca-klienta-tarnobrzeg,oferta,1001547904</t>
  </si>
  <si>
    <t>https://www.pracuj.pl/praca/doradca-klienta-rzeszow,oferta,1001547897</t>
  </si>
  <si>
    <t>https://www.pracuj.pl/praca/doradca-klienta-przemysl,oferta,1001547895</t>
  </si>
  <si>
    <t>https://www.pracuj.pl/praca/doradca-klienta-krosno,oferta,1001547881</t>
  </si>
  <si>
    <t>Specjalista ds. Utrzymania Ruchu</t>
  </si>
  <si>
    <t>https://www.pracuj.pl/praca/specjalista-ds-utrzymania-ruchu-ropczyce,oferta,1001547850</t>
  </si>
  <si>
    <t>Carrier</t>
  </si>
  <si>
    <t>Specjalista ds. Pomiarów</t>
  </si>
  <si>
    <t>https://www.pracuj.pl/praca/specjalista-ds-pomiarow-rzeszow,oferta,1001547844</t>
  </si>
  <si>
    <t>Technik Napraw</t>
  </si>
  <si>
    <t>https://www.pracuj.pl/praca/technik-napraw-ropczyce,oferta,1001547833</t>
  </si>
  <si>
    <t>RPd057|121103</t>
  </si>
  <si>
    <t>https://www.pracuj.pl/praca/dyrektor-oddzialu-rzeszow,oferta,1001547795</t>
  </si>
  <si>
    <t>Kierownik działu finansowego</t>
  </si>
  <si>
    <t>Junior HR Business Partner</t>
  </si>
  <si>
    <t>https://www.pracuj.pl/praca/junior-hr-business-partner-glogow-malopolski,oferta,1001547739</t>
  </si>
  <si>
    <t>https://www.pracuj.pl/praca/java-developer-rzeszow,oferta,1001547736</t>
  </si>
  <si>
    <t>Amdocs</t>
  </si>
  <si>
    <t>Manager ds. e-commerce</t>
  </si>
  <si>
    <t>https://www.pracuj.pl/praca/manager-ds-e-commerce-rzeszow,oferta,1001547700</t>
  </si>
  <si>
    <t>EUROWEST sp. z o.o.</t>
  </si>
  <si>
    <t>INŻYNIER NADZORU JAKOŚCI</t>
  </si>
  <si>
    <t>https://www.pracuj.pl/praca/inzynier-nadzoru-jakosci-rzeszow,oferta,1001547692</t>
  </si>
  <si>
    <t>MB Aerospace Rzeszów Sp. z o.o.</t>
  </si>
  <si>
    <t>Doradca Techniczno-Handlowy - Inżynier Sprzedaży Zewnętrznej</t>
  </si>
  <si>
    <t>https://www.pracuj.pl/praca/doradca-techniczno-handlowy-inzynier-sprzedazy-zewnetrznej-rzeszow,oferta,1001547690</t>
  </si>
  <si>
    <t>AxFlow Sp. z o.o.</t>
  </si>
  <si>
    <t>Specjalista ds. Podatków</t>
  </si>
  <si>
    <t>https://www.pracuj.pl/praca/specjalista-ds-podatkow-przemysl,oferta,1001544142</t>
  </si>
  <si>
    <t>https://www.pracuj.pl/praca/doradca-klienta-biznesowego-stalowa-wola,oferta,1001542082</t>
  </si>
  <si>
    <t>https://www.pracuj.pl/praca/doradca-klienta-biznesowego-jaslo,oferta,1001542063</t>
  </si>
  <si>
    <t>https://www.pracuj.pl/praca/doradca-osobisty-rzeszow,oferta,1001542047</t>
  </si>
  <si>
    <t>https://www.pracuj.pl/praca/doradca-osobisty-lezajsk,oferta,1001542040</t>
  </si>
  <si>
    <t>https://www.pracuj.pl/praca/doradca-osobisty-jaslo,oferta,1001542037</t>
  </si>
  <si>
    <t>https://www.pracuj.pl/praca/inzynier-budowy-podkarpackie,oferta,8787206</t>
  </si>
  <si>
    <t>KR INŻYNIERIA SP. Z O.O.</t>
  </si>
  <si>
    <t>https://www.pracuj.pl/praca/przedstawiciel-handlowy-podkarpackie,oferta,8787189</t>
  </si>
  <si>
    <t>Virtual Summer School 2022</t>
  </si>
  <si>
    <t>https://www.pracuj.pl/praca/virtual-summer-school-2022-subcarpathia,oferta,8786969</t>
  </si>
  <si>
    <t>https://www.pracuj.pl/praca/przedstawiciel-handlowy-podkarpackie,oferta,8786861</t>
  </si>
  <si>
    <t>XL Tape-International Sp. z o.o.</t>
  </si>
  <si>
    <t>https://www.pracuj.pl/praca/project-manager-subcarpathia,oferta,8786796</t>
  </si>
  <si>
    <t>https://www.pracuj.pl/praca/inzynier-budowy-podkarpackie,oferta,8786772</t>
  </si>
  <si>
    <t>JMS Sp. z o.o.</t>
  </si>
  <si>
    <t>https://www.pracuj.pl/praca/copywriter-podkarpackie,oferta,8786715</t>
  </si>
  <si>
    <t>Specjalista ds. Marketingu i Social Media</t>
  </si>
  <si>
    <t>https://www.pracuj.pl/praca/specjalista-ds-marketingu-i-social-media-podkarpackie,oferta,8786696</t>
  </si>
  <si>
    <t>IT Account Manager + Marketing - US/PL</t>
  </si>
  <si>
    <t>https://www.pracuj.pl/praca/it-account-manager-%2b-marketing-us-pl-podkarpackie,oferta,8786655</t>
  </si>
  <si>
    <t>From Poland With Dev</t>
  </si>
  <si>
    <t>Analityk / Analityczka Danych</t>
  </si>
  <si>
    <t>https://www.pracuj.pl/praca/analityk-analityczka-danych-podkarpackie,oferta,8786517</t>
  </si>
  <si>
    <t>Przedstawiciel handlowy ds. fotowoltaiki ZE &amp; Orange</t>
  </si>
  <si>
    <t>https://www.pracuj.pl/praca/przedstawiciel-handlowy-ds-fotowoltaiki-ze-orange-podkarpackie,oferta,8786463</t>
  </si>
  <si>
    <t>ZIELONA-ENERGIA.COM KLIMCZYK FONFARA sp.j.</t>
  </si>
  <si>
    <t>Inżynier Budowy/ Majster</t>
  </si>
  <si>
    <t>https://www.pracuj.pl/praca/inzynier-budowy-majster-podkarpackie,oferta,8786294</t>
  </si>
  <si>
    <t>Cermag Construction sp. z o.o.</t>
  </si>
  <si>
    <t>Specjalista ds. Sprzedaży (Handlowiec)</t>
  </si>
  <si>
    <t>09.02.2022 06:28</t>
  </si>
  <si>
    <t>https://www.pracuj.pl/praca/specjalista-ds-sprzedazy-handlowiec-podkarpackie,oferta,8786228</t>
  </si>
  <si>
    <t>SellWise</t>
  </si>
  <si>
    <t>Electronics Engineer</t>
  </si>
  <si>
    <t>https://www.pracuj.pl/praca/electronics-engineer-podkarpackie,oferta,8786147</t>
  </si>
  <si>
    <t>Arche Consulting Sp z o.o.</t>
  </si>
  <si>
    <t>Księgowy/ Księgowa</t>
  </si>
  <si>
    <t>https://www.pracuj.pl/praca/ksiegowy-ksiegowa-podkarpackie,oferta,8786044</t>
  </si>
  <si>
    <t>Caterpillar Poland Sp. z o.o.</t>
  </si>
  <si>
    <t>Administrator Baz Danych MS SQL</t>
  </si>
  <si>
    <t>https://www.pracuj.pl/praca/administrator-baz-danych-ms-sql-podkarpackie,oferta,8785998</t>
  </si>
  <si>
    <t>Technical Account Manager with Spanish</t>
  </si>
  <si>
    <t>RPd057|252290</t>
  </si>
  <si>
    <t>https://www.pracuj.pl/praca/technical-account-manager-with-spanish-podkarpackie,oferta,8785965</t>
  </si>
  <si>
    <t>Pozostali administratorzy systemów komputerowych</t>
  </si>
  <si>
    <t>Accenture Interactive</t>
  </si>
  <si>
    <t>Programista PHP - Fullstack PHP Developer</t>
  </si>
  <si>
    <t>https://www.pracuj.pl/praca/programista-php-fullstack-php-developer-podkarpackie,oferta,8785869</t>
  </si>
  <si>
    <t>TravelTECH Sp. z o.o.</t>
  </si>
  <si>
    <t>Talent Acquisition Sourcer</t>
  </si>
  <si>
    <t>https://www.pracuj.pl/praca/talent-acquisition-sourcer-subcarpathia,oferta,8785687</t>
  </si>
  <si>
    <t>Philips</t>
  </si>
  <si>
    <t>Regionalny Kierownik Sprzedaży  - branża opakowań kartonowych</t>
  </si>
  <si>
    <t>https://www.pracuj.pl/praca/regionalny-kierownik-sprzedazy-branza-opakowan-kartonowych-podkarpackie,oferta,8785561</t>
  </si>
  <si>
    <t>Inżynier oprogramowania Autosar</t>
  </si>
  <si>
    <t>https://www.pracuj.pl/praca/inzynier-oprogramowania-autosar-podkarpackie,oferta,8785492</t>
  </si>
  <si>
    <t>Investment Risk Analyst</t>
  </si>
  <si>
    <t>https://www.pracuj.pl/praca/investment-risk-analyst-subcarpathia,oferta,8785471</t>
  </si>
  <si>
    <t>24.03.2022</t>
  </si>
  <si>
    <t>https://www.pracuj.pl/praca/kierowca-miedzynarodowy-c%2be-podkarpackie,oferta,8785453</t>
  </si>
  <si>
    <t>Dasko Sp. z o.o</t>
  </si>
  <si>
    <t>PHP Backend Web Developer</t>
  </si>
  <si>
    <t>https://www.pracuj.pl/praca/php-backend-web-developer-podkarpackie,oferta,8785430</t>
  </si>
  <si>
    <t>CREATIVIUM Piotr Gawron</t>
  </si>
  <si>
    <t>Mechanik pojazdów ciężarowych w Holandii</t>
  </si>
  <si>
    <t>RPd057|723103</t>
  </si>
  <si>
    <t>https://www.pracuj.pl/praca/mechanik-pojazdow-ciezarowych-w-holandii-podkarpackie,oferta,8785412</t>
  </si>
  <si>
    <t>Dasko Logistics Sp. z o.o.</t>
  </si>
  <si>
    <t>Director of Manufacturing</t>
  </si>
  <si>
    <t>https://www.pracuj.pl/praca/director-of-manufacturing-subcarpathia,oferta,8785384</t>
  </si>
  <si>
    <t>Kierownik Obszaru Produkcyjnego</t>
  </si>
  <si>
    <t>https://www.pracuj.pl/praca/kierownik-obszaru-produkcyjnego-podkarpackie,oferta,8785372</t>
  </si>
  <si>
    <t>Manufacturing Business Consultant</t>
  </si>
  <si>
    <t>RPd057|122301</t>
  </si>
  <si>
    <t>https://www.pracuj.pl/praca/manufacturing-business-consultant-subcarpathia,oferta,8785358</t>
  </si>
  <si>
    <t>Power Platform Developer</t>
  </si>
  <si>
    <t>https://www.pracuj.pl/praca/power-platform-developer-subcarpathia,oferta,8785338</t>
  </si>
  <si>
    <t>Doradca ds. sprzedaży ekologicznej</t>
  </si>
  <si>
    <t>https://www.pracuj.pl/praca/doradca-ds-sprzedazy-ekologicznej-podkarpackie,oferta,8785290</t>
  </si>
  <si>
    <t>Key Account Manager (obszar utilities)</t>
  </si>
  <si>
    <t>https://www.pracuj.pl/praca/key-account-manager-obszar-utilities-podkarpackie,oferta,8785244</t>
  </si>
  <si>
    <t>Blue Media S.A.</t>
  </si>
  <si>
    <t>Business Development Manager (zespół hunterski)</t>
  </si>
  <si>
    <t>https://www.pracuj.pl/praca/business-development-manager-zespol-hunterski-podkarpackie,oferta,8785223</t>
  </si>
  <si>
    <t>Associate Technical Services Engineer (URM)</t>
  </si>
  <si>
    <t>https://www.pracuj.pl/praca/associate-technical-services-engineer-urm-subcarpathia,oferta,8785183</t>
  </si>
  <si>
    <t>Specjalista ds. Zakupu Surowca</t>
  </si>
  <si>
    <t>https://www.pracuj.pl/praca/specjalista-ds-zakupu-surowca-podkarpackie,oferta,8784931</t>
  </si>
  <si>
    <t>AKPOL ADAM KUŚ</t>
  </si>
  <si>
    <t>Buyer (Baby Equipment, Toys and Kids Fashion)</t>
  </si>
  <si>
    <t>https://www.pracuj.pl/praca/buyer-baby-equipment-toys-and-kids-fashion-subcarpathia,oferta,8784907</t>
  </si>
  <si>
    <t>Limango Polska Sp. z o.o.</t>
  </si>
  <si>
    <t>RPd057|242227</t>
  </si>
  <si>
    <t>https://www.pracuj.pl/praca/threat-intelligence-ti-analyst-subcarpathia,oferta,8784858</t>
  </si>
  <si>
    <t>Specjalista zarządzania kryzysowego</t>
  </si>
  <si>
    <t>Konsultant ds. transformacji energetycznej</t>
  </si>
  <si>
    <t>https://www.pracuj.pl/praca/konsultant-ds-transformacji-energetycznej-podkarpackie,oferta,8784843</t>
  </si>
  <si>
    <t>Viverno sp. z o.o.</t>
  </si>
  <si>
    <t>Threat Hunter</t>
  </si>
  <si>
    <t>https://www.pracuj.pl/praca/threat-hunter-subcarpathia,oferta,8784825</t>
  </si>
  <si>
    <t>Praktyki w obszarze Rynków Kapitałowych lub Bankowości – programista Java</t>
  </si>
  <si>
    <t>https://www.pracuj.pl/praca/praktyki-w-obszarze-rynkow-kapitalowych-lub-bankowosci-programista-java-podkarpackie,oferta,8784814</t>
  </si>
  <si>
    <t>https://www.pracuj.pl/praca/information-security-analyst-csirt-incident-response-subcarpathia,oferta,8784765</t>
  </si>
  <si>
    <t>Praktyki w obszarze Rynków Kapitałowych lub Bankowości – analityk biznesowo-systemowy</t>
  </si>
  <si>
    <t>https://www.pracuj.pl/praca/praktyki-w-obszarze-rynkow-kapitalowych-lub-bankowosci-analityk-biznesowo-system-podkarpackie,oferta,8784707</t>
  </si>
  <si>
    <t>E-commerce Product Manager</t>
  </si>
  <si>
    <t>https://www.pracuj.pl/praca/e-commerce-product-manager-podkarpackie,oferta,8784669</t>
  </si>
  <si>
    <t>https://www.pracuj.pl/praca/kierowca-c%2be-podkarpackie,oferta,8784608</t>
  </si>
  <si>
    <t>Specjalista/ka ds. e-Marketingu i wsparcia sprzedaży</t>
  </si>
  <si>
    <t>https://www.pracuj.pl/praca/specjalista-ka-ds-e-marketingu-i-wsparcia-sprzedazy-podkarpackie,oferta,8784553</t>
  </si>
  <si>
    <t>MyWay iHelp Group Limited</t>
  </si>
  <si>
    <t>https://www.pracuj.pl/praca/przedstawiciel-medyczny-podkarpackie,oferta,8784543</t>
  </si>
  <si>
    <t>SESDERMA Spółka z ograniczoną odpowiedzialnością</t>
  </si>
  <si>
    <t>https://www.pracuj.pl/praca/customer-relation-specialist-subcarpathia,oferta,8784522</t>
  </si>
  <si>
    <t>Partner - Agent ds. Sprzedaży energii elektrycznej i gazu dla firm</t>
  </si>
  <si>
    <t>https://www.pracuj.pl/praca/partner-agent-ds-sprzedazy-energii-elektrycznej-i-gazu-dla-firm-podkarpackie,oferta,8784494</t>
  </si>
  <si>
    <t>ELEKTRUM GROUP SPÓŁKA Z OGRANICZONĄ ODPOWIEDZIALNOŚCIĄ</t>
  </si>
  <si>
    <t>Konsultant - TAX Global Mobility Services</t>
  </si>
  <si>
    <t>https://www.pracuj.pl/praca/konsultant-tax-global-mobility-services-podkarpackie,oferta,8784473</t>
  </si>
  <si>
    <t>KPMG</t>
  </si>
  <si>
    <t>https://www.pracuj.pl/praca/wlasciciel-agencji-marketingowej-debica-jaroslaw-jaslo-kolbuszowa-krosno-lezajsk-lubaczow-lancut-mielec-nisko-nowa-deba-przemysl-przeworsk-ropczyce-rzeszow-sanok,oferta,8784426</t>
  </si>
  <si>
    <t>Właściciel Agencji Social Media</t>
  </si>
  <si>
    <t>https://www.pracuj.pl/praca/wlasciciel-agencji-social-media-debica-jaroslaw-jaslo-kolbuszowa-krosno-lezajsk-lubaczow-lancut-mielec-nisko-nowa-deba-przemysl-przeworsk-ropczyce-rzeszow-sanok-,oferta,8784403</t>
  </si>
  <si>
    <t>Social Media Group</t>
  </si>
  <si>
    <t>Cash Collection Specialist with German</t>
  </si>
  <si>
    <t>https://www.pracuj.pl/praca/cash-collection-specialist-with-german-podkarpackie,oferta,8784341</t>
  </si>
  <si>
    <t>Młodszy Księgowy z j. niemieckim</t>
  </si>
  <si>
    <t>https://www.pracuj.pl/praca/mlodszy-ksiegowy-z-j-niemieckim-podkarpackie,oferta,8784301</t>
  </si>
  <si>
    <t>Junior Procurement Specialist with German</t>
  </si>
  <si>
    <t>https://www.pracuj.pl/praca/junior-procurement-specialist-with-german-podkarpackie,oferta,8784252</t>
  </si>
  <si>
    <t>Customer Service Advisor with German</t>
  </si>
  <si>
    <t>https://www.pracuj.pl/praca/customer-service-advisor-with-german-podkarpackie,oferta,8784216</t>
  </si>
  <si>
    <t>https://www.pracuj.pl/praca/germanista-podkarpackie,oferta,8784199</t>
  </si>
  <si>
    <t>Key Account Manager ds.Horeca</t>
  </si>
  <si>
    <t>https://www.pracuj.pl/praca/key-account-manager-ds-horeca-podkarpackie,oferta,8784195</t>
  </si>
  <si>
    <t>FoodCare Sp. z o.o.</t>
  </si>
  <si>
    <t>Pracownik Biurowy ze znajomością języka niemieckiego</t>
  </si>
  <si>
    <t>https://www.pracuj.pl/praca/pracownik-biurowy-ze-znajomoscia-jezyka-niemieckiego-podkarpackie,oferta,8784162</t>
  </si>
  <si>
    <t>Młodszy Specjalista ds. Administracji Personalnej z j. niemieckim</t>
  </si>
  <si>
    <t>https://www.pracuj.pl/praca/mlodszy-specjalista-ds-administracji-personalnej-z-j-niemieckim-podkarpackie,oferta,8784129</t>
  </si>
  <si>
    <t>https://www.pracuj.pl/praca/programista-net-podkarpackie,oferta,8784022</t>
  </si>
  <si>
    <t>ERYK PIETRASZEWSKI MEDSOFT; BHP VOTA</t>
  </si>
  <si>
    <t>Technik - Serwisant</t>
  </si>
  <si>
    <t>https://www.pracuj.pl/praca/technik-serwisant-podkarpackie,oferta,8783930</t>
  </si>
  <si>
    <t>R&amp;D Tech Sp. z o.o.</t>
  </si>
  <si>
    <t>Pracownik Biurowy ds. Procesów Wsparcia Bankowości z j. niemieckim</t>
  </si>
  <si>
    <t>https://www.pracuj.pl/praca/pracownik-biurowy-ds-procesow-wsparcia-bankowosci-z-j-niemieckim-podkarpackie,oferta,8783889</t>
  </si>
  <si>
    <t>CERI International Sp. Z o.o.</t>
  </si>
  <si>
    <t>Konsultant ds. Obsługi klienta z językiem niemieckim</t>
  </si>
  <si>
    <t>https://www.pracuj.pl/praca/konsultant-ds-obslugi-klienta-z-jezykiem-niemieckim-podkarpackie,oferta,8783814</t>
  </si>
  <si>
    <t>https://www.pracuj.pl/praca/analityk-biznesowy-podkarpackie,oferta,8783742</t>
  </si>
  <si>
    <t>Senior iOS Developer with German</t>
  </si>
  <si>
    <t>https://www.pracuj.pl/praca/senior-ios-developer-with-german-subcarpathia,oferta,8783709</t>
  </si>
  <si>
    <t>Superintendent in mechanical or electrical/control systems discipline</t>
  </si>
  <si>
    <t>https://www.pracuj.pl/praca/superintendent-in-mechanical-or-electrical-control-systems-discipline-subcarpathia,oferta,8783685</t>
  </si>
  <si>
    <t>FLUOR S.A.</t>
  </si>
  <si>
    <t>Specjalista ds. Digital Marketingu</t>
  </si>
  <si>
    <t>https://www.pracuj.pl/praca/specjalista-ds-digital-marketingu-podkarpackie,oferta,8783656</t>
  </si>
  <si>
    <t>Arkance Systems Poland Sp. z o.o.</t>
  </si>
  <si>
    <t>Specjalista ds. Floty Kontraktowej</t>
  </si>
  <si>
    <t>https://www.pracuj.pl/praca/specjalista-ds-floty-kontraktowej-podkarpackie,oferta,8783626</t>
  </si>
  <si>
    <t>Blackbuck Poland</t>
  </si>
  <si>
    <t>Support Specialist with Languages</t>
  </si>
  <si>
    <t>https://www.pracuj.pl/praca/support-specialist-with-languages-subcarpathia,oferta,8783593</t>
  </si>
  <si>
    <t>Revolut LTD (spółka z ograniczoną odpowiedzialnością) oddział w Polsce</t>
  </si>
  <si>
    <t>https://www.pracuj.pl/praca/azure-devops-engineer-podkarpackie,oferta,8783516</t>
  </si>
  <si>
    <t>EWL S.A</t>
  </si>
  <si>
    <t>https://www.pracuj.pl/praca/ekspert-finansowy-rzeszow,oferta,8783462</t>
  </si>
  <si>
    <t>https://www.pracuj.pl/praca/business-development-manager-podkarpackie,oferta,8783425</t>
  </si>
  <si>
    <t>Architekt IT</t>
  </si>
  <si>
    <t>https://www.pracuj.pl/praca/architekt-it-podkarpackie,oferta,8783365</t>
  </si>
  <si>
    <t>https://www.pracuj.pl/praca/devops-engineer-podkarpackie,oferta,8783320</t>
  </si>
  <si>
    <t>https://www.pracuj.pl/praca/dyrektor-finansowy-podkarpackie,oferta,8782245</t>
  </si>
  <si>
    <t>Pracownik do wykonywania zadań pomocniczych w zakresie geofizyki</t>
  </si>
  <si>
    <t>RPd057|931203</t>
  </si>
  <si>
    <t>https://www.pracuj.pl/praca/pracownik-do-wykonywania-zadan-pomocniczych-w-zakresie-geofizyki-podkarpackie,oferta,8782036</t>
  </si>
  <si>
    <t>Meliorant</t>
  </si>
  <si>
    <t>Państwowy Instytut Geologiczny - Państwowy Instytut Badawczy</t>
  </si>
  <si>
    <t>Junior Talent Acquisition Specialist with German</t>
  </si>
  <si>
    <t>https://www.pracuj.pl/praca/junior-talent-acquisition-specialist-with-german-podkarpackie,oferta,8781571</t>
  </si>
  <si>
    <t>09.02.2022 03:30</t>
  </si>
  <si>
    <t>https://www.goldenline.pl/praca/oferta/1298554/zielonalinia0?utm_brand=goldenline&amp;utm_source=zielonalinia0&amp;gpid=1008574&amp;utm_channel=free&amp;utm_medium=oferta&amp;utm_department=marketing</t>
  </si>
  <si>
    <t>08.02.2022</t>
  </si>
  <si>
    <t>09.02.2022 03:04</t>
  </si>
  <si>
    <t>https://www.praca.pl/inspektor-nadzoru_6494640.html</t>
  </si>
  <si>
    <t>https://www.praca.pl/doradca-klienta-indywidualnego_6494847.html</t>
  </si>
  <si>
    <t>Doradca klienta zamożnego</t>
  </si>
  <si>
    <t>https://www.praca.pl/doradca-klienta-zamoznego_6494850.html</t>
  </si>
  <si>
    <t>https://www.praca.pl/pielegniarka-pielegniarz_6494910.html</t>
  </si>
  <si>
    <t>https://www.praca.pl/magazynier_6494979.html</t>
  </si>
  <si>
    <t>Asystent projektanta (branża zasilania elektrycznego)</t>
  </si>
  <si>
    <t>https://www.praca.pl/asystent-projektanta-branza-zasilania-elektrycznego_6492225.html</t>
  </si>
  <si>
    <t>Cowi Polska</t>
  </si>
  <si>
    <t>Lektor Języka Angielskiego On-Line</t>
  </si>
  <si>
    <t>https://www.praca.pl/lektor-jezyka-angielskiego-on-line_6495051.html</t>
  </si>
  <si>
    <t>Centrum Kształcenia Językowego The Point</t>
  </si>
  <si>
    <t>https://www.praca.pl/merchandiser_6495159.html</t>
  </si>
  <si>
    <t>https://www.praca.pl/project-manager_6495537.html</t>
  </si>
  <si>
    <t>thyssenkrupp Group Services Gdańsk Sp. z o.o.</t>
  </si>
  <si>
    <t>Programista C/C++</t>
  </si>
  <si>
    <t>https://www.praca.pl/programista-c-c_6495810.html</t>
  </si>
  <si>
    <t>Junior / Mid / Senior Backend Java Developer</t>
  </si>
  <si>
    <t>https://www.praca.pl/junior-mid-senior-backend-java-developer_6495861.html</t>
  </si>
  <si>
    <t>https://www.praca.pl/specjalista-ds-turystyki_6496272.html</t>
  </si>
  <si>
    <t>Coral Travel Poland Sp. z o.o.</t>
  </si>
  <si>
    <t>Specjalista ds. Administrowania Bazami Danych</t>
  </si>
  <si>
    <t>https://www.praca.pl/specjalista-ds-administrowania-bazami-danych_6496347.html</t>
  </si>
  <si>
    <t>Performance Marketing Specialist</t>
  </si>
  <si>
    <t>https://www.praca.pl/performance-marketing-specialist_6496038.html</t>
  </si>
  <si>
    <t>Specjalista ds. rozwoju rynku i obsługi klienta z językiem niderlandzkim</t>
  </si>
  <si>
    <t>https://www.praca.pl/specjalista-ds-rozwoju-rynku-i-obslugi-klienta-z-jezykiem-niderlandzkim_6496047.html</t>
  </si>
  <si>
    <t>Specjalista ds. rozwoju rynku z językiem angielskim</t>
  </si>
  <si>
    <t>https://www.praca.pl/specjalista-ds-rozwoju-rynku-z-jezykiem-angielskim_6496050.html</t>
  </si>
  <si>
    <t>Specjalista ds. Facebook Ads</t>
  </si>
  <si>
    <t>https://www.praca.pl/specjalista-ds-facebook-ads_6496194.html</t>
  </si>
  <si>
    <t>https://www.praca.pl/specjalista-ds-obslugi-klienta-z-jezykiem-niemieckim_6496221.html</t>
  </si>
  <si>
    <t>https://www.praca.pl/web-developer_6496338.html</t>
  </si>
  <si>
    <t>Zastępca Kierownika Działu Utrzymania Ruchu</t>
  </si>
  <si>
    <t>https://www.praca.pl/zastepca-kierownika-dzialu-utrzymania-ruchu_6496392.html</t>
  </si>
  <si>
    <t>Mechanik / Automatyk</t>
  </si>
  <si>
    <t>https://www.praca.pl/mechanik-automatyk_6496398.html</t>
  </si>
  <si>
    <t>Specjalista ds. marketingu z językiem niemieckim</t>
  </si>
  <si>
    <t>https://www.praca.pl/specjalista-ds-marketingu-z-jezykiem-niemieckim_6496563.html</t>
  </si>
  <si>
    <t>https://www.praca.pl/operator-maszyn-produkcyjnych_6496575.html</t>
  </si>
  <si>
    <t>Specjalista ds. rozwoju rynku (Kalkulacje)</t>
  </si>
  <si>
    <t>https://www.praca.pl/specjalista-ds-rozwoju-rynku-kalkulacje_6496581.html</t>
  </si>
  <si>
    <t>https://www.praca.pl/specjalista-ds-bhp_6496725.html</t>
  </si>
  <si>
    <t>Hyperoil Sp. z o.o.</t>
  </si>
  <si>
    <t>Pomocnik w pralni - mile widziane również pary</t>
  </si>
  <si>
    <t>https://www.praca.pl/pomocnik-w-pralni-mile-widziane-rowniez-pary_6497181.html</t>
  </si>
  <si>
    <t>Pracownik produkcji okien z tworzywa sztucznego</t>
  </si>
  <si>
    <t>RPd057|814204</t>
  </si>
  <si>
    <t>https://www.praca.pl/pracownik-produkcji-okien-z-tworzywa-sztucznego_6497229.html</t>
  </si>
  <si>
    <t>Operator maszyn i urządzeń do produkcji okien z tworzyw sztucznych</t>
  </si>
  <si>
    <t>Technical Support Specialist with English</t>
  </si>
  <si>
    <t>https://www.praca.pl/technical-support-specialist-with-english_6498027.html</t>
  </si>
  <si>
    <t>Concentrix</t>
  </si>
  <si>
    <t>Przedstawiciel Handlowy / Przedstawicielka Handlowa  w Dziale Sprzedaży Impulsowej</t>
  </si>
  <si>
    <t>1818,1864,1820</t>
  </si>
  <si>
    <t>https://www.praca.pl/przedstawiciel-handlowy-przedstawicielka-handlowa-w-dziale-sprzedazy-impulsowej_6498519.html</t>
  </si>
  <si>
    <t>Polska, podkarpackie, Stalowa Wola, Tarnobrzeg i okolice</t>
  </si>
  <si>
    <t>Lotte Wedel Sp. z o.o.</t>
  </si>
  <si>
    <t>Pracownik fizyczny (magazyn logistyczny)</t>
  </si>
  <si>
    <t>https://www.praca.pl/pracownik-fizyczny-magazyn-logistyczny_6498573.html</t>
  </si>
  <si>
    <t>Operator Wózka Widłowego</t>
  </si>
  <si>
    <t>https://www.praca.pl/operator-wozka-widlowego_6498750.html</t>
  </si>
  <si>
    <t>Grupa PreZero</t>
  </si>
  <si>
    <t>Kierownik Recepcji Hotelu</t>
  </si>
  <si>
    <t>https://www.praca.pl/kierownik-recepcji-hotelu_6497676.html</t>
  </si>
  <si>
    <t>City Park Poznań Sp. z o.o. Sp. kom.</t>
  </si>
  <si>
    <t>Country Manager - rynek niemiecki</t>
  </si>
  <si>
    <t>https://www.praca.pl/country-manager-rynek-niemiecki_6498993.html</t>
  </si>
  <si>
    <t>Młodszy specjalista ds. ochrony środowiska</t>
  </si>
  <si>
    <t>RPd057|732101</t>
  </si>
  <si>
    <t>https://www.praca.pl/mlodszy-specjalista-ds-ochrony-srodowiska_6499161.html</t>
  </si>
  <si>
    <t>Fotograf poligraficzny</t>
  </si>
  <si>
    <t>https://www.praca.pl/zastepca-kierownika-sklepu_6499137.html</t>
  </si>
  <si>
    <t>Action Poland Sp. z o.o.</t>
  </si>
  <si>
    <t>https://www.praca.pl/przedstawiciel-handlowy_6431676.html</t>
  </si>
  <si>
    <t>16.03.2022</t>
  </si>
  <si>
    <t>16.02.2022 03:40</t>
  </si>
  <si>
    <t>https://www.pracuj.pl/praca/specjalista-cad-dzial-techniki-i-rozwoju-mielec,oferta,1001569882</t>
  </si>
  <si>
    <t>16.02.2022</t>
  </si>
  <si>
    <t>NodeJS Developer - media industry</t>
  </si>
  <si>
    <t>https://www.pracuj.pl/praca/nodejs-developer-media-industry-rzeszow,oferta,1001569717</t>
  </si>
  <si>
    <t>Specjalista ds. Wdrożeń (bankowość)</t>
  </si>
  <si>
    <t>https://www.pracuj.pl/praca/specjalista-ds-wdrozen-bankowosc-rzeszow,oferta,1001569704</t>
  </si>
  <si>
    <t>https://www.pracuj.pl/praca/zastepca-managera-sklepu-lesko,oferta,1001569414</t>
  </si>
  <si>
    <t>https://www.pracuj.pl/praca/pracownik-sklepu-etat-87h-lub-130h-mielec,oferta,1001569325</t>
  </si>
  <si>
    <t>https://www.pracuj.pl/praca/pracownik-magazynu-jasionka-pow-rzeszowski,oferta,1001569264</t>
  </si>
  <si>
    <t>Inżynier procesu - Specjalista ds. Lean Manufacturing</t>
  </si>
  <si>
    <t>https://www.pracuj.pl/praca/inzynier-procesu-specjalista-ds-lean-manufacturing-wola-dalsza-pow-lancucki,oferta,1001569143</t>
  </si>
  <si>
    <t>Dystrybutor - Regionalny Przedstawiciel Handlowy - Reprezentant</t>
  </si>
  <si>
    <t>https://www.pracuj.pl/praca/dystrybutor-regionalny-przedstawiciel-handlowy-reprezentant-rzeszow,oferta,1001569101</t>
  </si>
  <si>
    <t>SED FRYZ - Grupa ProUroda</t>
  </si>
  <si>
    <t>Recruitment Sourcer Lead</t>
  </si>
  <si>
    <t>https://www.pracuj.pl/praca/recruitment-sourcer-lead-rzeszow,oferta,1001569017</t>
  </si>
  <si>
    <t>Programista SQL</t>
  </si>
  <si>
    <t>https://www.pracuj.pl/praca/programista-sql-rzeszow,oferta,1001569004</t>
  </si>
  <si>
    <t>Asseco Business Solutions S.A.</t>
  </si>
  <si>
    <t>https://www.pracuj.pl/praca/specjalista-ds-marketingu-i-social-media-rzeszow,oferta,1001568991</t>
  </si>
  <si>
    <t>Operator CNC - Frezer</t>
  </si>
  <si>
    <t>https://www.pracuj.pl/praca/operator-cnc-frezer-jasionka-pow-krosnienski,oferta,1001568967</t>
  </si>
  <si>
    <t>Polska, podkarpackie, Jasionka (pow. krośnieński)</t>
  </si>
  <si>
    <t>https://www.pracuj.pl/praca/development-manager-rzeszow,oferta,1001568948</t>
  </si>
  <si>
    <t>IT Talent Sourcer</t>
  </si>
  <si>
    <t>https://www.pracuj.pl/praca/it-talent-sourcer-rzeszow,oferta,1001568934</t>
  </si>
  <si>
    <t>https://www.pracuj.pl/praca/kierownik-salonu-sprzedazy-orange-przeworsk,oferta,1001568875</t>
  </si>
  <si>
    <t>Kierownik Działu projektowania i kosztorysowania</t>
  </si>
  <si>
    <t>https://www.pracuj.pl/praca/kierownik-dzialu-projektowania-i-kosztorysowania-rzeszow,oferta,1001568835</t>
  </si>
  <si>
    <t>KOBI-LIGHT SPÓŁKA Z OGRANICZONĄ ODPOWIEDZIALNOŚCIĄ</t>
  </si>
  <si>
    <t>Java Software Engineer II</t>
  </si>
  <si>
    <t>31.03.2022</t>
  </si>
  <si>
    <t>https://www.pracuj.pl/praca/java-software-engineer-ii-rzeszow,oferta,1001568821</t>
  </si>
  <si>
    <t>JAMF</t>
  </si>
  <si>
    <t>https://www.pracuj.pl/praca/spawacz-kamien-pow-rzeszowski,oferta,1001568778</t>
  </si>
  <si>
    <t>Polska, podkarpackie, Kamień (pow. rzeszowski)</t>
  </si>
  <si>
    <t>KOBEX Sp. z o.o.</t>
  </si>
  <si>
    <t>Specjalista ds. Reklamacji Międzynarodowych</t>
  </si>
  <si>
    <t>https://www.pracuj.pl/praca/specjalista-ds-reklamacji-miedzynarodowych-rudna-mala-pow-rzeszowski,oferta,1001568773</t>
  </si>
  <si>
    <t>https://www.pracuj.pl/praca/specjalista-ds-reklamacji-miedzynarodowych-glogow-malopolski,oferta,1001568772</t>
  </si>
  <si>
    <t>Specjalista ds. wsparcia sprzedaży (Back Office)</t>
  </si>
  <si>
    <t>https://www.pracuj.pl/praca/specjalista-ds-wsparcia-sprzedazy-back-office-tajecina-pow-rzeszowski,oferta,1001568640</t>
  </si>
  <si>
    <t>https://www.pracuj.pl/praca/kierownik-dzialu-mielec,oferta,1001568623</t>
  </si>
  <si>
    <t>https://www.pracuj.pl/praca/operator-wozka-widlowego-rzeszow,oferta,1001568500</t>
  </si>
  <si>
    <t>PreZero Recycling Wschód Sp. z o.o.</t>
  </si>
  <si>
    <t>Programista VBA w MS Excel + Business Intelligence (Power Query, Power BI)</t>
  </si>
  <si>
    <t>https://www.pracuj.pl/praca/programista-vba-w-ms-excel-%2b-business-intelligence-power-query-power-bi-rzeszow,oferta,1001568463</t>
  </si>
  <si>
    <t>https://www.pracuj.pl/praca/opiekun-klienta-rzeszow,oferta,1001568452</t>
  </si>
  <si>
    <t>BENCHMARK sp. z o.o.</t>
  </si>
  <si>
    <t>https://www.pracuj.pl/praca/ksiegowa-y-rzeszow,oferta,1001568423</t>
  </si>
  <si>
    <t>16.02.2022 04:43</t>
  </si>
  <si>
    <t>https://www.pracuj.pl/praca/dyrektor-finansowy-mielec,oferta,1001568400</t>
  </si>
  <si>
    <t>https://www.pracuj.pl/praca/informatyk-mielec,oferta,1001568283</t>
  </si>
  <si>
    <t>Operator Produkcji (Wydział Montażu/Strefy Przepakowania Komponentów) (ETTS)</t>
  </si>
  <si>
    <t>https://www.pracuj.pl/praca/operator-produkcji-wydzial-montazu-strefy-przepakowania-komponentow-etts-jasionka-pow-rzeszowski,oferta,1001568280</t>
  </si>
  <si>
    <t>BorgWarner Poland Sp. z o.o. – Emissions, Thermal &amp; Turbo Systems</t>
  </si>
  <si>
    <t>https://www.pracuj.pl/praca/magazynier-rzeszow,oferta,1001568277</t>
  </si>
  <si>
    <t>Technical Recruiter EMEIA</t>
  </si>
  <si>
    <t>https://www.pracuj.pl/praca/technical-recruiter-emeia-rzeszow,oferta,1001568221</t>
  </si>
  <si>
    <t>Główny Księgowy / Główna Księgowa</t>
  </si>
  <si>
    <t>https://www.pracuj.pl/praca/glowny-ksiegowy-glowna-ksiegowa-tyczyn,oferta,1001568188</t>
  </si>
  <si>
    <t>DI-STAR.EU sp. z o.o.</t>
  </si>
  <si>
    <t>https://www.pracuj.pl/praca/trade-marketing-manager-brzeznica-pow-debicki,oferta,1001568136</t>
  </si>
  <si>
    <t>https://www.pracuj.pl/praca/opiekun-klienta-w-oddziale-banku-stalowa-wola,oferta,1001568097</t>
  </si>
  <si>
    <t>https://www.pracuj.pl/praca/opiekun-klienta-w-oddziale-banku-przemysl,oferta,1001568094</t>
  </si>
  <si>
    <t>Ekspert Zdalnej Obsługi Klienta Zamożnego</t>
  </si>
  <si>
    <t>https://www.pracuj.pl/praca/ekspert-zdalnej-obslugi-klienta-zamoznego-rzeszow,oferta,1001568069</t>
  </si>
  <si>
    <t>https://www.pracuj.pl/praca/specjalista-ds-sprzedazy-produktow-bankowych-rzeszow,oferta,1001568055</t>
  </si>
  <si>
    <t>Supplier Development Engineer</t>
  </si>
  <si>
    <t>https://www.pracuj.pl/praca/supplier-development-engineer-chmielow-pow-tarnobrzeski,oferta,1001568040</t>
  </si>
  <si>
    <t>Księgowy/a KH</t>
  </si>
  <si>
    <t>https://www.pracuj.pl/praca/ksiegowy-a-kh-rzeszow,oferta,1001568020</t>
  </si>
  <si>
    <t>TAXENO Sp. z o.o.</t>
  </si>
  <si>
    <t>Dyspozytor Transportu</t>
  </si>
  <si>
    <t>https://www.pracuj.pl/praca/dyspozytor-transportu-rzeszow,oferta,1001567990</t>
  </si>
  <si>
    <t>Raben Logistics Polska sp. z o.o.</t>
  </si>
  <si>
    <t>Risk &amp; Healthcare Administrator Entry with German</t>
  </si>
  <si>
    <t>https://www.pracuj.pl/praca/risk-healthcare-administrator-entry-with-german-rzeszow,oferta,1001567947</t>
  </si>
  <si>
    <t>https://www.pracuj.pl/praca/analityk-biznesowy-rzeszow,oferta,1001567915</t>
  </si>
  <si>
    <t>Transition Technologies Systems Sp. z o.o.</t>
  </si>
  <si>
    <t>https://www.pracuj.pl/praca/area-sales-manager-rzeszow,oferta,1001567757</t>
  </si>
  <si>
    <t>Actona Company A/S</t>
  </si>
  <si>
    <t>https://www.pracuj.pl/praca/konsultant-ds-obslugi-klienta-w-punkcie-sprzedazy-t-mobile-sanok,oferta,1001567720</t>
  </si>
  <si>
    <t>https://www.pracuj.pl/praca/konsultant-ds-obslugi-klienta-w-punkcie-sprzedazy-t-mobile-rzeszow,oferta,1001567719</t>
  </si>
  <si>
    <t>https://www.pracuj.pl/praca/magazynier-tajecina-pow-rzeszowski,oferta,1001567694</t>
  </si>
  <si>
    <t>Southco Poland sp. z o.o</t>
  </si>
  <si>
    <t>https://www.pracuj.pl/praca/operator-produkcji-jasionka-pow-rzeszowski,oferta,1001567687</t>
  </si>
  <si>
    <t>BorgWarner Rzeszow Sp. Z o.o. Drivetrain Systems</t>
  </si>
  <si>
    <t>Specjalista ds. sprzedaży (Account Manager)</t>
  </si>
  <si>
    <t>https://www.pracuj.pl/praca/specjalista-ds-sprzedazy-account-manager-tajecina-pow-rzeszowski,oferta,1001567686</t>
  </si>
  <si>
    <t>Kontroler Procesu  w Dziale Jakości</t>
  </si>
  <si>
    <t>https://www.pracuj.pl/praca/kontroler-procesu-w-dziale-jakosci-debica,oferta,1001567677</t>
  </si>
  <si>
    <t>https://www.pracuj.pl/praca/specjalista-ds-personalnych-rzeszow,oferta,1001567659</t>
  </si>
  <si>
    <t>https://www.pracuj.pl/praca/mobilny-serwisant-sprzetu-medycznego-rzeszow,oferta,1001567657</t>
  </si>
  <si>
    <t>Młodszy konstruktor fasad słupowo-ryglowych i segmentowych</t>
  </si>
  <si>
    <t>RPd057|311203</t>
  </si>
  <si>
    <t>https://www.pracuj.pl/praca/mlodszy-konstruktor-fasad-slupowo-ryglowych-i-segmentowych-glogow-malopolski,oferta,1001567622</t>
  </si>
  <si>
    <t>Technik architekt</t>
  </si>
  <si>
    <t>Business Travel Consultant</t>
  </si>
  <si>
    <t>https://www.pracuj.pl/praca/business-travel-consultant-rzeszow,oferta,1001567618</t>
  </si>
  <si>
    <t>CWT ECENTER POLSKA sp. z o.o.</t>
  </si>
  <si>
    <t>https://www.pracuj.pl/praca/bankier-klienta-krosno,oferta,1001567573</t>
  </si>
  <si>
    <t>https://www.pracuj.pl/praca/bankier-klienta-debica,oferta,1001567571</t>
  </si>
  <si>
    <t>https://www.pracuj.pl/praca/bankier-klienta-mielec,oferta,1001567569</t>
  </si>
  <si>
    <t>https://www.pracuj.pl/praca/bankier-klienta-rzeszow,oferta,1001567546</t>
  </si>
  <si>
    <t>https://www.pracuj.pl/praca/specjalista-ds-zakupow-rzeszow,oferta,1001567510</t>
  </si>
  <si>
    <t>PGE Energia Ciepła S.A.</t>
  </si>
  <si>
    <t>Junior Software Engineer (Java)</t>
  </si>
  <si>
    <t>https://www.pracuj.pl/praca/junior-software-engineer-java-rzeszow,oferta,1001567479</t>
  </si>
  <si>
    <t>Starszy Konsultant w zespole Corporate Tax</t>
  </si>
  <si>
    <t>https://www.pracuj.pl/praca/starszy-konsultant-w-zespole-corporate-tax-rzeszow,oferta,1001567458</t>
  </si>
  <si>
    <t>https://www.pracuj.pl/praca/przedstawiciel-handlowy-ds-sprzedazy-do-warsztatow-i-serwisow-samochodowych-jaroslaw,oferta,1001567304</t>
  </si>
  <si>
    <t>https://www.pracuj.pl/praca/przedstawiciel-handlowy-ds-sprzedazy-do-warsztatow-i-serwisow-samochodowych-przemysl,oferta,1001567303</t>
  </si>
  <si>
    <t>https://www.pracuj.pl/praca/przedstawiciel-handlowy-ds-sprzedazy-do-warsztatow-i-serwisow-samochodowych-przeworsk,oferta,1001567302</t>
  </si>
  <si>
    <t>https://www.pracuj.pl/praca/przedstawiciel-handlowy-ds-sprzedazy-do-warsztatow-i-serwisow-samochodowych-lancut,oferta,1001567301</t>
  </si>
  <si>
    <t>https://www.pracuj.pl/praca/przedstawiciel-handlowy-ds-sprzedazy-do-warsztatow-i-serwisow-samochodowych-rzeszow,oferta,1001567300</t>
  </si>
  <si>
    <t>https://www.pracuj.pl/praca/pracownik-magazynu-stalowa-wola,oferta,1001567245</t>
  </si>
  <si>
    <t>RESCOLD</t>
  </si>
  <si>
    <t>Przedstawiciel Handlowy – Unilever</t>
  </si>
  <si>
    <t>https://www.pracuj.pl/praca/przedstawiciel-handlowy-unilever-sedziszow-malopolski,oferta,1001567216</t>
  </si>
  <si>
    <t>https://www.pracuj.pl/praca/przedstawiciel-handlowy-unilever-ropczyce,oferta,1001567215</t>
  </si>
  <si>
    <t>https://www.pracuj.pl/praca/przedstawiciel-handlowy-unilever-mielec,oferta,1001567214</t>
  </si>
  <si>
    <t>https://www.pracuj.pl/praca/przedstawiciel-handlowy-unilever-debica,oferta,1001567213</t>
  </si>
  <si>
    <t>https://www.pracuj.pl/praca/spedytor-krajowy-miedzynarodowy-rzeszow,oferta,1001567094</t>
  </si>
  <si>
    <t>Stalko Przybysz i Wspólnicy</t>
  </si>
  <si>
    <t>https://www.pracuj.pl/praca/technik-farmaceutyczny-przemysl,oferta,1001567052</t>
  </si>
  <si>
    <t>Młodszy Spawacz</t>
  </si>
  <si>
    <t>https://www.pracuj.pl/praca/mlodszy-spawacz-rzeszow,oferta,1001567026</t>
  </si>
  <si>
    <t>Administrator systemów Windows</t>
  </si>
  <si>
    <t>https://www.pracuj.pl/praca/administrator-systemow-windows-zaczernie-pow-rzeszowski,oferta,1001567021</t>
  </si>
  <si>
    <t>Cyfrowa Foto Sp. z o.o.</t>
  </si>
  <si>
    <t>https://www.pracuj.pl/praca/sprzedawca-rzeszow,oferta,1001566995</t>
  </si>
  <si>
    <t>https://www.pracuj.pl/praca/mlodszy-planista-lancucha-dostaw-szczepancowa-pow-krosnienski,oferta,1001566963</t>
  </si>
  <si>
    <t>Polska, podkarpackie, Szczepańcowa (pow. krośnieński)</t>
  </si>
  <si>
    <t>Grupa Eurocash – Eurocash Logistyka</t>
  </si>
  <si>
    <t>https://www.pracuj.pl/praca/magister-farmacji-jaroslaw,oferta,1001566918</t>
  </si>
  <si>
    <t>https://www.pracuj.pl/praca/kierownik-apteki-lubaczow,oferta,1001566860</t>
  </si>
  <si>
    <t>Fullstack PHP Developer</t>
  </si>
  <si>
    <t>https://www.pracuj.pl/praca/fullstack-php-developer-rzeszow,oferta,1001566688</t>
  </si>
  <si>
    <t>ONLINE VENTURE sp. z o.o.</t>
  </si>
  <si>
    <t>Planista personalny projektów montażowych</t>
  </si>
  <si>
    <t>https://www.pracuj.pl/praca/planista-personalny-projektow-montazowych-lancut,oferta,1001566550</t>
  </si>
  <si>
    <t>MOBUS SP Z O O</t>
  </si>
  <si>
    <t>Dyrektor - Właściciel Placówki Franczyzowej</t>
  </si>
  <si>
    <t>https://www.pracuj.pl/praca/dyrektor-wlasciciel-placowki-franczyzowej-debica,oferta,8809337</t>
  </si>
  <si>
    <t>GRUPA AUTO FINANSE SP. Z O.O.</t>
  </si>
  <si>
    <t>Service Desk Agent with German</t>
  </si>
  <si>
    <t>https://www.pracuj.pl/praca/service-desk-agent-with-german-subcarpathia,oferta,8809314</t>
  </si>
  <si>
    <t>https://www.pracuj.pl/praca/nauczyciel-jezyka-angielskiego-podkarpackie,oferta,8809136</t>
  </si>
  <si>
    <t>CEE Food Sales &amp; Marketing Manager</t>
  </si>
  <si>
    <t>https://www.pracuj.pl/praca/cee-food-sales-marketing-manager-subcarpathia,oferta,8809098</t>
  </si>
  <si>
    <t>Als Food</t>
  </si>
  <si>
    <t>Technical IT Support Engineer</t>
  </si>
  <si>
    <t>https://www.pracuj.pl/praca/technical-it-support-engineer-subcarpathia,oferta,8809017</t>
  </si>
  <si>
    <t>Konsultant ds. wdrożeń systemów EOD</t>
  </si>
  <si>
    <t>https://www.pracuj.pl/praca/konsultant-ds-wdrozen-systemow-eod-podkarpackie,oferta,8808994</t>
  </si>
  <si>
    <t>https://www.pracuj.pl/praca/kierownik-utrzymania-ruchu-podkarpackie,oferta,8808971</t>
  </si>
  <si>
    <t>Konsultant ds. wdrożeń</t>
  </si>
  <si>
    <t>https://www.pracuj.pl/praca/konsultant-ds-wdrozen-podkarpackie,oferta,8808943</t>
  </si>
  <si>
    <t>https://www.pracuj.pl/praca/przedstawiciel-handlowy-podkarpackie,oferta,8808871</t>
  </si>
  <si>
    <t>ITP S.A.</t>
  </si>
  <si>
    <t>Order Handling Specialist (f/m) with German and English</t>
  </si>
  <si>
    <t>https://www.pracuj.pl/praca/order-handling-specialist-f-m-with-german-and-english-subcarpathia,oferta,8808743</t>
  </si>
  <si>
    <t>https://www.pracuj.pl/praca/specjalista-ds-sprzedazy-podkarpackie,oferta,8808657</t>
  </si>
  <si>
    <t>FORUM MEDIA POLSKA Sp. z o.o.</t>
  </si>
  <si>
    <t>Senior Recruitment Specialist - Starszy Specjalista ds. Rekrutacji</t>
  </si>
  <si>
    <t>https://www.pracuj.pl/praca/senior-recruitment-specialist-starszy-specjalista-ds-rekrutacji-podkarpackie,oferta,8808602</t>
  </si>
  <si>
    <t>Real Recruitment Solutions</t>
  </si>
  <si>
    <t>Młodsza Specjalistka/Młodszy specjalista ds. assistance motoryzacyjnego</t>
  </si>
  <si>
    <t>https://www.pracuj.pl/praca/mlodsza-specjalistka-mlodszy-specjalista-ds-assistance-motoryzacyjnego-podkarpackie,oferta,8808469</t>
  </si>
  <si>
    <t>Allianz Partners</t>
  </si>
  <si>
    <t>Junior Technical Services Engineer - DevOps</t>
  </si>
  <si>
    <t>https://www.pracuj.pl/praca/junior-technical-services-engineer-devops-subcarpathia,oferta,8808395</t>
  </si>
  <si>
    <t>Technical Services Engineer - Middleware</t>
  </si>
  <si>
    <t>https://www.pracuj.pl/praca/technical-services-engineer-middleware-subcarpathia,oferta,8808378</t>
  </si>
  <si>
    <t>Master Data Specialist</t>
  </si>
  <si>
    <t>https://www.pracuj.pl/praca/master-data-specialist-subcarpathia,oferta,8808238</t>
  </si>
  <si>
    <t>Full-stack JavaScript Developer</t>
  </si>
  <si>
    <t>https://www.pracuj.pl/praca/full-stack-javascript-developer-subcarpathia,oferta,8808220</t>
  </si>
  <si>
    <t>Calder</t>
  </si>
  <si>
    <t>https://www.pracuj.pl/praca/doradca-techniczny-do-sprzedazy-obrabiarek-do-drewna-podkarpackie,oferta,8808172</t>
  </si>
  <si>
    <t>Software Developer C/Linux</t>
  </si>
  <si>
    <t>https://www.pracuj.pl/praca/software-developer-c-linux-subcarpathia,oferta,8808039</t>
  </si>
  <si>
    <t>Fizjoterapeuta do rehabilitacji w warunkach domowych</t>
  </si>
  <si>
    <t>https://www.pracuj.pl/praca/fizjoterapeuta-do-rehabilitacji-w-warunkach-domowych-boguchwala,oferta,8807937</t>
  </si>
  <si>
    <t>EPIONE Sp. z o.o.</t>
  </si>
  <si>
    <t>Absolwenci/ studenci z językiem niemieckim</t>
  </si>
  <si>
    <t>https://www.pracuj.pl/praca/absolwenci-studenci-z-jezykiem-niemieckim-podkarpackie,oferta,8807900</t>
  </si>
  <si>
    <t>Specjalista ds. sprzedaży – hurtownia fotowoltaiczna – praca biurowa</t>
  </si>
  <si>
    <t>https://www.pracuj.pl/praca/specjalista-ds-sprzedazy-hurtownia-fotowoltaiczna-praca-biurowa-podkarpackie,oferta,8807858</t>
  </si>
  <si>
    <t>SOLMIX sp. z o.o.</t>
  </si>
  <si>
    <t>https://www.pracuj.pl/praca/full-stack-developer-podkarpackie,oferta,8807840</t>
  </si>
  <si>
    <t>ITIS Sp. z o.o.</t>
  </si>
  <si>
    <t>IT Support Agent with German</t>
  </si>
  <si>
    <t>https://www.pracuj.pl/praca/it-support-agent-with-german-podkarpackie,oferta,8807804</t>
  </si>
  <si>
    <t>Dyrektor ds. Rozwoju</t>
  </si>
  <si>
    <t>23.03.2022</t>
  </si>
  <si>
    <t>https://www.pracuj.pl/praca/dyrektor-ds-rozwoju-podkarpackie,oferta,8807787</t>
  </si>
  <si>
    <t>PB 8 SPÓŁKA Z OGRANICZONĄ ODPOWIEDZIALNOŚCIĄ</t>
  </si>
  <si>
    <t>Data Associate with German</t>
  </si>
  <si>
    <t>RPd057|331404</t>
  </si>
  <si>
    <t>https://www.pracuj.pl/praca/data-associate-with-german-debica-jaslo-krosno-rzeszow,oferta,8807741</t>
  </si>
  <si>
    <t>Asystent przetwarzania danych</t>
  </si>
  <si>
    <t>Doradca techniczno – handlowy</t>
  </si>
  <si>
    <t>https://www.pracuj.pl/praca/doradca-techniczno-handlowy-podkarpackie,oferta,8807626</t>
  </si>
  <si>
    <t>Corab S.A.</t>
  </si>
  <si>
    <t>Executive Assistant in Finance Software Consultancy</t>
  </si>
  <si>
    <t>https://www.pracuj.pl/praca/executive-assistant-in-finance-software-consultancy-subcarpathia,oferta,8807575</t>
  </si>
  <si>
    <t>https://www.pracuj.pl/praca/sales-manager-subcarpathia,oferta,8807555</t>
  </si>
  <si>
    <t>Recruiter with English or German</t>
  </si>
  <si>
    <t>https://www.pracuj.pl/praca/recruiter-with-english-or-german-podkarpackie,oferta,8807542</t>
  </si>
  <si>
    <t>Specjalista IT ds. szkoleń</t>
  </si>
  <si>
    <t>https://www.pracuj.pl/praca/specjalista-it-ds-szkolen-podkarpackie,oferta,8807529</t>
  </si>
  <si>
    <t>Kierownik Biura Sprzedaży</t>
  </si>
  <si>
    <t>https://www.pracuj.pl/praca/kierownik-biura-sprzedazy-podkarpackie,oferta,8807471</t>
  </si>
  <si>
    <t>EURODRUK-POZNAŃ sp. z o.o.</t>
  </si>
  <si>
    <t>https://www.pracuj.pl/praca/inzynier-budowy-podkarpackie,oferta,8807246</t>
  </si>
  <si>
    <t>Ambasador marki</t>
  </si>
  <si>
    <t>https://www.pracuj.pl/praca/ambasador-marki-podkarpackie,oferta,8807168</t>
  </si>
  <si>
    <t>Senior Software Developer (Java)</t>
  </si>
  <si>
    <t>https://www.pracuj.pl/praca/senior-software-developer-java-podkarpackie,oferta,8807087</t>
  </si>
  <si>
    <t>Quality Manager - Kierownik Działu Jakości</t>
  </si>
  <si>
    <t>https://www.pracuj.pl/praca/quality-manager-kierownik-dzialu-jakosci-podkarpackie,oferta,8807056</t>
  </si>
  <si>
    <t>Senior Software Developer (Python)</t>
  </si>
  <si>
    <t>https://www.pracuj.pl/praca/senior-software-developer-python-podkarpackie,oferta,8807004</t>
  </si>
  <si>
    <t>Business developer</t>
  </si>
  <si>
    <t>https://www.pracuj.pl/praca/business-developer-subcarpathia,oferta,8806986</t>
  </si>
  <si>
    <t>Oktopro Ltd</t>
  </si>
  <si>
    <t>https://www.pracuj.pl/praca/business-development-manager-podkarpackie,oferta,8806963</t>
  </si>
  <si>
    <t>DREAMCAST SP. Z O.O.</t>
  </si>
  <si>
    <t>IT Service Desk Specialist with French</t>
  </si>
  <si>
    <t>https://www.pracuj.pl/praca/it-service-desk-specialist-with-french-subcarpathia,oferta,8806837</t>
  </si>
  <si>
    <t>International Paper Global Business Services Center</t>
  </si>
  <si>
    <t>Regionalny specjalista ds. sprzedaży (zaopatrzenie laboratoriów badawczych)</t>
  </si>
  <si>
    <t>https://www.pracuj.pl/praca/regionalny-specjalista-ds-sprzedazy-zaopatrzenie-laboratoriow-badawczych-brzozow,oferta,8806743</t>
  </si>
  <si>
    <t>TH. GEYER POLSKA SPÓŁKA Z OGRANICZONĄ ODPOWIEDZIALNOŚCIĄ</t>
  </si>
  <si>
    <t>https://www.pracuj.pl/praca/front-end-developer-podkarpackie,oferta,8806598</t>
  </si>
  <si>
    <t>Quad/Graphics Europe Sp. z o.o.</t>
  </si>
  <si>
    <t>https://www.pracuj.pl/praca/graphic-designer-podkarpackie,oferta,8806525</t>
  </si>
  <si>
    <t>Lemon Tree</t>
  </si>
  <si>
    <t>Specjalista Regionalny - Doradca Żywieniowy w zakresie żywienia bydła</t>
  </si>
  <si>
    <t>https://www.pracuj.pl/praca/specjalista-regionalny-doradca-zywieniowy-w-zakresie-zywienia-bydla-podkarpackie,oferta,8806471</t>
  </si>
  <si>
    <t>FARMER SP. Z O.O.</t>
  </si>
  <si>
    <t>Front End Developer</t>
  </si>
  <si>
    <t>https://www.pracuj.pl/praca/front-end-developer-subcarpathia,oferta,8806443</t>
  </si>
  <si>
    <t>Railsware Solutions FZ-LLC</t>
  </si>
  <si>
    <t>Seniorka / Senior w zespole Audytu</t>
  </si>
  <si>
    <t>https://www.pracuj.pl/praca/seniorka-senior-w-zespole-audytu-podkarpackie,oferta,8806382</t>
  </si>
  <si>
    <t>Audytor / kontroler</t>
  </si>
  <si>
    <t>Grant Thornton</t>
  </si>
  <si>
    <t>Redaktor opracowań naukowych</t>
  </si>
  <si>
    <t>https://www.pracuj.pl/praca/redaktor-opracowan-naukowych-podkarpackie,oferta,8806295</t>
  </si>
  <si>
    <t>WOLFINWEST GROUP sp. z o.o.</t>
  </si>
  <si>
    <t>https://www.pracuj.pl/praca/java-developer-podkarpackie,oferta,8805913</t>
  </si>
  <si>
    <t>https://www.pracuj.pl/praca/senior-java-developer-podkarpackie,oferta,8805892</t>
  </si>
  <si>
    <t>RPd057|741105</t>
  </si>
  <si>
    <t>https://www.pracuj.pl/praca/monter-instalacji-fotowoltaicznych-podkarpackie,oferta,8805860</t>
  </si>
  <si>
    <t>https://www.pracuj.pl/praca/przedstawiciel-handlowy-podkarpackie,oferta,8805839</t>
  </si>
  <si>
    <t>Ega</t>
  </si>
  <si>
    <t>Business Development Specialist</t>
  </si>
  <si>
    <t>https://www.pracuj.pl/praca/business-development-specialist-subcarpathia,oferta,8805722</t>
  </si>
  <si>
    <t>AppUnite</t>
  </si>
  <si>
    <t>Senior Experience Design Transformation Consultant</t>
  </si>
  <si>
    <t>https://www.pracuj.pl/praca/senior-experience-design-transformation-consultant-subcarpathia,oferta,8805703</t>
  </si>
  <si>
    <t>Data Engineer Consultant</t>
  </si>
  <si>
    <t>https://www.pracuj.pl/praca/data-engineer-consultant-subcarpathia,oferta,8805682</t>
  </si>
  <si>
    <t>Ekspert Naukowy, w zespole fizykochemii i analityki</t>
  </si>
  <si>
    <t>https://www.pracuj.pl/praca/ekspert-naukowy-w-zespole-fizykochemii-i-analityki-podkarpackie,oferta,8805667</t>
  </si>
  <si>
    <t>GAB Consulting GmbH</t>
  </si>
  <si>
    <t>Go-lang developer/lead instructor (trips to Japan)</t>
  </si>
  <si>
    <t>https://www.pracuj.pl/praca/go-lang-developer-lead-instructor-trips-to-japan-subcarpathia,oferta,8805649</t>
  </si>
  <si>
    <t>iOS Engineer @crypto currency team</t>
  </si>
  <si>
    <t>https://www.pracuj.pl/praca/ios-engineer-crypto-currency-team-subcarpathia,oferta,8805632</t>
  </si>
  <si>
    <t>Service Delivery Supporter</t>
  </si>
  <si>
    <t>https://www.pracuj.pl/praca/service-delivery-supporter-subcarpathia,oferta,8805613</t>
  </si>
  <si>
    <t>iOS Software Engineer @fitness app</t>
  </si>
  <si>
    <t>https://www.pracuj.pl/praca/ios-software-engineer-fitness-app-subcarpathia,oferta,8805570</t>
  </si>
  <si>
    <t>Doradca Techniczno-Handlowy ds. Fotowoltaiki</t>
  </si>
  <si>
    <t>https://www.pracuj.pl/praca/doradca-techniczno-handlowy-ds-fotowoltaiki-kolbuszowa,oferta,8805540</t>
  </si>
  <si>
    <t>PV POLAND sp. z o.o.</t>
  </si>
  <si>
    <t>Frontend developer/instructor (trips to Japan)</t>
  </si>
  <si>
    <t>https://www.pracuj.pl/praca/frontend-developer-instructor-trips-to-japan-subcarpathia,oferta,8805528</t>
  </si>
  <si>
    <t>Młodszy Specjalista ds. klienta biznesowego z językiem francuskim</t>
  </si>
  <si>
    <t>https://www.pracuj.pl/praca/mlodszy-specjalista-ds-klienta-biznesowego-z-jezykiem-francuskim-podkarpackie,oferta,8805445</t>
  </si>
  <si>
    <t>Konsultant ds. Rekrutacji</t>
  </si>
  <si>
    <t>https://www.pracuj.pl/praca/konsultant-ds-rekrutacji-podkarpackie,oferta,8805418</t>
  </si>
  <si>
    <t>https://www.pracuj.pl/praca/mlodszy-specjalista-ds-administracji-miedzynarodowej-j-niemiecki-podkarpackie,oferta,8805313</t>
  </si>
  <si>
    <t>SSC/BPO Accountant with English</t>
  </si>
  <si>
    <t>https://www.pracuj.pl/praca/ssc-bpo-accountant-with-english-podkarpackie,oferta,8805277</t>
  </si>
  <si>
    <t>NPD Manager – meble tapicerowane</t>
  </si>
  <si>
    <t>https://www.pracuj.pl/praca/npd-manager-meble-tapicerowane-podkarpackie,oferta,8805260</t>
  </si>
  <si>
    <t>Domino Executive Search</t>
  </si>
  <si>
    <t>Outsourcing Oversight Senior Specialist, Officer</t>
  </si>
  <si>
    <t>https://www.pracuj.pl/praca/outsourcing-oversight-senior-specialist-officer-subcarpathia,oferta,8805230</t>
  </si>
  <si>
    <t>State Street</t>
  </si>
  <si>
    <t>Analityk ds. Importów</t>
  </si>
  <si>
    <t>https://www.pracuj.pl/praca/analityk-ds-importow-podkarpackie,oferta,8805175</t>
  </si>
  <si>
    <t>Przedstawiciel/-ka Handlowy ds. Hurtu i Rynku Nowoczesnego</t>
  </si>
  <si>
    <t>https://www.pracuj.pl/praca/przedstawiciel-ka-handlowy-ds-hurtu-i-rynku-nowoczesnego-podkarpackie,oferta,8805143</t>
  </si>
  <si>
    <t>SEO &amp; Content Specialist</t>
  </si>
  <si>
    <t>https://www.pracuj.pl/praca/seo-content-specialist-podkarpackie,oferta,8805101</t>
  </si>
  <si>
    <t>SmartWeb Media Sp. z o.o.</t>
  </si>
  <si>
    <t>16.02.2022 03:30</t>
  </si>
  <si>
    <t>12.03.2022</t>
  </si>
  <si>
    <t>10.02.2022</t>
  </si>
  <si>
    <t>https://www.goldenline.pl/praca/oferta/1298764/zielonalinia0?utm_brand=goldenline&amp;utm_source=zielonalinia0&amp;gpid=1008866&amp;utm_channel=free&amp;utm_medium=oferta&amp;utm_department=marketing</t>
  </si>
  <si>
    <t>Specjalista ds. sprzedaży eksportowej z j.angielskim</t>
  </si>
  <si>
    <t>ROS-SWEET SPÓŁKA Z OGRANICZONĄ ODPOWIEDZIALNOŚCIĄ</t>
  </si>
  <si>
    <t>https://www.goldenline.pl/praca/oferta/1298732/zielonalinia0?utm_brand=goldenline&amp;utm_source=zielonalinia0&amp;gpid=1008836&amp;utm_channel=free&amp;utm_medium=oferta&amp;utm_department=marketing</t>
  </si>
  <si>
    <t>Operator linii montażowej - bezpłatny dojazd na trasie Staszów - Połaniec - Mielec</t>
  </si>
  <si>
    <t>21.03.2022</t>
  </si>
  <si>
    <t>https://www.goldenline.pl/praca/oferta/1298918/zielonalinia0?utm_brand=goldenline&amp;utm_source=zielonalinia0&amp;gpid=1008914&amp;utm_channel=free&amp;utm_medium=oferta&amp;utm_department=marketing</t>
  </si>
  <si>
    <t>Operator /ka Wsparcia Produkcji</t>
  </si>
  <si>
    <t>AAS RECRUITMENT sp. z o.o.</t>
  </si>
  <si>
    <t>Senior Analyst IT Security</t>
  </si>
  <si>
    <t>15.02.2022</t>
  </si>
  <si>
    <t>16.02.2022 03:04</t>
  </si>
  <si>
    <t>https://www.praca.pl/senior-analyst-it-security_6536244.html</t>
  </si>
  <si>
    <t>Inspektor farmaceutyczny</t>
  </si>
  <si>
    <t>RPd057|242208</t>
  </si>
  <si>
    <t>https://www.praca.pl/inspektor-farmaceutyczny_6536685.html</t>
  </si>
  <si>
    <t>https://www.praca.pl/starszy-specjalista_6536598.html</t>
  </si>
  <si>
    <t>Wonderware System Engineer</t>
  </si>
  <si>
    <t>https://www.praca.pl/wonderware-system-engineer_6530736.html</t>
  </si>
  <si>
    <t>Performance Information Technologies</t>
  </si>
  <si>
    <t>Full Stack .Net Developer</t>
  </si>
  <si>
    <t>https://www.praca.pl/full-stack-net-developer_6530640.html</t>
  </si>
  <si>
    <t>https://www.praca.pl/pracownik-ogolnobudowlany_6522225.html</t>
  </si>
  <si>
    <t>06.03.2022</t>
  </si>
  <si>
    <t>https://www.praca.pl/doradca-klienta-indywidualnego_6536820.html</t>
  </si>
  <si>
    <t>Social Media Content Coordinator</t>
  </si>
  <si>
    <t>https://www.praca.pl/social-media-content-coordinator_6530688.html</t>
  </si>
  <si>
    <t>https://www.praca.pl/ksiegowa-ksiegowy_6537249.html</t>
  </si>
  <si>
    <t>EXCO A2A Polska Sp. z o.o.</t>
  </si>
  <si>
    <t>https://www.praca.pl/kasjer_6537693.html</t>
  </si>
  <si>
    <t>https://www.praca.pl/pracownik-dzialu-obslugi-klienta_6537540.html</t>
  </si>
  <si>
    <t>Inżynier Procesu ds. Nowych Uruchomień</t>
  </si>
  <si>
    <t>https://www.praca.pl/inzynier-procesu-ds-nowych-uruchomien_6537921.html</t>
  </si>
  <si>
    <t>Varroc Lighting Systems</t>
  </si>
  <si>
    <t>https://www.praca.pl/przedstawiciel-handlowy_6537339.html</t>
  </si>
  <si>
    <t>Kronospan Mielec Sp. z o.o.</t>
  </si>
  <si>
    <t>IT Security Team Lead</t>
  </si>
  <si>
    <t>https://www.praca.pl/it-security-team-lead_6535815.html</t>
  </si>
  <si>
    <t>Dyrektor Generalny / Kierownik Projektów Biznesu Fotowoltaicznego (PV)</t>
  </si>
  <si>
    <t>https://www.praca.pl/dyrektor-generalny-kierownik-projektow-biznesu-fotowoltaicznego-pv_6539403.html</t>
  </si>
  <si>
    <t>Ustawiacz Wtryskarek</t>
  </si>
  <si>
    <t>https://www.praca.pl/ustawiacz-wtryskarek_6539637.html</t>
  </si>
  <si>
    <t>WBS Sp. z o.o.</t>
  </si>
  <si>
    <t>https://www.praca.pl/ciesla-szalunkowy_6539769.html</t>
  </si>
  <si>
    <t>Sales Specialist with French</t>
  </si>
  <si>
    <t>https://www.praca.pl/sales-specialist-with-french_6532584.html</t>
  </si>
  <si>
    <t>Spawacz TIG/WIG</t>
  </si>
  <si>
    <t>https://www.praca.pl/spawacz-tig-wig_6529290.html</t>
  </si>
  <si>
    <t>LEDERER GMBH</t>
  </si>
  <si>
    <t>Spawacz MIG/ MAG</t>
  </si>
  <si>
    <t>https://www.praca.pl/spawacz-mig-mag_6529338.html</t>
  </si>
  <si>
    <t>Ślusarz maszynowy</t>
  </si>
  <si>
    <t>https://www.praca.pl/slusarz-maszynowy_6529386.html</t>
  </si>
  <si>
    <t>Ślusarz / Monter rur</t>
  </si>
  <si>
    <t>https://www.praca.pl/slusarz-monter-rur_6529437.html</t>
  </si>
  <si>
    <t>https://www.praca.pl/monter-instalacji-wentylacyjnych_6529485.html</t>
  </si>
  <si>
    <t>Hydraulik / Monter instalacji sanitarnych</t>
  </si>
  <si>
    <t>https://www.praca.pl/hydraulik-monter-instalacji-sanitarnych_6529533.html</t>
  </si>
  <si>
    <t>Lakiernik przemysłowy</t>
  </si>
  <si>
    <t>https://www.praca.pl/lakiernik-przemyslowy_6529581.html</t>
  </si>
  <si>
    <t>Elektryk przemysłowy</t>
  </si>
  <si>
    <t>https://www.praca.pl/elektryk-przemyslowy_6529629.html</t>
  </si>
  <si>
    <t>Ślusarz / Monter konstrukcji stalowych</t>
  </si>
  <si>
    <t>https://www.praca.pl/slusarz-monter-konstrukcji-stalowych_6529677.html</t>
  </si>
  <si>
    <t>05.03.2022</t>
  </si>
  <si>
    <t>https://www.praca.pl/junior-net-software-engineer_6475341.html</t>
  </si>
  <si>
    <t>.NET Software Engineer</t>
  </si>
  <si>
    <t>https://www.praca.pl/net-software-engineer_6475281.html</t>
  </si>
  <si>
    <t>BI Developer / Data Engineer</t>
  </si>
  <si>
    <t>https://www.praca.pl/bi-developer-data-engineer_6470295.html</t>
  </si>
  <si>
    <t>Junior Quality Assurance Specialist</t>
  </si>
  <si>
    <t>https://www.praca.pl/junior-quality-assurance-specialist_6476253.html</t>
  </si>
  <si>
    <t>https://www.praca.pl/przedstawiciel-handlowy_6468744.html</t>
  </si>
  <si>
    <t>Specjalista ds. dokumentacji technicznej</t>
  </si>
  <si>
    <t>23.02.2022 03:41</t>
  </si>
  <si>
    <t>https://www.pracuj.pl/praca/specjalista-ds-dokumentacji-technicznej-ropczyce,oferta,1001590134</t>
  </si>
  <si>
    <t>Kierownik projektu IT</t>
  </si>
  <si>
    <t>RPd057|133002</t>
  </si>
  <si>
    <t>https://www.pracuj.pl/praca/kierownik-projektu-it-rzeszow,oferta,1001590084</t>
  </si>
  <si>
    <t>Kierownik działu w przedsiębiorstwie telekomunikacyjnym</t>
  </si>
  <si>
    <t>GISPartner Sp. z o.o.</t>
  </si>
  <si>
    <t>https://www.pracuj.pl/praca/doradca-ds-nieruchomosci-rzeszow,oferta,1001590063</t>
  </si>
  <si>
    <t>Dream House Brokers</t>
  </si>
  <si>
    <t>https://www.pracuj.pl/praca/pracownik-ogolnobudowlany-rzeszow,oferta,1001590037</t>
  </si>
  <si>
    <t>Janusz Biesiadecki Firma Usługowo-Handlowa JB.BAU</t>
  </si>
  <si>
    <t>Rzeczoznawca</t>
  </si>
  <si>
    <t>RPd057|331503</t>
  </si>
  <si>
    <t>https://www.pracuj.pl/praca/rzeczoznawca-rzeszow,oferta,1001589918</t>
  </si>
  <si>
    <t>Compensa Towarzystwo Ubezpieczeń S.A. Vienna Insurance Group</t>
  </si>
  <si>
    <t>Technik Zarządzania Zmianą (FDM/CAN)</t>
  </si>
  <si>
    <t>https://www.pracuj.pl/praca/technik-zarzadzania-zmiana-fdm-can-jasionka-pow-rzeszowski,oferta,1001589903</t>
  </si>
  <si>
    <t>Konsultant Call Center (z językiem bułgarskim)</t>
  </si>
  <si>
    <t>https://www.pracuj.pl/praca/konsultant-call-center-z-jezykiem-bulgarskim-rzeszow,oferta,1001589689</t>
  </si>
  <si>
    <t>Asystent ds. Zakupów</t>
  </si>
  <si>
    <t>https://www.pracuj.pl/praca/asystent-ds-zakupow-bobrowka-pow-jaroslawski,oferta,1001589537</t>
  </si>
  <si>
    <t>23.02.2022 03:40</t>
  </si>
  <si>
    <t>https://www.pracuj.pl/praca/przedstawiciel-handlowy-rzeszow,oferta,1001589440</t>
  </si>
  <si>
    <t>ENERGIA DLA PRZYSZŁOŚCI sp. z o.o.</t>
  </si>
  <si>
    <t>Fullstack Developer</t>
  </si>
  <si>
    <t>https://www.pracuj.pl/praca/fullstack-developer-rzeszow,oferta,1001589394</t>
  </si>
  <si>
    <t>Pracownik Biura Obsługi Klienta</t>
  </si>
  <si>
    <t>https://www.pracuj.pl/praca/pracownik-biura-obslugi-klienta-glogow-malopolski,oferta,1001589347</t>
  </si>
  <si>
    <t>Studio Kolor</t>
  </si>
  <si>
    <t>Specjalista ds. bankowości korporacyjnej</t>
  </si>
  <si>
    <t>https://www.pracuj.pl/praca/specjalista-ds-bankowosci-korporacyjnej-rzeszow,oferta,1001589315</t>
  </si>
  <si>
    <t>mBank</t>
  </si>
  <si>
    <t>RPd057|122202</t>
  </si>
  <si>
    <t>https://www.pracuj.pl/praca/kierownik-dzialu-mielec,oferta,1001589212</t>
  </si>
  <si>
    <t>Kierownik działu reklamy / promocji / public relations</t>
  </si>
  <si>
    <t>Call Center Consultant (Bulgarian)</t>
  </si>
  <si>
    <t>https://www.pracuj.pl/praca/call-center-consultant-bulgarian-rzeszow,oferta,1001589164</t>
  </si>
  <si>
    <t>23.02.2022 04:36</t>
  </si>
  <si>
    <t>https://www.pracuj.pl/praca/przedstawiciel-handlowy-rzeszow,oferta,1001589127</t>
  </si>
  <si>
    <t>Boels Polska Sp. z o.o.</t>
  </si>
  <si>
    <t>Machinery Engineer</t>
  </si>
  <si>
    <t>https://www.pracuj.pl/praca/machinery-engineer-babica-pow-strzyzowski,oferta,1001589018</t>
  </si>
  <si>
    <t>Polska, podkarpackie, Babica (pow. strzyżowski)</t>
  </si>
  <si>
    <t>Acciona Construccion S.A.</t>
  </si>
  <si>
    <t>Technik-Monter Turbin Wiatrowych</t>
  </si>
  <si>
    <t>RPd057|741290</t>
  </si>
  <si>
    <t>https://www.pracuj.pl/praca/technik-monter-turbin-wiatrowych-rzeszow,oferta,1001589008</t>
  </si>
  <si>
    <t>Pozostali elektromechanicy i elektromonterzy</t>
  </si>
  <si>
    <t>FLEX WIND POLAND sp. z o.o.</t>
  </si>
  <si>
    <t>Doradca Klienta - Dział Rekreacja</t>
  </si>
  <si>
    <t>https://www.pracuj.pl/praca/doradca-klienta-dzial-rekreacja-lezajsk,oferta,1001588893</t>
  </si>
  <si>
    <t>https://www.pracuj.pl/praca/pracownik-produkcji-debica,oferta,1001588863</t>
  </si>
  <si>
    <t>https://www.pracuj.pl/praca/kierowca-kat-b-rzeszow,oferta,1001588811</t>
  </si>
  <si>
    <t>CITY GO sp. z o.o.</t>
  </si>
  <si>
    <t>Performance Engineer</t>
  </si>
  <si>
    <t>https://www.pracuj.pl/praca/performance-engineer-rzeszow,oferta,1001588721</t>
  </si>
  <si>
    <t>Szef Reklamacji i Ubezpieczeń w Polsce i w Klastrze North East Europe</t>
  </si>
  <si>
    <t>https://www.pracuj.pl/praca/szef-reklamacji-i-ubezpieczen-w-polsce-i-w-klastrze-north-east-europe-rudna-mala-pow-rzeszowski,oferta,1001588658</t>
  </si>
  <si>
    <t>https://www.pracuj.pl/praca/programista-plc-wola-dalsza-pow-lancucki,oferta,1001588567</t>
  </si>
  <si>
    <t>Projektant Systemów Sterowania</t>
  </si>
  <si>
    <t>https://www.pracuj.pl/praca/projektant-systemow-sterowania-wola-dalsza-pow-lancucki,oferta,1001588559</t>
  </si>
  <si>
    <t>Konstruktor ds. mechanicznych / elektrycznych</t>
  </si>
  <si>
    <t>https://www.pracuj.pl/praca/konstruktor-ds-mechanicznych-elektrycznych-debica,oferta,1001588529</t>
  </si>
  <si>
    <t>https://www.pracuj.pl/praca/specjalista-ds-zaopatrzenia-debica,oferta,1001588488</t>
  </si>
  <si>
    <t>https://www.pracuj.pl/praca/doradca-klienta-krosno,oferta,1001588482</t>
  </si>
  <si>
    <t>WeNet Group SA</t>
  </si>
  <si>
    <t>https://www.pracuj.pl/praca/doradca-klienta-jaroslaw,oferta,1001588472</t>
  </si>
  <si>
    <t>https://www.pracuj.pl/praca/doradca-klienta-mielec,oferta,1001588471</t>
  </si>
  <si>
    <t>https://www.pracuj.pl/praca/doradca-klienta-kolbuszowa,oferta,1001588470</t>
  </si>
  <si>
    <t>https://www.pracuj.pl/praca/doradca-klienta-debica,oferta,1001588469</t>
  </si>
  <si>
    <t>https://www.pracuj.pl/praca/doradca-klienta-rzeszow,oferta,1001588468</t>
  </si>
  <si>
    <t>Specjalista ds. dokumentacji techniczno-ruchowej</t>
  </si>
  <si>
    <t>https://www.pracuj.pl/praca/specjalista-ds-dokumentacji-techniczno-ruchowej-debica,oferta,1001588397</t>
  </si>
  <si>
    <t>https://www.pracuj.pl/praca/brygadzista-krosno,oferta,1001588396</t>
  </si>
  <si>
    <t>Specjalista ds. Kadr i płac</t>
  </si>
  <si>
    <t>https://www.pracuj.pl/praca/specjalista-ds-kadr-i-plac-krosno,oferta,1001588391</t>
  </si>
  <si>
    <t>RPd057|421105</t>
  </si>
  <si>
    <t>https://www.pracuj.pl/praca/dyspozytor-krosno,oferta,1001588337</t>
  </si>
  <si>
    <t>Kontroler pocztowy</t>
  </si>
  <si>
    <t>Koordynator Serwisu Kurierskiego</t>
  </si>
  <si>
    <t>https://www.pracuj.pl/praca/koordynator-serwisu-kurierskiego-krosno,oferta,1001588336</t>
  </si>
  <si>
    <t>https://www.pracuj.pl/praca/kasjer-krosno,oferta,1001588311</t>
  </si>
  <si>
    <t>https://www.pracuj.pl/praca/magazynier-rzeszow,oferta,1001588290</t>
  </si>
  <si>
    <t>Junior Specjalista ds. Wsparcia Klienta z językiem czeskim / słowacki</t>
  </si>
  <si>
    <t>https://www.pracuj.pl/praca/junior-specjalista-ds-wsparcia-klienta-z-jezykiem-czeskim-slowacki-rzeszow,oferta,1001588268</t>
  </si>
  <si>
    <t>SALES HR</t>
  </si>
  <si>
    <t>Junior Specjalista ds. Wsparcia Klienta z językiem hebrajskim</t>
  </si>
  <si>
    <t>https://www.pracuj.pl/praca/junior-specjalista-ds-wsparcia-klienta-z-jezykiem-hebrajskim-rzeszow,oferta,1001588252</t>
  </si>
  <si>
    <t>RPd057|742201</t>
  </si>
  <si>
    <t>https://www.pracuj.pl/praca/monter-rzeszow,oferta,1001588195</t>
  </si>
  <si>
    <t>Monter instalacji i urządzeń telekomunikacyjnych (telemonter)</t>
  </si>
  <si>
    <t>PRZEDSIĘBIORSTWO ROBÓT TELEKOMUNIKACYJNYCH sp. z o.o.</t>
  </si>
  <si>
    <t>Ekspert Produktów Hipotecznych</t>
  </si>
  <si>
    <t>https://www.pracuj.pl/praca/ekspert-produktow-hipotecznych-rzeszow,oferta,1001588044</t>
  </si>
  <si>
    <t>Kierownik  Magazynu</t>
  </si>
  <si>
    <t>https://www.pracuj.pl/praca/kierownik-magazynu-gniewczyna-lancucka-pow-przeworski,oferta,1001587972</t>
  </si>
  <si>
    <t>Polska, podkarpackie, Gniewczyna Łańcucka (pow. przeworski)</t>
  </si>
  <si>
    <t>RSTECHNOLOGY Adam Rachfał</t>
  </si>
  <si>
    <t>https://www.pracuj.pl/praca/inzynier-procesu-rzeszow,oferta,1001587518</t>
  </si>
  <si>
    <t>Knorr-Bremse</t>
  </si>
  <si>
    <t>Inżynier Elektronik</t>
  </si>
  <si>
    <t>https://www.pracuj.pl/praca/inzynier-elektronik-rzeszow,oferta,1001587476</t>
  </si>
  <si>
    <t>Manager Sekcji Działu Międzynarodowego</t>
  </si>
  <si>
    <t>https://www.pracuj.pl/praca/manager-sekcji-dzialu-miedzynarodowego-stalowa-wola,oferta,1001587428</t>
  </si>
  <si>
    <t>https://www.pracuj.pl/praca/manager-sekcji-dzialu-miedzynarodowego-sanok,oferta,1001587427</t>
  </si>
  <si>
    <t>https://www.pracuj.pl/praca/manager-sekcji-dzialu-miedzynarodowego-rzeszow,oferta,1001587426</t>
  </si>
  <si>
    <t>https://www.pracuj.pl/praca/manager-sekcji-dzialu-miedzynarodowego-przemysl,oferta,1001587425</t>
  </si>
  <si>
    <t>https://www.pracuj.pl/praca/manager-sekcji-dzialu-miedzynarodowego-jaslo,oferta,1001587418</t>
  </si>
  <si>
    <t>https://www.pracuj.pl/praca/manager-sekcji-dzialu-miedzynarodowego-debica,oferta,1001587417</t>
  </si>
  <si>
    <t>https://www.pracuj.pl/praca/spedytor-miedzynarodowy-stalowa-wola,oferta,1001587382</t>
  </si>
  <si>
    <t>https://www.pracuj.pl/praca/spedytor-miedzynarodowy-sanok,oferta,1001587381</t>
  </si>
  <si>
    <t>https://www.pracuj.pl/praca/spedytor-miedzynarodowy-rzeszow,oferta,1001587380</t>
  </si>
  <si>
    <t>https://www.pracuj.pl/praca/spedytor-miedzynarodowy-przemysl,oferta,1001587379</t>
  </si>
  <si>
    <t>https://www.pracuj.pl/praca/spedytor-miedzynarodowy-jaslo,oferta,1001587372</t>
  </si>
  <si>
    <t>https://www.pracuj.pl/praca/spedytor-miedzynarodowy-debica,oferta,1001587371</t>
  </si>
  <si>
    <t>RPd057|134690</t>
  </si>
  <si>
    <t>https://www.pracuj.pl/praca/dyrektor-oddzialu-rzeszow,oferta,1001587240</t>
  </si>
  <si>
    <t>https://www.pracuj.pl/praca/ekspert-kredytowy-rzeszow,oferta,1001587144</t>
  </si>
  <si>
    <t>GOLDEN GROUP</t>
  </si>
  <si>
    <t>TBM Shift Engineer</t>
  </si>
  <si>
    <t>RPd057|214601</t>
  </si>
  <si>
    <t>https://www.pracuj.pl/praca/tbm-shift-engineer-babica-pow-strzyzowski,oferta,1001587056</t>
  </si>
  <si>
    <t>Inżynier górnik - górnictwo otworowe</t>
  </si>
  <si>
    <t>https://www.pracuj.pl/praca/specjalista-ds-sprzedazy-telefonicznej-b2b-rzeszow,oferta,1001587015</t>
  </si>
  <si>
    <t>https://www.pracuj.pl/praca/regionalny-przedstawiciel-handlowy-rzeszow,oferta,1001587011</t>
  </si>
  <si>
    <t>NaturaVena Sp. z o.o.</t>
  </si>
  <si>
    <t>Pracownik produkcyjny - Operator maszyn</t>
  </si>
  <si>
    <t>https://www.pracuj.pl/praca/pracownik-produkcyjny-operator-maszyn-mielec,oferta,1001587007</t>
  </si>
  <si>
    <t>Specjalista Systemów Informatycznych</t>
  </si>
  <si>
    <t>https://www.pracuj.pl/praca/specjalista-systemow-informatycznych-rzeszow,oferta,1001586987</t>
  </si>
  <si>
    <t>https://www.pracuj.pl/praca/senior-devops-engineer-rzeszow,oferta,1001586972</t>
  </si>
  <si>
    <t>Referent ds. Administracji i Zamówień Publicznych</t>
  </si>
  <si>
    <t>https://www.pracuj.pl/praca/referent-ds-administracji-i-zamowien-publicznych-rzeszow,oferta,1001586926</t>
  </si>
  <si>
    <t>Termores sp. z o.o. sp.k.</t>
  </si>
  <si>
    <t>Programista Java (Regular/Senior)</t>
  </si>
  <si>
    <t>https://www.pracuj.pl/praca/programista-java-regular-senior-rzeszow,oferta,1001586891</t>
  </si>
  <si>
    <t>https://www.pracuj.pl/praca/spedytor-miedzynarodowy-rzeszow,oferta,1001586871</t>
  </si>
  <si>
    <t>https://www.pracuj.pl/praca/spedytor-miedzynarodowy-pilzno,oferta,1001586870</t>
  </si>
  <si>
    <t>Marketing Manager ds. Digital Marketingu</t>
  </si>
  <si>
    <t>https://www.pracuj.pl/praca/marketing-manager-ds-digital-marketingu-jasionka-pow-rzeszowski,oferta,1001586869</t>
  </si>
  <si>
    <t>PUMIPOD sp. z o.o.</t>
  </si>
  <si>
    <t>Specjalista ds. ecommerce - platform sprzedażowych</t>
  </si>
  <si>
    <t>https://www.pracuj.pl/praca/specjalista-ds-ecommerce-platform-sprzedazowych-jasionka-pow-rzeszowski,oferta,1001586809</t>
  </si>
  <si>
    <t>Pomoc kuchenna</t>
  </si>
  <si>
    <t>RPd057|941201</t>
  </si>
  <si>
    <t>https://www.pracuj.pl/praca/pomoc-kuchenna-mielec,oferta,1001586794</t>
  </si>
  <si>
    <t>WOJCIECH SALA</t>
  </si>
  <si>
    <t>Mechanik maszyn</t>
  </si>
  <si>
    <t>https://www.pracuj.pl/praca/mechanik-maszyn-mielec,oferta,1001586791</t>
  </si>
  <si>
    <t>LOTNISKO MIELEC sp. z o.o.</t>
  </si>
  <si>
    <t>Mechanik Napraw</t>
  </si>
  <si>
    <t>https://www.pracuj.pl/praca/mechanik-napraw-rzeszow,oferta,1001586744</t>
  </si>
  <si>
    <t>https://www.pracuj.pl/praca/kontroler-jakosci-mielec,oferta,1001586684</t>
  </si>
  <si>
    <t>https://www.pracuj.pl/praca/pracownik-produkcji-kolbuszowa,oferta,1001586652</t>
  </si>
  <si>
    <t>https://www.pracuj.pl/praca/android-developer-rzeszow,oferta,1001586504</t>
  </si>
  <si>
    <t>https://www.pracuj.pl/praca/kontroler-jakosci-jasionka-pow-rzeszowski,oferta,1001586452</t>
  </si>
  <si>
    <t>https://www.pracuj.pl/praca/operator-cnc-mielec,oferta,1001586383</t>
  </si>
  <si>
    <t>QMT MACHINING S.C.</t>
  </si>
  <si>
    <t>Video/Animation Graphic Designer</t>
  </si>
  <si>
    <t>https://www.pracuj.pl/praca/video-animation-graphic-designer-rzeszow,oferta,1001586347</t>
  </si>
  <si>
    <t>Księgowa/Księgowy</t>
  </si>
  <si>
    <t>https://www.pracuj.pl/praca/ksiegowa-ksiegowy-rzeszow,oferta,1001586335</t>
  </si>
  <si>
    <t>Meritoros S.A.</t>
  </si>
  <si>
    <t>Referent ds. kadrowo-płacowych</t>
  </si>
  <si>
    <t>https://www.pracuj.pl/praca/referent-ds-kadrowo-placowych-rzeszow,oferta,1001586259</t>
  </si>
  <si>
    <t>Konsultant wdrożeniowy ERP systemu Comarch ERP XL/Optima - Enova365 - Symfonia</t>
  </si>
  <si>
    <t>https://www.pracuj.pl/praca/konsultant-wdrozeniowy-erp-systemu-comarch-erp-xl-optima-enova365-symfonia-stalowa-wola,oferta,1001586250</t>
  </si>
  <si>
    <t>PracBaza sp. z o.o.</t>
  </si>
  <si>
    <t>https://www.pracuj.pl/praca/konsultant-wdrozeniowy-erp-systemu-comarch-erp-xl-optima-enova365-symfonia-ropczyce,oferta,1001586249</t>
  </si>
  <si>
    <t>https://www.pracuj.pl/praca/konsultant-wdrozeniowy-erp-systemu-comarch-erp-xl-optima-enova365-symfonia-mielec,oferta,1001586248</t>
  </si>
  <si>
    <t>https://www.pracuj.pl/praca/konsultant-wdrozeniowy-erp-systemu-comarch-erp-xl-optima-enova365-symfonia-kolbuszowa,oferta,1001586247</t>
  </si>
  <si>
    <t>https://www.pracuj.pl/praca/konsultant-wdrozeniowy-erp-systemu-comarch-erp-xl-optima-enova365-symfonia-sanok,oferta,1001586246</t>
  </si>
  <si>
    <t>https://www.pracuj.pl/praca/konsultant-wdrozeniowy-erp-systemu-comarch-erp-xl-optima-enova365-symfonia-lezajsk,oferta,1001586245</t>
  </si>
  <si>
    <t>https://www.pracuj.pl/praca/konsultant-wdrozeniowy-erp-systemu-comarch-erp-xl-optima-enova365-symfonia-jaroslaw,oferta,1001586244</t>
  </si>
  <si>
    <t>https://www.pracuj.pl/praca/konsultant-wdrozeniowy-erp-systemu-comarch-erp-xl-optima-enova365-symfonia-lancut,oferta,1001586243</t>
  </si>
  <si>
    <t>https://www.pracuj.pl/praca/konsultant-wdrozeniowy-erp-systemu-comarch-erp-xl-optima-enova365-symfonia-krosno,oferta,1001586236</t>
  </si>
  <si>
    <t>https://www.pracuj.pl/praca/konsultant-wdrozeniowy-erp-systemu-comarch-erp-xl-optima-enova365-symfonia-debica,oferta,1001586235</t>
  </si>
  <si>
    <t>https://www.pracuj.pl/praca/konsultant-wdrozeniowy-erp-systemu-comarch-erp-xl-optima-enova365-symfonia-przemysl,oferta,1001586232</t>
  </si>
  <si>
    <t>Właściciel sklepu</t>
  </si>
  <si>
    <t>https://www.pracuj.pl/praca/wlasciciel-sklepu-podkarpackie,oferta,8833016</t>
  </si>
  <si>
    <t>AL CAPONE SP. Z O.O.</t>
  </si>
  <si>
    <t>Telemarketer / Telemarketerka</t>
  </si>
  <si>
    <t>https://www.pracuj.pl/praca/telemarketer-telemarketerka-podkarpackie,oferta,8832982</t>
  </si>
  <si>
    <t>PROPERTON sp. z o.o.</t>
  </si>
  <si>
    <t>https://www.pracuj.pl/praca/przedstawiciel-handlowy-podkarpackie,oferta,8832827</t>
  </si>
  <si>
    <t>Java Engineer</t>
  </si>
  <si>
    <t>https://www.pracuj.pl/praca/java-engineer-podkarpackie,oferta,8832749</t>
  </si>
  <si>
    <t>https://www.pracuj.pl/praca/data-engineer-subcarpathia,oferta,8832734</t>
  </si>
  <si>
    <t>Service Engineer for regional and global service (m/w)</t>
  </si>
  <si>
    <t>https://www.pracuj.pl/praca/service-engineer-for-regional-and-global-service-m-w-subcarpathia,oferta,8832671</t>
  </si>
  <si>
    <t>Hauni Polska Sp. z o.o.</t>
  </si>
  <si>
    <t>https://www.pracuj.pl/praca/specialist-finance-operations-podkarpackie,oferta,8832634</t>
  </si>
  <si>
    <t>AMS Deluxe</t>
  </si>
  <si>
    <t>Application Developer (ASP.NET)</t>
  </si>
  <si>
    <t>https://www.pracuj.pl/praca/application-developer-asp-net-subcarpathia,oferta,8832607</t>
  </si>
  <si>
    <t>Specjalista ds. należności z językiem włoskim</t>
  </si>
  <si>
    <t>https://www.pracuj.pl/praca/specjalista-ds-naleznosci-z-jezykiem-wloskim-podkarpackie,oferta,8832586</t>
  </si>
  <si>
    <t>Doradca Energetyczny OZE - fotowoltaika, pompy ciepła</t>
  </si>
  <si>
    <t>https://www.pracuj.pl/praca/doradca-energetyczny-oze-fotowoltaika-pompy-ciepla-podkarpackie,oferta,8832522</t>
  </si>
  <si>
    <t>DARK ENERGY sp. z o.o.</t>
  </si>
  <si>
    <t>Projektant sieci telekomunikacyjnej (K/M)</t>
  </si>
  <si>
    <t>https://www.pracuj.pl/praca/projektant-sieci-telekomunikacyjnej-k-m-podkarpackie,oferta,8832513</t>
  </si>
  <si>
    <t>Fiber#1 Sp. z o.o.</t>
  </si>
  <si>
    <t>https://www.pracuj.pl/praca/przedstawiciel-handlowy-podkarpackie,oferta,8832463</t>
  </si>
  <si>
    <t>POLLUX Sp. z o.o.</t>
  </si>
  <si>
    <t>Trener sprzedaży</t>
  </si>
  <si>
    <t>https://www.pracuj.pl/praca/trener-sprzedazy-podkarpackie,oferta,8832345</t>
  </si>
  <si>
    <t>Doradca Klienta Biznesowego ds. OZE</t>
  </si>
  <si>
    <t>https://www.pracuj.pl/praca/doradca-klienta-biznesowego-ds-oze-podkarpackie,oferta,8832302</t>
  </si>
  <si>
    <t>Monter hal namiotowych i infrastruktury towarzyszącej</t>
  </si>
  <si>
    <t>https://www.pracuj.pl/praca/monter-hal-namiotowych-i-infrastruktury-towarzyszacej-podkarpackie,oferta,8832185</t>
  </si>
  <si>
    <t>REKORD Hale Namiotowe Sp. z o.o.</t>
  </si>
  <si>
    <t>Senior RPA Automation Solutions Developer</t>
  </si>
  <si>
    <t>https://www.pracuj.pl/praca/senior-rpa-automation-solutions-developer-subcarpathia,oferta,8832003</t>
  </si>
  <si>
    <t>Fullstack Developer (Angular)</t>
  </si>
  <si>
    <t>https://www.pracuj.pl/praca/fullstack-developer-angular-podkarpackie,oferta,8831966</t>
  </si>
  <si>
    <t>Senior DevOps</t>
  </si>
  <si>
    <t>https://www.pracuj.pl/praca/senior-devops-subcarpathia,oferta,8831835</t>
  </si>
  <si>
    <t>Network Consulting Engineer – Data Centre</t>
  </si>
  <si>
    <t>https://www.pracuj.pl/praca/network-consulting-engineer-data-centre-subcarpathia,oferta,8831793</t>
  </si>
  <si>
    <t>Flint Poland</t>
  </si>
  <si>
    <t>https://www.pracuj.pl/praca/account-manager-podkarpackie,oferta,8831745</t>
  </si>
  <si>
    <t>RESPECT ENERGY  S.A.</t>
  </si>
  <si>
    <t>Starszy Spedytor</t>
  </si>
  <si>
    <t>https://www.pracuj.pl/praca/starszy-spedytor-podkarpackie,oferta,8831624</t>
  </si>
  <si>
    <t>Agencja Doradztwa Biznesowego Monitor Gospodarczy</t>
  </si>
  <si>
    <t>Business Continuity Manager</t>
  </si>
  <si>
    <t>https://www.pracuj.pl/praca/business-continuity-manager-subcarpathia,oferta,8831570</t>
  </si>
  <si>
    <t>https://www.pracuj.pl/praca/administrator-baz-danych-podkarpackie,oferta,8831539</t>
  </si>
  <si>
    <t>RED STACK POLAND SPÓŁKA Z OGRANICZONĄ ODPOWIEDZIALNOŚCIĄ</t>
  </si>
  <si>
    <t>Administrator środowisk wirtualnych VMware</t>
  </si>
  <si>
    <t>https://www.pracuj.pl/praca/administrator-srodowisk-wirtualnych-vmware-podkarpackie,oferta,8831516</t>
  </si>
  <si>
    <t>Administrator infrastruktury</t>
  </si>
  <si>
    <t>https://www.pracuj.pl/praca/administrator-infrastruktury-podkarpackie,oferta,8831460</t>
  </si>
  <si>
    <t>Change Management Consultant / Analyst with Czech (CN)</t>
  </si>
  <si>
    <t>RPd057|242190</t>
  </si>
  <si>
    <t>https://www.pracuj.pl/praca/change-management-consultant-analyst-with-czech-cn-podkarpackie,oferta,8831422</t>
  </si>
  <si>
    <t>Pozostali specjaliści do spraw zarządzania i organizacji</t>
  </si>
  <si>
    <t>https://www.pracuj.pl/praca/key-account-manager-podkarpackie,oferta,8831346</t>
  </si>
  <si>
    <t>DROSED HOLDING Sp. z o.o.</t>
  </si>
  <si>
    <t>Tester oprogramowania - e-Commerce</t>
  </si>
  <si>
    <t>https://www.pracuj.pl/praca/tester-oprogramowania-e-commerce-podkarpackie,oferta,8831330</t>
  </si>
  <si>
    <t>CLAWROCK sp. z o.o. SPÓŁKA KOMANDYTOWA</t>
  </si>
  <si>
    <t>Lider zespołu Call Center</t>
  </si>
  <si>
    <t>https://www.pracuj.pl/praca/lider-zespolu-call-center-podkarpackie,oferta,8831208</t>
  </si>
  <si>
    <t>OCHO Sp. z o.o.</t>
  </si>
  <si>
    <t>Kierowca Międzynarodowy C + E / ??????????? ????? ? + ?</t>
  </si>
  <si>
    <t>https://www.pracuj.pl/praca/kierowca-miedzynarodowy-c-%2b-e-podkarpackie,oferta,8831136</t>
  </si>
  <si>
    <t>XPO Logistics</t>
  </si>
  <si>
    <t>https://www.pracuj.pl/praca/project-manager-podkarpackie,oferta,8831089</t>
  </si>
  <si>
    <t>DWH Developer</t>
  </si>
  <si>
    <t>https://www.pracuj.pl/praca/dwh-developer-subcarpathia,oferta,8830981</t>
  </si>
  <si>
    <t>Promotional Offers Sourcing Asistant - Specialist</t>
  </si>
  <si>
    <t>https://www.pracuj.pl/praca/promotional-offers-sourcing-asistant-specialist-podkarpackie,oferta,8830868</t>
  </si>
  <si>
    <t>I360 SP. Z O. O.</t>
  </si>
  <si>
    <t>https://www.pracuj.pl/praca/kierownik-regionalny-sprzedazy-podkarpackie,oferta,8830804</t>
  </si>
  <si>
    <t>Communication and CSR Specialist</t>
  </si>
  <si>
    <t>https://www.pracuj.pl/praca/communication-and-csr-specialist-subcarpathia,oferta,8830767</t>
  </si>
  <si>
    <t>Internal Control Manager</t>
  </si>
  <si>
    <t>https://www.pracuj.pl/praca/internal-control-manager-subcarpathia,oferta,8830750</t>
  </si>
  <si>
    <t>Specjalista ds. Produktów _ Mikrobiologia i Immunoserologia (Field Application Specialist _ Microbiology &amp; ImmunoAssay)</t>
  </si>
  <si>
    <t>RPd057|213106</t>
  </si>
  <si>
    <t>https://www.pracuj.pl/praca/specjalista-ds-produktow-mikrobiologia-i-immunoserologia-field-application-speci-podkarpackie,oferta,8830722</t>
  </si>
  <si>
    <t>Biotechnolog</t>
  </si>
  <si>
    <t>bioMerieux</t>
  </si>
  <si>
    <t>https://www.pracuj.pl/praca/doradca-klienta-fotowoltaika-podkarpackie,oferta,8830636</t>
  </si>
  <si>
    <t>Esoleo</t>
  </si>
  <si>
    <t>Product Content Manager</t>
  </si>
  <si>
    <t>https://www.pracuj.pl/praca/product-content-manager-subcarpathia,oferta,8830397</t>
  </si>
  <si>
    <t>RUBIX APPLICATION CENTRE SPÓŁKA Z OGRANICZONĄ ODPOWIEDZIALNOŚCIĄ</t>
  </si>
  <si>
    <t>Pielęgniarka POZ / Pielęgniarz POZ</t>
  </si>
  <si>
    <t>https://www.pracuj.pl/praca/pielegniarka-poz-pielegniarz-poz-podkarpackie,oferta,8830254</t>
  </si>
  <si>
    <t>Niepubliczny Zakład Opieki Zdrowotnej Gabinet POZ Zenon Dul</t>
  </si>
  <si>
    <t>https://www.pracuj.pl/praca/specjalista-ds-obslugi-klienta-z-j-niemieckim-debica-jaroslaw-jaslo-krosno-przemysl-rzeszow-sanok-stalowa-wola,oferta,8830230</t>
  </si>
  <si>
    <t>https://www.pracuj.pl/praca/doradca-klienta-biznesowego-podkarpackie,oferta,8830183</t>
  </si>
  <si>
    <t>Technical Consultant CRM</t>
  </si>
  <si>
    <t>https://www.pracuj.pl/praca/technical-consultant-crm-subcarpathia,oferta,8830095</t>
  </si>
  <si>
    <t>Infosys Poland Sp. z o.o. Oddział 2 we Wrocławiu</t>
  </si>
  <si>
    <t>Field Force Manager</t>
  </si>
  <si>
    <t>https://www.pracuj.pl/praca/field-force-manager-podkarpackie,oferta,8829983</t>
  </si>
  <si>
    <t>InPharm spółka z ograniczoną odpowiedzialnością sp.k.</t>
  </si>
  <si>
    <t>https://www.pracuj.pl/praca/programista-java-podkarpackie,oferta,8829919</t>
  </si>
  <si>
    <t>Bazy i Systemy Bankowe Sp. z o.o.</t>
  </si>
  <si>
    <t>Starszy Administrator sieci</t>
  </si>
  <si>
    <t>https://www.pracuj.pl/praca/starszy-administrator-sieci-podkarpackie,oferta,8829901</t>
  </si>
  <si>
    <t>Machine Learning Engineer</t>
  </si>
  <si>
    <t>https://www.pracuj.pl/praca/machine-learning-engineer-podkarpackie,oferta,8829794</t>
  </si>
  <si>
    <t>Rekruter - Freelancer</t>
  </si>
  <si>
    <t>https://www.pracuj.pl/praca/rekruter-freelancer-podkarpackie,oferta,8829625</t>
  </si>
  <si>
    <t>AGENCJA ZATRUDNIENIA KS SERVICE</t>
  </si>
  <si>
    <t>Specjalista ds. Online Marketingu w sektorze B2B</t>
  </si>
  <si>
    <t>https://www.pracuj.pl/praca/specjalista-ds-online-marketingu-w-sektorze-b2b-podkarpackie,oferta,8829550</t>
  </si>
  <si>
    <t>Grupa Marketingowa TAI Sp. z o.o.</t>
  </si>
  <si>
    <t>In-house Lawyer for British market</t>
  </si>
  <si>
    <t>RPd057|242104</t>
  </si>
  <si>
    <t>https://www.pracuj.pl/praca/in-house-lawyer-for-british-market-subcarpathia,oferta,8829476</t>
  </si>
  <si>
    <t>Negocjator biznesowy</t>
  </si>
  <si>
    <t>https://www.pracuj.pl/praca/starszy-administrator-baz-danych-mysql-podkarpackie,oferta,8829442</t>
  </si>
  <si>
    <t>Citrix Virtual Apps and Desktops Engineer Poland/Remote</t>
  </si>
  <si>
    <t>https://www.pracuj.pl/praca/citrix-virtual-apps-and-desktops-engineer-poland-remote-subcarpathia,oferta,8829346</t>
  </si>
  <si>
    <t>Lead C / Linux Developer</t>
  </si>
  <si>
    <t>https://www.pracuj.pl/praca/lead-c-linux-developer-subcarpathia,oferta,8829326</t>
  </si>
  <si>
    <t>Senior Data Quality Engineer</t>
  </si>
  <si>
    <t>https://www.pracuj.pl/praca/senior-data-quality-engineer-podkarpackie,oferta,8829300</t>
  </si>
  <si>
    <t>Senior Data Scientist</t>
  </si>
  <si>
    <t>https://www.pracuj.pl/praca/senior-data-scientist-podkarpackie,oferta,8829277</t>
  </si>
  <si>
    <t>Junior Business Development Support - Energy Sector</t>
  </si>
  <si>
    <t>https://www.pracuj.pl/praca/junior-business-development-support-energy-sector-subcarpathia,oferta,8829259</t>
  </si>
  <si>
    <t>SP SD Management Sp. z o.o.</t>
  </si>
  <si>
    <t>https://www.pracuj.pl/praca/senior-data-engineer-podkarpackie,oferta,8829237</t>
  </si>
  <si>
    <t>Senior C / Linux Developer</t>
  </si>
  <si>
    <t>https://www.pracuj.pl/praca/senior-c-linux-developer-subcarpathia,oferta,8829071</t>
  </si>
  <si>
    <t>Lead Solution Architect (Security)</t>
  </si>
  <si>
    <t>https://www.pracuj.pl/praca/lead-solution-architect-security-subcarpathia,oferta,8829043</t>
  </si>
  <si>
    <t>RPd057|241102</t>
  </si>
  <si>
    <t>https://www.pracuj.pl/praca/specjalista-ds-kontrolingu-podkarpackie,oferta,8828956</t>
  </si>
  <si>
    <t>Specjalista do spraw controllingu</t>
  </si>
  <si>
    <t>.NET Development Team Leader</t>
  </si>
  <si>
    <t>https://www.pracuj.pl/praca/net-development-team-leader-podkarpackie,oferta,8828862</t>
  </si>
  <si>
    <t>Symfonia sp. z o.o.</t>
  </si>
  <si>
    <t>Cloud Strategy Consultant / Manager (CN)</t>
  </si>
  <si>
    <t>https://www.pracuj.pl/praca/cloud-strategy-consultant-manager-cn-podkarpackie,oferta,8828847</t>
  </si>
  <si>
    <t>Technology Strategy Consultant – Scrum Master / Agile Coach (CN)</t>
  </si>
  <si>
    <t>https://www.pracuj.pl/praca/technology-strategy-consultant-scrum-master-agile-coach-cn-podkarpackie,oferta,8828828</t>
  </si>
  <si>
    <t>Partnerships Manager</t>
  </si>
  <si>
    <t>https://www.pracuj.pl/praca/partnerships-manager-podkarpackie,oferta,8828674</t>
  </si>
  <si>
    <t>Grupa Tense Polska spółka z ograniczoną odpowiedzialnością spółka komandytowa</t>
  </si>
  <si>
    <t>Doradca Klienta biznesowego ds. efektywności energetycznej</t>
  </si>
  <si>
    <t>https://www.pracuj.pl/praca/doradca-klienta-biznesowego-ds-efektywnosci-energetycznej-podkarpackie,oferta,8828523</t>
  </si>
  <si>
    <t>LERTA</t>
  </si>
  <si>
    <t>Koordynator Ubezpieczeń zdrowotnych i życiowych</t>
  </si>
  <si>
    <t>RPd057|241309</t>
  </si>
  <si>
    <t>https://www.pracuj.pl/praca/koordynator-ubezpieczen-zdrowotnych-i-zyciowych-podkarpackie,oferta,8828499</t>
  </si>
  <si>
    <t>Specjalista do spraw ubezpieczeń zdrowotnych</t>
  </si>
  <si>
    <t>ASF PREMIUM SPÓŁKA Z OGRANICZONĄ ODPOWIEDZIALNOŚCIĄ</t>
  </si>
  <si>
    <t>Data Functional Analyst / Consultant (CN)</t>
  </si>
  <si>
    <t>https://www.pracuj.pl/praca/data-functional-analyst-consultant-cn-podkarpackie,oferta,8733892</t>
  </si>
  <si>
    <t>17.02.2022</t>
  </si>
  <si>
    <t>23.02.2022 03:30</t>
  </si>
  <si>
    <t>29.03.2022</t>
  </si>
  <si>
    <t>https://www.goldenline.pl/praca/oferta/1299240/zielonalinia0?utm_brand=goldenline&amp;utm_source=zielonalinia0&amp;gpid=1009276&amp;utm_channel=free&amp;utm_medium=oferta&amp;utm_department=marketing</t>
  </si>
  <si>
    <t>AGORA SPÓŁKA AKCYJNA</t>
  </si>
  <si>
    <t>25.03.2022</t>
  </si>
  <si>
    <t>https://www.goldenline.pl/praca/oferta/1299110/zielonalinia0?utm_brand=goldenline&amp;utm_source=zielonalinia0&amp;gpid=1009146&amp;utm_channel=free&amp;utm_medium=oferta&amp;utm_department=marketing</t>
  </si>
  <si>
    <t>https://www.goldenline.pl/praca/oferta/1299032/zielonalinia0?utm_brand=goldenline&amp;utm_source=zielonalinia0&amp;gpid=1009060&amp;utm_channel=free&amp;utm_medium=oferta&amp;utm_department=marketing</t>
  </si>
  <si>
    <t>Pracownik linii produkcyjnej (m/k)</t>
  </si>
  <si>
    <t>28.03.2022</t>
  </si>
  <si>
    <t>https://www.goldenline.pl/praca/oferta/1299200/zielonalinia0?utm_brand=goldenline&amp;utm_source=zielonalinia0&amp;gpid=1009218&amp;utm_channel=free&amp;utm_medium=oferta&amp;utm_department=marketing</t>
  </si>
  <si>
    <t>23.02.2022 04:20</t>
  </si>
  <si>
    <t>23.02.2022 06:28</t>
  </si>
  <si>
    <t>https://www.goldenline.pl/praca/oferta/1298958/zielonalinia0?utm_brand=goldenline&amp;utm_source=zielonalinia0&amp;gpid=1008996&amp;utm_channel=free&amp;utm_medium=oferta&amp;utm_department=marketing</t>
  </si>
  <si>
    <t>Polska, podkarpackie, rejon działania do wyboru: woj. wielkopolskie</t>
  </si>
  <si>
    <t>Agronom ds. produkcji roślinnej</t>
  </si>
  <si>
    <t>AGROLOK</t>
  </si>
  <si>
    <t>Infrastructure Engineer / DevOps</t>
  </si>
  <si>
    <t>23.02.2022 03:04</t>
  </si>
  <si>
    <t>https://www.praca.pl/infrastructure-engineer-devops_6492441.html</t>
  </si>
  <si>
    <t>Dash Core Group</t>
  </si>
  <si>
    <t>https://www.praca.pl/starszy-inspektor_6575487.html</t>
  </si>
  <si>
    <t>https://www.praca.pl/inspektor-weterynaryjny_6575358.html</t>
  </si>
  <si>
    <t>11.03.2022</t>
  </si>
  <si>
    <t>https://www.praca.pl/inspektor-weterynaryjny_6575349.html</t>
  </si>
  <si>
    <t>23.02.2022 03:03</t>
  </si>
  <si>
    <t>https://www.praca.pl/kierowca-c-e_6570324.html</t>
  </si>
  <si>
    <t>https://www.praca.pl/specjalista-ds-bankowosci-korporacyjnej_6576969.html</t>
  </si>
  <si>
    <t>https://www.praca.pl/technolog_6577032.html</t>
  </si>
  <si>
    <t>https://www.praca.pl/kasjer_6577068.html</t>
  </si>
  <si>
    <t>Kierownik Budowy / Inżynier Budowy</t>
  </si>
  <si>
    <t>https://www.praca.pl/kierownik-budowy-inzynier-budowy_6577686.html</t>
  </si>
  <si>
    <t>Zeman HDF Sp. z o.o.</t>
  </si>
  <si>
    <t>https://www.praca.pl/mlodszy-operator_6577758.html</t>
  </si>
  <si>
    <t>Specjalista ds.obsługi klienta - j. niemiecki</t>
  </si>
  <si>
    <t>https://www.praca.pl/specjalista-ds-obslugi-klienta-j-niemiecki_6577764.html</t>
  </si>
  <si>
    <t>Inżynier budowy – specjalność konstrukcyjno budowlana</t>
  </si>
  <si>
    <t>https://www.praca.pl/inzynier-budowy-specjalnosc-konstrukcyjno-budowlana_6569496.html</t>
  </si>
  <si>
    <t>https://www.praca.pl/inzynier-budowy-specjalnosc-konstrukcyjno-budowlana_6569445.html</t>
  </si>
  <si>
    <t>https://www.praca.pl/inzynier-budowy-specjalnosc-konstrukcyjno-budowlana_6569394.html</t>
  </si>
  <si>
    <t>Operation Manager do Peab Bemanning</t>
  </si>
  <si>
    <t>https://www.praca.pl/operation-manager-do-peab-bemanning_6577896.html</t>
  </si>
  <si>
    <t>Peab Sp. z o.o</t>
  </si>
  <si>
    <t>Specjalista ds. Sprzedaży i Telefonicznej Obsługi Klienta</t>
  </si>
  <si>
    <t>https://www.praca.pl/specjalista-ds-sprzedazy-i-telefonicznej-obslugi-klienta_6578067.html</t>
  </si>
  <si>
    <t>https://www.praca.pl/specjalista-ds-obslugi-klienta_6578166.html</t>
  </si>
  <si>
    <t>PayPo sp. z o.o.</t>
  </si>
  <si>
    <t>Team Leader</t>
  </si>
  <si>
    <t>https://www.praca.pl/team-leader_6578214.html</t>
  </si>
  <si>
    <t>Specjalista / Specjalistka ds. Handlowych (dodatki lakiernicze)</t>
  </si>
  <si>
    <t>08.03.2022</t>
  </si>
  <si>
    <t>https://www.praca.pl/specjalista-specjalistka-ds-handlowych-dodatki-lakiernicze_6578406.html</t>
  </si>
  <si>
    <t>Blowtherm Polska</t>
  </si>
  <si>
    <t>Proposal Coordinator</t>
  </si>
  <si>
    <t>https://www.praca.pl/proposal-coordinator_6578547.html</t>
  </si>
  <si>
    <t>Jacobs</t>
  </si>
  <si>
    <t>https://www.praca.pl/kierowca-c-e,adr-transport-miedzynarodowy_6578676.html</t>
  </si>
  <si>
    <t>12.02.2022</t>
  </si>
  <si>
    <t>https://www.praca.pl/technik-farmaceutyczny_6506982.html</t>
  </si>
  <si>
    <t>23.01.2022</t>
  </si>
  <si>
    <t>https://gratka.pl/praca/praca-na-stanowisku-zaopatrzeniowiec/oi/24578959?utm_source=zielonalinia.pl&amp;utm_medium=zielonalinia&amp;utm_campaign=export_xml</t>
  </si>
  <si>
    <t>Andrzej</t>
  </si>
  <si>
    <t>I-III 2022</t>
  </si>
  <si>
    <t>L</t>
  </si>
  <si>
    <t>Ip22</t>
  </si>
  <si>
    <t>Ikw 22</t>
  </si>
  <si>
    <t>II kw 22</t>
  </si>
  <si>
    <t>III kw 22</t>
  </si>
  <si>
    <t>IV kw 22</t>
  </si>
  <si>
    <t>IV-VI 2022</t>
  </si>
  <si>
    <t>VII-IX 2022</t>
  </si>
  <si>
    <t>X-XII 2022</t>
  </si>
  <si>
    <t>I kw. 22</t>
  </si>
  <si>
    <t>I 2022</t>
  </si>
  <si>
    <t>liczba ofert pracy</t>
  </si>
  <si>
    <t>I-VI 2019</t>
  </si>
  <si>
    <t>I-VI 2020</t>
  </si>
  <si>
    <t>I-VI 2021</t>
  </si>
  <si>
    <t>Identyfikator pracownika sprawdzającego</t>
  </si>
  <si>
    <t>Imię</t>
  </si>
  <si>
    <t>Login</t>
  </si>
  <si>
    <t>Nazwisko</t>
  </si>
  <si>
    <t>04.05.2022</t>
  </si>
  <si>
    <t>13.05.2022</t>
  </si>
  <si>
    <t>https://www.pracuj.pl/praca/kierowca-w-transporcie-miedzynarodowym-c%2be-podkarpackie,oferta,8961584</t>
  </si>
  <si>
    <t>04.05.2022 04:20</t>
  </si>
  <si>
    <t>03.04.2022</t>
  </si>
  <si>
    <t>01.05.2022</t>
  </si>
  <si>
    <t>2465512</t>
  </si>
  <si>
    <t>36396566</t>
  </si>
  <si>
    <t>1718</t>
  </si>
  <si>
    <t>Piotr</t>
  </si>
  <si>
    <t>PIOKOC</t>
  </si>
  <si>
    <t>Kocaj</t>
  </si>
  <si>
    <t>Fortum Marketing and Sales Polska S.A.</t>
  </si>
  <si>
    <t>Technical Lead</t>
  </si>
  <si>
    <t>20.05.2022</t>
  </si>
  <si>
    <t>https://www.pracuj.pl/praca/technical-lead-subcarpathia,oferta,8961603</t>
  </si>
  <si>
    <t>2465523</t>
  </si>
  <si>
    <t>36396577</t>
  </si>
  <si>
    <t>https://www.pracuj.pl/praca/fullstack-developer-subcarpathia,oferta,8961619</t>
  </si>
  <si>
    <t>2465538</t>
  </si>
  <si>
    <t>36396592</t>
  </si>
  <si>
    <t>https://www.pracuj.pl/praca/java-developer-service-mesh-podkarpackie,oferta,8961645</t>
  </si>
  <si>
    <t>2465553</t>
  </si>
  <si>
    <t>36396607</t>
  </si>
  <si>
    <t>BMS sp. z o.o.</t>
  </si>
  <si>
    <t>12.05.2022</t>
  </si>
  <si>
    <t>https://www.pracuj.pl/praca/programista-java-podkarpackie,oferta,8961672</t>
  </si>
  <si>
    <t>2465567</t>
  </si>
  <si>
    <t>36396621</t>
  </si>
  <si>
    <t>Business Application Support Specialist</t>
  </si>
  <si>
    <t>17.05.2022</t>
  </si>
  <si>
    <t>https://www.pracuj.pl/praca/business-application-support-specialist-subcarpathia,oferta,8961719</t>
  </si>
  <si>
    <t>2465582</t>
  </si>
  <si>
    <t>36396636</t>
  </si>
  <si>
    <t>Business Data Platform Support Specialist</t>
  </si>
  <si>
    <t>https://www.pracuj.pl/praca/business-data-platform-support-specialist-subcarpathia,oferta,8961750</t>
  </si>
  <si>
    <t>2465605</t>
  </si>
  <si>
    <t>36396659</t>
  </si>
  <si>
    <t>C or C++ developer</t>
  </si>
  <si>
    <t>https://www.pracuj.pl/praca/c-or-c%2b%2b-developer-subcarpathia,oferta,8961754</t>
  </si>
  <si>
    <t>2465609</t>
  </si>
  <si>
    <t>36396663</t>
  </si>
  <si>
    <t>.Net Team Leader Senior Software Developer</t>
  </si>
  <si>
    <t>https://www.pracuj.pl/praca/net-team-leader-senior-software-developer-subcarpathia,oferta,8961839</t>
  </si>
  <si>
    <t>2465650</t>
  </si>
  <si>
    <t>36396704</t>
  </si>
  <si>
    <t>Java Developer with AWS</t>
  </si>
  <si>
    <t>https://www.pracuj.pl/praca/java-developer-with-aws-subcarpathia,oferta,8961860</t>
  </si>
  <si>
    <t>2465669</t>
  </si>
  <si>
    <t>36396723</t>
  </si>
  <si>
    <t>eSky.pl S.A.</t>
  </si>
  <si>
    <t>Front-end Developer (Angular)</t>
  </si>
  <si>
    <t>https://www.pracuj.pl/praca/front-end-developer-angular-podkarpackie,oferta,8961919</t>
  </si>
  <si>
    <t>2465687</t>
  </si>
  <si>
    <t>36396741</t>
  </si>
  <si>
    <t>FullStack Developer (PHP, Angular)</t>
  </si>
  <si>
    <t>https://www.pracuj.pl/praca/fullstack-developer-php-angular-podkarpackie,oferta,8961927</t>
  </si>
  <si>
    <t>2465695</t>
  </si>
  <si>
    <t>36396749</t>
  </si>
  <si>
    <t>https://www.pracuj.pl/praca/c%23-developer-podkarpackie,oferta,8961955</t>
  </si>
  <si>
    <t>2465715</t>
  </si>
  <si>
    <t>36396769</t>
  </si>
  <si>
    <t>Vision Express SP Sp. z o.o.</t>
  </si>
  <si>
    <t>Optometrysta Mobilny</t>
  </si>
  <si>
    <t>16.05.2022</t>
  </si>
  <si>
    <t>https://www.pracuj.pl/praca/optometrysta-mobilny-rzeszow,oferta,1001700400</t>
  </si>
  <si>
    <t>2465746</t>
  </si>
  <si>
    <t>36396933</t>
  </si>
  <si>
    <t>2886</t>
  </si>
  <si>
    <t>Barbara</t>
  </si>
  <si>
    <t>barwol0940</t>
  </si>
  <si>
    <t>Wołoszyńska</t>
  </si>
  <si>
    <t>https://www.pracuj.pl/praca/operator-maszyn-produkcyjnych-stalowa-wola,oferta,1001700421</t>
  </si>
  <si>
    <t>2465767</t>
  </si>
  <si>
    <t>36396954</t>
  </si>
  <si>
    <t>Account Executive – E-commerce</t>
  </si>
  <si>
    <t>https://www.pracuj.pl/praca/account-executive-e-commerce-rzeszow,oferta,1001700480</t>
  </si>
  <si>
    <t>2465826</t>
  </si>
  <si>
    <t>36397013</t>
  </si>
  <si>
    <t>Service Process Leader for Service Request &amp; Catalogue Mgt with German</t>
  </si>
  <si>
    <t>https://www.praca.pl/service-process-leader-for-service-request-catalogue-mgt-with-german_6885528.html</t>
  </si>
  <si>
    <t>04.05.2022 03:03</t>
  </si>
  <si>
    <t>03.05.2022</t>
  </si>
  <si>
    <t>21.05.2022</t>
  </si>
  <si>
    <t>2465932</t>
  </si>
  <si>
    <t>37137722</t>
  </si>
  <si>
    <t>Senior IT Operations Manager</t>
  </si>
  <si>
    <t>https://www.praca.pl/senior-it-operations-manager_6884892.html</t>
  </si>
  <si>
    <t>2465948</t>
  </si>
  <si>
    <t>37137738</t>
  </si>
  <si>
    <t>Service Process Lead - Major Incident Management</t>
  </si>
  <si>
    <t>Pozostali kierownicy do spraw technologii informatycznych i telekomunikacyjnych</t>
  </si>
  <si>
    <t>https://www.praca.pl/service-process-lead-major-incident-management_6884943.html</t>
  </si>
  <si>
    <t>2465964</t>
  </si>
  <si>
    <t>37137754</t>
  </si>
  <si>
    <t>RPd057|133090</t>
  </si>
  <si>
    <t>Service Process Lead for Knowledge Mgt</t>
  </si>
  <si>
    <t>https://www.praca.pl/service-process-lead-for-knowledge-mgt_6884991.html</t>
  </si>
  <si>
    <t>2465981</t>
  </si>
  <si>
    <t>37138199</t>
  </si>
  <si>
    <t>Service Process Leader for Service Request &amp; Catalogue Mgt</t>
  </si>
  <si>
    <t>https://www.praca.pl/service-process-leader-for-service-request-catalogue-mgt_6885477.html</t>
  </si>
  <si>
    <t>2465997</t>
  </si>
  <si>
    <t>37138215</t>
  </si>
  <si>
    <t>Service Process Lead - Change Management</t>
  </si>
  <si>
    <t>https://www.praca.pl/service-process-lead-change-management_6885045.html</t>
  </si>
  <si>
    <t>2466013</t>
  </si>
  <si>
    <t>37138231</t>
  </si>
  <si>
    <t>Kierownik robót w branży instalacyjnej / technologicznej / mechanicznej</t>
  </si>
  <si>
    <t>https://www.praca.pl/kierownik-robot-w-branzy-instalacyjnej-technologicznej-mechanicznej_6831117.html</t>
  </si>
  <si>
    <t>08.05.2022</t>
  </si>
  <si>
    <t>2466023</t>
  </si>
  <si>
    <t>37185676</t>
  </si>
  <si>
    <t>https://www.praca.pl/elektryk_6907473.html</t>
  </si>
  <si>
    <t>26.05.2022</t>
  </si>
  <si>
    <t>2466139</t>
  </si>
  <si>
    <t>37367197</t>
  </si>
  <si>
    <t>19.05.2022</t>
  </si>
  <si>
    <t>https://www.praca.pl/germanista,rusycysta,anglista-do-recepcji_6897990.html</t>
  </si>
  <si>
    <t>2466181</t>
  </si>
  <si>
    <t>37367262</t>
  </si>
  <si>
    <t>Animator</t>
  </si>
  <si>
    <t>Animator kultury</t>
  </si>
  <si>
    <t>https://www.praca.pl/animator_6897942.html</t>
  </si>
  <si>
    <t>2466197</t>
  </si>
  <si>
    <t>37367278</t>
  </si>
  <si>
    <t>RPd057|343901</t>
  </si>
  <si>
    <t>https://www.praca.pl/fizjoterapeuta_6897855.html</t>
  </si>
  <si>
    <t>2466213</t>
  </si>
  <si>
    <t>37367294</t>
  </si>
  <si>
    <t>Operator pras w produkcji drzewnej</t>
  </si>
  <si>
    <t>https://www.praca.pl/operator-maszyn_6915684.html</t>
  </si>
  <si>
    <t>28.05.2022</t>
  </si>
  <si>
    <t>2466338</t>
  </si>
  <si>
    <t>37466576</t>
  </si>
  <si>
    <t>RPd057|817203</t>
  </si>
  <si>
    <t>https://www.praca.pl/magazynier_6927756.html</t>
  </si>
  <si>
    <t>2466340</t>
  </si>
  <si>
    <t>37466622</t>
  </si>
  <si>
    <t>https://www.praca.pl/szwaczka-szwacz_6927759.html</t>
  </si>
  <si>
    <t>2466341</t>
  </si>
  <si>
    <t>37466623</t>
  </si>
  <si>
    <t>18.05.2022</t>
  </si>
  <si>
    <t>https://www.praca.pl/starszy-specjalista_6947931.html</t>
  </si>
  <si>
    <t>2466437</t>
  </si>
  <si>
    <t>37688967</t>
  </si>
  <si>
    <t>https://www.praca.pl/inspektor_6947946.html</t>
  </si>
  <si>
    <t>2466442</t>
  </si>
  <si>
    <t>37688972</t>
  </si>
  <si>
    <t>https://www.praca.pl/starszy-specjalista_6947982.html</t>
  </si>
  <si>
    <t>2466454</t>
  </si>
  <si>
    <t>37688984</t>
  </si>
  <si>
    <t>Meusburger Georg GmbH &amp; Co. KG</t>
  </si>
  <si>
    <t>SPECJALISTA DS. SPRZEDAŻY NA TERENIE POLSKI</t>
  </si>
  <si>
    <t>Polska, podkarpackie, OBSZAR: POLSKA PÓŁNOCNA I POLSKA PÓŁNOCNO-ZACHODNIA</t>
  </si>
  <si>
    <t>https://www.goldenline.pl/praca/oferta/1301604/zielonalinia0?utm_brand=goldenline&amp;utm_source=zielonalinia0&amp;gpid=1011650&amp;utm_channel=free&amp;utm_medium=oferta&amp;utm_department=marketing</t>
  </si>
  <si>
    <t>04.05.2022 03:30</t>
  </si>
  <si>
    <t>27.04.2022</t>
  </si>
  <si>
    <t>25.05.2022</t>
  </si>
  <si>
    <t>2466529</t>
  </si>
  <si>
    <t>37724956</t>
  </si>
  <si>
    <t>Specjalista ds. Email Marketingu</t>
  </si>
  <si>
    <t>https://www.goldenline.pl/praca/oferta/1301922/zielonalinia0?utm_brand=goldenline&amp;utm_source=zielonalinia0&amp;gpid=1012006&amp;utm_channel=free&amp;utm_medium=oferta&amp;utm_department=marketing</t>
  </si>
  <si>
    <t>02.05.2022</t>
  </si>
  <si>
    <t>30.05.2022</t>
  </si>
  <si>
    <t>2466556</t>
  </si>
  <si>
    <t>37724983</t>
  </si>
  <si>
    <t>https://www.goldenline.pl/praca/oferta/1301006/zielonalinia0?utm_brand=goldenline&amp;utm_source=zielonalinia0&amp;gpid=1010986&amp;utm_channel=free&amp;utm_medium=oferta&amp;utm_department=marketing</t>
  </si>
  <si>
    <t>2466698</t>
  </si>
  <si>
    <t>37725125</t>
  </si>
  <si>
    <t>https://www.goldenline.pl/praca/oferta/1301584/zielonalinia0?utm_brand=goldenline&amp;utm_source=zielonalinia0&amp;gpid=1011686&amp;utm_channel=free&amp;utm_medium=oferta&amp;utm_department=marketing</t>
  </si>
  <si>
    <t>2466726</t>
  </si>
  <si>
    <t>37725153</t>
  </si>
  <si>
    <t>https://www.goldenline.pl/praca/oferta/1300896/zielonalinia0?utm_brand=goldenline&amp;utm_source=zielonalinia0&amp;gpid=1011112&amp;utm_channel=free&amp;utm_medium=oferta&amp;utm_department=marketing</t>
  </si>
  <si>
    <t>04.05.2022 04:29</t>
  </si>
  <si>
    <t>05.04.2022</t>
  </si>
  <si>
    <t>10.05.2022</t>
  </si>
  <si>
    <t>2466756</t>
  </si>
  <si>
    <t>37725183</t>
  </si>
  <si>
    <t>https://www.goldenline.pl/praca/oferta/1301004/zielonalinia0?utm_brand=goldenline&amp;utm_source=zielonalinia0&amp;gpid=1010960&amp;utm_channel=free&amp;utm_medium=oferta&amp;utm_department=marketing</t>
  </si>
  <si>
    <t>2466763</t>
  </si>
  <si>
    <t>37725190</t>
  </si>
  <si>
    <t>Magazynier / Operator wózka widłowego/ (m/k)</t>
  </si>
  <si>
    <t>https://www.goldenline.pl/praca/oferta/1302082/zielonalinia0?utm_brand=goldenline&amp;utm_source=zielonalinia0&amp;gpid=1012206&amp;utm_channel=free&amp;utm_medium=oferta&amp;utm_department=marketing</t>
  </si>
  <si>
    <t>2466983</t>
  </si>
  <si>
    <t>37725410</t>
  </si>
  <si>
    <t>Inżynier Wsparcia Technicznego</t>
  </si>
  <si>
    <t>https://www.goldenline.pl/praca/oferta/1301104/zielonalinia0?utm_brand=goldenline&amp;utm_source=zielonalinia0&amp;gpid=1011206&amp;utm_channel=free&amp;utm_medium=oferta&amp;utm_department=marketing</t>
  </si>
  <si>
    <t>07.04.2022</t>
  </si>
  <si>
    <t>2467066</t>
  </si>
  <si>
    <t>37725493</t>
  </si>
  <si>
    <t>https://www.goldenline.pl/praca/oferta/1301912/zielonalinia0?utm_brand=goldenline&amp;utm_source=zielonalinia0&amp;gpid=1012016&amp;utm_channel=free&amp;utm_medium=oferta&amp;utm_department=marketing</t>
  </si>
  <si>
    <t>2467071</t>
  </si>
  <si>
    <t>37725498</t>
  </si>
  <si>
    <t>MULTISERWIS SPÓŁKA Z OGRANICZONĄ ODPOWIEDZIALNOŚCIĄ</t>
  </si>
  <si>
    <t>Монтажник промышленной изоляции</t>
  </si>
  <si>
    <t>Monter ociepleń budynków</t>
  </si>
  <si>
    <t>https://www.goldenline.pl/praca/oferta/1301294/zielonalinia0?utm_brand=goldenline&amp;utm_source=zielonalinia0&amp;gpid=1011396&amp;utm_channel=free&amp;utm_medium=oferta&amp;utm_department=marketing</t>
  </si>
  <si>
    <t>12.04.2022</t>
  </si>
  <si>
    <t>2467114</t>
  </si>
  <si>
    <t>37725541</t>
  </si>
  <si>
    <t>RPd057|712301</t>
  </si>
  <si>
    <t>BITBAG sp. z o.o.</t>
  </si>
  <si>
    <t>https://www.pracuj.pl/praca/project-manager-podkarpackie,oferta,9042890</t>
  </si>
  <si>
    <t>04.05.2022 03:40</t>
  </si>
  <si>
    <t>01.06.2022</t>
  </si>
  <si>
    <t>2467149</t>
  </si>
  <si>
    <t>37725610</t>
  </si>
  <si>
    <t>https://www.pracuj.pl/praca/copywriter-podkarpackie,oferta,9042907</t>
  </si>
  <si>
    <t>2467166</t>
  </si>
  <si>
    <t>37725627</t>
  </si>
  <si>
    <t>Dyrektor Zakładu w Meksyku</t>
  </si>
  <si>
    <t>https://www.pracuj.pl/praca/dyrektor-zakladu-w-meksyku-podkarpackie,oferta,9043040</t>
  </si>
  <si>
    <t>2467196</t>
  </si>
  <si>
    <t>37725657</t>
  </si>
  <si>
    <t>Managerka/Manager Rynku Samochodowego</t>
  </si>
  <si>
    <t>https://www.pracuj.pl/praca/managerka-manager-rynku-samochodowego-podkarpackie,oferta,9043072</t>
  </si>
  <si>
    <t>2467213</t>
  </si>
  <si>
    <t>37725674</t>
  </si>
  <si>
    <t>KMD Poland Sp. z o.o.</t>
  </si>
  <si>
    <t>Junior Cloud Software Engineer</t>
  </si>
  <si>
    <t>https://www.pracuj.pl/praca/junior-cloud-software-engineer-subcarpathia,oferta,9043217</t>
  </si>
  <si>
    <t>2467236</t>
  </si>
  <si>
    <t>37725697</t>
  </si>
  <si>
    <t>Cloud Software Engineer</t>
  </si>
  <si>
    <t>https://www.pracuj.pl/praca/cloud-software-engineer-subcarpathia,oferta,9043236</t>
  </si>
  <si>
    <t>2467252</t>
  </si>
  <si>
    <t>37725713</t>
  </si>
  <si>
    <t>Senior Cloud Software Engineer</t>
  </si>
  <si>
    <t>https://www.pracuj.pl/praca/senior-cloud-software-engineer-subcarpathia,oferta,9043258</t>
  </si>
  <si>
    <t>2467268</t>
  </si>
  <si>
    <t>37725729</t>
  </si>
  <si>
    <t>https://www.pracuj.pl/praca/wlasciciel-oddzialu-dowozy-jedzenia-dostawy-zakupow-podkarpackie,oferta,9043285</t>
  </si>
  <si>
    <t>2467281</t>
  </si>
  <si>
    <t>37725742</t>
  </si>
  <si>
    <t>Etlogistic Sp. z o.o.</t>
  </si>
  <si>
    <t>Spedytor krajowy - międzynarodowy</t>
  </si>
  <si>
    <t>https://www.pracuj.pl/praca/spedytor-krajowy-miedzynarodowy-podkarpackie,oferta,9043484</t>
  </si>
  <si>
    <t>2467302</t>
  </si>
  <si>
    <t>37725763</t>
  </si>
  <si>
    <t>1863,1803,1804,1811,1818,1861</t>
  </si>
  <si>
    <t>Księgowy AP z j. niemieckim</t>
  </si>
  <si>
    <t>https://www.pracuj.pl/praca/ksiegowy-ap-z-j-niemieckim-podkarpackie,oferta,9043517</t>
  </si>
  <si>
    <t>2467313</t>
  </si>
  <si>
    <t>37725774</t>
  </si>
  <si>
    <t>Impel S.A.</t>
  </si>
  <si>
    <t>https://www.pracuj.pl/praca/data-engineer-podkarpackie,oferta,9043625</t>
  </si>
  <si>
    <t>2467338</t>
  </si>
  <si>
    <t>37725799</t>
  </si>
  <si>
    <t>https://www.pracuj.pl/praca/software-tester-podkarpackie,oferta,9043646</t>
  </si>
  <si>
    <t>2467354</t>
  </si>
  <si>
    <t>37725815</t>
  </si>
  <si>
    <t>Unity Group</t>
  </si>
  <si>
    <t>https://www.pracuj.pl/praca/scrum-master-podkarpackie,oferta,9043758</t>
  </si>
  <si>
    <t>2467376</t>
  </si>
  <si>
    <t>37725837</t>
  </si>
  <si>
    <t>Loginex Sp. z o.o.</t>
  </si>
  <si>
    <t>Manager Działu Spedycji Międzynarodowej</t>
  </si>
  <si>
    <t>https://www.pracuj.pl/praca/manager-dzialu-spedycji-miedzynarodowej-podkarpackie,oferta,9043783</t>
  </si>
  <si>
    <t>2467387</t>
  </si>
  <si>
    <t>37725848</t>
  </si>
  <si>
    <t>Wostok HR Sp. z o.o.</t>
  </si>
  <si>
    <t>Konsultant - Kontroler Finansowy</t>
  </si>
  <si>
    <t>https://www.pracuj.pl/praca/konsultant-kontroler-finansowy-podkarpackie,oferta,9044141</t>
  </si>
  <si>
    <t>2467439</t>
  </si>
  <si>
    <t>37725900</t>
  </si>
  <si>
    <t>Beliani</t>
  </si>
  <si>
    <t>Customer Service Agent with dutch</t>
  </si>
  <si>
    <t>https://www.pracuj.pl/praca/customer-service-agent-with-dutch-subcarpathia,oferta,9044184</t>
  </si>
  <si>
    <t>2467457</t>
  </si>
  <si>
    <t>37725918</t>
  </si>
  <si>
    <t>Holiday Park &amp; Resort</t>
  </si>
  <si>
    <t>https://www.pracuj.pl/praca/specjalista-ds-kluczowych-klientow-podkarpackie,oferta,9044231</t>
  </si>
  <si>
    <t>2467487</t>
  </si>
  <si>
    <t>37725948</t>
  </si>
  <si>
    <t>SCOM/Nagios Engineer</t>
  </si>
  <si>
    <t>https://www.pracuj.pl/praca/scom-nagios-engineer-subcarpathia,oferta,9044264</t>
  </si>
  <si>
    <t>2467505</t>
  </si>
  <si>
    <t>37725966</t>
  </si>
  <si>
    <t>SCCM Engineer</t>
  </si>
  <si>
    <t>https://www.pracuj.pl/praca/sccm-engineer-subcarpathia,oferta,9044282</t>
  </si>
  <si>
    <t>2467521</t>
  </si>
  <si>
    <t>37725982</t>
  </si>
  <si>
    <t>Pierre Fabre Médicament Polska Sp. z o.o.</t>
  </si>
  <si>
    <t>https://www.pracuj.pl/praca/przedstawiciel-medyczny-podkarpackie,oferta,9044294</t>
  </si>
  <si>
    <t>2467528</t>
  </si>
  <si>
    <t>37725989</t>
  </si>
  <si>
    <t>Monitoring Associate Technical Services Engineer/2nd line</t>
  </si>
  <si>
    <t>https://www.pracuj.pl/praca/monitoring-associate-technical-services-engineer-2nd-line-subcarpathia,oferta,9044323</t>
  </si>
  <si>
    <t>2467538</t>
  </si>
  <si>
    <t>37725999</t>
  </si>
  <si>
    <t>Technical Services Engineer Expert - MsSQL DBA</t>
  </si>
  <si>
    <t>https://www.pracuj.pl/praca/technical-services-engineer-expert-mssql-dba-subcarpathia,oferta,9044368</t>
  </si>
  <si>
    <t>2467552</t>
  </si>
  <si>
    <t>37726013</t>
  </si>
  <si>
    <t>Technical Services Engineer: Vendor Support with German</t>
  </si>
  <si>
    <t>https://www.pracuj.pl/praca/technical-services-engineer-vendor-support-with-german-subcarpathia,oferta,9044385</t>
  </si>
  <si>
    <t>2467566</t>
  </si>
  <si>
    <t>37726027</t>
  </si>
  <si>
    <t>Technical Services Process Controller - RIM</t>
  </si>
  <si>
    <t>https://www.pracuj.pl/praca/technical-services-process-controller-rim-subcarpathia,oferta,9044404</t>
  </si>
  <si>
    <t>2467580</t>
  </si>
  <si>
    <t>37726041</t>
  </si>
  <si>
    <t>EPG Sp. z o.o</t>
  </si>
  <si>
    <t>Przedstawiciel handlowy ds. OZE</t>
  </si>
  <si>
    <t>https://www.pracuj.pl/praca/przedstawiciel-handlowy-ds-oze-podkarpackie,oferta,9044430</t>
  </si>
  <si>
    <t>2467596</t>
  </si>
  <si>
    <t>37726057</t>
  </si>
  <si>
    <t>mgr Jolanta Polniak Biuro Rachunkowe JDM</t>
  </si>
  <si>
    <t>https://www.pracuj.pl/praca/samodzielna-ksiegowa-samodzielny-ksiegowy-podkarpackie,oferta,9044441</t>
  </si>
  <si>
    <t>2467603</t>
  </si>
  <si>
    <t>37726064</t>
  </si>
  <si>
    <t>https://www.pracuj.pl/praca/agent-ubezpieczeniowy-brzozow,oferta,9044554</t>
  </si>
  <si>
    <t>02.06.2022</t>
  </si>
  <si>
    <t>2467618</t>
  </si>
  <si>
    <t>37726079</t>
  </si>
  <si>
    <t>Spark Data Engineer</t>
  </si>
  <si>
    <t>https://www.pracuj.pl/praca/spark-data-engineer-subcarpathia,oferta,9044624</t>
  </si>
  <si>
    <t>2467646</t>
  </si>
  <si>
    <t>37726107</t>
  </si>
  <si>
    <t>International Sales Specialist with German</t>
  </si>
  <si>
    <t>https://www.pracuj.pl/praca/international-sales-specialist-with-german-subcarpathia,oferta,9044631</t>
  </si>
  <si>
    <t>2467653</t>
  </si>
  <si>
    <t>37726114</t>
  </si>
  <si>
    <t>AMERIPOL SPÓŁKA Z OGRANICZONĄ ODPOWIEDZIALNOŚCIĄ</t>
  </si>
  <si>
    <t>Młodszy Specjalista ds. logistyki z j. angielskim</t>
  </si>
  <si>
    <t>https://www.pracuj.pl/praca/mlodszy-specjalista-ds-logistyki-z-j-angielskim-rzeszow,oferta,1001769173</t>
  </si>
  <si>
    <t>2467661</t>
  </si>
  <si>
    <t>37726122</t>
  </si>
  <si>
    <t>Przedstawiciel Biura Obsługi Klienta</t>
  </si>
  <si>
    <t>https://www.pracuj.pl/praca/przedstawiciel-biura-obslugi-klienta-rzeszow,oferta,1001769174</t>
  </si>
  <si>
    <t>2467662</t>
  </si>
  <si>
    <t>37726123</t>
  </si>
  <si>
    <t>HYUNDAI ENGINEERING CO., LTD. S.A. ODDZIAŁ W POLSCE</t>
  </si>
  <si>
    <t>HR &amp; Administration Specialist</t>
  </si>
  <si>
    <t>https://www.pracuj.pl/praca/hr-administration-specialist-stalowa-wola,oferta,1001769325</t>
  </si>
  <si>
    <t>2467809</t>
  </si>
  <si>
    <t>37726270</t>
  </si>
  <si>
    <t>Junior &amp; Accounting Specialist</t>
  </si>
  <si>
    <t>https://www.pracuj.pl/praca/junior-accounting-specialist-stalowa-wola,oferta,1001769346</t>
  </si>
  <si>
    <t>2467830</t>
  </si>
  <si>
    <t>37726291</t>
  </si>
  <si>
    <t>Planning Assistant (Architectural/Civil)</t>
  </si>
  <si>
    <t>https://www.pracuj.pl/praca/planning-assistant-architectural-civil-stalowa-wola,oferta,1001769358</t>
  </si>
  <si>
    <t>2467841</t>
  </si>
  <si>
    <t>37726302</t>
  </si>
  <si>
    <t>Administration Coordinator</t>
  </si>
  <si>
    <t>https://www.pracuj.pl/praca/administration-coordinator-stalowa-wola,oferta,1001769360</t>
  </si>
  <si>
    <t>2467843</t>
  </si>
  <si>
    <t>37726304</t>
  </si>
  <si>
    <t>LIFE CARE GL + SP Z O.O.</t>
  </si>
  <si>
    <t>https://www.pracuj.pl/praca/konsultant-medyczny-brzozow,oferta,1001769505</t>
  </si>
  <si>
    <t>2467983</t>
  </si>
  <si>
    <t>37726444</t>
  </si>
  <si>
    <t>https://www.pracuj.pl/praca/konsultant-medyczny-krosno,oferta,1001769507</t>
  </si>
  <si>
    <t>2467985</t>
  </si>
  <si>
    <t>37726446</t>
  </si>
  <si>
    <t>https://www.pracuj.pl/praca/executive-assistant-rzeszow,oferta,1001769601</t>
  </si>
  <si>
    <t>2468079</t>
  </si>
  <si>
    <t>37726540</t>
  </si>
  <si>
    <t>AmRest Sp. z o.o. - KFC</t>
  </si>
  <si>
    <t>Praca w KFC Rzeszów- kasjer/kucharz</t>
  </si>
  <si>
    <t>https://www.pracuj.pl/praca/praca-w-kfc-rzeszow-kasjer-kucharz-rzeszow,oferta,1001769679</t>
  </si>
  <si>
    <t>2468156</t>
  </si>
  <si>
    <t>37726617</t>
  </si>
  <si>
    <t>Ekspert ds. produktów finansowych</t>
  </si>
  <si>
    <t>https://www.pracuj.pl/praca/ekspert-ds-produktow-finansowych-brzozow,oferta,1001769743</t>
  </si>
  <si>
    <t>2468220</t>
  </si>
  <si>
    <t>37726681</t>
  </si>
  <si>
    <t>https://www.pracuj.pl/praca/ekspert-ds-produktow-finansowych-debica,oferta,1001769744</t>
  </si>
  <si>
    <t>2468221</t>
  </si>
  <si>
    <t>37726682</t>
  </si>
  <si>
    <t>https://www.pracuj.pl/praca/ekspert-ds-produktow-finansowych-jaroslaw,oferta,1001769745</t>
  </si>
  <si>
    <t>2468222</t>
  </si>
  <si>
    <t>37726683</t>
  </si>
  <si>
    <t>https://www.pracuj.pl/praca/ekspert-ds-produktow-finansowych-jaslo,oferta,1001769746</t>
  </si>
  <si>
    <t>2468223</t>
  </si>
  <si>
    <t>37726684</t>
  </si>
  <si>
    <t>https://www.pracuj.pl/praca/ekspert-ds-produktow-finansowych-kolbuszowa,oferta,1001769747</t>
  </si>
  <si>
    <t>2468224</t>
  </si>
  <si>
    <t>37726685</t>
  </si>
  <si>
    <t>https://www.pracuj.pl/praca/ekspert-ds-produktow-finansowych-krosno,oferta,1001769748</t>
  </si>
  <si>
    <t>2468225</t>
  </si>
  <si>
    <t>37726686</t>
  </si>
  <si>
    <t>https://www.pracuj.pl/praca/ekspert-ds-produktow-finansowych-lesko,oferta,1001769749</t>
  </si>
  <si>
    <t>2468226</t>
  </si>
  <si>
    <t>37726687</t>
  </si>
  <si>
    <t>https://www.pracuj.pl/praca/ekspert-ds-produktow-finansowych-lezajsk,oferta,1001769750</t>
  </si>
  <si>
    <t>2468227</t>
  </si>
  <si>
    <t>37726688</t>
  </si>
  <si>
    <t>https://www.pracuj.pl/praca/ekspert-ds-produktow-finansowych-mielec,oferta,1001769751</t>
  </si>
  <si>
    <t>2468228</t>
  </si>
  <si>
    <t>37726689</t>
  </si>
  <si>
    <t>https://www.pracuj.pl/praca/ekspert-ds-produktow-finansowych-lancut,oferta,1001769752</t>
  </si>
  <si>
    <t>2468229</t>
  </si>
  <si>
    <t>37726690</t>
  </si>
  <si>
    <t>https://www.pracuj.pl/praca/ekspert-ds-produktow-finansowych-nisko,oferta,1001769753</t>
  </si>
  <si>
    <t>2468230</t>
  </si>
  <si>
    <t>37726691</t>
  </si>
  <si>
    <t>https://www.pracuj.pl/praca/ekspert-ds-produktow-finansowych-przemysl,oferta,1001769754</t>
  </si>
  <si>
    <t>2468231</t>
  </si>
  <si>
    <t>37726692</t>
  </si>
  <si>
    <t>https://www.pracuj.pl/praca/ekspert-ds-produktow-finansowych-polanczyk-pow-leski,oferta,1001769755</t>
  </si>
  <si>
    <t>2468232</t>
  </si>
  <si>
    <t>37726693</t>
  </si>
  <si>
    <t>https://www.pracuj.pl/praca/ekspert-ds-produktow-finansowych-rzeszow,oferta,1001769756</t>
  </si>
  <si>
    <t>2468233</t>
  </si>
  <si>
    <t>37726694</t>
  </si>
  <si>
    <t>https://www.pracuj.pl/praca/ekspert-ds-produktow-finansowych-sanok,oferta,1001769757</t>
  </si>
  <si>
    <t>2468234</t>
  </si>
  <si>
    <t>37726695</t>
  </si>
  <si>
    <t>https://www.pracuj.pl/praca/ekspert-ds-produktow-finansowych-tarnobrzeg,oferta,1001769758</t>
  </si>
  <si>
    <t>2468235</t>
  </si>
  <si>
    <t>37726696</t>
  </si>
  <si>
    <t>https://www.pracuj.pl/praca/ekspert-ds-produktow-finansowych-ustrzyki-dolne,oferta,1001769759</t>
  </si>
  <si>
    <t>2468236</t>
  </si>
  <si>
    <t>37726697</t>
  </si>
  <si>
    <t>https://www.pracuj.pl/praca/ekspert-ds-produktow-finansowych-stalowa-wola,oferta,1001769760</t>
  </si>
  <si>
    <t>2468237</t>
  </si>
  <si>
    <t>37726698</t>
  </si>
  <si>
    <t>Payroll Specialist HRSSC</t>
  </si>
  <si>
    <t>https://www.pracuj.pl/praca/payroll-specialist-hrssc-debica,oferta,1001769797</t>
  </si>
  <si>
    <t>2468274</t>
  </si>
  <si>
    <t>37726735</t>
  </si>
  <si>
    <t>https://www.pracuj.pl/praca/net-developer-rzeszow,oferta,1001769798</t>
  </si>
  <si>
    <t>2468275</t>
  </si>
  <si>
    <t>37726736</t>
  </si>
  <si>
    <t>Senior/Principal Frontend Developer</t>
  </si>
  <si>
    <t>https://www.pracuj.pl/praca/senior-principal-frontend-developer-rzeszow,oferta,1001769824</t>
  </si>
  <si>
    <t>2468301</t>
  </si>
  <si>
    <t>37726762</t>
  </si>
  <si>
    <t>https://www.pracuj.pl/praca/frontend-developer-rzeszow,oferta,1001769894</t>
  </si>
  <si>
    <t>2468355</t>
  </si>
  <si>
    <t>37726816</t>
  </si>
  <si>
    <t>https://www.pracuj.pl/praca/analityk-biznesowy-rzeszow,oferta,1001769912</t>
  </si>
  <si>
    <t>2468373</t>
  </si>
  <si>
    <t>37726834</t>
  </si>
  <si>
    <t>Specjalista ds. eksportu  ze znajomością j. rosyjskiego</t>
  </si>
  <si>
    <t>https://www.pracuj.pl/praca/specjalista-ds-eksportu-ze-znajomoscia-j-rosyjskiego-jaslo,oferta,1001769924</t>
  </si>
  <si>
    <t>2468385</t>
  </si>
  <si>
    <t>37726846</t>
  </si>
  <si>
    <t>Digital Product Owner</t>
  </si>
  <si>
    <t>Pozostali specjaliści do spraw reklamy i marketingu</t>
  </si>
  <si>
    <t>https://www.pracuj.pl/praca/digital-product-owner-rzeszow,oferta,1001769932</t>
  </si>
  <si>
    <t>2468393</t>
  </si>
  <si>
    <t>37726854</t>
  </si>
  <si>
    <t>RPd057|243190</t>
  </si>
  <si>
    <t>https://www.pracuj.pl/praca/pracownik-sklepu-nisko,oferta,1001770027</t>
  </si>
  <si>
    <t>2468487</t>
  </si>
  <si>
    <t>37726948</t>
  </si>
  <si>
    <t>https://www.pracuj.pl/praca/zastepca-kierownika-sklepu-jaroslaw,oferta,1001770041</t>
  </si>
  <si>
    <t>2468501</t>
  </si>
  <si>
    <t>37726962</t>
  </si>
  <si>
    <t>Bioeko Grupa TAURON Sp. z o.o.</t>
  </si>
  <si>
    <t>https://www.pracuj.pl/praca/przedstawiciel-handlowy-stalowa-wola,oferta,1001770082</t>
  </si>
  <si>
    <t>2468542</t>
  </si>
  <si>
    <t>37727003</t>
  </si>
  <si>
    <t>EMEA P2P Senior Service Support Specialist</t>
  </si>
  <si>
    <t>https://www.pracuj.pl/praca/emea-p2p-senior-service-support-specialist-rzeszow,oferta,1001770136</t>
  </si>
  <si>
    <t>2468595</t>
  </si>
  <si>
    <t>37727056</t>
  </si>
  <si>
    <t>Pracownik Sklepu - etat 87h lub 130h / Працівник магазину.- неповний робочий день</t>
  </si>
  <si>
    <t>https://www.pracuj.pl/praca/pracownik-sklepu-etat-87h-lub-130h-kolbuszowa,oferta,1001770158</t>
  </si>
  <si>
    <t>2468617</t>
  </si>
  <si>
    <t>37727078</t>
  </si>
  <si>
    <t>https://www.pracuj.pl/praca/pracownik-sklepu-etat-87h-lub-130h-lancut,oferta,1001770161</t>
  </si>
  <si>
    <t>2468620</t>
  </si>
  <si>
    <t>37727081</t>
  </si>
  <si>
    <t>Compass Group Poland</t>
  </si>
  <si>
    <t>Pracownik kuchni z obsługą klienta</t>
  </si>
  <si>
    <t>https://www.pracuj.pl/praca/pracownik-kuchni-z-obsluga-klienta-debica,oferta,1001770382</t>
  </si>
  <si>
    <t>2468839</t>
  </si>
  <si>
    <t>37727300</t>
  </si>
  <si>
    <t>Kierownik Sklepu - salon eobuwie.pl x MODIVO (Galeria Rzeszów)</t>
  </si>
  <si>
    <t>https://www.pracuj.pl/praca/kierownik-sklepu-salon-eobuwie-pl-x-modivo-galeria-rzeszow-rzeszow,oferta,1001770435</t>
  </si>
  <si>
    <t>2468892</t>
  </si>
  <si>
    <t>37727353</t>
  </si>
  <si>
    <t>Specjalista ds. planowania</t>
  </si>
  <si>
    <t>https://www.pracuj.pl/praca/specjalista-ds-planowania-chmielow-pow-tarnobrzeski,oferta,1001770460</t>
  </si>
  <si>
    <t>2468917</t>
  </si>
  <si>
    <t>37727378</t>
  </si>
  <si>
    <t>https://www.pracuj.pl/praca/zastepca-managera-sklepu-ropczyce,oferta,1001770496</t>
  </si>
  <si>
    <t>2468953</t>
  </si>
  <si>
    <t>37727414</t>
  </si>
  <si>
    <t>Małek Media Adam Małek</t>
  </si>
  <si>
    <t>Specjalista ds. Facebook Ads i Social Mediów</t>
  </si>
  <si>
    <t>https://www.pracuj.pl/praca/specjalista-ds-facebook-ads-i-social-mediow-rzeszow,oferta,1001770613</t>
  </si>
  <si>
    <t>2469062</t>
  </si>
  <si>
    <t>37727523</t>
  </si>
  <si>
    <t>NOMINO sp. z o.o.</t>
  </si>
  <si>
    <t>Inspektor ochrony danych</t>
  </si>
  <si>
    <t>https://www.pracuj.pl/praca/specjalista-ds-bezpieczenstwa-informacji-kolbuszowa,oferta,1001770648</t>
  </si>
  <si>
    <t>2469097</t>
  </si>
  <si>
    <t>37727558</t>
  </si>
  <si>
    <t>FIRMA HANDLOWO USŁUGOWA S.C  MAŁGORZATA KRUPA, JAN KRUPA</t>
  </si>
  <si>
    <t>Polska, podkarpackie, Żyznów (pow. strzyżowski)</t>
  </si>
  <si>
    <t>https://www.pracuj.pl/praca/kucharz-kucharka-zyznow-pow-strzyzowski,oferta,1001770944</t>
  </si>
  <si>
    <t>2469381</t>
  </si>
  <si>
    <t>37727842</t>
  </si>
  <si>
    <t>Menedżer Marketu - Rzeszów</t>
  </si>
  <si>
    <t>https://www.pracuj.pl/praca/menedzer-marketu-rzeszow-rzeszow,oferta,1001770955</t>
  </si>
  <si>
    <t>2469392</t>
  </si>
  <si>
    <t>37727853</t>
  </si>
  <si>
    <t>https://www.pracuj.pl/praca/menager-ds-sprzedazy-fotowoltaika-i-pompy-ciepla-jaroslaw,oferta,1001770961</t>
  </si>
  <si>
    <t>2469398</t>
  </si>
  <si>
    <t>37727859</t>
  </si>
  <si>
    <t>https://www.pracuj.pl/praca/menager-ds-sprzedazy-fotowoltaika-i-pompy-ciepla-debica,oferta,1001770970</t>
  </si>
  <si>
    <t>2469407</t>
  </si>
  <si>
    <t>37727868</t>
  </si>
  <si>
    <t>https://www.pracuj.pl/praca/menager-ds-sprzedazy-fotowoltaika-i-pompy-ciepla-rzeszow,oferta,1001770986</t>
  </si>
  <si>
    <t>2469423</t>
  </si>
  <si>
    <t>37727884</t>
  </si>
  <si>
    <t>https://www.pracuj.pl/praca/menager-ds-sprzedazy-fotowoltaika-i-pompy-ciepla-sanok,oferta,1001770988</t>
  </si>
  <si>
    <t>2469425</t>
  </si>
  <si>
    <t>37727886</t>
  </si>
  <si>
    <t>https://www.pracuj.pl/praca/menager-ds-sprzedazy-fotowoltaika-i-pompy-ciepla-stalowa-wola,oferta,1001770992</t>
  </si>
  <si>
    <t>2469429</t>
  </si>
  <si>
    <t>37727890</t>
  </si>
  <si>
    <t>https://www.pracuj.pl/praca/menager-ds-sprzedazy-fotowoltaika-i-pompy-ciepla-tarnobrzeg,oferta,1001770998</t>
  </si>
  <si>
    <t>2469435</t>
  </si>
  <si>
    <t>37727896</t>
  </si>
  <si>
    <t>https://www.pracuj.pl/praca/menager-ds-sprzedazy-fotowoltaika-i-pompy-ciepla-mielec,oferta,1001771020</t>
  </si>
  <si>
    <t>2469457</t>
  </si>
  <si>
    <t>37727918</t>
  </si>
  <si>
    <t>https://www.pracuj.pl/praca/menager-ds-sprzedazy-fotowoltaika-i-pompy-ciepla-przemysl,oferta,1001771030</t>
  </si>
  <si>
    <t>2469467</t>
  </si>
  <si>
    <t>37727928</t>
  </si>
  <si>
    <t>https://www.pracuj.pl/praca/menager-ds-sprzedazy-fotowoltaika-i-pompy-ciepla-przeworsk,oferta,1001771031</t>
  </si>
  <si>
    <t>2469468</t>
  </si>
  <si>
    <t>37727929</t>
  </si>
  <si>
    <t>Piekarnia Koma</t>
  </si>
  <si>
    <t>Piekarz- ciastowy</t>
  </si>
  <si>
    <t>Piekarz*</t>
  </si>
  <si>
    <t>11.05.2022</t>
  </si>
  <si>
    <t>https://gratka.pl/praca/piekarnia-koma-zatrudni-piekarza-ciastowego/oi/25689247?utm_source=zielonalinia.pl&amp;utm_medium=zielonalinia&amp;utm_campaign=export_xml</t>
  </si>
  <si>
    <t>11.05.2022 04:20</t>
  </si>
  <si>
    <t>10.04.2022</t>
  </si>
  <si>
    <t>2497663</t>
  </si>
  <si>
    <t>36671428</t>
  </si>
  <si>
    <t>RPd057|751204</t>
  </si>
  <si>
    <t>RANKARCHITECTS.COM SPÓŁKA Z OGRANICZONĄ ODPOWIEDZIALNOŚCIĄ</t>
  </si>
  <si>
    <t>Samodzielny Specjalista SEO</t>
  </si>
  <si>
    <t>https://www.pracuj.pl/praca/samodzielny-specjalista-seo-podkarpackie,oferta,8984710</t>
  </si>
  <si>
    <t>2497758</t>
  </si>
  <si>
    <t>36722626</t>
  </si>
  <si>
    <t>RPd057|351403</t>
  </si>
  <si>
    <t>Network Security Engineer (Firewall - Fortigates)</t>
  </si>
  <si>
    <t>https://www.pracuj.pl/praca/network-security-engineer-firewall-fortigates-subcarpathia,oferta,8984736</t>
  </si>
  <si>
    <t>2497775</t>
  </si>
  <si>
    <t>36722643</t>
  </si>
  <si>
    <t>https://www.pracuj.pl/praca/monter-wyrobow-z-drewna-mielec,oferta,1001718751</t>
  </si>
  <si>
    <t>2497797</t>
  </si>
  <si>
    <t>36722808</t>
  </si>
  <si>
    <t>Greinplast sp. z o.o.</t>
  </si>
  <si>
    <t>Technolog produkcji farb i lakierów (Dział BR)</t>
  </si>
  <si>
    <t>https://www.pracuj.pl/praca/technolog-produkcji-farb-i-lakierow-dzial-br-krasne-pow-rzeszowski,oferta,1001718776</t>
  </si>
  <si>
    <t>2497821</t>
  </si>
  <si>
    <t>36722833</t>
  </si>
  <si>
    <t>Senior Tax Analyst</t>
  </si>
  <si>
    <t>https://www.pracuj.pl/praca/senior-tax-analyst-rzeszow,oferta,1001718805</t>
  </si>
  <si>
    <t>2497850</t>
  </si>
  <si>
    <t>36722862</t>
  </si>
  <si>
    <t>https://www.praca.pl/doradca-klienta_6920475.html</t>
  </si>
  <si>
    <t>11.05.2022 04:29</t>
  </si>
  <si>
    <t>07.05.2022</t>
  </si>
  <si>
    <t>27.05.2022</t>
  </si>
  <si>
    <t>2497965</t>
  </si>
  <si>
    <t>37417239</t>
  </si>
  <si>
    <t>Service Process Controller - Incident Management</t>
  </si>
  <si>
    <t>https://www.praca.pl/service-process-controller-incident-management_6928512.html</t>
  </si>
  <si>
    <t>11.05.2022 03:03</t>
  </si>
  <si>
    <t>2497971</t>
  </si>
  <si>
    <t>37466501</t>
  </si>
  <si>
    <t>https://www.praca.pl/service-process-lead-change-management_6928569.html</t>
  </si>
  <si>
    <t>2497987</t>
  </si>
  <si>
    <t>37466517</t>
  </si>
  <si>
    <t>Rezydent</t>
  </si>
  <si>
    <t>Rezydent biura turystycznego</t>
  </si>
  <si>
    <t>https://www.praca.pl/rezydent_6984711.html</t>
  </si>
  <si>
    <t>09.06.2022</t>
  </si>
  <si>
    <t>2498037</t>
  </si>
  <si>
    <t>38009993</t>
  </si>
  <si>
    <t>RPd057|422102</t>
  </si>
  <si>
    <t>Programista C++ R&amp;D</t>
  </si>
  <si>
    <t>https://www.praca.pl/programista-c-r-d_6973995.html</t>
  </si>
  <si>
    <t>2498083</t>
  </si>
  <si>
    <t>38010041</t>
  </si>
  <si>
    <t>Netto Sp. z o.o.</t>
  </si>
  <si>
    <t>Polska, podkarpackie, Lesko, ul. Bieszczadzka 4</t>
  </si>
  <si>
    <t>https://www.praca.pl/sprzedawca_6983400.html</t>
  </si>
  <si>
    <t>2498140</t>
  </si>
  <si>
    <t>38010098</t>
  </si>
  <si>
    <t>Inżynier - Projektant Instalacji Sanitarnych</t>
  </si>
  <si>
    <t>https://www.praca.pl/inzynier-projektant-instalacji-sanitarnych_6975561.html</t>
  </si>
  <si>
    <t>2498153</t>
  </si>
  <si>
    <t>38010111</t>
  </si>
  <si>
    <t>Projektant Konstrukcji Konstrukcje podziemne</t>
  </si>
  <si>
    <t>https://www.praca.pl/projektant-konstrukcji-konstrukcje-podziemne_6975873.html</t>
  </si>
  <si>
    <t>2498172</t>
  </si>
  <si>
    <t>38010130</t>
  </si>
  <si>
    <t>Projektant / Asystent Projektanta Drogowego</t>
  </si>
  <si>
    <t>https://www.praca.pl/projektant-asystent-projektanta-drogowego_6975822.html</t>
  </si>
  <si>
    <t>2498188</t>
  </si>
  <si>
    <t>38010146</t>
  </si>
  <si>
    <t>Asystent Projektanta Konstrukcji Konstrukcje podziemne</t>
  </si>
  <si>
    <t>https://www.praca.pl/asystent-projektanta-konstrukcji-konstrukcje-podziemne_6975939.html</t>
  </si>
  <si>
    <t>2498204</t>
  </si>
  <si>
    <t>38010162</t>
  </si>
  <si>
    <t>Asystent Projektanta Kolejowego</t>
  </si>
  <si>
    <t>https://www.praca.pl/asystent-projektanta-kolejowego_6975771.html</t>
  </si>
  <si>
    <t>2498220</t>
  </si>
  <si>
    <t>38010178</t>
  </si>
  <si>
    <t>Operator Mobilnej Wytwórni Betonu w Zespole Mobilnych Wytwórni Betonu</t>
  </si>
  <si>
    <t>Technik technologii materiałów budowlanych</t>
  </si>
  <si>
    <t>https://www.praca.pl/operator-mobilnej-wytworni-betonu-w-zespole-mobilnych-wytworni-betonu_6975108.html</t>
  </si>
  <si>
    <t>2498242</t>
  </si>
  <si>
    <t>38010201</t>
  </si>
  <si>
    <t>RPd057|311923</t>
  </si>
  <si>
    <t>Specjalista ds. Rekrutacji z językiem niemieckim i angielskim</t>
  </si>
  <si>
    <t>https://www.praca.pl/specjalista-ds-rekrutacji-z-jezykiem-niemieckim-i-angielskim_6983208.html</t>
  </si>
  <si>
    <t>2498278</t>
  </si>
  <si>
    <t>38010238</t>
  </si>
  <si>
    <t>Starszy Inżynier Budowy / Młodszy Kierownik Budowy</t>
  </si>
  <si>
    <t>https://www.praca.pl/starszy-inzynier-budowy-mlodszy-kierownik-budowy_6983079.html</t>
  </si>
  <si>
    <t>2498297</t>
  </si>
  <si>
    <t>38010257</t>
  </si>
  <si>
    <t>3D Artist / Grafik 3D</t>
  </si>
  <si>
    <t>https://www.praca.pl/3d-artist-grafik-3d_6961647.html</t>
  </si>
  <si>
    <t>2498313</t>
  </si>
  <si>
    <t>38010276</t>
  </si>
  <si>
    <t>https://www.praca.pl/magazynier-operator-wozka-widlowego-m-k_6982920.html</t>
  </si>
  <si>
    <t>2498327</t>
  </si>
  <si>
    <t>38010290</t>
  </si>
  <si>
    <t>https://www.praca.pl/magazynier-operator-wozka-widlowego-m-k_6982923.html</t>
  </si>
  <si>
    <t>2498328</t>
  </si>
  <si>
    <t>38010291</t>
  </si>
  <si>
    <t>https://www.praca.pl/magazynier-operator-wozka-widlowego-m-k_6982926.html</t>
  </si>
  <si>
    <t>2498329</t>
  </si>
  <si>
    <t>38010292</t>
  </si>
  <si>
    <t>Kronospan Polska Sp. z o.o.</t>
  </si>
  <si>
    <t>Real Estate Commercial Manager</t>
  </si>
  <si>
    <t>https://www.praca.pl/real-estate-commercial-manager_6982686.html</t>
  </si>
  <si>
    <t>2498373</t>
  </si>
  <si>
    <t>38010337</t>
  </si>
  <si>
    <t>Chemical Purchasing Commercial Manager</t>
  </si>
  <si>
    <t>https://www.praca.pl/chemical-purchasing-commercial-manager_6982698.html</t>
  </si>
  <si>
    <t>2498376</t>
  </si>
  <si>
    <t>38010340</t>
  </si>
  <si>
    <t>https://www.praca.pl/operator-elektrodrazarki_6982407.html</t>
  </si>
  <si>
    <t>2498405</t>
  </si>
  <si>
    <t>38010374</t>
  </si>
  <si>
    <t>https://www.praca.pl/kierownik-inzynier-budowy_6982332.html</t>
  </si>
  <si>
    <t>2498419</t>
  </si>
  <si>
    <t>38010389</t>
  </si>
  <si>
    <t>https://www.praca.pl/inzynier-kierownik-robot-sanitarnych_6982248.html</t>
  </si>
  <si>
    <t>2498437</t>
  </si>
  <si>
    <t>38010407</t>
  </si>
  <si>
    <t>Fundacja Mam Marzenie</t>
  </si>
  <si>
    <t>Wolontariusz</t>
  </si>
  <si>
    <t>Pozostali opiekunowie dziecięcy</t>
  </si>
  <si>
    <t>https://www.praca.pl/wolontariusz_6975381.html</t>
  </si>
  <si>
    <t>Organizacje pozarządowe/Wolontariat</t>
  </si>
  <si>
    <t>11.05.2022 03:27</t>
  </si>
  <si>
    <t>2498460</t>
  </si>
  <si>
    <t>38010430</t>
  </si>
  <si>
    <t>RPd057|531190</t>
  </si>
  <si>
    <t>Specjalista ds. akustyki</t>
  </si>
  <si>
    <t>https://www.praca.pl/specjalista-ds-akustyki_6975990.html</t>
  </si>
  <si>
    <t>2498484</t>
  </si>
  <si>
    <t>38010454</t>
  </si>
  <si>
    <t>https://www.praca.pl/specjalista-ds-bhp_6975033.html</t>
  </si>
  <si>
    <t>2498531</t>
  </si>
  <si>
    <t>38010501</t>
  </si>
  <si>
    <t>Projektanci Kariery</t>
  </si>
  <si>
    <t>Specjalista ds. rekrutacji z j. ukraińskim</t>
  </si>
  <si>
    <t>https://gratka.pl/praca/specjalista-ds-rekrutacji-z-j-ukrainskim/ob/26131747?utm_source=zielonalinia.pl&amp;utm_medium=zielonalinia&amp;utm_campaign=export_xml</t>
  </si>
  <si>
    <t>11.05.2022 03:15</t>
  </si>
  <si>
    <t>10.06.2022</t>
  </si>
  <si>
    <t>2498765</t>
  </si>
  <si>
    <t>38039383</t>
  </si>
  <si>
    <t>Koordynator pracowników</t>
  </si>
  <si>
    <t>https://gratka.pl/praca/koordynator-pracownikow/ob/26131955?utm_source=zielonalinia.pl&amp;utm_medium=zielonalinia&amp;utm_campaign=export_xml</t>
  </si>
  <si>
    <t>2498783</t>
  </si>
  <si>
    <t>38039403</t>
  </si>
  <si>
    <t>11.05.2022 03:30</t>
  </si>
  <si>
    <t>2498834</t>
  </si>
  <si>
    <t>38049801</t>
  </si>
  <si>
    <t>09.05.2022</t>
  </si>
  <si>
    <t>2498861</t>
  </si>
  <si>
    <t>38049828</t>
  </si>
  <si>
    <t>Operator / Operatorka</t>
  </si>
  <si>
    <t>https://www.goldenline.pl/praca/oferta/1302318/zielonalinia0?utm_brand=goldenline&amp;utm_source=zielonalinia0&amp;gpid=1012444&amp;utm_channel=free&amp;utm_medium=oferta&amp;utm_department=marketing</t>
  </si>
  <si>
    <t>06.05.2022</t>
  </si>
  <si>
    <t>03.06.2022</t>
  </si>
  <si>
    <t>2498964</t>
  </si>
  <si>
    <t>38049931</t>
  </si>
  <si>
    <t>2499000</t>
  </si>
  <si>
    <t>38049967</t>
  </si>
  <si>
    <t>2499027</t>
  </si>
  <si>
    <t>38049994</t>
  </si>
  <si>
    <t>2499058</t>
  </si>
  <si>
    <t>38050025</t>
  </si>
  <si>
    <t>Polska, podlaskie, Przemyśl</t>
  </si>
  <si>
    <t>https://www.goldenline.pl/praca/oferta/1302168/zielonalinia0?utm_brand=goldenline&amp;utm_source=zielonalinia0&amp;gpid=1012284&amp;utm_channel=free&amp;utm_medium=oferta&amp;utm_department=marketing</t>
  </si>
  <si>
    <t>2499075</t>
  </si>
  <si>
    <t>38050042</t>
  </si>
  <si>
    <t>2236</t>
  </si>
  <si>
    <t>2499261</t>
  </si>
  <si>
    <t>38050228</t>
  </si>
  <si>
    <t>https://www.goldenline.pl/praca/oferta/1302314/zielonalinia0?utm_brand=goldenline&amp;utm_source=zielonalinia0&amp;gpid=1012438&amp;utm_channel=free&amp;utm_medium=oferta&amp;utm_department=marketing</t>
  </si>
  <si>
    <t>2499332</t>
  </si>
  <si>
    <t>38050299</t>
  </si>
  <si>
    <t>2499351</t>
  </si>
  <si>
    <t>38050318</t>
  </si>
  <si>
    <t>https://www.goldenline.pl/praca/oferta/1302406/zielonalinia0?utm_brand=goldenline&amp;utm_source=zielonalinia0&amp;gpid=1012544&amp;utm_channel=free&amp;utm_medium=oferta&amp;utm_department=marketing</t>
  </si>
  <si>
    <t>07.06.2022</t>
  </si>
  <si>
    <t>2499369</t>
  </si>
  <si>
    <t>38050336</t>
  </si>
  <si>
    <t>2499390</t>
  </si>
  <si>
    <t>38050357</t>
  </si>
  <si>
    <t>IT Architect (F/M)</t>
  </si>
  <si>
    <t>https://www.pracuj.pl/praca/it-architect-f-m-podkarpackie,oferta,9063933</t>
  </si>
  <si>
    <t>11.05.2022 03:40</t>
  </si>
  <si>
    <t>08.06.2022</t>
  </si>
  <si>
    <t>2499424</t>
  </si>
  <si>
    <t>38050504</t>
  </si>
  <si>
    <t>https://www.pracuj.pl/praca/magazynier-podkarpackie,oferta,9063867</t>
  </si>
  <si>
    <t>2499427</t>
  </si>
  <si>
    <t>38050507</t>
  </si>
  <si>
    <t>Keywords Studios</t>
  </si>
  <si>
    <t>French Speaking Customer Service Representative</t>
  </si>
  <si>
    <t>https://www.pracuj.pl/praca/french-speaking-customer-service-representative-subcarpathia,oferta,9064104</t>
  </si>
  <si>
    <t>2499445</t>
  </si>
  <si>
    <t>38050525</t>
  </si>
  <si>
    <t>Mosca Direct Poland Sp. z o.o.</t>
  </si>
  <si>
    <t>Technik Automatyk - Inżynier Automatyk</t>
  </si>
  <si>
    <t>https://www.pracuj.pl/praca/technik-automatyk-inzynier-automatyk-podkarpackie,oferta,9064238</t>
  </si>
  <si>
    <t>24.06.2022</t>
  </si>
  <si>
    <t>2499466</t>
  </si>
  <si>
    <t>38050546</t>
  </si>
  <si>
    <t>https://www.pracuj.pl/praca/technik-serwisu-podkarpackie,oferta,9064214</t>
  </si>
  <si>
    <t>2499486</t>
  </si>
  <si>
    <t>38050566</t>
  </si>
  <si>
    <t>Infakt sp. z o.o.</t>
  </si>
  <si>
    <t>Communication Specialist</t>
  </si>
  <si>
    <t>https://www.pracuj.pl/praca/communication-specialist-podkarpackie,oferta,9063633</t>
  </si>
  <si>
    <t>2499493</t>
  </si>
  <si>
    <t>38050573</t>
  </si>
  <si>
    <t>Softjourn Polska Sp. z o.o.</t>
  </si>
  <si>
    <t>HR Administrative Assistant</t>
  </si>
  <si>
    <t>https://www.pracuj.pl/praca/hr-administrative-assistant-subcarpathia,oferta,9063381</t>
  </si>
  <si>
    <t>2499534</t>
  </si>
  <si>
    <t>38050614</t>
  </si>
  <si>
    <t>e-MSI Sp. z o.o.</t>
  </si>
  <si>
    <t>Młodszy Wdrożeniowiec - Programista Systemu Low Code</t>
  </si>
  <si>
    <t>https://www.pracuj.pl/praca/mlodszy-wdrozeniowiec-programista-systemu-low-code-podkarpackie,oferta,9063536</t>
  </si>
  <si>
    <t>2499568</t>
  </si>
  <si>
    <t>38050648</t>
  </si>
  <si>
    <t>TRUSTED SHOPS POLAND SP. Z O.O.</t>
  </si>
  <si>
    <t>Specjalista ds. sprzedaży telefonicznej B2B /  branża e-commerce</t>
  </si>
  <si>
    <t>https://www.pracuj.pl/praca/specjalista-ds-sprzedazy-telefonicznej-b2b-branza-e-commerce-podkarpackie,oferta,9063414</t>
  </si>
  <si>
    <t>2499643</t>
  </si>
  <si>
    <t>38050723</t>
  </si>
  <si>
    <t>ST Integration &amp; Robotics GmbH</t>
  </si>
  <si>
    <t>Mechanic for automation technology (m/f/x)</t>
  </si>
  <si>
    <t>https://www.pracuj.pl/praca/mechanic-for-automation-technology-m-f-x-subcarpathia,oferta,9063780</t>
  </si>
  <si>
    <t>2499680</t>
  </si>
  <si>
    <t>38050760</t>
  </si>
  <si>
    <t>PTP/OTC Accountant with English or French or German</t>
  </si>
  <si>
    <t>https://www.pracuj.pl/praca/ptp-otc-accountant-with-english-or-french-or-german-rzeszow,oferta,1001783351</t>
  </si>
  <si>
    <t>2499685</t>
  </si>
  <si>
    <t>38050765</t>
  </si>
  <si>
    <t>Projektant Rowerów</t>
  </si>
  <si>
    <t>https://www.pracuj.pl/praca/projektant-rowerow-podgrodzie-pow-debicki,oferta,1001783369</t>
  </si>
  <si>
    <t>2499700</t>
  </si>
  <si>
    <t>38050780</t>
  </si>
  <si>
    <t>Middle Java Developer</t>
  </si>
  <si>
    <t>https://www.pracuj.pl/praca/middle-java-developer-podkarpackie,oferta,9063319</t>
  </si>
  <si>
    <t>2499701</t>
  </si>
  <si>
    <t>38050781</t>
  </si>
  <si>
    <t>Specjalista SEM/PPC</t>
  </si>
  <si>
    <t>https://www.pracuj.pl/praca/specjalista-sem-ppc-podkarpackie,oferta,9063024</t>
  </si>
  <si>
    <t>2499704</t>
  </si>
  <si>
    <t>38050784</t>
  </si>
  <si>
    <t>WMC PV SPÓŁKA Z OGRANICZONĄ ODPOWIEDZIALNOŚCIĄ</t>
  </si>
  <si>
    <t>https://www.pracuj.pl/praca/dyrektor-finansowy-podkarpackie,oferta,9062999</t>
  </si>
  <si>
    <t>2499731</t>
  </si>
  <si>
    <t>38050811</t>
  </si>
  <si>
    <t>Fuel Retail Business Consultant/Analyst (CN)</t>
  </si>
  <si>
    <t>Sprzedawca w stacji paliw</t>
  </si>
  <si>
    <t>https://www.pracuj.pl/praca/fuel-retail-business-consultant-analyst-cn-subcarpathia,oferta,9063580</t>
  </si>
  <si>
    <t>2499734</t>
  </si>
  <si>
    <t>38050814</t>
  </si>
  <si>
    <t>RPd057|524502</t>
  </si>
  <si>
    <t>Aristo Pharma Spółka z ograniczoną odpowiedzialnością</t>
  </si>
  <si>
    <t>Telemarketer/ka</t>
  </si>
  <si>
    <t>https://www.pracuj.pl/praca/telemarketer-ka-podkarpackie,oferta,9063167</t>
  </si>
  <si>
    <t>2499754</t>
  </si>
  <si>
    <t>38050834</t>
  </si>
  <si>
    <t>Młodsza Administratorka/ Młodszy Administrator Systemu ERP</t>
  </si>
  <si>
    <t>https://www.pracuj.pl/praca/mlodsza-administratorka-mlodszy-administrator-systemu-erp-podkarpackie,oferta,9063151</t>
  </si>
  <si>
    <t>2499776</t>
  </si>
  <si>
    <t>38050856</t>
  </si>
  <si>
    <t>Technolog Betonu-Doradca Handlowy</t>
  </si>
  <si>
    <t>https://www.pracuj.pl/praca/technolog-betonu-doradca-handlowy-podkarpackie,oferta,9063561</t>
  </si>
  <si>
    <t>2499782</t>
  </si>
  <si>
    <t>38050862</t>
  </si>
  <si>
    <t>https://www.pracuj.pl/praca/solutions-architect-subcarpathia,oferta,9063053</t>
  </si>
  <si>
    <t>2499785</t>
  </si>
  <si>
    <t>38050865</t>
  </si>
  <si>
    <t>Konkret Spółka z ograniczoną odpowiedzialnością Spółka komandytowa</t>
  </si>
  <si>
    <t>Przedstawiciel / Konsultant Handlowy</t>
  </si>
  <si>
    <t>https://www.pracuj.pl/praca/przedstawiciel-konsultant-handlowy-podkarpackie,oferta,9062822</t>
  </si>
  <si>
    <t>2499804</t>
  </si>
  <si>
    <t>38050884</t>
  </si>
  <si>
    <t>Asystent ds. Księgowości z j. francuskim (dział P2P)</t>
  </si>
  <si>
    <t>https://www.pracuj.pl/praca/asystent-ds-ksiegowosci-z-j-francuskim-dzial-p2p-podkarpackie,oferta,9063496</t>
  </si>
  <si>
    <t>2499814</t>
  </si>
  <si>
    <t>38050894</t>
  </si>
  <si>
    <t>Energy Trading Consultant/Manager (CN)</t>
  </si>
  <si>
    <t>Zarządca energią</t>
  </si>
  <si>
    <t>https://www.pracuj.pl/praca/energy-trading-consultant-manager-cn-subcarpathia,oferta,9062797</t>
  </si>
  <si>
    <t>2499818</t>
  </si>
  <si>
    <t>38050898</t>
  </si>
  <si>
    <t>RPd057|214933</t>
  </si>
  <si>
    <t>Księgowy/Księgowa inFakt KPIR</t>
  </si>
  <si>
    <t>https://www.pracuj.pl/praca/ksiegowy-ksiegowa-infakt-kpir-boguchwala,oferta,9062951</t>
  </si>
  <si>
    <t>23.06.2022</t>
  </si>
  <si>
    <t>2499844</t>
  </si>
  <si>
    <t>38050924</t>
  </si>
  <si>
    <t>Senior UI Designer</t>
  </si>
  <si>
    <t>https://www.pracuj.pl/praca/senior-ui-designer-podkarpackie,oferta,9062740</t>
  </si>
  <si>
    <t>2499845</t>
  </si>
  <si>
    <t>38050925</t>
  </si>
  <si>
    <t>Stażysta/ka w Sekcji Laboratorium R&amp;D w obszarze badań funkcjonalnych</t>
  </si>
  <si>
    <t>https://www.pracuj.pl/praca/stazysta-ka-w-sekcji-laboratorium-r-d-w-obszarze-badan-funkcjonalnych-rzeszow,oferta,1001783548</t>
  </si>
  <si>
    <t>2499865</t>
  </si>
  <si>
    <t>38050945</t>
  </si>
  <si>
    <t>Apptension sp. z o.o.</t>
  </si>
  <si>
    <t>Junior Frontend Developer</t>
  </si>
  <si>
    <t>https://www.pracuj.pl/praca/junior-frontend-developer-subcarpathia,oferta,9062486</t>
  </si>
  <si>
    <t>2499887</t>
  </si>
  <si>
    <t>38050967</t>
  </si>
  <si>
    <t>Pracownik Produkcji (elektromobilność)</t>
  </si>
  <si>
    <t>https://www.pracuj.pl/praca/pracownik-produkcji-elektromobilnosc-podkarpackie,oferta,9062555</t>
  </si>
  <si>
    <t>2499898</t>
  </si>
  <si>
    <t>38050978</t>
  </si>
  <si>
    <t>Management Consultant – Utilities (CN)</t>
  </si>
  <si>
    <t>https://www.pracuj.pl/praca/management-consultant-utilities-cn-subcarpathia,oferta,9062768</t>
  </si>
  <si>
    <t>2499929</t>
  </si>
  <si>
    <t>38051009</t>
  </si>
  <si>
    <t>Manpower</t>
  </si>
  <si>
    <t>Service Desk Agent with German (remote)</t>
  </si>
  <si>
    <t>https://www.pracuj.pl/praca/service-desk-agent-with-german-remote-debica,oferta,9062370</t>
  </si>
  <si>
    <t>2499950</t>
  </si>
  <si>
    <t>38051030</t>
  </si>
  <si>
    <t>Management Trainee - Program Menadżerski dla studentów i absolwentów</t>
  </si>
  <si>
    <t>https://www.pracuj.pl/praca/management-trainee-program-menadzerski-dla-studentow-i-absolwentow-podkarpackie,oferta,9062322</t>
  </si>
  <si>
    <t>2499965</t>
  </si>
  <si>
    <t>38051045</t>
  </si>
  <si>
    <t>DRAKOS LOGISTICS sp. z o.o.</t>
  </si>
  <si>
    <t>https://www.pracuj.pl/praca/kierowca-kat-b-podkarpackie,oferta,9063309</t>
  </si>
  <si>
    <t>2499971</t>
  </si>
  <si>
    <t>38051051</t>
  </si>
  <si>
    <t>SUN INVESTMENT DEVELOPMENT PL Sp. z o.o.</t>
  </si>
  <si>
    <t>Land Scout - Specjalista ds. Pozyskiwania Nieruchomości</t>
  </si>
  <si>
    <t>https://www.pracuj.pl/praca/land-scout-specjalista-ds-pozyskiwania-nieruchomosci-podkarpackie,oferta,9062263</t>
  </si>
  <si>
    <t>2499986</t>
  </si>
  <si>
    <t>38051066</t>
  </si>
  <si>
    <t>Sidnet Solutions sp. z o. o.</t>
  </si>
  <si>
    <t>https://www.pracuj.pl/praca/php-developer-subcarpathia,oferta,9062135</t>
  </si>
  <si>
    <t>2500036</t>
  </si>
  <si>
    <t>38051116</t>
  </si>
  <si>
    <t>Hyundai Engineering Poland-Tecnicas Reunidas</t>
  </si>
  <si>
    <t>Inspektor w branży budownictwa i konstrukcji stalowych</t>
  </si>
  <si>
    <t>https://www.pracuj.pl/praca/inspektor-w-branzy-budownictwa-i-konstrukcji-stalowych-podkarpackie,oferta,9062086</t>
  </si>
  <si>
    <t>2500059</t>
  </si>
  <si>
    <t>38051139</t>
  </si>
  <si>
    <t>Frontend Developer with React</t>
  </si>
  <si>
    <t>https://www.pracuj.pl/praca/frontend-developer-with-react-subcarpathia,oferta,9061937</t>
  </si>
  <si>
    <t>2500091</t>
  </si>
  <si>
    <t>38051171</t>
  </si>
  <si>
    <t>Cross Finance Sp. z o.o.</t>
  </si>
  <si>
    <t>Specjalista Windykacji Telefonicznej</t>
  </si>
  <si>
    <t>https://www.pracuj.pl/praca/specjalista-windykacji-telefonicznej-podkarpackie,oferta,9062038</t>
  </si>
  <si>
    <t>2500097</t>
  </si>
  <si>
    <t>38051177</t>
  </si>
  <si>
    <t>Nokia</t>
  </si>
  <si>
    <t>UTF Security Specialist</t>
  </si>
  <si>
    <t>https://www.pracuj.pl/praca/utf-security-specialist-subcarpathia,oferta,9061919</t>
  </si>
  <si>
    <t>2500105</t>
  </si>
  <si>
    <t>38051185</t>
  </si>
  <si>
    <t>Ingka Business Service Center sp. z o.o.</t>
  </si>
  <si>
    <t>SSC Mobility Pay The Co-worker Coordinator</t>
  </si>
  <si>
    <t>Doradca emerytalny</t>
  </si>
  <si>
    <t>https://www.pracuj.pl/praca/ssc-mobility-pay-the-co-worker-coordinator-subcarpathia,oferta,9061846</t>
  </si>
  <si>
    <t>2500109</t>
  </si>
  <si>
    <t>38051189</t>
  </si>
  <si>
    <t>RPd057|241201</t>
  </si>
  <si>
    <t>GetResponse</t>
  </si>
  <si>
    <t>https://www.pracuj.pl/praca/front-end-developer-subcarpathia,oferta,9061810</t>
  </si>
  <si>
    <t>2500119</t>
  </si>
  <si>
    <t>38051199</t>
  </si>
  <si>
    <t>ROLDROB S.A.</t>
  </si>
  <si>
    <t>https://www.pracuj.pl/praca/regionalny-przedstawiciel-handlowy-podkarpackie,oferta,9062201</t>
  </si>
  <si>
    <t>2500139</t>
  </si>
  <si>
    <t>38051219</t>
  </si>
  <si>
    <t>Kwadrat Polska Spółka z ograniczoną odpowiedzialnością sp.k.</t>
  </si>
  <si>
    <t>Asystent Architekta</t>
  </si>
  <si>
    <t>https://www.pracuj.pl/praca/asystent-architekta-rzeszow,oferta,1001783508</t>
  </si>
  <si>
    <t>2500158</t>
  </si>
  <si>
    <t>38051238</t>
  </si>
  <si>
    <t>SOFTKRAFT SPÓŁKA Z OGRANICZONĄ ODPOWIEDZIALNOŚCIĄ</t>
  </si>
  <si>
    <t>React Developer</t>
  </si>
  <si>
    <t>https://www.pracuj.pl/praca/react-developer-subcarpathia,oferta,9061335</t>
  </si>
  <si>
    <t>2500232</t>
  </si>
  <si>
    <t>38051312</t>
  </si>
  <si>
    <t>Merida Sp. z o.o.</t>
  </si>
  <si>
    <t>Magazynier- Kierowca</t>
  </si>
  <si>
    <t>https://www.pracuj.pl/praca/magazynier-kierowca-rzeszow,oferta,1001783956</t>
  </si>
  <si>
    <t>2500238</t>
  </si>
  <si>
    <t>38051318</t>
  </si>
  <si>
    <t>Specjalista/ka Logistyki z językiem duńskim</t>
  </si>
  <si>
    <t>https://www.pracuj.pl/praca/specjalista-ka-logistyki-z-jezykiem-dunskim-subcarpathia,oferta,9061110</t>
  </si>
  <si>
    <t>2500286</t>
  </si>
  <si>
    <t>38051366</t>
  </si>
  <si>
    <t>Benefit Systems S.A.</t>
  </si>
  <si>
    <t>https://www.pracuj.pl/praca/frontend-developer-podkarpackie,oferta,9061600</t>
  </si>
  <si>
    <t>2500326</t>
  </si>
  <si>
    <t>38051406</t>
  </si>
  <si>
    <t>Business Intelligence Specialist</t>
  </si>
  <si>
    <t>https://www.pracuj.pl/praca/business-intelligence-specialist-podkarpackie,oferta,9061765</t>
  </si>
  <si>
    <t>2500351</t>
  </si>
  <si>
    <t>38051431</t>
  </si>
  <si>
    <t>Voltarsystem</t>
  </si>
  <si>
    <t>https://www.pracuj.pl/praca/inzynier-budowy-podkarpackie,oferta,9062642</t>
  </si>
  <si>
    <t>2500366</t>
  </si>
  <si>
    <t>38051446</t>
  </si>
  <si>
    <t>https://www.pracuj.pl/praca/redaktor-opracowan-naukowych-podkarpackie,oferta,9061477</t>
  </si>
  <si>
    <t>2500411</t>
  </si>
  <si>
    <t>38051491</t>
  </si>
  <si>
    <t>https://www.pracuj.pl/praca/senior-business-analyst-subcarpathia,oferta,9061379</t>
  </si>
  <si>
    <t>2500468</t>
  </si>
  <si>
    <t>38051548</t>
  </si>
  <si>
    <t>Inżynier Sieciowy / Інженер комп’ютерних мереж</t>
  </si>
  <si>
    <t>https://www.pracuj.pl/praca/inzynier-sieciowy-%d0%86%d0%bd%d0%b6%d0%b5%d0%bd%d0%b5%d1%80-zaczernie-pow-rzeszowski,oferta,1001784199</t>
  </si>
  <si>
    <t>2500486</t>
  </si>
  <si>
    <t>38051566</t>
  </si>
  <si>
    <t>PA/PY Junior Specialist with Spanish</t>
  </si>
  <si>
    <t>https://www.pracuj.pl/praca/pa-py-junior-specialist-with-spanish-podkarpackie,oferta,9061077</t>
  </si>
  <si>
    <t>2500516</t>
  </si>
  <si>
    <t>38051596</t>
  </si>
  <si>
    <t>Pakersi</t>
  </si>
  <si>
    <t>Właściciel Punktu Kurierskiego</t>
  </si>
  <si>
    <t>https://www.pracuj.pl/praca/wlasciciel-punktu-kurierskiego-rzeszow,oferta,1001783189</t>
  </si>
  <si>
    <t>2500568</t>
  </si>
  <si>
    <t>38051648</t>
  </si>
  <si>
    <t>https://www.pracuj.pl/praca/junior-net-developer-podkarpackie,oferta,9060929</t>
  </si>
  <si>
    <t>2500581</t>
  </si>
  <si>
    <t>38051661</t>
  </si>
  <si>
    <t>Programista .NET / SQL</t>
  </si>
  <si>
    <t>https://www.pracuj.pl/praca/programista-net-sql-podkarpackie,oferta,9063831</t>
  </si>
  <si>
    <t>2500613</t>
  </si>
  <si>
    <t>38051693</t>
  </si>
  <si>
    <t>INTER Sp. z o.o.</t>
  </si>
  <si>
    <t>Kierowca autobusu - kat. D</t>
  </si>
  <si>
    <t>https://www.pracuj.pl/praca/kierowca-autobusu-kat-d-podkarpackie,oferta,9062157</t>
  </si>
  <si>
    <t>2500620</t>
  </si>
  <si>
    <t>38051700</t>
  </si>
  <si>
    <t>Rhenus Freight Logistics Sp. z o.o.</t>
  </si>
  <si>
    <t>Młodszy Spedytor Międzynarodowy</t>
  </si>
  <si>
    <t>https://www.pracuj.pl/praca/mlodszy-spedytor-miedzynarodowy-mielec,oferta,1001783257</t>
  </si>
  <si>
    <t>2500696</t>
  </si>
  <si>
    <t>38051776</t>
  </si>
  <si>
    <t>Konsultant Professionals</t>
  </si>
  <si>
    <t>https://www.pracuj.pl/praca/konsultant-professionals-rzeszow,oferta,1001783101</t>
  </si>
  <si>
    <t>2500699</t>
  </si>
  <si>
    <t>38051779</t>
  </si>
  <si>
    <t>Partner franczyzowy</t>
  </si>
  <si>
    <t>https://www.pracuj.pl/praca/partner-franczyzowy-mielec,oferta,1001783147</t>
  </si>
  <si>
    <t>2500714</t>
  </si>
  <si>
    <t>38051794</t>
  </si>
  <si>
    <t>Senior C#/.NET Software Developer</t>
  </si>
  <si>
    <t>https://www.pracuj.pl/praca/senior-c%23-net-software-developer-subcarpathia,oferta,9061958</t>
  </si>
  <si>
    <t>2500745</t>
  </si>
  <si>
    <t>38051825</t>
  </si>
  <si>
    <t>Młodszy Kontroler Finansowy (obszar produkcji)</t>
  </si>
  <si>
    <t>https://www.pracuj.pl/praca/mlodszy-kontroler-finansowy-obszar-produkcji-jaroslaw,oferta,1001784484</t>
  </si>
  <si>
    <t>2500748</t>
  </si>
  <si>
    <t>38051828</t>
  </si>
  <si>
    <t>https://www.pracuj.pl/praca/partner-franczyzowy-stalowa-wola,oferta,1001783149</t>
  </si>
  <si>
    <t>2500764</t>
  </si>
  <si>
    <t>38051844</t>
  </si>
  <si>
    <t>https://www.pracuj.pl/praca/przedstawiciel-handlowy-ds-hurtu-i-detalu-lubaczow,oferta,1001784527</t>
  </si>
  <si>
    <t>2500777</t>
  </si>
  <si>
    <t>38051857</t>
  </si>
  <si>
    <t>https://www.pracuj.pl/praca/partner-franczyzowy-przemysl,oferta,1001783151</t>
  </si>
  <si>
    <t>2500783</t>
  </si>
  <si>
    <t>38051863</t>
  </si>
  <si>
    <t>Ruby Developer</t>
  </si>
  <si>
    <t>https://www.pracuj.pl/praca/ruby-developer-rzeszow,oferta,1001784541</t>
  </si>
  <si>
    <t>2500786</t>
  </si>
  <si>
    <t>38051866</t>
  </si>
  <si>
    <t>Dohmeyer Construction Sp. z o.o.</t>
  </si>
  <si>
    <t>https://www.pracuj.pl/praca/automatyk-programista-plc-mielec,oferta,1001784608</t>
  </si>
  <si>
    <t>2500856</t>
  </si>
  <si>
    <t>38051936</t>
  </si>
  <si>
    <t>https://www.pracuj.pl/praca/spedytor-krajowy-miedzynarodowy-rzeszow,oferta,1001784650</t>
  </si>
  <si>
    <t>2500908</t>
  </si>
  <si>
    <t>38051988</t>
  </si>
  <si>
    <t>https://www.pracuj.pl/praca/php-developer-podkarpackie,oferta,9061572</t>
  </si>
  <si>
    <t>2500919</t>
  </si>
  <si>
    <t>38051999</t>
  </si>
  <si>
    <t>Tack! and OIB Administrator</t>
  </si>
  <si>
    <t>https://www.pracuj.pl/praca/tack-and-oib-administrator-subcarpathia,oferta,9061556</t>
  </si>
  <si>
    <t>2500944</t>
  </si>
  <si>
    <t>38052024</t>
  </si>
  <si>
    <t>https://www.pracuj.pl/praca/mechanik-wydzialowy-rzeszow,oferta,1001783379</t>
  </si>
  <si>
    <t>2500960</t>
  </si>
  <si>
    <t>38052040</t>
  </si>
  <si>
    <t>https://www.pracuj.pl/praca/kierownik-marketu-krosno,oferta,1001784721</t>
  </si>
  <si>
    <t>2500968</t>
  </si>
  <si>
    <t>38052048</t>
  </si>
  <si>
    <t>https://www.pracuj.pl/praca/kierownik-marketu-lezajsk,oferta,1001784722</t>
  </si>
  <si>
    <t>2500969</t>
  </si>
  <si>
    <t>38052049</t>
  </si>
  <si>
    <t>https://www.pracuj.pl/praca/kierownik-marketu-sanok,oferta,1001784739</t>
  </si>
  <si>
    <t>2500976</t>
  </si>
  <si>
    <t>38052056</t>
  </si>
  <si>
    <t>BELMEB Spółka z ograniczoną odpowiedzialnością</t>
  </si>
  <si>
    <t>Sprzedawca - Magazynier</t>
  </si>
  <si>
    <t>https://www.pracuj.pl/praca/sprzedawca-magazynier-mielec,oferta,1001783335</t>
  </si>
  <si>
    <t>2500978</t>
  </si>
  <si>
    <t>38052058</t>
  </si>
  <si>
    <t>https://www.pracuj.pl/praca/kierownik-marketu-jaslo,oferta,1001784716</t>
  </si>
  <si>
    <t>2500983</t>
  </si>
  <si>
    <t>38052063</t>
  </si>
  <si>
    <t>https://www.pracuj.pl/praca/kierownik-marketu-lancut,oferta,1001784725</t>
  </si>
  <si>
    <t>2500985</t>
  </si>
  <si>
    <t>38052065</t>
  </si>
  <si>
    <t>https://www.pracuj.pl/praca/kierownik-marketu-przeworsk,oferta,1001784734</t>
  </si>
  <si>
    <t>2500987</t>
  </si>
  <si>
    <t>38052067</t>
  </si>
  <si>
    <t>https://www.pracuj.pl/praca/kierownik-marketu-mielec,oferta,1001784758</t>
  </si>
  <si>
    <t>2501003</t>
  </si>
  <si>
    <t>38052083</t>
  </si>
  <si>
    <t>https://www.pracuj.pl/praca/kierownik-marketu-tarnobrzeg,oferta,1001784743</t>
  </si>
  <si>
    <t>2501006</t>
  </si>
  <si>
    <t>38052086</t>
  </si>
  <si>
    <t>Working Student, Customs Clearance</t>
  </si>
  <si>
    <t>https://www.pracuj.pl/praca/working-student-customs-clearance-subcarpathia,oferta,9061440</t>
  </si>
  <si>
    <t>2501026</t>
  </si>
  <si>
    <t>38052106</t>
  </si>
  <si>
    <t>Business Analyst with German</t>
  </si>
  <si>
    <t>https://www.pracuj.pl/praca/business-analyst-with-german-subcarpathia,oferta,9061357</t>
  </si>
  <si>
    <t>2501038</t>
  </si>
  <si>
    <t>38052118</t>
  </si>
  <si>
    <t>WOLT POLSKA sp. z o.o.</t>
  </si>
  <si>
    <t>Pracownik centrum elektronicznej obsługi klienta</t>
  </si>
  <si>
    <t>https://www.pracuj.pl/praca/mlodszy-specjalista-ds-obslugi-klienta-debica,oferta,9061003</t>
  </si>
  <si>
    <t>2501093</t>
  </si>
  <si>
    <t>38052173</t>
  </si>
  <si>
    <t>1803,1861,1811,1862,1863,1818,1864</t>
  </si>
  <si>
    <t>RPd057|332202</t>
  </si>
  <si>
    <t>7</t>
  </si>
  <si>
    <t>Specjalista ds. Modelowania Ryzyka Kredytowego</t>
  </si>
  <si>
    <t>https://www.pracuj.pl/praca/specjalista-ds-modelowania-ryzyka-kredytowego-podkarpackie,oferta,9060972</t>
  </si>
  <si>
    <t>2501098</t>
  </si>
  <si>
    <t>38052178</t>
  </si>
  <si>
    <t>https://www.pracuj.pl/praca/przedstawiciel-handlowy-ds-hurtu-i-detalu-przemysl,oferta,1001784528</t>
  </si>
  <si>
    <t>2501100</t>
  </si>
  <si>
    <t>38052180</t>
  </si>
  <si>
    <t>ELIT Polska sp. z o.o.</t>
  </si>
  <si>
    <t>Demand &amp; Inventory Planner</t>
  </si>
  <si>
    <t>https://www.pracuj.pl/praca/demand-inventory-planner-debica,oferta,1001783467</t>
  </si>
  <si>
    <t>2501134</t>
  </si>
  <si>
    <t>38052214</t>
  </si>
  <si>
    <t>Manager in Chemicals (CN)</t>
  </si>
  <si>
    <t>https://www.pracuj.pl/praca/manager-in-chemicals-cn-subcarpathia,oferta,9060904</t>
  </si>
  <si>
    <t>2501153</t>
  </si>
  <si>
    <t>38052233</t>
  </si>
  <si>
    <t>Tax Reporting Manager</t>
  </si>
  <si>
    <t>https://www.pracuj.pl/praca/tax-reporting-manager-rzeszow,oferta,1001783621</t>
  </si>
  <si>
    <t>2501197</t>
  </si>
  <si>
    <t>38052277</t>
  </si>
  <si>
    <t>Stażysta/ka w Dziale Kadr</t>
  </si>
  <si>
    <t>https://www.pracuj.pl/praca/stazysta-ka-w-dziale-kadr-rzeszow,oferta,1001783500</t>
  </si>
  <si>
    <t>2501231</t>
  </si>
  <si>
    <t>38052311</t>
  </si>
  <si>
    <t>https://www.pracuj.pl/praca/kierownik-marketu-debica,oferta,1001784712</t>
  </si>
  <si>
    <t>2501254</t>
  </si>
  <si>
    <t>38052334</t>
  </si>
  <si>
    <t>https://www.pracuj.pl/praca/kierownik-marketu-jaroslaw,oferta,1001784715</t>
  </si>
  <si>
    <t>2501257</t>
  </si>
  <si>
    <t>38052337</t>
  </si>
  <si>
    <t>https://www.pracuj.pl/praca/kierownik-marketu-nowa-deba,oferta,1001784728</t>
  </si>
  <si>
    <t>2501258</t>
  </si>
  <si>
    <t>38052338</t>
  </si>
  <si>
    <t>Manager Działu Operacyjnego (fracht morski i kolejowy)</t>
  </si>
  <si>
    <t>https://www.pracuj.pl/praca/manager-dzialu-operacyjnego-fracht-morski-i-kolejowy-rzeszow,oferta,1001784862</t>
  </si>
  <si>
    <t>2501374</t>
  </si>
  <si>
    <t>38052454</t>
  </si>
  <si>
    <t>Konstruktor w Dziale Rozwoju</t>
  </si>
  <si>
    <t>https://www.pracuj.pl/praca/konstruktor-w-dziale-rozwoju-glogow-malopolski,oferta,1001783732</t>
  </si>
  <si>
    <t>2501395</t>
  </si>
  <si>
    <t>38052475</t>
  </si>
  <si>
    <t>Firma Usługowo-Budowlana "FRANKBUD" -Tomasz Grzesik</t>
  </si>
  <si>
    <t>Operator Koparki</t>
  </si>
  <si>
    <t>Polska, podkarpackie, Brzóza Stadnicka (pow. łańcucki)</t>
  </si>
  <si>
    <t>https://www.pracuj.pl/praca/operator-koparki-brzoza-stadnicka-pow-lancucki,oferta,1001783608</t>
  </si>
  <si>
    <t>2501396</t>
  </si>
  <si>
    <t>38052476</t>
  </si>
  <si>
    <t>https://www.pracuj.pl/praca/partner-franczyzowy-krosno,oferta,1001783159</t>
  </si>
  <si>
    <t>2501440</t>
  </si>
  <si>
    <t>38052520</t>
  </si>
  <si>
    <t>https://www.pracuj.pl/praca/partner-franczyzowy-tarnobrzeg,oferta,1001783160</t>
  </si>
  <si>
    <t>2501443</t>
  </si>
  <si>
    <t>38052523</t>
  </si>
  <si>
    <t>Tax Reporting Analyst</t>
  </si>
  <si>
    <t>https://www.pracuj.pl/praca/tax-reporting-analyst-rzeszow,oferta,1001783638</t>
  </si>
  <si>
    <t>2501458</t>
  </si>
  <si>
    <t>38052538</t>
  </si>
  <si>
    <t>https://www.pracuj.pl/praca/pracownik-ogolnobudowlany-brzoza-stadnicka-pow-lancucki,oferta,1001783735</t>
  </si>
  <si>
    <t>2501482</t>
  </si>
  <si>
    <t>38052562</t>
  </si>
  <si>
    <t>Pracownik obsługi urządzeń kuźniczych</t>
  </si>
  <si>
    <t>Operator pras kuźniczych</t>
  </si>
  <si>
    <t>https://www.pracuj.pl/praca/pracownik-obslugi-urzadzen-kuzniczych-stalowa-wola,oferta,1001785015</t>
  </si>
  <si>
    <t>2501515</t>
  </si>
  <si>
    <t>38052595</t>
  </si>
  <si>
    <t>RPd057|722103</t>
  </si>
  <si>
    <t>Business Intelligence Tableau Developer - 100% remote</t>
  </si>
  <si>
    <t>https://www.pracuj.pl/praca/business-intelligence-tableau-developer-100-remote-rzeszow,oferta,1001785133</t>
  </si>
  <si>
    <t>2501657</t>
  </si>
  <si>
    <t>38052737</t>
  </si>
  <si>
    <t>Koordynator Wdrażania Projektów Informatycznych w Łańcuchu Dostaw – staż</t>
  </si>
  <si>
    <t>https://www.pracuj.pl/praca/koordynator-wdrazania-projektow-informatycznych-w-lancuchu-dostaw-staz-rzeszow,oferta,1001785233</t>
  </si>
  <si>
    <t>2501747</t>
  </si>
  <si>
    <t>38052827</t>
  </si>
  <si>
    <t>PRZEDSIĘBIORSTWO WIELOBRANŻOWE "HENART" sp. z o.o.</t>
  </si>
  <si>
    <t>Pracownik do prac porządkowych</t>
  </si>
  <si>
    <t>Pracownik utrzymania czystości (sprzątaczka)</t>
  </si>
  <si>
    <t>Polska, podkarpackie, Żurawica (pow. przemyski)</t>
  </si>
  <si>
    <t>https://www.pracuj.pl/praca/pracownik-do-prac-porzadkowych-zurawica-pow-przemyski,oferta,1001784064</t>
  </si>
  <si>
    <t>2501759</t>
  </si>
  <si>
    <t>38052839</t>
  </si>
  <si>
    <t>1813</t>
  </si>
  <si>
    <t>https://www.pracuj.pl/praca/doradca-klienta-krosno,oferta,1001784088</t>
  </si>
  <si>
    <t>2501896</t>
  </si>
  <si>
    <t>38052976</t>
  </si>
  <si>
    <t>https://www.pracuj.pl/praca/doradca-klienta-przemysl,oferta,1001784102</t>
  </si>
  <si>
    <t>2501897</t>
  </si>
  <si>
    <t>38052977</t>
  </si>
  <si>
    <t>https://www.pracuj.pl/praca/doradca-klienta-rzeszow,oferta,1001784104</t>
  </si>
  <si>
    <t>2501901</t>
  </si>
  <si>
    <t>38052981</t>
  </si>
  <si>
    <t>https://www.pracuj.pl/praca/scrum-master-subcarpathia,oferta,9060692</t>
  </si>
  <si>
    <t>2501906</t>
  </si>
  <si>
    <t>38052986</t>
  </si>
  <si>
    <t>Starszy Konstruktor</t>
  </si>
  <si>
    <t>https://www.pracuj.pl/praca/starszy-konstruktor-mielec,oferta,1001785689</t>
  </si>
  <si>
    <t>2501920</t>
  </si>
  <si>
    <t>38053000</t>
  </si>
  <si>
    <t>https://www.pracuj.pl/praca/fullstack-developer-subcarpathia,oferta,9060615</t>
  </si>
  <si>
    <t>2501926</t>
  </si>
  <si>
    <t>38053006</t>
  </si>
  <si>
    <t>MPT POLAND sp. z o.o.</t>
  </si>
  <si>
    <t>Inżynier chemik</t>
  </si>
  <si>
    <t>https://www.pracuj.pl/praca/inzynier-chemik-mielec,oferta,1001785707</t>
  </si>
  <si>
    <t>2501940</t>
  </si>
  <si>
    <t>38053020</t>
  </si>
  <si>
    <t>Avis Budget Group</t>
  </si>
  <si>
    <t>Strategic Account Manager</t>
  </si>
  <si>
    <t>https://www.pracuj.pl/praca/strategic-account-manager-podkarpackie,oferta,9060267</t>
  </si>
  <si>
    <t>2501959</t>
  </si>
  <si>
    <t>38053039</t>
  </si>
  <si>
    <t>https://www.pracuj.pl/praca/pracownik-sklepu-etat-87h-lub-130h-stalowa-wola,oferta,1001785347</t>
  </si>
  <si>
    <t>23.05.2022</t>
  </si>
  <si>
    <t>2501964</t>
  </si>
  <si>
    <t>38053044</t>
  </si>
  <si>
    <t>Specjalista ds. Rozwoju Sieci Sprzedaży Agencyjnej</t>
  </si>
  <si>
    <t>https://www.pracuj.pl/praca/specjalista-ds-rozwoju-sieci-sprzedazy-agencyjnej-rzeszow,oferta,1001784138</t>
  </si>
  <si>
    <t>2501981</t>
  </si>
  <si>
    <t>38053061</t>
  </si>
  <si>
    <t>https://www.pracuj.pl/praca/it-support-agent-with-german-subcarpathia,oferta,9060083</t>
  </si>
  <si>
    <t>2501995</t>
  </si>
  <si>
    <t>38053075</t>
  </si>
  <si>
    <t>Technolog produkcji włókna światłowodowego / Технолог виробництва оптоволокна</t>
  </si>
  <si>
    <t>Technolog inżynierii telekomunikacyjnej</t>
  </si>
  <si>
    <t>https://www.pracuj.pl/praca/technolog-produkcji-wlokna-swiatlowodowego-zaczernie-pow-rzeszowski,oferta,1001784202</t>
  </si>
  <si>
    <t>2502024</t>
  </si>
  <si>
    <t>38053104</t>
  </si>
  <si>
    <t>RPd057|215302</t>
  </si>
  <si>
    <t>Production Control &amp; Logistics Supervisor  (PC&amp;L Supervisor) - BorgWarner Mobility</t>
  </si>
  <si>
    <t>https://www.pracuj.pl/praca/production-control-logistics-supervisor-pc-l-supervisor-borgwarner-mobility-jasionka-pow-rzeszowski,oferta,1001784182</t>
  </si>
  <si>
    <t>2502027</t>
  </si>
  <si>
    <t>38053107</t>
  </si>
  <si>
    <t>Młodszy Inżynier Napraw – staż</t>
  </si>
  <si>
    <t>https://www.pracuj.pl/praca/mlodszy-inzynier-napraw-staz-rzeszow,oferta,1001785823</t>
  </si>
  <si>
    <t>2502050</t>
  </si>
  <si>
    <t>38053130</t>
  </si>
  <si>
    <t>Kontroler jakości CMM</t>
  </si>
  <si>
    <t>https://www.pracuj.pl/praca/kontroler-jakosci-cmm-sedziszow-malopolski,oferta,1001784198</t>
  </si>
  <si>
    <t>2502063</t>
  </si>
  <si>
    <t>38053143</t>
  </si>
  <si>
    <t>https://www.pracuj.pl/praca/sprzedawca-rzeszow,oferta,1001785906</t>
  </si>
  <si>
    <t>2502102</t>
  </si>
  <si>
    <t>38053182</t>
  </si>
  <si>
    <t>Stażysta/ka w Dziale Technologii</t>
  </si>
  <si>
    <t>Technik przetwórstwa tworzyw sztucznych</t>
  </si>
  <si>
    <t>https://www.pracuj.pl/praca/stazysta-ka-w-dziale-technologii-glogow-malopolski,oferta,1001784225</t>
  </si>
  <si>
    <t>2502103</t>
  </si>
  <si>
    <t>38053183</t>
  </si>
  <si>
    <t>RPd057|311602</t>
  </si>
  <si>
    <t>Młodszy operator produkcji włókna światłowodowego / Молодший оператор виробництва оптоволокна</t>
  </si>
  <si>
    <t>https://www.pracuj.pl/praca/mlodszy-operator-produkcji-wlokna-swiatlowodowego-zaczernie-pow-rzeszowski,oferta,1001784208</t>
  </si>
  <si>
    <t>2502122</t>
  </si>
  <si>
    <t>38053202</t>
  </si>
  <si>
    <t>https://www.pracuj.pl/praca/power-platform-developer-rzeszow,oferta,1001784272</t>
  </si>
  <si>
    <t>2502123</t>
  </si>
  <si>
    <t>38053203</t>
  </si>
  <si>
    <t>EY (dawniej Ernst &amp; Young)</t>
  </si>
  <si>
    <t>Program Ambasadorski EY - Ambasador Poziom Wyżej</t>
  </si>
  <si>
    <t>https://www.pracuj.pl/praca/program-ambasadorski-ey-ambasador-poziom-wyzej-rzeszow,oferta,1001785919</t>
  </si>
  <si>
    <t>2502170</t>
  </si>
  <si>
    <t>38053250</t>
  </si>
  <si>
    <t>Manager in Natural Resources Industry Group (Metals, Mining, Forest Products, Building Materials) (CN)</t>
  </si>
  <si>
    <t>https://www.pracuj.pl/praca/manager-in-natural-resources-industry-group-metals-mining-forest-products-buildi-subcarpathia,oferta,9060828</t>
  </si>
  <si>
    <t>2502246</t>
  </si>
  <si>
    <t>38053326</t>
  </si>
  <si>
    <t>Sarens Polska Sp. z o.o.</t>
  </si>
  <si>
    <t>Koordynator Techniczny Budowy - Site Manager</t>
  </si>
  <si>
    <t>https://www.pracuj.pl/praca/koordynator-techniczny-budowy-site-manager-podkarpackie,oferta,9060797</t>
  </si>
  <si>
    <t>2502248</t>
  </si>
  <si>
    <t>38053328</t>
  </si>
  <si>
    <t>https://www.pracuj.pl/praca/product-manager-glogow-malopolski,oferta,1001783662</t>
  </si>
  <si>
    <t>2502257</t>
  </si>
  <si>
    <t>38053337</t>
  </si>
  <si>
    <t>https://www.pracuj.pl/praca/business-development-manager-mielec,oferta,1001783692</t>
  </si>
  <si>
    <t>2502274</t>
  </si>
  <si>
    <t>38053354</t>
  </si>
  <si>
    <t>https://www.pracuj.pl/praca/business-development-manager-przemysl,oferta,1001783693</t>
  </si>
  <si>
    <t>2502308</t>
  </si>
  <si>
    <t>38053388</t>
  </si>
  <si>
    <t>https://www.pracuj.pl/praca/business-development-manager-rzeszow,oferta,1001783694</t>
  </si>
  <si>
    <t>2502313</t>
  </si>
  <si>
    <t>38053393</t>
  </si>
  <si>
    <t>https://www.pracuj.pl/praca/front-end-developer-subcarpathia,oferta,9060660</t>
  </si>
  <si>
    <t>2502328</t>
  </si>
  <si>
    <t>38053408</t>
  </si>
  <si>
    <t>Quality Assurance Lead</t>
  </si>
  <si>
    <t>https://www.pracuj.pl/praca/quality-assurance-lead-subcarpathia,oferta,9060593</t>
  </si>
  <si>
    <t>2502370</t>
  </si>
  <si>
    <t>38053450</t>
  </si>
  <si>
    <t>https://www.pracuj.pl/praca/technical-lead-subcarpathia,oferta,9060566</t>
  </si>
  <si>
    <t>2502408</t>
  </si>
  <si>
    <t>38053488</t>
  </si>
  <si>
    <t>https://www.pracuj.pl/praca/glowny-ksiegowy-debica,oferta,1001785767</t>
  </si>
  <si>
    <t>2502444</t>
  </si>
  <si>
    <t>38053524</t>
  </si>
  <si>
    <t>Analyst with German – Reporting, Data Management Services &amp; Solutions</t>
  </si>
  <si>
    <t>https://www.pracuj.pl/praca/analyst-with-german-reporting-data-management-services-solutions-subcarpathia,oferta,9060071</t>
  </si>
  <si>
    <t>2502456</t>
  </si>
  <si>
    <t>38053536</t>
  </si>
  <si>
    <t>Operator transportu bliskiego</t>
  </si>
  <si>
    <t>https://www.pracuj.pl/praca/operator-transportu-bliskiego-podkarpackie,oferta,9060176</t>
  </si>
  <si>
    <t>2502468</t>
  </si>
  <si>
    <t>38053548</t>
  </si>
  <si>
    <t>Operational Buyer with German</t>
  </si>
  <si>
    <t>https://www.pracuj.pl/praca/operational-buyer-with-german-subcarpathia,oferta,9060095</t>
  </si>
  <si>
    <t>2502483</t>
  </si>
  <si>
    <t>38053563</t>
  </si>
  <si>
    <t>Specjalista ds. wentylacji i klimatyzacji</t>
  </si>
  <si>
    <t>https://www.pracuj.pl/praca/specjalista-ds-wentylacji-i-klimatyzacji-przemysl,oferta,1001783794</t>
  </si>
  <si>
    <t>2502496</t>
  </si>
  <si>
    <t>38053576</t>
  </si>
  <si>
    <t>Pomocnik operatora maszyn kablowych / Помічник оператора кабельних машин</t>
  </si>
  <si>
    <t>https://www.pracuj.pl/praca/pomocnik-operatora-maszyn-kablowych-jasionka-pow-rzeszowski,oferta,1001784440</t>
  </si>
  <si>
    <t>2502529</t>
  </si>
  <si>
    <t>38053609</t>
  </si>
  <si>
    <t>Ekspert ds. Modelowania Ryzyka Kredytowego</t>
  </si>
  <si>
    <t>Ekonometryk</t>
  </si>
  <si>
    <t>https://www.pracuj.pl/praca/ekspert-ds-modelowania-ryzyka-kredytowego-podkarpackie,oferta,9059945</t>
  </si>
  <si>
    <t>2502534</t>
  </si>
  <si>
    <t>38053614</t>
  </si>
  <si>
    <t>RPd057|263101</t>
  </si>
  <si>
    <t>https://www.pracuj.pl/praca/przedstawiciel-handlowy-ds-hurtu-i-detalu-jaroslaw,oferta,1001784526</t>
  </si>
  <si>
    <t>2502603</t>
  </si>
  <si>
    <t>38053683</t>
  </si>
  <si>
    <t>EST-POLSKA sp. z o.o.</t>
  </si>
  <si>
    <t>https://www.pracuj.pl/praca/pracownik-administracyjno-biurowy-rzeszow,oferta,1001784533</t>
  </si>
  <si>
    <t>2502604</t>
  </si>
  <si>
    <t>38053684</t>
  </si>
  <si>
    <t>https://www.pracuj.pl/praca/kierownik-marketu-stalowa-wola,oferta,1001784759</t>
  </si>
  <si>
    <t>2502618</t>
  </si>
  <si>
    <t>38053698</t>
  </si>
  <si>
    <t>TRAFFIC PARTNER sp. z o.o.</t>
  </si>
  <si>
    <t>Dostawca potraw</t>
  </si>
  <si>
    <t>https://www.pracuj.pl/praca/dostawca-rzeszow,oferta,1001786510</t>
  </si>
  <si>
    <t>2502670</t>
  </si>
  <si>
    <t>38053750</t>
  </si>
  <si>
    <t>RPd057|962103</t>
  </si>
  <si>
    <t>Internal Recruiter</t>
  </si>
  <si>
    <t>https://www.pracuj.pl/praca/internal-recruiter-rzeszow,oferta,1001786527</t>
  </si>
  <si>
    <t>2502690</t>
  </si>
  <si>
    <t>38053770</t>
  </si>
  <si>
    <t>Programista (SQL / Java / C++)</t>
  </si>
  <si>
    <t>https://www.pracuj.pl/praca/programista-sql-java-c%2b%2b-rzeszow,oferta,1001785985</t>
  </si>
  <si>
    <t>2502701</t>
  </si>
  <si>
    <t>38053781</t>
  </si>
  <si>
    <t>Specjalista ds. Aplikacji SAP (MES)</t>
  </si>
  <si>
    <t>https://www.pracuj.pl/praca/specjalista-ds-aplikacji-sap-mes-tajecina-pow-rzeszowski,oferta,1001786691</t>
  </si>
  <si>
    <t>2502723</t>
  </si>
  <si>
    <t>38053803</t>
  </si>
  <si>
    <t>https://www.pracuj.pl/praca/kierownik-marketu-brzozow,oferta,1001784710</t>
  </si>
  <si>
    <t>2502748</t>
  </si>
  <si>
    <t>38053828</t>
  </si>
  <si>
    <t>https://www.pracuj.pl/praca/kierownik-marketu-kolbuszowa,oferta,1001784719</t>
  </si>
  <si>
    <t>2502750</t>
  </si>
  <si>
    <t>38053830</t>
  </si>
  <si>
    <t>https://www.pracuj.pl/praca/kierownik-marketu-przemysl,oferta,1001784733</t>
  </si>
  <si>
    <t>2502751</t>
  </si>
  <si>
    <t>38053831</t>
  </si>
  <si>
    <t>Stażysta w dziale handlowym/zakupowym</t>
  </si>
  <si>
    <t>https://www.pracuj.pl/praca/stazysta-w-dziale-handlowym-zakupowym-rzeszow,oferta,1001784851</t>
  </si>
  <si>
    <t>2502819</t>
  </si>
  <si>
    <t>38053899</t>
  </si>
  <si>
    <t>KRB</t>
  </si>
  <si>
    <t>https://www.pracuj.pl/praca/krb-rzeszow,oferta,1001786116</t>
  </si>
  <si>
    <t>2502829</t>
  </si>
  <si>
    <t>38053909</t>
  </si>
  <si>
    <t>Młodszy Specjalista Ochrony Środowiska– staż</t>
  </si>
  <si>
    <t>https://www.pracuj.pl/praca/mlodszy-specjalista-ochrony-srodowiska-staz-rzeszow,oferta,1001785076</t>
  </si>
  <si>
    <t>2502862</t>
  </si>
  <si>
    <t>38053942</t>
  </si>
  <si>
    <t>Młodszy konstruktor – staż</t>
  </si>
  <si>
    <t>https://www.pracuj.pl/praca/mlodszy-konstruktor-staz-rzeszow,oferta,1001785103</t>
  </si>
  <si>
    <t>2502871</t>
  </si>
  <si>
    <t>38053951</t>
  </si>
  <si>
    <t>https://www.pracuj.pl/praca/kierownik-marketu-rzeszow,oferta,1001784738</t>
  </si>
  <si>
    <t>2502907</t>
  </si>
  <si>
    <t>38053987</t>
  </si>
  <si>
    <t>IT Architect (ATM) – Flight &amp; Flow</t>
  </si>
  <si>
    <t>https://www.pracuj.pl/praca/it-architect-atm-flight-flow-rzeszow,oferta,1001786633</t>
  </si>
  <si>
    <t>2502934</t>
  </si>
  <si>
    <t>38054014</t>
  </si>
  <si>
    <t>Analityk IT– staż</t>
  </si>
  <si>
    <t>https://www.pracuj.pl/praca/analityk-it-staz-rzeszow,oferta,1001785271</t>
  </si>
  <si>
    <t>2502941</t>
  </si>
  <si>
    <t>38054021</t>
  </si>
  <si>
    <t>Pozostali maszyniści i operatorzy maszyn i urządzeń dźwigowo-transportowych i pokrewni</t>
  </si>
  <si>
    <t>https://www.pracuj.pl/praca/pracownik-transportu-wewnetrznego-glogow-malopolski,oferta,1001784840</t>
  </si>
  <si>
    <t>2502950</t>
  </si>
  <si>
    <t>38054030</t>
  </si>
  <si>
    <t>RPd057|834390</t>
  </si>
  <si>
    <t>Specjalista ds. Kontraktów – staż</t>
  </si>
  <si>
    <t>https://www.pracuj.pl/praca/specjalista-ds-kontraktow-staz-rzeszow,oferta,1001784855</t>
  </si>
  <si>
    <t>2502953</t>
  </si>
  <si>
    <t>38054033</t>
  </si>
  <si>
    <t>Pracownik Sklepu – sezonowy</t>
  </si>
  <si>
    <t>https://www.pracuj.pl/praca/pracownik-sklepu-sezonowy-ustrzyki-dolne,oferta,1001785328</t>
  </si>
  <si>
    <t>2502969</t>
  </si>
  <si>
    <t>38054049</t>
  </si>
  <si>
    <t>https://www.pracuj.pl/praca/pracownik-sklepu-etat-87h-lub-130h-rzeszow,oferta,1001785337</t>
  </si>
  <si>
    <t>2502975</t>
  </si>
  <si>
    <t>38054055</t>
  </si>
  <si>
    <t>https://www.pracuj.pl/praca/doradca-klienta-tarnobrzeg,oferta,1001784111</t>
  </si>
  <si>
    <t>2503021</t>
  </si>
  <si>
    <t>38054101</t>
  </si>
  <si>
    <t>https://www.pracuj.pl/praca/specjalista-ds-utrzymania-ruchu-krosno,oferta,1001785055</t>
  </si>
  <si>
    <t>2503039</t>
  </si>
  <si>
    <t>38054119</t>
  </si>
  <si>
    <t>Młodszy technolog – staż</t>
  </si>
  <si>
    <t>https://www.pracuj.pl/praca/mlodszy-technolog-staz-rzeszow,oferta,1001785057</t>
  </si>
  <si>
    <t>2503040</t>
  </si>
  <si>
    <t>38054120</t>
  </si>
  <si>
    <t>https://www.pracuj.pl/praca/doradca-klienta-rzeszow,oferta,1001785419</t>
  </si>
  <si>
    <t>2503059</t>
  </si>
  <si>
    <t>38054139</t>
  </si>
  <si>
    <t>Młodszy Analityk Przepływu Materiałów – staż</t>
  </si>
  <si>
    <t>https://www.pracuj.pl/praca/mlodszy-analityk-przeplywu-materialow-staz-rzeszow,oferta,1001785108</t>
  </si>
  <si>
    <t>2503060</t>
  </si>
  <si>
    <t>38054140</t>
  </si>
  <si>
    <t>Młodszy Specjalista ds. Komunikacji – staż</t>
  </si>
  <si>
    <t>https://www.pracuj.pl/praca/mlodszy-specjalista-ds-komunikacji-staz-rzeszow,oferta,1001785086</t>
  </si>
  <si>
    <t>2503157</t>
  </si>
  <si>
    <t>38054237</t>
  </si>
  <si>
    <t>Młodszy metalurg – staż</t>
  </si>
  <si>
    <t>https://www.pracuj.pl/praca/mlodszy-metalurg-staz-rzeszow,oferta,1001785095</t>
  </si>
  <si>
    <t>2503158</t>
  </si>
  <si>
    <t>38054238</t>
  </si>
  <si>
    <t>Stażysta/ka w Sekcji Laboratorium Jakości</t>
  </si>
  <si>
    <t>https://www.pracuj.pl/praca/stazysta-ka-w-sekcji-laboratorium-jakosci-glogow-malopolski,oferta,1001784160</t>
  </si>
  <si>
    <t>2503162</t>
  </si>
  <si>
    <t>38054242</t>
  </si>
  <si>
    <t>Dyrektor Zespołu Sprzedaży</t>
  </si>
  <si>
    <t>https://www.pracuj.pl/praca/dyrektor-zespolu-sprzedazy-rzeszow,oferta,1001784195</t>
  </si>
  <si>
    <t>2503193</t>
  </si>
  <si>
    <t>38054273</t>
  </si>
  <si>
    <t>Pracownik ds. Ochrony i Porządku</t>
  </si>
  <si>
    <t>https://www.pracuj.pl/praca/pracownik-ds-ochrony-i-porzadku-rzeszow,oferta,1001786353</t>
  </si>
  <si>
    <t>2503209</t>
  </si>
  <si>
    <t>38054289</t>
  </si>
  <si>
    <t>Koordynator ds. Dynamiki Silnika / Propulsion Engineering Coordinator</t>
  </si>
  <si>
    <t>https://www.pracuj.pl/praca/koordynator-ds-dynamiki-silnika-propulsion-engineering-coordinator-jasionka-pow-rzeszowski,oferta,1001785252</t>
  </si>
  <si>
    <t>2503276</t>
  </si>
  <si>
    <t>38054356</t>
  </si>
  <si>
    <t>PASS POLSKA Sp. z o.o.</t>
  </si>
  <si>
    <t>https://www.pracuj.pl/praca/programista-sanok,oferta,1001785574</t>
  </si>
  <si>
    <t>2503306</t>
  </si>
  <si>
    <t>38054386</t>
  </si>
  <si>
    <t>SAP Key User (BorgWarner Mobility)</t>
  </si>
  <si>
    <t>https://www.pracuj.pl/praca/sap-key-user-borgwarner-mobility-jasionka-pow-rzeszowski,oferta,1001786128</t>
  </si>
  <si>
    <t>2503316</t>
  </si>
  <si>
    <t>38054396</t>
  </si>
  <si>
    <t>https://www.pracuj.pl/praca/mechanik-silnikow-lotniczych-aircraft-engine-mechanic-jasionka-pow-rzeszowski,oferta,1001785692</t>
  </si>
  <si>
    <t>2503332</t>
  </si>
  <si>
    <t>38054412</t>
  </si>
  <si>
    <t>https://www.pracuj.pl/praca/pracownik-sklepu-sezonowy-lesko,oferta,1001785329</t>
  </si>
  <si>
    <t>2503352</t>
  </si>
  <si>
    <t>38054432</t>
  </si>
  <si>
    <t>https://www.pracuj.pl/praca/specjalista-ds-bezpieczenstwa-informacji-rzeszow,oferta,1001785354</t>
  </si>
  <si>
    <t>2503359</t>
  </si>
  <si>
    <t>38054439</t>
  </si>
  <si>
    <t>Analityk Operacyjnego Zarządzania Programem – staż</t>
  </si>
  <si>
    <t>https://www.pracuj.pl/praca/analityk-operacyjnego-zarzadzania-programem-staz-rzeszow,oferta,1001785743</t>
  </si>
  <si>
    <t>2503365</t>
  </si>
  <si>
    <t>38054445</t>
  </si>
  <si>
    <t>AMJ POLAND sp. z o.o.</t>
  </si>
  <si>
    <t>https://www.pracuj.pl/praca/monter-rzeszow,oferta,1001786485</t>
  </si>
  <si>
    <t>2503368</t>
  </si>
  <si>
    <t>38054448</t>
  </si>
  <si>
    <t>Specjalistka / Specjalista ds. logistyki</t>
  </si>
  <si>
    <t>https://www.pracuj.pl/praca/specjalistka-specjalista-ds-logistyki-rzeszow,oferta,1001785452</t>
  </si>
  <si>
    <t>2503452</t>
  </si>
  <si>
    <t>38054532</t>
  </si>
  <si>
    <t>ROPCZYCE ENGINEERING sp. z o.o.</t>
  </si>
  <si>
    <t>https://www.pracuj.pl/praca/projektant-konstruktor-ropczyce,oferta,1001785479</t>
  </si>
  <si>
    <t>2503481</t>
  </si>
  <si>
    <t>38054561</t>
  </si>
  <si>
    <t>Taksówkarz</t>
  </si>
  <si>
    <t>https://www.pracuj.pl/praca/taksowkarz-rzeszow,oferta,1001786480</t>
  </si>
  <si>
    <t>2503519</t>
  </si>
  <si>
    <t>38054599</t>
  </si>
  <si>
    <t>RPd057|832205</t>
  </si>
  <si>
    <t>Calz Polska sp. z o.o.</t>
  </si>
  <si>
    <t>https://www.pracuj.pl/praca/sprzedawca-rzeszow,oferta,1001785618</t>
  </si>
  <si>
    <t>2503589</t>
  </si>
  <si>
    <t>38054669</t>
  </si>
  <si>
    <t>Direct Communication Sp. z o.o.</t>
  </si>
  <si>
    <t>https://www.pracuj.pl/praca/net-developer-rzeszow,oferta,1001786571</t>
  </si>
  <si>
    <t>2503622</t>
  </si>
  <si>
    <t>38054702</t>
  </si>
  <si>
    <t>https://www.pracuj.pl/praca/elektryk-mielec,oferta,1001785686</t>
  </si>
  <si>
    <t>2503654</t>
  </si>
  <si>
    <t>38054734</t>
  </si>
  <si>
    <t>Administrative Sales Support</t>
  </si>
  <si>
    <t>https://www.pracuj.pl/praca/administrative-sales-support-rzeszow,oferta,1001786605</t>
  </si>
  <si>
    <t>2503680</t>
  </si>
  <si>
    <t>38054760</t>
  </si>
  <si>
    <t>Inżynier Jakości – staż</t>
  </si>
  <si>
    <t>https://www.pracuj.pl/praca/inzynier-jakosci-staz-rzeszow,oferta,1001785788</t>
  </si>
  <si>
    <t>2503714</t>
  </si>
  <si>
    <t>38054794</t>
  </si>
  <si>
    <t>Konstruktor – Analizy Wytrzymałościowe</t>
  </si>
  <si>
    <t>https://www.pracuj.pl/praca/konstruktor-analizy-wytrzymalosciowe-rzeszow,oferta,1001784480</t>
  </si>
  <si>
    <t>2503743</t>
  </si>
  <si>
    <t>38054823</t>
  </si>
  <si>
    <t>BAUTEMA sp. z o.o. SPÓŁKA KOMANDYTOWA</t>
  </si>
  <si>
    <t>Cieśla szalunkowy / pracownik budowlany</t>
  </si>
  <si>
    <t>Polska, podkarpackie, Pogwizdów (pow. łańcucki)</t>
  </si>
  <si>
    <t>https://www.pracuj.pl/praca/ciesla-szalunkowy-pracownik-budowlany-pogwizdow-pow-lancucki,oferta,1001786106</t>
  </si>
  <si>
    <t>2503846</t>
  </si>
  <si>
    <t>38054926</t>
  </si>
  <si>
    <t>PROPOINT S.A.</t>
  </si>
  <si>
    <t>https://www.pracuj.pl/praca/programista-plc-rzeszow,oferta,1001786120</t>
  </si>
  <si>
    <t>2503848</t>
  </si>
  <si>
    <t>38054928</t>
  </si>
  <si>
    <t>BIURO ARCHITEKTONICZNE WIERCIOCH WOJCIECH</t>
  </si>
  <si>
    <t>https://www.pracuj.pl/praca/asystent-architekta-rzeszow,oferta,1001786342</t>
  </si>
  <si>
    <t>2503850</t>
  </si>
  <si>
    <t>38054930</t>
  </si>
  <si>
    <t>Back-End Developer</t>
  </si>
  <si>
    <t>https://www.pracuj.pl/praca/back-end-developer-subcarpathia,oferta,9060635</t>
  </si>
  <si>
    <t>2503854</t>
  </si>
  <si>
    <t>38054934</t>
  </si>
  <si>
    <t>https://www.pracuj.pl/praca/mlodszy-ksiegowy-z-j-niemieckim-podkarpackie,oferta,9060035</t>
  </si>
  <si>
    <t>2503906</t>
  </si>
  <si>
    <t>38054986</t>
  </si>
  <si>
    <t>Młodszy Specjalista ds. Personalnych – staż</t>
  </si>
  <si>
    <t>https://www.pracuj.pl/praca/mlodszy-specjalista-ds-personalnych-staz-rzeszow,oferta,1001785082</t>
  </si>
  <si>
    <t>2503981</t>
  </si>
  <si>
    <t>38055061</t>
  </si>
  <si>
    <t>Młodszy Lider Zarządzania Rozwojem Dostawców – staż</t>
  </si>
  <si>
    <t>https://www.pracuj.pl/praca/mlodszy-lider-zarzadzania-rozwojem-dostawcow-staz-rzeszow,oferta,1001785096</t>
  </si>
  <si>
    <t>2503982</t>
  </si>
  <si>
    <t>38055062</t>
  </si>
  <si>
    <t>eTravel S.A.</t>
  </si>
  <si>
    <t>Konsultant ds. rezerwacji hotelowych</t>
  </si>
  <si>
    <t>Pracownik biura podróży</t>
  </si>
  <si>
    <t>https://www.pracuj.pl/praca/konsultant-ds-rezerwacji-hotelowych-rzeszow,oferta,1001785146</t>
  </si>
  <si>
    <t>2503985</t>
  </si>
  <si>
    <t>38055065</t>
  </si>
  <si>
    <t>RPd057|422101</t>
  </si>
  <si>
    <t>Senior Security Engineer</t>
  </si>
  <si>
    <t>https://www.pracuj.pl/praca/senior-security-engineer-rzeszow,oferta,1001785166</t>
  </si>
  <si>
    <t>2503992</t>
  </si>
  <si>
    <t>38055072</t>
  </si>
  <si>
    <t>Analityk ds. EHS – staż</t>
  </si>
  <si>
    <t>https://www.pracuj.pl/praca/analityk-ds-ehs-staz-rzeszow,oferta,1001785266</t>
  </si>
  <si>
    <t>2504002</t>
  </si>
  <si>
    <t>38055082</t>
  </si>
  <si>
    <t>https://www.pracuj.pl/praca/doradca-klienta-jaslo,oferta,1001785414</t>
  </si>
  <si>
    <t>2504021</t>
  </si>
  <si>
    <t>38055101</t>
  </si>
  <si>
    <t>https://www.pracuj.pl/praca/doradca-klienta-krosno,oferta,1001785417</t>
  </si>
  <si>
    <t>2504024</t>
  </si>
  <si>
    <t>38055104</t>
  </si>
  <si>
    <t>ON sp. z o.o.</t>
  </si>
  <si>
    <t>https://www.pracuj.pl/praca/specjalista-ds-organizacji-szkolen-rzeszow,oferta,1001785499</t>
  </si>
  <si>
    <t>2504033</t>
  </si>
  <si>
    <t>38055113</t>
  </si>
  <si>
    <t>https://www.pracuj.pl/praca/konsultant-ds-sprzedazy-jasionka-pow-krosnienski,oferta,1001785750</t>
  </si>
  <si>
    <t>2504062</t>
  </si>
  <si>
    <t>38055142</t>
  </si>
  <si>
    <t>American Heart of Poland S.A.</t>
  </si>
  <si>
    <t>Kierownik działu farmacji szpitalnej</t>
  </si>
  <si>
    <t>Farmaceuta - specjalista farmacji klinicznej</t>
  </si>
  <si>
    <t>https://www.pracuj.pl/praca/kierownik-dzialu-farmacji-szpitalnej-mielec,oferta,1001785848</t>
  </si>
  <si>
    <t>2504070</t>
  </si>
  <si>
    <t>38055150</t>
  </si>
  <si>
    <t>RPd057|228204</t>
  </si>
  <si>
    <t>"UNION TRANSPORT" SPÓŁKA Z OGRANICZONĄ ODPOWIEDZIALNOŚCIĄ SPÓŁKA KOMANDYTOWA</t>
  </si>
  <si>
    <t>24.05.2022</t>
  </si>
  <si>
    <t>https://www.pracuj.pl/praca/kierowca-miedzynarodowy-c%2be-podkarpackie,oferta,9004223</t>
  </si>
  <si>
    <t>18.05.2022 04:20</t>
  </si>
  <si>
    <t>17.04.2022</t>
  </si>
  <si>
    <t>15.05.2022</t>
  </si>
  <si>
    <t>2533671</t>
  </si>
  <si>
    <t>37036537</t>
  </si>
  <si>
    <t>Vistra Poland</t>
  </si>
  <si>
    <t>https://www.pracuj.pl/praca/specjalista-ds-kadr-i-plac-podkarpackie,oferta,9004274</t>
  </si>
  <si>
    <t>2533690</t>
  </si>
  <si>
    <t>37036556</t>
  </si>
  <si>
    <t>https://www.pracuj.pl/praca/java-developer-subcarpathia,oferta,9004306</t>
  </si>
  <si>
    <t>2533705</t>
  </si>
  <si>
    <t>37036571</t>
  </si>
  <si>
    <t>https://www.pracuj.pl/praca/operator-obrabiarek-sterowanych-numerycznie-mielec,oferta,1001735718</t>
  </si>
  <si>
    <t>2533761</t>
  </si>
  <si>
    <t>37036685</t>
  </si>
  <si>
    <t>Gigaset Communications Polska</t>
  </si>
  <si>
    <t>Test Engineer</t>
  </si>
  <si>
    <t>https://www.pracuj.pl/praca/test-engineer-rzeszow,oferta,1001735785</t>
  </si>
  <si>
    <t>2533814</t>
  </si>
  <si>
    <t>37036752</t>
  </si>
  <si>
    <t>Menedżer Obszaru Sprzedaży</t>
  </si>
  <si>
    <t>https://www.pracuj.pl/praca/menedzer-obszaru-sprzedazy-rzeszow,oferta,1001735838</t>
  </si>
  <si>
    <t>2533859</t>
  </si>
  <si>
    <t>37036805</t>
  </si>
  <si>
    <t>https://www.pracuj.pl/praca/menedzer-obszaru-sprzedazy-krosno,oferta,1001735840</t>
  </si>
  <si>
    <t>2533861</t>
  </si>
  <si>
    <t>37036807</t>
  </si>
  <si>
    <t>https://www.pracuj.pl/praca/menedzer-obszaru-sprzedazy-mielec,oferta,1001735855</t>
  </si>
  <si>
    <t>2533876</t>
  </si>
  <si>
    <t>37036822</t>
  </si>
  <si>
    <t>https://www.pracuj.pl/praca/doradca-ubezpieczeniowy-rzeszow,oferta,1001735891</t>
  </si>
  <si>
    <t>2533912</t>
  </si>
  <si>
    <t>37036858</t>
  </si>
  <si>
    <t>https://www.pracuj.pl/praca/doradca-ubezpieczeniowy-krosno,oferta,1001735892</t>
  </si>
  <si>
    <t>2533913</t>
  </si>
  <si>
    <t>37036859</t>
  </si>
  <si>
    <t>https://www.pracuj.pl/praca/doradca-ubezpieczeniowy-przemysl,oferta,1001735893</t>
  </si>
  <si>
    <t>2533914</t>
  </si>
  <si>
    <t>37036860</t>
  </si>
  <si>
    <t>https://www.pracuj.pl/praca/doradca-ubezpieczeniowy-debica,oferta,1001735895</t>
  </si>
  <si>
    <t>2533916</t>
  </si>
  <si>
    <t>37036862</t>
  </si>
  <si>
    <t>https://www.pracuj.pl/praca/doradca-ubezpieczeniowy-mielec,oferta,1001735896</t>
  </si>
  <si>
    <t>2533917</t>
  </si>
  <si>
    <t>37036863</t>
  </si>
  <si>
    <t>Junior Menedżer Obszaru Sprzedaży</t>
  </si>
  <si>
    <t>https://www.pracuj.pl/praca/junior-menedzer-obszaru-sprzedazy-rzeszow,oferta,1001735941</t>
  </si>
  <si>
    <t>2533962</t>
  </si>
  <si>
    <t>37036908</t>
  </si>
  <si>
    <t>https://www.pracuj.pl/praca/junior-menedzer-obszaru-sprzedazy-krosno,oferta,1001735942</t>
  </si>
  <si>
    <t>2533963</t>
  </si>
  <si>
    <t>37036909</t>
  </si>
  <si>
    <t>https://www.pracuj.pl/praca/junior-menedzer-obszaru-sprzedazy-przemysl,oferta,1001735943</t>
  </si>
  <si>
    <t>2533964</t>
  </si>
  <si>
    <t>37036910</t>
  </si>
  <si>
    <t>https://www.pracuj.pl/praca/junior-menedzer-obszaru-sprzedazy-debica,oferta,1001735945</t>
  </si>
  <si>
    <t>2533966</t>
  </si>
  <si>
    <t>37036912</t>
  </si>
  <si>
    <t>https://www.pracuj.pl/praca/junior-menedzer-obszaru-sprzedazy-mielec,oferta,1001735946</t>
  </si>
  <si>
    <t>2533967</t>
  </si>
  <si>
    <t>37036913</t>
  </si>
  <si>
    <t>https://www.praca.pl/przedstawiciel-handlowy_6954243.html</t>
  </si>
  <si>
    <t>18.05.2022 04:29</t>
  </si>
  <si>
    <t>2534004</t>
  </si>
  <si>
    <t>37731082</t>
  </si>
  <si>
    <t>https://www.praca.pl/kierownik-budowy_6975252.html</t>
  </si>
  <si>
    <t>12.06.2022</t>
  </si>
  <si>
    <t>2534030</t>
  </si>
  <si>
    <t>38159464</t>
  </si>
  <si>
    <t>https://www.praca.pl/pracownik-produkcji_7003779.html</t>
  </si>
  <si>
    <t>18.05.2022 03:03</t>
  </si>
  <si>
    <t>14.06.2022</t>
  </si>
  <si>
    <t>2534039</t>
  </si>
  <si>
    <t>38255571</t>
  </si>
  <si>
    <t>https://www.praca.pl/operator-wozka-widlowego_7003791.html</t>
  </si>
  <si>
    <t>2534040</t>
  </si>
  <si>
    <t>38255576</t>
  </si>
  <si>
    <t>Programista Ruby on Rails</t>
  </si>
  <si>
    <t>https://www.praca.pl/programista-ruby-on-rails_7011858.html</t>
  </si>
  <si>
    <t>16.06.2022</t>
  </si>
  <si>
    <t>2534053</t>
  </si>
  <si>
    <t>38333134</t>
  </si>
  <si>
    <t>G&amp;G Auto Rzeszów Sp. z o.o.</t>
  </si>
  <si>
    <t>Specjalista ds. Marketingu dealerskiego</t>
  </si>
  <si>
    <t>https://www.praca.pl/specjalista-ds-marketingu-dealerskiego_7018755.html</t>
  </si>
  <si>
    <t>18.05.2022 03:27</t>
  </si>
  <si>
    <t>2534091</t>
  </si>
  <si>
    <t>38333173</t>
  </si>
  <si>
    <t>Polbet S.A.</t>
  </si>
  <si>
    <t>Kierownik robót - roboty budowlane, konstrukcyjne</t>
  </si>
  <si>
    <t>https://www.praca.pl/kierownik-robot-roboty-budowlane,konstrukcyjne_7017114.html</t>
  </si>
  <si>
    <t>2534097</t>
  </si>
  <si>
    <t>38333179</t>
  </si>
  <si>
    <t>Polcode Sp. z o.o</t>
  </si>
  <si>
    <t>Project Management Officer (PMO) Team Leader</t>
  </si>
  <si>
    <t>Polska, podkarpackie, Rzeszów, Mielec, Stalowa Wola, Łańcut, Przemyśl, Sanok, Krosno, Jasło, Dębica</t>
  </si>
  <si>
    <t>https://www.praca.pl/project-management-officer-pmo-team-leader_7018539.html</t>
  </si>
  <si>
    <t>2534165</t>
  </si>
  <si>
    <t>38333251</t>
  </si>
  <si>
    <t>1863,1811,1818,1810,1862,1817,1861,1805,1803</t>
  </si>
  <si>
    <t>9</t>
  </si>
  <si>
    <t>https://www.praca.pl/kierownik-kontraktu_7018113.html</t>
  </si>
  <si>
    <t>2534206</t>
  </si>
  <si>
    <t>38333293</t>
  </si>
  <si>
    <t>https://www.praca.pl/kierownik-budowy_7018164.html</t>
  </si>
  <si>
    <t>2534223</t>
  </si>
  <si>
    <t>38333310</t>
  </si>
  <si>
    <t>Kierownik robót elektrycznych</t>
  </si>
  <si>
    <t>https://www.praca.pl/kierownik-robot-elektrycznych_7018221.html</t>
  </si>
  <si>
    <t>2534239</t>
  </si>
  <si>
    <t>38333326</t>
  </si>
  <si>
    <t>Specjalista Serwisu</t>
  </si>
  <si>
    <t>https://www.praca.pl/specjalista-serwisu_7018368.html</t>
  </si>
  <si>
    <t>2534270</t>
  </si>
  <si>
    <t>38333357</t>
  </si>
  <si>
    <t>https://www.praca.pl/technik-serwisu_7018308.html</t>
  </si>
  <si>
    <t>2534280</t>
  </si>
  <si>
    <t>38333367</t>
  </si>
  <si>
    <t>Quality Assurance Specialist</t>
  </si>
  <si>
    <t>https://www.praca.pl/quality-assurance-specialist_7018590.html</t>
  </si>
  <si>
    <t>2534342</t>
  </si>
  <si>
    <t>38333430</t>
  </si>
  <si>
    <t>EARLY STAGE</t>
  </si>
  <si>
    <t>Lektor / Nauczyciel języka angielskiego</t>
  </si>
  <si>
    <t>https://www.praca.pl/lektor-nauczyciel-jezyka-angielskiego_7004670.html</t>
  </si>
  <si>
    <t>2534411</t>
  </si>
  <si>
    <t>38333499</t>
  </si>
  <si>
    <t>https://www.praca.pl/lektor-nauczyciel-jezyka-angielskiego_7004673.html</t>
  </si>
  <si>
    <t>2534412</t>
  </si>
  <si>
    <t>38333500</t>
  </si>
  <si>
    <t>https://www.praca.pl/lektor-nauczyciel-jezyka-angielskiego_7004676.html</t>
  </si>
  <si>
    <t>2534413</t>
  </si>
  <si>
    <t>38333501</t>
  </si>
  <si>
    <t>https://www.praca.pl/lektor-nauczyciel-jezyka-angielskiego_7004679.html</t>
  </si>
  <si>
    <t>2534414</t>
  </si>
  <si>
    <t>38333502</t>
  </si>
  <si>
    <t>https://www.praca.pl/lektor-nauczyciel-jezyka-angielskiego_7004682.html</t>
  </si>
  <si>
    <t>2534415</t>
  </si>
  <si>
    <t>38333503</t>
  </si>
  <si>
    <t>https://www.praca.pl/menedzer-zespolu-sprzedazy_7017462.html</t>
  </si>
  <si>
    <t>2534557</t>
  </si>
  <si>
    <t>38333651</t>
  </si>
  <si>
    <t>https://www.praca.pl/doradca-ubezpieczeniowy_7017387.html</t>
  </si>
  <si>
    <t>2534584</t>
  </si>
  <si>
    <t>38333688</t>
  </si>
  <si>
    <t>CUPRA Master - Handlowiec / Sprzedawca samochodów</t>
  </si>
  <si>
    <t>https://www.praca.pl/cupra-master-handlowiec-sprzedawca-samochodow_7017237.html</t>
  </si>
  <si>
    <t>2534619</t>
  </si>
  <si>
    <t>38333725</t>
  </si>
  <si>
    <t>Wolante Investments Sp. z o.o.</t>
  </si>
  <si>
    <t>https://www.praca.pl/specjalista-ds-sprzedazy_7012266.html</t>
  </si>
  <si>
    <t>2534680</t>
  </si>
  <si>
    <t>38333787</t>
  </si>
  <si>
    <t>Asystent klienta</t>
  </si>
  <si>
    <t>https://www.praca.pl/asystent-klienta_7016712.html</t>
  </si>
  <si>
    <t>2534740</t>
  </si>
  <si>
    <t>38333850</t>
  </si>
  <si>
    <t>https://www.praca.pl/starszy-specjalista_7016454.html</t>
  </si>
  <si>
    <t>2534757</t>
  </si>
  <si>
    <t>38333867</t>
  </si>
  <si>
    <t>https://www.praca.pl/inspektor-weterynaryjny_7016460.html</t>
  </si>
  <si>
    <t>2534759</t>
  </si>
  <si>
    <t>38333869</t>
  </si>
  <si>
    <t>https://www.praca.pl/inspektor-weterynaryjny_7016463.html</t>
  </si>
  <si>
    <t>2534760</t>
  </si>
  <si>
    <t>38333870</t>
  </si>
  <si>
    <t>https://www.praca.pl/starszy-inspektor-weterynaryjny_7016466.html</t>
  </si>
  <si>
    <t>2534761</t>
  </si>
  <si>
    <t>38333871</t>
  </si>
  <si>
    <t>18.05.2022 03:30</t>
  </si>
  <si>
    <t>2534904</t>
  </si>
  <si>
    <t>38372114</t>
  </si>
  <si>
    <t>2534933</t>
  </si>
  <si>
    <t>38372143</t>
  </si>
  <si>
    <t>2535038</t>
  </si>
  <si>
    <t>38372248</t>
  </si>
  <si>
    <t>2535073</t>
  </si>
  <si>
    <t>38372283</t>
  </si>
  <si>
    <t>Operator maszyn tekstylnych</t>
  </si>
  <si>
    <t>Operator maszyn do przygotowania włókien</t>
  </si>
  <si>
    <t>https://www.goldenline.pl/praca/oferta/1302606/zielonalinia0?utm_brand=goldenline&amp;utm_source=zielonalinia0&amp;gpid=1012732&amp;utm_channel=free&amp;utm_medium=oferta&amp;utm_department=marketing</t>
  </si>
  <si>
    <t>20.06.2022</t>
  </si>
  <si>
    <t>2535102</t>
  </si>
  <si>
    <t>38372312</t>
  </si>
  <si>
    <t>RPd057|815101</t>
  </si>
  <si>
    <t>2535134</t>
  </si>
  <si>
    <t>38372344</t>
  </si>
  <si>
    <t>Produkcja artykułów piśmiennych</t>
  </si>
  <si>
    <t>2535149</t>
  </si>
  <si>
    <t>38372359</t>
  </si>
  <si>
    <t>RPd066|1723Z</t>
  </si>
  <si>
    <t>https://www.goldenline.pl/praca/oferta/1302594/zielonalinia0?utm_brand=goldenline&amp;utm_source=zielonalinia0&amp;gpid=1012720&amp;utm_channel=free&amp;utm_medium=oferta&amp;utm_department=marketing</t>
  </si>
  <si>
    <t>2535175</t>
  </si>
  <si>
    <t>38372385</t>
  </si>
  <si>
    <t>https://www.goldenline.pl/praca/oferta/1302448/zielonalinia0?utm_brand=goldenline&amp;utm_source=zielonalinia0&amp;gpid=1012584&amp;utm_channel=free&amp;utm_medium=oferta&amp;utm_department=marketing</t>
  </si>
  <si>
    <t>15.06.2022</t>
  </si>
  <si>
    <t>2535294</t>
  </si>
  <si>
    <t>38372504</t>
  </si>
  <si>
    <t>2535343</t>
  </si>
  <si>
    <t>38372553</t>
  </si>
  <si>
    <t>2535414</t>
  </si>
  <si>
    <t>38372624</t>
  </si>
  <si>
    <t>https://www.goldenline.pl/praca/oferta/1302536/zielonalinia0?utm_brand=goldenline&amp;utm_source=zielonalinia0&amp;gpid=1012674&amp;utm_channel=free&amp;utm_medium=oferta&amp;utm_department=marketing</t>
  </si>
  <si>
    <t>2535419</t>
  </si>
  <si>
    <t>38372629</t>
  </si>
  <si>
    <t>2535434</t>
  </si>
  <si>
    <t>38372644</t>
  </si>
  <si>
    <t>https://www.goldenline.pl/praca/oferta/1302530/zielonalinia0?utm_brand=goldenline&amp;utm_source=zielonalinia0&amp;gpid=1012658&amp;utm_channel=free&amp;utm_medium=oferta&amp;utm_department=marketing</t>
  </si>
  <si>
    <t>2535438</t>
  </si>
  <si>
    <t>38372648</t>
  </si>
  <si>
    <t>2535450</t>
  </si>
  <si>
    <t>38372660</t>
  </si>
  <si>
    <t>https://www.goldenline.pl/praca/oferta/1302548/zielonalinia0?utm_brand=goldenline&amp;utm_source=zielonalinia0&amp;gpid=1012676&amp;utm_channel=free&amp;utm_medium=oferta&amp;utm_department=marketing</t>
  </si>
  <si>
    <t>2535461</t>
  </si>
  <si>
    <t>38372671</t>
  </si>
  <si>
    <t>https://www.pracuj.pl/praca/dietetyk-mielec,oferta,1001802295</t>
  </si>
  <si>
    <t>18.05.2022 03:40</t>
  </si>
  <si>
    <t>2535512</t>
  </si>
  <si>
    <t>38372834</t>
  </si>
  <si>
    <t>https://www.pracuj.pl/praca/dietetyk-stalowa-wola,oferta,1001802296</t>
  </si>
  <si>
    <t>2535513</t>
  </si>
  <si>
    <t>38372835</t>
  </si>
  <si>
    <t>Nowy Styl Sp. z o.o.</t>
  </si>
  <si>
    <t>Specjalistka_Specjalista  ds. Logistyki z j. angielskim</t>
  </si>
  <si>
    <t>https://www.pracuj.pl/praca/specjalistka-specjalista-ds-logistyki-z-j-angielskim-jaslo,oferta,1001802344</t>
  </si>
  <si>
    <t>2535530</t>
  </si>
  <si>
    <t>38372852</t>
  </si>
  <si>
    <t>NATURAL PHARMACEUTICALS SPÓŁKA Z OGRANICZONĄ ODPOWIEDZIALNOŚCIĄ</t>
  </si>
  <si>
    <t>Specjalista ds. telesprzedaży</t>
  </si>
  <si>
    <t>https://www.pracuj.pl/praca/specjalista-ds-telesprzedazy-rzeszow,oferta,1001802395</t>
  </si>
  <si>
    <t>2535551</t>
  </si>
  <si>
    <t>38372873</t>
  </si>
  <si>
    <t>https://www.pracuj.pl/praca/key-account-manager-wola-dalsza-pow-lancucki,oferta,1001802342</t>
  </si>
  <si>
    <t>2535622</t>
  </si>
  <si>
    <t>38372944</t>
  </si>
  <si>
    <t>Inżynier Sprzedaży z językiem rosyjskim</t>
  </si>
  <si>
    <t>https://www.pracuj.pl/praca/inzynier-sprzedazy-z-jezykiem-rosyjskim-straszecin-pow-debicki,oferta,1001802371</t>
  </si>
  <si>
    <t>2535670</t>
  </si>
  <si>
    <t>38372992</t>
  </si>
  <si>
    <t>Specjalistka_Specjalista  ds. Logistyki z j. francuskim</t>
  </si>
  <si>
    <t>https://www.pracuj.pl/praca/specjalistka-specjalista-ds-logistyki-z-j-francuskim-jaslo,oferta,1001802348</t>
  </si>
  <si>
    <t>2535687</t>
  </si>
  <si>
    <t>38373009</t>
  </si>
  <si>
    <t>PGE Energia Odnawialna S.A.</t>
  </si>
  <si>
    <t>Monter Elektroenergetyk</t>
  </si>
  <si>
    <t>https://www.pracuj.pl/praca/monter-elektroenergetyk-solina-pow-leski,oferta,1001802611</t>
  </si>
  <si>
    <t>2535691</t>
  </si>
  <si>
    <t>38373013</t>
  </si>
  <si>
    <t>https://www.pracuj.pl/praca/przedstawiciel-handlowy-specjalista-ds-sprzedazy-fotowoltaiki-projekt-esoleo-debica,oferta,1001802680</t>
  </si>
  <si>
    <t>2535740</t>
  </si>
  <si>
    <t>38373062</t>
  </si>
  <si>
    <t>https://www.pracuj.pl/praca/przedstawiciel-handlowy-specjalista-ds-sprzedazy-fotowoltaiki-projekt-esoleo-sanok,oferta,1001802695</t>
  </si>
  <si>
    <t>2535758</t>
  </si>
  <si>
    <t>38373080</t>
  </si>
  <si>
    <t>Kancelaria Prawno-Księgowa Regatio Sp. z o.o. Sp.K.</t>
  </si>
  <si>
    <t>https://www.pracuj.pl/praca/specjalista-ds-kadr-i-plac-rzeszow,oferta,1001802472</t>
  </si>
  <si>
    <t>2535762</t>
  </si>
  <si>
    <t>38373084</t>
  </si>
  <si>
    <t>https://www.pracuj.pl/praca/przedstawiciel-handlowy-specjalista-ds-sprzedazy-fotowoltaiki-projekt-esoleo-stalowa-wola,oferta,1001802696</t>
  </si>
  <si>
    <t>2535768</t>
  </si>
  <si>
    <t>38373090</t>
  </si>
  <si>
    <t>https://www.pracuj.pl/praca/przedstawiciel-handlowy-specjalista-ds-sprzedazy-fotowoltaiki-projekt-esoleo-tarnobrzeg,oferta,1001802712</t>
  </si>
  <si>
    <t>2535771</t>
  </si>
  <si>
    <t>38373093</t>
  </si>
  <si>
    <t>EUROFINS GSC IT POLAND Sp. z o.o.</t>
  </si>
  <si>
    <t>IT Service Desk Technician</t>
  </si>
  <si>
    <t>https://www.pracuj.pl/praca/it-service-desk-technician-rzeszow,oferta,1001802747</t>
  </si>
  <si>
    <t>2535791</t>
  </si>
  <si>
    <t>38373113</t>
  </si>
  <si>
    <t>Technolog Programista</t>
  </si>
  <si>
    <t>https://www.pracuj.pl/praca/technolog-programista-stalowa-wola,oferta,1001802526</t>
  </si>
  <si>
    <t>2535834</t>
  </si>
  <si>
    <t>38373156</t>
  </si>
  <si>
    <t>Energy Manager</t>
  </si>
  <si>
    <t>https://www.pracuj.pl/praca/energy-manager-sedziszow-malopolski,oferta,1001802640</t>
  </si>
  <si>
    <t>2535930</t>
  </si>
  <si>
    <t>38373252</t>
  </si>
  <si>
    <t>Specjalista ds. Planowania MPS</t>
  </si>
  <si>
    <t>https://www.pracuj.pl/praca/specjalista-ds-planowania-mps-krosno,oferta,1001802928</t>
  </si>
  <si>
    <t>2535948</t>
  </si>
  <si>
    <t>38373270</t>
  </si>
  <si>
    <t>https://www.pracuj.pl/praca/przedstawiciel-handlowy-specjalista-ds-sprzedazy-fotowoltaiki-projekt-esoleo-jaroslaw,oferta,1001802683</t>
  </si>
  <si>
    <t>2535975</t>
  </si>
  <si>
    <t>38373297</t>
  </si>
  <si>
    <t>https://www.pracuj.pl/praca/przedstawiciel-handlowy-specjalista-ds-sprzedazy-fotowoltaiki-projekt-esoleo-przemysl,oferta,1001802692</t>
  </si>
  <si>
    <t>2535980</t>
  </si>
  <si>
    <t>38373302</t>
  </si>
  <si>
    <t>NUTRIFARM Sp. z o.o.</t>
  </si>
  <si>
    <t>Sprzedawca - Konsultant</t>
  </si>
  <si>
    <t>https://www.pracuj.pl/praca/sprzedawca-konsultant-rzeszow,oferta,1001802643</t>
  </si>
  <si>
    <t>2536019</t>
  </si>
  <si>
    <t>38373341</t>
  </si>
  <si>
    <t>https://www.pracuj.pl/praca/przedstawiciel-handlowy-specjalista-ds-sprzedazy-fotowoltaiki-projekt-esoleo-rzeszow,oferta,1001802657</t>
  </si>
  <si>
    <t>2536043</t>
  </si>
  <si>
    <t>38373365</t>
  </si>
  <si>
    <t>https://www.pracuj.pl/praca/przedstawiciel-handlowy-specjalista-ds-sprzedazy-fotowoltaiki-projekt-esoleo-przeworsk,oferta,1001802693</t>
  </si>
  <si>
    <t>2536094</t>
  </si>
  <si>
    <t>38373416</t>
  </si>
  <si>
    <t>https://www.pracuj.pl/praca/przedstawiciel-handlowy-specjalista-ds-sprzedazy-fotowoltaiki-projekt-esoleo-mielec,oferta,1001802707</t>
  </si>
  <si>
    <t>2536107</t>
  </si>
  <si>
    <t>38373429</t>
  </si>
  <si>
    <t>https://www.pracuj.pl/praca/devops-engineer-rzeszow,oferta,1001803007</t>
  </si>
  <si>
    <t>2536291</t>
  </si>
  <si>
    <t>38373613</t>
  </si>
  <si>
    <t>https://www.pracuj.pl/praca/konsultant-ds-sprzedazy-lesko,oferta,1001803069</t>
  </si>
  <si>
    <t>2536332</t>
  </si>
  <si>
    <t>38373654</t>
  </si>
  <si>
    <t>https://www.pracuj.pl/praca/php-developer-rzeszow,oferta,1001803120</t>
  </si>
  <si>
    <t>2536431</t>
  </si>
  <si>
    <t>38373753</t>
  </si>
  <si>
    <t>PHP Developer - media industry</t>
  </si>
  <si>
    <t>https://www.pracuj.pl/praca/php-developer-media-industry-rzeszow,oferta,1001803025</t>
  </si>
  <si>
    <t>2536444</t>
  </si>
  <si>
    <t>38373766</t>
  </si>
  <si>
    <t>https://www.pracuj.pl/praca/konsultant-ds-sprzedazy-jaslo,oferta,1001803059</t>
  </si>
  <si>
    <t>2536471</t>
  </si>
  <si>
    <t>38373793</t>
  </si>
  <si>
    <t>https://www.pracuj.pl/praca/protetyk-sluchu-lesko,oferta,1001803203</t>
  </si>
  <si>
    <t>2536500</t>
  </si>
  <si>
    <t>38373822</t>
  </si>
  <si>
    <t>Protetyk słuchu</t>
  </si>
  <si>
    <t>https://www.pracuj.pl/praca/protetyk-sluchu-jaslo,oferta,1001803195</t>
  </si>
  <si>
    <t>2536597</t>
  </si>
  <si>
    <t>38373919</t>
  </si>
  <si>
    <t>IZOHAN sp. z o.o.</t>
  </si>
  <si>
    <t>https://www.pracuj.pl/praca/mlodszy-specjalista-ds-magazynowych-jaslo,oferta,1001803766</t>
  </si>
  <si>
    <t>2536629</t>
  </si>
  <si>
    <t>38373951</t>
  </si>
  <si>
    <t>Technik utrzymania ruchu - automatyk</t>
  </si>
  <si>
    <t>https://www.pracuj.pl/praca/technik-utrzymania-ruchu-automatyk-rzeszow,oferta,1001803915</t>
  </si>
  <si>
    <t>2536753</t>
  </si>
  <si>
    <t>38374075</t>
  </si>
  <si>
    <t>BOSCH SERVICE DARIUSZ PAWLIK</t>
  </si>
  <si>
    <t>Pracownik Działu Regeneracji (Produkcji)</t>
  </si>
  <si>
    <t>https://www.pracuj.pl/praca/pracownik-dzialu-regeneracji-produkcji-stalowa-wola,oferta,1001803948</t>
  </si>
  <si>
    <t>2536768</t>
  </si>
  <si>
    <t>38374090</t>
  </si>
  <si>
    <t>https://www.pracuj.pl/praca/opiekun-klienta-w-oddziale-banku-przemysl,oferta,1001803626</t>
  </si>
  <si>
    <t>2536838</t>
  </si>
  <si>
    <t>38374160</t>
  </si>
  <si>
    <t>Menedżer klubu muzycznego</t>
  </si>
  <si>
    <t>https://www.pracuj.pl/praca/manager-operacyjny-klubu-rzeszow,oferta,1001803671</t>
  </si>
  <si>
    <t>2536868</t>
  </si>
  <si>
    <t>38374190</t>
  </si>
  <si>
    <t>RPd057|343908</t>
  </si>
  <si>
    <t>Prawnik w dziale zakupów</t>
  </si>
  <si>
    <t>https://www.pracuj.pl/praca/prawnik-w-dziale-zakupow-mielec,oferta,1001804135</t>
  </si>
  <si>
    <t>2536934</t>
  </si>
  <si>
    <t>38374256</t>
  </si>
  <si>
    <t>Operator automatu spawalniczego</t>
  </si>
  <si>
    <t>https://www.pracuj.pl/praca/operator-automatu-spawalniczego-tajecina-pow-rzeszowski,oferta,1001803812</t>
  </si>
  <si>
    <t>2536952</t>
  </si>
  <si>
    <t>38374274</t>
  </si>
  <si>
    <t>RPd057|721202</t>
  </si>
  <si>
    <t>EFEKTYWNIEJ SPÓŁKA Z OGRANICZONĄ ODPOWIEDZIALNOŚCIĄ</t>
  </si>
  <si>
    <t>Specjalista ds. Funduszy Unijnych</t>
  </si>
  <si>
    <t>https://www.pracuj.pl/praca/specjalista-ds-funduszy-unijnych-rzeszow,oferta,1001804182</t>
  </si>
  <si>
    <t>2536956</t>
  </si>
  <si>
    <t>38374278</t>
  </si>
  <si>
    <t>RPd057|242109</t>
  </si>
  <si>
    <t>BorgWarner Poland Sp. z o.o. – Emissions Thermal &amp; Turbo Systems</t>
  </si>
  <si>
    <t>Staż w Dziale Zakupów</t>
  </si>
  <si>
    <t>https://www.pracuj.pl/praca/staz-w-dziale-zakupow-jasionka-pow-rzeszowski,oferta,1001803844</t>
  </si>
  <si>
    <t>2536994</t>
  </si>
  <si>
    <t>38374316</t>
  </si>
  <si>
    <t>Kontroler Procesu</t>
  </si>
  <si>
    <t>Kontroler (sterowniczy) procesów przeróbki ropy naftowej i gazu</t>
  </si>
  <si>
    <t>https://www.pracuj.pl/praca/kontroler-procesu-debica,oferta,1001803885</t>
  </si>
  <si>
    <t>2537028</t>
  </si>
  <si>
    <t>38374350</t>
  </si>
  <si>
    <t>RPd057|313401</t>
  </si>
  <si>
    <t>https://www.pracuj.pl/praca/specjalista-ds-sprzedazy-produktow-bankowych-rzeszow,oferta,1001803608</t>
  </si>
  <si>
    <t>2537034</t>
  </si>
  <si>
    <t>38374356</t>
  </si>
  <si>
    <t>Infosys Poland Sp. z o.o.</t>
  </si>
  <si>
    <t>Transition Manager</t>
  </si>
  <si>
    <t>https://www.pracuj.pl/praca/transition-manager-rzeszow,oferta,1001803971</t>
  </si>
  <si>
    <t>2537081</t>
  </si>
  <si>
    <t>38374403</t>
  </si>
  <si>
    <t>https://www.pracuj.pl/praca/buyer-rzeszow,oferta,1001803689</t>
  </si>
  <si>
    <t>2537144</t>
  </si>
  <si>
    <t>38374466</t>
  </si>
  <si>
    <t>Operator CNC - praca dla absolwentów</t>
  </si>
  <si>
    <t>https://www.pracuj.pl/praca/operator-cnc-praca-dla-absolwentow-tajecina-pow-rzeszowski,oferta,1001803757</t>
  </si>
  <si>
    <t>2537211</t>
  </si>
  <si>
    <t>38374533</t>
  </si>
  <si>
    <t>TRUCK1 SPÓŁKA Z OGRANICZONĄ ODPOWIEDZIALNOŚCIĄ</t>
  </si>
  <si>
    <t>https://www.pracuj.pl/praca/sprzedawca-podkarpackie,oferta,9082612</t>
  </si>
  <si>
    <t>2537229</t>
  </si>
  <si>
    <t>38374551</t>
  </si>
  <si>
    <t>Operator CNC (praca dla kobiet i mężczyzn)</t>
  </si>
  <si>
    <t>https://www.pracuj.pl/praca/operator-cnc-praca-dla-kobiet-i-mezczyzn-tajecina-pow-rzeszowski,oferta,1001803792</t>
  </si>
  <si>
    <t>2537239</t>
  </si>
  <si>
    <t>38374561</t>
  </si>
  <si>
    <t>Operator linii do kontroli FPI</t>
  </si>
  <si>
    <t>https://www.pracuj.pl/praca/operator-linii-do-kontroli-fpi-tajecina-pow-rzeszowski,oferta,1001803807</t>
  </si>
  <si>
    <t>2537256</t>
  </si>
  <si>
    <t>38374578</t>
  </si>
  <si>
    <t>Operator procesów produkcyjnych</t>
  </si>
  <si>
    <t>https://www.pracuj.pl/praca/operator-procesow-produkcyjnych-tajecina-pow-rzeszowski,oferta,1001803808</t>
  </si>
  <si>
    <t>2537269</t>
  </si>
  <si>
    <t>38374591</t>
  </si>
  <si>
    <t>Obsługa Klienta z Włoskim</t>
  </si>
  <si>
    <t>https://www.pracuj.pl/praca/obsluga-klienta-z-wloskim-podkarpackie,oferta,9083130</t>
  </si>
  <si>
    <t>2537297</t>
  </si>
  <si>
    <t>38374619</t>
  </si>
  <si>
    <t>Technik metrolog</t>
  </si>
  <si>
    <t>https://www.pracuj.pl/praca/operator-cmm-tajecina-pow-rzeszowski,oferta,1001803795</t>
  </si>
  <si>
    <t>2537301</t>
  </si>
  <si>
    <t>38374623</t>
  </si>
  <si>
    <t>RPd057|311109</t>
  </si>
  <si>
    <t>Junior Financial Controller</t>
  </si>
  <si>
    <t>https://www.pracuj.pl/praca/junior-financial-controller-subcarpathia,oferta,9083197</t>
  </si>
  <si>
    <t>2537312</t>
  </si>
  <si>
    <t>38374634</t>
  </si>
  <si>
    <t>https://www.pracuj.pl/praca/kierownik-budowy-podkarpackie,oferta,9083531</t>
  </si>
  <si>
    <t>2537368</t>
  </si>
  <si>
    <t>38374690</t>
  </si>
  <si>
    <t>Zespół Sprzedażowy sp. z o.o.</t>
  </si>
  <si>
    <t>Przedstawiciel Handlowy - Merchandiser</t>
  </si>
  <si>
    <t>https://www.pracuj.pl/praca/przedstawiciel-handlowy-merchandiser-jaroslaw,oferta,9083615</t>
  </si>
  <si>
    <t>2537404</t>
  </si>
  <si>
    <t>38374726</t>
  </si>
  <si>
    <t>GBO Continuous Improvement Manager</t>
  </si>
  <si>
    <t>https://www.pracuj.pl/praca/gbo-continuous-improvement-manager-subcarpathia,oferta,9084219</t>
  </si>
  <si>
    <t>2537479</t>
  </si>
  <si>
    <t>38374801</t>
  </si>
  <si>
    <t>Senior Account Executive – E-commerce</t>
  </si>
  <si>
    <t>https://www.pracuj.pl/praca/senior-account-executive-e-commerce-subcarpathia,oferta,9082787</t>
  </si>
  <si>
    <t>2537492</t>
  </si>
  <si>
    <t>38374814</t>
  </si>
  <si>
    <t>https://www.pracuj.pl/praca/regionalny-koordynator-sprzedazy-podkarpackie,oferta,9083410</t>
  </si>
  <si>
    <t>2537539</t>
  </si>
  <si>
    <t>38374861</t>
  </si>
  <si>
    <t>Design Lead</t>
  </si>
  <si>
    <t>https://www.pracuj.pl/praca/design-lead-subcarpathia,oferta,9084503</t>
  </si>
  <si>
    <t>2537577</t>
  </si>
  <si>
    <t>38374899</t>
  </si>
  <si>
    <t>MOSTOSTAL KRAKÓW S.A.</t>
  </si>
  <si>
    <t>https://www.pracuj.pl/praca/inzynier-budowy-podkarpackie,oferta,9084519</t>
  </si>
  <si>
    <t>2537581</t>
  </si>
  <si>
    <t>38374903</t>
  </si>
  <si>
    <t>Service Operations Analyst</t>
  </si>
  <si>
    <t>https://www.pracuj.pl/praca/service-operations-analyst-subcarpathia,oferta,9083980</t>
  </si>
  <si>
    <t>2537650</t>
  </si>
  <si>
    <t>38374972</t>
  </si>
  <si>
    <t>DATAGROUP AUTOMOTIVE SERVICES sp. z o.o.</t>
  </si>
  <si>
    <t>Data Analyst (m/f/d)</t>
  </si>
  <si>
    <t>https://www.pracuj.pl/praca/data-analyst-m-f-d-subcarpathia,oferta,9084785</t>
  </si>
  <si>
    <t>2537675</t>
  </si>
  <si>
    <t>38374997</t>
  </si>
  <si>
    <t>Industrialization Project Manager</t>
  </si>
  <si>
    <t>https://www.pracuj.pl/praca/industrialization-project-manager-podkarpackie,oferta,9084373</t>
  </si>
  <si>
    <t>2537713</t>
  </si>
  <si>
    <t>38375035</t>
  </si>
  <si>
    <t>Recruter (B2C)</t>
  </si>
  <si>
    <t>https://www.pracuj.pl/praca/recruter-b2c-podkarpackie,oferta,9084455</t>
  </si>
  <si>
    <t>2537739</t>
  </si>
  <si>
    <t>38375061</t>
  </si>
  <si>
    <t>GRUPA PBI Sp. z o.o.</t>
  </si>
  <si>
    <t>Kierownik ds. sprzedaży nawozów rolniczych</t>
  </si>
  <si>
    <t>https://www.pracuj.pl/praca/kierownik-ds-sprzedazy-nawozow-rolniczych-podkarpackie,oferta,9085072</t>
  </si>
  <si>
    <t>2537755</t>
  </si>
  <si>
    <t>38375077</t>
  </si>
  <si>
    <t>Technology Projects Advisory Analyst / Consultant (CN)</t>
  </si>
  <si>
    <t>https://www.pracuj.pl/praca/technology-projects-advisory-analyst-consultant-cn-subcarpathia,oferta,9084714</t>
  </si>
  <si>
    <t>2537818</t>
  </si>
  <si>
    <t>38375140</t>
  </si>
  <si>
    <t>"JARPO" SPÓŁKA Z OGRANICZONĄ ODPOWIEDZIALNOŚCIĄ</t>
  </si>
  <si>
    <t>https://www.pracuj.pl/praca/przedstawiciel-handlowy-podkarpackie,oferta,9085454</t>
  </si>
  <si>
    <t>2537825</t>
  </si>
  <si>
    <t>38375147</t>
  </si>
  <si>
    <t>https://www.pracuj.pl/praca/inzynier-budowy-podkarpackie,oferta,9085604</t>
  </si>
  <si>
    <t>2537847</t>
  </si>
  <si>
    <t>38375169</t>
  </si>
  <si>
    <t>Młodszy Operator Obrabiarek Sterowanych Numerycznie</t>
  </si>
  <si>
    <t>https://www.pracuj.pl/praca/mlodszy-operator-obrabiarek-sterowanych-numerycznie-rzeszow,oferta,1001804242</t>
  </si>
  <si>
    <t>2537860</t>
  </si>
  <si>
    <t>38375182</t>
  </si>
  <si>
    <t>Mistrz ds. Energetycznych</t>
  </si>
  <si>
    <t>https://www.pracuj.pl/praca/mistrz-ds-energetycznych-krosno,oferta,1001804304</t>
  </si>
  <si>
    <t>2537862</t>
  </si>
  <si>
    <t>38375184</t>
  </si>
  <si>
    <t>Koordynator ds. obsługi pracowników delegowanych do Niemiec</t>
  </si>
  <si>
    <t>Doradca EURES</t>
  </si>
  <si>
    <t>https://www.pracuj.pl/praca/koordynator-ds-obslugi-pracownikow-delegowanych-do-niemiec-rzeszow,oferta,1001804313</t>
  </si>
  <si>
    <t>2537865</t>
  </si>
  <si>
    <t>38375187</t>
  </si>
  <si>
    <t>RPd057|242302</t>
  </si>
  <si>
    <t>STC Sp. z o.o.</t>
  </si>
  <si>
    <t>Przedstawiciel ds. sprzedaży usług serwisowych</t>
  </si>
  <si>
    <t>https://www.pracuj.pl/praca/przedstawiciel-ds-sprzedazy-uslug-serwisowych-podkarpackie,oferta,9085657</t>
  </si>
  <si>
    <t>2537916</t>
  </si>
  <si>
    <t>38375238</t>
  </si>
  <si>
    <t>Samodzielny Dyrektor Zespołu</t>
  </si>
  <si>
    <t>https://www.pracuj.pl/praca/samodzielny-dyrektor-zespolu-podkarpackie,oferta,9085670</t>
  </si>
  <si>
    <t>2537926</t>
  </si>
  <si>
    <t>38375248</t>
  </si>
  <si>
    <t>https://www.pracuj.pl/praca/specjalista-ds-seo-podkarpackie,oferta,9082593</t>
  </si>
  <si>
    <t>2537938</t>
  </si>
  <si>
    <t>38375260</t>
  </si>
  <si>
    <t>Brygadzista Elektromonter Napowietrznych Linii WN</t>
  </si>
  <si>
    <t>https://www.pracuj.pl/praca/brygadzista-elektromonter-napowietrznych-linii-wn-podkarpackie,oferta,9082875</t>
  </si>
  <si>
    <t>2537961</t>
  </si>
  <si>
    <t>38375283</t>
  </si>
  <si>
    <t>Front-end Developer – Vue.js</t>
  </si>
  <si>
    <t>https://www.pracuj.pl/praca/front-end-developer-vue-js-podkarpackie,oferta,9083436</t>
  </si>
  <si>
    <t>2537983</t>
  </si>
  <si>
    <t>38375305</t>
  </si>
  <si>
    <t>Front End Developer - React.js</t>
  </si>
  <si>
    <t>https://www.pracuj.pl/praca/front-end-developer-react-js-podkarpackie,oferta,9083454</t>
  </si>
  <si>
    <t>2537987</t>
  </si>
  <si>
    <t>38375309</t>
  </si>
  <si>
    <t>Search Engineer</t>
  </si>
  <si>
    <t>https://www.pracuj.pl/praca/search-engineer-subcarpathia,oferta,9083586</t>
  </si>
  <si>
    <t>2537997</t>
  </si>
  <si>
    <t>38375319</t>
  </si>
  <si>
    <t>W.A.S. Wietmarscher Polska Sp. z o.o.</t>
  </si>
  <si>
    <t>Regional  Sales Manager</t>
  </si>
  <si>
    <t>https://www.pracuj.pl/praca/regional-sales-manager-podkarpackie,oferta,9083679</t>
  </si>
  <si>
    <t>2538007</t>
  </si>
  <si>
    <t>38375329</t>
  </si>
  <si>
    <t>GroupM Sp. z o.o.</t>
  </si>
  <si>
    <t>Junior SEM Specialist</t>
  </si>
  <si>
    <t>https://www.pracuj.pl/praca/junior-sem-specialist-podkarpackie,oferta,9086142</t>
  </si>
  <si>
    <t>2538029</t>
  </si>
  <si>
    <t>38375351</t>
  </si>
  <si>
    <t>Enterprise Service Architect - Network &amp; Security</t>
  </si>
  <si>
    <t>https://www.pracuj.pl/praca/enterprise-service-architect-network-security-subcarpathia,oferta,9086308</t>
  </si>
  <si>
    <t>2538042</t>
  </si>
  <si>
    <t>38375364</t>
  </si>
  <si>
    <t>Purinova Sp. z o.o.</t>
  </si>
  <si>
    <t>Specjalista ds. Zakupu Surowców</t>
  </si>
  <si>
    <t>https://www.pracuj.pl/praca/specjalista-ds-zakupu-surowcow-podkarpackie,oferta,9084095</t>
  </si>
  <si>
    <t>2538062</t>
  </si>
  <si>
    <t>38375384</t>
  </si>
  <si>
    <t>Specjalista ds. Bezpieczeństwa Leków</t>
  </si>
  <si>
    <t>https://www.pracuj.pl/praca/specjalista-ds-bezpieczenstwa-lekow-subcarpathia,oferta,9084181</t>
  </si>
  <si>
    <t>2538072</t>
  </si>
  <si>
    <t>38375394</t>
  </si>
  <si>
    <t>HR Level Up</t>
  </si>
  <si>
    <t>https://www.pracuj.pl/praca/dyrektor-techniczny-podkarpackie,oferta,9084288</t>
  </si>
  <si>
    <t>2538091</t>
  </si>
  <si>
    <t>38375413</t>
  </si>
  <si>
    <t>Senior Technical Support Executive with French</t>
  </si>
  <si>
    <t>https://www.pracuj.pl/praca/senior-technical-support-executive-with-french-subcarpathia,oferta,9084404</t>
  </si>
  <si>
    <t>2538116</t>
  </si>
  <si>
    <t>38375438</t>
  </si>
  <si>
    <t>Cloud Compliance Consultant (CN)</t>
  </si>
  <si>
    <t>https://www.pracuj.pl/praca/cloud-compliance-consultant-cn-subcarpathia,oferta,9084692</t>
  </si>
  <si>
    <t>2538162</t>
  </si>
  <si>
    <t>38375484</t>
  </si>
  <si>
    <t>Advanced Analytics Consultant (CN)</t>
  </si>
  <si>
    <t>https://www.pracuj.pl/praca/advanced-analytics-consultant-cn-subcarpathia,oferta,9084731</t>
  </si>
  <si>
    <t>2538174</t>
  </si>
  <si>
    <t>38375496</t>
  </si>
  <si>
    <t>PHP Magento Developer (part-time)</t>
  </si>
  <si>
    <t>https://www.pracuj.pl/praca/php-magento-developer-part-time-rzeszow,oferta,1001804716</t>
  </si>
  <si>
    <t>2538209</t>
  </si>
  <si>
    <t>38375531</t>
  </si>
  <si>
    <t>SARIA Polska sp. z o.o.</t>
  </si>
  <si>
    <t>https://www.pracuj.pl/praca/kontroler-finansowy-podkarpackie,oferta,9085165</t>
  </si>
  <si>
    <t>2538221</t>
  </si>
  <si>
    <t>38375543</t>
  </si>
  <si>
    <t>Staż - Programista/ Programistka .NET</t>
  </si>
  <si>
    <t>https://www.pracuj.pl/praca/staz-programista-programistka-net-podkarpackie,oferta,9085201</t>
  </si>
  <si>
    <t>30.06.2022</t>
  </si>
  <si>
    <t>2538223</t>
  </si>
  <si>
    <t>38375545</t>
  </si>
  <si>
    <t>Technical Support Specialist with French</t>
  </si>
  <si>
    <t>https://www.pracuj.pl/praca/technical-support-specialist-with-french-subcarpathia,oferta,9085835</t>
  </si>
  <si>
    <t>2538294</t>
  </si>
  <si>
    <t>38375616</t>
  </si>
  <si>
    <t>Kasjer - Sprzedawca - Mielec, Biernackiego 2</t>
  </si>
  <si>
    <t>https://www.pracuj.pl/praca/kasjer-sprzedawca-mielec-biernackiego-2-mielec,oferta,1001804951</t>
  </si>
  <si>
    <t>2538356</t>
  </si>
  <si>
    <t>38375678</t>
  </si>
  <si>
    <t>Pozostali projektanci aplikacji sieciowych i multimediów</t>
  </si>
  <si>
    <t>https://www.pracuj.pl/praca/ux-designer-rzeszow,oferta,1001805084</t>
  </si>
  <si>
    <t>2538414</t>
  </si>
  <si>
    <t>38375736</t>
  </si>
  <si>
    <t>RPd057|251390</t>
  </si>
  <si>
    <t>Senior Business Analyst - Clinical trials</t>
  </si>
  <si>
    <t>https://www.pracuj.pl/praca/senior-business-analyst-clinical-trials-rzeszow,oferta,1001805135</t>
  </si>
  <si>
    <t>2538440</t>
  </si>
  <si>
    <t>38375762</t>
  </si>
  <si>
    <t>Elektromechanik / Elektromechaniczka utrzymania ruchu</t>
  </si>
  <si>
    <t>https://www.pracuj.pl/praca/elektromechanik-elektromechaniczka-utrzymania-ruchu-jasionka-pow-rzeszowski,oferta,1001804588</t>
  </si>
  <si>
    <t>2538442</t>
  </si>
  <si>
    <t>38375764</t>
  </si>
  <si>
    <t>Regional Financial Controller</t>
  </si>
  <si>
    <t>https://www.pracuj.pl/praca/regional-financial-controller-rzeszow,oferta,1001804790</t>
  </si>
  <si>
    <t>2538527</t>
  </si>
  <si>
    <t>38375849</t>
  </si>
  <si>
    <t>Inżynier Ekolog</t>
  </si>
  <si>
    <t>Pozostali inżynierowie inżynierii środowiska</t>
  </si>
  <si>
    <t>https://www.pracuj.pl/praca/inzynier-ekolog-rzeszow,oferta,1001805337</t>
  </si>
  <si>
    <t>2538557</t>
  </si>
  <si>
    <t>38375879</t>
  </si>
  <si>
    <t>RPd057|214390</t>
  </si>
  <si>
    <t>TAXventure - praktyki w dziale Doradztwa Podatkowego</t>
  </si>
  <si>
    <t>https://www.pracuj.pl/praca/taxventure-praktyki-w-dziale-doradztwa-podatkowego-rzeszow,oferta,1001804360</t>
  </si>
  <si>
    <t>2538597</t>
  </si>
  <si>
    <t>38375919</t>
  </si>
  <si>
    <t>Specjalista ds. Ekonomicznych</t>
  </si>
  <si>
    <t>https://www.pracuj.pl/praca/specjalista-ds-ekonomicznych-podkarpackie,oferta,9083809</t>
  </si>
  <si>
    <t>2538784</t>
  </si>
  <si>
    <t>38376106</t>
  </si>
  <si>
    <t>Masterhub LLC</t>
  </si>
  <si>
    <t>https://www.pracuj.pl/praca/product-manager-subcarpathia,oferta,9083894</t>
  </si>
  <si>
    <t>2538791</t>
  </si>
  <si>
    <t>38376113</t>
  </si>
  <si>
    <t>Kierownik Operacyjny Gastronomii</t>
  </si>
  <si>
    <t>https://www.pracuj.pl/praca/kierownik-operacyjny-gastronomii-arlamow-pow-bieszczadzki-gm-ustrzyki-dolne,oferta,1001805652</t>
  </si>
  <si>
    <t>2538827</t>
  </si>
  <si>
    <t>38376149</t>
  </si>
  <si>
    <t>Pozytywni CO₂</t>
  </si>
  <si>
    <t>Specjalista ds. sprzedaży inwestycji EKO</t>
  </si>
  <si>
    <t>https://www.pracuj.pl/praca/specjalista-ds-sprzedazy-inwestycji-eko-rzeszow,oferta,1001805656</t>
  </si>
  <si>
    <t>2538836</t>
  </si>
  <si>
    <t>38376158</t>
  </si>
  <si>
    <t>DORADZAMYNIERUCHOMOSCI.PL</t>
  </si>
  <si>
    <t>https://www.pracuj.pl/praca/doradca-ds-nieruchomosci-rzeszow,oferta,1001805720</t>
  </si>
  <si>
    <t>2538880</t>
  </si>
  <si>
    <t>38376202</t>
  </si>
  <si>
    <t>Consentmanager AB</t>
  </si>
  <si>
    <t>Specjalista ds. Sprzedaży Oprogramowania SaaS</t>
  </si>
  <si>
    <t>https://www.pracuj.pl/praca/specjalista-ds-sprzedazy-oprogramowania-saas-podkarpackie,oferta,9084895</t>
  </si>
  <si>
    <t>2538992</t>
  </si>
  <si>
    <t>38376314</t>
  </si>
  <si>
    <t>TATA CONSULTANCY SERVICES LIMITED S.A. ODDZIAŁ W POLSCE</t>
  </si>
  <si>
    <t>Senior Finance Accountant RTR</t>
  </si>
  <si>
    <t>https://www.pracuj.pl/praca/senior-finance-accountant-rtr-subcarpathia,oferta,9085129</t>
  </si>
  <si>
    <t>2539033</t>
  </si>
  <si>
    <t>38376355</t>
  </si>
  <si>
    <t>Finance Accountant RTR</t>
  </si>
  <si>
    <t>https://www.pracuj.pl/praca/finance-accountant-rtr-subcarpathia,oferta,9085147</t>
  </si>
  <si>
    <t>2539041</t>
  </si>
  <si>
    <t>38376363</t>
  </si>
  <si>
    <t>WIALAN Langer i Wiatr Spółka Jawna</t>
  </si>
  <si>
    <t>Doradca ds. nawożenia i ochrony roślin</t>
  </si>
  <si>
    <t>Doradca rolniczy</t>
  </si>
  <si>
    <t>https://www.pracuj.pl/praca/doradca-ds-nawozenia-i-ochrony-roslin-podkarpackie,oferta,9085347</t>
  </si>
  <si>
    <t>2539061</t>
  </si>
  <si>
    <t>38376383</t>
  </si>
  <si>
    <t>RPd057|213201</t>
  </si>
  <si>
    <t>VERTEX sp. z o.o.</t>
  </si>
  <si>
    <t>Przedstawiciel/ka Handlowy/a</t>
  </si>
  <si>
    <t>https://www.pracuj.pl/praca/przedstawiciel-ka-handlowy-a-podkarpackie,oferta,9085379</t>
  </si>
  <si>
    <t>2539066</t>
  </si>
  <si>
    <t>38376388</t>
  </si>
  <si>
    <t>Zehnder Group Bolesławiec Sp. z o.o.</t>
  </si>
  <si>
    <t>Application Manager SAP Success Factors</t>
  </si>
  <si>
    <t>https://www.pracuj.pl/praca/application-manager-sap-success-factors-subcarpathia,oferta,9085641</t>
  </si>
  <si>
    <t>2539088</t>
  </si>
  <si>
    <t>38376410</t>
  </si>
  <si>
    <t>Staż - Tester/ Testerka oprogramowania</t>
  </si>
  <si>
    <t>https://www.pracuj.pl/praca/staz-tester-testerka-oprogramowania-podkarpackie,oferta,9085495</t>
  </si>
  <si>
    <t>2539091</t>
  </si>
  <si>
    <t>38376413</t>
  </si>
  <si>
    <t>https://www.pracuj.pl/praca/scrum-master-subcarpathia,oferta,9085514</t>
  </si>
  <si>
    <t>2539097</t>
  </si>
  <si>
    <t>38376419</t>
  </si>
  <si>
    <t>ALSTOM ZWUS sp. z o.o.</t>
  </si>
  <si>
    <t>System Engineer - Embedded System Designer</t>
  </si>
  <si>
    <t>https://www.pracuj.pl/praca/system-engineer-embedded-system-designer-rzeszow,oferta,1001805642</t>
  </si>
  <si>
    <t>2539115</t>
  </si>
  <si>
    <t>38376437</t>
  </si>
  <si>
    <t>CJ BLOK FABRYKA ELEMENTÓW BUDOWLANYCH sp. z o.o.</t>
  </si>
  <si>
    <t>https://www.pracuj.pl/praca/pracownik-produkcji-glogow-malopolski,oferta,1001805751</t>
  </si>
  <si>
    <t>2539200</t>
  </si>
  <si>
    <t>38376522</t>
  </si>
  <si>
    <t>Laborant analiz chemicznych</t>
  </si>
  <si>
    <t>https://www.pracuj.pl/praca/laborant-analiz-chemicznych-sanok,oferta,1001804557</t>
  </si>
  <si>
    <t>2539303</t>
  </si>
  <si>
    <t>38376625</t>
  </si>
  <si>
    <t>Specjalista Działu Obsługi Klienta z j. niemieckim i j. angielskim</t>
  </si>
  <si>
    <t>https://www.pracuj.pl/praca/specjalista-dzialu-obslugi-klienta-z-j-niemieckim-i-j-angielskim-jaslo,oferta,1001804492</t>
  </si>
  <si>
    <t>2539308</t>
  </si>
  <si>
    <t>38376630</t>
  </si>
  <si>
    <t>HERLINGROUP sp. z o.o.</t>
  </si>
  <si>
    <t>https://www.pracuj.pl/praca/specjalista-ds-ksiegowosci-rzeszow,oferta,1001804739</t>
  </si>
  <si>
    <t>2539404</t>
  </si>
  <si>
    <t>38376726</t>
  </si>
  <si>
    <t>PHP Magento Developer</t>
  </si>
  <si>
    <t>https://www.pracuj.pl/praca/php-magento-developer-rzeszow,oferta,1001804695</t>
  </si>
  <si>
    <t>2539416</t>
  </si>
  <si>
    <t>38376738</t>
  </si>
  <si>
    <t>ROHLIG SUUS Logistics S.A</t>
  </si>
  <si>
    <t>Administrator Infrastruktury IT</t>
  </si>
  <si>
    <t>https://www.pracuj.pl/praca/administrator-infrastruktury-it-rzeszow,oferta,1001804757</t>
  </si>
  <si>
    <t>2539423</t>
  </si>
  <si>
    <t>38376745</t>
  </si>
  <si>
    <t>ZPOiW Sp. z o.o. Vortumnus</t>
  </si>
  <si>
    <t>Manager ds. sprzedaży eksportowej</t>
  </si>
  <si>
    <t>Polska, podkarpackie, Lisów (pow. jasielski)</t>
  </si>
  <si>
    <t>https://www.pracuj.pl/praca/manager-ds-sprzedazy-eksportowej-lisow-pow-jasielski,oferta,1001804727</t>
  </si>
  <si>
    <t>2539428</t>
  </si>
  <si>
    <t>38376750</t>
  </si>
  <si>
    <t>Unitcargo</t>
  </si>
  <si>
    <t>https://www.pracuj.pl/praca/specjalista-ds-zakupow-rzeszow,oferta,1001804859</t>
  </si>
  <si>
    <t>2539481</t>
  </si>
  <si>
    <t>38376803</t>
  </si>
  <si>
    <t>PIEKARNIA REWOLUCJI sp. z o.o.</t>
  </si>
  <si>
    <t>Polska, podkarpackie, Trzebownisko (pow. rzeszowski)</t>
  </si>
  <si>
    <t>https://www.pracuj.pl/praca/pracownik-produkcji-trzebownisko-pow-rzeszowski,oferta,1001804926</t>
  </si>
  <si>
    <t>2539516</t>
  </si>
  <si>
    <t>38376838</t>
  </si>
  <si>
    <t>https://www.pracuj.pl/praca/analityk-biznesowo-systemowy-rzeszow,oferta,1001805148</t>
  </si>
  <si>
    <t>2539606</t>
  </si>
  <si>
    <t>38376928</t>
  </si>
  <si>
    <t>LINKTIS SP Z O O</t>
  </si>
  <si>
    <t>https://www.pracuj.pl/praca/spedytor-miedzynarodowy-rzeszow,oferta,1001805209</t>
  </si>
  <si>
    <t>2539660</t>
  </si>
  <si>
    <t>38376982</t>
  </si>
  <si>
    <t>Automation Test Engineer</t>
  </si>
  <si>
    <t>https://www.pracuj.pl/praca/automation-test-engineer-rzeszow,oferta,1001805291</t>
  </si>
  <si>
    <t>2539680</t>
  </si>
  <si>
    <t>38377002</t>
  </si>
  <si>
    <t>Team Leader - Kierownik zespołu</t>
  </si>
  <si>
    <t>https://www.pracuj.pl/praca/team-leader-kierownik-zespolu-rzeszow,oferta,1001805246</t>
  </si>
  <si>
    <t>2539692</t>
  </si>
  <si>
    <t>38377014</t>
  </si>
  <si>
    <t>Dyrektor Regionalny</t>
  </si>
  <si>
    <t>https://www.pracuj.pl/praca/dyrektor-regionalny-rzeszow,oferta,1001805478</t>
  </si>
  <si>
    <t>2539798</t>
  </si>
  <si>
    <t>38377120</t>
  </si>
  <si>
    <t>SZARE KOMÓRKI sp. z o.o.</t>
  </si>
  <si>
    <t>Praktyki Płatne w Projekcie Studencki Starter</t>
  </si>
  <si>
    <t>https://www.pracuj.pl/praca/praktyki-platne-w-projekcie-studencki-starter-rzeszow,oferta,1001805591</t>
  </si>
  <si>
    <t>2539831</t>
  </si>
  <si>
    <t>38377153</t>
  </si>
  <si>
    <t>https://www.pracuj.pl/praca/bankier-klienta-biznesowego-przemysl,oferta,1001805807</t>
  </si>
  <si>
    <t>2539899</t>
  </si>
  <si>
    <t>38377221</t>
  </si>
  <si>
    <t>PTI Sp. z o.o.</t>
  </si>
  <si>
    <t>Specjalista ds. Sprzedaży w Salonie</t>
  </si>
  <si>
    <t>https://www.pracuj.pl/praca/specjalista-ds-sprzedazy-w-salonie-jaslo,oferta,1001805797</t>
  </si>
  <si>
    <t>2539964</t>
  </si>
  <si>
    <t>38377286</t>
  </si>
  <si>
    <t>Cortex Chemicals Sp. z o.o.</t>
  </si>
  <si>
    <t>Strategic Buyer</t>
  </si>
  <si>
    <t>https://www.pracuj.pl/praca/strategic-buyer-rzeszow,oferta,1001805879</t>
  </si>
  <si>
    <t>2539984</t>
  </si>
  <si>
    <t>38377306</t>
  </si>
  <si>
    <t>II kw. 22</t>
  </si>
  <si>
    <t>II 2022</t>
  </si>
  <si>
    <t>Właściciel małego sklepu</t>
  </si>
  <si>
    <t>https://www.pracuj.pl/praca/wlasciciel-sklepu-podkarpackie,oferta,9021302</t>
  </si>
  <si>
    <t>25.05.2022 04:20</t>
  </si>
  <si>
    <t>24.04.2022</t>
  </si>
  <si>
    <t>22.05.2022</t>
  </si>
  <si>
    <t>RPd057|522103</t>
  </si>
  <si>
    <t>https://www.pracuj.pl/praca/android-developer-podkarpackie,oferta,9021328</t>
  </si>
  <si>
    <t>KWKR Konieczny Wierzbicki i Partnerzy S.K.A.</t>
  </si>
  <si>
    <t>Prawnik - specjalista z zakresu prawa nowych technologii i kontraktów w obrocie gospodarczym</t>
  </si>
  <si>
    <t>https://www.pracuj.pl/praca/prawnik-specjalista-z-zakresu-prawa-nowych-technologii-i-kontraktow-w-obrocie-go-podkarpackie,oferta,9021638</t>
  </si>
  <si>
    <t>https://www.pracuj.pl/praca/agent-ubezpieczeniowy-debica,oferta,1001751014</t>
  </si>
  <si>
    <t>Tester</t>
  </si>
  <si>
    <t>https://www.pracuj.pl/praca/tester-rzeszow,oferta,1001751082</t>
  </si>
  <si>
    <t>https://www.pracuj.pl/praca/menadzer-zespolu-sprzedazy-rzeszow,oferta,1001751121</t>
  </si>
  <si>
    <t>https://www.pracuj.pl/praca/menadzer-zespolu-sprzedazy-mielec,oferta,1001751147</t>
  </si>
  <si>
    <t>ZARMEN Sp. z o.o.</t>
  </si>
  <si>
    <t>Specjalista ds. Administracji Kontraktu</t>
  </si>
  <si>
    <t>31.05.2022</t>
  </si>
  <si>
    <t>https://www.pracuj.pl/praca/specjalista-ds-administracji-kontraktu-jedlicze,oferta,1001751158</t>
  </si>
  <si>
    <t>Staż w Dziale Inwestycji i Utrzymania Ruchu - CIECH Starter</t>
  </si>
  <si>
    <t>https://www.pracuj.pl/praca/staz-w-dziale-inwestycji-i-utrzymania-ruchu-ciech-starter-nowa-sarzyna,oferta,1001751179</t>
  </si>
  <si>
    <t>DUHABEX Sp z o.o.</t>
  </si>
  <si>
    <t>Kierowca kat. C+E oraz z podstawowym ADR</t>
  </si>
  <si>
    <t>https://www.pracuj.pl/praca/kierowca-kat-c%2be-oraz-z-podstawowym-adr-rzeszow,oferta,1001751200</t>
  </si>
  <si>
    <t>Specjalistka / Specjalista ds. bezpieczeństwa</t>
  </si>
  <si>
    <t>https://www.pracuj.pl/praca/specjalistka-specjalista-ds-bezpieczenstwa-rzeszow,oferta,1001751207</t>
  </si>
  <si>
    <t>Koordynatorka / Koordynator zespołu magazynowego</t>
  </si>
  <si>
    <t>https://www.pracuj.pl/praca/koordynatorka-koordynator-zespolu-magazynowego-rzeszow,oferta,1001751208</t>
  </si>
  <si>
    <t>Operatorka / Operator systemów magazynowych</t>
  </si>
  <si>
    <t>https://www.pracuj.pl/praca/operatorka-operator-systemow-magazynowych-rzeszow,oferta,1001751211</t>
  </si>
  <si>
    <t>https://www.pracuj.pl/praca/programista-java-regular-senior-rzeszow,oferta,1001751219</t>
  </si>
  <si>
    <t>https://www.pracuj.pl/praca/regionalny-przedstawiciel-sprzedazy-rzeszow,oferta,1001751255</t>
  </si>
  <si>
    <t>https://www.pracuj.pl/praca/regionalny-przedstawiciel-sprzedazy-sanok,oferta,1001751256</t>
  </si>
  <si>
    <t>Optimo Sp. z o.o.</t>
  </si>
  <si>
    <t>https://www.pracuj.pl/praca/doradca-klienta-biznesowego-orange-rzeszow,oferta,1001751325</t>
  </si>
  <si>
    <t>https://www.pracuj.pl/praca/sprzedawca-mielec,oferta,1001751369</t>
  </si>
  <si>
    <t>https://www.pracuj.pl/praca/sprzedawca-rzeszow,oferta,1001751381</t>
  </si>
  <si>
    <t>Zastępca Kierownika Salonu</t>
  </si>
  <si>
    <t>https://www.pracuj.pl/praca/zastepca-kierownika-salonu-mielec,oferta,1001751470</t>
  </si>
  <si>
    <t>https://www.pracuj.pl/praca/zastepca-kierownika-salonu-rzeszow,oferta,1001751497</t>
  </si>
  <si>
    <t>https://www.pracuj.pl/praca/kierownik-salonu-mielec,oferta,1001751583</t>
  </si>
  <si>
    <t>https://www.pracuj.pl/praca/doradca-ubezpieczeniowy-mielec,oferta,1001751595</t>
  </si>
  <si>
    <t>https://www.pracuj.pl/praca/kierownik-salonu-rzeszow,oferta,1001751600</t>
  </si>
  <si>
    <t>https://www.pracuj.pl/praca/doradca-ubezpieczeniowy-rzeszow,oferta,1001751617</t>
  </si>
  <si>
    <t>https://www.pracuj.pl/praca/architekt-it-rzeszow,oferta,1001751669</t>
  </si>
  <si>
    <t>https://www.pracuj.pl/praca/analityk-biznesowo-systemowy-rzeszow,oferta,1001751685</t>
  </si>
  <si>
    <t>Kierownik Robót Budowlanych</t>
  </si>
  <si>
    <t>https://www.pracuj.pl/praca/kierownik-robot-budowlanych-jedlicze,oferta,1001751701</t>
  </si>
  <si>
    <t>Specjalista ds. BIM</t>
  </si>
  <si>
    <t>https://www.pracuj.pl/praca/specjalista-ds-bim-jedlicze,oferta,1001751707</t>
  </si>
  <si>
    <t>https://www.pracuj.pl/praca/specjalista-ds-zakupow-jedlicze,oferta,1001751709</t>
  </si>
  <si>
    <t>Kierownik Robót Branży Energetycznej</t>
  </si>
  <si>
    <t>https://www.pracuj.pl/praca/kierownik-robot-branzy-energetycznej-jedlicze,oferta,1001751712</t>
  </si>
  <si>
    <t>Kierownik Robót w Branży AKPiA</t>
  </si>
  <si>
    <t>https://www.pracuj.pl/praca/kierownik-robot-w-branzy-akpia-jedlicze,oferta,1001751713</t>
  </si>
  <si>
    <t>https://www.pracuj.pl/praca/inzynier-budowy-jedlicze,oferta,1001751719</t>
  </si>
  <si>
    <t>Specjalista ds. Planowania / Harmonogramowania</t>
  </si>
  <si>
    <t>https://www.pracuj.pl/praca/specjalista-ds-planowania-harmonogramowania-jedlicze,oferta,1001751721</t>
  </si>
  <si>
    <t>CIECH SERVICES  SP. Z O.O.</t>
  </si>
  <si>
    <t>Staż w Dziale IT - CIECH Starter</t>
  </si>
  <si>
    <t>https://www.pracuj.pl/praca/staz-w-dziale-it-ciech-starter-nowa-sarzyna,oferta,1001751734</t>
  </si>
  <si>
    <t>https://www.praca.pl/doradca-klienta_6991305.html</t>
  </si>
  <si>
    <t>25.05.2022 04:29</t>
  </si>
  <si>
    <t>https://www.praca.pl/kierownik-budowy_6991059.html</t>
  </si>
  <si>
    <t>Service Desk Team Manager</t>
  </si>
  <si>
    <t>https://www.praca.pl/service-desk-team-manager_6996357.html</t>
  </si>
  <si>
    <t>25.05.2022 03:03</t>
  </si>
  <si>
    <t>11.06.2022</t>
  </si>
  <si>
    <t>Service Process Leader - Release Management</t>
  </si>
  <si>
    <t>https://www.praca.pl/service-process-leader-release-management_6989439.html</t>
  </si>
  <si>
    <t>Polska, podkarpackie, Rzeszów, Galeria Rzeszów</t>
  </si>
  <si>
    <t>https://www.praca.pl/doradca-klienta_7021488.html</t>
  </si>
  <si>
    <t>04.06.2022</t>
  </si>
  <si>
    <t>Polska, podkarpackie, Łąka (pow. rzeszowski, gm. Trzebownisko), okolice Rzeszowa</t>
  </si>
  <si>
    <t>https://www.praca.pl/operator-maszyn_7052637.html</t>
  </si>
  <si>
    <t>Koordynator logistyki / Lider zmiany</t>
  </si>
  <si>
    <t>https://www.praca.pl/koordynator-logistyki-lider-zmiany_7052469.html</t>
  </si>
  <si>
    <t>Inter Cars S.A.</t>
  </si>
  <si>
    <t>Menedżer Regionu - Oleje i Środki Smarne</t>
  </si>
  <si>
    <t>https://www.praca.pl/menedzer-regionu-oleje-i-srodki-smarne_7051644.html</t>
  </si>
  <si>
    <t>ZETO-RZESZÓW Sp. z o.o.</t>
  </si>
  <si>
    <t>Specjalista ds. sprzedaży rozwiązań IT</t>
  </si>
  <si>
    <t>https://www.praca.pl/specjalista-ds-sprzedazy-rozwiazan-it_7050960.html</t>
  </si>
  <si>
    <t>22.06.2022</t>
  </si>
  <si>
    <t>Studio Gambit Sp. z o.o.</t>
  </si>
  <si>
    <t>Tłumacz / Weryfikator j. angielskiego - profil medyczny</t>
  </si>
  <si>
    <t>https://www.praca.pl/tlumacz-weryfikator-j-angielskiego-profil-medyczny_7050693.html</t>
  </si>
  <si>
    <t>ACS AUDIKA Sp. z o.o.</t>
  </si>
  <si>
    <t>Przedstawiciel medyczny - laryngologia</t>
  </si>
  <si>
    <t>https://www.praca.pl/przedstawiciel-medyczny-laryngologia_7044483.html</t>
  </si>
  <si>
    <t>LEHMANN + PARTNER POLSKA Sp. z o.o.</t>
  </si>
  <si>
    <t>Inspektor mostowy</t>
  </si>
  <si>
    <t>https://www.praca.pl/inspektor-mostowy_7044006.html</t>
  </si>
  <si>
    <t>Kierowca Ciągnika Siodłowego kat. C+E</t>
  </si>
  <si>
    <t>https://www.praca.pl/kierowca-ciagnika-siodlowego-kat-c-e_7050138.html</t>
  </si>
  <si>
    <t>Pracownik w zespole sprzedaży i obsługi contact center</t>
  </si>
  <si>
    <t>https://www.praca.pl/pracownik-w-zespole-sprzedazy-i-obslugi-contact-center_7049355.html</t>
  </si>
  <si>
    <t>PKO Bank Polski S.A.</t>
  </si>
  <si>
    <t>Młodszy Konsultant ds. Sprzedaży i Obsługi Contact Center</t>
  </si>
  <si>
    <t>https://www.praca.pl/mlodszy-konsultant-ds-sprzedazy-i-obslugi-contact-center_7049346.html</t>
  </si>
  <si>
    <t>https://www.praca.pl/mlodszy-konsultant-ds-sprzedazy-i-obslugi-contact-center_7049352.html</t>
  </si>
  <si>
    <t>https://www.praca.pl/doradca-klienta-indywidualnego_7049235.html</t>
  </si>
  <si>
    <t>https://www.praca.pl/starszy-inspektor-weterynaryjny_7049124.html</t>
  </si>
  <si>
    <t>Biuro Tłumaczeń SUPERTŁUMACZ®</t>
  </si>
  <si>
    <t>Tłumacz języka arabskiego</t>
  </si>
  <si>
    <t>Polska, podkarpackie, Rzeszów, Mielec, Przemyśl, Stalowa Wola, Tarnobrzeg, Krosno, Dębica, Jarosław, Sanok, Jasło, Łańcut, Ropczyce, Nisko, Przeworsk, Leżajsk, Sędziszów Małopolski, Lubaczów, Nowa Dęba, Kolbuszowa, Ustrzyki Dolne, Strzyżów, Głogów Małopolski, Brzozów</t>
  </si>
  <si>
    <t>https://www.praca.pl/tlumacz-jezyka-arabskiego_7046727.html</t>
  </si>
  <si>
    <t>Tłumacz języka gruzińskiego</t>
  </si>
  <si>
    <t>https://www.praca.pl/tlumacz-jezyka-gruzinskiego_7046679.html</t>
  </si>
  <si>
    <t>Tłumacz języka fińskiego</t>
  </si>
  <si>
    <t>https://www.praca.pl/tlumacz-jezyka-finskiego_7046631.html</t>
  </si>
  <si>
    <t>https://www.praca.pl/tlumacz-jezyka-japonskiego_7046583.html</t>
  </si>
  <si>
    <t>Tłumacz języka estońskiego</t>
  </si>
  <si>
    <t>https://www.praca.pl/tlumacz-jezyka-estonskiego_7046535.html</t>
  </si>
  <si>
    <t>Tłumacz języka słoweńskiego</t>
  </si>
  <si>
    <t>https://www.praca.pl/tlumacz-jezyka-slowenskiego_7046487.html</t>
  </si>
  <si>
    <t>25.05.2022 03:30</t>
  </si>
  <si>
    <t>Operator produkcji (m/k) w nowej firmie w Jasionce</t>
  </si>
  <si>
    <t>https://www.goldenline.pl/praca/oferta/1302664/zielonalinia0?utm_brand=goldenline&amp;utm_source=zielonalinia0&amp;gpid=1012788&amp;utm_channel=free&amp;utm_medium=oferta&amp;utm_department=marketing</t>
  </si>
  <si>
    <t>HR FOR BUSINESS Sp. z o.o.</t>
  </si>
  <si>
    <t>Pracownik Ochrony Sklepu Budowlanego Krasne/k. Rzeszowa</t>
  </si>
  <si>
    <t>https://www.goldenline.pl/praca/oferta/1302780/zielonalinia0?utm_brand=goldenline&amp;utm_source=zielonalinia0&amp;gpid=1012912&amp;utm_channel=free&amp;utm_medium=oferta&amp;utm_department=marketing</t>
  </si>
  <si>
    <t>AMPOL - MEROL SPÓŁKA Z OGRANICZONĄ ODPOWIEDZIALNOŚCIĄ</t>
  </si>
  <si>
    <t>Doradca Agrotechniczny</t>
  </si>
  <si>
    <t>https://www.pracuj.pl/praca/doradca-agrotechniczny-podkarpackie,oferta,9103143</t>
  </si>
  <si>
    <t>25.05.2022 03:40</t>
  </si>
  <si>
    <t>BBP INŻYNIERIA SPÓŁKA Z OGRANICZONĄ ODPOWIEDZIALNOŚCIĄ</t>
  </si>
  <si>
    <t>Elektromonter - Automatyk</t>
  </si>
  <si>
    <t>https://www.pracuj.pl/praca/elektromonter-automatyk-podkarpackie,oferta,9103031</t>
  </si>
  <si>
    <t>Customer Service &amp; Supply Chain Specialist with French</t>
  </si>
  <si>
    <t>https://www.pracuj.pl/praca/customer-service-supply-chain-specialist-with-french-subcarpathia,oferta,9103202</t>
  </si>
  <si>
    <t>https://www.pracuj.pl/praca/tester-subcarpathia,oferta,9103250</t>
  </si>
  <si>
    <t>Kierowca międzynarodowy kat. C/C+E</t>
  </si>
  <si>
    <t>https://www.pracuj.pl/praca/kierowca-miedzynarodowy-kat-c-c%2be-podkarpackie,oferta,9103298</t>
  </si>
  <si>
    <t>Dyrektor Oddziału – Niezależny Partner Biznesowy</t>
  </si>
  <si>
    <t>https://www.pracuj.pl/praca/dyrektor-oddzialu-niezalezny-partner-biznesowy-rzeszow,oferta,9103539</t>
  </si>
  <si>
    <t>Regionalny Kierownik Personalny (Wschód)</t>
  </si>
  <si>
    <t>https://www.pracuj.pl/praca/regionalny-kierownik-personalny-wschod-podkarpackie,oferta,9103650</t>
  </si>
  <si>
    <t>MEDISEPT Sp. z o.o.</t>
  </si>
  <si>
    <t>Export Manager – Kraje Europy Południowej</t>
  </si>
  <si>
    <t>https://www.pracuj.pl/praca/export-manager-kraje-europy-poludniowej-podkarpackie,oferta,9103331</t>
  </si>
  <si>
    <t>https://www.pracuj.pl/praca/fizjoterapeuta-do-rehabilitacji-w-warunkach-domowych-kolbuszowa,oferta,9103397</t>
  </si>
  <si>
    <t>Python Developer (Partnerships Team)</t>
  </si>
  <si>
    <t>https://www.pracuj.pl/praca/python-developer-partnerships-team-subcarpathia,oferta,9103512</t>
  </si>
  <si>
    <t>Elsteel-Poland Sp. z o.o.</t>
  </si>
  <si>
    <t>Group IT Manager</t>
  </si>
  <si>
    <t>https://www.pracuj.pl/praca/group-it-manager-subcarpathia,oferta,9103838</t>
  </si>
  <si>
    <t>HAWE TELEKOM SP. Z O.O.</t>
  </si>
  <si>
    <t>https://www.pracuj.pl/praca/sales-manager-podkarpackie,oferta,9103710</t>
  </si>
  <si>
    <t>Inżynier ds. Ruruciągów</t>
  </si>
  <si>
    <t>https://www.pracuj.pl/praca/inzynier-ds-ruruciagow-podkarpackie,oferta,9104043</t>
  </si>
  <si>
    <t>.NET Developer (Starszy Specjalista/ Starsza Specjalistka)</t>
  </si>
  <si>
    <t>https://www.pracuj.pl/praca/net-developer-starszy-specjalista-starsza-specjalistka-podkarpackie,oferta,9104290</t>
  </si>
  <si>
    <t>07.07.2022</t>
  </si>
  <si>
    <t>VICTOR ENERGY SPÓŁKA Z OGRANICZONĄ ODPOWIEDZIALNOŚCIĄ</t>
  </si>
  <si>
    <t>Elektromonter z możliwością przyuczenia</t>
  </si>
  <si>
    <t>https://www.pracuj.pl/praca/elektromonter-z-mozliwoscia-przyuczenia-podkarpackie,oferta,9104359</t>
  </si>
  <si>
    <t>TÜV Rheinland Group</t>
  </si>
  <si>
    <t>Specjalista ds. Wyrobów Medycznych, Audytor (wyroby medyczne aktywne/nieaktywne)</t>
  </si>
  <si>
    <t>https://www.pracuj.pl/praca/specjalista-ds-wyrobow-medycznych-audytor-wyroby-medyczne-aktywne-nieaktywne-podkarpackie,oferta,9104405</t>
  </si>
  <si>
    <t>Biuro Studiów i Projektów Chłodni Energetycznych "PROJCHŁOD" Sp. z o.o.</t>
  </si>
  <si>
    <t>https://www.pracuj.pl/praca/technolog-podkarpackie,oferta,9104267</t>
  </si>
  <si>
    <t>Przedstawiciel Handlowy ds. Biznesu</t>
  </si>
  <si>
    <t>https://www.pracuj.pl/praca/przedstawiciel-handlowy-ds-biznesu-podkarpackie,oferta,9104697</t>
  </si>
  <si>
    <t>Młodszy specjalista ds. Księgowości AP z językiem niemieckim</t>
  </si>
  <si>
    <t>https://www.pracuj.pl/praca/mlodszy-specjalista-ds-ksiegowosci-ap-z-jezykiem-niemieckim-podkarpackie,oferta,9104756</t>
  </si>
  <si>
    <t>MATEUS SP. Z O.O.</t>
  </si>
  <si>
    <t>Przedstawiciel Regionalny</t>
  </si>
  <si>
    <t>https://www.pracuj.pl/praca/przedstawiciel-regionalny-podkarpackie,oferta,9104414</t>
  </si>
  <si>
    <t>Specjalista ds. Wyrobów Medycznych, Audytor (wyroby medyczne do diagnostyki in-vitro)</t>
  </si>
  <si>
    <t>https://www.pracuj.pl/praca/specjalista-ds-wyrobow-medycznych-audytor-wyroby-medyczne-do-diagnostyki-in-vitr-podkarpackie,oferta,9104430</t>
  </si>
  <si>
    <t>Kierowca C+E  (bez doświadczenia)</t>
  </si>
  <si>
    <t>https://www.pracuj.pl/praca/kierowca-c%2be-bez-doswiadczenia-podkarpackie,oferta,9104494</t>
  </si>
  <si>
    <t>Gegenbauer Polska Sp. z o.o.</t>
  </si>
  <si>
    <t>Kierownik techniczny projektu  – wsparcie obiektów wielkopowierzchniowych</t>
  </si>
  <si>
    <t>https://www.pracuj.pl/praca/kierownik-techniczny-projektu-wsparcie-obiektow-wielkopowierzchniowych-podkarpackie,oferta,9104503</t>
  </si>
  <si>
    <t>(Junior) Service Business Settlement Specialist with German</t>
  </si>
  <si>
    <t>https://www.pracuj.pl/praca/junior-service-business-settlement-specialist-with-german-podkarpackie,oferta,9104775</t>
  </si>
  <si>
    <t>Enterprise Agile Coach</t>
  </si>
  <si>
    <t>https://www.pracuj.pl/praca/enterprise-agile-coach-subcarpathia,oferta,9104910</t>
  </si>
  <si>
    <t>Python Developer (Payments Team)</t>
  </si>
  <si>
    <t>https://www.pracuj.pl/praca/python-developer-payments-team-subcarpathia,oferta,9104942</t>
  </si>
  <si>
    <t>HR for Business Sp. z o.o.</t>
  </si>
  <si>
    <t>Rekruter z językiem ukraińskim</t>
  </si>
  <si>
    <t>https://www.pracuj.pl/praca/rekruter-z-jezykiem-ukrainskim-podkarpackie,oferta,9104986</t>
  </si>
  <si>
    <t>Copywriter SEO</t>
  </si>
  <si>
    <t>https://www.pracuj.pl/praca/copywriter-seo-podkarpackie,oferta,9105190</t>
  </si>
  <si>
    <t>25.05.2022 06:28</t>
  </si>
  <si>
    <t>https://www.pracuj.pl/praca/react-developer-subcarpathia,oferta,9105313</t>
  </si>
  <si>
    <t>KORAL TRADE SPÓŁKA Z OGRANICZONĄ ODPOWIEDZIALNOŚCIĄ</t>
  </si>
  <si>
    <t>Dyrektor Sprzedaży ds. Gastronomii</t>
  </si>
  <si>
    <t>https://www.pracuj.pl/praca/dyrektor-sprzedazy-ds-gastronomii-podkarpackie,oferta,9105071</t>
  </si>
  <si>
    <t>PPC Analyst</t>
  </si>
  <si>
    <t>https://www.pracuj.pl/praca/ppc-analyst-subcarpathia,oferta,9105394</t>
  </si>
  <si>
    <t>OPENMS SP Z O O</t>
  </si>
  <si>
    <t>https://www.pracuj.pl/praca/backend-developer-podkarpackie,oferta,9105473</t>
  </si>
  <si>
    <t>BiNatural Grzegorz Krystosiak</t>
  </si>
  <si>
    <t>https://www.pracuj.pl/praca/specjalista-ds-sprzedazy-podkarpackie,oferta,9105960</t>
  </si>
  <si>
    <t>Junior Accountant (French market)</t>
  </si>
  <si>
    <t>https://www.pracuj.pl/praca/junior-accountant-french-market-subcarpathia,oferta,9105798</t>
  </si>
  <si>
    <t>Content Publisher- E-commerce</t>
  </si>
  <si>
    <t>https://www.pracuj.pl/praca/content-publisher-e-commerce-subcarpathia,oferta,9106077</t>
  </si>
  <si>
    <t>Change Management Consultant / Analyst (CN)</t>
  </si>
  <si>
    <t>https://www.pracuj.pl/praca/change-management-consultant-analyst-cn-subcarpathia,oferta,9106430</t>
  </si>
  <si>
    <t>ArchiDoc S.A.</t>
  </si>
  <si>
    <t>https://www.pracuj.pl/praca/programista-java-podkarpackie,oferta,9106561</t>
  </si>
  <si>
    <t>SAP Finance Consultant</t>
  </si>
  <si>
    <t>https://www.pracuj.pl/praca/sap-finance-consultant-subcarpathia,oferta,9105880</t>
  </si>
  <si>
    <t>https://www.pracuj.pl/praca/trener-programowania-dla-dzieci-i-mlodziezy-przemysl,oferta,1001819557</t>
  </si>
  <si>
    <t>https://www.pracuj.pl/praca/trener-programowania-dla-dzieci-i-mlodziezy-stalowa-wola,oferta,1001819563</t>
  </si>
  <si>
    <t>https://www.pracuj.pl/praca/trener-programowania-dla-dzieci-i-mlodziezy-rzeszow,oferta,1001819593</t>
  </si>
  <si>
    <t>HEATPEX</t>
  </si>
  <si>
    <t>Inżynier sprzedaży - Przedstawiciel handlowy</t>
  </si>
  <si>
    <t>https://www.pracuj.pl/praca/inzynier-sprzedazy-przedstawiciel-handlowy-mielec,oferta,1001819622</t>
  </si>
  <si>
    <t>Technolog Żywności</t>
  </si>
  <si>
    <t>https://www.pracuj.pl/praca/technolog-zywnosci-ropczyce,oferta,1001819792</t>
  </si>
  <si>
    <t>https://www.pracuj.pl/praca/technolog-zywnosci-jezowe-pow-nizanski,oferta,1001819793</t>
  </si>
  <si>
    <t>Sosivio</t>
  </si>
  <si>
    <t>Backend developer</t>
  </si>
  <si>
    <t>https://www.pracuj.pl/praca/backend-developer-subcarpathia,oferta,9105900</t>
  </si>
  <si>
    <t>https://www.pracuj.pl/praca/web-developer-rzeszow,oferta,1001819877</t>
  </si>
  <si>
    <t>BLANKO Dawid Ziobroń</t>
  </si>
  <si>
    <t>https://www.pracuj.pl/praca/monter-mebli-mielec,oferta,1001819959</t>
  </si>
  <si>
    <t>https://www.pracuj.pl/praca/monter-mebli-debica,oferta,1001819960</t>
  </si>
  <si>
    <t>https://www.pracuj.pl/praca/specjalista-ds-zakupow-rzeszow,oferta,1001819904</t>
  </si>
  <si>
    <t>Młodszy Specjalista ds. Procesów</t>
  </si>
  <si>
    <t>Pozostali analitycy systemów komputerowych</t>
  </si>
  <si>
    <t>https://www.pracuj.pl/praca/mlodszy-specjalista-ds-procesow-podkarpackie,oferta,9105634</t>
  </si>
  <si>
    <t>RPd057|251190</t>
  </si>
  <si>
    <t>Chiesi Poland Sp. z o.o.</t>
  </si>
  <si>
    <t>Przedstawiciel Medyczny - KAS Linia Szpitalna Zespół Neonatologii</t>
  </si>
  <si>
    <t>https://www.pracuj.pl/praca/przedstawiciel-medyczny-kas-linia-szpitalna-zespol-neonatologii-podkarpackie,oferta,9105737</t>
  </si>
  <si>
    <t>Senior Konsultantka/Senior Konsultant w Zespole Doradztwa Transakcyjnego (Finansowe Due Diligence)</t>
  </si>
  <si>
    <t>https://www.pracuj.pl/praca/senior-konsultantka-senior-konsultant-w-zespole-doradztwa-transakcyjnego-finanso-podkarpackie,oferta,9105751</t>
  </si>
  <si>
    <t>GREENART DEVELOPMENT  sp. z o.o.</t>
  </si>
  <si>
    <t>Deweloper</t>
  </si>
  <si>
    <t>https://www.pracuj.pl/praca/deweloper-podkarpackie,oferta,9106100</t>
  </si>
  <si>
    <t>https://www.pracuj.pl/praca/kierownik-sklepu-rzeszow,oferta,1001820243</t>
  </si>
  <si>
    <t>Serwisant maszyn</t>
  </si>
  <si>
    <t>https://www.pracuj.pl/praca/serwisant-maszyn-rzeszow,oferta,1001820394</t>
  </si>
  <si>
    <t>Młodszy ślusarz</t>
  </si>
  <si>
    <t>https://www.pracuj.pl/praca/mlodszy-slusarz-rzeszow,oferta,1001820445</t>
  </si>
  <si>
    <t>Dostawca B2B</t>
  </si>
  <si>
    <t>Monter zestrajacz urządzeń elektronicznych</t>
  </si>
  <si>
    <t>https://www.pracuj.pl/praca/dostawca-b2b-rzeszow,oferta,1001820399</t>
  </si>
  <si>
    <t>RPd057|821306</t>
  </si>
  <si>
    <t>https://www.pracuj.pl/praca/przedstawiciel-medyczny-brzozow,oferta,9106021</t>
  </si>
  <si>
    <t>Młodszy Operator Obrabiarek Konwencjonalnych - Wiertarka Współrzędnościowa SIP</t>
  </si>
  <si>
    <t>https://www.pracuj.pl/praca/mlodszy-operator-obrabiarek-konwencjonalnych-wiertarka-wspolrzednosciowa-sip-rzeszow,oferta,1001820440</t>
  </si>
  <si>
    <t>Admin Working Student</t>
  </si>
  <si>
    <t>https://www.pracuj.pl/praca/admin-working-student-subcarpathia,oferta,9106170</t>
  </si>
  <si>
    <t>Dressler Dublin Sp. z o.o.</t>
  </si>
  <si>
    <t>https://www.pracuj.pl/praca/ksiegarz-sprzedawca-krosno,oferta,1001820747</t>
  </si>
  <si>
    <t>Luneos Sp.zo.o.</t>
  </si>
  <si>
    <t>Doradca ds. transformacji energetycznej</t>
  </si>
  <si>
    <t>https://www.pracuj.pl/praca/doradca-ds-transformacji-energetycznej-podkarpackie,oferta,9106538</t>
  </si>
  <si>
    <t>https://www.pracuj.pl/praca/ksiegarz-sprzedawca-przemysl,oferta,1001820761</t>
  </si>
  <si>
    <t>Jones Lang LaSalle Sp. z o.o.</t>
  </si>
  <si>
    <t>Client Finance Manager</t>
  </si>
  <si>
    <t>https://www.pracuj.pl/praca/client-finance-manager-subcarpathia,oferta,9106605</t>
  </si>
  <si>
    <t>https://www.pracuj.pl/praca/ksiegarz-sprzedawca-rzeszow,oferta,1001820764</t>
  </si>
  <si>
    <t>Operator produkcji - Wydział Obróbki ETTS</t>
  </si>
  <si>
    <t>https://www.pracuj.pl/praca/operator-produkcji-wydzial-obrobki-etts-jasionka-pow-rzeszowski,oferta,1001820862</t>
  </si>
  <si>
    <t>https://www.pracuj.pl/praca/trener-programowania-dla-dzieci-i-mlodziezy-debica,oferta,1001819533</t>
  </si>
  <si>
    <t>https://www.pracuj.pl/praca/trener-programowania-dla-dzieci-i-mlodziezy-mielec,oferta,1001819549</t>
  </si>
  <si>
    <t>https://www.pracuj.pl/praca/trener-programowania-dla-dzieci-i-mlodziezy-tarnobrzeg,oferta,1001819566</t>
  </si>
  <si>
    <t>https://www.pracuj.pl/praca/ksiegarz-sprzedawca-debica,oferta,1001820731</t>
  </si>
  <si>
    <t>https://www.pracuj.pl/praca/ksiegarz-sprzedawca-mielec,oferta,1001820751</t>
  </si>
  <si>
    <t>https://www.pracuj.pl/praca/ksiegarz-sprzedawca-stalowa-wola,oferta,1001820767</t>
  </si>
  <si>
    <t>Pozostali specjaliści do spraw szkoleń zawodowych i rozwoju kadr</t>
  </si>
  <si>
    <t>https://www.pracuj.pl/praca/business-travel-consultant-english-rzeszow,oferta,1001819783</t>
  </si>
  <si>
    <t>RPd057|242490</t>
  </si>
  <si>
    <t>Muehsam Rozwiązania Dla Przemysłu Sp.J.</t>
  </si>
  <si>
    <t>Inżynier ds. sprzedaży (Dział Pomp i Systemów Pompowych)</t>
  </si>
  <si>
    <t>https://www.pracuj.pl/praca/inzynier-ds-sprzedazy-dzial-pomp-i-systemow-pompowych-zaczernie-pow-rzeszowski,oferta,1001819802</t>
  </si>
  <si>
    <t>Inżynier Elektronik / Mechanik / Automatyk / UR</t>
  </si>
  <si>
    <t>https://www.pracuj.pl/praca/inzynier-elektronik-mechanik-automatyk-ur-jasionka-pow-rzeszowski,oferta,1001821015</t>
  </si>
  <si>
    <t>https://www.pracuj.pl/praca/hr-manager-pilzno,oferta,1001821058</t>
  </si>
  <si>
    <t>"STUDIO" G.WIKTOR, B.BLAT S.C.</t>
  </si>
  <si>
    <t>https://www.pracuj.pl/praca/specjalista-ds-sprzedazy-strzyzow,oferta,1001821074</t>
  </si>
  <si>
    <t>RAWECO SP. Z O.O.</t>
  </si>
  <si>
    <t>Specjalista Grafik Kreatywny</t>
  </si>
  <si>
    <t>https://www.pracuj.pl/praca/specjalista-grafik-kreatywny-rzeszow,oferta,1001821226</t>
  </si>
  <si>
    <t>Młodszy Specjalista ds. Płac</t>
  </si>
  <si>
    <t>https://www.pracuj.pl/praca/mlodszy-specjalista-ds-plac-rzeszow,oferta,1001821567</t>
  </si>
  <si>
    <t>WOJAS S. A.</t>
  </si>
  <si>
    <t>Kierownik Salon Firmowy Wojas S.A.</t>
  </si>
  <si>
    <t>https://www.pracuj.pl/praca/kierownik-salon-firmowy-wojas-s-a-rzeszow,oferta,1001821737</t>
  </si>
  <si>
    <t>https://www.pracuj.pl/praca/digital-analyst-analityk-internetowy-rzeszow,oferta,1001820703</t>
  </si>
  <si>
    <t>https://www.pracuj.pl/praca/elektryk-partynia-pow-mielecki,oferta,1001821810</t>
  </si>
  <si>
    <t>https://www.pracuj.pl/praca/konsultant-ds-obslugi-klienta-w-punkcie-sprzedazy-t-mobile-sanok,oferta,1001820819</t>
  </si>
  <si>
    <t>Manager sprzedaży</t>
  </si>
  <si>
    <t>https://www.pracuj.pl/praca/manager-sprzedazy-partynia-pow-mielecki,oferta,1001822033</t>
  </si>
  <si>
    <t>Statyk – Projektant konstrukcji stalowych</t>
  </si>
  <si>
    <t>https://www.pracuj.pl/praca/statyk-projektant-konstrukcji-stalowych-tarnobrzeg,oferta,1001822134</t>
  </si>
  <si>
    <t>Kierowca C+E (do wyboru kierunek, system i zabudowa)</t>
  </si>
  <si>
    <t>https://www.pracuj.pl/praca/kierowca-c%2be-do-wyboru-kierunek-system-i-zabudowa-pilzno,oferta,1001822046</t>
  </si>
  <si>
    <t>Kierownik Działu Zakupów</t>
  </si>
  <si>
    <t>https://www.pracuj.pl/praca/kierownik-dzialu-zakupow-mielec,oferta,1001822144</t>
  </si>
  <si>
    <t>E.ON Foton</t>
  </si>
  <si>
    <t>https://www.pracuj.pl/praca/manager-regionu-rzeszow,oferta,1001821207</t>
  </si>
  <si>
    <t>https://www.pracuj.pl/praca/rzeczoznawca-rzeszow,oferta,1001822180</t>
  </si>
  <si>
    <t>Pracownik Sklepu - etat 87h lub 130h / ????????? ????????.- ???????? ??????? ????</t>
  </si>
  <si>
    <t>https://www.pracuj.pl/praca/pracownik-sklepu-etat-87h-lub-130h-przemysl,oferta,1001822337</t>
  </si>
  <si>
    <t>06.06.2022</t>
  </si>
  <si>
    <t>JBK FHU Bogusław Kliś</t>
  </si>
  <si>
    <t>https://www.pracuj.pl/praca/inzynier-sprzedazy-sedziszow-malopolski,oferta,1001822651</t>
  </si>
  <si>
    <t>https://www.pracuj.pl/praca/specjalista-ds-sprzedazy-stalowa-wola,oferta,1001821541</t>
  </si>
  <si>
    <t>Site Manager</t>
  </si>
  <si>
    <t>https://www.pracuj.pl/praca/site-manager-stalowa-wola,oferta,1001822596</t>
  </si>
  <si>
    <t>https://www.pracuj.pl/praca/it-project-manager-rzeszow,oferta,1001822798</t>
  </si>
  <si>
    <t>mToilet Sp. z o.o.</t>
  </si>
  <si>
    <t>https://www.pracuj.pl/praca/przedstawiciel-handlowy-rzeszow,oferta,1001821992</t>
  </si>
  <si>
    <t>https://www.pracuj.pl/praca/pracownik-sklepu-etat-87h-lub-130h-kolbuszowa,oferta,1001822326</t>
  </si>
  <si>
    <t>ZAKŁAD MIĘSNY SMAK-GÓRNO sp. z o.o.</t>
  </si>
  <si>
    <t>Polska, podkarpackie, Górno (pow. rzeszowski)</t>
  </si>
  <si>
    <t>https://www.pracuj.pl/praca/specjalista-ds-sprzedazy-gorno-pow-rzeszowski,oferta,1001822576</t>
  </si>
  <si>
    <t>Main HSE Specialist</t>
  </si>
  <si>
    <t>https://www.pracuj.pl/praca/main-hse-specialist-stalowa-wola,oferta,1001822592</t>
  </si>
  <si>
    <t>Environmental Specialist</t>
  </si>
  <si>
    <t>https://www.pracuj.pl/praca/environmental-specialist-stalowa-wola,oferta,1001822593</t>
  </si>
  <si>
    <t>https://www.pracuj.pl/praca/inzynier-sprzedazy-przedstawiciel-handlowy-rzeszow,oferta,1001819621</t>
  </si>
  <si>
    <t>https://www.pracuj.pl/praca/inzynier-sprzedazy-przedstawiciel-handlowy-jaslo,oferta,1001819623</t>
  </si>
  <si>
    <t>Polska, podkarpackie, Lipie (pow. rzeszowski)</t>
  </si>
  <si>
    <t>https://www.pracuj.pl/praca/pracownik-linii-produkcyjnej-lipie-pow-rzeszowski,oferta,1001819762</t>
  </si>
  <si>
    <t>FUDKOP A.K.FUDALI sp.j.</t>
  </si>
  <si>
    <t>https://www.pracuj.pl/praca/operator-cnc-malinie-pow-mielecki,oferta,1001819830</t>
  </si>
  <si>
    <t>https://www.pracuj.pl/praca/android-developer-rzeszow,oferta,1001819855</t>
  </si>
  <si>
    <t>Konsultant IT z językiem niemieckim</t>
  </si>
  <si>
    <t>https://www.pracuj.pl/praca/konsultant-it-z-jezykiem-niemieckim-rzeszow,oferta,1001819946</t>
  </si>
  <si>
    <t>Premiere Urgence Internationale</t>
  </si>
  <si>
    <t>Mental Health and Psychosocial Support Supervisor</t>
  </si>
  <si>
    <t>https://www.pracuj.pl/praca/mental-health-and-psychosocial-support-supervisor-przemysl,oferta,1001820223</t>
  </si>
  <si>
    <t>https://www.pracuj.pl/praca/mlodszy-operator-obrabiarek-konwencjonalnych-frezarka-szlifierka-rzeszow,oferta,1001820432</t>
  </si>
  <si>
    <t>Młodszy Tokarz</t>
  </si>
  <si>
    <t>https://www.pracuj.pl/praca/mlodszy-tokarz-rzeszow,oferta,1001820450</t>
  </si>
  <si>
    <t>AMERICAN SECURITY POLSKA PAWEŁ HANUSEK AGNIESZKA HANUSEK</t>
  </si>
  <si>
    <t>Instalator systemów alarmowych przeciwkradzieżowych</t>
  </si>
  <si>
    <t>https://www.pracuj.pl/praca/monter-kolbuszowa,oferta,1001820532</t>
  </si>
  <si>
    <t>RPd057|311403</t>
  </si>
  <si>
    <t>NADSAŃSKI BANK SPÓŁDZIELCZY</t>
  </si>
  <si>
    <t>Opiekun klienta detalicznego</t>
  </si>
  <si>
    <t>https://www.pracuj.pl/praca/opiekun-klienta-detalicznego-stalowa-wola,oferta,1001820639</t>
  </si>
  <si>
    <t>AMLUX Sp. z o.o.</t>
  </si>
  <si>
    <t>Koordynator serwisu sprzątającego - Rzeszów</t>
  </si>
  <si>
    <t>Kierownik firmy sprzątającej</t>
  </si>
  <si>
    <t>https://www.pracuj.pl/praca/koordynator-serwisu-sprzatajacego-rzeszow-rzeszow,oferta,1001820673</t>
  </si>
  <si>
    <t>RPd057|143907</t>
  </si>
  <si>
    <t>https://www.pracuj.pl/praca/konsultant-ds-obslugi-klienta-w-punkcie-sprzedazy-t-mobile-rzeszow,oferta,1001820818</t>
  </si>
  <si>
    <t>Motokey</t>
  </si>
  <si>
    <t>Kierownik sprzedaży w hurtowni e-commerce - branża zabezpieczeń</t>
  </si>
  <si>
    <t>https://www.pracuj.pl/praca/kierownik-sprzedazy-w-hurtowni-e-commerce-branza-zabezpieczen-krosno,oferta,1001820848</t>
  </si>
  <si>
    <t>Konserwator maszyn i urządzeń</t>
  </si>
  <si>
    <t>https://www.pracuj.pl/praca/konserwator-maszyn-i-urzadzen-krosno,oferta,1001821043</t>
  </si>
  <si>
    <t>CADWAY-AUTOMOTIVE sp. z o.o.</t>
  </si>
  <si>
    <t>https://www.pracuj.pl/praca/specjalista-ds-rekrutacji-jasionka-pow-rzeszowski,oferta,1001821300</t>
  </si>
  <si>
    <t>https://www.pracuj.pl/praca/przedstawiciel-handlowy-unilever-rzeszow,oferta,1001821445</t>
  </si>
  <si>
    <t>Handlowiec z  językiem francuskim</t>
  </si>
  <si>
    <t>https://www.pracuj.pl/praca/handlowiec-z-jezykiem-francuskim-gniewczyna-lancucka-pow-przeworski,oferta,1001821534</t>
  </si>
  <si>
    <t>GOLDFINCH INVESTMENTS SPÓŁKA Z OGRANICZONĄ ODPOWIEDZIALNOŚCIĄ</t>
  </si>
  <si>
    <t>Kierowca C+E transport międzynarodowy</t>
  </si>
  <si>
    <t>https://www.pracuj.pl/praca/kierowca-c%2be-transport-miedzynarodowy-rzeszow,oferta,1001821634</t>
  </si>
  <si>
    <t>CREUZET POLSKA SP. Z O.O.</t>
  </si>
  <si>
    <t>https://www.pracuj.pl/praca/pracownik-produkcji-rzeszow,oferta,1001821818</t>
  </si>
  <si>
    <t>Major Incident Manager with German</t>
  </si>
  <si>
    <t>https://www.pracuj.pl/praca/major-incident-manager-with-german-rzeszow,oferta,1001821877</t>
  </si>
  <si>
    <t>https://www.pracuj.pl/praca/kierowca-c%2be-do-wyboru-kierunek-system-i-zabudowa-rzeszow,oferta,1001822045</t>
  </si>
  <si>
    <t>Specjalista ds Zarządzania Bezpieczeństwem Informacji</t>
  </si>
  <si>
    <t>https://www.pracuj.pl/praca/specjalista-ds-zarzadzania-bezpieczenstwem-informacji-rzeszow,oferta,1001822093</t>
  </si>
  <si>
    <t>Asystentka ds. Administracji</t>
  </si>
  <si>
    <t>https://www.pracuj.pl/praca/asystentka-ds-administracji-rzeszow,oferta,1001822379</t>
  </si>
  <si>
    <t>Asystent/ka ds. prawno-administracyjnych</t>
  </si>
  <si>
    <t>https://www.pracuj.pl/praca/asystent-ka-ds-prawno-administracyjnych-krosno,oferta,1001822381</t>
  </si>
  <si>
    <t>Brak mozliwości edycji 3 ofert Adreams - zgłoszone do viatora</t>
  </si>
  <si>
    <t>Próby z internetowego badania MRiPS ofert pracy</t>
  </si>
  <si>
    <t>wg powiatów</t>
  </si>
  <si>
    <t>puste - bez kodu</t>
  </si>
  <si>
    <t>z jakąk. wartością liczbową zlicza oferty</t>
  </si>
  <si>
    <t>wiele powaitów</t>
  </si>
  <si>
    <t>bez powiatu</t>
  </si>
  <si>
    <t>Ogółem</t>
  </si>
  <si>
    <t>Lead Data Engineer</t>
  </si>
  <si>
    <t>31.08.2022</t>
  </si>
  <si>
    <t>16.09.2022</t>
  </si>
  <si>
    <t>https://www.pracuj.pl/praca/lead-data-engineer-subcarpathia,oferta,9354783</t>
  </si>
  <si>
    <t>31.08.2022 03:40</t>
  </si>
  <si>
    <t>29.08.2022</t>
  </si>
  <si>
    <t>28.09.2022</t>
  </si>
  <si>
    <t>2708535</t>
  </si>
  <si>
    <t>42868316</t>
  </si>
  <si>
    <t>HR Consulting</t>
  </si>
  <si>
    <t>Specjalistka/a w Dziale Administrowania Nieruchomości (Property Management) z językiem niemieckim</t>
  </si>
  <si>
    <t>Administrator nieruchomości</t>
  </si>
  <si>
    <t>10.08.2022</t>
  </si>
  <si>
    <t>25.08.2022</t>
  </si>
  <si>
    <t>https://www.pracuj.pl/praca/specjalistka-a-w-dziale-administrowania-nieruchomosci-property-management-z-jezy-podkarpackie,oferta,9304432</t>
  </si>
  <si>
    <t>10.08.2022 03:40</t>
  </si>
  <si>
    <t>08.08.2022</t>
  </si>
  <si>
    <t>07.09.2022</t>
  </si>
  <si>
    <t>2632731</t>
  </si>
  <si>
    <t>41958964</t>
  </si>
  <si>
    <t>SCOM Engineer</t>
  </si>
  <si>
    <t>03.08.2022</t>
  </si>
  <si>
    <t>https://www.pracuj.pl/praca/scom-engineer-subcarpathia,oferta,9288620</t>
  </si>
  <si>
    <t>03.08.2022 03:40</t>
  </si>
  <si>
    <t>01.08.2022</t>
  </si>
  <si>
    <t>2603431</t>
  </si>
  <si>
    <t>41663038</t>
  </si>
  <si>
    <t>IT Infrastructure Administrator</t>
  </si>
  <si>
    <t>26.08.2022</t>
  </si>
  <si>
    <t>https://www.pracuj.pl/praca/it-infrastructure-administrator-mielec,oferta,1001981941</t>
  </si>
  <si>
    <t>2604031</t>
  </si>
  <si>
    <t>41663638</t>
  </si>
  <si>
    <t>Administrator usług IT (Administrator IT) - bankowość internetowa</t>
  </si>
  <si>
    <t>24.08.2022</t>
  </si>
  <si>
    <t>https://www.pracuj.pl/praca/administrator-uslug-it-administrator-it-bankowosc-internetowa-rzeszow,oferta,1001985039</t>
  </si>
  <si>
    <t>2606678</t>
  </si>
  <si>
    <t>41666285</t>
  </si>
  <si>
    <t>Junior IT Analyst</t>
  </si>
  <si>
    <t>https://www.pracuj.pl/praca/junior-it-analyst-subcarpathia,oferta,9303686</t>
  </si>
  <si>
    <t>2632483</t>
  </si>
  <si>
    <t>41958716</t>
  </si>
  <si>
    <t>MS Exchange On-Prem/Online Engineer</t>
  </si>
  <si>
    <t>https://www.pracuj.pl/praca/ms-exchange-on-prem-online-engineer-subcarpathia,oferta,9355155</t>
  </si>
  <si>
    <t>2708677</t>
  </si>
  <si>
    <t>42868458</t>
  </si>
  <si>
    <t>DELEGATE IT SPÓŁKA Z OGRANICZONĄ ODPOWIEDZIALNOŚCIĄ</t>
  </si>
  <si>
    <t>Administrator Windows</t>
  </si>
  <si>
    <t>https://www.pracuj.pl/praca/administrator-windows-podkarpackie,oferta,9355649</t>
  </si>
  <si>
    <t>2708823</t>
  </si>
  <si>
    <t>42868604</t>
  </si>
  <si>
    <t>Bochenek i Wspólnicy Kancelaria Radców Prawnych sp. k.</t>
  </si>
  <si>
    <t>Adwokat/Radca prawny</t>
  </si>
  <si>
    <t>https://www.pracuj.pl/praca/adwokat-radca-prawny-rzeszow,oferta,1002002173</t>
  </si>
  <si>
    <t>2636625</t>
  </si>
  <si>
    <t>41962858</t>
  </si>
  <si>
    <t>17.08.2022</t>
  </si>
  <si>
    <t>https://www.pracuj.pl/praca/agent-celny-mokrzec-pow-debicki,oferta,1002001302</t>
  </si>
  <si>
    <t>10.08.2022 04:28</t>
  </si>
  <si>
    <t>2635841</t>
  </si>
  <si>
    <t>41962074</t>
  </si>
  <si>
    <t>Pracuj.pl dla Firm</t>
  </si>
  <si>
    <t>https://www.pracuj.pl/praca/agent-celny-rzeszow,oferta,1002045596</t>
  </si>
  <si>
    <t>31.08.2022 04:32</t>
  </si>
  <si>
    <t>2712006</t>
  </si>
  <si>
    <t>42871787</t>
  </si>
  <si>
    <t>Specjalista ds. zakupów (m/k)</t>
  </si>
  <si>
    <t>https://www.goldenline.pl/praca/oferta/1305268/zielonalinia0?utm_brand=goldenline&amp;utm_source=zielonalinia0&amp;gpid=1015644&amp;utm_channel=free&amp;utm_medium=oferta&amp;utm_department=marketing</t>
  </si>
  <si>
    <t>03.08.2022 03:30</t>
  </si>
  <si>
    <t>27.07.2022</t>
  </si>
  <si>
    <t>2602772</t>
  </si>
  <si>
    <t>41662305</t>
  </si>
  <si>
    <t>10.08.2022 03:30</t>
  </si>
  <si>
    <t>2632365</t>
  </si>
  <si>
    <t>41958507</t>
  </si>
  <si>
    <t>WIPAG Deutschland GmbH</t>
  </si>
  <si>
    <t>Operational Buyer  (f/m/d)</t>
  </si>
  <si>
    <t>https://www.pracuj.pl/praca/operational-buyer-f-m-d-subcarpathia,oferta,9306887</t>
  </si>
  <si>
    <t>2633408</t>
  </si>
  <si>
    <t>41959641</t>
  </si>
  <si>
    <t>https://www.pracuj.pl/praca/buyer-rzeszow,oferta,1001999457</t>
  </si>
  <si>
    <t>06.09.2022</t>
  </si>
  <si>
    <t>2634044</t>
  </si>
  <si>
    <t>41960277</t>
  </si>
  <si>
    <t>Starszy Kupiec</t>
  </si>
  <si>
    <t>23.08.2022</t>
  </si>
  <si>
    <t>https://www.pracuj.pl/praca/starszy-kupiec-rzeszow,oferta,1002000029</t>
  </si>
  <si>
    <t>2634599</t>
  </si>
  <si>
    <t>41960832</t>
  </si>
  <si>
    <t>17.08.2022 03:30</t>
  </si>
  <si>
    <t>2658866</t>
  </si>
  <si>
    <t>42259802</t>
  </si>
  <si>
    <t>Senior/Media Programmatic Buyer</t>
  </si>
  <si>
    <t>https://www.pracuj.pl/praca/senior-media-programmatic-buyer-subcarpathia,oferta,9338021</t>
  </si>
  <si>
    <t>24.08.2022 03:40</t>
  </si>
  <si>
    <t>22.08.2022</t>
  </si>
  <si>
    <t>21.09.2022</t>
  </si>
  <si>
    <t>2682624</t>
  </si>
  <si>
    <t>42562312</t>
  </si>
  <si>
    <t>ISG Personalmanagement GmbH</t>
  </si>
  <si>
    <t>Procurement Analyst Poland (m/f/d)</t>
  </si>
  <si>
    <t>30.08.2022</t>
  </si>
  <si>
    <t>https://www.pracuj.pl/praca/procurement-analyst-poland-m-f-d-subcarpathia,oferta,9338615</t>
  </si>
  <si>
    <t>2682768</t>
  </si>
  <si>
    <t>42562456</t>
  </si>
  <si>
    <t>https://www.pracuj.pl/praca/specjalista-ds-zakupow-rakszawa-pow-lancucki,oferta,1002029976</t>
  </si>
  <si>
    <t>2685228</t>
  </si>
  <si>
    <t>42564916</t>
  </si>
  <si>
    <t>Procurement Process Specialist</t>
  </si>
  <si>
    <t>https://www.pracuj.pl/praca/procurement-process-specialist-subcarpathia,oferta,9353379</t>
  </si>
  <si>
    <t>2708042</t>
  </si>
  <si>
    <t>42867823</t>
  </si>
  <si>
    <t>https://www.praca.pl/agent-ubezpieczeniowy_6633285.html</t>
  </si>
  <si>
    <t>31.08.2022 03:03</t>
  </si>
  <si>
    <t>29.09.2022</t>
  </si>
  <si>
    <t>2707125</t>
  </si>
  <si>
    <t>42829231</t>
  </si>
  <si>
    <t>Data Analyst with SQL</t>
  </si>
  <si>
    <t>16.08.2022</t>
  </si>
  <si>
    <t>https://www.pracuj.pl/praca/data-analyst-with-sql-subcarpathia,oferta,9307003</t>
  </si>
  <si>
    <t>2633463</t>
  </si>
  <si>
    <t>41959696</t>
  </si>
  <si>
    <t>Froneri Polska sp. z o.o.</t>
  </si>
  <si>
    <t>Specjalista ds. Master Data</t>
  </si>
  <si>
    <t>https://www.pracuj.pl/praca/specjalista-ds-master-data-mielec,oferta,1002028225</t>
  </si>
  <si>
    <t>2683523</t>
  </si>
  <si>
    <t>42563211</t>
  </si>
  <si>
    <t>Praktyki w Obszarze Analizy Danych</t>
  </si>
  <si>
    <t>https://www.pracuj.pl/praca/praktyki-w-obszarze-analizy-danych-subcarpathia,oferta,9353114</t>
  </si>
  <si>
    <t>2707948</t>
  </si>
  <si>
    <t>42867729</t>
  </si>
  <si>
    <t>Accenture Consulting &amp; Strategy</t>
  </si>
  <si>
    <t>Internship in Business Intelligence</t>
  </si>
  <si>
    <t>14.09.2022</t>
  </si>
  <si>
    <t>https://www.pracuj.pl/praca/internship-in-business-intelligence-subcarpathia,oferta,9353133</t>
  </si>
  <si>
    <t>2707966</t>
  </si>
  <si>
    <t>42867747</t>
  </si>
  <si>
    <t>09.09.2022</t>
  </si>
  <si>
    <t>https://www.pracuj.pl/praca/data-engineer-subcarpathia,oferta,9353756</t>
  </si>
  <si>
    <t>2708142</t>
  </si>
  <si>
    <t>42867923</t>
  </si>
  <si>
    <t>Analityk Systemowo-Biznesowy w zespole MOK</t>
  </si>
  <si>
    <t>https://www.pracuj.pl/praca/analityk-systemowo-biznesowy-w-zespole-mok-podkarpackie,oferta,9356481</t>
  </si>
  <si>
    <t>2709033</t>
  </si>
  <si>
    <t>42868814</t>
  </si>
  <si>
    <t>Business Intelligence - Talentpool</t>
  </si>
  <si>
    <t>https://www.pracuj.pl/praca/business-intelligence-talentpool-subcarpathia,oferta,9286113</t>
  </si>
  <si>
    <t>2602971</t>
  </si>
  <si>
    <t>41662578</t>
  </si>
  <si>
    <t>https://www.pracuj.pl/praca/business-intelligence-specialist-podkarpackie,oferta,9287302</t>
  </si>
  <si>
    <t>2603211</t>
  </si>
  <si>
    <t>41662818</t>
  </si>
  <si>
    <t>https://www.pracuj.pl/praca/senior-business-analyst-subcarpathia,oferta,9303742</t>
  </si>
  <si>
    <t>2632535</t>
  </si>
  <si>
    <t>41958768</t>
  </si>
  <si>
    <t>Analityk biznesowy / CRM</t>
  </si>
  <si>
    <t>https://www.pracuj.pl/praca/analityk-biznesowy-crm-podkarpackie,oferta,9338319</t>
  </si>
  <si>
    <t>2682717</t>
  </si>
  <si>
    <t>42562405</t>
  </si>
  <si>
    <t>Business Intelligence</t>
  </si>
  <si>
    <t>https://www.pracuj.pl/praca/business-intelligence-subcarpathia,oferta,9355026</t>
  </si>
  <si>
    <t>2708623</t>
  </si>
  <si>
    <t>42868404</t>
  </si>
  <si>
    <t>https://www.pracuj.pl/praca/analityk-finansowy-gorzyce-pow-tarnobrzeski,oferta,1001985096</t>
  </si>
  <si>
    <t>2606729</t>
  </si>
  <si>
    <t>41666336</t>
  </si>
  <si>
    <t>https://www.pracuj.pl/praca/business-analyst-subcarpathia,oferta,9303723</t>
  </si>
  <si>
    <t>2632517</t>
  </si>
  <si>
    <t>41958750</t>
  </si>
  <si>
    <t>Analityk Finansowy (kontrakty rządowe)</t>
  </si>
  <si>
    <t>https://www.pracuj.pl/praca/analityk-finansowy-kontrakty-rzadowe-mielec,oferta,1001999738</t>
  </si>
  <si>
    <t>2634319</t>
  </si>
  <si>
    <t>41960552</t>
  </si>
  <si>
    <t>Senior Analyst – Core Operations GTS</t>
  </si>
  <si>
    <t>https://www.pracuj.pl/praca/senior-analyst-core-operations-gts-subcarpathia,oferta,9336574</t>
  </si>
  <si>
    <t>2682238</t>
  </si>
  <si>
    <t>42561926</t>
  </si>
  <si>
    <t>PayU S.A.</t>
  </si>
  <si>
    <t>Junior AML &amp; Risk Analyst</t>
  </si>
  <si>
    <t>15.09.2022</t>
  </si>
  <si>
    <t>https://www.pracuj.pl/praca/junior-aml-risk-analyst-subcarpathia,oferta,9338925</t>
  </si>
  <si>
    <t>06.10.2022</t>
  </si>
  <si>
    <t>2682818</t>
  </si>
  <si>
    <t>42562506</t>
  </si>
  <si>
    <t>TENNECO Inc.</t>
  </si>
  <si>
    <t>Analityk Finansowy / Financial Analyst</t>
  </si>
  <si>
    <t>https://www.pracuj.pl/praca/analityk-finansowy-financial-analyst-gorzyce-pow-tarnobrzeski,oferta,1002028805</t>
  </si>
  <si>
    <t>2684089</t>
  </si>
  <si>
    <t>42563777</t>
  </si>
  <si>
    <t>https://www.pracuj.pl/praca/ekspert-ds-produktow-firmowych-i-hipotecznych-krosno,oferta,1001982181</t>
  </si>
  <si>
    <t>2604201</t>
  </si>
  <si>
    <t>41663808</t>
  </si>
  <si>
    <t>https://www.pracuj.pl/praca/ekspert-kredytowy-rzeszow,oferta,1001982394</t>
  </si>
  <si>
    <t>2604409</t>
  </si>
  <si>
    <t>41664016</t>
  </si>
  <si>
    <t>WEKTOR WIEDZY SPÓŁKA Z OGRANICZONĄ ODPOWIEDZIALNOŚCIĄ</t>
  </si>
  <si>
    <t>Dyrektor ds. konsolidacji zobowiązań kredytowych</t>
  </si>
  <si>
    <t>https://www.pracuj.pl/praca/dyrektor-ds-konsolidacji-zobowiazan-kredytowych-rzeszow,oferta,1002000070</t>
  </si>
  <si>
    <t>2634639</t>
  </si>
  <si>
    <t>41960872</t>
  </si>
  <si>
    <t>https://www.pracuj.pl/praca/it-analyst-subcarpathia,oferta,9303707</t>
  </si>
  <si>
    <t>2632501</t>
  </si>
  <si>
    <t>41958734</t>
  </si>
  <si>
    <t>Designer Assistant - CAD Infrastructure</t>
  </si>
  <si>
    <t>https://www.praca.pl/designer-assistant-cad-infrastructure_7319379.html</t>
  </si>
  <si>
    <t>03.08.2022 03:03</t>
  </si>
  <si>
    <t>02.08.2022</t>
  </si>
  <si>
    <t>2601619</t>
  </si>
  <si>
    <t>41326883</t>
  </si>
  <si>
    <t>Baumit sp. z o.o</t>
  </si>
  <si>
    <t>Manager ds. współpracy z Architektami</t>
  </si>
  <si>
    <t>https://www.pracuj.pl/praca/manager-ds-wspolpracy-z-architektami-podkarpackie,oferta,9285339</t>
  </si>
  <si>
    <t>2602873</t>
  </si>
  <si>
    <t>41662480</t>
  </si>
  <si>
    <t>Cloudbeds</t>
  </si>
  <si>
    <t>Principal Engineer - Property Management</t>
  </si>
  <si>
    <t>Architekt stron internetowych</t>
  </si>
  <si>
    <t>https://www.praca.pl/principal-engineer-property-management_7350651.html</t>
  </si>
  <si>
    <t>17.08.2022 03:03</t>
  </si>
  <si>
    <t>2658328</t>
  </si>
  <si>
    <t>42218661</t>
  </si>
  <si>
    <t>RPd057|251301</t>
  </si>
  <si>
    <t>PROJEKT MENADŻER ADRIAN BUJAK</t>
  </si>
  <si>
    <t>Projektant / Projektantka wnętrz</t>
  </si>
  <si>
    <t>https://www.pracuj.pl/praca/projektant-projektantka-wnetrz-rzeszow,oferta,1002027670</t>
  </si>
  <si>
    <t>2682983</t>
  </si>
  <si>
    <t>42562671</t>
  </si>
  <si>
    <t>Asystent/ka Dyrektora Zarządzającego</t>
  </si>
  <si>
    <t>https://www.pracuj.pl/praca/asystent-ka-dyrektora-zarzadzajacego-tajecina-pow-rzeszowski,oferta,1001984241</t>
  </si>
  <si>
    <t>2605889</t>
  </si>
  <si>
    <t>41665496</t>
  </si>
  <si>
    <t>Administrative Assistant</t>
  </si>
  <si>
    <t>https://www.pracuj.pl/praca/administrative-assistant-rzeszow,oferta,1002002175</t>
  </si>
  <si>
    <t>2636627</t>
  </si>
  <si>
    <t>41962860</t>
  </si>
  <si>
    <t>Asystent / Asystentka Zarządu</t>
  </si>
  <si>
    <t>https://www.praca.pl/asystent-asystentka-zarzadu_7432968.html</t>
  </si>
  <si>
    <t>24.08.2022 03:03</t>
  </si>
  <si>
    <t>22.09.2022</t>
  </si>
  <si>
    <t>2681740</t>
  </si>
  <si>
    <t>42521634</t>
  </si>
  <si>
    <t>Internship in Management Consulting</t>
  </si>
  <si>
    <t>https://www.pracuj.pl/praca/internship-in-management-consulting-subcarpathia,oferta,9353151</t>
  </si>
  <si>
    <t>2707982</t>
  </si>
  <si>
    <t>42867763</t>
  </si>
  <si>
    <t>Business Assistant</t>
  </si>
  <si>
    <t>https://www.pracuj.pl/praca/business-assistant-subcarpathia,oferta,9354418</t>
  </si>
  <si>
    <t>2708400</t>
  </si>
  <si>
    <t>42868181</t>
  </si>
  <si>
    <t>Staż w dziale Audytu (Audit Delivery Center)</t>
  </si>
  <si>
    <t>https://www.pracuj.pl/praca/staz-w-dziale-audytu-audit-delivery-center-rzeszow,oferta,1001981900</t>
  </si>
  <si>
    <t>2603991</t>
  </si>
  <si>
    <t>41663598</t>
  </si>
  <si>
    <t>Audytor Wewnętrzny</t>
  </si>
  <si>
    <t>https://www.pracuj.pl/praca/audytor-wewnetrzny-mielec,oferta,1001999734</t>
  </si>
  <si>
    <t>2634315</t>
  </si>
  <si>
    <t>41960548</t>
  </si>
  <si>
    <t>K.O.B Kobnext Sp. z o.o.</t>
  </si>
  <si>
    <t>Zbrojarz - Brygadzista</t>
  </si>
  <si>
    <t>Betoniarz-zbrojarz*</t>
  </si>
  <si>
    <t>https://www.praca.pl/zbrojarz-brygadzista_7381770.html</t>
  </si>
  <si>
    <t>10.08.2022 03:03</t>
  </si>
  <si>
    <t>09.08.2022</t>
  </si>
  <si>
    <t>08.09.2022</t>
  </si>
  <si>
    <t>2631758</t>
  </si>
  <si>
    <t>41919038</t>
  </si>
  <si>
    <t>RPd057|711402</t>
  </si>
  <si>
    <t>Betoniarz / Zbrojarz</t>
  </si>
  <si>
    <t>https://www.praca.pl/betoniarz-zbrojarz_7431132.html</t>
  </si>
  <si>
    <t>2681838</t>
  </si>
  <si>
    <t>42521732</t>
  </si>
  <si>
    <t>Grupa Neuca</t>
  </si>
  <si>
    <t>Clinical Research Associate II (outsourcing/FSP model)​</t>
  </si>
  <si>
    <t>https://www.praca.pl/clinical-research-associate-ii-outsourcing-fsp-model_7324602.html</t>
  </si>
  <si>
    <t>2601676</t>
  </si>
  <si>
    <t>41326991</t>
  </si>
  <si>
    <t>GBA Polska</t>
  </si>
  <si>
    <t>https://www.pracuj.pl/praca/specjalista-ds-obslugi-klienta-podkarpackie,oferta,9304830</t>
  </si>
  <si>
    <t>2632836</t>
  </si>
  <si>
    <t>41959069</t>
  </si>
  <si>
    <t>https://www.praca.pl/doradca-ubezpieczeniowy_7437471.html</t>
  </si>
  <si>
    <t>2681263</t>
  </si>
  <si>
    <t>42521140</t>
  </si>
  <si>
    <t>Specjalista ds. badań  i rozwoju</t>
  </si>
  <si>
    <t>https://www.pracuj.pl/praca/specjalista-ds-badan-i-rozwoju-krosno,oferta,1002043693</t>
  </si>
  <si>
    <t>2710134</t>
  </si>
  <si>
    <t>42869915</t>
  </si>
  <si>
    <t>https://www.pracuj.pl/praca/doradca-klienta-ds-leasingu-rzeszow,oferta,1001981792</t>
  </si>
  <si>
    <t>2603913</t>
  </si>
  <si>
    <t>41663520</t>
  </si>
  <si>
    <t>https://www.praca.pl/doradca-klienta_7302771.html</t>
  </si>
  <si>
    <t>03.08.2022 04:28</t>
  </si>
  <si>
    <t>19.08.2022</t>
  </si>
  <si>
    <t>2601468</t>
  </si>
  <si>
    <t>41070378</t>
  </si>
  <si>
    <t>https://www.goldenline.pl/praca/oferta/1304650/zielonalinia0?utm_brand=goldenline&amp;utm_source=zielonalinia0&amp;gpid=1015014&amp;utm_channel=free&amp;utm_medium=oferta&amp;utm_department=marketing</t>
  </si>
  <si>
    <t>28.07.2022</t>
  </si>
  <si>
    <t>18.08.2022</t>
  </si>
  <si>
    <t>2602627</t>
  </si>
  <si>
    <t>41662160</t>
  </si>
  <si>
    <t>https://www.pracuj.pl/praca/doradca-klienta-stalowa-wola,oferta,1001984346</t>
  </si>
  <si>
    <t>2605993</t>
  </si>
  <si>
    <t>41665600</t>
  </si>
  <si>
    <t>2632211</t>
  </si>
  <si>
    <t>41958353</t>
  </si>
  <si>
    <t>https://www.pracuj.pl/praca/doradca-klienta-debica,oferta,1001999183</t>
  </si>
  <si>
    <t>2633781</t>
  </si>
  <si>
    <t>41960014</t>
  </si>
  <si>
    <t>https://www.pracuj.pl/praca/doradca-klienta-rzeszow,oferta,1001999199</t>
  </si>
  <si>
    <t>2633797</t>
  </si>
  <si>
    <t>41960030</t>
  </si>
  <si>
    <t>https://www.pracuj.pl/praca/doradca-klienta-mielec,oferta,1001999216</t>
  </si>
  <si>
    <t>2633814</t>
  </si>
  <si>
    <t>41960047</t>
  </si>
  <si>
    <t>https://www.pracuj.pl/praca/doradca-klienta-przemysl,oferta,1001999217</t>
  </si>
  <si>
    <t>2633815</t>
  </si>
  <si>
    <t>41960048</t>
  </si>
  <si>
    <t>https://www.pracuj.pl/praca/doradca-klienta-krosno,oferta,1001999247</t>
  </si>
  <si>
    <t>2633845</t>
  </si>
  <si>
    <t>41960078</t>
  </si>
  <si>
    <t>SIGNAL Sp. z o.o. Sp. k.</t>
  </si>
  <si>
    <t>Doradca klienta w sklepie</t>
  </si>
  <si>
    <t>https://www.pracuj.pl/praca/doradca-klienta-w-sklepie-tarnobrzeg,oferta,1001999787</t>
  </si>
  <si>
    <t>2634368</t>
  </si>
  <si>
    <t>41960601</t>
  </si>
  <si>
    <t>Płatny staż w Dziale Bankowości – mBank</t>
  </si>
  <si>
    <t>https://www.pracuj.pl/praca/platny-staz-w-dziale-bankowosci-mbank-rzeszow,oferta,1002001912</t>
  </si>
  <si>
    <t>2636366</t>
  </si>
  <si>
    <t>41962599</t>
  </si>
  <si>
    <t>https://www.praca.pl/doradca-klienta_7361715.html</t>
  </si>
  <si>
    <t>17.08.2022 04:28</t>
  </si>
  <si>
    <t>02.09.2022</t>
  </si>
  <si>
    <t>2657929</t>
  </si>
  <si>
    <t>41667097</t>
  </si>
  <si>
    <t>https://www.praca.pl/doradca-klienta_7386780.html</t>
  </si>
  <si>
    <t>24.08.2022 04:27</t>
  </si>
  <si>
    <t>2681226</t>
  </si>
  <si>
    <t>41963879</t>
  </si>
  <si>
    <t>Doradca Klienta - Nowy Elektromarket</t>
  </si>
  <si>
    <t>https://www.pracuj.pl/praca/doradca-klienta-nowy-elektromarket-brzozow,oferta,1002030348</t>
  </si>
  <si>
    <t>2685598</t>
  </si>
  <si>
    <t>42565286</t>
  </si>
  <si>
    <t>https://www.goldenline.pl/praca/oferta/1306010/zielonalinia0?utm_brand=goldenline&amp;utm_source=zielonalinia0&amp;gpid=1016434&amp;utm_channel=free&amp;utm_medium=oferta&amp;utm_department=marketing</t>
  </si>
  <si>
    <t>27.09.2022</t>
  </si>
  <si>
    <t>2707486</t>
  </si>
  <si>
    <t>42867203</t>
  </si>
  <si>
    <t>https://www.goldenline.pl/praca/oferta/1306002/zielonalinia0?utm_brand=goldenline&amp;utm_source=zielonalinia0&amp;gpid=1016436&amp;utm_channel=free&amp;utm_medium=oferta&amp;utm_department=marketing</t>
  </si>
  <si>
    <t>2707608</t>
  </si>
  <si>
    <t>42867325</t>
  </si>
  <si>
    <t>https://www.goldenline.pl/praca/oferta/1306380/zielonalinia0?utm_brand=goldenline&amp;utm_source=zielonalinia0&amp;gpid=1016804&amp;utm_channel=free&amp;utm_medium=oferta&amp;utm_department=marketing</t>
  </si>
  <si>
    <t>2707778</t>
  </si>
  <si>
    <t>42867495</t>
  </si>
  <si>
    <t>Starszy Konsultant w Zespole Ulg i Dotacji</t>
  </si>
  <si>
    <t>https://www.pracuj.pl/praca/starszy-konsultant-w-zespole-ulg-i-dotacji-podkarpackie,oferta,9356565</t>
  </si>
  <si>
    <t>2709068</t>
  </si>
  <si>
    <t>42868849</t>
  </si>
  <si>
    <t>Dyrektor departamentu</t>
  </si>
  <si>
    <t>https://www.praca.pl/dyrektor-oddzialu_7408686.html</t>
  </si>
  <si>
    <t>2658162</t>
  </si>
  <si>
    <t>42218474</t>
  </si>
  <si>
    <t>RPd057|121301</t>
  </si>
  <si>
    <t>E R Associates Poland Ltd</t>
  </si>
  <si>
    <t>Dyrektor Zarządzający</t>
  </si>
  <si>
    <t>https://www.pracuj.pl/praca/dyrektor-zarzadzajacy-rzeszow,oferta,1002001320</t>
  </si>
  <si>
    <t>2635859</t>
  </si>
  <si>
    <t>41962092</t>
  </si>
  <si>
    <t>Biuro Obsługi Finansowej Szkół  Sp. z o. o. Sk</t>
  </si>
  <si>
    <t>Wicedyrektor szkoły</t>
  </si>
  <si>
    <t>Dyrektor szkoły</t>
  </si>
  <si>
    <t>Polska, podkarpackie, Nowy Targ</t>
  </si>
  <si>
    <t>https://www.goldenline.pl/praca/oferta/1304772/zielonalinia0?utm_brand=goldenline&amp;utm_source=zielonalinia0&amp;gpid=1015172&amp;utm_channel=free&amp;utm_medium=oferta&amp;utm_department=marketing</t>
  </si>
  <si>
    <t>2632016</t>
  </si>
  <si>
    <t>41958158</t>
  </si>
  <si>
    <t>RPd057|134501</t>
  </si>
  <si>
    <t>2658561</t>
  </si>
  <si>
    <t>42259497</t>
  </si>
  <si>
    <t>WHEN sp. z o.o.</t>
  </si>
  <si>
    <t>Senior / Social Media Specialist</t>
  </si>
  <si>
    <t>https://www.pracuj.pl/praca/senior-social-media-specialist-podkarpackie,oferta,9355287</t>
  </si>
  <si>
    <t>2708730</t>
  </si>
  <si>
    <t>42868511</t>
  </si>
  <si>
    <t>Nielsen Media Services Poland</t>
  </si>
  <si>
    <t>MODELLING ANALYST</t>
  </si>
  <si>
    <t>https://www.goldenline.pl/praca/oferta/1305300/zielonalinia0?utm_brand=goldenline&amp;utm_source=zielonalinia0&amp;gpid=1015672&amp;utm_channel=free&amp;utm_medium=oferta&amp;utm_department=marketing</t>
  </si>
  <si>
    <t>31.08.2022 03:30</t>
  </si>
  <si>
    <t>01.09.2022</t>
  </si>
  <si>
    <t>2707423</t>
  </si>
  <si>
    <t>42867140</t>
  </si>
  <si>
    <t>Młodszy Analityk w dziale Audytu (Audit Delivery Center)</t>
  </si>
  <si>
    <t>https://www.pracuj.pl/praca/mlodszy-analityk-w-dziale-audytu-audit-delivery-center-rzeszow,oferta,1001981893</t>
  </si>
  <si>
    <t>2603984</t>
  </si>
  <si>
    <t>41663591</t>
  </si>
  <si>
    <t>https://www.pracuj.pl/praca/purchasing-specialist-pustkow-osiedle-pow-debicki,oferta,1002001930</t>
  </si>
  <si>
    <t>2636384</t>
  </si>
  <si>
    <t>41962617</t>
  </si>
  <si>
    <t>Program Manager (Emissions, Thermal &amp; Turbo Systems)</t>
  </si>
  <si>
    <t>https://www.pracuj.pl/praca/program-manager-emissions-thermal-turbo-systems-jasionka-pow-rzeszowski,oferta,1002042775</t>
  </si>
  <si>
    <t>2709252</t>
  </si>
  <si>
    <t>42869033</t>
  </si>
  <si>
    <t>Port Lotniczy Rzeszów-Jasionka Sp. z o.o.</t>
  </si>
  <si>
    <t>Młodszy Monter Utrzymania Infrastruktury Technicznej</t>
  </si>
  <si>
    <t>https://www.pracuj.pl/praca/mlodszy-monter-utrzymania-infrastruktury-technicznej-jasionka-pow-rzeszowski,oferta,1001981954</t>
  </si>
  <si>
    <t>2604044</t>
  </si>
  <si>
    <t>41663651</t>
  </si>
  <si>
    <t>https://www.pracuj.pl/praca/elektromonter-ustrzyki-dolne,oferta,1001984031</t>
  </si>
  <si>
    <t>2605680</t>
  </si>
  <si>
    <t>41665287</t>
  </si>
  <si>
    <t>https://www.pracuj.pl/praca/elektromonter-podkarpackie,oferta,9306256</t>
  </si>
  <si>
    <t>2633212</t>
  </si>
  <si>
    <t>41959445</t>
  </si>
  <si>
    <t>https://www.praca.pl/elektromonter-pogotowia-elektroenergetycznego_7333674.html</t>
  </si>
  <si>
    <t>07.08.2022</t>
  </si>
  <si>
    <t>2631412</t>
  </si>
  <si>
    <t>41416661</t>
  </si>
  <si>
    <t>https://www.praca.pl/elektromonter-pogotowia-elektroenergetycznego_7333656.html</t>
  </si>
  <si>
    <t>2631413</t>
  </si>
  <si>
    <t>41416662</t>
  </si>
  <si>
    <t>https://www.praca.pl/elektromonter-pogotowia-elektroenergetycznego_7333662.html</t>
  </si>
  <si>
    <t>2631414</t>
  </si>
  <si>
    <t>41416663</t>
  </si>
  <si>
    <t>Elektromonter Linii Napowietrznych</t>
  </si>
  <si>
    <t>Elektromonter sieci trakcyjnej</t>
  </si>
  <si>
    <t>https://www.praca.pl/elektromonter-linii-napowietrznych_7357176.html</t>
  </si>
  <si>
    <t>2601968</t>
  </si>
  <si>
    <t>41623477</t>
  </si>
  <si>
    <t>RPd057|741305</t>
  </si>
  <si>
    <t>Victor Energy Sp.zo.o.</t>
  </si>
  <si>
    <t>Elektromonter telekomunikacyjny (praca w delegacji)</t>
  </si>
  <si>
    <t>Elektromonter telekomunikacyjnych urządzeń zasilających</t>
  </si>
  <si>
    <t>https://www.praca.pl/elektromonter-telekomunikacyjny-praca-w-delegacji_7312179.html</t>
  </si>
  <si>
    <t>2601534</t>
  </si>
  <si>
    <t>41285749</t>
  </si>
  <si>
    <t>RPd057|741217</t>
  </si>
  <si>
    <t>Elektromonter Układów Automatyki</t>
  </si>
  <si>
    <t>Elektromonter układów pomiarowych i automatyki zabezpieczeniowej</t>
  </si>
  <si>
    <t>https://www.pracuj.pl/praca/elektromonter-ukladow-automatyki-stalowa-wola,oferta,1002028731</t>
  </si>
  <si>
    <t>2684018</t>
  </si>
  <si>
    <t>42563706</t>
  </si>
  <si>
    <t>RPd057|741219</t>
  </si>
  <si>
    <t>Junior Accounts Payable Specialist with English</t>
  </si>
  <si>
    <t>https://www.pracuj.pl/praca/junior-accounts-payable-specialist-with-english-podkarpackie,oferta,9354724</t>
  </si>
  <si>
    <t>2708517</t>
  </si>
  <si>
    <t>42868298</t>
  </si>
  <si>
    <t>https://www.pracuj.pl/praca/junior-accounts-payable-specialist-with-english-podkarpackie,oferta,9354835</t>
  </si>
  <si>
    <t>2708567</t>
  </si>
  <si>
    <t>42868348</t>
  </si>
  <si>
    <t>Magister Farmacji - Mobilny Farmaceuta</t>
  </si>
  <si>
    <t>https://www.praca.pl/magister-farmacji-mobilny-farmaceuta_7382055.html</t>
  </si>
  <si>
    <t>2631701</t>
  </si>
  <si>
    <t>41918977</t>
  </si>
  <si>
    <t>https://www.pracuj.pl/praca/magister-farmacji-debica,oferta,1002000435</t>
  </si>
  <si>
    <t>2634997</t>
  </si>
  <si>
    <t>41961230</t>
  </si>
  <si>
    <t>https://www.pracuj.pl/praca/magister-farmacji-przemysl,oferta,1002000459</t>
  </si>
  <si>
    <t>2635021</t>
  </si>
  <si>
    <t>41961254</t>
  </si>
  <si>
    <t>https://www.pracuj.pl/praca/magister-farmacji-krosno,oferta,1002000463</t>
  </si>
  <si>
    <t>2635025</t>
  </si>
  <si>
    <t>41961258</t>
  </si>
  <si>
    <t>https://www.pracuj.pl/praca/magister-farmacji-jaroslaw,oferta,1002000467</t>
  </si>
  <si>
    <t>2635028</t>
  </si>
  <si>
    <t>41961261</t>
  </si>
  <si>
    <t>https://www.praca.pl/magister-farmacji_7434498.html</t>
  </si>
  <si>
    <t>2681498</t>
  </si>
  <si>
    <t>42521378</t>
  </si>
  <si>
    <t>Magister farmacji</t>
  </si>
  <si>
    <t>https://www.praca.pl/magister-farmacji_7461009.html</t>
  </si>
  <si>
    <t>2707094</t>
  </si>
  <si>
    <t>42829200</t>
  </si>
  <si>
    <t>VIGO-ORTHO POLSKA SP. Z O.O.</t>
  </si>
  <si>
    <t>Ortotyk / Protetyk (Specjalista zaopatrzenia ortopedycznego)</t>
  </si>
  <si>
    <t>https://www.praca.pl/ortotyk-protetyk-specjalista-zaopatrzenia-ortopedycznego_7354632.html</t>
  </si>
  <si>
    <t>2602321</t>
  </si>
  <si>
    <t>41623846</t>
  </si>
  <si>
    <t>SERWISTAL Sp. z o.o.</t>
  </si>
  <si>
    <t>https://www.pracuj.pl/praca/glowny-ksiegowy-podkarpackie,oferta,9305597</t>
  </si>
  <si>
    <t>2633094</t>
  </si>
  <si>
    <t>41959327</t>
  </si>
  <si>
    <t>TLC MANAGEMENT</t>
  </si>
  <si>
    <t>https://www.pracuj.pl/praca/specjalista-ds-ksiegowosci-debica,oferta,1002029892</t>
  </si>
  <si>
    <t>2685145</t>
  </si>
  <si>
    <t>42564833</t>
  </si>
  <si>
    <t>https://www.goldenline.pl/praca/oferta/1304966/zielonalinia0?utm_brand=goldenline&amp;utm_source=zielonalinia0&amp;gpid=1015268&amp;utm_channel=free&amp;utm_medium=oferta&amp;utm_department=marketing</t>
  </si>
  <si>
    <t>2602479</t>
  </si>
  <si>
    <t>41662012</t>
  </si>
  <si>
    <t>2632072</t>
  </si>
  <si>
    <t>41958214</t>
  </si>
  <si>
    <t>2658606</t>
  </si>
  <si>
    <t>42259542</t>
  </si>
  <si>
    <t>https://www.goldenline.pl/praca/oferta/1306146/zielonalinia0?utm_brand=goldenline&amp;utm_source=zielonalinia0&amp;gpid=1016766&amp;utm_channel=free&amp;utm_medium=oferta&amp;utm_department=marketing</t>
  </si>
  <si>
    <t>2707705</t>
  </si>
  <si>
    <t>42867422</t>
  </si>
  <si>
    <t>https://www.praca.pl/inzynier-automatyk_7355184.html</t>
  </si>
  <si>
    <t>2602190</t>
  </si>
  <si>
    <t>41623714</t>
  </si>
  <si>
    <t>PESMEL POLAND SP. Z O.O.</t>
  </si>
  <si>
    <t>Automation engineer - PLC programmer</t>
  </si>
  <si>
    <t>https://www.pracuj.pl/praca/automation-engineer-plc-programmer-subcarpathia,oferta,9288636</t>
  </si>
  <si>
    <t>2603445</t>
  </si>
  <si>
    <t>41663052</t>
  </si>
  <si>
    <t>QT Swiss Engineering Sp. z o.o.</t>
  </si>
  <si>
    <t>Inżynier Robotyki</t>
  </si>
  <si>
    <t>https://www.pracuj.pl/praca/inzynier-robotyki-rzeszow,oferta,1001984758</t>
  </si>
  <si>
    <t>2606399</t>
  </si>
  <si>
    <t>41666006</t>
  </si>
  <si>
    <t>Automatyk - Programista robotów przemysłowych</t>
  </si>
  <si>
    <t>https://www.pracuj.pl/praca/automatyk-programista-robotow-przemyslowych-podkarpackie,oferta,9306278</t>
  </si>
  <si>
    <t>2633229</t>
  </si>
  <si>
    <t>41959462</t>
  </si>
  <si>
    <t>https://www.pracuj.pl/praca/programista-plc-sps-podkarpackie,oferta,9306298</t>
  </si>
  <si>
    <t>2633249</t>
  </si>
  <si>
    <t>41959482</t>
  </si>
  <si>
    <t>French speaking Junior Engineer</t>
  </si>
  <si>
    <t>https://www.pracuj.pl/praca/french-speaking-junior-engineer-rzeszow,oferta,1002000381</t>
  </si>
  <si>
    <t>2634944</t>
  </si>
  <si>
    <t>41961177</t>
  </si>
  <si>
    <t>RUNBIT sp. z o.o.</t>
  </si>
  <si>
    <t>https://www.pracuj.pl/praca/automatyk-programista-plc-podkarpackie,oferta,9339271</t>
  </si>
  <si>
    <t>2682867</t>
  </si>
  <si>
    <t>42562555</t>
  </si>
  <si>
    <t>ROFA Polska Sp. z o. o.</t>
  </si>
  <si>
    <t>https://www.pracuj.pl/praca/koordynator-projektu-rzeszow,oferta,1002030292</t>
  </si>
  <si>
    <t>2685543</t>
  </si>
  <si>
    <t>42565231</t>
  </si>
  <si>
    <t>Inżynier Systemu</t>
  </si>
  <si>
    <t>https://www.pracuj.pl/praca/inzynier-systemu-podkarpackie,oferta,9355327</t>
  </si>
  <si>
    <t>2708748</t>
  </si>
  <si>
    <t>42868529</t>
  </si>
  <si>
    <t>Polo Polska Sp. z o.o.</t>
  </si>
  <si>
    <t>https://www.pracuj.pl/praca/inzynier-serwisu-podkarpackie,oferta,9355949</t>
  </si>
  <si>
    <t>2708923</t>
  </si>
  <si>
    <t>42868704</t>
  </si>
  <si>
    <t>TÉCNICAS REUNIDAS S.A. (S.A.) ODDZIAŁ W POLSCE</t>
  </si>
  <si>
    <t>Specjalista ds. planowania z j. angielskim</t>
  </si>
  <si>
    <t>https://www.pracuj.pl/praca/specjalista-ds-planowania-z-j-angielskim-podkarpackie,oferta,9303984</t>
  </si>
  <si>
    <t>2632614</t>
  </si>
  <si>
    <t>41958847</t>
  </si>
  <si>
    <t>Inżynier/Kierownik Robót Budowlanych</t>
  </si>
  <si>
    <t>https://www.pracuj.pl/praca/inzynier-kierownik-robot-budowlanych-jedlicze,oferta,1001982101</t>
  </si>
  <si>
    <t>2604122</t>
  </si>
  <si>
    <t>41663729</t>
  </si>
  <si>
    <t>https://www.pracuj.pl/praca/inzynier-kierownik-robot-budowlanych-rzeszow,oferta,1001982103</t>
  </si>
  <si>
    <t>2604124</t>
  </si>
  <si>
    <t>41663731</t>
  </si>
  <si>
    <t>MAX POWER POLAND sp. z o.o.</t>
  </si>
  <si>
    <t>Inżynier budownictwa (prace zewnętrzne)</t>
  </si>
  <si>
    <t>https://www.pracuj.pl/praca/inzynier-budownictwa-prace-zewnetrzne-stalowa-wola,oferta,1001984573</t>
  </si>
  <si>
    <t>2606214</t>
  </si>
  <si>
    <t>41665821</t>
  </si>
  <si>
    <t>Asystent Projektu</t>
  </si>
  <si>
    <t>https://www.pracuj.pl/praca/asystent-projektu-stalowa-wola,oferta,1001984582</t>
  </si>
  <si>
    <t>2606223</t>
  </si>
  <si>
    <t>41665830</t>
  </si>
  <si>
    <t>Asystent ds. planowania</t>
  </si>
  <si>
    <t>https://www.pracuj.pl/praca/asystent-ds-planowania-stalowa-wola,oferta,1001984733</t>
  </si>
  <si>
    <t>2606374</t>
  </si>
  <si>
    <t>41665981</t>
  </si>
  <si>
    <t>Asystent Projektanta - Specjalista BIM/Revit</t>
  </si>
  <si>
    <t>https://www.praca.pl/asystent-projektanta-specjalista-bim-revit_7379388.html</t>
  </si>
  <si>
    <t>2631536</t>
  </si>
  <si>
    <t>41918808</t>
  </si>
  <si>
    <t>Inżynier budowy - biuro budowy (drogi,tory)</t>
  </si>
  <si>
    <t>Polska, podkarpackie, Jawornik Polski (pow. przeworski)</t>
  </si>
  <si>
    <t>https://www.pracuj.pl/praca/inzynier-budowy-biuro-budowy-drogi-tory-jawornik-polski-pow-przeworski,oferta,1002000934</t>
  </si>
  <si>
    <t>2635489</t>
  </si>
  <si>
    <t>41961722</t>
  </si>
  <si>
    <t>https://www.pracuj.pl/praca/inzynier-budowy-chmielow-pow-tarnobrzeski,oferta,1002001176</t>
  </si>
  <si>
    <t>10.08.2022 06:28</t>
  </si>
  <si>
    <t>2635723</t>
  </si>
  <si>
    <t>41961956</t>
  </si>
  <si>
    <t>https://www.pracuj.pl/praca/kierownik-robot-budowlanych-chmielow-pow-tarnobrzeski,oferta,1002001446</t>
  </si>
  <si>
    <t>2635979</t>
  </si>
  <si>
    <t>41962212</t>
  </si>
  <si>
    <t>Daldehog Poland Sp. z o.o.</t>
  </si>
  <si>
    <t>https://www.pracuj.pl/praca/inzynier-budowy-podkarpackie,oferta,9339311</t>
  </si>
  <si>
    <t>2682889</t>
  </si>
  <si>
    <t>42562577</t>
  </si>
  <si>
    <t>Inżynier ds. bezpieczeństwa</t>
  </si>
  <si>
    <t>https://www.pracuj.pl/praca/inzynier-ds-bezpieczenstwa-stalowa-wola,oferta,1001984586</t>
  </si>
  <si>
    <t>2606227</t>
  </si>
  <si>
    <t>41665834</t>
  </si>
  <si>
    <t>UNISERV S.A.</t>
  </si>
  <si>
    <t>https://www.pracuj.pl/praca/inzynier-budowy-rzeszow,oferta,1002044209</t>
  </si>
  <si>
    <t>2710641</t>
  </si>
  <si>
    <t>42870422</t>
  </si>
  <si>
    <t>Bilfinger Tebodin Poland Sp. z o.o.</t>
  </si>
  <si>
    <t>Projektant Instalacji Słaboprądowych</t>
  </si>
  <si>
    <t>https://www.pracuj.pl/praca/projektant-instalacji-slabopradowych-podkarpackie,oferta,9339394</t>
  </si>
  <si>
    <t>2682904</t>
  </si>
  <si>
    <t>42562592</t>
  </si>
  <si>
    <t>Transfer Multisort Elektronik Sp. z o.o.</t>
  </si>
  <si>
    <t>Specjalista ds. Rozwoju Oferty Produktowej</t>
  </si>
  <si>
    <t>https://www.pracuj.pl/praca/specjalista-ds-rozwoju-oferty-produktowej-podkarpackie,oferta,9336999</t>
  </si>
  <si>
    <t>2682382</t>
  </si>
  <si>
    <t>42562070</t>
  </si>
  <si>
    <t>Inżynier Elektryk</t>
  </si>
  <si>
    <t>https://www.pracuj.pl/praca/inzynier-elektryk-mielec,oferta,1002028844</t>
  </si>
  <si>
    <t>2684109</t>
  </si>
  <si>
    <t>42563797</t>
  </si>
  <si>
    <t>Solar Design Engineer</t>
  </si>
  <si>
    <t>https://www.pracuj.pl/praca/solar-design-engineer-podkarpackie,oferta,9287334</t>
  </si>
  <si>
    <t>2603227</t>
  </si>
  <si>
    <t>41662834</t>
  </si>
  <si>
    <t>HERZ Armatura i Systemy Grzewcze</t>
  </si>
  <si>
    <t>Doradca techniczno-handlowy ds. węzłów cieplnych</t>
  </si>
  <si>
    <t>https://www.pracuj.pl/praca/doradca-techniczno-handlowy-ds-wezlow-cieplnych-podkarpackie,oferta,9287941</t>
  </si>
  <si>
    <t>2603324</t>
  </si>
  <si>
    <t>41662931</t>
  </si>
  <si>
    <t>https://www.pracuj.pl/praca/kierownik-projektu-krosno,oferta,1002027799</t>
  </si>
  <si>
    <t>2683111</t>
  </si>
  <si>
    <t>42562799</t>
  </si>
  <si>
    <t>https://www.praca.pl/inzynier-kierownik-robot-sanitarnych_7365339.html</t>
  </si>
  <si>
    <t>2631437</t>
  </si>
  <si>
    <t>41838996</t>
  </si>
  <si>
    <t>Oksydan Sp. z.o.o</t>
  </si>
  <si>
    <t>Młodszy Inżynier Sanitarny / asystent</t>
  </si>
  <si>
    <t>Polska, podkarpackie, Rudna Wielka (pow. rzeszowski)</t>
  </si>
  <si>
    <t>https://www.pracuj.pl/praca/mlodszy-inzynier-sanitarny-asystent-rudna-wielka-pow-rzeszowski,oferta,1002044350</t>
  </si>
  <si>
    <t>2710780</t>
  </si>
  <si>
    <t>42870561</t>
  </si>
  <si>
    <t>Technolog branży ochrony środowiska</t>
  </si>
  <si>
    <t>https://www.praca.pl/technolog-branzy-ochrony-srodowiska_7335657.html</t>
  </si>
  <si>
    <t>27.08.2022</t>
  </si>
  <si>
    <t>2601788</t>
  </si>
  <si>
    <t>41416378</t>
  </si>
  <si>
    <t>Konstruktor narzędzi do tłoczenia i wykrawania blach</t>
  </si>
  <si>
    <t>https://www.pracuj.pl/praca/konstruktor-narzedzi-do-tloczenia-i-wykrawania-blach-mielec,oferta,1001999030</t>
  </si>
  <si>
    <t>2633632</t>
  </si>
  <si>
    <t>41959865</t>
  </si>
  <si>
    <t>Konstruktor narzędzi do tłoczenia i wykrawania blach / КОНСТРУКТОР ШТАМПУВАЛЬНИХ ІНСТРУМЕНТІВ ТА ВИРІЗЦІ З ЛИСТОВОГО МЕТАЛУ</t>
  </si>
  <si>
    <t>https://www.pracuj.pl/praca/konstruktor-narzedzi-do-tloczenia-i-wykrawania-blach-mielec,oferta,1001999044</t>
  </si>
  <si>
    <t>2633646</t>
  </si>
  <si>
    <t>41959879</t>
  </si>
  <si>
    <t>Inżynier ds. mechanicznych w sektorze budownictwa</t>
  </si>
  <si>
    <t>https://www.pracuj.pl/praca/inzynier-ds-mechanicznych-w-sektorze-budownictwa-podkarpackie,oferta,9305034</t>
  </si>
  <si>
    <t>2632951</t>
  </si>
  <si>
    <t>41959184</t>
  </si>
  <si>
    <t>https://www.pracuj.pl/praca/specjalista-ds-bhp-debica,oferta,1002028119</t>
  </si>
  <si>
    <t>2683424</t>
  </si>
  <si>
    <t>42563112</t>
  </si>
  <si>
    <t>https://www.pracuj.pl/praca/projektant-konstruktor-ropczyce,oferta,1001982566</t>
  </si>
  <si>
    <t>2604568</t>
  </si>
  <si>
    <t>41664175</t>
  </si>
  <si>
    <t>Dyrektor Serwisu</t>
  </si>
  <si>
    <t>https://www.praca.pl/dyrektor-serwisu_7459962.html</t>
  </si>
  <si>
    <t>2707181</t>
  </si>
  <si>
    <t>42829287</t>
  </si>
  <si>
    <t>Procurement Expert Cost Estimation</t>
  </si>
  <si>
    <t>https://www.pracuj.pl/praca/procurement-expert-cost-estimation-mielec,oferta,1002044658</t>
  </si>
  <si>
    <t>2711084</t>
  </si>
  <si>
    <t>42870865</t>
  </si>
  <si>
    <t>STILL Polska sp. z o.o. – rozwiązania intralogistyczne</t>
  </si>
  <si>
    <t>Menadżer Regionu ds. Serwisu</t>
  </si>
  <si>
    <t>https://www.pracuj.pl/praca/menadzer-regionu-ds-serwisu-rzeszow,oferta,1002045399</t>
  </si>
  <si>
    <t>2711816</t>
  </si>
  <si>
    <t>42871597</t>
  </si>
  <si>
    <t>Jacobs Engineering</t>
  </si>
  <si>
    <t>Senior Proposal Coordinator</t>
  </si>
  <si>
    <t>https://www.pracuj.pl/praca/senior-proposal-coordinator-rzeszow,oferta,1002001124</t>
  </si>
  <si>
    <t>2635673</t>
  </si>
  <si>
    <t>41961906</t>
  </si>
  <si>
    <t>https://www.pracuj.pl/praca/technolog-procesu-dzial-inzynierii-krosno,oferta,1002042936</t>
  </si>
  <si>
    <t>2709412</t>
  </si>
  <si>
    <t>42869193</t>
  </si>
  <si>
    <t>Network Operations Engineer – NOC</t>
  </si>
  <si>
    <t>https://www.pracuj.pl/praca/network-operations-engineer-noc-subcarpathia,oferta,9337524</t>
  </si>
  <si>
    <t>2682484</t>
  </si>
  <si>
    <t>42562172</t>
  </si>
  <si>
    <t>McCormick Shared Services</t>
  </si>
  <si>
    <t>NA Regulatory Compliance Analyst</t>
  </si>
  <si>
    <t>https://www.pracuj.pl/praca/na-regulatory-compliance-analyst-subcarpathia,oferta,9337686</t>
  </si>
  <si>
    <t>2682525</t>
  </si>
  <si>
    <t>42562213</t>
  </si>
  <si>
    <t>Solution Architect</t>
  </si>
  <si>
    <t>https://www.pracuj.pl/praca/solution-architect-subcarpathia,oferta,9355692</t>
  </si>
  <si>
    <t>2708839</t>
  </si>
  <si>
    <t>42868620</t>
  </si>
  <si>
    <t>https://www.praca.pl/dyrektor-serwisu_7324389.html</t>
  </si>
  <si>
    <t>2601696</t>
  </si>
  <si>
    <t>41327020</t>
  </si>
  <si>
    <t>EMEA Regulatory Compliance Analyst</t>
  </si>
  <si>
    <t>Inżynier technologii żywności</t>
  </si>
  <si>
    <t>https://www.pracuj.pl/praca/emea-regulatory-compliance-analyst-subcarpathia,oferta,9337703</t>
  </si>
  <si>
    <t>2682541</t>
  </si>
  <si>
    <t>42562229</t>
  </si>
  <si>
    <t>https://www.pracuj.pl/praca/kontroler-procesu-debica,oferta,1001982733</t>
  </si>
  <si>
    <t>2604728</t>
  </si>
  <si>
    <t>41664335</t>
  </si>
  <si>
    <t>Inżynier procesu - transfer produkcji - język niemiecki</t>
  </si>
  <si>
    <t>https://www.pracuj.pl/praca/inzynier-procesu-transfer-produkcji-jezyk-niemiecki-mielec,oferta,1001999040</t>
  </si>
  <si>
    <t>2633642</t>
  </si>
  <si>
    <t>41959875</t>
  </si>
  <si>
    <t>Inżynier - Technolog - Produkcja - Język niemiecki /  ІНЖЕНЕР – ТЕХНОЛОГ –ВИРОБНИЦТВO – НІМЕЦЬКА МОВ</t>
  </si>
  <si>
    <t>https://www.pracuj.pl/praca/inzynier-technolog-produkcja-jezyk-niemiecki-mielec,oferta,1001999049</t>
  </si>
  <si>
    <t>2633651</t>
  </si>
  <si>
    <t>41959884</t>
  </si>
  <si>
    <t>Problem Manager - EMEA</t>
  </si>
  <si>
    <t>https://www.pracuj.pl/praca/problem-manager-emea-rzeszow,oferta,1001999570</t>
  </si>
  <si>
    <t>2634153</t>
  </si>
  <si>
    <t>41960386</t>
  </si>
  <si>
    <t>Keystone Consulting</t>
  </si>
  <si>
    <t>Vaccination Service Engineer/ Inżynier Serwisu Szczepień</t>
  </si>
  <si>
    <t>https://www.pracuj.pl/praca/vaccination-service-engineer-inzynier-serwisu-szczepien-podkarpackie,oferta,9305349</t>
  </si>
  <si>
    <t>2633040</t>
  </si>
  <si>
    <t>41959273</t>
  </si>
  <si>
    <t>Dino Polska S.A.</t>
  </si>
  <si>
    <t>Kasjer-Sprzedawca</t>
  </si>
  <si>
    <t>https://www.pracuj.pl/praca/kasjer-sprzedawca-tarnobrzeg,oferta,1001981656</t>
  </si>
  <si>
    <t>2603778</t>
  </si>
  <si>
    <t>41663385</t>
  </si>
  <si>
    <t>Firma Handlowo-Produkcyjna Maciej Maruszak</t>
  </si>
  <si>
    <t>Pracownik gastronomii</t>
  </si>
  <si>
    <t>https://www.pracuj.pl/praca/pracownik-gastronomii-lezajsk,oferta,1001982100</t>
  </si>
  <si>
    <t>2604121</t>
  </si>
  <si>
    <t>41663728</t>
  </si>
  <si>
    <t>SIEGER Personaldienstleistungen GmbH</t>
  </si>
  <si>
    <t>Kierowca cysterny C+E / ADR</t>
  </si>
  <si>
    <t>https://www.praca.pl/kierowca-cysterny-c-e-adr_7428996.html</t>
  </si>
  <si>
    <t>2681459</t>
  </si>
  <si>
    <t>42521337</t>
  </si>
  <si>
    <t>VOS LOGISTICS BULK INTERNATIONAL S.A.</t>
  </si>
  <si>
    <t>Kierowca silosa C+E</t>
  </si>
  <si>
    <t>https://www.pracuj.pl/praca/kierowca-silosa-c%2be-podkarpackie,oferta,9356730</t>
  </si>
  <si>
    <t>2709112</t>
  </si>
  <si>
    <t>42868893</t>
  </si>
  <si>
    <t>BJ TRANSPORT Jacek Bejster</t>
  </si>
  <si>
    <t>https://www.pracuj.pl/praca/kierowca-kat-c%2be-zolynia-pow-lancucki,oferta,1002000485</t>
  </si>
  <si>
    <t>2635046</t>
  </si>
  <si>
    <t>41961279</t>
  </si>
  <si>
    <t>Van Huet Glastransport Polska Sp. z o.o.</t>
  </si>
  <si>
    <t>Kierowca międzynarodowy</t>
  </si>
  <si>
    <t>https://www.praca.pl/kierowca-miedzynarodowy_7457145.html</t>
  </si>
  <si>
    <t>2706964</t>
  </si>
  <si>
    <t>42829044</t>
  </si>
  <si>
    <t>Geneva Trust Polska sp. z o.o.</t>
  </si>
  <si>
    <t>Kierowca kat. C i E</t>
  </si>
  <si>
    <t>https://www.praca.pl/kierowca-kat-c-i-e_7459668.html</t>
  </si>
  <si>
    <t>2707221</t>
  </si>
  <si>
    <t>42829327</t>
  </si>
  <si>
    <t>SK-TRANS</t>
  </si>
  <si>
    <t>kierowca</t>
  </si>
  <si>
    <t>https://gratka.pl/praca/kierowca-c-e-jazda-po-kraju-ciagnik-siodlowy-z-naczepa-firanka-umowa-o-pra/oi/27641875?utm_source=zielonalinia.pl&amp;utm_medium=zielonalinia&amp;utm_campaign=export_xml</t>
  </si>
  <si>
    <t>31.08.2022 03:15</t>
  </si>
  <si>
    <t>30.09.2022</t>
  </si>
  <si>
    <t>2707403</t>
  </si>
  <si>
    <t>42854978</t>
  </si>
  <si>
    <t>VOS LOGISTICS CARGO INTERNATIONAL S.A.</t>
  </si>
  <si>
    <t>Kierowca C+E w ruchu międzynarodowym</t>
  </si>
  <si>
    <t>https://www.pracuj.pl/praca/kierowca-c%2be-w-ruchu-miedzynarodowym-podkarpackie,oferta,9353090</t>
  </si>
  <si>
    <t>2707930</t>
  </si>
  <si>
    <t>42867711</t>
  </si>
  <si>
    <t>https://www.pracuj.pl/praca/kierowca-c%2be-podkarpackie,oferta,9354046</t>
  </si>
  <si>
    <t>2708311</t>
  </si>
  <si>
    <t>42868092</t>
  </si>
  <si>
    <t>Boekestijn Transport Sp z o.o.</t>
  </si>
  <si>
    <t>Kierowca Międzynarodowy C+E (bez doświadczenia)</t>
  </si>
  <si>
    <t>https://www.pracuj.pl/praca/kierowca-miedzynarodowy-c%2be-bez-doswiadczenia-podkarpackie,oferta,9354435</t>
  </si>
  <si>
    <t>2708414</t>
  </si>
  <si>
    <t>42868195</t>
  </si>
  <si>
    <t>DAMIAN MAROSZEK TRANSPORT KRAJOWY I ZAGRANICZNY</t>
  </si>
  <si>
    <t>https://www.pracuj.pl/praca/kierowca-kat-c%2be-rzeszow,oferta,1002043284</t>
  </si>
  <si>
    <t>2709739</t>
  </si>
  <si>
    <t>42869520</t>
  </si>
  <si>
    <t>https://www.pracuj.pl/praca/kierowca-kat-c%2be-przemysl,oferta,1002043289</t>
  </si>
  <si>
    <t>2709744</t>
  </si>
  <si>
    <t>42869525</t>
  </si>
  <si>
    <t>Kierowca kat. C+E - transport daleki</t>
  </si>
  <si>
    <t>https://www.pracuj.pl/praca/kierowca-kat-c%2be-transport-daleki-rzeszow,oferta,1002043862</t>
  </si>
  <si>
    <t>2710301</t>
  </si>
  <si>
    <t>42870082</t>
  </si>
  <si>
    <t>Firma Handlowo-usługowa "ANI-TRANS" Rafał Zawierucha</t>
  </si>
  <si>
    <t>https://www.pracuj.pl/praca/kierowca-c%2be-mielec,oferta,1002044427</t>
  </si>
  <si>
    <t>2710857</t>
  </si>
  <si>
    <t>42870638</t>
  </si>
  <si>
    <t>https://www.praca.pl/operator-wozka-widlowego_7357209.html</t>
  </si>
  <si>
    <t>2601955</t>
  </si>
  <si>
    <t>41623464</t>
  </si>
  <si>
    <t>BALTIC WOOD S.A.</t>
  </si>
  <si>
    <t>Operator wózka widłowego / Magazynier</t>
  </si>
  <si>
    <t>Polska, podkarpackie, Jasło, ul. Fabryczna 6a</t>
  </si>
  <si>
    <t>https://www.praca.pl/operator-wozka-widlowego-magazynier_7434000.html</t>
  </si>
  <si>
    <t>2681596</t>
  </si>
  <si>
    <t>42521477</t>
  </si>
  <si>
    <t>Magazynier – operator wózka</t>
  </si>
  <si>
    <t>https://www.praca.pl/magazynier-operator-wozka_7460946.html</t>
  </si>
  <si>
    <t>31.08.2022 03:26</t>
  </si>
  <si>
    <t>2707049</t>
  </si>
  <si>
    <t>42829155</t>
  </si>
  <si>
    <t>Operator wózków widłowych</t>
  </si>
  <si>
    <t>https://www.pracuj.pl/praca/operator-wozkow-widlowych-stalowa-wola,oferta,1002043392</t>
  </si>
  <si>
    <t>2709840</t>
  </si>
  <si>
    <t>42869621</t>
  </si>
  <si>
    <t>DESABAU GmbH</t>
  </si>
  <si>
    <t>Kierowca ciężarówek w krajowym ruchu towarowym (m/k/d) - Niemcy</t>
  </si>
  <si>
    <t>https://gratka.pl/praca/kierowca-ciezarowek-w-krajowym-ruchu-towarowym-m-k-d-niemcy/ob/27400203?utm_source=zielonalinia.pl&amp;utm_medium=zielonalinia&amp;utm_campaign=export_xml</t>
  </si>
  <si>
    <t>10.08.2022 03:15</t>
  </si>
  <si>
    <t>2631921</t>
  </si>
  <si>
    <t>41947114</t>
  </si>
  <si>
    <t>Kierowca kat. C - transport bliski</t>
  </si>
  <si>
    <t>https://www.pracuj.pl/praca/kierowca-kat-c-transport-bliski-rzeszow,oferta,1002043772</t>
  </si>
  <si>
    <t>2710213</t>
  </si>
  <si>
    <t>42869994</t>
  </si>
  <si>
    <t>Technik Dostawca</t>
  </si>
  <si>
    <t>https://www.pracuj.pl/praca/technik-dostawca-zaczernie-pow-rzeszowski,oferta,1001999736</t>
  </si>
  <si>
    <t>2634317</t>
  </si>
  <si>
    <t>41960550</t>
  </si>
  <si>
    <t>Gepa Logistics Sp. z o.o. Sp. K.</t>
  </si>
  <si>
    <t>Kierowca w ruchu międzynarodowym - kategoria B</t>
  </si>
  <si>
    <t>https://www.praca.pl/kierowca-w-ruchu-miedzynarodowym-kategoria-b_7408455.html</t>
  </si>
  <si>
    <t>2658220</t>
  </si>
  <si>
    <t>42218532</t>
  </si>
  <si>
    <t>Kierowca Samochodu pow. 3,5 t</t>
  </si>
  <si>
    <t>Polska, podkarpackie, Rzeszów, ul. A. Matuszczaka 5</t>
  </si>
  <si>
    <t>https://www.praca.pl/kierowca-samochodu-pow-3,5-t_7433913.html</t>
  </si>
  <si>
    <t>2681600</t>
  </si>
  <si>
    <t>42521482</t>
  </si>
  <si>
    <t>Fundacja ADRA w Polsce</t>
  </si>
  <si>
    <t>Kierowca busa</t>
  </si>
  <si>
    <t>https://www.praca.pl/kierowca-busa_7379928.html</t>
  </si>
  <si>
    <t>2631908</t>
  </si>
  <si>
    <t>41919192</t>
  </si>
  <si>
    <t>Polski Koncern Naftowy ORLEN SA</t>
  </si>
  <si>
    <t>Kierownik stacji paliw Orlen</t>
  </si>
  <si>
    <t>Kierownik / właściciel stacji paliw</t>
  </si>
  <si>
    <t>Polska, podkarpackie, Skołoszów (pow. jarosławski)</t>
  </si>
  <si>
    <t>https://www.pracuj.pl/praca/kierownik-stacji-paliw-orlen-skoloszow-pow-jaroslawski,oferta,1001982412</t>
  </si>
  <si>
    <t>14.08.2022</t>
  </si>
  <si>
    <t>2604425</t>
  </si>
  <si>
    <t>41664032</t>
  </si>
  <si>
    <t>RPd057|143910</t>
  </si>
  <si>
    <t>https://www.pracuj.pl/praca/kierownik-stacji-paliw-orlen-lesko,oferta,1001982413</t>
  </si>
  <si>
    <t>2604426</t>
  </si>
  <si>
    <t>41664033</t>
  </si>
  <si>
    <t>ASISTWORK Sp. z o.o.</t>
  </si>
  <si>
    <t>Kierownik Usługi</t>
  </si>
  <si>
    <t>https://www.pracuj.pl/praca/kierownik-uslugi-rzeszow,oferta,1001981633</t>
  </si>
  <si>
    <t>2603755</t>
  </si>
  <si>
    <t>41663362</t>
  </si>
  <si>
    <t>Manager Działu Ochrony</t>
  </si>
  <si>
    <t>https://www.pracuj.pl/praca/manager-dzialu-ochrony-rzeszow,oferta,1001981664</t>
  </si>
  <si>
    <t>2603786</t>
  </si>
  <si>
    <t>41663393</t>
  </si>
  <si>
    <t>Kierownik Ochrony Fizycznej</t>
  </si>
  <si>
    <t>https://www.pracuj.pl/praca/kierownik-ochrony-fizycznej-rzeszow,oferta,1001981739</t>
  </si>
  <si>
    <t>2603860</t>
  </si>
  <si>
    <t>41663467</t>
  </si>
  <si>
    <t>Koordynator</t>
  </si>
  <si>
    <t>https://www.pracuj.pl/praca/koordynator-rzeszow,oferta,1002029105</t>
  </si>
  <si>
    <t>2684364</t>
  </si>
  <si>
    <t>42564052</t>
  </si>
  <si>
    <t>https://www.praca.pl/kierownik-apteki_7379622.html</t>
  </si>
  <si>
    <t>2631447</t>
  </si>
  <si>
    <t>41877754</t>
  </si>
  <si>
    <t>https://www.praca.pl/kierownik-apteki_7460010.html</t>
  </si>
  <si>
    <t>2707172</t>
  </si>
  <si>
    <t>42829278</t>
  </si>
  <si>
    <t>Kierownik robót / Inżynier budowy - roboty budowlane / konstrukcyjne</t>
  </si>
  <si>
    <t>https://www.praca.pl/kierownik-robot-inzynier-budowy-roboty-budowlane-konstrukcyjne_7434993.html</t>
  </si>
  <si>
    <t>2681418</t>
  </si>
  <si>
    <t>42521296</t>
  </si>
  <si>
    <t>Wytwórnia Konstrukcji Stalowych Duna Polska Sp. z o.o.</t>
  </si>
  <si>
    <t>Kierownik robót montażowych konstrukcji stalowych</t>
  </si>
  <si>
    <t>https://www.praca.pl/kierownik-robot-montazowych-konstrukcji-stalowych_7433583.html</t>
  </si>
  <si>
    <t>2681645</t>
  </si>
  <si>
    <t>42521530</t>
  </si>
  <si>
    <t>Realizacje Wenglorz Sp. z o.o. Sp.k.</t>
  </si>
  <si>
    <t>https://www.pracuj.pl/praca/kierownik-budowy-podkarpackie,oferta,9338789</t>
  </si>
  <si>
    <t>2682801</t>
  </si>
  <si>
    <t>42562489</t>
  </si>
  <si>
    <t>CXC Global Poland Sp. z o.o.</t>
  </si>
  <si>
    <t>Receptionist / Administrative Assistant:</t>
  </si>
  <si>
    <t>https://www.pracuj.pl/praca/receptionist-administrative-assistant-rzeszow,oferta,1002029612</t>
  </si>
  <si>
    <t>2684869</t>
  </si>
  <si>
    <t>42564557</t>
  </si>
  <si>
    <t>https://www.praca.pl/kierownik-budowy_7413216.html</t>
  </si>
  <si>
    <t>2706779</t>
  </si>
  <si>
    <t>42260648</t>
  </si>
  <si>
    <t>https://www.praca.pl/kierownik-inzynier-budowy_7461231.html</t>
  </si>
  <si>
    <t>2707009</t>
  </si>
  <si>
    <t>42829099</t>
  </si>
  <si>
    <t>JL Sp. z o.o.</t>
  </si>
  <si>
    <t>https://www.praca.pl/kierownik-budowy_7460250.html</t>
  </si>
  <si>
    <t>2707086</t>
  </si>
  <si>
    <t>42829192</t>
  </si>
  <si>
    <t>Dekpol Budownictwo</t>
  </si>
  <si>
    <t>https://www.pracuj.pl/praca/inzynier-budowy-podkarpackie,oferta,9353688</t>
  </si>
  <si>
    <t>2708119</t>
  </si>
  <si>
    <t>42867900</t>
  </si>
  <si>
    <t>F.H.U. Inside Elektryczne Systemy Instalacyjne Rafał Mulawa</t>
  </si>
  <si>
    <t>Kierownik budowy - branża elektryczna</t>
  </si>
  <si>
    <t>https://www.pracuj.pl/praca/kierownik-budowy-branza-elektryczna-podkarpackie,oferta,9354383</t>
  </si>
  <si>
    <t>2708375</t>
  </si>
  <si>
    <t>42868156</t>
  </si>
  <si>
    <t>STRABAG</t>
  </si>
  <si>
    <t>Inżynier budowy (m / k)</t>
  </si>
  <si>
    <t>https://www.pracuj.pl/praca/inzynier-budowy-m-k-nisko,oferta,1002042769</t>
  </si>
  <si>
    <t>2709246</t>
  </si>
  <si>
    <t>42869027</t>
  </si>
  <si>
    <t>Kierownik Budowy - budownictwo przemysłowe</t>
  </si>
  <si>
    <t>https://www.pracuj.pl/praca/kierownik-budowy-budownictwo-przemyslowe-rzeszow,oferta,1002044180</t>
  </si>
  <si>
    <t>2710612</t>
  </si>
  <si>
    <t>42870393</t>
  </si>
  <si>
    <t>Sales Team Leader</t>
  </si>
  <si>
    <t>https://www.pracuj.pl/praca/sales-team-leader-podkarpackie,oferta,9306601</t>
  </si>
  <si>
    <t>2633319</t>
  </si>
  <si>
    <t>41959552</t>
  </si>
  <si>
    <t>Dyrektor/ka Biura Sprzedaży Telefonicznej</t>
  </si>
  <si>
    <t>https://www.pracuj.pl/praca/dyrektor-ka-biura-sprzedazy-telefonicznej-podkarpackie,oferta,9353457</t>
  </si>
  <si>
    <t>2708060</t>
  </si>
  <si>
    <t>42867841</t>
  </si>
  <si>
    <t>Sales Specialist with French and English</t>
  </si>
  <si>
    <t>https://www.pracuj.pl/praca/sales-specialist-with-french-and-english-subcarpathia,oferta,9356233</t>
  </si>
  <si>
    <t>2709002</t>
  </si>
  <si>
    <t>42868783</t>
  </si>
  <si>
    <t>Head of Digital</t>
  </si>
  <si>
    <t>https://www.pracuj.pl/praca/head-of-digital-podkarpackie,oferta,9285833</t>
  </si>
  <si>
    <t>2602915</t>
  </si>
  <si>
    <t>41662522</t>
  </si>
  <si>
    <t>Manager ds. rozwoju Rynku – Tworzywa Termoplastyczne</t>
  </si>
  <si>
    <t>https://www.pracuj.pl/praca/manager-ds-rozwoju-rynku-tworzywa-termoplastyczne-rzeszow,oferta,1001983256</t>
  </si>
  <si>
    <t>2605218</t>
  </si>
  <si>
    <t>41664825</t>
  </si>
  <si>
    <t>Sequin Art Limited</t>
  </si>
  <si>
    <t>Krajowy kierownik ds. sprzedaży</t>
  </si>
  <si>
    <t>https://www.pracuj.pl/praca/krajowy-kierownik-ds-sprzedazy-podkarpackie,oferta,9355818</t>
  </si>
  <si>
    <t>13.10.2022</t>
  </si>
  <si>
    <t>2708859</t>
  </si>
  <si>
    <t>42868640</t>
  </si>
  <si>
    <t>E-commerce Account Executive with Arabic</t>
  </si>
  <si>
    <t>https://www.pracuj.pl/praca/e-commerce-account-executive-with-arabic-rzeszow,oferta,1001984895</t>
  </si>
  <si>
    <t>2606536</t>
  </si>
  <si>
    <t>41666143</t>
  </si>
  <si>
    <t>Vendana GmbH (Remote/Home office)</t>
  </si>
  <si>
    <t>Digital Marketing Manager (native Polish speaker)</t>
  </si>
  <si>
    <t>https://www.pracuj.pl/praca/digital-marketing-manager-native-polish-speaker-subcarpathia,oferta,9304034</t>
  </si>
  <si>
    <t>2632625</t>
  </si>
  <si>
    <t>41958858</t>
  </si>
  <si>
    <t>Product Owner - Microsoft Dynamics AX</t>
  </si>
  <si>
    <t>https://www.pracuj.pl/praca/product-owner-microsoft-dynamics-ax-podkarpackie,oferta,9304213</t>
  </si>
  <si>
    <t>2632677</t>
  </si>
  <si>
    <t>41958910</t>
  </si>
  <si>
    <t>Specjalista ds. Procesów Zarządzania Sprzedażą</t>
  </si>
  <si>
    <t>https://www.pracuj.pl/praca/specjalista-ds-procesow-zarzadzania-sprzedaza-brzeznica-pow-debicki,oferta,1001982360</t>
  </si>
  <si>
    <t>2604378</t>
  </si>
  <si>
    <t>41663985</t>
  </si>
  <si>
    <t>https://www.praca.pl/menedzer-zespolu-sprzedazy_7437519.html</t>
  </si>
  <si>
    <t>2681247</t>
  </si>
  <si>
    <t>42521124</t>
  </si>
  <si>
    <t>Team Leader with German</t>
  </si>
  <si>
    <t>https://www.pracuj.pl/praca/team-leader-with-german-subcarpathia,oferta,9306518</t>
  </si>
  <si>
    <t>2633287</t>
  </si>
  <si>
    <t>41959520</t>
  </si>
  <si>
    <t>https://www.pracuj.pl/praca/scrum-master-subcarpathia,oferta,9307539</t>
  </si>
  <si>
    <t>2633558</t>
  </si>
  <si>
    <t>41959791</t>
  </si>
  <si>
    <t>Starszy Specjalista IT</t>
  </si>
  <si>
    <t>https://www.pracuj.pl/praca/starszy-specjalista-it-jaslo,oferta,1001999392</t>
  </si>
  <si>
    <t>2633980</t>
  </si>
  <si>
    <t>41960213</t>
  </si>
  <si>
    <t>Junior IT Assets Specialist</t>
  </si>
  <si>
    <t>https://www.pracuj.pl/praca/junior-it-assets-specialist-rzeszow,oferta,1002028864</t>
  </si>
  <si>
    <t>2684129</t>
  </si>
  <si>
    <t>42563817</t>
  </si>
  <si>
    <t>https://www.pracuj.pl/praca/hr-manager-stalowa-wola,oferta,1001981466</t>
  </si>
  <si>
    <t>2603592</t>
  </si>
  <si>
    <t>41663199</t>
  </si>
  <si>
    <t>Team Leader - Finance Operations</t>
  </si>
  <si>
    <t>https://www.pracuj.pl/praca/team-leader-finance-operations-subcarpathia,oferta,9286874</t>
  </si>
  <si>
    <t>2603139</t>
  </si>
  <si>
    <t>41662746</t>
  </si>
  <si>
    <t>Coordinator - Finance Operations</t>
  </si>
  <si>
    <t>https://www.pracuj.pl/praca/coordinator-finance-operations-subcarpathia,oferta,9286893</t>
  </si>
  <si>
    <t>2603155</t>
  </si>
  <si>
    <t>41662762</t>
  </si>
  <si>
    <t>Kierownik techniczny w Centrum Likwidacji Szkód</t>
  </si>
  <si>
    <t>https://www.pracuj.pl/praca/kierownik-techniczny-w-centrum-likwidacji-szkod-pilzno,oferta,1001999069</t>
  </si>
  <si>
    <t>2633671</t>
  </si>
  <si>
    <t>41959904</t>
  </si>
  <si>
    <t>https://www.pracuj.pl/praca/kierownik-techniczny-w-centrum-likwidacji-szkod-debica,oferta,1001999070</t>
  </si>
  <si>
    <t>2633672</t>
  </si>
  <si>
    <t>41959905</t>
  </si>
  <si>
    <t>https://www.pracuj.pl/praca/kierownik-zmiany-stalowa-wola,oferta,1001999946</t>
  </si>
  <si>
    <t>2634522</t>
  </si>
  <si>
    <t>41960755</t>
  </si>
  <si>
    <t>Manager Nadzoru</t>
  </si>
  <si>
    <t>https://www.pracuj.pl/praca/manager-nadzoru-rzeszow,oferta,1001981647</t>
  </si>
  <si>
    <t>2603769</t>
  </si>
  <si>
    <t>41663376</t>
  </si>
  <si>
    <t>https://www.pracuj.pl/praca/kierownik-dzialu-rzeszow,oferta,1001981686</t>
  </si>
  <si>
    <t>2603808</t>
  </si>
  <si>
    <t>41663415</t>
  </si>
  <si>
    <t>DPS Systems Sp. z o.o.-</t>
  </si>
  <si>
    <t>IT/ ERP Account Manager</t>
  </si>
  <si>
    <t>https://www.pracuj.pl/praca/it-erp-account-manager-podkarpackie,oferta,9338189</t>
  </si>
  <si>
    <t>2682677</t>
  </si>
  <si>
    <t>42562365</t>
  </si>
  <si>
    <t>Mistrz zmianowy</t>
  </si>
  <si>
    <t>https://www.praca.pl/mistrz-zmianowy_7449135.html</t>
  </si>
  <si>
    <t>2707123</t>
  </si>
  <si>
    <t>42829229</t>
  </si>
  <si>
    <t>https://www.pracuj.pl/praca/kierownik-produkcji-krosno,oferta,1002044897</t>
  </si>
  <si>
    <t>2711317</t>
  </si>
  <si>
    <t>42871098</t>
  </si>
  <si>
    <t>https://www.pracuj.pl/praca/kierownik-produkcji-lesko,oferta,1002044898</t>
  </si>
  <si>
    <t>2711318</t>
  </si>
  <si>
    <t>42871099</t>
  </si>
  <si>
    <t>https://www.pracuj.pl/praca/kierownik-produkcji-rymanow,oferta,1002044899</t>
  </si>
  <si>
    <t>2711319</t>
  </si>
  <si>
    <t>42871100</t>
  </si>
  <si>
    <t>https://www.pracuj.pl/praca/kierownik-produkcji-sanok,oferta,1002044900</t>
  </si>
  <si>
    <t>2711320</t>
  </si>
  <si>
    <t>42871101</t>
  </si>
  <si>
    <t>https://www.pracuj.pl/praca/kierownik-produkcji-ustrzyki-dolne,oferta,1002044901</t>
  </si>
  <si>
    <t>2711321</t>
  </si>
  <si>
    <t>42871102</t>
  </si>
  <si>
    <t>https://www.pracuj.pl/praca/kierownik-produkcji-zagorz,oferta,1002044902</t>
  </si>
  <si>
    <t>2711322</t>
  </si>
  <si>
    <t>42871103</t>
  </si>
  <si>
    <t>https://www.pracuj.pl/praca/it-project-manager-subcarpathia,oferta,9303670</t>
  </si>
  <si>
    <t>2632467</t>
  </si>
  <si>
    <t>41958700</t>
  </si>
  <si>
    <t>Voice Contact Center Sp. z o.o.</t>
  </si>
  <si>
    <t>Koordynator Projektu Contact Center</t>
  </si>
  <si>
    <t>https://www.pracuj.pl/praca/koordynator-projektu-contact-center-rzeszow,oferta,1002030573</t>
  </si>
  <si>
    <t>2685804</t>
  </si>
  <si>
    <t>42565492</t>
  </si>
  <si>
    <t>https://www.pracuj.pl/praca/project-manager-mielec,oferta,1002044229</t>
  </si>
  <si>
    <t>2710661</t>
  </si>
  <si>
    <t>42870442</t>
  </si>
  <si>
    <t>https://www.praca.pl/zastepca-kierownika-sklepu_7325109.html</t>
  </si>
  <si>
    <t>2601642</t>
  </si>
  <si>
    <t>41326915</t>
  </si>
  <si>
    <t>https://www.pracuj.pl/praca/zastepca-kierownika-sklepu-ustrzyki-dolne,oferta,1001984701</t>
  </si>
  <si>
    <t>2606342</t>
  </si>
  <si>
    <t>41665949</t>
  </si>
  <si>
    <t>Zastępca Kierownika Salonu / Sinsay</t>
  </si>
  <si>
    <t>https://www.pracuj.pl/praca/zastepca-kierownika-salonu-sinsay-mielec,oferta,1002000213</t>
  </si>
  <si>
    <t>2634777</t>
  </si>
  <si>
    <t>41961010</t>
  </si>
  <si>
    <t>https://www.praca.pl/zastepca-kierownika-sklepu_7433196.html</t>
  </si>
  <si>
    <t>2681702</t>
  </si>
  <si>
    <t>42521590</t>
  </si>
  <si>
    <t>Polska, podkarpackie, Niechobrz (pow. rzeszowski)</t>
  </si>
  <si>
    <t>https://www.pracuj.pl/praca/zastepca-kierownika-sklepu-niechobrz-pow-rzeszowski,oferta,1002028325</t>
  </si>
  <si>
    <t>2683620</t>
  </si>
  <si>
    <t>42563308</t>
  </si>
  <si>
    <t>Polska, podkarpackie, Bratkowice (pow. rzeszowski)</t>
  </si>
  <si>
    <t>https://www.pracuj.pl/praca/zastepca-kierownika-sklepu-bratkowice-pow-rzeszowski,oferta,1002028341</t>
  </si>
  <si>
    <t>2683636</t>
  </si>
  <si>
    <t>42563324</t>
  </si>
  <si>
    <t>https://www.pracuj.pl/praca/zastepca-managera-sklepu-mielec,oferta,1002030231</t>
  </si>
  <si>
    <t>2685482</t>
  </si>
  <si>
    <t>42565170</t>
  </si>
  <si>
    <t>https://www.pracuj.pl/praca/zastepca-managera-sklepu-stalowa-wola,oferta,1002030236</t>
  </si>
  <si>
    <t>2685487</t>
  </si>
  <si>
    <t>42565175</t>
  </si>
  <si>
    <t>https://www.pracuj.pl/praca/kierownik-sklepu-jaslo,oferta,1002030656</t>
  </si>
  <si>
    <t>2685883</t>
  </si>
  <si>
    <t>42565571</t>
  </si>
  <si>
    <t>https://www.pracuj.pl/praca/kierownik-sklepu-kolbuszowa,oferta,1002044882</t>
  </si>
  <si>
    <t>2711302</t>
  </si>
  <si>
    <t>42871083</t>
  </si>
  <si>
    <t>https://www.pracuj.pl/praca/kierownik-sklepu-mielec,oferta,1002044912</t>
  </si>
  <si>
    <t>2711332</t>
  </si>
  <si>
    <t>42871113</t>
  </si>
  <si>
    <t>Kierownik Działu Utrzymania Ruchu</t>
  </si>
  <si>
    <t>https://www.pracuj.pl/praca/kierownik-dzialu-utrzymania-ruchu-podkarpackie,oferta,9337672</t>
  </si>
  <si>
    <t>2682511</t>
  </si>
  <si>
    <t>42562199</t>
  </si>
  <si>
    <t>Konsultant Oświatowy</t>
  </si>
  <si>
    <t>Konsultant do spraw kariery</t>
  </si>
  <si>
    <t>https://www.praca.pl/konsultant-oswiatowy_7407492.html</t>
  </si>
  <si>
    <t>2658353</t>
  </si>
  <si>
    <t>42218686</t>
  </si>
  <si>
    <t>RPd057|242305</t>
  </si>
  <si>
    <t>https://www.pracuj.pl/praca/financial-controller-debica,oferta,1001984930</t>
  </si>
  <si>
    <t>2606571</t>
  </si>
  <si>
    <t>41666178</t>
  </si>
  <si>
    <t>B2X CARE SOLUTIONS Sp. z o.o.</t>
  </si>
  <si>
    <t>https://www.pracuj.pl/praca/financial-controller-subcarpathia,oferta,9306087</t>
  </si>
  <si>
    <t>2633164</t>
  </si>
  <si>
    <t>41959397</t>
  </si>
  <si>
    <t>RTB House</t>
  </si>
  <si>
    <t>https://www.pracuj.pl/praca/financial-controller-subcarpathia,oferta,9337317</t>
  </si>
  <si>
    <t>2682444</t>
  </si>
  <si>
    <t>42562132</t>
  </si>
  <si>
    <t>Specjalista ds. Controlingu i Wsparcia Finansowego</t>
  </si>
  <si>
    <t>https://www.pracuj.pl/praca/specjalista-ds-controlingu-i-wsparcia-finansowego-stalowa-wola,oferta,1002044262</t>
  </si>
  <si>
    <t>20.09.2022</t>
  </si>
  <si>
    <t>2710692</t>
  </si>
  <si>
    <t>42870473</t>
  </si>
  <si>
    <t>Polska, podkarpackie, Korczowa</t>
  </si>
  <si>
    <t>https://www.praca.pl/inspektor_7381074.html</t>
  </si>
  <si>
    <t>2631892</t>
  </si>
  <si>
    <t>41919176</t>
  </si>
  <si>
    <t>Salon Odnowy HEAVEN Agnieszka Kolbusz</t>
  </si>
  <si>
    <t>https://www.pracuj.pl/praca/kosmetolog-pilzno,oferta,1002014760</t>
  </si>
  <si>
    <t>Służba zdrowia</t>
  </si>
  <si>
    <t>17.08.2022 03:40</t>
  </si>
  <si>
    <t>15.08.2022</t>
  </si>
  <si>
    <t>2659080</t>
  </si>
  <si>
    <t>42260078</t>
  </si>
  <si>
    <t>Perfect Look Clinic</t>
  </si>
  <si>
    <t>Kosmetyczka / Kosmetolog</t>
  </si>
  <si>
    <t>https://www.pracuj.pl/praca/kosmetyczka-kosmetolog-rzeszow,oferta,1002043937</t>
  </si>
  <si>
    <t>2710374</t>
  </si>
  <si>
    <t>42870155</t>
  </si>
  <si>
    <t>Kosztorysant w branży konstrukcji stalowych</t>
  </si>
  <si>
    <t>https://www.pracuj.pl/praca/kosztorysant-w-branzy-konstrukcji-stalowych-tarnobrzeg,oferta,1002027624</t>
  </si>
  <si>
    <t>2682937</t>
  </si>
  <si>
    <t>42562625</t>
  </si>
  <si>
    <t>ISOURCETEC sp. z o.o.</t>
  </si>
  <si>
    <t>General Ledger (GL) Accountant</t>
  </si>
  <si>
    <t>https://www.pracuj.pl/praca/general-ledger-gl-accountant-rzeszow,oferta,1001982464</t>
  </si>
  <si>
    <t>2604473</t>
  </si>
  <si>
    <t>41664080</t>
  </si>
  <si>
    <t>Specjalista Księgowy</t>
  </si>
  <si>
    <t>https://www.pracuj.pl/praca/specjalista-ksiegowy-gorzyce-pow-tarnobrzeski,oferta,1001983762</t>
  </si>
  <si>
    <t>2605417</t>
  </si>
  <si>
    <t>41665024</t>
  </si>
  <si>
    <t>https://www.pracuj.pl/praca/ksiegowa-ksiegowy-rzeszow,oferta,1001984871</t>
  </si>
  <si>
    <t>2606512</t>
  </si>
  <si>
    <t>41666119</t>
  </si>
  <si>
    <t>https://www.pracuj.pl/praca/specjalista-ds-ksiegowosci-mielec,oferta,1001999727</t>
  </si>
  <si>
    <t>2634308</t>
  </si>
  <si>
    <t>41960541</t>
  </si>
  <si>
    <t>Junior Accounts Payable Accountant</t>
  </si>
  <si>
    <t>https://www.pracuj.pl/praca/junior-accounts-payable-accountant-rzeszow,oferta,1002029283</t>
  </si>
  <si>
    <t>2684542</t>
  </si>
  <si>
    <t>42564230</t>
  </si>
  <si>
    <t>Konsultant ds. wsparcia procesów administracyjno-księgowych - język francuski</t>
  </si>
  <si>
    <t>https://www.pracuj.pl/praca/konsultant-ds-wsparcia-procesow-administracyjno-ksiegowych-jezyk-francuski-podkarpackie,oferta,9355903</t>
  </si>
  <si>
    <t>2708891</t>
  </si>
  <si>
    <t>42868672</t>
  </si>
  <si>
    <t>AP/AR/GL Accountant with English</t>
  </si>
  <si>
    <t>https://www.pracuj.pl/praca/ap-ar-gl-accountant-with-english-podkarpackie,oferta,9355928</t>
  </si>
  <si>
    <t>2708907</t>
  </si>
  <si>
    <t>42868688</t>
  </si>
  <si>
    <t>EKSPERT RZESZÓW sp. z o.o.</t>
  </si>
  <si>
    <t>https://www.pracuj.pl/praca/samodzielny-ksiegowy-rzeszow,oferta,1002043301</t>
  </si>
  <si>
    <t>2709754</t>
  </si>
  <si>
    <t>42869535</t>
  </si>
  <si>
    <t>Antal Finance &amp; Accountancy</t>
  </si>
  <si>
    <t>Starszy specjalista w dziale księgowości</t>
  </si>
  <si>
    <t>https://www.pracuj.pl/praca/starszy-specjalista-w-dziale-ksiegowosci-stalowa-wola,oferta,1002045451</t>
  </si>
  <si>
    <t>2711861</t>
  </si>
  <si>
    <t>42871642</t>
  </si>
  <si>
    <t>Pink Sushi</t>
  </si>
  <si>
    <t>Sushi Master</t>
  </si>
  <si>
    <t>https://www.pracuj.pl/praca/sushi-master-rzeszow,oferta,1001984770</t>
  </si>
  <si>
    <t>2606411</t>
  </si>
  <si>
    <t>41666018</t>
  </si>
  <si>
    <t>Praca w KFC Stalowa Wola - pracownik restauracji</t>
  </si>
  <si>
    <t>https://www.pracuj.pl/praca/praca-w-kfc-stalowa-wola-pracownik-restauracji-stalowa-wola,oferta,1001999400</t>
  </si>
  <si>
    <t>2633988</t>
  </si>
  <si>
    <t>41960221</t>
  </si>
  <si>
    <t>ARTES PS SPÓŁKA Z OGRANICZONĄ ODPOWIEDZIALNOŚCIĄ</t>
  </si>
  <si>
    <t>https://www.pracuj.pl/praca/kucharz-kucharka-rzeszow,oferta,1002045631</t>
  </si>
  <si>
    <t>2712040</t>
  </si>
  <si>
    <t>42871821</t>
  </si>
  <si>
    <t>Lekarz Internista Medycyny Rodzinnej - online</t>
  </si>
  <si>
    <t>Lekarz - specjalista chorób wewnętrznych</t>
  </si>
  <si>
    <t>https://www.goldenline.pl/praca/oferta/1306122/zielonalinia0?utm_brand=goldenline&amp;utm_source=zielonalinia0&amp;gpid=1016790&amp;utm_channel=free&amp;utm_medium=oferta&amp;utm_department=marketing</t>
  </si>
  <si>
    <t>2707452</t>
  </si>
  <si>
    <t>42867169</t>
  </si>
  <si>
    <t>RPd057|221214</t>
  </si>
  <si>
    <t>LingTutor.pl</t>
  </si>
  <si>
    <t>Lektor dowolnego języka obcego</t>
  </si>
  <si>
    <t>https://www.pracuj.pl/praca/lektor-dowolnego-jezyka-obcego-podkarpackie,oferta,9288685</t>
  </si>
  <si>
    <t>2603483</t>
  </si>
  <si>
    <t>41663090</t>
  </si>
  <si>
    <t>Ukraińskojęzyczny Nauczyciel języka niemieckiego / Шукаємо україномовного співоператора для вивчення німецької мови</t>
  </si>
  <si>
    <t>https://www.pracuj.pl/praca/ukrainskojezyczny-nauczyciel-jezyka-niemieckiego-mielec,oferta,1001999060</t>
  </si>
  <si>
    <t>2633662</t>
  </si>
  <si>
    <t>41959895</t>
  </si>
  <si>
    <t>Specjalista ds. Merytorycznej Likwidacji Szkód Komunikacyjnych</t>
  </si>
  <si>
    <t>https://www.pracuj.pl/praca/specjalista-ds-merytorycznej-likwidacji-szkod-komunikacyjnych-rzeszow,oferta,1002001483</t>
  </si>
  <si>
    <t>2636016</t>
  </si>
  <si>
    <t>41962249</t>
  </si>
  <si>
    <t>Listonosz samochodowy</t>
  </si>
  <si>
    <t>Listonosz</t>
  </si>
  <si>
    <t>https://www.praca.pl/listonosz-samochodowy_7436868.html</t>
  </si>
  <si>
    <t>2681315</t>
  </si>
  <si>
    <t>42521192</t>
  </si>
  <si>
    <t>RPd057|441203</t>
  </si>
  <si>
    <t>Magazynier / Serwisant opon</t>
  </si>
  <si>
    <t>https://www.praca.pl/magazynier-serwisant-opon_7382757.html</t>
  </si>
  <si>
    <t>2631577</t>
  </si>
  <si>
    <t>41918849</t>
  </si>
  <si>
    <t>HR-ZONE GmbH</t>
  </si>
  <si>
    <t>Magazynier / Komisjoner</t>
  </si>
  <si>
    <t>https://www.praca.pl/magazynier-komisjoner_7432299.html</t>
  </si>
  <si>
    <t>2681373</t>
  </si>
  <si>
    <t>42521251</t>
  </si>
  <si>
    <t>Magazynier (ETTS)</t>
  </si>
  <si>
    <t>https://www.pracuj.pl/praca/magazynier-etts-jasionka-pow-rzeszowski,oferta,1002029703</t>
  </si>
  <si>
    <t>2684960</t>
  </si>
  <si>
    <t>42564648</t>
  </si>
  <si>
    <t>https://www.pracuj.pl/praca/magazynier-stalowa-wola,oferta,1002029901</t>
  </si>
  <si>
    <t>2685154</t>
  </si>
  <si>
    <t>42564842</t>
  </si>
  <si>
    <t>https://www.praca.pl/magazynier_7464810.html</t>
  </si>
  <si>
    <t>2706811</t>
  </si>
  <si>
    <t>42828864</t>
  </si>
  <si>
    <t>NL Jobs Polska</t>
  </si>
  <si>
    <t>Pracownik Szklarni / Magazynu</t>
  </si>
  <si>
    <t>https://www.praca.pl/pracownik-szklarni-magazynu_7456593.html</t>
  </si>
  <si>
    <t>2706911</t>
  </si>
  <si>
    <t>42828973</t>
  </si>
  <si>
    <t>Andżelika Ziemniak</t>
  </si>
  <si>
    <t>malarz, stolarz budowlany</t>
  </si>
  <si>
    <t>Malarz budowlany</t>
  </si>
  <si>
    <t>https://gratka.pl/praca/praca-w-szwecji-dla-malarzy-i-stolarzy-przy-remontach-domow/oi/27299537?utm_source=zielonalinia.pl&amp;utm_medium=zielonalinia&amp;utm_campaign=export_xml</t>
  </si>
  <si>
    <t>03.08.2022 03:15</t>
  </si>
  <si>
    <t>2602350</t>
  </si>
  <si>
    <t>41651563</t>
  </si>
  <si>
    <t>RPd057|713102</t>
  </si>
  <si>
    <t>Młodszy Mechanik/Mechaniczka Silników Lotniczych</t>
  </si>
  <si>
    <t>https://www.pracuj.pl/praca/mlodszy-mechanik-mechaniczka-silnikow-lotniczych-jasionka-pow-rzeszowski,oferta,1001985068</t>
  </si>
  <si>
    <t>2606702</t>
  </si>
  <si>
    <t>41666309</t>
  </si>
  <si>
    <t>BIGRAM S.A.</t>
  </si>
  <si>
    <t>Product Manager ds. Pomp Ciepła</t>
  </si>
  <si>
    <t>https://www.pracuj.pl/praca/product-manager-ds-pomp-ciepla-podkarpackie,oferta,9306685</t>
  </si>
  <si>
    <t>2633344</t>
  </si>
  <si>
    <t>41959577</t>
  </si>
  <si>
    <t>Serwisant Urządzeń Chłodniczych i Klimatyzacji</t>
  </si>
  <si>
    <t>https://www.pracuj.pl/praca/serwisant-urzadzen-chlodniczych-i-klimatyzacji-mielec,oferta,1001984263</t>
  </si>
  <si>
    <t>2605911</t>
  </si>
  <si>
    <t>41665518</t>
  </si>
  <si>
    <t>McDonald's Polska Sp. z o.o.</t>
  </si>
  <si>
    <t>Konserwator</t>
  </si>
  <si>
    <t>Monter / konserwator urządzeń zabezpieczeń technicznych osób i mienia</t>
  </si>
  <si>
    <t>Polska, podkarpackie, Paszczyna</t>
  </si>
  <si>
    <t>https://www.praca.pl/konserwator_7382658.html</t>
  </si>
  <si>
    <t>2631584</t>
  </si>
  <si>
    <t>41918856</t>
  </si>
  <si>
    <t>https://www.pracuj.pl/praca/monter-instalacji-fotowoltaicznych-podkarpackie,oferta,9303576</t>
  </si>
  <si>
    <t>2632449</t>
  </si>
  <si>
    <t>41958682</t>
  </si>
  <si>
    <t>Montażysta Mebli</t>
  </si>
  <si>
    <t>https://www.praca.pl/montazysta-mebli_7410777.html</t>
  </si>
  <si>
    <t>2657966</t>
  </si>
  <si>
    <t>42218272</t>
  </si>
  <si>
    <t>Monter Mechaniczny</t>
  </si>
  <si>
    <t>Monter mechatronik</t>
  </si>
  <si>
    <t>https://www.pracuj.pl/praca/monter-mechaniczny-rzeszow,oferta,1001999430</t>
  </si>
  <si>
    <t>2634017</t>
  </si>
  <si>
    <t>41960250</t>
  </si>
  <si>
    <t>Monter kontenerów użytkowych (k/m)</t>
  </si>
  <si>
    <t>Monter osprzętu elektrotechnicznego</t>
  </si>
  <si>
    <t>https://www.goldenline.pl/praca/oferta/1304540/zielonalinia0?utm_brand=goldenline&amp;utm_source=zielonalinia0&amp;gpid=1014894&amp;utm_channel=free&amp;utm_medium=oferta&amp;utm_department=marketing</t>
  </si>
  <si>
    <t>26.07.2022</t>
  </si>
  <si>
    <t>2602551</t>
  </si>
  <si>
    <t>41662084</t>
  </si>
  <si>
    <t>RPd057|821205</t>
  </si>
  <si>
    <t>RUBEN-BAU SPÓŁKA Z OGRANICZONĄ ODPOWIEDZIALNOŚCIĄ</t>
  </si>
  <si>
    <t>Murarz do Niemiec</t>
  </si>
  <si>
    <t>https://www.pracuj.pl/praca/murarz-do-niemiec-rzeszow,oferta,1002029113</t>
  </si>
  <si>
    <t>2684372</t>
  </si>
  <si>
    <t>42564060</t>
  </si>
  <si>
    <t>Bloombrain OÜ</t>
  </si>
  <si>
    <t>Nauczyciel Kodowania</t>
  </si>
  <si>
    <t>Nauczyciel przedmiotów teoretycznych zawodowych</t>
  </si>
  <si>
    <t>https://www.pracuj.pl/praca/nauczyciel-kodowania-podkarpackie,oferta,9355469</t>
  </si>
  <si>
    <t>2708784</t>
  </si>
  <si>
    <t>42868565</t>
  </si>
  <si>
    <t>RPd057|232003</t>
  </si>
  <si>
    <t>Kamienny Potok Adam Mańkowski</t>
  </si>
  <si>
    <t>Ogrodnik</t>
  </si>
  <si>
    <t>Ogrodnik*</t>
  </si>
  <si>
    <t>https://www.pracuj.pl/praca/ogrodnik-rzeszow,oferta,1002001709</t>
  </si>
  <si>
    <t>2636173</t>
  </si>
  <si>
    <t>41962406</t>
  </si>
  <si>
    <t>RPd057|611303</t>
  </si>
  <si>
    <t>https://www.goldenline.pl/praca/oferta/1304718/zielonalinia0?utm_brand=goldenline&amp;utm_source=zielonalinia0&amp;gpid=1015096&amp;utm_channel=free&amp;utm_medium=oferta&amp;utm_department=marketing</t>
  </si>
  <si>
    <t>29.07.2022</t>
  </si>
  <si>
    <t>12.08.2022</t>
  </si>
  <si>
    <t>2602618</t>
  </si>
  <si>
    <t>41662151</t>
  </si>
  <si>
    <t>Operator frezarki CNC</t>
  </si>
  <si>
    <t>https://www.pracuj.pl/praca/operator-frezarki-cnc-rzeszow,oferta,1001984186</t>
  </si>
  <si>
    <t>2605834</t>
  </si>
  <si>
    <t>41665441</t>
  </si>
  <si>
    <t>05.08.2022</t>
  </si>
  <si>
    <t>2632205</t>
  </si>
  <si>
    <t>41958347</t>
  </si>
  <si>
    <t>https://www.pracuj.pl/praca/operator-maszyn-cnc-tajecina-pow-rzeszowski,oferta,1002000797</t>
  </si>
  <si>
    <t>2635354</t>
  </si>
  <si>
    <t>41961587</t>
  </si>
  <si>
    <t>https://www.pracuj.pl/praca/operator-cnc-rzeszow,oferta,1002001082</t>
  </si>
  <si>
    <t>2635634</t>
  </si>
  <si>
    <t>41961867</t>
  </si>
  <si>
    <t>https://www.praca.pl/operator-obrabiarek-sterowanych-numerycznie_7434912.html</t>
  </si>
  <si>
    <t>2681430</t>
  </si>
  <si>
    <t>42521308</t>
  </si>
  <si>
    <t>https://www.goldenline.pl/praca/oferta/1305776/zielonalinia0?utm_brand=goldenline&amp;utm_source=zielonalinia0&amp;gpid=1016178&amp;utm_channel=free&amp;utm_medium=oferta&amp;utm_department=marketing</t>
  </si>
  <si>
    <t>24.08.2022 03:30</t>
  </si>
  <si>
    <t>2682146</t>
  </si>
  <si>
    <t>42561776</t>
  </si>
  <si>
    <t>2707635</t>
  </si>
  <si>
    <t>42867352</t>
  </si>
  <si>
    <t>https://www.pracuj.pl/praca/operator-produkcji-wydzial-obrobki-etts-jasionka-pow-rzeszowski,oferta,1002043357</t>
  </si>
  <si>
    <t>2709806</t>
  </si>
  <si>
    <t>42869587</t>
  </si>
  <si>
    <t>https://www.pracuj.pl/praca/pracownik-produkcji-rzeszow,oferta,1002044683</t>
  </si>
  <si>
    <t>2711109</t>
  </si>
  <si>
    <t>42870890</t>
  </si>
  <si>
    <t>https://www.goldenline.pl/praca/oferta/1304532/zielonalinia0?utm_brand=goldenline&amp;utm_source=zielonalinia0&amp;gpid=1014874&amp;utm_channel=free&amp;utm_medium=oferta&amp;utm_department=marketing</t>
  </si>
  <si>
    <t>2602492</t>
  </si>
  <si>
    <t>41662025</t>
  </si>
  <si>
    <t>https://www.goldenline.pl/praca/oferta/1304472/zielonalinia0?utm_brand=goldenline&amp;utm_source=zielonalinia0&amp;gpid=1014824&amp;utm_channel=free&amp;utm_medium=oferta&amp;utm_department=marketing</t>
  </si>
  <si>
    <t>2602575</t>
  </si>
  <si>
    <t>41662108</t>
  </si>
  <si>
    <t>https://www.goldenline.pl/praca/oferta/1304664/zielonalinia0?utm_brand=goldenline&amp;utm_source=zielonalinia0&amp;gpid=1015024&amp;utm_channel=free&amp;utm_medium=oferta&amp;utm_department=marketing</t>
  </si>
  <si>
    <t>11.08.2022</t>
  </si>
  <si>
    <t>2602768</t>
  </si>
  <si>
    <t>41662301</t>
  </si>
  <si>
    <t>04.08.2022</t>
  </si>
  <si>
    <t>2632358</t>
  </si>
  <si>
    <t>41958500</t>
  </si>
  <si>
    <t>EWL PARTNERS Warszawa</t>
  </si>
  <si>
    <t>Працівник виробництва на автомобільному заводі (монтаж)</t>
  </si>
  <si>
    <t>https://www.pracuj.pl/praca/%d0%9f%d1%80%d0%b0%d1%86%d1%96%d0%b2%d0%bd%d0%b8%d0%ba-rzeszow,oferta,1002002046</t>
  </si>
  <si>
    <t>2636498</t>
  </si>
  <si>
    <t>41962731</t>
  </si>
  <si>
    <t>Pomocnik produkcji (również z orzeczeniem) Dębica</t>
  </si>
  <si>
    <t>https://gratka.pl/praca/pomocnik-produkcji-rowniez-z-orzeczeniem-debica/ob/27099773?utm_source=zielonalinia.pl&amp;utm_medium=zielonalinia&amp;utm_campaign=export_xml</t>
  </si>
  <si>
    <t>17.08.2022 03:15</t>
  </si>
  <si>
    <t>2657915</t>
  </si>
  <si>
    <t>41013865</t>
  </si>
  <si>
    <t>https://www.goldenline.pl/praca/oferta/1305652/zielonalinia0?utm_brand=goldenline&amp;utm_source=zielonalinia0&amp;gpid=1016052&amp;utm_channel=free&amp;utm_medium=oferta&amp;utm_department=marketing</t>
  </si>
  <si>
    <t>2658912</t>
  </si>
  <si>
    <t>42259848</t>
  </si>
  <si>
    <t>Operator produkcji (m/k) (lekka praca)</t>
  </si>
  <si>
    <t>https://www.goldenline.pl/praca/oferta/1305734/zielonalinia0?utm_brand=goldenline&amp;utm_source=zielonalinia0&amp;gpid=1016142&amp;utm_channel=free&amp;utm_medium=oferta&amp;utm_department=marketing</t>
  </si>
  <si>
    <t>2682049</t>
  </si>
  <si>
    <t>42561679</t>
  </si>
  <si>
    <t>2682142</t>
  </si>
  <si>
    <t>42561772</t>
  </si>
  <si>
    <t>https://www.pracuj.pl/praca/operator-maszyn-produkcyjnych-stalowa-wola,oferta,1002028758</t>
  </si>
  <si>
    <t>2684044</t>
  </si>
  <si>
    <t>42563732</t>
  </si>
  <si>
    <t>2707791</t>
  </si>
  <si>
    <t>42867508</t>
  </si>
  <si>
    <t>2707872</t>
  </si>
  <si>
    <t>42867589</t>
  </si>
  <si>
    <t>Operator Produkcji – Wydział Montażu (ETTS)</t>
  </si>
  <si>
    <t>https://www.pracuj.pl/praca/operator-produkcji-wydzial-montazu-etts-jasionka-pow-rzeszowski,oferta,1002043339</t>
  </si>
  <si>
    <t>2709788</t>
  </si>
  <si>
    <t>42869569</t>
  </si>
  <si>
    <t>https://www.pracuj.pl/praca/operator-produkcji-mielec,oferta,1002045613</t>
  </si>
  <si>
    <t>2712022</t>
  </si>
  <si>
    <t>42871803</t>
  </si>
  <si>
    <t>CENTROSTAL S.A.</t>
  </si>
  <si>
    <t>https://www.praca.pl/handlowiec_7357131.html</t>
  </si>
  <si>
    <t>2601961</t>
  </si>
  <si>
    <t>41623470</t>
  </si>
  <si>
    <t>https://www.pracuj.pl/praca/opiekun-klienta-mielec,oferta,1001982240</t>
  </si>
  <si>
    <t>2604258</t>
  </si>
  <si>
    <t>41663865</t>
  </si>
  <si>
    <t>Customer Service Specialist with English and French</t>
  </si>
  <si>
    <t>https://www.pracuj.pl/praca/customer-service-specialist-with-english-and-french-subcarpathia,oferta,9337806</t>
  </si>
  <si>
    <t>2682562</t>
  </si>
  <si>
    <t>42562250</t>
  </si>
  <si>
    <t>LINGUA HOUSE sp. z o.o.</t>
  </si>
  <si>
    <t>Customer Support Specialist: English and Spanish</t>
  </si>
  <si>
    <t>https://www.pracuj.pl/praca/customer-support-specialist-english-and-spanish-subcarpathia,oferta,9354590</t>
  </si>
  <si>
    <t>2708454</t>
  </si>
  <si>
    <t>42868235</t>
  </si>
  <si>
    <t>Sherwin Williams</t>
  </si>
  <si>
    <t>Customer Service Specialist</t>
  </si>
  <si>
    <t>https://www.pracuj.pl/praca/customer-service-specialist-debica,oferta,1002043030</t>
  </si>
  <si>
    <t>2709498</t>
  </si>
  <si>
    <t>42869279</t>
  </si>
  <si>
    <t>IDEO FORCE sp. z o.o.</t>
  </si>
  <si>
    <t>Młodszy Specjalista Google Ads</t>
  </si>
  <si>
    <t>https://www.pracuj.pl/praca/mlodszy-specjalista-google-ads-rzeszow,oferta,1002044852</t>
  </si>
  <si>
    <t>31.08.2022 06:28</t>
  </si>
  <si>
    <t>2711273</t>
  </si>
  <si>
    <t>42871054</t>
  </si>
  <si>
    <t>Demand Planner</t>
  </si>
  <si>
    <t>https://www.pracuj.pl/praca/demand-planner-debica,oferta,1002043033</t>
  </si>
  <si>
    <t>2709501</t>
  </si>
  <si>
    <t>42869282</t>
  </si>
  <si>
    <t>Pracownik zmiany nocnej</t>
  </si>
  <si>
    <t>https://www.praca.pl/pracownik-zmiany-nocnej_7382553.html</t>
  </si>
  <si>
    <t>2631593</t>
  </si>
  <si>
    <t>41918865</t>
  </si>
  <si>
    <t>Essa Group</t>
  </si>
  <si>
    <t>Pracownik Ogólnobudowlany (prace remontowe, konserwacyjne i naprawcze)</t>
  </si>
  <si>
    <t>https://www.praca.pl/pracownik-ogolnobudowlany-prace-remontowe,konserwacyjne-i-naprawcze_7433907.html</t>
  </si>
  <si>
    <t>2681602</t>
  </si>
  <si>
    <t>42521484</t>
  </si>
  <si>
    <t>Ekspert ds. Nieruchomości</t>
  </si>
  <si>
    <t>https://www.praca.pl/ekspert-ds-nieruchomosci_6840810.html</t>
  </si>
  <si>
    <t>2631662</t>
  </si>
  <si>
    <t>41918938</t>
  </si>
  <si>
    <t>DevOps Engineer - platforma Ferryt</t>
  </si>
  <si>
    <t>https://www.pracuj.pl/praca/devops-engineer-platforma-ferryt-podkarpackie,oferta,9303946</t>
  </si>
  <si>
    <t>2632592</t>
  </si>
  <si>
    <t>41958825</t>
  </si>
  <si>
    <t>CRIF Sp. z o.o.</t>
  </si>
  <si>
    <t>Technical Client Support</t>
  </si>
  <si>
    <t>https://www.pracuj.pl/praca/technical-client-support-subcarpathia,oferta,9306476</t>
  </si>
  <si>
    <t>2633272</t>
  </si>
  <si>
    <t>41959505</t>
  </si>
  <si>
    <t>Cloud Solution Architect</t>
  </si>
  <si>
    <t>Pozostali projektanci i administratorzy baz danych</t>
  </si>
  <si>
    <t>https://www.pracuj.pl/praca/cloud-solution-architect-subcarpathia,oferta,9305302</t>
  </si>
  <si>
    <t>2633008</t>
  </si>
  <si>
    <t>41959241</t>
  </si>
  <si>
    <t>RPd057|252190</t>
  </si>
  <si>
    <t>Collabera</t>
  </si>
  <si>
    <t>IT Analyst with German</t>
  </si>
  <si>
    <t>Pozostali specjaliści do spraw baz danych i sieci komputerowych gdzie indziej niesklasyfikowani</t>
  </si>
  <si>
    <t>https://www.pracuj.pl/praca/it-analyst-with-german-subcarpathia,oferta,9353936</t>
  </si>
  <si>
    <t>2708227</t>
  </si>
  <si>
    <t>42868008</t>
  </si>
  <si>
    <t>RPd057|252990</t>
  </si>
  <si>
    <t>FUNDACJA OXFAM W POLSCE</t>
  </si>
  <si>
    <t>IT Officer–Service Desk Analyst / Specjalista IT - analityk działu obsługi - Poland Ukraine Response</t>
  </si>
  <si>
    <t>https://www.pracuj.pl/praca/it-officer-service-desk-analyst-specjalista-it-analityk-dzialu-obslugi-poland-uk-rzeszow,oferta,1002043713</t>
  </si>
  <si>
    <t>2710154</t>
  </si>
  <si>
    <t>42869935</t>
  </si>
  <si>
    <t>Koordynator Zespołu</t>
  </si>
  <si>
    <t>https://www.pracuj.pl/praca/koordynator-zespolu-rzeszow,oferta,1001981574</t>
  </si>
  <si>
    <t>2603696</t>
  </si>
  <si>
    <t>41663303</t>
  </si>
  <si>
    <t>Specjalista ds. kontraktów</t>
  </si>
  <si>
    <t>Pozostali specjaliści do spraw zarządzania zasobami ludzkimi</t>
  </si>
  <si>
    <t>https://www.praca.pl/specjalista-ds-kontraktow_7409907.html</t>
  </si>
  <si>
    <t>2658089</t>
  </si>
  <si>
    <t>42218400</t>
  </si>
  <si>
    <t>RPd057|242390</t>
  </si>
  <si>
    <t>Competence Call Center member of TELUS International</t>
  </si>
  <si>
    <t>Customer Service Representative for Companjon with Italian (m/f/d)</t>
  </si>
  <si>
    <t>https://www.praca.pl/customer-service-representative-for-companjon-with-italian-m-f-d_7320864.html</t>
  </si>
  <si>
    <t>2601594</t>
  </si>
  <si>
    <t>41326844</t>
  </si>
  <si>
    <t>https://www.pracuj.pl/praca/specjalista-ds-telesprzedazy-rzeszow,oferta,1001982784</t>
  </si>
  <si>
    <t>2604779</t>
  </si>
  <si>
    <t>41664386</t>
  </si>
  <si>
    <t>Telefoniczny Doradca Klienta w Dziale Sprzedaży Usług Medycznych z językiem niemieckim</t>
  </si>
  <si>
    <t>https://www.pracuj.pl/praca/telefoniczny-doradca-klienta-w-dziale-sprzedazy-uslug-medycznych-z-jezykiem-niem-rzeszow,oferta,1001983209</t>
  </si>
  <si>
    <t>2605172</t>
  </si>
  <si>
    <t>41664779</t>
  </si>
  <si>
    <t>ILLUSTRO Doradztwo S.C.</t>
  </si>
  <si>
    <t>https://www.pracuj.pl/praca/specjalista-ds-obslugi-klienta-mielec,oferta,1001983746</t>
  </si>
  <si>
    <t>2605401</t>
  </si>
  <si>
    <t>41665008</t>
  </si>
  <si>
    <t>https://www.pracuj.pl/praca/specjalista-ds-obslugi-klienta-debica,oferta,1001983747</t>
  </si>
  <si>
    <t>2605402</t>
  </si>
  <si>
    <t>41665009</t>
  </si>
  <si>
    <t>CALL2SALE</t>
  </si>
  <si>
    <t>Specjalista ds. sprzedaży  (rynki europejskie)</t>
  </si>
  <si>
    <t>https://www.pracuj.pl/praca/specjalista-ds-sprzedazy-rynki-europejskie-podkarpackie,oferta,9303822</t>
  </si>
  <si>
    <t>2632555</t>
  </si>
  <si>
    <t>41958788</t>
  </si>
  <si>
    <t>https://www.pracuj.pl/praca/specjalista-ds-zdalnej-sprzedazy-telefonicznej-i-obslugi-klienta-podkarpackie,oferta,9304670</t>
  </si>
  <si>
    <t>2632782</t>
  </si>
  <si>
    <t>41959015</t>
  </si>
  <si>
    <t>Consultant with German</t>
  </si>
  <si>
    <t>https://www.pracuj.pl/praca/consultant-with-german-podkarpackie,oferta,9305486</t>
  </si>
  <si>
    <t>2633077</t>
  </si>
  <si>
    <t>41959310</t>
  </si>
  <si>
    <t>Specjalista ds. wsparcia klienta niemieckojęzycznego</t>
  </si>
  <si>
    <t>https://www.pracuj.pl/praca/specjalista-ds-wsparcia-klienta-niemieckojezycznego-podkarpackie,oferta,9305749</t>
  </si>
  <si>
    <t>2633120</t>
  </si>
  <si>
    <t>41959353</t>
  </si>
  <si>
    <t>Konsultant ds. Telefonicznej  Obsługi Klienta w Szkole Językowej - umawianie spotkań</t>
  </si>
  <si>
    <t>https://www.praca.pl/konsultant-ds-telefonicznej-obslugi-klienta-w-szkole-jezykowej-umawianie-spotkan_7407543.html</t>
  </si>
  <si>
    <t>2658337</t>
  </si>
  <si>
    <t>42218670</t>
  </si>
  <si>
    <t>SALES PRO sp. z o.o.</t>
  </si>
  <si>
    <t>https://www.pracuj.pl/praca/specjalista-ds-telesprzedazy-rzeszow,oferta,1002028742</t>
  </si>
  <si>
    <t>2684028</t>
  </si>
  <si>
    <t>42563716</t>
  </si>
  <si>
    <t>https://www.pracuj.pl/praca/specjalista-ds-sprzedazy-rzeszow,oferta,1002043767</t>
  </si>
  <si>
    <t>2710208</t>
  </si>
  <si>
    <t>42869989</t>
  </si>
  <si>
    <t>https://www.pracuj.pl/praca/specjalista-ds-telesprzedazy-rzeszow,oferta,1002043786</t>
  </si>
  <si>
    <t>2710226</t>
  </si>
  <si>
    <t>42870007</t>
  </si>
  <si>
    <t>Tutore Poland sp.zo.o.</t>
  </si>
  <si>
    <t>https://www.pracuj.pl/praca/konsultant-ds-obslugi-klienta-rzeszow,oferta,1002044340</t>
  </si>
  <si>
    <t>2710770</t>
  </si>
  <si>
    <t>42870551</t>
  </si>
  <si>
    <t>Dwa Plus Sp. z o.o.</t>
  </si>
  <si>
    <t>https://www.praca.pl/pracownik-dzialu-logistyki_7432077.html</t>
  </si>
  <si>
    <t>2681564</t>
  </si>
  <si>
    <t>42521444</t>
  </si>
  <si>
    <t>https://www.praca.pl/pracownik-dzialu-logistyki_7460580.html</t>
  </si>
  <si>
    <t>2707096</t>
  </si>
  <si>
    <t>42829202</t>
  </si>
  <si>
    <t>Payroll Analyst</t>
  </si>
  <si>
    <t>https://www.pracuj.pl/praca/payroll-analyst-subcarpathia,oferta,9353915</t>
  </si>
  <si>
    <t>2708210</t>
  </si>
  <si>
    <t>42867991</t>
  </si>
  <si>
    <t>Specjalista SEO</t>
  </si>
  <si>
    <t>https://www.pracuj.pl/praca/specjalista-seo-jaslo,oferta,1001985015</t>
  </si>
  <si>
    <t>2606654</t>
  </si>
  <si>
    <t>41666261</t>
  </si>
  <si>
    <t>SEO Link Builder ze znajomością WordPress</t>
  </si>
  <si>
    <t>https://www.pracuj.pl/praca/seo-link-builder-ze-znajomoscia-wordpress-jaslo,oferta,1001985073</t>
  </si>
  <si>
    <t>2606707</t>
  </si>
  <si>
    <t>41666314</t>
  </si>
  <si>
    <t>Kierownik ds. SEO/Contentu</t>
  </si>
  <si>
    <t>https://www.pracuj.pl/praca/kierownik-ds-seo-contentu-podkarpackie,oferta,9356259</t>
  </si>
  <si>
    <t>2709017</t>
  </si>
  <si>
    <t>42868798</t>
  </si>
  <si>
    <t>DHL Supply Chain (Poland) Sp. z o.o.</t>
  </si>
  <si>
    <t>Pracownica/Pracownik magazynowy działu przepakowania</t>
  </si>
  <si>
    <t>https://www.pracuj.pl/praca/pracownica-pracownik-magazynowy-dzialu-przepakowania-jasionka-pow-rzeszowski,oferta,1002043370</t>
  </si>
  <si>
    <t>2709819</t>
  </si>
  <si>
    <t>42869600</t>
  </si>
  <si>
    <t>https://www.pracuj.pl/praca/programista-java-podkarpackie,oferta,9286260</t>
  </si>
  <si>
    <t>2602993</t>
  </si>
  <si>
    <t>41662600</t>
  </si>
  <si>
    <t>Młodszy Programista Java</t>
  </si>
  <si>
    <t>https://www.pracuj.pl/praca/mlodszy-programista-java-podkarpackie,oferta,9286827</t>
  </si>
  <si>
    <t>2603119</t>
  </si>
  <si>
    <t>41662726</t>
  </si>
  <si>
    <t>https://www.pracuj.pl/praca/sharepoint-developer-subcarpathia,oferta,9288301</t>
  </si>
  <si>
    <t>2603377</t>
  </si>
  <si>
    <t>41662984</t>
  </si>
  <si>
    <t>https://www.pracuj.pl/praca/c%2b%2b-developer-rzeszow,oferta,1001981762</t>
  </si>
  <si>
    <t>2603883</t>
  </si>
  <si>
    <t>41663490</t>
  </si>
  <si>
    <t>https://www.pracuj.pl/praca/aem-front-end-developer-rzeszow,oferta,1001982648</t>
  </si>
  <si>
    <t>2604647</t>
  </si>
  <si>
    <t>41664254</t>
  </si>
  <si>
    <t>AEM Back-end Developer</t>
  </si>
  <si>
    <t>https://www.pracuj.pl/praca/aem-back-end-developer-rzeszow,oferta,1001982667</t>
  </si>
  <si>
    <t>2604665</t>
  </si>
  <si>
    <t>41664272</t>
  </si>
  <si>
    <t>Software Project Director</t>
  </si>
  <si>
    <t>https://www.pracuj.pl/praca/software-project-director-jaslo,oferta,1001982690</t>
  </si>
  <si>
    <t>2604687</t>
  </si>
  <si>
    <t>41664294</t>
  </si>
  <si>
    <t>https://www.pracuj.pl/praca/nodejs-developer-media-industry-rzeszow,oferta,1001984596</t>
  </si>
  <si>
    <t>2606237</t>
  </si>
  <si>
    <t>41665844</t>
  </si>
  <si>
    <t>https://www.pracuj.pl/praca/linux-scripting-engineer-subcarpathia,oferta,9230582</t>
  </si>
  <si>
    <t>10.08.2022 04:20</t>
  </si>
  <si>
    <t>09.07.2022</t>
  </si>
  <si>
    <t>2631348</t>
  </si>
  <si>
    <t>40679925</t>
  </si>
  <si>
    <t>Junior DevOps Engineer</t>
  </si>
  <si>
    <t>https://www.pracuj.pl/praca/junior-devops-engineer-subcarpathia,oferta,9304121</t>
  </si>
  <si>
    <t>2632651</t>
  </si>
  <si>
    <t>41958884</t>
  </si>
  <si>
    <t>TRANSITION TECHNOLOGIES-SOFTWARE SPÓŁKA Z OGRANICZONĄ ODPOWIEDZIALNOŚCIĄ</t>
  </si>
  <si>
    <t>https://www.pracuj.pl/praca/programista-java-podkarpackie,oferta,9304353</t>
  </si>
  <si>
    <t>2632714</t>
  </si>
  <si>
    <t>41958947</t>
  </si>
  <si>
    <t>DevOps Engineer - BI Solutions</t>
  </si>
  <si>
    <t>https://www.pracuj.pl/praca/devops-engineer-bi-solutions-podkarpackie,oferta,9304768</t>
  </si>
  <si>
    <t>2632821</t>
  </si>
  <si>
    <t>41959054</t>
  </si>
  <si>
    <t>Junior Java Engineer</t>
  </si>
  <si>
    <t>https://www.pracuj.pl/praca/junior-java-engineer-subcarpathia,oferta,9304854</t>
  </si>
  <si>
    <t>2632852</t>
  </si>
  <si>
    <t>41959085</t>
  </si>
  <si>
    <t>Junior Engineer with C or C++</t>
  </si>
  <si>
    <t>https://www.pracuj.pl/praca/junior-engineer-with-c-or-c%2b%2b-subcarpathia,oferta,9304872</t>
  </si>
  <si>
    <t>2632868</t>
  </si>
  <si>
    <t>41959101</t>
  </si>
  <si>
    <t>https://www.pracuj.pl/praca/java-engineer-subcarpathia,oferta,9304890</t>
  </si>
  <si>
    <t>2632884</t>
  </si>
  <si>
    <t>41959117</t>
  </si>
  <si>
    <t>C or C++ Engineer</t>
  </si>
  <si>
    <t>https://www.pracuj.pl/praca/c-or-c%2b%2b-engineer-subcarpathia,oferta,9304910</t>
  </si>
  <si>
    <t>2632901</t>
  </si>
  <si>
    <t>41959134</t>
  </si>
  <si>
    <t>Software Engineering Intern - Java</t>
  </si>
  <si>
    <t>https://www.pracuj.pl/praca/software-engineering-intern-java-subcarpathia,oferta,9304928</t>
  </si>
  <si>
    <t>2632916</t>
  </si>
  <si>
    <t>41959149</t>
  </si>
  <si>
    <t>UI Developer (HTML/CSS)</t>
  </si>
  <si>
    <t>https://www.pracuj.pl/praca/ui-developer-html-css-subcarpathia,oferta,9305069</t>
  </si>
  <si>
    <t>2632968</t>
  </si>
  <si>
    <t>41959201</t>
  </si>
  <si>
    <t>Ansible Developer (PaaS)</t>
  </si>
  <si>
    <t>https://www.pracuj.pl/praca/ansible-developer-paas-subcarpathia,oferta,9305087</t>
  </si>
  <si>
    <t>2632984</t>
  </si>
  <si>
    <t>41959217</t>
  </si>
  <si>
    <t>https://www.pracuj.pl/praca/devops-engineer-podkarpackie,oferta,9306115</t>
  </si>
  <si>
    <t>2633180</t>
  </si>
  <si>
    <t>41959413</t>
  </si>
  <si>
    <t>https://www.pracuj.pl/praca/programista-java-podkarpackie,oferta,9306567</t>
  </si>
  <si>
    <t>2633302</t>
  </si>
  <si>
    <t>41959535</t>
  </si>
  <si>
    <t>https://www.pracuj.pl/praca/java-developer-podkarpackie,oferta,9306727</t>
  </si>
  <si>
    <t>2633366</t>
  </si>
  <si>
    <t>41959599</t>
  </si>
  <si>
    <t>Senior JavaScript Developer</t>
  </si>
  <si>
    <t>https://www.pracuj.pl/praca/senior-javascript-developer-podkarpackie,oferta,9307306</t>
  </si>
  <si>
    <t>2633490</t>
  </si>
  <si>
    <t>41959723</t>
  </si>
  <si>
    <t>Nabthat Inc.</t>
  </si>
  <si>
    <t>Ruby on Rails Developer (Junior)</t>
  </si>
  <si>
    <t>https://www.pracuj.pl/praca/ruby-on-rails-developer-junior-podkarpackie,oferta,9307350</t>
  </si>
  <si>
    <t>2633525</t>
  </si>
  <si>
    <t>41959758</t>
  </si>
  <si>
    <t>Technical Leader (C#/.NET)</t>
  </si>
  <si>
    <t>https://www.pracuj.pl/praca/technical-leader-c%23-net-subcarpathia,oferta,9307534</t>
  </si>
  <si>
    <t>2633553</t>
  </si>
  <si>
    <t>41959786</t>
  </si>
  <si>
    <t>.NET Fullstack Developer</t>
  </si>
  <si>
    <t>https://www.pracuj.pl/praca/net-fullstack-developer-rzeszow,oferta,1001999452</t>
  </si>
  <si>
    <t>2634039</t>
  </si>
  <si>
    <t>41960272</t>
  </si>
  <si>
    <t>https://www.pracuj.pl/praca/ios-developer-rzeszow,oferta,1001999469</t>
  </si>
  <si>
    <t>2634056</t>
  </si>
  <si>
    <t>41960289</t>
  </si>
  <si>
    <t>https://www.pracuj.pl/praca/android-developer-rzeszow,oferta,1001999487</t>
  </si>
  <si>
    <t>2634074</t>
  </si>
  <si>
    <t>41960307</t>
  </si>
  <si>
    <t>Java Developer – sektor lojalnościowy</t>
  </si>
  <si>
    <t>https://www.pracuj.pl/praca/java-developer-sektor-lojalnosciowy-rzeszow,oferta,1001999508</t>
  </si>
  <si>
    <t>2634095</t>
  </si>
  <si>
    <t>41960328</t>
  </si>
  <si>
    <t>https://www.pracuj.pl/praca/senior-java-developer-rzeszow,oferta,1001999527</t>
  </si>
  <si>
    <t>2634113</t>
  </si>
  <si>
    <t>41960346</t>
  </si>
  <si>
    <t>https://www.pracuj.pl/praca/back-end-developer-php-mysql-jaslo,oferta,1002014651</t>
  </si>
  <si>
    <t>2658971</t>
  </si>
  <si>
    <t>42259969</t>
  </si>
  <si>
    <t>LIMITLEX d.o.o.</t>
  </si>
  <si>
    <t>Senior Back-end Software Engineer</t>
  </si>
  <si>
    <t>https://www.pracuj.pl/praca/senior-back-end-software-engineer-subcarpathia,oferta,9336753</t>
  </si>
  <si>
    <t>2682326</t>
  </si>
  <si>
    <t>42562014</t>
  </si>
  <si>
    <t>https://www.pracuj.pl/praca/php-developer-podkarpackie,oferta,9336971</t>
  </si>
  <si>
    <t>2682365</t>
  </si>
  <si>
    <t>42562053</t>
  </si>
  <si>
    <t>https://www.pracuj.pl/praca/senior-java-developer-podkarpackie,oferta,9337133</t>
  </si>
  <si>
    <t>2682403</t>
  </si>
  <si>
    <t>42562091</t>
  </si>
  <si>
    <t>SCANDIWEB</t>
  </si>
  <si>
    <t>Junior Web Developer</t>
  </si>
  <si>
    <t>https://www.pracuj.pl/praca/junior-web-developer-subcarpathia,oferta,9337257</t>
  </si>
  <si>
    <t>2682427</t>
  </si>
  <si>
    <t>42562115</t>
  </si>
  <si>
    <t>https://www.pracuj.pl/praca/php-developer-podkarpackie,oferta,9337861</t>
  </si>
  <si>
    <t>2682578</t>
  </si>
  <si>
    <t>42562266</t>
  </si>
  <si>
    <t>https://www.pracuj.pl/praca/front-end-developer-html-css-javascript-jaslo,oferta,1002028452</t>
  </si>
  <si>
    <t>2683741</t>
  </si>
  <si>
    <t>42563429</t>
  </si>
  <si>
    <t>Mulesoft Developer</t>
  </si>
  <si>
    <t>https://www.pracuj.pl/praca/mulesoft-developer-rzeszow,oferta,1002029068</t>
  </si>
  <si>
    <t>2684327</t>
  </si>
  <si>
    <t>42564015</t>
  </si>
  <si>
    <t>Junior Analyst Automation&amp;Reporting Team</t>
  </si>
  <si>
    <t>https://www.pracuj.pl/praca/junior-analyst-automation-reporting-team-rzeszow,oferta,1002029803</t>
  </si>
  <si>
    <t>2685059</t>
  </si>
  <si>
    <t>42564747</t>
  </si>
  <si>
    <t>HRlink Sp. z o. o.</t>
  </si>
  <si>
    <t>Backend Developer - praca zdalna</t>
  </si>
  <si>
    <t>https://www.goldenline.pl/praca/oferta/1306484/zielonalinia0?utm_brand=goldenline&amp;utm_source=zielonalinia0&amp;gpid=1016934&amp;utm_channel=free&amp;utm_medium=oferta&amp;utm_department=marketing</t>
  </si>
  <si>
    <t>03.10.2022</t>
  </si>
  <si>
    <t>2707890</t>
  </si>
  <si>
    <t>42867607</t>
  </si>
  <si>
    <t>Java Developer - New Core Banking</t>
  </si>
  <si>
    <t>https://www.pracuj.pl/praca/java-developer-new-core-banking-podkarpackie,oferta,9353741</t>
  </si>
  <si>
    <t>2708133</t>
  </si>
  <si>
    <t>42867914</t>
  </si>
  <si>
    <t>Java Developer - Service Mesh</t>
  </si>
  <si>
    <t>https://www.pracuj.pl/praca/java-developer-service-mesh-podkarpackie,oferta,9353766</t>
  </si>
  <si>
    <t>2708150</t>
  </si>
  <si>
    <t>42867931</t>
  </si>
  <si>
    <t>Praktyki IT w Accenture Song</t>
  </si>
  <si>
    <t>https://www.pracuj.pl/praca/praktyki-it-w-accenture-song-podkarpackie,oferta,9354010</t>
  </si>
  <si>
    <t>2708280</t>
  </si>
  <si>
    <t>42868061</t>
  </si>
  <si>
    <t>Junior DevOps Engineer - New Core Banking</t>
  </si>
  <si>
    <t>https://www.pracuj.pl/praca/junior-devops-engineer-new-core-banking-podkarpackie,oferta,9354296</t>
  </si>
  <si>
    <t>2708361</t>
  </si>
  <si>
    <t>42868142</t>
  </si>
  <si>
    <t>Frontend Developer (ReactJS)</t>
  </si>
  <si>
    <t>https://www.pracuj.pl/praca/frontend-developer-reactjs-podkarpackie,oferta,9354534</t>
  </si>
  <si>
    <t>2708436</t>
  </si>
  <si>
    <t>42868217</t>
  </si>
  <si>
    <t>Front-End Developer (Angular)</t>
  </si>
  <si>
    <t>https://www.pracuj.pl/praca/front-end-developer-angular-podkarpackie,oferta,9354639</t>
  </si>
  <si>
    <t>2708474</t>
  </si>
  <si>
    <t>42868255</t>
  </si>
  <si>
    <t>Backend Developer (Javascript)</t>
  </si>
  <si>
    <t>https://www.pracuj.pl/praca/backend-developer-javascript-podkarpackie,oferta,9354667</t>
  </si>
  <si>
    <t>2708489</t>
  </si>
  <si>
    <t>42868270</t>
  </si>
  <si>
    <t>Specjalista DevOps</t>
  </si>
  <si>
    <t>https://www.pracuj.pl/praca/specjalista-devops-podkarpackie,oferta,9355005</t>
  </si>
  <si>
    <t>2708606</t>
  </si>
  <si>
    <t>42868387</t>
  </si>
  <si>
    <t>DOBRYMECHANIK.PL SPOŁKA Z OGRANICZONĄ ODPOWIEDZIALNOŚCIĄ</t>
  </si>
  <si>
    <t>Senior Backend Software Engineer</t>
  </si>
  <si>
    <t>https://www.pracuj.pl/praca/senior-backend-software-engineer-podkarpackie,oferta,9356068</t>
  </si>
  <si>
    <t>2708976</t>
  </si>
  <si>
    <t>42868757</t>
  </si>
  <si>
    <t>ATIPERA SPÓŁKA Z OGRANICZONĄ ODPOWIEDZIALNOŚCIĄ</t>
  </si>
  <si>
    <t>Mid Java/Kotlin Developer</t>
  </si>
  <si>
    <t>https://www.pracuj.pl/praca/mid-java-kotlin-developer-rzeszow,oferta,1002043109</t>
  </si>
  <si>
    <t>2709573</t>
  </si>
  <si>
    <t>42869354</t>
  </si>
  <si>
    <t>Junior Java/Kotlin Developer</t>
  </si>
  <si>
    <t>https://www.pracuj.pl/praca/junior-java-kotlin-developer-rzeszow,oferta,1002043127</t>
  </si>
  <si>
    <t>2709591</t>
  </si>
  <si>
    <t>42869372</t>
  </si>
  <si>
    <t>Junior Actuarial Model Developer</t>
  </si>
  <si>
    <t>https://www.pracuj.pl/praca/junior-actuarial-model-developer-rzeszow,oferta,1002043520</t>
  </si>
  <si>
    <t>2709966</t>
  </si>
  <si>
    <t>42869747</t>
  </si>
  <si>
    <t>Java Developer do Centrum Kompetencyjnego Digital</t>
  </si>
  <si>
    <t>https://www.pracuj.pl/praca/java-developer-do-centrum-kompetencyjnego-digital-rzeszow,oferta,1002044103</t>
  </si>
  <si>
    <t>2710536</t>
  </si>
  <si>
    <t>42870317</t>
  </si>
  <si>
    <t>SAC Administrator / Consultant</t>
  </si>
  <si>
    <t>https://www.pracuj.pl/praca/sac-administrator-consultant-rzeszow,oferta,1001982993</t>
  </si>
  <si>
    <t>2604985</t>
  </si>
  <si>
    <t>41664592</t>
  </si>
  <si>
    <t>Big Data Engineer</t>
  </si>
  <si>
    <t>https://www.pracuj.pl/praca/big-data-engineer-rzeszow,oferta,1001984625</t>
  </si>
  <si>
    <t>2606266</t>
  </si>
  <si>
    <t>41665873</t>
  </si>
  <si>
    <t>Big Data Technical Leader/ Chapter Leader</t>
  </si>
  <si>
    <t>https://www.pracuj.pl/praca/big-data-technical-leader-chapter-leader-podkarpackie,oferta,9304516</t>
  </si>
  <si>
    <t>2632756</t>
  </si>
  <si>
    <t>41958989</t>
  </si>
  <si>
    <t>https://www.pracuj.pl/praca/data-engineer-podkarpackie,oferta,9337361</t>
  </si>
  <si>
    <t>2682462</t>
  </si>
  <si>
    <t>42562150</t>
  </si>
  <si>
    <t>https://www.pracuj.pl/praca/senior-data-engineer-subcarpathia,oferta,9353778</t>
  </si>
  <si>
    <t>2708160</t>
  </si>
  <si>
    <t>42867941</t>
  </si>
  <si>
    <t>https://www.pracuj.pl/praca/inzynier-danych-rzeszow,oferta,1002043251</t>
  </si>
  <si>
    <t>2709706</t>
  </si>
  <si>
    <t>42869487</t>
  </si>
  <si>
    <t>Aneta Wilk, Firma Handlowa ABW</t>
  </si>
  <si>
    <t>Technolog / Projektant Stolarki Aluminiowej</t>
  </si>
  <si>
    <t>Polska, podkarpackie, Kupno (pow. kolbuszowski)</t>
  </si>
  <si>
    <t>https://www.pracuj.pl/praca/technolog-projektant-stolarki-aluminiowej-kupno-pow-kolbuszowski,oferta,1002028160</t>
  </si>
  <si>
    <t>2683458</t>
  </si>
  <si>
    <t>42563146</t>
  </si>
  <si>
    <t>SPLINE s.c.  PIOTR WYDERSKI, DANIEL RZEPLIŃSKI, KAROL KOMINEK</t>
  </si>
  <si>
    <t>CAD Designer</t>
  </si>
  <si>
    <t>https://www.pracuj.pl/praca/cad-designer-rzeszow,oferta,1002044406</t>
  </si>
  <si>
    <t>2710836</t>
  </si>
  <si>
    <t>42870617</t>
  </si>
  <si>
    <t>Timac Agro Polska Sp. z o.o.</t>
  </si>
  <si>
    <t>https://www.praca.pl/doradca-techniczno-handlowy_7323795.html</t>
  </si>
  <si>
    <t>2601757</t>
  </si>
  <si>
    <t>41327129</t>
  </si>
  <si>
    <t>https://www.goldenline.pl/praca/oferta/1304898/zielonalinia0?utm_brand=goldenline&amp;utm_source=zielonalinia0&amp;gpid=1015442&amp;utm_channel=free&amp;utm_medium=oferta&amp;utm_department=marketing</t>
  </si>
  <si>
    <t>2602703</t>
  </si>
  <si>
    <t>41662236</t>
  </si>
  <si>
    <t>KONTUR Sp. z o.o.</t>
  </si>
  <si>
    <t>https://www.pracuj.pl/praca/doradca-handlowy-podkarpackie,oferta,9286474</t>
  </si>
  <si>
    <t>2603039</t>
  </si>
  <si>
    <t>41662646</t>
  </si>
  <si>
    <t>Invencja Magdalena Słotwińska</t>
  </si>
  <si>
    <t>https://www.pracuj.pl/praca/account-manager-podkarpackie,oferta,9286537</t>
  </si>
  <si>
    <t>2603070</t>
  </si>
  <si>
    <t>41662677</t>
  </si>
  <si>
    <t>VATEX SPÓŁKA Z OGRANICZONĄ ODPOWIEDZIALNOŚCIĄ</t>
  </si>
  <si>
    <t>https://www.pracuj.pl/praca/area-sales-representative-rzeszow,oferta,1001981511</t>
  </si>
  <si>
    <t>2603636</t>
  </si>
  <si>
    <t>41663243</t>
  </si>
  <si>
    <t>https://www.pracuj.pl/praca/przedstawiciel-handlowy-przemysl,oferta,1001984678</t>
  </si>
  <si>
    <t>2606319</t>
  </si>
  <si>
    <t>41665926</t>
  </si>
  <si>
    <t>Transition Group Sp z o.o.</t>
  </si>
  <si>
    <t>https://www.praca.pl/przedstawiciel-handlowy_7360041.html</t>
  </si>
  <si>
    <t>2631423</t>
  </si>
  <si>
    <t>41667363</t>
  </si>
  <si>
    <t>2632291</t>
  </si>
  <si>
    <t>41958433</t>
  </si>
  <si>
    <t>WAG Payment Solutions</t>
  </si>
  <si>
    <t>Area Sales Manager - Przedstawiciel Handlowy</t>
  </si>
  <si>
    <t>https://www.pracuj.pl/praca/area-sales-manager-przedstawiciel-handlowy-podkarpackie,oferta,9304288</t>
  </si>
  <si>
    <t>2632703</t>
  </si>
  <si>
    <t>41958936</t>
  </si>
  <si>
    <t>https://www.pracuj.pl/praca/przedstawiciel-handlowy-ds-oze-podkarpackie,oferta,9304945</t>
  </si>
  <si>
    <t>2632932</t>
  </si>
  <si>
    <t>41959165</t>
  </si>
  <si>
    <t>Grupa PSB Handel S.A.</t>
  </si>
  <si>
    <t>Regionalny Pełnomocnik Zarządu</t>
  </si>
  <si>
    <t>https://www.pracuj.pl/praca/regionalny-pelnomocnik-zarzadu-podkarpackie,oferta,9306234</t>
  </si>
  <si>
    <t>2633197</t>
  </si>
  <si>
    <t>41959430</t>
  </si>
  <si>
    <t>FOTON INVESTMENT sp. z o.o.</t>
  </si>
  <si>
    <t>Doradca handlowy - branża OZE - pompy ciepła, fotowoltaika</t>
  </si>
  <si>
    <t>https://www.pracuj.pl/praca/doradca-handlowy-branza-oze-pompy-ciepla-fotowoltaika-podkarpackie,oferta,9307190</t>
  </si>
  <si>
    <t>2633475</t>
  </si>
  <si>
    <t>41959708</t>
  </si>
  <si>
    <t>https://www.pracuj.pl/praca/inzynier-sprzedazy-przedstawiciel-handlowy-rzeszow,oferta,1001999692</t>
  </si>
  <si>
    <t>2634274</t>
  </si>
  <si>
    <t>41960507</t>
  </si>
  <si>
    <t>https://www.pracuj.pl/praca/inzynier-sprzedazy-przedstawiciel-handlowy-mielec,oferta,1001999693</t>
  </si>
  <si>
    <t>2634275</t>
  </si>
  <si>
    <t>41960508</t>
  </si>
  <si>
    <t>https://www.pracuj.pl/praca/inzynier-sprzedazy-przedstawiciel-handlowy-jaslo,oferta,1001999694</t>
  </si>
  <si>
    <t>2634276</t>
  </si>
  <si>
    <t>41960509</t>
  </si>
  <si>
    <t>LADROS S.C A.Lewczyk A.Lewczyk</t>
  </si>
  <si>
    <t>https://www.pracuj.pl/praca/przedstawiciel-handlowy-rzeszow,oferta,1001999788</t>
  </si>
  <si>
    <t>2634369</t>
  </si>
  <si>
    <t>41960602</t>
  </si>
  <si>
    <t>https://www.pracuj.pl/praca/dystrybutor-regionalny-przedstawiciel-handlowy-reprezentant-rzeszow,oferta,1001999847</t>
  </si>
  <si>
    <t>2634423</t>
  </si>
  <si>
    <t>41960656</t>
  </si>
  <si>
    <t>https://www.praca.pl/przedstawiciel-handlowy_7361235.html</t>
  </si>
  <si>
    <t>13.08.2022</t>
  </si>
  <si>
    <t>2657931</t>
  </si>
  <si>
    <t>41667156</t>
  </si>
  <si>
    <t>https://www.praca.pl/przedstawiciel-handlowy_7361238.html</t>
  </si>
  <si>
    <t>2657932</t>
  </si>
  <si>
    <t>41667157</t>
  </si>
  <si>
    <t>https://www.praca.pl/przedstawiciel-handlowy_7361241.html</t>
  </si>
  <si>
    <t>2657933</t>
  </si>
  <si>
    <t>41667158</t>
  </si>
  <si>
    <t>Przedstawiciel Oświatowy</t>
  </si>
  <si>
    <t>https://www.praca.pl/przedstawiciel-oswiatowy_7407480.html</t>
  </si>
  <si>
    <t>2658380</t>
  </si>
  <si>
    <t>42218713</t>
  </si>
  <si>
    <t>2658792</t>
  </si>
  <si>
    <t>42259728</t>
  </si>
  <si>
    <t>Reha Fund sp. z o.o.</t>
  </si>
  <si>
    <t>Regionalny Przedstawiciel Handlowy – produkty ortodontyczne</t>
  </si>
  <si>
    <t>https://www.pracuj.pl/praca/regionalny-przedstawiciel-handlowy-produkty-ortodontyczne-podkarpackie,oferta,9321611</t>
  </si>
  <si>
    <t>2658957</t>
  </si>
  <si>
    <t>42259955</t>
  </si>
  <si>
    <t>E.ON Foton Sp. z o.o.</t>
  </si>
  <si>
    <t>Opiekun Regionu</t>
  </si>
  <si>
    <t>https://www.praca.pl/opiekun-regionu_7433541.html</t>
  </si>
  <si>
    <t>2681668</t>
  </si>
  <si>
    <t>42521553</t>
  </si>
  <si>
    <t>SMART UP Akademia Rozwoju</t>
  </si>
  <si>
    <t>Doradca edukacyjny - organizator szkoleń</t>
  </si>
  <si>
    <t>https://www.pracuj.pl/praca/doradca-edukacyjny-organizator-szkolen-podkarpackie,oferta,9336347</t>
  </si>
  <si>
    <t>2682197</t>
  </si>
  <si>
    <t>42561885</t>
  </si>
  <si>
    <t>GreenMax</t>
  </si>
  <si>
    <t>https://www.pracuj.pl/praca/przedstawiciel-handlowy-podkarpackie,oferta,9337147</t>
  </si>
  <si>
    <t>2682412</t>
  </si>
  <si>
    <t>42562100</t>
  </si>
  <si>
    <t>KAR-TEL SPÓŁKA Z OGRANICZONĄ ODPOWIEDZIALNOŚCIĄ SPÓŁKA KOMANDYTOWA</t>
  </si>
  <si>
    <t>Przedstawiciel Handlowy  ds. Sprzedaży Terminali POS</t>
  </si>
  <si>
    <t>https://www.pracuj.pl/praca/przedstawiciel-handlowy-ds-sprzedazy-terminali-pos-podkarpackie,oferta,9337986</t>
  </si>
  <si>
    <t>2682608</t>
  </si>
  <si>
    <t>42562296</t>
  </si>
  <si>
    <t>Partner ds. sprzedaży energii elektrycznej oraz fotowoltaiki Orange Energia</t>
  </si>
  <si>
    <t>https://www.pracuj.pl/praca/partner-ds-sprzedazy-energii-elektrycznej-oraz-fotowoltaiki-orange-energia-podkarpackie,oferta,9338059</t>
  </si>
  <si>
    <t>2682640</t>
  </si>
  <si>
    <t>42562328</t>
  </si>
  <si>
    <t>WANAS MAREK WASZKIEWICZ</t>
  </si>
  <si>
    <t>Przedstawiciel Handlowy (specjalista ds. techniczno-handlowych)</t>
  </si>
  <si>
    <t>https://www.pracuj.pl/praca/przedstawiciel-handlowy-specjalista-ds-techniczno-handlowych-podkarpackie,oferta,9339048</t>
  </si>
  <si>
    <t>2682833</t>
  </si>
  <si>
    <t>42562521</t>
  </si>
  <si>
    <t>WINE 4 YOU sp. z o.o.</t>
  </si>
  <si>
    <t>https://www.pracuj.pl/praca/przedstawiciel-handlowy-rzeszow,oferta,1002027667</t>
  </si>
  <si>
    <t>2682980</t>
  </si>
  <si>
    <t>42562668</t>
  </si>
  <si>
    <t>https://www.pracuj.pl/praca/opiekun-regionu-debica,oferta,1002029507</t>
  </si>
  <si>
    <t>2684765</t>
  </si>
  <si>
    <t>42564453</t>
  </si>
  <si>
    <t>https://www.pracuj.pl/praca/opiekun-regionu-jaroslaw,oferta,1002029508</t>
  </si>
  <si>
    <t>2684766</t>
  </si>
  <si>
    <t>42564454</t>
  </si>
  <si>
    <t>https://www.pracuj.pl/praca/opiekun-regionu-rzeszow,oferta,1002029509</t>
  </si>
  <si>
    <t>2684767</t>
  </si>
  <si>
    <t>42564455</t>
  </si>
  <si>
    <t>https://www.pracuj.pl/praca/opiekun-regionu-stalowa-wola,oferta,1002029510</t>
  </si>
  <si>
    <t>2684768</t>
  </si>
  <si>
    <t>42564456</t>
  </si>
  <si>
    <t>Żabka Polska</t>
  </si>
  <si>
    <t>Partnerka/Partner ds. Sprzedaży</t>
  </si>
  <si>
    <t>https://www.pracuj.pl/praca/partnerka-partner-ds-sprzedazy-krosno,oferta,1002030659</t>
  </si>
  <si>
    <t>2685886</t>
  </si>
  <si>
    <t>42565574</t>
  </si>
  <si>
    <t>Przedstawiciel Handlowy ds. Handlu Detalicznego</t>
  </si>
  <si>
    <t>https://www.praca.pl/przedstawiciel-handlowy-ds-handlu-detalicznego_7461555.html</t>
  </si>
  <si>
    <t>2706982</t>
  </si>
  <si>
    <t>42829062</t>
  </si>
  <si>
    <t>https://www.goldenline.pl/praca/oferta/1306318/zielonalinia0?utm_brand=goldenline&amp;utm_source=zielonalinia0&amp;gpid=1016590&amp;utm_channel=free&amp;utm_medium=oferta&amp;utm_department=marketing</t>
  </si>
  <si>
    <t>2707867</t>
  </si>
  <si>
    <t>42867584</t>
  </si>
  <si>
    <t>https://www.pracuj.pl/praca/przedstawiciel-handlowy-podkarpackie,oferta,9353843</t>
  </si>
  <si>
    <t>2708173</t>
  </si>
  <si>
    <t>42867954</t>
  </si>
  <si>
    <t>https://www.pracuj.pl/praca/przedstawiciel-farmaceutyczny-podkarpackie,oferta,9353892</t>
  </si>
  <si>
    <t>2708191</t>
  </si>
  <si>
    <t>42867972</t>
  </si>
  <si>
    <t>Hoya Lens Poland Sp. z o.o.</t>
  </si>
  <si>
    <t>Przedstawiciel Handlowy - Optyk</t>
  </si>
  <si>
    <t>https://www.pracuj.pl/praca/przedstawiciel-handlowy-optyk-podkarpackie,oferta,9354686</t>
  </si>
  <si>
    <t>2708500</t>
  </si>
  <si>
    <t>42868281</t>
  </si>
  <si>
    <t>SOLEOS sp. z o.o.</t>
  </si>
  <si>
    <t>Partner Biznesowy OZE</t>
  </si>
  <si>
    <t>https://www.pracuj.pl/praca/partner-biznesowy-oze-podkarpackie,oferta,9355850</t>
  </si>
  <si>
    <t>2708875</t>
  </si>
  <si>
    <t>42868656</t>
  </si>
  <si>
    <t>Hydro NRG Sp. z o.o.</t>
  </si>
  <si>
    <t>https://www.pracuj.pl/praca/przedstawiciel-handlowy-podkarpackie,oferta,9356002</t>
  </si>
  <si>
    <t>2708956</t>
  </si>
  <si>
    <t>42868737</t>
  </si>
  <si>
    <t>https://www.pracuj.pl/praca/przedstawiciel-techniczno-handlowy-podkarpackie,oferta,9356718</t>
  </si>
  <si>
    <t>2709107</t>
  </si>
  <si>
    <t>42868888</t>
  </si>
  <si>
    <t>Przedstawiciel Farmaceutyczno Medyczny - Okulistyka</t>
  </si>
  <si>
    <t>https://www.goldenline.pl/praca/oferta/1304876/zielonalinia0?utm_brand=goldenline&amp;utm_source=zielonalinia0&amp;gpid=1015470&amp;utm_channel=free&amp;utm_medium=oferta&amp;utm_department=marketing</t>
  </si>
  <si>
    <t>2602409</t>
  </si>
  <si>
    <t>41661942</t>
  </si>
  <si>
    <t>Vipharm S.A.</t>
  </si>
  <si>
    <t>Przedstawiciel Medyczny Diabetologia</t>
  </si>
  <si>
    <t>https://www.pracuj.pl/praca/przedstawiciel-medyczny-diabetologia-podkarpackie,oferta,9287371</t>
  </si>
  <si>
    <t>2603241</t>
  </si>
  <si>
    <t>41662848</t>
  </si>
  <si>
    <t>2632005</t>
  </si>
  <si>
    <t>41958147</t>
  </si>
  <si>
    <t>https://www.pracuj.pl/praca/przedstawiciel-handlowy-do-sprzetu-medycznego-podkarpackie,oferta,9305891</t>
  </si>
  <si>
    <t>2633141</t>
  </si>
  <si>
    <t>41959374</t>
  </si>
  <si>
    <t>Radfarm Spółka z ograniczoną odpowiedzialnością Sp.k.</t>
  </si>
  <si>
    <t>Przedstawiciel Medyczno-Farmaceutyczny</t>
  </si>
  <si>
    <t>https://www.pracuj.pl/praca/przedstawiciel-medyczno-farmaceutyczny-podkarpackie,oferta,9306964</t>
  </si>
  <si>
    <t>2633446</t>
  </si>
  <si>
    <t>41959679</t>
  </si>
  <si>
    <t>2658552</t>
  </si>
  <si>
    <t>42259488</t>
  </si>
  <si>
    <t>https://www.goldenline.pl/praca/oferta/1306346/zielonalinia0?utm_brand=goldenline&amp;utm_source=zielonalinia0&amp;gpid=1016562&amp;utm_channel=free&amp;utm_medium=oferta&amp;utm_department=marketing</t>
  </si>
  <si>
    <t>2707464</t>
  </si>
  <si>
    <t>42867181</t>
  </si>
  <si>
    <t>https://www.praca.pl/starszy-specjalista_7381038.html</t>
  </si>
  <si>
    <t>2631880</t>
  </si>
  <si>
    <t>41919164</t>
  </si>
  <si>
    <t>Specjalista w Zespole ds. Standaryzacji Dokumentacji Umownej i Produktowej</t>
  </si>
  <si>
    <t>https://www.pracuj.pl/praca/specjalista-w-zespole-ds-standaryzacji-dokumentacji-umownej-i-produktowej-rzeszow,oferta,1001998991</t>
  </si>
  <si>
    <t>2633593</t>
  </si>
  <si>
    <t>41959826</t>
  </si>
  <si>
    <t>Allianz Sp. z o.o.</t>
  </si>
  <si>
    <t>https://www.praca.pl/junior-menedzer-obszaru-sprzedazy_7355679.html</t>
  </si>
  <si>
    <t>2602059</t>
  </si>
  <si>
    <t>41623578</t>
  </si>
  <si>
    <t>https://www.praca.pl/junior-menedzer-obszaru-sprzedazy_7355793.html</t>
  </si>
  <si>
    <t>2602061</t>
  </si>
  <si>
    <t>41623580</t>
  </si>
  <si>
    <t>https://www.praca.pl/junior-menedzer-obszaru-sprzedazy_7355796.html</t>
  </si>
  <si>
    <t>2602062</t>
  </si>
  <si>
    <t>41623581</t>
  </si>
  <si>
    <t>https://www.praca.pl/junior-menedzer-obszaru-sprzedazy_7355799.html</t>
  </si>
  <si>
    <t>2602063</t>
  </si>
  <si>
    <t>41623582</t>
  </si>
  <si>
    <t>https://www.praca.pl/junior-menedzer-obszaru-sprzedazy_7355802.html</t>
  </si>
  <si>
    <t>2602064</t>
  </si>
  <si>
    <t>41623583</t>
  </si>
  <si>
    <t>https://www.praca.pl/junior-menedzer-obszaru-sprzedazy_7355805.html</t>
  </si>
  <si>
    <t>2602065</t>
  </si>
  <si>
    <t>41623584</t>
  </si>
  <si>
    <t>https://www.praca.pl/junior-menedzer-obszaru-sprzedazy_7355808.html</t>
  </si>
  <si>
    <t>2602066</t>
  </si>
  <si>
    <t>41623585</t>
  </si>
  <si>
    <t>https://www.praca.pl/junior-menedzer-obszaru-sprzedazy_7355811.html</t>
  </si>
  <si>
    <t>2602067</t>
  </si>
  <si>
    <t>41623586</t>
  </si>
  <si>
    <t>https://www.praca.pl/junior-menedzer-obszaru-sprzedazy_7355814.html</t>
  </si>
  <si>
    <t>2602068</t>
  </si>
  <si>
    <t>41623587</t>
  </si>
  <si>
    <t>https://www.praca.pl/junior-menedzer-obszaru-sprzedazy_7355817.html</t>
  </si>
  <si>
    <t>2602069</t>
  </si>
  <si>
    <t>41623588</t>
  </si>
  <si>
    <t>https://www.praca.pl/junior-menedzer-obszaru-sprzedazy_7355826.html</t>
  </si>
  <si>
    <t>2602072</t>
  </si>
  <si>
    <t>41623591</t>
  </si>
  <si>
    <t>https://www.praca.pl/junior-menedzer-obszaru-sprzedazy_7355829.html</t>
  </si>
  <si>
    <t>2602073</t>
  </si>
  <si>
    <t>41623592</t>
  </si>
  <si>
    <t>https://www.praca.pl/junior-menedzer-obszaru-sprzedazy_7355832.html</t>
  </si>
  <si>
    <t>2602074</t>
  </si>
  <si>
    <t>41623593</t>
  </si>
  <si>
    <t>LEYTON POLAND sp. z o.o.</t>
  </si>
  <si>
    <t>Business Developer Manager – Specjalista ds. Rozwoju Biznesu</t>
  </si>
  <si>
    <t>https://www.pracuj.pl/praca/business-developer-manager-specjalista-ds-rozwoju-biznesu-podkarpackie,oferta,9285686</t>
  </si>
  <si>
    <t>2602899</t>
  </si>
  <si>
    <t>41662506</t>
  </si>
  <si>
    <t>SALES SUPPORT &amp; OPERATIONAL EXCELLENCE MANAGER</t>
  </si>
  <si>
    <t>https://www.pracuj.pl/praca/sales-support-operational-excellence-manager-rzeszow,oferta,1002029699</t>
  </si>
  <si>
    <t>2684956</t>
  </si>
  <si>
    <t>42564644</t>
  </si>
  <si>
    <t>https://www.pracuj.pl/praca/sales-support-operational-excellence-manager-nowa-sarzyna,oferta,1002029700</t>
  </si>
  <si>
    <t>2684957</t>
  </si>
  <si>
    <t>42564645</t>
  </si>
  <si>
    <t>PAKAR-SERVICE SP. Z O.O.</t>
  </si>
  <si>
    <t>Regionalny Kierownik Operacyjny</t>
  </si>
  <si>
    <t>https://www.pracuj.pl/praca/regionalny-kierownik-operacyjny-podkarpackie,oferta,9354396</t>
  </si>
  <si>
    <t>2708384</t>
  </si>
  <si>
    <t>42868165</t>
  </si>
  <si>
    <t>https://www.goldenline.pl/praca/oferta/1304954/zielonalinia0?utm_brand=goldenline&amp;utm_source=zielonalinia0&amp;gpid=1015294&amp;utm_channel=free&amp;utm_medium=oferta&amp;utm_department=marketing</t>
  </si>
  <si>
    <t>2602751</t>
  </si>
  <si>
    <t>41662284</t>
  </si>
  <si>
    <t>2632339</t>
  </si>
  <si>
    <t>41958481</t>
  </si>
  <si>
    <t>2658838</t>
  </si>
  <si>
    <t>42259774</t>
  </si>
  <si>
    <t>https://www.goldenline.pl/praca/oferta/1306104/zielonalinia0?utm_brand=goldenline&amp;utm_source=zielonalinia0&amp;gpid=1016740&amp;utm_channel=free&amp;utm_medium=oferta&amp;utm_department=marketing</t>
  </si>
  <si>
    <t>2707894</t>
  </si>
  <si>
    <t>42867611</t>
  </si>
  <si>
    <t>https://www.pracuj.pl/praca/it-helpdesk-support-mielec,oferta,1002029981</t>
  </si>
  <si>
    <t>2685233</t>
  </si>
  <si>
    <t>42564921</t>
  </si>
  <si>
    <t>Technical Services Engineer Expert - Hardware Support with German</t>
  </si>
  <si>
    <t>https://www.pracuj.pl/praca/technical-services-engineer-expert-hardware-support-with-german-subcarpathia,oferta,9355438</t>
  </si>
  <si>
    <t>2708766</t>
  </si>
  <si>
    <t>42868547</t>
  </si>
  <si>
    <t>BAUER MEDIA SPÓŁKA Z OGRANICZONĄ ODPOWIEDZIALNOŚCIĄ SPÓŁKA KOMANDYTOWA</t>
  </si>
  <si>
    <t>Change Manager</t>
  </si>
  <si>
    <t>https://www.pracuj.pl/praca/change-manager-subcarpathia,oferta,9355064</t>
  </si>
  <si>
    <t>2708640</t>
  </si>
  <si>
    <t>42868421</t>
  </si>
  <si>
    <t>Sortowacz surowców wtórnych</t>
  </si>
  <si>
    <t>https://www.goldenline.pl/praca/oferta/1304476/zielonalinia0?utm_brand=goldenline&amp;utm_source=zielonalinia0&amp;gpid=1014826&amp;utm_channel=free&amp;utm_medium=oferta&amp;utm_department=marketing</t>
  </si>
  <si>
    <t>2602841</t>
  </si>
  <si>
    <t>41662374</t>
  </si>
  <si>
    <t>RPd057|961201</t>
  </si>
  <si>
    <t>Spawacz (m/k) - możliwość zdobycia uprawnień</t>
  </si>
  <si>
    <t>https://www.goldenline.pl/praca/oferta/1304786/zielonalinia0?utm_brand=goldenline&amp;utm_source=zielonalinia0&amp;gpid=1015184&amp;utm_channel=free&amp;utm_medium=oferta&amp;utm_department=marketing</t>
  </si>
  <si>
    <t>2602513</t>
  </si>
  <si>
    <t>41662046</t>
  </si>
  <si>
    <t>2632103</t>
  </si>
  <si>
    <t>41958245</t>
  </si>
  <si>
    <t>FLETCHER</t>
  </si>
  <si>
    <t>Spawacz TIG / Slusarz</t>
  </si>
  <si>
    <t>https://gratka.pl/praca/spawacz-tig/oi/27463129?utm_source=zielonalinia.pl&amp;utm_medium=zielonalinia&amp;utm_campaign=export_xml</t>
  </si>
  <si>
    <t>2658473</t>
  </si>
  <si>
    <t>42247970</t>
  </si>
  <si>
    <t>Factor Consulting Sp. z o.o.</t>
  </si>
  <si>
    <t>Monitor badania klinicznego - Specjalista ds. aktywacji badania klinicznego / CRA - Site Activation Specialist</t>
  </si>
  <si>
    <t>https://www.pracuj.pl/praca/monitor-badania-klinicznego-specjalista-ds-aktywacji-badania-klinicznego-cra-sit-rzeszow,oferta,1001981436</t>
  </si>
  <si>
    <t>03.08.2022 06:28</t>
  </si>
  <si>
    <t>2603562</t>
  </si>
  <si>
    <t>41663169</t>
  </si>
  <si>
    <t>Stażysta/ka w Dziale Rozwoju (obszar administracji)</t>
  </si>
  <si>
    <t>https://www.pracuj.pl/praca/stazysta-ka-w-dziale-rozwoju-obszar-administracji-rzeszow,oferta,1001982074</t>
  </si>
  <si>
    <t>2604095</t>
  </si>
  <si>
    <t>41663702</t>
  </si>
  <si>
    <t>Bankowy Doradca Leasingowy w segmencie MSP</t>
  </si>
  <si>
    <t>https://www.pracuj.pl/praca/bankowy-doradca-leasingowy-w-segmencie-msp-rzeszow,oferta,1001981773</t>
  </si>
  <si>
    <t>2603894</t>
  </si>
  <si>
    <t>41663501</t>
  </si>
  <si>
    <t>https://www.pracuj.pl/praca/ekspert-ds-produktow-firmowych-i-hipotecznych-sanok,oferta,1001982187</t>
  </si>
  <si>
    <t>2604207</t>
  </si>
  <si>
    <t>41663814</t>
  </si>
  <si>
    <t>https://www.pracuj.pl/praca/specjalista-ds-obslugi-klienta-mielec,oferta,1001982308</t>
  </si>
  <si>
    <t>2604326</t>
  </si>
  <si>
    <t>41663933</t>
  </si>
  <si>
    <t>https://www.praca.pl/ekspert-finansowy_6840474.html</t>
  </si>
  <si>
    <t>2631681</t>
  </si>
  <si>
    <t>41918957</t>
  </si>
  <si>
    <t>https://www.pracuj.pl/praca/ekspert-finansowy-rzeszow,oferta,1002000767</t>
  </si>
  <si>
    <t>2635325</t>
  </si>
  <si>
    <t>41961558</t>
  </si>
  <si>
    <t>https://www.pracuj.pl/praca/opiekun-klienta-w-oddziale-banku-przemysl,oferta,1002001799</t>
  </si>
  <si>
    <t>2636258</t>
  </si>
  <si>
    <t>41962491</t>
  </si>
  <si>
    <t>https://www.pracuj.pl/praca/opiekun-klienta-w-oddziale-banku-przemysl,oferta,1002028593</t>
  </si>
  <si>
    <t>05.09.2022</t>
  </si>
  <si>
    <t>2683882</t>
  </si>
  <si>
    <t>42563570</t>
  </si>
  <si>
    <t>Ekspert ds. Analiz Transakcji Strukturyzowanych</t>
  </si>
  <si>
    <t>https://www.pracuj.pl/praca/ekspert-ds-analiz-transakcji-strukturyzowanych-rzeszow,oferta,1002042825</t>
  </si>
  <si>
    <t>2709302</t>
  </si>
  <si>
    <t>42869083</t>
  </si>
  <si>
    <t>Kierownik ds. BHP</t>
  </si>
  <si>
    <t>https://www.pracuj.pl/praca/kierownik-ds-bhp-stalowa-wola,oferta,1001984714</t>
  </si>
  <si>
    <t>2606355</t>
  </si>
  <si>
    <t>41665962</t>
  </si>
  <si>
    <t>Security Architect</t>
  </si>
  <si>
    <t>https://www.pracuj.pl/praca/security-architect-subcarpathia,oferta,9305331</t>
  </si>
  <si>
    <t>2633024</t>
  </si>
  <si>
    <t>41959257</t>
  </si>
  <si>
    <t>Specjalista ds. Cyberbezpieczeństwa</t>
  </si>
  <si>
    <t>https://www.pracuj.pl/praca/specjalista-ds-cyberbezpieczenstwa-solina-pow-leski,oferta,1001999813</t>
  </si>
  <si>
    <t>2634394</t>
  </si>
  <si>
    <t>41960627</t>
  </si>
  <si>
    <t>Praktyki w obszarze Security</t>
  </si>
  <si>
    <t>https://www.pracuj.pl/praca/praktyki-w-obszarze-security-podkarpackie,oferta,9354027</t>
  </si>
  <si>
    <t>2708296</t>
  </si>
  <si>
    <t>42868077</t>
  </si>
  <si>
    <t>Koordynator Bezpieczeństwa Informacji</t>
  </si>
  <si>
    <t>https://www.pracuj.pl/praca/koordynator-bezpieczenstwa-informacji-podkarpackie,oferta,9354800</t>
  </si>
  <si>
    <t>2708545</t>
  </si>
  <si>
    <t>42868326</t>
  </si>
  <si>
    <t>https://www.pracuj.pl/praca/specjalista-ds-personalnych-rzeszow,oferta,1001981929</t>
  </si>
  <si>
    <t>2604020</t>
  </si>
  <si>
    <t>41663627</t>
  </si>
  <si>
    <t>Junior Personnel Administration and Payroll Specialist with Italian</t>
  </si>
  <si>
    <t>https://www.pracuj.pl/praca/junior-personnel-administration-and-payroll-specialist-with-italian-subcarpathia,oferta,9303909</t>
  </si>
  <si>
    <t>2632577</t>
  </si>
  <si>
    <t>41958810</t>
  </si>
  <si>
    <t>Praktykant/ka w dziale HR</t>
  </si>
  <si>
    <t>https://www.pracuj.pl/praca/praktykant-ka-w-dziale-hr-rzeszow,oferta,1002000702</t>
  </si>
  <si>
    <t>2635260</t>
  </si>
  <si>
    <t>41961493</t>
  </si>
  <si>
    <t>Senior Personnel Administration and Payroll Specialist with Portuguese/English</t>
  </si>
  <si>
    <t>https://www.pracuj.pl/praca/senior-personnel-administration-and-payroll-specialist-with-portuguese-english-podkarpackie,oferta,9354740</t>
  </si>
  <si>
    <t>2708532</t>
  </si>
  <si>
    <t>42868313</t>
  </si>
  <si>
    <t>https://www.pracuj.pl/praca/key-account-manager-podkarpackie,oferta,9287711</t>
  </si>
  <si>
    <t>2603285</t>
  </si>
  <si>
    <t>41662892</t>
  </si>
  <si>
    <t>Transition Group Sp. z o.o.</t>
  </si>
  <si>
    <t>https://www.pracuj.pl/praca/kierownik-ds-kluczowych-klientow-podkarpackie,oferta,9288086</t>
  </si>
  <si>
    <t>2603351</t>
  </si>
  <si>
    <t>41662958</t>
  </si>
  <si>
    <t>Specjalista ds. kluczowych klientów  w dziale Diabetologii</t>
  </si>
  <si>
    <t>https://www.pracuj.pl/praca/specjalista-ds-kluczowych-klientow-w-dziale-diabetologii-podkarpackie,oferta,9306008</t>
  </si>
  <si>
    <t>2633155</t>
  </si>
  <si>
    <t>41959388</t>
  </si>
  <si>
    <t>GLOBAL FOOD HYGIENE D. URBAŃSKI SPÓŁKA KOMANDYTOWA</t>
  </si>
  <si>
    <t>https://www.praca.pl/key-account-manager_7408704.html</t>
  </si>
  <si>
    <t>2658137</t>
  </si>
  <si>
    <t>42218449</t>
  </si>
  <si>
    <t>Kierownik ds. kluczowych klientów</t>
  </si>
  <si>
    <t>https://www.pracuj.pl/praca/kierownik-ds-kluczowych-klientow-podkarpackie,oferta,9355192</t>
  </si>
  <si>
    <t>2708693</t>
  </si>
  <si>
    <t>42868474</t>
  </si>
  <si>
    <t>Delivery Manager</t>
  </si>
  <si>
    <t>https://www.praca.pl/delivery-manager_7340367.html</t>
  </si>
  <si>
    <t>2601846</t>
  </si>
  <si>
    <t>41504426</t>
  </si>
  <si>
    <t>Specjalista ds. Logistyki z językiem niemieckim</t>
  </si>
  <si>
    <t>https://www.pracuj.pl/praca/specjalista-ds-logistyki-z-jezykiem-niemieckim-jaslo,oferta,1001982688</t>
  </si>
  <si>
    <t>2604686</t>
  </si>
  <si>
    <t>41664293</t>
  </si>
  <si>
    <t>Specjalista ds. Logistyki z j. francuskim</t>
  </si>
  <si>
    <t>https://www.praca.pl/specjalista-ds-logistyki-z-j-francuskim_7377669.html</t>
  </si>
  <si>
    <t>2631513</t>
  </si>
  <si>
    <t>41918785</t>
  </si>
  <si>
    <t>Specjalista ds. logistyki z j. angielskim</t>
  </si>
  <si>
    <t>https://www.praca.pl/specjalista-ds-logistyki-z-j-angielskim_7364565.html</t>
  </si>
  <si>
    <t>2631773</t>
  </si>
  <si>
    <t>41919053</t>
  </si>
  <si>
    <t>https://www.pracuj.pl/praca/manager-sekcji-dzialu-miedzynarodowego-debica,oferta,1002029384</t>
  </si>
  <si>
    <t>2684643</t>
  </si>
  <si>
    <t>42564331</t>
  </si>
  <si>
    <t>https://www.pracuj.pl/praca/manager-sekcji-dzialu-miedzynarodowego-jaslo,oferta,1002029385</t>
  </si>
  <si>
    <t>2684644</t>
  </si>
  <si>
    <t>42564332</t>
  </si>
  <si>
    <t>https://www.pracuj.pl/praca/manager-sekcji-dzialu-miedzynarodowego-przemysl,oferta,1002029392</t>
  </si>
  <si>
    <t>2684651</t>
  </si>
  <si>
    <t>42564339</t>
  </si>
  <si>
    <t>https://www.pracuj.pl/praca/manager-sekcji-dzialu-miedzynarodowego-rzeszow,oferta,1002029393</t>
  </si>
  <si>
    <t>2684652</t>
  </si>
  <si>
    <t>42564340</t>
  </si>
  <si>
    <t>https://www.pracuj.pl/praca/manager-sekcji-dzialu-miedzynarodowego-sanok,oferta,1002029394</t>
  </si>
  <si>
    <t>2684653</t>
  </si>
  <si>
    <t>42564341</t>
  </si>
  <si>
    <t>https://www.pracuj.pl/praca/manager-sekcji-dzialu-miedzynarodowego-stalowa-wola,oferta,1002029395</t>
  </si>
  <si>
    <t>2684654</t>
  </si>
  <si>
    <t>42564342</t>
  </si>
  <si>
    <t>Młodszy Logistyk</t>
  </si>
  <si>
    <t>https://www.pracuj.pl/praca/mlodszy-logistyk-jasionka-pow-krosnienski,oferta,1002030030</t>
  </si>
  <si>
    <t>2685282</t>
  </si>
  <si>
    <t>42564970</t>
  </si>
  <si>
    <t>2602385</t>
  </si>
  <si>
    <t>41661918</t>
  </si>
  <si>
    <t>Rex Auto Sp. z o.o.</t>
  </si>
  <si>
    <t>Polska, podkarpackie, Oddział Świlcza</t>
  </si>
  <si>
    <t>https://www.goldenline.pl/praca/oferta/1304444/zielonalinia0?utm_brand=goldenline&amp;utm_source=zielonalinia0&amp;gpid=1014762&amp;utm_channel=free&amp;utm_medium=oferta&amp;utm_department=marketing</t>
  </si>
  <si>
    <t>2602485</t>
  </si>
  <si>
    <t>41662018</t>
  </si>
  <si>
    <t>Academy-Unified Endpoint Management &amp; Active Directory</t>
  </si>
  <si>
    <t>https://www.pracuj.pl/praca/academy-unified-endpoint-management-active-directory-rzeszow,oferta,1001982872</t>
  </si>
  <si>
    <t>2604866</t>
  </si>
  <si>
    <t>41664473</t>
  </si>
  <si>
    <t>Online Marketing Coordinator</t>
  </si>
  <si>
    <t>https://www.pracuj.pl/praca/online-marketing-coordinator-rzeszow,oferta,1001983047</t>
  </si>
  <si>
    <t>2605039</t>
  </si>
  <si>
    <t>41664646</t>
  </si>
  <si>
    <t>Specjalista ds. sprzedaży oraz marketingu</t>
  </si>
  <si>
    <t>https://www.praca.pl/specjalista-ds-sprzedazy-oraz-marketingu_7383468.html</t>
  </si>
  <si>
    <t>2631468</t>
  </si>
  <si>
    <t>41918728</t>
  </si>
  <si>
    <t>2631978</t>
  </si>
  <si>
    <t>41958120</t>
  </si>
  <si>
    <t>2632076</t>
  </si>
  <si>
    <t>41958218</t>
  </si>
  <si>
    <t>Marketing Automation Specialist</t>
  </si>
  <si>
    <t>https://www.pracuj.pl/praca/marketing-automation-specialist-podkarpackie,oferta,9304244</t>
  </si>
  <si>
    <t>2632693</t>
  </si>
  <si>
    <t>41958926</t>
  </si>
  <si>
    <t>Starszy specjalista ds. procesu ofertowania</t>
  </si>
  <si>
    <t>https://www.pracuj.pl/praca/starszy-specjalista-ds-procesu-ofertowania-rzeszow,oferta,1002000245</t>
  </si>
  <si>
    <t>2634808</t>
  </si>
  <si>
    <t>41961041</t>
  </si>
  <si>
    <t>2658524</t>
  </si>
  <si>
    <t>42259460</t>
  </si>
  <si>
    <t>42DM</t>
  </si>
  <si>
    <t>Marketing Automation &amp; Email Marketing Specialist</t>
  </si>
  <si>
    <t>Polska, podkarpackie, Zagranica</t>
  </si>
  <si>
    <t>https://www.goldenline.pl/praca/oferta/1305604/zielonalinia0?utm_brand=goldenline&amp;utm_source=zielonalinia0&amp;gpid=1015978&amp;utm_channel=free&amp;utm_medium=oferta&amp;utm_department=marketing</t>
  </si>
  <si>
    <t>13.09.2022</t>
  </si>
  <si>
    <t>2658937</t>
  </si>
  <si>
    <t>42259873</t>
  </si>
  <si>
    <t>https://www.pracuj.pl/praca/specjalista-ds-obslugi-klienta-z-jezykiem-niemieckim-jaslo,oferta,1002014652</t>
  </si>
  <si>
    <t>2658972</t>
  </si>
  <si>
    <t>42259970</t>
  </si>
  <si>
    <t>2682178</t>
  </si>
  <si>
    <t>42561808</t>
  </si>
  <si>
    <t>https://www.pracuj.pl/praca/business-manager-subcarpathia,oferta,9338122</t>
  </si>
  <si>
    <t>2682657</t>
  </si>
  <si>
    <t>42562345</t>
  </si>
  <si>
    <t>Operations Process Analyst</t>
  </si>
  <si>
    <t>https://www.pracuj.pl/praca/operations-process-analyst-subcarpathia,oferta,9338221</t>
  </si>
  <si>
    <t>2682694</t>
  </si>
  <si>
    <t>42562382</t>
  </si>
  <si>
    <t>Cerkamed</t>
  </si>
  <si>
    <t>Specjalista ds. Sprzedaży Zagranicznej</t>
  </si>
  <si>
    <t>https://www.pracuj.pl/praca/specjalista-ds-sprzedazy-zagranicznej-stalowa-wola,oferta,1002027920</t>
  </si>
  <si>
    <t>2683226</t>
  </si>
  <si>
    <t>42562914</t>
  </si>
  <si>
    <t>Stażysta /  Specialista w Dziale Marketingu - web development</t>
  </si>
  <si>
    <t>https://www.goldenline.pl/praca/oferta/1306356/zielonalinia0?utm_brand=goldenline&amp;utm_source=zielonalinia0&amp;gpid=1016552&amp;utm_channel=free&amp;utm_medium=oferta&amp;utm_department=marketing</t>
  </si>
  <si>
    <t>2707420</t>
  </si>
  <si>
    <t>42867137</t>
  </si>
  <si>
    <t>2707903</t>
  </si>
  <si>
    <t>42867620</t>
  </si>
  <si>
    <t>Asystent Lidera Projektu</t>
  </si>
  <si>
    <t>https://www.pracuj.pl/praca/asystent-lidera-projektu-podkarpackie,oferta,9353653</t>
  </si>
  <si>
    <t>2708107</t>
  </si>
  <si>
    <t>42867888</t>
  </si>
  <si>
    <t>Platform Operations Specialist (English, Polish and Spanish)</t>
  </si>
  <si>
    <t>https://www.pracuj.pl/praca/platform-operations-specialist-english-polish-and-spanish-rzeszow,oferta,1002043654</t>
  </si>
  <si>
    <t>2710099</t>
  </si>
  <si>
    <t>42869880</t>
  </si>
  <si>
    <t>https://www.pracuj.pl/praca/specjalista-ds-obslugi-klienta-rzeszow,oferta,1001982431</t>
  </si>
  <si>
    <t>2604440</t>
  </si>
  <si>
    <t>41664047</t>
  </si>
  <si>
    <t>https://www.pracuj.pl/praca/specjalista-ds-sprzedazy-rzeszow,oferta,1001983020</t>
  </si>
  <si>
    <t>2605012</t>
  </si>
  <si>
    <t>41664619</t>
  </si>
  <si>
    <t>DAKAR - TOYOTA RZESZÓW Sp. z o.o. Sp. k.</t>
  </si>
  <si>
    <t>Specjalista do spraw sprzedaży samochodów dostawczych</t>
  </si>
  <si>
    <t>https://www.pracuj.pl/praca/specjalista-do-spraw-sprzedazy-samochodow-dostawczych-rzeszow,oferta,1002014698</t>
  </si>
  <si>
    <t>2659018</t>
  </si>
  <si>
    <t>42260016</t>
  </si>
  <si>
    <t>https://www.pracuj.pl/praca/specjalista-do-spraw-sprzedazy-samochodow-dostawczych-swilcza-pow-rzeszowski,oferta,1002014699</t>
  </si>
  <si>
    <t>2659019</t>
  </si>
  <si>
    <t>42260017</t>
  </si>
  <si>
    <t>Specjalista/ka ds. turystyki</t>
  </si>
  <si>
    <t>https://www.pracuj.pl/praca/specjalista-ka-ds-turystyki-podkarpackie,oferta,9304689</t>
  </si>
  <si>
    <t>2632799</t>
  </si>
  <si>
    <t>41959032</t>
  </si>
  <si>
    <t>AP Accounting Specialist with German</t>
  </si>
  <si>
    <t>https://www.pracuj.pl/praca/ap-accounting-specialist-with-german-podkarpackie,oferta,9288487</t>
  </si>
  <si>
    <t>2603399</t>
  </si>
  <si>
    <t>41663006</t>
  </si>
  <si>
    <t>Media Planner/Buyer</t>
  </si>
  <si>
    <t>https://www.pracuj.pl/praca/media-planner-buyer-podkarpackie,oferta,9306927</t>
  </si>
  <si>
    <t>2633426</t>
  </si>
  <si>
    <t>41959659</t>
  </si>
  <si>
    <t>Junior Recruiter with Norwegian</t>
  </si>
  <si>
    <t>https://www.pracuj.pl/praca/junior-recruiter-with-norwegian-subcarpathia,oferta,9286337</t>
  </si>
  <si>
    <t>2603014</t>
  </si>
  <si>
    <t>41662621</t>
  </si>
  <si>
    <t>HR Administrator with German</t>
  </si>
  <si>
    <t>https://www.pracuj.pl/praca/hr-administrator-with-german-subcarpathia,oferta,9286497</t>
  </si>
  <si>
    <t>2603048</t>
  </si>
  <si>
    <t>41662655</t>
  </si>
  <si>
    <t>Customer Support Specialist with Ukrainian and English</t>
  </si>
  <si>
    <t>https://www.pracuj.pl/praca/customer-support-specialist-with-ukrainian-and-english-rzeszow,oferta,1001982789</t>
  </si>
  <si>
    <t>2604784</t>
  </si>
  <si>
    <t>41664391</t>
  </si>
  <si>
    <t>HRQ Engineering sp. z o.o.</t>
  </si>
  <si>
    <t>https://www.pracuj.pl/praca/specjalista-ds-rekrutacji-rzeszow,oferta,1002001166</t>
  </si>
  <si>
    <t>2635714</t>
  </si>
  <si>
    <t>41961947</t>
  </si>
  <si>
    <t>Recruitment Coordinator - CWS</t>
  </si>
  <si>
    <t>https://www.pracuj.pl/praca/recruitment-coordinator-cws-subcarpathia,oferta,9336736</t>
  </si>
  <si>
    <t>2682310</t>
  </si>
  <si>
    <t>42561998</t>
  </si>
  <si>
    <t>Senior Recruitment Specialist</t>
  </si>
  <si>
    <t>https://www.pracuj.pl/praca/senior-recruitment-specialist-subcarpathia,oferta,9355241</t>
  </si>
  <si>
    <t>2708715</t>
  </si>
  <si>
    <t>42868496</t>
  </si>
  <si>
    <t>Senior Talent Acquisition Specialist with German</t>
  </si>
  <si>
    <t>https://www.pracuj.pl/praca/senior-talent-acquisition-specialist-with-german-podkarpackie,oferta,9356547</t>
  </si>
  <si>
    <t>2709052</t>
  </si>
  <si>
    <t>42868833</t>
  </si>
  <si>
    <t>Gibbs Hybrid (Poland) Sp. z o.o.</t>
  </si>
  <si>
    <t>IT Rekruter</t>
  </si>
  <si>
    <t>https://www.pracuj.pl/praca/it-rekruter-rzeszow,oferta,1002043745</t>
  </si>
  <si>
    <t>2710186</t>
  </si>
  <si>
    <t>42869967</t>
  </si>
  <si>
    <t>Release Engineer</t>
  </si>
  <si>
    <t>https://www.pracuj.pl/praca/release-engineer-subcarpathia,oferta,9286662</t>
  </si>
  <si>
    <t>2603095</t>
  </si>
  <si>
    <t>41662702</t>
  </si>
  <si>
    <t>Global Sourcing Analyst</t>
  </si>
  <si>
    <t>https://www.pracuj.pl/praca/global-sourcing-analyst-subcarpathia,oferta,9306948</t>
  </si>
  <si>
    <t>2633436</t>
  </si>
  <si>
    <t>41959669</t>
  </si>
  <si>
    <t>LAMEL BRANDS sp. z o.o.</t>
  </si>
  <si>
    <t>https://www.pracuj.pl/praca/specjalista-ds-sprzedazy-podkarpackie,oferta,9355977</t>
  </si>
  <si>
    <t>2708940</t>
  </si>
  <si>
    <t>42868721</t>
  </si>
  <si>
    <t>Procurement Process Junior Specialist with German</t>
  </si>
  <si>
    <t>https://www.pracuj.pl/praca/procurement-process-junior-specialist-with-german-subcarpathia,oferta,9353363</t>
  </si>
  <si>
    <t>2708028</t>
  </si>
  <si>
    <t>42867809</t>
  </si>
  <si>
    <t>Młodszy Specjalista ds. Zamówień Publicznych</t>
  </si>
  <si>
    <t>https://www.pracuj.pl/praca/mlodszy-specjalista-ds-zamowien-publicznych-podkarpackie,oferta,9354934</t>
  </si>
  <si>
    <t>2708587</t>
  </si>
  <si>
    <t>42868368</t>
  </si>
  <si>
    <t>Amazon Europe Core</t>
  </si>
  <si>
    <t>Compliance Coordinator – German speaker</t>
  </si>
  <si>
    <t>https://www.pracuj.pl/praca/compliance-coordinator-german-speaker-subcarpathia,oferta,9305442</t>
  </si>
  <si>
    <t>2633057</t>
  </si>
  <si>
    <t>41959290</t>
  </si>
  <si>
    <t>Specjalista ds. Jakości -  Pełnomocnik Zarządu d.s. Jakości</t>
  </si>
  <si>
    <t>https://www.pracuj.pl/praca/specjalista-ds-jakosci-pelnomocnik-zarzadu-d-s-jakosci-jezowe-pow-nizanski,oferta,1002027725</t>
  </si>
  <si>
    <t>2683038</t>
  </si>
  <si>
    <t>42562726</t>
  </si>
  <si>
    <t>https://www.pracuj.pl/praca/specjalista-ds-jakosci-pelnomocnik-zarzadu-d-s-jakosci-ropczyce,oferta,1002027726</t>
  </si>
  <si>
    <t>2683039</t>
  </si>
  <si>
    <t>42562727</t>
  </si>
  <si>
    <t>Młodszy Kontroler/ Kontrolerka Jakości</t>
  </si>
  <si>
    <t>https://www.pracuj.pl/praca/mlodszy-kontroler-kontrolerka-jakosci-rzeszow,oferta,1002027908</t>
  </si>
  <si>
    <t>2683219</t>
  </si>
  <si>
    <t>42562907</t>
  </si>
  <si>
    <t>Młodszy Specjalista ds. Kontroli Jakości</t>
  </si>
  <si>
    <t>https://www.pracuj.pl/praca/mlodszy-specjalista-ds-kontroli-jakosci-rzeszow,oferta,1002027912</t>
  </si>
  <si>
    <t>2683223</t>
  </si>
  <si>
    <t>42562911</t>
  </si>
  <si>
    <t>Inżynier jakości</t>
  </si>
  <si>
    <t>https://www.pracuj.pl/praca/inzynier-jakosci-mielec,oferta,1002028166</t>
  </si>
  <si>
    <t>2683464</t>
  </si>
  <si>
    <t>42563152</t>
  </si>
  <si>
    <t>https://www.pracuj.pl/praca/inzynier-jakosci-mielec,oferta,1002028189</t>
  </si>
  <si>
    <t>2683487</t>
  </si>
  <si>
    <t>42563175</t>
  </si>
  <si>
    <t>Specjalista ds. E-commerce</t>
  </si>
  <si>
    <t>https://www.pracuj.pl/praca/specjalista-ds-e-commerce-lezajsk,oferta,1001984575</t>
  </si>
  <si>
    <t>2606216</t>
  </si>
  <si>
    <t>41665823</t>
  </si>
  <si>
    <t>https://www.pracuj.pl/praca/specjalista-ds-e-commerce-rzeszow,oferta,1001984576</t>
  </si>
  <si>
    <t>2606217</t>
  </si>
  <si>
    <t>41665824</t>
  </si>
  <si>
    <t>https://www.pracuj.pl/praca/specjalista-ds-e-commerce-mielec,oferta,1001984578</t>
  </si>
  <si>
    <t>2606219</t>
  </si>
  <si>
    <t>41665826</t>
  </si>
  <si>
    <t>Jira Specialist</t>
  </si>
  <si>
    <t>https://www.pracuj.pl/praca/jira-specialist-subcarpathia,oferta,9307332</t>
  </si>
  <si>
    <t>2633509</t>
  </si>
  <si>
    <t>41959742</t>
  </si>
  <si>
    <t>Zaufane.pl</t>
  </si>
  <si>
    <t>Specjalista ds. sprzedaży w branży e-commerce</t>
  </si>
  <si>
    <t>https://www.pracuj.pl/praca/specjalista-ds-sprzedazy-w-branzy-e-commerce-rzeszow,oferta,1002029029</t>
  </si>
  <si>
    <t>2684290</t>
  </si>
  <si>
    <t>42563978</t>
  </si>
  <si>
    <t>Praktyki IT w obszarze biznesowym (E-commerce)</t>
  </si>
  <si>
    <t>https://www.pracuj.pl/praca/praktyki-it-w-obszarze-biznesowym-e-commerce-podkarpackie,oferta,9353993</t>
  </si>
  <si>
    <t>2708265</t>
  </si>
  <si>
    <t>42868046</t>
  </si>
  <si>
    <t>Młodszy spedytor ds. targów</t>
  </si>
  <si>
    <t>https://www.pracuj.pl/praca/mlodszy-spedytor-ds-targow-rzeszow,oferta,1001984509</t>
  </si>
  <si>
    <t>2606152</t>
  </si>
  <si>
    <t>41665759</t>
  </si>
  <si>
    <t>https://www.pracuj.pl/praca/mlodszy-spedytor-miedzynarodowy-mielec,oferta,1001999859</t>
  </si>
  <si>
    <t>2634435</t>
  </si>
  <si>
    <t>41960668</t>
  </si>
  <si>
    <t>https://www.pracuj.pl/praca/spedytor-krajowy-miedzynarodowy-rzeszow,oferta,1002001671</t>
  </si>
  <si>
    <t>2636137</t>
  </si>
  <si>
    <t>41962370</t>
  </si>
  <si>
    <t>https://www.pracuj.pl/praca/spedytor-miedzynarodowy-debica,oferta,1002029413</t>
  </si>
  <si>
    <t>2684672</t>
  </si>
  <si>
    <t>42564360</t>
  </si>
  <si>
    <t>https://www.pracuj.pl/praca/spedytor-miedzynarodowy-jaslo,oferta,1002029414</t>
  </si>
  <si>
    <t>2684673</t>
  </si>
  <si>
    <t>42564361</t>
  </si>
  <si>
    <t>https://www.pracuj.pl/praca/spedytor-miedzynarodowy-przemysl,oferta,1002029421</t>
  </si>
  <si>
    <t>2684680</t>
  </si>
  <si>
    <t>42564368</t>
  </si>
  <si>
    <t>https://www.pracuj.pl/praca/spedytor-miedzynarodowy-rzeszow,oferta,1002029422</t>
  </si>
  <si>
    <t>2684681</t>
  </si>
  <si>
    <t>42564369</t>
  </si>
  <si>
    <t>https://www.pracuj.pl/praca/spedytor-miedzynarodowy-sanok,oferta,1002029423</t>
  </si>
  <si>
    <t>2684682</t>
  </si>
  <si>
    <t>42564370</t>
  </si>
  <si>
    <t>https://www.pracuj.pl/praca/spedytor-miedzynarodowy-stalowa-wola,oferta,1002029424</t>
  </si>
  <si>
    <t>2684683</t>
  </si>
  <si>
    <t>42564371</t>
  </si>
  <si>
    <t>https://www.pracuj.pl/praca/spedytor-miedzynarodowy-rzeszow,oferta,1002029725</t>
  </si>
  <si>
    <t>2684981</t>
  </si>
  <si>
    <t>42564669</t>
  </si>
  <si>
    <t>Junior Sales Consultant IT</t>
  </si>
  <si>
    <t>https://www.praca.pl/junior-sales-consultant-it_7325565.html</t>
  </si>
  <si>
    <t>2601575</t>
  </si>
  <si>
    <t>41326819</t>
  </si>
  <si>
    <t>https://www.pracuj.pl/praca/pracownik-sklepu-niepelny-etat-tarnobrzeg,oferta,1001984105</t>
  </si>
  <si>
    <t>2605754</t>
  </si>
  <si>
    <t>41665361</t>
  </si>
  <si>
    <t>https://www.pracuj.pl/praca/pracownik-sklepu-niepelny-etat-krosno,oferta,1001984106</t>
  </si>
  <si>
    <t>2605755</t>
  </si>
  <si>
    <t>41665362</t>
  </si>
  <si>
    <t>https://www.pracuj.pl/praca/pracownik-sklepu-niepelny-etat-mielec,oferta,1001984107</t>
  </si>
  <si>
    <t>2605756</t>
  </si>
  <si>
    <t>41665363</t>
  </si>
  <si>
    <t>https://www.pracuj.pl/praca/pracownik-sklepu-niepelny-etat-jaslo,oferta,1001984108</t>
  </si>
  <si>
    <t>2605757</t>
  </si>
  <si>
    <t>41665364</t>
  </si>
  <si>
    <t>Sprzedawca Salonu Kazar</t>
  </si>
  <si>
    <t>https://www.pracuj.pl/praca/sprzedawca-salonu-kazar-rzeszow,oferta,1001985126</t>
  </si>
  <si>
    <t>2606759</t>
  </si>
  <si>
    <t>41666366</t>
  </si>
  <si>
    <t>https://www.pracuj.pl/praca/pracownik-sklepu-niepelny-etat-lubaczow,oferta,1002000335</t>
  </si>
  <si>
    <t>2634898</t>
  </si>
  <si>
    <t>41961131</t>
  </si>
  <si>
    <t>https://www.pracuj.pl/praca/pracownik-sklepu-niepelny-etat-nowa-deba,oferta,1002000339</t>
  </si>
  <si>
    <t>2634902</t>
  </si>
  <si>
    <t>41961135</t>
  </si>
  <si>
    <t>https://www.pracuj.pl/praca/pracownik-sklepu-niepelny-etat-ropczyce,oferta,1002000344</t>
  </si>
  <si>
    <t>2634907</t>
  </si>
  <si>
    <t>41961140</t>
  </si>
  <si>
    <t>https://www.pracuj.pl/praca/pracownik-sklepu-niepelny-etat-tarnobrzeg,oferta,1002000348</t>
  </si>
  <si>
    <t>2634911</t>
  </si>
  <si>
    <t>41961144</t>
  </si>
  <si>
    <t>https://www.pracuj.pl/praca/pracownik-sklepu-niepelny-etat-ustrzyki-dolne,oferta,1002000352</t>
  </si>
  <si>
    <t>2634915</t>
  </si>
  <si>
    <t>41961148</t>
  </si>
  <si>
    <t>https://www.pracuj.pl/praca/pracownik-sklepu-niepelny-etat-nowa-deba,oferta,1002030101</t>
  </si>
  <si>
    <t>2685352</t>
  </si>
  <si>
    <t>42565040</t>
  </si>
  <si>
    <t>https://www.pracuj.pl/praca/pracownik-sklepu-niepelny-etat-ropczyce,oferta,1002030107</t>
  </si>
  <si>
    <t>2685358</t>
  </si>
  <si>
    <t>42565046</t>
  </si>
  <si>
    <t>https://www.pracuj.pl/praca/pracownik-sklepu-niepelny-etat-tarnobrzeg,oferta,1002030109</t>
  </si>
  <si>
    <t>2685360</t>
  </si>
  <si>
    <t>42565048</t>
  </si>
  <si>
    <t>DOBDOG Agnieszka Dobrowolska</t>
  </si>
  <si>
    <t>Pracownik punktu gastronomicznego</t>
  </si>
  <si>
    <t>https://www.pracuj.pl/praca/pracownik-punktu-gastronomicznego-debica,oferta,1002043355</t>
  </si>
  <si>
    <t>2709804</t>
  </si>
  <si>
    <t>42869585</t>
  </si>
  <si>
    <t>Pracownik Sklepu - pełny etat</t>
  </si>
  <si>
    <t>https://www.pracuj.pl/praca/pracownik-sklepu-pelny-etat-rzeszow,oferta,1002045122</t>
  </si>
  <si>
    <t>2711541</t>
  </si>
  <si>
    <t>42871322</t>
  </si>
  <si>
    <t>https://www.pracuj.pl/praca/pracownik-sklepu-niepelny-etat-jaroslaw,oferta,1002045242</t>
  </si>
  <si>
    <t>2711661</t>
  </si>
  <si>
    <t>42871442</t>
  </si>
  <si>
    <t>https://www.pracuj.pl/praca/pracownik-sklepu-niepelny-etat-lubaczow,oferta,1002045245</t>
  </si>
  <si>
    <t>2711664</t>
  </si>
  <si>
    <t>42871445</t>
  </si>
  <si>
    <t>https://www.pracuj.pl/praca/pracownik-sklepu-niepelny-etat-ropczyce,oferta,1002045259</t>
  </si>
  <si>
    <t>2711678</t>
  </si>
  <si>
    <t>42871459</t>
  </si>
  <si>
    <t>Polska, podkarpackie, Jankowice (pow. jarosławski)</t>
  </si>
  <si>
    <t>https://www.pracuj.pl/praca/pracownik-sklepu-pelny-etat-jankowice-pow-jaroslawski,oferta,1002045339</t>
  </si>
  <si>
    <t>2711757</t>
  </si>
  <si>
    <t>42871538</t>
  </si>
  <si>
    <t>Joanna Kopyto</t>
  </si>
  <si>
    <t>https://gratka.pl/praca/sprzedawca-na-stacji-paliw/oi/27268589?utm_source=zielonalinia.pl&amp;utm_medium=zielonalinia&amp;utm_campaign=export_xml</t>
  </si>
  <si>
    <t>31.08.2022 04:31</t>
  </si>
  <si>
    <t>31.07.2022</t>
  </si>
  <si>
    <t>2706776</t>
  </si>
  <si>
    <t>41573271</t>
  </si>
  <si>
    <t>Sprzedawca na stacji paliw BP</t>
  </si>
  <si>
    <t>https://www.pracuj.pl/praca/sprzedawca-na-stacji-paliw-bp-podkarpackie,oferta,9356693</t>
  </si>
  <si>
    <t>2709089</t>
  </si>
  <si>
    <t>42868870</t>
  </si>
  <si>
    <t>CASABLANKA MIAZGA SPÓŁKA JAWNA</t>
  </si>
  <si>
    <t>Sprzedawca na Stacji Paliw BP Zgórsko</t>
  </si>
  <si>
    <t>https://www.pracuj.pl/praca/sprzedawca-na-stacji-paliw-bp-zgorsko-mielec,oferta,1002045498</t>
  </si>
  <si>
    <t>2711908</t>
  </si>
  <si>
    <t>42871689</t>
  </si>
  <si>
    <t>https://www.praca.pl/stolarz-budowlany_7296273.html</t>
  </si>
  <si>
    <t>2601478</t>
  </si>
  <si>
    <t>41070562</t>
  </si>
  <si>
    <t>https://gratka.pl/praca/pracownik-produkcyjny-pakowanie-czyszczenie-elementow/oi/27462897?utm_source=zielonalinia.pl&amp;utm_medium=zielonalinia&amp;utm_campaign=export_xml</t>
  </si>
  <si>
    <t>2658474</t>
  </si>
  <si>
    <t>42247971</t>
  </si>
  <si>
    <t>THM GROUP sp. z o.o.</t>
  </si>
  <si>
    <t>Szwaczka krawcowa</t>
  </si>
  <si>
    <t>https://www.pracuj.pl/praca/szwaczka-krawcowa-rzeszow,oferta,1002042683</t>
  </si>
  <si>
    <t>2709163</t>
  </si>
  <si>
    <t>42868944</t>
  </si>
  <si>
    <t>ODLEWNIA "KAW-MET" MAREK KAWIŃSKI sp. z o.o.</t>
  </si>
  <si>
    <t>Monter - Ślusarz - Pracownik produkcji</t>
  </si>
  <si>
    <t>Polska, podkarpackie, Zadąbrowie (pow. przemyski)</t>
  </si>
  <si>
    <t>https://www.pracuj.pl/praca/monter-slusarz-pracownik-produkcji-zadabrowie-pow-przemyski,oferta,1001999339</t>
  </si>
  <si>
    <t>2633935</t>
  </si>
  <si>
    <t>41960168</t>
  </si>
  <si>
    <t>https://www.praca.pl/slusarz_7434909.html</t>
  </si>
  <si>
    <t>2681431</t>
  </si>
  <si>
    <t>42521309</t>
  </si>
  <si>
    <t>Spawacz - Ślusarz</t>
  </si>
  <si>
    <t>https://www.praca.pl/spawacz-slusarz_7434882.html</t>
  </si>
  <si>
    <t>2681432</t>
  </si>
  <si>
    <t>42521310</t>
  </si>
  <si>
    <t>https://www.pracuj.pl/praca/slusarz-narzedziowy-mielec,oferta,1001999043</t>
  </si>
  <si>
    <t>2633645</t>
  </si>
  <si>
    <t>41959878</t>
  </si>
  <si>
    <t>MPCU SPÓŁKA Z OGRANICZONĄ ODPOWIEDZIALNOŚCIĄ</t>
  </si>
  <si>
    <t>Asystent Inżyniera Budowlanego</t>
  </si>
  <si>
    <t>https://www.pracuj.pl/praca/asystent-inzyniera-budowlanego-rzeszow,oferta,1002001038</t>
  </si>
  <si>
    <t>2635590</t>
  </si>
  <si>
    <t>41961823</t>
  </si>
  <si>
    <t>Pisarz medyczny</t>
  </si>
  <si>
    <t>Technik analityki medycznej</t>
  </si>
  <si>
    <t>https://www.pracuj.pl/praca/pisarz-medyczny-rzeszow,oferta,1001981456</t>
  </si>
  <si>
    <t>2603582</t>
  </si>
  <si>
    <t>41663189</t>
  </si>
  <si>
    <t>RPd057|321201</t>
  </si>
  <si>
    <t>PESAM Sp. z o.o. Sp. K.</t>
  </si>
  <si>
    <t>Specjalista ds. kosztorysowania i przygotowania umów</t>
  </si>
  <si>
    <t>https://www.pracuj.pl/praca/specjalista-ds-kosztorysowania-i-przygotowania-umow-podkarpackie,oferta,9286070</t>
  </si>
  <si>
    <t>2602944</t>
  </si>
  <si>
    <t>41662551</t>
  </si>
  <si>
    <t>Kierownik Projektu w Pionie Zarządzania Nieruchomościami</t>
  </si>
  <si>
    <t>https://www.pracuj.pl/praca/kierownik-projektu-w-pionie-zarzadzania-nieruchomosciami-podkarpackie,oferta,9306437</t>
  </si>
  <si>
    <t>2633262</t>
  </si>
  <si>
    <t>41959495</t>
  </si>
  <si>
    <t>WEST FROST SP. Z O.O.</t>
  </si>
  <si>
    <t>Inżynier - Technik chłodnictwa CO2</t>
  </si>
  <si>
    <t>https://www.pracuj.pl/praca/inzynier-technik-chlodnictwa-co2-podkarpackie,oferta,9353966</t>
  </si>
  <si>
    <t>2708250</t>
  </si>
  <si>
    <t>42868031</t>
  </si>
  <si>
    <t>Technical Services Manager</t>
  </si>
  <si>
    <t>https://www.pracuj.pl/praca/technical-services-manager-subcarpathia,oferta,9336697</t>
  </si>
  <si>
    <t>2682295</t>
  </si>
  <si>
    <t>42561983</t>
  </si>
  <si>
    <t>Technik Elektroradiologii</t>
  </si>
  <si>
    <t>https://www.praca.pl/technik-elektroradiologii_7459863.html</t>
  </si>
  <si>
    <t>2707206</t>
  </si>
  <si>
    <t>42829312</t>
  </si>
  <si>
    <t>Mobilny Technik Serwisu</t>
  </si>
  <si>
    <t>https://www.pracuj.pl/praca/mobilny-technik-serwisu-podkarpackie,oferta,9286519</t>
  </si>
  <si>
    <t>2603061</t>
  </si>
  <si>
    <t>41662668</t>
  </si>
  <si>
    <t>SPIE Elbud Gdańsk S.A.</t>
  </si>
  <si>
    <t>Elektromonter sieci SN i oświetlenia</t>
  </si>
  <si>
    <t>https://www.pracuj.pl/praca/elektromonter-sieci-sn-i-oswietlenia-podkarpackie,oferta,9287087</t>
  </si>
  <si>
    <t>2603189</t>
  </si>
  <si>
    <t>41662796</t>
  </si>
  <si>
    <t>Polska, podkarpackie, Myczkowce (pow. leski)</t>
  </si>
  <si>
    <t>https://www.pracuj.pl/praca/monter-elektroenergetyk-myczkowce-pow-leski,oferta,1002027729</t>
  </si>
  <si>
    <t>2683042</t>
  </si>
  <si>
    <t>42562730</t>
  </si>
  <si>
    <t>Wacker Neuson Sp. z o.o.</t>
  </si>
  <si>
    <t>https://www.pracuj.pl/praca/doradca-techniczno-handlowy-rzeszow,oferta,1002044608</t>
  </si>
  <si>
    <t>2711035</t>
  </si>
  <si>
    <t>42870816</t>
  </si>
  <si>
    <t>https://www.praca.pl/technik-farmaceutyczny_7359642.html</t>
  </si>
  <si>
    <t>2657935</t>
  </si>
  <si>
    <t>41667406</t>
  </si>
  <si>
    <t>GRODNO S.A.</t>
  </si>
  <si>
    <t>https://www.pracuj.pl/praca/handlowiec-podkarpackie,oferta,9286081</t>
  </si>
  <si>
    <t>2602952</t>
  </si>
  <si>
    <t>41662559</t>
  </si>
  <si>
    <t>DOM 3E S.A.</t>
  </si>
  <si>
    <t>Doradca Techniczny - Handlowiec (branża budowlana)</t>
  </si>
  <si>
    <t>https://www.pracuj.pl/praca/doradca-techniczny-handlowiec-branza-budowlana-podkarpackie,oferta,9339090</t>
  </si>
  <si>
    <t>2682844</t>
  </si>
  <si>
    <t>42562532</t>
  </si>
  <si>
    <t>Technik hydrolog</t>
  </si>
  <si>
    <t>https://www.praca.pl/serwisant_7434045.html</t>
  </si>
  <si>
    <t>2681594</t>
  </si>
  <si>
    <t>42521475</t>
  </si>
  <si>
    <t>RPd057|311107</t>
  </si>
  <si>
    <t>Technical Security Specialist</t>
  </si>
  <si>
    <t>https://www.pracuj.pl/praca/technical-security-specialist-subcarpathia,oferta,9355538</t>
  </si>
  <si>
    <t>2708804</t>
  </si>
  <si>
    <t>42868585</t>
  </si>
  <si>
    <t>Narzędziowiec CNC</t>
  </si>
  <si>
    <t>https://www.praca.pl/narzedziowiec-cnc_7324248.html</t>
  </si>
  <si>
    <t>2601704</t>
  </si>
  <si>
    <t>41327031</t>
  </si>
  <si>
    <t>Operator manualny (m/k)</t>
  </si>
  <si>
    <t>https://www.goldenline.pl/praca/oferta/1305074/zielonalinia0?utm_brand=goldenline&amp;utm_source=zielonalinia0&amp;gpid=1015494&amp;utm_channel=free&amp;utm_medium=oferta&amp;utm_department=marketing</t>
  </si>
  <si>
    <t>2602623</t>
  </si>
  <si>
    <t>41662156</t>
  </si>
  <si>
    <t>2632207</t>
  </si>
  <si>
    <t>41958349</t>
  </si>
  <si>
    <t>DEKRA Praca</t>
  </si>
  <si>
    <t>Elektromechanik Utrzymania Ruchu</t>
  </si>
  <si>
    <t>https://www.pracuj.pl/praca/elektromechanik-utrzymania-ruchu-stalowa-wola,oferta,1002001672</t>
  </si>
  <si>
    <t>2636138</t>
  </si>
  <si>
    <t>41962371</t>
  </si>
  <si>
    <t>Fimtec-Polska Sp. z o.o. Sp. k.</t>
  </si>
  <si>
    <t>Technik serwisu</t>
  </si>
  <si>
    <t>https://www.pracuj.pl/praca/technik-serwisu-stalowa-wola,oferta,1002002010</t>
  </si>
  <si>
    <t>2636462</t>
  </si>
  <si>
    <t>41962695</t>
  </si>
  <si>
    <t>2658854</t>
  </si>
  <si>
    <t>42259790</t>
  </si>
  <si>
    <t>Mechanik / Elektromechanik samochodowy</t>
  </si>
  <si>
    <t>https://www.praca.pl/mechanik-elektromechanik-samochodowy_7428798.html</t>
  </si>
  <si>
    <t>2681403</t>
  </si>
  <si>
    <t>42521281</t>
  </si>
  <si>
    <t>THALE Sp. z o.o. Sp. k. (właściciel marki NICZUK)</t>
  </si>
  <si>
    <t>Doradca Techniczno – Handlowy</t>
  </si>
  <si>
    <t>https://www.pracuj.pl/praca/doradca-techniczno-handlowy-debica,oferta,9338421</t>
  </si>
  <si>
    <t>2682735</t>
  </si>
  <si>
    <t>42562423</t>
  </si>
  <si>
    <t>Mechanik - Elektromechanik (ETTS)</t>
  </si>
  <si>
    <t>https://www.pracuj.pl/praca/mechanik-elektromechanik-etts-jasionka-pow-rzeszowski,oferta,1002027869</t>
  </si>
  <si>
    <t>2683181</t>
  </si>
  <si>
    <t>42562869</t>
  </si>
  <si>
    <t>KILOUTOU Polska Sp. z o.o.</t>
  </si>
  <si>
    <t>https://www.pracuj.pl/praca/mechanik-swilcza-pow-rzeszowski,oferta,1002029293</t>
  </si>
  <si>
    <t>2684552</t>
  </si>
  <si>
    <t>42564240</t>
  </si>
  <si>
    <t>Mechanik/Mechaniczka Silników Lotniczych</t>
  </si>
  <si>
    <t>https://www.pracuj.pl/praca/mechanik-mechaniczka-silnikow-lotniczych-jasionka-pow-rzeszowski,oferta,1002044317</t>
  </si>
  <si>
    <t>2710747</t>
  </si>
  <si>
    <t>42870528</t>
  </si>
  <si>
    <t>Mechanik/Mechaniczka (naprawa części silników lotniczych)</t>
  </si>
  <si>
    <t>https://www.pracuj.pl/praca/mechanik-mechaniczka-naprawa-czesci-silnikow-lotniczych-jasionka-pow-rzeszowski,oferta,1002044326</t>
  </si>
  <si>
    <t>2710756</t>
  </si>
  <si>
    <t>42870537</t>
  </si>
  <si>
    <t>https://www.pracuj.pl/praca/operator-hamowni-test-cell-operator-jasionka-pow-rzeszowski,oferta,1002044551</t>
  </si>
  <si>
    <t>2710978</t>
  </si>
  <si>
    <t>42870759</t>
  </si>
  <si>
    <t>Nowa Itaka Spółka z o.o.</t>
  </si>
  <si>
    <t>https://www.pracuj.pl/praca/specjalista-ds-turystyki-rzeszow,oferta,1001981677</t>
  </si>
  <si>
    <t>2603799</t>
  </si>
  <si>
    <t>41663406</t>
  </si>
  <si>
    <t>RPd057|422103</t>
  </si>
  <si>
    <t>Pracownik Ochrony - Konwojent</t>
  </si>
  <si>
    <t>https://www.pracuj.pl/praca/pracownik-ochrony-konwojent-rzeszow,oferta,1002029143</t>
  </si>
  <si>
    <t>2684402</t>
  </si>
  <si>
    <t>42564090</t>
  </si>
  <si>
    <t>https://www.praca.pl/starszy-inspektor_7432623.html</t>
  </si>
  <si>
    <t>2681789</t>
  </si>
  <si>
    <t>42521683</t>
  </si>
  <si>
    <t>https://www.pracuj.pl/praca/konsultant-medyczny-brzozow,oferta,1002000985</t>
  </si>
  <si>
    <t>2635540</t>
  </si>
  <si>
    <t>41961773</t>
  </si>
  <si>
    <t>https://www.pracuj.pl/praca/konsultant-medyczny-krosno,oferta,1002000987</t>
  </si>
  <si>
    <t>2635542</t>
  </si>
  <si>
    <t>41961775</t>
  </si>
  <si>
    <t>https://www.pracuj.pl/praca/konsultant-medyczny-stalowa-wola,oferta,1002000989</t>
  </si>
  <si>
    <t>2635544</t>
  </si>
  <si>
    <t>41961777</t>
  </si>
  <si>
    <t>https://www.praca.pl/inspektor_7432785.html</t>
  </si>
  <si>
    <t>2681828</t>
  </si>
  <si>
    <t>42521722</t>
  </si>
  <si>
    <t>Opeartor procesów chemicznych</t>
  </si>
  <si>
    <t>https://www.pracuj.pl/praca/opeartor-procesow-chemicznych-stalowa-wola,oferta,1002028755</t>
  </si>
  <si>
    <t>2684041</t>
  </si>
  <si>
    <t>42563729</t>
  </si>
  <si>
    <t>Pomoc techniczna w laboratorium</t>
  </si>
  <si>
    <t>https://www.pracuj.pl/praca/pomoc-techniczna-w-laboratorium-jaroslaw,oferta,1002028843</t>
  </si>
  <si>
    <t>2684108</t>
  </si>
  <si>
    <t>42563796</t>
  </si>
  <si>
    <t>https://www.pracuj.pl/praca/doradca-techniczny-do-sprzedazy-obrabiarek-do-drewna-lezajsk,oferta,1002029368</t>
  </si>
  <si>
    <t>2684627</t>
  </si>
  <si>
    <t>42564315</t>
  </si>
  <si>
    <t>https://www.pracuj.pl/praca/doradca-techniczny-do-sprzedazy-obrabiarek-do-drewna-mielec,oferta,1002029369</t>
  </si>
  <si>
    <t>2684628</t>
  </si>
  <si>
    <t>42564316</t>
  </si>
  <si>
    <t>https://www.pracuj.pl/praca/doradca-techniczny-do-sprzedazy-obrabiarek-do-drewna-rzeszow,oferta,1002029370</t>
  </si>
  <si>
    <t>2684629</t>
  </si>
  <si>
    <t>42564317</t>
  </si>
  <si>
    <t>https://www.pracuj.pl/praca/doradca-techniczny-do-sprzedazy-obrabiarek-do-drewna-tarnobrzeg,oferta,1002029371</t>
  </si>
  <si>
    <t>2684630</t>
  </si>
  <si>
    <t>42564318</t>
  </si>
  <si>
    <t>Monter Turbin Wodnych</t>
  </si>
  <si>
    <t>https://www.pracuj.pl/praca/monter-turbin-wodnych-myczkowce-pow-leski,oferta,1002027731</t>
  </si>
  <si>
    <t>2683044</t>
  </si>
  <si>
    <t>42562732</t>
  </si>
  <si>
    <t>Strefa Energii</t>
  </si>
  <si>
    <t>Doradca Handlowy ds. Systemów Grzewczych</t>
  </si>
  <si>
    <t>https://www.pracuj.pl/praca/doradca-handlowy-ds-systemow-grzewczych-jaroslaw,oferta,9356763</t>
  </si>
  <si>
    <t>2709126</t>
  </si>
  <si>
    <t>42868907</t>
  </si>
  <si>
    <t>NEPTUN ENERGY sp. z o.o.</t>
  </si>
  <si>
    <t>Dyrektor ds. Sprzedaży Pompy Ciepła</t>
  </si>
  <si>
    <t>https://www.pracuj.pl/praca/dyrektor-ds-sprzedazy-pompy-ciepla-rzeszow,oferta,1002043834</t>
  </si>
  <si>
    <t>2710274</t>
  </si>
  <si>
    <t>42870055</t>
  </si>
  <si>
    <t>Gi Group Poland S.A.</t>
  </si>
  <si>
    <t>Elektromechanik utrzymania ruchu</t>
  </si>
  <si>
    <t>https://www.pracuj.pl/praca/elektromechanik-utrzymania-ruchu-stalowa-wola,oferta,1002027700</t>
  </si>
  <si>
    <t>2683013</t>
  </si>
  <si>
    <t>42562701</t>
  </si>
  <si>
    <t>Microsoft Dynamics 365 F&amp;O Consultant</t>
  </si>
  <si>
    <t>https://www.pracuj.pl/praca/microsoft-dynamics-365-f-o-consultant-subcarpathia,oferta,9288566</t>
  </si>
  <si>
    <t>2603411</t>
  </si>
  <si>
    <t>41663018</t>
  </si>
  <si>
    <t>https://www.pracuj.pl/praca/monitoring-associate-technical-services-engineer-2nd-line-subcarpathia,oferta,9288632</t>
  </si>
  <si>
    <t>2603441</t>
  </si>
  <si>
    <t>41663048</t>
  </si>
  <si>
    <t>https://www.pracuj.pl/praca/senior-test-automation-engineer-rzeszow,oferta,1001999545</t>
  </si>
  <si>
    <t>2634131</t>
  </si>
  <si>
    <t>41960364</t>
  </si>
  <si>
    <t>https://www.pracuj.pl/praca/test-automation-engineer-rzeszow,oferta,1002001988</t>
  </si>
  <si>
    <t>2636440</t>
  </si>
  <si>
    <t>41962673</t>
  </si>
  <si>
    <t>Software QA Engineer</t>
  </si>
  <si>
    <t>https://www.pracuj.pl/praca/software-qa-engineer-subcarpathia,oferta,9336772</t>
  </si>
  <si>
    <t>2682342</t>
  </si>
  <si>
    <t>42562030</t>
  </si>
  <si>
    <t>Konsultant wdrożeniowy (moduł kadrowo-płacowy)</t>
  </si>
  <si>
    <t>https://www.pracuj.pl/praca/konsultant-wdrozeniowy-modul-kadrowo-placowy-rzeszow,oferta,1001981852</t>
  </si>
  <si>
    <t>2603944</t>
  </si>
  <si>
    <t>41663551</t>
  </si>
  <si>
    <t>Content Editor</t>
  </si>
  <si>
    <t>https://www.pracuj.pl/praca/content-editor-rzeszow,oferta,1001983234</t>
  </si>
  <si>
    <t>2605196</t>
  </si>
  <si>
    <t>41664803</t>
  </si>
  <si>
    <t>https://www.pracuj.pl/praca/konsultant-ds-wdrozen-podkarpackie,oferta,9336651</t>
  </si>
  <si>
    <t>2682260</t>
  </si>
  <si>
    <t>42561948</t>
  </si>
  <si>
    <t>https://www.pracuj.pl/praca/konsultant-ds-wdrozen-systemow-eod-podkarpackie,oferta,9336673</t>
  </si>
  <si>
    <t>2682275</t>
  </si>
  <si>
    <t>42561963</t>
  </si>
  <si>
    <t>Konsultant/ Konsultantka ds. wdrożeń oprogramowania dla przemysłu (f/m/d)</t>
  </si>
  <si>
    <t>https://www.pracuj.pl/praca/konsultant-konsultantka-ds-wdrozen-oprogramowania-dla-przemyslu-f-m-d-rzeszow,oferta,1002030419</t>
  </si>
  <si>
    <t>2685668</t>
  </si>
  <si>
    <t>42565356</t>
  </si>
  <si>
    <t>M365 Engineer</t>
  </si>
  <si>
    <t>https://www.pracuj.pl/praca/m365-engineer-subcarpathia,oferta,9355133</t>
  </si>
  <si>
    <t>2708660</t>
  </si>
  <si>
    <t>42868441</t>
  </si>
  <si>
    <t>Translator with Indonesian / Tłumacz języka Indonezyjskiego</t>
  </si>
  <si>
    <t>https://www.goldenline.pl/praca/oferta/1304962/zielonalinia0?utm_brand=goldenline&amp;utm_source=zielonalinia0&amp;gpid=1015276&amp;utm_channel=free&amp;utm_medium=oferta&amp;utm_department=marketing</t>
  </si>
  <si>
    <t>2602381</t>
  </si>
  <si>
    <t>41661914</t>
  </si>
  <si>
    <t>2631974</t>
  </si>
  <si>
    <t>41958116</t>
  </si>
  <si>
    <t>Tłumacz medyczny języka ukraińskiego</t>
  </si>
  <si>
    <t>https://www.praca.pl/tlumacz-medyczny-jezyka-ukrainskiego_7407915.html</t>
  </si>
  <si>
    <t>2658270</t>
  </si>
  <si>
    <t>42218601</t>
  </si>
  <si>
    <t>2658521</t>
  </si>
  <si>
    <t>42259457</t>
  </si>
  <si>
    <t>Translator with Croatian / Tłumacz języka Chorwackiego</t>
  </si>
  <si>
    <t>https://www.goldenline.pl/praca/oferta/1306200/zielonalinia0?utm_brand=goldenline&amp;utm_source=zielonalinia0&amp;gpid=1016708&amp;utm_channel=free&amp;utm_medium=oferta&amp;utm_department=marketing</t>
  </si>
  <si>
    <t>2707471</t>
  </si>
  <si>
    <t>42867188</t>
  </si>
  <si>
    <t>https://www.goldenline.pl/praca/oferta/1304666/zielonalinia0?utm_brand=goldenline&amp;utm_source=zielonalinia0&amp;gpid=1015028&amp;utm_channel=free&amp;utm_medium=oferta&amp;utm_department=marketing</t>
  </si>
  <si>
    <t>2602635</t>
  </si>
  <si>
    <t>41662168</t>
  </si>
  <si>
    <t>2632220</t>
  </si>
  <si>
    <t>41958362</t>
  </si>
  <si>
    <t>https://www.pracuj.pl/praca/mlodszy-tokarz-rzeszow,oferta,1002000396</t>
  </si>
  <si>
    <t>2634959</t>
  </si>
  <si>
    <t>41961192</t>
  </si>
  <si>
    <t>Ustawiacz pras mimośrodowych, hydraulicznych i innych maszyn produk / прес наладчик до ексцентричних пресів в гідравлічних та інших виробничих машина</t>
  </si>
  <si>
    <t>Ustawiacz</t>
  </si>
  <si>
    <t>https://www.pracuj.pl/praca/ustawiacz-pras-mimosrodowych-hydraulicznych-i-innych-maszyn-produk-mielec,oferta,1001999057</t>
  </si>
  <si>
    <t>2633659</t>
  </si>
  <si>
    <t>41959892</t>
  </si>
  <si>
    <t>RPd057|831210</t>
  </si>
  <si>
    <t>https://www.pracuj.pl/praca/ustawiacz-pras-mimosrodowych-hydraulicznych-i-innych-maszyn-produk-mielec,oferta,1001999063</t>
  </si>
  <si>
    <t>2633665</t>
  </si>
  <si>
    <t>41959898</t>
  </si>
  <si>
    <t>PGE Obrót SA</t>
  </si>
  <si>
    <t>Specjalista w Biurze Windykacji</t>
  </si>
  <si>
    <t>Polska, podkarpackie, Rzeszów, ul. 8-go Marca 6</t>
  </si>
  <si>
    <t>https://www.praca.pl/specjalista-w-biurze-windykacji_7464675.html</t>
  </si>
  <si>
    <t>2706831</t>
  </si>
  <si>
    <t>42828887</t>
  </si>
  <si>
    <t>https://www.praca.pl/windykator-terenowy_7461798.html</t>
  </si>
  <si>
    <t>2706925</t>
  </si>
  <si>
    <t>42828988</t>
  </si>
  <si>
    <t>Koordynator Szkoleń BHP</t>
  </si>
  <si>
    <t>https://www.pracuj.pl/praca/koordynator-szkolen-bhp-stalowa-wola,oferta,1001984716</t>
  </si>
  <si>
    <t>2606357</t>
  </si>
  <si>
    <t>41665964</t>
  </si>
  <si>
    <t>Pracownik Mobilnego Kina Sferycznego – Edukator</t>
  </si>
  <si>
    <t>https://www.pracuj.pl/praca/pracownik-mobilnego-kina-sferycznego-edukator-rzeszow,oferta,1002000111</t>
  </si>
  <si>
    <t>2634678</t>
  </si>
  <si>
    <t>41960911</t>
  </si>
  <si>
    <t>Tumieszkamy</t>
  </si>
  <si>
    <t>Zarządca Nieruchomości</t>
  </si>
  <si>
    <t>Zarządca nieruchomości</t>
  </si>
  <si>
    <t>https://www.pracuj.pl/praca/zarzadca-nieruchomosci-rzeszow,oferta,1001966857</t>
  </si>
  <si>
    <t>24.08.2022 04:20</t>
  </si>
  <si>
    <t>23.07.2022</t>
  </si>
  <si>
    <t>21.08.2022</t>
  </si>
  <si>
    <t>2681217</t>
  </si>
  <si>
    <t>41285045</t>
  </si>
  <si>
    <t>RPd057|244003</t>
  </si>
  <si>
    <t>19.07.2022</t>
  </si>
  <si>
    <t>2602420</t>
  </si>
  <si>
    <t>41661953</t>
  </si>
  <si>
    <t>I półrocze 2022</t>
  </si>
  <si>
    <t>III kw. 22</t>
  </si>
  <si>
    <t>okresy badania (rok)</t>
  </si>
  <si>
    <t>M</t>
  </si>
  <si>
    <t>IIp22</t>
  </si>
  <si>
    <t>9 - suma</t>
  </si>
  <si>
    <t>109 - suma</t>
  </si>
  <si>
    <t>III 2022</t>
  </si>
  <si>
    <t>IV 2022</t>
  </si>
  <si>
    <t>1 powiat</t>
  </si>
  <si>
    <t>wg kwartałów</t>
  </si>
  <si>
    <t>kwartały</t>
  </si>
  <si>
    <t>Przedst. władz publ.</t>
  </si>
  <si>
    <t>działy GN</t>
  </si>
  <si>
    <t>liczba m. pracy</t>
  </si>
  <si>
    <t>Usługi gastronomiczne (piekarze,cukiernicy i pokr.)</t>
  </si>
  <si>
    <t>251201 - Specjalista do spraw doskonalenia i rozwoju aplikacji</t>
  </si>
  <si>
    <t>0000 - Specjalności ujmowane w zawodzie (spoza KZiS)</t>
  </si>
  <si>
    <t xml:space="preserve">    000001 UX Designer</t>
  </si>
  <si>
    <t xml:space="preserve">    00002 UI Designer</t>
  </si>
  <si>
    <t xml:space="preserve">    00003 User Experience Designer</t>
  </si>
  <si>
    <t xml:space="preserve">    00004 Customer Success</t>
  </si>
  <si>
    <t xml:space="preserve">    00005 Techwriter</t>
  </si>
  <si>
    <t xml:space="preserve">    00006 Scrum master</t>
  </si>
  <si>
    <t>251203 - Specjalista do spraw technologii blockchain</t>
  </si>
  <si>
    <t>251911 - Specjalista do spraw informatyki przemysłowej</t>
  </si>
  <si>
    <t>251910 - Specjalista do spraw wirtualnej rzeczywistości</t>
  </si>
  <si>
    <t>specjaliści ds. projektowania, wdrażania i doskonalenia produktów i usług cyfrowych</t>
  </si>
  <si>
    <t>Moose Teacher Sp z o.o.</t>
  </si>
  <si>
    <t>Nauczyciel / Korepetytor Matematyki</t>
  </si>
  <si>
    <t>02.11.2022</t>
  </si>
  <si>
    <t>07.03.2023</t>
  </si>
  <si>
    <t>https://www.pracuj.pl/praca/nauczyciel-korepetytor-matematyki-mielec,oferta,9443801</t>
  </si>
  <si>
    <t>02.11.2022 04:20</t>
  </si>
  <si>
    <t>01.10.2022</t>
  </si>
  <si>
    <t>30.10.2022</t>
  </si>
  <si>
    <t>2715075</t>
  </si>
  <si>
    <t>44212241</t>
  </si>
  <si>
    <t>https://www.pracuj.pl/praca/lektor-jezyka-angielskiego-mielec,oferta,9443864</t>
  </si>
  <si>
    <t>2715095</t>
  </si>
  <si>
    <t>44212278</t>
  </si>
  <si>
    <t>ORLEN Transport Sp. z o.o.</t>
  </si>
  <si>
    <t>18.11.2022</t>
  </si>
  <si>
    <t>https://www.pracuj.pl/praca/kierowca-adr-jaslo,oferta,1002120566</t>
  </si>
  <si>
    <t>2715107</t>
  </si>
  <si>
    <t>44212422</t>
  </si>
  <si>
    <t>Polska, podkarpackie, Łętownia (pow. leżajski)</t>
  </si>
  <si>
    <t>https://www.pracuj.pl/praca/kierowca-adr-letownia-pow-lezajski,oferta,1002120568</t>
  </si>
  <si>
    <t>2715109</t>
  </si>
  <si>
    <t>44212424</t>
  </si>
  <si>
    <t>https://www.pracuj.pl/praca/kierowca-adr-rzeszow,oferta,1002120583</t>
  </si>
  <si>
    <t>2715124</t>
  </si>
  <si>
    <t>44212439</t>
  </si>
  <si>
    <t>Marek Nawrocki Montaż Regałów</t>
  </si>
  <si>
    <t>29.11.2022</t>
  </si>
  <si>
    <t>https://www.praca.pl/monter-konstrukcji-stalowych_6768879.html</t>
  </si>
  <si>
    <t>02.11.2022 03:02</t>
  </si>
  <si>
    <t>01.11.2022</t>
  </si>
  <si>
    <t>23.11.2022</t>
  </si>
  <si>
    <t>2715207</t>
  </si>
  <si>
    <t>45347945</t>
  </si>
  <si>
    <t>14.12.2022</t>
  </si>
  <si>
    <t>https://www.praca.pl/specjalista-ds-marketingu_7674027.html</t>
  </si>
  <si>
    <t>24.11.2022</t>
  </si>
  <si>
    <t>2715247</t>
  </si>
  <si>
    <t>45400197</t>
  </si>
  <si>
    <t>Przedstawiciel Handlowy / Przedstawicielka Handlowa</t>
  </si>
  <si>
    <t>05.12.2022</t>
  </si>
  <si>
    <t>Polska, podkarpackie, Rzeszów, okolice</t>
  </si>
  <si>
    <t>https://www.praca.pl/przedstawiciel-handlowy-przedstawicielka-handlowa_7671486.html</t>
  </si>
  <si>
    <t>2715373</t>
  </si>
  <si>
    <t>45400431</t>
  </si>
  <si>
    <t>Maszynista spalinowych pojazdów trakcyjnych</t>
  </si>
  <si>
    <t>Polska, podkarpackie, Rzeszów, ul. Batorego 26</t>
  </si>
  <si>
    <t>https://www.praca.pl/maszynista-spalinowych-pojazdow-trakcyjnych_7671222.html</t>
  </si>
  <si>
    <t>2715421</t>
  </si>
  <si>
    <t>45400489</t>
  </si>
  <si>
    <t>RPd057|831104</t>
  </si>
  <si>
    <t>https://www.praca.pl/elektryk_7683288.html</t>
  </si>
  <si>
    <t>26.11.2022</t>
  </si>
  <si>
    <t>2715448</t>
  </si>
  <si>
    <t>45510934</t>
  </si>
  <si>
    <t>https://www.praca.pl/elektryk_7683231.html</t>
  </si>
  <si>
    <t>2715449</t>
  </si>
  <si>
    <t>45510935</t>
  </si>
  <si>
    <t>https://www.praca.pl/mechanik_7683204.html</t>
  </si>
  <si>
    <t>2715450</t>
  </si>
  <si>
    <t>45510936</t>
  </si>
  <si>
    <t>Tłumacz języka chorwackiego</t>
  </si>
  <si>
    <t>02.12.2022</t>
  </si>
  <si>
    <t>https://www.praca.pl/tlumacz-jezyka-chorwackiego_7683264.html</t>
  </si>
  <si>
    <t>2715459</t>
  </si>
  <si>
    <t>45510945</t>
  </si>
  <si>
    <t>Konsultant / Konsultantka w Sklepie Firmowym T-Mobile</t>
  </si>
  <si>
    <t>Polska, podkarpackie, Mielec, Galeria Navigator</t>
  </si>
  <si>
    <t>https://www.praca.pl/konsultant-konsultantka-w-sklepie-firmowym-t-mobile_7688535.html</t>
  </si>
  <si>
    <t>27.11.2022</t>
  </si>
  <si>
    <t>2715480</t>
  </si>
  <si>
    <t>45564258</t>
  </si>
  <si>
    <t>02.11.2022 03:30</t>
  </si>
  <si>
    <t>27.10.2022</t>
  </si>
  <si>
    <t>23.03.2023</t>
  </si>
  <si>
    <t>2715571</t>
  </si>
  <si>
    <t>45798456</t>
  </si>
  <si>
    <t>2715580</t>
  </si>
  <si>
    <t>45798465</t>
  </si>
  <si>
    <t>Seris Konsalnet Holding S.A.</t>
  </si>
  <si>
    <t>Pracownik Ochrony- Hajnówka</t>
  </si>
  <si>
    <t>Polska, podkarpackie, Hajnówka</t>
  </si>
  <si>
    <t>https://www.goldenline.pl/praca/oferta/1310228/zielonalinia0?utm_brand=goldenline&amp;utm_source=zielonalinia0&amp;gpid=1020682&amp;utm_channel=free&amp;utm_medium=oferta&amp;utm_department=marketing</t>
  </si>
  <si>
    <t>2715598</t>
  </si>
  <si>
    <t>45798483</t>
  </si>
  <si>
    <t>Pracownik wykończeniowy w transporcie kolejowym</t>
  </si>
  <si>
    <t>Polska, podkarpackie, Kolno</t>
  </si>
  <si>
    <t>https://www.goldenline.pl/praca/oferta/1312250/zielonalinia0?utm_brand=goldenline&amp;utm_source=zielonalinia0&amp;gpid=1022678&amp;utm_channel=free&amp;utm_medium=oferta&amp;utm_department=marketing</t>
  </si>
  <si>
    <t>18.10.2022</t>
  </si>
  <si>
    <t>22.11.2022</t>
  </si>
  <si>
    <t>2715614</t>
  </si>
  <si>
    <t>45798499</t>
  </si>
  <si>
    <t>Polska, podkarpackie, Siemiatycze</t>
  </si>
  <si>
    <t>https://www.goldenline.pl/praca/oferta/1312236/zielonalinia0?utm_brand=goldenline&amp;utm_source=zielonalinia0&amp;gpid=1022664&amp;utm_channel=free&amp;utm_medium=oferta&amp;utm_department=marketing</t>
  </si>
  <si>
    <t>2715618</t>
  </si>
  <si>
    <t>45798503</t>
  </si>
  <si>
    <t>Operator w firmie motoryzacyjnej</t>
  </si>
  <si>
    <t>https://www.goldenline.pl/praca/oferta/1312554/zielonalinia0?utm_brand=goldenline&amp;utm_source=zielonalinia0&amp;gpid=1022980&amp;utm_channel=free&amp;utm_medium=oferta&amp;utm_department=marketing</t>
  </si>
  <si>
    <t>19.10.2022</t>
  </si>
  <si>
    <t>2715623</t>
  </si>
  <si>
    <t>45798508</t>
  </si>
  <si>
    <t>https://www.goldenline.pl/praca/oferta/1310450/zielonalinia0?utm_brand=goldenline&amp;utm_source=zielonalinia0&amp;gpid=1020872&amp;utm_channel=free&amp;utm_medium=oferta&amp;utm_department=marketing</t>
  </si>
  <si>
    <t>02.11.2022 04:28</t>
  </si>
  <si>
    <t>04.10.2022</t>
  </si>
  <si>
    <t>08.11.2022</t>
  </si>
  <si>
    <t>2715637</t>
  </si>
  <si>
    <t>45798522</t>
  </si>
  <si>
    <t>Dyżurny stacji elektroenergetycznej (m/k)</t>
  </si>
  <si>
    <t>https://www.goldenline.pl/praca/oferta/1311160/zielonalinia0?utm_brand=goldenline&amp;utm_source=zielonalinia0&amp;gpid=1021582&amp;utm_channel=free&amp;utm_medium=oferta&amp;utm_department=marketing</t>
  </si>
  <si>
    <t>2715785</t>
  </si>
  <si>
    <t>45798670</t>
  </si>
  <si>
    <t>https://www.goldenline.pl/praca/oferta/1312240/zielonalinia0?utm_brand=goldenline&amp;utm_source=zielonalinia0&amp;gpid=1022668&amp;utm_channel=free&amp;utm_medium=oferta&amp;utm_department=marketing</t>
  </si>
  <si>
    <t>2715805</t>
  </si>
  <si>
    <t>45798690</t>
  </si>
  <si>
    <t>https://www.goldenline.pl/praca/oferta/1312646/zielonalinia0?utm_brand=goldenline&amp;utm_source=zielonalinia0&amp;gpid=1023078&amp;utm_channel=free&amp;utm_medium=oferta&amp;utm_department=marketing</t>
  </si>
  <si>
    <t>20.10.2022</t>
  </si>
  <si>
    <t>2715819</t>
  </si>
  <si>
    <t>45798704</t>
  </si>
  <si>
    <t>https://www.goldenline.pl/praca/oferta/1310098/zielonalinia0?utm_brand=goldenline&amp;utm_source=zielonalinia0&amp;gpid=1020554&amp;utm_channel=free&amp;utm_medium=oferta&amp;utm_department=marketing</t>
  </si>
  <si>
    <t>2715828</t>
  </si>
  <si>
    <t>45798713</t>
  </si>
  <si>
    <t>Elektromonter urządzeń pomiarowych i sterowniczych (m/k)</t>
  </si>
  <si>
    <t>https://www.goldenline.pl/praca/oferta/1311154/zielonalinia0?utm_brand=goldenline&amp;utm_source=zielonalinia0&amp;gpid=1021576&amp;utm_channel=free&amp;utm_medium=oferta&amp;utm_department=marketing</t>
  </si>
  <si>
    <t>2715829</t>
  </si>
  <si>
    <t>45798714</t>
  </si>
  <si>
    <t>Polska, podkarpackie, Łomża</t>
  </si>
  <si>
    <t>https://www.goldenline.pl/praca/oferta/1312246/zielonalinia0?utm_brand=goldenline&amp;utm_source=zielonalinia0&amp;gpid=1022674&amp;utm_channel=free&amp;utm_medium=oferta&amp;utm_department=marketing</t>
  </si>
  <si>
    <t>2715831</t>
  </si>
  <si>
    <t>45798716</t>
  </si>
  <si>
    <t>Lekka praca na produkcji, bez doświadczenia! 16,74€/H!</t>
  </si>
  <si>
    <t>https://www.goldenline.pl/praca/oferta/1311230/zielonalinia0?utm_brand=goldenline&amp;utm_source=zielonalinia0&amp;gpid=1021652&amp;utm_channel=free&amp;utm_medium=oferta&amp;utm_department=marketing</t>
  </si>
  <si>
    <t>12.10.2022</t>
  </si>
  <si>
    <t>16.11.2022</t>
  </si>
  <si>
    <t>2715867</t>
  </si>
  <si>
    <t>45798752</t>
  </si>
  <si>
    <t>Polska, podkarpackie, Augustów</t>
  </si>
  <si>
    <t>https://www.goldenline.pl/praca/oferta/1311224/zielonalinia0?utm_brand=goldenline&amp;utm_source=zielonalinia0&amp;gpid=1021646&amp;utm_channel=free&amp;utm_medium=oferta&amp;utm_department=marketing</t>
  </si>
  <si>
    <t>2715882</t>
  </si>
  <si>
    <t>45798767</t>
  </si>
  <si>
    <t>Operator maszyn 12,43€/H na start, cykliczne podwyżki, zakwaterowanie!</t>
  </si>
  <si>
    <t>https://www.goldenline.pl/praca/oferta/1311926/zielonalinia0?utm_brand=goldenline&amp;utm_source=zielonalinia0&amp;gpid=1022352&amp;utm_channel=free&amp;utm_medium=oferta&amp;utm_department=marketing</t>
  </si>
  <si>
    <t>17.10.2022</t>
  </si>
  <si>
    <t>21.11.2022</t>
  </si>
  <si>
    <t>2715883</t>
  </si>
  <si>
    <t>45798768</t>
  </si>
  <si>
    <t>Polska, podkarpackie, Suwałki</t>
  </si>
  <si>
    <t>https://www.goldenline.pl/praca/oferta/1312260/zielonalinia0?utm_brand=goldenline&amp;utm_source=zielonalinia0&amp;gpid=1022688&amp;utm_channel=free&amp;utm_medium=oferta&amp;utm_department=marketing</t>
  </si>
  <si>
    <t>2715884</t>
  </si>
  <si>
    <t>45798769</t>
  </si>
  <si>
    <t>Polska, podkarpackie, Grajewo</t>
  </si>
  <si>
    <t>https://www.goldenline.pl/praca/oferta/1312254/zielonalinia0?utm_brand=goldenline&amp;utm_source=zielonalinia0&amp;gpid=1022682&amp;utm_channel=free&amp;utm_medium=oferta&amp;utm_department=marketing</t>
  </si>
  <si>
    <t>2715965</t>
  </si>
  <si>
    <t>45798850</t>
  </si>
  <si>
    <t>https://www.goldenline.pl/praca/oferta/1311474/zielonalinia0?utm_brand=goldenline&amp;utm_source=zielonalinia0&amp;gpid=1021888&amp;utm_channel=free&amp;utm_medium=oferta&amp;utm_department=marketing</t>
  </si>
  <si>
    <t>28.10.2022</t>
  </si>
  <si>
    <t>2716011</t>
  </si>
  <si>
    <t>45798896</t>
  </si>
  <si>
    <t>https://www.goldenline.pl/praca/oferta/1311932/zielonalinia0?utm_brand=goldenline&amp;utm_source=zielonalinia0&amp;gpid=1022358&amp;utm_channel=free&amp;utm_medium=oferta&amp;utm_department=marketing</t>
  </si>
  <si>
    <t>2716049</t>
  </si>
  <si>
    <t>45798934</t>
  </si>
  <si>
    <t>Pracownik infolinii</t>
  </si>
  <si>
    <t>https://www.goldenline.pl/praca/oferta/1311348/zielonalinia0?utm_brand=goldenline&amp;utm_source=zielonalinia0&amp;gpid=1021770&amp;utm_channel=free&amp;utm_medium=oferta&amp;utm_department=marketing</t>
  </si>
  <si>
    <t>17.11.2022</t>
  </si>
  <si>
    <t>2716122</t>
  </si>
  <si>
    <t>45799007</t>
  </si>
  <si>
    <t>Pracownik obsługi maszyn CNC (m/k)</t>
  </si>
  <si>
    <t>https://www.goldenline.pl/praca/oferta/1311856/zielonalinia0?utm_brand=goldenline&amp;utm_source=zielonalinia0&amp;gpid=1022282&amp;utm_channel=free&amp;utm_medium=oferta&amp;utm_department=marketing</t>
  </si>
  <si>
    <t>11.11.2022</t>
  </si>
  <si>
    <t>2716130</t>
  </si>
  <si>
    <t>45799015</t>
  </si>
  <si>
    <t>https://www.goldenline.pl/praca/oferta/1312556/zielonalinia0?utm_brand=goldenline&amp;utm_source=zielonalinia0&amp;gpid=1022982&amp;utm_channel=free&amp;utm_medium=oferta&amp;utm_department=marketing</t>
  </si>
  <si>
    <t>2716169</t>
  </si>
  <si>
    <t>45799054</t>
  </si>
  <si>
    <t>Polska, podkarpackie, Sokółka</t>
  </si>
  <si>
    <t>https://www.goldenline.pl/praca/oferta/1312252/zielonalinia0?utm_brand=goldenline&amp;utm_source=zielonalinia0&amp;gpid=1022680&amp;utm_channel=free&amp;utm_medium=oferta&amp;utm_department=marketing</t>
  </si>
  <si>
    <t>2716207</t>
  </si>
  <si>
    <t>45799092</t>
  </si>
  <si>
    <t>https://www.goldenline.pl/praca/oferta/1311460/zielonalinia0?utm_brand=goldenline&amp;utm_source=zielonalinia0&amp;gpid=1021884&amp;utm_channel=free&amp;utm_medium=oferta&amp;utm_department=marketing</t>
  </si>
  <si>
    <t>2716283</t>
  </si>
  <si>
    <t>45799168</t>
  </si>
  <si>
    <t>https://www.goldenline.pl/praca/oferta/1310100/zielonalinia0?utm_brand=goldenline&amp;utm_source=zielonalinia0&amp;gpid=1020556&amp;utm_channel=free&amp;utm_medium=oferta&amp;utm_department=marketing</t>
  </si>
  <si>
    <t>2716314</t>
  </si>
  <si>
    <t>45799199</t>
  </si>
  <si>
    <t>30.11.2022</t>
  </si>
  <si>
    <t>2716319</t>
  </si>
  <si>
    <t>45799204</t>
  </si>
  <si>
    <t>https://www.goldenline.pl/praca/oferta/1311228/zielonalinia0?utm_brand=goldenline&amp;utm_source=zielonalinia0&amp;gpid=1021650&amp;utm_channel=free&amp;utm_medium=oferta&amp;utm_department=marketing</t>
  </si>
  <si>
    <t>2716444</t>
  </si>
  <si>
    <t>45799329</t>
  </si>
  <si>
    <t>https://www.goldenline.pl/praca/oferta/1312560/zielonalinia0?utm_brand=goldenline&amp;utm_source=zielonalinia0&amp;gpid=1022986&amp;utm_channel=free&amp;utm_medium=oferta&amp;utm_department=marketing</t>
  </si>
  <si>
    <t>2716447</t>
  </si>
  <si>
    <t>45799332</t>
  </si>
  <si>
    <t>Pomocnik Doradcy Klienta</t>
  </si>
  <si>
    <t>https://www.goldenline.pl/praca/oferta/1312028/zielonalinia0?utm_brand=goldenline&amp;utm_source=zielonalinia0&amp;gpid=1022454&amp;utm_channel=free&amp;utm_medium=oferta&amp;utm_department=marketing</t>
  </si>
  <si>
    <t>31.10.2022</t>
  </si>
  <si>
    <t>2716471</t>
  </si>
  <si>
    <t>45799356</t>
  </si>
  <si>
    <t>https://www.goldenline.pl/praca/oferta/1310232/zielonalinia0?utm_brand=goldenline&amp;utm_source=zielonalinia0&amp;gpid=1020686&amp;utm_channel=free&amp;utm_medium=oferta&amp;utm_department=marketing</t>
  </si>
  <si>
    <t>2716496</t>
  </si>
  <si>
    <t>45799381</t>
  </si>
  <si>
    <t>Konsultant call center</t>
  </si>
  <si>
    <t>https://www.goldenline.pl/praca/oferta/1310714/zielonalinia0?utm_brand=goldenline&amp;utm_source=zielonalinia0&amp;gpid=1021132&amp;utm_channel=free&amp;utm_medium=oferta&amp;utm_department=marketing</t>
  </si>
  <si>
    <t>07.10.2022</t>
  </si>
  <si>
    <t>2716520</t>
  </si>
  <si>
    <t>45799405</t>
  </si>
  <si>
    <t>Kwalifikowany Pracownik Ochrony z pozwoleniem na broń</t>
  </si>
  <si>
    <t>https://www.goldenline.pl/praca/oferta/1310226/zielonalinia0?utm_brand=goldenline&amp;utm_source=zielonalinia0&amp;gpid=1020680&amp;utm_channel=free&amp;utm_medium=oferta&amp;utm_department=marketing</t>
  </si>
  <si>
    <t>2716554</t>
  </si>
  <si>
    <t>45799439</t>
  </si>
  <si>
    <t>https://www.goldenline.pl/praca/oferta/1311232/zielonalinia0?utm_brand=goldenline&amp;utm_source=zielonalinia0&amp;gpid=1021654&amp;utm_channel=free&amp;utm_medium=oferta&amp;utm_department=marketing</t>
  </si>
  <si>
    <t>2716605</t>
  </si>
  <si>
    <t>45799490</t>
  </si>
  <si>
    <t>Polska, podkarpackie, Sejny</t>
  </si>
  <si>
    <t>https://www.goldenline.pl/praca/oferta/1312258/zielonalinia0?utm_brand=goldenline&amp;utm_source=zielonalinia0&amp;gpid=1022686&amp;utm_channel=free&amp;utm_medium=oferta&amp;utm_department=marketing</t>
  </si>
  <si>
    <t>2716628</t>
  </si>
  <si>
    <t>45799513</t>
  </si>
  <si>
    <t>Pracownik obróbki ręcznej (m/k)</t>
  </si>
  <si>
    <t>https://www.goldenline.pl/praca/oferta/1311830/zielonalinia0?utm_brand=goldenline&amp;utm_source=zielonalinia0&amp;gpid=1022256&amp;utm_channel=free&amp;utm_medium=oferta&amp;utm_department=marketing</t>
  </si>
  <si>
    <t>2716703</t>
  </si>
  <si>
    <t>45799588</t>
  </si>
  <si>
    <t>Polska, podkarpackie, Bielsk Podlaski</t>
  </si>
  <si>
    <t>https://www.goldenline.pl/praca/oferta/1312238/zielonalinia0?utm_brand=goldenline&amp;utm_source=zielonalinia0&amp;gpid=1022666&amp;utm_channel=free&amp;utm_medium=oferta&amp;utm_department=marketing</t>
  </si>
  <si>
    <t>2716715</t>
  </si>
  <si>
    <t>45799600</t>
  </si>
  <si>
    <t>2716813</t>
  </si>
  <si>
    <t>45799698</t>
  </si>
  <si>
    <t>https://www.goldenline.pl/praca/oferta/1313112/zielonalinia0?utm_brand=goldenline&amp;utm_source=zielonalinia0&amp;gpid=1023540&amp;utm_channel=free&amp;utm_medium=oferta&amp;utm_department=marketing</t>
  </si>
  <si>
    <t>2716828</t>
  </si>
  <si>
    <t>45799713</t>
  </si>
  <si>
    <t>Specjalista ds. technicznych (m/k)</t>
  </si>
  <si>
    <t>https://www.goldenline.pl/praca/oferta/1312414/zielonalinia0?utm_brand=goldenline&amp;utm_source=zielonalinia0&amp;gpid=1022840&amp;utm_channel=free&amp;utm_medium=oferta&amp;utm_department=marketing</t>
  </si>
  <si>
    <t>26.10.2022</t>
  </si>
  <si>
    <t>2716849</t>
  </si>
  <si>
    <t>45799734</t>
  </si>
  <si>
    <t>https://www.goldenline.pl/praca/oferta/1310754/zielonalinia0?utm_brand=goldenline&amp;utm_source=zielonalinia0&amp;gpid=1021172&amp;utm_channel=free&amp;utm_medium=oferta&amp;utm_department=marketing</t>
  </si>
  <si>
    <t>04.11.2022</t>
  </si>
  <si>
    <t>2716871</t>
  </si>
  <si>
    <t>45799756</t>
  </si>
  <si>
    <t>Polska, podkarpackie, Wysokie Mazowieckie</t>
  </si>
  <si>
    <t>https://www.goldenline.pl/praca/oferta/1312242/zielonalinia0?utm_brand=goldenline&amp;utm_source=zielonalinia0&amp;gpid=1022670&amp;utm_channel=free&amp;utm_medium=oferta&amp;utm_department=marketing</t>
  </si>
  <si>
    <t>2716904</t>
  </si>
  <si>
    <t>45799789</t>
  </si>
  <si>
    <t>https://www.goldenline.pl/praca/oferta/1312256/zielonalinia0?utm_brand=goldenline&amp;utm_source=zielonalinia0&amp;gpid=1022684&amp;utm_channel=free&amp;utm_medium=oferta&amp;utm_department=marketing</t>
  </si>
  <si>
    <t>2716917</t>
  </si>
  <si>
    <t>45799802</t>
  </si>
  <si>
    <t>Polska, podkarpackie, Zambrów</t>
  </si>
  <si>
    <t>https://www.goldenline.pl/praca/oferta/1312244/zielonalinia0?utm_brand=goldenline&amp;utm_source=zielonalinia0&amp;gpid=1022672&amp;utm_channel=free&amp;utm_medium=oferta&amp;utm_department=marketing</t>
  </si>
  <si>
    <t>2716968</t>
  </si>
  <si>
    <t>45799853</t>
  </si>
  <si>
    <t>https://www.goldenline.pl/praca/oferta/1310938/zielonalinia0?utm_brand=goldenline&amp;utm_source=zielonalinia0&amp;gpid=1021360&amp;utm_channel=free&amp;utm_medium=oferta&amp;utm_department=marketing</t>
  </si>
  <si>
    <t>11.10.2022</t>
  </si>
  <si>
    <t>15.11.2022</t>
  </si>
  <si>
    <t>2717007</t>
  </si>
  <si>
    <t>45799892</t>
  </si>
  <si>
    <t>https://www.goldenline.pl/praca/oferta/1310102/zielonalinia0?utm_brand=goldenline&amp;utm_source=zielonalinia0&amp;gpid=1020558&amp;utm_channel=free&amp;utm_medium=oferta&amp;utm_department=marketing</t>
  </si>
  <si>
    <t>2717043</t>
  </si>
  <si>
    <t>45799928</t>
  </si>
  <si>
    <t>https://www.goldenline.pl/praca/oferta/1311374/zielonalinia0?utm_brand=goldenline&amp;utm_source=zielonalinia0&amp;gpid=1021798&amp;utm_channel=free&amp;utm_medium=oferta&amp;utm_department=marketing</t>
  </si>
  <si>
    <t>2717079</t>
  </si>
  <si>
    <t>45799964</t>
  </si>
  <si>
    <t>2717089</t>
  </si>
  <si>
    <t>45799974</t>
  </si>
  <si>
    <t>https://www.goldenline.pl/praca/oferta/1312290/zielonalinia0?utm_brand=goldenline&amp;utm_source=zielonalinia0&amp;gpid=1022718&amp;utm_channel=free&amp;utm_medium=oferta&amp;utm_department=marketing</t>
  </si>
  <si>
    <t>2717122</t>
  </si>
  <si>
    <t>45800007</t>
  </si>
  <si>
    <t>https://www.goldenline.pl/praca/oferta/1312558/zielonalinia0?utm_brand=goldenline&amp;utm_source=zielonalinia0&amp;gpid=1022984&amp;utm_channel=free&amp;utm_medium=oferta&amp;utm_department=marketing</t>
  </si>
  <si>
    <t>2717137</t>
  </si>
  <si>
    <t>45800022</t>
  </si>
  <si>
    <t>Polska, podkarpackie, Mońki</t>
  </si>
  <si>
    <t>https://www.goldenline.pl/praca/oferta/1312248/zielonalinia0?utm_brand=goldenline&amp;utm_source=zielonalinia0&amp;gpid=1022676&amp;utm_channel=free&amp;utm_medium=oferta&amp;utm_department=marketing</t>
  </si>
  <si>
    <t>2717152</t>
  </si>
  <si>
    <t>45800037</t>
  </si>
  <si>
    <t>Matpol sp. z o. o. sp. k.</t>
  </si>
  <si>
    <t>https://www.pracuj.pl/praca/kierowca-c%2be-podkarpackie,oferta,9516070</t>
  </si>
  <si>
    <t>02.11.2022 03:40</t>
  </si>
  <si>
    <t>2717163</t>
  </si>
  <si>
    <t>45800104</t>
  </si>
  <si>
    <t>VOTUM ODSZKODOWANIA S.A.</t>
  </si>
  <si>
    <t>https://www.pracuj.pl/praca/przedstawiciel-regionalny-podkarpackie,oferta,9516154</t>
  </si>
  <si>
    <t>2717172</t>
  </si>
  <si>
    <t>45800113</t>
  </si>
  <si>
    <t>INELO Polska Sp. z o.o.</t>
  </si>
  <si>
    <t>https://www.pracuj.pl/praca/handlowiec-podkarpackie,oferta,9516166</t>
  </si>
  <si>
    <t>2717178</t>
  </si>
  <si>
    <t>45800119</t>
  </si>
  <si>
    <t>ADAMA Polska Sp. z o.o.</t>
  </si>
  <si>
    <t>Analityk Sprzedaży</t>
  </si>
  <si>
    <t>https://www.pracuj.pl/praca/analityk-sprzedazy-podkarpackie,oferta,9516196</t>
  </si>
  <si>
    <t>2717191</t>
  </si>
  <si>
    <t>45800132</t>
  </si>
  <si>
    <t>E NET PRODUCTION</t>
  </si>
  <si>
    <t>https://www.pracuj.pl/praca/scrum-master-podkarpackie,oferta,9516238</t>
  </si>
  <si>
    <t>15.12.2022</t>
  </si>
  <si>
    <t>2717209</t>
  </si>
  <si>
    <t>45800150</t>
  </si>
  <si>
    <t>https://www.pracuj.pl/praca/software-tester-podkarpackie,oferta,9516257</t>
  </si>
  <si>
    <t>2717224</t>
  </si>
  <si>
    <t>45800165</t>
  </si>
  <si>
    <t>DevsData LLC</t>
  </si>
  <si>
    <t>https://www.pracuj.pl/praca/ios-developer-subcarpathia,oferta,9516289</t>
  </si>
  <si>
    <t>2717235</t>
  </si>
  <si>
    <t>45800176</t>
  </si>
  <si>
    <t>https://www.pracuj.pl/praca/devops-engineer-podkarpackie,oferta,9516350</t>
  </si>
  <si>
    <t>2717256</t>
  </si>
  <si>
    <t>45800197</t>
  </si>
  <si>
    <t>Elmont sp. z o.o.</t>
  </si>
  <si>
    <t>https://www.pracuj.pl/praca/kierownik-budowy-podkarpackie,oferta,9516473</t>
  </si>
  <si>
    <t>2717282</t>
  </si>
  <si>
    <t>45800223</t>
  </si>
  <si>
    <t>EMEA Industries Driver Assistant Manager</t>
  </si>
  <si>
    <t>https://www.pracuj.pl/praca/emea-industries-driver-assistant-manager-subcarpathia,oferta,9516510</t>
  </si>
  <si>
    <t>2717300</t>
  </si>
  <si>
    <t>45800241</t>
  </si>
  <si>
    <t>Back-end Developer</t>
  </si>
  <si>
    <t>https://www.pracuj.pl/praca/back-end-developer-podkarpackie,oferta,9516629</t>
  </si>
  <si>
    <t>2717319</t>
  </si>
  <si>
    <t>45800260</t>
  </si>
  <si>
    <t>Inżynier Sprzedaży/ Presales Rynek Energii</t>
  </si>
  <si>
    <t>https://www.pracuj.pl/praca/inzynier-sprzedazy-presales-rynek-energii-podkarpackie,oferta,9516721</t>
  </si>
  <si>
    <t>2717343</t>
  </si>
  <si>
    <t>45800284</t>
  </si>
  <si>
    <t>ILS - INTERNATIONAL LOGISTIC SOLUTIONS sp. z o.o.</t>
  </si>
  <si>
    <t>Przedstawiciel handlowy / Przedstawicielka handlowa</t>
  </si>
  <si>
    <t>https://www.pracuj.pl/praca/przedstawiciel-handlowy-przedstawicielka-handlowa-podkarpackie,oferta,9516856</t>
  </si>
  <si>
    <t>2717371</t>
  </si>
  <si>
    <t>45800312</t>
  </si>
  <si>
    <t>Senior Analyst for Business Intelligence</t>
  </si>
  <si>
    <t>https://www.pracuj.pl/praca/senior-analyst-for-business-intelligence-podkarpackie,oferta,9516975</t>
  </si>
  <si>
    <t>2717386</t>
  </si>
  <si>
    <t>45800327</t>
  </si>
  <si>
    <t>Regionalny Manager Zespołu Sprzedaży</t>
  </si>
  <si>
    <t>https://www.pracuj.pl/praca/regionalny-manager-zespolu-sprzedazy-podkarpackie,oferta,9516986</t>
  </si>
  <si>
    <t>2717394</t>
  </si>
  <si>
    <t>45800335</t>
  </si>
  <si>
    <t>https://www.pracuj.pl/praca/doradca-techniczno-handlowy-podkarpackie,oferta,9516995</t>
  </si>
  <si>
    <t>2717402</t>
  </si>
  <si>
    <t>45800343</t>
  </si>
  <si>
    <t>EJOT Polska Sp. z o.o. Sp. k.</t>
  </si>
  <si>
    <t>International Manager ISO 14001</t>
  </si>
  <si>
    <t>Specjalista do spraw doskonalenia organizacji</t>
  </si>
  <si>
    <t>https://www.pracuj.pl/praca/international-manager-iso-14001-subcarpathia,oferta,9517030</t>
  </si>
  <si>
    <t>2717416</t>
  </si>
  <si>
    <t>45800357</t>
  </si>
  <si>
    <t>RPd057|242106</t>
  </si>
  <si>
    <t>Inside Representative with German</t>
  </si>
  <si>
    <t>https://www.pracuj.pl/praca/inside-representative-with-german-subcarpathia,oferta,9517095</t>
  </si>
  <si>
    <t>2717443</t>
  </si>
  <si>
    <t>45800384</t>
  </si>
  <si>
    <t>Sales &amp; Marketing Analytics Manager</t>
  </si>
  <si>
    <t>https://www.pracuj.pl/praca/sales-marketing-analytics-manager-subcarpathia,oferta,9517134</t>
  </si>
  <si>
    <t>2717464</t>
  </si>
  <si>
    <t>45800405</t>
  </si>
  <si>
    <t>PROFIT EXPRESS SP Z O O</t>
  </si>
  <si>
    <t>Kierowca międzynarodowy do 3,5t DMC</t>
  </si>
  <si>
    <t>https://www.pracuj.pl/praca/kierowca-miedzynarodowy-do-3-5t-dmc-podkarpackie,oferta,9517188</t>
  </si>
  <si>
    <t>2717474</t>
  </si>
  <si>
    <t>45800415</t>
  </si>
  <si>
    <t>Egnyte Poland</t>
  </si>
  <si>
    <t>Senior Software Engineer - C++</t>
  </si>
  <si>
    <t>https://www.pracuj.pl/praca/senior-software-engineer-c%2b%2b-subcarpathia,oferta,9517269</t>
  </si>
  <si>
    <t>2717489</t>
  </si>
  <si>
    <t>45800430</t>
  </si>
  <si>
    <t>Software Engineer - C++</t>
  </si>
  <si>
    <t>https://www.pracuj.pl/praca/software-engineer-c%2b%2b-subcarpathia,oferta,9517291</t>
  </si>
  <si>
    <t>2717505</t>
  </si>
  <si>
    <t>45800446</t>
  </si>
  <si>
    <t>https://www.pracuj.pl/praca/data-engineer-subcarpathia,oferta,9517308</t>
  </si>
  <si>
    <t>2717520</t>
  </si>
  <si>
    <t>45800461</t>
  </si>
  <si>
    <t>Specjalista ds. sprzedaży marek kosmetycznych</t>
  </si>
  <si>
    <t>https://www.pracuj.pl/praca/specjalista-ds-sprzedazy-marek-kosmetycznych-podkarpackie,oferta,9517413</t>
  </si>
  <si>
    <t>2717541</t>
  </si>
  <si>
    <t>45800482</t>
  </si>
  <si>
    <t>Europe - Forecasting &amp; Planning Expert</t>
  </si>
  <si>
    <t>Specjalista do spraw planowania strategicznego</t>
  </si>
  <si>
    <t>01.12.2022</t>
  </si>
  <si>
    <t>https://www.pracuj.pl/praca/europe-forecasting-planning-expert-subcarpathia,oferta,9517559</t>
  </si>
  <si>
    <t>2717567</t>
  </si>
  <si>
    <t>45800508</t>
  </si>
  <si>
    <t>RPd057|242223</t>
  </si>
  <si>
    <t>ERGO Technology &amp; Services S.A.</t>
  </si>
  <si>
    <t>IT Specialist (MS Exchange)</t>
  </si>
  <si>
    <t>https://www.pracuj.pl/praca/it-specialist-ms-exchange-subcarpathia,oferta,9517584</t>
  </si>
  <si>
    <t>2717583</t>
  </si>
  <si>
    <t>45800524</t>
  </si>
  <si>
    <t>Przedstawiciel Handlowy ds. Rynku Tradycyjnego i Farmaceutycznego</t>
  </si>
  <si>
    <t>https://www.pracuj.pl/praca/przedstawiciel-handlowy-ds-rynku-tradycyjnego-i-farmaceutycznego-podkarpackie,oferta,9517651</t>
  </si>
  <si>
    <t>2717593</t>
  </si>
  <si>
    <t>45800534</t>
  </si>
  <si>
    <t>Grolman Sp. z o.o.</t>
  </si>
  <si>
    <t>Technical Sales Manager (C&amp;EE)</t>
  </si>
  <si>
    <t>https://www.pracuj.pl/praca/technical-sales-manager-c-ee-podkarpackie,oferta,9517689</t>
  </si>
  <si>
    <t>2717607</t>
  </si>
  <si>
    <t>45800548</t>
  </si>
  <si>
    <t>Climatech sp. z o.o.</t>
  </si>
  <si>
    <t>Koordynator Robót  - instalacje HVAC, sanitarne</t>
  </si>
  <si>
    <t>https://www.pracuj.pl/praca/koordynator-robot-instalacje-hvac-sanitarne-podkarpackie,oferta,9517752</t>
  </si>
  <si>
    <t>2717626</t>
  </si>
  <si>
    <t>45800567</t>
  </si>
  <si>
    <t>Agencja Artystyczno-Reklamowa Artevade Piotr Stefański</t>
  </si>
  <si>
    <t>Twoja Własna Agencja Reklamowa Xeromatic.pl</t>
  </si>
  <si>
    <t>https://www.pracuj.pl/praca/twoja-wlasna-agencja-reklamowa-xeromatic-pl-rzeszow,oferta,9517881</t>
  </si>
  <si>
    <t>2717650</t>
  </si>
  <si>
    <t>45800591</t>
  </si>
  <si>
    <t>BOZ-3 sp. z o.o.</t>
  </si>
  <si>
    <t>Doradca Klienta - Kasjer</t>
  </si>
  <si>
    <t>https://www.pracuj.pl/praca/doradca-klienta-kasjer-przemysl,oferta,1002184011</t>
  </si>
  <si>
    <t>2717712</t>
  </si>
  <si>
    <t>45800653</t>
  </si>
  <si>
    <t>LINTER ENERGIA sp. z o.o.</t>
  </si>
  <si>
    <t>Asystent / Asystentka projektanta - branża elektroenergetyczna</t>
  </si>
  <si>
    <t>https://www.pracuj.pl/praca/asystent-asystentka-projektanta-branza-elektroenergetyczna-rzeszow,oferta,1002184067</t>
  </si>
  <si>
    <t>2717766</t>
  </si>
  <si>
    <t>45800707</t>
  </si>
  <si>
    <t>EUROPAK SPÓŁKA Z OGRANICZONĄ ODPOWIEDZIALNOŚCIĄ SPÓŁKA KOMANDYTOWA</t>
  </si>
  <si>
    <t>Specjalista / Specjalistka ds. sprzedaży zagranicznej</t>
  </si>
  <si>
    <t>Polska, podkarpackie, Czudec (pow. strzyżowski)</t>
  </si>
  <si>
    <t>https://www.pracuj.pl/praca/specjalista-specjalistka-ds-sprzedazy-zagranicznej-czudec-pow-strzyzowski,oferta,1002184097</t>
  </si>
  <si>
    <t>2717796</t>
  </si>
  <si>
    <t>45800737</t>
  </si>
  <si>
    <t>Konsultant - Sprzedawca (Rekrutacja interaktywna)</t>
  </si>
  <si>
    <t>https://www.pracuj.pl/praca/konsultant-sprzedawca-rekrutacja-interaktywna-krasne-pow-rzeszowski,oferta,1002184207</t>
  </si>
  <si>
    <t>2717901</t>
  </si>
  <si>
    <t>45800842</t>
  </si>
  <si>
    <t>https://www.pracuj.pl/praca/operator-cnc-kosina-pow-lancucki,oferta,1002184214</t>
  </si>
  <si>
    <t>2717908</t>
  </si>
  <si>
    <t>45800849</t>
  </si>
  <si>
    <t>Aspect Nieruchomości - oddział Rzeszów</t>
  </si>
  <si>
    <t>Agent nieruchomości</t>
  </si>
  <si>
    <t>https://www.pracuj.pl/praca/agent-nieruchomosci-rzeszow,oferta,1002184277</t>
  </si>
  <si>
    <t>2717966</t>
  </si>
  <si>
    <t>45800907</t>
  </si>
  <si>
    <t>https://www.pracuj.pl/praca/agent-nieruchomosci-debica,oferta,1002184278</t>
  </si>
  <si>
    <t>2717967</t>
  </si>
  <si>
    <t>45800908</t>
  </si>
  <si>
    <t>https://www.pracuj.pl/praca/agent-nieruchomosci-krosno,oferta,1002184279</t>
  </si>
  <si>
    <t>2717968</t>
  </si>
  <si>
    <t>45800909</t>
  </si>
  <si>
    <t>https://www.pracuj.pl/praca/agent-nieruchomosci-przemysl,oferta,1002184280</t>
  </si>
  <si>
    <t>2717969</t>
  </si>
  <si>
    <t>45800910</t>
  </si>
  <si>
    <t>https://www.pracuj.pl/praca/agent-nieruchomosci-tarnobrzeg,oferta,1002184281</t>
  </si>
  <si>
    <t>2717970</t>
  </si>
  <si>
    <t>45800911</t>
  </si>
  <si>
    <t>Przedstawiciel Handlowo-Techniczny</t>
  </si>
  <si>
    <t>https://www.pracuj.pl/praca/przedstawiciel-handlowo-techniczny-pustkow-pow-debicki,oferta,1002184323</t>
  </si>
  <si>
    <t>2718012</t>
  </si>
  <si>
    <t>45800953</t>
  </si>
  <si>
    <t>Specjalista / Specjalistka ds. sprzedaży - branża szkoleniowo-doradcza</t>
  </si>
  <si>
    <t>https://www.pracuj.pl/praca/specjalista-specjalistka-ds-sprzedazy-branza-szkoleniowo-doradcza-rzeszow,oferta,1002184350</t>
  </si>
  <si>
    <t>2718039</t>
  </si>
  <si>
    <t>45800980</t>
  </si>
  <si>
    <t>https://www.pracuj.pl/praca/specjalistka-specjalista-ds-logistyki-z-j-francuskim-jaslo,oferta,1002184386</t>
  </si>
  <si>
    <t>2718074</t>
  </si>
  <si>
    <t>45801015</t>
  </si>
  <si>
    <t>https://www.pracuj.pl/praca/pracownik-ochrony-konwojent-rzeszow,oferta,1002184403</t>
  </si>
  <si>
    <t>2718091</t>
  </si>
  <si>
    <t>45801032</t>
  </si>
  <si>
    <t>https://www.pracuj.pl/praca/pracownik-ochrony-konwojent-rzeszow,oferta,1002184430</t>
  </si>
  <si>
    <t>2718117</t>
  </si>
  <si>
    <t>45801058</t>
  </si>
  <si>
    <t>Junior Pricing Analyst</t>
  </si>
  <si>
    <t>https://www.pracuj.pl/praca/junior-pricing-analyst-brzeznica-pow-debicki,oferta,1002184444</t>
  </si>
  <si>
    <t>2718131</t>
  </si>
  <si>
    <t>45801072</t>
  </si>
  <si>
    <t>https://www.pracuj.pl/praca/pracownik-magazynu-jasionka-pow-rzeszowski,oferta,1002184469</t>
  </si>
  <si>
    <t>2718156</t>
  </si>
  <si>
    <t>45801097</t>
  </si>
  <si>
    <t>Junior Java Developer</t>
  </si>
  <si>
    <t>https://www.pracuj.pl/praca/junior-java-developer-rzeszow,oferta,1002184481</t>
  </si>
  <si>
    <t>2718167</t>
  </si>
  <si>
    <t>45801108</t>
  </si>
  <si>
    <t>Sii Sp. z o.o.</t>
  </si>
  <si>
    <t>https://www.pracuj.pl/praca/brygadzista-rzeszow,oferta,1002184674</t>
  </si>
  <si>
    <t>2718360</t>
  </si>
  <si>
    <t>45801301</t>
  </si>
  <si>
    <t>Receptionist - РЕЄСТРАТОР</t>
  </si>
  <si>
    <t>https://www.pracuj.pl/praca/receptionist-%d0%a0%d0%95%d0%84%d0%a1%d0%a2%d0%a0%d0%90%d0%a2%d0%9e%d0%a0-rzeszow,oferta,1002184678</t>
  </si>
  <si>
    <t>2718364</t>
  </si>
  <si>
    <t>45801305</t>
  </si>
  <si>
    <t>GRUPA VERITAS RECRUITMENT Sp. z o.o.</t>
  </si>
  <si>
    <t>Asystent ds. rekrutacji</t>
  </si>
  <si>
    <t>https://www.pracuj.pl/praca/asystent-ds-rekrutacji-rzeszow,oferta,1002184817</t>
  </si>
  <si>
    <t>2718486</t>
  </si>
  <si>
    <t>45801427</t>
  </si>
  <si>
    <t>Resource Manager – Centrum Kompetencyjne Digital</t>
  </si>
  <si>
    <t>https://www.pracuj.pl/praca/resource-manager-centrum-kompetencyjne-digital-rzeszow,oferta,1002184824</t>
  </si>
  <si>
    <t>2718493</t>
  </si>
  <si>
    <t>45801434</t>
  </si>
  <si>
    <t>https://www.pracuj.pl/praca/pracownik-sklepu-pelny-etat-lesko,oferta,1002184895</t>
  </si>
  <si>
    <t>07.11.2022</t>
  </si>
  <si>
    <t>2718560</t>
  </si>
  <si>
    <t>45801501</t>
  </si>
  <si>
    <t>https://www.pracuj.pl/praca/pracownik-sklepu-niepelny-etat-rzeszow,oferta,1002184938</t>
  </si>
  <si>
    <t>2718603</t>
  </si>
  <si>
    <t>45801544</t>
  </si>
  <si>
    <t>https://www.pracuj.pl/praca/pracownik-sklepu-niepelny-etat-lesko,oferta,1002184948</t>
  </si>
  <si>
    <t>2718613</t>
  </si>
  <si>
    <t>45801554</t>
  </si>
  <si>
    <t>https://www.pracuj.pl/praca/pracownik-sklepu-niepelny-etat-przemysl,oferta,1002184952</t>
  </si>
  <si>
    <t>2718617</t>
  </si>
  <si>
    <t>45801558</t>
  </si>
  <si>
    <t>https://www.pracuj.pl/praca/pracownik-sklepu-niepelny-etat-ropczyce,oferta,1002184954</t>
  </si>
  <si>
    <t>2718619</t>
  </si>
  <si>
    <t>45801560</t>
  </si>
  <si>
    <t>https://www.pracuj.pl/praca/pracownik-sklepu-niepelny-etat-tarnobrzeg,oferta,1002184957</t>
  </si>
  <si>
    <t>2718622</t>
  </si>
  <si>
    <t>45801563</t>
  </si>
  <si>
    <t>https://www.pracuj.pl/praca/pracownik-sklepu-niepelny-etat-ustrzyki-dolne,oferta,1002184959</t>
  </si>
  <si>
    <t>2718624</t>
  </si>
  <si>
    <t>45801565</t>
  </si>
  <si>
    <t>VIG Polska Sp. z o.o., Vienna Insurance Group</t>
  </si>
  <si>
    <t>Security Analyst (SOC)</t>
  </si>
  <si>
    <t>https://www.pracuj.pl/praca/security-analyst-soc-rzeszow,oferta,1002185009</t>
  </si>
  <si>
    <t>2718674</t>
  </si>
  <si>
    <t>45801615</t>
  </si>
  <si>
    <t>Logistics Buyer</t>
  </si>
  <si>
    <t>https://www.pracuj.pl/praca/logistics-buyer-rzeszow,oferta,1002185029</t>
  </si>
  <si>
    <t>2718688</t>
  </si>
  <si>
    <t>45801629</t>
  </si>
  <si>
    <t>https://www.pracuj.pl/praca/agent-celny-mokrzec-pow-debicki,oferta,1002185095</t>
  </si>
  <si>
    <t>2718754</t>
  </si>
  <si>
    <t>45801695</t>
  </si>
  <si>
    <t>https://www.pracuj.pl/praca/zastepca-managera-sklepu-lesko,oferta,1002185190</t>
  </si>
  <si>
    <t>2718845</t>
  </si>
  <si>
    <t>45801786</t>
  </si>
  <si>
    <t>https://www.pracuj.pl/praca/zastepca-managera-sklepu-sanok,oferta,1002185201</t>
  </si>
  <si>
    <t>2718856</t>
  </si>
  <si>
    <t>45801797</t>
  </si>
  <si>
    <t>Koordynator w transporcie międzynarodowym z j. niemieckim</t>
  </si>
  <si>
    <t>https://www.pracuj.pl/praca/koordynator-w-transporcie-miedzynarodowym-z-j-niemieckim-rzeszow,oferta,1002185424</t>
  </si>
  <si>
    <t>2718988</t>
  </si>
  <si>
    <t>45801929</t>
  </si>
  <si>
    <t>General Logistics Systems Poland Sp. z o.o.</t>
  </si>
  <si>
    <t>https://www.pracuj.pl/praca/przewoznik-krosno,oferta,1002185451</t>
  </si>
  <si>
    <t>2719015</t>
  </si>
  <si>
    <t>45801956</t>
  </si>
  <si>
    <t>Polska, podkarpackie, Orły (pow. przemyski)</t>
  </si>
  <si>
    <t>https://www.pracuj.pl/praca/przewoznik-orly-pow-przemyski,oferta,1002185452</t>
  </si>
  <si>
    <t>2719016</t>
  </si>
  <si>
    <t>45801957</t>
  </si>
  <si>
    <t>Przedstawiciel Handlowy – z doświadczeniem w branży OZE</t>
  </si>
  <si>
    <t>https://www.pracuj.pl/praca/przedstawiciel-handlowy-z-doswiadczeniem-w-branzy-oze-mielec,oferta,1002185707</t>
  </si>
  <si>
    <t>2719271</t>
  </si>
  <si>
    <t>45802212</t>
  </si>
  <si>
    <t>https://www.pracuj.pl/praca/przedstawiciel-handlowy-z-doswiadczeniem-w-branzy-oze-debica,oferta,1002185723</t>
  </si>
  <si>
    <t>2719287</t>
  </si>
  <si>
    <t>45802228</t>
  </si>
  <si>
    <t>https://www.pracuj.pl/praca/kasjer-sprzedawca-sokolow-malopolski,oferta,1002185732</t>
  </si>
  <si>
    <t>2719296</t>
  </si>
  <si>
    <t>45802237</t>
  </si>
  <si>
    <t>https://www.pracuj.pl/praca/kasjer-sprzedawca-bratkowice-pow-rzeszowski,oferta,1002185738</t>
  </si>
  <si>
    <t>2719302</t>
  </si>
  <si>
    <t>45802243</t>
  </si>
  <si>
    <t>https://www.pracuj.pl/praca/przedstawiciel-handlowy-z-doswiadczeniem-w-branzy-oze-jaroslaw,oferta,1002185745</t>
  </si>
  <si>
    <t>2719309</t>
  </si>
  <si>
    <t>45802250</t>
  </si>
  <si>
    <t>https://www.pracuj.pl/praca/przedstawiciel-handlowy-z-doswiadczeniem-w-branzy-oze-tarnobrzeg,oferta,1002185768</t>
  </si>
  <si>
    <t>2719332</t>
  </si>
  <si>
    <t>45802273</t>
  </si>
  <si>
    <t>https://www.pracuj.pl/praca/przedstawiciel-handlowy-z-doswiadczeniem-w-branzy-oze-stalowa-wola,oferta,1002185789</t>
  </si>
  <si>
    <t>2719353</t>
  </si>
  <si>
    <t>45802294</t>
  </si>
  <si>
    <t>https://www.pracuj.pl/praca/przedstawiciel-handlowy-z-doswiadczeniem-w-branzy-oze-sanok,oferta,1002185797</t>
  </si>
  <si>
    <t>2719361</t>
  </si>
  <si>
    <t>45802302</t>
  </si>
  <si>
    <t>https://www.pracuj.pl/praca/przedstawiciel-handlowy-z-doswiadczeniem-w-branzy-oze-rzeszow,oferta,1002185799</t>
  </si>
  <si>
    <t>2719363</t>
  </si>
  <si>
    <t>45802304</t>
  </si>
  <si>
    <t>https://www.pracuj.pl/praca/przedstawiciel-handlowy-z-doswiadczeniem-w-branzy-oze-przeworsk,oferta,1002185803</t>
  </si>
  <si>
    <t>2719367</t>
  </si>
  <si>
    <t>45802308</t>
  </si>
  <si>
    <t>https://www.pracuj.pl/praca/przedstawiciel-handlowy-z-doswiadczeniem-w-branzy-oze-przemysl,oferta,1002185804</t>
  </si>
  <si>
    <t>2719368</t>
  </si>
  <si>
    <t>45802309</t>
  </si>
  <si>
    <t>Przedsiębiorstwo Budownictwa Elektroenergetycznego Elbud w Katowicach sp. z o.o.</t>
  </si>
  <si>
    <t>09.11.2022</t>
  </si>
  <si>
    <t>https://www.praca.pl/kierownik-budowy_7680204.html</t>
  </si>
  <si>
    <t>09.11.2022 04:28</t>
  </si>
  <si>
    <t>25.11.2022</t>
  </si>
  <si>
    <t>2746241</t>
  </si>
  <si>
    <t>45455359</t>
  </si>
  <si>
    <t>Coloplast Business Centre Sp z o.o.</t>
  </si>
  <si>
    <t>Compensation and Benefits Specialist</t>
  </si>
  <si>
    <t>06.03.2023</t>
  </si>
  <si>
    <t>https://www.praca.pl/compensation-and-benefits-specialist_7628142.html</t>
  </si>
  <si>
    <t>09.11.2022 03:02</t>
  </si>
  <si>
    <t>10.11.2022</t>
  </si>
  <si>
    <t>2746258</t>
  </si>
  <si>
    <t>45864155</t>
  </si>
  <si>
    <t>MOSTOSTAL WARSZAWA S.A.</t>
  </si>
  <si>
    <t>Asystent / Asystentka Budowy</t>
  </si>
  <si>
    <t>Polska, podkarpackie, Babica</t>
  </si>
  <si>
    <t>https://www.praca.pl/asystent-asystentka-budowy_7720617.html</t>
  </si>
  <si>
    <t>08.12.2022</t>
  </si>
  <si>
    <t>2746275</t>
  </si>
  <si>
    <t>46131035</t>
  </si>
  <si>
    <t>Asystent ds. protetyki słuchu</t>
  </si>
  <si>
    <t>https://www.praca.pl/asystent-ds-protetyki-sluchu_7720587.html</t>
  </si>
  <si>
    <t>2746283</t>
  </si>
  <si>
    <t>46131043</t>
  </si>
  <si>
    <t>Galileum sp. z o.o.</t>
  </si>
  <si>
    <t>Elektryk / Energetyk / Gazownik</t>
  </si>
  <si>
    <t>https://www.praca.pl/elektryk-energetyk-gazownik_7715568.html</t>
  </si>
  <si>
    <t>2746303</t>
  </si>
  <si>
    <t>46131063</t>
  </si>
  <si>
    <t>https://www.praca.pl/kierownik-zespolu-w-biurze-sprzedazy_7720023.html</t>
  </si>
  <si>
    <t>2746320</t>
  </si>
  <si>
    <t>46131080</t>
  </si>
  <si>
    <t>Pracownik Drukarni Cyfrowej</t>
  </si>
  <si>
    <t>https://www.praca.pl/pracownik-drukarni-cyfrowej_7719807.html</t>
  </si>
  <si>
    <t>2746404</t>
  </si>
  <si>
    <t>46131175</t>
  </si>
  <si>
    <t>ELEKTROBUDOWA Sp. z o.o.</t>
  </si>
  <si>
    <t>Technik / Inżynier Pomiarów i Rozruchu</t>
  </si>
  <si>
    <t>Elektroenergetyk pomiarów i zabezpieczeń</t>
  </si>
  <si>
    <t>https://www.praca.pl/technik-inzynier-pomiarow-i-rozruchu_7719882.html</t>
  </si>
  <si>
    <t>2746417</t>
  </si>
  <si>
    <t>46131192</t>
  </si>
  <si>
    <t>RPd057|313104</t>
  </si>
  <si>
    <t>https://www.praca.pl/technik-inzynier-pomiarow-i-rozruchu_7719897.html</t>
  </si>
  <si>
    <t>2746422</t>
  </si>
  <si>
    <t>46131197</t>
  </si>
  <si>
    <t>Polska, podkarpackie, Widełka</t>
  </si>
  <si>
    <t>https://www.praca.pl/technik-inzynier-pomiarow-i-rozruchu_7719906.html</t>
  </si>
  <si>
    <t>2746425</t>
  </si>
  <si>
    <t>46131200</t>
  </si>
  <si>
    <t>https://www.praca.pl/inzynier-budowy_7719456.html</t>
  </si>
  <si>
    <t>2746470</t>
  </si>
  <si>
    <t>46131246</t>
  </si>
  <si>
    <t>Polska, podkarpackie, Zaczernie, k. Rzeszowa</t>
  </si>
  <si>
    <t>https://www.praca.pl/pracownik-produkcji_7715781.html</t>
  </si>
  <si>
    <t>2746482</t>
  </si>
  <si>
    <t>46131259</t>
  </si>
  <si>
    <t>https://www.praca.pl/elektromonter-ukladow-pomiarowych_7718754.html</t>
  </si>
  <si>
    <t>2746537</t>
  </si>
  <si>
    <t>46131314</t>
  </si>
  <si>
    <t>CTL Logistics</t>
  </si>
  <si>
    <t>Maszynista Stażysta</t>
  </si>
  <si>
    <t>https://www.praca.pl/maszynista-stazysta_7718721.html</t>
  </si>
  <si>
    <t>2746547</t>
  </si>
  <si>
    <t>46131324</t>
  </si>
  <si>
    <t>Operator urządzeń wytwórczych mieszanek betonowych</t>
  </si>
  <si>
    <t>https://www.praca.pl/operator-mobilnej-wytworni-betonu-w-zespole-mobilnych-wytworni-betonu_7718664.html</t>
  </si>
  <si>
    <t>2746566</t>
  </si>
  <si>
    <t>46131343</t>
  </si>
  <si>
    <t>RPd057|811407</t>
  </si>
  <si>
    <t>Emitel S.A.</t>
  </si>
  <si>
    <t>Młodszy specjalista ds. utrzymania sieci (k/m)</t>
  </si>
  <si>
    <t>https://www.praca.pl/mlodszy-specjalista-ds-utrzymania-sieci-k-m_7718346.html</t>
  </si>
  <si>
    <t>2746594</t>
  </si>
  <si>
    <t>46131376</t>
  </si>
  <si>
    <t>Transcom Worldwide Poland Sp. z o.o.</t>
  </si>
  <si>
    <t>Specjalista / Specjalistka ds. obsługi klienta z j. niemieckim</t>
  </si>
  <si>
    <t>https://www.praca.pl/specjalista-specjalistka-ds-obslugi-klienta-z-j-niemieckim_7715709.html</t>
  </si>
  <si>
    <t>2746626</t>
  </si>
  <si>
    <t>46131409</t>
  </si>
  <si>
    <t>https://www.praca.pl/inspektor-weterynaryjny_7717917.html</t>
  </si>
  <si>
    <t>2746645</t>
  </si>
  <si>
    <t>46131428</t>
  </si>
  <si>
    <t>https://www.praca.pl/referent_7718013.html</t>
  </si>
  <si>
    <t>2746677</t>
  </si>
  <si>
    <t>46131460</t>
  </si>
  <si>
    <t>https://www.praca.pl/referent_7718082.html</t>
  </si>
  <si>
    <t>2746700</t>
  </si>
  <si>
    <t>46131483</t>
  </si>
  <si>
    <t>https://www.praca.pl/specjalista_7718085.html</t>
  </si>
  <si>
    <t>2746701</t>
  </si>
  <si>
    <t>46131484</t>
  </si>
  <si>
    <t>https://www.praca.pl/inspektor-weterynaryjny_7718115.html</t>
  </si>
  <si>
    <t>2746711</t>
  </si>
  <si>
    <t>46131494</t>
  </si>
  <si>
    <t>https://www.praca.pl/inspektor-weterynaryjny_7718124.html</t>
  </si>
  <si>
    <t>2746714</t>
  </si>
  <si>
    <t>46131497</t>
  </si>
  <si>
    <t>09.11.2022 03:30</t>
  </si>
  <si>
    <t>03.11.2022</t>
  </si>
  <si>
    <t>2746817</t>
  </si>
  <si>
    <t>46168749</t>
  </si>
  <si>
    <t>https://www.goldenline.pl/praca/oferta/1313684/zielonalinia0?utm_brand=goldenline&amp;utm_source=zielonalinia0&amp;gpid=1024118&amp;utm_channel=free&amp;utm_medium=oferta&amp;utm_department=marketing</t>
  </si>
  <si>
    <t>21.02.2023</t>
  </si>
  <si>
    <t>2746824</t>
  </si>
  <si>
    <t>46168756</t>
  </si>
  <si>
    <t>2746828</t>
  </si>
  <si>
    <t>46168760</t>
  </si>
  <si>
    <t>2746860</t>
  </si>
  <si>
    <t>46168792</t>
  </si>
  <si>
    <t>2746863</t>
  </si>
  <si>
    <t>46168795</t>
  </si>
  <si>
    <t>2746867</t>
  </si>
  <si>
    <t>46168799</t>
  </si>
  <si>
    <t>2747038</t>
  </si>
  <si>
    <t>46168970</t>
  </si>
  <si>
    <t>2747055</t>
  </si>
  <si>
    <t>46168987</t>
  </si>
  <si>
    <t>2747065</t>
  </si>
  <si>
    <t>46168997</t>
  </si>
  <si>
    <t>2747101</t>
  </si>
  <si>
    <t>46169033</t>
  </si>
  <si>
    <t>2747121</t>
  </si>
  <si>
    <t>46169053</t>
  </si>
  <si>
    <t>2747122</t>
  </si>
  <si>
    <t>46169054</t>
  </si>
  <si>
    <t>2747123</t>
  </si>
  <si>
    <t>46169055</t>
  </si>
  <si>
    <t>https://www.goldenline.pl/praca/oferta/1313328/zielonalinia0?utm_brand=goldenline&amp;utm_source=zielonalinia0&amp;gpid=1023760&amp;utm_channel=free&amp;utm_medium=oferta&amp;utm_department=marketing</t>
  </si>
  <si>
    <t>2747146</t>
  </si>
  <si>
    <t>46169078</t>
  </si>
  <si>
    <t>2747199</t>
  </si>
  <si>
    <t>46169131</t>
  </si>
  <si>
    <t>https://www.goldenline.pl/praca/oferta/1313798/zielonalinia0?utm_brand=goldenline&amp;utm_source=zielonalinia0&amp;gpid=1024230&amp;utm_channel=free&amp;utm_medium=oferta&amp;utm_department=marketing</t>
  </si>
  <si>
    <t>13.12.2022</t>
  </si>
  <si>
    <t>2747230</t>
  </si>
  <si>
    <t>46169162</t>
  </si>
  <si>
    <t>2747242</t>
  </si>
  <si>
    <t>46169174</t>
  </si>
  <si>
    <t>2747273</t>
  </si>
  <si>
    <t>46169205</t>
  </si>
  <si>
    <t>2747351</t>
  </si>
  <si>
    <t>46169283</t>
  </si>
  <si>
    <t>2747358</t>
  </si>
  <si>
    <t>46169290</t>
  </si>
  <si>
    <t>KRAJOWE STOWARZYSZENIE WSPIERANIA PRZEDSIĘBIORCZOŚCI</t>
  </si>
  <si>
    <t>DORADCA</t>
  </si>
  <si>
    <t>Pracownik instytucji pożyczkowej</t>
  </si>
  <si>
    <t>https://www.goldenline.pl/praca/oferta/1313508/zielonalinia0?utm_brand=goldenline&amp;utm_source=zielonalinia0&amp;gpid=1023892&amp;utm_channel=free&amp;utm_medium=oferta&amp;utm_department=marketing</t>
  </si>
  <si>
    <t>09.12.2022</t>
  </si>
  <si>
    <t>2747391</t>
  </si>
  <si>
    <t>46169323</t>
  </si>
  <si>
    <t>RPd057|421301</t>
  </si>
  <si>
    <t>2747396</t>
  </si>
  <si>
    <t>46169328</t>
  </si>
  <si>
    <t>2747434</t>
  </si>
  <si>
    <t>46169366</t>
  </si>
  <si>
    <t>Work&amp;Profit Agencja Pracy Tymczasowej</t>
  </si>
  <si>
    <t>Wykładanie towaru w sklepie kosmetycznym Mielec</t>
  </si>
  <si>
    <t>Polska, pomorskie, Mielec</t>
  </si>
  <si>
    <t>https://www.goldenline.pl/praca/oferta/1313028/zielonalinia0?utm_brand=goldenline&amp;utm_source=zielonalinia0&amp;gpid=1023456&amp;utm_channel=free&amp;utm_medium=oferta&amp;utm_department=marketing</t>
  </si>
  <si>
    <t>2747435</t>
  </si>
  <si>
    <t>46169367</t>
  </si>
  <si>
    <t>2747506</t>
  </si>
  <si>
    <t>46169438</t>
  </si>
  <si>
    <t>2747540</t>
  </si>
  <si>
    <t>46169472</t>
  </si>
  <si>
    <t>2747656</t>
  </si>
  <si>
    <t>46169588</t>
  </si>
  <si>
    <t>2747659</t>
  </si>
  <si>
    <t>46169591</t>
  </si>
  <si>
    <t>2747678</t>
  </si>
  <si>
    <t>46169610</t>
  </si>
  <si>
    <t>09.11.2022 04:20</t>
  </si>
  <si>
    <t>06.11.2022</t>
  </si>
  <si>
    <t>2747726</t>
  </si>
  <si>
    <t>46169658</t>
  </si>
  <si>
    <t>Wykładanie towaru w sklepie kosmetycznym Mielec - godziny poranne/nocne</t>
  </si>
  <si>
    <t>https://www.goldenline.pl/praca/oferta/1313026/zielonalinia0?utm_brand=goldenline&amp;utm_source=zielonalinia0&amp;gpid=1023454&amp;utm_channel=free&amp;utm_medium=oferta&amp;utm_department=marketing</t>
  </si>
  <si>
    <t>2747747</t>
  </si>
  <si>
    <t>46169679</t>
  </si>
  <si>
    <t>2747808</t>
  </si>
  <si>
    <t>46169740</t>
  </si>
  <si>
    <t>2747827</t>
  </si>
  <si>
    <t>46169759</t>
  </si>
  <si>
    <t>2747897</t>
  </si>
  <si>
    <t>46169829</t>
  </si>
  <si>
    <t>2747911</t>
  </si>
  <si>
    <t>46169843</t>
  </si>
  <si>
    <t>2748012</t>
  </si>
  <si>
    <t>46169944</t>
  </si>
  <si>
    <t>2748026</t>
  </si>
  <si>
    <t>46169958</t>
  </si>
  <si>
    <t>2748052</t>
  </si>
  <si>
    <t>46169984</t>
  </si>
  <si>
    <t>2748105</t>
  </si>
  <si>
    <t>46170037</t>
  </si>
  <si>
    <t>2748116</t>
  </si>
  <si>
    <t>46170048</t>
  </si>
  <si>
    <t>2748170</t>
  </si>
  <si>
    <t>46170102</t>
  </si>
  <si>
    <t>2748202</t>
  </si>
  <si>
    <t>46170134</t>
  </si>
  <si>
    <t>2748272</t>
  </si>
  <si>
    <t>46170204</t>
  </si>
  <si>
    <t>2748277</t>
  </si>
  <si>
    <t>46170209</t>
  </si>
  <si>
    <t>2748308</t>
  </si>
  <si>
    <t>46170240</t>
  </si>
  <si>
    <t>2748319</t>
  </si>
  <si>
    <t>46170251</t>
  </si>
  <si>
    <t>2748332</t>
  </si>
  <si>
    <t>46170264</t>
  </si>
  <si>
    <t>Frontend Developer w Tribe Aplikacji Biznesowych</t>
  </si>
  <si>
    <t>https://www.pracuj.pl/praca/frontend-developer-w-tribe-aplikacji-biznesowych-podkarpackie,oferta,9529635</t>
  </si>
  <si>
    <t>09.11.2022 03:40</t>
  </si>
  <si>
    <t>07.12.2022</t>
  </si>
  <si>
    <t>2748348</t>
  </si>
  <si>
    <t>46170403</t>
  </si>
  <si>
    <t>Cyclad</t>
  </si>
  <si>
    <t>Frontend Developer (Angular)</t>
  </si>
  <si>
    <t>https://www.pracuj.pl/praca/frontend-developer-angular-subcarpathia,oferta,9529697</t>
  </si>
  <si>
    <t>2748365</t>
  </si>
  <si>
    <t>46170420</t>
  </si>
  <si>
    <t>SMG Agency Kalinowski, Zwiarko Spółka Jawna</t>
  </si>
  <si>
    <t>https://www.pracuj.pl/praca/specjalista-ds-sprzedazy-podkarpackie,oferta,9529732</t>
  </si>
  <si>
    <t>06.12.2022</t>
  </si>
  <si>
    <t>2748381</t>
  </si>
  <si>
    <t>46170436</t>
  </si>
  <si>
    <t>GTV OFFICE sp. z o.o.</t>
  </si>
  <si>
    <t>Kierowca kat. B - przewozy pracownicze na terenie Holandii</t>
  </si>
  <si>
    <t>https://www.pracuj.pl/praca/kierowca-kat-b-przewozy-pracownicze-na-terenie-holandii-podkarpackie,oferta,9529789</t>
  </si>
  <si>
    <t>22.12.2022</t>
  </si>
  <si>
    <t>2748398</t>
  </si>
  <si>
    <t>46170453</t>
  </si>
  <si>
    <t>Doradca - Kanał Sprzedaży Biznesowej</t>
  </si>
  <si>
    <t>https://www.pracuj.pl/praca/doradca-kanal-sprzedazy-biznesowej-podkarpackie,oferta,9529871</t>
  </si>
  <si>
    <t>2748417</t>
  </si>
  <si>
    <t>46170472</t>
  </si>
  <si>
    <t>PIXEL Technology</t>
  </si>
  <si>
    <t>Specjalista ds. wsparcia IT - Helpdesk</t>
  </si>
  <si>
    <t>https://www.pracuj.pl/praca/specjalista-ds-wsparcia-it-helpdesk-podkarpackie,oferta,9530011</t>
  </si>
  <si>
    <t>2748444</t>
  </si>
  <si>
    <t>46170499</t>
  </si>
  <si>
    <t>IT Systems Engineer</t>
  </si>
  <si>
    <t>https://www.pracuj.pl/praca/it-systems-engineer-subcarpathia,oferta,9530357</t>
  </si>
  <si>
    <t>2748492</t>
  </si>
  <si>
    <t>46170547</t>
  </si>
  <si>
    <t>https://www.pracuj.pl/praca/przedstawiciel-medyczny-podkarpackie,oferta,9530544</t>
  </si>
  <si>
    <t>2748525</t>
  </si>
  <si>
    <t>46170580</t>
  </si>
  <si>
    <t>ROMGOS SPÓŁKA Z OGRANICZONĄ ODPOWIEDZIALNOŚCIĄ ENGINEERING SPÓŁKA KOMANDYTOWA</t>
  </si>
  <si>
    <t>https://www.pracuj.pl/praca/kierownik-robot-elektrycznych-podkarpackie,oferta,9530577</t>
  </si>
  <si>
    <t>2748543</t>
  </si>
  <si>
    <t>46170598</t>
  </si>
  <si>
    <t>Kierownik robót (specjalizacja konstrukcje stalowe)</t>
  </si>
  <si>
    <t>https://www.pracuj.pl/praca/kierownik-robot-specjalizacja-konstrukcje-stalowe-podkarpackie,oferta,9530597</t>
  </si>
  <si>
    <t>2748560</t>
  </si>
  <si>
    <t>46170615</t>
  </si>
  <si>
    <t>Digital Content Specialist (German speaking)</t>
  </si>
  <si>
    <t>https://www.pracuj.pl/praca/digital-content-specialist-german-speaking-subcarpathia,oferta,9530761</t>
  </si>
  <si>
    <t>2748610</t>
  </si>
  <si>
    <t>46170665</t>
  </si>
  <si>
    <t>Browin</t>
  </si>
  <si>
    <t>https://www.pracuj.pl/praca/regionalny-przedstawiciel-handlowy-podkarpackie,oferta,9530811</t>
  </si>
  <si>
    <t>2748624</t>
  </si>
  <si>
    <t>46170679</t>
  </si>
  <si>
    <t>Zielona Firma Sp. z o.o.</t>
  </si>
  <si>
    <t>Partner ds. Fotowoltaiki dla Klienta Biznesowego</t>
  </si>
  <si>
    <t>https://www.pracuj.pl/praca/partner-ds-fotowoltaiki-dla-klienta-biznesowego-podkarpackie,oferta,9530840</t>
  </si>
  <si>
    <t>2748633</t>
  </si>
  <si>
    <t>46170688</t>
  </si>
  <si>
    <t>Webhelp Poland Sp. z o.o.</t>
  </si>
  <si>
    <t>Kundenberater mit deutsch</t>
  </si>
  <si>
    <t>https://www.pracuj.pl/praca/kundenberater-mit-deutsch-subcarpathia,oferta,9530917</t>
  </si>
  <si>
    <t>2748656</t>
  </si>
  <si>
    <t>46170711</t>
  </si>
  <si>
    <t>Młodszy Analityk biznesowy - Konsultant ds. wdrożeń</t>
  </si>
  <si>
    <t>https://www.pracuj.pl/praca/mlodszy-analityk-biznesowy-konsultant-ds-wdrozen-podkarpackie,oferta,9530985</t>
  </si>
  <si>
    <t>2748676</t>
  </si>
  <si>
    <t>46170731</t>
  </si>
  <si>
    <t>https://www.pracuj.pl/praca/senior-python-developer-podkarpackie,oferta,9531010</t>
  </si>
  <si>
    <t>2748691</t>
  </si>
  <si>
    <t>46170746</t>
  </si>
  <si>
    <t>NEOLITH DISTRIBUTION POLSKA sp. z o.o.</t>
  </si>
  <si>
    <t>Bussines Development Representative</t>
  </si>
  <si>
    <t>https://www.pracuj.pl/praca/bussines-development-representative-podkarpackie,oferta,9531058</t>
  </si>
  <si>
    <t>2748700</t>
  </si>
  <si>
    <t>46170755</t>
  </si>
  <si>
    <t>Wazdan Solutions Sp. z o.o.</t>
  </si>
  <si>
    <t>https://www.pracuj.pl/praca/programista-java-podkarpackie,oferta,9531121</t>
  </si>
  <si>
    <t>2748722</t>
  </si>
  <si>
    <t>46170777</t>
  </si>
  <si>
    <t>Programista automatyzacji testów Java</t>
  </si>
  <si>
    <t>https://www.pracuj.pl/praca/programista-automatyzacji-testow-java-podkarpackie,oferta,9531142</t>
  </si>
  <si>
    <t>2748739</t>
  </si>
  <si>
    <t>46170794</t>
  </si>
  <si>
    <t>Programista C++</t>
  </si>
  <si>
    <t>https://www.pracuj.pl/praca/programista-c%2b%2b-podkarpackie,oferta,9531158</t>
  </si>
  <si>
    <t>2748754</t>
  </si>
  <si>
    <t>46170809</t>
  </si>
  <si>
    <t>"Dekspol" P.P.H. Iwona Oleszak</t>
  </si>
  <si>
    <t>https://www.pracuj.pl/praca/regionalny-kierownik-sprzedazy-podkarpackie,oferta,9531186</t>
  </si>
  <si>
    <t>2748773</t>
  </si>
  <si>
    <t>46170828</t>
  </si>
  <si>
    <t>https://www.pracuj.pl/praca/specjalista-ds-rekrutacji-podkarpackie,oferta,9531274</t>
  </si>
  <si>
    <t>2748791</t>
  </si>
  <si>
    <t>46170846</t>
  </si>
  <si>
    <t>Country Marketing Manager (Poland)</t>
  </si>
  <si>
    <t>Dyrektor marketingu</t>
  </si>
  <si>
    <t>https://www.pracuj.pl/praca/country-marketing-manager-poland-subcarpathia,oferta,9531352</t>
  </si>
  <si>
    <t>2748808</t>
  </si>
  <si>
    <t>46170863</t>
  </si>
  <si>
    <t>RPd057|112010</t>
  </si>
  <si>
    <t>https://www.pracuj.pl/praca/analityk-systemowy-podkarpackie,oferta,9531375</t>
  </si>
  <si>
    <t>2748825</t>
  </si>
  <si>
    <t>46170880</t>
  </si>
  <si>
    <t>https://www.pracuj.pl/praca/it-rekruter-podkarpackie,oferta,9531481</t>
  </si>
  <si>
    <t>2748846</t>
  </si>
  <si>
    <t>46170901</t>
  </si>
  <si>
    <t>EUROPIN SPÓŁKA Z OGRANICZONĄ ODPOWIEDZIALNOŚCIĄ</t>
  </si>
  <si>
    <t>Samodzielny Spedytor Międzynarodowy</t>
  </si>
  <si>
    <t>https://www.pracuj.pl/praca/samodzielny-spedytor-miedzynarodowy-podkarpackie,oferta,9531539</t>
  </si>
  <si>
    <t>2748866</t>
  </si>
  <si>
    <t>46170921</t>
  </si>
  <si>
    <t>Pol-Miedź Trans Sp. z o. o.</t>
  </si>
  <si>
    <t>https://www.pracuj.pl/praca/maszynista-podkarpackie,oferta,9531618</t>
  </si>
  <si>
    <t>2748889</t>
  </si>
  <si>
    <t>46170944</t>
  </si>
  <si>
    <t>Key Account Specialist ds. Sieci Aptecznych RX (kluczowi klienci)</t>
  </si>
  <si>
    <t>https://www.pracuj.pl/praca/key-account-specialist-ds-sieci-aptecznych-rx-kluczowi-klienci-podkarpackie,oferta,9531661</t>
  </si>
  <si>
    <t>2748907</t>
  </si>
  <si>
    <t>46170962</t>
  </si>
  <si>
    <t>Spedytor - Dyspozytor drogowy międzynarodowy (prowadzenie lub handel)</t>
  </si>
  <si>
    <t>https://www.pracuj.pl/praca/spedytor-dyspozytor-drogowy-miedzynarodowy-prowadzenie-lub-handel-podkarpackie,oferta,9531690</t>
  </si>
  <si>
    <t>2748926</t>
  </si>
  <si>
    <t>46170981</t>
  </si>
  <si>
    <t>Frontend Developer w Tribe Aplikacji dla Klientów Indywidualnych</t>
  </si>
  <si>
    <t>https://www.pracuj.pl/praca/frontend-developer-w-tribe-aplikacji-dla-klientow-indywidualnych-podkarpackie,oferta,9531853</t>
  </si>
  <si>
    <t>2748944</t>
  </si>
  <si>
    <t>46170999</t>
  </si>
  <si>
    <t>EL-TRANS S.A.</t>
  </si>
  <si>
    <t>Kierowca C+E w ruchu krajowym i międzynarodowym</t>
  </si>
  <si>
    <t>https://www.pracuj.pl/praca/kierowca-c%2be-w-ruchu-krajowym-i-miedzynarodowym-podkarpackie,oferta,9531933</t>
  </si>
  <si>
    <t>2748958</t>
  </si>
  <si>
    <t>46171013</t>
  </si>
  <si>
    <t>https://www.pracuj.pl/praca/kierownik-robot-podkarpackie,oferta,9532025</t>
  </si>
  <si>
    <t>2748985</t>
  </si>
  <si>
    <t>46171040</t>
  </si>
  <si>
    <t>"ALEPH POLSKA" SPÓŁKA Z O.O.</t>
  </si>
  <si>
    <t>Specjalista ds. Wdrożeń / Product Implementation Specialist</t>
  </si>
  <si>
    <t>https://www.pracuj.pl/praca/specjalista-ds-wdrozen-product-implementation-specialist-subcarpathia,oferta,9532090</t>
  </si>
  <si>
    <t>09.11.2022 06:30</t>
  </si>
  <si>
    <t>2749006</t>
  </si>
  <si>
    <t>46171061</t>
  </si>
  <si>
    <t>Specialist - Financial Planning &amp; Analysis</t>
  </si>
  <si>
    <t>https://www.pracuj.pl/praca/specialist-financial-planning-analysis-subcarpathia,oferta,9532155</t>
  </si>
  <si>
    <t>2749028</t>
  </si>
  <si>
    <t>46171083</t>
  </si>
  <si>
    <t>POWER HOLDING Sp. z o.o.</t>
  </si>
  <si>
    <t>Dyrektor Oddziału - Franczyzobiorca</t>
  </si>
  <si>
    <t>https://www.pracuj.pl/praca/dyrektor-oddzialu-franczyzobiorca-podkarpackie,oferta,9532328</t>
  </si>
  <si>
    <t>2749060</t>
  </si>
  <si>
    <t>46171115</t>
  </si>
  <si>
    <t>Jost Group</t>
  </si>
  <si>
    <t>Kierowca kat C+E transport międzynarodowy</t>
  </si>
  <si>
    <t>https://www.pracuj.pl/praca/kierowca-kat-c%2be-transport-miedzynarodowy-podkarpackie,oferta,9532401</t>
  </si>
  <si>
    <t>2749089</t>
  </si>
  <si>
    <t>46171144</t>
  </si>
  <si>
    <t>https://www.pracuj.pl/praca/senior-fullstack-developer-subcarpathia,oferta,9532451</t>
  </si>
  <si>
    <t>2749107</t>
  </si>
  <si>
    <t>46171162</t>
  </si>
  <si>
    <t>Mid DevOps Engineer</t>
  </si>
  <si>
    <t>https://www.pracuj.pl/praca/mid-devops-engineer-subcarpathia,oferta,9532468</t>
  </si>
  <si>
    <t>2749123</t>
  </si>
  <si>
    <t>46171178</t>
  </si>
  <si>
    <t>SEVENET S.A.</t>
  </si>
  <si>
    <t>https://www.pracuj.pl/praca/programista-java-podkarpackie,oferta,9532485</t>
  </si>
  <si>
    <t>2749140</t>
  </si>
  <si>
    <t>46171195</t>
  </si>
  <si>
    <t>ML Researcher (Agriculture)</t>
  </si>
  <si>
    <t>https://www.pracuj.pl/praca/ml-researcher-agriculture-subcarpathia,oferta,9532504</t>
  </si>
  <si>
    <t>2749156</t>
  </si>
  <si>
    <t>46171211</t>
  </si>
  <si>
    <t>Software Engineer with Java/Scala</t>
  </si>
  <si>
    <t>https://www.pracuj.pl/praca/software-engineer-with-java-scala-subcarpathia,oferta,9532520</t>
  </si>
  <si>
    <t>2749171</t>
  </si>
  <si>
    <t>46171226</t>
  </si>
  <si>
    <t>Data Engineer (Python)</t>
  </si>
  <si>
    <t>https://www.pracuj.pl/praca/data-engineer-python-subcarpathia,oferta,9532542</t>
  </si>
  <si>
    <t>2749188</t>
  </si>
  <si>
    <t>46171243</t>
  </si>
  <si>
    <t>Senior QA w/Java</t>
  </si>
  <si>
    <t>https://www.pracuj.pl/praca/senior-qa-w-java-subcarpathia,oferta,9532560</t>
  </si>
  <si>
    <t>2749204</t>
  </si>
  <si>
    <t>46171259</t>
  </si>
  <si>
    <t>Algorithms Java Developer</t>
  </si>
  <si>
    <t>https://www.pracuj.pl/praca/algorithms-java-developer-subcarpathia,oferta,9532581</t>
  </si>
  <si>
    <t>2749220</t>
  </si>
  <si>
    <t>46171275</t>
  </si>
  <si>
    <t>Junior Ruby on Rails Developer</t>
  </si>
  <si>
    <t>https://www.pracuj.pl/praca/junior-ruby-on-rails-developer-subcarpathia,oferta,9532601</t>
  </si>
  <si>
    <t>2749237</t>
  </si>
  <si>
    <t>46171292</t>
  </si>
  <si>
    <t>Rekruter</t>
  </si>
  <si>
    <t>https://www.pracuj.pl/praca/rekruter-podkarpackie,oferta,9532618</t>
  </si>
  <si>
    <t>2749254</t>
  </si>
  <si>
    <t>46171309</t>
  </si>
  <si>
    <t>Front End Developer (Angular)</t>
  </si>
  <si>
    <t>https://www.pracuj.pl/praca/front-end-developer-angular-podkarpackie,oferta,9532743</t>
  </si>
  <si>
    <t>2749276</t>
  </si>
  <si>
    <t>46171331</t>
  </si>
  <si>
    <t>https://www.pracuj.pl/praca/data-engineer-subcarpathia,oferta,9532811</t>
  </si>
  <si>
    <t>2749298</t>
  </si>
  <si>
    <t>46171353</t>
  </si>
  <si>
    <t>Mid/Senior Fullstack with PHP</t>
  </si>
  <si>
    <t>https://www.pracuj.pl/praca/mid-senior-fullstack-with-php-subcarpathia,oferta,9532858</t>
  </si>
  <si>
    <t>2749325</t>
  </si>
  <si>
    <t>46171380</t>
  </si>
  <si>
    <t>BLOCKCHAIN POLAND SPÓŁKA Z O. O. RENENERGY SPÓŁKA KOMANDYTOWA</t>
  </si>
  <si>
    <t>Handlowiec ds. OZE</t>
  </si>
  <si>
    <t>https://www.pracuj.pl/praca/handlowiec-ds-oze-podkarpackie,oferta,9532882</t>
  </si>
  <si>
    <t>2749341</t>
  </si>
  <si>
    <t>46171396</t>
  </si>
  <si>
    <t>Administrator stron internetowych</t>
  </si>
  <si>
    <t>https://www.pracuj.pl/praca/site-reliability-engineer-subcarpathia,oferta,9532907</t>
  </si>
  <si>
    <t>2749357</t>
  </si>
  <si>
    <t>46171412</t>
  </si>
  <si>
    <t>RPd057|351401</t>
  </si>
  <si>
    <t>https://www.pracuj.pl/praca/scrum-master-subcarpathia,oferta,9532936</t>
  </si>
  <si>
    <t>2749374</t>
  </si>
  <si>
    <t>46171429</t>
  </si>
  <si>
    <t>https://www.pracuj.pl/praca/programista-full-stack-podkarpackie,oferta,9532967</t>
  </si>
  <si>
    <t>2749391</t>
  </si>
  <si>
    <t>46171446</t>
  </si>
  <si>
    <t>Inżynier budowy - Elektryk</t>
  </si>
  <si>
    <t>https://www.pracuj.pl/praca/inzynier-budowy-elektryk-podkarpackie,oferta,9533076</t>
  </si>
  <si>
    <t>2749408</t>
  </si>
  <si>
    <t>46171463</t>
  </si>
  <si>
    <t>https://www.pracuj.pl/praca/kierownik-robot-sanitarnych-podkarpackie,oferta,9533100</t>
  </si>
  <si>
    <t>2749425</t>
  </si>
  <si>
    <t>46171480</t>
  </si>
  <si>
    <t>https://www.pracuj.pl/praca/inzynier-systemu-podkarpackie,oferta,9533203</t>
  </si>
  <si>
    <t>2749452</t>
  </si>
  <si>
    <t>46171507</t>
  </si>
  <si>
    <t>InfiniteDATA Services Sp. z o.o.</t>
  </si>
  <si>
    <t>Business System Analyst</t>
  </si>
  <si>
    <t>https://www.pracuj.pl/praca/business-system-analyst-subcarpathia,oferta,9533255</t>
  </si>
  <si>
    <t>2749472</t>
  </si>
  <si>
    <t>46171527</t>
  </si>
  <si>
    <t>https://www.pracuj.pl/praca/senior-javascript-developer-podkarpackie,oferta,9533405</t>
  </si>
  <si>
    <t>2749501</t>
  </si>
  <si>
    <t>46171556</t>
  </si>
  <si>
    <t>Independent Accountant</t>
  </si>
  <si>
    <t>https://www.pracuj.pl/praca/independent-accountant-subcarpathia,oferta,9533463</t>
  </si>
  <si>
    <t>2749515</t>
  </si>
  <si>
    <t>46171570</t>
  </si>
  <si>
    <t>ZMS Systemy Magazynowe Sp. z o.o.</t>
  </si>
  <si>
    <t>https://www.pracuj.pl/praca/przedstawiciel-handlowy-rzeszow,oferta,1002195201</t>
  </si>
  <si>
    <t>2749544</t>
  </si>
  <si>
    <t>46171599</t>
  </si>
  <si>
    <t>https://www.pracuj.pl/praca/samodzielna-ksiegowa-rzeszow,oferta,1002195220</t>
  </si>
  <si>
    <t>2749563</t>
  </si>
  <si>
    <t>46171618</t>
  </si>
  <si>
    <t>Programista robotów spawalniczych</t>
  </si>
  <si>
    <t>https://www.pracuj.pl/praca/programista-robotow-spawalniczych-tarnobrzeg,oferta,1002195230</t>
  </si>
  <si>
    <t>2749573</t>
  </si>
  <si>
    <t>46171628</t>
  </si>
  <si>
    <t>https://www.pracuj.pl/praca/magazynier-kanczuga,oferta,1002195379</t>
  </si>
  <si>
    <t>2749718</t>
  </si>
  <si>
    <t>46171773</t>
  </si>
  <si>
    <t>https://www.pracuj.pl/praca/konsultant-ds-sprzedazy-w-salonie-orange-przeworsk,oferta,1002195395</t>
  </si>
  <si>
    <t>2749734</t>
  </si>
  <si>
    <t>46171789</t>
  </si>
  <si>
    <t>Robert Bosch Sp. z o.o.</t>
  </si>
  <si>
    <t>SAP EWM/WM Process Consultant</t>
  </si>
  <si>
    <t>https://www.pracuj.pl/praca/sap-ewm-wm-process-consultant-rzeszow,oferta,1002195423</t>
  </si>
  <si>
    <t>2749762</t>
  </si>
  <si>
    <t>46171817</t>
  </si>
  <si>
    <t>Kucharz Restauracyjny/ Bankietowy</t>
  </si>
  <si>
    <t>https://www.pracuj.pl/praca/kucharz-restauracyjny-bankietowy-rzeszow,oferta,1002195453</t>
  </si>
  <si>
    <t>2749792</t>
  </si>
  <si>
    <t>46171847</t>
  </si>
  <si>
    <t>https://www.pracuj.pl/praca/zastepca-kierownika-sklepu-rzeszow,oferta,1002195514</t>
  </si>
  <si>
    <t>2749853</t>
  </si>
  <si>
    <t>46171908</t>
  </si>
  <si>
    <t>https://www.pracuj.pl/praca/zastepca-kierownika-sklepu-mielec,oferta,1002195515</t>
  </si>
  <si>
    <t>2749854</t>
  </si>
  <si>
    <t>46171909</t>
  </si>
  <si>
    <t>https://www.pracuj.pl/praca/zastepca-kierownika-sklepu-chorzelow-pow-mielecki,oferta,1002195516</t>
  </si>
  <si>
    <t>2749855</t>
  </si>
  <si>
    <t>46171910</t>
  </si>
  <si>
    <t>https://www.pracuj.pl/praca/zastepca-kierownika-sklepu-boguchwala,oferta,1002195517</t>
  </si>
  <si>
    <t>2749856</t>
  </si>
  <si>
    <t>46171911</t>
  </si>
  <si>
    <t>https://www.pracuj.pl/praca/zastepca-kierownika-sklepu-niechobrz-pow-rzeszowski,oferta,1002195518</t>
  </si>
  <si>
    <t>2749857</t>
  </si>
  <si>
    <t>46171912</t>
  </si>
  <si>
    <t>https://www.pracuj.pl/praca/zastepca-kierownika-sklepu-bratkowice-pow-rzeszowski,oferta,1002195519</t>
  </si>
  <si>
    <t>2749858</t>
  </si>
  <si>
    <t>46171913</t>
  </si>
  <si>
    <t>https://www.pracuj.pl/praca/inzynier-ds-analiz-wytrzymalosciowych-tajecina-pow-rzeszowski,oferta,1002195578</t>
  </si>
  <si>
    <t>2749914</t>
  </si>
  <si>
    <t>46171969</t>
  </si>
  <si>
    <t>Q-Bev Sp. z o.o.</t>
  </si>
  <si>
    <t>Zastępca Kierownika Działu Zaopatrzenia i Planowania</t>
  </si>
  <si>
    <t>https://www.pracuj.pl/praca/zastepca-kierownika-dzialu-zaopatrzenia-i-planowania-stalowa-wola,oferta,1002195639</t>
  </si>
  <si>
    <t>2749973</t>
  </si>
  <si>
    <t>46172028</t>
  </si>
  <si>
    <t>TECH-PROJECT BRZOZA SP. Z O.O.</t>
  </si>
  <si>
    <t>kierowca kat. C, C+E</t>
  </si>
  <si>
    <t>https://www.pracuj.pl/praca/kierowca-kat-c-c%2be-jaroslaw,oferta,1002195691</t>
  </si>
  <si>
    <t>2750024</t>
  </si>
  <si>
    <t>46172079</t>
  </si>
  <si>
    <t>Kierownik Projektów Wdrożeniowych i Doradczych</t>
  </si>
  <si>
    <t>https://www.pracuj.pl/praca/kierownik-projektow-wdrozeniowych-i-doradczych-rzeszow,oferta,1002195715</t>
  </si>
  <si>
    <t>2750047</t>
  </si>
  <si>
    <t>46172102</t>
  </si>
  <si>
    <t>https://www.pracuj.pl/praca/specjalista-ds-aplikacji-sap-mes-tajecina-pow-rzeszowski,oferta,1002195755</t>
  </si>
  <si>
    <t>2750082</t>
  </si>
  <si>
    <t>46172137</t>
  </si>
  <si>
    <t>https://www.pracuj.pl/praca/specjalista-ds-dokumentacji-technicznej-mielec,oferta,1002195801</t>
  </si>
  <si>
    <t>2750127</t>
  </si>
  <si>
    <t>46172182</t>
  </si>
  <si>
    <t>MAG - KRAK SPÓŁKA Z OGRANICZONĄ ODPOWIEDZIALNOŚCIĄ</t>
  </si>
  <si>
    <t>https://www.pracuj.pl/praca/przedstawiciel-handlowy-rzeszow,oferta,1002195831</t>
  </si>
  <si>
    <t>2750153</t>
  </si>
  <si>
    <t>46172208</t>
  </si>
  <si>
    <t>https://www.pracuj.pl/praca/specjalista-ds-ofertowania-jaroslaw,oferta,1002195838</t>
  </si>
  <si>
    <t>2750160</t>
  </si>
  <si>
    <t>46172215</t>
  </si>
  <si>
    <t>https://www.pracuj.pl/praca/mlodszy-kontroler-kontrolerka-jakosci-rzeszow,oferta,1002195845</t>
  </si>
  <si>
    <t>2750166</t>
  </si>
  <si>
    <t>46172221</t>
  </si>
  <si>
    <t>https://www.pracuj.pl/praca/malarz-rzeszow,oferta,1002195856</t>
  </si>
  <si>
    <t>2750175</t>
  </si>
  <si>
    <t>46172230</t>
  </si>
  <si>
    <t>https://www.pracuj.pl/praca/spawacz-rzeszow,oferta,1002195869</t>
  </si>
  <si>
    <t>2750187</t>
  </si>
  <si>
    <t>46172242</t>
  </si>
  <si>
    <t>Tomasz Gronek</t>
  </si>
  <si>
    <t>https://www.pracuj.pl/praca/manager-sprzedazy-debica,oferta,1002195888</t>
  </si>
  <si>
    <t>2750206</t>
  </si>
  <si>
    <t>46172261</t>
  </si>
  <si>
    <t>https://www.pracuj.pl/praca/manager-sprzedazy-krosno,oferta,1002195894</t>
  </si>
  <si>
    <t>2750212</t>
  </si>
  <si>
    <t>46172267</t>
  </si>
  <si>
    <t>https://www.pracuj.pl/praca/manager-sprzedazy-mielec,oferta,1002195895</t>
  </si>
  <si>
    <t>2750213</t>
  </si>
  <si>
    <t>46172268</t>
  </si>
  <si>
    <t>https://www.pracuj.pl/praca/manager-sprzedazy-przemysl,oferta,1002195898</t>
  </si>
  <si>
    <t>2750216</t>
  </si>
  <si>
    <t>46172271</t>
  </si>
  <si>
    <t>https://www.pracuj.pl/praca/manager-sprzedazy-rzeszow,oferta,1002195899</t>
  </si>
  <si>
    <t>2750217</t>
  </si>
  <si>
    <t>46172272</t>
  </si>
  <si>
    <t>https://www.pracuj.pl/praca/manager-sprzedazy-stalowa-wola,oferta,1002195900</t>
  </si>
  <si>
    <t>2750218</t>
  </si>
  <si>
    <t>46172273</t>
  </si>
  <si>
    <t>Praca w KFC Sędziszów Małopolski- pracownik restauracji</t>
  </si>
  <si>
    <t>https://www.pracuj.pl/praca/praca-w-kfc-sedziszow-malopolski-pracownik-restauracji-sedziszow-malopolski,oferta,1002195974</t>
  </si>
  <si>
    <t>2750287</t>
  </si>
  <si>
    <t>46172342</t>
  </si>
  <si>
    <t>Dyrektor Obszaru Sprzedaży</t>
  </si>
  <si>
    <t>https://www.pracuj.pl/praca/dyrektor-obszaru-sprzedazy-rzeszow,oferta,1002196026</t>
  </si>
  <si>
    <t>2750336</t>
  </si>
  <si>
    <t>46172391</t>
  </si>
  <si>
    <t>https://www.pracuj.pl/praca/dyrektor-obszaru-sprzedazy-stalowa-wola,oferta,1002196029</t>
  </si>
  <si>
    <t>2750339</t>
  </si>
  <si>
    <t>46172394</t>
  </si>
  <si>
    <t>https://www.pracuj.pl/praca/dyrektor-obszaru-sprzedazy-tarnobrzeg,oferta,1002196030</t>
  </si>
  <si>
    <t>2750340</t>
  </si>
  <si>
    <t>46172395</t>
  </si>
  <si>
    <t>Praca w KFC Stalowa Wola  - pracownik restauracji</t>
  </si>
  <si>
    <t>https://www.pracuj.pl/praca/praca-w-kfc-stalowa-wola-pracownik-restauracji-stalowa-wola,oferta,1002196039</t>
  </si>
  <si>
    <t>2750349</t>
  </si>
  <si>
    <t>46172404</t>
  </si>
  <si>
    <t>NOVA POSHTA POLSKA</t>
  </si>
  <si>
    <t>Magazynier - Logistyk</t>
  </si>
  <si>
    <t>https://www.pracuj.pl/praca/magazynier-logistyk-rzeszow,oferta,1002196109</t>
  </si>
  <si>
    <t>2750416</t>
  </si>
  <si>
    <t>46172471</t>
  </si>
  <si>
    <t>Przedstawiciel klienta do spraw rekomendacji</t>
  </si>
  <si>
    <t>https://www.pracuj.pl/praca/przedstawiciel-klienta-do-spraw-rekomendacji-skopanie-pow-tarnobrzeski,oferta,1002196168</t>
  </si>
  <si>
    <t>2750474</t>
  </si>
  <si>
    <t>46172529</t>
  </si>
  <si>
    <t>Centrum Edukacyjne PROMAR</t>
  </si>
  <si>
    <t>Osoba do marketingu</t>
  </si>
  <si>
    <t>https://www.pracuj.pl/praca/osoba-do-marketingu-rzeszow,oferta,1002196207</t>
  </si>
  <si>
    <t>2750506</t>
  </si>
  <si>
    <t>46172561</t>
  </si>
  <si>
    <t>Uponor Sp. z o.o.</t>
  </si>
  <si>
    <t>Koordynator ds. Przemysłu</t>
  </si>
  <si>
    <t>https://www.pracuj.pl/praca/koordynator-ds-przemyslu-rzeszow,oferta,1002196258</t>
  </si>
  <si>
    <t>2750557</t>
  </si>
  <si>
    <t>46172612</t>
  </si>
  <si>
    <t>Architekt Systemów IT</t>
  </si>
  <si>
    <t>https://www.pracuj.pl/praca/architekt-systemow-it-rzeszow,oferta,1002196283</t>
  </si>
  <si>
    <t>2750582</t>
  </si>
  <si>
    <t>46172637</t>
  </si>
  <si>
    <t>Ekspert kredytowy (ds. produktów firmowych i hipotecznych)</t>
  </si>
  <si>
    <t>https://www.pracuj.pl/praca/ekspert-kredytowy-ds-produktow-firmowych-i-hipotecznych-rzeszow,oferta,1002196334</t>
  </si>
  <si>
    <t>2750632</t>
  </si>
  <si>
    <t>46172687</t>
  </si>
  <si>
    <t>https://www.pracuj.pl/praca/programista-php-rzeszow,oferta,1002196361</t>
  </si>
  <si>
    <t>2750659</t>
  </si>
  <si>
    <t>46172714</t>
  </si>
  <si>
    <t>https://www.pracuj.pl/praca/programista-php-krosno,oferta,1002196362</t>
  </si>
  <si>
    <t>2750660</t>
  </si>
  <si>
    <t>46172715</t>
  </si>
  <si>
    <t>Młodszy Konstruktor-Definicja Produktu</t>
  </si>
  <si>
    <t>https://www.pracuj.pl/praca/mlodszy-konstruktor-definicja-produktu-rzeszow,oferta,1002196395</t>
  </si>
  <si>
    <t>2750693</t>
  </si>
  <si>
    <t>46172748</t>
  </si>
  <si>
    <t>Tekemas Poland Sp. z o.o.</t>
  </si>
  <si>
    <t>Konstruktor CAD</t>
  </si>
  <si>
    <t>https://www.pracuj.pl/praca/konstruktor-cad-debica,oferta,1002196694</t>
  </si>
  <si>
    <t>2750979</t>
  </si>
  <si>
    <t>46173034</t>
  </si>
  <si>
    <t>Bank Polskiej Spółdzielczości SA</t>
  </si>
  <si>
    <t>https://www.pracuj.pl/praca/specjalista-ds-rozwoju-biznesu-rzeszow,oferta,1002196727</t>
  </si>
  <si>
    <t>2751010</t>
  </si>
  <si>
    <t>46173065</t>
  </si>
  <si>
    <t>SANDER SYSTEM SPÓŁKA Z OGRANICZONĄ ODPOWIEDZIALNOŚCIĄ SPÓŁKA KOMANDYTOWA</t>
  </si>
  <si>
    <t>https://www.pracuj.pl/praca/specjalista-ds-zakupow-przeworsk,oferta,1002196923</t>
  </si>
  <si>
    <t>2751198</t>
  </si>
  <si>
    <t>46173253</t>
  </si>
  <si>
    <t>Doradca Korporacyjny</t>
  </si>
  <si>
    <t>https://www.pracuj.pl/praca/doradca-korporacyjny-rzeszow,oferta,1002196925</t>
  </si>
  <si>
    <t>2751200</t>
  </si>
  <si>
    <t>46173255</t>
  </si>
  <si>
    <t>https://www.pracuj.pl/praca/magazynier-jasionka-pow-rzeszowski,oferta,1002196970</t>
  </si>
  <si>
    <t>2751244</t>
  </si>
  <si>
    <t>46173299</t>
  </si>
  <si>
    <t>https://www.pracuj.pl/praca/doradca-klienta-mielec,oferta,1002196973</t>
  </si>
  <si>
    <t>2751247</t>
  </si>
  <si>
    <t>46173302</t>
  </si>
  <si>
    <t>https://www.pracuj.pl/praca/doradca-klienta-krosno,oferta,1002196979</t>
  </si>
  <si>
    <t>2751253</t>
  </si>
  <si>
    <t>46173308</t>
  </si>
  <si>
    <t>https://www.pracuj.pl/praca/doradca-klienta-przemysl,oferta,1002196988</t>
  </si>
  <si>
    <t>2751262</t>
  </si>
  <si>
    <t>46173317</t>
  </si>
  <si>
    <t>https://www.pracuj.pl/praca/doradca-klienta-debica,oferta,1002196999</t>
  </si>
  <si>
    <t>2751273</t>
  </si>
  <si>
    <t>46173328</t>
  </si>
  <si>
    <t>https://www.pracuj.pl/praca/doradca-klienta-rzeszow,oferta,1002197012</t>
  </si>
  <si>
    <t>2751286</t>
  </si>
  <si>
    <t>46173341</t>
  </si>
  <si>
    <t>https://www.pracuj.pl/praca/doradca-klienta-stalowa-wola,oferta,1002197015</t>
  </si>
  <si>
    <t>2751289</t>
  </si>
  <si>
    <t>46173344</t>
  </si>
  <si>
    <t>https://www.pracuj.pl/praca/doradca-klienta-jaslo,oferta,1002197019</t>
  </si>
  <si>
    <t>2751293</t>
  </si>
  <si>
    <t>46173348</t>
  </si>
  <si>
    <t>https://www.pracuj.pl/praca/doradca-klienta-jaroslaw,oferta,1002197020</t>
  </si>
  <si>
    <t>2751294</t>
  </si>
  <si>
    <t>46173349</t>
  </si>
  <si>
    <t>https://www.pracuj.pl/praca/przedstawiciel-ubezpieczeniowy-premium-jaroslaw,oferta,1002197074</t>
  </si>
  <si>
    <t>2751348</t>
  </si>
  <si>
    <t>46173403</t>
  </si>
  <si>
    <t>https://www.pracuj.pl/praca/przedstawiciel-ubezpieczeniowy-premium-jaslo,oferta,1002197075</t>
  </si>
  <si>
    <t>2751349</t>
  </si>
  <si>
    <t>46173404</t>
  </si>
  <si>
    <t>https://www.pracuj.pl/praca/przedstawiciel-ubezpieczeniowy-premium-strzyzow,oferta,1002197082</t>
  </si>
  <si>
    <t>2751356</t>
  </si>
  <si>
    <t>46173411</t>
  </si>
  <si>
    <t>https://www.pracuj.pl/praca/przedstawiciel-ubezpieczeniowy-premium-stalowa-wola,oferta,1002197085</t>
  </si>
  <si>
    <t>2751359</t>
  </si>
  <si>
    <t>46173414</t>
  </si>
  <si>
    <t>https://www.pracuj.pl/praca/przedstawiciel-ubezpieczeniowy-premium-przemysl,oferta,1002197088</t>
  </si>
  <si>
    <t>2751362</t>
  </si>
  <si>
    <t>46173417</t>
  </si>
  <si>
    <t>https://www.pracuj.pl/praca/przedstawiciel-ubezpieczeniowy-premium-krosno,oferta,1002197095</t>
  </si>
  <si>
    <t>2751369</t>
  </si>
  <si>
    <t>46173424</t>
  </si>
  <si>
    <t>https://www.pracuj.pl/praca/przedstawiciel-ubezpieczeniowy-premium-rzeszow,oferta,1002197096</t>
  </si>
  <si>
    <t>2751370</t>
  </si>
  <si>
    <t>46173425</t>
  </si>
  <si>
    <t>https://www.pracuj.pl/praca/przedstawiciel-ubezpieczeniowy-premium-sanok,oferta,1002197097</t>
  </si>
  <si>
    <t>2751371</t>
  </si>
  <si>
    <t>46173426</t>
  </si>
  <si>
    <t>DA VINCI GREEN ENERGY P.S.A.</t>
  </si>
  <si>
    <t>Menadżer ds. Klientów Kluczowych</t>
  </si>
  <si>
    <t>https://www.pracuj.pl/praca/menadzer-ds-klientow-kluczowych-rzeszow,oferta,1002197137</t>
  </si>
  <si>
    <t>2751411</t>
  </si>
  <si>
    <t>46173466</t>
  </si>
  <si>
    <t>Ekspert ds. ryzyka modeli</t>
  </si>
  <si>
    <t>https://www.pracuj.pl/praca/ekspert-ds-ryzyka-modeli-rzeszow,oferta,1002197183</t>
  </si>
  <si>
    <t>2751456</t>
  </si>
  <si>
    <t>46173511</t>
  </si>
  <si>
    <t>Specjalista/Specjalistka ds. Personalnych</t>
  </si>
  <si>
    <t>https://www.pracuj.pl/praca/specjalista-specjalistka-ds-personalnych-rzeszow,oferta,1002197194</t>
  </si>
  <si>
    <t>2751467</t>
  </si>
  <si>
    <t>46173522</t>
  </si>
  <si>
    <t>https://www.pracuj.pl/praca/zastepca-kierownika-sklepu-zagorz,oferta,1002197195</t>
  </si>
  <si>
    <t>2751468</t>
  </si>
  <si>
    <t>46173523</t>
  </si>
  <si>
    <t>Metrolog - Programista maszyn CMM</t>
  </si>
  <si>
    <t>https://www.pracuj.pl/praca/metrolog-programista-maszyn-cmm-dobrzechow-pow-strzyzowski,oferta,1002197242</t>
  </si>
  <si>
    <t>2751513</t>
  </si>
  <si>
    <t>46173568</t>
  </si>
  <si>
    <t>https://www.pracuj.pl/praca/operator-produkcji-jasionka-pow-rzeszowski,oferta,1002197254</t>
  </si>
  <si>
    <t>2751525</t>
  </si>
  <si>
    <t>46173580</t>
  </si>
  <si>
    <t>RECRU.TO SPÓŁKA Z OGRANICZONĄ ODPOWIEDZIALNOŚCIĄ</t>
  </si>
  <si>
    <t>https://www.pracuj.pl/praca/hr-business-partner-przeworsk,oferta,1002197306</t>
  </si>
  <si>
    <t>2751571</t>
  </si>
  <si>
    <t>46173626</t>
  </si>
  <si>
    <t>Przedstawiciel Biura Obsługi Klienta - rynek amerykański</t>
  </si>
  <si>
    <t>https://www.pracuj.pl/praca/przedstawiciel-biura-obslugi-klienta-rynek-amerykanski-rzeszow,oferta,1002197344</t>
  </si>
  <si>
    <t>2751608</t>
  </si>
  <si>
    <t>46173663</t>
  </si>
  <si>
    <t>https://www.pracuj.pl/praca/operator-wozka-widlowego-debica,oferta,1002197363</t>
  </si>
  <si>
    <t>2751625</t>
  </si>
  <si>
    <t>46173680</t>
  </si>
  <si>
    <t>https://www.pracuj.pl/praca/mlodszy-specjalista-ds-logistyki-z-j-angielskim-rzeszow,oferta,1002197445</t>
  </si>
  <si>
    <t>2751707</t>
  </si>
  <si>
    <t>46173762</t>
  </si>
  <si>
    <t>Dyrektor ds. Eksportu</t>
  </si>
  <si>
    <t>https://www.pracuj.pl/praca/dyrektor-ds-eksportu-rzeszow,oferta,1002197529</t>
  </si>
  <si>
    <t>2751790</t>
  </si>
  <si>
    <t>46173845</t>
  </si>
  <si>
    <t>Specjalista ds. BHP i Ochrony Środowiska</t>
  </si>
  <si>
    <t>https://www.pracuj.pl/praca/specjalista-ds-bhp-i-ochrony-srodowiska-tajecina-pow-rzeszowski,oferta,1002197543</t>
  </si>
  <si>
    <t>2751804</t>
  </si>
  <si>
    <t>46173859</t>
  </si>
  <si>
    <t>RPd057|214101</t>
  </si>
  <si>
    <t>C++ Embedded Developer</t>
  </si>
  <si>
    <t>https://www.pracuj.pl/praca/c%2b%2b-embedded-developer-rzeszow,oferta,1002197564</t>
  </si>
  <si>
    <t>2751824</t>
  </si>
  <si>
    <t>46173879</t>
  </si>
  <si>
    <t>CEDC International</t>
  </si>
  <si>
    <t>Przedstawiciel Handlowy (k/m)</t>
  </si>
  <si>
    <t>https://www.pracuj.pl/praca/przedstawiciel-handlowy-k-m-jaslo,oferta,1002197587</t>
  </si>
  <si>
    <t>2751847</t>
  </si>
  <si>
    <t>46173902</t>
  </si>
  <si>
    <t>https://www.pracuj.pl/praca/przedstawiciel-handlowy-k-m-krosno,oferta,1002197588</t>
  </si>
  <si>
    <t>2751848</t>
  </si>
  <si>
    <t>46173903</t>
  </si>
  <si>
    <t>Polska, podkarpackie, Miejsce Piastowe (pow. krośnieński)</t>
  </si>
  <si>
    <t>https://www.pracuj.pl/praca/przedstawiciel-handlowy-k-m-miejsce-piastowe-pow-krosnienski,oferta,1002197589</t>
  </si>
  <si>
    <t>2751849</t>
  </si>
  <si>
    <t>46173904</t>
  </si>
  <si>
    <t>Polska, podkarpackie, Nowy Żmigród (pow. jasielski)</t>
  </si>
  <si>
    <t>https://www.pracuj.pl/praca/przedstawiciel-handlowy-k-m-nowy-zmigrod-pow-jasielski,oferta,1002197590</t>
  </si>
  <si>
    <t>2751850</t>
  </si>
  <si>
    <t>46173905</t>
  </si>
  <si>
    <t>SAVIO GROUP SPÓŁKA Z OGRANICZONĄ ODPOWIEDZIALNOŚCIĄ</t>
  </si>
  <si>
    <t>https://www.pracuj.pl/praca/magazynier-rzeszow,oferta,1002197689</t>
  </si>
  <si>
    <t>2751948</t>
  </si>
  <si>
    <t>46174003</t>
  </si>
  <si>
    <t>https://www.pracuj.pl/praca/specjalista-ds-obslugi-klienta-jaroslaw,oferta,1002197695</t>
  </si>
  <si>
    <t>2751954</t>
  </si>
  <si>
    <t>46174009</t>
  </si>
  <si>
    <t>Specjalista ds. ochrony i bezpieczeństwa</t>
  </si>
  <si>
    <t>Specjalista do spraw audytu zabezpieczenia</t>
  </si>
  <si>
    <t>https://www.pracuj.pl/praca/specjalista-ds-ochrony-i-bezpieczenstwa-tajecina-pow-rzeszowski,oferta,1002197754</t>
  </si>
  <si>
    <t>2752013</t>
  </si>
  <si>
    <t>46174068</t>
  </si>
  <si>
    <t>RPd057|214108</t>
  </si>
  <si>
    <t>C++ Developer with Qt</t>
  </si>
  <si>
    <t>https://www.pracuj.pl/praca/c%2b%2b-developer-with-qt-rzeszow,oferta,1002197829</t>
  </si>
  <si>
    <t>2752083</t>
  </si>
  <si>
    <t>46174138</t>
  </si>
  <si>
    <t>DHL Express (Poland) Sp. z o.o.</t>
  </si>
  <si>
    <t>https://www.pracuj.pl/praca/magazynier-zaczernie-pow-rzeszowski,oferta,1002197847</t>
  </si>
  <si>
    <t>2752100</t>
  </si>
  <si>
    <t>46174155</t>
  </si>
  <si>
    <t>Specjalista ds. Obsługi Klienta i Administracji</t>
  </si>
  <si>
    <t>https://www.pracuj.pl/praca/specjalista-ds-obslugi-klienta-i-administracji-zaczernie-pow-rzeszowski,oferta,1002197850</t>
  </si>
  <si>
    <t>2752103</t>
  </si>
  <si>
    <t>46174158</t>
  </si>
  <si>
    <t>Installer Developer</t>
  </si>
  <si>
    <t>https://www.pracuj.pl/praca/installer-developer-rzeszow,oferta,1002197868</t>
  </si>
  <si>
    <t>2752121</t>
  </si>
  <si>
    <t>46174176</t>
  </si>
  <si>
    <t>PLC Programmer – Siemens, Beckhoff, Allen-Bradley</t>
  </si>
  <si>
    <t>https://www.pracuj.pl/praca/plc-programmer-siemens-beckhoff-allen-bradley-rzeszow,oferta,1002197902</t>
  </si>
  <si>
    <t>2752155</t>
  </si>
  <si>
    <t>46174210</t>
  </si>
  <si>
    <t>Specjalista ds. Zakupów – Kupiec z językiem angielskim</t>
  </si>
  <si>
    <t>https://www.pracuj.pl/praca/specjalista-ds-zakupow-kupiec-z-jezykiem-angielskim-mielec,oferta,1002197921</t>
  </si>
  <si>
    <t>2752174</t>
  </si>
  <si>
    <t>46174229</t>
  </si>
  <si>
    <t>Monter maszyn i urządzeń przemysłowych</t>
  </si>
  <si>
    <t>https://www.pracuj.pl/praca/monter-mechaniczny-rzeszow,oferta,1002197927</t>
  </si>
  <si>
    <t>2752180</t>
  </si>
  <si>
    <t>46174235</t>
  </si>
  <si>
    <t>Talent Solutions</t>
  </si>
  <si>
    <t>Junior IT Support Specialist with German</t>
  </si>
  <si>
    <t>https://www.pracuj.pl/praca/junior-it-support-specialist-with-german-przemysl,oferta,1002197982</t>
  </si>
  <si>
    <t>2752233</t>
  </si>
  <si>
    <t>46174288</t>
  </si>
  <si>
    <t>https://www.pracuj.pl/praca/junior-it-support-specialist-with-german-rzeszow,oferta,1002197983</t>
  </si>
  <si>
    <t>2752234</t>
  </si>
  <si>
    <t>46174289</t>
  </si>
  <si>
    <t>Ośrodek Jeździecki Janiowe Wzgórze Janusz Miłek</t>
  </si>
  <si>
    <t>https://www.pracuj.pl/praca/kucharz-kucharka-rzeszow,oferta,1002198138</t>
  </si>
  <si>
    <t>2752387</t>
  </si>
  <si>
    <t>46174442</t>
  </si>
  <si>
    <t>C# Test Developer</t>
  </si>
  <si>
    <t>https://www.pracuj.pl/praca/c%23-test-developer-rzeszow,oferta,1002198241</t>
  </si>
  <si>
    <t>2752486</t>
  </si>
  <si>
    <t>46174541</t>
  </si>
  <si>
    <t>Firma Usługowo-Handlowa Bartosz Szylar</t>
  </si>
  <si>
    <t>https://www.pracuj.pl/praca/kurier-rzeszow,oferta,1002198418</t>
  </si>
  <si>
    <t>2752659</t>
  </si>
  <si>
    <t>46174714</t>
  </si>
  <si>
    <t>Programista Robotyki Online</t>
  </si>
  <si>
    <t>https://www.pracuj.pl/praca/programista-robotyki-online-rzeszow,oferta,1002198430</t>
  </si>
  <si>
    <t>2752671</t>
  </si>
  <si>
    <t>46174726</t>
  </si>
  <si>
    <t>https://www.pracuj.pl/praca/telemarketer-ka-rzeszow,oferta,1002198436</t>
  </si>
  <si>
    <t>2752677</t>
  </si>
  <si>
    <t>46174732</t>
  </si>
  <si>
    <t>https://www.pracuj.pl/praca/wlasciciel-szkoly-jezyka-angielskiego-mielec,oferta,1002198488</t>
  </si>
  <si>
    <t>2752729</t>
  </si>
  <si>
    <t>46174784</t>
  </si>
  <si>
    <t>https://www.pracuj.pl/praca/wlasciciel-szkoly-jezyka-angielskiego-tarnobrzeg,oferta,1002198493</t>
  </si>
  <si>
    <t>2752734</t>
  </si>
  <si>
    <t>46174789</t>
  </si>
  <si>
    <t>https://www.pracuj.pl/praca/wlasciciel-szkoly-jezyka-angielskiego-lancut,oferta,1002198539</t>
  </si>
  <si>
    <t>2752780</t>
  </si>
  <si>
    <t>46174835</t>
  </si>
  <si>
    <t>https://www.pracuj.pl/praca/wlasciciel-szkoly-jezyka-angielskiego-przemysl,oferta,1002198548</t>
  </si>
  <si>
    <t>2752789</t>
  </si>
  <si>
    <t>46174844</t>
  </si>
  <si>
    <t>Doradca/ Doradczyni Klienta Biznesowego</t>
  </si>
  <si>
    <t>https://www.pracuj.pl/praca/doradca-doradczyni-klienta-biznesowego-rzeszow,oferta,1002198570</t>
  </si>
  <si>
    <t>2752811</t>
  </si>
  <si>
    <t>46174866</t>
  </si>
  <si>
    <t>SKAT Transport Sp. z o.o. Sp.k.</t>
  </si>
  <si>
    <t>Kierowca Międzynarodowy C+E (możliwość przeszkolenia)</t>
  </si>
  <si>
    <t>https://www.pracuj.pl/praca/kierowca-miedzynarodowy-c%2be-mozliwosc-przeszkolenia-podkarpackie,oferta,9479801</t>
  </si>
  <si>
    <t>16.11.2022 04:20</t>
  </si>
  <si>
    <t>15.10.2022</t>
  </si>
  <si>
    <t>13.11.2022</t>
  </si>
  <si>
    <t>2776954</t>
  </si>
  <si>
    <t>44959766</t>
  </si>
  <si>
    <t>https://www.praca.pl/doradca-klienta_7702278.html</t>
  </si>
  <si>
    <t>16.11.2022 04:28</t>
  </si>
  <si>
    <t>12.11.2022</t>
  </si>
  <si>
    <t>2777051</t>
  </si>
  <si>
    <t>45815016</t>
  </si>
  <si>
    <t>https://www.praca.pl/pracownik-transportu-wewnetrznego_7740297.html</t>
  </si>
  <si>
    <t>16.11.2022 03:02</t>
  </si>
  <si>
    <t>2777075</t>
  </si>
  <si>
    <t>46510509</t>
  </si>
  <si>
    <t>EUREA Sp. z o.o.</t>
  </si>
  <si>
    <t>13.02.2023</t>
  </si>
  <si>
    <t>https://www.praca.pl/negocjator-terenowy_7728837.html</t>
  </si>
  <si>
    <t>2777099</t>
  </si>
  <si>
    <t>46510535</t>
  </si>
  <si>
    <t>Corporate Business Manager</t>
  </si>
  <si>
    <t>03.03.2023</t>
  </si>
  <si>
    <t>https://www.praca.pl/corporate-business-manager_7736955.html</t>
  </si>
  <si>
    <t>2777109</t>
  </si>
  <si>
    <t>46510545</t>
  </si>
  <si>
    <t>Inżynier ds. analiz wytrzymałościowych</t>
  </si>
  <si>
    <t>https://www.praca.pl/inzynier-ds-analiz-wytrzymalosciowych_7740072.html</t>
  </si>
  <si>
    <t>2777167</t>
  </si>
  <si>
    <t>46510605</t>
  </si>
  <si>
    <t>Operator Linii Produkcyjnej – Obsługa Linii Lakierniczej</t>
  </si>
  <si>
    <t>https://www.praca.pl/operator-linii-produkcyjnej-obsluga-linii-lakierniczej_7739961.html</t>
  </si>
  <si>
    <t>2777170</t>
  </si>
  <si>
    <t>46510608</t>
  </si>
  <si>
    <t>https://www.praca.pl/specjalista-ds-ekspansji_7739664.html</t>
  </si>
  <si>
    <t>2777263</t>
  </si>
  <si>
    <t>46510706</t>
  </si>
  <si>
    <t>https://www.praca.pl/specjalista_7738992.html</t>
  </si>
  <si>
    <t>2777409</t>
  </si>
  <si>
    <t>46510854</t>
  </si>
  <si>
    <t>Powiatowy Inspektorat Weterynarii w Przemyślu</t>
  </si>
  <si>
    <t>https://www.praca.pl/referent_7739040.html</t>
  </si>
  <si>
    <t>2777425</t>
  </si>
  <si>
    <t>46510870</t>
  </si>
  <si>
    <t>https://www.praca.pl/inspektor-weterynaryjny_7739064.html</t>
  </si>
  <si>
    <t>2777433</t>
  </si>
  <si>
    <t>46510878</t>
  </si>
  <si>
    <t>https://www.praca.pl/inspektor_7739088.html</t>
  </si>
  <si>
    <t>2777441</t>
  </si>
  <si>
    <t>46510886</t>
  </si>
  <si>
    <t>https://www.praca.pl/inspektor-weterynaryjny_7739121.html</t>
  </si>
  <si>
    <t>2777452</t>
  </si>
  <si>
    <t>46510897</t>
  </si>
  <si>
    <t>https://www.praca.pl/inspektor-weterynaryjny_7739184.html</t>
  </si>
  <si>
    <t>2777473</t>
  </si>
  <si>
    <t>46510918</t>
  </si>
  <si>
    <t>16.11.2022 03:30</t>
  </si>
  <si>
    <t>2777580</t>
  </si>
  <si>
    <t>46546315</t>
  </si>
  <si>
    <t>2777586</t>
  </si>
  <si>
    <t>46546321</t>
  </si>
  <si>
    <t>2777591</t>
  </si>
  <si>
    <t>46546326</t>
  </si>
  <si>
    <t>2777626</t>
  </si>
  <si>
    <t>46546361</t>
  </si>
  <si>
    <t>2777628</t>
  </si>
  <si>
    <t>46546363</t>
  </si>
  <si>
    <t>2777633</t>
  </si>
  <si>
    <t>46546368</t>
  </si>
  <si>
    <t>2777796</t>
  </si>
  <si>
    <t>46546531</t>
  </si>
  <si>
    <t>2777812</t>
  </si>
  <si>
    <t>46546547</t>
  </si>
  <si>
    <t>2777820</t>
  </si>
  <si>
    <t>46546555</t>
  </si>
  <si>
    <t>2777873</t>
  </si>
  <si>
    <t>46546608</t>
  </si>
  <si>
    <t>2777874</t>
  </si>
  <si>
    <t>46546609</t>
  </si>
  <si>
    <t>2777897</t>
  </si>
  <si>
    <t>46546632</t>
  </si>
  <si>
    <t>2777946</t>
  </si>
  <si>
    <t>46546681</t>
  </si>
  <si>
    <t>https://www.goldenline.pl/praca/oferta/1314212/zielonalinia0?utm_brand=goldenline&amp;utm_source=zielonalinia0&amp;gpid=1024614&amp;utm_channel=free&amp;utm_medium=oferta&amp;utm_department=marketing</t>
  </si>
  <si>
    <t>14.11.2022</t>
  </si>
  <si>
    <t>19.12.2022</t>
  </si>
  <si>
    <t>2777952</t>
  </si>
  <si>
    <t>46546687</t>
  </si>
  <si>
    <t>2777977</t>
  </si>
  <si>
    <t>46546712</t>
  </si>
  <si>
    <t>2777988</t>
  </si>
  <si>
    <t>46546723</t>
  </si>
  <si>
    <t>2778022</t>
  </si>
  <si>
    <t>46546757</t>
  </si>
  <si>
    <t>2778096</t>
  </si>
  <si>
    <t>46546831</t>
  </si>
  <si>
    <t>2778132</t>
  </si>
  <si>
    <t>46546867</t>
  </si>
  <si>
    <t>2778134</t>
  </si>
  <si>
    <t>46546869</t>
  </si>
  <si>
    <t>2778175</t>
  </si>
  <si>
    <t>46546910</t>
  </si>
  <si>
    <t>2778268</t>
  </si>
  <si>
    <t>46547003</t>
  </si>
  <si>
    <t>https://www.goldenline.pl/praca/oferta/1314640/zielonalinia0?utm_brand=goldenline&amp;utm_source=zielonalinia0&amp;gpid=1025072&amp;utm_channel=free&amp;utm_medium=oferta&amp;utm_department=marketing</t>
  </si>
  <si>
    <t>12.12.2022</t>
  </si>
  <si>
    <t>2778318</t>
  </si>
  <si>
    <t>46547053</t>
  </si>
  <si>
    <t>https://www.goldenline.pl/praca/oferta/1314210/zielonalinia0?utm_brand=goldenline&amp;utm_source=zielonalinia0&amp;gpid=1024612&amp;utm_channel=free&amp;utm_medium=oferta&amp;utm_department=marketing</t>
  </si>
  <si>
    <t>2778383</t>
  </si>
  <si>
    <t>46547118</t>
  </si>
  <si>
    <t>2778387</t>
  </si>
  <si>
    <t>46547122</t>
  </si>
  <si>
    <t>2778402</t>
  </si>
  <si>
    <t>46547137</t>
  </si>
  <si>
    <t>2778536</t>
  </si>
  <si>
    <t>46547271</t>
  </si>
  <si>
    <t>2778615</t>
  </si>
  <si>
    <t>46547350</t>
  </si>
  <si>
    <t>2778706</t>
  </si>
  <si>
    <t>46547441</t>
  </si>
  <si>
    <t>2778720</t>
  </si>
  <si>
    <t>46547455</t>
  </si>
  <si>
    <t>https://www.goldenline.pl/praca/oferta/1314464/zielonalinia0?utm_brand=goldenline&amp;utm_source=zielonalinia0&amp;gpid=1024616&amp;utm_channel=free&amp;utm_medium=oferta&amp;utm_department=marketing</t>
  </si>
  <si>
    <t>2778750</t>
  </si>
  <si>
    <t>46547485</t>
  </si>
  <si>
    <t>2778791</t>
  </si>
  <si>
    <t>46547526</t>
  </si>
  <si>
    <t>2778804</t>
  </si>
  <si>
    <t>46547539</t>
  </si>
  <si>
    <t>2778849</t>
  </si>
  <si>
    <t>46547584</t>
  </si>
  <si>
    <t>2778940</t>
  </si>
  <si>
    <t>46547675</t>
  </si>
  <si>
    <t>2778946</t>
  </si>
  <si>
    <t>46547681</t>
  </si>
  <si>
    <t>2778977</t>
  </si>
  <si>
    <t>46547712</t>
  </si>
  <si>
    <t>2778989</t>
  </si>
  <si>
    <t>46547724</t>
  </si>
  <si>
    <t>2779004</t>
  </si>
  <si>
    <t>46547739</t>
  </si>
  <si>
    <t>https://www.pracuj.pl/praca/przedstawiciel-handlowy-podkarpackie,oferta,9544854</t>
  </si>
  <si>
    <t>2779013</t>
  </si>
  <si>
    <t>46547838</t>
  </si>
  <si>
    <t>Software Engineer SQL</t>
  </si>
  <si>
    <t>https://www.pracuj.pl/praca/software-engineer-sql-subcarpathia,oferta,9547964</t>
  </si>
  <si>
    <t>16.11.2022 03:40</t>
  </si>
  <si>
    <t>2779017</t>
  </si>
  <si>
    <t>46547842</t>
  </si>
  <si>
    <t>ZET Transport Sp. z o.o</t>
  </si>
  <si>
    <t>Specjalista ds. rozwoju biznesu</t>
  </si>
  <si>
    <t>https://www.pracuj.pl/praca/specjalista-ds-rozwoju-biznesu-podkarpackie,oferta,9548055</t>
  </si>
  <si>
    <t>2779038</t>
  </si>
  <si>
    <t>46547863</t>
  </si>
  <si>
    <t>LANTRANS sp. z o.o.</t>
  </si>
  <si>
    <t>Kierowca ciągnika siodłowego C+E</t>
  </si>
  <si>
    <t>https://www.pracuj.pl/praca/kierowca-ciagnika-siodlowego-c%2be-podkarpackie,oferta,9548072</t>
  </si>
  <si>
    <t>2779065</t>
  </si>
  <si>
    <t>46547890</t>
  </si>
  <si>
    <t>"FRISCHEIS PROJECT POLSKA" SPÓŁKA Z OGRANICZONĄ ODPOWIEDZIALNOŚCIĄ</t>
  </si>
  <si>
    <t>Samodzielna księgowa</t>
  </si>
  <si>
    <t>https://www.pracuj.pl/praca/samodzielna-ksiegowa-podkarpackie,oferta,9548028</t>
  </si>
  <si>
    <t>2779074</t>
  </si>
  <si>
    <t>46547899</t>
  </si>
  <si>
    <t>Viabill Tech A/S</t>
  </si>
  <si>
    <t>https://www.pracuj.pl/praca/accountant-subcarpathia,oferta,9548185</t>
  </si>
  <si>
    <t>2779110</t>
  </si>
  <si>
    <t>46547935</t>
  </si>
  <si>
    <t>https://www.pracuj.pl/praca/przedstawiciel-handlowy-jaroslaw,oferta,9547421</t>
  </si>
  <si>
    <t>2779113</t>
  </si>
  <si>
    <t>46547938</t>
  </si>
  <si>
    <t>Lead Architect</t>
  </si>
  <si>
    <t>https://www.pracuj.pl/praca/lead-architect-podkarpackie,oferta,9547364</t>
  </si>
  <si>
    <t>2779157</t>
  </si>
  <si>
    <t>46547982</t>
  </si>
  <si>
    <t>https://www.pracuj.pl/praca/graphic-designer-subcarpathia,oferta,9547261</t>
  </si>
  <si>
    <t>2779168</t>
  </si>
  <si>
    <t>46547993</t>
  </si>
  <si>
    <t>Trener POK – Dział Szkoleń</t>
  </si>
  <si>
    <t>https://www.pracuj.pl/praca/trener-pok-dzial-szkolen-podkarpackie,oferta,9547204</t>
  </si>
  <si>
    <t>2779176</t>
  </si>
  <si>
    <t>46548001</t>
  </si>
  <si>
    <t>Miraculum S.A.</t>
  </si>
  <si>
    <t>https://www.pracuj.pl/praca/przedstawiciel-handlowy-podkarpackie,oferta,9547035</t>
  </si>
  <si>
    <t>2779196</t>
  </si>
  <si>
    <t>46548021</t>
  </si>
  <si>
    <t>URGO Sp. z o.o.</t>
  </si>
  <si>
    <t>https://www.pracuj.pl/praca/przedstawiciel-medyczny-podkarpackie,oferta,9547020</t>
  </si>
  <si>
    <t>2779203</t>
  </si>
  <si>
    <t>46548028</t>
  </si>
  <si>
    <t>https://www.pracuj.pl/praca/programista-php-podkarpackie,oferta,9546913</t>
  </si>
  <si>
    <t>2779227</t>
  </si>
  <si>
    <t>46548052</t>
  </si>
  <si>
    <t>https://www.pracuj.pl/praca/network-security-engineer-firewall-fortigates-subcarpathia,oferta,9546868</t>
  </si>
  <si>
    <t>2779251</t>
  </si>
  <si>
    <t>46548076</t>
  </si>
  <si>
    <t>YELLOW HOUSE ENGLISH S.A.</t>
  </si>
  <si>
    <t>Koordynator/ka Międzynarodowego Programu Powszechnej Dwujęzyczności</t>
  </si>
  <si>
    <t>https://www.pracuj.pl/praca/koordynator-ka-miedzynarodowego-programu-powszechnej-dwujezycznosci-podkarpackie,oferta,9547183</t>
  </si>
  <si>
    <t>2779256</t>
  </si>
  <si>
    <t>46548081</t>
  </si>
  <si>
    <t>https://www.pracuj.pl/praca/net-developer-subcarpathia,oferta,9546997</t>
  </si>
  <si>
    <t>2779271</t>
  </si>
  <si>
    <t>46548096</t>
  </si>
  <si>
    <t>Cocomore AG</t>
  </si>
  <si>
    <t>Client Service Manager</t>
  </si>
  <si>
    <t>https://www.pracuj.pl/praca/client-service-manager-subcarpathia,oferta,9546628</t>
  </si>
  <si>
    <t>2779275</t>
  </si>
  <si>
    <t>46548100</t>
  </si>
  <si>
    <t>Tax Director (m/f)</t>
  </si>
  <si>
    <t>https://www.pracuj.pl/praca/tax-director-m-f-subcarpathia,oferta,9546511</t>
  </si>
  <si>
    <t>2779281</t>
  </si>
  <si>
    <t>46548106</t>
  </si>
  <si>
    <t>Account Director (E-commerce)</t>
  </si>
  <si>
    <t>https://www.pracuj.pl/praca/account-director-e-commerce-subcarpathia,oferta,9546534</t>
  </si>
  <si>
    <t>2779306</t>
  </si>
  <si>
    <t>46548131</t>
  </si>
  <si>
    <t>Josera Polska</t>
  </si>
  <si>
    <t>CMS Backend Developer</t>
  </si>
  <si>
    <t>https://www.pracuj.pl/praca/cms-backend-developer-podkarpackie,oferta,9546435</t>
  </si>
  <si>
    <t>2779336</t>
  </si>
  <si>
    <t>46548161</t>
  </si>
  <si>
    <t>Majorel Polska</t>
  </si>
  <si>
    <t>Customer Support Specialist with Dutch</t>
  </si>
  <si>
    <t>https://www.pracuj.pl/praca/customer-support-specialist-with-dutch-subcarpathia,oferta,9546343</t>
  </si>
  <si>
    <t>2779357</t>
  </si>
  <si>
    <t>46548182</t>
  </si>
  <si>
    <t>SIMPLE SOLUTIONS sp. z o.o.</t>
  </si>
  <si>
    <t>https://www.pracuj.pl/praca/spedytor-miedzynarodowy-podkarpackie,oferta,9546058</t>
  </si>
  <si>
    <t>2779378</t>
  </si>
  <si>
    <t>46548203</t>
  </si>
  <si>
    <t>OQEMA Sp. z o.o.</t>
  </si>
  <si>
    <t>Przedstawiciel Regionalny w dziale Farmacja i Suplementy Diety</t>
  </si>
  <si>
    <t>https://www.pracuj.pl/praca/przedstawiciel-regionalny-w-dziale-farmacja-i-suplementy-diety-podkarpackie,oferta,9545993</t>
  </si>
  <si>
    <t>2779384</t>
  </si>
  <si>
    <t>46548209</t>
  </si>
  <si>
    <t>DevOps Developer</t>
  </si>
  <si>
    <t>https://www.pracuj.pl/praca/devops-developer-podkarpackie,oferta,9546413</t>
  </si>
  <si>
    <t>2779385</t>
  </si>
  <si>
    <t>46548210</t>
  </si>
  <si>
    <t>Country Sales Manager Poland (Electrotechnical Business)</t>
  </si>
  <si>
    <t>https://www.pracuj.pl/praca/country-sales-manager-poland-electrotechnical-business-subcarpathia,oferta,9545574</t>
  </si>
  <si>
    <t>2779422</t>
  </si>
  <si>
    <t>46548247</t>
  </si>
  <si>
    <t>Cloud Architect - Middle East Projects</t>
  </si>
  <si>
    <t>https://www.pracuj.pl/praca/cloud-architect-middle-east-projects-subcarpathia,oferta,9546136</t>
  </si>
  <si>
    <t>2779425</t>
  </si>
  <si>
    <t>46548250</t>
  </si>
  <si>
    <t>Kierownik Robót - Kierownik Budowy (Praca w delegacji)</t>
  </si>
  <si>
    <t>https://www.pracuj.pl/praca/kierownik-robot-kierownik-budowy-praca-w-delegacji-podkarpackie,oferta,9546036</t>
  </si>
  <si>
    <t>2779475</t>
  </si>
  <si>
    <t>46548300</t>
  </si>
  <si>
    <t>CO.BRICK SPÓŁKA Z OGRANICZONĄ ODPOWIEDZIALNOŚCIĄ</t>
  </si>
  <si>
    <t>Senior Angular Developer</t>
  </si>
  <si>
    <t>https://www.pracuj.pl/praca/senior-angular-developer-subcarpathia,oferta,9545306</t>
  </si>
  <si>
    <t>2779508</t>
  </si>
  <si>
    <t>46548333</t>
  </si>
  <si>
    <t>OptiBuy</t>
  </si>
  <si>
    <t>Specjalista ds. Komunikacji</t>
  </si>
  <si>
    <t>https://www.pracuj.pl/praca/specjalista-ds-komunikacji-podkarpackie,oferta,9545961</t>
  </si>
  <si>
    <t>2779513</t>
  </si>
  <si>
    <t>46548338</t>
  </si>
  <si>
    <t>Specjalista ds. zakupu surowców</t>
  </si>
  <si>
    <t>https://www.pracuj.pl/praca/specjalista-ds-zakupu-surowcow-podkarpackie,oferta,9545661</t>
  </si>
  <si>
    <t>2779524</t>
  </si>
  <si>
    <t>46548349</t>
  </si>
  <si>
    <t>Deloitte CE Business Services Sp. z o.o.</t>
  </si>
  <si>
    <t>Legal Counsel</t>
  </si>
  <si>
    <t>https://www.pracuj.pl/praca/legal-counsel-subcarpathia,oferta,9545238</t>
  </si>
  <si>
    <t>2779534</t>
  </si>
  <si>
    <t>46548359</t>
  </si>
  <si>
    <t>SYSKO</t>
  </si>
  <si>
    <t>Instruktor PRZEDSZKOLIADA.PL</t>
  </si>
  <si>
    <t>https://www.pracuj.pl/praca/instruktor-przedszkoliada-pl-podkarpackie,oferta,9545529</t>
  </si>
  <si>
    <t>2779550</t>
  </si>
  <si>
    <t>46548375</t>
  </si>
  <si>
    <t>Devops Engineer</t>
  </si>
  <si>
    <t>https://www.pracuj.pl/praca/devops-engineer-subcarpathia,oferta,9545284</t>
  </si>
  <si>
    <t>2779577</t>
  </si>
  <si>
    <t>46548402</t>
  </si>
  <si>
    <t>Key Account Manager Polska i Czechy - branża grzewcza</t>
  </si>
  <si>
    <t>https://www.pracuj.pl/praca/key-account-manager-polska-i-czechy-branza-grzewcza-podkarpackie,oferta,9545259</t>
  </si>
  <si>
    <t>2779583</t>
  </si>
  <si>
    <t>46548408</t>
  </si>
  <si>
    <t>Plastrans Petrochemicals GmbH</t>
  </si>
  <si>
    <t>Account Manager (m/f/d)</t>
  </si>
  <si>
    <t>https://www.pracuj.pl/praca/account-manager-m-f-d-subcarpathia,oferta,9544974</t>
  </si>
  <si>
    <t>2779596</t>
  </si>
  <si>
    <t>46548421</t>
  </si>
  <si>
    <t>EWE energia Sp. z o.o.</t>
  </si>
  <si>
    <t>Specjalista /Specjalistka ds. Sprzedaży</t>
  </si>
  <si>
    <t>https://www.pracuj.pl/praca/specjalista-specjalistka-ds-sprzedazy-podkarpackie,oferta,9545102</t>
  </si>
  <si>
    <t>2779605</t>
  </si>
  <si>
    <t>46548430</t>
  </si>
  <si>
    <t>Bizea Sp. z o.o.</t>
  </si>
  <si>
    <t>https://www.pracuj.pl/praca/przedstawiciel-handlowy-podkarpackie,oferta,9544890</t>
  </si>
  <si>
    <t>2779612</t>
  </si>
  <si>
    <t>46548437</t>
  </si>
  <si>
    <t>CLIMATIC sp. z o.o. spółka komandytowa</t>
  </si>
  <si>
    <t>Monter instalacji i urządzeń grzewczych, wentylacyjnych, wodnych, kanalizacyjnych</t>
  </si>
  <si>
    <t>https://www.pracuj.pl/praca/monter-instalacji-i-urzadzen-grzewczych-wentylacyjnych-wodnych-kanalizacyjnych-podkarpackie,oferta,9545077</t>
  </si>
  <si>
    <t>2779613</t>
  </si>
  <si>
    <t>46548438</t>
  </si>
  <si>
    <t>SACCO POLSKA KĘDZIA SPÓŁKA KOMANDYTOWA</t>
  </si>
  <si>
    <t>Specjalista ds. surowców mleczarskich w Dziale Handlowym</t>
  </si>
  <si>
    <t>Technik technologii żywności - przetwórstwo mleczarskie</t>
  </si>
  <si>
    <t>https://www.pracuj.pl/praca/specjalista-ds-surowcow-mleczarskich-w-dziale-handlowym-podkarpackie,oferta,9544816</t>
  </si>
  <si>
    <t>2779651</t>
  </si>
  <si>
    <t>46548476</t>
  </si>
  <si>
    <t>RPd057|314412</t>
  </si>
  <si>
    <t>Customer Experience Senior Consultant - Middle East Projects</t>
  </si>
  <si>
    <t>https://www.pracuj.pl/praca/customer-experience-senior-consultant-middle-east-projects-subcarpathia,oferta,9548451</t>
  </si>
  <si>
    <t>2779672</t>
  </si>
  <si>
    <t>46548497</t>
  </si>
  <si>
    <t>Commercial secretary</t>
  </si>
  <si>
    <t>https://www.pracuj.pl/praca/commercial-secretary-tajecina-pow-rzeszowski-112,oferta,1002207623</t>
  </si>
  <si>
    <t>2779747</t>
  </si>
  <si>
    <t>46548572</t>
  </si>
  <si>
    <t>SILVA</t>
  </si>
  <si>
    <t>Kierownik ds. Zakupów Recyclingu</t>
  </si>
  <si>
    <t>https://www.pracuj.pl/praca/kierownik-ds-zakupow-recyclingu-podkarpackie,oferta,9547341</t>
  </si>
  <si>
    <t>2779755</t>
  </si>
  <si>
    <t>46548580</t>
  </si>
  <si>
    <t>homfi</t>
  </si>
  <si>
    <t>Specjalista Contact Center / Contact Center Specialist</t>
  </si>
  <si>
    <t>https://www.pracuj.pl/praca/specjalista-contact-center-contact-center-specialist-rzeszow,oferta,1002207682</t>
  </si>
  <si>
    <t>2779786</t>
  </si>
  <si>
    <t>46548611</t>
  </si>
  <si>
    <t>Stażysta/ka Metrolog</t>
  </si>
  <si>
    <t>https://www.pracuj.pl/praca/stazysta-ka-metrolog-rzeszow-klementyny-hoffmanowej-19,oferta,1002207669</t>
  </si>
  <si>
    <t>2779794</t>
  </si>
  <si>
    <t>46548619</t>
  </si>
  <si>
    <t>SAGAT sp. z o.o.</t>
  </si>
  <si>
    <t>Zaopatrzeniowiec - Pracownik biurowy</t>
  </si>
  <si>
    <t>https://www.pracuj.pl/praca/zaopatrzeniowiec-pracownik-biurowy-wola-dalsza-pow-lancucki,oferta,1002208767</t>
  </si>
  <si>
    <t>2779813</t>
  </si>
  <si>
    <t>46548638</t>
  </si>
  <si>
    <t>Junior IT Asset Management Specialist</t>
  </si>
  <si>
    <t>https://www.pracuj.pl/praca/junior-it-asset-management-specialist-subcarpathia,oferta,9546948</t>
  </si>
  <si>
    <t>2779853</t>
  </si>
  <si>
    <t>46548678</t>
  </si>
  <si>
    <t>https://www.pracuj.pl/praca/mlodszy-mechanik-mechaniczka-silnikow-lotniczych-jasionka-pow-rzeszowski-949,oferta,1002207763</t>
  </si>
  <si>
    <t>2779879</t>
  </si>
  <si>
    <t>46548704</t>
  </si>
  <si>
    <t>"SARAKHMAN" sp. z o.o.</t>
  </si>
  <si>
    <t>Kierownik Budowy – farmy fotowoltaiczne</t>
  </si>
  <si>
    <t>https://www.pracuj.pl/praca/kierownik-budowy-farmy-fotowoltaiczne-podkarpackie,oferta,9546757</t>
  </si>
  <si>
    <t>2779909</t>
  </si>
  <si>
    <t>46548734</t>
  </si>
  <si>
    <t>https://www.pracuj.pl/praca/kontroler-jakosci-tajecina-pow-rzeszowski,oferta,1002207767</t>
  </si>
  <si>
    <t>2779916</t>
  </si>
  <si>
    <t>46548741</t>
  </si>
  <si>
    <t>PRZEDSIĘBIORSTWO PETRUS sp. z o.o.</t>
  </si>
  <si>
    <t>Drukarz - Operator urządzeń poligraficznych</t>
  </si>
  <si>
    <t>Maszynista maszyn offsetowych</t>
  </si>
  <si>
    <t>https://www.pracuj.pl/praca/drukarz-operator-urzadzen-poligraficznych-stalowa-wola-niezlomnych-68,oferta,1002208056</t>
  </si>
  <si>
    <t>2779974</t>
  </si>
  <si>
    <t>46548799</t>
  </si>
  <si>
    <t>RPd057|732205</t>
  </si>
  <si>
    <t>Amplifon Poland sp. z o.o.</t>
  </si>
  <si>
    <t>https://www.pracuj.pl/praca/protetyk-sluchu-mielec,oferta,1002208142</t>
  </si>
  <si>
    <t>2780026</t>
  </si>
  <si>
    <t>46548851</t>
  </si>
  <si>
    <t>https://www.pracuj.pl/praca/protetyk-sluchu-tarnobrzeg,oferta,1002208173</t>
  </si>
  <si>
    <t>2780028</t>
  </si>
  <si>
    <t>46548853</t>
  </si>
  <si>
    <t>https://www.pracuj.pl/praca/protetyk-sluchu-krosno,oferta,1002208191</t>
  </si>
  <si>
    <t>2780039</t>
  </si>
  <si>
    <t>46548864</t>
  </si>
  <si>
    <t>Workforce Management Specialist (Specjalista ds. Zarządzania Personelem)</t>
  </si>
  <si>
    <t>https://www.pracuj.pl/praca/workforce-management-specialist-specjalista-ds-zarzadzania-personelem-rzeszow,oferta,1002208087</t>
  </si>
  <si>
    <t>2780061</t>
  </si>
  <si>
    <t>46548886</t>
  </si>
  <si>
    <t>Programista Delphi</t>
  </si>
  <si>
    <t>https://www.pracuj.pl/praca/programista-delphi-podkarpackie,oferta,9546698</t>
  </si>
  <si>
    <t>2780075</t>
  </si>
  <si>
    <t>46548900</t>
  </si>
  <si>
    <t>Biuro Nieruchomości Pierwsze Piętro</t>
  </si>
  <si>
    <t>Specjalista ds. nieruchomości</t>
  </si>
  <si>
    <t>https://www.pracuj.pl/praca/specjalista-ds-nieruchomosci-rzeszow-aleja-generala-leopolda-okulickiego-12,oferta,1002209368</t>
  </si>
  <si>
    <t>2780078</t>
  </si>
  <si>
    <t>46548903</t>
  </si>
  <si>
    <t>https://www.pracuj.pl/praca/protetyk-sluchu-jaslo,oferta,1002208194</t>
  </si>
  <si>
    <t>2780109</t>
  </si>
  <si>
    <t>46548934</t>
  </si>
  <si>
    <t>https://www.pracuj.pl/praca/protetyk-sluchu-debica,oferta,1002208201</t>
  </si>
  <si>
    <t>2780111</t>
  </si>
  <si>
    <t>46548936</t>
  </si>
  <si>
    <t>https://www.pracuj.pl/praca/protetyk-sluchu-stalowa-wola,oferta,1002208210</t>
  </si>
  <si>
    <t>2780120</t>
  </si>
  <si>
    <t>46548945</t>
  </si>
  <si>
    <t>Specjalista dz. Zakupów (branża kosmetyczna)</t>
  </si>
  <si>
    <t>https://www.pracuj.pl/praca/specjalista-dz-zakupow-branza-kosmetyczna-lancut-przemyslowa-8,oferta,1002209434</t>
  </si>
  <si>
    <t>2780158</t>
  </si>
  <si>
    <t>46548983</t>
  </si>
  <si>
    <t>https://www.pracuj.pl/praca/doradca-ubezpieczeniowy-stalowa-wola,oferta,1002208389</t>
  </si>
  <si>
    <t>2780164</t>
  </si>
  <si>
    <t>46548989</t>
  </si>
  <si>
    <t>SŁONECZNY DORADCA OZE SPÓŁKA Z OGRANICZONĄ ODPOWIEDZIALNOŚCIĄ</t>
  </si>
  <si>
    <t>Przedstawiciel Handlowy Branża OZE</t>
  </si>
  <si>
    <t>https://www.pracuj.pl/praca/przedstawiciel-handlowy-branza-oze-rzeszow,oferta,1002209521</t>
  </si>
  <si>
    <t>2780221</t>
  </si>
  <si>
    <t>46549046</t>
  </si>
  <si>
    <t>Baltic Control Poland Ltd Sp. z o.o.</t>
  </si>
  <si>
    <t>Junior Coordinator/Coordinator (cargo control)</t>
  </si>
  <si>
    <t>https://www.pracuj.pl/praca/junior-coordinator-coordinator-cargo-control-przemysl,oferta,1002209535</t>
  </si>
  <si>
    <t>2780224</t>
  </si>
  <si>
    <t>46549049</t>
  </si>
  <si>
    <t>IBDS sp. z o.o.</t>
  </si>
  <si>
    <t>Asystent / Asystentka projektanta - instalacje elektryczne</t>
  </si>
  <si>
    <t>https://www.pracuj.pl/praca/asystent-asystentka-projektanta-instalacje-elektryczne-rzeszow-technologiczna-46,oferta,1002208262</t>
  </si>
  <si>
    <t>2780245</t>
  </si>
  <si>
    <t>46549070</t>
  </si>
  <si>
    <t>https://www.pracuj.pl/praca/konsultant-medyczny-brzozow,oferta,1002208285</t>
  </si>
  <si>
    <t>2780250</t>
  </si>
  <si>
    <t>46549075</t>
  </si>
  <si>
    <t>OCEANIC S.A.</t>
  </si>
  <si>
    <t>Regionalny Przedstawiciel ds. Dermokosmetyków</t>
  </si>
  <si>
    <t>https://www.pracuj.pl/praca/regionalny-przedstawiciel-ds-dermokosmetykow-podkarpackie,oferta,9546498</t>
  </si>
  <si>
    <t>2780329</t>
  </si>
  <si>
    <t>46549154</t>
  </si>
  <si>
    <t>Starszy Konsultant w Zespole Litigation (TAX)</t>
  </si>
  <si>
    <t>https://www.pracuj.pl/praca/starszy-konsultant-w-zespole-litigation-tax-rzeszow,oferta,1002208615</t>
  </si>
  <si>
    <t>2780435</t>
  </si>
  <si>
    <t>46549260</t>
  </si>
  <si>
    <t>https://www.pracuj.pl/praca/specjalista-ds-administracji-jezowe-pow-nizanski,oferta,1002208517</t>
  </si>
  <si>
    <t>2780479</t>
  </si>
  <si>
    <t>46549304</t>
  </si>
  <si>
    <t>https://www.pracuj.pl/praca/specjalista-ds-administracji-ropczyce,oferta,1002208516</t>
  </si>
  <si>
    <t>2780483</t>
  </si>
  <si>
    <t>46549308</t>
  </si>
  <si>
    <t>KNORR-BREMSE Systemy Pojazdów Szynowych Sp. z o.o.</t>
  </si>
  <si>
    <t>https://www.pracuj.pl/praca/specjalista-ds-bhp-rzeszow,oferta,1002208707</t>
  </si>
  <si>
    <t>2780484</t>
  </si>
  <si>
    <t>46549309</t>
  </si>
  <si>
    <t>Logito Sp. z o. o.</t>
  </si>
  <si>
    <t>https://www.pracuj.pl/praca/kierownik-projektow-it-rzeszow,oferta,1002208465</t>
  </si>
  <si>
    <t>2780519</t>
  </si>
  <si>
    <t>46549344</t>
  </si>
  <si>
    <t>https://www.pracuj.pl/praca/doradca-ubezpieczeniowy-jaslo,oferta,1002208434</t>
  </si>
  <si>
    <t>2780526</t>
  </si>
  <si>
    <t>46549351</t>
  </si>
  <si>
    <t>https://www.pracuj.pl/praca/doradca-ubezpieczeniowy-jaroslaw,oferta,1002208433</t>
  </si>
  <si>
    <t>2780527</t>
  </si>
  <si>
    <t>46549352</t>
  </si>
  <si>
    <t>https://www.pracuj.pl/praca/doradca-ubezpieczeniowy-przemysl,oferta,1002208418</t>
  </si>
  <si>
    <t>2780535</t>
  </si>
  <si>
    <t>46549360</t>
  </si>
  <si>
    <t>https://www.pracuj.pl/praca/doradca-ubezpieczeniowy-rzeszow,oferta,1002208415</t>
  </si>
  <si>
    <t>2780539</t>
  </si>
  <si>
    <t>46549364</t>
  </si>
  <si>
    <t>https://www.pracuj.pl/praca/doradca-ubezpieczeniowy-sanok,oferta,1002208414</t>
  </si>
  <si>
    <t>2780540</t>
  </si>
  <si>
    <t>46549365</t>
  </si>
  <si>
    <t>https://www.pracuj.pl/praca/kierownik-sklepu-tarnobrzeg,oferta,1002208476</t>
  </si>
  <si>
    <t>2780569</t>
  </si>
  <si>
    <t>46549394</t>
  </si>
  <si>
    <t>https://www.pracuj.pl/praca/hr-business-partner-rzeszow,oferta,1002208216</t>
  </si>
  <si>
    <t>2780607</t>
  </si>
  <si>
    <t>46549432</t>
  </si>
  <si>
    <t>Planista MRP - Zaopatrzeniowiec</t>
  </si>
  <si>
    <t>https://www.pracuj.pl/praca/planista-mrp-zaopatrzeniowiec-sedziszow-malopolski-partyzantow-29,oferta,1002208114</t>
  </si>
  <si>
    <t>2780644</t>
  </si>
  <si>
    <t>46549469</t>
  </si>
  <si>
    <t>https://www.pracuj.pl/praca/protetyk-sluchu-przemysl,oferta,1002208159</t>
  </si>
  <si>
    <t>2780701</t>
  </si>
  <si>
    <t>46549526</t>
  </si>
  <si>
    <t>Mechanik Form - Ślusarz</t>
  </si>
  <si>
    <t>https://www.pracuj.pl/praca/mechanik-form-slusarz-jaroslaw,oferta,1002207900</t>
  </si>
  <si>
    <t>2780731</t>
  </si>
  <si>
    <t>46549556</t>
  </si>
  <si>
    <t>https://www.pracuj.pl/praca/specjalista-ds-zakupow-jasionka-pow-rzeszowski-949,oferta,1002209066</t>
  </si>
  <si>
    <t>2780778</t>
  </si>
  <si>
    <t>46549603</t>
  </si>
  <si>
    <t>https://www.pracuj.pl/praca/kontroler-jakosci-krosno-zwirki-i-wigury-6a,oferta,1002207757</t>
  </si>
  <si>
    <t>2780782</t>
  </si>
  <si>
    <t>46549607</t>
  </si>
  <si>
    <t>https://www.pracuj.pl/praca/kontroler-jakosci-tajecina-pow-rzeszowski,oferta,1002207756</t>
  </si>
  <si>
    <t>2780783</t>
  </si>
  <si>
    <t>46549608</t>
  </si>
  <si>
    <t>Inspektor Jakości (ETTS)</t>
  </si>
  <si>
    <t>https://www.pracuj.pl/praca/inspektor-jakosci-etts-jasionka-pow-rzeszowski,oferta,1002209086</t>
  </si>
  <si>
    <t>2780795</t>
  </si>
  <si>
    <t>46549620</t>
  </si>
  <si>
    <t>Konsultant w Zespole Ulg i Dotacji</t>
  </si>
  <si>
    <t>https://www.pracuj.pl/praca/konsultant-w-zespole-ulg-i-dotacji-rzeszow,oferta,1002208746</t>
  </si>
  <si>
    <t>2780865</t>
  </si>
  <si>
    <t>46549690</t>
  </si>
  <si>
    <t>Edge &amp; CDN Business Development Manager</t>
  </si>
  <si>
    <t>https://www.pracuj.pl/praca/edge-cdn-business-development-manager-podkarpackie,oferta,9546271</t>
  </si>
  <si>
    <t>2780972</t>
  </si>
  <si>
    <t>46549797</t>
  </si>
  <si>
    <t>Recepcjonistka / Recepcjonista</t>
  </si>
  <si>
    <t>https://www.pracuj.pl/praca/recepcjonistka-recepcjonista-swilcza-pow-rzeszowski-146t,oferta,1002208839</t>
  </si>
  <si>
    <t>2780985</t>
  </si>
  <si>
    <t>46549810</t>
  </si>
  <si>
    <t>Specjalista / Specjalistka ds. sprzedaży - branża IT</t>
  </si>
  <si>
    <t>https://www.pracuj.pl/praca/specjalista-specjalistka-ds-sprzedazy-branza-it-rzeszow-zaleska-63b,oferta,1002209092</t>
  </si>
  <si>
    <t>2780996</t>
  </si>
  <si>
    <t>46549821</t>
  </si>
  <si>
    <t>Unique People sp. z o.o.</t>
  </si>
  <si>
    <t>Customer Service Specialist with Romanian</t>
  </si>
  <si>
    <t>https://www.pracuj.pl/praca/customer-service-specialist-with-romanian-tarnobrzeg,oferta,1002209819</t>
  </si>
  <si>
    <t>2781022</t>
  </si>
  <si>
    <t>46549847</t>
  </si>
  <si>
    <t>Inżynier Budowy (Praca w delegacji)</t>
  </si>
  <si>
    <t>https://www.pracuj.pl/praca/inzynier-budowy-praca-w-delegacji-podkarpackie,oferta,9546098</t>
  </si>
  <si>
    <t>2781034</t>
  </si>
  <si>
    <t>46549859</t>
  </si>
  <si>
    <t>Manager w zespole podatku dochodowego od osób fizycznych</t>
  </si>
  <si>
    <t>Specjalista do spraw rachunkowości podatkowej</t>
  </si>
  <si>
    <t>https://www.pracuj.pl/praca/manager-w-zespole-podatku-dochodowego-od-osob-fizycznych-rzeszow,oferta,1002208553</t>
  </si>
  <si>
    <t>2781044</t>
  </si>
  <si>
    <t>46549869</t>
  </si>
  <si>
    <t>https://www.pracuj.pl/praca/elektryk-przeworsk,oferta,1002209055</t>
  </si>
  <si>
    <t>2781097</t>
  </si>
  <si>
    <t>46549922</t>
  </si>
  <si>
    <t>Tecnocasa</t>
  </si>
  <si>
    <t>Konsultant ds. nieruchomości</t>
  </si>
  <si>
    <t>https://www.pracuj.pl/praca/konsultant-ds-nieruchomosci-rzeszow,oferta,1002209057</t>
  </si>
  <si>
    <t>2781098</t>
  </si>
  <si>
    <t>46549923</t>
  </si>
  <si>
    <t>https://www.pracuj.pl/praca/php-developer-subcarpathia,oferta,9545221</t>
  </si>
  <si>
    <t>2781262</t>
  </si>
  <si>
    <t>46550087</t>
  </si>
  <si>
    <t>ECOLUX Mirosław Dybek</t>
  </si>
  <si>
    <t>Kierowca Taxi</t>
  </si>
  <si>
    <t>https://www.pracuj.pl/praca/kierowca-taxi-rzeszow-urocza-10,oferta,1002210005</t>
  </si>
  <si>
    <t>2781301</t>
  </si>
  <si>
    <t>46550126</t>
  </si>
  <si>
    <t>Kierownik robót sanitarnych - Inżynier robót sanitarnych</t>
  </si>
  <si>
    <t>https://www.pracuj.pl/praca/kierownik-robot-sanitarnych-inzynier-robot-sanitarnych-podkarpackie,oferta,9545060</t>
  </si>
  <si>
    <t>2781323</t>
  </si>
  <si>
    <t>46550148</t>
  </si>
  <si>
    <t>Specjalista ds. Gospodarki Magazynowej i Logistyki</t>
  </si>
  <si>
    <t>https://www.pracuj.pl/praca/specjalista-ds-gospodarki-magazynowej-i-logistyki-ropczyce,oferta,1002209839</t>
  </si>
  <si>
    <t>2781341</t>
  </si>
  <si>
    <t>46550166</t>
  </si>
  <si>
    <t>Specjalista ds. badań EMC</t>
  </si>
  <si>
    <t>https://www.pracuj.pl/praca/specjalista-ds-badan-emc-mielec,oferta,1002209916</t>
  </si>
  <si>
    <t>2781350</t>
  </si>
  <si>
    <t>46550175</t>
  </si>
  <si>
    <t>Kierownik ds. księgowości, kadr i płac</t>
  </si>
  <si>
    <t>https://www.pracuj.pl/praca/kierownik-ds-ksiegowosci-kadr-i-plac-rzeszow,oferta,1002209973</t>
  </si>
  <si>
    <t>2781361</t>
  </si>
  <si>
    <t>46550186</t>
  </si>
  <si>
    <t>Analityk Systemowo-Biznesowy - zespół finansowania (Tribe Aplikacji Biznesowych)</t>
  </si>
  <si>
    <t>https://www.pracuj.pl/praca/analityk-systemowo-biznesowy-zespol-finansowania-tribe-aplikacji-biznesowych-podkarpackie,oferta,9544844</t>
  </si>
  <si>
    <t>2781369</t>
  </si>
  <si>
    <t>46550194</t>
  </si>
  <si>
    <t>SAMSUNG SDS GLOBAL SCL POLAND Sp. z o.o.</t>
  </si>
  <si>
    <t>Koordynator Logistyki</t>
  </si>
  <si>
    <t>https://www.pracuj.pl/praca/koordynator-logistyki-stalowa-wola,oferta,1002209411</t>
  </si>
  <si>
    <t>2781426</t>
  </si>
  <si>
    <t>46550251</t>
  </si>
  <si>
    <t>Quality Engineer</t>
  </si>
  <si>
    <t>https://www.pracuj.pl/praca/quality-engineer-tajecina-pow-rzeszowski,oferta,1002210155</t>
  </si>
  <si>
    <t>2781464</t>
  </si>
  <si>
    <t>46550289</t>
  </si>
  <si>
    <t>Grafik komputerowy</t>
  </si>
  <si>
    <t>https://www.pracuj.pl/praca/grafik-komputerowy-debica-metalowcow-35,oferta,1002210586</t>
  </si>
  <si>
    <t>2781497</t>
  </si>
  <si>
    <t>46550322</t>
  </si>
  <si>
    <t>https://www.pracuj.pl/praca/doradca-leasingowy-oddzial-korporacyjny-rzeszow,oferta,1002210400</t>
  </si>
  <si>
    <t>2781538</t>
  </si>
  <si>
    <t>46550363</t>
  </si>
  <si>
    <t>ING Lease</t>
  </si>
  <si>
    <t>Specjalista ds. sprzedaży leasingu - pojazdy lekkie</t>
  </si>
  <si>
    <t>https://www.pracuj.pl/praca/specjalista-ds-sprzedazy-leasingu-pojazdy-lekkie-rzeszow,oferta,1002210366</t>
  </si>
  <si>
    <t>2781557</t>
  </si>
  <si>
    <t>46550382</t>
  </si>
  <si>
    <t>Jakon Sp. z o.o.</t>
  </si>
  <si>
    <t>https://www.pracuj.pl/praca/inzynier-budowy-stalowa-wola,oferta,1002210332</t>
  </si>
  <si>
    <t>2781573</t>
  </si>
  <si>
    <t>46550398</t>
  </si>
  <si>
    <t>Automatyk*</t>
  </si>
  <si>
    <t>https://www.pracuj.pl/praca/automatyk-chmielow-pow-tarnobrzeski,oferta,1002209713</t>
  </si>
  <si>
    <t>2781628</t>
  </si>
  <si>
    <t>46550453</t>
  </si>
  <si>
    <t>RPd057|731107</t>
  </si>
  <si>
    <t>Tłumacz języka japońskiego &amp; Company Representative PL</t>
  </si>
  <si>
    <t>https://www.pracuj.pl/praca/tlumacz-jezyka-japonskiego-company-representative-pl-rzeszow,oferta,1002210175</t>
  </si>
  <si>
    <t>2781644</t>
  </si>
  <si>
    <t>46550469</t>
  </si>
  <si>
    <t>INNERGO Systems Spółka z o.o.</t>
  </si>
  <si>
    <t>Specjalista wsparcia IT - Helpdesk</t>
  </si>
  <si>
    <t>https://www.pracuj.pl/praca/specjalista-wsparcia-it-helpdesk-krosno,oferta,1002210157</t>
  </si>
  <si>
    <t>2781658</t>
  </si>
  <si>
    <t>46550483</t>
  </si>
  <si>
    <t>Telefoniczny Doradca Klienta z językiem rumuńskim</t>
  </si>
  <si>
    <t>https://www.pracuj.pl/praca/telefoniczny-doradca-klienta-z-jezykiem-rumunskim-rzeszow,oferta,1002209761</t>
  </si>
  <si>
    <t>2781667</t>
  </si>
  <si>
    <t>46550492</t>
  </si>
  <si>
    <t>https://www.pracuj.pl/praca/customer-service-specialist-with-romanian-przemysl,oferta,1002209811</t>
  </si>
  <si>
    <t>2781712</t>
  </si>
  <si>
    <t>46550537</t>
  </si>
  <si>
    <t>https://www.pracuj.pl/praca/customer-service-specialist-with-romanian-rzeszow,oferta,1002209813</t>
  </si>
  <si>
    <t>2781714</t>
  </si>
  <si>
    <t>46550539</t>
  </si>
  <si>
    <t>https://www.pracuj.pl/praca/scrum-master-rzeszow,oferta,1002209861</t>
  </si>
  <si>
    <t>2781750</t>
  </si>
  <si>
    <t>46550575</t>
  </si>
  <si>
    <t>https://www.pracuj.pl/praca/telefoniczny-doradca-klienta-z-jezykiem-rumunskim-przemysl,oferta,1002209759</t>
  </si>
  <si>
    <t>2781805</t>
  </si>
  <si>
    <t>46550630</t>
  </si>
  <si>
    <t>Specjalista ds. Kosztorysowania</t>
  </si>
  <si>
    <t>https://www.pracuj.pl/praca/specjalista-ds-kosztorysowania-rzeszow,oferta,1002210440</t>
  </si>
  <si>
    <t>2781862</t>
  </si>
  <si>
    <t>46550687</t>
  </si>
  <si>
    <t>https://www.pracuj.pl/praca/automatyk-utrzymania-ruchu-jasionka-pow-rzeszowski,oferta,1002210112</t>
  </si>
  <si>
    <t>2781905</t>
  </si>
  <si>
    <t>46550730</t>
  </si>
  <si>
    <t>https://www.pracuj.pl/praca/pracownik-sklepu-niepelny-etat-ustrzyki-dolne-29-listopada-37,oferta,1002209630</t>
  </si>
  <si>
    <t>2781906</t>
  </si>
  <si>
    <t>46550731</t>
  </si>
  <si>
    <t>https://www.pracuj.pl/praca/pracownik-sklepu-pelny-etat-lesko-aleksandra-fredry-2,oferta,1002210229</t>
  </si>
  <si>
    <t>2781976</t>
  </si>
  <si>
    <t>46550801</t>
  </si>
  <si>
    <t>BUTYJANA Sp. z o.o.</t>
  </si>
  <si>
    <t>Specjalista ds. rozrachunków i rozliczeń</t>
  </si>
  <si>
    <t>https://www.pracuj.pl/praca/specjalista-ds-rozrachunkow-i-rozliczen-rzeszow-aleja-tadeusza-rejtana-53a,oferta,1002209530</t>
  </si>
  <si>
    <t>2781985</t>
  </si>
  <si>
    <t>46550810</t>
  </si>
  <si>
    <t>https://www.pracuj.pl/praca/doradca-klienta-biznesowego-jaslo,oferta,1002210650</t>
  </si>
  <si>
    <t>2782148</t>
  </si>
  <si>
    <t>46550973</t>
  </si>
  <si>
    <t>Specjalista ds. sprzedaży leasingu – segment maszyn i urządzeń</t>
  </si>
  <si>
    <t>https://www.pracuj.pl/praca/specjalista-ds-sprzedazy-leasingu-segment-maszyn-i-urzadzen-rzeszow,oferta,1002210347</t>
  </si>
  <si>
    <t>2782151</t>
  </si>
  <si>
    <t>46550976</t>
  </si>
  <si>
    <t>Millennium Finanse Sp. z o.o. Sp.k.</t>
  </si>
  <si>
    <t>Specjalista / Specjalistka ds. sprzedaży</t>
  </si>
  <si>
    <t>https://www.pracuj.pl/praca/specjalista-specjalistka-ds-sprzedazy-przeworsk-bernardynska-4,oferta,1002210989</t>
  </si>
  <si>
    <t>2782154</t>
  </si>
  <si>
    <t>46550979</t>
  </si>
  <si>
    <t>https://www.pracuj.pl/praca/konsultant-medyczny-jaslo,oferta,1002211040</t>
  </si>
  <si>
    <t>2782181</t>
  </si>
  <si>
    <t>46551006</t>
  </si>
  <si>
    <t>Specjalista ds. Sprzedaży i Obsługi Klienta</t>
  </si>
  <si>
    <t>https://www.pracuj.pl/praca/specjalista-ds-sprzedazy-i-obslugi-klienta-debica,oferta,1002210702</t>
  </si>
  <si>
    <t>2782196</t>
  </si>
  <si>
    <t>46551021</t>
  </si>
  <si>
    <t>https://www.pracuj.pl/praca/stazysta-ka-metrolog-glogow-malopolski-innowacyjna-4,oferta,1002207668</t>
  </si>
  <si>
    <t>2782231</t>
  </si>
  <si>
    <t>46551056</t>
  </si>
  <si>
    <t>https://www.pracuj.pl/praca/doradca-osobisty-lancut,oferta,1002210752</t>
  </si>
  <si>
    <t>2782246</t>
  </si>
  <si>
    <t>46551071</t>
  </si>
  <si>
    <t>https://www.pracuj.pl/praca/specjalista-ds-sprzedazy-i-obslugi-klienta-tarnobrzeg,oferta,1002210696</t>
  </si>
  <si>
    <t>2782364</t>
  </si>
  <si>
    <t>46551189</t>
  </si>
  <si>
    <t>Kierownik Zespołu Operacji Magazynowych</t>
  </si>
  <si>
    <t>https://www.pracuj.pl/praca/kierownik-zespolu-operacji-magazynowych-rzeszow,oferta,1002210897</t>
  </si>
  <si>
    <t>2782417</t>
  </si>
  <si>
    <t>46551242</t>
  </si>
  <si>
    <t>Work&amp;Profit</t>
  </si>
  <si>
    <t>wykładanie towaru w sklepie kosmetycznym</t>
  </si>
  <si>
    <t>https://www.pracuj.pl/praca/wykladanie-towaru-w-sklepie-kosmetycznym-rzeszow,oferta,1002208002</t>
  </si>
  <si>
    <t>2782520</t>
  </si>
  <si>
    <t>46551345</t>
  </si>
  <si>
    <t>https://www.pracuj.pl/praca/protetyk-sluchu-sanok,oferta,1002208163</t>
  </si>
  <si>
    <t>2782557</t>
  </si>
  <si>
    <t>46551382</t>
  </si>
  <si>
    <t>https://www.pracuj.pl/praca/protetyk-sluchu-jaroslaw,oferta,1002208195</t>
  </si>
  <si>
    <t>2782565</t>
  </si>
  <si>
    <t>46551390</t>
  </si>
  <si>
    <t>https://www.pracuj.pl/praca/doradca-ubezpieczeniowy-krosno,oferta,1002208436</t>
  </si>
  <si>
    <t>2782612</t>
  </si>
  <si>
    <t>46551437</t>
  </si>
  <si>
    <t>https://www.pracuj.pl/praca/starszy-konsultant-w-zespole-ulg-i-dotacji-rzeszow,oferta,1002208577</t>
  </si>
  <si>
    <t>2782660</t>
  </si>
  <si>
    <t>46551485</t>
  </si>
  <si>
    <t>Starszy Konsultant w zespole Tax Reporting &amp; Strategy</t>
  </si>
  <si>
    <t>https://www.pracuj.pl/praca/starszy-konsultant-w-zespole-tax-reporting-strategy-rzeszow,oferta,1002208647</t>
  </si>
  <si>
    <t>2782679</t>
  </si>
  <si>
    <t>46551504</t>
  </si>
  <si>
    <t>https://www.pracuj.pl/praca/recepcjonistka-recepcjonista-rzeszow,oferta,1002208838</t>
  </si>
  <si>
    <t>2782726</t>
  </si>
  <si>
    <t>46551551</t>
  </si>
  <si>
    <t>https://www.pracuj.pl/praca/szlifierz-narzedziowy-mielec-strefowa-12,oferta,1002208956</t>
  </si>
  <si>
    <t>2782755</t>
  </si>
  <si>
    <t>46551580</t>
  </si>
  <si>
    <t>https://www.pracuj.pl/praca/kierownik-zakladu-rzeszow,oferta,1002209222</t>
  </si>
  <si>
    <t>2782819</t>
  </si>
  <si>
    <t>46551644</t>
  </si>
  <si>
    <t>https://www.pracuj.pl/praca/programista-java-rzeszow,oferta,1002209238</t>
  </si>
  <si>
    <t>2782823</t>
  </si>
  <si>
    <t>46551648</t>
  </si>
  <si>
    <t>Polska, podkarpackie, Zarzecze (pow. rzeszowski)</t>
  </si>
  <si>
    <t>https://www.pracuj.pl/praca/specjalista-ds-rozrachunkow-i-rozliczen-zarzecze-pow-rzeszowski-65,oferta,1002209531</t>
  </si>
  <si>
    <t>2782895</t>
  </si>
  <si>
    <t>46551720</t>
  </si>
  <si>
    <t>Młodszy Specjalista ds. Rekrutacji</t>
  </si>
  <si>
    <t>https://www.pracuj.pl/praca/mlodszy-specjalista-ds-rekrutacji-rzeszow,oferta,1002209547</t>
  </si>
  <si>
    <t>2782900</t>
  </si>
  <si>
    <t>46551725</t>
  </si>
  <si>
    <t>https://www.pracuj.pl/praca/analityk-finansowy-mielec,oferta,1002209581</t>
  </si>
  <si>
    <t>2782908</t>
  </si>
  <si>
    <t>46551733</t>
  </si>
  <si>
    <t>https://www.pracuj.pl/praca/pracownik-sklepu-niepelny-etat-lesko-aleksandra-fredry-2,oferta,1002209622</t>
  </si>
  <si>
    <t>2782918</t>
  </si>
  <si>
    <t>46551743</t>
  </si>
  <si>
    <t>Technik ds. Ciągłego Doskonalenia</t>
  </si>
  <si>
    <t>https://www.pracuj.pl/praca/technik-ds-ciaglego-doskonalenia-zawada-pow-debicki-79n,oferta,1002209706</t>
  </si>
  <si>
    <t>2782938</t>
  </si>
  <si>
    <t>46551763</t>
  </si>
  <si>
    <t>https://www.pracuj.pl/praca/telefoniczny-doradca-klienta-z-jezykiem-rumunskim-tarnobrzeg,oferta,1002209767</t>
  </si>
  <si>
    <t>2782953</t>
  </si>
  <si>
    <t>46551778</t>
  </si>
  <si>
    <t>https://www.pracuj.pl/praca/specjalista-ds-gospodarki-magazynowej-i-logistyki-jezowe-pow-nizanski,oferta,1002209840</t>
  </si>
  <si>
    <t>2782965</t>
  </si>
  <si>
    <t>46551790</t>
  </si>
  <si>
    <t>https://www.pracuj.pl/praca/kierownik-budowy-stalowa-wola,oferta,1002210276</t>
  </si>
  <si>
    <t>2783112</t>
  </si>
  <si>
    <t>46551937</t>
  </si>
  <si>
    <t>https://www.pracuj.pl/praca/pracownik-sklepu-pelny-etat-ustrzyki-dolne-29-listopada-37,oferta,1002210249</t>
  </si>
  <si>
    <t>2783117</t>
  </si>
  <si>
    <t>46551942</t>
  </si>
  <si>
    <t>Kierownik BHP i OŚ</t>
  </si>
  <si>
    <t>https://www.pracuj.pl/praca/kierownik-bhp-i-os-rzeszow,oferta,1002210819</t>
  </si>
  <si>
    <t>2783215</t>
  </si>
  <si>
    <t>46552040</t>
  </si>
  <si>
    <t>https://www.praca.pl/doradca-klienta_7724481.html</t>
  </si>
  <si>
    <t>23.11.2022 04:28</t>
  </si>
  <si>
    <t>19.11.2022</t>
  </si>
  <si>
    <t>2808905</t>
  </si>
  <si>
    <t>46189718</t>
  </si>
  <si>
    <t>https://www.praca.pl/przedstawiciel-handlowy_7719606.html</t>
  </si>
  <si>
    <t>2808914</t>
  </si>
  <si>
    <t>46189828</t>
  </si>
  <si>
    <t>Energomix S.A</t>
  </si>
  <si>
    <t>Partner Handlowy ds. Sprzedaży rozwiązań energetycznych</t>
  </si>
  <si>
    <t>https://www.praca.pl/partner-handlowy-ds-sprzedazy-rozwiazan-energetycznych_7760031.html</t>
  </si>
  <si>
    <t>23.11.2022 03:02</t>
  </si>
  <si>
    <t>2809016</t>
  </si>
  <si>
    <t>46892890</t>
  </si>
  <si>
    <t>Specjalistka / Specjalista ds. obsługi klienta z j. niemieckim i j. angielskim</t>
  </si>
  <si>
    <t>https://www.praca.pl/specjalistka-specjalista-ds-obslugi-klienta-z-j-niemieckim-i-j-angielskim_7759275.html</t>
  </si>
  <si>
    <t>2809102</t>
  </si>
  <si>
    <t>46892980</t>
  </si>
  <si>
    <t>Powiatowy Inspektorat Weterynarii w Nisku</t>
  </si>
  <si>
    <t>https://www.praca.pl/inspektor-weterynaryjny_7758867.html</t>
  </si>
  <si>
    <t>2809144</t>
  </si>
  <si>
    <t>46893025</t>
  </si>
  <si>
    <t>https://www.praca.pl/inspektor-weterynaryjny_7758879.html</t>
  </si>
  <si>
    <t>2809148</t>
  </si>
  <si>
    <t>46893029</t>
  </si>
  <si>
    <t>https://www.praca.pl/inspektor-weterynaryjny_7758897.html</t>
  </si>
  <si>
    <t>2809154</t>
  </si>
  <si>
    <t>46893035</t>
  </si>
  <si>
    <t>https://www.praca.pl/inspektor-weterynaryjny_7758903.html</t>
  </si>
  <si>
    <t>2809156</t>
  </si>
  <si>
    <t>46893037</t>
  </si>
  <si>
    <t>https://www.praca.pl/inspektor-weterynaryjny_7758906.html</t>
  </si>
  <si>
    <t>2809157</t>
  </si>
  <si>
    <t>46893038</t>
  </si>
  <si>
    <t>https://www.praca.pl/starszy-referent_7758969.html</t>
  </si>
  <si>
    <t>28.11.2022</t>
  </si>
  <si>
    <t>2809177</t>
  </si>
  <si>
    <t>46893058</t>
  </si>
  <si>
    <t>https://www.praca.pl/kontroler-weterynaryjny_7758987.html</t>
  </si>
  <si>
    <t>2809183</t>
  </si>
  <si>
    <t>46893064</t>
  </si>
  <si>
    <t>23.11.2022 03:30</t>
  </si>
  <si>
    <t>2809253</t>
  </si>
  <si>
    <t>46928523</t>
  </si>
  <si>
    <t>2809265</t>
  </si>
  <si>
    <t>46928535</t>
  </si>
  <si>
    <t>Elektromontaż Poznań S.A.</t>
  </si>
  <si>
    <t>SPECJALISTA DS. OFERTOWANIA INSTALACJI ELEKTRYCZNYCH</t>
  </si>
  <si>
    <t>https://www.goldenline.pl/praca/oferta/1312694/zielonalinia0?utm_brand=goldenline&amp;utm_source=zielonalinia0&amp;gpid=1023120&amp;utm_channel=free&amp;utm_medium=oferta&amp;utm_department=marketing</t>
  </si>
  <si>
    <t>2809273</t>
  </si>
  <si>
    <t>46928543</t>
  </si>
  <si>
    <t>Lekarz ze specjalizacją I stopnia</t>
  </si>
  <si>
    <t>2809309</t>
  </si>
  <si>
    <t>46928579</t>
  </si>
  <si>
    <t>RPd057|221102</t>
  </si>
  <si>
    <t>2809320</t>
  </si>
  <si>
    <t>46928590</t>
  </si>
  <si>
    <t>2809341</t>
  </si>
  <si>
    <t>46928611</t>
  </si>
  <si>
    <t>https://www.goldenline.pl/praca/oferta/1314778/zielonalinia0?utm_brand=goldenline&amp;utm_source=zielonalinia0&amp;gpid=1025210&amp;utm_channel=free&amp;utm_medium=oferta&amp;utm_department=marketing</t>
  </si>
  <si>
    <t>2809390</t>
  </si>
  <si>
    <t>46928660</t>
  </si>
  <si>
    <t>Wykładanie towaru w sklepie kosmetycznym / Strzyżów</t>
  </si>
  <si>
    <t>Polska, pomorskie, Strzyżów</t>
  </si>
  <si>
    <t>https://www.goldenline.pl/praca/oferta/1313088/zielonalinia0?utm_brand=goldenline&amp;utm_source=zielonalinia0&amp;gpid=1023514&amp;utm_channel=free&amp;utm_medium=oferta&amp;utm_department=marketing</t>
  </si>
  <si>
    <t>2809453</t>
  </si>
  <si>
    <t>46928723</t>
  </si>
  <si>
    <t>Kasjer/sprzedawca</t>
  </si>
  <si>
    <t>Polska, pomorskie, Bratkowice</t>
  </si>
  <si>
    <t>https://www.goldenline.pl/praca/oferta/1313376/zielonalinia0?utm_brand=goldenline&amp;utm_source=zielonalinia0&amp;gpid=1023806&amp;utm_channel=free&amp;utm_medium=oferta&amp;utm_department=marketing</t>
  </si>
  <si>
    <t>2809490</t>
  </si>
  <si>
    <t>46928760</t>
  </si>
  <si>
    <t>2809499</t>
  </si>
  <si>
    <t>46928769</t>
  </si>
  <si>
    <t>MAGAZYNIER W GENT 13,25-15,45 €/h/ ZAKWATEROWANIE</t>
  </si>
  <si>
    <t>https://www.goldenline.pl/praca/oferta/1315482/zielonalinia0?utm_brand=goldenline&amp;utm_source=zielonalinia0&amp;gpid=1025912&amp;utm_channel=free&amp;utm_medium=oferta&amp;utm_department=marketing</t>
  </si>
  <si>
    <t>27.12.2022</t>
  </si>
  <si>
    <t>2809563</t>
  </si>
  <si>
    <t>46928833</t>
  </si>
  <si>
    <t>https://www.goldenline.pl/praca/oferta/1315298/zielonalinia0?utm_brand=goldenline&amp;utm_source=zielonalinia0&amp;gpid=1025730&amp;utm_channel=free&amp;utm_medium=oferta&amp;utm_department=marketing</t>
  </si>
  <si>
    <t>26.12.2022</t>
  </si>
  <si>
    <t>2809594</t>
  </si>
  <si>
    <t>46928864</t>
  </si>
  <si>
    <t>Specjalista ds. współpracy z sieciami handlowymi (m/k)</t>
  </si>
  <si>
    <t>https://www.goldenline.pl/praca/oferta/1315226/zielonalinia0?utm_brand=goldenline&amp;utm_source=zielonalinia0&amp;gpid=1025660&amp;utm_channel=free&amp;utm_medium=oferta&amp;utm_department=marketing</t>
  </si>
  <si>
    <t>2809678</t>
  </si>
  <si>
    <t>46928948</t>
  </si>
  <si>
    <t>https://www.goldenline.pl/praca/oferta/1314836/zielonalinia0?utm_brand=goldenline&amp;utm_source=zielonalinia0&amp;gpid=1025270&amp;utm_channel=free&amp;utm_medium=oferta&amp;utm_department=marketing</t>
  </si>
  <si>
    <t>2809693</t>
  </si>
  <si>
    <t>46928963</t>
  </si>
  <si>
    <t>Magazynier/Operator wózka widłowego (m/k)</t>
  </si>
  <si>
    <t>https://www.goldenline.pl/praca/oferta/1315100/zielonalinia0?utm_brand=goldenline&amp;utm_source=zielonalinia0&amp;gpid=1025536&amp;utm_channel=free&amp;utm_medium=oferta&amp;utm_department=marketing</t>
  </si>
  <si>
    <t>16.12.2022</t>
  </si>
  <si>
    <t>2809699</t>
  </si>
  <si>
    <t>46928969</t>
  </si>
  <si>
    <t>2809754</t>
  </si>
  <si>
    <t>46929024</t>
  </si>
  <si>
    <t>Specjalista ds. sprzedaży ze znajomością j. niemieckiego (m/k)</t>
  </si>
  <si>
    <t>https://www.goldenline.pl/praca/oferta/1315210/zielonalinia0?utm_brand=goldenline&amp;utm_source=zielonalinia0&amp;gpid=1025644&amp;utm_channel=free&amp;utm_medium=oferta&amp;utm_department=marketing</t>
  </si>
  <si>
    <t>2809760</t>
  </si>
  <si>
    <t>46929030</t>
  </si>
  <si>
    <t>Dębica wykładanie towaru w sklepie kosmetycznym - ks.Nosala</t>
  </si>
  <si>
    <t>Polska, pomorskie, Dębica</t>
  </si>
  <si>
    <t>https://www.goldenline.pl/praca/oferta/1313188/zielonalinia0?utm_brand=goldenline&amp;utm_source=zielonalinia0&amp;gpid=1023618&amp;utm_channel=free&amp;utm_medium=oferta&amp;utm_department=marketing</t>
  </si>
  <si>
    <t>2809821</t>
  </si>
  <si>
    <t>46929091</t>
  </si>
  <si>
    <t>https://www.goldenline.pl/praca/oferta/1315486/zielonalinia0?utm_brand=goldenline&amp;utm_source=zielonalinia0&amp;gpid=1025916&amp;utm_channel=free&amp;utm_medium=oferta&amp;utm_department=marketing</t>
  </si>
  <si>
    <t>2809822</t>
  </si>
  <si>
    <t>46929092</t>
  </si>
  <si>
    <t>Kasjer/Sprzedawca drogeria Przemyśl</t>
  </si>
  <si>
    <t>https://www.goldenline.pl/praca/oferta/1315254/zielonalinia0?utm_brand=goldenline&amp;utm_source=zielonalinia0&amp;gpid=1025688&amp;utm_channel=free&amp;utm_medium=oferta&amp;utm_department=marketing</t>
  </si>
  <si>
    <t>2809845</t>
  </si>
  <si>
    <t>46929115</t>
  </si>
  <si>
    <t>2809868</t>
  </si>
  <si>
    <t>46929138</t>
  </si>
  <si>
    <t>2809874</t>
  </si>
  <si>
    <t>46929144</t>
  </si>
  <si>
    <t>https://www.goldenline.pl/praca/oferta/1315484/zielonalinia0?utm_brand=goldenline&amp;utm_source=zielonalinia0&amp;gpid=1025914&amp;utm_channel=free&amp;utm_medium=oferta&amp;utm_department=marketing</t>
  </si>
  <si>
    <t>2809929</t>
  </si>
  <si>
    <t>46929199</t>
  </si>
  <si>
    <t>Specjalista ds. rozwoju rynku (m/k)</t>
  </si>
  <si>
    <t>https://www.goldenline.pl/praca/oferta/1315232/zielonalinia0?utm_brand=goldenline&amp;utm_source=zielonalinia0&amp;gpid=1025666&amp;utm_channel=free&amp;utm_medium=oferta&amp;utm_department=marketing</t>
  </si>
  <si>
    <t>2809953</t>
  </si>
  <si>
    <t>46929223</t>
  </si>
  <si>
    <t>Specjalista ds. sprzedaży ze znajomością j. angielskiego (m/k)</t>
  </si>
  <si>
    <t>https://www.goldenline.pl/praca/oferta/1315230/zielonalinia0?utm_brand=goldenline&amp;utm_source=zielonalinia0&amp;gpid=1025664&amp;utm_channel=free&amp;utm_medium=oferta&amp;utm_department=marketing</t>
  </si>
  <si>
    <t>2810063</t>
  </si>
  <si>
    <t>46929333</t>
  </si>
  <si>
    <t>2810100</t>
  </si>
  <si>
    <t>46929370</t>
  </si>
  <si>
    <t>2810147</t>
  </si>
  <si>
    <t>46929417</t>
  </si>
  <si>
    <t>Intensive Group</t>
  </si>
  <si>
    <t>https://www.goldenline.pl/praca/oferta/1315384/zielonalinia0?utm_brand=goldenline&amp;utm_source=zielonalinia0&amp;gpid=1025818&amp;utm_channel=free&amp;utm_medium=oferta&amp;utm_department=marketing</t>
  </si>
  <si>
    <t>2810185</t>
  </si>
  <si>
    <t>46929455</t>
  </si>
  <si>
    <t>https://www.goldenline.pl/praca/oferta/1313048/zielonalinia0?utm_brand=goldenline&amp;utm_source=zielonalinia0&amp;gpid=1023476&amp;utm_channel=free&amp;utm_medium=oferta&amp;utm_department=marketing</t>
  </si>
  <si>
    <t>2810207</t>
  </si>
  <si>
    <t>46929477</t>
  </si>
  <si>
    <t>2810250</t>
  </si>
  <si>
    <t>46929520</t>
  </si>
  <si>
    <t>2810301</t>
  </si>
  <si>
    <t>46929571</t>
  </si>
  <si>
    <t>ITA TOOLS SP. Z O.O.</t>
  </si>
  <si>
    <t>https://www.pracuj.pl/praca/technolog-mielec,oferta,1002222651</t>
  </si>
  <si>
    <t>23.11.2022 03:40</t>
  </si>
  <si>
    <t>21.12.2022</t>
  </si>
  <si>
    <t>2810444</t>
  </si>
  <si>
    <t>46929791</t>
  </si>
  <si>
    <t>BORGWARNER MOBILITY POLAND SPÓŁKA Z O.O. oddział Jasionka</t>
  </si>
  <si>
    <t>https://www.pracuj.pl/praca/inzynier-procesu-jasionka-pow-rzeszowski,oferta,1002222621</t>
  </si>
  <si>
    <t>2810461</t>
  </si>
  <si>
    <t>46929808</t>
  </si>
  <si>
    <t>Technolog Szlifowania</t>
  </si>
  <si>
    <t>https://www.pracuj.pl/praca/technolog-szlifowania-mielec,oferta,1002222648</t>
  </si>
  <si>
    <t>2810485</t>
  </si>
  <si>
    <t>46929832</t>
  </si>
  <si>
    <t>https://www.pracuj.pl/praca/operator-cnc-mielec,oferta,1002222800</t>
  </si>
  <si>
    <t>2810562</t>
  </si>
  <si>
    <t>46929909</t>
  </si>
  <si>
    <t>https://www.pracuj.pl/praca/export-sales-manager-brzeznica-pow-debicki,oferta,1002222723</t>
  </si>
  <si>
    <t>2810578</t>
  </si>
  <si>
    <t>46929925</t>
  </si>
  <si>
    <t>Specjalista ds. Wsparcia Sprzedaży Eksportowej</t>
  </si>
  <si>
    <t>https://www.pracuj.pl/praca/specjalista-ds-wsparcia-sprzedazy-eksportowej-brzeznica-pow-debicki,oferta,1002222732</t>
  </si>
  <si>
    <t>2810581</t>
  </si>
  <si>
    <t>46929928</t>
  </si>
  <si>
    <t>https://www.pracuj.pl/praca/mlodszy-tokarz-rzeszow,oferta,1002222818</t>
  </si>
  <si>
    <t>2810585</t>
  </si>
  <si>
    <t>46929932</t>
  </si>
  <si>
    <t>Operator Obrabiarek Konwencjonalnych: Szlifierka - Wydział Narzędziowy</t>
  </si>
  <si>
    <t>https://www.pracuj.pl/praca/operator-obrabiarek-konwencjonalnych-szlifierka-wydzial-narzedziowy-rzeszow,oferta,1002222801</t>
  </si>
  <si>
    <t>2810599</t>
  </si>
  <si>
    <t>46929946</t>
  </si>
  <si>
    <t>https://www.pracuj.pl/praca/konstruktor-w-dziale-rozwoju-rzeszow-hoffmanowej-19,oferta,1002222810</t>
  </si>
  <si>
    <t>2810616</t>
  </si>
  <si>
    <t>46929963</t>
  </si>
  <si>
    <t>Ślusarz - Wydział Narzędziowy</t>
  </si>
  <si>
    <t>https://www.pracuj.pl/praca/slusarz-wydzial-narzedziowy-rzeszow,oferta,1002222812</t>
  </si>
  <si>
    <t>2810631</t>
  </si>
  <si>
    <t>46929978</t>
  </si>
  <si>
    <t>Koordynator  w Biurze Zarządzania Projektami</t>
  </si>
  <si>
    <t>https://www.pracuj.pl/praca/koordynator-w-biurze-zarzadzania-projektami-rzeszow-8-marca-6,oferta,1002222842</t>
  </si>
  <si>
    <t>2810641</t>
  </si>
  <si>
    <t>46929988</t>
  </si>
  <si>
    <t>https://www.pracuj.pl/praca/inzynier-devops-rzeszow,oferta,1002222879</t>
  </si>
  <si>
    <t>2810694</t>
  </si>
  <si>
    <t>46930041</t>
  </si>
  <si>
    <t>Operator Obrabiarek Konwencjonalnych: Frezarka - Wydział Narzędziowy</t>
  </si>
  <si>
    <t>https://www.pracuj.pl/praca/operator-obrabiarek-konwencjonalnych-frezarka-wydzial-narzedziowy-rzeszow,oferta,1002222805</t>
  </si>
  <si>
    <t>2810702</t>
  </si>
  <si>
    <t>46930049</t>
  </si>
  <si>
    <t>Pozostali analitycy systemów komputerowych i programiści gdzie indziej niesklasyfikowani</t>
  </si>
  <si>
    <t>https://www.pracuj.pl/praca/technical-writer-rzeszow,oferta,1002223042</t>
  </si>
  <si>
    <t>2810808</t>
  </si>
  <si>
    <t>46930155</t>
  </si>
  <si>
    <t>RPd057|251990</t>
  </si>
  <si>
    <t>Specjalista ds. Produkcji (branża spożywcza)</t>
  </si>
  <si>
    <t>https://www.pracuj.pl/praca/specjalista-ds-produkcji-branza-spozywcza-ropczyce,oferta,1002223129</t>
  </si>
  <si>
    <t>2810894</t>
  </si>
  <si>
    <t>46930241</t>
  </si>
  <si>
    <t>Pracownik Serwisu</t>
  </si>
  <si>
    <t>https://www.pracuj.pl/praca/pracownik-serwisu-mielec,oferta,1002223081</t>
  </si>
  <si>
    <t>2810920</t>
  </si>
  <si>
    <t>46930267</t>
  </si>
  <si>
    <t>https://www.pracuj.pl/praca/specjalista-ds-produkcji-branza-spozywcza-jezowe-pow-nizanski,oferta,1002223130</t>
  </si>
  <si>
    <t>2810932</t>
  </si>
  <si>
    <t>46930279</t>
  </si>
  <si>
    <t>Inspektor Jakości</t>
  </si>
  <si>
    <t>https://www.pracuj.pl/praca/inspektor-jakosci-jasionka-pow-rzeszowski,oferta,1002223197</t>
  </si>
  <si>
    <t>2810948</t>
  </si>
  <si>
    <t>46930295</t>
  </si>
  <si>
    <t>Informatyk - Administrator systemów ERP</t>
  </si>
  <si>
    <t>https://www.pracuj.pl/praca/informatyk-administrator-systemow-erp-lancut-podzwierzyniec-29,oferta,1002223192</t>
  </si>
  <si>
    <t>2811005</t>
  </si>
  <si>
    <t>46930352</t>
  </si>
  <si>
    <t>Młodszy Specjalista w Dziale Obsługi Klientów Międzynarodowych</t>
  </si>
  <si>
    <t>https://www.pracuj.pl/praca/mlodszy-specjalista-w-dziale-obslugi-klientow-miedzynarodowych-rudna-mala-pow-rzeszowski-47,oferta,1002223245</t>
  </si>
  <si>
    <t>2811018</t>
  </si>
  <si>
    <t>46930365</t>
  </si>
  <si>
    <t>https://www.pracuj.pl/praca/analityk-finansowy-rogoznica-pow-rzeszowski,oferta,1002223259</t>
  </si>
  <si>
    <t>05.01.2023</t>
  </si>
  <si>
    <t>2811021</t>
  </si>
  <si>
    <t>46930368</t>
  </si>
  <si>
    <t>https://www.pracuj.pl/praca/mlodszy-specjalista-w-dziale-obslugi-klientow-miedzynarodowych-glogow-malopolski,oferta,1002223246</t>
  </si>
  <si>
    <t>2811035</t>
  </si>
  <si>
    <t>46930382</t>
  </si>
  <si>
    <t>Senior HR Specialist with French</t>
  </si>
  <si>
    <t>https://www.pracuj.pl/praca/senior-hr-specialist-with-french-rzeszow,oferta,1002223303</t>
  </si>
  <si>
    <t>2811085</t>
  </si>
  <si>
    <t>46930432</t>
  </si>
  <si>
    <t>https://www.pracuj.pl/praca/specjalista-ds-sprzedazy-ze-znajomoscia-j-niemieckiego-m-k-rzeszow,oferta,1002223360</t>
  </si>
  <si>
    <t>2811117</t>
  </si>
  <si>
    <t>46930464</t>
  </si>
  <si>
    <t>https://www.pracuj.pl/praca/specjalista-ds-administracji-lancut-podzwierzyniec-29,oferta,1002223174</t>
  </si>
  <si>
    <t>2811139</t>
  </si>
  <si>
    <t>46930486</t>
  </si>
  <si>
    <t>E4E sp. z o.o. SPÓŁKA KOMANDYTOWA</t>
  </si>
  <si>
    <t>Projektant branży elektrycznej</t>
  </si>
  <si>
    <t>https://www.pracuj.pl/praca/projektant-branzy-elektrycznej-rzeszow-partyzantow-1a,oferta,1002223403</t>
  </si>
  <si>
    <t>2811168</t>
  </si>
  <si>
    <t>46930515</t>
  </si>
  <si>
    <t>https://www.pracuj.pl/praca/menedzer-zespolu-rzeszow,oferta,1002223627</t>
  </si>
  <si>
    <t>2811269</t>
  </si>
  <si>
    <t>46930616</t>
  </si>
  <si>
    <t>Specjalista ds. Finansowych (m / k)</t>
  </si>
  <si>
    <t>https://www.pracuj.pl/praca/specjalista-ds-finansowych-m-k-rzeszow,oferta,1002223448</t>
  </si>
  <si>
    <t>2811304</t>
  </si>
  <si>
    <t>46930651</t>
  </si>
  <si>
    <t>https://www.pracuj.pl/praca/specjalista-ds-sprzedazy-ze-znajomoscia-j-niemieckiego-m-k-tyczyn,oferta,1002223359</t>
  </si>
  <si>
    <t>2811325</t>
  </si>
  <si>
    <t>46930672</t>
  </si>
  <si>
    <t>Doradczyni / Doradca Klientów Biznesowych</t>
  </si>
  <si>
    <t>https://www.pracuj.pl/praca/doradczyni-doradca-klientow-biznesowych-mielec-obroncow-pokoju-3,oferta,1002223542</t>
  </si>
  <si>
    <t>2811415</t>
  </si>
  <si>
    <t>46930762</t>
  </si>
  <si>
    <t>https://www.pracuj.pl/praca/specjalista-ds-wspolpracy-z-sieciami-handlowymi-m-k-tyczyn,oferta,1002223639</t>
  </si>
  <si>
    <t>2811445</t>
  </si>
  <si>
    <t>46930792</t>
  </si>
  <si>
    <t>https://www.pracuj.pl/praca/administrator-it-rzeszow,oferta,1002223609</t>
  </si>
  <si>
    <t>2811453</t>
  </si>
  <si>
    <t>46930800</t>
  </si>
  <si>
    <t>https://www.pracuj.pl/praca/specjalista-ds-wspolpracy-z-sieciami-handlowymi-m-k-rzeszow,oferta,1002223640</t>
  </si>
  <si>
    <t>2811473</t>
  </si>
  <si>
    <t>46930820</t>
  </si>
  <si>
    <t>Biznes Projekt</t>
  </si>
  <si>
    <t>https://www.pracuj.pl/praca/kosztorysant-podkarpackie,oferta,9562141</t>
  </si>
  <si>
    <t>2811540</t>
  </si>
  <si>
    <t>46930887</t>
  </si>
  <si>
    <t>TELZAS Sp. z o.o. – producent i dostawca zasilania gwarantowanego</t>
  </si>
  <si>
    <t>Specjalista ds. systemów ochrony technicznej</t>
  </si>
  <si>
    <t>https://www.pracuj.pl/praca/specjalista-ds-systemow-ochrony-technicznej-podkarpackie,oferta,9562207</t>
  </si>
  <si>
    <t>20.12.2022</t>
  </si>
  <si>
    <t>2811547</t>
  </si>
  <si>
    <t>46930894</t>
  </si>
  <si>
    <t>Customer Advisor with Danish</t>
  </si>
  <si>
    <t>https://www.pracuj.pl/praca/customer-advisor-with-danish-subcarpathia,oferta,9562249</t>
  </si>
  <si>
    <t>2811573</t>
  </si>
  <si>
    <t>46930920</t>
  </si>
  <si>
    <t>Inside Channel Developer with German</t>
  </si>
  <si>
    <t>https://www.pracuj.pl/praca/inside-channel-developer-with-german-subcarpathia,oferta,9562417</t>
  </si>
  <si>
    <t>2811612</t>
  </si>
  <si>
    <t>46930959</t>
  </si>
  <si>
    <t>Wavin Shared Services</t>
  </si>
  <si>
    <t>Inżynier / Projektant Systemów zagospodarowania wody deszczowej</t>
  </si>
  <si>
    <t>https://www.pracuj.pl/praca/inzynier-projektant-systemow-zagospodarowania-wody-deszczowej-podkarpackie,oferta,9562385</t>
  </si>
  <si>
    <t>2811707</t>
  </si>
  <si>
    <t>46931054</t>
  </si>
  <si>
    <t>Specjalista ds. Sprawozdawczości Finansowej</t>
  </si>
  <si>
    <t>https://www.pracuj.pl/praca/specjalista-ds-sprawozdawczosci-finansowej-rzeszow-olchowa-14,oferta,1002223877</t>
  </si>
  <si>
    <t>2811737</t>
  </si>
  <si>
    <t>46931084</t>
  </si>
  <si>
    <t>https://www.pracuj.pl/praca/pracownik-sklepu-niepelny-etat-lesko-aleksandra-fredry-2,oferta,1002223971</t>
  </si>
  <si>
    <t>2811759</t>
  </si>
  <si>
    <t>46931106</t>
  </si>
  <si>
    <t>Polska, podkarpackie, Chorkówka (pow. krośnieński)</t>
  </si>
  <si>
    <t>https://www.pracuj.pl/praca/magazynier-chorkowka-pow-krosnienski-przemyslowa-34,oferta,1002224022</t>
  </si>
  <si>
    <t>2811808</t>
  </si>
  <si>
    <t>46931155</t>
  </si>
  <si>
    <t>https://www.pracuj.pl/praca/pracownik-sklepu-niepelny-etat-ustrzyki-dolne-29-listopada-37,oferta,1002223975</t>
  </si>
  <si>
    <t>2811822</t>
  </si>
  <si>
    <t>46931169</t>
  </si>
  <si>
    <t>Silcare Spółka z o.o. sp. k.</t>
  </si>
  <si>
    <t>https://www.pracuj.pl/praca/key-account-manager-rzeszow,oferta,1002224047</t>
  </si>
  <si>
    <t>2811836</t>
  </si>
  <si>
    <t>46931183</t>
  </si>
  <si>
    <t>https://www.pracuj.pl/praca/operator-maszyn-produkcyjnych-jasionka-pow-rzeszowski,oferta,1002224088</t>
  </si>
  <si>
    <t>2811887</t>
  </si>
  <si>
    <t>46931234</t>
  </si>
  <si>
    <t>https://www.pracuj.pl/praca/spawacz-gazowy-rzeszow,oferta,1002224170</t>
  </si>
  <si>
    <t>2811907</t>
  </si>
  <si>
    <t>46931254</t>
  </si>
  <si>
    <t>https://www.pracuj.pl/praca/doradca-klienta-jaroslaw,oferta,1002224231</t>
  </si>
  <si>
    <t>2811922</t>
  </si>
  <si>
    <t>46931269</t>
  </si>
  <si>
    <t>https://www.pracuj.pl/praca/elektromechanik-brzeznica-pow-debicki,oferta,1002224074</t>
  </si>
  <si>
    <t>2811933</t>
  </si>
  <si>
    <t>46931280</t>
  </si>
  <si>
    <t>Specjalista ds. Ekspansji Franczyzy</t>
  </si>
  <si>
    <t>https://www.pracuj.pl/praca/specjalista-ds-ekspansji-franczyzy-rzeszow,oferta,1002224211</t>
  </si>
  <si>
    <t>2811997</t>
  </si>
  <si>
    <t>46931344</t>
  </si>
  <si>
    <t>Senior Solutions Developer</t>
  </si>
  <si>
    <t>https://www.pracuj.pl/praca/senior-solutions-developer-subcarpathia,oferta,9562545</t>
  </si>
  <si>
    <t>2812022</t>
  </si>
  <si>
    <t>46931369</t>
  </si>
  <si>
    <t>https://www.pracuj.pl/praca/samodzielna-ksiegowa-rzeszow-przemyslowa-11,oferta,1002223884</t>
  </si>
  <si>
    <t>2812033</t>
  </si>
  <si>
    <t>46931380</t>
  </si>
  <si>
    <t>https://www.pracuj.pl/praca/specjalista-ds-finansowych-rzeszow-hanasiewicza-19,oferta,1002224069</t>
  </si>
  <si>
    <t>2812178</t>
  </si>
  <si>
    <t>46931525</t>
  </si>
  <si>
    <t>https://www.pracuj.pl/praca/operator-wozka-widlowego-chorkowka-pow-krosnienski-przemyslowa-34,oferta,1002224083</t>
  </si>
  <si>
    <t>2812183</t>
  </si>
  <si>
    <t>46931530</t>
  </si>
  <si>
    <t>CYBER_FOLKS SPÓŁKA AKCYJNA</t>
  </si>
  <si>
    <t>Młodszy specjalista ds. utrzymywania i nawiązywania relacji z Klientem</t>
  </si>
  <si>
    <t>https://www.pracuj.pl/praca/mlodszy-specjalista-ds-utrzymywania-i-nawiazywania-relacji-z-klientem-rzeszow,oferta,1002224440</t>
  </si>
  <si>
    <t>2812215</t>
  </si>
  <si>
    <t>46931562</t>
  </si>
  <si>
    <t>Hydropure Polska Sp. z o.o.</t>
  </si>
  <si>
    <t>Operator urządzeń uzdatniania i demineralizacji wody</t>
  </si>
  <si>
    <t>https://www.pracuj.pl/praca/serwisant-tarnobrzeg,oferta,1002224136</t>
  </si>
  <si>
    <t>2812233</t>
  </si>
  <si>
    <t>46931580</t>
  </si>
  <si>
    <t>RPd057|313209</t>
  </si>
  <si>
    <t>Młodszy tester oprogramowania</t>
  </si>
  <si>
    <t>https://www.pracuj.pl/praca/mlodszy-tester-oprogramowania-rzeszow-jana-twardowskiego-3,oferta,1002224579</t>
  </si>
  <si>
    <t>2812307</t>
  </si>
  <si>
    <t>46931654</t>
  </si>
  <si>
    <t>Technik obsługi budynku</t>
  </si>
  <si>
    <t>https://www.pracuj.pl/praca/technik-obslugi-budynku-rzeszow,oferta,1002224484</t>
  </si>
  <si>
    <t>2812412</t>
  </si>
  <si>
    <t>46931759</t>
  </si>
  <si>
    <t>Kierownik ds. Relacji z Dostawcami</t>
  </si>
  <si>
    <t>https://www.pracuj.pl/praca/kierownik-ds-relacji-z-dostawcami-nowa-deba,oferta,1002224517</t>
  </si>
  <si>
    <t>2812419</t>
  </si>
  <si>
    <t>46931766</t>
  </si>
  <si>
    <t>TRIOS SPÓŁKA Z OGRANICZONĄ ODPOWIEDZIALNOŚCIĄ</t>
  </si>
  <si>
    <t>https://www.pracuj.pl/praca/pracownik-biurowy-lezajsk,oferta,1002224815</t>
  </si>
  <si>
    <t>2812587</t>
  </si>
  <si>
    <t>46931934</t>
  </si>
  <si>
    <t>https://www.pracuj.pl/praca/pracownik-biurowy-letownia-pow-lezajski,oferta,1002224814</t>
  </si>
  <si>
    <t>2812664</t>
  </si>
  <si>
    <t>46932011</t>
  </si>
  <si>
    <t>https://www.pracuj.pl/praca/pracownik-biurowy-sokolow-malopolski,oferta,1002224816</t>
  </si>
  <si>
    <t>2812665</t>
  </si>
  <si>
    <t>46932012</t>
  </si>
  <si>
    <t>Młodszy Planista Łańcucha Dostaw (Umowa na zastępstwo)</t>
  </si>
  <si>
    <t>https://www.pracuj.pl/praca/mlodszy-planista-lancucha-dostaw-umowa-na-zastepstwo-glogow-malopolski-innowacyjna-4,oferta,1002224771</t>
  </si>
  <si>
    <t>2812668</t>
  </si>
  <si>
    <t>46932015</t>
  </si>
  <si>
    <t>Specjalista ds. Wsparcia Eksportu</t>
  </si>
  <si>
    <t>https://www.pracuj.pl/praca/specjalista-ds-wsparcia-eksportu-mielec-wojska-polskiego-3,oferta,1002224787</t>
  </si>
  <si>
    <t>2812674</t>
  </si>
  <si>
    <t>46932021</t>
  </si>
  <si>
    <t>https://www.pracuj.pl/praca/pracownik-sklepu-pelny-etat-lesko-aleksandra-fredry-2,oferta,1002224883</t>
  </si>
  <si>
    <t>2812724</t>
  </si>
  <si>
    <t>46932071</t>
  </si>
  <si>
    <t>https://www.pracuj.pl/praca/pracownik-sklepu-pelny-etat-ustrzyki-dolne-29-listopada-53,oferta,1002224897</t>
  </si>
  <si>
    <t>2812729</t>
  </si>
  <si>
    <t>46932076</t>
  </si>
  <si>
    <t>https://www.pracuj.pl/praca/zastepca-managera-sklepu-lesko-aleksandra-fredry-2,oferta,1002224947</t>
  </si>
  <si>
    <t>2812761</t>
  </si>
  <si>
    <t>46932108</t>
  </si>
  <si>
    <t>https://www.pracuj.pl/praca/elektromechanik-glogow-malopolski-innowacyjna-4,oferta,1002225006</t>
  </si>
  <si>
    <t>2812790</t>
  </si>
  <si>
    <t>46932137</t>
  </si>
  <si>
    <t>https://www.pracuj.pl/praca/zastepca-managera-sklepu-sanok-kochanowskiego-1,oferta,1002224951</t>
  </si>
  <si>
    <t>2812798</t>
  </si>
  <si>
    <t>46932145</t>
  </si>
  <si>
    <t>Specjalista ds. Oferty Produktowej</t>
  </si>
  <si>
    <t>https://www.pracuj.pl/praca/specjalista-ds-oferty-produktowej-rzeszow-8-marca-6,oferta,1002225119</t>
  </si>
  <si>
    <t>2812911</t>
  </si>
  <si>
    <t>46932258</t>
  </si>
  <si>
    <t>https://www.pracuj.pl/praca/zastepca-kierownika-sklepu-kanczuga,oferta,1002225122</t>
  </si>
  <si>
    <t>2812914</t>
  </si>
  <si>
    <t>46932261</t>
  </si>
  <si>
    <t>https://www.pracuj.pl/praca/kierowca-kat-b-rzeszow,oferta,1002225189</t>
  </si>
  <si>
    <t>2812946</t>
  </si>
  <si>
    <t>46932293</t>
  </si>
  <si>
    <t>Specjalista ds. Mikrobiologii</t>
  </si>
  <si>
    <t>Laborant mikrobiologiczny</t>
  </si>
  <si>
    <t>https://www.pracuj.pl/praca/specjalista-ds-mikrobiologii-nowa-deba,oferta,1002225237</t>
  </si>
  <si>
    <t>2812972</t>
  </si>
  <si>
    <t>46932319</t>
  </si>
  <si>
    <t>RPd057|314101</t>
  </si>
  <si>
    <t>UNIQA</t>
  </si>
  <si>
    <t>https://www.pracuj.pl/praca/dyrektor-oddzialu-rzeszow,oferta,1002225028</t>
  </si>
  <si>
    <t>2813028</t>
  </si>
  <si>
    <t>46932375</t>
  </si>
  <si>
    <t>PROSTA - Łukasz Kapias</t>
  </si>
  <si>
    <t>Formierz ręczny</t>
  </si>
  <si>
    <t>https://www.pracuj.pl/praca/formierz-reczny-stalowa-wola,oferta,1002225387</t>
  </si>
  <si>
    <t>2813079</t>
  </si>
  <si>
    <t>46932426</t>
  </si>
  <si>
    <t>https://www.pracuj.pl/praca/elektromechanik-stalowa-wola,oferta,1002225389</t>
  </si>
  <si>
    <t>2813081</t>
  </si>
  <si>
    <t>46932428</t>
  </si>
  <si>
    <t>Specjalista B+R ds. technologii światłowodowej</t>
  </si>
  <si>
    <t>https://www.pracuj.pl/praca/specjalista-b%2br-ds-technologii-swiatlowodowej-zaczernie-pow-rzeszowski,oferta,1002225235</t>
  </si>
  <si>
    <t>2813103</t>
  </si>
  <si>
    <t>46932450</t>
  </si>
  <si>
    <t>https://www.pracuj.pl/praca/backend-developer-jaslo-3-maja-71,oferta,1002225343</t>
  </si>
  <si>
    <t>2813116</t>
  </si>
  <si>
    <t>46932463</t>
  </si>
  <si>
    <t>AJ Profibud Sp. z o. o. Sp. k.</t>
  </si>
  <si>
    <t>Polska, podkarpackie, Chmielnik (pow. rzeszowski)</t>
  </si>
  <si>
    <t>https://www.pracuj.pl/praca/kierowca-chmielnik-pow-rzeszowski-36-016,oferta,1002225350</t>
  </si>
  <si>
    <t>2813134</t>
  </si>
  <si>
    <t>46932481</t>
  </si>
  <si>
    <t>https://www.pracuj.pl/praca/formierz-odlewnik-stalowa-wola,oferta,1002225391</t>
  </si>
  <si>
    <t>2813158</t>
  </si>
  <si>
    <t>46932505</t>
  </si>
  <si>
    <t>House Tipster</t>
  </si>
  <si>
    <t>E-commerce Listing Expert</t>
  </si>
  <si>
    <t>https://www.pracuj.pl/praca/e-commerce-listing-expert-subcarpathia,oferta,9562729</t>
  </si>
  <si>
    <t>2813188</t>
  </si>
  <si>
    <t>46932535</t>
  </si>
  <si>
    <t>Analityk Systemowo-Biznesowy - projekt - system rozrachunkowy SORBNET</t>
  </si>
  <si>
    <t>https://www.pracuj.pl/praca/analityk-systemowo-biznesowy-projekt-system-rozrachunkowy-sorbnet-podkarpackie,oferta,9563330</t>
  </si>
  <si>
    <t>2813249</t>
  </si>
  <si>
    <t>46932596</t>
  </si>
  <si>
    <t>Specjalista ds. Przygotowania Oferty</t>
  </si>
  <si>
    <t>https://www.pracuj.pl/praca/specjalista-ds-przygotowania-oferty-rzeszow,oferta,1002225145</t>
  </si>
  <si>
    <t>2813253</t>
  </si>
  <si>
    <t>46932600</t>
  </si>
  <si>
    <t>Senior Procurement Process Specialist with German</t>
  </si>
  <si>
    <t>https://www.pracuj.pl/praca/senior-procurement-process-specialist-with-german-subcarpathia,oferta,9563563</t>
  </si>
  <si>
    <t>2813341</t>
  </si>
  <si>
    <t>46932688</t>
  </si>
  <si>
    <t>MUVON Nieruchomości</t>
  </si>
  <si>
    <t>https://www.pracuj.pl/praca/agent-nieruchomosci-podkarpackie,oferta,9563581</t>
  </si>
  <si>
    <t>2813349</t>
  </si>
  <si>
    <t>46932696</t>
  </si>
  <si>
    <t>https://www.pracuj.pl/praca/it-project-manager-jaslo-3-maja-71,oferta,1002225344</t>
  </si>
  <si>
    <t>2813354</t>
  </si>
  <si>
    <t>46932701</t>
  </si>
  <si>
    <t>NEXAI Sp. z o.o.</t>
  </si>
  <si>
    <t>PHP Software Developer</t>
  </si>
  <si>
    <t>https://www.pracuj.pl/praca/php-software-developer-podkarpackie,oferta,9563665</t>
  </si>
  <si>
    <t>2813361</t>
  </si>
  <si>
    <t>46932708</t>
  </si>
  <si>
    <t>https://www.pracuj.pl/praca/magazynier-operator-wozka-widlowego-chmielnik-pow-rzeszowski-36-016,oferta,1002225364</t>
  </si>
  <si>
    <t>2813392</t>
  </si>
  <si>
    <t>46932739</t>
  </si>
  <si>
    <t>Kierownik Finansowy Projektu</t>
  </si>
  <si>
    <t>https://www.pracuj.pl/praca/kierownik-finansowy-projektu-podkarpackie,oferta,9564099</t>
  </si>
  <si>
    <t>2813404</t>
  </si>
  <si>
    <t>46932751</t>
  </si>
  <si>
    <t>Sunscrapers Sp. z o.o.</t>
  </si>
  <si>
    <t>https://www.pracuj.pl/praca/senior-data-scientist-subcarpathia,oferta,9562767</t>
  </si>
  <si>
    <t>2813440</t>
  </si>
  <si>
    <t>46932787</t>
  </si>
  <si>
    <t>https://www.pracuj.pl/praca/ios-developer-podkarpackie,oferta,9564467</t>
  </si>
  <si>
    <t>2813472</t>
  </si>
  <si>
    <t>46932819</t>
  </si>
  <si>
    <t>Konsultantka/Konsultant w Zespole Due Diligence</t>
  </si>
  <si>
    <t>https://www.pracuj.pl/praca/konsultantka-konsultant-w-zespole-due-diligence-podkarpackie,oferta,9564534</t>
  </si>
  <si>
    <t>2813483</t>
  </si>
  <si>
    <t>46932830</t>
  </si>
  <si>
    <t>BIM Engineer</t>
  </si>
  <si>
    <t>https://www.pracuj.pl/praca/bim-engineer-subcarpathia,oferta,9562960</t>
  </si>
  <si>
    <t>2813526</t>
  </si>
  <si>
    <t>46932873</t>
  </si>
  <si>
    <t>Pre-sales Engineer with German</t>
  </si>
  <si>
    <t>https://www.pracuj.pl/praca/pre-sales-engineer-with-german-subcarpathia,oferta,9562435</t>
  </si>
  <si>
    <t>2813542</t>
  </si>
  <si>
    <t>46932889</t>
  </si>
  <si>
    <t>https://www.pracuj.pl/praca/team-leader-with-german-subcarpathia,oferta,9562455</t>
  </si>
  <si>
    <t>2813558</t>
  </si>
  <si>
    <t>46932905</t>
  </si>
  <si>
    <t>Supervisor with German &amp; English</t>
  </si>
  <si>
    <t>https://www.pracuj.pl/praca/supervisor-with-german-english-podkarpackie,oferta,9563060</t>
  </si>
  <si>
    <t>2813559</t>
  </si>
  <si>
    <t>46932906</t>
  </si>
  <si>
    <t>Analityk Systemowo - Biznesowy - platforma ING Business</t>
  </si>
  <si>
    <t>https://www.pracuj.pl/praca/analityk-systemowo-biznesowy-platforma-ing-business-podkarpackie,oferta,9562505</t>
  </si>
  <si>
    <t>2813575</t>
  </si>
  <si>
    <t>46932922</t>
  </si>
  <si>
    <t>ARP Ideas Sp. z o.o.</t>
  </si>
  <si>
    <t>Product Owner - Business Consultant</t>
  </si>
  <si>
    <t>https://www.pracuj.pl/praca/product-owner-business-consultant-podkarpackie,oferta,9563250</t>
  </si>
  <si>
    <t>2813635</t>
  </si>
  <si>
    <t>46932982</t>
  </si>
  <si>
    <t>mediDOK® Software Entwicklungsgesellschaft mbH</t>
  </si>
  <si>
    <t>https://www.pracuj.pl/praca/programista-c%23-podkarpackie,oferta,9562921</t>
  </si>
  <si>
    <t>2813640</t>
  </si>
  <si>
    <t>46932987</t>
  </si>
  <si>
    <t>SAP FI – Support Analyst</t>
  </si>
  <si>
    <t>https://www.pracuj.pl/praca/sap-fi-support-analyst-subcarpathia,oferta,9565254</t>
  </si>
  <si>
    <t>2813673</t>
  </si>
  <si>
    <t>46933020</t>
  </si>
  <si>
    <t>Kierownik Robót (budownictwo ogólne)</t>
  </si>
  <si>
    <t>https://www.pracuj.pl/praca/kierownik-robot-budownictwo-ogolne-podkarpackie,oferta,9565403</t>
  </si>
  <si>
    <t>2813675</t>
  </si>
  <si>
    <t>46933022</t>
  </si>
  <si>
    <t>Senior Accountant – Norwegian Team</t>
  </si>
  <si>
    <t>https://www.pracuj.pl/praca/senior-accountant-norwegian-team-podkarpackie,oferta,9563509</t>
  </si>
  <si>
    <t>2813687</t>
  </si>
  <si>
    <t>46933034</t>
  </si>
  <si>
    <t>Accountant - Norwegian Team</t>
  </si>
  <si>
    <t>https://www.pracuj.pl/praca/accountant-norwegian-team-podkarpackie,oferta,9563527</t>
  </si>
  <si>
    <t>2813690</t>
  </si>
  <si>
    <t>46933037</t>
  </si>
  <si>
    <t>KLG Solutions Sp. z o.o.</t>
  </si>
  <si>
    <t>React Native Developer</t>
  </si>
  <si>
    <t>https://www.pracuj.pl/praca/react-native-developer-podkarpackie,oferta,9563754</t>
  </si>
  <si>
    <t>2813723</t>
  </si>
  <si>
    <t>46933070</t>
  </si>
  <si>
    <t>DevOps Database Specialist</t>
  </si>
  <si>
    <t>https://www.pracuj.pl/praca/devops-database-specialist-podkarpackie,oferta,9563804</t>
  </si>
  <si>
    <t>2813725</t>
  </si>
  <si>
    <t>46933072</t>
  </si>
  <si>
    <t>De Rooy Poland Sp. z o.o.</t>
  </si>
  <si>
    <t>Kierowca Międzynarodowy (bonus rekrutacyjny)</t>
  </si>
  <si>
    <t>https://www.pracuj.pl/praca/kierowca-miedzynarodowy-bonus-rekrutacyjny-podkarpackie,oferta,9563911</t>
  </si>
  <si>
    <t>2813732</t>
  </si>
  <si>
    <t>46933079</t>
  </si>
  <si>
    <t>Senior SAP MM/WM Consultant</t>
  </si>
  <si>
    <t>https://www.pracuj.pl/praca/senior-sap-mm-wm-consultant-subcarpathia,oferta,9564256</t>
  </si>
  <si>
    <t>2813745</t>
  </si>
  <si>
    <t>46933092</t>
  </si>
  <si>
    <t>https://www.pracuj.pl/praca/konsultant-ds-wdrozen-podkarpackie,oferta,9564372</t>
  </si>
  <si>
    <t>2813766</t>
  </si>
  <si>
    <t>46933113</t>
  </si>
  <si>
    <t>Doradca ds. Instalacji PV i Kosztów Energii</t>
  </si>
  <si>
    <t>https://www.pracuj.pl/praca/doradca-ds-instalacji-pv-i-kosztow-energii-podkarpackie,oferta,9564599</t>
  </si>
  <si>
    <t>2813810</t>
  </si>
  <si>
    <t>46933157</t>
  </si>
  <si>
    <t>https://www.pracuj.pl/praca/regionalny-koordynator-sprzedazy-podkarpackie,oferta,9565140</t>
  </si>
  <si>
    <t>2813838</t>
  </si>
  <si>
    <t>46933185</t>
  </si>
  <si>
    <t>Stażysta ds. harmonogramów dostaw z j. niemieckim</t>
  </si>
  <si>
    <t>https://www.pracuj.pl/praca/stazysta-ds-harmonogramow-dostaw-z-j-niemieckim-podkarpackie,oferta,9565688</t>
  </si>
  <si>
    <t>2813858</t>
  </si>
  <si>
    <t>46933205</t>
  </si>
  <si>
    <t>Kierownik Budowy (budownictwo ogólne)</t>
  </si>
  <si>
    <t>https://www.pracuj.pl/praca/kierownik-budowy-budownictwo-ogolne-podkarpackie,oferta,9565401</t>
  </si>
  <si>
    <t>2813859</t>
  </si>
  <si>
    <t>46933206</t>
  </si>
  <si>
    <t>Centrum Programowania T1 sp. z o.o.</t>
  </si>
  <si>
    <t>Front-End Developer Senior</t>
  </si>
  <si>
    <t>https://www.pracuj.pl/praca/front-end-developer-senior-podkarpackie,oferta,9563388</t>
  </si>
  <si>
    <t>2813906</t>
  </si>
  <si>
    <t>46933253</t>
  </si>
  <si>
    <t>VAN GRAAF GmbH Sp.k.</t>
  </si>
  <si>
    <t>Junior Store Manager (k/m)</t>
  </si>
  <si>
    <t>https://www.pracuj.pl/praca/junior-store-manager-k-m-podkarpackie,oferta,9563406</t>
  </si>
  <si>
    <t>2813911</t>
  </si>
  <si>
    <t>46933258</t>
  </si>
  <si>
    <t>Aegon TU na Życie S.A.</t>
  </si>
  <si>
    <t>Programista Java (fullstack)</t>
  </si>
  <si>
    <t>https://www.pracuj.pl/praca/programista-java-fullstack-podkarpackie,oferta,9563425</t>
  </si>
  <si>
    <t>2813918</t>
  </si>
  <si>
    <t>46933265</t>
  </si>
  <si>
    <t>JavaScript Software Developer</t>
  </si>
  <si>
    <t>https://www.pracuj.pl/praca/javascript-software-developer-podkarpackie,oferta,9563691</t>
  </si>
  <si>
    <t>2813946</t>
  </si>
  <si>
    <t>46933293</t>
  </si>
  <si>
    <t>Software Developer (Revit Addins)</t>
  </si>
  <si>
    <t>https://www.pracuj.pl/praca/software-developer-revit-addins-subcarpathia,oferta,9563975</t>
  </si>
  <si>
    <t>2813994</t>
  </si>
  <si>
    <t>46933341</t>
  </si>
  <si>
    <t>SAP SD Consultant</t>
  </si>
  <si>
    <t>https://www.pracuj.pl/praca/sap-sd-consultant-subcarpathia,oferta,9564164</t>
  </si>
  <si>
    <t>2814012</t>
  </si>
  <si>
    <t>46933359</t>
  </si>
  <si>
    <t>https://www.pracuj.pl/praca/tester-podkarpackie,oferta,9564275</t>
  </si>
  <si>
    <t>2814063</t>
  </si>
  <si>
    <t>46933410</t>
  </si>
  <si>
    <t>Senior SAP CS/MP Consultant (EAM)</t>
  </si>
  <si>
    <t>https://www.pracuj.pl/praca/senior-sap-cs-mp-consultant-eam-subcarpathia,oferta,9564294</t>
  </si>
  <si>
    <t>2814071</t>
  </si>
  <si>
    <t>46933418</t>
  </si>
  <si>
    <t>Audytor/Specjalista bezpieczeństwa informacji</t>
  </si>
  <si>
    <t>https://www.pracuj.pl/praca/audytor-specjalista-bezpieczenstwa-informacji-podkarpackie,oferta,9564392</t>
  </si>
  <si>
    <t>2814079</t>
  </si>
  <si>
    <t>46933426</t>
  </si>
  <si>
    <t>https://www.pracuj.pl/praca/android-developer-podkarpackie,oferta,9564411</t>
  </si>
  <si>
    <t>2814086</t>
  </si>
  <si>
    <t>46933433</t>
  </si>
  <si>
    <t>Crop Manager</t>
  </si>
  <si>
    <t>https://www.pracuj.pl/praca/crop-manager-podkarpackie,oferta,9564661</t>
  </si>
  <si>
    <t>2814111</t>
  </si>
  <si>
    <t>46933458</t>
  </si>
  <si>
    <t>https://www.pracuj.pl/praca/management-trainee-program-menadzerski-dla-studentow-i-absolwentow-podkarpackie,oferta,9564805</t>
  </si>
  <si>
    <t>2814117</t>
  </si>
  <si>
    <t>46933464</t>
  </si>
  <si>
    <t>Quality Buzz LLC</t>
  </si>
  <si>
    <t>Praca Dodatkowa - Oględziny Pojazdów Przed Zakupem</t>
  </si>
  <si>
    <t>https://www.pracuj.pl/praca/praca-dodatkowa-ogledziny-pojazdow-przed-zakupem-podkarpackie,oferta,9564839</t>
  </si>
  <si>
    <t>2814120</t>
  </si>
  <si>
    <t>46933467</t>
  </si>
  <si>
    <t>Kierownik Zespołu Projektantów Sieci i Instalacji Gazowych</t>
  </si>
  <si>
    <t>https://www.pracuj.pl/praca/kierownik-zespolu-projektantow-sieci-i-instalacji-gazowych-podkarpackie,oferta,9565298</t>
  </si>
  <si>
    <t>2814145</t>
  </si>
  <si>
    <t>46933492</t>
  </si>
  <si>
    <t>English-Russian Translator / Interpreter</t>
  </si>
  <si>
    <t>https://www.pracuj.pl/praca/english-russian-translator-interpreter-subcarpathia,oferta,9565650</t>
  </si>
  <si>
    <t>2814159</t>
  </si>
  <si>
    <t>46933506</t>
  </si>
  <si>
    <t>Junior Process Test Specialist</t>
  </si>
  <si>
    <t>https://www.pracuj.pl/praca/junior-process-test-specialist-subcarpathia,oferta,9564826</t>
  </si>
  <si>
    <t>2814176</t>
  </si>
  <si>
    <t>46933523</t>
  </si>
  <si>
    <t>https://www.pracuj.pl/praca/react-native-developer-subcarpathia,oferta,9564995</t>
  </si>
  <si>
    <t>2814189</t>
  </si>
  <si>
    <t>46933536</t>
  </si>
  <si>
    <t>Cyber Security Engineer</t>
  </si>
  <si>
    <t>https://www.pracuj.pl/praca/cyber-security-engineer-subcarpathia,oferta,9565612</t>
  </si>
  <si>
    <t>2814212</t>
  </si>
  <si>
    <t>46933559</t>
  </si>
  <si>
    <t>https://www.pracuj.pl/praca/vulnerability-management-engineer-subcarpathia,oferta,9565630</t>
  </si>
  <si>
    <t>2814218</t>
  </si>
  <si>
    <t>46933565</t>
  </si>
  <si>
    <t>10.02.2023</t>
  </si>
  <si>
    <t>https://www.praca.pl/starszy-specjalista_7773165.html?rf=&amp;utm_source=&amp;utm_medium=&amp;utm_campaign_name=&amp;utm_campaign_term=&amp;utm_campaign_content=specjalista-ds-administracyjnych_administracja-publiczna-sluzba-cywilna_rzeszow_5088336</t>
  </si>
  <si>
    <t>30.11.2022 03:02</t>
  </si>
  <si>
    <t>2822845</t>
  </si>
  <si>
    <t>46959431</t>
  </si>
  <si>
    <t>Pielęgniarka / Pielęgniarz (Diagnostyka Obrazowa)</t>
  </si>
  <si>
    <t>Polska, podkarpackie, Mielec, ul. Żeromskiego 22</t>
  </si>
  <si>
    <t>https://www.praca.pl/pielegniarka-pielegniarz-diagnostyka-obrazowa_7701186.html?rf=&amp;utm_source=&amp;utm_medium=&amp;utm_campaign_name=&amp;utm_campaign_term=&amp;utm_campaign_content=pielegniarka_medycyna-opieka-zdrowotna_mielec_5045682</t>
  </si>
  <si>
    <t>2822859</t>
  </si>
  <si>
    <t>46964360</t>
  </si>
  <si>
    <t>https://www.praca.pl/konstruktor_7723026.html?rf=&amp;utm_source=&amp;utm_medium=&amp;utm_campaign_name=&amp;utm_campaign_term=&amp;utm_campaign_content=konstruktor_inzynieria-projektowanie_jaslo_5059275</t>
  </si>
  <si>
    <t>2822883</t>
  </si>
  <si>
    <t>46965643</t>
  </si>
  <si>
    <t>Junior Produkt Portfolio Manager</t>
  </si>
  <si>
    <t>https://www.praca.pl/junior-produkt-portfolio-manager_7691430.html?rf=&amp;utm_source=&amp;utm_medium=&amp;utm_campaign_name=&amp;utm_campaign_term=&amp;utm_campaign_content=specjalista-ds-produktu_marketing-reklama-pr_jaslo_5039679</t>
  </si>
  <si>
    <t>2823140</t>
  </si>
  <si>
    <t>46968079</t>
  </si>
  <si>
    <t>Nordex International Services Sp. z o.o.</t>
  </si>
  <si>
    <t>Asystent ds. Szkoleń / Training Assistant (junior)</t>
  </si>
  <si>
    <t>https://www.praca.pl/asystent-ds-szkolen-training-assistant-junior_7692921.html?rf=&amp;utm_source=&amp;utm_medium=&amp;utm_campaign_name=&amp;utm_campaign_term=&amp;utm_campaign_content=asystent-asystentka_administracja-biurowa_podkarpackie_5040633</t>
  </si>
  <si>
    <t>2823377</t>
  </si>
  <si>
    <t>46968555</t>
  </si>
  <si>
    <t>Elektromechanik elektrycznych przyrządów pomiarowych</t>
  </si>
  <si>
    <t>https://www.goldenline.pl/praca/oferta/1315938/zielonalinia0?utm_brand=goldenline&amp;utm_source=zielonalinia0&amp;gpid=1026374&amp;utm_channel=free&amp;utm_medium=oferta&amp;utm_department=marketing</t>
  </si>
  <si>
    <t>30.11.2022 03:30</t>
  </si>
  <si>
    <t>2823469</t>
  </si>
  <si>
    <t>46969055</t>
  </si>
  <si>
    <t>RPd057|741202</t>
  </si>
  <si>
    <t>2823557</t>
  </si>
  <si>
    <t>46969143</t>
  </si>
  <si>
    <t>2823681</t>
  </si>
  <si>
    <t>46969267</t>
  </si>
  <si>
    <t>2823817</t>
  </si>
  <si>
    <t>46969403</t>
  </si>
  <si>
    <t>2824332</t>
  </si>
  <si>
    <t>46969918</t>
  </si>
  <si>
    <t>https://www.praca.pl/doradca-ubezpieczeniowy_7693212.html?rf=&amp;utm_source=&amp;utm_medium=&amp;utm_campaign_name=&amp;utm_campaign_term=&amp;utm_campaign_content=doradca-ubezpieczeniowy_ubezpieczenia_podkarpackie_5040726</t>
  </si>
  <si>
    <t>2823267</t>
  </si>
  <si>
    <t>46968445</t>
  </si>
  <si>
    <t>https://www.praca.pl/doradca-ubezpieczeniowy_7693293.html?rf=&amp;utm_source=&amp;utm_medium=&amp;utm_campaign_name=&amp;utm_campaign_term=&amp;utm_campaign_content=doradca-ubezpieczeniowy_ubezpieczenia_rzeszow_5040756</t>
  </si>
  <si>
    <t>2823293</t>
  </si>
  <si>
    <t>46968471</t>
  </si>
  <si>
    <t>https://www.praca.pl/doradca-ubezpieczeniowy_7693338.html?rf=&amp;utm_source=&amp;utm_medium=&amp;utm_campaign_name=&amp;utm_campaign_term=&amp;utm_campaign_content=doradca-ubezpieczeniowy_ubezpieczenia_przemysl_5040771</t>
  </si>
  <si>
    <t>2823308</t>
  </si>
  <si>
    <t>46968486</t>
  </si>
  <si>
    <t>Operator urządzeń montażowych (m/k)</t>
  </si>
  <si>
    <t>https://www.goldenline.pl/praca/oferta/1315604/zielonalinia0?utm_brand=goldenline&amp;utm_source=zielonalinia0&amp;gpid=1026036&amp;utm_channel=free&amp;utm_medium=oferta&amp;utm_department=marketing</t>
  </si>
  <si>
    <t>2823537</t>
  </si>
  <si>
    <t>46969123</t>
  </si>
  <si>
    <t>Dębica wykładanie towaru w sklepie kosmetycznym</t>
  </si>
  <si>
    <t>https://www.goldenline.pl/praca/oferta/1315600/zielonalinia0?utm_brand=goldenline&amp;utm_source=zielonalinia0&amp;gpid=1026032&amp;utm_channel=free&amp;utm_medium=oferta&amp;utm_department=marketing</t>
  </si>
  <si>
    <t>28.12.2022</t>
  </si>
  <si>
    <t>2823689</t>
  </si>
  <si>
    <t>46969275</t>
  </si>
  <si>
    <t>2823709</t>
  </si>
  <si>
    <t>46969295</t>
  </si>
  <si>
    <t>2823735</t>
  </si>
  <si>
    <t>46969321</t>
  </si>
  <si>
    <t>30.11.2022 04:20</t>
  </si>
  <si>
    <t>2823930</t>
  </si>
  <si>
    <t>46969516</t>
  </si>
  <si>
    <t>Operator (m/k) - możliwość zdobycia uprawnień SEP</t>
  </si>
  <si>
    <t>https://www.goldenline.pl/praca/oferta/1315802/zielonalinia0?utm_brand=goldenline&amp;utm_source=zielonalinia0&amp;gpid=1026236&amp;utm_channel=free&amp;utm_medium=oferta&amp;utm_department=marketing</t>
  </si>
  <si>
    <t>2824067</t>
  </si>
  <si>
    <t>46969653</t>
  </si>
  <si>
    <t>2824334</t>
  </si>
  <si>
    <t>46969920</t>
  </si>
  <si>
    <t>Aga K</t>
  </si>
  <si>
    <t>Kościelny i Organista</t>
  </si>
  <si>
    <t>Kościelny</t>
  </si>
  <si>
    <t>https://gratka.pl/praca/koscielny-i-organista/oi/28729107?utm_source=zielonalinia.pl&amp;utm_medium=zielonalinia&amp;utm_campaign=export_xml</t>
  </si>
  <si>
    <t>30.11.2022 03:15</t>
  </si>
  <si>
    <t>30.12.2022</t>
  </si>
  <si>
    <t>2823402</t>
  </si>
  <si>
    <t>46968916</t>
  </si>
  <si>
    <t>RPd057|515302</t>
  </si>
  <si>
    <t>https://www.praca.pl/specjalista-ds-wsparcia-sprzedazy_7692597.html?rf=&amp;utm_source=&amp;utm_medium=&amp;utm_campaign_name=&amp;utm_campaign_term=&amp;utm_campaign_content=specjalista-ds-wsparcia-sprzedazy_sprzedaz-obsluga-klienta_mielec_5040537</t>
  </si>
  <si>
    <t>2822880</t>
  </si>
  <si>
    <t>46965480</t>
  </si>
  <si>
    <t>FBO Energia Sp. z o.o.</t>
  </si>
  <si>
    <t>https://www.praca.pl/przedstawiciel-handlowy_7694394.html?rf=&amp;utm_source=&amp;utm_medium=&amp;utm_campaign_name=&amp;utm_campaign_term=&amp;utm_campaign_content=przedstawiciel-handlowy_sprzedaz-obsluga-klienta_podkarpackie_5041140</t>
  </si>
  <si>
    <t>30.11.2022 04:25</t>
  </si>
  <si>
    <t>2823086</t>
  </si>
  <si>
    <t>46968025</t>
  </si>
  <si>
    <t>Przedstawiciel Handlowy (branża OZE)</t>
  </si>
  <si>
    <t>https://www.praca.pl/przedstawiciel-handlowy-branza-oze_7694688.html?rf=&amp;utm_source=&amp;utm_medium=&amp;utm_campaign_name=&amp;utm_campaign_term=&amp;utm_campaign_content=przedstawiciel-handlowy_sprzedaz-obsluga-klienta_podkarpackie_5041218</t>
  </si>
  <si>
    <t>2823102</t>
  </si>
  <si>
    <t>46968041</t>
  </si>
  <si>
    <t>Zbieracz owoców, ziół i innych roślin</t>
  </si>
  <si>
    <t>https://www.praca.pl/pracownik-szklarni-magazynu_7692444.html?rf=&amp;utm_source=&amp;utm_medium=&amp;utm_campaign_name=&amp;utm_campaign_term=&amp;utm_campaign_content=pracownik-kompletujacy_praca-fizyczna_podkarpackie_5040504</t>
  </si>
  <si>
    <t>2823121</t>
  </si>
  <si>
    <t>46968060</t>
  </si>
  <si>
    <t>RPd057|634002</t>
  </si>
  <si>
    <t>https://www.praca.pl/menadzer-zespolu-sprzedazy_7693626.html?rf=&amp;utm_source=&amp;utm_medium=&amp;utm_campaign_name=&amp;utm_campaign_term=&amp;utm_campaign_content=kierownik-zespolu_kadra-zarzadzajaca_podkarpackie_5040873</t>
  </si>
  <si>
    <t>2823211</t>
  </si>
  <si>
    <t>46968389</t>
  </si>
  <si>
    <t>https://www.praca.pl/przedstawiciel-ubezpieczeniowy-premium_7693404.html?rf=&amp;utm_source=&amp;utm_medium=&amp;utm_campaign_name=&amp;utm_campaign_term=&amp;utm_campaign_content=doradca-klienta_sprzedaz-obsluga-klienta_podkarpackie_5040792</t>
  </si>
  <si>
    <t>2823227</t>
  </si>
  <si>
    <t>46968405</t>
  </si>
  <si>
    <t>https://www.praca.pl/przedstawiciel-ubezpieczeniowy-premium_7693446.html?rf=&amp;utm_source=&amp;utm_medium=&amp;utm_campaign_name=&amp;utm_campaign_term=&amp;utm_campaign_content=doradca-klienta_sprzedaz-obsluga-klienta_przemysl_5040807</t>
  </si>
  <si>
    <t>2823241</t>
  </si>
  <si>
    <t>46968419</t>
  </si>
  <si>
    <t>https://www.praca.pl/przedstawiciel-ubezpieczeniowy-premium_7693500.html?rf=&amp;utm_source=&amp;utm_medium=&amp;utm_campaign_name=&amp;utm_campaign_term=&amp;utm_campaign_content=doradca-klienta_sprzedaz-obsluga-klienta_rzeszow_5040825</t>
  </si>
  <si>
    <t>2823259</t>
  </si>
  <si>
    <t>46968437</t>
  </si>
  <si>
    <t>https://www.praca.pl/doradca-klienta_7693056.html?rf=&amp;utm_source=&amp;utm_medium=&amp;utm_campaign_name=&amp;utm_campaign_term=&amp;utm_campaign_content=doradca-klienta_sprzedaz-obsluga-klienta_podkarpackie_5040684</t>
  </si>
  <si>
    <t>2823330</t>
  </si>
  <si>
    <t>46968508</t>
  </si>
  <si>
    <t>https://www.praca.pl/doradca-klienta_7693080.html?rf=&amp;utm_source=&amp;utm_medium=&amp;utm_campaign_name=&amp;utm_campaign_term=&amp;utm_campaign_content=doradca-klienta_sprzedaz-obsluga-klienta_przemysl_5040693</t>
  </si>
  <si>
    <t>2823338</t>
  </si>
  <si>
    <t>46968516</t>
  </si>
  <si>
    <t>https://www.praca.pl/doradca-klienta_7693134.html?rf=&amp;utm_source=&amp;utm_medium=&amp;utm_campaign_name=&amp;utm_campaign_term=&amp;utm_campaign_content=doradca-klienta_sprzedaz-obsluga-klienta_rzeszow_5040711</t>
  </si>
  <si>
    <t>2823356</t>
  </si>
  <si>
    <t>46968534</t>
  </si>
  <si>
    <t>2823441</t>
  </si>
  <si>
    <t>46969027</t>
  </si>
  <si>
    <t>2823546</t>
  </si>
  <si>
    <t>46969132</t>
  </si>
  <si>
    <t>2823715</t>
  </si>
  <si>
    <t>46969301</t>
  </si>
  <si>
    <t>Wykładanie towaru w sklepie kosmetycznym Brzozów - nocki PON/CZW</t>
  </si>
  <si>
    <t>Pracownik obsługi sklepu</t>
  </si>
  <si>
    <t>https://www.goldenline.pl/praca/oferta/1315742/zielonalinia0?utm_brand=goldenline&amp;utm_source=zielonalinia0&amp;gpid=1026178&amp;utm_channel=free&amp;utm_medium=oferta&amp;utm_department=marketing</t>
  </si>
  <si>
    <t>2823856</t>
  </si>
  <si>
    <t>46969442</t>
  </si>
  <si>
    <t>2823873</t>
  </si>
  <si>
    <t>46969459</t>
  </si>
  <si>
    <t>2823912</t>
  </si>
  <si>
    <t>46969498</t>
  </si>
  <si>
    <t>2823966</t>
  </si>
  <si>
    <t>46969552</t>
  </si>
  <si>
    <t>JAGA TEMP Sp. z o.o.</t>
  </si>
  <si>
    <t>Przedstawiciel handlowy ds. inwestycji</t>
  </si>
  <si>
    <t>https://www.goldenline.pl/praca/oferta/1315676/zielonalinia0?utm_brand=goldenline&amp;utm_source=zielonalinia0&amp;gpid=1026110&amp;utm_channel=free&amp;utm_medium=oferta&amp;utm_department=marketing</t>
  </si>
  <si>
    <t>29.12.2022</t>
  </si>
  <si>
    <t>2823969</t>
  </si>
  <si>
    <t>46969555</t>
  </si>
  <si>
    <t>2824082</t>
  </si>
  <si>
    <t>46969668</t>
  </si>
  <si>
    <t>2824138</t>
  </si>
  <si>
    <t>46969724</t>
  </si>
  <si>
    <t>2824172</t>
  </si>
  <si>
    <t>46969758</t>
  </si>
  <si>
    <t>2824185</t>
  </si>
  <si>
    <t>46969771</t>
  </si>
  <si>
    <t>2824338</t>
  </si>
  <si>
    <t>46969924</t>
  </si>
  <si>
    <t>2824358</t>
  </si>
  <si>
    <t>46969944</t>
  </si>
  <si>
    <t>Operator magazynu/Operator wózka widłowego (m/k)</t>
  </si>
  <si>
    <t>https://www.goldenline.pl/praca/oferta/1315608/zielonalinia0?utm_brand=goldenline&amp;utm_source=zielonalinia0&amp;gpid=1026040&amp;utm_channel=free&amp;utm_medium=oferta&amp;utm_department=marketing</t>
  </si>
  <si>
    <t>2824380</t>
  </si>
  <si>
    <t>46969966</t>
  </si>
  <si>
    <t>IV kw. 22</t>
  </si>
  <si>
    <t>II półrocze 2022</t>
  </si>
  <si>
    <t>Liczba miejsc w podziale na najcenniejsze branże</t>
  </si>
  <si>
    <t>woj.</t>
  </si>
  <si>
    <t>Elmark Sp. J. Jędrzejewska</t>
  </si>
  <si>
    <t>Doradca Handlowy (branża techniczna)</t>
  </si>
  <si>
    <t>01.02.2023</t>
  </si>
  <si>
    <t>03.04.2023</t>
  </si>
  <si>
    <t>https://www.praca.pl/doradca-handlowy-branza-techniczna_7924194.html?rf=zielona-linia-refferal&amp;utm_source=zielona-linia&amp;utm_medium=refferal&amp;utm_campaign=all&amp;utm_term=o&amp;utm_content=doradca-techniczno-handlowy_sprzedaz-obsluga-klienta_podkarpackie_5181744</t>
  </si>
  <si>
    <t>01.02.2023 03:02</t>
  </si>
  <si>
    <t>31.01.2023</t>
  </si>
  <si>
    <t>02.03.2023</t>
  </si>
  <si>
    <t>2824538</t>
  </si>
  <si>
    <t>49107206</t>
  </si>
  <si>
    <t>20.04.2023</t>
  </si>
  <si>
    <t>https://www.praca.pl/specjalista-ds-logistyki_7939311.html?rf=zielona-linia-refferal&amp;utm_source=zielona-linia&amp;utm_medium=refferal&amp;utm_campaign=all&amp;utm_term=o&amp;utm_content=specjalista-ds-logistyki_logistyka-dystrybucja_babica_5191353</t>
  </si>
  <si>
    <t>2824549</t>
  </si>
  <si>
    <t>Specjalista / Specjalistka Działu Obsługi Klienta</t>
  </si>
  <si>
    <t>https://www.praca.pl/specjalista-specjalistka-dzialu-obslugi-klienta_7938024.html?rf=zielona-linia-refferal&amp;utm_source=zielona-linia&amp;utm_medium=refferal&amp;utm_campaign=all&amp;utm_term=o&amp;utm_content=specjalista-ds-obslugi-klienta_sprzedaz-obsluga-klienta_jaslo_5190912</t>
  </si>
  <si>
    <t>2824651</t>
  </si>
  <si>
    <t>49107319</t>
  </si>
  <si>
    <t>S-3 Personal Sp. z o.o.</t>
  </si>
  <si>
    <t>Koordynator / kierownik agencji opiekunek osób starszych</t>
  </si>
  <si>
    <t>https://www.praca.pl/koordynator-kierownik-agencji-opiekunek-osob-starszych_7937934.html?rf=zielona-linia-refferal&amp;utm_source=zielona-linia&amp;utm_medium=refferal&amp;utm_campaign=all&amp;utm_term=o&amp;utm_content=kierownik-ds-personalnych-hr-manager_human-resources-kadry_podkarpackie_5190882</t>
  </si>
  <si>
    <t>2824671</t>
  </si>
  <si>
    <t>49107339</t>
  </si>
  <si>
    <t>https://www.praca.pl/inspektor-weterynaryjny_7937499.html?rf=zielona-linia-refferal&amp;utm_source=zielona-linia&amp;utm_medium=refferal&amp;utm_campaign=all&amp;utm_term=o&amp;utm_content=inspektor-weterynaryjny_rolnictwo-ochrona-srodowiska_krosno_5190600</t>
  </si>
  <si>
    <t>06.02.2023</t>
  </si>
  <si>
    <t>2824737</t>
  </si>
  <si>
    <t>49107405</t>
  </si>
  <si>
    <t>Powiatowy Inspektorat Nadzoru Budowlanego w Ustrzykach Dolnych</t>
  </si>
  <si>
    <t>22.03.2023</t>
  </si>
  <si>
    <t>https://www.praca.pl/inspektor-nadzoru-budowlanego_7937568.html?rf=zielona-linia-refferal&amp;utm_source=zielona-linia&amp;utm_medium=refferal&amp;utm_campaign=all&amp;utm_term=o&amp;utm_content=inspektor-budowlany_budownictwo-geodezja_ustrzyki-dolne_5190669</t>
  </si>
  <si>
    <t>15.02.2023</t>
  </si>
  <si>
    <t>2824759</t>
  </si>
  <si>
    <t>49107427</t>
  </si>
  <si>
    <t>Specjalista ds. sprzedaży krajowej (m/k)</t>
  </si>
  <si>
    <t>https://www.goldenline.pl/praca/oferta/1333606/zielonalinia0?utm_brand=goldenline&amp;utm_source=zielonalinia0&amp;gpid=1044106&amp;utm_channel=free&amp;utm_medium=oferta&amp;utm_department=marketing</t>
  </si>
  <si>
    <t>01.02.2023 03:30</t>
  </si>
  <si>
    <t>26.01.2023</t>
  </si>
  <si>
    <t>02.02.2023</t>
  </si>
  <si>
    <t>2824820</t>
  </si>
  <si>
    <t>49130037</t>
  </si>
  <si>
    <t>L.M. GROUP POLAND Sp. z o.o.</t>
  </si>
  <si>
    <t>|PRACA ZDALNA| RTR General Ledger Analyst</t>
  </si>
  <si>
    <t>https://www.goldenline.pl/praca/oferta/1339056/zielonalinia0?utm_brand=goldenline&amp;utm_source=zielonalinia0&amp;gpid=1049566&amp;utm_channel=free&amp;utm_medium=oferta&amp;utm_department=marketing</t>
  </si>
  <si>
    <t>20.01.2023</t>
  </si>
  <si>
    <t>24.02.2023</t>
  </si>
  <si>
    <t>2824840</t>
  </si>
  <si>
    <t>49130057</t>
  </si>
  <si>
    <t>Specjalista ds. exportu ze znajomością j. angielskiego (m/k)</t>
  </si>
  <si>
    <t>https://www.goldenline.pl/praca/oferta/1337696/zielonalinia0?utm_brand=goldenline&amp;utm_source=zielonalinia0&amp;gpid=1048198&amp;utm_channel=free&amp;utm_medium=oferta&amp;utm_department=marketing</t>
  </si>
  <si>
    <t>24.01.2023</t>
  </si>
  <si>
    <t>14.02.2023</t>
  </si>
  <si>
    <t>2824846</t>
  </si>
  <si>
    <t>49130063</t>
  </si>
  <si>
    <t>https://www.goldenline.pl/praca/oferta/1335330/zielonalinia0?utm_brand=goldenline&amp;utm_source=zielonalinia0&amp;gpid=1045830&amp;utm_channel=free&amp;utm_medium=oferta&amp;utm_department=marketing</t>
  </si>
  <si>
    <t>11.01.2023</t>
  </si>
  <si>
    <t>2824860</t>
  </si>
  <si>
    <t>49130077</t>
  </si>
  <si>
    <t>Content Publisher- agencja reklamowa</t>
  </si>
  <si>
    <t>https://www.goldenline.pl/praca/oferta/1331978/zielonalinia0?utm_brand=goldenline&amp;utm_source=zielonalinia0&amp;gpid=1042466&amp;utm_channel=free&amp;utm_medium=oferta&amp;utm_department=marketing</t>
  </si>
  <si>
    <t>03.01.2023</t>
  </si>
  <si>
    <t>07.02.2023</t>
  </si>
  <si>
    <t>2824913</t>
  </si>
  <si>
    <t>49130130</t>
  </si>
  <si>
    <t>Translator with Finnish / Tłumacz języka Fińskiego</t>
  </si>
  <si>
    <t>https://www.goldenline.pl/praca/oferta/1306198/zielonalinia0?utm_brand=goldenline&amp;utm_source=zielonalinia0&amp;gpid=1016710&amp;utm_channel=free&amp;utm_medium=oferta&amp;utm_department=marketing</t>
  </si>
  <si>
    <t>01.02.2023 04:20</t>
  </si>
  <si>
    <t>29.01.2023</t>
  </si>
  <si>
    <t>2824939</t>
  </si>
  <si>
    <t>49130156</t>
  </si>
  <si>
    <t>KIEROWNIK OPERACYJNY DS. FRANCZYZY</t>
  </si>
  <si>
    <t>https://www.goldenline.pl/praca/oferta/1334742/zielonalinia0?utm_brand=goldenline&amp;utm_source=zielonalinia0&amp;gpid=1045238&amp;utm_channel=free&amp;utm_medium=oferta&amp;utm_department=marketing</t>
  </si>
  <si>
    <t>09.01.2023</t>
  </si>
  <si>
    <t>2824962</t>
  </si>
  <si>
    <t>49130179</t>
  </si>
  <si>
    <t>BESTA PRZEDSIĘBIORSTWO BUDOWLANE Sp. z o.o.</t>
  </si>
  <si>
    <t>Staż w dziale kadr</t>
  </si>
  <si>
    <t>https://www.goldenline.pl/praca/oferta/1331950/zielonalinia0?utm_brand=goldenline&amp;utm_source=zielonalinia0&amp;gpid=1042440&amp;utm_channel=free&amp;utm_medium=oferta&amp;utm_department=marketing</t>
  </si>
  <si>
    <t>2824964</t>
  </si>
  <si>
    <t>49130181</t>
  </si>
  <si>
    <t>KASJER-SPRZEDAWCA/MERCHANDISER W DROGERII MIELEC - niepełny etat</t>
  </si>
  <si>
    <t>https://www.goldenline.pl/praca/oferta/1332408/zielonalinia0?utm_brand=goldenline&amp;utm_source=zielonalinia0&amp;gpid=1042900&amp;utm_channel=free&amp;utm_medium=oferta&amp;utm_department=marketing</t>
  </si>
  <si>
    <t>2825017</t>
  </si>
  <si>
    <t>49130234</t>
  </si>
  <si>
    <t>Młodszy Administrator stron internetowych</t>
  </si>
  <si>
    <t>31.03.2023</t>
  </si>
  <si>
    <t>https://www.goldenline.pl/praca/oferta/1332012/zielonalinia0?utm_brand=goldenline&amp;utm_source=zielonalinia0&amp;gpid=1042500&amp;utm_channel=free&amp;utm_medium=oferta&amp;utm_department=marketing</t>
  </si>
  <si>
    <t>2825021</t>
  </si>
  <si>
    <t>49130238</t>
  </si>
  <si>
    <t>Administrator Danych HR z językiem niemieckim - praca zdalna</t>
  </si>
  <si>
    <t>https://www.goldenline.pl/praca/oferta/1333430/zielonalinia0?utm_brand=goldenline&amp;utm_source=zielonalinia0&amp;gpid=1043926&amp;utm_channel=free&amp;utm_medium=oferta&amp;utm_department=marketing</t>
  </si>
  <si>
    <t>09.02.2023</t>
  </si>
  <si>
    <t>2825060</t>
  </si>
  <si>
    <t>49130277</t>
  </si>
  <si>
    <t>Pracownik serwisu sprzątającego - Nowa Dęba</t>
  </si>
  <si>
    <t>07.04.2023</t>
  </si>
  <si>
    <t>https://www.goldenline.pl/praca/oferta/1333388/zielonalinia0?utm_brand=goldenline&amp;utm_source=zielonalinia0&amp;gpid=1043884&amp;utm_channel=free&amp;utm_medium=oferta&amp;utm_department=marketing</t>
  </si>
  <si>
    <t>2825102</t>
  </si>
  <si>
    <t>49130319</t>
  </si>
  <si>
    <t>Merchandiser mobilny</t>
  </si>
  <si>
    <t>13.04.2023</t>
  </si>
  <si>
    <t>https://www.goldenline.pl/praca/oferta/1337238/zielonalinia0?utm_brand=goldenline&amp;utm_source=zielonalinia0&amp;gpid=1047736&amp;utm_channel=free&amp;utm_medium=oferta&amp;utm_department=marketing</t>
  </si>
  <si>
    <t>17.01.2023</t>
  </si>
  <si>
    <t>2825127</t>
  </si>
  <si>
    <t>49130344</t>
  </si>
  <si>
    <t>SCALO Sp. z o.o.</t>
  </si>
  <si>
    <t>https://www.goldenline.pl/praca/oferta/1334526/zielonalinia0?utm_brand=goldenline&amp;utm_source=zielonalinia0&amp;gpid=1045022&amp;utm_channel=free&amp;utm_medium=oferta&amp;utm_department=marketing</t>
  </si>
  <si>
    <t>2825183</t>
  </si>
  <si>
    <t>49130400</t>
  </si>
  <si>
    <t>AP / PtP / P2P Specialist with German - remote work</t>
  </si>
  <si>
    <t>https://www.goldenline.pl/praca/oferta/1332608/zielonalinia0?utm_brand=goldenline&amp;utm_source=zielonalinia0&amp;gpid=1043100&amp;utm_channel=free&amp;utm_medium=oferta&amp;utm_department=marketing</t>
  </si>
  <si>
    <t>04.01.2023</t>
  </si>
  <si>
    <t>08.02.2023</t>
  </si>
  <si>
    <t>2825216</t>
  </si>
  <si>
    <t>49130433</t>
  </si>
  <si>
    <t>Translator with Dutch / Tłumacz języka Niderlandzkiego / Tłumacz języka Holenderskiego</t>
  </si>
  <si>
    <t>https://www.goldenline.pl/praca/oferta/1306194/zielonalinia0?utm_brand=goldenline&amp;utm_source=zielonalinia0&amp;gpid=1016714&amp;utm_channel=free&amp;utm_medium=oferta&amp;utm_department=marketing</t>
  </si>
  <si>
    <t>2825322</t>
  </si>
  <si>
    <t>49130539</t>
  </si>
  <si>
    <t>Data Governance- Technical Analyst</t>
  </si>
  <si>
    <t>https://www.goldenline.pl/praca/oferta/1340774/zielonalinia0?utm_brand=goldenline&amp;utm_source=zielonalinia0&amp;gpid=1051282&amp;utm_channel=free&amp;utm_medium=oferta&amp;utm_department=marketing</t>
  </si>
  <si>
    <t>2825329</t>
  </si>
  <si>
    <t>49130546</t>
  </si>
  <si>
    <t>Pielęgniarka  - online</t>
  </si>
  <si>
    <t>https://www.goldenline.pl/praca/oferta/1306124/zielonalinia0?utm_brand=goldenline&amp;utm_source=zielonalinia0&amp;gpid=1016788&amp;utm_channel=free&amp;utm_medium=oferta&amp;utm_department=marketing</t>
  </si>
  <si>
    <t>2825347</t>
  </si>
  <si>
    <t>49130564</t>
  </si>
  <si>
    <t>Junior Front-end developer</t>
  </si>
  <si>
    <t>https://www.goldenline.pl/praca/oferta/1330846/zielonalinia0?utm_brand=goldenline&amp;utm_source=zielonalinia0&amp;gpid=1041292&amp;utm_channel=free&amp;utm_medium=oferta&amp;utm_department=marketing</t>
  </si>
  <si>
    <t>2825352</t>
  </si>
  <si>
    <t>49130569</t>
  </si>
  <si>
    <t>Customer service specialist with Italian</t>
  </si>
  <si>
    <t>Technik usług pocztowych i finansowych*</t>
  </si>
  <si>
    <t>https://www.goldenline.pl/praca/oferta/1339502/zielonalinia0?utm_brand=goldenline&amp;utm_source=zielonalinia0&amp;gpid=1050010&amp;utm_channel=free&amp;utm_medium=oferta&amp;utm_department=marketing</t>
  </si>
  <si>
    <t>23.01.2023</t>
  </si>
  <si>
    <t>27.02.2023</t>
  </si>
  <si>
    <t>2825368</t>
  </si>
  <si>
    <t>49130585</t>
  </si>
  <si>
    <t>RPd057|421108</t>
  </si>
  <si>
    <t>Fullstack Developer (PHP + JavaScript)</t>
  </si>
  <si>
    <t>https://www.goldenline.pl/praca/oferta/1336626/zielonalinia0?utm_brand=goldenline&amp;utm_source=zielonalinia0&amp;gpid=1047126&amp;utm_channel=free&amp;utm_medium=oferta&amp;utm_department=marketing</t>
  </si>
  <si>
    <t>13.01.2023</t>
  </si>
  <si>
    <t>17.02.2023</t>
  </si>
  <si>
    <t>2825378</t>
  </si>
  <si>
    <t>49130595</t>
  </si>
  <si>
    <t>Omida S.A.</t>
  </si>
  <si>
    <t>Team Leader tsl</t>
  </si>
  <si>
    <t>https://www.goldenline.pl/praca/oferta/1333018/zielonalinia0?utm_brand=goldenline&amp;utm_source=zielonalinia0&amp;gpid=1043514&amp;utm_channel=free&amp;utm_medium=oferta&amp;utm_department=marketing</t>
  </si>
  <si>
    <t>2825412</t>
  </si>
  <si>
    <t>49130629</t>
  </si>
  <si>
    <t>BUSINESS BRIDGE GROUP Sp. z o.o.</t>
  </si>
  <si>
    <t>Inżynier Budowy (instalacje sanitarne)</t>
  </si>
  <si>
    <t>https://www.goldenline.pl/praca/oferta/1341740/zielonalinia0?utm_brand=goldenline&amp;utm_source=zielonalinia0&amp;gpid=1052250&amp;utm_channel=free&amp;utm_medium=oferta&amp;utm_department=marketing</t>
  </si>
  <si>
    <t>27.01.2023</t>
  </si>
  <si>
    <t>2825416</t>
  </si>
  <si>
    <t>49130633</t>
  </si>
  <si>
    <t>Tech Lead Developer</t>
  </si>
  <si>
    <t>https://www.goldenline.pl/praca/oferta/1333984/zielonalinia0?utm_brand=goldenline&amp;utm_source=zielonalinia0&amp;gpid=1044480&amp;utm_channel=free&amp;utm_medium=oferta&amp;utm_department=marketing</t>
  </si>
  <si>
    <t>2825479</t>
  </si>
  <si>
    <t>49130696</t>
  </si>
  <si>
    <t>Doradca Klienta w dziale RS</t>
  </si>
  <si>
    <t>https://www.goldenline.pl/praca/oferta/1339420/zielonalinia0?utm_brand=goldenline&amp;utm_source=zielonalinia0&amp;gpid=1049852&amp;utm_channel=free&amp;utm_medium=oferta&amp;utm_department=marketing</t>
  </si>
  <si>
    <t>2825515</t>
  </si>
  <si>
    <t>49130732</t>
  </si>
  <si>
    <t>Relationship Manager (zdalnie/kontrakt B2B)</t>
  </si>
  <si>
    <t>https://www.goldenline.pl/praca/oferta/1338710/zielonalinia0?utm_brand=goldenline&amp;utm_source=zielonalinia0&amp;gpid=1049216&amp;utm_channel=free&amp;utm_medium=oferta&amp;utm_department=marketing</t>
  </si>
  <si>
    <t>2825529</t>
  </si>
  <si>
    <t>49130746</t>
  </si>
  <si>
    <t>Doradca Handlowy ds. Serwisu</t>
  </si>
  <si>
    <t>https://www.goldenline.pl/praca/oferta/1338226/zielonalinia0?utm_brand=goldenline&amp;utm_source=zielonalinia0&amp;gpid=1048730&amp;utm_channel=free&amp;utm_medium=oferta&amp;utm_department=marketing</t>
  </si>
  <si>
    <t>19.01.2023</t>
  </si>
  <si>
    <t>23.02.2023</t>
  </si>
  <si>
    <t>2825562</t>
  </si>
  <si>
    <t>49130779</t>
  </si>
  <si>
    <t>Specjalista ds planowania produkcji</t>
  </si>
  <si>
    <t>Polska, podkarpackie, Wroclaw</t>
  </si>
  <si>
    <t>https://www.goldenline.pl/praca/oferta/1309666/zielonalinia0?utm_brand=goldenline&amp;utm_source=zielonalinia0&amp;gpid=1020072&amp;utm_channel=free&amp;utm_medium=oferta&amp;utm_department=marketing</t>
  </si>
  <si>
    <t>2825577</t>
  </si>
  <si>
    <t>49130794</t>
  </si>
  <si>
    <t>Kelner</t>
  </si>
  <si>
    <t>Polska, podkarpackie, Siedliska</t>
  </si>
  <si>
    <t>https://www.goldenline.pl/praca/oferta/1339828/zielonalinia0?utm_brand=goldenline&amp;utm_source=zielonalinia0&amp;gpid=1050340&amp;utm_channel=free&amp;utm_medium=oferta&amp;utm_department=marketing</t>
  </si>
  <si>
    <t>01.02.2023 04:24</t>
  </si>
  <si>
    <t>28.02.2023</t>
  </si>
  <si>
    <t>2825690</t>
  </si>
  <si>
    <t>49130907</t>
  </si>
  <si>
    <t>Kierownik działu zakupów (m/k)</t>
  </si>
  <si>
    <t>https://www.goldenline.pl/praca/oferta/1341072/zielonalinia0?utm_brand=goldenline&amp;utm_source=zielonalinia0&amp;gpid=1051580&amp;utm_channel=free&amp;utm_medium=oferta&amp;utm_department=marketing</t>
  </si>
  <si>
    <t>2825721</t>
  </si>
  <si>
    <t>49130938</t>
  </si>
  <si>
    <t>Contract Service Bartłomiej Nowak</t>
  </si>
  <si>
    <t>Elektryk Norwegia</t>
  </si>
  <si>
    <t>https://www.goldenline.pl/praca/oferta/1336260/zielonalinia0?utm_brand=goldenline&amp;utm_source=zielonalinia0&amp;gpid=1046758&amp;utm_channel=free&amp;utm_medium=oferta&amp;utm_department=marketing</t>
  </si>
  <si>
    <t>12.01.2023</t>
  </si>
  <si>
    <t>16.02.2023</t>
  </si>
  <si>
    <t>2825749</t>
  </si>
  <si>
    <t>49130966</t>
  </si>
  <si>
    <t>FX Business Analyst</t>
  </si>
  <si>
    <t>https://www.goldenline.pl/praca/oferta/1334890/zielonalinia0?utm_brand=goldenline&amp;utm_source=zielonalinia0&amp;gpid=1045386&amp;utm_channel=free&amp;utm_medium=oferta&amp;utm_department=marketing</t>
  </si>
  <si>
    <t>2825788</t>
  </si>
  <si>
    <t>49131005</t>
  </si>
  <si>
    <t>Praktykant Działu Rekrutacji (zdalnie)</t>
  </si>
  <si>
    <t>https://www.goldenline.pl/praca/oferta/1336998/zielonalinia0?utm_brand=goldenline&amp;utm_source=zielonalinia0&amp;gpid=1047496&amp;utm_channel=free&amp;utm_medium=oferta&amp;utm_department=marketing</t>
  </si>
  <si>
    <t>16.01.2023</t>
  </si>
  <si>
    <t>20.02.2023</t>
  </si>
  <si>
    <t>2825819</t>
  </si>
  <si>
    <t>49131036</t>
  </si>
  <si>
    <t>https://www.goldenline.pl/praca/oferta/1336828/zielonalinia0?utm_brand=goldenline&amp;utm_source=zielonalinia0&amp;gpid=1047326&amp;utm_channel=free&amp;utm_medium=oferta&amp;utm_department=marketing</t>
  </si>
  <si>
    <t>2825826</t>
  </si>
  <si>
    <t>49131043</t>
  </si>
  <si>
    <t>HUNTERS24 SPÓŁKA Z OGRANICZONĄ ODPOWIEDZIALNOŚCIĄ SPÓŁKA KOMANDYTOWA</t>
  </si>
  <si>
    <t>Pracownik serwisu sprzątającego</t>
  </si>
  <si>
    <t>https://www.goldenline.pl/praca/oferta/1340532/zielonalinia0?utm_brand=goldenline&amp;utm_source=zielonalinia0&amp;gpid=1051038&amp;utm_channel=free&amp;utm_medium=oferta&amp;utm_department=marketing</t>
  </si>
  <si>
    <t>25.01.2023</t>
  </si>
  <si>
    <t>01.03.2023</t>
  </si>
  <si>
    <t>2825871</t>
  </si>
  <si>
    <t>49131088</t>
  </si>
  <si>
    <t>https://www.goldenline.pl/praca/oferta/1333502/zielonalinia0?utm_brand=goldenline&amp;utm_source=zielonalinia0&amp;gpid=1043998&amp;utm_channel=free&amp;utm_medium=oferta&amp;utm_department=marketing</t>
  </si>
  <si>
    <t>2825907</t>
  </si>
  <si>
    <t>49131124</t>
  </si>
  <si>
    <t>SAP Product Manager</t>
  </si>
  <si>
    <t>https://www.goldenline.pl/praca/oferta/1337260/zielonalinia0?utm_brand=goldenline&amp;utm_source=zielonalinia0&amp;gpid=1047758&amp;utm_channel=free&amp;utm_medium=oferta&amp;utm_department=marketing</t>
  </si>
  <si>
    <t>2825923</t>
  </si>
  <si>
    <t>49131140</t>
  </si>
  <si>
    <t>https://www.goldenline.pl/praca/oferta/1332524/zielonalinia0?utm_brand=goldenline&amp;utm_source=zielonalinia0&amp;gpid=1043016&amp;utm_channel=free&amp;utm_medium=oferta&amp;utm_department=marketing</t>
  </si>
  <si>
    <t>2825939</t>
  </si>
  <si>
    <t>49131156</t>
  </si>
  <si>
    <t>https://www.goldenline.pl/praca/oferta/1333122/zielonalinia0?utm_brand=goldenline&amp;utm_source=zielonalinia0&amp;gpid=1043618&amp;utm_channel=free&amp;utm_medium=oferta&amp;utm_department=marketing</t>
  </si>
  <si>
    <t>2825957</t>
  </si>
  <si>
    <t>49131174</t>
  </si>
  <si>
    <t>Technical Business Analyst</t>
  </si>
  <si>
    <t>https://www.goldenline.pl/praca/oferta/1340396/zielonalinia0?utm_brand=goldenline&amp;utm_source=zielonalinia0&amp;gpid=1050902&amp;utm_channel=free&amp;utm_medium=oferta&amp;utm_department=marketing</t>
  </si>
  <si>
    <t>2826085</t>
  </si>
  <si>
    <t>49131302</t>
  </si>
  <si>
    <t>Web Publisher- agencja reklamowa</t>
  </si>
  <si>
    <t>https://www.goldenline.pl/praca/oferta/1340944/zielonalinia0?utm_brand=goldenline&amp;utm_source=zielonalinia0&amp;gpid=1051452&amp;utm_channel=free&amp;utm_medium=oferta&amp;utm_department=marketing</t>
  </si>
  <si>
    <t>2826184</t>
  </si>
  <si>
    <t>49131401</t>
  </si>
  <si>
    <t>Kasjer/sprzedawca w drogerii</t>
  </si>
  <si>
    <t>https://www.goldenline.pl/praca/oferta/1331052/zielonalinia0?utm_brand=goldenline&amp;utm_source=zielonalinia0&amp;gpid=1041508&amp;utm_channel=free&amp;utm_medium=oferta&amp;utm_department=marketing</t>
  </si>
  <si>
    <t>2826187</t>
  </si>
  <si>
    <t>49131404</t>
  </si>
  <si>
    <t>UNIQUE PEOPLE Sp. z o.o.</t>
  </si>
  <si>
    <t>Infolinia Techniczna - Odbieranie połączeń</t>
  </si>
  <si>
    <t>https://www.goldenline.pl/praca/oferta/1335778/zielonalinia0?utm_brand=goldenline&amp;utm_source=zielonalinia0&amp;gpid=1046276&amp;utm_channel=free&amp;utm_medium=oferta&amp;utm_department=marketing</t>
  </si>
  <si>
    <t>2826201</t>
  </si>
  <si>
    <t>49131418</t>
  </si>
  <si>
    <t>https://www.goldenline.pl/praca/oferta/1333912/zielonalinia0?utm_brand=goldenline&amp;utm_source=zielonalinia0&amp;gpid=1044408&amp;utm_channel=free&amp;utm_medium=oferta&amp;utm_department=marketing</t>
  </si>
  <si>
    <t>2826211</t>
  </si>
  <si>
    <t>49131428</t>
  </si>
  <si>
    <t>https://www.goldenline.pl/praca/oferta/1341828/zielonalinia0?utm_brand=goldenline&amp;utm_source=zielonalinia0&amp;gpid=1052336&amp;utm_channel=free&amp;utm_medium=oferta&amp;utm_department=marketing</t>
  </si>
  <si>
    <t>2826212</t>
  </si>
  <si>
    <t>49131429</t>
  </si>
  <si>
    <t>Operations Analytics Practice Manager</t>
  </si>
  <si>
    <t>https://www.goldenline.pl/praca/oferta/1340880/zielonalinia0?utm_brand=goldenline&amp;utm_source=zielonalinia0&amp;gpid=1051388&amp;utm_channel=free&amp;utm_medium=oferta&amp;utm_department=marketing</t>
  </si>
  <si>
    <t>2826236</t>
  </si>
  <si>
    <t>49131453</t>
  </si>
  <si>
    <t>Cash Application Analyst with German  |Praca Zdalna|</t>
  </si>
  <si>
    <t>https://www.goldenline.pl/praca/oferta/1339192/zielonalinia0?utm_brand=goldenline&amp;utm_source=zielonalinia0&amp;gpid=1049704&amp;utm_channel=free&amp;utm_medium=oferta&amp;utm_department=marketing</t>
  </si>
  <si>
    <t>2826238</t>
  </si>
  <si>
    <t>49131455</t>
  </si>
  <si>
    <t>https://www.goldenline.pl/praca/oferta/1333172/zielonalinia0?utm_brand=goldenline&amp;utm_source=zielonalinia0&amp;gpid=1043668&amp;utm_channel=free&amp;utm_medium=oferta&amp;utm_department=marketing</t>
  </si>
  <si>
    <t>2826243</t>
  </si>
  <si>
    <t>49131460</t>
  </si>
  <si>
    <t>https://www.goldenline.pl/praca/oferta/1332520/zielonalinia0?utm_brand=goldenline&amp;utm_source=zielonalinia0&amp;gpid=1043012&amp;utm_channel=free&amp;utm_medium=oferta&amp;utm_department=marketing</t>
  </si>
  <si>
    <t>2826245</t>
  </si>
  <si>
    <t>49131462</t>
  </si>
  <si>
    <t>2826279</t>
  </si>
  <si>
    <t>49131496</t>
  </si>
  <si>
    <t>https://www.goldenline.pl/praca/oferta/1333826/zielonalinia0?utm_brand=goldenline&amp;utm_source=zielonalinia0&amp;gpid=1044322&amp;utm_channel=free&amp;utm_medium=oferta&amp;utm_department=marketing</t>
  </si>
  <si>
    <t>2826308</t>
  </si>
  <si>
    <t>49131525</t>
  </si>
  <si>
    <t>Wykładanie towaru w sklepie kosmetycznym Mielec WT/PT rano</t>
  </si>
  <si>
    <t>https://www.goldenline.pl/praca/oferta/1337508/zielonalinia0?utm_brand=goldenline&amp;utm_source=zielonalinia0&amp;gpid=1048008&amp;utm_channel=free&amp;utm_medium=oferta&amp;utm_department=marketing</t>
  </si>
  <si>
    <t>2826329</t>
  </si>
  <si>
    <t>49131546</t>
  </si>
  <si>
    <t>Specjalista ds. wsparcia klienta z j. niemieckim C1</t>
  </si>
  <si>
    <t>https://www.goldenline.pl/praca/oferta/1340144/zielonalinia0?utm_brand=goldenline&amp;utm_source=zielonalinia0&amp;gpid=1050650&amp;utm_channel=free&amp;utm_medium=oferta&amp;utm_department=marketing</t>
  </si>
  <si>
    <t>2826333</t>
  </si>
  <si>
    <t>49131550</t>
  </si>
  <si>
    <t>https://www.goldenline.pl/praca/oferta/1338300/zielonalinia0?utm_brand=goldenline&amp;utm_source=zielonalinia0&amp;gpid=1048804&amp;utm_channel=free&amp;utm_medium=oferta&amp;utm_department=marketing</t>
  </si>
  <si>
    <t>2826376</t>
  </si>
  <si>
    <t>49131593</t>
  </si>
  <si>
    <t>https://www.goldenline.pl/praca/oferta/1336190/zielonalinia0?utm_brand=goldenline&amp;utm_source=zielonalinia0&amp;gpid=1046688&amp;utm_channel=free&amp;utm_medium=oferta&amp;utm_department=marketing</t>
  </si>
  <si>
    <t>2826402</t>
  </si>
  <si>
    <t>49131619</t>
  </si>
  <si>
    <t>P&amp;P Solutions Sp. z o.o.</t>
  </si>
  <si>
    <t>Koordynator Testów</t>
  </si>
  <si>
    <t>https://www.goldenline.pl/praca/oferta/1339388/zielonalinia0?utm_brand=goldenline&amp;utm_source=zielonalinia0&amp;gpid=1049936&amp;utm_channel=free&amp;utm_medium=oferta&amp;utm_department=marketing</t>
  </si>
  <si>
    <t>2826420</t>
  </si>
  <si>
    <t>49131637</t>
  </si>
  <si>
    <t>https://www.goldenline.pl/praca/oferta/1340454/zielonalinia0?utm_brand=goldenline&amp;utm_source=zielonalinia0&amp;gpid=1050970&amp;utm_channel=free&amp;utm_medium=oferta&amp;utm_department=marketing</t>
  </si>
  <si>
    <t>2826458</t>
  </si>
  <si>
    <t>49131675</t>
  </si>
  <si>
    <t>Web Publisher- pierwsza praca w IT</t>
  </si>
  <si>
    <t>https://www.goldenline.pl/praca/oferta/1330626/zielonalinia0?utm_brand=goldenline&amp;utm_source=zielonalinia0&amp;gpid=1041072&amp;utm_channel=free&amp;utm_medium=oferta&amp;utm_department=marketing</t>
  </si>
  <si>
    <t>2826495</t>
  </si>
  <si>
    <t>49131712</t>
  </si>
  <si>
    <t>https://www.goldenline.pl/praca/oferta/1333224/zielonalinia0?utm_brand=goldenline&amp;utm_source=zielonalinia0&amp;gpid=1043720&amp;utm_channel=free&amp;utm_medium=oferta&amp;utm_department=marketing</t>
  </si>
  <si>
    <t>2826496</t>
  </si>
  <si>
    <t>49131713</t>
  </si>
  <si>
    <t>https://www.goldenline.pl/praca/oferta/1333220/zielonalinia0?utm_brand=goldenline&amp;utm_source=zielonalinia0&amp;gpid=1043716&amp;utm_channel=free&amp;utm_medium=oferta&amp;utm_department=marketing</t>
  </si>
  <si>
    <t>2826499</t>
  </si>
  <si>
    <t>49131716</t>
  </si>
  <si>
    <t>HR Product Analyst</t>
  </si>
  <si>
    <t>https://www.goldenline.pl/praca/oferta/1337436/zielonalinia0?utm_brand=goldenline&amp;utm_source=zielonalinia0&amp;gpid=1047936&amp;utm_channel=free&amp;utm_medium=oferta&amp;utm_department=marketing</t>
  </si>
  <si>
    <t>2826601</t>
  </si>
  <si>
    <t>49131818</t>
  </si>
  <si>
    <t>https://www.goldenline.pl/praca/oferta/1341174/zielonalinia0?utm_brand=goldenline&amp;utm_source=zielonalinia0&amp;gpid=1051682&amp;utm_channel=free&amp;utm_medium=oferta&amp;utm_department=marketing</t>
  </si>
  <si>
    <t>2826619</t>
  </si>
  <si>
    <t>49131836</t>
  </si>
  <si>
    <t>https://www.goldenline.pl/praca/oferta/1332046/zielonalinia0?utm_brand=goldenline&amp;utm_source=zielonalinia0&amp;gpid=1042534&amp;utm_channel=free&amp;utm_medium=oferta&amp;utm_department=marketing</t>
  </si>
  <si>
    <t>2826632</t>
  </si>
  <si>
    <t>49131849</t>
  </si>
  <si>
    <t>https://www.goldenline.pl/praca/oferta/1333128/zielonalinia0?utm_brand=goldenline&amp;utm_source=zielonalinia0&amp;gpid=1043624&amp;utm_channel=free&amp;utm_medium=oferta&amp;utm_department=marketing</t>
  </si>
  <si>
    <t>2826691</t>
  </si>
  <si>
    <t>49131908</t>
  </si>
  <si>
    <t>Customer service with English</t>
  </si>
  <si>
    <t>https://www.goldenline.pl/praca/oferta/1336044/zielonalinia0?utm_brand=goldenline&amp;utm_source=zielonalinia0&amp;gpid=1046542&amp;utm_channel=free&amp;utm_medium=oferta&amp;utm_department=marketing</t>
  </si>
  <si>
    <t>2826715</t>
  </si>
  <si>
    <t>49131932</t>
  </si>
  <si>
    <t>Młodszy Administrator stron / Web Publisher</t>
  </si>
  <si>
    <t>https://www.goldenline.pl/praca/oferta/1341192/zielonalinia0?utm_brand=goldenline&amp;utm_source=zielonalinia0&amp;gpid=1051700&amp;utm_channel=free&amp;utm_medium=oferta&amp;utm_department=marketing</t>
  </si>
  <si>
    <t>2826762</t>
  </si>
  <si>
    <t>49131979</t>
  </si>
  <si>
    <t>https://www.goldenline.pl/praca/oferta/1338000/zielonalinia0?utm_brand=goldenline&amp;utm_source=zielonalinia0&amp;gpid=1048504&amp;utm_channel=free&amp;utm_medium=oferta&amp;utm_department=marketing</t>
  </si>
  <si>
    <t>18.01.2023</t>
  </si>
  <si>
    <t>22.02.2023</t>
  </si>
  <si>
    <t>2826771</t>
  </si>
  <si>
    <t>49131988</t>
  </si>
  <si>
    <t>https://www.goldenline.pl/praca/oferta/1337902/zielonalinia0?utm_brand=goldenline&amp;utm_source=zielonalinia0&amp;gpid=1048408&amp;utm_channel=free&amp;utm_medium=oferta&amp;utm_department=marketing</t>
  </si>
  <si>
    <t>2826852</t>
  </si>
  <si>
    <t>49132069</t>
  </si>
  <si>
    <t>https://www.goldenline.pl/praca/oferta/1330644/zielonalinia0?utm_brand=goldenline&amp;utm_source=zielonalinia0&amp;gpid=1041090&amp;utm_channel=free&amp;utm_medium=oferta&amp;utm_department=marketing</t>
  </si>
  <si>
    <t>2826864</t>
  </si>
  <si>
    <t>49132081</t>
  </si>
  <si>
    <t>Młodszy koordynator ds. łańcucha dostaw z jez. francuskim - praca zdalna</t>
  </si>
  <si>
    <t>https://www.goldenline.pl/praca/oferta/1332942/zielonalinia0?utm_brand=goldenline&amp;utm_source=zielonalinia0&amp;gpid=1043438&amp;utm_channel=free&amp;utm_medium=oferta&amp;utm_department=marketing</t>
  </si>
  <si>
    <t>2826866</t>
  </si>
  <si>
    <t>49132083</t>
  </si>
  <si>
    <t>2826879</t>
  </si>
  <si>
    <t>49132096</t>
  </si>
  <si>
    <t>JavaScript Developer / Frontend Developer</t>
  </si>
  <si>
    <t>https://www.goldenline.pl/praca/oferta/1334036/zielonalinia0?utm_brand=goldenline&amp;utm_source=zielonalinia0&amp;gpid=1044534&amp;utm_channel=free&amp;utm_medium=oferta&amp;utm_department=marketing</t>
  </si>
  <si>
    <t>2826921</t>
  </si>
  <si>
    <t>49132138</t>
  </si>
  <si>
    <t>https://www.goldenline.pl/praca/oferta/1335998/zielonalinia0?utm_brand=goldenline&amp;utm_source=zielonalinia0&amp;gpid=1046500&amp;utm_channel=free&amp;utm_medium=oferta&amp;utm_department=marketing</t>
  </si>
  <si>
    <t>2826933</t>
  </si>
  <si>
    <t>49132150</t>
  </si>
  <si>
    <t>Pracownik ochrony - status ucznia - praca dorywcza .</t>
  </si>
  <si>
    <t>https://www.goldenline.pl/praca/oferta/1330596/zielonalinia0?utm_brand=goldenline&amp;utm_source=zielonalinia0&amp;gpid=1041038&amp;utm_channel=free&amp;utm_medium=oferta&amp;utm_department=marketing</t>
  </si>
  <si>
    <t>2826985</t>
  </si>
  <si>
    <t>49132202</t>
  </si>
  <si>
    <t>https://www.goldenline.pl/praca/oferta/1340978/zielonalinia0?utm_brand=goldenline&amp;utm_source=zielonalinia0&amp;gpid=1051486&amp;utm_channel=free&amp;utm_medium=oferta&amp;utm_department=marketing</t>
  </si>
  <si>
    <t>2827023</t>
  </si>
  <si>
    <t>49132240</t>
  </si>
  <si>
    <t>https://www.goldenline.pl/praca/oferta/1336850/zielonalinia0?utm_brand=goldenline&amp;utm_source=zielonalinia0&amp;gpid=1047348&amp;utm_channel=free&amp;utm_medium=oferta&amp;utm_department=marketing</t>
  </si>
  <si>
    <t>2827040</t>
  </si>
  <si>
    <t>49132257</t>
  </si>
  <si>
    <t>Backend Engineer</t>
  </si>
  <si>
    <t>https://www.goldenline.pl/praca/oferta/1337378/zielonalinia0?utm_brand=goldenline&amp;utm_source=zielonalinia0&amp;gpid=1047876&amp;utm_channel=free&amp;utm_medium=oferta&amp;utm_department=marketing</t>
  </si>
  <si>
    <t>2827051</t>
  </si>
  <si>
    <t>49132268</t>
  </si>
  <si>
    <t>https://www.goldenline.pl/praca/oferta/1335582/zielonalinia0?utm_brand=goldenline&amp;utm_source=zielonalinia0&amp;gpid=1046080&amp;utm_channel=free&amp;utm_medium=oferta&amp;utm_department=marketing</t>
  </si>
  <si>
    <t>2827060</t>
  </si>
  <si>
    <t>49132277</t>
  </si>
  <si>
    <t>Specjalista AR / OTC j. fińskim (praca zdalna)</t>
  </si>
  <si>
    <t>https://www.goldenline.pl/praca/oferta/1334420/zielonalinia0?utm_brand=goldenline&amp;utm_source=zielonalinia0&amp;gpid=1044916&amp;utm_channel=free&amp;utm_medium=oferta&amp;utm_department=marketing</t>
  </si>
  <si>
    <t>2827065</t>
  </si>
  <si>
    <t>49132282</t>
  </si>
  <si>
    <t>https://www.goldenline.pl/praca/oferta/1332522/zielonalinia0?utm_brand=goldenline&amp;utm_source=zielonalinia0&amp;gpid=1043014&amp;utm_channel=free&amp;utm_medium=oferta&amp;utm_department=marketing</t>
  </si>
  <si>
    <t>2827099</t>
  </si>
  <si>
    <t>49132316</t>
  </si>
  <si>
    <t>https://www.goldenline.pl/praca/oferta/1333470/zielonalinia0?utm_brand=goldenline&amp;utm_source=zielonalinia0&amp;gpid=1043966&amp;utm_channel=free&amp;utm_medium=oferta&amp;utm_department=marketing</t>
  </si>
  <si>
    <t>2827107</t>
  </si>
  <si>
    <t>49132324</t>
  </si>
  <si>
    <t>BERKER DOMINIS Sp. z o.o.</t>
  </si>
  <si>
    <t>Kierownik budowy - branża kolejowa</t>
  </si>
  <si>
    <t>https://www.goldenline.pl/praca/oferta/1331140/zielonalinia0?utm_brand=goldenline&amp;utm_source=zielonalinia0&amp;gpid=1041628&amp;utm_channel=free&amp;utm_medium=oferta&amp;utm_department=marketing</t>
  </si>
  <si>
    <t>2827128</t>
  </si>
  <si>
    <t>49132345</t>
  </si>
  <si>
    <t>Dodatkowa praca przy sprzątaniu obiektu biurowego - Mielec</t>
  </si>
  <si>
    <t>https://www.goldenline.pl/praca/oferta/1330830/zielonalinia0?utm_brand=goldenline&amp;utm_source=zielonalinia0&amp;gpid=1041276&amp;utm_channel=free&amp;utm_medium=oferta&amp;utm_department=marketing</t>
  </si>
  <si>
    <t>2827155</t>
  </si>
  <si>
    <t>49132372</t>
  </si>
  <si>
    <t>https://www.goldenline.pl/praca/oferta/1335792/zielonalinia0?utm_brand=goldenline&amp;utm_source=zielonalinia0&amp;gpid=1046290&amp;utm_channel=free&amp;utm_medium=oferta&amp;utm_department=marketing</t>
  </si>
  <si>
    <t>2827187</t>
  </si>
  <si>
    <t>49132404</t>
  </si>
  <si>
    <t>https://www.goldenline.pl/praca/oferta/1333178/zielonalinia0?utm_brand=goldenline&amp;utm_source=zielonalinia0&amp;gpid=1043674&amp;utm_channel=free&amp;utm_medium=oferta&amp;utm_department=marketing</t>
  </si>
  <si>
    <t>2827272</t>
  </si>
  <si>
    <t>49132489</t>
  </si>
  <si>
    <t>Dyrektor Salonu / Sinsay / Blue Park / Przemyśl</t>
  </si>
  <si>
    <t>https://www.goldenline.pl/praca/oferta/1331084/zielonalinia0?utm_brand=goldenline&amp;utm_source=zielonalinia0&amp;gpid=1041572&amp;utm_channel=free&amp;utm_medium=oferta&amp;utm_department=marketing</t>
  </si>
  <si>
    <t>2827313</t>
  </si>
  <si>
    <t>49132530</t>
  </si>
  <si>
    <t>Technical Business Analyst (remote)</t>
  </si>
  <si>
    <t>https://www.goldenline.pl/praca/oferta/1334846/zielonalinia0?utm_brand=goldenline&amp;utm_source=zielonalinia0&amp;gpid=1045342&amp;utm_channel=free&amp;utm_medium=oferta&amp;utm_department=marketing</t>
  </si>
  <si>
    <t>2827357</t>
  </si>
  <si>
    <t>49132574</t>
  </si>
  <si>
    <t>Operations Analytics Practice Process Lead</t>
  </si>
  <si>
    <t>https://www.goldenline.pl/praca/oferta/1338346/zielonalinia0?utm_brand=goldenline&amp;utm_source=zielonalinia0&amp;gpid=1048850&amp;utm_channel=free&amp;utm_medium=oferta&amp;utm_department=marketing</t>
  </si>
  <si>
    <t>01.02.2023 03:31</t>
  </si>
  <si>
    <t>2827430</t>
  </si>
  <si>
    <t>49132647</t>
  </si>
  <si>
    <t>https://www.goldenline.pl/praca/oferta/1340912/zielonalinia0?utm_brand=goldenline&amp;utm_source=zielonalinia0&amp;gpid=1051420&amp;utm_channel=free&amp;utm_medium=oferta&amp;utm_department=marketing</t>
  </si>
  <si>
    <t>2827437</t>
  </si>
  <si>
    <t>49132654</t>
  </si>
  <si>
    <t>Frontend Developer (JavaScript)</t>
  </si>
  <si>
    <t>https://www.goldenline.pl/praca/oferta/1333852/zielonalinia0?utm_brand=goldenline&amp;utm_source=zielonalinia0&amp;gpid=1044350&amp;utm_channel=free&amp;utm_medium=oferta&amp;utm_department=marketing</t>
  </si>
  <si>
    <t>2827450</t>
  </si>
  <si>
    <t>49132667</t>
  </si>
  <si>
    <t>SAP GRC Project Manager</t>
  </si>
  <si>
    <t>https://www.goldenline.pl/praca/oferta/1340672/zielonalinia0?utm_brand=goldenline&amp;utm_source=zielonalinia0&amp;gpid=1051180&amp;utm_channel=free&amp;utm_medium=oferta&amp;utm_department=marketing</t>
  </si>
  <si>
    <t>2827456</t>
  </si>
  <si>
    <t>49132673</t>
  </si>
  <si>
    <t>https://www.goldenline.pl/praca/oferta/1333246/zielonalinia0?utm_brand=goldenline&amp;utm_source=zielonalinia0&amp;gpid=1043742&amp;utm_channel=free&amp;utm_medium=oferta&amp;utm_department=marketing</t>
  </si>
  <si>
    <t>2827458</t>
  </si>
  <si>
    <t>49132675</t>
  </si>
  <si>
    <t>.Net Fullstack Developer (Angular) (częściowo zdalnie)</t>
  </si>
  <si>
    <t>https://www.goldenline.pl/praca/oferta/1331616/zielonalinia0?utm_brand=goldenline&amp;utm_source=zielonalinia0&amp;gpid=1042104&amp;utm_channel=free&amp;utm_medium=oferta&amp;utm_department=marketing</t>
  </si>
  <si>
    <t>02.01.2023</t>
  </si>
  <si>
    <t>2827562</t>
  </si>
  <si>
    <t>49132779</t>
  </si>
  <si>
    <t>https://www.goldenline.pl/praca/oferta/1339556/zielonalinia0?utm_brand=goldenline&amp;utm_source=zielonalinia0&amp;gpid=1050064&amp;utm_channel=free&amp;utm_medium=oferta&amp;utm_department=marketing</t>
  </si>
  <si>
    <t>2827642</t>
  </si>
  <si>
    <t>49132859</t>
  </si>
  <si>
    <t>https://www.goldenline.pl/praca/oferta/1339052/zielonalinia0?utm_brand=goldenline&amp;utm_source=zielonalinia0&amp;gpid=1049562&amp;utm_channel=free&amp;utm_medium=oferta&amp;utm_department=marketing</t>
  </si>
  <si>
    <t>2827718</t>
  </si>
  <si>
    <t>49132935</t>
  </si>
  <si>
    <t>Senior Automation Tester/QA (TypeScript &amp; Java)</t>
  </si>
  <si>
    <t>https://www.goldenline.pl/praca/oferta/1338970/zielonalinia0?utm_brand=goldenline&amp;utm_source=zielonalinia0&amp;gpid=1049480&amp;utm_channel=free&amp;utm_medium=oferta&amp;utm_department=marketing</t>
  </si>
  <si>
    <t>2827759</t>
  </si>
  <si>
    <t>49132976</t>
  </si>
  <si>
    <t>https://www.goldenline.pl/praca/oferta/1341860/zielonalinia0?utm_brand=goldenline&amp;utm_source=zielonalinia0&amp;gpid=1052368&amp;utm_channel=free&amp;utm_medium=oferta&amp;utm_department=marketing</t>
  </si>
  <si>
    <t>2827765</t>
  </si>
  <si>
    <t>49132982</t>
  </si>
  <si>
    <t>https://www.goldenline.pl/praca/oferta/1336848/zielonalinia0?utm_brand=goldenline&amp;utm_source=zielonalinia0&amp;gpid=1047346&amp;utm_channel=free&amp;utm_medium=oferta&amp;utm_department=marketing</t>
  </si>
  <si>
    <t>2827800</t>
  </si>
  <si>
    <t>49133017</t>
  </si>
  <si>
    <t>Zastępca Dyrektora Salonu / Sinsay / Blue Park / Przemyśl</t>
  </si>
  <si>
    <t>https://www.goldenline.pl/praca/oferta/1334624/zielonalinia0?utm_brand=goldenline&amp;utm_source=zielonalinia0&amp;gpid=1045122&amp;utm_channel=free&amp;utm_medium=oferta&amp;utm_department=marketing</t>
  </si>
  <si>
    <t>2827855</t>
  </si>
  <si>
    <t>49133072</t>
  </si>
  <si>
    <t>Kasjer-sprzedawca w drogerii Mielec OD ZARAZ</t>
  </si>
  <si>
    <t>https://www.goldenline.pl/praca/oferta/1337414/zielonalinia0?utm_brand=goldenline&amp;utm_source=zielonalinia0&amp;gpid=1047914&amp;utm_channel=free&amp;utm_medium=oferta&amp;utm_department=marketing</t>
  </si>
  <si>
    <t>2827892</t>
  </si>
  <si>
    <t>49133109</t>
  </si>
  <si>
    <t>Senior C++ Developer</t>
  </si>
  <si>
    <t>https://www.goldenline.pl/praca/oferta/1337346/zielonalinia0?utm_brand=goldenline&amp;utm_source=zielonalinia0&amp;gpid=1047844&amp;utm_channel=free&amp;utm_medium=oferta&amp;utm_department=marketing</t>
  </si>
  <si>
    <t>2827912</t>
  </si>
  <si>
    <t>49133129</t>
  </si>
  <si>
    <t>https://www.goldenline.pl/praca/oferta/1330684/zielonalinia0?utm_brand=goldenline&amp;utm_source=zielonalinia0&amp;gpid=1041130&amp;utm_channel=free&amp;utm_medium=oferta&amp;utm_department=marketing</t>
  </si>
  <si>
    <t>2827913</t>
  </si>
  <si>
    <t>49133130</t>
  </si>
  <si>
    <t>ORACLE Server DataBase Administrator</t>
  </si>
  <si>
    <t>https://www.goldenline.pl/praca/oferta/1338650/zielonalinia0?utm_brand=goldenline&amp;utm_source=zielonalinia0&amp;gpid=1049156&amp;utm_channel=free&amp;utm_medium=oferta&amp;utm_department=marketing</t>
  </si>
  <si>
    <t>2827935</t>
  </si>
  <si>
    <t>49133152</t>
  </si>
  <si>
    <t>https://www.goldenline.pl/praca/oferta/1332190/zielonalinia0?utm_brand=goldenline&amp;utm_source=zielonalinia0&amp;gpid=1042682&amp;utm_channel=free&amp;utm_medium=oferta&amp;utm_department=marketing</t>
  </si>
  <si>
    <t>2827944</t>
  </si>
  <si>
    <t>49133161</t>
  </si>
  <si>
    <t>https://www.goldenline.pl/praca/oferta/1333534/zielonalinia0?utm_brand=goldenline&amp;utm_source=zielonalinia0&amp;gpid=1044030&amp;utm_channel=free&amp;utm_medium=oferta&amp;utm_department=marketing</t>
  </si>
  <si>
    <t>2827949</t>
  </si>
  <si>
    <t>49133166</t>
  </si>
  <si>
    <t>https://www.goldenline.pl/praca/oferta/1335796/zielonalinia0?utm_brand=goldenline&amp;utm_source=zielonalinia0&amp;gpid=1046294&amp;utm_channel=free&amp;utm_medium=oferta&amp;utm_department=marketing</t>
  </si>
  <si>
    <t>2827957</t>
  </si>
  <si>
    <t>49133174</t>
  </si>
  <si>
    <t>https://www.goldenline.pl/praca/oferta/1333170/zielonalinia0?utm_brand=goldenline&amp;utm_source=zielonalinia0&amp;gpid=1043666&amp;utm_channel=free&amp;utm_medium=oferta&amp;utm_department=marketing</t>
  </si>
  <si>
    <t>2827975</t>
  </si>
  <si>
    <t>49133192</t>
  </si>
  <si>
    <t>Kierownik Hotelu</t>
  </si>
  <si>
    <t>https://www.goldenline.pl/praca/oferta/1338450/zielonalinia0?utm_brand=goldenline&amp;utm_source=zielonalinia0&amp;gpid=1048956&amp;utm_channel=free&amp;utm_medium=oferta&amp;utm_department=marketing</t>
  </si>
  <si>
    <t>2828006</t>
  </si>
  <si>
    <t>49133223</t>
  </si>
  <si>
    <t>https://www.goldenline.pl/praca/oferta/1334798/zielonalinia0?utm_brand=goldenline&amp;utm_source=zielonalinia0&amp;gpid=1045294&amp;utm_channel=free&amp;utm_medium=oferta&amp;utm_department=marketing</t>
  </si>
  <si>
    <t>2828058</t>
  </si>
  <si>
    <t>49133275</t>
  </si>
  <si>
    <t>https://www.goldenline.pl/praca/oferta/1333798/zielonalinia0?utm_brand=goldenline&amp;utm_source=zielonalinia0&amp;gpid=1044298&amp;utm_channel=free&amp;utm_medium=oferta&amp;utm_department=marketing</t>
  </si>
  <si>
    <t>2828075</t>
  </si>
  <si>
    <t>49133292</t>
  </si>
  <si>
    <t>https://www.goldenline.pl/praca/oferta/1341010/zielonalinia0?utm_brand=goldenline&amp;utm_source=zielonalinia0&amp;gpid=1051518&amp;utm_channel=free&amp;utm_medium=oferta&amp;utm_department=marketing</t>
  </si>
  <si>
    <t>2828087</t>
  </si>
  <si>
    <t>49133304</t>
  </si>
  <si>
    <t>https://www.goldenline.pl/praca/oferta/1330902/zielonalinia0?utm_brand=goldenline&amp;utm_source=zielonalinia0&amp;gpid=1041354&amp;utm_channel=free&amp;utm_medium=oferta&amp;utm_department=marketing</t>
  </si>
  <si>
    <t>2828103</t>
  </si>
  <si>
    <t>49133320</t>
  </si>
  <si>
    <t>HR Manager  (Kraków)</t>
  </si>
  <si>
    <t>https://www.goldenline.pl/praca/oferta/1339358/zielonalinia0?utm_brand=goldenline&amp;utm_source=zielonalinia0&amp;gpid=1049906&amp;utm_channel=free&amp;utm_medium=oferta&amp;utm_department=marketing</t>
  </si>
  <si>
    <t>2828116</t>
  </si>
  <si>
    <t>49133333</t>
  </si>
  <si>
    <t>Server DataBase Administrator</t>
  </si>
  <si>
    <t>https://www.goldenline.pl/praca/oferta/1340844/zielonalinia0?utm_brand=goldenline&amp;utm_source=zielonalinia0&amp;gpid=1051356&amp;utm_channel=free&amp;utm_medium=oferta&amp;utm_department=marketing</t>
  </si>
  <si>
    <t>2828151</t>
  </si>
  <si>
    <t>49133368</t>
  </si>
  <si>
    <t>Web Publisher with English B1/B2</t>
  </si>
  <si>
    <t>https://www.goldenline.pl/praca/oferta/1341216/zielonalinia0?utm_brand=goldenline&amp;utm_source=zielonalinia0&amp;gpid=1051724&amp;utm_channel=free&amp;utm_medium=oferta&amp;utm_department=marketing</t>
  </si>
  <si>
    <t>2828163</t>
  </si>
  <si>
    <t>49133380</t>
  </si>
  <si>
    <t>https://www.goldenline.pl/praca/oferta/1340256/zielonalinia0?utm_brand=goldenline&amp;utm_source=zielonalinia0&amp;gpid=1050762&amp;utm_channel=free&amp;utm_medium=oferta&amp;utm_department=marketing</t>
  </si>
  <si>
    <t>2828192</t>
  </si>
  <si>
    <t>49133409</t>
  </si>
  <si>
    <t>https://www.goldenline.pl/praca/oferta/1331138/zielonalinia0?utm_brand=goldenline&amp;utm_source=zielonalinia0&amp;gpid=1041626&amp;utm_channel=free&amp;utm_medium=oferta&amp;utm_department=marketing</t>
  </si>
  <si>
    <t>2828237</t>
  </si>
  <si>
    <t>49133454</t>
  </si>
  <si>
    <t>Payroll Specialist z j. niemieckim PRACA ZDALNA</t>
  </si>
  <si>
    <t>https://www.goldenline.pl/praca/oferta/1334068/zielonalinia0?utm_brand=goldenline&amp;utm_source=zielonalinia0&amp;gpid=1044566&amp;utm_channel=free&amp;utm_medium=oferta&amp;utm_department=marketing</t>
  </si>
  <si>
    <t>2828292</t>
  </si>
  <si>
    <t>49133509</t>
  </si>
  <si>
    <t>https://www.goldenline.pl/praca/oferta/1339194/zielonalinia0?utm_brand=goldenline&amp;utm_source=zielonalinia0&amp;gpid=1049706&amp;utm_channel=free&amp;utm_medium=oferta&amp;utm_department=marketing</t>
  </si>
  <si>
    <t>2828321</t>
  </si>
  <si>
    <t>49133538</t>
  </si>
  <si>
    <t>Pracownik Ochrony - Stalowa Wola - obiekt handlowy</t>
  </si>
  <si>
    <t>https://www.goldenline.pl/praca/oferta/1336456/zielonalinia0?utm_brand=goldenline&amp;utm_source=zielonalinia0&amp;gpid=1046956&amp;utm_channel=free&amp;utm_medium=oferta&amp;utm_department=marketing</t>
  </si>
  <si>
    <t>2828356</t>
  </si>
  <si>
    <t>49133573</t>
  </si>
  <si>
    <t>Senior Devops Engineer</t>
  </si>
  <si>
    <t>https://www.goldenline.pl/praca/oferta/1337076/zielonalinia0?utm_brand=goldenline&amp;utm_source=zielonalinia0&amp;gpid=1047574&amp;utm_channel=free&amp;utm_medium=oferta&amp;utm_department=marketing</t>
  </si>
  <si>
    <t>2828377</t>
  </si>
  <si>
    <t>49133594</t>
  </si>
  <si>
    <t>IT/Business Controls Audit Coordinator</t>
  </si>
  <si>
    <t>https://www.goldenline.pl/praca/oferta/1340496/zielonalinia0?utm_brand=goldenline&amp;utm_source=zielonalinia0&amp;gpid=1051002&amp;utm_channel=free&amp;utm_medium=oferta&amp;utm_department=marketing</t>
  </si>
  <si>
    <t>2828393</t>
  </si>
  <si>
    <t>49133610</t>
  </si>
  <si>
    <t>https://www.goldenline.pl/praca/oferta/1338036/zielonalinia0?utm_brand=goldenline&amp;utm_source=zielonalinia0&amp;gpid=1048540&amp;utm_channel=free&amp;utm_medium=oferta&amp;utm_department=marketing</t>
  </si>
  <si>
    <t>2828416</t>
  </si>
  <si>
    <t>49133633</t>
  </si>
  <si>
    <t>McDonalds - Wojciech Sala</t>
  </si>
  <si>
    <t>McDonald’s Tarnobrzeg – praca dla nocnych marków!</t>
  </si>
  <si>
    <t>https://www.goldenline.pl/praca/oferta/1330782/zielonalinia0?utm_brand=goldenline&amp;utm_source=zielonalinia0&amp;gpid=1041228&amp;utm_channel=free&amp;utm_medium=oferta&amp;utm_department=marketing</t>
  </si>
  <si>
    <t>2828433</t>
  </si>
  <si>
    <t>49133650</t>
  </si>
  <si>
    <t>Tester Automatyzujący (Java)</t>
  </si>
  <si>
    <t>https://www.goldenline.pl/praca/oferta/1332802/zielonalinia0?utm_brand=goldenline&amp;utm_source=zielonalinia0&amp;gpid=1043300&amp;utm_channel=free&amp;utm_medium=oferta&amp;utm_department=marketing</t>
  </si>
  <si>
    <t>2828444</t>
  </si>
  <si>
    <t>49133661</t>
  </si>
  <si>
    <t>https://www.goldenline.pl/praca/oferta/1335118/zielonalinia0?utm_brand=goldenline&amp;utm_source=zielonalinia0&amp;gpid=1045616&amp;utm_channel=free&amp;utm_medium=oferta&amp;utm_department=marketing</t>
  </si>
  <si>
    <t>10.01.2023</t>
  </si>
  <si>
    <t>2828465</t>
  </si>
  <si>
    <t>49133682</t>
  </si>
  <si>
    <t>Automation Tester/QA (JS)</t>
  </si>
  <si>
    <t>https://www.goldenline.pl/praca/oferta/1337108/zielonalinia0?utm_brand=goldenline&amp;utm_source=zielonalinia0&amp;gpid=1047606&amp;utm_channel=free&amp;utm_medium=oferta&amp;utm_department=marketing</t>
  </si>
  <si>
    <t>2828471</t>
  </si>
  <si>
    <t>49133688</t>
  </si>
  <si>
    <t>McDonalds - P.P.H.U.MONEX Melita Filo</t>
  </si>
  <si>
    <t>McDonald’s Nagawczyna – zmiana nocna: już od 23,80 zł brutto/godz.</t>
  </si>
  <si>
    <t>Polska, podkarpackie, DĘBICA</t>
  </si>
  <si>
    <t>https://www.goldenline.pl/praca/oferta/1334282/zielonalinia0?utm_brand=goldenline&amp;utm_source=zielonalinia0&amp;gpid=1044776&amp;utm_channel=free&amp;utm_medium=oferta&amp;utm_department=marketing</t>
  </si>
  <si>
    <t>07.01.2023</t>
  </si>
  <si>
    <t>11.02.2023</t>
  </si>
  <si>
    <t>2828491</t>
  </si>
  <si>
    <t>49133708</t>
  </si>
  <si>
    <t>Staż w Sklepie CCC</t>
  </si>
  <si>
    <t>https://www.goldenline.pl/praca/oferta/1335242/zielonalinia0?utm_brand=goldenline&amp;utm_source=zielonalinia0&amp;gpid=1045740&amp;utm_channel=free&amp;utm_medium=oferta&amp;utm_department=marketing</t>
  </si>
  <si>
    <t>2828494</t>
  </si>
  <si>
    <t>49133711</t>
  </si>
  <si>
    <t>https://www.goldenline.pl/praca/oferta/1332854/zielonalinia0?utm_brand=goldenline&amp;utm_source=zielonalinia0&amp;gpid=1043336&amp;utm_channel=free&amp;utm_medium=oferta&amp;utm_department=marketing</t>
  </si>
  <si>
    <t>2828526</t>
  </si>
  <si>
    <t>49133743</t>
  </si>
  <si>
    <t>https://www.goldenline.pl/praca/oferta/1339190/zielonalinia0?utm_brand=goldenline&amp;utm_source=zielonalinia0&amp;gpid=1049702&amp;utm_channel=free&amp;utm_medium=oferta&amp;utm_department=marketing</t>
  </si>
  <si>
    <t>2828536</t>
  </si>
  <si>
    <t>49133753</t>
  </si>
  <si>
    <t>SAP GRC Project Manager- HCL - DNBV</t>
  </si>
  <si>
    <t>https://www.goldenline.pl/praca/oferta/1340622/zielonalinia0?utm_brand=goldenline&amp;utm_source=zielonalinia0&amp;gpid=1051132&amp;utm_channel=free&amp;utm_medium=oferta&amp;utm_department=marketing</t>
  </si>
  <si>
    <t>2828543</t>
  </si>
  <si>
    <t>49133760</t>
  </si>
  <si>
    <t>https://www.goldenline.pl/praca/oferta/1332834/zielonalinia0?utm_brand=goldenline&amp;utm_source=zielonalinia0&amp;gpid=1043330&amp;utm_channel=free&amp;utm_medium=oferta&amp;utm_department=marketing</t>
  </si>
  <si>
    <t>2828544</t>
  </si>
  <si>
    <t>49133761</t>
  </si>
  <si>
    <t>Weryfikacja faktur i kontakt z klientem w  języku niemieckim Home Office</t>
  </si>
  <si>
    <t>https://www.goldenline.pl/praca/oferta/1336394/zielonalinia0?utm_brand=goldenline&amp;utm_source=zielonalinia0&amp;gpid=1046894&amp;utm_channel=free&amp;utm_medium=oferta&amp;utm_department=marketing</t>
  </si>
  <si>
    <t>2828589</t>
  </si>
  <si>
    <t>49133806</t>
  </si>
  <si>
    <t>https://www.goldenline.pl/praca/oferta/1339054/zielonalinia0?utm_brand=goldenline&amp;utm_source=zielonalinia0&amp;gpid=1049564&amp;utm_channel=free&amp;utm_medium=oferta&amp;utm_department=marketing</t>
  </si>
  <si>
    <t>2828619</t>
  </si>
  <si>
    <t>49133836</t>
  </si>
  <si>
    <t>Circle K Polska Sp. z o.o.</t>
  </si>
  <si>
    <t>Sprzedawca na stacji paliw - Circle K - Rzeszów</t>
  </si>
  <si>
    <t>https://www.goldenline.pl/praca/oferta/1331486/zielonalinia0?utm_brand=goldenline&amp;utm_source=zielonalinia0&amp;gpid=1041972&amp;utm_channel=free&amp;utm_medium=oferta&amp;utm_department=marketing</t>
  </si>
  <si>
    <t>2828678</t>
  </si>
  <si>
    <t>49133895</t>
  </si>
  <si>
    <t>https://www.goldenline.pl/praca/oferta/1339428/zielonalinia0?utm_brand=goldenline&amp;utm_source=zielonalinia0&amp;gpid=1049844&amp;utm_channel=free&amp;utm_medium=oferta&amp;utm_department=marketing</t>
  </si>
  <si>
    <t>2828680</t>
  </si>
  <si>
    <t>49133897</t>
  </si>
  <si>
    <t>Junior Website Administrator</t>
  </si>
  <si>
    <t>https://www.goldenline.pl/praca/oferta/1330666/zielonalinia0?utm_brand=goldenline&amp;utm_source=zielonalinia0&amp;gpid=1041112&amp;utm_channel=free&amp;utm_medium=oferta&amp;utm_department=marketing</t>
  </si>
  <si>
    <t>2828710</t>
  </si>
  <si>
    <t>49133927</t>
  </si>
  <si>
    <t>Młodszy specjalista ds. Wsparcia Klienta​ z j. niemieckim</t>
  </si>
  <si>
    <t>https://www.goldenline.pl/praca/oferta/1340346/zielonalinia0?utm_brand=goldenline&amp;utm_source=zielonalinia0&amp;gpid=1050852&amp;utm_channel=free&amp;utm_medium=oferta&amp;utm_department=marketing</t>
  </si>
  <si>
    <t>2828734</t>
  </si>
  <si>
    <t>49133951</t>
  </si>
  <si>
    <t>https://www.goldenline.pl/praca/oferta/1341936/zielonalinia0?utm_brand=goldenline&amp;utm_source=zielonalinia0&amp;gpid=1052444&amp;utm_channel=free&amp;utm_medium=oferta&amp;utm_department=marketing</t>
  </si>
  <si>
    <t>2828787</t>
  </si>
  <si>
    <t>49134004</t>
  </si>
  <si>
    <t>https://www.goldenline.pl/praca/oferta/1338164/zielonalinia0?utm_brand=goldenline&amp;utm_source=zielonalinia0&amp;gpid=1048668&amp;utm_channel=free&amp;utm_medium=oferta&amp;utm_department=marketing</t>
  </si>
  <si>
    <t>2828813</t>
  </si>
  <si>
    <t>49134030</t>
  </si>
  <si>
    <t>Obsługa klienta w języku niemieckim</t>
  </si>
  <si>
    <t>https://www.goldenline.pl/praca/oferta/1340318/zielonalinia0?utm_brand=goldenline&amp;utm_source=zielonalinia0&amp;gpid=1050824&amp;utm_channel=free&amp;utm_medium=oferta&amp;utm_department=marketing</t>
  </si>
  <si>
    <t>2828851</t>
  </si>
  <si>
    <t>49134068</t>
  </si>
  <si>
    <t>https://www.goldenline.pl/praca/oferta/1330940/zielonalinia0?utm_brand=goldenline&amp;utm_source=zielonalinia0&amp;gpid=1041388&amp;utm_channel=free&amp;utm_medium=oferta&amp;utm_department=marketing</t>
  </si>
  <si>
    <t>2828854</t>
  </si>
  <si>
    <t>49134071</t>
  </si>
  <si>
    <t>2828857</t>
  </si>
  <si>
    <t>49134074</t>
  </si>
  <si>
    <t>GRUPA TAURON</t>
  </si>
  <si>
    <t>https://www.goldenline.pl/praca/oferta/1336134/zielonalinia0?utm_brand=goldenline&amp;utm_source=zielonalinia0&amp;gpid=1046634&amp;utm_channel=free&amp;utm_medium=oferta&amp;utm_department=marketing</t>
  </si>
  <si>
    <t>2828941</t>
  </si>
  <si>
    <t>49134158</t>
  </si>
  <si>
    <t>Game Tester with Korean</t>
  </si>
  <si>
    <t>https://www.goldenline.pl/praca/oferta/1341052/zielonalinia0?utm_brand=goldenline&amp;utm_source=zielonalinia0&amp;gpid=1051560&amp;utm_channel=free&amp;utm_medium=oferta&amp;utm_department=marketing</t>
  </si>
  <si>
    <t>2829066</t>
  </si>
  <si>
    <t>49134283</t>
  </si>
  <si>
    <t>Pizzerman</t>
  </si>
  <si>
    <t>https://www.goldenline.pl/praca/oferta/1341222/zielonalinia0?utm_brand=goldenline&amp;utm_source=zielonalinia0&amp;gpid=1051730&amp;utm_channel=free&amp;utm_medium=oferta&amp;utm_department=marketing</t>
  </si>
  <si>
    <t>2829070</t>
  </si>
  <si>
    <t>49134287</t>
  </si>
  <si>
    <t>Game Tester with Korean language</t>
  </si>
  <si>
    <t>https://www.goldenline.pl/praca/oferta/1341128/zielonalinia0?utm_brand=goldenline&amp;utm_source=zielonalinia0&amp;gpid=1051636&amp;utm_channel=free&amp;utm_medium=oferta&amp;utm_department=marketing</t>
  </si>
  <si>
    <t>2829101</t>
  </si>
  <si>
    <t>49134318</t>
  </si>
  <si>
    <t>Koordynator ds. rozwoju sieci</t>
  </si>
  <si>
    <t>https://www.goldenline.pl/praca/oferta/1341144/zielonalinia0?utm_brand=goldenline&amp;utm_source=zielonalinia0&amp;gpid=1051652&amp;utm_channel=free&amp;utm_medium=oferta&amp;utm_department=marketing</t>
  </si>
  <si>
    <t>2829105</t>
  </si>
  <si>
    <t>49134322</t>
  </si>
  <si>
    <t>DevOps Engineer (AWS)</t>
  </si>
  <si>
    <t>https://www.goldenline.pl/praca/oferta/1334964/zielonalinia0?utm_brand=goldenline&amp;utm_source=zielonalinia0&amp;gpid=1045460&amp;utm_channel=free&amp;utm_medium=oferta&amp;utm_department=marketing</t>
  </si>
  <si>
    <t>2829169</t>
  </si>
  <si>
    <t>49134386</t>
  </si>
  <si>
    <t>Zdrowit S.A.</t>
  </si>
  <si>
    <t>https://www.goldenline.pl/praca/oferta/1336556/zielonalinia0?utm_brand=goldenline&amp;utm_source=zielonalinia0&amp;gpid=1047056&amp;utm_channel=free&amp;utm_medium=oferta&amp;utm_department=marketing</t>
  </si>
  <si>
    <t>2829201</t>
  </si>
  <si>
    <t>49134418</t>
  </si>
  <si>
    <t>Konsultant ds. Obsługi Klienta ( j.niemiecki C1)</t>
  </si>
  <si>
    <t>https://www.goldenline.pl/praca/oferta/1340172/zielonalinia0?utm_brand=goldenline&amp;utm_source=zielonalinia0&amp;gpid=1050678&amp;utm_channel=free&amp;utm_medium=oferta&amp;utm_department=marketing</t>
  </si>
  <si>
    <t>2829202</t>
  </si>
  <si>
    <t>49134419</t>
  </si>
  <si>
    <t>Analityk / Analityczka IT</t>
  </si>
  <si>
    <t>https://www.goldenline.pl/praca/oferta/1335620/zielonalinia0?utm_brand=goldenline&amp;utm_source=zielonalinia0&amp;gpid=1046118&amp;utm_channel=free&amp;utm_medium=oferta&amp;utm_department=marketing</t>
  </si>
  <si>
    <t>2829221</t>
  </si>
  <si>
    <t>49134438</t>
  </si>
  <si>
    <t>https://www.goldenline.pl/praca/oferta/1335304/zielonalinia0?utm_brand=goldenline&amp;utm_source=zielonalinia0&amp;gpid=1045804&amp;utm_channel=free&amp;utm_medium=oferta&amp;utm_department=marketing</t>
  </si>
  <si>
    <t>2829239</t>
  </si>
  <si>
    <t>49134456</t>
  </si>
  <si>
    <t>https://www.goldenline.pl/praca/oferta/1335060/zielonalinia0?utm_brand=goldenline&amp;utm_source=zielonalinia0&amp;gpid=1045562&amp;utm_channel=free&amp;utm_medium=oferta&amp;utm_department=marketing</t>
  </si>
  <si>
    <t>2829286</t>
  </si>
  <si>
    <t>49134503</t>
  </si>
  <si>
    <t>https://www.goldenline.pl/praca/oferta/1333124/zielonalinia0?utm_brand=goldenline&amp;utm_source=zielonalinia0&amp;gpid=1043620&amp;utm_channel=free&amp;utm_medium=oferta&amp;utm_department=marketing</t>
  </si>
  <si>
    <t>2829318</t>
  </si>
  <si>
    <t>49134535</t>
  </si>
  <si>
    <t>Customer Service with German (home office)</t>
  </si>
  <si>
    <t>https://www.goldenline.pl/praca/oferta/1340286/zielonalinia0?utm_brand=goldenline&amp;utm_source=zielonalinia0&amp;gpid=1050792&amp;utm_channel=free&amp;utm_medium=oferta&amp;utm_department=marketing</t>
  </si>
  <si>
    <t>2829357</t>
  </si>
  <si>
    <t>49134574</t>
  </si>
  <si>
    <t>Tester Automatyzujący</t>
  </si>
  <si>
    <t>https://www.goldenline.pl/praca/oferta/1334608/zielonalinia0?utm_brand=goldenline&amp;utm_source=zielonalinia0&amp;gpid=1045106&amp;utm_channel=free&amp;utm_medium=oferta&amp;utm_department=marketing</t>
  </si>
  <si>
    <t>2829390</t>
  </si>
  <si>
    <t>49134607</t>
  </si>
  <si>
    <t>https://www.goldenline.pl/praca/oferta/1340376/zielonalinia0?utm_brand=goldenline&amp;utm_source=zielonalinia0&amp;gpid=1050882&amp;utm_channel=free&amp;utm_medium=oferta&amp;utm_department=marketing</t>
  </si>
  <si>
    <t>2829416</t>
  </si>
  <si>
    <t>49134633</t>
  </si>
  <si>
    <t>2829464</t>
  </si>
  <si>
    <t>49134681</t>
  </si>
  <si>
    <t>Staż w sklepie CCC</t>
  </si>
  <si>
    <t>https://www.goldenline.pl/praca/oferta/1339272/zielonalinia0?utm_brand=goldenline&amp;utm_source=zielonalinia0&amp;gpid=1049782&amp;utm_channel=free&amp;utm_medium=oferta&amp;utm_department=marketing</t>
  </si>
  <si>
    <t>2829500</t>
  </si>
  <si>
    <t>49134717</t>
  </si>
  <si>
    <t>https://www.goldenline.pl/praca/oferta/1338074/zielonalinia0?utm_brand=goldenline&amp;utm_source=zielonalinia0&amp;gpid=1048578&amp;utm_channel=free&amp;utm_medium=oferta&amp;utm_department=marketing</t>
  </si>
  <si>
    <t>2829558</t>
  </si>
  <si>
    <t>49134775</t>
  </si>
  <si>
    <t>https://www.goldenline.pl/praca/oferta/1339962/zielonalinia0?utm_brand=goldenline&amp;utm_source=zielonalinia0&amp;gpid=1050468&amp;utm_channel=free&amp;utm_medium=oferta&amp;utm_department=marketing</t>
  </si>
  <si>
    <t>2829567</t>
  </si>
  <si>
    <t>49134784</t>
  </si>
  <si>
    <t>https://www.goldenline.pl/praca/oferta/1336390/zielonalinia0?utm_brand=goldenline&amp;utm_source=zielonalinia0&amp;gpid=1046890&amp;utm_channel=free&amp;utm_medium=oferta&amp;utm_department=marketing</t>
  </si>
  <si>
    <t>2829599</t>
  </si>
  <si>
    <t>49134816</t>
  </si>
  <si>
    <t>Front-end Developer (Angular 2+)</t>
  </si>
  <si>
    <t>https://www.goldenline.pl/praca/oferta/1336930/zielonalinia0?utm_brand=goldenline&amp;utm_source=zielonalinia0&amp;gpid=1047428&amp;utm_channel=free&amp;utm_medium=oferta&amp;utm_department=marketing</t>
  </si>
  <si>
    <t>2829669</t>
  </si>
  <si>
    <t>49134886</t>
  </si>
  <si>
    <t>Kierownik Spedycji Krajowej/Międzynarodowej</t>
  </si>
  <si>
    <t>https://www.goldenline.pl/praca/oferta/1334202/zielonalinia0?utm_brand=goldenline&amp;utm_source=zielonalinia0&amp;gpid=1044700&amp;utm_channel=free&amp;utm_medium=oferta&amp;utm_department=marketing</t>
  </si>
  <si>
    <t>2829670</t>
  </si>
  <si>
    <t>49134887</t>
  </si>
  <si>
    <t>Kasjer/Sprzedawca</t>
  </si>
  <si>
    <t>https://www.goldenline.pl/praca/oferta/1336768/zielonalinia0?utm_brand=goldenline&amp;utm_source=zielonalinia0&amp;gpid=1047268&amp;utm_channel=free&amp;utm_medium=oferta&amp;utm_department=marketing</t>
  </si>
  <si>
    <t>2829726</t>
  </si>
  <si>
    <t>49134943</t>
  </si>
  <si>
    <t>Inżynier Sprzedaży ze znajomością SMT i THT</t>
  </si>
  <si>
    <t>https://www.goldenline.pl/praca/oferta/1335846/zielonalinia0?utm_brand=goldenline&amp;utm_source=zielonalinia0&amp;gpid=1046344&amp;utm_channel=free&amp;utm_medium=oferta&amp;utm_department=marketing</t>
  </si>
  <si>
    <t>2829743</t>
  </si>
  <si>
    <t>49134960</t>
  </si>
  <si>
    <t>Senior System - Business Analyst</t>
  </si>
  <si>
    <t>https://www.goldenline.pl/praca/oferta/1336580/zielonalinia0?utm_brand=goldenline&amp;utm_source=zielonalinia0&amp;gpid=1047080&amp;utm_channel=free&amp;utm_medium=oferta&amp;utm_department=marketing</t>
  </si>
  <si>
    <t>2829783</t>
  </si>
  <si>
    <t>49135000</t>
  </si>
  <si>
    <t>Specjalista ds. obsługi klienta z językiem niemieckim (ZDALNIE)</t>
  </si>
  <si>
    <t>https://www.goldenline.pl/praca/oferta/1340098/zielonalinia0?utm_brand=goldenline&amp;utm_source=zielonalinia0&amp;gpid=1050604&amp;utm_channel=free&amp;utm_medium=oferta&amp;utm_department=marketing</t>
  </si>
  <si>
    <t>2829843</t>
  </si>
  <si>
    <t>49135060</t>
  </si>
  <si>
    <t>https://www.goldenline.pl/praca/oferta/1339576/zielonalinia0?utm_brand=goldenline&amp;utm_source=zielonalinia0&amp;gpid=1050084&amp;utm_channel=free&amp;utm_medium=oferta&amp;utm_department=marketing</t>
  </si>
  <si>
    <t>2829871</t>
  </si>
  <si>
    <t>49135088</t>
  </si>
  <si>
    <t>Tester Automatyzujący (Java+Selenium)</t>
  </si>
  <si>
    <t>https://www.goldenline.pl/praca/oferta/1338608/zielonalinia0?utm_brand=goldenline&amp;utm_source=zielonalinia0&amp;gpid=1049114&amp;utm_channel=free&amp;utm_medium=oferta&amp;utm_department=marketing</t>
  </si>
  <si>
    <t>2829951</t>
  </si>
  <si>
    <t>49135168</t>
  </si>
  <si>
    <t>Kierownik hurtowni farmaceutycznej- Farmaceuta</t>
  </si>
  <si>
    <t>https://www.goldenline.pl/praca/oferta/1332276/zielonalinia0?utm_brand=goldenline&amp;utm_source=zielonalinia0&amp;gpid=1042764&amp;utm_channel=free&amp;utm_medium=oferta&amp;utm_department=marketing</t>
  </si>
  <si>
    <t>2829961</t>
  </si>
  <si>
    <t>49135178</t>
  </si>
  <si>
    <t>Wykładanie towaru w sklepie kosmetycznym/Radymno PORANKI CZWARTKI</t>
  </si>
  <si>
    <t>https://www.goldenline.pl/praca/oferta/1332404/zielonalinia0?utm_brand=goldenline&amp;utm_source=zielonalinia0&amp;gpid=1042896&amp;utm_channel=free&amp;utm_medium=oferta&amp;utm_department=marketing</t>
  </si>
  <si>
    <t>2830019</t>
  </si>
  <si>
    <t>49135236</t>
  </si>
  <si>
    <t>https://www.goldenline.pl/praca/oferta/1336392/zielonalinia0?utm_brand=goldenline&amp;utm_source=zielonalinia0&amp;gpid=1046892&amp;utm_channel=free&amp;utm_medium=oferta&amp;utm_department=marketing</t>
  </si>
  <si>
    <t>2830068</t>
  </si>
  <si>
    <t>49135285</t>
  </si>
  <si>
    <t>https://www.goldenline.pl/praca/oferta/1339424/zielonalinia0?utm_brand=goldenline&amp;utm_source=zielonalinia0&amp;gpid=1049848&amp;utm_channel=free&amp;utm_medium=oferta&amp;utm_department=marketing</t>
  </si>
  <si>
    <t>2830118</t>
  </si>
  <si>
    <t>49135335</t>
  </si>
  <si>
    <t>https://www.goldenline.pl/praca/oferta/1337848/zielonalinia0?utm_brand=goldenline&amp;utm_source=zielonalinia0&amp;gpid=1048352&amp;utm_channel=free&amp;utm_medium=oferta&amp;utm_department=marketing</t>
  </si>
  <si>
    <t>2830126</t>
  </si>
  <si>
    <t>49135343</t>
  </si>
  <si>
    <t>Scrum Master (remote)</t>
  </si>
  <si>
    <t>https://www.goldenline.pl/praca/oferta/1336490/zielonalinia0?utm_brand=goldenline&amp;utm_source=zielonalinia0&amp;gpid=1046990&amp;utm_channel=free&amp;utm_medium=oferta&amp;utm_department=marketing</t>
  </si>
  <si>
    <t>2830189</t>
  </si>
  <si>
    <t>49135406</t>
  </si>
  <si>
    <t>https://www.goldenline.pl/praca/oferta/1331684/zielonalinia0?utm_brand=goldenline&amp;utm_source=zielonalinia0&amp;gpid=1042174&amp;utm_channel=free&amp;utm_medium=oferta&amp;utm_department=marketing</t>
  </si>
  <si>
    <t>2830331</t>
  </si>
  <si>
    <t>49135548</t>
  </si>
  <si>
    <t>Dyrektor Handlowy Cezal</t>
  </si>
  <si>
    <t>https://www.goldenline.pl/praca/oferta/1331168/zielonalinia0?utm_brand=goldenline&amp;utm_source=zielonalinia0&amp;gpid=1041656&amp;utm_channel=free&amp;utm_medium=oferta&amp;utm_department=marketing</t>
  </si>
  <si>
    <t>2830383</t>
  </si>
  <si>
    <t>49135600</t>
  </si>
  <si>
    <t>HR Invoice Coordinator</t>
  </si>
  <si>
    <t>https://www.praca.pl/hr-invoice-coordinator_7963524.html?rf=zielona-linia-refferal&amp;utm_source=zielona-linia&amp;utm_medium=refferal&amp;utm_campaign=all&amp;utm_term=o&amp;utm_content=administrator-w-dziale-hr_human-resources-kadry_rzeszow_5208171</t>
  </si>
  <si>
    <t>08.02.2023 03:02</t>
  </si>
  <si>
    <t>09.03.2023</t>
  </si>
  <si>
    <t>2869207</t>
  </si>
  <si>
    <t>49410961</t>
  </si>
  <si>
    <t>Specjalista ds. Network Operating System</t>
  </si>
  <si>
    <t>https://www.praca.pl/specjalista-ds-network-operating-system_7962465.html?rf=zielona-linia-refferal&amp;utm_source=zielona-linia&amp;utm_medium=refferal&amp;utm_campaign=all&amp;utm_term=o&amp;utm_content=administrator-sieci_informatyka-administracja_mielec_5207832</t>
  </si>
  <si>
    <t>2869281</t>
  </si>
  <si>
    <t>49411035</t>
  </si>
  <si>
    <t>https://www.praca.pl/menedzer-zespolu-sprzedazy_7962240.html?rf=zielona-linia-refferal&amp;utm_source=zielona-linia&amp;utm_medium=refferal&amp;utm_campaign=all&amp;utm_term=o&amp;utm_content=kierownik-zespolu_sprzedaz-obsluga-klienta_krosno_5207700</t>
  </si>
  <si>
    <t>2869298</t>
  </si>
  <si>
    <t>49411052</t>
  </si>
  <si>
    <t>https://www.praca.pl/menedzer-zespolu-sprzedazy_7962243.html?rf=zielona-linia-refferal&amp;utm_source=zielona-linia&amp;utm_medium=refferal&amp;utm_campaign=all&amp;utm_term=o&amp;utm_content=kierownik-zespolu_sprzedaz-obsluga-klienta_rzeszow_5207700</t>
  </si>
  <si>
    <t>2869299</t>
  </si>
  <si>
    <t>49411053</t>
  </si>
  <si>
    <t>https://www.praca.pl/menedzer-zespolu-sprzedazy_7962246.html?rf=zielona-linia-refferal&amp;utm_source=zielona-linia&amp;utm_medium=refferal&amp;utm_campaign=all&amp;utm_term=o&amp;utm_content=kierownik-zespolu_sprzedaz-obsluga-klienta_przemysl_5207700</t>
  </si>
  <si>
    <t>2869300</t>
  </si>
  <si>
    <t>49411054</t>
  </si>
  <si>
    <t>LWZ Sp. z o.o.</t>
  </si>
  <si>
    <t>Robotnik torowy</t>
  </si>
  <si>
    <t>Pomocniczy robotnik torowy</t>
  </si>
  <si>
    <t>https://www.praca.pl/robotnik-torowy_7962069.html?rf=zielona-linia-refferal&amp;utm_source=zielona-linia&amp;utm_medium=refferal&amp;utm_campaign=all&amp;utm_term=o&amp;utm_content=toromistrz_praca-fizyczna_podkarpackie_5207625</t>
  </si>
  <si>
    <t>2869342</t>
  </si>
  <si>
    <t>49411096</t>
  </si>
  <si>
    <t>RPd057|931207</t>
  </si>
  <si>
    <t>Sitel Polska Sp. Z o.o.</t>
  </si>
  <si>
    <t>Customer Service Professional - French Speaker</t>
  </si>
  <si>
    <t>https://www.praca.pl/customer-service-professional-french-speaker_7961988.html?rf=zielona-linia-refferal&amp;utm_source=zielona-linia&amp;utm_medium=refferal&amp;utm_campaign=all&amp;utm_term=o&amp;utm_content=specjalista-ds-obslugi-klienta_sprzedaz-obsluga-klienta_podkarpackie_5207610</t>
  </si>
  <si>
    <t>2869360</t>
  </si>
  <si>
    <t>49411114</t>
  </si>
  <si>
    <t>https://www.praca.pl/przedstawiciel-handlowy_7961787.html?rf=zielona-linia-refferal&amp;utm_source=zielona-linia&amp;utm_medium=refferal&amp;utm_campaign=all&amp;utm_term=o&amp;utm_content=przedstawiciel-handlowy_sprzedaz-obsluga-klienta_podkarpackie_5207583</t>
  </si>
  <si>
    <t>08.02.2023 04:24</t>
  </si>
  <si>
    <t>2869384</t>
  </si>
  <si>
    <t>49411138</t>
  </si>
  <si>
    <t>PARAM Sp.j.</t>
  </si>
  <si>
    <t>https://www.praca.pl/przedstawiciel-handlowy-przedstawicielka-handlowa_7961748.html?rf=zielona-linia-refferal&amp;utm_source=zielona-linia&amp;utm_medium=refferal&amp;utm_campaign=all&amp;utm_term=o&amp;utm_content=przedstawiciel-handlowy_sprzedaz-obsluga-klienta_podkarpackie_5207580</t>
  </si>
  <si>
    <t>2869398</t>
  </si>
  <si>
    <t>49411152</t>
  </si>
  <si>
    <t>Sweco Polska Sp. z o.o.</t>
  </si>
  <si>
    <t>Road Designer / Assistant Road Designer</t>
  </si>
  <si>
    <t>https://www.praca.pl/road-designer-assistant-road-designer_7961475.html?rf=zielona-linia-refferal&amp;utm_source=zielona-linia&amp;utm_medium=refferal&amp;utm_campaign=all&amp;utm_term=o&amp;utm_content=projektant_inzynieria-projektowanie_podkarpackie_5207490</t>
  </si>
  <si>
    <t>2869430</t>
  </si>
  <si>
    <t>49411184</t>
  </si>
  <si>
    <t>Bridge Engineer</t>
  </si>
  <si>
    <t>https://www.praca.pl/bridge-engineer_7961571.html?rf=zielona-linia-refferal&amp;utm_source=zielona-linia&amp;utm_medium=refferal&amp;utm_campaign=all&amp;utm_term=o&amp;utm_content=inzynier_inzynieria-projektowanie_podkarpackie_5207496</t>
  </si>
  <si>
    <t>2869447</t>
  </si>
  <si>
    <t>49411201</t>
  </si>
  <si>
    <t>Państwowa Inspekcja Pracy Okręgowy Inspektorat Pracy w Rzeszowie</t>
  </si>
  <si>
    <t>Podinspektor Pracy</t>
  </si>
  <si>
    <t>https://www.praca.pl/podinspektor-pracy_7958301.html?rf=zielona-linia-refferal&amp;utm_source=zielona-linia&amp;utm_medium=refferal&amp;utm_campaign=all&amp;utm_term=o&amp;utm_content=inspektor-pracy_administracja-publiczna-sluzba-cywilna_przemysl_5204964</t>
  </si>
  <si>
    <t>2869457</t>
  </si>
  <si>
    <t>49411211</t>
  </si>
  <si>
    <t>https://www.praca.pl/nauczyciel-jezyka-angielskiego_7961022.html?rf=zielona-linia-refferal&amp;utm_source=zielona-linia&amp;utm_medium=refferal&amp;utm_campaign=all&amp;utm_term=o&amp;utm_content=nauczyciel_edukacja-nauka-szkolenia_podkarpackie_5207187</t>
  </si>
  <si>
    <t>2869473</t>
  </si>
  <si>
    <t>49411227</t>
  </si>
  <si>
    <t>08.02.2023 03:30</t>
  </si>
  <si>
    <t>2869632</t>
  </si>
  <si>
    <t>49433699</t>
  </si>
  <si>
    <t>Wire Harness Design Engineer for TOYOTA project - Automotive</t>
  </si>
  <si>
    <t>Polska, podkarpackie, Belgium / Belgia</t>
  </si>
  <si>
    <t>https://www.goldenline.pl/praca/oferta/1306584/zielonalinia0?utm_brand=goldenline&amp;utm_source=zielonalinia0&amp;gpid=1016992&amp;utm_channel=free&amp;utm_medium=oferta&amp;utm_department=marketing</t>
  </si>
  <si>
    <t>08.02.2023 04:20</t>
  </si>
  <si>
    <t>05.02.2023</t>
  </si>
  <si>
    <t>2869670</t>
  </si>
  <si>
    <t>49433737</t>
  </si>
  <si>
    <t>https://www.goldenline.pl/praca/oferta/1342668/zielonalinia0?utm_brand=goldenline&amp;utm_source=zielonalinia0&amp;gpid=1053176&amp;utm_channel=free&amp;utm_medium=oferta&amp;utm_department=marketing</t>
  </si>
  <si>
    <t>2869671</t>
  </si>
  <si>
    <t>49433738</t>
  </si>
  <si>
    <t>2869706</t>
  </si>
  <si>
    <t>49433773</t>
  </si>
  <si>
    <t>2869726</t>
  </si>
  <si>
    <t>49433793</t>
  </si>
  <si>
    <t>2869941</t>
  </si>
  <si>
    <t>49434008</t>
  </si>
  <si>
    <t>11.04.2023</t>
  </si>
  <si>
    <t>2869971</t>
  </si>
  <si>
    <t>49434038</t>
  </si>
  <si>
    <t>2869972</t>
  </si>
  <si>
    <t>49434039</t>
  </si>
  <si>
    <t>2869973</t>
  </si>
  <si>
    <t>49434040</t>
  </si>
  <si>
    <t>https://www.goldenline.pl/praca/oferta/1342802/zielonalinia0?utm_brand=goldenline&amp;utm_source=zielonalinia0&amp;gpid=1053312&amp;utm_channel=free&amp;utm_medium=oferta&amp;utm_department=marketing</t>
  </si>
  <si>
    <t>2870011</t>
  </si>
  <si>
    <t>49434078</t>
  </si>
  <si>
    <t>2870023</t>
  </si>
  <si>
    <t>49434090</t>
  </si>
  <si>
    <t>2870046</t>
  </si>
  <si>
    <t>49434113</t>
  </si>
  <si>
    <t>System - Business Analyst</t>
  </si>
  <si>
    <t>https://www.goldenline.pl/praca/oferta/1342578/zielonalinia0?utm_brand=goldenline&amp;utm_source=zielonalinia0&amp;gpid=1053086&amp;utm_channel=free&amp;utm_medium=oferta&amp;utm_department=marketing</t>
  </si>
  <si>
    <t>2870097</t>
  </si>
  <si>
    <t>49434164</t>
  </si>
  <si>
    <t>https://www.goldenline.pl/praca/oferta/1343192/zielonalinia0?utm_brand=goldenline&amp;utm_source=zielonalinia0&amp;gpid=1053702&amp;utm_channel=free&amp;utm_medium=oferta&amp;utm_department=marketing</t>
  </si>
  <si>
    <t>2870115</t>
  </si>
  <si>
    <t>49434182</t>
  </si>
  <si>
    <t>https://www.goldenline.pl/praca/oferta/1344596/zielonalinia0?utm_brand=goldenline&amp;utm_source=zielonalinia0&amp;gpid=1055112&amp;utm_channel=free&amp;utm_medium=oferta&amp;utm_department=marketing</t>
  </si>
  <si>
    <t>03.02.2023</t>
  </si>
  <si>
    <t>10.03.2023</t>
  </si>
  <si>
    <t>2870157</t>
  </si>
  <si>
    <t>49434224</t>
  </si>
  <si>
    <t>https://www.goldenline.pl/praca/oferta/1343004/zielonalinia0?utm_brand=goldenline&amp;utm_source=zielonalinia0&amp;gpid=1053514&amp;utm_channel=free&amp;utm_medium=oferta&amp;utm_department=marketing</t>
  </si>
  <si>
    <t>2870204</t>
  </si>
  <si>
    <t>49434271</t>
  </si>
  <si>
    <t>2870206</t>
  </si>
  <si>
    <t>49434273</t>
  </si>
  <si>
    <t>2870244</t>
  </si>
  <si>
    <t>49434311</t>
  </si>
  <si>
    <t>2870248</t>
  </si>
  <si>
    <t>49434315</t>
  </si>
  <si>
    <t>2870283</t>
  </si>
  <si>
    <t>49434350</t>
  </si>
  <si>
    <t>2870388</t>
  </si>
  <si>
    <t>49434455</t>
  </si>
  <si>
    <t>2870408</t>
  </si>
  <si>
    <t>49434475</t>
  </si>
  <si>
    <t>2870417</t>
  </si>
  <si>
    <t>49434484</t>
  </si>
  <si>
    <t>Specjalista ds. obsługi klienta z językiem niemieckim (C1)</t>
  </si>
  <si>
    <t>https://www.goldenline.pl/praca/oferta/1344180/zielonalinia0?utm_brand=goldenline&amp;utm_source=zielonalinia0&amp;gpid=1054694&amp;utm_channel=free&amp;utm_medium=oferta&amp;utm_department=marketing</t>
  </si>
  <si>
    <t>2870441</t>
  </si>
  <si>
    <t>49434508</t>
  </si>
  <si>
    <t>https://www.goldenline.pl/praca/oferta/1343456/zielonalinia0?utm_brand=goldenline&amp;utm_source=zielonalinia0&amp;gpid=1053970&amp;utm_channel=free&amp;utm_medium=oferta&amp;utm_department=marketing</t>
  </si>
  <si>
    <t>2870450</t>
  </si>
  <si>
    <t>49434517</t>
  </si>
  <si>
    <t>2870452</t>
  </si>
  <si>
    <t>49434519</t>
  </si>
  <si>
    <t>2870455</t>
  </si>
  <si>
    <t>49434522</t>
  </si>
  <si>
    <t>2870478</t>
  </si>
  <si>
    <t>49434545</t>
  </si>
  <si>
    <t>Senior C Engineer (RTOS)</t>
  </si>
  <si>
    <t>https://www.goldenline.pl/praca/oferta/1344502/zielonalinia0?utm_brand=goldenline&amp;utm_source=zielonalinia0&amp;gpid=1055012&amp;utm_channel=free&amp;utm_medium=oferta&amp;utm_department=marketing</t>
  </si>
  <si>
    <t>2870486</t>
  </si>
  <si>
    <t>49434553</t>
  </si>
  <si>
    <t>2870517</t>
  </si>
  <si>
    <t>49434584</t>
  </si>
  <si>
    <t>2870534</t>
  </si>
  <si>
    <t>49434601</t>
  </si>
  <si>
    <t>2870535</t>
  </si>
  <si>
    <t>49434602</t>
  </si>
  <si>
    <t>2870559</t>
  </si>
  <si>
    <t>49434626</t>
  </si>
  <si>
    <t>2870564</t>
  </si>
  <si>
    <t>49434631</t>
  </si>
  <si>
    <t>2870579</t>
  </si>
  <si>
    <t>49434646</t>
  </si>
  <si>
    <t>2870608</t>
  </si>
  <si>
    <t>49434675</t>
  </si>
  <si>
    <t>2870623</t>
  </si>
  <si>
    <t>49434690</t>
  </si>
  <si>
    <t>https://www.goldenline.pl/praca/oferta/1344580/zielonalinia0?utm_brand=goldenline&amp;utm_source=zielonalinia0&amp;gpid=1055094&amp;utm_channel=free&amp;utm_medium=oferta&amp;utm_department=marketing</t>
  </si>
  <si>
    <t>2870631</t>
  </si>
  <si>
    <t>49434698</t>
  </si>
  <si>
    <t>https://www.goldenline.pl/praca/oferta/1343758/zielonalinia0?utm_brand=goldenline&amp;utm_source=zielonalinia0&amp;gpid=1054268&amp;utm_channel=free&amp;utm_medium=oferta&amp;utm_department=marketing</t>
  </si>
  <si>
    <t>2870633</t>
  </si>
  <si>
    <t>49434700</t>
  </si>
  <si>
    <t>https://www.goldenline.pl/praca/oferta/1342078/zielonalinia0?utm_brand=goldenline&amp;utm_source=zielonalinia0&amp;gpid=1052586&amp;utm_channel=free&amp;utm_medium=oferta&amp;utm_department=marketing</t>
  </si>
  <si>
    <t>30.01.2023</t>
  </si>
  <si>
    <t>2870674</t>
  </si>
  <si>
    <t>49434741</t>
  </si>
  <si>
    <t>2870688</t>
  </si>
  <si>
    <t>49434755</t>
  </si>
  <si>
    <t>https://www.goldenline.pl/praca/oferta/1342046/zielonalinia0?utm_brand=goldenline&amp;utm_source=zielonalinia0&amp;gpid=1052554&amp;utm_channel=free&amp;utm_medium=oferta&amp;utm_department=marketing</t>
  </si>
  <si>
    <t>2870749</t>
  </si>
  <si>
    <t>49434816</t>
  </si>
  <si>
    <t>2870789</t>
  </si>
  <si>
    <t>49434856</t>
  </si>
  <si>
    <t>2870820</t>
  </si>
  <si>
    <t>49434887</t>
  </si>
  <si>
    <t>2870864</t>
  </si>
  <si>
    <t>49434931</t>
  </si>
  <si>
    <t>2870866</t>
  </si>
  <si>
    <t>49434933</t>
  </si>
  <si>
    <t>2870911</t>
  </si>
  <si>
    <t>49434978</t>
  </si>
  <si>
    <t>2870920</t>
  </si>
  <si>
    <t>49434987</t>
  </si>
  <si>
    <t>2870946</t>
  </si>
  <si>
    <t>49435013</t>
  </si>
  <si>
    <t>2871063</t>
  </si>
  <si>
    <t>49435130</t>
  </si>
  <si>
    <t>2871080</t>
  </si>
  <si>
    <t>49435147</t>
  </si>
  <si>
    <t>https://www.goldenline.pl/praca/oferta/1343232/zielonalinia0?utm_brand=goldenline&amp;utm_source=zielonalinia0&amp;gpid=1053742&amp;utm_channel=free&amp;utm_medium=oferta&amp;utm_department=marketing</t>
  </si>
  <si>
    <t>08.03.2023</t>
  </si>
  <si>
    <t>2871096</t>
  </si>
  <si>
    <t>49435163</t>
  </si>
  <si>
    <t>2871158</t>
  </si>
  <si>
    <t>49435225</t>
  </si>
  <si>
    <t>https://www.goldenline.pl/praca/oferta/1342136/zielonalinia0?utm_brand=goldenline&amp;utm_source=zielonalinia0&amp;gpid=1052644&amp;utm_channel=free&amp;utm_medium=oferta&amp;utm_department=marketing</t>
  </si>
  <si>
    <t>2871159</t>
  </si>
  <si>
    <t>49435226</t>
  </si>
  <si>
    <t>2871185</t>
  </si>
  <si>
    <t>49435252</t>
  </si>
  <si>
    <t>https://www.goldenline.pl/praca/oferta/1344870/zielonalinia0?utm_brand=goldenline&amp;utm_source=zielonalinia0&amp;gpid=1055382&amp;utm_channel=free&amp;utm_medium=oferta&amp;utm_department=marketing</t>
  </si>
  <si>
    <t>2871212</t>
  </si>
  <si>
    <t>49435279</t>
  </si>
  <si>
    <t>2871287</t>
  </si>
  <si>
    <t>2871329</t>
  </si>
  <si>
    <t>49435396</t>
  </si>
  <si>
    <t>2871373</t>
  </si>
  <si>
    <t>49435440</t>
  </si>
  <si>
    <t>2871384</t>
  </si>
  <si>
    <t>49435451</t>
  </si>
  <si>
    <t>2871396</t>
  </si>
  <si>
    <t>49435463</t>
  </si>
  <si>
    <t>2871415</t>
  </si>
  <si>
    <t>49435482</t>
  </si>
  <si>
    <t>2871425</t>
  </si>
  <si>
    <t>49435492</t>
  </si>
  <si>
    <t>2871534</t>
  </si>
  <si>
    <t>49435601</t>
  </si>
  <si>
    <t>2871552</t>
  </si>
  <si>
    <t>49435619</t>
  </si>
  <si>
    <t>https://www.goldenline.pl/praca/oferta/1344078/zielonalinia0?utm_brand=goldenline&amp;utm_source=zielonalinia0&amp;gpid=1054590&amp;utm_channel=free&amp;utm_medium=oferta&amp;utm_department=marketing</t>
  </si>
  <si>
    <t>2871639</t>
  </si>
  <si>
    <t>49435706</t>
  </si>
  <si>
    <t>2871662</t>
  </si>
  <si>
    <t>49435729</t>
  </si>
  <si>
    <t>2871695</t>
  </si>
  <si>
    <t>49435762</t>
  </si>
  <si>
    <t>https://www.goldenline.pl/praca/oferta/1344868/zielonalinia0?utm_brand=goldenline&amp;utm_source=zielonalinia0&amp;gpid=1055378&amp;utm_channel=free&amp;utm_medium=oferta&amp;utm_department=marketing</t>
  </si>
  <si>
    <t>2871704</t>
  </si>
  <si>
    <t>49435771</t>
  </si>
  <si>
    <t>Customer Service Specialist with German</t>
  </si>
  <si>
    <t>https://www.goldenline.pl/praca/oferta/1344110/zielonalinia0?utm_brand=goldenline&amp;utm_source=zielonalinia0&amp;gpid=1054622&amp;utm_channel=free&amp;utm_medium=oferta&amp;utm_department=marketing</t>
  </si>
  <si>
    <t>2871712</t>
  </si>
  <si>
    <t>49435779</t>
  </si>
  <si>
    <t>2871727</t>
  </si>
  <si>
    <t>49435794</t>
  </si>
  <si>
    <t>Java Developer Regular/Senior</t>
  </si>
  <si>
    <t>https://www.goldenline.pl/praca/oferta/1344722/zielonalinia0?utm_brand=goldenline&amp;utm_source=zielonalinia0&amp;gpid=1055232&amp;utm_channel=free&amp;utm_medium=oferta&amp;utm_department=marketing</t>
  </si>
  <si>
    <t>2871751</t>
  </si>
  <si>
    <t>49435818</t>
  </si>
  <si>
    <t>GUI Developer</t>
  </si>
  <si>
    <t>https://www.goldenline.pl/praca/oferta/1345046/zielonalinia0?utm_brand=goldenline&amp;utm_source=zielonalinia0&amp;gpid=1055556&amp;utm_channel=free&amp;utm_medium=oferta&amp;utm_department=marketing</t>
  </si>
  <si>
    <t>13.03.2023</t>
  </si>
  <si>
    <t>2871820</t>
  </si>
  <si>
    <t>49435887</t>
  </si>
  <si>
    <t>Pracownik magazynowy (m/k)</t>
  </si>
  <si>
    <t>https://www.goldenline.pl/praca/oferta/1343168/zielonalinia0?utm_brand=goldenline&amp;utm_source=zielonalinia0&amp;gpid=1053680&amp;utm_channel=free&amp;utm_medium=oferta&amp;utm_department=marketing</t>
  </si>
  <si>
    <t>2871851</t>
  </si>
  <si>
    <t>49435918</t>
  </si>
  <si>
    <t>https://www.goldenline.pl/praca/oferta/1342220/zielonalinia0?utm_brand=goldenline&amp;utm_source=zielonalinia0&amp;gpid=1052730&amp;utm_channel=free&amp;utm_medium=oferta&amp;utm_department=marketing</t>
  </si>
  <si>
    <t>2871955</t>
  </si>
  <si>
    <t>49436022</t>
  </si>
  <si>
    <t>2872028</t>
  </si>
  <si>
    <t>49436095</t>
  </si>
  <si>
    <t>2872071</t>
  </si>
  <si>
    <t>49436138</t>
  </si>
  <si>
    <t>https://www.goldenline.pl/praca/oferta/1344792/zielonalinia0?utm_brand=goldenline&amp;utm_source=zielonalinia0&amp;gpid=1055302&amp;utm_channel=free&amp;utm_medium=oferta&amp;utm_department=marketing</t>
  </si>
  <si>
    <t>2872114</t>
  </si>
  <si>
    <t>49436181</t>
  </si>
  <si>
    <t>2872151</t>
  </si>
  <si>
    <t>49436218</t>
  </si>
  <si>
    <t>2872204</t>
  </si>
  <si>
    <t>49436271</t>
  </si>
  <si>
    <t>2872229</t>
  </si>
  <si>
    <t>49436296</t>
  </si>
  <si>
    <t>Obsługa klienta w języku niemieckim( praca zdalna)</t>
  </si>
  <si>
    <t>https://www.goldenline.pl/praca/oferta/1344220/zielonalinia0?utm_brand=goldenline&amp;utm_source=zielonalinia0&amp;gpid=1054734&amp;utm_channel=free&amp;utm_medium=oferta&amp;utm_department=marketing</t>
  </si>
  <si>
    <t>2872235</t>
  </si>
  <si>
    <t>49436302</t>
  </si>
  <si>
    <t>2872271</t>
  </si>
  <si>
    <t>49436338</t>
  </si>
  <si>
    <t>2872297</t>
  </si>
  <si>
    <t>49436364</t>
  </si>
  <si>
    <t>2872319</t>
  </si>
  <si>
    <t>49436386</t>
  </si>
  <si>
    <t>2872324</t>
  </si>
  <si>
    <t>49436391</t>
  </si>
  <si>
    <t>2872359</t>
  </si>
  <si>
    <t>49436426</t>
  </si>
  <si>
    <t>2872379</t>
  </si>
  <si>
    <t>49436446</t>
  </si>
  <si>
    <t>2872382</t>
  </si>
  <si>
    <t>49436449</t>
  </si>
  <si>
    <t>2872458</t>
  </si>
  <si>
    <t>49436525</t>
  </si>
  <si>
    <t>2872460</t>
  </si>
  <si>
    <t>49436527</t>
  </si>
  <si>
    <t>2872574</t>
  </si>
  <si>
    <t>49436641</t>
  </si>
  <si>
    <t>2872578</t>
  </si>
  <si>
    <t>49436645</t>
  </si>
  <si>
    <t>2872615</t>
  </si>
  <si>
    <t>49436682</t>
  </si>
  <si>
    <t>2872682</t>
  </si>
  <si>
    <t>49436749</t>
  </si>
  <si>
    <t>2872696</t>
  </si>
  <si>
    <t>49436763</t>
  </si>
  <si>
    <t>2872722</t>
  </si>
  <si>
    <t>49436789</t>
  </si>
  <si>
    <t>Specjalista ds. sprzedaży MICE</t>
  </si>
  <si>
    <t>https://www.goldenline.pl/praca/oferta/1344908/zielonalinia0?utm_brand=goldenline&amp;utm_source=zielonalinia0&amp;gpid=1055418&amp;utm_channel=free&amp;utm_medium=oferta&amp;utm_department=marketing</t>
  </si>
  <si>
    <t>2872742</t>
  </si>
  <si>
    <t>49436809</t>
  </si>
  <si>
    <t>2872769</t>
  </si>
  <si>
    <t>49436836</t>
  </si>
  <si>
    <t>2872815</t>
  </si>
  <si>
    <t>49436882</t>
  </si>
  <si>
    <t>2872818</t>
  </si>
  <si>
    <t>49436885</t>
  </si>
  <si>
    <t>2872856</t>
  </si>
  <si>
    <t>49436923</t>
  </si>
  <si>
    <t>2872881</t>
  </si>
  <si>
    <t>49436948</t>
  </si>
  <si>
    <t>Ambasador/ka marki</t>
  </si>
  <si>
    <t>https://www.goldenline.pl/praca/oferta/1342152/zielonalinia0?utm_brand=goldenline&amp;utm_source=zielonalinia0&amp;gpid=1052660&amp;utm_channel=free&amp;utm_medium=oferta&amp;utm_department=marketing</t>
  </si>
  <si>
    <t>2873002</t>
  </si>
  <si>
    <t>49437069</t>
  </si>
  <si>
    <t>2873011</t>
  </si>
  <si>
    <t>49437078</t>
  </si>
  <si>
    <t>Młodszy Specjalista ds. obsługi klienta z niemieckim</t>
  </si>
  <si>
    <t>https://www.goldenline.pl/praca/oferta/1345248/zielonalinia0?utm_brand=goldenline&amp;utm_source=zielonalinia0&amp;gpid=1055758&amp;utm_channel=free&amp;utm_medium=oferta&amp;utm_department=marketing</t>
  </si>
  <si>
    <t>2873058</t>
  </si>
  <si>
    <t>49437125</t>
  </si>
  <si>
    <t>2873124</t>
  </si>
  <si>
    <t>49437191</t>
  </si>
  <si>
    <t>2873126</t>
  </si>
  <si>
    <t>49437193</t>
  </si>
  <si>
    <t>2873131</t>
  </si>
  <si>
    <t>49437198</t>
  </si>
  <si>
    <t>https://www.goldenline.pl/praca/oferta/1343142/zielonalinia0?utm_brand=goldenline&amp;utm_source=zielonalinia0&amp;gpid=1053652&amp;utm_channel=free&amp;utm_medium=oferta&amp;utm_department=marketing</t>
  </si>
  <si>
    <t>2873146</t>
  </si>
  <si>
    <t>49437213</t>
  </si>
  <si>
    <t>2873152</t>
  </si>
  <si>
    <t>49437219</t>
  </si>
  <si>
    <t>2873189</t>
  </si>
  <si>
    <t>49437256</t>
  </si>
  <si>
    <t>2873359</t>
  </si>
  <si>
    <t>49437426</t>
  </si>
  <si>
    <t>2873372</t>
  </si>
  <si>
    <t>49437439</t>
  </si>
  <si>
    <t>2873384</t>
  </si>
  <si>
    <t>49437451</t>
  </si>
  <si>
    <t>2873475</t>
  </si>
  <si>
    <t>49437542</t>
  </si>
  <si>
    <t>2873498</t>
  </si>
  <si>
    <t>49437565</t>
  </si>
  <si>
    <t>2873534</t>
  </si>
  <si>
    <t>49437601</t>
  </si>
  <si>
    <t>2873552</t>
  </si>
  <si>
    <t>49437619</t>
  </si>
  <si>
    <t>https://www.goldenline.pl/praca/oferta/1343880/zielonalinia0?utm_brand=goldenline&amp;utm_source=zielonalinia0&amp;gpid=1054386&amp;utm_channel=free&amp;utm_medium=oferta&amp;utm_department=marketing</t>
  </si>
  <si>
    <t>2873606</t>
  </si>
  <si>
    <t>49437673</t>
  </si>
  <si>
    <t>https://www.goldenline.pl/praca/oferta/1342760/zielonalinia0?utm_brand=goldenline&amp;utm_source=zielonalinia0&amp;gpid=1053268&amp;utm_channel=free&amp;utm_medium=oferta&amp;utm_department=marketing</t>
  </si>
  <si>
    <t>2873641</t>
  </si>
  <si>
    <t>49437708</t>
  </si>
  <si>
    <t>2873657</t>
  </si>
  <si>
    <t>49437724</t>
  </si>
  <si>
    <t>2873668</t>
  </si>
  <si>
    <t>49437735</t>
  </si>
  <si>
    <t>2873673</t>
  </si>
  <si>
    <t>49437740</t>
  </si>
  <si>
    <t>2873674</t>
  </si>
  <si>
    <t>49437741</t>
  </si>
  <si>
    <t>SAP Billing / IFM Product Manager</t>
  </si>
  <si>
    <t>https://www.goldenline.pl/praca/oferta/1344004/zielonalinia0?utm_brand=goldenline&amp;utm_source=zielonalinia0&amp;gpid=1054518&amp;utm_channel=free&amp;utm_medium=oferta&amp;utm_department=marketing</t>
  </si>
  <si>
    <t>2873739</t>
  </si>
  <si>
    <t>49437806</t>
  </si>
  <si>
    <t>2873761</t>
  </si>
  <si>
    <t>49437828</t>
  </si>
  <si>
    <t>2873804</t>
  </si>
  <si>
    <t>49437871</t>
  </si>
  <si>
    <t>2873813</t>
  </si>
  <si>
    <t>49437880</t>
  </si>
  <si>
    <t>2873845</t>
  </si>
  <si>
    <t>49437912</t>
  </si>
  <si>
    <t>2873986</t>
  </si>
  <si>
    <t>49438053</t>
  </si>
  <si>
    <t>2874093</t>
  </si>
  <si>
    <t>49438160</t>
  </si>
  <si>
    <t>2874144</t>
  </si>
  <si>
    <t>49438211</t>
  </si>
  <si>
    <t>2874193</t>
  </si>
  <si>
    <t>49438260</t>
  </si>
  <si>
    <t>https://www.goldenline.pl/praca/oferta/1344558/zielonalinia0?utm_brand=goldenline&amp;utm_source=zielonalinia0&amp;gpid=1055068&amp;utm_channel=free&amp;utm_medium=oferta&amp;utm_department=marketing</t>
  </si>
  <si>
    <t>2874229</t>
  </si>
  <si>
    <t>49438296</t>
  </si>
  <si>
    <t>2874236</t>
  </si>
  <si>
    <t>49438303</t>
  </si>
  <si>
    <t>2874243</t>
  </si>
  <si>
    <t>49438310</t>
  </si>
  <si>
    <t>https://www.goldenline.pl/praca/oferta/1344618/zielonalinia0?utm_brand=goldenline&amp;utm_source=zielonalinia0&amp;gpid=1055136&amp;utm_channel=free&amp;utm_medium=oferta&amp;utm_department=marketing</t>
  </si>
  <si>
    <t>2874268</t>
  </si>
  <si>
    <t>49438335</t>
  </si>
  <si>
    <t>2874302</t>
  </si>
  <si>
    <t>49438369</t>
  </si>
  <si>
    <t>2874343</t>
  </si>
  <si>
    <t>49438410</t>
  </si>
  <si>
    <t>RTR Process Lead</t>
  </si>
  <si>
    <t>https://www.goldenline.pl/praca/oferta/1345000/zielonalinia0?utm_brand=goldenline&amp;utm_source=zielonalinia0&amp;gpid=1055512&amp;utm_channel=free&amp;utm_medium=oferta&amp;utm_department=marketing</t>
  </si>
  <si>
    <t>2874372</t>
  </si>
  <si>
    <t>49438439</t>
  </si>
  <si>
    <t>TYMCZASOWA praca biurowa | Zostań specjalistą w dziale back office</t>
  </si>
  <si>
    <t>https://www.goldenline.pl/praca/oferta/1344530/zielonalinia0?utm_brand=goldenline&amp;utm_source=zielonalinia0&amp;gpid=1055040&amp;utm_channel=free&amp;utm_medium=oferta&amp;utm_department=marketing</t>
  </si>
  <si>
    <t>2874382</t>
  </si>
  <si>
    <t>49438449</t>
  </si>
  <si>
    <t>2874402</t>
  </si>
  <si>
    <t>49438469</t>
  </si>
  <si>
    <t>2874438</t>
  </si>
  <si>
    <t>49438505</t>
  </si>
  <si>
    <t>2874457</t>
  </si>
  <si>
    <t>49438524</t>
  </si>
  <si>
    <t>https://www.goldenline.pl/praca/oferta/1343696/zielonalinia0?utm_brand=goldenline&amp;utm_source=zielonalinia0&amp;gpid=1054206&amp;utm_channel=free&amp;utm_medium=oferta&amp;utm_department=marketing</t>
  </si>
  <si>
    <t>2874509</t>
  </si>
  <si>
    <t>49438576</t>
  </si>
  <si>
    <t>2874511</t>
  </si>
  <si>
    <t>49438578</t>
  </si>
  <si>
    <t>2874526</t>
  </si>
  <si>
    <t>49438593</t>
  </si>
  <si>
    <t>Frontend Developer (Vue.js) (częściowo zdalnie)</t>
  </si>
  <si>
    <t>https://www.goldenline.pl/praca/oferta/1343408/zielonalinia0?utm_brand=goldenline&amp;utm_source=zielonalinia0&amp;gpid=1053920&amp;utm_channel=free&amp;utm_medium=oferta&amp;utm_department=marketing</t>
  </si>
  <si>
    <t>2874536</t>
  </si>
  <si>
    <t>49438603</t>
  </si>
  <si>
    <t>2874546</t>
  </si>
  <si>
    <t>49438613</t>
  </si>
  <si>
    <t>2874597</t>
  </si>
  <si>
    <t>49438664</t>
  </si>
  <si>
    <t>2874624</t>
  </si>
  <si>
    <t>49438691</t>
  </si>
  <si>
    <t>2874690</t>
  </si>
  <si>
    <t>49438757</t>
  </si>
  <si>
    <t>2874704</t>
  </si>
  <si>
    <t>49438771</t>
  </si>
  <si>
    <t>2874737</t>
  </si>
  <si>
    <t>49438804</t>
  </si>
  <si>
    <t>https://www.goldenline.pl/praca/oferta/1343732/zielonalinia0?utm_brand=goldenline&amp;utm_source=zielonalinia0&amp;gpid=1054244&amp;utm_channel=free&amp;utm_medium=oferta&amp;utm_department=marketing</t>
  </si>
  <si>
    <t>2874844</t>
  </si>
  <si>
    <t>49438911</t>
  </si>
  <si>
    <t>https://www.goldenline.pl/praca/oferta/1344602/zielonalinia0?utm_brand=goldenline&amp;utm_source=zielonalinia0&amp;gpid=1055118&amp;utm_channel=free&amp;utm_medium=oferta&amp;utm_department=marketing</t>
  </si>
  <si>
    <t>2874846</t>
  </si>
  <si>
    <t>2874902</t>
  </si>
  <si>
    <t>49438969</t>
  </si>
  <si>
    <t>2874918</t>
  </si>
  <si>
    <t>49438985</t>
  </si>
  <si>
    <t>2874950</t>
  </si>
  <si>
    <t>49439017</t>
  </si>
  <si>
    <t>2874955</t>
  </si>
  <si>
    <t>49439022</t>
  </si>
  <si>
    <t>2874960</t>
  </si>
  <si>
    <t>49439027</t>
  </si>
  <si>
    <t>2875003</t>
  </si>
  <si>
    <t>49439070</t>
  </si>
  <si>
    <t>https://www.goldenline.pl/praca/oferta/1343194/zielonalinia0?utm_brand=goldenline&amp;utm_source=zielonalinia0&amp;gpid=1053704&amp;utm_channel=free&amp;utm_medium=oferta&amp;utm_department=marketing</t>
  </si>
  <si>
    <t>2875013</t>
  </si>
  <si>
    <t>49439080</t>
  </si>
  <si>
    <t>2875069</t>
  </si>
  <si>
    <t>49439136</t>
  </si>
  <si>
    <t>08.02.2023 03:31</t>
  </si>
  <si>
    <t>2875105</t>
  </si>
  <si>
    <t>49439172</t>
  </si>
  <si>
    <t>2875149</t>
  </si>
  <si>
    <t>49439216</t>
  </si>
  <si>
    <t>2875151</t>
  </si>
  <si>
    <t>49439218</t>
  </si>
  <si>
    <t>2875188</t>
  </si>
  <si>
    <t>49439255</t>
  </si>
  <si>
    <t>https://www.goldenline.pl/praca/oferta/1344424/zielonalinia0?utm_brand=goldenline&amp;utm_source=zielonalinia0&amp;gpid=1054934&amp;utm_channel=free&amp;utm_medium=oferta&amp;utm_department=marketing</t>
  </si>
  <si>
    <t>2875194</t>
  </si>
  <si>
    <t>49439261</t>
  </si>
  <si>
    <t>2875308</t>
  </si>
  <si>
    <t>49439375</t>
  </si>
  <si>
    <t>2875315</t>
  </si>
  <si>
    <t>49439382</t>
  </si>
  <si>
    <t>Maszynista Bloku Gazowo-Parowego</t>
  </si>
  <si>
    <t>06.04.2023</t>
  </si>
  <si>
    <t>https://www.praca.pl/maszynista-bloku-gazowo-parowego_7984326.html?rf=zielona-linia-refferal&amp;utm_source=zielona-linia&amp;utm_medium=refferal&amp;utm_campaign=all&amp;utm_term=o&amp;utm_content=maszynista-silnikow-i-kotlow-parowych_przemysl-produkcja_rzeszow_5223594</t>
  </si>
  <si>
    <t>15.02.2023 03:02</t>
  </si>
  <si>
    <t>16.03.2023</t>
  </si>
  <si>
    <t>2916129</t>
  </si>
  <si>
    <t>49704436</t>
  </si>
  <si>
    <t>Pozostali kierownicy do spraw produkcji przemysłowej</t>
  </si>
  <si>
    <t>05.04.2023</t>
  </si>
  <si>
    <t>https://www.praca.pl/kierownik-produkcji_7984047.html?rf=zielona-linia-refferal&amp;utm_source=zielona-linia&amp;utm_medium=refferal&amp;utm_campaign=all&amp;utm_term=o&amp;utm_content=kierownik-ds-produkcji_przemysl-produkcja_zaczernie_5223444</t>
  </si>
  <si>
    <t>2916194</t>
  </si>
  <si>
    <t>49704501</t>
  </si>
  <si>
    <t>RPd057|132190</t>
  </si>
  <si>
    <t>https://www.praca.pl/spedytor_7983744.html?rf=zielona-linia-refferal&amp;utm_source=zielona-linia&amp;utm_medium=refferal&amp;utm_campaign=all&amp;utm_term=o&amp;utm_content=spedytor_transport-spedycja_mielec_5223309</t>
  </si>
  <si>
    <t>2916241</t>
  </si>
  <si>
    <t>49704548</t>
  </si>
  <si>
    <t>https://www.praca.pl/junior-menedzer-obszaru-sprzedazy_7983342.html?rf=zielona-linia-refferal&amp;utm_source=zielona-linia&amp;utm_medium=refferal&amp;utm_campaign=all&amp;utm_term=o&amp;utm_content=kierownik-ds-sprzedazy_sprzedaz-obsluga-klienta_rzeszow_5223096</t>
  </si>
  <si>
    <t>2916275</t>
  </si>
  <si>
    <t>49704582</t>
  </si>
  <si>
    <t>https://www.praca.pl/specjalista_7982787.html?rf=zielona-linia-refferal&amp;utm_source=zielona-linia&amp;utm_medium=refferal&amp;utm_campaign=all&amp;utm_term=o&amp;utm_content=specjalista-ds-administracyjnych_administracja-publiczna-sluzba-cywilna_rzeszow_5222778</t>
  </si>
  <si>
    <t>2916359</t>
  </si>
  <si>
    <t>49704666</t>
  </si>
  <si>
    <t>https://www.praca.pl/inspektor-nadzoru-budowlanego_7982910.html?rf=zielona-linia-refferal&amp;utm_source=zielona-linia&amp;utm_medium=refferal&amp;utm_campaign=all&amp;utm_term=o&amp;utm_content=inspektor-nadzoru_budownictwo-geodezja_ustrzyki-dolne_5222901</t>
  </si>
  <si>
    <t>2916399</t>
  </si>
  <si>
    <t>49704706</t>
  </si>
  <si>
    <t>04.04.2023</t>
  </si>
  <si>
    <t>https://www.goldenline.pl/praca/oferta/1347418/zielonalinia0?utm_brand=goldenline&amp;utm_source=zielonalinia0&amp;gpid=1057930&amp;utm_channel=free&amp;utm_medium=oferta&amp;utm_department=marketing</t>
  </si>
  <si>
    <t>15.02.2023 03:30</t>
  </si>
  <si>
    <t>2916465</t>
  </si>
  <si>
    <t>49726977</t>
  </si>
  <si>
    <t>2916488</t>
  </si>
  <si>
    <t>49727000</t>
  </si>
  <si>
    <t>2916511</t>
  </si>
  <si>
    <t>49727023</t>
  </si>
  <si>
    <t>2916636</t>
  </si>
  <si>
    <t>49727148</t>
  </si>
  <si>
    <t>2916728</t>
  </si>
  <si>
    <t>49727240</t>
  </si>
  <si>
    <t>Pozostali operatorzy urządzeń telekomunikacyjnych</t>
  </si>
  <si>
    <t>2916730</t>
  </si>
  <si>
    <t>49727242</t>
  </si>
  <si>
    <t>RPd057|352290</t>
  </si>
  <si>
    <t>2916750</t>
  </si>
  <si>
    <t>49727262</t>
  </si>
  <si>
    <t>2916757</t>
  </si>
  <si>
    <t>49727269</t>
  </si>
  <si>
    <t>Senior Backend Developer (Python &amp; Java)</t>
  </si>
  <si>
    <t>https://www.goldenline.pl/praca/oferta/1348124/zielonalinia0?utm_brand=goldenline&amp;utm_source=zielonalinia0&amp;gpid=1058638&amp;utm_channel=free&amp;utm_medium=oferta&amp;utm_department=marketing</t>
  </si>
  <si>
    <t>17.03.2023</t>
  </si>
  <si>
    <t>2916758</t>
  </si>
  <si>
    <t>49727270</t>
  </si>
  <si>
    <t>2916826</t>
  </si>
  <si>
    <t>49727338</t>
  </si>
  <si>
    <t>2916832</t>
  </si>
  <si>
    <t>49727344</t>
  </si>
  <si>
    <t>Specjalista ds obsługi klienta z j. niemieckim</t>
  </si>
  <si>
    <t>https://www.goldenline.pl/praca/oferta/1347254/zielonalinia0?utm_brand=goldenline&amp;utm_source=zielonalinia0&amp;gpid=1057766&amp;utm_channel=free&amp;utm_medium=oferta&amp;utm_department=marketing</t>
  </si>
  <si>
    <t>2916833</t>
  </si>
  <si>
    <t>49727345</t>
  </si>
  <si>
    <t>15.02.2023 04:20</t>
  </si>
  <si>
    <t>12.02.2023</t>
  </si>
  <si>
    <t>2916904</t>
  </si>
  <si>
    <t>49727416</t>
  </si>
  <si>
    <t>2916907</t>
  </si>
  <si>
    <t>49727419</t>
  </si>
  <si>
    <t>2916925</t>
  </si>
  <si>
    <t>49727437</t>
  </si>
  <si>
    <t>2917005</t>
  </si>
  <si>
    <t>49727517</t>
  </si>
  <si>
    <t>https://www.goldenline.pl/praca/oferta/1306582/zielonalinia0?utm_brand=goldenline&amp;utm_source=zielonalinia0&amp;gpid=1017028&amp;utm_channel=free&amp;utm_medium=oferta&amp;utm_department=marketing</t>
  </si>
  <si>
    <t>2917042</t>
  </si>
  <si>
    <t>49727554</t>
  </si>
  <si>
    <t>2917065</t>
  </si>
  <si>
    <t>49727577</t>
  </si>
  <si>
    <t>Młodszy specjalista ds. obsługi klienta</t>
  </si>
  <si>
    <t>https://www.goldenline.pl/praca/oferta/1345544/zielonalinia0?utm_brand=goldenline&amp;utm_source=zielonalinia0&amp;gpid=1056056&amp;utm_channel=free&amp;utm_medium=oferta&amp;utm_department=marketing</t>
  </si>
  <si>
    <t>14.03.2023</t>
  </si>
  <si>
    <t>2917074</t>
  </si>
  <si>
    <t>49727586</t>
  </si>
  <si>
    <t>Konsultant z j. niemieckim C1 oraz j. angielskim B1/B2</t>
  </si>
  <si>
    <t>https://www.goldenline.pl/praca/oferta/1348084/zielonalinia0?utm_brand=goldenline&amp;utm_source=zielonalinia0&amp;gpid=1058596&amp;utm_channel=free&amp;utm_medium=oferta&amp;utm_department=marketing</t>
  </si>
  <si>
    <t>2917079</t>
  </si>
  <si>
    <t>49727591</t>
  </si>
  <si>
    <t>2917100</t>
  </si>
  <si>
    <t>49727612</t>
  </si>
  <si>
    <t>2917147</t>
  </si>
  <si>
    <t>49727659</t>
  </si>
  <si>
    <t>https://www.goldenline.pl/praca/oferta/1346708/zielonalinia0?utm_brand=goldenline&amp;utm_source=zielonalinia0&amp;gpid=1057220&amp;utm_channel=free&amp;utm_medium=oferta&amp;utm_department=marketing</t>
  </si>
  <si>
    <t>15.03.2023</t>
  </si>
  <si>
    <t>2917153</t>
  </si>
  <si>
    <t>49727665</t>
  </si>
  <si>
    <t>Kierownik Spedycji</t>
  </si>
  <si>
    <t>https://www.goldenline.pl/praca/oferta/1346066/zielonalinia0?utm_brand=goldenline&amp;utm_source=zielonalinia0&amp;gpid=1056580&amp;utm_channel=free&amp;utm_medium=oferta&amp;utm_department=marketing</t>
  </si>
  <si>
    <t>2917165</t>
  </si>
  <si>
    <t>49727677</t>
  </si>
  <si>
    <t>2917206</t>
  </si>
  <si>
    <t>49727718</t>
  </si>
  <si>
    <t>2917357</t>
  </si>
  <si>
    <t>49727869</t>
  </si>
  <si>
    <t>2917365</t>
  </si>
  <si>
    <t>49727877</t>
  </si>
  <si>
    <t>2917404</t>
  </si>
  <si>
    <t>49727916</t>
  </si>
  <si>
    <t>2917425</t>
  </si>
  <si>
    <t>49727937</t>
  </si>
  <si>
    <t>2917502</t>
  </si>
  <si>
    <t>49728014</t>
  </si>
  <si>
    <t>Senior Fullstack Developer (Java + Angular 2+)</t>
  </si>
  <si>
    <t>https://www.goldenline.pl/praca/oferta/1348460/zielonalinia0?utm_brand=goldenline&amp;utm_source=zielonalinia0&amp;gpid=1058970&amp;utm_channel=free&amp;utm_medium=oferta&amp;utm_department=marketing</t>
  </si>
  <si>
    <t>20.03.2023</t>
  </si>
  <si>
    <t>2917527</t>
  </si>
  <si>
    <t>49728039</t>
  </si>
  <si>
    <t>2917539</t>
  </si>
  <si>
    <t>49728051</t>
  </si>
  <si>
    <t>https://www.goldenline.pl/praca/oferta/1348560/zielonalinia0?utm_brand=goldenline&amp;utm_source=zielonalinia0&amp;gpid=1059070&amp;utm_channel=free&amp;utm_medium=oferta&amp;utm_department=marketing</t>
  </si>
  <si>
    <t>2917565</t>
  </si>
  <si>
    <t>49728077</t>
  </si>
  <si>
    <t>2917619</t>
  </si>
  <si>
    <t>49728131</t>
  </si>
  <si>
    <t>FI Production Controls – Supervising Associate</t>
  </si>
  <si>
    <t>https://www.goldenline.pl/praca/oferta/1345496/zielonalinia0?utm_brand=goldenline&amp;utm_source=zielonalinia0&amp;gpid=1056010&amp;utm_channel=free&amp;utm_medium=oferta&amp;utm_department=marketing</t>
  </si>
  <si>
    <t>2917644</t>
  </si>
  <si>
    <t>49728156</t>
  </si>
  <si>
    <t>2917663</t>
  </si>
  <si>
    <t>49728175</t>
  </si>
  <si>
    <t>https://www.goldenline.pl/praca/oferta/1346748/zielonalinia0?utm_brand=goldenline&amp;utm_source=zielonalinia0&amp;gpid=1057260&amp;utm_channel=free&amp;utm_medium=oferta&amp;utm_department=marketing</t>
  </si>
  <si>
    <t>2917667</t>
  </si>
  <si>
    <t>49728179</t>
  </si>
  <si>
    <t>2917671</t>
  </si>
  <si>
    <t>49728183</t>
  </si>
  <si>
    <t>2917784</t>
  </si>
  <si>
    <t>49728296</t>
  </si>
  <si>
    <t>https://www.goldenline.pl/praca/oferta/1346240/zielonalinia0?utm_brand=goldenline&amp;utm_source=zielonalinia0&amp;gpid=1056754&amp;utm_channel=free&amp;utm_medium=oferta&amp;utm_department=marketing</t>
  </si>
  <si>
    <t>2917797</t>
  </si>
  <si>
    <t>49728309</t>
  </si>
  <si>
    <t>https://www.goldenline.pl/praca/oferta/1345670/zielonalinia0?utm_brand=goldenline&amp;utm_source=zielonalinia0&amp;gpid=1056182&amp;utm_channel=free&amp;utm_medium=oferta&amp;utm_department=marketing</t>
  </si>
  <si>
    <t>2917807</t>
  </si>
  <si>
    <t>49728319</t>
  </si>
  <si>
    <t>DevOps Engineer (Java + Azure)</t>
  </si>
  <si>
    <t>https://www.goldenline.pl/praca/oferta/1348620/zielonalinia0?utm_brand=goldenline&amp;utm_source=zielonalinia0&amp;gpid=1059130&amp;utm_channel=free&amp;utm_medium=oferta&amp;utm_department=marketing</t>
  </si>
  <si>
    <t>2917850</t>
  </si>
  <si>
    <t>49728362</t>
  </si>
  <si>
    <t>2917853</t>
  </si>
  <si>
    <t>49728365</t>
  </si>
  <si>
    <t>2917888</t>
  </si>
  <si>
    <t>49728400</t>
  </si>
  <si>
    <t>Obsługa klienta z językiem niemieckim (C1)</t>
  </si>
  <si>
    <t>https://www.goldenline.pl/praca/oferta/1347610/zielonalinia0?utm_brand=goldenline&amp;utm_source=zielonalinia0&amp;gpid=1058122&amp;utm_channel=free&amp;utm_medium=oferta&amp;utm_department=marketing</t>
  </si>
  <si>
    <t>2917901</t>
  </si>
  <si>
    <t>49728413</t>
  </si>
  <si>
    <t>2917959</t>
  </si>
  <si>
    <t>49728471</t>
  </si>
  <si>
    <t>2917990</t>
  </si>
  <si>
    <t>49728502</t>
  </si>
  <si>
    <t>2917994</t>
  </si>
  <si>
    <t>49728506</t>
  </si>
  <si>
    <t>2918014</t>
  </si>
  <si>
    <t>49728526</t>
  </si>
  <si>
    <t>2918029</t>
  </si>
  <si>
    <t>49728541</t>
  </si>
  <si>
    <t>Senior Software Developer</t>
  </si>
  <si>
    <t>https://www.goldenline.pl/praca/oferta/1347150/zielonalinia0?utm_brand=goldenline&amp;utm_source=zielonalinia0&amp;gpid=1057664&amp;utm_channel=free&amp;utm_medium=oferta&amp;utm_department=marketing</t>
  </si>
  <si>
    <t>2918057</t>
  </si>
  <si>
    <t>49728569</t>
  </si>
  <si>
    <t>https://www.goldenline.pl/praca/oferta/1347092/zielonalinia0?utm_brand=goldenline&amp;utm_source=zielonalinia0&amp;gpid=1057604&amp;utm_channel=free&amp;utm_medium=oferta&amp;utm_department=marketing</t>
  </si>
  <si>
    <t>2918071</t>
  </si>
  <si>
    <t>49728583</t>
  </si>
  <si>
    <t>https://www.goldenline.pl/praca/oferta/1348398/zielonalinia0?utm_brand=goldenline&amp;utm_source=zielonalinia0&amp;gpid=1058908&amp;utm_channel=free&amp;utm_medium=oferta&amp;utm_department=marketing</t>
  </si>
  <si>
    <t>2918108</t>
  </si>
  <si>
    <t>49728620</t>
  </si>
  <si>
    <t>2918159</t>
  </si>
  <si>
    <t>49728671</t>
  </si>
  <si>
    <t>2918168</t>
  </si>
  <si>
    <t>49728680</t>
  </si>
  <si>
    <t>2918175</t>
  </si>
  <si>
    <t>49728687</t>
  </si>
  <si>
    <t>2918195</t>
  </si>
  <si>
    <t>49728707</t>
  </si>
  <si>
    <t>2918202</t>
  </si>
  <si>
    <t>49728714</t>
  </si>
  <si>
    <t>2918262</t>
  </si>
  <si>
    <t>49728774</t>
  </si>
  <si>
    <t>2918294</t>
  </si>
  <si>
    <t>49728806</t>
  </si>
  <si>
    <t>2918302</t>
  </si>
  <si>
    <t>49728814</t>
  </si>
  <si>
    <t>2918351</t>
  </si>
  <si>
    <t>49728863</t>
  </si>
  <si>
    <t>2918353</t>
  </si>
  <si>
    <t>49728865</t>
  </si>
  <si>
    <t>2918381</t>
  </si>
  <si>
    <t>49728893</t>
  </si>
  <si>
    <t>2918386</t>
  </si>
  <si>
    <t>49728898</t>
  </si>
  <si>
    <t>2918411</t>
  </si>
  <si>
    <t>49728923</t>
  </si>
  <si>
    <t>2918471</t>
  </si>
  <si>
    <t>49728983</t>
  </si>
  <si>
    <t>2918575</t>
  </si>
  <si>
    <t>49729087</t>
  </si>
  <si>
    <t>2918695</t>
  </si>
  <si>
    <t>49729207</t>
  </si>
  <si>
    <t>https://www.goldenline.pl/praca/oferta/1346784/zielonalinia0?utm_brand=goldenline&amp;utm_source=zielonalinia0&amp;gpid=1057296&amp;utm_channel=free&amp;utm_medium=oferta&amp;utm_department=marketing</t>
  </si>
  <si>
    <t>2918889</t>
  </si>
  <si>
    <t>https://www.goldenline.pl/praca/oferta/1346820/zielonalinia0?utm_brand=goldenline&amp;utm_source=zielonalinia0&amp;gpid=1057332&amp;utm_channel=free&amp;utm_medium=oferta&amp;utm_department=marketing</t>
  </si>
  <si>
    <t>2918893</t>
  </si>
  <si>
    <t>49729405</t>
  </si>
  <si>
    <t>2918912</t>
  </si>
  <si>
    <t>49729424</t>
  </si>
  <si>
    <t>https://www.goldenline.pl/praca/oferta/1345948/zielonalinia0?utm_brand=goldenline&amp;utm_source=zielonalinia0&amp;gpid=1056460&amp;utm_channel=free&amp;utm_medium=oferta&amp;utm_department=marketing</t>
  </si>
  <si>
    <t>2918929</t>
  </si>
  <si>
    <t>49729441</t>
  </si>
  <si>
    <t>2918966</t>
  </si>
  <si>
    <t>Cloud Engineer</t>
  </si>
  <si>
    <t>https://www.goldenline.pl/praca/oferta/1345344/zielonalinia0?utm_brand=goldenline&amp;utm_source=zielonalinia0&amp;gpid=1055856&amp;utm_channel=free&amp;utm_medium=oferta&amp;utm_department=marketing</t>
  </si>
  <si>
    <t>2918980</t>
  </si>
  <si>
    <t>49729492</t>
  </si>
  <si>
    <t>2918986</t>
  </si>
  <si>
    <t>49729498</t>
  </si>
  <si>
    <t>2918988</t>
  </si>
  <si>
    <t>49729500</t>
  </si>
  <si>
    <t>Country manager (f/m)</t>
  </si>
  <si>
    <t>https://www.goldenline.pl/praca/oferta/1346500/zielonalinia0?utm_brand=goldenline&amp;utm_source=zielonalinia0&amp;gpid=1057012&amp;utm_channel=free&amp;utm_medium=oferta&amp;utm_department=marketing</t>
  </si>
  <si>
    <t>15.02.2023 03:31</t>
  </si>
  <si>
    <t>2919049</t>
  </si>
  <si>
    <t>49729561</t>
  </si>
  <si>
    <t>2919054</t>
  </si>
  <si>
    <t>49729566</t>
  </si>
  <si>
    <t>https://www.goldenline.pl/praca/oferta/1346146/zielonalinia0?utm_brand=goldenline&amp;utm_source=zielonalinia0&amp;gpid=1056660&amp;utm_channel=free&amp;utm_medium=oferta&amp;utm_department=marketing</t>
  </si>
  <si>
    <t>2919059</t>
  </si>
  <si>
    <t>49729571</t>
  </si>
  <si>
    <t>https://www.goldenline.pl/praca/oferta/1345900/zielonalinia0?utm_brand=goldenline&amp;utm_source=zielonalinia0&amp;gpid=1056412&amp;utm_channel=free&amp;utm_medium=oferta&amp;utm_department=marketing</t>
  </si>
  <si>
    <t>2919076</t>
  </si>
  <si>
    <t>49729588</t>
  </si>
  <si>
    <t>2919152</t>
  </si>
  <si>
    <t>49729664</t>
  </si>
  <si>
    <t>2919261</t>
  </si>
  <si>
    <t>49729773</t>
  </si>
  <si>
    <t>https://www.goldenline.pl/praca/oferta/1346152/zielonalinia0?utm_brand=goldenline&amp;utm_source=zielonalinia0&amp;gpid=1056666&amp;utm_channel=free&amp;utm_medium=oferta&amp;utm_department=marketing</t>
  </si>
  <si>
    <t>2919294</t>
  </si>
  <si>
    <t>49729806</t>
  </si>
  <si>
    <t>2919349</t>
  </si>
  <si>
    <t>49729861</t>
  </si>
  <si>
    <t>2919380</t>
  </si>
  <si>
    <t>49729892</t>
  </si>
  <si>
    <t>Inżynier sprzedaży technologii i usług teleinformatycznych</t>
  </si>
  <si>
    <t>https://www.goldenline.pl/praca/oferta/1346442/zielonalinia0?utm_brand=goldenline&amp;utm_source=zielonalinia0&amp;gpid=1056956&amp;utm_channel=free&amp;utm_medium=oferta&amp;utm_department=marketing</t>
  </si>
  <si>
    <t>2919382</t>
  </si>
  <si>
    <t>49729894</t>
  </si>
  <si>
    <t>RPd057|243401</t>
  </si>
  <si>
    <t>2919513</t>
  </si>
  <si>
    <t>49730025</t>
  </si>
  <si>
    <t>2919527</t>
  </si>
  <si>
    <t>49730039</t>
  </si>
  <si>
    <t>2919553</t>
  </si>
  <si>
    <t>49730065</t>
  </si>
  <si>
    <t>https://www.goldenline.pl/praca/oferta/1348232/zielonalinia0?utm_brand=goldenline&amp;utm_source=zielonalinia0&amp;gpid=1058744&amp;utm_channel=free&amp;utm_medium=oferta&amp;utm_department=marketing</t>
  </si>
  <si>
    <t>2919590</t>
  </si>
  <si>
    <t>49730102</t>
  </si>
  <si>
    <t>https://www.goldenline.pl/praca/oferta/1348052/zielonalinia0?utm_brand=goldenline&amp;utm_source=zielonalinia0&amp;gpid=1058564&amp;utm_channel=free&amp;utm_medium=oferta&amp;utm_department=marketing</t>
  </si>
  <si>
    <t>2919592</t>
  </si>
  <si>
    <t>49730104</t>
  </si>
  <si>
    <t>https://www.goldenline.pl/praca/oferta/1345946/zielonalinia0?utm_brand=goldenline&amp;utm_source=zielonalinia0&amp;gpid=1056458&amp;utm_channel=free&amp;utm_medium=oferta&amp;utm_department=marketing</t>
  </si>
  <si>
    <t>2919600</t>
  </si>
  <si>
    <t>49730112</t>
  </si>
  <si>
    <t>https://www.goldenline.pl/praca/oferta/1347022/zielonalinia0?utm_brand=goldenline&amp;utm_source=zielonalinia0&amp;gpid=1057536&amp;utm_channel=free&amp;utm_medium=oferta&amp;utm_department=marketing</t>
  </si>
  <si>
    <t>2919614</t>
  </si>
  <si>
    <t>49730126</t>
  </si>
  <si>
    <t>2919632</t>
  </si>
  <si>
    <t>49730144</t>
  </si>
  <si>
    <t>2919727</t>
  </si>
  <si>
    <t>49730239</t>
  </si>
  <si>
    <t>2919732</t>
  </si>
  <si>
    <t>49730244</t>
  </si>
  <si>
    <t>Pracownik produkcji umowa o pracę premie benefity transport</t>
  </si>
  <si>
    <t>https://www.goldenline.pl/praca/oferta/1347200/zielonalinia0?utm_brand=goldenline&amp;utm_source=zielonalinia0&amp;gpid=1057712&amp;utm_channel=free&amp;utm_medium=oferta&amp;utm_department=marketing</t>
  </si>
  <si>
    <t>2919779</t>
  </si>
  <si>
    <t>49730291</t>
  </si>
  <si>
    <t>2919784</t>
  </si>
  <si>
    <t>49730296</t>
  </si>
  <si>
    <t>2919790</t>
  </si>
  <si>
    <t>49730302</t>
  </si>
  <si>
    <t>2919813</t>
  </si>
  <si>
    <t>49730325</t>
  </si>
  <si>
    <t>2919873</t>
  </si>
  <si>
    <t>49730385</t>
  </si>
  <si>
    <t>https://www.goldenline.pl/praca/oferta/1345898/zielonalinia0?utm_brand=goldenline&amp;utm_source=zielonalinia0&amp;gpid=1056410&amp;utm_channel=free&amp;utm_medium=oferta&amp;utm_department=marketing</t>
  </si>
  <si>
    <t>2919890</t>
  </si>
  <si>
    <t>49730402</t>
  </si>
  <si>
    <t>2919931</t>
  </si>
  <si>
    <t>49730443</t>
  </si>
  <si>
    <t>2919939</t>
  </si>
  <si>
    <t>49730451</t>
  </si>
  <si>
    <t>2919941</t>
  </si>
  <si>
    <t>49730453</t>
  </si>
  <si>
    <t>https://www.goldenline.pl/praca/oferta/1345954/zielonalinia0?utm_brand=goldenline&amp;utm_source=zielonalinia0&amp;gpid=1056466&amp;utm_channel=free&amp;utm_medium=oferta&amp;utm_department=marketing</t>
  </si>
  <si>
    <t>2919974</t>
  </si>
  <si>
    <t>49730486</t>
  </si>
  <si>
    <t>2920019</t>
  </si>
  <si>
    <t>49730531</t>
  </si>
  <si>
    <t>15.02.2023 04:25</t>
  </si>
  <si>
    <t>2920048</t>
  </si>
  <si>
    <t>49730560</t>
  </si>
  <si>
    <t>2920079</t>
  </si>
  <si>
    <t>49730591</t>
  </si>
  <si>
    <t>2920098</t>
  </si>
  <si>
    <t>49730610</t>
  </si>
  <si>
    <t>2920222</t>
  </si>
  <si>
    <t>49730734</t>
  </si>
  <si>
    <t>McDonald’s Stalowa Wola – rozgość się w pracy! Lider Gościnności: już od 22.88 zł godz.</t>
  </si>
  <si>
    <t>https://www.goldenline.pl/praca/oferta/1348644/zielonalinia0?utm_brand=goldenline&amp;utm_source=zielonalinia0&amp;gpid=1059156&amp;utm_channel=free&amp;utm_medium=oferta&amp;utm_department=marketing</t>
  </si>
  <si>
    <t>2920225</t>
  </si>
  <si>
    <t>49730737</t>
  </si>
  <si>
    <t>https://www.goldenline.pl/praca/oferta/1348528/zielonalinia0?utm_brand=goldenline&amp;utm_source=zielonalinia0&amp;gpid=1059038&amp;utm_channel=free&amp;utm_medium=oferta&amp;utm_department=marketing</t>
  </si>
  <si>
    <t>2920253</t>
  </si>
  <si>
    <t>49730765</t>
  </si>
  <si>
    <t>2920307</t>
  </si>
  <si>
    <t>49730819</t>
  </si>
  <si>
    <t>2920332</t>
  </si>
  <si>
    <t>49730844</t>
  </si>
  <si>
    <t>2920338</t>
  </si>
  <si>
    <t>49730850</t>
  </si>
  <si>
    <t>https://www.goldenline.pl/praca/oferta/1348236/zielonalinia0?utm_brand=goldenline&amp;utm_source=zielonalinia0&amp;gpid=1058748&amp;utm_channel=free&amp;utm_medium=oferta&amp;utm_department=marketing</t>
  </si>
  <si>
    <t>2920339</t>
  </si>
  <si>
    <t>49730851</t>
  </si>
  <si>
    <t>2920344</t>
  </si>
  <si>
    <t>49730856</t>
  </si>
  <si>
    <t>https://www.goldenline.pl/praca/oferta/1345822/zielonalinia0?utm_brand=goldenline&amp;utm_source=zielonalinia0&amp;gpid=1056334&amp;utm_channel=free&amp;utm_medium=oferta&amp;utm_department=marketing</t>
  </si>
  <si>
    <t>2920361</t>
  </si>
  <si>
    <t>49730873</t>
  </si>
  <si>
    <t>2920431</t>
  </si>
  <si>
    <t>49730943</t>
  </si>
  <si>
    <t>2920456</t>
  </si>
  <si>
    <t>49730968</t>
  </si>
  <si>
    <t>https://www.goldenline.pl/praca/oferta/1345624/zielonalinia0?utm_brand=goldenline&amp;utm_source=zielonalinia0&amp;gpid=1056136&amp;utm_channel=free&amp;utm_medium=oferta&amp;utm_department=marketing</t>
  </si>
  <si>
    <t>2920481</t>
  </si>
  <si>
    <t>49730993</t>
  </si>
  <si>
    <t>2920539</t>
  </si>
  <si>
    <t>49731051</t>
  </si>
  <si>
    <t>2920546</t>
  </si>
  <si>
    <t>49731058</t>
  </si>
  <si>
    <t>https://www.goldenline.pl/praca/oferta/1347450/zielonalinia0?utm_brand=goldenline&amp;utm_source=zielonalinia0&amp;gpid=1057962&amp;utm_channel=free&amp;utm_medium=oferta&amp;utm_department=marketing</t>
  </si>
  <si>
    <t>2920661</t>
  </si>
  <si>
    <t>2920677</t>
  </si>
  <si>
    <t>49731189</t>
  </si>
  <si>
    <t>2920679</t>
  </si>
  <si>
    <t>49731191</t>
  </si>
  <si>
    <t>2920719</t>
  </si>
  <si>
    <t>49731231</t>
  </si>
  <si>
    <t>2920737</t>
  </si>
  <si>
    <t>49731249</t>
  </si>
  <si>
    <t>2920750</t>
  </si>
  <si>
    <t>49731262</t>
  </si>
  <si>
    <t>Customer Service specialist with German</t>
  </si>
  <si>
    <t>https://www.goldenline.pl/praca/oferta/1348724/zielonalinia0?utm_brand=goldenline&amp;utm_source=zielonalinia0&amp;gpid=1059234&amp;utm_channel=free&amp;utm_medium=oferta&amp;utm_department=marketing</t>
  </si>
  <si>
    <t>2920815</t>
  </si>
  <si>
    <t>49731327</t>
  </si>
  <si>
    <t>2920897</t>
  </si>
  <si>
    <t>49731409</t>
  </si>
  <si>
    <t>https://www.goldenline.pl/praca/oferta/1348494/zielonalinia0?utm_brand=goldenline&amp;utm_source=zielonalinia0&amp;gpid=1059004&amp;utm_channel=free&amp;utm_medium=oferta&amp;utm_department=marketing</t>
  </si>
  <si>
    <t>2920912</t>
  </si>
  <si>
    <t>49731424</t>
  </si>
  <si>
    <t>2920923</t>
  </si>
  <si>
    <t>49731435</t>
  </si>
  <si>
    <t>https://www.goldenline.pl/praca/oferta/1345800/zielonalinia0?utm_brand=goldenline&amp;utm_source=zielonalinia0&amp;gpid=1056312&amp;utm_channel=free&amp;utm_medium=oferta&amp;utm_department=marketing</t>
  </si>
  <si>
    <t>2920929</t>
  </si>
  <si>
    <t>49731441</t>
  </si>
  <si>
    <t>MIS Reporting Specialist with English</t>
  </si>
  <si>
    <t>https://www.goldenline.pl/praca/oferta/1347690/zielonalinia0?utm_brand=goldenline&amp;utm_source=zielonalinia0&amp;gpid=1058204&amp;utm_channel=free&amp;utm_medium=oferta&amp;utm_department=marketing</t>
  </si>
  <si>
    <t>2920942</t>
  </si>
  <si>
    <t>49731454</t>
  </si>
  <si>
    <t>2920950</t>
  </si>
  <si>
    <t>49731462</t>
  </si>
  <si>
    <t>2920995</t>
  </si>
  <si>
    <t>49731507</t>
  </si>
  <si>
    <t>2921071</t>
  </si>
  <si>
    <t>49731583</t>
  </si>
  <si>
    <t>https://www.goldenline.pl/praca/oferta/1346672/zielonalinia0?utm_brand=goldenline&amp;utm_source=zielonalinia0&amp;gpid=1057184&amp;utm_channel=free&amp;utm_medium=oferta&amp;utm_department=marketing</t>
  </si>
  <si>
    <t>2921072</t>
  </si>
  <si>
    <t>49731584</t>
  </si>
  <si>
    <t>https://www.goldenline.pl/praca/oferta/1348234/zielonalinia0?utm_brand=goldenline&amp;utm_source=zielonalinia0&amp;gpid=1058746&amp;utm_channel=free&amp;utm_medium=oferta&amp;utm_department=marketing</t>
  </si>
  <si>
    <t>2921120</t>
  </si>
  <si>
    <t>49731632</t>
  </si>
  <si>
    <t>2921129</t>
  </si>
  <si>
    <t>49731641</t>
  </si>
  <si>
    <t>2921135</t>
  </si>
  <si>
    <t>49731647</t>
  </si>
  <si>
    <t>2921161</t>
  </si>
  <si>
    <t>49731673</t>
  </si>
  <si>
    <t>Customer Service Specialist with French</t>
  </si>
  <si>
    <t>https://www.goldenline.pl/praca/oferta/1346884/zielonalinia0?utm_brand=goldenline&amp;utm_source=zielonalinia0&amp;gpid=1057396&amp;utm_channel=free&amp;utm_medium=oferta&amp;utm_department=marketing</t>
  </si>
  <si>
    <t>2921167</t>
  </si>
  <si>
    <t>49731679</t>
  </si>
  <si>
    <t>https://www.goldenline.pl/praca/oferta/1346148/zielonalinia0?utm_brand=goldenline&amp;utm_source=zielonalinia0&amp;gpid=1056662&amp;utm_channel=free&amp;utm_medium=oferta&amp;utm_department=marketing</t>
  </si>
  <si>
    <t>2921204</t>
  </si>
  <si>
    <t>49731716</t>
  </si>
  <si>
    <t>2921215</t>
  </si>
  <si>
    <t>49731727</t>
  </si>
  <si>
    <t>2921242</t>
  </si>
  <si>
    <t>49731754</t>
  </si>
  <si>
    <t>2921291</t>
  </si>
  <si>
    <t>49731803</t>
  </si>
  <si>
    <t>2921377</t>
  </si>
  <si>
    <t>49731889</t>
  </si>
  <si>
    <t>2921401</t>
  </si>
  <si>
    <t>49731913</t>
  </si>
  <si>
    <t>2921405</t>
  </si>
  <si>
    <t>49731917</t>
  </si>
  <si>
    <t>https://www.goldenline.pl/praca/oferta/1348020/zielonalinia0?utm_brand=goldenline&amp;utm_source=zielonalinia0&amp;gpid=1058532&amp;utm_channel=free&amp;utm_medium=oferta&amp;utm_department=marketing</t>
  </si>
  <si>
    <t>2921432</t>
  </si>
  <si>
    <t>49731944</t>
  </si>
  <si>
    <t>2921441</t>
  </si>
  <si>
    <t>49731953</t>
  </si>
  <si>
    <t>2921478</t>
  </si>
  <si>
    <t>49731990</t>
  </si>
  <si>
    <t>2921510</t>
  </si>
  <si>
    <t>49732022</t>
  </si>
  <si>
    <t>2921526</t>
  </si>
  <si>
    <t>49732038</t>
  </si>
  <si>
    <t>2921539</t>
  </si>
  <si>
    <t>49732051</t>
  </si>
  <si>
    <t>2921572</t>
  </si>
  <si>
    <t>49732084</t>
  </si>
  <si>
    <t>Agent Ubezpieczeniowy PZU SA</t>
  </si>
  <si>
    <t>https://www.goldenline.pl/praca/oferta/1347324/zielonalinia0?utm_brand=goldenline&amp;utm_source=zielonalinia0&amp;gpid=1057838&amp;utm_channel=free&amp;utm_medium=oferta&amp;utm_department=marketing</t>
  </si>
  <si>
    <t>2921604</t>
  </si>
  <si>
    <t>49732116</t>
  </si>
  <si>
    <t>Specjalista ds. Wsparcia Klienta (j.niemiecki C1, j.angielski B2)</t>
  </si>
  <si>
    <t>https://www.goldenline.pl/praca/oferta/1347494/zielonalinia0?utm_brand=goldenline&amp;utm_source=zielonalinia0&amp;gpid=1058006&amp;utm_channel=free&amp;utm_medium=oferta&amp;utm_department=marketing</t>
  </si>
  <si>
    <t>2921643</t>
  </si>
  <si>
    <t>49732155</t>
  </si>
  <si>
    <t>2921718</t>
  </si>
  <si>
    <t>49732230</t>
  </si>
  <si>
    <t>2921805</t>
  </si>
  <si>
    <t>49732317</t>
  </si>
  <si>
    <t>2921808</t>
  </si>
  <si>
    <t>49732320</t>
  </si>
  <si>
    <t>https://www.goldenline.pl/praca/oferta/1346638/zielonalinia0?utm_brand=goldenline&amp;utm_source=zielonalinia0&amp;gpid=1057150&amp;utm_channel=free&amp;utm_medium=oferta&amp;utm_department=marketing</t>
  </si>
  <si>
    <t>2922022</t>
  </si>
  <si>
    <t>49732534</t>
  </si>
  <si>
    <t>2922029</t>
  </si>
  <si>
    <t>49732541</t>
  </si>
  <si>
    <t>https://www.goldenline.pl/praca/oferta/1345796/zielonalinia0?utm_brand=goldenline&amp;utm_source=zielonalinia0&amp;gpid=1056308&amp;utm_channel=free&amp;utm_medium=oferta&amp;utm_department=marketing</t>
  </si>
  <si>
    <t>2922030</t>
  </si>
  <si>
    <t>49732542</t>
  </si>
  <si>
    <t>2922039</t>
  </si>
  <si>
    <t>49732551</t>
  </si>
  <si>
    <t>2922064</t>
  </si>
  <si>
    <t>49732576</t>
  </si>
  <si>
    <t>https://www.goldenline.pl/praca/oferta/1347386/zielonalinia0?utm_brand=goldenline&amp;utm_source=zielonalinia0&amp;gpid=1057898&amp;utm_channel=free&amp;utm_medium=oferta&amp;utm_department=marketing</t>
  </si>
  <si>
    <t>2922084</t>
  </si>
  <si>
    <t>49732596</t>
  </si>
  <si>
    <t>2922092</t>
  </si>
  <si>
    <t>49732604</t>
  </si>
  <si>
    <t>2922138</t>
  </si>
  <si>
    <t>49732650</t>
  </si>
  <si>
    <t>2922146</t>
  </si>
  <si>
    <t>49732658</t>
  </si>
  <si>
    <t>https://www.goldenline.pl/praca/oferta/1348700/zielonalinia0?utm_brand=goldenline&amp;utm_source=zielonalinia0&amp;gpid=1059212&amp;utm_channel=free&amp;utm_medium=oferta&amp;utm_department=marketing</t>
  </si>
  <si>
    <t>2922147</t>
  </si>
  <si>
    <t>49732659</t>
  </si>
  <si>
    <t>https://www.goldenline.pl/praca/oferta/1345904/zielonalinia0?utm_brand=goldenline&amp;utm_source=zielonalinia0&amp;gpid=1056416&amp;utm_channel=free&amp;utm_medium=oferta&amp;utm_department=marketing</t>
  </si>
  <si>
    <t>2922176</t>
  </si>
  <si>
    <t>49732688</t>
  </si>
  <si>
    <t>2922275</t>
  </si>
  <si>
    <t>49732787</t>
  </si>
  <si>
    <t>Frontend Developer (HTML5/Typescript)</t>
  </si>
  <si>
    <t>https://www.goldenline.pl/praca/oferta/1348178/zielonalinia0?utm_brand=goldenline&amp;utm_source=zielonalinia0&amp;gpid=1058690&amp;utm_channel=free&amp;utm_medium=oferta&amp;utm_department=marketing</t>
  </si>
  <si>
    <t>2922280</t>
  </si>
  <si>
    <t>49732792</t>
  </si>
  <si>
    <t>2922360</t>
  </si>
  <si>
    <t>49732872</t>
  </si>
  <si>
    <t>2922394</t>
  </si>
  <si>
    <t>49732906</t>
  </si>
  <si>
    <t>2922408</t>
  </si>
  <si>
    <t>49732920</t>
  </si>
  <si>
    <t>2922413</t>
  </si>
  <si>
    <t>49732925</t>
  </si>
  <si>
    <t>2922486</t>
  </si>
  <si>
    <t>49732998</t>
  </si>
  <si>
    <t>2922510</t>
  </si>
  <si>
    <t>49733022</t>
  </si>
  <si>
    <t>2922529</t>
  </si>
  <si>
    <t>49733041</t>
  </si>
  <si>
    <t>2922551</t>
  </si>
  <si>
    <t>49733063</t>
  </si>
  <si>
    <t>2922562</t>
  </si>
  <si>
    <t>49733074</t>
  </si>
  <si>
    <t>2922578</t>
  </si>
  <si>
    <t>49733090</t>
  </si>
  <si>
    <t>2922592</t>
  </si>
  <si>
    <t>49733104</t>
  </si>
  <si>
    <t>2922597</t>
  </si>
  <si>
    <t>49733109</t>
  </si>
  <si>
    <t>2922602</t>
  </si>
  <si>
    <t>49733114</t>
  </si>
  <si>
    <t>2922609</t>
  </si>
  <si>
    <t>49733121</t>
  </si>
  <si>
    <t>2922642</t>
  </si>
  <si>
    <t>49733154</t>
  </si>
  <si>
    <t>2922646</t>
  </si>
  <si>
    <t>49733158</t>
  </si>
  <si>
    <t>Uniwersytet Medyczny w Lublinie</t>
  </si>
  <si>
    <t>Administrator Budynku</t>
  </si>
  <si>
    <t>Polska, podkarpackie, Krywe</t>
  </si>
  <si>
    <t>https://www.praca.pl/administrator-budynku_8004951.html?rf=zielona-linia-refferal&amp;utm_source=zielona-linia&amp;utm_medium=refferal&amp;utm_campaign=all&amp;utm_term=o&amp;utm_content=administrator-nieruchomosci_nieruchomosci_krywe_5237814</t>
  </si>
  <si>
    <t>22.02.2023 03:02</t>
  </si>
  <si>
    <t>2964494</t>
  </si>
  <si>
    <t>50003954</t>
  </si>
  <si>
    <t>https://www.praca.pl/doradca-klienta_8004897.html?rf=zielona-linia-refferal&amp;utm_source=zielona-linia&amp;utm_medium=refferal&amp;utm_campaign=all&amp;utm_term=o&amp;utm_content=doradca-klienta_sprzedaz-obsluga-klienta_rzeszow_5237781</t>
  </si>
  <si>
    <t>22.02.2023 04:24</t>
  </si>
  <si>
    <t>2964507</t>
  </si>
  <si>
    <t>50003967</t>
  </si>
  <si>
    <t>https://www.praca.pl/monter-konstrukcji-stalowych_6769890.html?rf=zielona-linia-refferal&amp;utm_source=zielona-linia&amp;utm_medium=refferal&amp;utm_campaign=all&amp;utm_term=o&amp;utm_content=pracownik-monter-konstrukcji-stalowych_praca-fizyczna_podkarpackie_4487751</t>
  </si>
  <si>
    <t>2964633</t>
  </si>
  <si>
    <t>50004093</t>
  </si>
  <si>
    <t>Specjalista ds. Trade Marketingu</t>
  </si>
  <si>
    <t>https://www.goldenline.pl/praca/oferta/1349106/zielonalinia0?utm_brand=goldenline&amp;utm_source=zielonalinia0&amp;gpid=1059616&amp;utm_channel=free&amp;utm_medium=oferta&amp;utm_department=marketing</t>
  </si>
  <si>
    <t>22.02.2023 03:30</t>
  </si>
  <si>
    <t>21.03.2023</t>
  </si>
  <si>
    <t>2964797</t>
  </si>
  <si>
    <t>2964801</t>
  </si>
  <si>
    <t>50025897</t>
  </si>
  <si>
    <t>https://www.goldenline.pl/praca/oferta/1349798/zielonalinia0?utm_brand=goldenline&amp;utm_source=zielonalinia0&amp;gpid=1060310&amp;utm_channel=free&amp;utm_medium=oferta&amp;utm_department=marketing</t>
  </si>
  <si>
    <t>2964826</t>
  </si>
  <si>
    <t>50025922</t>
  </si>
  <si>
    <t>https://www.goldenline.pl/praca/oferta/1348952/zielonalinia0?utm_brand=goldenline&amp;utm_source=zielonalinia0&amp;gpid=1059464&amp;utm_channel=free&amp;utm_medium=oferta&amp;utm_department=marketing</t>
  </si>
  <si>
    <t>2964925</t>
  </si>
  <si>
    <t>50026021</t>
  </si>
  <si>
    <t>2964934</t>
  </si>
  <si>
    <t>50026030</t>
  </si>
  <si>
    <t>2964949</t>
  </si>
  <si>
    <t>50026045</t>
  </si>
  <si>
    <t>2964962</t>
  </si>
  <si>
    <t>50026058</t>
  </si>
  <si>
    <t>2965041</t>
  </si>
  <si>
    <t>50026137</t>
  </si>
  <si>
    <t>2965043</t>
  </si>
  <si>
    <t>50026139</t>
  </si>
  <si>
    <t>https://www.goldenline.pl/praca/oferta/1351114/zielonalinia0?utm_brand=goldenline&amp;utm_source=zielonalinia0&amp;gpid=1061628&amp;utm_channel=free&amp;utm_medium=oferta&amp;utm_department=marketing</t>
  </si>
  <si>
    <t>24.03.2023</t>
  </si>
  <si>
    <t>2965049</t>
  </si>
  <si>
    <t>50026145</t>
  </si>
  <si>
    <t>Imerys Administrative Germany GmbH</t>
  </si>
  <si>
    <t>Sales &amp; Key Account Manager (f/m/d) - Animal Feed &amp; Specialities</t>
  </si>
  <si>
    <t>Polska, podkarpackie, Home-based in Poland</t>
  </si>
  <si>
    <t>https://www.goldenline.pl/praca/oferta/1339670/zielonalinia0?utm_brand=goldenline&amp;utm_source=zielonalinia0&amp;gpid=1048566&amp;utm_channel=free&amp;utm_medium=oferta&amp;utm_department=marketing</t>
  </si>
  <si>
    <t>2965205</t>
  </si>
  <si>
    <t>50026301</t>
  </si>
  <si>
    <t>Specjalista ds. eksportu ze znajomością j. angielskiego (m/k)</t>
  </si>
  <si>
    <t>https://www.goldenline.pl/praca/oferta/1349352/zielonalinia0?utm_brand=goldenline&amp;utm_source=zielonalinia0&amp;gpid=1059862&amp;utm_channel=free&amp;utm_medium=oferta&amp;utm_department=marketing</t>
  </si>
  <si>
    <t>2965264</t>
  </si>
  <si>
    <t>50026360</t>
  </si>
  <si>
    <t>22.02.2023 04:20</t>
  </si>
  <si>
    <t>19.02.2023</t>
  </si>
  <si>
    <t>2965287</t>
  </si>
  <si>
    <t>50026383</t>
  </si>
  <si>
    <t>2965299</t>
  </si>
  <si>
    <t>50026395</t>
  </si>
  <si>
    <t>2965379</t>
  </si>
  <si>
    <t>50026475</t>
  </si>
  <si>
    <t>Starszy Specjalista ds. wynagrodzeń</t>
  </si>
  <si>
    <t>https://www.goldenline.pl/praca/oferta/1350038/zielonalinia0?utm_brand=goldenline&amp;utm_source=zielonalinia0&amp;gpid=1060550&amp;utm_channel=free&amp;utm_medium=oferta&amp;utm_department=marketing</t>
  </si>
  <si>
    <t>2965438</t>
  </si>
  <si>
    <t>50026534</t>
  </si>
  <si>
    <t>2965469</t>
  </si>
  <si>
    <t>50026565</t>
  </si>
  <si>
    <t>2965470</t>
  </si>
  <si>
    <t>50026566</t>
  </si>
  <si>
    <t>2965488</t>
  </si>
  <si>
    <t>50026584</t>
  </si>
  <si>
    <t>Total Rewards Process Manager</t>
  </si>
  <si>
    <t>https://www.goldenline.pl/praca/oferta/1350006/zielonalinia0?utm_brand=goldenline&amp;utm_source=zielonalinia0&amp;gpid=1060518&amp;utm_channel=free&amp;utm_medium=oferta&amp;utm_department=marketing</t>
  </si>
  <si>
    <t>2965489</t>
  </si>
  <si>
    <t>50026585</t>
  </si>
  <si>
    <t>https://www.goldenline.pl/praca/oferta/1352374/zielonalinia0?utm_brand=goldenline&amp;utm_source=zielonalinia0&amp;gpid=1062888&amp;utm_channel=free&amp;utm_medium=oferta&amp;utm_department=marketing</t>
  </si>
  <si>
    <t>28.03.2023</t>
  </si>
  <si>
    <t>2965553</t>
  </si>
  <si>
    <t>50026649</t>
  </si>
  <si>
    <t>2965562</t>
  </si>
  <si>
    <t>50026658</t>
  </si>
  <si>
    <t>2965569</t>
  </si>
  <si>
    <t>50026665</t>
  </si>
  <si>
    <t>2965601</t>
  </si>
  <si>
    <t>50026697</t>
  </si>
  <si>
    <t>https://www.goldenline.pl/praca/oferta/1352072/zielonalinia0?utm_brand=goldenline&amp;utm_source=zielonalinia0&amp;gpid=1062590&amp;utm_channel=free&amp;utm_medium=oferta&amp;utm_department=marketing</t>
  </si>
  <si>
    <t>27.03.2023</t>
  </si>
  <si>
    <t>2965604</t>
  </si>
  <si>
    <t>50026700</t>
  </si>
  <si>
    <t>Functional Business Analyst</t>
  </si>
  <si>
    <t>https://www.goldenline.pl/praca/oferta/1350982/zielonalinia0?utm_brand=goldenline&amp;utm_source=zielonalinia0&amp;gpid=1061496&amp;utm_channel=free&amp;utm_medium=oferta&amp;utm_department=marketing</t>
  </si>
  <si>
    <t>2965607</t>
  </si>
  <si>
    <t>50026703</t>
  </si>
  <si>
    <t>Full-Stack Senior Developer (Front-End)</t>
  </si>
  <si>
    <t>https://www.goldenline.pl/praca/oferta/1350794/zielonalinia0?utm_brand=goldenline&amp;utm_source=zielonalinia0&amp;gpid=1061306&amp;utm_channel=free&amp;utm_medium=oferta&amp;utm_department=marketing</t>
  </si>
  <si>
    <t>2965613</t>
  </si>
  <si>
    <t>50026709</t>
  </si>
  <si>
    <t>2965626</t>
  </si>
  <si>
    <t>50026722</t>
  </si>
  <si>
    <t>ALIOR BANK SPÓŁKA AKCYJNA</t>
  </si>
  <si>
    <t>https://www.goldenline.pl/praca/oferta/1352542/zielonalinia0?utm_brand=goldenline&amp;utm_source=zielonalinia0&amp;gpid=1063056&amp;utm_channel=free&amp;utm_medium=oferta&amp;utm_department=marketing</t>
  </si>
  <si>
    <t>2965634</t>
  </si>
  <si>
    <t>50026730</t>
  </si>
  <si>
    <t>2965645</t>
  </si>
  <si>
    <t>50026741</t>
  </si>
  <si>
    <t>2965680</t>
  </si>
  <si>
    <t>50026776</t>
  </si>
  <si>
    <t>Pozostali technicy sieci internetowych</t>
  </si>
  <si>
    <t>2965812</t>
  </si>
  <si>
    <t>50026908</t>
  </si>
  <si>
    <t>RPd057|351490</t>
  </si>
  <si>
    <t>2965843</t>
  </si>
  <si>
    <t>50026939</t>
  </si>
  <si>
    <t>https://www.goldenline.pl/praca/oferta/1351462/zielonalinia0?utm_brand=goldenline&amp;utm_source=zielonalinia0&amp;gpid=1061976&amp;utm_channel=free&amp;utm_medium=oferta&amp;utm_department=marketing</t>
  </si>
  <si>
    <t>2965858</t>
  </si>
  <si>
    <t>50026954</t>
  </si>
  <si>
    <t>2965864</t>
  </si>
  <si>
    <t>50026960</t>
  </si>
  <si>
    <t>Pracownik działu kas/obsługi klienta w sklepie budowlanym Przemyśl</t>
  </si>
  <si>
    <t>https://www.goldenline.pl/praca/oferta/1352452/zielonalinia0?utm_brand=goldenline&amp;utm_source=zielonalinia0&amp;gpid=1062966&amp;utm_channel=free&amp;utm_medium=oferta&amp;utm_department=marketing</t>
  </si>
  <si>
    <t>2965883</t>
  </si>
  <si>
    <t>50026979</t>
  </si>
  <si>
    <t>2965906</t>
  </si>
  <si>
    <t>50027002</t>
  </si>
  <si>
    <t>2965907</t>
  </si>
  <si>
    <t>50027003</t>
  </si>
  <si>
    <t>Manager w dziale wynagrodzeń(consulting)</t>
  </si>
  <si>
    <t>https://www.goldenline.pl/praca/oferta/1350070/zielonalinia0?utm_brand=goldenline&amp;utm_source=zielonalinia0&amp;gpid=1060582&amp;utm_channel=free&amp;utm_medium=oferta&amp;utm_department=marketing</t>
  </si>
  <si>
    <t>2965914</t>
  </si>
  <si>
    <t>50027010</t>
  </si>
  <si>
    <t>2965919</t>
  </si>
  <si>
    <t>50027015</t>
  </si>
  <si>
    <t>2965980</t>
  </si>
  <si>
    <t>50027076</t>
  </si>
  <si>
    <t>https://www.goldenline.pl/praca/oferta/1349052/zielonalinia0?utm_brand=goldenline&amp;utm_source=zielonalinia0&amp;gpid=1059562&amp;utm_channel=free&amp;utm_medium=oferta&amp;utm_department=marketing</t>
  </si>
  <si>
    <t>2966002</t>
  </si>
  <si>
    <t>50027098</t>
  </si>
  <si>
    <t>2966061</t>
  </si>
  <si>
    <t>50027157</t>
  </si>
  <si>
    <t>2966128</t>
  </si>
  <si>
    <t>50027224</t>
  </si>
  <si>
    <t>2966136</t>
  </si>
  <si>
    <t>50027232</t>
  </si>
  <si>
    <t>2966166</t>
  </si>
  <si>
    <t>50027262</t>
  </si>
  <si>
    <t>2966175</t>
  </si>
  <si>
    <t>50027271</t>
  </si>
  <si>
    <t>2966210</t>
  </si>
  <si>
    <t>50027306</t>
  </si>
  <si>
    <t>https://www.goldenline.pl/praca/oferta/1348794/zielonalinia0?utm_brand=goldenline&amp;utm_source=zielonalinia0&amp;gpid=1059304&amp;utm_channel=free&amp;utm_medium=oferta&amp;utm_department=marketing</t>
  </si>
  <si>
    <t>2966234</t>
  </si>
  <si>
    <t>50027330</t>
  </si>
  <si>
    <t>2966266</t>
  </si>
  <si>
    <t>50027362</t>
  </si>
  <si>
    <t>Python Developer - Virtusa -DEBE</t>
  </si>
  <si>
    <t>https://www.goldenline.pl/praca/oferta/1352510/zielonalinia0?utm_brand=goldenline&amp;utm_source=zielonalinia0&amp;gpid=1063024&amp;utm_channel=free&amp;utm_medium=oferta&amp;utm_department=marketing</t>
  </si>
  <si>
    <t>2966382</t>
  </si>
  <si>
    <t>50027478</t>
  </si>
  <si>
    <t>2966444</t>
  </si>
  <si>
    <t>50027540</t>
  </si>
  <si>
    <t>2966473</t>
  </si>
  <si>
    <t>50027569</t>
  </si>
  <si>
    <t>2966525</t>
  </si>
  <si>
    <t>50027621</t>
  </si>
  <si>
    <t>LOGINEX Sp. z o.o.</t>
  </si>
  <si>
    <t>Asystent Spedytora</t>
  </si>
  <si>
    <t>https://www.goldenline.pl/praca/oferta/1349804/zielonalinia0?utm_brand=goldenline&amp;utm_source=zielonalinia0&amp;gpid=1060316&amp;utm_channel=free&amp;utm_medium=oferta&amp;utm_department=marketing</t>
  </si>
  <si>
    <t>22.02.2023 03:31</t>
  </si>
  <si>
    <t>2966642</t>
  </si>
  <si>
    <t>50027738</t>
  </si>
  <si>
    <t>2966648</t>
  </si>
  <si>
    <t>50027744</t>
  </si>
  <si>
    <t>2966658</t>
  </si>
  <si>
    <t>50027754</t>
  </si>
  <si>
    <t>2966660</t>
  </si>
  <si>
    <t>50027756</t>
  </si>
  <si>
    <t>2966661</t>
  </si>
  <si>
    <t>50027757</t>
  </si>
  <si>
    <t>https://www.goldenline.pl/praca/oferta/1349726/zielonalinia0?utm_brand=goldenline&amp;utm_source=zielonalinia0&amp;gpid=1060238&amp;utm_channel=free&amp;utm_medium=oferta&amp;utm_department=marketing</t>
  </si>
  <si>
    <t>2966697</t>
  </si>
  <si>
    <t>50027793</t>
  </si>
  <si>
    <t>2966733</t>
  </si>
  <si>
    <t>50027829</t>
  </si>
  <si>
    <t>2966767</t>
  </si>
  <si>
    <t>50027863</t>
  </si>
  <si>
    <t>2966775</t>
  </si>
  <si>
    <t>50027871</t>
  </si>
  <si>
    <t>2966825</t>
  </si>
  <si>
    <t>50027921</t>
  </si>
  <si>
    <t>https://www.goldenline.pl/praca/oferta/1349744/zielonalinia0?utm_brand=goldenline&amp;utm_source=zielonalinia0&amp;gpid=1060256&amp;utm_channel=free&amp;utm_medium=oferta&amp;utm_department=marketing</t>
  </si>
  <si>
    <t>2966830</t>
  </si>
  <si>
    <t>50027926</t>
  </si>
  <si>
    <t>2966839</t>
  </si>
  <si>
    <t>50027935</t>
  </si>
  <si>
    <t>https://www.goldenline.pl/praca/oferta/1351400/zielonalinia0?utm_brand=goldenline&amp;utm_source=zielonalinia0&amp;gpid=1061918&amp;utm_channel=free&amp;utm_medium=oferta&amp;utm_department=marketing</t>
  </si>
  <si>
    <t>2966851</t>
  </si>
  <si>
    <t>50027947</t>
  </si>
  <si>
    <t>2966858</t>
  </si>
  <si>
    <t>50027954</t>
  </si>
  <si>
    <t>2966866</t>
  </si>
  <si>
    <t>50027962</t>
  </si>
  <si>
    <t>2966934</t>
  </si>
  <si>
    <t>50028030</t>
  </si>
  <si>
    <t>2966985</t>
  </si>
  <si>
    <t>50028081</t>
  </si>
  <si>
    <t>2967002</t>
  </si>
  <si>
    <t>50028098</t>
  </si>
  <si>
    <t>2967031</t>
  </si>
  <si>
    <t>50028127</t>
  </si>
  <si>
    <t>2967064</t>
  </si>
  <si>
    <t>50028160</t>
  </si>
  <si>
    <t>Pracownik restauracji lub pracownik weekendowy - McDonald’s Mielec</t>
  </si>
  <si>
    <t>https://www.goldenline.pl/praca/oferta/1350892/zielonalinia0?utm_brand=goldenline&amp;utm_source=zielonalinia0&amp;gpid=1061406&amp;utm_channel=free&amp;utm_medium=oferta&amp;utm_department=marketing</t>
  </si>
  <si>
    <t>2967078</t>
  </si>
  <si>
    <t>50028174</t>
  </si>
  <si>
    <t>2967108</t>
  </si>
  <si>
    <t>50028204</t>
  </si>
  <si>
    <t>https://www.goldenline.pl/praca/oferta/1349604/zielonalinia0?utm_brand=goldenline&amp;utm_source=zielonalinia0&amp;gpid=1060136&amp;utm_channel=free&amp;utm_medium=oferta&amp;utm_department=marketing</t>
  </si>
  <si>
    <t>2967111</t>
  </si>
  <si>
    <t>50028207</t>
  </si>
  <si>
    <t>2967128</t>
  </si>
  <si>
    <t>50028224</t>
  </si>
  <si>
    <t>2967142</t>
  </si>
  <si>
    <t>50028238</t>
  </si>
  <si>
    <t>2967144</t>
  </si>
  <si>
    <t>50028240</t>
  </si>
  <si>
    <t>OK JOB SPÓŁKA Z OGRANICZONĄ ODPOWIEDZIALNOŚCIĄ</t>
  </si>
  <si>
    <t>2967393</t>
  </si>
  <si>
    <t>50028489</t>
  </si>
  <si>
    <t>2967446</t>
  </si>
  <si>
    <t>50028542</t>
  </si>
  <si>
    <t>2967463</t>
  </si>
  <si>
    <t>50028559</t>
  </si>
  <si>
    <t>QA automation</t>
  </si>
  <si>
    <t>https://www.goldenline.pl/praca/oferta/1350822/zielonalinia0?utm_brand=goldenline&amp;utm_source=zielonalinia0&amp;gpid=1061334&amp;utm_channel=free&amp;utm_medium=oferta&amp;utm_department=marketing</t>
  </si>
  <si>
    <t>2967530</t>
  </si>
  <si>
    <t>50028626</t>
  </si>
  <si>
    <t>2967545</t>
  </si>
  <si>
    <t>50028641</t>
  </si>
  <si>
    <t>2967569</t>
  </si>
  <si>
    <t>50028665</t>
  </si>
  <si>
    <t>2967580</t>
  </si>
  <si>
    <t>50028676</t>
  </si>
  <si>
    <t>https://www.goldenline.pl/praca/oferta/1349876/zielonalinia0?utm_brand=goldenline&amp;utm_source=zielonalinia0&amp;gpid=1060388&amp;utm_channel=free&amp;utm_medium=oferta&amp;utm_department=marketing</t>
  </si>
  <si>
    <t>2967620</t>
  </si>
  <si>
    <t>50028716</t>
  </si>
  <si>
    <t>2967678</t>
  </si>
  <si>
    <t>50028774</t>
  </si>
  <si>
    <t>https://www.goldenline.pl/praca/oferta/1351658/zielonalinia0?utm_brand=goldenline&amp;utm_source=zielonalinia0&amp;gpid=1062172&amp;utm_channel=free&amp;utm_medium=oferta&amp;utm_department=marketing</t>
  </si>
  <si>
    <t>2967801</t>
  </si>
  <si>
    <t>50028897</t>
  </si>
  <si>
    <t>2967825</t>
  </si>
  <si>
    <t>50028921</t>
  </si>
  <si>
    <t>2967867</t>
  </si>
  <si>
    <t>50028963</t>
  </si>
  <si>
    <t>2967883</t>
  </si>
  <si>
    <t>50028979</t>
  </si>
  <si>
    <t>2967904</t>
  </si>
  <si>
    <t>50029000</t>
  </si>
  <si>
    <t>2967907</t>
  </si>
  <si>
    <t>50029003</t>
  </si>
  <si>
    <t>https://www.goldenline.pl/praca/oferta/1350512/zielonalinia0?utm_brand=goldenline&amp;utm_source=zielonalinia0&amp;gpid=1060792&amp;utm_channel=free&amp;utm_medium=oferta&amp;utm_department=marketing</t>
  </si>
  <si>
    <t>2967931</t>
  </si>
  <si>
    <t>50029027</t>
  </si>
  <si>
    <t>https://www.goldenline.pl/praca/oferta/1351582/zielonalinia0?utm_brand=goldenline&amp;utm_source=zielonalinia0&amp;gpid=1062096&amp;utm_channel=free&amp;utm_medium=oferta&amp;utm_department=marketing</t>
  </si>
  <si>
    <t>2968007</t>
  </si>
  <si>
    <t>50029103</t>
  </si>
  <si>
    <t>2968026</t>
  </si>
  <si>
    <t>50029122</t>
  </si>
  <si>
    <t>2968065</t>
  </si>
  <si>
    <t>50029161</t>
  </si>
  <si>
    <t>Senior/Lead Backend Engineer</t>
  </si>
  <si>
    <t>https://www.goldenline.pl/praca/oferta/1350912/zielonalinia0?utm_brand=goldenline&amp;utm_source=zielonalinia0&amp;gpid=1061426&amp;utm_channel=free&amp;utm_medium=oferta&amp;utm_department=marketing</t>
  </si>
  <si>
    <t>2968068</t>
  </si>
  <si>
    <t>50029164</t>
  </si>
  <si>
    <t>2968110</t>
  </si>
  <si>
    <t>50029206</t>
  </si>
  <si>
    <t>2968151</t>
  </si>
  <si>
    <t>50029247</t>
  </si>
  <si>
    <t>2968202</t>
  </si>
  <si>
    <t>50029298</t>
  </si>
  <si>
    <t>https://www.goldenline.pl/praca/oferta/1350456/zielonalinia0?utm_brand=goldenline&amp;utm_source=zielonalinia0&amp;gpid=1060860&amp;utm_channel=free&amp;utm_medium=oferta&amp;utm_department=marketing</t>
  </si>
  <si>
    <t>2968279</t>
  </si>
  <si>
    <t>50029375</t>
  </si>
  <si>
    <t>McDonald’s Mielec - pracownik restauracji - zmiana nocna</t>
  </si>
  <si>
    <t>https://www.goldenline.pl/praca/oferta/1350928/zielonalinia0?utm_brand=goldenline&amp;utm_source=zielonalinia0&amp;gpid=1061442&amp;utm_channel=free&amp;utm_medium=oferta&amp;utm_department=marketing</t>
  </si>
  <si>
    <t>2968292</t>
  </si>
  <si>
    <t>50029388</t>
  </si>
  <si>
    <t>2968324</t>
  </si>
  <si>
    <t>50029420</t>
  </si>
  <si>
    <t>2968325</t>
  </si>
  <si>
    <t>50029421</t>
  </si>
  <si>
    <t>2968364</t>
  </si>
  <si>
    <t>50029460</t>
  </si>
  <si>
    <t>https://www.goldenline.pl/praca/oferta/1351048/zielonalinia0?utm_brand=goldenline&amp;utm_source=zielonalinia0&amp;gpid=1061562&amp;utm_channel=free&amp;utm_medium=oferta&amp;utm_department=marketing</t>
  </si>
  <si>
    <t>2968410</t>
  </si>
  <si>
    <t>50029506</t>
  </si>
  <si>
    <t>2968430</t>
  </si>
  <si>
    <t>50029526</t>
  </si>
  <si>
    <t>2968479</t>
  </si>
  <si>
    <t>50029575</t>
  </si>
  <si>
    <t>https://www.goldenline.pl/praca/oferta/1351268/zielonalinia0?utm_brand=goldenline&amp;utm_source=zielonalinia0&amp;gpid=1061782&amp;utm_channel=free&amp;utm_medium=oferta&amp;utm_department=marketing</t>
  </si>
  <si>
    <t>2968529</t>
  </si>
  <si>
    <t>50029625</t>
  </si>
  <si>
    <t>2968530</t>
  </si>
  <si>
    <t>50029626</t>
  </si>
  <si>
    <t>2968576</t>
  </si>
  <si>
    <t>50029672</t>
  </si>
  <si>
    <t>https://www.goldenline.pl/praca/oferta/1349762/zielonalinia0?utm_brand=goldenline&amp;utm_source=zielonalinia0&amp;gpid=1060274&amp;utm_channel=free&amp;utm_medium=oferta&amp;utm_department=marketing</t>
  </si>
  <si>
    <t>2968584</t>
  </si>
  <si>
    <t>50029680</t>
  </si>
  <si>
    <t>2968598</t>
  </si>
  <si>
    <t>50029694</t>
  </si>
  <si>
    <t>Wykładanie towaru w sklepie kosmetycznym Przemyśl</t>
  </si>
  <si>
    <t>https://www.goldenline.pl/praca/oferta/1350736/zielonalinia0?utm_brand=goldenline&amp;utm_source=zielonalinia0&amp;gpid=1061248&amp;utm_channel=free&amp;utm_medium=oferta&amp;utm_department=marketing</t>
  </si>
  <si>
    <t>2968711</t>
  </si>
  <si>
    <t>50029807</t>
  </si>
  <si>
    <t>2968712</t>
  </si>
  <si>
    <t>50029808</t>
  </si>
  <si>
    <t>https://www.goldenline.pl/praca/oferta/1349298/zielonalinia0?utm_brand=goldenline&amp;utm_source=zielonalinia0&amp;gpid=1059808&amp;utm_channel=free&amp;utm_medium=oferta&amp;utm_department=marketing</t>
  </si>
  <si>
    <t>2968725</t>
  </si>
  <si>
    <t>50029821</t>
  </si>
  <si>
    <t>2968730</t>
  </si>
  <si>
    <t>50029826</t>
  </si>
  <si>
    <t>2968743</t>
  </si>
  <si>
    <t>50029839</t>
  </si>
  <si>
    <t>2968757</t>
  </si>
  <si>
    <t>50029853</t>
  </si>
  <si>
    <t>https://www.goldenline.pl/praca/oferta/1349908/zielonalinia0?utm_brand=goldenline&amp;utm_source=zielonalinia0&amp;gpid=1060420&amp;utm_channel=free&amp;utm_medium=oferta&amp;utm_department=marketing</t>
  </si>
  <si>
    <t>2968792</t>
  </si>
  <si>
    <t>50029888</t>
  </si>
  <si>
    <t>2968793</t>
  </si>
  <si>
    <t>50029889</t>
  </si>
  <si>
    <t>https://www.goldenline.pl/praca/oferta/1349262/zielonalinia0?utm_brand=goldenline&amp;utm_source=zielonalinia0&amp;gpid=1059772&amp;utm_channel=free&amp;utm_medium=oferta&amp;utm_department=marketing</t>
  </si>
  <si>
    <t>2968833</t>
  </si>
  <si>
    <t>50029929</t>
  </si>
  <si>
    <t>https://www.goldenline.pl/praca/oferta/1349844/zielonalinia0?utm_brand=goldenline&amp;utm_source=zielonalinia0&amp;gpid=1060356&amp;utm_channel=free&amp;utm_medium=oferta&amp;utm_department=marketing</t>
  </si>
  <si>
    <t>2968868</t>
  </si>
  <si>
    <t>50029964</t>
  </si>
  <si>
    <t>2968897</t>
  </si>
  <si>
    <t>50029993</t>
  </si>
  <si>
    <t>https://www.goldenline.pl/praca/oferta/1351012/zielonalinia0?utm_brand=goldenline&amp;utm_source=zielonalinia0&amp;gpid=1061526&amp;utm_channel=free&amp;utm_medium=oferta&amp;utm_department=marketing</t>
  </si>
  <si>
    <t>2968918</t>
  </si>
  <si>
    <t>50030014</t>
  </si>
  <si>
    <t>2968967</t>
  </si>
  <si>
    <t>50030063</t>
  </si>
  <si>
    <t>2969008</t>
  </si>
  <si>
    <t>50030104</t>
  </si>
  <si>
    <t>Analityk systemowy e-Commerce (m/k)</t>
  </si>
  <si>
    <t>https://www.goldenline.pl/praca/oferta/1352600/zielonalinia0?utm_brand=goldenline&amp;utm_source=zielonalinia0&amp;gpid=1063116&amp;utm_channel=free&amp;utm_medium=oferta&amp;utm_department=marketing</t>
  </si>
  <si>
    <t>2969020</t>
  </si>
  <si>
    <t>50030116</t>
  </si>
  <si>
    <t>2969045</t>
  </si>
  <si>
    <t>50030141</t>
  </si>
  <si>
    <t>2969092</t>
  </si>
  <si>
    <t>50030188</t>
  </si>
  <si>
    <t>2969188</t>
  </si>
  <si>
    <t>50030284</t>
  </si>
  <si>
    <t>2969214</t>
  </si>
  <si>
    <t>50030310</t>
  </si>
  <si>
    <t>2969233</t>
  </si>
  <si>
    <t>50030329</t>
  </si>
  <si>
    <t>2969244</t>
  </si>
  <si>
    <t>50030340</t>
  </si>
  <si>
    <t>2969259</t>
  </si>
  <si>
    <t>50030355</t>
  </si>
  <si>
    <t>2969272</t>
  </si>
  <si>
    <t>50030368</t>
  </si>
  <si>
    <t>2969311</t>
  </si>
  <si>
    <t>50030407</t>
  </si>
  <si>
    <t>2969376</t>
  </si>
  <si>
    <t>50030472</t>
  </si>
  <si>
    <t>2969400</t>
  </si>
  <si>
    <t>50030496</t>
  </si>
  <si>
    <t>2969402</t>
  </si>
  <si>
    <t>50030498</t>
  </si>
  <si>
    <t>2969416</t>
  </si>
  <si>
    <t>50030512</t>
  </si>
  <si>
    <t>BZK</t>
  </si>
  <si>
    <t>Referent ds. Rozliczeń</t>
  </si>
  <si>
    <t>https://www.goldenline.pl/praca/oferta/1352198/zielonalinia0?utm_brand=goldenline&amp;utm_source=zielonalinia0&amp;gpid=1062712&amp;utm_channel=free&amp;utm_medium=oferta&amp;utm_department=marketing</t>
  </si>
  <si>
    <t>2969439</t>
  </si>
  <si>
    <t>50030535</t>
  </si>
  <si>
    <t>Operator do cięcia kabli -</t>
  </si>
  <si>
    <t>https://www.goldenline.pl/praca/oferta/1350680/zielonalinia0?utm_brand=goldenline&amp;utm_source=zielonalinia0&amp;gpid=1061194&amp;utm_channel=free&amp;utm_medium=oferta&amp;utm_department=marketing</t>
  </si>
  <si>
    <t>2969456</t>
  </si>
  <si>
    <t>50030552</t>
  </si>
  <si>
    <t>2969488</t>
  </si>
  <si>
    <t>50030584</t>
  </si>
  <si>
    <t>2969516</t>
  </si>
  <si>
    <t>50030612</t>
  </si>
  <si>
    <t>WYKŁADANIE TOWARU w sklepie kosmetycznym- MIELEC</t>
  </si>
  <si>
    <t>https://www.goldenline.pl/praca/oferta/1350738/zielonalinia0?utm_brand=goldenline&amp;utm_source=zielonalinia0&amp;gpid=1061250&amp;utm_channel=free&amp;utm_medium=oferta&amp;utm_department=marketing</t>
  </si>
  <si>
    <t>2969530</t>
  </si>
  <si>
    <t>50030626</t>
  </si>
  <si>
    <t>POWSZECHNY ZAKŁAD UBEZPIECZEŃ S.A.</t>
  </si>
  <si>
    <t>2969554</t>
  </si>
  <si>
    <t>50030650</t>
  </si>
  <si>
    <t>2969569</t>
  </si>
  <si>
    <t>50030665</t>
  </si>
  <si>
    <t>2969653</t>
  </si>
  <si>
    <t>50030749</t>
  </si>
  <si>
    <t>https://www.goldenline.pl/praca/oferta/1351506/zielonalinia0?utm_brand=goldenline&amp;utm_source=zielonalinia0&amp;gpid=1062020&amp;utm_channel=free&amp;utm_medium=oferta&amp;utm_department=marketing</t>
  </si>
  <si>
    <t>2969699</t>
  </si>
  <si>
    <t>50030795</t>
  </si>
  <si>
    <t>2969703</t>
  </si>
  <si>
    <t>50030799</t>
  </si>
  <si>
    <t>2969735</t>
  </si>
  <si>
    <t>50030831</t>
  </si>
  <si>
    <t>2969738</t>
  </si>
  <si>
    <t>50030834</t>
  </si>
  <si>
    <t>Specjalista ds. sprzedaży i zamówień (m/k)</t>
  </si>
  <si>
    <t>https://www.goldenline.pl/praca/oferta/1351162/zielonalinia0?utm_brand=goldenline&amp;utm_source=zielonalinia0&amp;gpid=1061680&amp;utm_channel=free&amp;utm_medium=oferta&amp;utm_department=marketing</t>
  </si>
  <si>
    <t>2969750</t>
  </si>
  <si>
    <t>50030846</t>
  </si>
  <si>
    <t>2969752</t>
  </si>
  <si>
    <t>50030848</t>
  </si>
  <si>
    <t>https://www.goldenline.pl/praca/oferta/1351566/zielonalinia0?utm_brand=goldenline&amp;utm_source=zielonalinia0&amp;gpid=1062080&amp;utm_channel=free&amp;utm_medium=oferta&amp;utm_department=marketing</t>
  </si>
  <si>
    <t>2969755</t>
  </si>
  <si>
    <t>50030851</t>
  </si>
  <si>
    <t>2969759</t>
  </si>
  <si>
    <t>50030855</t>
  </si>
  <si>
    <t>2969814</t>
  </si>
  <si>
    <t>50030910</t>
  </si>
  <si>
    <t>2969826</t>
  </si>
  <si>
    <t>50030922</t>
  </si>
  <si>
    <t>2969834</t>
  </si>
  <si>
    <t>50030930</t>
  </si>
  <si>
    <t>2969853</t>
  </si>
  <si>
    <t>50030949</t>
  </si>
  <si>
    <t>2969956</t>
  </si>
  <si>
    <t>50031052</t>
  </si>
  <si>
    <t>https://www.goldenline.pl/praca/oferta/1350872/zielonalinia0?utm_brand=goldenline&amp;utm_source=zielonalinia0&amp;gpid=1061384&amp;utm_channel=free&amp;utm_medium=oferta&amp;utm_department=marketing</t>
  </si>
  <si>
    <t>2969974</t>
  </si>
  <si>
    <t>50031070</t>
  </si>
  <si>
    <t>2969993</t>
  </si>
  <si>
    <t>50031089</t>
  </si>
  <si>
    <t>2969995</t>
  </si>
  <si>
    <t>50031091</t>
  </si>
  <si>
    <t>GCP DevOps Engineer</t>
  </si>
  <si>
    <t>https://www.goldenline.pl/praca/oferta/1350706/zielonalinia0?utm_brand=goldenline&amp;utm_source=zielonalinia0&amp;gpid=1061218&amp;utm_channel=free&amp;utm_medium=oferta&amp;utm_department=marketing</t>
  </si>
  <si>
    <t>2970012</t>
  </si>
  <si>
    <t>50031108</t>
  </si>
  <si>
    <t>2970020</t>
  </si>
  <si>
    <t>50031116</t>
  </si>
  <si>
    <t>2970048</t>
  </si>
  <si>
    <t>50031144</t>
  </si>
  <si>
    <t>2970052</t>
  </si>
  <si>
    <t>50031148</t>
  </si>
  <si>
    <t>2970069</t>
  </si>
  <si>
    <t>50031165</t>
  </si>
  <si>
    <t>https://www.goldenline.pl/praca/oferta/1349618/zielonalinia0?utm_brand=goldenline&amp;utm_source=zielonalinia0&amp;gpid=1060118&amp;utm_channel=free&amp;utm_medium=oferta&amp;utm_department=marketing</t>
  </si>
  <si>
    <t>2970094</t>
  </si>
  <si>
    <t>50031190</t>
  </si>
  <si>
    <t>GRELA GROUP SPÓŁKA Z OGRANICZONĄ ODPOWIEDZIALNOŚCIĄ</t>
  </si>
  <si>
    <t>https://www.goldenline.pl/praca/oferta/1350380/zielonalinia0?utm_brand=goldenline&amp;utm_source=zielonalinia0&amp;gpid=1060982&amp;utm_channel=free&amp;utm_medium=oferta&amp;utm_department=marketing</t>
  </si>
  <si>
    <t>2970098</t>
  </si>
  <si>
    <t>50031194</t>
  </si>
  <si>
    <t>2970224</t>
  </si>
  <si>
    <t>50031320</t>
  </si>
  <si>
    <t>https://www.goldenline.pl/praca/oferta/1351300/zielonalinia0?utm_brand=goldenline&amp;utm_source=zielonalinia0&amp;gpid=1061814&amp;utm_channel=free&amp;utm_medium=oferta&amp;utm_department=marketing</t>
  </si>
  <si>
    <t>2970231</t>
  </si>
  <si>
    <t>50031327</t>
  </si>
  <si>
    <t>2970241</t>
  </si>
  <si>
    <t>50031337</t>
  </si>
  <si>
    <t>2970256</t>
  </si>
  <si>
    <t>50031352</t>
  </si>
  <si>
    <t>2970272</t>
  </si>
  <si>
    <t>50031368</t>
  </si>
  <si>
    <t>https://www.goldenline.pl/praca/oferta/1350540/zielonalinia0?utm_brand=goldenline&amp;utm_source=zielonalinia0&amp;gpid=1061052&amp;utm_channel=free&amp;utm_medium=oferta&amp;utm_department=marketing</t>
  </si>
  <si>
    <t>2970294</t>
  </si>
  <si>
    <t>50031390</t>
  </si>
  <si>
    <t>2970323</t>
  </si>
  <si>
    <t>50031419</t>
  </si>
  <si>
    <t>2970340</t>
  </si>
  <si>
    <t>50031436</t>
  </si>
  <si>
    <t>2970346</t>
  </si>
  <si>
    <t>50031442</t>
  </si>
  <si>
    <t>2970355</t>
  </si>
  <si>
    <t>50031451</t>
  </si>
  <si>
    <t>SAP GRC Supervisior</t>
  </si>
  <si>
    <t>https://www.goldenline.pl/praca/oferta/1349940/zielonalinia0?utm_brand=goldenline&amp;utm_source=zielonalinia0&amp;gpid=1060452&amp;utm_channel=free&amp;utm_medium=oferta&amp;utm_department=marketing</t>
  </si>
  <si>
    <t>2970363</t>
  </si>
  <si>
    <t>50031459</t>
  </si>
  <si>
    <t>https://www.goldenline.pl/praca/oferta/1350480/zielonalinia0?utm_brand=goldenline&amp;utm_source=zielonalinia0&amp;gpid=1060766&amp;utm_channel=free&amp;utm_medium=oferta&amp;utm_department=marketing</t>
  </si>
  <si>
    <t>2970374</t>
  </si>
  <si>
    <t>50031470</t>
  </si>
  <si>
    <t>2970378</t>
  </si>
  <si>
    <t>50031474</t>
  </si>
  <si>
    <t>2970398</t>
  </si>
  <si>
    <t>50031494</t>
  </si>
  <si>
    <t>https://www.goldenline.pl/praca/oferta/1349344/zielonalinia0?utm_brand=goldenline&amp;utm_source=zielonalinia0&amp;gpid=1059854&amp;utm_channel=free&amp;utm_medium=oferta&amp;utm_department=marketing</t>
  </si>
  <si>
    <t>2970425</t>
  </si>
  <si>
    <t>50031521</t>
  </si>
  <si>
    <t>2970469</t>
  </si>
  <si>
    <t>50031565</t>
  </si>
  <si>
    <t>2970479</t>
  </si>
  <si>
    <t>50031575</t>
  </si>
  <si>
    <t>2970494</t>
  </si>
  <si>
    <t>50031590</t>
  </si>
  <si>
    <t>2970556</t>
  </si>
  <si>
    <t>50031652</t>
  </si>
  <si>
    <t>2970598</t>
  </si>
  <si>
    <t>50031694</t>
  </si>
  <si>
    <t>(IT) Support System Engineer</t>
  </si>
  <si>
    <t>https://www.goldenline.pl/praca/oferta/1351886/zielonalinia0?utm_brand=goldenline&amp;utm_source=zielonalinia0&amp;gpid=1062400&amp;utm_channel=free&amp;utm_medium=oferta&amp;utm_department=marketing</t>
  </si>
  <si>
    <t>2970639</t>
  </si>
  <si>
    <t>50031735</t>
  </si>
  <si>
    <t>2970640</t>
  </si>
  <si>
    <t>50031736</t>
  </si>
  <si>
    <t>2970661</t>
  </si>
  <si>
    <t>50031757</t>
  </si>
  <si>
    <t>React Stack Developer/Architect</t>
  </si>
  <si>
    <t>https://www.goldenline.pl/praca/oferta/1350950/zielonalinia0?utm_brand=goldenline&amp;utm_source=zielonalinia0&amp;gpid=1061464&amp;utm_channel=free&amp;utm_medium=oferta&amp;utm_department=marketing</t>
  </si>
  <si>
    <t>2970665</t>
  </si>
  <si>
    <t>50031761</t>
  </si>
  <si>
    <t>2970675</t>
  </si>
  <si>
    <t>50031771</t>
  </si>
  <si>
    <t>2970690</t>
  </si>
  <si>
    <t>50031786</t>
  </si>
  <si>
    <t>2970789</t>
  </si>
  <si>
    <t>50031885</t>
  </si>
  <si>
    <t>2970804</t>
  </si>
  <si>
    <t>50031900</t>
  </si>
  <si>
    <t>https://www.goldenline.pl/praca/oferta/1349780/zielonalinia0?utm_brand=goldenline&amp;utm_source=zielonalinia0&amp;gpid=1060292&amp;utm_channel=free&amp;utm_medium=oferta&amp;utm_department=marketing</t>
  </si>
  <si>
    <t>2970904</t>
  </si>
  <si>
    <t>50032000</t>
  </si>
  <si>
    <t>https://www.goldenline.pl/praca/oferta/1351082/zielonalinia0?utm_brand=goldenline&amp;utm_source=zielonalinia0&amp;gpid=1061596&amp;utm_channel=free&amp;utm_medium=oferta&amp;utm_department=marketing</t>
  </si>
  <si>
    <t>2970997</t>
  </si>
  <si>
    <t>50032093</t>
  </si>
  <si>
    <t>2971031</t>
  </si>
  <si>
    <t>50032127</t>
  </si>
  <si>
    <t>2971037</t>
  </si>
  <si>
    <t>50032133</t>
  </si>
  <si>
    <t>2971114</t>
  </si>
  <si>
    <t>50032210</t>
  </si>
  <si>
    <t>2971222</t>
  </si>
  <si>
    <t>50032318</t>
  </si>
  <si>
    <t>2971269</t>
  </si>
  <si>
    <t>50032365</t>
  </si>
  <si>
    <t>2971322</t>
  </si>
  <si>
    <t>50032418</t>
  </si>
  <si>
    <t>https://www.goldenline.pl/praca/oferta/1351234/zielonalinia0?utm_brand=goldenline&amp;utm_source=zielonalinia0&amp;gpid=1061748&amp;utm_channel=free&amp;utm_medium=oferta&amp;utm_department=marketing</t>
  </si>
  <si>
    <t>2971333</t>
  </si>
  <si>
    <t>50032429</t>
  </si>
  <si>
    <t>2971380</t>
  </si>
  <si>
    <t>50032476</t>
  </si>
  <si>
    <t>2971386</t>
  </si>
  <si>
    <t>50032482</t>
  </si>
  <si>
    <t>2971431</t>
  </si>
  <si>
    <t>50032527</t>
  </si>
  <si>
    <t>2971450</t>
  </si>
  <si>
    <t>50032546</t>
  </si>
  <si>
    <t>2971544</t>
  </si>
  <si>
    <t>50032640</t>
  </si>
  <si>
    <t>2971549</t>
  </si>
  <si>
    <t>50032645</t>
  </si>
  <si>
    <t>Sprzedawca na stacji paliw - Circle K - Przemyśl</t>
  </si>
  <si>
    <t>https://www.goldenline.pl/praca/oferta/1349584/zielonalinia0?utm_brand=goldenline&amp;utm_source=zielonalinia0&amp;gpid=1060096&amp;utm_channel=free&amp;utm_medium=oferta&amp;utm_department=marketing</t>
  </si>
  <si>
    <t>2971585</t>
  </si>
  <si>
    <t>50032681</t>
  </si>
  <si>
    <t>https://www.goldenline.pl/praca/oferta/1350226/zielonalinia0?utm_brand=goldenline&amp;utm_source=zielonalinia0&amp;gpid=1060740&amp;utm_channel=free&amp;utm_medium=oferta&amp;utm_department=marketing</t>
  </si>
  <si>
    <t>2971597</t>
  </si>
  <si>
    <t>50032693</t>
  </si>
  <si>
    <t>2971624</t>
  </si>
  <si>
    <t>50032720</t>
  </si>
  <si>
    <t>I-III 2023</t>
  </si>
  <si>
    <t>I kw. 23</t>
  </si>
  <si>
    <t>I 2023</t>
  </si>
  <si>
    <t>c</t>
  </si>
  <si>
    <t>2 powiaty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</si>
</sst>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 ;[Red]\-#,##0\ "/>
  </numFmts>
  <fonts count="29" x14ac:knownFonts="1">
    <font>
      <sz val="11"/>
      <color theme="1"/>
      <name val="Calibri"/>
      <family val="2"/>
      <charset val="238"/>
      <scheme val="minor"/>
    </font>
    <font>
      <b/>
      <sz val="11"/>
      <color theme="1"/>
      <name val="Times New Roman"/>
      <family val="1"/>
      <charset val="238"/>
    </font>
    <font>
      <sz val="11"/>
      <color theme="1"/>
      <name val="Times New Roman"/>
      <family val="1"/>
      <charset val="238"/>
    </font>
    <font>
      <b/>
      <sz val="11"/>
      <color theme="1"/>
      <name val="Calibri"/>
      <family val="2"/>
      <charset val="238"/>
      <scheme val="minor"/>
    </font>
    <font>
      <b/>
      <sz val="11"/>
      <color rgb="FFFF0000"/>
      <name val="Times New Roman"/>
      <family val="1"/>
      <charset val="238"/>
    </font>
    <font>
      <sz val="11"/>
      <color rgb="FFFF0000"/>
      <name val="Calibri"/>
      <family val="2"/>
      <charset val="238"/>
      <scheme val="minor"/>
    </font>
    <font>
      <sz val="11"/>
      <color rgb="FFFF0000"/>
      <name val="Times New Roman"/>
      <family val="1"/>
      <charset val="238"/>
    </font>
    <font>
      <sz val="11"/>
      <color rgb="FF00B0F0"/>
      <name val="Times New Roman"/>
      <family val="1"/>
      <charset val="238"/>
    </font>
    <font>
      <sz val="11"/>
      <color theme="0"/>
      <name val="Times New Roman"/>
      <family val="1"/>
      <charset val="238"/>
    </font>
    <font>
      <sz val="11"/>
      <name val="Calibri"/>
      <family val="2"/>
      <charset val="238"/>
      <scheme val="minor"/>
    </font>
    <font>
      <sz val="14"/>
      <color theme="1"/>
      <name val="Times New Roman"/>
      <family val="1"/>
      <charset val="238"/>
    </font>
    <font>
      <b/>
      <sz val="11"/>
      <color rgb="FFFF0000"/>
      <name val="Calibri"/>
      <family val="2"/>
      <charset val="238"/>
      <scheme val="minor"/>
    </font>
    <font>
      <sz val="11"/>
      <color theme="1"/>
      <name val="Arial"/>
      <family val="2"/>
      <charset val="238"/>
    </font>
    <font>
      <sz val="11"/>
      <color rgb="FFFF0000"/>
      <name val="Arial"/>
      <family val="2"/>
      <charset val="238"/>
    </font>
    <font>
      <b/>
      <sz val="11"/>
      <color theme="1"/>
      <name val="Arial"/>
      <family val="2"/>
      <charset val="238"/>
    </font>
    <font>
      <sz val="9"/>
      <color theme="1"/>
      <name val="Arial"/>
      <family val="2"/>
      <charset val="238"/>
    </font>
    <font>
      <sz val="11"/>
      <color theme="3" tint="0.39997558519241921"/>
      <name val="Times New Roman"/>
      <family val="1"/>
      <charset val="238"/>
    </font>
    <font>
      <b/>
      <sz val="11"/>
      <color theme="3" tint="0.39997558519241921"/>
      <name val="Times New Roman"/>
      <family val="1"/>
      <charset val="238"/>
    </font>
    <font>
      <b/>
      <sz val="11"/>
      <color theme="0"/>
      <name val="Times New Roman"/>
      <family val="1"/>
      <charset val="238"/>
    </font>
    <font>
      <b/>
      <sz val="10"/>
      <name val="Arial"/>
      <family val="2"/>
      <charset val="238"/>
    </font>
    <font>
      <sz val="10"/>
      <name val="Arial"/>
      <family val="2"/>
      <charset val="238"/>
    </font>
    <font>
      <sz val="10"/>
      <color theme="1"/>
      <name val="Arial"/>
      <family val="2"/>
      <charset val="238"/>
    </font>
    <font>
      <b/>
      <sz val="10"/>
      <color theme="1"/>
      <name val="Arial"/>
      <family val="2"/>
      <charset val="238"/>
    </font>
    <font>
      <sz val="11"/>
      <color rgb="FFC00000"/>
      <name val="Calibri"/>
      <family val="2"/>
      <charset val="238"/>
      <scheme val="minor"/>
    </font>
    <font>
      <sz val="11"/>
      <color rgb="FF0000FF"/>
      <name val="Calibri"/>
      <family val="2"/>
      <charset val="238"/>
      <scheme val="minor"/>
    </font>
    <font>
      <b/>
      <sz val="10"/>
      <name val="Arial"/>
      <family val="2"/>
      <charset val="238"/>
    </font>
    <font>
      <sz val="8"/>
      <color theme="1"/>
      <name val="Arial"/>
      <family val="2"/>
      <charset val="238"/>
    </font>
    <font>
      <sz val="11"/>
      <color rgb="FF0000FF"/>
      <name val="Times New Roman"/>
      <family val="1"/>
      <charset val="238"/>
    </font>
    <font>
      <sz val="9"/>
      <color rgb="FF0000FF"/>
      <name val="Arial"/>
      <family val="2"/>
      <charset val="238"/>
    </font>
  </fonts>
  <fills count="58">
    <fill>
      <patternFill patternType="none"/>
    </fill>
    <fill>
      <patternFill patternType="gray125"/>
    </fill>
    <fill>
      <patternFill patternType="solid">
        <fgColor theme="0"/>
        <bgColor indexed="64"/>
      </patternFill>
    </fill>
    <fill>
      <patternFill patternType="solid">
        <fgColor rgb="FF33CC33"/>
        <bgColor indexed="64"/>
      </patternFill>
    </fill>
    <fill>
      <patternFill patternType="solid">
        <fgColor rgb="FF99FFCC"/>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tint="-4.9989318521683403E-2"/>
        <bgColor indexed="64"/>
      </patternFill>
    </fill>
    <fill>
      <patternFill patternType="solid">
        <fgColor rgb="FFFFC9E4"/>
        <bgColor indexed="64"/>
      </patternFill>
    </fill>
    <fill>
      <patternFill patternType="solid">
        <fgColor rgb="FFF6E7DC"/>
        <bgColor indexed="64"/>
      </patternFill>
    </fill>
    <fill>
      <patternFill patternType="solid">
        <fgColor rgb="FFB2DEF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rgb="FFFF3399"/>
        <bgColor indexed="64"/>
      </patternFill>
    </fill>
    <fill>
      <patternFill patternType="solid">
        <fgColor rgb="FFFF89C4"/>
        <bgColor indexed="64"/>
      </patternFill>
    </fill>
    <fill>
      <patternFill patternType="solid">
        <fgColor rgb="FF66FF33"/>
        <bgColor indexed="64"/>
      </patternFill>
    </fill>
    <fill>
      <patternFill patternType="solid">
        <fgColor rgb="FFEFECF4"/>
        <bgColor indexed="64"/>
      </patternFill>
    </fill>
    <fill>
      <patternFill patternType="solid">
        <fgColor theme="6" tint="0.59999389629810485"/>
        <bgColor indexed="64"/>
      </patternFill>
    </fill>
    <fill>
      <patternFill patternType="solid">
        <fgColor rgb="FFEDEAF2"/>
        <bgColor indexed="64"/>
      </patternFill>
    </fill>
    <fill>
      <patternFill patternType="solid">
        <fgColor rgb="FFE1E1FF"/>
        <bgColor indexed="64"/>
      </patternFill>
    </fill>
    <fill>
      <patternFill patternType="solid">
        <fgColor rgb="FFF1EFF5"/>
        <bgColor indexed="64"/>
      </patternFill>
    </fill>
    <fill>
      <patternFill patternType="solid">
        <fgColor rgb="FFCCECFF"/>
        <bgColor indexed="64"/>
      </patternFill>
    </fill>
    <fill>
      <patternFill patternType="solid">
        <fgColor rgb="FFFFFFD5"/>
        <bgColor indexed="64"/>
      </patternFill>
    </fill>
    <fill>
      <patternFill patternType="solid">
        <fgColor rgb="FFC1C1FF"/>
        <bgColor indexed="64"/>
      </patternFill>
    </fill>
    <fill>
      <patternFill patternType="solid">
        <fgColor rgb="FFACE6FA"/>
        <bgColor indexed="64"/>
      </patternFill>
    </fill>
    <fill>
      <patternFill patternType="solid">
        <fgColor rgb="FFFFCCFF"/>
        <bgColor indexed="64"/>
      </patternFill>
    </fill>
    <fill>
      <patternFill patternType="solid">
        <fgColor rgb="FF00CC99"/>
        <bgColor indexed="64"/>
      </patternFill>
    </fill>
    <fill>
      <patternFill patternType="solid">
        <fgColor rgb="FFFF0000"/>
        <bgColor indexed="64"/>
      </patternFill>
    </fill>
    <fill>
      <patternFill patternType="solid">
        <fgColor rgb="FFFFE5F2"/>
        <bgColor indexed="64"/>
      </patternFill>
    </fill>
    <fill>
      <patternFill patternType="solid">
        <fgColor rgb="FFCCFFCC"/>
        <bgColor indexed="64"/>
      </patternFill>
    </fill>
    <fill>
      <patternFill patternType="solid">
        <fgColor rgb="FFC00000"/>
        <bgColor indexed="64"/>
      </patternFill>
    </fill>
    <fill>
      <patternFill patternType="solid">
        <fgColor rgb="FFCCCCFF"/>
        <bgColor indexed="64"/>
      </patternFill>
    </fill>
    <fill>
      <patternFill patternType="solid">
        <fgColor rgb="FFDDF2FF"/>
        <bgColor indexed="64"/>
      </patternFill>
    </fill>
    <fill>
      <patternFill patternType="solid">
        <fgColor rgb="FFCDFFE6"/>
        <bgColor indexed="64"/>
      </patternFill>
    </fill>
    <fill>
      <patternFill patternType="solid">
        <fgColor rgb="FFDBD3E5"/>
        <bgColor indexed="64"/>
      </patternFill>
    </fill>
    <fill>
      <patternFill patternType="solid">
        <fgColor rgb="FFD4ECFC"/>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7FEB4"/>
        <bgColor indexed="64"/>
      </patternFill>
    </fill>
    <fill>
      <patternFill patternType="solid">
        <fgColor rgb="FFFFD700"/>
        <bgColor indexed="64"/>
      </patternFill>
    </fill>
    <fill>
      <patternFill patternType="solid">
        <fgColor rgb="FFFFF6C9"/>
        <bgColor indexed="64"/>
      </patternFill>
    </fill>
    <fill>
      <patternFill patternType="solid">
        <fgColor rgb="FFFFE24F"/>
        <bgColor indexed="64"/>
      </patternFill>
    </fill>
    <fill>
      <patternFill patternType="solid">
        <fgColor rgb="FFFFE9C9"/>
        <bgColor indexed="64"/>
      </patternFill>
    </fill>
    <fill>
      <patternFill patternType="solid">
        <fgColor rgb="FFFFABD5"/>
        <bgColor indexed="64"/>
      </patternFill>
    </fill>
    <fill>
      <patternFill patternType="solid">
        <fgColor rgb="FFFF79BC"/>
        <bgColor indexed="64"/>
      </patternFill>
    </fill>
    <fill>
      <patternFill patternType="solid">
        <fgColor rgb="FFB6CCFC"/>
        <bgColor indexed="64"/>
      </patternFill>
    </fill>
    <fill>
      <patternFill patternType="solid">
        <fgColor rgb="FFD1F6FF"/>
        <bgColor indexed="64"/>
      </patternFill>
    </fill>
    <fill>
      <patternFill patternType="solid">
        <fgColor rgb="FFFFFBE5"/>
        <bgColor indexed="64"/>
      </patternFill>
    </fill>
    <fill>
      <patternFill patternType="solid">
        <fgColor rgb="FFFFFFCC"/>
        <bgColor indexed="64"/>
      </patternFill>
    </fill>
    <fill>
      <patternFill patternType="solid">
        <fgColor rgb="FF2EC8A0"/>
        <bgColor indexed="64"/>
      </patternFill>
    </fill>
    <fill>
      <patternFill patternType="solid">
        <fgColor rgb="FFCDF3E9"/>
        <bgColor indexed="64"/>
      </patternFill>
    </fill>
    <fill>
      <patternFill patternType="solid">
        <fgColor rgb="FFD7E3FD"/>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8"/>
      </top>
      <bottom style="thin">
        <color indexed="8"/>
      </bottom>
      <diagonal/>
    </border>
    <border>
      <left/>
      <right/>
      <top style="double">
        <color indexed="8"/>
      </top>
      <bottom/>
      <diagonal/>
    </border>
  </borders>
  <cellStyleXfs count="1">
    <xf numFmtId="0" fontId="0" fillId="0" borderId="0"/>
  </cellStyleXfs>
  <cellXfs count="653">
    <xf numFmtId="0" fontId="0" fillId="0" borderId="0" xfId="0"/>
    <xf numFmtId="0" fontId="1" fillId="2" borderId="0" xfId="0" applyFont="1" applyFill="1"/>
    <xf numFmtId="0" fontId="2" fillId="2" borderId="0" xfId="0" applyFont="1" applyFill="1" applyAlignment="1">
      <alignment horizontal="center" vertical="center"/>
    </xf>
    <xf numFmtId="0" fontId="2" fillId="2" borderId="0" xfId="0" applyFont="1" applyFill="1"/>
    <xf numFmtId="0" fontId="1" fillId="2" borderId="1" xfId="0" applyFont="1" applyFill="1" applyBorder="1"/>
    <xf numFmtId="0" fontId="1" fillId="2" borderId="1" xfId="0" applyFont="1" applyFill="1" applyBorder="1" applyAlignment="1">
      <alignment horizontal="center" vertical="center"/>
    </xf>
    <xf numFmtId="0" fontId="1" fillId="3" borderId="1" xfId="0" applyFont="1" applyFill="1" applyBorder="1"/>
    <xf numFmtId="0" fontId="1" fillId="3" borderId="1" xfId="0" applyFont="1" applyFill="1" applyBorder="1" applyAlignment="1">
      <alignment horizontal="center" vertical="center"/>
    </xf>
    <xf numFmtId="0" fontId="1" fillId="4" borderId="1" xfId="0" applyFont="1" applyFill="1" applyBorder="1"/>
    <xf numFmtId="0" fontId="1" fillId="4" borderId="1" xfId="0" applyFont="1" applyFill="1" applyBorder="1" applyAlignment="1">
      <alignment horizontal="center" vertical="center"/>
    </xf>
    <xf numFmtId="0" fontId="1" fillId="2" borderId="0" xfId="0" applyFont="1" applyFill="1" applyAlignment="1">
      <alignment horizontal="center" vertical="center"/>
    </xf>
    <xf numFmtId="0" fontId="2" fillId="2" borderId="1" xfId="0" applyFont="1" applyFill="1" applyBorder="1"/>
    <xf numFmtId="0" fontId="2" fillId="2" borderId="1" xfId="0" applyFont="1" applyFill="1" applyBorder="1" applyAlignment="1">
      <alignment horizontal="center" vertical="center"/>
    </xf>
    <xf numFmtId="0" fontId="1" fillId="5" borderId="1" xfId="0" applyFont="1" applyFill="1" applyBorder="1"/>
    <xf numFmtId="0" fontId="0" fillId="5" borderId="1" xfId="0" applyFill="1" applyBorder="1"/>
    <xf numFmtId="0" fontId="2" fillId="0" borderId="0" xfId="0" applyFont="1"/>
    <xf numFmtId="0" fontId="2" fillId="5" borderId="1" xfId="0" applyFont="1" applyFill="1" applyBorder="1" applyAlignment="1">
      <alignment horizontal="center" vertical="center"/>
    </xf>
    <xf numFmtId="0" fontId="2" fillId="2" borderId="1" xfId="0" applyFont="1" applyFill="1" applyBorder="1" applyAlignment="1">
      <alignment horizontal="left" vertical="center"/>
    </xf>
    <xf numFmtId="0" fontId="2" fillId="2" borderId="0" xfId="0" applyFont="1" applyFill="1" applyBorder="1" applyAlignment="1">
      <alignment horizontal="center" vertical="center"/>
    </xf>
    <xf numFmtId="0" fontId="1" fillId="2" borderId="0" xfId="0" applyFont="1" applyFill="1" applyBorder="1"/>
    <xf numFmtId="0" fontId="2" fillId="2" borderId="0" xfId="0" applyFont="1" applyFill="1" applyBorder="1"/>
    <xf numFmtId="0" fontId="1" fillId="6" borderId="1" xfId="0" applyFont="1" applyFill="1" applyBorder="1"/>
    <xf numFmtId="0" fontId="1" fillId="6" borderId="1" xfId="0" applyFont="1" applyFill="1" applyBorder="1" applyAlignment="1">
      <alignment horizontal="center" vertical="center"/>
    </xf>
    <xf numFmtId="0" fontId="0" fillId="0" borderId="1" xfId="0" applyBorder="1"/>
    <xf numFmtId="0" fontId="0" fillId="7" borderId="0" xfId="0" applyFill="1"/>
    <xf numFmtId="0" fontId="0" fillId="5" borderId="0" xfId="0" applyFill="1"/>
    <xf numFmtId="0" fontId="2" fillId="2" borderId="1" xfId="0" applyFont="1" applyFill="1" applyBorder="1" applyAlignment="1">
      <alignment horizontal="center"/>
    </xf>
    <xf numFmtId="0" fontId="0" fillId="5" borderId="0" xfId="0" applyFill="1" applyAlignment="1">
      <alignment horizontal="center" vertical="center"/>
    </xf>
    <xf numFmtId="0" fontId="0" fillId="0" borderId="0" xfId="0" applyAlignment="1">
      <alignment horizontal="center" vertical="center"/>
    </xf>
    <xf numFmtId="0" fontId="0" fillId="7" borderId="0" xfId="0" applyFill="1" applyAlignment="1">
      <alignment horizontal="center" vertical="center"/>
    </xf>
    <xf numFmtId="0" fontId="0" fillId="0" borderId="1" xfId="0" applyBorder="1" applyAlignment="1">
      <alignment horizontal="center" vertical="center"/>
    </xf>
    <xf numFmtId="0" fontId="0" fillId="0" borderId="4" xfId="0" applyBorder="1"/>
    <xf numFmtId="0" fontId="0" fillId="0" borderId="4" xfId="0" applyBorder="1" applyAlignment="1">
      <alignment horizontal="center" vertical="center"/>
    </xf>
    <xf numFmtId="0" fontId="3" fillId="0" borderId="2" xfId="0" applyFont="1" applyBorder="1"/>
    <xf numFmtId="0" fontId="3" fillId="0" borderId="3" xfId="0" applyFont="1" applyBorder="1" applyAlignment="1">
      <alignment horizontal="center" vertical="center"/>
    </xf>
    <xf numFmtId="0" fontId="0" fillId="0" borderId="1" xfId="0" applyBorder="1" applyAlignment="1">
      <alignment horizontal="left" vertical="center"/>
    </xf>
    <xf numFmtId="0" fontId="2" fillId="7" borderId="0" xfId="0" applyFont="1" applyFill="1" applyAlignment="1">
      <alignment horizontal="center" vertical="center"/>
    </xf>
    <xf numFmtId="0" fontId="2" fillId="2" borderId="0" xfId="0" applyFont="1" applyFill="1" applyAlignment="1">
      <alignment horizontal="left" vertical="center"/>
    </xf>
    <xf numFmtId="0" fontId="1" fillId="5" borderId="0" xfId="0" applyFont="1" applyFill="1"/>
    <xf numFmtId="0" fontId="1" fillId="5" borderId="0" xfId="0" applyFont="1" applyFill="1" applyAlignment="1">
      <alignment horizontal="center" vertical="center"/>
    </xf>
    <xf numFmtId="0" fontId="1" fillId="7" borderId="0" xfId="0" applyFont="1" applyFill="1" applyAlignment="1">
      <alignment horizontal="center" vertical="center"/>
    </xf>
    <xf numFmtId="0" fontId="1" fillId="5" borderId="0" xfId="0" applyFont="1" applyFill="1" applyAlignment="1">
      <alignment horizontal="left" vertical="center"/>
    </xf>
    <xf numFmtId="0" fontId="1" fillId="8" borderId="0" xfId="0" applyFont="1" applyFill="1"/>
    <xf numFmtId="0" fontId="1" fillId="8" borderId="0" xfId="0" applyFont="1" applyFill="1" applyAlignment="1">
      <alignment horizontal="center" vertical="center"/>
    </xf>
    <xf numFmtId="0" fontId="1" fillId="8" borderId="0" xfId="0" applyFont="1" applyFill="1" applyAlignment="1">
      <alignment horizontal="left" vertical="center"/>
    </xf>
    <xf numFmtId="0" fontId="2" fillId="5" borderId="0" xfId="0" applyFont="1" applyFill="1"/>
    <xf numFmtId="0" fontId="2" fillId="0" borderId="0" xfId="0" applyFont="1" applyAlignment="1">
      <alignment horizontal="center" vertical="center"/>
    </xf>
    <xf numFmtId="0" fontId="2" fillId="0" borderId="0" xfId="0" applyFont="1" applyAlignment="1">
      <alignment horizontal="left" vertical="center"/>
    </xf>
    <xf numFmtId="0" fontId="2" fillId="7" borderId="0" xfId="0" applyFont="1" applyFill="1"/>
    <xf numFmtId="0" fontId="2" fillId="6" borderId="0" xfId="0" applyFont="1" applyFill="1"/>
    <xf numFmtId="0" fontId="2" fillId="8" borderId="0" xfId="0" applyFont="1" applyFill="1"/>
    <xf numFmtId="0" fontId="2" fillId="8" borderId="0" xfId="0" applyFont="1" applyFill="1" applyAlignment="1">
      <alignment horizontal="center" vertical="center"/>
    </xf>
    <xf numFmtId="0" fontId="2" fillId="8" borderId="0" xfId="0" applyFont="1" applyFill="1" applyAlignment="1">
      <alignment horizontal="left" vertical="center"/>
    </xf>
    <xf numFmtId="0" fontId="4" fillId="8" borderId="0" xfId="0" applyFont="1" applyFill="1"/>
    <xf numFmtId="0" fontId="4" fillId="8" borderId="0" xfId="0" applyFont="1" applyFill="1" applyAlignment="1">
      <alignment horizontal="center" vertical="center"/>
    </xf>
    <xf numFmtId="0" fontId="4" fillId="8" borderId="0" xfId="0" applyFont="1" applyFill="1" applyAlignment="1">
      <alignment horizontal="left" vertical="center"/>
    </xf>
    <xf numFmtId="0" fontId="4" fillId="0" borderId="0" xfId="0" applyFont="1"/>
    <xf numFmtId="0" fontId="0" fillId="9" borderId="1" xfId="0" applyFill="1" applyBorder="1"/>
    <xf numFmtId="0" fontId="0" fillId="10" borderId="1" xfId="0" applyFill="1" applyBorder="1"/>
    <xf numFmtId="0" fontId="0" fillId="9" borderId="0" xfId="0" applyFill="1"/>
    <xf numFmtId="0" fontId="0" fillId="7" borderId="1" xfId="0" applyFill="1" applyBorder="1"/>
    <xf numFmtId="0" fontId="0" fillId="10" borderId="0" xfId="0" applyFill="1"/>
    <xf numFmtId="0" fontId="0" fillId="5" borderId="1" xfId="0" applyFill="1" applyBorder="1" applyAlignment="1">
      <alignment horizontal="center" vertical="center"/>
    </xf>
    <xf numFmtId="0" fontId="2" fillId="5" borderId="1" xfId="0" applyFont="1" applyFill="1" applyBorder="1" applyAlignment="1">
      <alignment horizontal="center" vertical="center" wrapText="1"/>
    </xf>
    <xf numFmtId="0" fontId="5" fillId="0" borderId="1" xfId="0" applyFont="1" applyBorder="1"/>
    <xf numFmtId="0" fontId="1" fillId="0" borderId="0" xfId="0" applyFont="1" applyAlignment="1">
      <alignment horizontal="center" vertical="center"/>
    </xf>
    <xf numFmtId="0" fontId="6" fillId="5" borderId="0" xfId="0" applyFont="1" applyFill="1"/>
    <xf numFmtId="0" fontId="6" fillId="0" borderId="0" xfId="0" applyFont="1"/>
    <xf numFmtId="0" fontId="6" fillId="2" borderId="0" xfId="0" applyFont="1" applyFill="1"/>
    <xf numFmtId="0" fontId="6" fillId="0" borderId="0" xfId="0" applyFont="1" applyAlignment="1">
      <alignment horizontal="center" vertical="center"/>
    </xf>
    <xf numFmtId="0" fontId="2" fillId="0" borderId="1" xfId="0" applyFont="1" applyBorder="1" applyAlignment="1">
      <alignment horizontal="left" vertical="center"/>
    </xf>
    <xf numFmtId="0" fontId="3" fillId="0" borderId="1" xfId="0" applyFont="1" applyBorder="1"/>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4" fillId="0" borderId="0" xfId="0" applyFont="1" applyAlignment="1">
      <alignment horizontal="center" vertical="center"/>
    </xf>
    <xf numFmtId="0" fontId="5" fillId="0" borderId="0" xfId="0" applyFont="1"/>
    <xf numFmtId="0" fontId="5" fillId="0" borderId="0" xfId="0" applyFont="1" applyAlignment="1">
      <alignment horizontal="center" vertical="center"/>
    </xf>
    <xf numFmtId="0" fontId="0" fillId="7" borderId="1" xfId="0" applyFill="1" applyBorder="1" applyAlignment="1">
      <alignment horizontal="center" vertical="center"/>
    </xf>
    <xf numFmtId="0" fontId="0" fillId="5" borderId="0" xfId="0" applyFont="1" applyFill="1"/>
    <xf numFmtId="0" fontId="0" fillId="0" borderId="1" xfId="0" applyFont="1" applyBorder="1"/>
    <xf numFmtId="0" fontId="0" fillId="2" borderId="1" xfId="0" applyFont="1" applyFill="1" applyBorder="1"/>
    <xf numFmtId="0" fontId="0" fillId="7" borderId="1" xfId="0" applyFont="1" applyFill="1" applyBorder="1"/>
    <xf numFmtId="0" fontId="0" fillId="5" borderId="1" xfId="0" applyFont="1" applyFill="1" applyBorder="1"/>
    <xf numFmtId="0" fontId="0" fillId="0" borderId="0" xfId="0" applyFont="1"/>
    <xf numFmtId="0" fontId="5" fillId="0" borderId="1" xfId="0" applyFont="1" applyBorder="1" applyAlignment="1">
      <alignment horizontal="center" vertical="center"/>
    </xf>
    <xf numFmtId="0" fontId="5" fillId="5" borderId="1" xfId="0" applyFont="1" applyFill="1" applyBorder="1"/>
    <xf numFmtId="0" fontId="5" fillId="5" borderId="1" xfId="0" applyFont="1" applyFill="1" applyBorder="1" applyAlignment="1">
      <alignment horizontal="center" vertical="center"/>
    </xf>
    <xf numFmtId="49" fontId="0" fillId="0" borderId="1" xfId="0" applyNumberFormat="1" applyBorder="1"/>
    <xf numFmtId="0" fontId="1" fillId="2" borderId="5" xfId="0" applyFont="1" applyFill="1" applyBorder="1"/>
    <xf numFmtId="0" fontId="2" fillId="2" borderId="0" xfId="0" applyFont="1" applyFill="1" applyBorder="1" applyAlignment="1">
      <alignment horizontal="left" vertical="center"/>
    </xf>
    <xf numFmtId="0" fontId="2" fillId="2" borderId="7" xfId="0" applyFont="1" applyFill="1" applyBorder="1" applyAlignment="1">
      <alignment horizontal="center" vertical="center"/>
    </xf>
    <xf numFmtId="0" fontId="2" fillId="11" borderId="1" xfId="0" applyFont="1" applyFill="1" applyBorder="1" applyAlignment="1">
      <alignment horizontal="center" vertical="center"/>
    </xf>
    <xf numFmtId="0" fontId="2" fillId="2" borderId="9" xfId="0" applyFont="1" applyFill="1" applyBorder="1"/>
    <xf numFmtId="0" fontId="1" fillId="2" borderId="9" xfId="0" applyFont="1" applyFill="1" applyBorder="1"/>
    <xf numFmtId="0" fontId="1" fillId="2" borderId="10" xfId="0" applyFont="1" applyFill="1" applyBorder="1"/>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12" borderId="1" xfId="0" applyFont="1" applyFill="1" applyBorder="1" applyAlignment="1">
      <alignment horizontal="center" vertical="center"/>
    </xf>
    <xf numFmtId="0" fontId="1" fillId="11" borderId="1" xfId="0" applyFont="1" applyFill="1" applyBorder="1"/>
    <xf numFmtId="0" fontId="1" fillId="11" borderId="1" xfId="0" applyFont="1" applyFill="1" applyBorder="1" applyAlignment="1">
      <alignment horizontal="center" vertical="center"/>
    </xf>
    <xf numFmtId="0" fontId="1" fillId="2" borderId="8" xfId="0" applyFont="1" applyFill="1" applyBorder="1"/>
    <xf numFmtId="0" fontId="1" fillId="12" borderId="1" xfId="0" applyFont="1" applyFill="1" applyBorder="1"/>
    <xf numFmtId="0" fontId="1" fillId="12" borderId="1" xfId="0" applyFont="1" applyFill="1" applyBorder="1" applyAlignment="1">
      <alignment horizontal="center" vertical="center"/>
    </xf>
    <xf numFmtId="0" fontId="2" fillId="7" borderId="1" xfId="0" applyFont="1" applyFill="1" applyBorder="1"/>
    <xf numFmtId="0" fontId="2" fillId="5" borderId="1" xfId="0" quotePrefix="1" applyFont="1" applyFill="1" applyBorder="1" applyAlignment="1">
      <alignment horizontal="center" vertical="center"/>
    </xf>
    <xf numFmtId="0" fontId="2" fillId="7" borderId="1" xfId="0" applyFont="1" applyFill="1" applyBorder="1" applyAlignment="1">
      <alignment horizontal="center"/>
    </xf>
    <xf numFmtId="0" fontId="2" fillId="7" borderId="1" xfId="0" applyFont="1" applyFill="1" applyBorder="1" applyAlignment="1">
      <alignment horizontal="left" vertical="center"/>
    </xf>
    <xf numFmtId="0" fontId="2" fillId="7" borderId="1" xfId="0" applyFont="1" applyFill="1" applyBorder="1" applyAlignment="1">
      <alignment horizontal="center" vertical="center"/>
    </xf>
    <xf numFmtId="0" fontId="2" fillId="13" borderId="1" xfId="0" applyFont="1" applyFill="1" applyBorder="1" applyAlignment="1">
      <alignment horizontal="left" vertical="center"/>
    </xf>
    <xf numFmtId="0" fontId="2" fillId="13" borderId="1" xfId="0" applyFont="1" applyFill="1" applyBorder="1"/>
    <xf numFmtId="0" fontId="2" fillId="14" borderId="4" xfId="0" applyFont="1" applyFill="1" applyBorder="1" applyAlignment="1">
      <alignment horizontal="left" vertical="center"/>
    </xf>
    <xf numFmtId="0" fontId="2" fillId="14" borderId="4" xfId="0" applyFont="1" applyFill="1" applyBorder="1"/>
    <xf numFmtId="0" fontId="2" fillId="15"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5" borderId="1" xfId="0" applyFont="1" applyFill="1" applyBorder="1"/>
    <xf numFmtId="0" fontId="2" fillId="14"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6" xfId="0" applyFont="1" applyFill="1" applyBorder="1" applyAlignment="1">
      <alignment horizontal="left" vertical="center"/>
    </xf>
    <xf numFmtId="0" fontId="6" fillId="13" borderId="1" xfId="0" applyFont="1" applyFill="1" applyBorder="1" applyAlignment="1">
      <alignment horizontal="left" vertical="center"/>
    </xf>
    <xf numFmtId="0" fontId="6" fillId="7" borderId="1" xfId="0" applyFont="1" applyFill="1" applyBorder="1" applyAlignment="1">
      <alignment horizontal="left" vertical="center"/>
    </xf>
    <xf numFmtId="0" fontId="6" fillId="16" borderId="1" xfId="0" applyFont="1" applyFill="1" applyBorder="1" applyAlignment="1">
      <alignment horizontal="left" vertical="center"/>
    </xf>
    <xf numFmtId="0" fontId="2" fillId="17" borderId="1" xfId="0" applyFont="1" applyFill="1" applyBorder="1" applyAlignment="1">
      <alignment horizontal="left" vertical="center"/>
    </xf>
    <xf numFmtId="0" fontId="2" fillId="13" borderId="6" xfId="0" applyFont="1" applyFill="1" applyBorder="1" applyAlignment="1">
      <alignment horizontal="left" vertical="center"/>
    </xf>
    <xf numFmtId="0" fontId="7" fillId="17" borderId="6" xfId="0" applyFont="1" applyFill="1" applyBorder="1" applyAlignment="1">
      <alignment horizontal="left" vertical="center"/>
    </xf>
    <xf numFmtId="0" fontId="7" fillId="17" borderId="1" xfId="0" applyFont="1" applyFill="1" applyBorder="1" applyAlignment="1">
      <alignment horizontal="left" vertical="center"/>
    </xf>
    <xf numFmtId="0" fontId="6" fillId="17" borderId="1" xfId="0" applyFont="1" applyFill="1" applyBorder="1" applyAlignment="1">
      <alignment horizontal="left" vertical="center"/>
    </xf>
    <xf numFmtId="0" fontId="2" fillId="17" borderId="6" xfId="0" applyFont="1" applyFill="1" applyBorder="1" applyAlignment="1">
      <alignment horizontal="left" vertical="center"/>
    </xf>
    <xf numFmtId="0" fontId="8" fillId="18" borderId="1" xfId="0" applyFont="1" applyFill="1" applyBorder="1" applyAlignment="1">
      <alignment horizontal="left" vertical="center"/>
    </xf>
    <xf numFmtId="0" fontId="8" fillId="18" borderId="6" xfId="0" applyFont="1" applyFill="1" applyBorder="1" applyAlignment="1">
      <alignment horizontal="left" vertical="center"/>
    </xf>
    <xf numFmtId="0" fontId="8" fillId="19" borderId="6" xfId="0" applyFont="1" applyFill="1" applyBorder="1" applyAlignment="1">
      <alignment horizontal="left" vertical="center"/>
    </xf>
    <xf numFmtId="0" fontId="8" fillId="19" borderId="1" xfId="0" applyFont="1" applyFill="1" applyBorder="1" applyAlignment="1">
      <alignment horizontal="left" vertical="center"/>
    </xf>
    <xf numFmtId="0" fontId="8" fillId="20" borderId="1" xfId="0" applyFont="1" applyFill="1" applyBorder="1" applyAlignment="1">
      <alignment horizontal="left" vertical="center"/>
    </xf>
    <xf numFmtId="0" fontId="8" fillId="20" borderId="6" xfId="0" applyFont="1" applyFill="1" applyBorder="1" applyAlignment="1">
      <alignment horizontal="left" vertical="center"/>
    </xf>
    <xf numFmtId="0" fontId="6" fillId="21" borderId="6" xfId="0" applyFont="1" applyFill="1" applyBorder="1" applyAlignment="1">
      <alignment horizontal="left" vertical="center"/>
    </xf>
    <xf numFmtId="0" fontId="6" fillId="21" borderId="1" xfId="0" applyFont="1" applyFill="1" applyBorder="1" applyAlignment="1">
      <alignment horizontal="left" vertical="center"/>
    </xf>
    <xf numFmtId="0" fontId="2" fillId="2" borderId="0" xfId="0" applyFont="1" applyFill="1" applyBorder="1" applyAlignment="1">
      <alignment horizontal="center"/>
    </xf>
    <xf numFmtId="0" fontId="2" fillId="5" borderId="4" xfId="0" applyFont="1" applyFill="1" applyBorder="1" applyAlignment="1">
      <alignment horizontal="center" vertical="center"/>
    </xf>
    <xf numFmtId="0" fontId="5" fillId="7" borderId="0" xfId="0" applyFont="1" applyFill="1"/>
    <xf numFmtId="0" fontId="0" fillId="0" borderId="0" xfId="0" applyAlignment="1">
      <alignment horizontal="left" vertical="center"/>
    </xf>
    <xf numFmtId="0" fontId="0" fillId="2" borderId="1" xfId="0" applyFill="1" applyBorder="1" applyAlignment="1">
      <alignment horizontal="center" vertical="center"/>
    </xf>
    <xf numFmtId="0" fontId="2" fillId="2" borderId="7" xfId="0" applyFont="1" applyFill="1" applyBorder="1" applyAlignment="1">
      <alignment horizontal="left" vertical="center"/>
    </xf>
    <xf numFmtId="0" fontId="2" fillId="2" borderId="7" xfId="0" applyFont="1" applyFill="1" applyBorder="1" applyAlignment="1">
      <alignment horizontal="center"/>
    </xf>
    <xf numFmtId="0" fontId="2" fillId="2" borderId="7" xfId="0" applyFont="1" applyFill="1" applyBorder="1"/>
    <xf numFmtId="2" fontId="0" fillId="0" borderId="0" xfId="0" applyNumberFormat="1"/>
    <xf numFmtId="2" fontId="0" fillId="0" borderId="1" xfId="0" applyNumberFormat="1" applyBorder="1" applyAlignment="1">
      <alignment horizontal="left" vertical="center"/>
    </xf>
    <xf numFmtId="1" fontId="0" fillId="0" borderId="1" xfId="0" applyNumberFormat="1" applyBorder="1" applyAlignment="1">
      <alignment horizontal="center" vertical="center"/>
    </xf>
    <xf numFmtId="1" fontId="2" fillId="5" borderId="1" xfId="0" applyNumberFormat="1" applyFont="1" applyFill="1" applyBorder="1" applyAlignment="1">
      <alignment horizontal="center" vertical="center"/>
    </xf>
    <xf numFmtId="1" fontId="2" fillId="0" borderId="1" xfId="0" applyNumberFormat="1" applyFont="1" applyBorder="1" applyAlignment="1">
      <alignment horizontal="center" vertical="center"/>
    </xf>
    <xf numFmtId="0" fontId="9" fillId="0" borderId="0" xfId="0" applyFont="1" applyFill="1" applyAlignment="1">
      <alignment horizontal="center" vertical="center"/>
    </xf>
    <xf numFmtId="2" fontId="3" fillId="0" borderId="1" xfId="0" applyNumberFormat="1" applyFont="1" applyBorder="1" applyAlignment="1">
      <alignment horizontal="left" vertical="center"/>
    </xf>
    <xf numFmtId="2" fontId="0" fillId="0" borderId="0" xfId="0" applyNumberFormat="1" applyAlignment="1">
      <alignment horizontal="left" vertical="center"/>
    </xf>
    <xf numFmtId="0" fontId="2" fillId="22" borderId="1" xfId="0" applyFont="1" applyFill="1" applyBorder="1" applyAlignment="1">
      <alignment horizontal="center" vertical="center"/>
    </xf>
    <xf numFmtId="0" fontId="2" fillId="22" borderId="1" xfId="0" applyFont="1" applyFill="1" applyBorder="1" applyAlignment="1">
      <alignment horizontal="left" vertical="center"/>
    </xf>
    <xf numFmtId="0" fontId="2" fillId="2" borderId="1" xfId="0" quotePrefix="1" applyFont="1" applyFill="1" applyBorder="1" applyAlignment="1">
      <alignment horizontal="center" vertical="center"/>
    </xf>
    <xf numFmtId="3" fontId="2" fillId="2" borderId="1" xfId="0" applyNumberFormat="1" applyFont="1" applyFill="1" applyBorder="1" applyAlignment="1">
      <alignment horizontal="center" vertical="center"/>
    </xf>
    <xf numFmtId="3" fontId="2" fillId="2" borderId="12" xfId="0" applyNumberFormat="1" applyFont="1" applyFill="1" applyBorder="1" applyAlignment="1">
      <alignment horizontal="center" vertical="center"/>
    </xf>
    <xf numFmtId="0" fontId="2" fillId="5" borderId="13" xfId="0" applyFont="1" applyFill="1" applyBorder="1" applyAlignment="1">
      <alignment horizontal="center" vertical="center"/>
    </xf>
    <xf numFmtId="0" fontId="2" fillId="2" borderId="6" xfId="0" applyFont="1" applyFill="1" applyBorder="1" applyAlignment="1">
      <alignment horizontal="center" vertical="center"/>
    </xf>
    <xf numFmtId="0" fontId="0" fillId="5" borderId="1" xfId="0" applyFill="1" applyBorder="1" applyAlignment="1">
      <alignment horizontal="left" vertical="center"/>
    </xf>
    <xf numFmtId="0" fontId="2" fillId="5" borderId="0" xfId="0" applyFont="1" applyFill="1" applyAlignment="1">
      <alignment horizontal="center" vertical="center"/>
    </xf>
    <xf numFmtId="0" fontId="2" fillId="5" borderId="0" xfId="0" applyFont="1" applyFill="1" applyAlignment="1">
      <alignment horizontal="left" vertical="center"/>
    </xf>
    <xf numFmtId="0" fontId="3" fillId="5" borderId="0" xfId="0" applyFont="1" applyFill="1"/>
    <xf numFmtId="0" fontId="3" fillId="5" borderId="0" xfId="0" applyFont="1" applyFill="1" applyAlignment="1">
      <alignment horizontal="center" vertical="center"/>
    </xf>
    <xf numFmtId="0" fontId="2" fillId="5" borderId="11" xfId="0" applyFont="1" applyFill="1" applyBorder="1"/>
    <xf numFmtId="0" fontId="0" fillId="23" borderId="0" xfId="0" applyFill="1"/>
    <xf numFmtId="0" fontId="0" fillId="17" borderId="0" xfId="0" applyFill="1"/>
    <xf numFmtId="0" fontId="0" fillId="23" borderId="1" xfId="0" applyFill="1" applyBorder="1" applyAlignment="1">
      <alignment horizontal="left" vertical="center"/>
    </xf>
    <xf numFmtId="3" fontId="2" fillId="5" borderId="0" xfId="0" applyNumberFormat="1" applyFont="1" applyFill="1" applyAlignment="1">
      <alignment horizontal="center" vertical="center"/>
    </xf>
    <xf numFmtId="3" fontId="2" fillId="0" borderId="0" xfId="0" applyNumberFormat="1" applyFont="1"/>
    <xf numFmtId="3" fontId="2" fillId="0" borderId="0" xfId="0" applyNumberFormat="1" applyFont="1" applyAlignment="1">
      <alignment horizontal="center" vertical="center"/>
    </xf>
    <xf numFmtId="3" fontId="2" fillId="0" borderId="1" xfId="0" applyNumberFormat="1" applyFont="1" applyBorder="1"/>
    <xf numFmtId="3" fontId="2" fillId="0" borderId="1" xfId="0" applyNumberFormat="1" applyFont="1" applyBorder="1" applyAlignment="1">
      <alignment horizontal="center" vertical="center"/>
    </xf>
    <xf numFmtId="3" fontId="1" fillId="5" borderId="1" xfId="0" applyNumberFormat="1" applyFont="1" applyFill="1" applyBorder="1"/>
    <xf numFmtId="3" fontId="1" fillId="5" borderId="1" xfId="0" applyNumberFormat="1" applyFont="1" applyFill="1" applyBorder="1" applyAlignment="1">
      <alignment horizontal="center" vertical="center"/>
    </xf>
    <xf numFmtId="3" fontId="2" fillId="0" borderId="1" xfId="0" applyNumberFormat="1" applyFont="1" applyBorder="1" applyAlignment="1">
      <alignment horizontal="left" vertical="center"/>
    </xf>
    <xf numFmtId="3" fontId="4" fillId="5" borderId="1" xfId="0" applyNumberFormat="1" applyFont="1" applyFill="1" applyBorder="1"/>
    <xf numFmtId="3" fontId="4" fillId="5" borderId="1" xfId="0" applyNumberFormat="1" applyFont="1" applyFill="1" applyBorder="1" applyAlignment="1">
      <alignment horizontal="center" vertical="center"/>
    </xf>
    <xf numFmtId="3" fontId="2" fillId="0" borderId="7" xfId="0" applyNumberFormat="1" applyFont="1" applyBorder="1"/>
    <xf numFmtId="3" fontId="6" fillId="0" borderId="0" xfId="0" applyNumberFormat="1" applyFont="1"/>
    <xf numFmtId="3" fontId="6" fillId="0" borderId="0" xfId="0" applyNumberFormat="1" applyFont="1" applyAlignment="1">
      <alignment horizontal="center" vertical="center"/>
    </xf>
    <xf numFmtId="0" fontId="2" fillId="24" borderId="0" xfId="0" applyFont="1" applyFill="1" applyAlignment="1">
      <alignment horizontal="center" vertical="center"/>
    </xf>
    <xf numFmtId="0" fontId="2" fillId="24" borderId="0" xfId="0" applyFont="1" applyFill="1"/>
    <xf numFmtId="0" fontId="2" fillId="24" borderId="7" xfId="0" applyFont="1" applyFill="1" applyBorder="1" applyAlignment="1">
      <alignment horizontal="center" vertical="center"/>
    </xf>
    <xf numFmtId="0" fontId="2" fillId="22" borderId="0" xfId="0" applyFont="1" applyFill="1" applyAlignment="1">
      <alignment horizontal="center" vertical="center"/>
    </xf>
    <xf numFmtId="0" fontId="2" fillId="22" borderId="0" xfId="0" applyFont="1" applyFill="1"/>
    <xf numFmtId="164" fontId="2" fillId="2" borderId="1" xfId="0" applyNumberFormat="1" applyFont="1" applyFill="1" applyBorder="1" applyAlignment="1">
      <alignment horizontal="center" vertical="center"/>
    </xf>
    <xf numFmtId="3" fontId="2" fillId="7" borderId="0" xfId="0" applyNumberFormat="1" applyFont="1" applyFill="1"/>
    <xf numFmtId="3" fontId="2" fillId="2" borderId="1" xfId="0" applyNumberFormat="1" applyFont="1" applyFill="1" applyBorder="1"/>
    <xf numFmtId="3" fontId="2" fillId="2" borderId="1" xfId="0" applyNumberFormat="1" applyFont="1" applyFill="1" applyBorder="1" applyAlignment="1">
      <alignment horizontal="left" vertical="center"/>
    </xf>
    <xf numFmtId="3" fontId="1" fillId="22" borderId="1" xfId="0" applyNumberFormat="1" applyFont="1" applyFill="1" applyBorder="1"/>
    <xf numFmtId="3" fontId="1" fillId="22" borderId="1" xfId="0" applyNumberFormat="1" applyFont="1" applyFill="1" applyBorder="1" applyAlignment="1">
      <alignment horizontal="center" vertical="center"/>
    </xf>
    <xf numFmtId="0" fontId="10" fillId="7" borderId="0" xfId="0" applyFont="1" applyFill="1" applyAlignment="1">
      <alignment horizontal="center" vertical="center"/>
    </xf>
    <xf numFmtId="0" fontId="0" fillId="2" borderId="0" xfId="0" applyFill="1"/>
    <xf numFmtId="0" fontId="2" fillId="26" borderId="1" xfId="0" applyFont="1" applyFill="1" applyBorder="1" applyAlignment="1">
      <alignment horizontal="center" vertical="center"/>
    </xf>
    <xf numFmtId="0" fontId="2" fillId="26" borderId="1" xfId="0" applyFont="1" applyFill="1" applyBorder="1" applyAlignment="1">
      <alignment horizontal="left" vertical="center"/>
    </xf>
    <xf numFmtId="3" fontId="2" fillId="5" borderId="1" xfId="0" applyNumberFormat="1" applyFont="1" applyFill="1" applyBorder="1" applyAlignment="1">
      <alignment horizontal="center" vertical="center"/>
    </xf>
    <xf numFmtId="0" fontId="0" fillId="0" borderId="0" xfId="0" applyAlignment="1">
      <alignment vertical="center"/>
    </xf>
    <xf numFmtId="0" fontId="0" fillId="27" borderId="0" xfId="0" applyFill="1"/>
    <xf numFmtId="3" fontId="2" fillId="2" borderId="1" xfId="0" applyNumberFormat="1" applyFont="1" applyFill="1" applyBorder="1" applyAlignment="1">
      <alignment horizontal="center"/>
    </xf>
    <xf numFmtId="3" fontId="2" fillId="24" borderId="1" xfId="0" applyNumberFormat="1" applyFont="1" applyFill="1" applyBorder="1" applyAlignment="1">
      <alignment horizontal="center"/>
    </xf>
    <xf numFmtId="3" fontId="2" fillId="28" borderId="1" xfId="0" applyNumberFormat="1" applyFont="1" applyFill="1" applyBorder="1" applyAlignment="1">
      <alignment horizontal="center"/>
    </xf>
    <xf numFmtId="3" fontId="2" fillId="26" borderId="1" xfId="0" applyNumberFormat="1" applyFont="1" applyFill="1" applyBorder="1" applyAlignment="1">
      <alignment horizontal="center" vertical="center"/>
    </xf>
    <xf numFmtId="0" fontId="2" fillId="5" borderId="4" xfId="0" applyFont="1" applyFill="1" applyBorder="1" applyAlignment="1">
      <alignment horizontal="center" vertical="center" wrapText="1"/>
    </xf>
    <xf numFmtId="0" fontId="6" fillId="5" borderId="4" xfId="0" applyFont="1" applyFill="1" applyBorder="1" applyAlignment="1">
      <alignment horizontal="center" vertical="center" wrapText="1"/>
    </xf>
    <xf numFmtId="3" fontId="2" fillId="11" borderId="1" xfId="0" applyNumberFormat="1" applyFont="1" applyFill="1" applyBorder="1" applyAlignment="1">
      <alignment horizontal="center" vertical="center"/>
    </xf>
    <xf numFmtId="0" fontId="2" fillId="5" borderId="11" xfId="0" applyFont="1" applyFill="1" applyBorder="1" applyAlignment="1">
      <alignment horizontal="center" vertical="center"/>
    </xf>
    <xf numFmtId="3" fontId="2" fillId="2" borderId="0" xfId="0" applyNumberFormat="1" applyFont="1" applyFill="1" applyBorder="1" applyAlignment="1">
      <alignment horizontal="center" vertical="center"/>
    </xf>
    <xf numFmtId="0" fontId="2" fillId="2" borderId="0" xfId="0" applyFont="1" applyFill="1" applyBorder="1" applyAlignment="1">
      <alignment horizontal="center" vertical="center" wrapText="1"/>
    </xf>
    <xf numFmtId="3" fontId="1" fillId="2" borderId="0" xfId="0" applyNumberFormat="1" applyFont="1" applyFill="1" applyBorder="1" applyAlignment="1">
      <alignment horizontal="center" vertical="center"/>
    </xf>
    <xf numFmtId="3" fontId="2" fillId="7" borderId="1" xfId="0" applyNumberFormat="1" applyFont="1" applyFill="1" applyBorder="1" applyAlignment="1">
      <alignment horizontal="center" vertical="center"/>
    </xf>
    <xf numFmtId="3" fontId="2" fillId="7" borderId="1" xfId="0" applyNumberFormat="1" applyFont="1" applyFill="1" applyBorder="1" applyAlignment="1">
      <alignment horizontal="left" vertical="center"/>
    </xf>
    <xf numFmtId="3" fontId="2" fillId="7" borderId="12" xfId="0" applyNumberFormat="1" applyFont="1" applyFill="1" applyBorder="1" applyAlignment="1">
      <alignment horizontal="center" vertical="center"/>
    </xf>
    <xf numFmtId="0" fontId="2" fillId="26" borderId="1" xfId="0" applyFont="1" applyFill="1" applyBorder="1"/>
    <xf numFmtId="3" fontId="1" fillId="26" borderId="11" xfId="0" applyNumberFormat="1" applyFont="1" applyFill="1" applyBorder="1" applyAlignment="1">
      <alignment horizontal="center" vertical="center"/>
    </xf>
    <xf numFmtId="3" fontId="1" fillId="25" borderId="1" xfId="0" applyNumberFormat="1" applyFont="1" applyFill="1" applyBorder="1" applyAlignment="1">
      <alignment horizontal="center" vertical="center"/>
    </xf>
    <xf numFmtId="3" fontId="1" fillId="26" borderId="1" xfId="0" applyNumberFormat="1" applyFont="1" applyFill="1" applyBorder="1" applyAlignment="1">
      <alignment horizontal="center" vertical="center"/>
    </xf>
    <xf numFmtId="0" fontId="1" fillId="26" borderId="1" xfId="0" applyFont="1" applyFill="1" applyBorder="1" applyAlignment="1">
      <alignment horizontal="left" vertical="center"/>
    </xf>
    <xf numFmtId="0" fontId="1" fillId="26" borderId="1" xfId="0" quotePrefix="1" applyFont="1" applyFill="1" applyBorder="1" applyAlignment="1">
      <alignment horizontal="center" vertical="center"/>
    </xf>
    <xf numFmtId="0" fontId="1" fillId="26" borderId="1" xfId="0" applyFont="1" applyFill="1" applyBorder="1"/>
    <xf numFmtId="2" fontId="2" fillId="2" borderId="1" xfId="0" applyNumberFormat="1" applyFont="1" applyFill="1" applyBorder="1" applyAlignment="1">
      <alignment horizontal="center" vertical="center"/>
    </xf>
    <xf numFmtId="164" fontId="2" fillId="26" borderId="1" xfId="0" applyNumberFormat="1" applyFont="1" applyFill="1" applyBorder="1" applyAlignment="1">
      <alignment horizontal="center" vertical="center"/>
    </xf>
    <xf numFmtId="2" fontId="2" fillId="26" borderId="1" xfId="0" applyNumberFormat="1" applyFont="1" applyFill="1" applyBorder="1" applyAlignment="1">
      <alignment horizontal="center" vertical="center"/>
    </xf>
    <xf numFmtId="0" fontId="2" fillId="26" borderId="1" xfId="0" quotePrefix="1" applyFont="1" applyFill="1" applyBorder="1" applyAlignment="1">
      <alignment horizontal="center" vertical="center"/>
    </xf>
    <xf numFmtId="3" fontId="2" fillId="28" borderId="1" xfId="0" applyNumberFormat="1" applyFont="1" applyFill="1" applyBorder="1" applyAlignment="1">
      <alignment horizontal="center" vertical="center"/>
    </xf>
    <xf numFmtId="3" fontId="2" fillId="2" borderId="0" xfId="0" applyNumberFormat="1" applyFont="1" applyFill="1" applyAlignment="1">
      <alignment horizontal="center" vertical="center"/>
    </xf>
    <xf numFmtId="0" fontId="1" fillId="26" borderId="11" xfId="0" applyFont="1" applyFill="1" applyBorder="1"/>
    <xf numFmtId="0" fontId="0" fillId="0" borderId="0" xfId="0" applyAlignment="1">
      <alignment horizontal="center"/>
    </xf>
    <xf numFmtId="0" fontId="0" fillId="28" borderId="0" xfId="0" applyFill="1" applyAlignment="1">
      <alignment horizontal="center" vertical="center"/>
    </xf>
    <xf numFmtId="0" fontId="3" fillId="7" borderId="0" xfId="0" applyFont="1" applyFill="1" applyAlignment="1">
      <alignment horizontal="left" vertical="center"/>
    </xf>
    <xf numFmtId="0" fontId="11" fillId="28" borderId="0" xfId="0" applyFont="1" applyFill="1" applyAlignment="1">
      <alignment horizontal="left" vertical="center"/>
    </xf>
    <xf numFmtId="0" fontId="3" fillId="7" borderId="0" xfId="0" applyFont="1" applyFill="1" applyAlignment="1">
      <alignment horizontal="center" vertical="center"/>
    </xf>
    <xf numFmtId="0" fontId="3" fillId="7" borderId="0" xfId="0" applyFont="1" applyFill="1"/>
    <xf numFmtId="0" fontId="12" fillId="26" borderId="1" xfId="0" applyFont="1" applyFill="1" applyBorder="1" applyAlignment="1">
      <alignment horizontal="left" vertical="center"/>
    </xf>
    <xf numFmtId="0" fontId="13" fillId="26" borderId="1" xfId="0" applyFont="1" applyFill="1" applyBorder="1" applyAlignment="1">
      <alignment horizontal="left" vertical="center"/>
    </xf>
    <xf numFmtId="0" fontId="12" fillId="26" borderId="1" xfId="0" applyFont="1" applyFill="1" applyBorder="1" applyAlignment="1">
      <alignment horizontal="left"/>
    </xf>
    <xf numFmtId="0" fontId="0" fillId="26" borderId="1" xfId="0" applyFill="1" applyBorder="1" applyAlignment="1">
      <alignment horizontal="center" vertical="center"/>
    </xf>
    <xf numFmtId="0" fontId="12" fillId="28" borderId="1" xfId="0" applyFont="1" applyFill="1" applyBorder="1" applyAlignment="1">
      <alignment horizontal="left" vertical="center"/>
    </xf>
    <xf numFmtId="0" fontId="0" fillId="28" borderId="1" xfId="0" applyFill="1" applyBorder="1" applyAlignment="1">
      <alignment horizontal="center" vertical="center"/>
    </xf>
    <xf numFmtId="0" fontId="0" fillId="25" borderId="0" xfId="0" applyFill="1" applyAlignment="1">
      <alignment horizontal="center" vertical="center"/>
    </xf>
    <xf numFmtId="0" fontId="3" fillId="25" borderId="0" xfId="0" applyFont="1" applyFill="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2" fillId="26" borderId="0" xfId="0" applyFont="1" applyFill="1"/>
    <xf numFmtId="0" fontId="2" fillId="26" borderId="0" xfId="0" applyFont="1" applyFill="1" applyAlignment="1">
      <alignment horizontal="center" vertical="center"/>
    </xf>
    <xf numFmtId="0" fontId="2" fillId="26" borderId="1" xfId="0" applyFont="1" applyFill="1" applyBorder="1" applyAlignment="1">
      <alignment horizontal="center" vertical="center" wrapText="1"/>
    </xf>
    <xf numFmtId="0" fontId="0" fillId="29" borderId="1" xfId="0" applyFill="1" applyBorder="1" applyAlignment="1">
      <alignment horizontal="center" vertical="center"/>
    </xf>
    <xf numFmtId="0" fontId="2" fillId="26" borderId="0" xfId="0" applyFont="1" applyFill="1" applyBorder="1" applyAlignment="1">
      <alignment horizontal="center" vertical="center"/>
    </xf>
    <xf numFmtId="0" fontId="2" fillId="26" borderId="13" xfId="0" applyFont="1" applyFill="1" applyBorder="1"/>
    <xf numFmtId="0" fontId="0" fillId="2" borderId="0" xfId="0" applyFill="1" applyAlignment="1">
      <alignment vertical="center"/>
    </xf>
    <xf numFmtId="0" fontId="5" fillId="29" borderId="1" xfId="0" applyFont="1" applyFill="1" applyBorder="1" applyAlignment="1">
      <alignment horizontal="center" vertical="center"/>
    </xf>
    <xf numFmtId="0" fontId="0" fillId="29" borderId="1" xfId="0" applyFont="1" applyFill="1" applyBorder="1" applyAlignment="1">
      <alignment horizontal="center" vertical="center"/>
    </xf>
    <xf numFmtId="0" fontId="12" fillId="25" borderId="1" xfId="0" applyFont="1" applyFill="1" applyBorder="1" applyAlignment="1">
      <alignment horizontal="left" vertical="center"/>
    </xf>
    <xf numFmtId="0" fontId="12" fillId="25" borderId="1" xfId="0" applyFont="1" applyFill="1" applyBorder="1" applyAlignment="1">
      <alignment horizontal="left"/>
    </xf>
    <xf numFmtId="0" fontId="12" fillId="22" borderId="1" xfId="0" applyFont="1" applyFill="1" applyBorder="1" applyAlignment="1">
      <alignment horizontal="left" vertical="center"/>
    </xf>
    <xf numFmtId="0" fontId="12" fillId="22" borderId="1" xfId="0" applyFont="1" applyFill="1" applyBorder="1" applyAlignment="1">
      <alignment horizontal="left"/>
    </xf>
    <xf numFmtId="0" fontId="12" fillId="25" borderId="1" xfId="0" applyFont="1" applyFill="1" applyBorder="1" applyAlignment="1">
      <alignment horizontal="center" vertical="center"/>
    </xf>
    <xf numFmtId="0" fontId="0" fillId="25" borderId="1" xfId="0" applyFill="1" applyBorder="1" applyAlignment="1">
      <alignment horizontal="center" vertical="center"/>
    </xf>
    <xf numFmtId="0" fontId="12" fillId="25" borderId="1" xfId="0" applyFont="1" applyFill="1" applyBorder="1" applyAlignment="1"/>
    <xf numFmtId="0" fontId="0" fillId="2" borderId="0" xfId="0" applyFill="1" applyAlignment="1"/>
    <xf numFmtId="0" fontId="0" fillId="2" borderId="0" xfId="0" applyFill="1" applyAlignment="1">
      <alignment horizontal="left"/>
    </xf>
    <xf numFmtId="0" fontId="12" fillId="25" borderId="1" xfId="0" applyFont="1" applyFill="1" applyBorder="1" applyAlignment="1">
      <alignment horizontal="center"/>
    </xf>
    <xf numFmtId="0" fontId="0" fillId="2" borderId="0" xfId="0" applyFill="1" applyAlignment="1">
      <alignment horizontal="center"/>
    </xf>
    <xf numFmtId="0" fontId="0" fillId="22" borderId="1" xfId="0" applyFont="1" applyFill="1" applyBorder="1" applyAlignment="1">
      <alignment horizontal="center" vertical="center"/>
    </xf>
    <xf numFmtId="0" fontId="12" fillId="22" borderId="1" xfId="0" applyFont="1" applyFill="1" applyBorder="1" applyAlignment="1">
      <alignment horizontal="center" vertical="center"/>
    </xf>
    <xf numFmtId="0" fontId="0" fillId="25" borderId="1" xfId="0" applyFont="1" applyFill="1" applyBorder="1" applyAlignment="1">
      <alignment horizontal="left"/>
    </xf>
    <xf numFmtId="0" fontId="0" fillId="25" borderId="1" xfId="0" applyFont="1" applyFill="1" applyBorder="1" applyAlignment="1">
      <alignment horizontal="center"/>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xf numFmtId="0" fontId="0" fillId="7" borderId="1" xfId="0" applyFill="1" applyBorder="1" applyAlignment="1">
      <alignment horizontal="center"/>
    </xf>
    <xf numFmtId="0" fontId="0" fillId="28" borderId="1" xfId="0" applyFill="1" applyBorder="1" applyAlignment="1">
      <alignment horizontal="left"/>
    </xf>
    <xf numFmtId="0" fontId="0" fillId="28" borderId="1" xfId="0" applyFill="1" applyBorder="1" applyAlignment="1">
      <alignment horizontal="center"/>
    </xf>
    <xf numFmtId="0" fontId="0" fillId="25" borderId="1" xfId="0" applyFill="1" applyBorder="1" applyAlignment="1"/>
    <xf numFmtId="0" fontId="0" fillId="25" borderId="1" xfId="0" applyFill="1" applyBorder="1" applyAlignment="1">
      <alignment horizontal="center"/>
    </xf>
    <xf numFmtId="0" fontId="0" fillId="2" borderId="1" xfId="0" applyFill="1" applyBorder="1" applyAlignment="1">
      <alignment horizontal="center"/>
    </xf>
    <xf numFmtId="0" fontId="5" fillId="2" borderId="1" xfId="0" applyFont="1" applyFill="1" applyBorder="1" applyAlignment="1">
      <alignment horizontal="left"/>
    </xf>
    <xf numFmtId="0" fontId="5" fillId="2" borderId="1" xfId="0" applyFont="1" applyFill="1" applyBorder="1" applyAlignment="1"/>
    <xf numFmtId="0" fontId="5" fillId="2" borderId="1" xfId="0" applyFont="1" applyFill="1" applyBorder="1" applyAlignment="1">
      <alignment horizontal="center"/>
    </xf>
    <xf numFmtId="3" fontId="5" fillId="2" borderId="1" xfId="0" applyNumberFormat="1" applyFont="1" applyFill="1" applyBorder="1" applyAlignment="1">
      <alignment horizontal="center"/>
    </xf>
    <xf numFmtId="0" fontId="0" fillId="29" borderId="1" xfId="0" applyFill="1" applyBorder="1" applyAlignment="1"/>
    <xf numFmtId="0" fontId="0" fillId="29" borderId="1" xfId="0" applyFill="1" applyBorder="1" applyAlignment="1">
      <alignment horizontal="center"/>
    </xf>
    <xf numFmtId="0" fontId="0" fillId="29" borderId="1" xfId="0" quotePrefix="1" applyFill="1" applyBorder="1" applyAlignment="1">
      <alignment horizontal="center"/>
    </xf>
    <xf numFmtId="0" fontId="12" fillId="2" borderId="1" xfId="0" applyFont="1" applyFill="1" applyBorder="1" applyAlignment="1">
      <alignment horizontal="left" vertical="center"/>
    </xf>
    <xf numFmtId="0" fontId="12" fillId="2" borderId="1" xfId="0" applyFont="1" applyFill="1" applyBorder="1" applyAlignment="1">
      <alignment horizontal="left"/>
    </xf>
    <xf numFmtId="0" fontId="12" fillId="2" borderId="0" xfId="0" applyFont="1" applyFill="1" applyAlignment="1">
      <alignment vertical="center"/>
    </xf>
    <xf numFmtId="0" fontId="12" fillId="2" borderId="0" xfId="0" applyFont="1" applyFill="1" applyBorder="1"/>
    <xf numFmtId="0" fontId="12" fillId="2" borderId="0" xfId="0" applyFont="1" applyFill="1"/>
    <xf numFmtId="0" fontId="12" fillId="0" borderId="0" xfId="0" applyFont="1"/>
    <xf numFmtId="0" fontId="12" fillId="7" borderId="1" xfId="0" applyFont="1" applyFill="1" applyBorder="1" applyAlignment="1">
      <alignment horizontal="center" vertical="center"/>
    </xf>
    <xf numFmtId="0" fontId="14" fillId="26" borderId="1" xfId="0" applyFont="1" applyFill="1" applyBorder="1" applyAlignment="1">
      <alignment horizontal="left"/>
    </xf>
    <xf numFmtId="0" fontId="14" fillId="26" borderId="1" xfId="0" applyFont="1" applyFill="1" applyBorder="1" applyAlignment="1">
      <alignment vertical="center"/>
    </xf>
    <xf numFmtId="0" fontId="14" fillId="22" borderId="1" xfId="0" applyFont="1" applyFill="1" applyBorder="1" applyAlignment="1">
      <alignment horizontal="center" vertical="center"/>
    </xf>
    <xf numFmtId="0" fontId="14" fillId="26" borderId="1" xfId="0" applyFont="1" applyFill="1" applyBorder="1" applyAlignment="1">
      <alignment horizontal="left" vertical="center"/>
    </xf>
    <xf numFmtId="0" fontId="12" fillId="22" borderId="1" xfId="0" applyFont="1" applyFill="1" applyBorder="1" applyAlignment="1">
      <alignment vertical="center"/>
    </xf>
    <xf numFmtId="0" fontId="0" fillId="2" borderId="0" xfId="0" applyFill="1" applyBorder="1" applyAlignment="1">
      <alignment horizontal="center"/>
    </xf>
    <xf numFmtId="0" fontId="0" fillId="2" borderId="0" xfId="0" applyFill="1" applyBorder="1" applyAlignment="1">
      <alignment horizontal="left"/>
    </xf>
    <xf numFmtId="0" fontId="0" fillId="2" borderId="0" xfId="0" applyFill="1" applyBorder="1" applyAlignment="1"/>
    <xf numFmtId="0" fontId="0" fillId="2" borderId="0" xfId="0" quotePrefix="1" applyFill="1" applyBorder="1" applyAlignment="1">
      <alignment horizontal="center"/>
    </xf>
    <xf numFmtId="0" fontId="0" fillId="2" borderId="1" xfId="0" applyFill="1" applyBorder="1" applyAlignment="1">
      <alignment horizontal="left" vertical="center"/>
    </xf>
    <xf numFmtId="0" fontId="2" fillId="5" borderId="1" xfId="0" applyFont="1" applyFill="1" applyBorder="1" applyAlignment="1">
      <alignment horizontal="center"/>
    </xf>
    <xf numFmtId="0" fontId="2" fillId="2" borderId="14" xfId="0" applyFont="1" applyFill="1" applyBorder="1"/>
    <xf numFmtId="0" fontId="0" fillId="29" borderId="0" xfId="0" applyFill="1" applyAlignment="1">
      <alignment horizontal="center" vertical="center"/>
    </xf>
    <xf numFmtId="0" fontId="6" fillId="2" borderId="1" xfId="0" applyFont="1" applyFill="1" applyBorder="1"/>
    <xf numFmtId="0" fontId="1" fillId="6" borderId="0" xfId="0" applyFont="1" applyFill="1"/>
    <xf numFmtId="0" fontId="1" fillId="30" borderId="0" xfId="0" applyFont="1" applyFill="1"/>
    <xf numFmtId="0" fontId="1" fillId="30" borderId="1" xfId="0" applyFont="1" applyFill="1" applyBorder="1"/>
    <xf numFmtId="0" fontId="1" fillId="30" borderId="1" xfId="0" applyFont="1" applyFill="1" applyBorder="1" applyAlignment="1">
      <alignment horizontal="center" vertical="center"/>
    </xf>
    <xf numFmtId="0" fontId="2" fillId="30" borderId="1" xfId="0" applyFont="1" applyFill="1" applyBorder="1" applyAlignment="1">
      <alignment horizontal="center" vertical="center"/>
    </xf>
    <xf numFmtId="0" fontId="2" fillId="30" borderId="1" xfId="0" applyFont="1" applyFill="1" applyBorder="1"/>
    <xf numFmtId="0" fontId="2" fillId="6" borderId="0" xfId="0" applyFont="1" applyFill="1" applyBorder="1" applyAlignment="1">
      <alignment horizontal="center" vertical="center"/>
    </xf>
    <xf numFmtId="0" fontId="2" fillId="6" borderId="0" xfId="0" applyFont="1" applyFill="1" applyAlignment="1">
      <alignment horizontal="center" vertical="center"/>
    </xf>
    <xf numFmtId="0" fontId="1" fillId="6" borderId="5" xfId="0" applyFont="1" applyFill="1" applyBorder="1"/>
    <xf numFmtId="0" fontId="2" fillId="6" borderId="1" xfId="0" applyFont="1" applyFill="1" applyBorder="1"/>
    <xf numFmtId="0" fontId="2" fillId="6" borderId="1" xfId="0" applyFont="1" applyFill="1" applyBorder="1" applyAlignment="1">
      <alignment horizontal="center" vertical="center"/>
    </xf>
    <xf numFmtId="0" fontId="1" fillId="31" borderId="0" xfId="0" applyFont="1" applyFill="1"/>
    <xf numFmtId="0" fontId="1" fillId="31" borderId="9" xfId="0" applyFont="1" applyFill="1" applyBorder="1"/>
    <xf numFmtId="0" fontId="2" fillId="31" borderId="1" xfId="0" applyFont="1" applyFill="1" applyBorder="1" applyAlignment="1">
      <alignment horizontal="center" vertical="center"/>
    </xf>
    <xf numFmtId="0" fontId="2" fillId="31" borderId="0" xfId="0" applyFont="1" applyFill="1" applyAlignment="1">
      <alignment horizontal="center" vertical="center"/>
    </xf>
    <xf numFmtId="0" fontId="2" fillId="31" borderId="9" xfId="0" applyFont="1" applyFill="1" applyBorder="1"/>
    <xf numFmtId="3" fontId="2" fillId="31" borderId="1" xfId="0" applyNumberFormat="1" applyFont="1" applyFill="1" applyBorder="1" applyAlignment="1">
      <alignment horizontal="center" vertical="center"/>
    </xf>
    <xf numFmtId="0" fontId="1" fillId="31" borderId="1" xfId="0" applyFont="1" applyFill="1" applyBorder="1" applyAlignment="1">
      <alignment horizontal="center" vertical="center"/>
    </xf>
    <xf numFmtId="0" fontId="1" fillId="31" borderId="1" xfId="0" applyFont="1" applyFill="1" applyBorder="1"/>
    <xf numFmtId="0" fontId="2" fillId="31" borderId="1" xfId="0" applyFont="1" applyFill="1" applyBorder="1"/>
    <xf numFmtId="0" fontId="1" fillId="32" borderId="1" xfId="0" applyFont="1" applyFill="1" applyBorder="1"/>
    <xf numFmtId="0" fontId="1" fillId="32" borderId="1" xfId="0" applyFont="1" applyFill="1" applyBorder="1" applyAlignment="1">
      <alignment horizontal="center" vertical="center"/>
    </xf>
    <xf numFmtId="0" fontId="2" fillId="32" borderId="1" xfId="0" applyFont="1" applyFill="1" applyBorder="1"/>
    <xf numFmtId="0" fontId="2" fillId="32" borderId="1" xfId="0" applyFont="1" applyFill="1" applyBorder="1" applyAlignment="1">
      <alignment horizontal="center" vertical="center"/>
    </xf>
    <xf numFmtId="0" fontId="2" fillId="32" borderId="0" xfId="0" applyFont="1" applyFill="1"/>
    <xf numFmtId="0" fontId="1" fillId="32" borderId="0" xfId="0" applyFont="1" applyFill="1"/>
    <xf numFmtId="0" fontId="2" fillId="4" borderId="1" xfId="0" applyFont="1" applyFill="1" applyBorder="1"/>
    <xf numFmtId="0" fontId="2" fillId="4" borderId="4" xfId="0" applyFont="1" applyFill="1" applyBorder="1" applyAlignment="1">
      <alignment horizontal="left" vertical="center"/>
    </xf>
    <xf numFmtId="0" fontId="2" fillId="4" borderId="4" xfId="0" applyFont="1" applyFill="1" applyBorder="1"/>
    <xf numFmtId="0" fontId="0" fillId="4" borderId="1" xfId="0" applyFont="1" applyFill="1" applyBorder="1" applyAlignment="1">
      <alignment horizontal="center" vertical="center"/>
    </xf>
    <xf numFmtId="0" fontId="0" fillId="4" borderId="1" xfId="0" applyFill="1" applyBorder="1" applyAlignment="1">
      <alignment horizontal="center" vertical="center"/>
    </xf>
    <xf numFmtId="0" fontId="5" fillId="4" borderId="1" xfId="0" applyFont="1" applyFill="1" applyBorder="1" applyAlignment="1">
      <alignment horizontal="center" vertical="center"/>
    </xf>
    <xf numFmtId="0" fontId="0" fillId="4" borderId="0" xfId="0" applyFill="1" applyBorder="1" applyAlignment="1">
      <alignment horizontal="center" vertical="center"/>
    </xf>
    <xf numFmtId="0" fontId="0" fillId="4" borderId="0" xfId="0" applyFill="1" applyAlignment="1">
      <alignment horizontal="center" vertical="center"/>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3" fontId="12" fillId="2" borderId="1" xfId="0" applyNumberFormat="1" applyFont="1" applyFill="1" applyBorder="1" applyAlignment="1">
      <alignment horizontal="center" vertical="center"/>
    </xf>
    <xf numFmtId="0" fontId="12" fillId="5" borderId="1" xfId="0" applyFont="1" applyFill="1" applyBorder="1" applyAlignment="1">
      <alignment horizontal="left" vertical="center"/>
    </xf>
    <xf numFmtId="3" fontId="12" fillId="5" borderId="1" xfId="0" applyNumberFormat="1" applyFont="1" applyFill="1" applyBorder="1" applyAlignment="1">
      <alignment horizontal="center" vertical="center"/>
    </xf>
    <xf numFmtId="0" fontId="2" fillId="25" borderId="15" xfId="0" applyFont="1" applyFill="1" applyBorder="1" applyAlignment="1">
      <alignment horizontal="center" vertical="center"/>
    </xf>
    <xf numFmtId="0" fontId="2" fillId="25" borderId="16" xfId="0" applyFont="1" applyFill="1" applyBorder="1" applyAlignment="1">
      <alignment horizontal="left" vertical="center"/>
    </xf>
    <xf numFmtId="0" fontId="2" fillId="25" borderId="16" xfId="0" applyFont="1" applyFill="1" applyBorder="1" applyAlignment="1">
      <alignment horizontal="center"/>
    </xf>
    <xf numFmtId="0" fontId="2" fillId="25" borderId="18" xfId="0" applyFont="1" applyFill="1" applyBorder="1" applyAlignment="1">
      <alignment horizontal="center" vertical="center"/>
    </xf>
    <xf numFmtId="0" fontId="2" fillId="25" borderId="19" xfId="0" applyFont="1" applyFill="1" applyBorder="1" applyAlignment="1">
      <alignment horizontal="left" vertical="center"/>
    </xf>
    <xf numFmtId="0" fontId="2" fillId="25" borderId="19" xfId="0" applyFont="1" applyFill="1" applyBorder="1" applyAlignment="1">
      <alignment horizontal="center"/>
    </xf>
    <xf numFmtId="0" fontId="2" fillId="2" borderId="5" xfId="0" applyFont="1" applyFill="1" applyBorder="1" applyAlignment="1">
      <alignment horizontal="center" vertical="center"/>
    </xf>
    <xf numFmtId="0" fontId="2" fillId="2" borderId="5" xfId="0" applyFont="1" applyFill="1" applyBorder="1" applyAlignment="1">
      <alignment horizontal="left" vertical="center"/>
    </xf>
    <xf numFmtId="0" fontId="2" fillId="2" borderId="5" xfId="0" applyFont="1" applyFill="1" applyBorder="1" applyAlignment="1">
      <alignment horizontal="center"/>
    </xf>
    <xf numFmtId="0" fontId="2" fillId="25" borderId="2" xfId="0" applyFont="1" applyFill="1" applyBorder="1" applyAlignment="1">
      <alignment horizontal="center" vertical="center"/>
    </xf>
    <xf numFmtId="0" fontId="2" fillId="25" borderId="21" xfId="0" applyFont="1" applyFill="1" applyBorder="1" applyAlignment="1">
      <alignment horizontal="left" vertical="center"/>
    </xf>
    <xf numFmtId="0" fontId="2" fillId="25" borderId="21" xfId="0" applyFont="1" applyFill="1" applyBorder="1" applyAlignment="1">
      <alignment horizontal="center"/>
    </xf>
    <xf numFmtId="0" fontId="2" fillId="2" borderId="4" xfId="0" applyFont="1" applyFill="1" applyBorder="1" applyAlignment="1">
      <alignment horizontal="center" vertical="center"/>
    </xf>
    <xf numFmtId="0" fontId="2" fillId="2" borderId="4" xfId="0" applyFont="1" applyFill="1" applyBorder="1" applyAlignment="1">
      <alignment horizontal="left" vertical="center"/>
    </xf>
    <xf numFmtId="0" fontId="2" fillId="2" borderId="4" xfId="0" applyFont="1" applyFill="1" applyBorder="1" applyAlignment="1">
      <alignment horizontal="center"/>
    </xf>
    <xf numFmtId="0" fontId="2" fillId="2" borderId="22"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26" xfId="0" applyFont="1" applyFill="1" applyBorder="1" applyAlignment="1">
      <alignment horizontal="center" vertical="center"/>
    </xf>
    <xf numFmtId="0" fontId="2" fillId="22" borderId="2" xfId="0" applyFont="1" applyFill="1" applyBorder="1" applyAlignment="1">
      <alignment horizontal="center" vertical="center" wrapText="1"/>
    </xf>
    <xf numFmtId="0" fontId="2" fillId="22" borderId="21" xfId="0" applyFont="1" applyFill="1" applyBorder="1" applyAlignment="1">
      <alignment horizontal="center" vertical="center" wrapText="1"/>
    </xf>
    <xf numFmtId="0" fontId="2" fillId="22" borderId="3" xfId="0" applyFont="1" applyFill="1" applyBorder="1" applyAlignment="1">
      <alignment horizontal="center" vertical="center" wrapText="1"/>
    </xf>
    <xf numFmtId="0" fontId="0" fillId="0" borderId="1" xfId="0" applyFill="1" applyBorder="1" applyAlignment="1">
      <alignment horizontal="center" vertical="center"/>
    </xf>
    <xf numFmtId="0" fontId="5" fillId="0" borderId="1" xfId="0" applyFont="1" applyFill="1" applyBorder="1" applyAlignment="1">
      <alignment horizontal="center" vertical="center"/>
    </xf>
    <xf numFmtId="0" fontId="0" fillId="0" borderId="0" xfId="0" applyFill="1" applyAlignment="1">
      <alignment horizontal="center" vertical="center"/>
    </xf>
    <xf numFmtId="0" fontId="0" fillId="5" borderId="1" xfId="0" applyFont="1" applyFill="1" applyBorder="1" applyAlignment="1">
      <alignment horizontal="center" vertical="center"/>
    </xf>
    <xf numFmtId="0" fontId="2" fillId="7" borderId="6" xfId="0" applyFont="1" applyFill="1" applyBorder="1" applyAlignment="1">
      <alignment horizontal="left" vertical="center"/>
    </xf>
    <xf numFmtId="0" fontId="6" fillId="7" borderId="1" xfId="0" applyFont="1" applyFill="1" applyBorder="1"/>
    <xf numFmtId="0" fontId="15" fillId="2" borderId="1" xfId="0" applyFont="1" applyFill="1" applyBorder="1" applyAlignment="1">
      <alignment horizontal="left" vertical="center"/>
    </xf>
    <xf numFmtId="0" fontId="15" fillId="7" borderId="1" xfId="0" applyFont="1" applyFill="1" applyBorder="1"/>
    <xf numFmtId="0"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0" fontId="0" fillId="5" borderId="0" xfId="0" applyFill="1" applyAlignment="1">
      <alignment horizontal="left" vertical="center"/>
    </xf>
    <xf numFmtId="0" fontId="0" fillId="5" borderId="0" xfId="0" applyFill="1" applyAlignment="1">
      <alignment horizontal="left"/>
    </xf>
    <xf numFmtId="0" fontId="0" fillId="0" borderId="0" xfId="0" applyAlignment="1">
      <alignment horizontal="left"/>
    </xf>
    <xf numFmtId="0" fontId="0" fillId="4" borderId="0" xfId="0" applyFill="1" applyAlignment="1">
      <alignment horizontal="left"/>
    </xf>
    <xf numFmtId="0" fontId="0" fillId="7" borderId="0" xfId="0" applyFill="1" applyAlignment="1">
      <alignment horizontal="left"/>
    </xf>
    <xf numFmtId="0" fontId="0" fillId="7" borderId="1" xfId="0" applyFill="1" applyBorder="1" applyAlignment="1">
      <alignment horizontal="left" vertical="center"/>
    </xf>
    <xf numFmtId="0" fontId="0" fillId="33" borderId="0" xfId="0" applyFill="1" applyAlignment="1">
      <alignment horizontal="left"/>
    </xf>
    <xf numFmtId="0" fontId="2" fillId="22" borderId="1" xfId="0" applyFont="1" applyFill="1" applyBorder="1" applyAlignment="1">
      <alignment horizontal="center" vertical="center" wrapText="1"/>
    </xf>
    <xf numFmtId="0" fontId="2" fillId="25" borderId="1" xfId="0" applyFont="1" applyFill="1" applyBorder="1" applyAlignment="1">
      <alignment horizontal="center" vertical="center"/>
    </xf>
    <xf numFmtId="0" fontId="2" fillId="25" borderId="1" xfId="0" applyFont="1" applyFill="1" applyBorder="1" applyAlignment="1">
      <alignment horizontal="left" vertical="center"/>
    </xf>
    <xf numFmtId="0" fontId="2" fillId="25" borderId="1" xfId="0" applyFont="1" applyFill="1" applyBorder="1" applyAlignment="1">
      <alignment horizontal="center"/>
    </xf>
    <xf numFmtId="0" fontId="2" fillId="25" borderId="1" xfId="0" applyFont="1" applyFill="1" applyBorder="1"/>
    <xf numFmtId="0" fontId="0" fillId="22" borderId="0" xfId="0" applyFill="1"/>
    <xf numFmtId="0" fontId="0" fillId="25" borderId="0" xfId="0" applyFill="1"/>
    <xf numFmtId="0" fontId="0" fillId="30" borderId="0" xfId="0" applyFill="1"/>
    <xf numFmtId="0" fontId="0" fillId="31" borderId="0" xfId="0" applyFill="1"/>
    <xf numFmtId="0" fontId="2" fillId="34" borderId="1" xfId="0" applyFont="1" applyFill="1" applyBorder="1"/>
    <xf numFmtId="0" fontId="2" fillId="35" borderId="1" xfId="0" applyFont="1" applyFill="1" applyBorder="1" applyAlignment="1">
      <alignment horizontal="center" vertical="center"/>
    </xf>
    <xf numFmtId="0" fontId="2" fillId="35" borderId="1" xfId="0" applyFont="1" applyFill="1" applyBorder="1"/>
    <xf numFmtId="0" fontId="2" fillId="22" borderId="1" xfId="0" applyFont="1" applyFill="1" applyBorder="1"/>
    <xf numFmtId="0" fontId="2" fillId="29" borderId="1" xfId="0" applyNumberFormat="1" applyFont="1" applyFill="1" applyBorder="1" applyAlignment="1">
      <alignment horizontal="center" vertical="center" wrapText="1"/>
    </xf>
    <xf numFmtId="3" fontId="2" fillId="29" borderId="1" xfId="0" applyNumberFormat="1" applyFont="1" applyFill="1" applyBorder="1" applyAlignment="1">
      <alignment horizontal="center" vertical="center" wrapText="1"/>
    </xf>
    <xf numFmtId="0" fontId="2" fillId="6" borderId="1" xfId="0" applyFont="1" applyFill="1" applyBorder="1" applyAlignment="1">
      <alignment horizontal="left" vertical="center"/>
    </xf>
    <xf numFmtId="0" fontId="6" fillId="35" borderId="1" xfId="0" applyFont="1" applyFill="1" applyBorder="1"/>
    <xf numFmtId="0" fontId="6" fillId="35" borderId="1" xfId="0" applyFont="1" applyFill="1" applyBorder="1" applyAlignment="1">
      <alignment horizontal="center" vertical="center"/>
    </xf>
    <xf numFmtId="0" fontId="16" fillId="5" borderId="1" xfId="0" applyFont="1" applyFill="1" applyBorder="1" applyAlignment="1">
      <alignment horizontal="center" vertical="center"/>
    </xf>
    <xf numFmtId="0" fontId="17" fillId="2" borderId="1" xfId="0" applyFont="1" applyFill="1" applyBorder="1"/>
    <xf numFmtId="0" fontId="2" fillId="33" borderId="1" xfId="0" applyFont="1" applyFill="1" applyBorder="1"/>
    <xf numFmtId="0" fontId="1" fillId="4" borderId="1" xfId="0" applyFont="1" applyFill="1" applyBorder="1" applyAlignment="1">
      <alignment horizontal="left" vertical="center"/>
    </xf>
    <xf numFmtId="0" fontId="0" fillId="4" borderId="0" xfId="0" applyFill="1"/>
    <xf numFmtId="0" fontId="12" fillId="4" borderId="1" xfId="0" applyFont="1" applyFill="1" applyBorder="1" applyAlignment="1">
      <alignment horizontal="left" vertical="center"/>
    </xf>
    <xf numFmtId="3" fontId="12" fillId="4" borderId="1" xfId="0" applyNumberFormat="1" applyFont="1" applyFill="1" applyBorder="1" applyAlignment="1">
      <alignment horizontal="center" vertical="center"/>
    </xf>
    <xf numFmtId="0" fontId="8" fillId="36" borderId="1" xfId="0" applyFont="1" applyFill="1" applyBorder="1" applyAlignment="1">
      <alignment horizontal="left" vertical="center"/>
    </xf>
    <xf numFmtId="0" fontId="8" fillId="36" borderId="1" xfId="0" applyFont="1" applyFill="1" applyBorder="1"/>
    <xf numFmtId="0" fontId="18" fillId="36" borderId="0" xfId="0" applyFont="1" applyFill="1"/>
    <xf numFmtId="0" fontId="12" fillId="0" borderId="0" xfId="0" applyFont="1" applyAlignment="1">
      <alignment horizontal="center" vertical="center"/>
    </xf>
    <xf numFmtId="1" fontId="12" fillId="0" borderId="0" xfId="0" applyNumberFormat="1" applyFont="1" applyAlignment="1">
      <alignment horizontal="center" vertical="center"/>
    </xf>
    <xf numFmtId="0" fontId="0" fillId="37" borderId="0" xfId="0" applyFill="1"/>
    <xf numFmtId="0" fontId="12" fillId="37" borderId="0" xfId="0" applyFont="1" applyFill="1" applyAlignment="1">
      <alignment horizontal="center" vertical="center"/>
    </xf>
    <xf numFmtId="0" fontId="0" fillId="7" borderId="0" xfId="0" applyFont="1" applyFill="1"/>
    <xf numFmtId="0" fontId="2" fillId="22" borderId="1" xfId="0" applyFont="1" applyFill="1" applyBorder="1" applyAlignment="1">
      <alignment wrapText="1"/>
    </xf>
    <xf numFmtId="0" fontId="2" fillId="2" borderId="14" xfId="0" applyFont="1" applyFill="1" applyBorder="1" applyAlignment="1">
      <alignment horizontal="center" vertical="center"/>
    </xf>
    <xf numFmtId="0" fontId="6" fillId="2" borderId="1" xfId="0" applyFont="1" applyFill="1" applyBorder="1" applyAlignment="1">
      <alignment horizontal="left" vertical="center" wrapText="1"/>
    </xf>
    <xf numFmtId="0" fontId="4" fillId="17" borderId="1" xfId="0" applyFont="1" applyFill="1" applyBorder="1" applyAlignment="1">
      <alignment horizontal="left" vertical="center"/>
    </xf>
    <xf numFmtId="0" fontId="16" fillId="7" borderId="1" xfId="0" applyFont="1" applyFill="1" applyBorder="1" applyAlignment="1">
      <alignment horizontal="center" vertical="center"/>
    </xf>
    <xf numFmtId="0" fontId="19" fillId="5" borderId="28" xfId="0" applyFont="1" applyFill="1" applyBorder="1"/>
    <xf numFmtId="0" fontId="19" fillId="5" borderId="28" xfId="0" applyFont="1" applyFill="1" applyBorder="1" applyAlignment="1">
      <alignment horizontal="center"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1" fontId="0" fillId="7" borderId="0" xfId="0" applyNumberFormat="1" applyFill="1" applyAlignment="1">
      <alignment horizontal="center" vertical="center"/>
    </xf>
    <xf numFmtId="0" fontId="20" fillId="22" borderId="0" xfId="0" applyFont="1" applyFill="1" applyBorder="1" applyAlignment="1">
      <alignment horizontal="center" vertical="center"/>
    </xf>
    <xf numFmtId="0" fontId="0" fillId="22" borderId="0" xfId="0" applyFill="1" applyAlignment="1">
      <alignment horizontal="center" vertical="center"/>
    </xf>
    <xf numFmtId="0" fontId="7" fillId="17" borderId="6" xfId="0" applyFont="1" applyFill="1" applyBorder="1" applyAlignment="1">
      <alignment horizontal="center" vertical="center"/>
    </xf>
    <xf numFmtId="0" fontId="6" fillId="2" borderId="6" xfId="0" applyFont="1" applyFill="1" applyBorder="1" applyAlignment="1">
      <alignment horizontal="center" vertical="center"/>
    </xf>
    <xf numFmtId="0" fontId="2" fillId="7" borderId="6" xfId="0" applyFont="1" applyFill="1" applyBorder="1" applyAlignment="1">
      <alignment horizontal="center" vertical="center"/>
    </xf>
    <xf numFmtId="0" fontId="6" fillId="21" borderId="6" xfId="0" applyFont="1" applyFill="1" applyBorder="1" applyAlignment="1">
      <alignment horizontal="center" vertical="center"/>
    </xf>
    <xf numFmtId="0" fontId="6" fillId="16" borderId="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9" xfId="0" applyFont="1" applyFill="1" applyBorder="1" applyAlignment="1">
      <alignment horizontal="left" vertical="center"/>
    </xf>
    <xf numFmtId="0" fontId="2" fillId="7" borderId="19" xfId="0" applyFont="1" applyFill="1" applyBorder="1" applyAlignment="1">
      <alignment horizontal="center"/>
    </xf>
    <xf numFmtId="0" fontId="2" fillId="25" borderId="3" xfId="0" applyFont="1" applyFill="1" applyBorder="1" applyAlignment="1">
      <alignment horizontal="center" vertical="center"/>
    </xf>
    <xf numFmtId="0" fontId="2" fillId="25" borderId="17" xfId="0" applyFont="1" applyFill="1" applyBorder="1" applyAlignment="1">
      <alignment horizontal="center" vertical="center"/>
    </xf>
    <xf numFmtId="0" fontId="2" fillId="25" borderId="20"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5" xfId="0" applyFont="1" applyFill="1" applyBorder="1" applyAlignment="1">
      <alignment horizontal="center" vertical="center"/>
    </xf>
    <xf numFmtId="0" fontId="2" fillId="2" borderId="27" xfId="0" applyFont="1" applyFill="1" applyBorder="1" applyAlignment="1">
      <alignment horizontal="center" vertical="center"/>
    </xf>
    <xf numFmtId="0" fontId="2" fillId="7" borderId="20" xfId="0" applyFont="1" applyFill="1" applyBorder="1" applyAlignment="1">
      <alignment horizontal="center" vertical="center"/>
    </xf>
    <xf numFmtId="1" fontId="0" fillId="22" borderId="0" xfId="0" applyNumberFormat="1" applyFill="1" applyAlignment="1">
      <alignment horizontal="center" vertical="center"/>
    </xf>
    <xf numFmtId="0" fontId="0" fillId="4" borderId="0" xfId="0" applyFont="1" applyFill="1" applyAlignment="1">
      <alignment horizontal="center" vertical="center"/>
    </xf>
    <xf numFmtId="0" fontId="2" fillId="2" borderId="1" xfId="0" applyFont="1" applyFill="1" applyBorder="1" applyAlignment="1">
      <alignment horizontal="left" vertical="center" wrapText="1"/>
    </xf>
    <xf numFmtId="0" fontId="2" fillId="2" borderId="0" xfId="0" applyFont="1" applyFill="1" applyAlignment="1">
      <alignment horizontal="left"/>
    </xf>
    <xf numFmtId="1" fontId="0" fillId="7" borderId="0" xfId="0" applyNumberFormat="1" applyFont="1" applyFill="1" applyAlignment="1">
      <alignment horizontal="center" vertical="center"/>
    </xf>
    <xf numFmtId="0" fontId="6" fillId="2" borderId="1" xfId="0" applyFont="1" applyFill="1" applyBorder="1" applyAlignment="1">
      <alignment horizontal="center" vertical="center"/>
    </xf>
    <xf numFmtId="0" fontId="8" fillId="33" borderId="1" xfId="0" applyFont="1" applyFill="1" applyBorder="1"/>
    <xf numFmtId="0" fontId="19" fillId="0" borderId="28" xfId="0" applyFont="1" applyBorder="1"/>
    <xf numFmtId="0" fontId="20" fillId="5" borderId="0" xfId="0" applyFont="1" applyFill="1" applyBorder="1" applyAlignment="1">
      <alignment horizontal="center" vertical="center"/>
    </xf>
    <xf numFmtId="1" fontId="0" fillId="5" borderId="0" xfId="0" applyNumberFormat="1" applyFill="1" applyAlignment="1">
      <alignment horizontal="center" vertical="center"/>
    </xf>
    <xf numFmtId="0" fontId="21" fillId="2" borderId="0" xfId="0" applyFont="1" applyFill="1"/>
    <xf numFmtId="0" fontId="21" fillId="2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21" fillId="22" borderId="1" xfId="0" applyFont="1" applyFill="1" applyBorder="1" applyAlignment="1">
      <alignment horizontal="center" vertical="center"/>
    </xf>
    <xf numFmtId="0" fontId="21" fillId="2" borderId="0" xfId="0" applyFont="1" applyFill="1" applyAlignment="1">
      <alignment horizontal="center" vertical="center"/>
    </xf>
    <xf numFmtId="0" fontId="22" fillId="2" borderId="0" xfId="0" applyFont="1" applyFill="1"/>
    <xf numFmtId="0" fontId="21" fillId="22" borderId="1" xfId="0" applyFont="1" applyFill="1" applyBorder="1" applyAlignment="1">
      <alignment horizontal="left" vertical="center"/>
    </xf>
    <xf numFmtId="0" fontId="21" fillId="22" borderId="1" xfId="0" applyFont="1" applyFill="1" applyBorder="1" applyAlignment="1">
      <alignment horizontal="center"/>
    </xf>
    <xf numFmtId="0" fontId="21" fillId="2" borderId="1" xfId="0" applyFont="1" applyFill="1" applyBorder="1" applyAlignment="1">
      <alignment horizontal="center"/>
    </xf>
    <xf numFmtId="0" fontId="21" fillId="2" borderId="1" xfId="0" applyFont="1" applyFill="1" applyBorder="1" applyAlignment="1">
      <alignment horizontal="center" vertical="center" wrapText="1"/>
    </xf>
    <xf numFmtId="0" fontId="21" fillId="25" borderId="1" xfId="0" applyFont="1" applyFill="1" applyBorder="1" applyAlignment="1">
      <alignment horizontal="left" vertical="center"/>
    </xf>
    <xf numFmtId="0" fontId="21" fillId="25" borderId="1" xfId="0" applyFont="1" applyFill="1" applyBorder="1" applyAlignment="1">
      <alignment horizontal="center"/>
    </xf>
    <xf numFmtId="0" fontId="21" fillId="38" borderId="1" xfId="0" applyFont="1" applyFill="1" applyBorder="1" applyAlignment="1">
      <alignment horizontal="left" vertical="center"/>
    </xf>
    <xf numFmtId="0" fontId="21" fillId="38" borderId="1" xfId="0" applyFont="1" applyFill="1" applyBorder="1" applyAlignment="1">
      <alignment horizontal="center"/>
    </xf>
    <xf numFmtId="0" fontId="2" fillId="5" borderId="1" xfId="0" applyFont="1" applyFill="1" applyBorder="1" applyAlignment="1">
      <alignment wrapText="1"/>
    </xf>
    <xf numFmtId="0" fontId="2" fillId="24" borderId="1" xfId="0" applyFont="1" applyFill="1" applyBorder="1" applyAlignment="1">
      <alignment horizontal="left" vertical="center"/>
    </xf>
    <xf numFmtId="0" fontId="2" fillId="24" borderId="1" xfId="0" applyFont="1" applyFill="1" applyBorder="1" applyAlignment="1">
      <alignment horizontal="center" vertical="center"/>
    </xf>
    <xf numFmtId="0" fontId="2" fillId="24" borderId="1" xfId="0" applyFont="1" applyFill="1" applyBorder="1"/>
    <xf numFmtId="0" fontId="2" fillId="24" borderId="1" xfId="0" applyNumberFormat="1" applyFont="1" applyFill="1" applyBorder="1" applyAlignment="1">
      <alignment horizontal="center" vertical="center" wrapText="1"/>
    </xf>
    <xf numFmtId="3" fontId="2" fillId="24" borderId="1" xfId="0" applyNumberFormat="1" applyFont="1" applyFill="1" applyBorder="1" applyAlignment="1">
      <alignment horizontal="center" vertical="center" wrapText="1"/>
    </xf>
    <xf numFmtId="0" fontId="2" fillId="39" borderId="4" xfId="0" applyFont="1" applyFill="1" applyBorder="1" applyAlignment="1">
      <alignment horizontal="left" vertical="center"/>
    </xf>
    <xf numFmtId="0" fontId="2" fillId="39" borderId="4" xfId="0" applyFont="1" applyFill="1" applyBorder="1"/>
    <xf numFmtId="0" fontId="2" fillId="39" borderId="1" xfId="0" applyFont="1" applyFill="1" applyBorder="1"/>
    <xf numFmtId="0" fontId="2" fillId="39" borderId="1" xfId="0" applyFont="1" applyFill="1" applyBorder="1" applyAlignment="1">
      <alignment horizontal="center" vertical="center"/>
    </xf>
    <xf numFmtId="0" fontId="2" fillId="40" borderId="1" xfId="0" applyFont="1" applyFill="1" applyBorder="1"/>
    <xf numFmtId="0" fontId="2" fillId="40" borderId="1" xfId="0" applyFont="1" applyFill="1" applyBorder="1" applyAlignment="1">
      <alignment horizontal="center" vertical="center"/>
    </xf>
    <xf numFmtId="0" fontId="1" fillId="40" borderId="0" xfId="0" applyFont="1" applyFill="1"/>
    <xf numFmtId="0" fontId="1" fillId="40" borderId="1" xfId="0" applyFont="1" applyFill="1" applyBorder="1" applyAlignment="1">
      <alignment horizontal="center" vertical="center"/>
    </xf>
    <xf numFmtId="0" fontId="1" fillId="40" borderId="1" xfId="0" applyFont="1" applyFill="1" applyBorder="1"/>
    <xf numFmtId="0" fontId="1" fillId="40" borderId="5" xfId="0" applyFont="1" applyFill="1" applyBorder="1"/>
    <xf numFmtId="3" fontId="2" fillId="40" borderId="1" xfId="0" applyNumberFormat="1" applyFont="1" applyFill="1" applyBorder="1" applyAlignment="1">
      <alignment horizontal="center" vertical="center"/>
    </xf>
    <xf numFmtId="0" fontId="2" fillId="40" borderId="0" xfId="0" applyFont="1" applyFill="1" applyAlignment="1">
      <alignment horizontal="center" vertical="center"/>
    </xf>
    <xf numFmtId="0" fontId="16" fillId="40" borderId="1" xfId="0" applyFont="1" applyFill="1" applyBorder="1" applyAlignment="1">
      <alignment horizontal="center" vertical="center"/>
    </xf>
    <xf numFmtId="0" fontId="2" fillId="40" borderId="1" xfId="0" quotePrefix="1" applyFont="1" applyFill="1" applyBorder="1" applyAlignment="1">
      <alignment horizontal="center" vertical="center"/>
    </xf>
    <xf numFmtId="0" fontId="2" fillId="40" borderId="0" xfId="0" applyFont="1" applyFill="1" applyBorder="1" applyAlignment="1">
      <alignment horizontal="center" vertical="center"/>
    </xf>
    <xf numFmtId="0" fontId="0" fillId="39" borderId="0" xfId="0" applyFill="1" applyAlignment="1">
      <alignment horizontal="center" vertical="center"/>
    </xf>
    <xf numFmtId="0" fontId="2" fillId="41" borderId="1" xfId="0" applyFont="1" applyFill="1" applyBorder="1"/>
    <xf numFmtId="0" fontId="2" fillId="41" borderId="1" xfId="0" applyFont="1" applyFill="1" applyBorder="1" applyAlignment="1">
      <alignment horizontal="center" vertical="center"/>
    </xf>
    <xf numFmtId="0" fontId="1" fillId="41" borderId="0" xfId="0" applyFont="1" applyFill="1"/>
    <xf numFmtId="0" fontId="1" fillId="41" borderId="1" xfId="0" applyFont="1" applyFill="1" applyBorder="1"/>
    <xf numFmtId="0" fontId="1" fillId="41" borderId="1" xfId="0" applyFont="1" applyFill="1" applyBorder="1" applyAlignment="1">
      <alignment horizontal="center" vertical="center"/>
    </xf>
    <xf numFmtId="0" fontId="0" fillId="40" borderId="0" xfId="0" applyFill="1"/>
    <xf numFmtId="0" fontId="0" fillId="39" borderId="0" xfId="0" applyFill="1"/>
    <xf numFmtId="0" fontId="2" fillId="5" borderId="1" xfId="0" applyFont="1" applyFill="1" applyBorder="1" applyAlignment="1">
      <alignment horizontal="left" vertical="center" wrapText="1"/>
    </xf>
    <xf numFmtId="0" fontId="0" fillId="28" borderId="0" xfId="0" applyFill="1"/>
    <xf numFmtId="0" fontId="20" fillId="5" borderId="1" xfId="0" applyFont="1" applyFill="1" applyBorder="1" applyAlignment="1">
      <alignment horizontal="center" vertical="center"/>
    </xf>
    <xf numFmtId="1" fontId="0" fillId="5" borderId="1" xfId="0" applyNumberFormat="1" applyFill="1" applyBorder="1" applyAlignment="1">
      <alignment horizontal="center" vertical="center"/>
    </xf>
    <xf numFmtId="0" fontId="23" fillId="5" borderId="1" xfId="0" applyFont="1" applyFill="1" applyBorder="1" applyAlignment="1">
      <alignment horizontal="center" vertical="center"/>
    </xf>
    <xf numFmtId="0" fontId="23" fillId="7" borderId="1" xfId="0" applyFont="1" applyFill="1" applyBorder="1" applyAlignment="1">
      <alignment horizontal="center" vertical="center"/>
    </xf>
    <xf numFmtId="0" fontId="21" fillId="5" borderId="1" xfId="0" applyFont="1" applyFill="1" applyBorder="1" applyAlignment="1">
      <alignment horizontal="left" vertical="center"/>
    </xf>
    <xf numFmtId="0" fontId="21" fillId="5" borderId="1" xfId="0" applyFont="1" applyFill="1" applyBorder="1" applyAlignment="1">
      <alignment horizontal="center"/>
    </xf>
    <xf numFmtId="0" fontId="21" fillId="5" borderId="1" xfId="0" applyFont="1" applyFill="1" applyBorder="1"/>
    <xf numFmtId="0" fontId="2" fillId="16" borderId="1" xfId="0" applyFont="1" applyFill="1" applyBorder="1"/>
    <xf numFmtId="0" fontId="2" fillId="16" borderId="1" xfId="0" applyFont="1" applyFill="1" applyBorder="1" applyAlignment="1">
      <alignment horizontal="center" vertical="center"/>
    </xf>
    <xf numFmtId="0" fontId="0" fillId="22" borderId="0" xfId="0" applyFill="1" applyAlignment="1">
      <alignment horizontal="left" vertical="center"/>
    </xf>
    <xf numFmtId="0" fontId="0" fillId="22" borderId="1" xfId="0" applyFill="1" applyBorder="1" applyAlignment="1">
      <alignment horizontal="left" vertical="center"/>
    </xf>
    <xf numFmtId="0" fontId="0" fillId="42" borderId="1" xfId="0" applyFill="1" applyBorder="1" applyAlignment="1">
      <alignment horizontal="left" vertical="center"/>
    </xf>
    <xf numFmtId="0" fontId="8" fillId="33" borderId="1" xfId="0" applyFont="1" applyFill="1" applyBorder="1" applyAlignment="1">
      <alignment horizontal="center" vertical="center"/>
    </xf>
    <xf numFmtId="0" fontId="19" fillId="0" borderId="28" xfId="0" applyFont="1" applyBorder="1" applyAlignment="1">
      <alignment horizontal="center" vertical="center"/>
    </xf>
    <xf numFmtId="0" fontId="24" fillId="0" borderId="0" xfId="0" applyFont="1" applyAlignment="1">
      <alignment horizontal="center" vertical="center"/>
    </xf>
    <xf numFmtId="0" fontId="21" fillId="5" borderId="1" xfId="0" applyFont="1" applyFill="1" applyBorder="1" applyAlignment="1">
      <alignment horizontal="center" vertical="center"/>
    </xf>
    <xf numFmtId="0" fontId="0" fillId="0" borderId="0" xfId="0" applyFont="1" applyAlignment="1">
      <alignment horizontal="center" vertical="center"/>
    </xf>
    <xf numFmtId="0" fontId="0" fillId="5" borderId="0" xfId="0"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pplyBorder="1" applyAlignment="1">
      <alignment horizontal="center" vertical="center"/>
    </xf>
    <xf numFmtId="0" fontId="20" fillId="39" borderId="1" xfId="0" applyFont="1" applyFill="1" applyBorder="1" applyAlignment="1">
      <alignment horizontal="center" vertical="center"/>
    </xf>
    <xf numFmtId="0" fontId="0" fillId="39" borderId="1" xfId="0" applyFill="1" applyBorder="1" applyAlignment="1">
      <alignment horizontal="center" vertical="center"/>
    </xf>
    <xf numFmtId="1" fontId="0" fillId="39" borderId="1" xfId="0" applyNumberFormat="1" applyFill="1" applyBorder="1" applyAlignment="1">
      <alignment horizontal="center" vertical="center"/>
    </xf>
    <xf numFmtId="0" fontId="23" fillId="39" borderId="1" xfId="0" applyFont="1" applyFill="1" applyBorder="1" applyAlignment="1">
      <alignment horizontal="center" vertical="center"/>
    </xf>
    <xf numFmtId="0" fontId="0" fillId="5" borderId="0" xfId="0" applyFont="1" applyFill="1" applyBorder="1" applyAlignment="1">
      <alignment horizontal="center" vertical="center"/>
    </xf>
    <xf numFmtId="0" fontId="1" fillId="16" borderId="1" xfId="0" applyFont="1" applyFill="1" applyBorder="1"/>
    <xf numFmtId="0" fontId="19" fillId="43" borderId="28" xfId="0" applyFont="1" applyFill="1" applyBorder="1" applyAlignment="1">
      <alignment horizontal="center" vertical="center"/>
    </xf>
    <xf numFmtId="0" fontId="19" fillId="0" borderId="28" xfId="0" applyFont="1" applyBorder="1" applyAlignment="1">
      <alignment horizontal="left" vertical="center"/>
    </xf>
    <xf numFmtId="0" fontId="23" fillId="0" borderId="0" xfId="0" applyFont="1" applyAlignment="1">
      <alignment horizontal="center" vertical="center"/>
    </xf>
    <xf numFmtId="0" fontId="12" fillId="39" borderId="1" xfId="0" applyFont="1" applyFill="1" applyBorder="1" applyAlignment="1">
      <alignment horizontal="left" vertical="center"/>
    </xf>
    <xf numFmtId="3" fontId="12" fillId="39" borderId="1" xfId="0" applyNumberFormat="1" applyFont="1" applyFill="1" applyBorder="1" applyAlignment="1">
      <alignment horizontal="center" vertical="center"/>
    </xf>
    <xf numFmtId="0" fontId="2" fillId="5" borderId="1" xfId="0" applyFont="1" applyFill="1" applyBorder="1"/>
    <xf numFmtId="0" fontId="2" fillId="5" borderId="1" xfId="0" applyFont="1" applyFill="1" applyBorder="1" applyAlignment="1">
      <alignment horizontal="left" vertical="center"/>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xf>
    <xf numFmtId="0" fontId="25" fillId="0" borderId="28" xfId="0" applyFont="1" applyBorder="1"/>
    <xf numFmtId="0" fontId="25" fillId="37" borderId="28" xfId="0" applyFont="1" applyFill="1" applyBorder="1"/>
    <xf numFmtId="0" fontId="25" fillId="42" borderId="28" xfId="0" applyFont="1" applyFill="1" applyBorder="1" applyAlignment="1">
      <alignment horizontal="center" vertical="center"/>
    </xf>
    <xf numFmtId="0" fontId="25" fillId="0" borderId="28" xfId="0" applyFont="1" applyBorder="1" applyAlignment="1">
      <alignment horizontal="center" vertical="center"/>
    </xf>
    <xf numFmtId="165" fontId="0" fillId="0" borderId="0" xfId="0" applyNumberFormat="1" applyAlignment="1">
      <alignment horizontal="center" vertical="center"/>
    </xf>
    <xf numFmtId="0" fontId="0" fillId="0" borderId="0" xfId="0" applyFill="1" applyBorder="1" applyAlignment="1">
      <alignment horizontal="center" vertical="center"/>
    </xf>
    <xf numFmtId="1" fontId="0" fillId="0" borderId="0" xfId="0" applyNumberFormat="1" applyFill="1" applyBorder="1" applyAlignment="1">
      <alignment horizontal="center" vertical="center"/>
    </xf>
    <xf numFmtId="0" fontId="21" fillId="2" borderId="1" xfId="0" applyFont="1" applyFill="1" applyBorder="1"/>
    <xf numFmtId="3" fontId="0" fillId="5" borderId="1" xfId="0" applyNumberFormat="1" applyFill="1" applyBorder="1" applyAlignment="1">
      <alignment horizontal="center" vertical="center"/>
    </xf>
    <xf numFmtId="165" fontId="0" fillId="5" borderId="0" xfId="0" applyNumberFormat="1" applyFill="1" applyAlignment="1">
      <alignment horizontal="center" vertical="center"/>
    </xf>
    <xf numFmtId="3" fontId="0" fillId="5" borderId="0" xfId="0" applyNumberFormat="1" applyFill="1" applyAlignment="1">
      <alignment horizontal="center" vertical="center"/>
    </xf>
    <xf numFmtId="0" fontId="4" fillId="4" borderId="1" xfId="0" applyFont="1" applyFill="1" applyBorder="1" applyAlignment="1">
      <alignment horizontal="center" vertical="center"/>
    </xf>
    <xf numFmtId="0" fontId="1" fillId="2" borderId="0" xfId="0" applyFont="1" applyFill="1" applyAlignment="1">
      <alignment horizontal="left" vertical="center"/>
    </xf>
    <xf numFmtId="0" fontId="2" fillId="44" borderId="0" xfId="0" applyFont="1" applyFill="1"/>
    <xf numFmtId="0" fontId="2" fillId="44" borderId="0" xfId="0" applyFont="1" applyFill="1" applyAlignment="1">
      <alignment horizontal="center" vertical="center"/>
    </xf>
    <xf numFmtId="0" fontId="26" fillId="5" borderId="1" xfId="0" applyFont="1" applyFill="1" applyBorder="1" applyAlignment="1">
      <alignment horizontal="center" vertical="center"/>
    </xf>
    <xf numFmtId="0" fontId="26" fillId="26" borderId="1" xfId="0" applyFont="1" applyFill="1" applyBorder="1" applyAlignment="1">
      <alignment horizontal="center" vertical="center"/>
    </xf>
    <xf numFmtId="0" fontId="26" fillId="5" borderId="1" xfId="0" applyFont="1" applyFill="1" applyBorder="1" applyAlignment="1">
      <alignment wrapText="1"/>
    </xf>
    <xf numFmtId="0" fontId="26" fillId="22" borderId="1" xfId="0" applyFont="1" applyFill="1" applyBorder="1" applyAlignment="1">
      <alignment horizontal="center" vertical="center" wrapText="1"/>
    </xf>
    <xf numFmtId="0" fontId="26" fillId="24" borderId="1" xfId="0" applyFont="1" applyFill="1" applyBorder="1" applyAlignment="1">
      <alignment horizontal="center" vertical="center"/>
    </xf>
    <xf numFmtId="0" fontId="26" fillId="24" borderId="1" xfId="0" applyNumberFormat="1" applyFont="1" applyFill="1" applyBorder="1" applyAlignment="1">
      <alignment horizontal="center" vertical="center" wrapText="1"/>
    </xf>
    <xf numFmtId="3" fontId="26" fillId="24" borderId="1" xfId="0" applyNumberFormat="1" applyFont="1" applyFill="1" applyBorder="1" applyAlignment="1">
      <alignment horizontal="center" vertical="center" wrapText="1"/>
    </xf>
    <xf numFmtId="0" fontId="26" fillId="5" borderId="1" xfId="0" applyFont="1" applyFill="1" applyBorder="1" applyAlignment="1">
      <alignment horizontal="center" vertical="center" wrapText="1"/>
    </xf>
    <xf numFmtId="0" fontId="6" fillId="44" borderId="1" xfId="0" applyFont="1" applyFill="1" applyBorder="1" applyAlignment="1">
      <alignment horizontal="left" vertical="center"/>
    </xf>
    <xf numFmtId="0" fontId="26" fillId="5" borderId="1" xfId="0" applyNumberFormat="1" applyFont="1" applyFill="1" applyBorder="1" applyAlignment="1">
      <alignment horizontal="center" vertical="center" wrapText="1"/>
    </xf>
    <xf numFmtId="0" fontId="27" fillId="2" borderId="0" xfId="0" applyFont="1" applyFill="1"/>
    <xf numFmtId="0" fontId="15" fillId="0" borderId="0" xfId="0" applyFont="1" applyAlignment="1">
      <alignment horizontal="left" vertical="center"/>
    </xf>
    <xf numFmtId="0" fontId="15" fillId="0" borderId="0" xfId="0" applyFont="1"/>
    <xf numFmtId="1" fontId="15" fillId="0" borderId="1" xfId="0" applyNumberFormat="1" applyFont="1" applyBorder="1" applyAlignment="1">
      <alignment horizontal="left" vertical="center"/>
    </xf>
    <xf numFmtId="1" fontId="15" fillId="2" borderId="1" xfId="0" applyNumberFormat="1" applyFont="1" applyFill="1" applyBorder="1" applyAlignment="1">
      <alignment horizontal="left" vertical="center"/>
    </xf>
    <xf numFmtId="0" fontId="15" fillId="0" borderId="0" xfId="0" applyFont="1" applyAlignment="1">
      <alignment horizontal="center" vertical="center"/>
    </xf>
    <xf numFmtId="0" fontId="15" fillId="0" borderId="29" xfId="0" applyFont="1" applyBorder="1"/>
    <xf numFmtId="0" fontId="15" fillId="0" borderId="29" xfId="0" applyFont="1" applyBorder="1" applyAlignment="1">
      <alignment horizontal="center" vertical="center"/>
    </xf>
    <xf numFmtId="1" fontId="15" fillId="0" borderId="1" xfId="0" applyNumberFormat="1" applyFont="1" applyBorder="1" applyAlignment="1">
      <alignment horizontal="center" vertical="center"/>
    </xf>
    <xf numFmtId="1" fontId="15" fillId="2" borderId="1" xfId="0" applyNumberFormat="1" applyFont="1" applyFill="1" applyBorder="1" applyAlignment="1">
      <alignment horizontal="center" vertical="center"/>
    </xf>
    <xf numFmtId="1" fontId="28" fillId="0" borderId="1" xfId="0" applyNumberFormat="1" applyFont="1" applyBorder="1" applyAlignment="1">
      <alignment horizontal="center" vertical="center"/>
    </xf>
    <xf numFmtId="0" fontId="2" fillId="45" borderId="1" xfId="0" applyFont="1" applyFill="1" applyBorder="1" applyAlignment="1">
      <alignment horizontal="center" vertical="center"/>
    </xf>
    <xf numFmtId="0" fontId="2" fillId="45" borderId="1" xfId="0" applyFont="1" applyFill="1" applyBorder="1" applyAlignment="1">
      <alignment horizontal="left" vertical="center"/>
    </xf>
    <xf numFmtId="0" fontId="2" fillId="45" borderId="1" xfId="0" applyFont="1" applyFill="1" applyBorder="1" applyAlignment="1">
      <alignment horizontal="center"/>
    </xf>
    <xf numFmtId="0" fontId="26" fillId="46" borderId="1" xfId="0" applyFont="1" applyFill="1" applyBorder="1" applyAlignment="1">
      <alignment horizontal="center" vertical="center" wrapText="1"/>
    </xf>
    <xf numFmtId="0" fontId="26" fillId="46" borderId="1" xfId="0" applyFont="1" applyFill="1" applyBorder="1" applyAlignment="1">
      <alignment horizontal="center" vertical="center"/>
    </xf>
    <xf numFmtId="0" fontId="26" fillId="46" borderId="1" xfId="0" applyFont="1" applyFill="1" applyBorder="1" applyAlignment="1">
      <alignment wrapText="1"/>
    </xf>
    <xf numFmtId="0" fontId="26" fillId="46" borderId="1" xfId="0" applyNumberFormat="1" applyFont="1" applyFill="1" applyBorder="1" applyAlignment="1">
      <alignment horizontal="center" vertical="center" wrapText="1"/>
    </xf>
    <xf numFmtId="3" fontId="26" fillId="46" borderId="1" xfId="0" applyNumberFormat="1" applyFont="1" applyFill="1" applyBorder="1" applyAlignment="1">
      <alignment horizontal="center" vertical="center" wrapText="1"/>
    </xf>
    <xf numFmtId="0" fontId="2" fillId="46" borderId="0" xfId="0" applyFont="1" applyFill="1" applyAlignment="1">
      <alignment horizontal="center" vertical="center"/>
    </xf>
    <xf numFmtId="0" fontId="2" fillId="45" borderId="1" xfId="0" applyFont="1" applyFill="1" applyBorder="1"/>
    <xf numFmtId="0" fontId="2" fillId="47" borderId="1" xfId="0" applyFont="1" applyFill="1" applyBorder="1"/>
    <xf numFmtId="0" fontId="2" fillId="47" borderId="1" xfId="0" applyFont="1" applyFill="1" applyBorder="1" applyAlignment="1">
      <alignment horizontal="center" vertical="center"/>
    </xf>
    <xf numFmtId="0" fontId="1" fillId="47" borderId="0" xfId="0" applyFont="1" applyFill="1"/>
    <xf numFmtId="0" fontId="1" fillId="47" borderId="1" xfId="0" applyFont="1" applyFill="1" applyBorder="1"/>
    <xf numFmtId="0" fontId="1" fillId="47" borderId="1" xfId="0" applyFont="1" applyFill="1" applyBorder="1" applyAlignment="1">
      <alignment horizontal="center" vertical="center"/>
    </xf>
    <xf numFmtId="0" fontId="1" fillId="47" borderId="5" xfId="0" applyFont="1" applyFill="1" applyBorder="1"/>
    <xf numFmtId="3" fontId="2" fillId="47" borderId="1" xfId="0" applyNumberFormat="1" applyFont="1" applyFill="1" applyBorder="1" applyAlignment="1">
      <alignment horizontal="center" vertical="center"/>
    </xf>
    <xf numFmtId="0" fontId="2" fillId="47" borderId="0" xfId="0" applyFont="1" applyFill="1" applyAlignment="1">
      <alignment horizontal="center" vertical="center"/>
    </xf>
    <xf numFmtId="0" fontId="16" fillId="47" borderId="1" xfId="0" applyFont="1" applyFill="1" applyBorder="1" applyAlignment="1">
      <alignment horizontal="center" vertical="center"/>
    </xf>
    <xf numFmtId="0" fontId="2" fillId="47" borderId="1" xfId="0" quotePrefix="1" applyFont="1" applyFill="1" applyBorder="1" applyAlignment="1">
      <alignment horizontal="center" vertical="center"/>
    </xf>
    <xf numFmtId="0" fontId="2" fillId="47" borderId="0" xfId="0" applyFont="1" applyFill="1" applyBorder="1" applyAlignment="1">
      <alignment horizontal="center" vertical="center"/>
    </xf>
    <xf numFmtId="0" fontId="2" fillId="48" borderId="1" xfId="0" applyFont="1" applyFill="1" applyBorder="1" applyAlignment="1">
      <alignment horizontal="left" vertical="center"/>
    </xf>
    <xf numFmtId="0" fontId="6" fillId="48" borderId="1" xfId="0" applyFont="1" applyFill="1" applyBorder="1" applyAlignment="1">
      <alignment horizontal="left" vertical="center"/>
    </xf>
    <xf numFmtId="0" fontId="2" fillId="48" borderId="6" xfId="0" applyFont="1" applyFill="1" applyBorder="1" applyAlignment="1">
      <alignment horizontal="left" vertical="center"/>
    </xf>
    <xf numFmtId="0" fontId="2" fillId="49" borderId="1" xfId="0" applyFont="1" applyFill="1" applyBorder="1" applyAlignment="1">
      <alignment horizontal="left" vertical="center"/>
    </xf>
    <xf numFmtId="0" fontId="2" fillId="49" borderId="6" xfId="0" applyFont="1" applyFill="1" applyBorder="1" applyAlignment="1">
      <alignment horizontal="left" vertical="center"/>
    </xf>
    <xf numFmtId="0" fontId="2" fillId="50" borderId="6" xfId="0" applyFont="1" applyFill="1" applyBorder="1" applyAlignment="1">
      <alignment horizontal="left" vertical="center"/>
    </xf>
    <xf numFmtId="0" fontId="2" fillId="46" borderId="0" xfId="0" applyFont="1" applyFill="1"/>
    <xf numFmtId="0" fontId="2" fillId="47" borderId="1" xfId="0" applyFont="1" applyFill="1" applyBorder="1" applyAlignment="1">
      <alignment horizontal="left" vertical="center"/>
    </xf>
    <xf numFmtId="0" fontId="2" fillId="48" borderId="0" xfId="0" applyFont="1" applyFill="1"/>
    <xf numFmtId="0" fontId="2" fillId="52" borderId="1" xfId="0" applyFont="1" applyFill="1" applyBorder="1"/>
    <xf numFmtId="0" fontId="2" fillId="52" borderId="1" xfId="0" applyFont="1" applyFill="1" applyBorder="1" applyAlignment="1">
      <alignment horizontal="center" vertical="center"/>
    </xf>
    <xf numFmtId="0" fontId="1" fillId="52" borderId="0" xfId="0" applyFont="1" applyFill="1"/>
    <xf numFmtId="0" fontId="1" fillId="52" borderId="1" xfId="0" applyFont="1" applyFill="1" applyBorder="1"/>
    <xf numFmtId="0" fontId="1" fillId="52" borderId="1" xfId="0" applyFont="1" applyFill="1" applyBorder="1" applyAlignment="1">
      <alignment horizontal="center" vertical="center"/>
    </xf>
    <xf numFmtId="1" fontId="15" fillId="53" borderId="1" xfId="0" applyNumberFormat="1" applyFont="1" applyFill="1" applyBorder="1" applyAlignment="1">
      <alignment horizontal="left" vertical="center"/>
    </xf>
    <xf numFmtId="0" fontId="15" fillId="48" borderId="29" xfId="0" applyFont="1" applyFill="1" applyBorder="1"/>
    <xf numFmtId="1" fontId="15" fillId="48" borderId="1" xfId="0" applyNumberFormat="1" applyFont="1" applyFill="1" applyBorder="1" applyAlignment="1">
      <alignment horizontal="left" vertical="center"/>
    </xf>
    <xf numFmtId="0" fontId="15" fillId="48" borderId="0" xfId="0" applyFont="1" applyFill="1" applyAlignment="1">
      <alignment horizontal="center" vertical="center"/>
    </xf>
    <xf numFmtId="0" fontId="15" fillId="48" borderId="0" xfId="0" applyFont="1" applyFill="1"/>
    <xf numFmtId="1" fontId="15" fillId="48" borderId="0" xfId="0" applyNumberFormat="1" applyFont="1" applyFill="1" applyAlignment="1">
      <alignment horizontal="center" vertical="center"/>
    </xf>
    <xf numFmtId="0" fontId="20" fillId="53" borderId="28" xfId="0" applyFont="1" applyFill="1" applyBorder="1" applyAlignment="1">
      <alignment horizontal="center" vertical="center"/>
    </xf>
    <xf numFmtId="0" fontId="2" fillId="43" borderId="1" xfId="0" applyFont="1" applyFill="1" applyBorder="1"/>
    <xf numFmtId="0" fontId="2" fillId="43" borderId="1" xfId="0" applyFont="1" applyFill="1" applyBorder="1" applyAlignment="1">
      <alignment horizontal="center" vertical="center"/>
    </xf>
    <xf numFmtId="0" fontId="1" fillId="43" borderId="0" xfId="0" applyFont="1" applyFill="1"/>
    <xf numFmtId="0" fontId="1" fillId="43" borderId="9" xfId="0" applyFont="1" applyFill="1" applyBorder="1"/>
    <xf numFmtId="0" fontId="2" fillId="43" borderId="0" xfId="0" applyFont="1" applyFill="1" applyAlignment="1">
      <alignment horizontal="center" vertical="center"/>
    </xf>
    <xf numFmtId="0" fontId="6" fillId="43" borderId="1" xfId="0" applyFont="1" applyFill="1" applyBorder="1" applyAlignment="1">
      <alignment horizontal="left" vertical="center"/>
    </xf>
    <xf numFmtId="0" fontId="1" fillId="43" borderId="1" xfId="0" applyFont="1" applyFill="1" applyBorder="1"/>
    <xf numFmtId="0" fontId="1" fillId="43" borderId="1" xfId="0" applyFont="1" applyFill="1" applyBorder="1" applyAlignment="1">
      <alignment horizontal="center" vertical="center"/>
    </xf>
    <xf numFmtId="0" fontId="2" fillId="43" borderId="9" xfId="0" applyFont="1" applyFill="1" applyBorder="1"/>
    <xf numFmtId="3" fontId="2" fillId="43" borderId="1" xfId="0" applyNumberFormat="1" applyFont="1" applyFill="1" applyBorder="1" applyAlignment="1">
      <alignment horizontal="center" vertical="center"/>
    </xf>
    <xf numFmtId="0" fontId="2" fillId="43" borderId="1" xfId="0" applyFont="1" applyFill="1" applyBorder="1" applyAlignment="1">
      <alignment horizontal="left" vertical="center"/>
    </xf>
    <xf numFmtId="0" fontId="2" fillId="54" borderId="1" xfId="0" applyFont="1" applyFill="1" applyBorder="1"/>
    <xf numFmtId="0" fontId="2" fillId="54" borderId="1" xfId="0" applyFont="1" applyFill="1" applyBorder="1" applyAlignment="1">
      <alignment horizontal="center" vertical="center"/>
    </xf>
    <xf numFmtId="0" fontId="1" fillId="54" borderId="0" xfId="0" applyFont="1" applyFill="1"/>
    <xf numFmtId="0" fontId="2" fillId="54" borderId="0" xfId="0" applyFont="1" applyFill="1"/>
    <xf numFmtId="0" fontId="1" fillId="54" borderId="1" xfId="0" applyFont="1" applyFill="1" applyBorder="1"/>
    <xf numFmtId="0" fontId="1" fillId="54" borderId="1" xfId="0" applyFont="1" applyFill="1" applyBorder="1" applyAlignment="1">
      <alignment horizontal="center" vertical="center"/>
    </xf>
    <xf numFmtId="0" fontId="2" fillId="55" borderId="1" xfId="0" applyFont="1" applyFill="1" applyBorder="1"/>
    <xf numFmtId="0" fontId="2" fillId="55" borderId="1" xfId="0" applyFont="1" applyFill="1" applyBorder="1" applyAlignment="1">
      <alignment horizontal="center" vertical="center"/>
    </xf>
    <xf numFmtId="0" fontId="2" fillId="55" borderId="4" xfId="0" applyFont="1" applyFill="1" applyBorder="1" applyAlignment="1">
      <alignment horizontal="left" vertical="center"/>
    </xf>
    <xf numFmtId="0" fontId="2" fillId="55" borderId="4" xfId="0" applyFont="1" applyFill="1" applyBorder="1"/>
    <xf numFmtId="0" fontId="2" fillId="55" borderId="1" xfId="0" applyFont="1" applyFill="1" applyBorder="1" applyAlignment="1">
      <alignment horizontal="left" vertical="center"/>
    </xf>
    <xf numFmtId="0" fontId="2" fillId="56" borderId="1" xfId="0" applyFont="1" applyFill="1" applyBorder="1" applyAlignment="1">
      <alignment horizontal="left" vertical="center"/>
    </xf>
    <xf numFmtId="0" fontId="2" fillId="56" borderId="1" xfId="0" applyFont="1" applyFill="1" applyBorder="1" applyAlignment="1">
      <alignment horizontal="center" vertical="center"/>
    </xf>
    <xf numFmtId="0" fontId="2" fillId="56" borderId="1" xfId="0" applyFont="1" applyFill="1" applyBorder="1"/>
    <xf numFmtId="0" fontId="26" fillId="51" borderId="1" xfId="0" applyFont="1" applyFill="1" applyBorder="1" applyAlignment="1">
      <alignment horizontal="center" vertical="center"/>
    </xf>
    <xf numFmtId="0" fontId="26" fillId="51" borderId="1" xfId="0" applyNumberFormat="1" applyFont="1" applyFill="1" applyBorder="1" applyAlignment="1">
      <alignment horizontal="center" vertical="center" wrapText="1"/>
    </xf>
    <xf numFmtId="0" fontId="12" fillId="57" borderId="1" xfId="0" applyFont="1" applyFill="1" applyBorder="1" applyAlignment="1">
      <alignment horizontal="left" vertical="center"/>
    </xf>
    <xf numFmtId="3" fontId="12" fillId="57" borderId="1" xfId="0" applyNumberFormat="1" applyFont="1" applyFill="1" applyBorder="1" applyAlignment="1">
      <alignment horizontal="center" vertical="center"/>
    </xf>
    <xf numFmtId="3" fontId="2" fillId="48" borderId="0" xfId="0" applyNumberFormat="1" applyFont="1" applyFill="1" applyAlignment="1">
      <alignment horizontal="center" vertical="center"/>
    </xf>
    <xf numFmtId="1" fontId="15" fillId="0" borderId="0" xfId="0" applyNumberFormat="1" applyFont="1" applyAlignment="1">
      <alignment horizontal="center" vertical="center"/>
    </xf>
    <xf numFmtId="0" fontId="15" fillId="0" borderId="0" xfId="0" applyFont="1" applyFill="1" applyAlignment="1">
      <alignment horizontal="left"/>
    </xf>
    <xf numFmtId="0" fontId="15" fillId="0" borderId="0" xfId="0" applyFont="1" applyFill="1"/>
    <xf numFmtId="1" fontId="15" fillId="53" borderId="1" xfId="0" applyNumberFormat="1" applyFont="1" applyFill="1" applyBorder="1" applyAlignment="1">
      <alignment horizontal="center" vertical="center"/>
    </xf>
    <xf numFmtId="1" fontId="15" fillId="48" borderId="1" xfId="0" applyNumberFormat="1" applyFont="1" applyFill="1" applyBorder="1" applyAlignment="1">
      <alignment horizontal="center" vertical="center"/>
    </xf>
    <xf numFmtId="1" fontId="15" fillId="48" borderId="5" xfId="0" applyNumberFormat="1" applyFont="1" applyFill="1" applyBorder="1" applyAlignment="1">
      <alignment horizontal="center" vertical="center"/>
    </xf>
    <xf numFmtId="0" fontId="25" fillId="0" borderId="1" xfId="0" applyFont="1" applyBorder="1"/>
    <xf numFmtId="0" fontId="25" fillId="0" borderId="1" xfId="0" applyFont="1" applyBorder="1" applyAlignment="1">
      <alignment horizontal="center" vertical="center"/>
    </xf>
    <xf numFmtId="0" fontId="20" fillId="53" borderId="1" xfId="0" applyFont="1" applyFill="1" applyBorder="1" applyAlignment="1">
      <alignment horizontal="center" vertical="center"/>
    </xf>
    <xf numFmtId="0" fontId="15" fillId="48" borderId="1" xfId="0" applyFont="1" applyFill="1" applyBorder="1" applyAlignment="1">
      <alignment horizontal="center" vertical="center"/>
    </xf>
    <xf numFmtId="0" fontId="15" fillId="48" borderId="1" xfId="0" applyFont="1" applyFill="1" applyBorder="1"/>
    <xf numFmtId="0" fontId="0" fillId="48" borderId="1" xfId="0" applyFill="1" applyBorder="1"/>
    <xf numFmtId="0" fontId="0" fillId="48"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NumberFormat="1" applyBorder="1" applyAlignment="1">
      <alignment horizontal="center" vertical="center"/>
    </xf>
  </cellXfs>
  <cellStyles count="1">
    <cellStyle name="Normalny" xfId="0" builtinId="0"/>
  </cellStyles>
  <dxfs count="0"/>
  <tableStyles count="0" defaultTableStyle="TableStyleMedium2" defaultPivotStyle="PivotStyleLight16"/>
  <colors>
    <mruColors>
      <color rgb="FFFFE9C9"/>
      <color rgb="FF00FFCC"/>
      <color rgb="FFFF9900"/>
      <color rgb="FFD7E3FD"/>
      <color rgb="FFB6CCFC"/>
      <color rgb="FFB4FAF8"/>
      <color rgb="FFCDF3E9"/>
      <color rgb="FF2EC8A0"/>
      <color rgb="FF00DA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a:latin typeface="Arial" panose="020B0604020202020204" pitchFamily="34" charset="0"/>
                <a:cs typeface="Arial" panose="020B0604020202020204" pitchFamily="34" charset="0"/>
              </a:rPr>
              <a:t>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prowadzonej</a:t>
            </a:r>
          </a:p>
          <a:p>
            <a:pPr algn="l">
              <a:defRPr sz="800">
                <a:latin typeface="Arial" panose="020B0604020202020204" pitchFamily="34" charset="0"/>
                <a:cs typeface="Arial" panose="020B0604020202020204" pitchFamily="34" charset="0"/>
              </a:defRPr>
            </a:pPr>
            <a:r>
              <a:rPr lang="pl-PL" sz="700" b="0">
                <a:latin typeface="Arial" panose="020B0604020202020204" pitchFamily="34" charset="0"/>
                <a:cs typeface="Arial" panose="020B0604020202020204" pitchFamily="34" charset="0"/>
              </a:rPr>
              <a:t>działalności</a:t>
            </a:r>
            <a:r>
              <a:rPr lang="pl-PL" sz="700" b="0" baseline="0">
                <a:latin typeface="Arial" panose="020B0604020202020204" pitchFamily="34" charset="0"/>
                <a:cs typeface="Arial" panose="020B0604020202020204" pitchFamily="34" charset="0"/>
              </a:rPr>
              <a:t> 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'10'!$H$9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73FB-47FC-ACB1-87F6DAB4080B}"/>
              </c:ext>
            </c:extLst>
          </c:dPt>
          <c:dPt>
            <c:idx val="5"/>
            <c:invertIfNegative val="0"/>
            <c:bubble3D val="0"/>
            <c:extLst>
              <c:ext xmlns:c16="http://schemas.microsoft.com/office/drawing/2014/chart" uri="{C3380CC4-5D6E-409C-BE32-E72D297353CC}">
                <c16:uniqueId val="{00000001-73FB-47FC-ACB1-87F6DAB4080B}"/>
              </c:ext>
            </c:extLst>
          </c:dPt>
          <c:dPt>
            <c:idx val="8"/>
            <c:invertIfNegative val="0"/>
            <c:bubble3D val="0"/>
            <c:extLst>
              <c:ext xmlns:c16="http://schemas.microsoft.com/office/drawing/2014/chart" uri="{C3380CC4-5D6E-409C-BE32-E72D297353CC}">
                <c16:uniqueId val="{00000002-73FB-47FC-ACB1-87F6DAB4080B}"/>
              </c:ext>
            </c:extLst>
          </c:dPt>
          <c:dPt>
            <c:idx val="10"/>
            <c:invertIfNegative val="0"/>
            <c:bubble3D val="0"/>
            <c:extLst>
              <c:ext xmlns:c16="http://schemas.microsoft.com/office/drawing/2014/chart" uri="{C3380CC4-5D6E-409C-BE32-E72D297353CC}">
                <c16:uniqueId val="{00000003-73FB-47FC-ACB1-87F6DAB4080B}"/>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'10'!$J$10:$J$14</c:f>
              <c:numCache>
                <c:formatCode>General</c:formatCode>
                <c:ptCount val="5"/>
                <c:pt idx="0">
                  <c:v>93</c:v>
                </c:pt>
                <c:pt idx="1">
                  <c:v>156</c:v>
                </c:pt>
                <c:pt idx="2">
                  <c:v>9</c:v>
                </c:pt>
                <c:pt idx="3">
                  <c:v>0</c:v>
                </c:pt>
                <c:pt idx="4">
                  <c:v>0</c:v>
                </c:pt>
              </c:numCache>
            </c:numRef>
          </c:val>
          <c:extLst>
            <c:ext xmlns:c16="http://schemas.microsoft.com/office/drawing/2014/chart" uri="{C3380CC4-5D6E-409C-BE32-E72D297353CC}">
              <c16:uniqueId val="{00000004-73FB-47FC-ACB1-87F6DAB4080B}"/>
            </c:ext>
          </c:extLst>
        </c:ser>
        <c:dLbls>
          <c:showLegendKey val="0"/>
          <c:showVal val="1"/>
          <c:showCatName val="0"/>
          <c:showSerName val="0"/>
          <c:showPercent val="0"/>
          <c:showBubbleSize val="0"/>
        </c:dLbls>
        <c:gapWidth val="22"/>
        <c:overlap val="6"/>
        <c:axId val="362329216"/>
        <c:axId val="362336640"/>
      </c:barChart>
      <c:catAx>
        <c:axId val="36232921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62336640"/>
        <c:crosses val="autoZero"/>
        <c:auto val="1"/>
        <c:lblAlgn val="ctr"/>
        <c:lblOffset val="100"/>
        <c:noMultiLvlLbl val="0"/>
      </c:catAx>
      <c:valAx>
        <c:axId val="362336640"/>
        <c:scaling>
          <c:orientation val="minMax"/>
        </c:scaling>
        <c:delete val="1"/>
        <c:axPos val="t"/>
        <c:numFmt formatCode="General" sourceLinked="1"/>
        <c:majorTickMark val="none"/>
        <c:minorTickMark val="none"/>
        <c:tickLblPos val="nextTo"/>
        <c:crossAx val="362329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'13'!$M$51</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0A-4141-881E-C810F12FEA08}"/>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0A-4141-881E-C810F12FEA08}"/>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0A-4141-881E-C810F12FEA08}"/>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0A-4141-881E-C810F12FEA08}"/>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0A-4141-881E-C810F12FEA08}"/>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0A-4141-881E-C810F12FEA08}"/>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0A-4141-881E-C810F12FEA08}"/>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'13'!$M$52:$M$59</c:f>
              <c:numCache>
                <c:formatCode>General</c:formatCode>
                <c:ptCount val="8"/>
                <c:pt idx="0">
                  <c:v>86</c:v>
                </c:pt>
                <c:pt idx="1">
                  <c:v>377</c:v>
                </c:pt>
                <c:pt idx="2">
                  <c:v>180</c:v>
                </c:pt>
                <c:pt idx="3">
                  <c:v>361</c:v>
                </c:pt>
                <c:pt idx="4">
                  <c:v>249</c:v>
                </c:pt>
                <c:pt idx="5">
                  <c:v>173</c:v>
                </c:pt>
                <c:pt idx="6">
                  <c:v>97</c:v>
                </c:pt>
                <c:pt idx="7">
                  <c:v>224</c:v>
                </c:pt>
              </c:numCache>
            </c:numRef>
          </c:val>
          <c:smooth val="0"/>
          <c:extLst>
            <c:ext xmlns:c16="http://schemas.microsoft.com/office/drawing/2014/chart" uri="{C3380CC4-5D6E-409C-BE32-E72D297353CC}">
              <c16:uniqueId val="{00000007-900A-4141-881E-C810F12FEA08}"/>
            </c:ext>
          </c:extLst>
        </c:ser>
        <c:ser>
          <c:idx val="1"/>
          <c:order val="1"/>
          <c:tx>
            <c:strRef>
              <c:f>'13'!$N$51</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0A-4141-881E-C810F12FEA08}"/>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0A-4141-881E-C810F12FEA08}"/>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0A-4141-881E-C810F12FEA08}"/>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0A-4141-881E-C810F12FEA08}"/>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'13'!$N$52:$N$59</c:f>
              <c:numCache>
                <c:formatCode>General</c:formatCode>
                <c:ptCount val="8"/>
                <c:pt idx="0">
                  <c:v>122</c:v>
                </c:pt>
                <c:pt idx="1">
                  <c:v>410</c:v>
                </c:pt>
                <c:pt idx="2">
                  <c:v>231</c:v>
                </c:pt>
                <c:pt idx="3">
                  <c:v>378</c:v>
                </c:pt>
                <c:pt idx="4">
                  <c:v>258</c:v>
                </c:pt>
                <c:pt idx="5">
                  <c:v>197</c:v>
                </c:pt>
                <c:pt idx="6">
                  <c:v>97</c:v>
                </c:pt>
                <c:pt idx="7">
                  <c:v>224</c:v>
                </c:pt>
              </c:numCache>
            </c:numRef>
          </c:val>
          <c:smooth val="0"/>
          <c:extLst>
            <c:ext xmlns:c16="http://schemas.microsoft.com/office/drawing/2014/chart" uri="{C3380CC4-5D6E-409C-BE32-E72D297353CC}">
              <c16:uniqueId val="{0000000C-900A-4141-881E-C810F12FEA08}"/>
            </c:ext>
          </c:extLst>
        </c:ser>
        <c:dLbls>
          <c:showLegendKey val="0"/>
          <c:showVal val="0"/>
          <c:showCatName val="0"/>
          <c:showSerName val="0"/>
          <c:showPercent val="0"/>
          <c:showBubbleSize val="0"/>
        </c:dLbls>
        <c:smooth val="0"/>
        <c:axId val="257726336"/>
        <c:axId val="257727872"/>
      </c:lineChart>
      <c:catAx>
        <c:axId val="25772633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727872"/>
        <c:crosses val="autoZero"/>
        <c:auto val="1"/>
        <c:lblAlgn val="ctr"/>
        <c:lblOffset val="100"/>
        <c:noMultiLvlLbl val="0"/>
      </c:catAx>
      <c:valAx>
        <c:axId val="25772787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726336"/>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'14'!$H$11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099-4118-B490-56F7B2D81C14}"/>
              </c:ext>
            </c:extLst>
          </c:dPt>
          <c:dPt>
            <c:idx val="5"/>
            <c:invertIfNegative val="0"/>
            <c:bubble3D val="0"/>
            <c:extLst>
              <c:ext xmlns:c16="http://schemas.microsoft.com/office/drawing/2014/chart" uri="{C3380CC4-5D6E-409C-BE32-E72D297353CC}">
                <c16:uniqueId val="{00000001-0099-4118-B490-56F7B2D81C14}"/>
              </c:ext>
            </c:extLst>
          </c:dPt>
          <c:dPt>
            <c:idx val="8"/>
            <c:invertIfNegative val="0"/>
            <c:bubble3D val="0"/>
            <c:extLst>
              <c:ext xmlns:c16="http://schemas.microsoft.com/office/drawing/2014/chart" uri="{C3380CC4-5D6E-409C-BE32-E72D297353CC}">
                <c16:uniqueId val="{00000002-0099-4118-B490-56F7B2D81C14}"/>
              </c:ext>
            </c:extLst>
          </c:dPt>
          <c:dPt>
            <c:idx val="10"/>
            <c:invertIfNegative val="0"/>
            <c:bubble3D val="0"/>
            <c:extLst>
              <c:ext xmlns:c16="http://schemas.microsoft.com/office/drawing/2014/chart" uri="{C3380CC4-5D6E-409C-BE32-E72D297353CC}">
                <c16:uniqueId val="{00000003-0099-4118-B490-56F7B2D81C1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'14'!$J$12:$J$16</c:f>
              <c:numCache>
                <c:formatCode>General</c:formatCode>
                <c:ptCount val="5"/>
                <c:pt idx="0">
                  <c:v>48</c:v>
                </c:pt>
                <c:pt idx="1">
                  <c:v>104</c:v>
                </c:pt>
                <c:pt idx="2">
                  <c:v>10</c:v>
                </c:pt>
                <c:pt idx="3">
                  <c:v>2</c:v>
                </c:pt>
                <c:pt idx="4">
                  <c:v>1</c:v>
                </c:pt>
              </c:numCache>
            </c:numRef>
          </c:val>
          <c:extLst>
            <c:ext xmlns:c16="http://schemas.microsoft.com/office/drawing/2014/chart" uri="{C3380CC4-5D6E-409C-BE32-E72D297353CC}">
              <c16:uniqueId val="{00000004-0099-4118-B490-56F7B2D81C14}"/>
            </c:ext>
          </c:extLst>
        </c:ser>
        <c:dLbls>
          <c:showLegendKey val="0"/>
          <c:showVal val="1"/>
          <c:showCatName val="0"/>
          <c:showSerName val="0"/>
          <c:showPercent val="0"/>
          <c:showBubbleSize val="0"/>
        </c:dLbls>
        <c:gapWidth val="22"/>
        <c:overlap val="6"/>
        <c:axId val="257851776"/>
        <c:axId val="257853312"/>
      </c:barChart>
      <c:catAx>
        <c:axId val="25785177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853312"/>
        <c:crosses val="autoZero"/>
        <c:auto val="1"/>
        <c:lblAlgn val="ctr"/>
        <c:lblOffset val="100"/>
        <c:noMultiLvlLbl val="0"/>
      </c:catAx>
      <c:valAx>
        <c:axId val="257853312"/>
        <c:scaling>
          <c:orientation val="minMax"/>
        </c:scaling>
        <c:delete val="1"/>
        <c:axPos val="t"/>
        <c:numFmt formatCode="General" sourceLinked="1"/>
        <c:majorTickMark val="none"/>
        <c:minorTickMark val="none"/>
        <c:tickLblPos val="nextTo"/>
        <c:crossAx val="25785177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'14'!$H$2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EE-4783-A08D-71C07C98DCF4}"/>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EE-4783-A08D-71C07C98DCF4}"/>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EE-4783-A08D-71C07C98DCF4}"/>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EE-4783-A08D-71C07C98DCF4}"/>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'14'!$H$4:$H$7</c:f>
              <c:strCache>
                <c:ptCount val="4"/>
                <c:pt idx="0">
                  <c:v>praca.pl</c:v>
                </c:pt>
                <c:pt idx="1">
                  <c:v>pracuj.pl</c:v>
                </c:pt>
                <c:pt idx="2">
                  <c:v>agora</c:v>
                </c:pt>
                <c:pt idx="3">
                  <c:v>gratka.pl</c:v>
                </c:pt>
              </c:strCache>
            </c:strRef>
          </c:cat>
          <c:val>
            <c:numRef>
              <c:f>'14'!$I$4:$I$7</c:f>
              <c:numCache>
                <c:formatCode>General</c:formatCode>
                <c:ptCount val="4"/>
                <c:pt idx="0">
                  <c:v>57</c:v>
                </c:pt>
                <c:pt idx="1">
                  <c:v>76</c:v>
                </c:pt>
                <c:pt idx="2">
                  <c:v>11</c:v>
                </c:pt>
                <c:pt idx="3">
                  <c:v>12</c:v>
                </c:pt>
              </c:numCache>
            </c:numRef>
          </c:val>
          <c:extLst>
            <c:ext xmlns:c16="http://schemas.microsoft.com/office/drawing/2014/chart" uri="{C3380CC4-5D6E-409C-BE32-E72D297353CC}">
              <c16:uniqueId val="{00000004-D7EE-4783-A08D-71C07C98DCF4}"/>
            </c:ext>
          </c:extLst>
        </c:ser>
        <c:dLbls>
          <c:showLegendKey val="0"/>
          <c:showVal val="0"/>
          <c:showCatName val="0"/>
          <c:showSerName val="0"/>
          <c:showPercent val="0"/>
          <c:showBubbleSize val="0"/>
        </c:dLbls>
        <c:gapWidth val="150"/>
        <c:axId val="257865216"/>
        <c:axId val="257866752"/>
      </c:barChart>
      <c:catAx>
        <c:axId val="25786521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866752"/>
        <c:crosses val="autoZero"/>
        <c:auto val="1"/>
        <c:lblAlgn val="ctr"/>
        <c:lblOffset val="100"/>
        <c:noMultiLvlLbl val="0"/>
      </c:catAx>
      <c:valAx>
        <c:axId val="25786675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865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'14'!$M$54</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D8-42BF-B693-BC31DA53695E}"/>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D8-42BF-B693-BC31DA53695E}"/>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D8-42BF-B693-BC31DA53695E}"/>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D8-42BF-B693-BC31DA53695E}"/>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D8-42BF-B693-BC31DA53695E}"/>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D8-42BF-B693-BC31DA53695E}"/>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D8-42BF-B693-BC31DA53695E}"/>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'14'!$M$55:$M$63</c:f>
              <c:numCache>
                <c:formatCode>General</c:formatCode>
                <c:ptCount val="9"/>
                <c:pt idx="0">
                  <c:v>86</c:v>
                </c:pt>
                <c:pt idx="1">
                  <c:v>377</c:v>
                </c:pt>
                <c:pt idx="2">
                  <c:v>180</c:v>
                </c:pt>
                <c:pt idx="3">
                  <c:v>361</c:v>
                </c:pt>
                <c:pt idx="4">
                  <c:v>249</c:v>
                </c:pt>
                <c:pt idx="5">
                  <c:v>173</c:v>
                </c:pt>
                <c:pt idx="6">
                  <c:v>97</c:v>
                </c:pt>
                <c:pt idx="7">
                  <c:v>224</c:v>
                </c:pt>
                <c:pt idx="8">
                  <c:v>156</c:v>
                </c:pt>
              </c:numCache>
            </c:numRef>
          </c:val>
          <c:smooth val="0"/>
          <c:extLst>
            <c:ext xmlns:c16="http://schemas.microsoft.com/office/drawing/2014/chart" uri="{C3380CC4-5D6E-409C-BE32-E72D297353CC}">
              <c16:uniqueId val="{00000007-3AD8-42BF-B693-BC31DA53695E}"/>
            </c:ext>
          </c:extLst>
        </c:ser>
        <c:ser>
          <c:idx val="1"/>
          <c:order val="1"/>
          <c:tx>
            <c:strRef>
              <c:f>'14'!$N$54</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D8-42BF-B693-BC31DA53695E}"/>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D8-42BF-B693-BC31DA53695E}"/>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AD8-42BF-B693-BC31DA53695E}"/>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D8-42BF-B693-BC31DA53695E}"/>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'14'!$N$55:$N$63</c:f>
              <c:numCache>
                <c:formatCode>General</c:formatCode>
                <c:ptCount val="9"/>
                <c:pt idx="0">
                  <c:v>122</c:v>
                </c:pt>
                <c:pt idx="1">
                  <c:v>410</c:v>
                </c:pt>
                <c:pt idx="2">
                  <c:v>231</c:v>
                </c:pt>
                <c:pt idx="3">
                  <c:v>378</c:v>
                </c:pt>
                <c:pt idx="4">
                  <c:v>258</c:v>
                </c:pt>
                <c:pt idx="5">
                  <c:v>197</c:v>
                </c:pt>
                <c:pt idx="6">
                  <c:v>97</c:v>
                </c:pt>
                <c:pt idx="7">
                  <c:v>224</c:v>
                </c:pt>
                <c:pt idx="8">
                  <c:v>165</c:v>
                </c:pt>
              </c:numCache>
            </c:numRef>
          </c:val>
          <c:smooth val="0"/>
          <c:extLst>
            <c:ext xmlns:c16="http://schemas.microsoft.com/office/drawing/2014/chart" uri="{C3380CC4-5D6E-409C-BE32-E72D297353CC}">
              <c16:uniqueId val="{0000000C-3AD8-42BF-B693-BC31DA53695E}"/>
            </c:ext>
          </c:extLst>
        </c:ser>
        <c:dLbls>
          <c:showLegendKey val="0"/>
          <c:showVal val="0"/>
          <c:showCatName val="0"/>
          <c:showSerName val="0"/>
          <c:showPercent val="0"/>
          <c:showBubbleSize val="0"/>
        </c:dLbls>
        <c:smooth val="0"/>
        <c:axId val="257900928"/>
        <c:axId val="257902464"/>
      </c:lineChart>
      <c:catAx>
        <c:axId val="25790092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902464"/>
        <c:crosses val="autoZero"/>
        <c:auto val="1"/>
        <c:lblAlgn val="ctr"/>
        <c:lblOffset val="100"/>
        <c:noMultiLvlLbl val="0"/>
      </c:catAx>
      <c:valAx>
        <c:axId val="257902464"/>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900928"/>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'15'!$H$11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D1BF-4490-A5F9-7749494E3D35}"/>
              </c:ext>
            </c:extLst>
          </c:dPt>
          <c:dPt>
            <c:idx val="5"/>
            <c:invertIfNegative val="0"/>
            <c:bubble3D val="0"/>
            <c:extLst>
              <c:ext xmlns:c16="http://schemas.microsoft.com/office/drawing/2014/chart" uri="{C3380CC4-5D6E-409C-BE32-E72D297353CC}">
                <c16:uniqueId val="{00000001-D1BF-4490-A5F9-7749494E3D35}"/>
              </c:ext>
            </c:extLst>
          </c:dPt>
          <c:dPt>
            <c:idx val="8"/>
            <c:invertIfNegative val="0"/>
            <c:bubble3D val="0"/>
            <c:extLst>
              <c:ext xmlns:c16="http://schemas.microsoft.com/office/drawing/2014/chart" uri="{C3380CC4-5D6E-409C-BE32-E72D297353CC}">
                <c16:uniqueId val="{00000002-D1BF-4490-A5F9-7749494E3D35}"/>
              </c:ext>
            </c:extLst>
          </c:dPt>
          <c:dPt>
            <c:idx val="10"/>
            <c:invertIfNegative val="0"/>
            <c:bubble3D val="0"/>
            <c:extLst>
              <c:ext xmlns:c16="http://schemas.microsoft.com/office/drawing/2014/chart" uri="{C3380CC4-5D6E-409C-BE32-E72D297353CC}">
                <c16:uniqueId val="{00000003-D1BF-4490-A5F9-7749494E3D3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'15'!$J$12:$J$16</c:f>
              <c:numCache>
                <c:formatCode>General</c:formatCode>
                <c:ptCount val="5"/>
                <c:pt idx="0">
                  <c:v>113</c:v>
                </c:pt>
                <c:pt idx="1">
                  <c:v>111</c:v>
                </c:pt>
                <c:pt idx="2">
                  <c:v>10</c:v>
                </c:pt>
                <c:pt idx="3">
                  <c:v>8</c:v>
                </c:pt>
                <c:pt idx="4">
                  <c:v>0</c:v>
                </c:pt>
              </c:numCache>
            </c:numRef>
          </c:val>
          <c:extLst>
            <c:ext xmlns:c16="http://schemas.microsoft.com/office/drawing/2014/chart" uri="{C3380CC4-5D6E-409C-BE32-E72D297353CC}">
              <c16:uniqueId val="{00000004-D1BF-4490-A5F9-7749494E3D35}"/>
            </c:ext>
          </c:extLst>
        </c:ser>
        <c:dLbls>
          <c:showLegendKey val="0"/>
          <c:showVal val="1"/>
          <c:showCatName val="0"/>
          <c:showSerName val="0"/>
          <c:showPercent val="0"/>
          <c:showBubbleSize val="0"/>
        </c:dLbls>
        <c:gapWidth val="22"/>
        <c:overlap val="6"/>
        <c:axId val="257919616"/>
        <c:axId val="257921408"/>
      </c:barChart>
      <c:catAx>
        <c:axId val="25791961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921408"/>
        <c:crosses val="autoZero"/>
        <c:auto val="1"/>
        <c:lblAlgn val="ctr"/>
        <c:lblOffset val="100"/>
        <c:noMultiLvlLbl val="0"/>
      </c:catAx>
      <c:valAx>
        <c:axId val="257921408"/>
        <c:scaling>
          <c:orientation val="minMax"/>
        </c:scaling>
        <c:delete val="1"/>
        <c:axPos val="t"/>
        <c:numFmt formatCode="General" sourceLinked="1"/>
        <c:majorTickMark val="none"/>
        <c:minorTickMark val="none"/>
        <c:tickLblPos val="nextTo"/>
        <c:crossAx val="25791961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'15'!$H$2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2D-4E2F-8A9D-157716ED8B92}"/>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2D-4E2F-8A9D-157716ED8B92}"/>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2D-4E2F-8A9D-157716ED8B92}"/>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2D-4E2F-8A9D-157716ED8B92}"/>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'15'!$H$4:$H$7</c:f>
              <c:strCache>
                <c:ptCount val="4"/>
                <c:pt idx="0">
                  <c:v>praca.pl</c:v>
                </c:pt>
                <c:pt idx="1">
                  <c:v>pracuj.pl</c:v>
                </c:pt>
                <c:pt idx="2">
                  <c:v>agora</c:v>
                </c:pt>
                <c:pt idx="3">
                  <c:v>gratka.pl</c:v>
                </c:pt>
              </c:strCache>
            </c:strRef>
          </c:cat>
          <c:val>
            <c:numRef>
              <c:f>'15'!$I$4:$I$7</c:f>
              <c:numCache>
                <c:formatCode>General</c:formatCode>
                <c:ptCount val="4"/>
                <c:pt idx="0">
                  <c:v>219</c:v>
                </c:pt>
                <c:pt idx="1">
                  <c:v>3</c:v>
                </c:pt>
                <c:pt idx="2">
                  <c:v>9</c:v>
                </c:pt>
                <c:pt idx="3">
                  <c:v>6</c:v>
                </c:pt>
              </c:numCache>
            </c:numRef>
          </c:val>
          <c:extLst>
            <c:ext xmlns:c16="http://schemas.microsoft.com/office/drawing/2014/chart" uri="{C3380CC4-5D6E-409C-BE32-E72D297353CC}">
              <c16:uniqueId val="{00000004-B02D-4E2F-8A9D-157716ED8B92}"/>
            </c:ext>
          </c:extLst>
        </c:ser>
        <c:dLbls>
          <c:showLegendKey val="0"/>
          <c:showVal val="0"/>
          <c:showCatName val="0"/>
          <c:showSerName val="0"/>
          <c:showPercent val="0"/>
          <c:showBubbleSize val="0"/>
        </c:dLbls>
        <c:gapWidth val="150"/>
        <c:axId val="327221632"/>
        <c:axId val="327223168"/>
      </c:barChart>
      <c:catAx>
        <c:axId val="32722163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223168"/>
        <c:crosses val="autoZero"/>
        <c:auto val="1"/>
        <c:lblAlgn val="ctr"/>
        <c:lblOffset val="100"/>
        <c:noMultiLvlLbl val="0"/>
      </c:catAx>
      <c:valAx>
        <c:axId val="32722316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2216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'15'!$M$53</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F5-4392-A804-87A0FBA33F2B}"/>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5-4392-A804-87A0FBA33F2B}"/>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F5-4392-A804-87A0FBA33F2B}"/>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5-4392-A804-87A0FBA33F2B}"/>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F5-4392-A804-87A0FBA33F2B}"/>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F5-4392-A804-87A0FBA33F2B}"/>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F5-4392-A804-87A0FBA33F2B}"/>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'15'!$M$54:$M$63</c:f>
              <c:numCache>
                <c:formatCode>General</c:formatCode>
                <c:ptCount val="10"/>
                <c:pt idx="0">
                  <c:v>86</c:v>
                </c:pt>
                <c:pt idx="1">
                  <c:v>377</c:v>
                </c:pt>
                <c:pt idx="2">
                  <c:v>180</c:v>
                </c:pt>
                <c:pt idx="3">
                  <c:v>361</c:v>
                </c:pt>
                <c:pt idx="4">
                  <c:v>249</c:v>
                </c:pt>
                <c:pt idx="5">
                  <c:v>173</c:v>
                </c:pt>
                <c:pt idx="6">
                  <c:v>97</c:v>
                </c:pt>
                <c:pt idx="7">
                  <c:v>224</c:v>
                </c:pt>
                <c:pt idx="8">
                  <c:v>156</c:v>
                </c:pt>
                <c:pt idx="9">
                  <c:v>237</c:v>
                </c:pt>
              </c:numCache>
            </c:numRef>
          </c:val>
          <c:smooth val="0"/>
          <c:extLst>
            <c:ext xmlns:c16="http://schemas.microsoft.com/office/drawing/2014/chart" uri="{C3380CC4-5D6E-409C-BE32-E72D297353CC}">
              <c16:uniqueId val="{00000007-78F5-4392-A804-87A0FBA33F2B}"/>
            </c:ext>
          </c:extLst>
        </c:ser>
        <c:ser>
          <c:idx val="1"/>
          <c:order val="1"/>
          <c:tx>
            <c:strRef>
              <c:f>'15'!$N$53</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F5-4392-A804-87A0FBA33F2B}"/>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F5-4392-A804-87A0FBA33F2B}"/>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F5-4392-A804-87A0FBA33F2B}"/>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F5-4392-A804-87A0FBA33F2B}"/>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'15'!$N$54:$N$63</c:f>
              <c:numCache>
                <c:formatCode>General</c:formatCode>
                <c:ptCount val="10"/>
                <c:pt idx="0">
                  <c:v>122</c:v>
                </c:pt>
                <c:pt idx="1">
                  <c:v>410</c:v>
                </c:pt>
                <c:pt idx="2">
                  <c:v>231</c:v>
                </c:pt>
                <c:pt idx="3">
                  <c:v>378</c:v>
                </c:pt>
                <c:pt idx="4">
                  <c:v>258</c:v>
                </c:pt>
                <c:pt idx="5">
                  <c:v>197</c:v>
                </c:pt>
                <c:pt idx="6">
                  <c:v>97</c:v>
                </c:pt>
                <c:pt idx="7">
                  <c:v>224</c:v>
                </c:pt>
                <c:pt idx="8">
                  <c:v>165</c:v>
                </c:pt>
                <c:pt idx="9">
                  <c:v>242</c:v>
                </c:pt>
              </c:numCache>
            </c:numRef>
          </c:val>
          <c:smooth val="0"/>
          <c:extLst>
            <c:ext xmlns:c16="http://schemas.microsoft.com/office/drawing/2014/chart" uri="{C3380CC4-5D6E-409C-BE32-E72D297353CC}">
              <c16:uniqueId val="{0000000C-78F5-4392-A804-87A0FBA33F2B}"/>
            </c:ext>
          </c:extLst>
        </c:ser>
        <c:dLbls>
          <c:showLegendKey val="0"/>
          <c:showVal val="0"/>
          <c:showCatName val="0"/>
          <c:showSerName val="0"/>
          <c:showPercent val="0"/>
          <c:showBubbleSize val="0"/>
        </c:dLbls>
        <c:smooth val="0"/>
        <c:axId val="327244800"/>
        <c:axId val="327246592"/>
      </c:lineChart>
      <c:catAx>
        <c:axId val="32724480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246592"/>
        <c:crosses val="autoZero"/>
        <c:auto val="1"/>
        <c:lblAlgn val="ctr"/>
        <c:lblOffset val="100"/>
        <c:noMultiLvlLbl val="0"/>
      </c:catAx>
      <c:valAx>
        <c:axId val="32724659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244800"/>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'16'!$H$11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782F-4433-85D0-B32661EDCE4E}"/>
              </c:ext>
            </c:extLst>
          </c:dPt>
          <c:dPt>
            <c:idx val="5"/>
            <c:invertIfNegative val="0"/>
            <c:bubble3D val="0"/>
            <c:extLst>
              <c:ext xmlns:c16="http://schemas.microsoft.com/office/drawing/2014/chart" uri="{C3380CC4-5D6E-409C-BE32-E72D297353CC}">
                <c16:uniqueId val="{00000001-782F-4433-85D0-B32661EDCE4E}"/>
              </c:ext>
            </c:extLst>
          </c:dPt>
          <c:dPt>
            <c:idx val="8"/>
            <c:invertIfNegative val="0"/>
            <c:bubble3D val="0"/>
            <c:extLst>
              <c:ext xmlns:c16="http://schemas.microsoft.com/office/drawing/2014/chart" uri="{C3380CC4-5D6E-409C-BE32-E72D297353CC}">
                <c16:uniqueId val="{00000002-782F-4433-85D0-B32661EDCE4E}"/>
              </c:ext>
            </c:extLst>
          </c:dPt>
          <c:dPt>
            <c:idx val="10"/>
            <c:invertIfNegative val="0"/>
            <c:bubble3D val="0"/>
            <c:extLst>
              <c:ext xmlns:c16="http://schemas.microsoft.com/office/drawing/2014/chart" uri="{C3380CC4-5D6E-409C-BE32-E72D297353CC}">
                <c16:uniqueId val="{00000003-782F-4433-85D0-B32661EDCE4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'16'!$J$12:$J$16</c:f>
              <c:numCache>
                <c:formatCode>General</c:formatCode>
                <c:ptCount val="5"/>
                <c:pt idx="0">
                  <c:v>498</c:v>
                </c:pt>
                <c:pt idx="1">
                  <c:v>477</c:v>
                </c:pt>
                <c:pt idx="2">
                  <c:v>42</c:v>
                </c:pt>
                <c:pt idx="3">
                  <c:v>9</c:v>
                </c:pt>
                <c:pt idx="4">
                  <c:v>4</c:v>
                </c:pt>
              </c:numCache>
            </c:numRef>
          </c:val>
          <c:extLst>
            <c:ext xmlns:c16="http://schemas.microsoft.com/office/drawing/2014/chart" uri="{C3380CC4-5D6E-409C-BE32-E72D297353CC}">
              <c16:uniqueId val="{00000004-782F-4433-85D0-B32661EDCE4E}"/>
            </c:ext>
          </c:extLst>
        </c:ser>
        <c:dLbls>
          <c:showLegendKey val="0"/>
          <c:showVal val="1"/>
          <c:showCatName val="0"/>
          <c:showSerName val="0"/>
          <c:showPercent val="0"/>
          <c:showBubbleSize val="0"/>
        </c:dLbls>
        <c:gapWidth val="22"/>
        <c:overlap val="6"/>
        <c:axId val="327316992"/>
        <c:axId val="327318528"/>
      </c:barChart>
      <c:catAx>
        <c:axId val="32731699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318528"/>
        <c:crosses val="autoZero"/>
        <c:auto val="1"/>
        <c:lblAlgn val="ctr"/>
        <c:lblOffset val="100"/>
        <c:noMultiLvlLbl val="0"/>
      </c:catAx>
      <c:valAx>
        <c:axId val="327318528"/>
        <c:scaling>
          <c:orientation val="minMax"/>
        </c:scaling>
        <c:delete val="1"/>
        <c:axPos val="t"/>
        <c:numFmt formatCode="General" sourceLinked="1"/>
        <c:majorTickMark val="none"/>
        <c:minorTickMark val="none"/>
        <c:tickLblPos val="nextTo"/>
        <c:crossAx val="32731699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'16'!$H$2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FE-47DB-A39C-257E6DBF7D52}"/>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FE-47DB-A39C-257E6DBF7D52}"/>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FE-47DB-A39C-257E6DBF7D52}"/>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FE-47DB-A39C-257E6DBF7D52}"/>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'16'!$H$4:$H$7</c:f>
              <c:strCache>
                <c:ptCount val="4"/>
                <c:pt idx="0">
                  <c:v>praca.pl</c:v>
                </c:pt>
                <c:pt idx="1">
                  <c:v>pracuj.pl</c:v>
                </c:pt>
                <c:pt idx="2">
                  <c:v>agora</c:v>
                </c:pt>
                <c:pt idx="3">
                  <c:v>gratka.pl</c:v>
                </c:pt>
              </c:strCache>
            </c:strRef>
          </c:cat>
          <c:val>
            <c:numRef>
              <c:f>'16'!$I$4:$I$7</c:f>
              <c:numCache>
                <c:formatCode>General</c:formatCode>
                <c:ptCount val="4"/>
                <c:pt idx="0">
                  <c:v>149</c:v>
                </c:pt>
                <c:pt idx="1">
                  <c:v>462</c:v>
                </c:pt>
                <c:pt idx="2">
                  <c:v>409</c:v>
                </c:pt>
                <c:pt idx="3">
                  <c:v>2</c:v>
                </c:pt>
              </c:numCache>
            </c:numRef>
          </c:val>
          <c:extLst>
            <c:ext xmlns:c16="http://schemas.microsoft.com/office/drawing/2014/chart" uri="{C3380CC4-5D6E-409C-BE32-E72D297353CC}">
              <c16:uniqueId val="{00000004-D9FE-47DB-A39C-257E6DBF7D52}"/>
            </c:ext>
          </c:extLst>
        </c:ser>
        <c:dLbls>
          <c:showLegendKey val="0"/>
          <c:showVal val="0"/>
          <c:showCatName val="0"/>
          <c:showSerName val="0"/>
          <c:showPercent val="0"/>
          <c:showBubbleSize val="0"/>
        </c:dLbls>
        <c:gapWidth val="150"/>
        <c:axId val="327343104"/>
        <c:axId val="327348992"/>
      </c:barChart>
      <c:catAx>
        <c:axId val="327343104"/>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348992"/>
        <c:crosses val="autoZero"/>
        <c:auto val="1"/>
        <c:lblAlgn val="ctr"/>
        <c:lblOffset val="100"/>
        <c:noMultiLvlLbl val="0"/>
      </c:catAx>
      <c:valAx>
        <c:axId val="32734899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3431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'16'!$M$56</c:f>
              <c:strCache>
                <c:ptCount val="1"/>
                <c:pt idx="0">
                  <c:v>liczebność pób</c:v>
                </c:pt>
              </c:strCache>
            </c:strRef>
          </c:tx>
          <c:spPr>
            <a:ln w="31750">
              <a:solidFill>
                <a:schemeClr val="tx1"/>
              </a:solidFill>
              <a:prstDash val="sysDot"/>
            </a:ln>
          </c:spPr>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'16'!$M$57:$M$67</c:f>
              <c:numCache>
                <c:formatCode>General</c:formatCode>
                <c:ptCount val="11"/>
                <c:pt idx="0">
                  <c:v>86</c:v>
                </c:pt>
                <c:pt idx="1">
                  <c:v>377</c:v>
                </c:pt>
                <c:pt idx="2">
                  <c:v>180</c:v>
                </c:pt>
                <c:pt idx="3">
                  <c:v>361</c:v>
                </c:pt>
                <c:pt idx="4">
                  <c:v>249</c:v>
                </c:pt>
                <c:pt idx="5">
                  <c:v>173</c:v>
                </c:pt>
                <c:pt idx="6">
                  <c:v>97</c:v>
                </c:pt>
                <c:pt idx="7">
                  <c:v>224</c:v>
                </c:pt>
                <c:pt idx="8">
                  <c:v>156</c:v>
                </c:pt>
                <c:pt idx="9">
                  <c:v>237</c:v>
                </c:pt>
                <c:pt idx="10">
                  <c:v>1022</c:v>
                </c:pt>
              </c:numCache>
            </c:numRef>
          </c:val>
          <c:smooth val="0"/>
          <c:extLst>
            <c:ext xmlns:c16="http://schemas.microsoft.com/office/drawing/2014/chart" uri="{C3380CC4-5D6E-409C-BE32-E72D297353CC}">
              <c16:uniqueId val="{00000000-C7EC-421E-A707-66433BCE9495}"/>
            </c:ext>
          </c:extLst>
        </c:ser>
        <c:ser>
          <c:idx val="1"/>
          <c:order val="1"/>
          <c:tx>
            <c:strRef>
              <c:f>'16'!$N$56</c:f>
              <c:strCache>
                <c:ptCount val="1"/>
                <c:pt idx="0">
                  <c:v>liczba ofert</c:v>
                </c:pt>
              </c:strCache>
            </c:strRef>
          </c:tx>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'16'!$N$57:$N$67</c:f>
              <c:numCache>
                <c:formatCode>General</c:formatCode>
                <c:ptCount val="11"/>
                <c:pt idx="0">
                  <c:v>122</c:v>
                </c:pt>
                <c:pt idx="1">
                  <c:v>410</c:v>
                </c:pt>
                <c:pt idx="2">
                  <c:v>231</c:v>
                </c:pt>
                <c:pt idx="3">
                  <c:v>378</c:v>
                </c:pt>
                <c:pt idx="4">
                  <c:v>258</c:v>
                </c:pt>
                <c:pt idx="5">
                  <c:v>197</c:v>
                </c:pt>
                <c:pt idx="6">
                  <c:v>97</c:v>
                </c:pt>
                <c:pt idx="7">
                  <c:v>224</c:v>
                </c:pt>
                <c:pt idx="8">
                  <c:v>165</c:v>
                </c:pt>
                <c:pt idx="9">
                  <c:v>242</c:v>
                </c:pt>
                <c:pt idx="10">
                  <c:v>1030</c:v>
                </c:pt>
              </c:numCache>
            </c:numRef>
          </c:val>
          <c:smooth val="0"/>
          <c:extLst>
            <c:ext xmlns:c16="http://schemas.microsoft.com/office/drawing/2014/chart" uri="{C3380CC4-5D6E-409C-BE32-E72D297353CC}">
              <c16:uniqueId val="{00000001-C7EC-421E-A707-66433BCE9495}"/>
            </c:ext>
          </c:extLst>
        </c:ser>
        <c:dLbls>
          <c:showLegendKey val="0"/>
          <c:showVal val="0"/>
          <c:showCatName val="0"/>
          <c:showSerName val="0"/>
          <c:showPercent val="0"/>
          <c:showBubbleSize val="0"/>
        </c:dLbls>
        <c:smooth val="0"/>
        <c:axId val="327435392"/>
        <c:axId val="327436928"/>
      </c:lineChart>
      <c:catAx>
        <c:axId val="3274353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436928"/>
        <c:crosses val="autoZero"/>
        <c:auto val="1"/>
        <c:lblAlgn val="ctr"/>
        <c:lblOffset val="100"/>
        <c:noMultiLvlLbl val="0"/>
      </c:catAx>
      <c:valAx>
        <c:axId val="3274369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43539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'10'!$H$2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'10'!$H$4:$H$7</c:f>
              <c:strCache>
                <c:ptCount val="4"/>
                <c:pt idx="0">
                  <c:v>praca.pl</c:v>
                </c:pt>
                <c:pt idx="1">
                  <c:v>pracuj.pl</c:v>
                </c:pt>
                <c:pt idx="2">
                  <c:v>agora</c:v>
                </c:pt>
                <c:pt idx="3">
                  <c:v>gratka.pl</c:v>
                </c:pt>
              </c:strCache>
            </c:strRef>
          </c:cat>
          <c:val>
            <c:numRef>
              <c:f>'10'!$I$4:$I$7</c:f>
              <c:numCache>
                <c:formatCode>General</c:formatCode>
                <c:ptCount val="4"/>
                <c:pt idx="0">
                  <c:v>71</c:v>
                </c:pt>
                <c:pt idx="1">
                  <c:v>161</c:v>
                </c:pt>
                <c:pt idx="2">
                  <c:v>9</c:v>
                </c:pt>
                <c:pt idx="3">
                  <c:v>8</c:v>
                </c:pt>
              </c:numCache>
            </c:numRef>
          </c:val>
          <c:extLst>
            <c:ext xmlns:c16="http://schemas.microsoft.com/office/drawing/2014/chart" uri="{C3380CC4-5D6E-409C-BE32-E72D297353CC}">
              <c16:uniqueId val="{00000000-EB5E-4C19-A9DA-E91382D6342B}"/>
            </c:ext>
          </c:extLst>
        </c:ser>
        <c:dLbls>
          <c:showLegendKey val="0"/>
          <c:showVal val="0"/>
          <c:showCatName val="0"/>
          <c:showSerName val="0"/>
          <c:showPercent val="0"/>
          <c:showBubbleSize val="0"/>
        </c:dLbls>
        <c:gapWidth val="150"/>
        <c:axId val="257470848"/>
        <c:axId val="257472384"/>
      </c:barChart>
      <c:catAx>
        <c:axId val="257470848"/>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472384"/>
        <c:crosses val="autoZero"/>
        <c:auto val="1"/>
        <c:lblAlgn val="ctr"/>
        <c:lblOffset val="100"/>
        <c:noMultiLvlLbl val="0"/>
      </c:catAx>
      <c:valAx>
        <c:axId val="257472384"/>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47084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'17'!$H$11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9F9-4F67-B47C-0B2FAB518985}"/>
              </c:ext>
            </c:extLst>
          </c:dPt>
          <c:dPt>
            <c:idx val="5"/>
            <c:invertIfNegative val="0"/>
            <c:bubble3D val="0"/>
            <c:extLst>
              <c:ext xmlns:c16="http://schemas.microsoft.com/office/drawing/2014/chart" uri="{C3380CC4-5D6E-409C-BE32-E72D297353CC}">
                <c16:uniqueId val="{00000001-09F9-4F67-B47C-0B2FAB518985}"/>
              </c:ext>
            </c:extLst>
          </c:dPt>
          <c:dPt>
            <c:idx val="8"/>
            <c:invertIfNegative val="0"/>
            <c:bubble3D val="0"/>
            <c:extLst>
              <c:ext xmlns:c16="http://schemas.microsoft.com/office/drawing/2014/chart" uri="{C3380CC4-5D6E-409C-BE32-E72D297353CC}">
                <c16:uniqueId val="{00000002-09F9-4F67-B47C-0B2FAB518985}"/>
              </c:ext>
            </c:extLst>
          </c:dPt>
          <c:dPt>
            <c:idx val="10"/>
            <c:invertIfNegative val="0"/>
            <c:bubble3D val="0"/>
            <c:extLst>
              <c:ext xmlns:c16="http://schemas.microsoft.com/office/drawing/2014/chart" uri="{C3380CC4-5D6E-409C-BE32-E72D297353CC}">
                <c16:uniqueId val="{00000003-09F9-4F67-B47C-0B2FAB51898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'17'!$J$12:$J$16</c:f>
              <c:numCache>
                <c:formatCode>General</c:formatCode>
                <c:ptCount val="5"/>
                <c:pt idx="0">
                  <c:v>320</c:v>
                </c:pt>
                <c:pt idx="1">
                  <c:v>328</c:v>
                </c:pt>
                <c:pt idx="2">
                  <c:v>45</c:v>
                </c:pt>
                <c:pt idx="3">
                  <c:v>4</c:v>
                </c:pt>
                <c:pt idx="4">
                  <c:v>7</c:v>
                </c:pt>
              </c:numCache>
            </c:numRef>
          </c:val>
          <c:extLst>
            <c:ext xmlns:c16="http://schemas.microsoft.com/office/drawing/2014/chart" uri="{C3380CC4-5D6E-409C-BE32-E72D297353CC}">
              <c16:uniqueId val="{00000004-09F9-4F67-B47C-0B2FAB518985}"/>
            </c:ext>
          </c:extLst>
        </c:ser>
        <c:dLbls>
          <c:showLegendKey val="0"/>
          <c:showVal val="1"/>
          <c:showCatName val="0"/>
          <c:showSerName val="0"/>
          <c:showPercent val="0"/>
          <c:showBubbleSize val="0"/>
        </c:dLbls>
        <c:gapWidth val="22"/>
        <c:overlap val="6"/>
        <c:axId val="327466368"/>
        <c:axId val="327480448"/>
      </c:barChart>
      <c:catAx>
        <c:axId val="327466368"/>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480448"/>
        <c:crosses val="autoZero"/>
        <c:auto val="1"/>
        <c:lblAlgn val="ctr"/>
        <c:lblOffset val="100"/>
        <c:noMultiLvlLbl val="0"/>
      </c:catAx>
      <c:valAx>
        <c:axId val="327480448"/>
        <c:scaling>
          <c:orientation val="minMax"/>
        </c:scaling>
        <c:delete val="1"/>
        <c:axPos val="t"/>
        <c:numFmt formatCode="General" sourceLinked="1"/>
        <c:majorTickMark val="none"/>
        <c:minorTickMark val="none"/>
        <c:tickLblPos val="nextTo"/>
        <c:crossAx val="32746636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IV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'17'!$H$2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F8-401E-8B2F-EAC5E9E45706}"/>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F8-401E-8B2F-EAC5E9E45706}"/>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F8-401E-8B2F-EAC5E9E45706}"/>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F8-401E-8B2F-EAC5E9E45706}"/>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'17'!$H$4:$H$7</c:f>
              <c:strCache>
                <c:ptCount val="4"/>
                <c:pt idx="0">
                  <c:v>praca.pl</c:v>
                </c:pt>
                <c:pt idx="1">
                  <c:v>pracuj.pl</c:v>
                </c:pt>
                <c:pt idx="2">
                  <c:v>agora</c:v>
                </c:pt>
                <c:pt idx="3">
                  <c:v>gratka.pl</c:v>
                </c:pt>
              </c:strCache>
            </c:strRef>
          </c:cat>
          <c:val>
            <c:numRef>
              <c:f>'17'!$I$4:$I$7</c:f>
              <c:numCache>
                <c:formatCode>General</c:formatCode>
                <c:ptCount val="4"/>
                <c:pt idx="0">
                  <c:v>186</c:v>
                </c:pt>
                <c:pt idx="1">
                  <c:v>470</c:v>
                </c:pt>
                <c:pt idx="2">
                  <c:v>41</c:v>
                </c:pt>
                <c:pt idx="3">
                  <c:v>4</c:v>
                </c:pt>
              </c:numCache>
            </c:numRef>
          </c:val>
          <c:extLst>
            <c:ext xmlns:c16="http://schemas.microsoft.com/office/drawing/2014/chart" uri="{C3380CC4-5D6E-409C-BE32-E72D297353CC}">
              <c16:uniqueId val="{00000004-F5F8-401E-8B2F-EAC5E9E45706}"/>
            </c:ext>
          </c:extLst>
        </c:ser>
        <c:dLbls>
          <c:showLegendKey val="0"/>
          <c:showVal val="0"/>
          <c:showCatName val="0"/>
          <c:showSerName val="0"/>
          <c:showPercent val="0"/>
          <c:showBubbleSize val="0"/>
        </c:dLbls>
        <c:gapWidth val="150"/>
        <c:axId val="327488640"/>
        <c:axId val="327490176"/>
      </c:barChart>
      <c:catAx>
        <c:axId val="32748864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490176"/>
        <c:crosses val="autoZero"/>
        <c:auto val="1"/>
        <c:lblAlgn val="ctr"/>
        <c:lblOffset val="100"/>
        <c:noMultiLvlLbl val="0"/>
      </c:catAx>
      <c:valAx>
        <c:axId val="32749017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488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0-86E5-4750-8763-79CD5C4E3CAB}"/>
            </c:ext>
          </c:extLst>
        </c:ser>
        <c:ser>
          <c:idx val="1"/>
          <c:order val="1"/>
          <c:tx>
            <c:strRef>
              <c:f>'17'!$N$58</c:f>
              <c:strCache>
                <c:ptCount val="1"/>
                <c:pt idx="0">
                  <c:v>liczba ofert</c:v>
                </c:pt>
              </c:strCache>
            </c:strRef>
          </c:tx>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'17'!$N$59:$N$70</c:f>
              <c:numCache>
                <c:formatCode>General</c:formatCode>
                <c:ptCount val="12"/>
                <c:pt idx="0">
                  <c:v>122</c:v>
                </c:pt>
                <c:pt idx="1">
                  <c:v>410</c:v>
                </c:pt>
                <c:pt idx="2">
                  <c:v>231</c:v>
                </c:pt>
                <c:pt idx="3">
                  <c:v>378</c:v>
                </c:pt>
                <c:pt idx="4">
                  <c:v>258</c:v>
                </c:pt>
                <c:pt idx="5">
                  <c:v>197</c:v>
                </c:pt>
                <c:pt idx="6">
                  <c:v>97</c:v>
                </c:pt>
                <c:pt idx="7">
                  <c:v>224</c:v>
                </c:pt>
                <c:pt idx="8">
                  <c:v>165</c:v>
                </c:pt>
                <c:pt idx="9">
                  <c:v>242</c:v>
                </c:pt>
                <c:pt idx="10">
                  <c:v>1030</c:v>
                </c:pt>
                <c:pt idx="11">
                  <c:v>704</c:v>
                </c:pt>
              </c:numCache>
            </c:numRef>
          </c:val>
          <c:smooth val="0"/>
          <c:extLst>
            <c:ext xmlns:c16="http://schemas.microsoft.com/office/drawing/2014/chart" uri="{C3380CC4-5D6E-409C-BE32-E72D297353CC}">
              <c16:uniqueId val="{00000001-86E5-4750-8763-79CD5C4E3CAB}"/>
            </c:ext>
          </c:extLst>
        </c:ser>
        <c:dLbls>
          <c:showLegendKey val="0"/>
          <c:showVal val="0"/>
          <c:showCatName val="0"/>
          <c:showSerName val="0"/>
          <c:showPercent val="0"/>
          <c:showBubbleSize val="0"/>
        </c:dLbls>
        <c:smooth val="0"/>
        <c:axId val="327506944"/>
        <c:axId val="327508736"/>
      </c:lineChart>
      <c:catAx>
        <c:axId val="32750694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08736"/>
        <c:crosses val="autoZero"/>
        <c:auto val="1"/>
        <c:lblAlgn val="ctr"/>
        <c:lblOffset val="100"/>
        <c:noMultiLvlLbl val="0"/>
      </c:catAx>
      <c:valAx>
        <c:axId val="32750873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0694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dLbls>
            <c:dLbl>
              <c:idx val="0"/>
              <c:layout>
                <c:manualLayout>
                  <c:x val="-6.8734054468092736E-3"/>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E2-49D8-8B5F-40EDDDE9BEAF}"/>
                </c:ext>
              </c:extLst>
            </c:dLbl>
            <c:dLbl>
              <c:idx val="11"/>
              <c:layout>
                <c:manualLayout>
                  <c:x val="-3.169302121313762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E2-49D8-8B5F-40EDDDE9BEA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2-CDE2-49D8-8B5F-40EDDDE9BEAF}"/>
            </c:ext>
          </c:extLst>
        </c:ser>
        <c:dLbls>
          <c:showLegendKey val="0"/>
          <c:showVal val="0"/>
          <c:showCatName val="0"/>
          <c:showSerName val="0"/>
          <c:showPercent val="0"/>
          <c:showBubbleSize val="0"/>
        </c:dLbls>
        <c:smooth val="0"/>
        <c:axId val="327533312"/>
        <c:axId val="327534848"/>
      </c:lineChart>
      <c:catAx>
        <c:axId val="32753331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34848"/>
        <c:crosses val="autoZero"/>
        <c:auto val="1"/>
        <c:lblAlgn val="ctr"/>
        <c:lblOffset val="100"/>
        <c:noMultiLvlLbl val="0"/>
      </c:catAx>
      <c:valAx>
        <c:axId val="32753484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3331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1"/>
          <c:order val="0"/>
          <c:tx>
            <c:strRef>
              <c:f>'17'!$M$58</c:f>
              <c:strCache>
                <c:ptCount val="1"/>
                <c:pt idx="0">
                  <c:v>liczebność pób</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7E-40B4-9A99-FF063043867D}"/>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7E-40B4-9A99-FF063043867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2-F27E-40B4-9A99-FF063043867D}"/>
            </c:ext>
          </c:extLst>
        </c:ser>
        <c:dLbls>
          <c:showLegendKey val="0"/>
          <c:showVal val="0"/>
          <c:showCatName val="0"/>
          <c:showSerName val="0"/>
          <c:showPercent val="0"/>
          <c:showBubbleSize val="0"/>
        </c:dLbls>
        <c:smooth val="0"/>
        <c:axId val="327551232"/>
        <c:axId val="327557120"/>
      </c:lineChart>
      <c:catAx>
        <c:axId val="32755123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57120"/>
        <c:crosses val="autoZero"/>
        <c:auto val="1"/>
        <c:lblAlgn val="ctr"/>
        <c:lblOffset val="100"/>
        <c:noMultiLvlLbl val="0"/>
      </c:catAx>
      <c:valAx>
        <c:axId val="32755712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5123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'18'!$H$11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925E-44B1-92B2-B79015E96FA0}"/>
              </c:ext>
            </c:extLst>
          </c:dPt>
          <c:dPt>
            <c:idx val="5"/>
            <c:invertIfNegative val="0"/>
            <c:bubble3D val="0"/>
            <c:extLst>
              <c:ext xmlns:c16="http://schemas.microsoft.com/office/drawing/2014/chart" uri="{C3380CC4-5D6E-409C-BE32-E72D297353CC}">
                <c16:uniqueId val="{00000001-925E-44B1-92B2-B79015E96FA0}"/>
              </c:ext>
            </c:extLst>
          </c:dPt>
          <c:dPt>
            <c:idx val="8"/>
            <c:invertIfNegative val="0"/>
            <c:bubble3D val="0"/>
            <c:extLst>
              <c:ext xmlns:c16="http://schemas.microsoft.com/office/drawing/2014/chart" uri="{C3380CC4-5D6E-409C-BE32-E72D297353CC}">
                <c16:uniqueId val="{00000002-925E-44B1-92B2-B79015E96FA0}"/>
              </c:ext>
            </c:extLst>
          </c:dPt>
          <c:dPt>
            <c:idx val="10"/>
            <c:invertIfNegative val="0"/>
            <c:bubble3D val="0"/>
            <c:extLst>
              <c:ext xmlns:c16="http://schemas.microsoft.com/office/drawing/2014/chart" uri="{C3380CC4-5D6E-409C-BE32-E72D297353CC}">
                <c16:uniqueId val="{00000003-925E-44B1-92B2-B79015E96FA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'18'!$J$12:$J$16</c:f>
              <c:numCache>
                <c:formatCode>General</c:formatCode>
                <c:ptCount val="5"/>
                <c:pt idx="0">
                  <c:v>321</c:v>
                </c:pt>
                <c:pt idx="1">
                  <c:v>397</c:v>
                </c:pt>
                <c:pt idx="2">
                  <c:v>34</c:v>
                </c:pt>
                <c:pt idx="3">
                  <c:v>11</c:v>
                </c:pt>
                <c:pt idx="4">
                  <c:v>10</c:v>
                </c:pt>
              </c:numCache>
            </c:numRef>
          </c:val>
          <c:extLst>
            <c:ext xmlns:c16="http://schemas.microsoft.com/office/drawing/2014/chart" uri="{C3380CC4-5D6E-409C-BE32-E72D297353CC}">
              <c16:uniqueId val="{00000004-925E-44B1-92B2-B79015E96FA0}"/>
            </c:ext>
          </c:extLst>
        </c:ser>
        <c:dLbls>
          <c:showLegendKey val="0"/>
          <c:showVal val="1"/>
          <c:showCatName val="0"/>
          <c:showSerName val="0"/>
          <c:showPercent val="0"/>
          <c:showBubbleSize val="0"/>
        </c:dLbls>
        <c:gapWidth val="22"/>
        <c:overlap val="6"/>
        <c:axId val="327697152"/>
        <c:axId val="327698688"/>
      </c:barChart>
      <c:catAx>
        <c:axId val="32769715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698688"/>
        <c:crosses val="autoZero"/>
        <c:auto val="1"/>
        <c:lblAlgn val="ctr"/>
        <c:lblOffset val="100"/>
        <c:noMultiLvlLbl val="0"/>
      </c:catAx>
      <c:valAx>
        <c:axId val="327698688"/>
        <c:scaling>
          <c:orientation val="minMax"/>
        </c:scaling>
        <c:delete val="1"/>
        <c:axPos val="t"/>
        <c:numFmt formatCode="General" sourceLinked="1"/>
        <c:majorTickMark val="none"/>
        <c:minorTickMark val="none"/>
        <c:tickLblPos val="nextTo"/>
        <c:crossAx val="32769715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'18'!$H$2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9A-4E3B-BD62-EE9B45AE13BA}"/>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9A-4E3B-BD62-EE9B45AE13BA}"/>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9A-4E3B-BD62-EE9B45AE13BA}"/>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9A-4E3B-BD62-EE9B45AE13BA}"/>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'18'!$H$4:$H$7</c:f>
              <c:strCache>
                <c:ptCount val="4"/>
                <c:pt idx="0">
                  <c:v>praca.pl</c:v>
                </c:pt>
                <c:pt idx="1">
                  <c:v>pracuj.pl</c:v>
                </c:pt>
                <c:pt idx="2">
                  <c:v>agora</c:v>
                </c:pt>
                <c:pt idx="3">
                  <c:v>gratka.pl</c:v>
                </c:pt>
              </c:strCache>
            </c:strRef>
          </c:cat>
          <c:val>
            <c:numRef>
              <c:f>'18'!$I$4:$I$7</c:f>
              <c:numCache>
                <c:formatCode>General</c:formatCode>
                <c:ptCount val="4"/>
                <c:pt idx="0">
                  <c:v>107</c:v>
                </c:pt>
                <c:pt idx="1">
                  <c:v>610</c:v>
                </c:pt>
                <c:pt idx="2">
                  <c:v>49</c:v>
                </c:pt>
                <c:pt idx="3">
                  <c:v>3</c:v>
                </c:pt>
              </c:numCache>
            </c:numRef>
          </c:val>
          <c:extLst>
            <c:ext xmlns:c16="http://schemas.microsoft.com/office/drawing/2014/chart" uri="{C3380CC4-5D6E-409C-BE32-E72D297353CC}">
              <c16:uniqueId val="{00000004-C89A-4E3B-BD62-EE9B45AE13BA}"/>
            </c:ext>
          </c:extLst>
        </c:ser>
        <c:dLbls>
          <c:showLegendKey val="0"/>
          <c:showVal val="0"/>
          <c:showCatName val="0"/>
          <c:showSerName val="0"/>
          <c:showPercent val="0"/>
          <c:showBubbleSize val="0"/>
        </c:dLbls>
        <c:gapWidth val="150"/>
        <c:axId val="327715072"/>
        <c:axId val="327725056"/>
      </c:barChart>
      <c:catAx>
        <c:axId val="32771507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725056"/>
        <c:crosses val="autoZero"/>
        <c:auto val="1"/>
        <c:lblAlgn val="ctr"/>
        <c:lblOffset val="100"/>
        <c:noMultiLvlLbl val="0"/>
      </c:catAx>
      <c:valAx>
        <c:axId val="32772505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7150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'18'!$M$59</c:f>
              <c:strCache>
                <c:ptCount val="1"/>
                <c:pt idx="0">
                  <c:v>liczba ofert pracy</c:v>
                </c:pt>
              </c:strCache>
            </c:strRef>
          </c:tx>
          <c:spPr>
            <a:ln w="31750">
              <a:solidFill>
                <a:schemeClr val="tx1"/>
              </a:solidFill>
              <a:prstDash val="sysDot"/>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0"/>
          <c:extLst>
            <c:ext xmlns:c16="http://schemas.microsoft.com/office/drawing/2014/chart" uri="{C3380CC4-5D6E-409C-BE32-E72D297353CC}">
              <c16:uniqueId val="{00000000-6830-41F7-9234-89FA888C6305}"/>
            </c:ext>
          </c:extLst>
        </c:ser>
        <c:ser>
          <c:idx val="1"/>
          <c:order val="1"/>
          <c:tx>
            <c:strRef>
              <c:f>'18'!$N$59</c:f>
              <c:strCache>
                <c:ptCount val="1"/>
                <c:pt idx="0">
                  <c:v>liczba miejsc pracy</c:v>
                </c:pt>
              </c:strCache>
            </c:strRef>
          </c:tx>
          <c:spPr>
            <a:ln>
              <a:solidFill>
                <a:srgbClr val="0033CC">
                  <a:alpha val="23000"/>
                </a:srgbClr>
              </a:solidFill>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0"/>
          <c:extLst>
            <c:ext xmlns:c16="http://schemas.microsoft.com/office/drawing/2014/chart" uri="{C3380CC4-5D6E-409C-BE32-E72D297353CC}">
              <c16:uniqueId val="{00000001-6830-41F7-9234-89FA888C6305}"/>
            </c:ext>
          </c:extLst>
        </c:ser>
        <c:dLbls>
          <c:showLegendKey val="0"/>
          <c:showVal val="0"/>
          <c:showCatName val="0"/>
          <c:showSerName val="0"/>
          <c:showPercent val="0"/>
          <c:showBubbleSize val="0"/>
        </c:dLbls>
        <c:smooth val="0"/>
        <c:axId val="327741824"/>
        <c:axId val="327743360"/>
      </c:lineChart>
      <c:catAx>
        <c:axId val="32774182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743360"/>
        <c:crosses val="autoZero"/>
        <c:auto val="1"/>
        <c:lblAlgn val="ctr"/>
        <c:lblOffset val="100"/>
        <c:noMultiLvlLbl val="0"/>
      </c:catAx>
      <c:valAx>
        <c:axId val="32774336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74182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'18'!$M$59</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45-4428-8488-CD47E12069DB}"/>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45-4428-8488-CD47E12069D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1"/>
          <c:extLst>
            <c:ext xmlns:c16="http://schemas.microsoft.com/office/drawing/2014/chart" uri="{C3380CC4-5D6E-409C-BE32-E72D297353CC}">
              <c16:uniqueId val="{00000002-3E45-4428-8488-CD47E12069DB}"/>
            </c:ext>
          </c:extLst>
        </c:ser>
        <c:dLbls>
          <c:showLegendKey val="0"/>
          <c:showVal val="0"/>
          <c:showCatName val="0"/>
          <c:showSerName val="0"/>
          <c:showPercent val="0"/>
          <c:showBubbleSize val="0"/>
        </c:dLbls>
        <c:smooth val="0"/>
        <c:axId val="355637120"/>
        <c:axId val="355638656"/>
      </c:lineChart>
      <c:catAx>
        <c:axId val="3556371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55638656"/>
        <c:crosses val="autoZero"/>
        <c:auto val="1"/>
        <c:lblAlgn val="ctr"/>
        <c:lblOffset val="100"/>
        <c:noMultiLvlLbl val="0"/>
      </c:catAx>
      <c:valAx>
        <c:axId val="35563865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563712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'18'!$N$59</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CC-4E66-A903-C39B870EA019}"/>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CC-4E66-A903-C39B870EA01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1"/>
          <c:extLst>
            <c:ext xmlns:c16="http://schemas.microsoft.com/office/drawing/2014/chart" uri="{C3380CC4-5D6E-409C-BE32-E72D297353CC}">
              <c16:uniqueId val="{00000002-51CC-4E66-A903-C39B870EA019}"/>
            </c:ext>
          </c:extLst>
        </c:ser>
        <c:dLbls>
          <c:showLegendKey val="0"/>
          <c:showVal val="0"/>
          <c:showCatName val="0"/>
          <c:showSerName val="0"/>
          <c:showPercent val="0"/>
          <c:showBubbleSize val="0"/>
        </c:dLbls>
        <c:smooth val="0"/>
        <c:axId val="355655040"/>
        <c:axId val="355660928"/>
      </c:lineChart>
      <c:catAx>
        <c:axId val="35565504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55660928"/>
        <c:crosses val="autoZero"/>
        <c:auto val="1"/>
        <c:lblAlgn val="ctr"/>
        <c:lblOffset val="100"/>
        <c:noMultiLvlLbl val="0"/>
      </c:catAx>
      <c:valAx>
        <c:axId val="3556609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565504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'11'!$H$9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A857-407D-8B84-2EB952D5B822}"/>
              </c:ext>
            </c:extLst>
          </c:dPt>
          <c:dPt>
            <c:idx val="5"/>
            <c:invertIfNegative val="0"/>
            <c:bubble3D val="0"/>
            <c:extLst>
              <c:ext xmlns:c16="http://schemas.microsoft.com/office/drawing/2014/chart" uri="{C3380CC4-5D6E-409C-BE32-E72D297353CC}">
                <c16:uniqueId val="{00000001-A857-407D-8B84-2EB952D5B822}"/>
              </c:ext>
            </c:extLst>
          </c:dPt>
          <c:dPt>
            <c:idx val="8"/>
            <c:invertIfNegative val="0"/>
            <c:bubble3D val="0"/>
            <c:extLst>
              <c:ext xmlns:c16="http://schemas.microsoft.com/office/drawing/2014/chart" uri="{C3380CC4-5D6E-409C-BE32-E72D297353CC}">
                <c16:uniqueId val="{00000002-A857-407D-8B84-2EB952D5B822}"/>
              </c:ext>
            </c:extLst>
          </c:dPt>
          <c:dPt>
            <c:idx val="10"/>
            <c:invertIfNegative val="0"/>
            <c:bubble3D val="0"/>
            <c:extLst>
              <c:ext xmlns:c16="http://schemas.microsoft.com/office/drawing/2014/chart" uri="{C3380CC4-5D6E-409C-BE32-E72D297353CC}">
                <c16:uniqueId val="{00000003-A857-407D-8B84-2EB952D5B82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'11'!$J$10:$J$14</c:f>
              <c:numCache>
                <c:formatCode>General</c:formatCode>
                <c:ptCount val="5"/>
                <c:pt idx="0">
                  <c:v>28</c:v>
                </c:pt>
                <c:pt idx="1">
                  <c:v>143</c:v>
                </c:pt>
                <c:pt idx="2">
                  <c:v>24</c:v>
                </c:pt>
                <c:pt idx="3">
                  <c:v>2</c:v>
                </c:pt>
                <c:pt idx="4">
                  <c:v>0</c:v>
                </c:pt>
              </c:numCache>
            </c:numRef>
          </c:val>
          <c:extLst>
            <c:ext xmlns:c16="http://schemas.microsoft.com/office/drawing/2014/chart" uri="{C3380CC4-5D6E-409C-BE32-E72D297353CC}">
              <c16:uniqueId val="{00000004-A857-407D-8B84-2EB952D5B822}"/>
            </c:ext>
          </c:extLst>
        </c:ser>
        <c:dLbls>
          <c:showLegendKey val="0"/>
          <c:showVal val="1"/>
          <c:showCatName val="0"/>
          <c:showSerName val="0"/>
          <c:showPercent val="0"/>
          <c:showBubbleSize val="0"/>
        </c:dLbls>
        <c:gapWidth val="22"/>
        <c:overlap val="6"/>
        <c:axId val="257485440"/>
        <c:axId val="257487232"/>
      </c:barChart>
      <c:catAx>
        <c:axId val="257485440"/>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487232"/>
        <c:crosses val="autoZero"/>
        <c:auto val="1"/>
        <c:lblAlgn val="ctr"/>
        <c:lblOffset val="100"/>
        <c:noMultiLvlLbl val="0"/>
      </c:catAx>
      <c:valAx>
        <c:axId val="257487232"/>
        <c:scaling>
          <c:orientation val="minMax"/>
        </c:scaling>
        <c:delete val="1"/>
        <c:axPos val="t"/>
        <c:numFmt formatCode="General" sourceLinked="1"/>
        <c:majorTickMark val="none"/>
        <c:minorTickMark val="none"/>
        <c:tickLblPos val="nextTo"/>
        <c:crossAx val="25748544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'19'!$H$11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58C6-42F6-845A-B3CA8166E94A}"/>
              </c:ext>
            </c:extLst>
          </c:dPt>
          <c:dPt>
            <c:idx val="5"/>
            <c:invertIfNegative val="0"/>
            <c:bubble3D val="0"/>
            <c:extLst>
              <c:ext xmlns:c16="http://schemas.microsoft.com/office/drawing/2014/chart" uri="{C3380CC4-5D6E-409C-BE32-E72D297353CC}">
                <c16:uniqueId val="{00000001-58C6-42F6-845A-B3CA8166E94A}"/>
              </c:ext>
            </c:extLst>
          </c:dPt>
          <c:dPt>
            <c:idx val="8"/>
            <c:invertIfNegative val="0"/>
            <c:bubble3D val="0"/>
            <c:extLst>
              <c:ext xmlns:c16="http://schemas.microsoft.com/office/drawing/2014/chart" uri="{C3380CC4-5D6E-409C-BE32-E72D297353CC}">
                <c16:uniqueId val="{00000002-58C6-42F6-845A-B3CA8166E94A}"/>
              </c:ext>
            </c:extLst>
          </c:dPt>
          <c:dPt>
            <c:idx val="10"/>
            <c:invertIfNegative val="0"/>
            <c:bubble3D val="0"/>
            <c:extLst>
              <c:ext xmlns:c16="http://schemas.microsoft.com/office/drawing/2014/chart" uri="{C3380CC4-5D6E-409C-BE32-E72D297353CC}">
                <c16:uniqueId val="{00000003-58C6-42F6-845A-B3CA8166E94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'19'!$J$12:$J$16</c:f>
              <c:numCache>
                <c:formatCode>General</c:formatCode>
                <c:ptCount val="5"/>
                <c:pt idx="0">
                  <c:v>307</c:v>
                </c:pt>
                <c:pt idx="1">
                  <c:v>405</c:v>
                </c:pt>
                <c:pt idx="2">
                  <c:v>42</c:v>
                </c:pt>
                <c:pt idx="3">
                  <c:v>7</c:v>
                </c:pt>
                <c:pt idx="4">
                  <c:v>8</c:v>
                </c:pt>
              </c:numCache>
            </c:numRef>
          </c:val>
          <c:extLst>
            <c:ext xmlns:c16="http://schemas.microsoft.com/office/drawing/2014/chart" uri="{C3380CC4-5D6E-409C-BE32-E72D297353CC}">
              <c16:uniqueId val="{00000004-58C6-42F6-845A-B3CA8166E94A}"/>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'19'!$H$2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D4-448E-93C1-455DFE00C467}"/>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D4-448E-93C1-455DFE00C467}"/>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D4-448E-93C1-455DFE00C467}"/>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D4-448E-93C1-455DFE00C467}"/>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'19'!$H$4:$H$7</c:f>
              <c:strCache>
                <c:ptCount val="4"/>
                <c:pt idx="0">
                  <c:v>praca.pl</c:v>
                </c:pt>
                <c:pt idx="1">
                  <c:v>pracuj.pl</c:v>
                </c:pt>
                <c:pt idx="2">
                  <c:v>agora</c:v>
                </c:pt>
                <c:pt idx="3">
                  <c:v>gratka.pl</c:v>
                </c:pt>
              </c:strCache>
            </c:strRef>
          </c:cat>
          <c:val>
            <c:numRef>
              <c:f>'19'!$I$4:$I$7</c:f>
              <c:numCache>
                <c:formatCode>General</c:formatCode>
                <c:ptCount val="4"/>
                <c:pt idx="0">
                  <c:v>95</c:v>
                </c:pt>
                <c:pt idx="1">
                  <c:v>614</c:v>
                </c:pt>
                <c:pt idx="2">
                  <c:v>54</c:v>
                </c:pt>
                <c:pt idx="3">
                  <c:v>3</c:v>
                </c:pt>
              </c:numCache>
            </c:numRef>
          </c:val>
          <c:extLst>
            <c:ext xmlns:c16="http://schemas.microsoft.com/office/drawing/2014/chart" uri="{C3380CC4-5D6E-409C-BE32-E72D297353CC}">
              <c16:uniqueId val="{00000004-73D4-448E-93C1-455DFE00C467}"/>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'19'!$M$60</c:f>
              <c:strCache>
                <c:ptCount val="1"/>
                <c:pt idx="0">
                  <c:v>liczba ofert pracy</c:v>
                </c:pt>
              </c:strCache>
            </c:strRef>
          </c:tx>
          <c:spPr>
            <a:ln w="31750">
              <a:solidFill>
                <a:schemeClr val="tx1"/>
              </a:solidFill>
              <a:prstDash val="sysDot"/>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c:ext xmlns:c16="http://schemas.microsoft.com/office/drawing/2014/chart" uri="{C3380CC4-5D6E-409C-BE32-E72D297353CC}">
              <c16:uniqueId val="{00000000-3505-49CD-9767-82727EA7B224}"/>
            </c:ext>
          </c:extLst>
        </c:ser>
        <c:ser>
          <c:idx val="1"/>
          <c:order val="1"/>
          <c:tx>
            <c:strRef>
              <c:f>'19'!$N$60</c:f>
              <c:strCache>
                <c:ptCount val="1"/>
                <c:pt idx="0">
                  <c:v>liczba miejsc pracy</c:v>
                </c:pt>
              </c:strCache>
            </c:strRef>
          </c:tx>
          <c:spPr>
            <a:ln>
              <a:solidFill>
                <a:srgbClr val="0033CC">
                  <a:alpha val="23000"/>
                </a:srgbClr>
              </a:solidFill>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c:ext xmlns:c16="http://schemas.microsoft.com/office/drawing/2014/chart" uri="{C3380CC4-5D6E-409C-BE32-E72D297353CC}">
              <c16:uniqueId val="{00000001-3505-49CD-9767-82727EA7B224}"/>
            </c:ext>
          </c:extLst>
        </c:ser>
        <c:dLbls>
          <c:showLegendKey val="0"/>
          <c:showVal val="0"/>
          <c:showCatName val="0"/>
          <c:showSerName val="0"/>
          <c:showPercent val="0"/>
          <c:showBubbleSize val="0"/>
        </c:dLbls>
        <c:smooth val="0"/>
        <c:axId val="356283904"/>
        <c:axId val="356285440"/>
      </c:lineChart>
      <c:catAx>
        <c:axId val="35628390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85440"/>
        <c:crosses val="autoZero"/>
        <c:auto val="1"/>
        <c:lblAlgn val="ctr"/>
        <c:lblOffset val="100"/>
        <c:noMultiLvlLbl val="0"/>
      </c:catAx>
      <c:valAx>
        <c:axId val="35628544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28390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'19'!$M$60</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A0-4588-98D6-0F8A6D1C05C1}"/>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A0-4588-98D6-0F8A6D1C05C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1"/>
          <c:extLst>
            <c:ext xmlns:c16="http://schemas.microsoft.com/office/drawing/2014/chart" uri="{C3380CC4-5D6E-409C-BE32-E72D297353CC}">
              <c16:uniqueId val="{00000002-6FA0-4588-98D6-0F8A6D1C05C1}"/>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'19'!$N$60</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53-41EF-B74D-27BCFAE93BF2}"/>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53-41EF-B74D-27BCFAE93BF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1"/>
          <c:extLst>
            <c:ext xmlns:c16="http://schemas.microsoft.com/office/drawing/2014/chart" uri="{C3380CC4-5D6E-409C-BE32-E72D297353CC}">
              <c16:uniqueId val="{00000002-E853-41EF-B74D-27BCFAE93BF2}"/>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'20'!$H$11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4628-4837-AE85-6E22DACD5858}"/>
              </c:ext>
            </c:extLst>
          </c:dPt>
          <c:dPt>
            <c:idx val="5"/>
            <c:invertIfNegative val="0"/>
            <c:bubble3D val="0"/>
            <c:extLst>
              <c:ext xmlns:c16="http://schemas.microsoft.com/office/drawing/2014/chart" uri="{C3380CC4-5D6E-409C-BE32-E72D297353CC}">
                <c16:uniqueId val="{00000001-4628-4837-AE85-6E22DACD5858}"/>
              </c:ext>
            </c:extLst>
          </c:dPt>
          <c:dPt>
            <c:idx val="8"/>
            <c:invertIfNegative val="0"/>
            <c:bubble3D val="0"/>
            <c:extLst>
              <c:ext xmlns:c16="http://schemas.microsoft.com/office/drawing/2014/chart" uri="{C3380CC4-5D6E-409C-BE32-E72D297353CC}">
                <c16:uniqueId val="{00000002-4628-4837-AE85-6E22DACD5858}"/>
              </c:ext>
            </c:extLst>
          </c:dPt>
          <c:dPt>
            <c:idx val="10"/>
            <c:invertIfNegative val="0"/>
            <c:bubble3D val="0"/>
            <c:extLst>
              <c:ext xmlns:c16="http://schemas.microsoft.com/office/drawing/2014/chart" uri="{C3380CC4-5D6E-409C-BE32-E72D297353CC}">
                <c16:uniqueId val="{00000003-4628-4837-AE85-6E22DACD585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'20'!$J$12:$J$16</c:f>
              <c:numCache>
                <c:formatCode>General</c:formatCode>
                <c:ptCount val="5"/>
                <c:pt idx="0">
                  <c:v>317</c:v>
                </c:pt>
                <c:pt idx="1">
                  <c:v>397</c:v>
                </c:pt>
                <c:pt idx="2">
                  <c:v>25</c:v>
                </c:pt>
                <c:pt idx="3">
                  <c:v>3</c:v>
                </c:pt>
                <c:pt idx="4">
                  <c:v>1</c:v>
                </c:pt>
              </c:numCache>
            </c:numRef>
          </c:val>
          <c:extLst>
            <c:ext xmlns:c16="http://schemas.microsoft.com/office/drawing/2014/chart" uri="{C3380CC4-5D6E-409C-BE32-E72D297353CC}">
              <c16:uniqueId val="{00000004-4628-4837-AE85-6E22DACD5858}"/>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2022 roku.</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'20'!$I$3</c:f>
              <c:strCache>
                <c:ptCount val="1"/>
                <c:pt idx="0">
                  <c:v>liczba ofert</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7D-49DA-8205-B3B3462C3F59}"/>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7D-49DA-8205-B3B3462C3F59}"/>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7D-49DA-8205-B3B3462C3F59}"/>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7D-49DA-8205-B3B3462C3F59}"/>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'20'!$H$4:$H$7</c:f>
              <c:strCache>
                <c:ptCount val="4"/>
                <c:pt idx="0">
                  <c:v>praca.pl</c:v>
                </c:pt>
                <c:pt idx="1">
                  <c:v>pracuj.pl</c:v>
                </c:pt>
                <c:pt idx="2">
                  <c:v>agora</c:v>
                </c:pt>
                <c:pt idx="3">
                  <c:v>gratka.pl</c:v>
                </c:pt>
              </c:strCache>
            </c:strRef>
          </c:cat>
          <c:val>
            <c:numRef>
              <c:f>'20'!$I$4:$I$7</c:f>
              <c:numCache>
                <c:formatCode>General</c:formatCode>
                <c:ptCount val="4"/>
                <c:pt idx="0">
                  <c:v>108</c:v>
                </c:pt>
                <c:pt idx="1">
                  <c:v>523</c:v>
                </c:pt>
                <c:pt idx="2">
                  <c:v>65</c:v>
                </c:pt>
                <c:pt idx="3">
                  <c:v>7</c:v>
                </c:pt>
              </c:numCache>
            </c:numRef>
          </c:val>
          <c:extLst>
            <c:ext xmlns:c16="http://schemas.microsoft.com/office/drawing/2014/chart" uri="{C3380CC4-5D6E-409C-BE32-E72D297353CC}">
              <c16:uniqueId val="{00000004-607D-49DA-8205-B3B3462C3F59}"/>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'20'!$T$3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87-4899-93C9-2653B1090C40}"/>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87-4899-93C9-2653B1090C40}"/>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'20'!$T$4:$T$18</c:f>
              <c:numCache>
                <c:formatCode>General</c:formatCode>
                <c:ptCount val="15"/>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numCache>
            </c:numRef>
          </c:val>
          <c:smooth val="1"/>
          <c:extLst>
            <c:ext xmlns:c16="http://schemas.microsoft.com/office/drawing/2014/chart" uri="{C3380CC4-5D6E-409C-BE32-E72D297353CC}">
              <c16:uniqueId val="{00000002-3387-4899-93C9-2653B1090C40}"/>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8.1553329602192873E-2"/>
          <c:y val="0.1153436041111411"/>
          <c:w val="0.56532662730391225"/>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'20'!$U$3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C1-46A9-B710-E7819572EC1B}"/>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C1-46A9-B710-E7819572EC1B}"/>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'20'!$U$4:$U$18</c:f>
              <c:numCache>
                <c:formatCode>General</c:formatCode>
                <c:ptCount val="15"/>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numCache>
            </c:numRef>
          </c:val>
          <c:smooth val="1"/>
          <c:extLst>
            <c:ext xmlns:c16="http://schemas.microsoft.com/office/drawing/2014/chart" uri="{C3380CC4-5D6E-409C-BE32-E72D297353CC}">
              <c16:uniqueId val="{00000002-EAC1-46A9-B710-E7819572EC1B}"/>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0.12391821088728683"/>
          <c:y val="0.10392409673864292"/>
          <c:w val="0.5179478070254376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'21'!$H$11</c:f>
              <c:strCache>
                <c:ptCount val="1"/>
                <c:pt idx="0">
                  <c:v>Liczba miejsc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8A75-4B1D-80B3-30228C0EAEBF}"/>
              </c:ext>
            </c:extLst>
          </c:dPt>
          <c:dPt>
            <c:idx val="5"/>
            <c:invertIfNegative val="0"/>
            <c:bubble3D val="0"/>
            <c:extLst>
              <c:ext xmlns:c16="http://schemas.microsoft.com/office/drawing/2014/chart" uri="{C3380CC4-5D6E-409C-BE32-E72D297353CC}">
                <c16:uniqueId val="{00000001-8A75-4B1D-80B3-30228C0EAEBF}"/>
              </c:ext>
            </c:extLst>
          </c:dPt>
          <c:dPt>
            <c:idx val="8"/>
            <c:invertIfNegative val="0"/>
            <c:bubble3D val="0"/>
            <c:extLst>
              <c:ext xmlns:c16="http://schemas.microsoft.com/office/drawing/2014/chart" uri="{C3380CC4-5D6E-409C-BE32-E72D297353CC}">
                <c16:uniqueId val="{00000002-8A75-4B1D-80B3-30228C0EAEBF}"/>
              </c:ext>
            </c:extLst>
          </c:dPt>
          <c:dPt>
            <c:idx val="10"/>
            <c:invertIfNegative val="0"/>
            <c:bubble3D val="0"/>
            <c:extLst>
              <c:ext xmlns:c16="http://schemas.microsoft.com/office/drawing/2014/chart" uri="{C3380CC4-5D6E-409C-BE32-E72D297353CC}">
                <c16:uniqueId val="{00000003-8A75-4B1D-80B3-30228C0EAEB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'21'!$J$12:$J$16</c:f>
              <c:numCache>
                <c:formatCode>General</c:formatCode>
                <c:ptCount val="5"/>
                <c:pt idx="0">
                  <c:v>316</c:v>
                </c:pt>
                <c:pt idx="1">
                  <c:v>441</c:v>
                </c:pt>
                <c:pt idx="2">
                  <c:v>36</c:v>
                </c:pt>
                <c:pt idx="3">
                  <c:v>2</c:v>
                </c:pt>
                <c:pt idx="4">
                  <c:v>5</c:v>
                </c:pt>
              </c:numCache>
            </c:numRef>
          </c:val>
          <c:extLst>
            <c:ext xmlns:c16="http://schemas.microsoft.com/office/drawing/2014/chart" uri="{C3380CC4-5D6E-409C-BE32-E72D297353CC}">
              <c16:uniqueId val="{00000004-8A75-4B1D-80B3-30228C0EAEBF}"/>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'11'!$H$2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'11'!$H$4:$H$7</c:f>
              <c:strCache>
                <c:ptCount val="4"/>
                <c:pt idx="0">
                  <c:v>praca.pl</c:v>
                </c:pt>
                <c:pt idx="1">
                  <c:v>pracuj.pl</c:v>
                </c:pt>
                <c:pt idx="2">
                  <c:v>agora</c:v>
                </c:pt>
                <c:pt idx="3">
                  <c:v>gratka.pl</c:v>
                </c:pt>
              </c:strCache>
            </c:strRef>
          </c:cat>
          <c:val>
            <c:numRef>
              <c:f>'11'!$I$4:$I$7</c:f>
              <c:numCache>
                <c:formatCode>General</c:formatCode>
                <c:ptCount val="4"/>
                <c:pt idx="0">
                  <c:v>50</c:v>
                </c:pt>
                <c:pt idx="1">
                  <c:v>110</c:v>
                </c:pt>
                <c:pt idx="2">
                  <c:v>6</c:v>
                </c:pt>
                <c:pt idx="3">
                  <c:v>7</c:v>
                </c:pt>
              </c:numCache>
            </c:numRef>
          </c:val>
          <c:extLst>
            <c:ext xmlns:c16="http://schemas.microsoft.com/office/drawing/2014/chart" uri="{C3380CC4-5D6E-409C-BE32-E72D297353CC}">
              <c16:uniqueId val="{00000000-AA93-437A-B17F-BC681F96E8F2}"/>
            </c:ext>
          </c:extLst>
        </c:ser>
        <c:dLbls>
          <c:showLegendKey val="0"/>
          <c:showVal val="0"/>
          <c:showCatName val="0"/>
          <c:showSerName val="0"/>
          <c:showPercent val="0"/>
          <c:showBubbleSize val="0"/>
        </c:dLbls>
        <c:gapWidth val="150"/>
        <c:axId val="257507712"/>
        <c:axId val="257509248"/>
      </c:barChart>
      <c:catAx>
        <c:axId val="25750771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509248"/>
        <c:crosses val="autoZero"/>
        <c:auto val="1"/>
        <c:lblAlgn val="ctr"/>
        <c:lblOffset val="100"/>
        <c:noMultiLvlLbl val="0"/>
      </c:catAx>
      <c:valAx>
        <c:axId val="2575092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5077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2022 roku.</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'21'!$I$3</c:f>
              <c:strCache>
                <c:ptCount val="1"/>
                <c:pt idx="0">
                  <c:v>liczba ofert</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CD-42BE-AE78-E7296AE4EA0F}"/>
                </c:ext>
              </c:extLst>
            </c:dLbl>
            <c:dLbl>
              <c:idx val="1"/>
              <c:layout>
                <c:manualLayout>
                  <c:x val="0"/>
                  <c:y val="2.2007868367399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CD-42BE-AE78-E7296AE4EA0F}"/>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CD-42BE-AE78-E7296AE4EA0F}"/>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CD-42BE-AE78-E7296AE4EA0F}"/>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'21'!$H$4:$H$7</c:f>
              <c:strCache>
                <c:ptCount val="4"/>
                <c:pt idx="0">
                  <c:v>praca.pl</c:v>
                </c:pt>
                <c:pt idx="1">
                  <c:v>pracuj.pl</c:v>
                </c:pt>
                <c:pt idx="2">
                  <c:v>agora</c:v>
                </c:pt>
                <c:pt idx="3">
                  <c:v>gratka.pl</c:v>
                </c:pt>
              </c:strCache>
            </c:strRef>
          </c:cat>
          <c:val>
            <c:numRef>
              <c:f>'21'!$I$4:$I$7</c:f>
              <c:numCache>
                <c:formatCode>General</c:formatCode>
                <c:ptCount val="4"/>
                <c:pt idx="0">
                  <c:v>75</c:v>
                </c:pt>
                <c:pt idx="1">
                  <c:v>525</c:v>
                </c:pt>
                <c:pt idx="2">
                  <c:v>195</c:v>
                </c:pt>
                <c:pt idx="3">
                  <c:v>1</c:v>
                </c:pt>
              </c:numCache>
            </c:numRef>
          </c:val>
          <c:extLst>
            <c:ext xmlns:c16="http://schemas.microsoft.com/office/drawing/2014/chart" uri="{C3380CC4-5D6E-409C-BE32-E72D297353CC}">
              <c16:uniqueId val="{00000004-F6CD-42BE-AE78-E7296AE4EA0F}"/>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'21'!$T$3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B5-4E82-9A95-E930F70B26FC}"/>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B5-4E82-9A95-E930F70B26FC}"/>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'21'!$S$4:$S$19</c:f>
              <c:strCache>
                <c:ptCount val="16"/>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strCache>
            </c:strRef>
          </c:cat>
          <c:val>
            <c:numRef>
              <c:f>'21'!$T$4:$T$19</c:f>
              <c:numCache>
                <c:formatCode>General</c:formatCode>
                <c:ptCount val="16"/>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numCache>
            </c:numRef>
          </c:val>
          <c:smooth val="1"/>
          <c:extLst>
            <c:ext xmlns:c16="http://schemas.microsoft.com/office/drawing/2014/chart" uri="{C3380CC4-5D6E-409C-BE32-E72D297353CC}">
              <c16:uniqueId val="{00000002-24B5-4E82-9A95-E930F70B26FC}"/>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5.1811415450972557E-2"/>
          <c:y val="0.1089256313617523"/>
          <c:w val="0.42983607905342386"/>
          <c:h val="9.0837560604360795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'21'!$U$3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5B-47F3-80BE-ED69A7BB486E}"/>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5B-47F3-80BE-ED69A7BB486E}"/>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'21'!$S$4:$S$19</c:f>
              <c:strCache>
                <c:ptCount val="16"/>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strCache>
            </c:strRef>
          </c:cat>
          <c:val>
            <c:numRef>
              <c:f>'21'!$U$4:$U$19</c:f>
              <c:numCache>
                <c:formatCode>General</c:formatCode>
                <c:ptCount val="16"/>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numCache>
            </c:numRef>
          </c:val>
          <c:smooth val="1"/>
          <c:extLst>
            <c:ext xmlns:c16="http://schemas.microsoft.com/office/drawing/2014/chart" uri="{C3380CC4-5D6E-409C-BE32-E72D297353CC}">
              <c16:uniqueId val="{00000002-EC5B-47F3-80BE-ED69A7BB486E}"/>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2023</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'22'!$H$11</c:f>
              <c:strCache>
                <c:ptCount val="1"/>
                <c:pt idx="0">
                  <c:v>Liczba miejsc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82C2-46FC-9F6F-CFCE4CD1E0BE}"/>
              </c:ext>
            </c:extLst>
          </c:dPt>
          <c:dPt>
            <c:idx val="5"/>
            <c:invertIfNegative val="0"/>
            <c:bubble3D val="0"/>
            <c:extLst>
              <c:ext xmlns:c16="http://schemas.microsoft.com/office/drawing/2014/chart" uri="{C3380CC4-5D6E-409C-BE32-E72D297353CC}">
                <c16:uniqueId val="{00000001-82C2-46FC-9F6F-CFCE4CD1E0BE}"/>
              </c:ext>
            </c:extLst>
          </c:dPt>
          <c:dPt>
            <c:idx val="8"/>
            <c:invertIfNegative val="0"/>
            <c:bubble3D val="0"/>
            <c:extLst>
              <c:ext xmlns:c16="http://schemas.microsoft.com/office/drawing/2014/chart" uri="{C3380CC4-5D6E-409C-BE32-E72D297353CC}">
                <c16:uniqueId val="{00000002-82C2-46FC-9F6F-CFCE4CD1E0BE}"/>
              </c:ext>
            </c:extLst>
          </c:dPt>
          <c:dPt>
            <c:idx val="10"/>
            <c:invertIfNegative val="0"/>
            <c:bubble3D val="0"/>
            <c:extLst>
              <c:ext xmlns:c16="http://schemas.microsoft.com/office/drawing/2014/chart" uri="{C3380CC4-5D6E-409C-BE32-E72D297353CC}">
                <c16:uniqueId val="{00000003-82C2-46FC-9F6F-CFCE4CD1E0B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'22'!$I$12:$I$16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'22'!$J$12:$J$16</c:f>
              <c:numCache>
                <c:formatCode>General</c:formatCode>
                <c:ptCount val="5"/>
                <c:pt idx="0">
                  <c:v>350</c:v>
                </c:pt>
                <c:pt idx="1">
                  <c:v>417</c:v>
                </c:pt>
                <c:pt idx="2">
                  <c:v>10</c:v>
                </c:pt>
                <c:pt idx="3">
                  <c:v>16</c:v>
                </c:pt>
                <c:pt idx="4">
                  <c:v>2</c:v>
                </c:pt>
              </c:numCache>
            </c:numRef>
          </c:val>
          <c:extLst>
            <c:ext xmlns:c16="http://schemas.microsoft.com/office/drawing/2014/chart" uri="{C3380CC4-5D6E-409C-BE32-E72D297353CC}">
              <c16:uniqueId val="{00000004-82C2-46FC-9F6F-CFCE4CD1E0BE}"/>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2023 r.</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'22'!$H$2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A71-493B-8DF4-37E734291401}"/>
                </c:ext>
              </c:extLst>
            </c:dLbl>
            <c:dLbl>
              <c:idx val="1"/>
              <c:layout>
                <c:manualLayout>
                  <c:x val="0"/>
                  <c:y val="2.20078683673993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A71-493B-8DF4-37E734291401}"/>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71-493B-8DF4-37E734291401}"/>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71-493B-8DF4-37E734291401}"/>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'22'!$H$4:$H$7</c:f>
              <c:strCache>
                <c:ptCount val="4"/>
                <c:pt idx="0">
                  <c:v>praca.pl</c:v>
                </c:pt>
                <c:pt idx="1">
                  <c:v>pracuj.pl</c:v>
                </c:pt>
                <c:pt idx="2">
                  <c:v>agora</c:v>
                </c:pt>
                <c:pt idx="3">
                  <c:v>gratka.pl</c:v>
                </c:pt>
              </c:strCache>
            </c:strRef>
          </c:cat>
          <c:val>
            <c:numRef>
              <c:f>'22'!$I$4:$I$7</c:f>
              <c:numCache>
                <c:formatCode>General</c:formatCode>
                <c:ptCount val="4"/>
                <c:pt idx="0">
                  <c:v>28</c:v>
                </c:pt>
                <c:pt idx="1">
                  <c:v>0</c:v>
                </c:pt>
                <c:pt idx="2">
                  <c:v>767</c:v>
                </c:pt>
                <c:pt idx="3">
                  <c:v>0</c:v>
                </c:pt>
              </c:numCache>
            </c:numRef>
          </c:val>
          <c:extLst>
            <c:ext xmlns:c16="http://schemas.microsoft.com/office/drawing/2014/chart" uri="{C3380CC4-5D6E-409C-BE32-E72D297353CC}">
              <c16:uniqueId val="{00000004-EA71-493B-8DF4-37E734291401}"/>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'22'!$T$3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9F-4D1F-A2AA-8C7687BCF8AA}"/>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9F-4D1F-A2AA-8C7687BCF8AA}"/>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'22'!$S$4:$S$20</c:f>
              <c:strCache>
                <c:ptCount val="17"/>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pt idx="16">
                  <c:v>I 2023</c:v>
                </c:pt>
              </c:strCache>
            </c:strRef>
          </c:cat>
          <c:val>
            <c:numRef>
              <c:f>'22'!$T$4:$T$20</c:f>
              <c:numCache>
                <c:formatCode>General</c:formatCode>
                <c:ptCount val="17"/>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pt idx="16">
                  <c:v>795</c:v>
                </c:pt>
              </c:numCache>
            </c:numRef>
          </c:val>
          <c:smooth val="1"/>
          <c:extLst>
            <c:ext xmlns:c16="http://schemas.microsoft.com/office/drawing/2014/chart" uri="{C3380CC4-5D6E-409C-BE32-E72D297353CC}">
              <c16:uniqueId val="{00000002-689F-4D1F-A2AA-8C7687BCF8AA}"/>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5.1811415450972557E-2"/>
          <c:y val="0.1089256313617523"/>
          <c:w val="0.42983607905342386"/>
          <c:h val="9.0837560604360795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'22'!$U$3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4E9-4723-BDB3-384476EA9419}"/>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4E9-4723-BDB3-384476EA9419}"/>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'22'!$S$4:$S$20</c:f>
              <c:strCache>
                <c:ptCount val="17"/>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pt idx="16">
                  <c:v>I 2023</c:v>
                </c:pt>
              </c:strCache>
            </c:strRef>
          </c:cat>
          <c:val>
            <c:numRef>
              <c:f>'22'!$U$4:$U$20</c:f>
              <c:numCache>
                <c:formatCode>General</c:formatCode>
                <c:ptCount val="17"/>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pt idx="16">
                  <c:v>795</c:v>
                </c:pt>
              </c:numCache>
            </c:numRef>
          </c:val>
          <c:smooth val="1"/>
          <c:extLst>
            <c:ext xmlns:c16="http://schemas.microsoft.com/office/drawing/2014/chart" uri="{C3380CC4-5D6E-409C-BE32-E72D297353CC}">
              <c16:uniqueId val="{00000002-04E9-4723-BDB3-384476EA9419}"/>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0"/>
          <c:order val="0"/>
          <c:tx>
            <c:strRef>
              <c:f>kw!$D$3</c:f>
              <c:strCache>
                <c:ptCount val="1"/>
                <c:pt idx="0">
                  <c:v>liczba ofert (liczebność prób)</c:v>
                </c:pt>
              </c:strCache>
            </c:strRef>
          </c:tx>
          <c:spPr>
            <a:ln w="31750">
              <a:solidFill>
                <a:schemeClr val="tx1"/>
              </a:solidFill>
              <a:prstDash val="sysDot"/>
            </a:ln>
          </c:spPr>
          <c:marker>
            <c:symbol val="none"/>
          </c:marker>
          <c:dLbls>
            <c:dLbl>
              <c:idx val="0"/>
              <c:layout>
                <c:manualLayout>
                  <c:x val="-3.504130282730375E-2"/>
                  <c:y val="1.8362194014468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87-4FCD-A0BC-7EAA2E88EBF9}"/>
                </c:ext>
              </c:extLst>
            </c:dLbl>
            <c:dLbl>
              <c:idx val="1"/>
              <c:layout>
                <c:manualLayout>
                  <c:x val="-5.9184574670334049E-2"/>
                  <c:y val="0.1090888835877027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87-4FCD-A0BC-7EAA2E88EBF9}"/>
                </c:ext>
              </c:extLst>
            </c:dLbl>
            <c:dLbl>
              <c:idx val="2"/>
              <c:layout>
                <c:manualLayout>
                  <c:x val="-6.8754048325152514E-2"/>
                  <c:y val="3.6756467333644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87-4FCD-A0BC-7EAA2E88EBF9}"/>
                </c:ext>
              </c:extLst>
            </c:dLbl>
            <c:dLbl>
              <c:idx val="3"/>
              <c:layout>
                <c:manualLayout>
                  <c:x val="-5.987815467730432E-2"/>
                  <c:y val="6.7912471325476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87-4FCD-A0BC-7EAA2E88EBF9}"/>
                </c:ext>
              </c:extLst>
            </c:dLbl>
            <c:dLbl>
              <c:idx val="4"/>
              <c:layout>
                <c:manualLayout>
                  <c:x val="-6.0853372291478719E-2"/>
                  <c:y val="4.4850950801428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87-4FCD-A0BC-7EAA2E88EBF9}"/>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87-4FCD-A0BC-7EAA2E88EBF9}"/>
                </c:ext>
              </c:extLst>
            </c:dLbl>
            <c:dLbl>
              <c:idx val="6"/>
              <c:layout>
                <c:manualLayout>
                  <c:x val="-5.7301704889980355E-2"/>
                  <c:y val="3.38471660267331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87-4FCD-A0BC-7EAA2E88EBF9}"/>
                </c:ext>
              </c:extLst>
            </c:dLbl>
            <c:dLbl>
              <c:idx val="7"/>
              <c:layout>
                <c:manualLayout>
                  <c:x val="-6.3841764478568749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87-4FCD-A0BC-7EAA2E88EBF9}"/>
                </c:ext>
              </c:extLst>
            </c:dLbl>
            <c:dLbl>
              <c:idx val="8"/>
              <c:layout>
                <c:manualLayout>
                  <c:x val="-6.3841786486216301E-2"/>
                  <c:y val="3.6166791387114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87-4FCD-A0BC-7EAA2E88EBF9}"/>
                </c:ext>
              </c:extLst>
            </c:dLbl>
            <c:dLbl>
              <c:idx val="9"/>
              <c:layout>
                <c:manualLayout>
                  <c:x val="-6.3841764478568833E-2"/>
                  <c:y val="4.3574194474077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87-4FCD-A0BC-7EAA2E88EBF9}"/>
                </c:ext>
              </c:extLst>
            </c:dLbl>
            <c:dLbl>
              <c:idx val="10"/>
              <c:layout>
                <c:manualLayout>
                  <c:x val="-5.0642389059909199E-2"/>
                  <c:y val="-3.7907822742593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87-4FCD-A0BC-7EAA2E88EBF9}"/>
                </c:ext>
              </c:extLst>
            </c:dLbl>
            <c:dLbl>
              <c:idx val="11"/>
              <c:layout>
                <c:manualLayout>
                  <c:x val="-1.2006660025026802E-2"/>
                  <c:y val="-8.1295957249368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87-4FCD-A0BC-7EAA2E88EBF9}"/>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kw!$B$4:$B$17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kw!$D$4:$D$17</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c:ext xmlns:c16="http://schemas.microsoft.com/office/drawing/2014/chart" uri="{C3380CC4-5D6E-409C-BE32-E72D297353CC}">
              <c16:uniqueId val="{0000000C-C987-4FCD-A0BC-7EAA2E88EBF9}"/>
            </c:ext>
          </c:extLst>
        </c:ser>
        <c:dLbls>
          <c:showLegendKey val="0"/>
          <c:showVal val="0"/>
          <c:showCatName val="0"/>
          <c:showSerName val="0"/>
          <c:showPercent val="0"/>
          <c:showBubbleSize val="0"/>
        </c:dLbls>
        <c:smooth val="0"/>
        <c:axId val="356530816"/>
        <c:axId val="356544896"/>
      </c:lineChart>
      <c:catAx>
        <c:axId val="35653081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544896"/>
        <c:crosses val="autoZero"/>
        <c:auto val="1"/>
        <c:lblAlgn val="ctr"/>
        <c:lblOffset val="100"/>
        <c:noMultiLvlLbl val="0"/>
      </c:catAx>
      <c:valAx>
        <c:axId val="35654489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356530816"/>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1"/>
          <c:order val="0"/>
          <c:tx>
            <c:strRef>
              <c:f>kw!$E$3</c:f>
              <c:strCache>
                <c:ptCount val="1"/>
                <c:pt idx="0">
                  <c:v>ilość miejsc pracy</c:v>
                </c:pt>
              </c:strCache>
            </c:strRef>
          </c:tx>
          <c:marker>
            <c:symbol val="none"/>
          </c:marker>
          <c:dLbls>
            <c:dLbl>
              <c:idx val="0"/>
              <c:layout>
                <c:manualLayout>
                  <c:x val="-5.9451389245580064E-2"/>
                  <c:y val="-0.117798706445782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F2D-AD52-B0C281931F52}"/>
                </c:ext>
              </c:extLst>
            </c:dLbl>
            <c:dLbl>
              <c:idx val="1"/>
              <c:layout>
                <c:manualLayout>
                  <c:x val="-6.4609114923656216E-2"/>
                  <c:y val="-4.94009627290972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20-4F2D-AD52-B0C281931F52}"/>
                </c:ext>
              </c:extLst>
            </c:dLbl>
            <c:dLbl>
              <c:idx val="2"/>
              <c:layout>
                <c:manualLayout>
                  <c:x val="-5.9463799225824066E-2"/>
                  <c:y val="-8.0611209908888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20-4F2D-AD52-B0C281931F52}"/>
                </c:ext>
              </c:extLst>
            </c:dLbl>
            <c:dLbl>
              <c:idx val="3"/>
              <c:layout>
                <c:manualLayout>
                  <c:x val="-6.425611993004908E-2"/>
                  <c:y val="-4.051616184534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20-4F2D-AD52-B0C281931F52}"/>
                </c:ext>
              </c:extLst>
            </c:dLbl>
            <c:dLbl>
              <c:idx val="4"/>
              <c:layout>
                <c:manualLayout>
                  <c:x val="-6.0853372291478719E-2"/>
                  <c:y val="-5.8926183186828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20-4F2D-AD52-B0C281931F52}"/>
                </c:ext>
              </c:extLst>
            </c:dLbl>
            <c:dLbl>
              <c:idx val="5"/>
              <c:layout>
                <c:manualLayout>
                  <c:x val="-6.3841764478568833E-2"/>
                  <c:y val="-5.8389000648001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20-4F2D-AD52-B0C281931F52}"/>
                </c:ext>
              </c:extLst>
            </c:dLbl>
            <c:dLbl>
              <c:idx val="6"/>
              <c:layout>
                <c:manualLayout>
                  <c:x val="-5.4965526109047189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20-4F2D-AD52-B0C281931F52}"/>
                </c:ext>
              </c:extLst>
            </c:dLbl>
            <c:dLbl>
              <c:idx val="7"/>
              <c:layout>
                <c:manualLayout>
                  <c:x val="-6.3841786486216301E-2"/>
                  <c:y val="-4.3574194474077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20-4F2D-AD52-B0C281931F52}"/>
                </c:ext>
              </c:extLst>
            </c:dLbl>
            <c:dLbl>
              <c:idx val="8"/>
              <c:layout>
                <c:manualLayout>
                  <c:x val="-6.3841764478568833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20-4F2D-AD52-B0C281931F52}"/>
                </c:ext>
              </c:extLst>
            </c:dLbl>
            <c:dLbl>
              <c:idx val="9"/>
              <c:layout>
                <c:manualLayout>
                  <c:x val="-1.5684146698376464E-2"/>
                  <c:y val="-3.6166791387114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20-4F2D-AD52-B0C281931F52}"/>
                </c:ext>
              </c:extLst>
            </c:dLbl>
            <c:dLbl>
              <c:idx val="10"/>
              <c:layout>
                <c:manualLayout>
                  <c:x val="-6.8154256107608349E-2"/>
                  <c:y val="-4.35747777341628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20-4F2D-AD52-B0C281931F52}"/>
                </c:ext>
              </c:extLst>
            </c:dLbl>
            <c:dLbl>
              <c:idx val="11"/>
              <c:layout>
                <c:manualLayout>
                  <c:x val="-1.2006660025026802E-2"/>
                  <c:y val="-8.1666327403716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20-4F2D-AD52-B0C281931F52}"/>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kw!$B$4:$B$17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kw!$E$4:$E$17</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c:ext xmlns:c16="http://schemas.microsoft.com/office/drawing/2014/chart" uri="{C3380CC4-5D6E-409C-BE32-E72D297353CC}">
              <c16:uniqueId val="{0000000C-F320-4F2D-AD52-B0C281931F52}"/>
            </c:ext>
          </c:extLst>
        </c:ser>
        <c:dLbls>
          <c:showLegendKey val="0"/>
          <c:showVal val="0"/>
          <c:showCatName val="0"/>
          <c:showSerName val="0"/>
          <c:showPercent val="0"/>
          <c:showBubbleSize val="0"/>
        </c:dLbls>
        <c:smooth val="0"/>
        <c:axId val="356573568"/>
        <c:axId val="356575104"/>
      </c:lineChart>
      <c:catAx>
        <c:axId val="35657356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575104"/>
        <c:crosses val="autoZero"/>
        <c:auto val="1"/>
        <c:lblAlgn val="ctr"/>
        <c:lblOffset val="100"/>
        <c:noMultiLvlLbl val="0"/>
      </c:catAx>
      <c:valAx>
        <c:axId val="35657510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356573568"/>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268979284628899"/>
        </c:manualLayout>
      </c:layout>
      <c:lineChart>
        <c:grouping val="standard"/>
        <c:varyColors val="0"/>
        <c:ser>
          <c:idx val="0"/>
          <c:order val="0"/>
          <c:tx>
            <c:strRef>
              <c:f>półr!$D$3</c:f>
              <c:strCache>
                <c:ptCount val="1"/>
                <c:pt idx="0">
                  <c:v>liczba ofert (liczebność prób)</c:v>
                </c:pt>
              </c:strCache>
            </c:strRef>
          </c:tx>
          <c:spPr>
            <a:ln w="47625">
              <a:solidFill>
                <a:schemeClr val="tx1">
                  <a:alpha val="46000"/>
                </a:schemeClr>
              </a:solidFill>
              <a:prstDash val="sysDot"/>
            </a:ln>
          </c:spPr>
          <c:marker>
            <c:symbol val="none"/>
          </c:marker>
          <c:dPt>
            <c:idx val="1"/>
            <c:bubble3D val="0"/>
            <c:extLst>
              <c:ext xmlns:c16="http://schemas.microsoft.com/office/drawing/2014/chart" uri="{C3380CC4-5D6E-409C-BE32-E72D297353CC}">
                <c16:uniqueId val="{00000000-2D15-4878-8774-9B094C864EE2}"/>
              </c:ext>
            </c:extLst>
          </c:dPt>
          <c:dPt>
            <c:idx val="5"/>
            <c:bubble3D val="0"/>
            <c:extLst>
              <c:ext xmlns:c16="http://schemas.microsoft.com/office/drawing/2014/chart" uri="{C3380CC4-5D6E-409C-BE32-E72D297353CC}">
                <c16:uniqueId val="{00000001-2D15-4878-8774-9B094C864EE2}"/>
              </c:ext>
            </c:extLst>
          </c:dPt>
          <c:dPt>
            <c:idx val="8"/>
            <c:bubble3D val="0"/>
            <c:extLst>
              <c:ext xmlns:c16="http://schemas.microsoft.com/office/drawing/2014/chart" uri="{C3380CC4-5D6E-409C-BE32-E72D297353CC}">
                <c16:uniqueId val="{00000002-2D15-4878-8774-9B094C864EE2}"/>
              </c:ext>
            </c:extLst>
          </c:dPt>
          <c:dPt>
            <c:idx val="10"/>
            <c:bubble3D val="0"/>
            <c:extLst>
              <c:ext xmlns:c16="http://schemas.microsoft.com/office/drawing/2014/chart" uri="{C3380CC4-5D6E-409C-BE32-E72D297353CC}">
                <c16:uniqueId val="{00000003-2D15-4878-8774-9B094C864EE2}"/>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półr!$C$4:$C$15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półr!$D$4:$D$15</c:f>
              <c:numCache>
                <c:formatCode>General</c:formatCode>
                <c:ptCount val="12"/>
                <c:pt idx="0">
                  <c:v>563</c:v>
                </c:pt>
                <c:pt idx="1">
                  <c:v>466</c:v>
                </c:pt>
                <c:pt idx="2">
                  <c:v>365</c:v>
                </c:pt>
                <c:pt idx="3">
                  <c:v>461</c:v>
                </c:pt>
                <c:pt idx="4">
                  <c:v>720</c:v>
                </c:pt>
                <c:pt idx="5">
                  <c:v>463</c:v>
                </c:pt>
                <c:pt idx="6">
                  <c:v>541</c:v>
                </c:pt>
                <c:pt idx="7">
                  <c:v>422</c:v>
                </c:pt>
                <c:pt idx="8">
                  <c:v>321</c:v>
                </c:pt>
                <c:pt idx="9">
                  <c:v>393</c:v>
                </c:pt>
                <c:pt idx="10">
                  <c:v>1723</c:v>
                </c:pt>
                <c:pt idx="11">
                  <c:v>1535</c:v>
                </c:pt>
              </c:numCache>
            </c:numRef>
          </c:val>
          <c:smooth val="1"/>
          <c:extLst>
            <c:ext xmlns:c16="http://schemas.microsoft.com/office/drawing/2014/chart" uri="{C3380CC4-5D6E-409C-BE32-E72D297353CC}">
              <c16:uniqueId val="{00000004-2D15-4878-8774-9B094C864EE2}"/>
            </c:ext>
          </c:extLst>
        </c:ser>
        <c:dLbls>
          <c:showLegendKey val="0"/>
          <c:showVal val="1"/>
          <c:showCatName val="0"/>
          <c:showSerName val="0"/>
          <c:showPercent val="0"/>
          <c:showBubbleSize val="0"/>
        </c:dLbls>
        <c:smooth val="0"/>
        <c:axId val="356791424"/>
        <c:axId val="356806656"/>
      </c:lineChart>
      <c:catAx>
        <c:axId val="356791424"/>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06656"/>
        <c:crosses val="autoZero"/>
        <c:auto val="1"/>
        <c:lblAlgn val="ctr"/>
        <c:lblOffset val="100"/>
        <c:noMultiLvlLbl val="0"/>
      </c:catAx>
      <c:valAx>
        <c:axId val="356806656"/>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791424"/>
        <c:crosses val="autoZero"/>
        <c:crossBetween val="between"/>
      </c:valAx>
      <c:spPr>
        <a:noFill/>
      </c:spPr>
    </c:plotArea>
    <c:legend>
      <c:legendPos val="r"/>
      <c:layout>
        <c:manualLayout>
          <c:xMode val="edge"/>
          <c:yMode val="edge"/>
          <c:x val="0.18488438945131858"/>
          <c:y val="0.21804456423354288"/>
          <c:w val="0.62863617047869014"/>
          <c:h val="9.5968100235535661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'12'!$H$9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CAD-43E3-87B0-9349E5115667}"/>
              </c:ext>
            </c:extLst>
          </c:dPt>
          <c:dPt>
            <c:idx val="5"/>
            <c:invertIfNegative val="0"/>
            <c:bubble3D val="0"/>
            <c:extLst>
              <c:ext xmlns:c16="http://schemas.microsoft.com/office/drawing/2014/chart" uri="{C3380CC4-5D6E-409C-BE32-E72D297353CC}">
                <c16:uniqueId val="{00000001-0CAD-43E3-87B0-9349E5115667}"/>
              </c:ext>
            </c:extLst>
          </c:dPt>
          <c:dPt>
            <c:idx val="8"/>
            <c:invertIfNegative val="0"/>
            <c:bubble3D val="0"/>
            <c:extLst>
              <c:ext xmlns:c16="http://schemas.microsoft.com/office/drawing/2014/chart" uri="{C3380CC4-5D6E-409C-BE32-E72D297353CC}">
                <c16:uniqueId val="{00000002-0CAD-43E3-87B0-9349E5115667}"/>
              </c:ext>
            </c:extLst>
          </c:dPt>
          <c:dPt>
            <c:idx val="10"/>
            <c:invertIfNegative val="0"/>
            <c:bubble3D val="0"/>
            <c:extLst>
              <c:ext xmlns:c16="http://schemas.microsoft.com/office/drawing/2014/chart" uri="{C3380CC4-5D6E-409C-BE32-E72D297353CC}">
                <c16:uniqueId val="{00000003-0CAD-43E3-87B0-9349E511566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'12'!$J$10:$J$14</c:f>
              <c:numCache>
                <c:formatCode>General</c:formatCode>
                <c:ptCount val="5"/>
                <c:pt idx="0">
                  <c:v>22</c:v>
                </c:pt>
                <c:pt idx="1">
                  <c:v>70</c:v>
                </c:pt>
                <c:pt idx="2">
                  <c:v>1</c:v>
                </c:pt>
                <c:pt idx="3">
                  <c:v>3</c:v>
                </c:pt>
                <c:pt idx="4">
                  <c:v>1</c:v>
                </c:pt>
              </c:numCache>
            </c:numRef>
          </c:val>
          <c:extLst>
            <c:ext xmlns:c16="http://schemas.microsoft.com/office/drawing/2014/chart" uri="{C3380CC4-5D6E-409C-BE32-E72D297353CC}">
              <c16:uniqueId val="{00000004-0CAD-43E3-87B0-9349E5115667}"/>
            </c:ext>
          </c:extLst>
        </c:ser>
        <c:dLbls>
          <c:showLegendKey val="0"/>
          <c:showVal val="1"/>
          <c:showCatName val="0"/>
          <c:showSerName val="0"/>
          <c:showPercent val="0"/>
          <c:showBubbleSize val="0"/>
        </c:dLbls>
        <c:gapWidth val="22"/>
        <c:overlap val="6"/>
        <c:axId val="257555072"/>
        <c:axId val="257622400"/>
      </c:barChart>
      <c:catAx>
        <c:axId val="25755507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622400"/>
        <c:crosses val="autoZero"/>
        <c:auto val="1"/>
        <c:lblAlgn val="ctr"/>
        <c:lblOffset val="100"/>
        <c:noMultiLvlLbl val="0"/>
      </c:catAx>
      <c:valAx>
        <c:axId val="257622400"/>
        <c:scaling>
          <c:orientation val="minMax"/>
        </c:scaling>
        <c:delete val="1"/>
        <c:axPos val="t"/>
        <c:numFmt formatCode="General" sourceLinked="1"/>
        <c:majorTickMark val="none"/>
        <c:minorTickMark val="none"/>
        <c:tickLblPos val="nextTo"/>
        <c:crossAx val="25755507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913101341193976"/>
        </c:manualLayout>
      </c:layout>
      <c:lineChart>
        <c:grouping val="standard"/>
        <c:varyColors val="0"/>
        <c:ser>
          <c:idx val="0"/>
          <c:order val="0"/>
          <c:tx>
            <c:strRef>
              <c:f>półr!$E$3</c:f>
              <c:strCache>
                <c:ptCount val="1"/>
                <c:pt idx="0">
                  <c:v>ilość miejsc pracy</c:v>
                </c:pt>
              </c:strCache>
            </c:strRef>
          </c:tx>
          <c:spPr>
            <a:ln>
              <a:solidFill>
                <a:schemeClr val="accent4">
                  <a:lumMod val="75000"/>
                  <a:alpha val="60000"/>
                </a:schemeClr>
              </a:solidFill>
            </a:ln>
          </c:spPr>
          <c:marker>
            <c:symbol val="none"/>
          </c:marker>
          <c:dPt>
            <c:idx val="1"/>
            <c:bubble3D val="0"/>
            <c:extLst>
              <c:ext xmlns:c16="http://schemas.microsoft.com/office/drawing/2014/chart" uri="{C3380CC4-5D6E-409C-BE32-E72D297353CC}">
                <c16:uniqueId val="{00000000-BDA9-4F58-B6B9-9B962AB1D75C}"/>
              </c:ext>
            </c:extLst>
          </c:dPt>
          <c:dPt>
            <c:idx val="5"/>
            <c:bubble3D val="0"/>
            <c:extLst>
              <c:ext xmlns:c16="http://schemas.microsoft.com/office/drawing/2014/chart" uri="{C3380CC4-5D6E-409C-BE32-E72D297353CC}">
                <c16:uniqueId val="{00000001-BDA9-4F58-B6B9-9B962AB1D75C}"/>
              </c:ext>
            </c:extLst>
          </c:dPt>
          <c:dPt>
            <c:idx val="8"/>
            <c:bubble3D val="0"/>
            <c:extLst>
              <c:ext xmlns:c16="http://schemas.microsoft.com/office/drawing/2014/chart" uri="{C3380CC4-5D6E-409C-BE32-E72D297353CC}">
                <c16:uniqueId val="{00000002-BDA9-4F58-B6B9-9B962AB1D75C}"/>
              </c:ext>
            </c:extLst>
          </c:dPt>
          <c:dPt>
            <c:idx val="10"/>
            <c:bubble3D val="0"/>
            <c:extLst>
              <c:ext xmlns:c16="http://schemas.microsoft.com/office/drawing/2014/chart" uri="{C3380CC4-5D6E-409C-BE32-E72D297353CC}">
                <c16:uniqueId val="{00000003-BDA9-4F58-B6B9-9B962AB1D75C}"/>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półr!$C$4:$C$15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półr!$E$4:$E$15</c:f>
              <c:numCache>
                <c:formatCode>General</c:formatCode>
                <c:ptCount val="12"/>
                <c:pt idx="0">
                  <c:v>523</c:v>
                </c:pt>
                <c:pt idx="1">
                  <c:v>477</c:v>
                </c:pt>
                <c:pt idx="2">
                  <c:v>386</c:v>
                </c:pt>
                <c:pt idx="3">
                  <c:v>444</c:v>
                </c:pt>
                <c:pt idx="4">
                  <c:v>704</c:v>
                </c:pt>
                <c:pt idx="5">
                  <c:v>532</c:v>
                </c:pt>
                <c:pt idx="6">
                  <c:v>609</c:v>
                </c:pt>
                <c:pt idx="7">
                  <c:v>455</c:v>
                </c:pt>
                <c:pt idx="8">
                  <c:v>321</c:v>
                </c:pt>
                <c:pt idx="9">
                  <c:v>407</c:v>
                </c:pt>
                <c:pt idx="10">
                  <c:v>1734</c:v>
                </c:pt>
                <c:pt idx="11">
                  <c:v>1542</c:v>
                </c:pt>
              </c:numCache>
            </c:numRef>
          </c:val>
          <c:smooth val="1"/>
          <c:extLst>
            <c:ext xmlns:c16="http://schemas.microsoft.com/office/drawing/2014/chart" uri="{C3380CC4-5D6E-409C-BE32-E72D297353CC}">
              <c16:uniqueId val="{00000004-BDA9-4F58-B6B9-9B962AB1D75C}"/>
            </c:ext>
          </c:extLst>
        </c:ser>
        <c:dLbls>
          <c:showLegendKey val="0"/>
          <c:showVal val="1"/>
          <c:showCatName val="0"/>
          <c:showSerName val="0"/>
          <c:showPercent val="0"/>
          <c:showBubbleSize val="0"/>
        </c:dLbls>
        <c:smooth val="0"/>
        <c:axId val="356833920"/>
        <c:axId val="356836864"/>
      </c:lineChart>
      <c:catAx>
        <c:axId val="356833920"/>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36864"/>
        <c:crosses val="autoZero"/>
        <c:auto val="1"/>
        <c:lblAlgn val="ctr"/>
        <c:lblOffset val="100"/>
        <c:noMultiLvlLbl val="0"/>
      </c:catAx>
      <c:valAx>
        <c:axId val="356836864"/>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833920"/>
        <c:crosses val="autoZero"/>
        <c:crossBetween val="between"/>
      </c:valAx>
      <c:spPr>
        <a:noFill/>
      </c:spPr>
    </c:plotArea>
    <c:legend>
      <c:legendPos val="r"/>
      <c:layout>
        <c:manualLayout>
          <c:xMode val="edge"/>
          <c:yMode val="edge"/>
          <c:x val="0.14385876765404323"/>
          <c:y val="0.23005339498886665"/>
          <c:w val="0.72228696412948379"/>
          <c:h val="7.6426248838917007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7519488446347904"/>
        </c:manualLayout>
      </c:layout>
      <c:lineChart>
        <c:grouping val="standard"/>
        <c:varyColors val="0"/>
        <c:ser>
          <c:idx val="0"/>
          <c:order val="0"/>
          <c:tx>
            <c:strRef>
              <c:f>lata!$D$3</c:f>
              <c:strCache>
                <c:ptCount val="1"/>
                <c:pt idx="0">
                  <c:v>liczba ofert (liczebność prób)</c:v>
                </c:pt>
              </c:strCache>
            </c:strRef>
          </c:tx>
          <c:spPr>
            <a:ln>
              <a:solidFill>
                <a:schemeClr val="accent4">
                  <a:lumMod val="75000"/>
                  <a:alpha val="56000"/>
                </a:schemeClr>
              </a:solidFill>
            </a:ln>
          </c:spPr>
          <c:marker>
            <c:symbol val="none"/>
          </c:marker>
          <c:dPt>
            <c:idx val="1"/>
            <c:bubble3D val="0"/>
            <c:extLst>
              <c:ext xmlns:c16="http://schemas.microsoft.com/office/drawing/2014/chart" uri="{C3380CC4-5D6E-409C-BE32-E72D297353CC}">
                <c16:uniqueId val="{00000000-EE0D-4F1B-8367-9D3155E14350}"/>
              </c:ext>
            </c:extLst>
          </c:dPt>
          <c:dPt>
            <c:idx val="5"/>
            <c:bubble3D val="0"/>
            <c:extLst>
              <c:ext xmlns:c16="http://schemas.microsoft.com/office/drawing/2014/chart" uri="{C3380CC4-5D6E-409C-BE32-E72D297353CC}">
                <c16:uniqueId val="{00000001-EE0D-4F1B-8367-9D3155E14350}"/>
              </c:ext>
            </c:extLst>
          </c:dPt>
          <c:dPt>
            <c:idx val="8"/>
            <c:bubble3D val="0"/>
            <c:extLst>
              <c:ext xmlns:c16="http://schemas.microsoft.com/office/drawing/2014/chart" uri="{C3380CC4-5D6E-409C-BE32-E72D297353CC}">
                <c16:uniqueId val="{00000002-EE0D-4F1B-8367-9D3155E14350}"/>
              </c:ext>
            </c:extLst>
          </c:dPt>
          <c:dPt>
            <c:idx val="10"/>
            <c:bubble3D val="0"/>
            <c:extLst>
              <c:ext xmlns:c16="http://schemas.microsoft.com/office/drawing/2014/chart" uri="{C3380CC4-5D6E-409C-BE32-E72D297353CC}">
                <c16:uniqueId val="{00000003-EE0D-4F1B-8367-9D3155E14350}"/>
              </c:ext>
            </c:extLst>
          </c:dPt>
          <c:dLbls>
            <c:dLbl>
              <c:idx val="3"/>
              <c:layout>
                <c:manualLayout>
                  <c:x val="-6.4047744031996007E-2"/>
                  <c:y val="-6.2604455522137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0D-4F1B-8367-9D3155E14350}"/>
                </c:ext>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lata!$D$4:$D$9</c:f>
              <c:numCache>
                <c:formatCode>General</c:formatCode>
                <c:ptCount val="6"/>
                <c:pt idx="0">
                  <c:v>831</c:v>
                </c:pt>
                <c:pt idx="1">
                  <c:v>1181</c:v>
                </c:pt>
                <c:pt idx="2">
                  <c:v>1004</c:v>
                </c:pt>
                <c:pt idx="3">
                  <c:v>743</c:v>
                </c:pt>
                <c:pt idx="4">
                  <c:v>2116</c:v>
                </c:pt>
              </c:numCache>
            </c:numRef>
          </c:val>
          <c:smooth val="1"/>
          <c:extLst>
            <c:ext xmlns:c16="http://schemas.microsoft.com/office/drawing/2014/chart" uri="{C3380CC4-5D6E-409C-BE32-E72D297353CC}">
              <c16:uniqueId val="{00000005-EE0D-4F1B-8367-9D3155E14350}"/>
            </c:ext>
          </c:extLst>
        </c:ser>
        <c:dLbls>
          <c:showLegendKey val="0"/>
          <c:showVal val="1"/>
          <c:showCatName val="0"/>
          <c:showSerName val="0"/>
          <c:showPercent val="0"/>
          <c:showBubbleSize val="0"/>
        </c:dLbls>
        <c:smooth val="0"/>
        <c:axId val="356881152"/>
        <c:axId val="356883840"/>
      </c:lineChart>
      <c:catAx>
        <c:axId val="356881152"/>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83840"/>
        <c:crosses val="autoZero"/>
        <c:auto val="1"/>
        <c:lblAlgn val="ctr"/>
        <c:lblOffset val="100"/>
        <c:noMultiLvlLbl val="0"/>
      </c:catAx>
      <c:valAx>
        <c:axId val="356883840"/>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881152"/>
        <c:crosses val="autoZero"/>
        <c:crossBetween val="between"/>
      </c:valAx>
      <c:spPr>
        <a:noFill/>
      </c:spPr>
    </c:plotArea>
    <c:legend>
      <c:legendPos val="r"/>
      <c:layout>
        <c:manualLayout>
          <c:xMode val="edge"/>
          <c:yMode val="edge"/>
          <c:x val="0.11821772278465192"/>
          <c:y val="0.73813223750316659"/>
          <c:w val="0.53181077365329332"/>
          <c:h val="0.11281536429155566"/>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8912030385824481"/>
        </c:manualLayout>
      </c:layout>
      <c:lineChart>
        <c:grouping val="standard"/>
        <c:varyColors val="0"/>
        <c:ser>
          <c:idx val="0"/>
          <c:order val="0"/>
          <c:tx>
            <c:strRef>
              <c:f>lata!$E$3</c:f>
              <c:strCache>
                <c:ptCount val="1"/>
                <c:pt idx="0">
                  <c:v>ilość miejsc pracy</c:v>
                </c:pt>
              </c:strCache>
            </c:strRef>
          </c:tx>
          <c:spPr>
            <a:ln>
              <a:solidFill>
                <a:schemeClr val="accent4">
                  <a:lumMod val="75000"/>
                  <a:alpha val="68000"/>
                </a:schemeClr>
              </a:solidFill>
            </a:ln>
          </c:spPr>
          <c:marker>
            <c:symbol val="none"/>
          </c:marker>
          <c:dPt>
            <c:idx val="1"/>
            <c:bubble3D val="0"/>
            <c:extLst>
              <c:ext xmlns:c16="http://schemas.microsoft.com/office/drawing/2014/chart" uri="{C3380CC4-5D6E-409C-BE32-E72D297353CC}">
                <c16:uniqueId val="{00000000-C498-4716-A4AE-509677630661}"/>
              </c:ext>
            </c:extLst>
          </c:dPt>
          <c:dPt>
            <c:idx val="5"/>
            <c:bubble3D val="0"/>
            <c:extLst>
              <c:ext xmlns:c16="http://schemas.microsoft.com/office/drawing/2014/chart" uri="{C3380CC4-5D6E-409C-BE32-E72D297353CC}">
                <c16:uniqueId val="{00000001-C498-4716-A4AE-509677630661}"/>
              </c:ext>
            </c:extLst>
          </c:dPt>
          <c:dPt>
            <c:idx val="8"/>
            <c:bubble3D val="0"/>
            <c:extLst>
              <c:ext xmlns:c16="http://schemas.microsoft.com/office/drawing/2014/chart" uri="{C3380CC4-5D6E-409C-BE32-E72D297353CC}">
                <c16:uniqueId val="{00000002-C498-4716-A4AE-509677630661}"/>
              </c:ext>
            </c:extLst>
          </c:dPt>
          <c:dPt>
            <c:idx val="10"/>
            <c:bubble3D val="0"/>
            <c:extLst>
              <c:ext xmlns:c16="http://schemas.microsoft.com/office/drawing/2014/chart" uri="{C3380CC4-5D6E-409C-BE32-E72D297353CC}">
                <c16:uniqueId val="{00000003-C498-4716-A4AE-509677630661}"/>
              </c:ext>
            </c:extLst>
          </c:dPt>
          <c:dLbls>
            <c:dLbl>
              <c:idx val="3"/>
              <c:layout>
                <c:manualLayout>
                  <c:x val="-6.722234720659917E-2"/>
                  <c:y val="-6.2604455522137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98-4716-A4AE-509677630661}"/>
                </c:ext>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lata!$E$4:$E$9</c:f>
              <c:numCache>
                <c:formatCode>General</c:formatCode>
                <c:ptCount val="6"/>
                <c:pt idx="0">
                  <c:v>863</c:v>
                </c:pt>
                <c:pt idx="1">
                  <c:v>1148</c:v>
                </c:pt>
                <c:pt idx="2">
                  <c:v>1141</c:v>
                </c:pt>
                <c:pt idx="3">
                  <c:v>776</c:v>
                </c:pt>
                <c:pt idx="4">
                  <c:v>2141</c:v>
                </c:pt>
              </c:numCache>
            </c:numRef>
          </c:val>
          <c:smooth val="1"/>
          <c:extLst>
            <c:ext xmlns:c16="http://schemas.microsoft.com/office/drawing/2014/chart" uri="{C3380CC4-5D6E-409C-BE32-E72D297353CC}">
              <c16:uniqueId val="{00000005-C498-4716-A4AE-509677630661}"/>
            </c:ext>
          </c:extLst>
        </c:ser>
        <c:dLbls>
          <c:showLegendKey val="0"/>
          <c:showVal val="1"/>
          <c:showCatName val="0"/>
          <c:showSerName val="0"/>
          <c:showPercent val="0"/>
          <c:showBubbleSize val="0"/>
        </c:dLbls>
        <c:smooth val="0"/>
        <c:axId val="356923648"/>
        <c:axId val="356947072"/>
      </c:lineChart>
      <c:catAx>
        <c:axId val="356923648"/>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947072"/>
        <c:crosses val="autoZero"/>
        <c:auto val="1"/>
        <c:lblAlgn val="ctr"/>
        <c:lblOffset val="100"/>
        <c:noMultiLvlLbl val="0"/>
      </c:catAx>
      <c:valAx>
        <c:axId val="356947072"/>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923648"/>
        <c:crosses val="autoZero"/>
        <c:crossBetween val="between"/>
      </c:valAx>
      <c:spPr>
        <a:noFill/>
      </c:spPr>
    </c:plotArea>
    <c:legend>
      <c:legendPos val="r"/>
      <c:layout>
        <c:manualLayout>
          <c:xMode val="edge"/>
          <c:yMode val="edge"/>
          <c:x val="0.2071066116735408"/>
          <c:y val="0.74353034586997957"/>
          <c:w val="0.31908011498562677"/>
          <c:h val="9.689349489687489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7824721446847"/>
          <c:y val="5.8868792156077057E-2"/>
          <c:w val="0.87742768446372388"/>
          <c:h val="0.93538913362701914"/>
        </c:manualLayout>
      </c:layout>
      <c:barChart>
        <c:barDir val="bar"/>
        <c:grouping val="clustered"/>
        <c:varyColors val="0"/>
        <c:ser>
          <c:idx val="0"/>
          <c:order val="0"/>
          <c:tx>
            <c:strRef>
              <c:f>brudn.!$AG$2</c:f>
              <c:strCache>
                <c:ptCount val="1"/>
                <c:pt idx="0">
                  <c:v>2017-2019</c:v>
                </c:pt>
              </c:strCache>
            </c:strRef>
          </c:tx>
          <c:spPr>
            <a:gradFill flip="none" rotWithShape="1">
              <a:gsLst>
                <a:gs pos="62000">
                  <a:srgbClr val="7030A0">
                    <a:alpha val="87000"/>
                    <a:lumMod val="88000"/>
                  </a:srgbClr>
                </a:gs>
                <a:gs pos="0">
                  <a:srgbClr val="7B31A9">
                    <a:alpha val="73725"/>
                    <a:lumMod val="49000"/>
                  </a:srgbClr>
                </a:gs>
                <a:gs pos="100000">
                  <a:srgbClr val="B8A2F0">
                    <a:alpha val="66667"/>
                  </a:srgbClr>
                </a:gs>
              </a:gsLst>
              <a:lin ang="0" scaled="1"/>
              <a:tileRect/>
            </a:gradFill>
          </c:spPr>
          <c:invertIfNegative val="0"/>
          <c:dPt>
            <c:idx val="1"/>
            <c:invertIfNegative val="0"/>
            <c:bubble3D val="0"/>
            <c:extLst>
              <c:ext xmlns:c16="http://schemas.microsoft.com/office/drawing/2014/chart" uri="{C3380CC4-5D6E-409C-BE32-E72D297353CC}">
                <c16:uniqueId val="{00000000-8A8B-4EC4-86C9-71C0CA091026}"/>
              </c:ext>
            </c:extLst>
          </c:dPt>
          <c:dPt>
            <c:idx val="5"/>
            <c:invertIfNegative val="0"/>
            <c:bubble3D val="0"/>
            <c:extLst>
              <c:ext xmlns:c16="http://schemas.microsoft.com/office/drawing/2014/chart" uri="{C3380CC4-5D6E-409C-BE32-E72D297353CC}">
                <c16:uniqueId val="{00000001-8A8B-4EC4-86C9-71C0CA091026}"/>
              </c:ext>
            </c:extLst>
          </c:dPt>
          <c:dPt>
            <c:idx val="8"/>
            <c:invertIfNegative val="0"/>
            <c:bubble3D val="0"/>
            <c:spPr>
              <a:solidFill>
                <a:srgbClr val="0000FF"/>
              </a:solidFill>
            </c:spPr>
            <c:extLst>
              <c:ext xmlns:c16="http://schemas.microsoft.com/office/drawing/2014/chart" uri="{C3380CC4-5D6E-409C-BE32-E72D297353CC}">
                <c16:uniqueId val="{00000003-8A8B-4EC4-86C9-71C0CA091026}"/>
              </c:ext>
            </c:extLst>
          </c:dPt>
          <c:dPt>
            <c:idx val="10"/>
            <c:invertIfNegative val="0"/>
            <c:bubble3D val="0"/>
            <c:extLst>
              <c:ext xmlns:c16="http://schemas.microsoft.com/office/drawing/2014/chart" uri="{C3380CC4-5D6E-409C-BE32-E72D297353CC}">
                <c16:uniqueId val="{00000004-8A8B-4EC4-86C9-71C0CA091026}"/>
              </c:ext>
            </c:extLst>
          </c:dPt>
          <c:dLbls>
            <c:spPr>
              <a:noFill/>
              <a:ln>
                <a:noFill/>
              </a:ln>
              <a:effectLst/>
            </c:spPr>
            <c:txPr>
              <a:bodyPr/>
              <a:lstStyle/>
              <a:p>
                <a:pPr>
                  <a:defRPr sz="700" b="0">
                    <a:latin typeface="+mj-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brudn.!$P$4:$P$15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brudn.!$AG$4:$AG$15</c:f>
              <c:numCache>
                <c:formatCode>#,##0</c:formatCode>
                <c:ptCount val="12"/>
                <c:pt idx="0">
                  <c:v>1099</c:v>
                </c:pt>
                <c:pt idx="1">
                  <c:v>787</c:v>
                </c:pt>
                <c:pt idx="2">
                  <c:v>476</c:v>
                </c:pt>
                <c:pt idx="3">
                  <c:v>440</c:v>
                </c:pt>
                <c:pt idx="4">
                  <c:v>120</c:v>
                </c:pt>
                <c:pt idx="5">
                  <c:v>85</c:v>
                </c:pt>
                <c:pt idx="6">
                  <c:v>57</c:v>
                </c:pt>
                <c:pt idx="7">
                  <c:v>39</c:v>
                </c:pt>
                <c:pt idx="8">
                  <c:v>25</c:v>
                </c:pt>
                <c:pt idx="9">
                  <c:v>21</c:v>
                </c:pt>
                <c:pt idx="10">
                  <c:v>3</c:v>
                </c:pt>
                <c:pt idx="11">
                  <c:v>0</c:v>
                </c:pt>
              </c:numCache>
            </c:numRef>
          </c:val>
          <c:extLst>
            <c:ext xmlns:c16="http://schemas.microsoft.com/office/drawing/2014/chart" uri="{C3380CC4-5D6E-409C-BE32-E72D297353CC}">
              <c16:uniqueId val="{00000005-8A8B-4EC4-86C9-71C0CA091026}"/>
            </c:ext>
          </c:extLst>
        </c:ser>
        <c:dLbls>
          <c:showLegendKey val="0"/>
          <c:showVal val="1"/>
          <c:showCatName val="0"/>
          <c:showSerName val="0"/>
          <c:showPercent val="0"/>
          <c:showBubbleSize val="0"/>
        </c:dLbls>
        <c:gapWidth val="22"/>
        <c:overlap val="6"/>
        <c:axId val="358737792"/>
        <c:axId val="358745216"/>
      </c:barChart>
      <c:catAx>
        <c:axId val="358737792"/>
        <c:scaling>
          <c:orientation val="maxMin"/>
        </c:scaling>
        <c:delete val="0"/>
        <c:axPos val="l"/>
        <c:numFmt formatCode="General" sourceLinked="1"/>
        <c:majorTickMark val="none"/>
        <c:minorTickMark val="none"/>
        <c:tickLblPos val="nextTo"/>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8745216"/>
        <c:crosses val="autoZero"/>
        <c:auto val="1"/>
        <c:lblAlgn val="ctr"/>
        <c:lblOffset val="100"/>
        <c:noMultiLvlLbl val="0"/>
      </c:catAx>
      <c:valAx>
        <c:axId val="358745216"/>
        <c:scaling>
          <c:orientation val="minMax"/>
        </c:scaling>
        <c:delete val="1"/>
        <c:axPos val="t"/>
        <c:numFmt formatCode="#,##0" sourceLinked="1"/>
        <c:majorTickMark val="none"/>
        <c:minorTickMark val="none"/>
        <c:tickLblPos val="nextTo"/>
        <c:crossAx val="3587377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2017-2019</a:t>
            </a:r>
          </a:p>
          <a:p>
            <a:pPr algn="l">
              <a:defRPr>
                <a:latin typeface="Arial" panose="020B0604020202020204" pitchFamily="34" charset="0"/>
                <a:cs typeface="Arial" panose="020B0604020202020204" pitchFamily="34" charset="0"/>
              </a:defRPr>
            </a:pPr>
            <a:r>
              <a:rPr lang="en-US" sz="1100" b="0">
                <a:latin typeface="Arial" panose="020B0604020202020204" pitchFamily="34" charset="0"/>
                <a:cs typeface="Arial" panose="020B0604020202020204" pitchFamily="34" charset="0"/>
              </a:rPr>
              <a:t>Liczba miejsc pracy w</a:t>
            </a:r>
            <a:r>
              <a:rPr lang="pl-PL" sz="1100" b="0">
                <a:latin typeface="Arial" panose="020B0604020202020204" pitchFamily="34" charset="0"/>
                <a:cs typeface="Arial" panose="020B0604020202020204" pitchFamily="34" charset="0"/>
              </a:rPr>
              <a:t>g charakteru</a:t>
            </a:r>
          </a:p>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prowadzonej działalności</a:t>
            </a:r>
            <a:r>
              <a:rPr lang="pl-PL" sz="1100" b="0" baseline="0">
                <a:latin typeface="Arial" panose="020B0604020202020204" pitchFamily="34" charset="0"/>
                <a:cs typeface="Arial" panose="020B0604020202020204" pitchFamily="34" charset="0"/>
              </a:rPr>
              <a:t> gospodarczej</a:t>
            </a:r>
            <a:endParaRPr lang="en-US" sz="1100" b="0">
              <a:latin typeface="Arial" panose="020B0604020202020204" pitchFamily="34" charset="0"/>
              <a:cs typeface="Arial" panose="020B0604020202020204" pitchFamily="34" charset="0"/>
            </a:endParaRPr>
          </a:p>
        </c:rich>
      </c:tx>
      <c:layout>
        <c:manualLayout>
          <c:xMode val="edge"/>
          <c:yMode val="edge"/>
          <c:x val="0.40093493195042079"/>
          <c:y val="0.61198608898146878"/>
        </c:manualLayout>
      </c:layout>
      <c:overlay val="0"/>
    </c:title>
    <c:autoTitleDeleted val="0"/>
    <c:plotArea>
      <c:layout>
        <c:manualLayout>
          <c:layoutTarget val="inner"/>
          <c:xMode val="edge"/>
          <c:yMode val="edge"/>
          <c:x val="0.31627387551282743"/>
          <c:y val="3.8885303271517291E-2"/>
          <c:w val="0.68372612448717252"/>
          <c:h val="0.93538913362701914"/>
        </c:manualLayout>
      </c:layout>
      <c:barChart>
        <c:barDir val="bar"/>
        <c:grouping val="clustered"/>
        <c:varyColors val="0"/>
        <c:ser>
          <c:idx val="0"/>
          <c:order val="0"/>
          <c:tx>
            <c:strRef>
              <c:f>brudn.!$AI$2</c:f>
              <c:strCache>
                <c:ptCount val="1"/>
                <c:pt idx="0">
                  <c:v>Liczba miejsc pracy w podziale na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BDC8-4034-8F58-AD898AEBAAAD}"/>
              </c:ext>
            </c:extLst>
          </c:dPt>
          <c:dPt>
            <c:idx val="5"/>
            <c:invertIfNegative val="0"/>
            <c:bubble3D val="0"/>
            <c:extLst>
              <c:ext xmlns:c16="http://schemas.microsoft.com/office/drawing/2014/chart" uri="{C3380CC4-5D6E-409C-BE32-E72D297353CC}">
                <c16:uniqueId val="{00000001-BDC8-4034-8F58-AD898AEBAAAD}"/>
              </c:ext>
            </c:extLst>
          </c:dPt>
          <c:dPt>
            <c:idx val="8"/>
            <c:invertIfNegative val="0"/>
            <c:bubble3D val="0"/>
            <c:extLst>
              <c:ext xmlns:c16="http://schemas.microsoft.com/office/drawing/2014/chart" uri="{C3380CC4-5D6E-409C-BE32-E72D297353CC}">
                <c16:uniqueId val="{00000002-BDC8-4034-8F58-AD898AEBAAAD}"/>
              </c:ext>
            </c:extLst>
          </c:dPt>
          <c:dPt>
            <c:idx val="10"/>
            <c:invertIfNegative val="0"/>
            <c:bubble3D val="0"/>
            <c:extLst>
              <c:ext xmlns:c16="http://schemas.microsoft.com/office/drawing/2014/chart" uri="{C3380CC4-5D6E-409C-BE32-E72D297353CC}">
                <c16:uniqueId val="{00000003-BDC8-4034-8F58-AD898AEBAAAD}"/>
              </c:ext>
            </c:extLst>
          </c:dPt>
          <c:dLbls>
            <c:spPr>
              <a:noFill/>
              <a:ln>
                <a:noFill/>
              </a:ln>
              <a:effectLst/>
            </c:spPr>
            <c:txPr>
              <a:bodyPr/>
              <a:lstStyle/>
              <a:p>
                <a:pPr>
                  <a:defRPr sz="1100" b="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brudn.!$AO$3:$AO$7</c:f>
              <c:strCache>
                <c:ptCount val="5"/>
                <c:pt idx="0">
                  <c:v>Handel i usługi, służba zdrowia</c:v>
                </c:pt>
                <c:pt idx="1">
                  <c:v>Przemysł (w tym high-tech, budownictwo)</c:v>
                </c:pt>
                <c:pt idx="2">
                  <c:v>Informacja i edukacja, nadzór i administracja</c:v>
                </c:pt>
                <c:pt idx="3">
                  <c:v>Pozostałe grupy</c:v>
                </c:pt>
                <c:pt idx="4">
                  <c:v>Prace proste</c:v>
                </c:pt>
              </c:strCache>
            </c:strRef>
          </c:cat>
          <c:val>
            <c:numRef>
              <c:f>brudn.!$AP$3:$AP$7</c:f>
              <c:numCache>
                <c:formatCode>General</c:formatCode>
                <c:ptCount val="5"/>
                <c:pt idx="0">
                  <c:v>1946</c:v>
                </c:pt>
                <c:pt idx="1">
                  <c:v>1001</c:v>
                </c:pt>
                <c:pt idx="2">
                  <c:v>141</c:v>
                </c:pt>
                <c:pt idx="3">
                  <c:v>39</c:v>
                </c:pt>
                <c:pt idx="4">
                  <c:v>25</c:v>
                </c:pt>
              </c:numCache>
            </c:numRef>
          </c:val>
          <c:extLst>
            <c:ext xmlns:c16="http://schemas.microsoft.com/office/drawing/2014/chart" uri="{C3380CC4-5D6E-409C-BE32-E72D297353CC}">
              <c16:uniqueId val="{00000004-BDC8-4034-8F58-AD898AEBAAAD}"/>
            </c:ext>
          </c:extLst>
        </c:ser>
        <c:dLbls>
          <c:showLegendKey val="0"/>
          <c:showVal val="1"/>
          <c:showCatName val="0"/>
          <c:showSerName val="0"/>
          <c:showPercent val="0"/>
          <c:showBubbleSize val="0"/>
        </c:dLbls>
        <c:gapWidth val="22"/>
        <c:overlap val="6"/>
        <c:axId val="358768000"/>
        <c:axId val="358820096"/>
      </c:barChart>
      <c:catAx>
        <c:axId val="358768000"/>
        <c:scaling>
          <c:orientation val="maxMin"/>
        </c:scaling>
        <c:delete val="0"/>
        <c:axPos val="l"/>
        <c:numFmt formatCode="General" sourceLinked="1"/>
        <c:majorTickMark val="none"/>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8820096"/>
        <c:crosses val="autoZero"/>
        <c:auto val="1"/>
        <c:lblAlgn val="ctr"/>
        <c:lblOffset val="100"/>
        <c:noMultiLvlLbl val="0"/>
      </c:catAx>
      <c:valAx>
        <c:axId val="358820096"/>
        <c:scaling>
          <c:orientation val="minMax"/>
        </c:scaling>
        <c:delete val="1"/>
        <c:axPos val="t"/>
        <c:numFmt formatCode="General" sourceLinked="1"/>
        <c:majorTickMark val="none"/>
        <c:minorTickMark val="none"/>
        <c:tickLblPos val="nextTo"/>
        <c:crossAx val="3587680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92032630118616554"/>
          <c:h val="0.90288026438229363"/>
        </c:manualLayout>
      </c:layout>
      <c:lineChart>
        <c:grouping val="standard"/>
        <c:varyColors val="0"/>
        <c:ser>
          <c:idx val="0"/>
          <c:order val="0"/>
          <c:tx>
            <c:strRef>
              <c:f>brudn.!$E$25</c:f>
              <c:strCache>
                <c:ptCount val="1"/>
                <c:pt idx="0">
                  <c:v>ilość miejsc pracy</c:v>
                </c:pt>
              </c:strCache>
            </c:strRef>
          </c:tx>
          <c:spPr>
            <a:ln w="38100">
              <a:solidFill>
                <a:schemeClr val="tx1"/>
              </a:solidFill>
              <a:prstDash val="sysDot"/>
            </a:ln>
          </c:spPr>
          <c:marker>
            <c:symbol val="none"/>
          </c:marker>
          <c:dLbls>
            <c:dLbl>
              <c:idx val="0"/>
              <c:layout>
                <c:manualLayout>
                  <c:x val="-1.6306229771264995E-2"/>
                  <c:y val="-5.5671676408466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36-4393-9A70-F15C0E60CF30}"/>
                </c:ext>
              </c:extLst>
            </c:dLbl>
            <c:dLbl>
              <c:idx val="1"/>
              <c:layout>
                <c:manualLayout>
                  <c:x val="-6.1664347186070188E-2"/>
                  <c:y val="-7.6889540934544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36-4393-9A70-F15C0E60CF30}"/>
                </c:ext>
              </c:extLst>
            </c:dLbl>
            <c:dLbl>
              <c:idx val="2"/>
              <c:layout>
                <c:manualLayout>
                  <c:x val="-7.2012652440201289E-2"/>
                  <c:y val="-0.124433825066641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6-4393-9A70-F15C0E60CF30}"/>
                </c:ext>
              </c:extLst>
            </c:dLbl>
            <c:dLbl>
              <c:idx val="3"/>
              <c:layout>
                <c:manualLayout>
                  <c:x val="-1.9937696008222077E-2"/>
                  <c:y val="-4.3243243243243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36-4393-9A70-F15C0E60CF30}"/>
                </c:ext>
              </c:extLst>
            </c:dLbl>
            <c:dLbl>
              <c:idx val="4"/>
              <c:layout>
                <c:manualLayout>
                  <c:x val="-4.9227222648119594E-2"/>
                  <c:y val="-7.1335868625914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36-4393-9A70-F15C0E60CF30}"/>
                </c:ext>
              </c:extLst>
            </c:dLbl>
            <c:spPr>
              <a:noFill/>
              <a:ln>
                <a:noFill/>
              </a:ln>
              <a:effectLst/>
            </c:spPr>
            <c:txPr>
              <a:bodyPr/>
              <a:lstStyle/>
              <a:p>
                <a:pPr>
                  <a:defRPr>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brudn.!$C$31:$C$36</c:f>
              <c:strCache>
                <c:ptCount val="6"/>
                <c:pt idx="0">
                  <c:v>Ip. 2017</c:v>
                </c:pt>
                <c:pt idx="1">
                  <c:v>IIp. 2017</c:v>
                </c:pt>
                <c:pt idx="2">
                  <c:v>Ip. 2018</c:v>
                </c:pt>
                <c:pt idx="3">
                  <c:v>IIp. 2018</c:v>
                </c:pt>
                <c:pt idx="4">
                  <c:v>Ip. 2019</c:v>
                </c:pt>
                <c:pt idx="5">
                  <c:v>IIp. 2019</c:v>
                </c:pt>
              </c:strCache>
            </c:strRef>
          </c:cat>
          <c:val>
            <c:numRef>
              <c:f>brudn.!$E$31:$E$36</c:f>
              <c:numCache>
                <c:formatCode>#,##0</c:formatCode>
                <c:ptCount val="6"/>
                <c:pt idx="0">
                  <c:v>477</c:v>
                </c:pt>
                <c:pt idx="1">
                  <c:v>386</c:v>
                </c:pt>
                <c:pt idx="2">
                  <c:v>444</c:v>
                </c:pt>
                <c:pt idx="3" formatCode="General">
                  <c:v>704</c:v>
                </c:pt>
                <c:pt idx="4" formatCode="General">
                  <c:v>532</c:v>
                </c:pt>
                <c:pt idx="5" formatCode="General">
                  <c:v>609</c:v>
                </c:pt>
              </c:numCache>
            </c:numRef>
          </c:val>
          <c:smooth val="1"/>
          <c:extLst>
            <c:ext xmlns:c16="http://schemas.microsoft.com/office/drawing/2014/chart" uri="{C3380CC4-5D6E-409C-BE32-E72D297353CC}">
              <c16:uniqueId val="{00000005-FA36-4393-9A70-F15C0E60CF30}"/>
            </c:ext>
          </c:extLst>
        </c:ser>
        <c:dLbls>
          <c:showLegendKey val="0"/>
          <c:showVal val="0"/>
          <c:showCatName val="0"/>
          <c:showSerName val="0"/>
          <c:showPercent val="0"/>
          <c:showBubbleSize val="0"/>
        </c:dLbls>
        <c:smooth val="0"/>
        <c:axId val="358889728"/>
        <c:axId val="358936576"/>
      </c:lineChart>
      <c:catAx>
        <c:axId val="358889728"/>
        <c:scaling>
          <c:orientation val="minMax"/>
        </c:scaling>
        <c:delete val="0"/>
        <c:axPos val="b"/>
        <c:majorGridlines>
          <c:spPr>
            <a:ln w="22225">
              <a:solidFill>
                <a:schemeClr val="accent4">
                  <a:lumMod val="60000"/>
                  <a:lumOff val="40000"/>
                  <a:alpha val="7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Times New Roman" panose="02020603050405020304" pitchFamily="18" charset="0"/>
                <a:cs typeface="Times New Roman" panose="02020603050405020304" pitchFamily="18" charset="0"/>
              </a:defRPr>
            </a:pPr>
            <a:endParaRPr lang="pl-PL"/>
          </a:p>
        </c:txPr>
        <c:crossAx val="358936576"/>
        <c:crosses val="autoZero"/>
        <c:auto val="1"/>
        <c:lblAlgn val="ctr"/>
        <c:lblOffset val="100"/>
        <c:noMultiLvlLbl val="0"/>
      </c:catAx>
      <c:valAx>
        <c:axId val="358936576"/>
        <c:scaling>
          <c:orientation val="minMax"/>
          <c:max val="750"/>
          <c:min val="350"/>
        </c:scaling>
        <c:delete val="0"/>
        <c:axPos val="l"/>
        <c:majorGridlines>
          <c:spPr>
            <a:ln>
              <a:solidFill>
                <a:srgbClr val="0000FF">
                  <a:alpha val="33000"/>
                </a:srgbClr>
              </a:solidFill>
            </a:ln>
          </c:spPr>
        </c:majorGridlines>
        <c:minorGridlines>
          <c:spPr>
            <a:ln w="6350">
              <a:solidFill>
                <a:srgbClr val="7575FF"/>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8889728"/>
        <c:crosses val="autoZero"/>
        <c:crossBetween val="midCat"/>
        <c:majorUnit val="25"/>
        <c:minorUnit val="5"/>
      </c:valAx>
      <c:spPr>
        <a:noFill/>
      </c:spPr>
    </c:plotArea>
    <c:legend>
      <c:legendPos val="t"/>
      <c:layout>
        <c:manualLayout>
          <c:xMode val="edge"/>
          <c:yMode val="edge"/>
          <c:x val="0.1904102298695991"/>
          <c:y val="4.8086826984464776E-3"/>
          <c:w val="0.60999040792735348"/>
          <c:h val="7.063715684188125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0">
                <a:latin typeface="Arial" panose="020B0604020202020204" pitchFamily="34" charset="0"/>
                <a:cs typeface="Arial" panose="020B0604020202020204" pitchFamily="34" charset="0"/>
              </a:rPr>
              <a:t>Przemysł high-tec</a:t>
            </a:r>
            <a:r>
              <a:rPr lang="en-US" sz="1600">
                <a:latin typeface="Arial" panose="020B0604020202020204" pitchFamily="34" charset="0"/>
                <a:cs typeface="Arial" panose="020B0604020202020204" pitchFamily="34" charset="0"/>
              </a:rPr>
              <a:t>h</a:t>
            </a:r>
          </a:p>
        </c:rich>
      </c:tx>
      <c:layout>
        <c:manualLayout>
          <c:xMode val="edge"/>
          <c:yMode val="edge"/>
          <c:x val="0.45624842885037564"/>
          <c:y val="0.74444477009832466"/>
        </c:manualLayout>
      </c:layout>
      <c:overlay val="1"/>
    </c:title>
    <c:autoTitleDeleted val="0"/>
    <c:plotArea>
      <c:layout>
        <c:manualLayout>
          <c:layoutTarget val="inner"/>
          <c:xMode val="edge"/>
          <c:yMode val="edge"/>
          <c:x val="0.11917824721446847"/>
          <c:y val="5.8868792156077057E-2"/>
          <c:w val="0.87742768446372388"/>
          <c:h val="0.93538913362701914"/>
        </c:manualLayout>
      </c:layout>
      <c:lineChart>
        <c:grouping val="standard"/>
        <c:varyColors val="0"/>
        <c:ser>
          <c:idx val="0"/>
          <c:order val="0"/>
          <c:tx>
            <c:strRef>
              <c:f>brudn.!$Q$5</c:f>
              <c:strCache>
                <c:ptCount val="1"/>
                <c:pt idx="0">
                  <c:v>Przemysł high-tech</c:v>
                </c:pt>
              </c:strCache>
            </c:strRef>
          </c:tx>
          <c:spPr>
            <a:ln>
              <a:solidFill>
                <a:schemeClr val="accent4">
                  <a:lumMod val="75000"/>
                </a:schemeClr>
              </a:solidFill>
            </a:ln>
          </c:spPr>
          <c:marker>
            <c:symbol val="none"/>
          </c:marker>
          <c:dPt>
            <c:idx val="1"/>
            <c:bubble3D val="0"/>
            <c:extLst>
              <c:ext xmlns:c16="http://schemas.microsoft.com/office/drawing/2014/chart" uri="{C3380CC4-5D6E-409C-BE32-E72D297353CC}">
                <c16:uniqueId val="{00000000-2EA4-4E1D-9F01-DDF91133836D}"/>
              </c:ext>
            </c:extLst>
          </c:dPt>
          <c:dPt>
            <c:idx val="5"/>
            <c:bubble3D val="0"/>
            <c:extLst>
              <c:ext xmlns:c16="http://schemas.microsoft.com/office/drawing/2014/chart" uri="{C3380CC4-5D6E-409C-BE32-E72D297353CC}">
                <c16:uniqueId val="{00000001-2EA4-4E1D-9F01-DDF91133836D}"/>
              </c:ext>
            </c:extLst>
          </c:dPt>
          <c:dPt>
            <c:idx val="8"/>
            <c:bubble3D val="0"/>
            <c:extLst>
              <c:ext xmlns:c16="http://schemas.microsoft.com/office/drawing/2014/chart" uri="{C3380CC4-5D6E-409C-BE32-E72D297353CC}">
                <c16:uniqueId val="{00000002-2EA4-4E1D-9F01-DDF91133836D}"/>
              </c:ext>
            </c:extLst>
          </c:dPt>
          <c:dPt>
            <c:idx val="10"/>
            <c:bubble3D val="0"/>
            <c:extLst>
              <c:ext xmlns:c16="http://schemas.microsoft.com/office/drawing/2014/chart" uri="{C3380CC4-5D6E-409C-BE32-E72D297353CC}">
                <c16:uniqueId val="{00000003-2EA4-4E1D-9F01-DDF91133836D}"/>
              </c:ext>
            </c:extLst>
          </c:dPt>
          <c:dLbls>
            <c:dLbl>
              <c:idx val="2"/>
              <c:layout>
                <c:manualLayout>
                  <c:x val="-6.3329183274999826E-2"/>
                  <c:y val="-7.6041590569374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4-4E1D-9F01-DDF91133836D}"/>
                </c:ext>
              </c:extLst>
            </c:dLbl>
            <c:spPr>
              <a:noFill/>
              <a:ln>
                <a:noFill/>
              </a:ln>
              <a:effectLst/>
            </c:spPr>
            <c:txPr>
              <a:bodyPr/>
              <a:lstStyle/>
              <a:p>
                <a:pPr>
                  <a:defRPr sz="800" b="0">
                    <a:latin typeface="+mj-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(brudn.!$R$3:$V$3,brudn.!$Y$3,brudn.!$AB$3)</c:f>
              <c:strCache>
                <c:ptCount val="7"/>
                <c:pt idx="0">
                  <c:v>IIp'16</c:v>
                </c:pt>
                <c:pt idx="1">
                  <c:v>Ip'17</c:v>
                </c:pt>
                <c:pt idx="2">
                  <c:v>IIp'17</c:v>
                </c:pt>
                <c:pt idx="3">
                  <c:v>Ip'18</c:v>
                </c:pt>
                <c:pt idx="4">
                  <c:v>IIp'18</c:v>
                </c:pt>
                <c:pt idx="5">
                  <c:v>Ip'19</c:v>
                </c:pt>
                <c:pt idx="6">
                  <c:v>IIp'19</c:v>
                </c:pt>
              </c:strCache>
            </c:strRef>
          </c:cat>
          <c:val>
            <c:numRef>
              <c:f>(brudn.!$R$5:$V$5,brudn.!$Y$5,brudn.!$AB$5)</c:f>
              <c:numCache>
                <c:formatCode>#,##0</c:formatCode>
                <c:ptCount val="7"/>
                <c:pt idx="0">
                  <c:v>64</c:v>
                </c:pt>
                <c:pt idx="1">
                  <c:v>41</c:v>
                </c:pt>
                <c:pt idx="2">
                  <c:v>31</c:v>
                </c:pt>
                <c:pt idx="3">
                  <c:v>85</c:v>
                </c:pt>
                <c:pt idx="4">
                  <c:v>104</c:v>
                </c:pt>
                <c:pt idx="5">
                  <c:v>82</c:v>
                </c:pt>
                <c:pt idx="6">
                  <c:v>97</c:v>
                </c:pt>
              </c:numCache>
            </c:numRef>
          </c:val>
          <c:smooth val="0"/>
          <c:extLst>
            <c:ext xmlns:c16="http://schemas.microsoft.com/office/drawing/2014/chart" uri="{C3380CC4-5D6E-409C-BE32-E72D297353CC}">
              <c16:uniqueId val="{00000005-2EA4-4E1D-9F01-DDF91133836D}"/>
            </c:ext>
          </c:extLst>
        </c:ser>
        <c:dLbls>
          <c:showLegendKey val="0"/>
          <c:showVal val="1"/>
          <c:showCatName val="0"/>
          <c:showSerName val="0"/>
          <c:showPercent val="0"/>
          <c:showBubbleSize val="0"/>
        </c:dLbls>
        <c:smooth val="0"/>
        <c:axId val="358947456"/>
        <c:axId val="358970880"/>
      </c:lineChart>
      <c:catAx>
        <c:axId val="358947456"/>
        <c:scaling>
          <c:orientation val="minMax"/>
        </c:scaling>
        <c:delete val="0"/>
        <c:axPos val="b"/>
        <c:majorGridlines/>
        <c:numFmt formatCode="General" sourceLinked="1"/>
        <c:majorTickMark val="out"/>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8970880"/>
        <c:crosses val="autoZero"/>
        <c:auto val="1"/>
        <c:lblAlgn val="ctr"/>
        <c:lblOffset val="100"/>
        <c:noMultiLvlLbl val="0"/>
      </c:catAx>
      <c:valAx>
        <c:axId val="358970880"/>
        <c:scaling>
          <c:orientation val="minMax"/>
        </c:scaling>
        <c:delete val="0"/>
        <c:axPos val="l"/>
        <c:majorGridlines/>
        <c:minorGridlines/>
        <c:numFmt formatCode="#,##0" sourceLinked="1"/>
        <c:majorTickMark val="out"/>
        <c:minorTickMark val="none"/>
        <c:tickLblPos val="nextTo"/>
        <c:txPr>
          <a:bodyPr/>
          <a:lstStyle/>
          <a:p>
            <a:pPr>
              <a:defRPr sz="800">
                <a:latin typeface="Times New Roman" panose="02020603050405020304" pitchFamily="18" charset="0"/>
                <a:cs typeface="Times New Roman" panose="02020603050405020304" pitchFamily="18" charset="0"/>
              </a:defRPr>
            </a:pPr>
            <a:endParaRPr lang="pl-PL"/>
          </a:p>
        </c:txPr>
        <c:crossAx val="3589474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800" b="0">
                <a:latin typeface="Times New Roman" panose="02020603050405020304" pitchFamily="18" charset="0"/>
                <a:cs typeface="Times New Roman" panose="02020603050405020304" pitchFamily="18" charset="0"/>
              </a:rPr>
              <a:t>Liczba</a:t>
            </a:r>
            <a:r>
              <a:rPr lang="en-US" sz="800" b="0">
                <a:latin typeface="Times New Roman" panose="02020603050405020304" pitchFamily="18" charset="0"/>
                <a:cs typeface="Times New Roman" panose="02020603050405020304" pitchFamily="18" charset="0"/>
              </a:rPr>
              <a:t> </a:t>
            </a:r>
            <a:r>
              <a:rPr lang="pl-PL" sz="800" b="0">
                <a:latin typeface="Times New Roman" panose="02020603050405020304" pitchFamily="18" charset="0"/>
                <a:cs typeface="Times New Roman" panose="02020603050405020304" pitchFamily="18" charset="0"/>
              </a:rPr>
              <a:t>prób wg portali internetowych</a:t>
            </a:r>
            <a:endParaRPr lang="en-US" sz="800" b="0">
              <a:latin typeface="Times New Roman" panose="02020603050405020304" pitchFamily="18" charset="0"/>
              <a:cs typeface="Times New Roman" panose="02020603050405020304" pitchFamily="18" charset="0"/>
            </a:endParaRPr>
          </a:p>
        </c:rich>
      </c:tx>
      <c:layout>
        <c:manualLayout>
          <c:xMode val="edge"/>
          <c:yMode val="edge"/>
          <c:x val="0.13755224459208981"/>
          <c:y val="3.271304409384463E-2"/>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brudn.!$B$18</c:f>
              <c:strCache>
                <c:ptCount val="1"/>
                <c:pt idx="0">
                  <c:v>Portale</c:v>
                </c:pt>
              </c:strCache>
            </c:strRef>
          </c:tx>
          <c:spPr>
            <a:ln w="38100">
              <a:solidFill>
                <a:schemeClr val="tx1"/>
              </a:solidFill>
              <a:prstDash val="sysDot"/>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brudn.!$B$19:$B$22</c:f>
              <c:strCache>
                <c:ptCount val="4"/>
                <c:pt idx="0">
                  <c:v>praca.pl</c:v>
                </c:pt>
                <c:pt idx="1">
                  <c:v>pracuj.pl</c:v>
                </c:pt>
                <c:pt idx="2">
                  <c:v>agora</c:v>
                </c:pt>
                <c:pt idx="3">
                  <c:v>gratka.pl</c:v>
                </c:pt>
              </c:strCache>
            </c:strRef>
          </c:cat>
          <c:val>
            <c:numRef>
              <c:f>brudn.!$C$19:$C$22</c:f>
              <c:numCache>
                <c:formatCode>#,##0</c:formatCode>
                <c:ptCount val="4"/>
                <c:pt idx="0">
                  <c:v>475</c:v>
                </c:pt>
                <c:pt idx="1">
                  <c:v>2060</c:v>
                </c:pt>
                <c:pt idx="2">
                  <c:v>254</c:v>
                </c:pt>
                <c:pt idx="3">
                  <c:v>227</c:v>
                </c:pt>
              </c:numCache>
            </c:numRef>
          </c:val>
          <c:extLst>
            <c:ext xmlns:c16="http://schemas.microsoft.com/office/drawing/2014/chart" uri="{C3380CC4-5D6E-409C-BE32-E72D297353CC}">
              <c16:uniqueId val="{00000000-D54B-4E6D-A49F-43F833409DC6}"/>
            </c:ext>
          </c:extLst>
        </c:ser>
        <c:dLbls>
          <c:showLegendKey val="0"/>
          <c:showVal val="0"/>
          <c:showCatName val="0"/>
          <c:showSerName val="0"/>
          <c:showPercent val="0"/>
          <c:showBubbleSize val="0"/>
        </c:dLbls>
        <c:gapWidth val="150"/>
        <c:axId val="359032320"/>
        <c:axId val="359033856"/>
      </c:barChart>
      <c:catAx>
        <c:axId val="35903232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9033856"/>
        <c:crosses val="autoZero"/>
        <c:auto val="1"/>
        <c:lblAlgn val="ctr"/>
        <c:lblOffset val="100"/>
        <c:noMultiLvlLbl val="0"/>
      </c:catAx>
      <c:valAx>
        <c:axId val="35903385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903232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'12'!$H$2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4C-42BF-9F7C-F5D36FB5FBCD}"/>
                </c:ext>
              </c:extLst>
            </c:dLbl>
            <c:dLbl>
              <c:idx val="1"/>
              <c:layout>
                <c:manualLayout>
                  <c:x val="0"/>
                  <c:y val="2.6132404181184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4C-42BF-9F7C-F5D36FB5FBCD}"/>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4C-42BF-9F7C-F5D36FB5FBCD}"/>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4C-42BF-9F7C-F5D36FB5FBCD}"/>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'12'!$H$4:$H$7</c:f>
              <c:strCache>
                <c:ptCount val="4"/>
                <c:pt idx="0">
                  <c:v>praca.pl</c:v>
                </c:pt>
                <c:pt idx="1">
                  <c:v>pracuj.pl</c:v>
                </c:pt>
                <c:pt idx="2">
                  <c:v>agora</c:v>
                </c:pt>
                <c:pt idx="3">
                  <c:v>gratka.pl</c:v>
                </c:pt>
              </c:strCache>
            </c:strRef>
          </c:cat>
          <c:val>
            <c:numRef>
              <c:f>'12'!$I$4:$I$7</c:f>
              <c:numCache>
                <c:formatCode>General</c:formatCode>
                <c:ptCount val="4"/>
                <c:pt idx="0">
                  <c:v>76</c:v>
                </c:pt>
                <c:pt idx="1">
                  <c:v>8</c:v>
                </c:pt>
                <c:pt idx="2">
                  <c:v>3</c:v>
                </c:pt>
                <c:pt idx="3">
                  <c:v>10</c:v>
                </c:pt>
              </c:numCache>
            </c:numRef>
          </c:val>
          <c:extLst>
            <c:ext xmlns:c16="http://schemas.microsoft.com/office/drawing/2014/chart" uri="{C3380CC4-5D6E-409C-BE32-E72D297353CC}">
              <c16:uniqueId val="{00000004-074C-42BF-9F7C-F5D36FB5FBCD}"/>
            </c:ext>
          </c:extLst>
        </c:ser>
        <c:dLbls>
          <c:showLegendKey val="0"/>
          <c:showVal val="0"/>
          <c:showCatName val="0"/>
          <c:showSerName val="0"/>
          <c:showPercent val="0"/>
          <c:showBubbleSize val="0"/>
        </c:dLbls>
        <c:gapWidth val="150"/>
        <c:axId val="257646976"/>
        <c:axId val="257648512"/>
      </c:barChart>
      <c:catAx>
        <c:axId val="25764697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648512"/>
        <c:crosses val="autoZero"/>
        <c:auto val="1"/>
        <c:lblAlgn val="ctr"/>
        <c:lblOffset val="100"/>
        <c:noMultiLvlLbl val="0"/>
      </c:catAx>
      <c:valAx>
        <c:axId val="25764851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6469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4368850445891241"/>
          <c:h val="0.90288026438229363"/>
        </c:manualLayout>
      </c:layout>
      <c:lineChart>
        <c:grouping val="standard"/>
        <c:varyColors val="0"/>
        <c:ser>
          <c:idx val="0"/>
          <c:order val="0"/>
          <c:tx>
            <c:strRef>
              <c:f>'12'!$M$50</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7E-48A7-8708-D94323400765}"/>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7E-48A7-8708-D94323400765}"/>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7E-48A7-8708-D94323400765}"/>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7E-48A7-8708-D94323400765}"/>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7E-48A7-8708-D94323400765}"/>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7E-48A7-8708-D94323400765}"/>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7E-48A7-8708-D94323400765}"/>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'12'!$M$51:$M$57</c:f>
              <c:numCache>
                <c:formatCode>General</c:formatCode>
                <c:ptCount val="7"/>
                <c:pt idx="0">
                  <c:v>86</c:v>
                </c:pt>
                <c:pt idx="1">
                  <c:v>377</c:v>
                </c:pt>
                <c:pt idx="2">
                  <c:v>180</c:v>
                </c:pt>
                <c:pt idx="3">
                  <c:v>361</c:v>
                </c:pt>
                <c:pt idx="4">
                  <c:v>249</c:v>
                </c:pt>
                <c:pt idx="5">
                  <c:v>173</c:v>
                </c:pt>
                <c:pt idx="6">
                  <c:v>97</c:v>
                </c:pt>
              </c:numCache>
            </c:numRef>
          </c:val>
          <c:smooth val="0"/>
          <c:extLst>
            <c:ext xmlns:c16="http://schemas.microsoft.com/office/drawing/2014/chart" uri="{C3380CC4-5D6E-409C-BE32-E72D297353CC}">
              <c16:uniqueId val="{00000007-6D7E-48A7-8708-D94323400765}"/>
            </c:ext>
          </c:extLst>
        </c:ser>
        <c:ser>
          <c:idx val="1"/>
          <c:order val="1"/>
          <c:tx>
            <c:strRef>
              <c:f>'12'!$N$50</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7E-48A7-8708-D94323400765}"/>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7E-48A7-8708-D94323400765}"/>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7E-48A7-8708-D94323400765}"/>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D7E-48A7-8708-D94323400765}"/>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'12'!$N$51:$N$57</c:f>
              <c:numCache>
                <c:formatCode>General</c:formatCode>
                <c:ptCount val="7"/>
                <c:pt idx="0">
                  <c:v>122</c:v>
                </c:pt>
                <c:pt idx="1">
                  <c:v>410</c:v>
                </c:pt>
                <c:pt idx="2">
                  <c:v>231</c:v>
                </c:pt>
                <c:pt idx="3">
                  <c:v>378</c:v>
                </c:pt>
                <c:pt idx="4">
                  <c:v>258</c:v>
                </c:pt>
                <c:pt idx="5">
                  <c:v>197</c:v>
                </c:pt>
                <c:pt idx="6">
                  <c:v>97</c:v>
                </c:pt>
              </c:numCache>
            </c:numRef>
          </c:val>
          <c:smooth val="0"/>
          <c:extLst>
            <c:ext xmlns:c16="http://schemas.microsoft.com/office/drawing/2014/chart" uri="{C3380CC4-5D6E-409C-BE32-E72D297353CC}">
              <c16:uniqueId val="{0000000C-6D7E-48A7-8708-D94323400765}"/>
            </c:ext>
          </c:extLst>
        </c:ser>
        <c:dLbls>
          <c:showLegendKey val="0"/>
          <c:showVal val="0"/>
          <c:showCatName val="0"/>
          <c:showSerName val="0"/>
          <c:showPercent val="0"/>
          <c:showBubbleSize val="0"/>
        </c:dLbls>
        <c:smooth val="0"/>
        <c:axId val="257661952"/>
        <c:axId val="257676032"/>
      </c:lineChart>
      <c:catAx>
        <c:axId val="25766195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676032"/>
        <c:crosses val="autoZero"/>
        <c:auto val="1"/>
        <c:lblAlgn val="ctr"/>
        <c:lblOffset val="100"/>
        <c:noMultiLvlLbl val="0"/>
      </c:catAx>
      <c:valAx>
        <c:axId val="25767603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661952"/>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'13'!$H$11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3391-4161-ABF0-86C0FF163D21}"/>
              </c:ext>
            </c:extLst>
          </c:dPt>
          <c:dPt>
            <c:idx val="5"/>
            <c:invertIfNegative val="0"/>
            <c:bubble3D val="0"/>
            <c:extLst>
              <c:ext xmlns:c16="http://schemas.microsoft.com/office/drawing/2014/chart" uri="{C3380CC4-5D6E-409C-BE32-E72D297353CC}">
                <c16:uniqueId val="{00000001-3391-4161-ABF0-86C0FF163D21}"/>
              </c:ext>
            </c:extLst>
          </c:dPt>
          <c:dPt>
            <c:idx val="8"/>
            <c:invertIfNegative val="0"/>
            <c:bubble3D val="0"/>
            <c:extLst>
              <c:ext xmlns:c16="http://schemas.microsoft.com/office/drawing/2014/chart" uri="{C3380CC4-5D6E-409C-BE32-E72D297353CC}">
                <c16:uniqueId val="{00000002-3391-4161-ABF0-86C0FF163D21}"/>
              </c:ext>
            </c:extLst>
          </c:dPt>
          <c:dPt>
            <c:idx val="10"/>
            <c:invertIfNegative val="0"/>
            <c:bubble3D val="0"/>
            <c:extLst>
              <c:ext xmlns:c16="http://schemas.microsoft.com/office/drawing/2014/chart" uri="{C3380CC4-5D6E-409C-BE32-E72D297353CC}">
                <c16:uniqueId val="{00000003-3391-4161-ABF0-86C0FF163D2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'13'!$J$12:$J$16</c:f>
              <c:numCache>
                <c:formatCode>General</c:formatCode>
                <c:ptCount val="5"/>
                <c:pt idx="0">
                  <c:v>76</c:v>
                </c:pt>
                <c:pt idx="1">
                  <c:v>143</c:v>
                </c:pt>
                <c:pt idx="2">
                  <c:v>3</c:v>
                </c:pt>
                <c:pt idx="3">
                  <c:v>1</c:v>
                </c:pt>
                <c:pt idx="4">
                  <c:v>1</c:v>
                </c:pt>
              </c:numCache>
            </c:numRef>
          </c:val>
          <c:extLst>
            <c:ext xmlns:c16="http://schemas.microsoft.com/office/drawing/2014/chart" uri="{C3380CC4-5D6E-409C-BE32-E72D297353CC}">
              <c16:uniqueId val="{00000004-3391-4161-ABF0-86C0FF163D21}"/>
            </c:ext>
          </c:extLst>
        </c:ser>
        <c:dLbls>
          <c:showLegendKey val="0"/>
          <c:showVal val="1"/>
          <c:showCatName val="0"/>
          <c:showSerName val="0"/>
          <c:showPercent val="0"/>
          <c:showBubbleSize val="0"/>
        </c:dLbls>
        <c:gapWidth val="22"/>
        <c:overlap val="6"/>
        <c:axId val="257693184"/>
        <c:axId val="257694720"/>
      </c:barChart>
      <c:catAx>
        <c:axId val="257693184"/>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694720"/>
        <c:crosses val="autoZero"/>
        <c:auto val="1"/>
        <c:lblAlgn val="ctr"/>
        <c:lblOffset val="100"/>
        <c:noMultiLvlLbl val="0"/>
      </c:catAx>
      <c:valAx>
        <c:axId val="257694720"/>
        <c:scaling>
          <c:orientation val="minMax"/>
        </c:scaling>
        <c:delete val="1"/>
        <c:axPos val="t"/>
        <c:numFmt formatCode="General" sourceLinked="1"/>
        <c:majorTickMark val="none"/>
        <c:minorTickMark val="none"/>
        <c:tickLblPos val="nextTo"/>
        <c:crossAx val="257693184"/>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'13'!$H$2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CC-4814-B3A9-07599800A0AB}"/>
                </c:ext>
              </c:extLst>
            </c:dLbl>
            <c:dLbl>
              <c:idx val="1"/>
              <c:layout>
                <c:manualLayout>
                  <c:x val="0"/>
                  <c:y val="2.6132404181184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CC-4814-B3A9-07599800A0AB}"/>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CC-4814-B3A9-07599800A0AB}"/>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CC-4814-B3A9-07599800A0AB}"/>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'13'!$H$4:$H$7</c:f>
              <c:strCache>
                <c:ptCount val="4"/>
                <c:pt idx="0">
                  <c:v>praca.pl</c:v>
                </c:pt>
                <c:pt idx="1">
                  <c:v>pracuj.pl</c:v>
                </c:pt>
                <c:pt idx="2">
                  <c:v>agora</c:v>
                </c:pt>
                <c:pt idx="3">
                  <c:v>gratka.pl</c:v>
                </c:pt>
              </c:strCache>
            </c:strRef>
          </c:cat>
          <c:val>
            <c:numRef>
              <c:f>'13'!$I$4:$I$7</c:f>
              <c:numCache>
                <c:formatCode>General</c:formatCode>
                <c:ptCount val="4"/>
                <c:pt idx="0">
                  <c:v>42</c:v>
                </c:pt>
                <c:pt idx="1">
                  <c:v>176</c:v>
                </c:pt>
                <c:pt idx="2">
                  <c:v>4</c:v>
                </c:pt>
                <c:pt idx="3">
                  <c:v>2</c:v>
                </c:pt>
              </c:numCache>
            </c:numRef>
          </c:val>
          <c:extLst>
            <c:ext xmlns:c16="http://schemas.microsoft.com/office/drawing/2014/chart" uri="{C3380CC4-5D6E-409C-BE32-E72D297353CC}">
              <c16:uniqueId val="{00000004-58CC-4814-B3A9-07599800A0AB}"/>
            </c:ext>
          </c:extLst>
        </c:ser>
        <c:dLbls>
          <c:showLegendKey val="0"/>
          <c:showVal val="0"/>
          <c:showCatName val="0"/>
          <c:showSerName val="0"/>
          <c:showPercent val="0"/>
          <c:showBubbleSize val="0"/>
        </c:dLbls>
        <c:gapWidth val="150"/>
        <c:axId val="257702912"/>
        <c:axId val="257712896"/>
      </c:barChart>
      <c:catAx>
        <c:axId val="25770291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712896"/>
        <c:crosses val="autoZero"/>
        <c:auto val="1"/>
        <c:lblAlgn val="ctr"/>
        <c:lblOffset val="100"/>
        <c:noMultiLvlLbl val="0"/>
      </c:catAx>
      <c:valAx>
        <c:axId val="25771289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7029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image" Target="../media/image1.png"/><Relationship Id="rId5" Type="http://schemas.openxmlformats.org/officeDocument/2006/relationships/chart" Target="../charts/chart57.xml"/><Relationship Id="rId4" Type="http://schemas.openxmlformats.org/officeDocument/2006/relationships/chart" Target="../charts/chart5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9.xml"/><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7</xdr:col>
      <xdr:colOff>523874</xdr:colOff>
      <xdr:row>35</xdr:row>
      <xdr:rowOff>0</xdr:rowOff>
    </xdr:from>
    <xdr:to>
      <xdr:col>13</xdr:col>
      <xdr:colOff>219074</xdr:colOff>
      <xdr:row>43</xdr:row>
      <xdr:rowOff>180975</xdr:rowOff>
    </xdr:to>
    <xdr:graphicFrame macro="">
      <xdr:nvGraphicFramePr>
        <xdr:cNvPr id="2" name="Wykres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36</xdr:row>
      <xdr:rowOff>0</xdr:rowOff>
    </xdr:from>
    <xdr:to>
      <xdr:col>16</xdr:col>
      <xdr:colOff>219710</xdr:colOff>
      <xdr:row>43</xdr:row>
      <xdr:rowOff>124460</xdr:rowOff>
    </xdr:to>
    <xdr:graphicFrame macro="">
      <xdr:nvGraphicFramePr>
        <xdr:cNvPr id="3" name="Wykres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585257</xdr:colOff>
      <xdr:row>47</xdr:row>
      <xdr:rowOff>165100</xdr:rowOff>
    </xdr:from>
    <xdr:to>
      <xdr:col>13</xdr:col>
      <xdr:colOff>280457</xdr:colOff>
      <xdr:row>56</xdr:row>
      <xdr:rowOff>155575</xdr:rowOff>
    </xdr:to>
    <xdr:graphicFrame macro="">
      <xdr:nvGraphicFramePr>
        <xdr:cNvPr id="2" name="Wykres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48</xdr:row>
      <xdr:rowOff>87841</xdr:rowOff>
    </xdr:from>
    <xdr:to>
      <xdr:col>16</xdr:col>
      <xdr:colOff>254636</xdr:colOff>
      <xdr:row>56</xdr:row>
      <xdr:rowOff>21801</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58</xdr:row>
      <xdr:rowOff>162982</xdr:rowOff>
    </xdr:from>
    <xdr:to>
      <xdr:col>10</xdr:col>
      <xdr:colOff>481541</xdr:colOff>
      <xdr:row>67</xdr:row>
      <xdr:rowOff>95250</xdr:rowOff>
    </xdr:to>
    <xdr:graphicFrame macro="">
      <xdr:nvGraphicFramePr>
        <xdr:cNvPr id="4" name="Wykres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33337</xdr:rowOff>
    </xdr:from>
    <xdr:to>
      <xdr:col>18</xdr:col>
      <xdr:colOff>83344</xdr:colOff>
      <xdr:row>67</xdr:row>
      <xdr:rowOff>35718</xdr:rowOff>
    </xdr:to>
    <xdr:graphicFrame macro="">
      <xdr:nvGraphicFramePr>
        <xdr:cNvPr id="5" name="Wykres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178593</xdr:colOff>
      <xdr:row>67</xdr:row>
      <xdr:rowOff>138112</xdr:rowOff>
    </xdr:from>
    <xdr:to>
      <xdr:col>18</xdr:col>
      <xdr:colOff>59531</xdr:colOff>
      <xdr:row>78</xdr:row>
      <xdr:rowOff>11905</xdr:rowOff>
    </xdr:to>
    <xdr:graphicFrame macro="">
      <xdr:nvGraphicFramePr>
        <xdr:cNvPr id="6" name="Wykres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12</xdr:col>
      <xdr:colOff>119063</xdr:colOff>
      <xdr:row>28</xdr:row>
      <xdr:rowOff>95249</xdr:rowOff>
    </xdr:to>
    <xdr:graphicFrame macro="">
      <xdr:nvGraphicFramePr>
        <xdr:cNvPr id="2" name="Wykres 1">
          <a:extLst>
            <a:ext uri="{FF2B5EF4-FFF2-40B4-BE49-F238E27FC236}">
              <a16:creationId xmlns:a16="http://schemas.microsoft.com/office/drawing/2014/main" id="{F07C9750-D35A-4E52-AF54-0E2FC6BC1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id="{9D3CB715-36F7-4643-ADB0-A09CFE881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5" name="Wykres 4">
          <a:extLst>
            <a:ext uri="{FF2B5EF4-FFF2-40B4-BE49-F238E27FC236}">
              <a16:creationId xmlns:a16="http://schemas.microsoft.com/office/drawing/2014/main" id="{1DF2995F-6B39-4D6E-9C40-0E772FE3A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6" name="Wykres 5">
          <a:extLst>
            <a:ext uri="{FF2B5EF4-FFF2-40B4-BE49-F238E27FC236}">
              <a16:creationId xmlns:a16="http://schemas.microsoft.com/office/drawing/2014/main" id="{4D89A336-8320-4C42-B75D-8297AD292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12</xdr:col>
      <xdr:colOff>119063</xdr:colOff>
      <xdr:row>28</xdr:row>
      <xdr:rowOff>95249</xdr:rowOff>
    </xdr:to>
    <xdr:graphicFrame macro="">
      <xdr:nvGraphicFramePr>
        <xdr:cNvPr id="2" name="Wykres 1">
          <a:extLst>
            <a:ext uri="{FF2B5EF4-FFF2-40B4-BE49-F238E27FC236}">
              <a16:creationId xmlns:a16="http://schemas.microsoft.com/office/drawing/2014/main" id="{DBBFB777-F04D-4759-AC58-091B969E5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id="{98410B80-F828-4FA6-9936-D67D93A87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4" name="Wykres 3">
          <a:extLst>
            <a:ext uri="{FF2B5EF4-FFF2-40B4-BE49-F238E27FC236}">
              <a16:creationId xmlns:a16="http://schemas.microsoft.com/office/drawing/2014/main" id="{2416787B-ED87-4829-8897-F7C05B8A2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5" name="Wykres 4">
          <a:extLst>
            <a:ext uri="{FF2B5EF4-FFF2-40B4-BE49-F238E27FC236}">
              <a16:creationId xmlns:a16="http://schemas.microsoft.com/office/drawing/2014/main" id="{09306F61-16A4-49A6-B7CA-BD40F209C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11</xdr:col>
      <xdr:colOff>771525</xdr:colOff>
      <xdr:row>28</xdr:row>
      <xdr:rowOff>95249</xdr:rowOff>
    </xdr:to>
    <xdr:graphicFrame macro="">
      <xdr:nvGraphicFramePr>
        <xdr:cNvPr id="2" name="Wykres 1">
          <a:extLst>
            <a:ext uri="{FF2B5EF4-FFF2-40B4-BE49-F238E27FC236}">
              <a16:creationId xmlns:a16="http://schemas.microsoft.com/office/drawing/2014/main" id="{DAC32FB2-91CA-48CB-BDA9-8E32CAA06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id="{D78706B2-BA05-44D2-948A-3BC369A28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4" name="Wykres 3">
          <a:extLst>
            <a:ext uri="{FF2B5EF4-FFF2-40B4-BE49-F238E27FC236}">
              <a16:creationId xmlns:a16="http://schemas.microsoft.com/office/drawing/2014/main" id="{281BCFF8-203B-4DA5-9AB7-992C18AE5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5" name="Wykres 4">
          <a:extLst>
            <a:ext uri="{FF2B5EF4-FFF2-40B4-BE49-F238E27FC236}">
              <a16:creationId xmlns:a16="http://schemas.microsoft.com/office/drawing/2014/main" id="{AA245F6B-B3F1-4CF8-97C8-2BC3F3688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142876</xdr:colOff>
      <xdr:row>3</xdr:row>
      <xdr:rowOff>11905</xdr:rowOff>
    </xdr:from>
    <xdr:to>
      <xdr:col>10</xdr:col>
      <xdr:colOff>442250</xdr:colOff>
      <xdr:row>12</xdr:row>
      <xdr:rowOff>11906</xdr:rowOff>
    </xdr:to>
    <xdr:graphicFrame macro="">
      <xdr:nvGraphicFramePr>
        <xdr:cNvPr id="7" name="Wykres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440530</xdr:colOff>
      <xdr:row>3</xdr:row>
      <xdr:rowOff>47624</xdr:rowOff>
    </xdr:from>
    <xdr:to>
      <xdr:col>15</xdr:col>
      <xdr:colOff>305327</xdr:colOff>
      <xdr:row>12</xdr:row>
      <xdr:rowOff>47625</xdr:rowOff>
    </xdr:to>
    <xdr:graphicFrame macro="">
      <xdr:nvGraphicFramePr>
        <xdr:cNvPr id="8" name="Wykres 7">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2</xdr:row>
      <xdr:rowOff>47626</xdr:rowOff>
    </xdr:from>
    <xdr:to>
      <xdr:col>11</xdr:col>
      <xdr:colOff>161925</xdr:colOff>
      <xdr:row>10</xdr:row>
      <xdr:rowOff>114302</xdr:rowOff>
    </xdr:to>
    <xdr:graphicFrame macro="">
      <xdr:nvGraphicFramePr>
        <xdr:cNvPr id="2" name="Wykres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161925</xdr:colOff>
      <xdr:row>11</xdr:row>
      <xdr:rowOff>47625</xdr:rowOff>
    </xdr:from>
    <xdr:to>
      <xdr:col>11</xdr:col>
      <xdr:colOff>171450</xdr:colOff>
      <xdr:row>21</xdr:row>
      <xdr:rowOff>114301</xdr:rowOff>
    </xdr:to>
    <xdr:graphicFrame macro="">
      <xdr:nvGraphicFramePr>
        <xdr:cNvPr id="3" name="Wykres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190500</xdr:colOff>
      <xdr:row>1</xdr:row>
      <xdr:rowOff>180976</xdr:rowOff>
    </xdr:from>
    <xdr:to>
      <xdr:col>11</xdr:col>
      <xdr:colOff>390525</xdr:colOff>
      <xdr:row>12</xdr:row>
      <xdr:rowOff>57152</xdr:rowOff>
    </xdr:to>
    <xdr:graphicFrame macro="">
      <xdr:nvGraphicFramePr>
        <xdr:cNvPr id="2" name="Wykres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209550</xdr:colOff>
      <xdr:row>13</xdr:row>
      <xdr:rowOff>47625</xdr:rowOff>
    </xdr:from>
    <xdr:to>
      <xdr:col>11</xdr:col>
      <xdr:colOff>409575</xdr:colOff>
      <xdr:row>25</xdr:row>
      <xdr:rowOff>114301</xdr:rowOff>
    </xdr:to>
    <xdr:graphicFrame macro="">
      <xdr:nvGraphicFramePr>
        <xdr:cNvPr id="3" name="Wykres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9622</xdr:colOff>
      <xdr:row>16</xdr:row>
      <xdr:rowOff>95250</xdr:rowOff>
    </xdr:from>
    <xdr:to>
      <xdr:col>19</xdr:col>
      <xdr:colOff>218210</xdr:colOff>
      <xdr:row>27</xdr:row>
      <xdr:rowOff>95249</xdr:rowOff>
    </xdr:to>
    <xdr:graphicFrame macro="">
      <xdr:nvGraphicFramePr>
        <xdr:cNvPr id="6" name="Wykres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256886</xdr:colOff>
      <xdr:row>16</xdr:row>
      <xdr:rowOff>166445</xdr:rowOff>
    </xdr:from>
    <xdr:to>
      <xdr:col>36</xdr:col>
      <xdr:colOff>242455</xdr:colOff>
      <xdr:row>29</xdr:row>
      <xdr:rowOff>51954</xdr:rowOff>
    </xdr:to>
    <xdr:graphicFrame macro="">
      <xdr:nvGraphicFramePr>
        <xdr:cNvPr id="11" name="Wykres 10">
          <a:extLst>
            <a:ext uri="{FF2B5EF4-FFF2-40B4-BE49-F238E27FC236}">
              <a16:creationId xmlns:a16="http://schemas.microsoft.com/office/drawing/2014/main" i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220323</xdr:colOff>
      <xdr:row>38</xdr:row>
      <xdr:rowOff>50030</xdr:rowOff>
    </xdr:from>
    <xdr:to>
      <xdr:col>5</xdr:col>
      <xdr:colOff>445340</xdr:colOff>
      <xdr:row>49</xdr:row>
      <xdr:rowOff>140471</xdr:rowOff>
    </xdr:to>
    <xdr:graphicFrame macro="">
      <xdr:nvGraphicFramePr>
        <xdr:cNvPr id="4" name="Wykres 3">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285752</xdr:colOff>
      <xdr:row>16</xdr:row>
      <xdr:rowOff>181840</xdr:rowOff>
    </xdr:from>
    <xdr:to>
      <xdr:col>27</xdr:col>
      <xdr:colOff>355023</xdr:colOff>
      <xdr:row>27</xdr:row>
      <xdr:rowOff>181839</xdr:rowOff>
    </xdr:to>
    <xdr:graphicFrame macro="">
      <xdr:nvGraphicFramePr>
        <xdr:cNvPr id="5" name="Wykres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29</xdr:row>
      <xdr:rowOff>0</xdr:rowOff>
    </xdr:from>
    <xdr:to>
      <xdr:col>20</xdr:col>
      <xdr:colOff>201083</xdr:colOff>
      <xdr:row>36</xdr:row>
      <xdr:rowOff>169333</xdr:rowOff>
    </xdr:to>
    <xdr:graphicFrame macro="">
      <xdr:nvGraphicFramePr>
        <xdr:cNvPr id="7" name="Wykres 6">
          <a:extLst>
            <a:ext uri="{FF2B5EF4-FFF2-40B4-BE49-F238E27FC236}">
              <a16:creationId xmlns:a16="http://schemas.microsoft.com/office/drawing/2014/main" id="{00000000-0008-0000-2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40</xdr:col>
      <xdr:colOff>415398</xdr:colOff>
      <xdr:row>18</xdr:row>
      <xdr:rowOff>7937</xdr:rowOff>
    </xdr:from>
    <xdr:to>
      <xdr:col>44</xdr:col>
      <xdr:colOff>142876</xdr:colOff>
      <xdr:row>27</xdr:row>
      <xdr:rowOff>190499</xdr:rowOff>
    </xdr:to>
    <xdr:pic>
      <xdr:nvPicPr>
        <xdr:cNvPr id="13" name="Obraz 12">
          <a:extLst>
            <a:ext uri="{FF2B5EF4-FFF2-40B4-BE49-F238E27FC236}">
              <a16:creationId xmlns:a16="http://schemas.microsoft.com/office/drawing/2014/main" id="{00000000-0008-0000-2A00-00000D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94398" y="4198937"/>
          <a:ext cx="2192072" cy="208756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523874</xdr:colOff>
      <xdr:row>36</xdr:row>
      <xdr:rowOff>0</xdr:rowOff>
    </xdr:from>
    <xdr:to>
      <xdr:col>13</xdr:col>
      <xdr:colOff>219074</xdr:colOff>
      <xdr:row>44</xdr:row>
      <xdr:rowOff>180975</xdr:rowOff>
    </xdr:to>
    <xdr:graphicFrame macro="">
      <xdr:nvGraphicFramePr>
        <xdr:cNvPr id="2" name="Wykres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37</xdr:row>
      <xdr:rowOff>0</xdr:rowOff>
    </xdr:from>
    <xdr:to>
      <xdr:col>16</xdr:col>
      <xdr:colOff>219710</xdr:colOff>
      <xdr:row>44</xdr:row>
      <xdr:rowOff>124460</xdr:rowOff>
    </xdr:to>
    <xdr:graphicFrame macro="">
      <xdr:nvGraphicFramePr>
        <xdr:cNvPr id="3" name="Wykres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466724</xdr:colOff>
      <xdr:row>37</xdr:row>
      <xdr:rowOff>142875</xdr:rowOff>
    </xdr:from>
    <xdr:to>
      <xdr:col>13</xdr:col>
      <xdr:colOff>161924</xdr:colOff>
      <xdr:row>46</xdr:row>
      <xdr:rowOff>133350</xdr:rowOff>
    </xdr:to>
    <xdr:graphicFrame macro="">
      <xdr:nvGraphicFramePr>
        <xdr:cNvPr id="2" name="Wykres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38</xdr:row>
      <xdr:rowOff>87841</xdr:rowOff>
    </xdr:from>
    <xdr:to>
      <xdr:col>16</xdr:col>
      <xdr:colOff>254636</xdr:colOff>
      <xdr:row>46</xdr:row>
      <xdr:rowOff>21801</xdr:rowOff>
    </xdr:to>
    <xdr:graphicFrame macro="">
      <xdr:nvGraphicFramePr>
        <xdr:cNvPr id="3" name="Wykres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423334</xdr:colOff>
      <xdr:row>48</xdr:row>
      <xdr:rowOff>21166</xdr:rowOff>
    </xdr:from>
    <xdr:to>
      <xdr:col>17</xdr:col>
      <xdr:colOff>257175</xdr:colOff>
      <xdr:row>55</xdr:row>
      <xdr:rowOff>56091</xdr:rowOff>
    </xdr:to>
    <xdr:graphicFrame macro="">
      <xdr:nvGraphicFramePr>
        <xdr:cNvPr id="4" name="Wykres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413807</xdr:colOff>
      <xdr:row>39</xdr:row>
      <xdr:rowOff>79375</xdr:rowOff>
    </xdr:from>
    <xdr:to>
      <xdr:col>13</xdr:col>
      <xdr:colOff>109007</xdr:colOff>
      <xdr:row>48</xdr:row>
      <xdr:rowOff>69850</xdr:rowOff>
    </xdr:to>
    <xdr:graphicFrame macro="">
      <xdr:nvGraphicFramePr>
        <xdr:cNvPr id="2" name="Wykres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39</xdr:row>
      <xdr:rowOff>87841</xdr:rowOff>
    </xdr:from>
    <xdr:to>
      <xdr:col>16</xdr:col>
      <xdr:colOff>254636</xdr:colOff>
      <xdr:row>47</xdr:row>
      <xdr:rowOff>21801</xdr:rowOff>
    </xdr:to>
    <xdr:graphicFrame macro="">
      <xdr:nvGraphicFramePr>
        <xdr:cNvPr id="3" name="Wykres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48</xdr:row>
      <xdr:rowOff>105832</xdr:rowOff>
    </xdr:from>
    <xdr:to>
      <xdr:col>17</xdr:col>
      <xdr:colOff>243416</xdr:colOff>
      <xdr:row>56</xdr:row>
      <xdr:rowOff>105833</xdr:rowOff>
    </xdr:to>
    <xdr:graphicFrame macro="">
      <xdr:nvGraphicFramePr>
        <xdr:cNvPr id="4" name="Wykres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413807</xdr:colOff>
      <xdr:row>42</xdr:row>
      <xdr:rowOff>79375</xdr:rowOff>
    </xdr:from>
    <xdr:to>
      <xdr:col>13</xdr:col>
      <xdr:colOff>109007</xdr:colOff>
      <xdr:row>51</xdr:row>
      <xdr:rowOff>69850</xdr:rowOff>
    </xdr:to>
    <xdr:graphicFrame macro="">
      <xdr:nvGraphicFramePr>
        <xdr:cNvPr id="2" name="Wykres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42</xdr:row>
      <xdr:rowOff>87841</xdr:rowOff>
    </xdr:from>
    <xdr:to>
      <xdr:col>16</xdr:col>
      <xdr:colOff>254636</xdr:colOff>
      <xdr:row>50</xdr:row>
      <xdr:rowOff>21801</xdr:rowOff>
    </xdr:to>
    <xdr:graphicFrame macro="">
      <xdr:nvGraphicFramePr>
        <xdr:cNvPr id="3" name="Wykres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51</xdr:row>
      <xdr:rowOff>105832</xdr:rowOff>
    </xdr:from>
    <xdr:to>
      <xdr:col>17</xdr:col>
      <xdr:colOff>243416</xdr:colOff>
      <xdr:row>59</xdr:row>
      <xdr:rowOff>105833</xdr:rowOff>
    </xdr:to>
    <xdr:graphicFrame macro="">
      <xdr:nvGraphicFramePr>
        <xdr:cNvPr id="4" name="Wykres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413807</xdr:colOff>
      <xdr:row>41</xdr:row>
      <xdr:rowOff>79375</xdr:rowOff>
    </xdr:from>
    <xdr:to>
      <xdr:col>13</xdr:col>
      <xdr:colOff>109007</xdr:colOff>
      <xdr:row>50</xdr:row>
      <xdr:rowOff>69850</xdr:rowOff>
    </xdr:to>
    <xdr:graphicFrame macro="">
      <xdr:nvGraphicFramePr>
        <xdr:cNvPr id="2" name="Wykres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41</xdr:row>
      <xdr:rowOff>87841</xdr:rowOff>
    </xdr:from>
    <xdr:to>
      <xdr:col>16</xdr:col>
      <xdr:colOff>254636</xdr:colOff>
      <xdr:row>49</xdr:row>
      <xdr:rowOff>21801</xdr:rowOff>
    </xdr:to>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50</xdr:row>
      <xdr:rowOff>105832</xdr:rowOff>
    </xdr:from>
    <xdr:to>
      <xdr:col>17</xdr:col>
      <xdr:colOff>243416</xdr:colOff>
      <xdr:row>58</xdr:row>
      <xdr:rowOff>105833</xdr:rowOff>
    </xdr:to>
    <xdr:graphicFrame macro="">
      <xdr:nvGraphicFramePr>
        <xdr:cNvPr id="4" name="Wykres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585257</xdr:colOff>
      <xdr:row>43</xdr:row>
      <xdr:rowOff>165100</xdr:rowOff>
    </xdr:from>
    <xdr:to>
      <xdr:col>13</xdr:col>
      <xdr:colOff>280457</xdr:colOff>
      <xdr:row>52</xdr:row>
      <xdr:rowOff>155575</xdr:rowOff>
    </xdr:to>
    <xdr:graphicFrame macro="">
      <xdr:nvGraphicFramePr>
        <xdr:cNvPr id="2" name="Wykres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44</xdr:row>
      <xdr:rowOff>87841</xdr:rowOff>
    </xdr:from>
    <xdr:to>
      <xdr:col>16</xdr:col>
      <xdr:colOff>254636</xdr:colOff>
      <xdr:row>52</xdr:row>
      <xdr:rowOff>21801</xdr:rowOff>
    </xdr:to>
    <xdr:graphicFrame macro="">
      <xdr:nvGraphicFramePr>
        <xdr:cNvPr id="3" name="Wykres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54</xdr:row>
      <xdr:rowOff>153457</xdr:rowOff>
    </xdr:from>
    <xdr:to>
      <xdr:col>17</xdr:col>
      <xdr:colOff>243416</xdr:colOff>
      <xdr:row>62</xdr:row>
      <xdr:rowOff>153458</xdr:rowOff>
    </xdr:to>
    <xdr:graphicFrame macro="">
      <xdr:nvGraphicFramePr>
        <xdr:cNvPr id="4" name="Wykres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585257</xdr:colOff>
      <xdr:row>45</xdr:row>
      <xdr:rowOff>165100</xdr:rowOff>
    </xdr:from>
    <xdr:to>
      <xdr:col>13</xdr:col>
      <xdr:colOff>280457</xdr:colOff>
      <xdr:row>54</xdr:row>
      <xdr:rowOff>155575</xdr:rowOff>
    </xdr:to>
    <xdr:graphicFrame macro="">
      <xdr:nvGraphicFramePr>
        <xdr:cNvPr id="2" name="Wykres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46</xdr:row>
      <xdr:rowOff>87841</xdr:rowOff>
    </xdr:from>
    <xdr:to>
      <xdr:col>16</xdr:col>
      <xdr:colOff>254636</xdr:colOff>
      <xdr:row>54</xdr:row>
      <xdr:rowOff>21801</xdr:rowOff>
    </xdr:to>
    <xdr:graphicFrame macro="">
      <xdr:nvGraphicFramePr>
        <xdr:cNvPr id="3" name="Wykres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56</xdr:row>
      <xdr:rowOff>162982</xdr:rowOff>
    </xdr:from>
    <xdr:to>
      <xdr:col>10</xdr:col>
      <xdr:colOff>481541</xdr:colOff>
      <xdr:row>64</xdr:row>
      <xdr:rowOff>162983</xdr:rowOff>
    </xdr:to>
    <xdr:graphicFrame macro="">
      <xdr:nvGraphicFramePr>
        <xdr:cNvPr id="4" name="Wykres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209550</xdr:colOff>
      <xdr:row>56</xdr:row>
      <xdr:rowOff>171450</xdr:rowOff>
    </xdr:from>
    <xdr:to>
      <xdr:col>17</xdr:col>
      <xdr:colOff>262466</xdr:colOff>
      <xdr:row>64</xdr:row>
      <xdr:rowOff>171451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209550</xdr:colOff>
      <xdr:row>65</xdr:row>
      <xdr:rowOff>66675</xdr:rowOff>
    </xdr:from>
    <xdr:to>
      <xdr:col>17</xdr:col>
      <xdr:colOff>262466</xdr:colOff>
      <xdr:row>74</xdr:row>
      <xdr:rowOff>66676</xdr:rowOff>
    </xdr:to>
    <xdr:graphicFrame macro="">
      <xdr:nvGraphicFramePr>
        <xdr:cNvPr id="6" name="Wykres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585257</xdr:colOff>
      <xdr:row>46</xdr:row>
      <xdr:rowOff>165100</xdr:rowOff>
    </xdr:from>
    <xdr:to>
      <xdr:col>13</xdr:col>
      <xdr:colOff>280457</xdr:colOff>
      <xdr:row>55</xdr:row>
      <xdr:rowOff>155575</xdr:rowOff>
    </xdr:to>
    <xdr:graphicFrame macro="">
      <xdr:nvGraphicFramePr>
        <xdr:cNvPr id="2" name="Wykres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47</xdr:row>
      <xdr:rowOff>87841</xdr:rowOff>
    </xdr:from>
    <xdr:to>
      <xdr:col>16</xdr:col>
      <xdr:colOff>254636</xdr:colOff>
      <xdr:row>55</xdr:row>
      <xdr:rowOff>21801</xdr:rowOff>
    </xdr:to>
    <xdr:graphicFrame macro="">
      <xdr:nvGraphicFramePr>
        <xdr:cNvPr id="3" name="Wykres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57</xdr:row>
      <xdr:rowOff>162982</xdr:rowOff>
    </xdr:from>
    <xdr:to>
      <xdr:col>10</xdr:col>
      <xdr:colOff>481541</xdr:colOff>
      <xdr:row>66</xdr:row>
      <xdr:rowOff>95250</xdr:rowOff>
    </xdr:to>
    <xdr:graphicFrame macro="">
      <xdr:nvGraphicFramePr>
        <xdr:cNvPr id="4" name="Wykres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9525</xdr:rowOff>
    </xdr:from>
    <xdr:to>
      <xdr:col>17</xdr:col>
      <xdr:colOff>466725</xdr:colOff>
      <xdr:row>66</xdr:row>
      <xdr:rowOff>142875</xdr:rowOff>
    </xdr:to>
    <xdr:graphicFrame macro="">
      <xdr:nvGraphicFramePr>
        <xdr:cNvPr id="6" name="Wykres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238125</xdr:colOff>
      <xdr:row>67</xdr:row>
      <xdr:rowOff>114300</xdr:rowOff>
    </xdr:from>
    <xdr:to>
      <xdr:col>17</xdr:col>
      <xdr:colOff>533400</xdr:colOff>
      <xdr:row>77</xdr:row>
      <xdr:rowOff>57150</xdr:rowOff>
    </xdr:to>
    <xdr:graphicFrame macro="">
      <xdr:nvGraphicFramePr>
        <xdr:cNvPr id="7" name="Wykres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9.28515625" style="3" customWidth="1"/>
    <col min="5" max="5" width="10.28515625" style="3" customWidth="1"/>
    <col min="6" max="6" width="13.5703125" style="3" customWidth="1"/>
    <col min="7" max="7" width="8.42578125" style="3" customWidth="1"/>
    <col min="8" max="8" width="5.28515625" style="3" customWidth="1"/>
    <col min="9" max="9" width="16.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9"/>
      <c r="I1" s="20"/>
      <c r="J1" s="20"/>
      <c r="K1" s="20"/>
      <c r="O1" s="3" t="b">
        <f>EXACT(E3,P14)</f>
        <v>1</v>
      </c>
    </row>
    <row r="2" spans="2:24" ht="45" x14ac:dyDescent="0.25">
      <c r="B2" s="63" t="s">
        <v>171</v>
      </c>
      <c r="C2" s="63" t="s">
        <v>172</v>
      </c>
      <c r="D2" s="63" t="s">
        <v>3465</v>
      </c>
      <c r="E2" s="63" t="s">
        <v>4476</v>
      </c>
      <c r="F2" s="63" t="s">
        <v>3467</v>
      </c>
      <c r="H2" s="1" t="s">
        <v>3466</v>
      </c>
      <c r="N2" s="12">
        <v>1</v>
      </c>
      <c r="O2" s="11" t="s">
        <v>170</v>
      </c>
      <c r="P2" s="12">
        <f>SUM(D47)</f>
        <v>73</v>
      </c>
    </row>
    <row r="3" spans="2:24" x14ac:dyDescent="0.25">
      <c r="B3" s="107" t="s">
        <v>3515</v>
      </c>
      <c r="C3" s="106" t="s">
        <v>3460</v>
      </c>
      <c r="D3" s="105">
        <v>563</v>
      </c>
      <c r="E3" s="105">
        <v>523</v>
      </c>
      <c r="F3" s="107" t="s">
        <v>13059</v>
      </c>
      <c r="H3" s="16" t="s">
        <v>3462</v>
      </c>
      <c r="I3" s="16" t="s">
        <v>3465</v>
      </c>
      <c r="J3" s="16" t="s">
        <v>3514</v>
      </c>
      <c r="N3" s="12">
        <v>2</v>
      </c>
      <c r="O3" s="11" t="s">
        <v>2</v>
      </c>
      <c r="P3" s="12">
        <f>SUM(G33)</f>
        <v>64</v>
      </c>
    </row>
    <row r="4" spans="2:24" x14ac:dyDescent="0.25">
      <c r="B4" s="12" t="s">
        <v>3516</v>
      </c>
      <c r="C4" s="17" t="s">
        <v>3459</v>
      </c>
      <c r="D4" s="26">
        <v>466</v>
      </c>
      <c r="E4" s="26">
        <v>477</v>
      </c>
      <c r="F4" s="12"/>
      <c r="H4" s="11" t="s">
        <v>3463</v>
      </c>
      <c r="I4" s="12">
        <f>COUNTIF(IIp.16!E2:E700,"praca")</f>
        <v>200</v>
      </c>
      <c r="J4" s="12" t="s">
        <v>3515</v>
      </c>
      <c r="N4" s="12">
        <v>3</v>
      </c>
      <c r="O4" s="11" t="s">
        <v>3</v>
      </c>
      <c r="P4" s="12">
        <f>SUM(J31)</f>
        <v>33</v>
      </c>
    </row>
    <row r="5" spans="2:24" x14ac:dyDescent="0.25">
      <c r="B5" s="12" t="s">
        <v>3517</v>
      </c>
      <c r="C5" s="17" t="s">
        <v>3458</v>
      </c>
      <c r="D5" s="26">
        <v>365</v>
      </c>
      <c r="E5" s="26">
        <v>386</v>
      </c>
      <c r="F5" s="12"/>
      <c r="H5" s="11" t="s">
        <v>192</v>
      </c>
      <c r="I5" s="12">
        <f>COUNTIF(IIp.16!E2:E700,"pracuj.pl")</f>
        <v>260</v>
      </c>
      <c r="J5" s="12" t="s">
        <v>3516</v>
      </c>
      <c r="N5" s="12">
        <v>4</v>
      </c>
      <c r="O5" s="11" t="s">
        <v>3589</v>
      </c>
      <c r="P5" s="12">
        <f>SUM(M24)</f>
        <v>108</v>
      </c>
    </row>
    <row r="6" spans="2:24" x14ac:dyDescent="0.25">
      <c r="B6" s="12" t="s">
        <v>3518</v>
      </c>
      <c r="C6" s="17" t="s">
        <v>3457</v>
      </c>
      <c r="D6" s="26">
        <v>461</v>
      </c>
      <c r="E6" s="26">
        <v>444</v>
      </c>
      <c r="F6" s="12"/>
      <c r="H6" s="11" t="s">
        <v>217</v>
      </c>
      <c r="I6" s="12">
        <f>COUNTIF(IIp.16!E2:E700,"agora")</f>
        <v>60</v>
      </c>
      <c r="J6" s="12" t="s">
        <v>3517</v>
      </c>
      <c r="N6" s="12">
        <v>5</v>
      </c>
      <c r="O6" s="11" t="s">
        <v>13096</v>
      </c>
      <c r="P6" s="16">
        <f>SUM(P23)</f>
        <v>188</v>
      </c>
    </row>
    <row r="7" spans="2:24" x14ac:dyDescent="0.25">
      <c r="B7" s="12" t="s">
        <v>13071</v>
      </c>
      <c r="C7" s="17" t="s">
        <v>173</v>
      </c>
      <c r="D7" s="26">
        <v>720</v>
      </c>
      <c r="E7" s="26">
        <v>704</v>
      </c>
      <c r="F7" s="12"/>
      <c r="H7" s="11" t="s">
        <v>3464</v>
      </c>
      <c r="I7" s="12">
        <f>COUNTIF(IIp.16!E2:E700,"gratka")</f>
        <v>43</v>
      </c>
      <c r="J7" s="12" t="s">
        <v>3518</v>
      </c>
      <c r="N7" s="12">
        <v>6</v>
      </c>
      <c r="O7" s="11" t="s">
        <v>134</v>
      </c>
      <c r="P7" s="12">
        <f>SUM(P28)</f>
        <v>1</v>
      </c>
    </row>
    <row r="8" spans="2:24" x14ac:dyDescent="0.25">
      <c r="B8" s="12">
        <v>1</v>
      </c>
      <c r="C8" s="17" t="s">
        <v>175</v>
      </c>
      <c r="D8" s="26">
        <v>86</v>
      </c>
      <c r="E8" s="26">
        <v>122</v>
      </c>
      <c r="F8" s="12"/>
      <c r="H8" s="182"/>
      <c r="I8" s="182">
        <f>SUM(I4:I7)</f>
        <v>563</v>
      </c>
      <c r="J8" s="182"/>
      <c r="N8" s="12">
        <v>7</v>
      </c>
      <c r="O8" s="11" t="s">
        <v>3590</v>
      </c>
      <c r="P8" s="12">
        <f>SUM(P34)</f>
        <v>0</v>
      </c>
    </row>
    <row r="9" spans="2:24" x14ac:dyDescent="0.25">
      <c r="B9" s="12">
        <v>2</v>
      </c>
      <c r="C9" s="17" t="s">
        <v>174</v>
      </c>
      <c r="D9" s="26">
        <v>377</v>
      </c>
      <c r="E9" s="26">
        <v>410</v>
      </c>
      <c r="F9" s="12"/>
      <c r="H9" s="1" t="s">
        <v>3570</v>
      </c>
      <c r="N9" s="12">
        <v>8</v>
      </c>
      <c r="O9" s="11" t="s">
        <v>4</v>
      </c>
      <c r="P9" s="12">
        <f>SUM(S21)</f>
        <v>20</v>
      </c>
    </row>
    <row r="10" spans="2:24" x14ac:dyDescent="0.25">
      <c r="B10" s="12" t="s">
        <v>13072</v>
      </c>
      <c r="C10" s="17" t="s">
        <v>3486</v>
      </c>
      <c r="D10" s="26">
        <f>SUM(D8:D9)</f>
        <v>463</v>
      </c>
      <c r="E10" s="26">
        <f>SUM(E8:E9)</f>
        <v>532</v>
      </c>
      <c r="F10" s="12"/>
      <c r="H10" s="11" t="s">
        <v>3469</v>
      </c>
      <c r="I10" s="11" t="s">
        <v>3568</v>
      </c>
      <c r="J10" s="12">
        <f>SUM(D47,G33,J31)</f>
        <v>170</v>
      </c>
      <c r="N10" s="12">
        <v>9</v>
      </c>
      <c r="O10" s="11" t="s">
        <v>3591</v>
      </c>
      <c r="P10" s="12">
        <f>SUM(V21)</f>
        <v>19</v>
      </c>
    </row>
    <row r="11" spans="2:24" x14ac:dyDescent="0.25">
      <c r="B11" s="12">
        <v>3</v>
      </c>
      <c r="C11" s="17" t="s">
        <v>3481</v>
      </c>
      <c r="D11" s="12">
        <v>180</v>
      </c>
      <c r="E11" s="12">
        <v>231</v>
      </c>
      <c r="F11" s="12"/>
      <c r="H11" s="11" t="s">
        <v>3470</v>
      </c>
      <c r="I11" s="11" t="s">
        <v>3566</v>
      </c>
      <c r="J11" s="12">
        <f>SUM(M24,P23,P28,P34,S21)</f>
        <v>317</v>
      </c>
      <c r="N11" s="12">
        <v>10</v>
      </c>
      <c r="O11" s="11" t="s">
        <v>0</v>
      </c>
      <c r="P11" s="12">
        <f>SUM(V27)</f>
        <v>2</v>
      </c>
    </row>
    <row r="12" spans="2:24" x14ac:dyDescent="0.25">
      <c r="B12" s="12">
        <v>4</v>
      </c>
      <c r="C12" s="17" t="s">
        <v>3482</v>
      </c>
      <c r="D12" s="12">
        <v>361</v>
      </c>
      <c r="E12" s="12">
        <v>378</v>
      </c>
      <c r="F12" s="12"/>
      <c r="H12" s="11" t="s">
        <v>3471</v>
      </c>
      <c r="I12" s="11" t="s">
        <v>3567</v>
      </c>
      <c r="J12" s="12">
        <f>SUM(V21,V27)</f>
        <v>21</v>
      </c>
      <c r="N12" s="12">
        <v>11</v>
      </c>
      <c r="O12" s="11" t="s">
        <v>6</v>
      </c>
      <c r="P12" s="12">
        <f>SUM(Y20)</f>
        <v>2</v>
      </c>
    </row>
    <row r="13" spans="2:24" x14ac:dyDescent="0.25">
      <c r="B13" s="12" t="s">
        <v>13073</v>
      </c>
      <c r="C13" s="17" t="s">
        <v>3487</v>
      </c>
      <c r="D13" s="26">
        <f>SUM(D11:D12)</f>
        <v>541</v>
      </c>
      <c r="E13" s="26">
        <f>SUM(E11:E12)</f>
        <v>609</v>
      </c>
      <c r="F13" s="12"/>
      <c r="H13" s="11" t="s">
        <v>3472</v>
      </c>
      <c r="I13" s="11" t="s">
        <v>6</v>
      </c>
      <c r="J13" s="12">
        <f>SUM(Y20)</f>
        <v>2</v>
      </c>
      <c r="N13" s="12">
        <v>12</v>
      </c>
      <c r="O13" s="17" t="s">
        <v>3574</v>
      </c>
      <c r="P13" s="12">
        <f>SUM(Y30)</f>
        <v>13</v>
      </c>
    </row>
    <row r="14" spans="2:24" x14ac:dyDescent="0.25">
      <c r="H14" s="11" t="s">
        <v>3473</v>
      </c>
      <c r="I14" s="11" t="s">
        <v>3574</v>
      </c>
      <c r="J14" s="12">
        <f>SUM(Y30)</f>
        <v>13</v>
      </c>
      <c r="P14" s="2">
        <f>SUM(P2:P13)</f>
        <v>523</v>
      </c>
    </row>
    <row r="15" spans="2:24" x14ac:dyDescent="0.25">
      <c r="B15" s="18"/>
      <c r="C15" s="89"/>
      <c r="D15" s="135"/>
      <c r="E15" s="135"/>
      <c r="F15" s="20"/>
      <c r="H15" s="181"/>
      <c r="I15" s="181"/>
      <c r="J15" s="180">
        <f>SUM(J10:J14)</f>
        <v>523</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SUMIF(IIp.16!M2:M564,"2141*",IIp.16!F2:F564)</f>
        <v>9</v>
      </c>
      <c r="E18" s="108">
        <v>2113</v>
      </c>
      <c r="F18" s="11" t="s">
        <v>3491</v>
      </c>
      <c r="G18" s="16">
        <f>SUMIF(IIp.16!M2:M564,"2113*",IIp.16!F2:F564)</f>
        <v>0</v>
      </c>
      <c r="H18" s="122">
        <v>2142</v>
      </c>
      <c r="I18" s="11" t="s">
        <v>3494</v>
      </c>
      <c r="J18" s="16">
        <f>SUMIF(IIp.16!M2:M564,"2142*",IIp.16!F2:F564)</f>
        <v>6</v>
      </c>
      <c r="K18" s="123">
        <v>315</v>
      </c>
      <c r="L18" s="11" t="s">
        <v>3532</v>
      </c>
      <c r="M18" s="112">
        <f>SUMIF(IIp.16!M2:M564,"315*",IIp.16!F2:F564)</f>
        <v>1</v>
      </c>
      <c r="N18" s="108">
        <v>2166</v>
      </c>
      <c r="O18" s="11" t="s">
        <v>3510</v>
      </c>
      <c r="P18" s="95">
        <f>SUMIF(IIp.16!M2:M564,"2166*",IIp.16!F2:F564)</f>
        <v>1</v>
      </c>
      <c r="Q18" s="118">
        <v>22</v>
      </c>
      <c r="R18" s="11" t="s">
        <v>3511</v>
      </c>
      <c r="S18" s="96">
        <f>SUMIF(IIp.16!M2:M564,"22*",IIp.16!F2:F564)</f>
        <v>10</v>
      </c>
      <c r="T18" s="118">
        <v>23</v>
      </c>
      <c r="U18" s="11" t="s">
        <v>3512</v>
      </c>
      <c r="V18" s="91">
        <f>SUMIF(IIp.16!M2:M564,"23*",IIp.16!F2:F564)</f>
        <v>3</v>
      </c>
      <c r="W18" s="131">
        <v>7549</v>
      </c>
      <c r="X18" s="11" t="s">
        <v>3561</v>
      </c>
      <c r="Y18" s="97">
        <f>SUMIF(IIp.16!M2:M564,"7549*",IIp.16!F2:F564)</f>
        <v>0</v>
      </c>
    </row>
    <row r="19" spans="2:25" x14ac:dyDescent="0.25">
      <c r="B19" s="108">
        <v>2132</v>
      </c>
      <c r="C19" s="11" t="s">
        <v>3493</v>
      </c>
      <c r="D19" s="16">
        <f>SUMIF(IIp.16!M2:M564,"2132*",IIp.16!F2:F564)</f>
        <v>1</v>
      </c>
      <c r="E19" s="108">
        <v>2145</v>
      </c>
      <c r="F19" s="11" t="s">
        <v>3496</v>
      </c>
      <c r="G19" s="16">
        <f>SUMIF(IIp.16!M2:M564,"2145*",IIp.16!F2:F564)</f>
        <v>2</v>
      </c>
      <c r="H19" s="122">
        <v>2143</v>
      </c>
      <c r="I19" s="11" t="s">
        <v>93</v>
      </c>
      <c r="J19" s="16">
        <f>SUMIF(IIp.16!M2:M564,"2143*",IIp.16!F2:F564)</f>
        <v>2</v>
      </c>
      <c r="K19" s="117">
        <v>42</v>
      </c>
      <c r="L19" s="11" t="s">
        <v>3537</v>
      </c>
      <c r="M19" s="112">
        <f>SUMIF(IIp.16!M2:M564,"42*",IIp.16!F2:F564)</f>
        <v>4</v>
      </c>
      <c r="N19" s="118">
        <v>24</v>
      </c>
      <c r="O19" s="11" t="s">
        <v>3571</v>
      </c>
      <c r="P19" s="95">
        <f>SUMIF(IIp.16!M2:M564,"24*",IIp.16!F2:F564)</f>
        <v>87</v>
      </c>
      <c r="Q19" s="125">
        <v>32</v>
      </c>
      <c r="R19" s="11" t="s">
        <v>3533</v>
      </c>
      <c r="S19" s="96">
        <f>SUMIF(IIp.16!M2:M564,"32*",IIp.16!F2:F564)</f>
        <v>9</v>
      </c>
      <c r="T19" s="118">
        <v>26</v>
      </c>
      <c r="U19" s="11" t="s">
        <v>3572</v>
      </c>
      <c r="V19" s="91">
        <f>SUMIF(IIp.16!M2:M564,"26*",IIp.16!F2:F564)</f>
        <v>14</v>
      </c>
      <c r="W19" s="119">
        <v>9</v>
      </c>
      <c r="X19" s="11" t="s">
        <v>3565</v>
      </c>
      <c r="Y19" s="97">
        <f>SUMIF(IIp.16!M2:M564,"9*",IIp.16!F2:F564)</f>
        <v>2</v>
      </c>
    </row>
    <row r="20" spans="2:25" x14ac:dyDescent="0.25">
      <c r="B20" s="108">
        <v>2146</v>
      </c>
      <c r="C20" s="11" t="s">
        <v>3497</v>
      </c>
      <c r="D20" s="16">
        <f>SUMIF(IIp.16!M2:M564,"2146*",IIp.16!F2:F564)</f>
        <v>1</v>
      </c>
      <c r="E20" s="108">
        <v>2131</v>
      </c>
      <c r="F20" s="11" t="s">
        <v>3492</v>
      </c>
      <c r="G20" s="16">
        <f>SUMIF(IIp.16!M2:M564,"2131*",IIp.16!F2:F564)</f>
        <v>1</v>
      </c>
      <c r="H20" s="122">
        <v>2161</v>
      </c>
      <c r="I20" s="11" t="s">
        <v>3507</v>
      </c>
      <c r="J20" s="16">
        <f>SUMIF(IIp.16!M2:M564,"2161*",IIp.16!F2:F564)</f>
        <v>0</v>
      </c>
      <c r="K20" s="117">
        <v>43</v>
      </c>
      <c r="L20" s="11" t="s">
        <v>3538</v>
      </c>
      <c r="M20" s="112">
        <f>SUMIF(IIp.16!M2:M564,"43*",IIp.16!F2:F564)</f>
        <v>12</v>
      </c>
      <c r="N20" s="125">
        <v>33</v>
      </c>
      <c r="O20" s="11" t="s">
        <v>3534</v>
      </c>
      <c r="P20" s="95">
        <f>SUMIF(IIp.16!M2:M564,"33*",IIp.16!F2:F564)</f>
        <v>81</v>
      </c>
      <c r="Q20" s="127">
        <v>53</v>
      </c>
      <c r="R20" s="11" t="s">
        <v>3542</v>
      </c>
      <c r="S20" s="96">
        <f>SUMIF(IIp.16!M2:M564,"53*",IIp.16!F2:F564)</f>
        <v>1</v>
      </c>
      <c r="T20" s="125">
        <v>34</v>
      </c>
      <c r="U20" s="11" t="s">
        <v>3535</v>
      </c>
      <c r="V20" s="91">
        <f>SUMIF(IIp.16!M2:M564,"34*",IIp.16!F2:F564)</f>
        <v>2</v>
      </c>
      <c r="W20" s="37"/>
      <c r="Y20" s="2">
        <f>SUM(Y18:Y19)</f>
        <v>2</v>
      </c>
    </row>
    <row r="21" spans="2:25" x14ac:dyDescent="0.25">
      <c r="B21" s="121">
        <v>3113</v>
      </c>
      <c r="C21" s="11" t="s">
        <v>3520</v>
      </c>
      <c r="D21" s="16">
        <f>SUMIF(IIp.16!M2:M564,"3113*",IIp.16!F2:F564)</f>
        <v>4</v>
      </c>
      <c r="E21" s="108">
        <v>2144</v>
      </c>
      <c r="F21" s="11" t="s">
        <v>3495</v>
      </c>
      <c r="G21" s="16">
        <f>SUMIF(IIp.16!M2:M564,"2144*",IIp.16!F2:F564)</f>
        <v>11</v>
      </c>
      <c r="H21" s="122">
        <v>2162</v>
      </c>
      <c r="I21" s="11" t="s">
        <v>3508</v>
      </c>
      <c r="J21" s="16">
        <f>SUMIF(IIp.16!M2:M564,"2162*",IIp.16!F2:F564)</f>
        <v>0</v>
      </c>
      <c r="K21" s="128">
        <v>52</v>
      </c>
      <c r="L21" s="11" t="s">
        <v>3541</v>
      </c>
      <c r="M21" s="112">
        <f>SUMIF(IIp.16!M2:M564,"52*",IIp.16!F2:F564)</f>
        <v>56</v>
      </c>
      <c r="N21" s="127">
        <v>51</v>
      </c>
      <c r="O21" s="11" t="s">
        <v>3540</v>
      </c>
      <c r="P21" s="95">
        <f>SUMIF(IIp.16!M2:M564,"51*",IIp.16!F2:F564)</f>
        <v>3</v>
      </c>
      <c r="Q21" s="37"/>
      <c r="S21" s="2">
        <f>SUM(S18:S20)</f>
        <v>20</v>
      </c>
      <c r="V21" s="2">
        <f>SUM(V18:V20)</f>
        <v>19</v>
      </c>
      <c r="W21" s="37"/>
    </row>
    <row r="22" spans="2:25" x14ac:dyDescent="0.25">
      <c r="B22" s="121">
        <v>3114</v>
      </c>
      <c r="C22" s="11" t="s">
        <v>3521</v>
      </c>
      <c r="D22" s="16">
        <f>SUMIF(IIp.16!M2:M564,"3114*",IIp.16!F2:F564)</f>
        <v>1</v>
      </c>
      <c r="E22" s="108">
        <v>2149</v>
      </c>
      <c r="F22" s="11" t="s">
        <v>3498</v>
      </c>
      <c r="G22" s="16">
        <f>SUMIF(IIp.16!M2:M564,"2149*",IIp.16!F2:F564)</f>
        <v>12</v>
      </c>
      <c r="H22" s="108">
        <v>2164</v>
      </c>
      <c r="I22" s="11" t="s">
        <v>3585</v>
      </c>
      <c r="J22" s="16">
        <f>SUMIF(IIp.16!M2:M564,"2164*",IIp.16!F2:F564)</f>
        <v>0</v>
      </c>
      <c r="K22" s="133">
        <v>83</v>
      </c>
      <c r="L22" s="11" t="s">
        <v>3564</v>
      </c>
      <c r="M22" s="112">
        <f>SUMIF(IIp.16!M2:M564,"83*",IIp.16!F2:F564)</f>
        <v>9</v>
      </c>
      <c r="N22" s="120">
        <v>14</v>
      </c>
      <c r="O22" s="11" t="s">
        <v>3578</v>
      </c>
      <c r="P22" s="95">
        <f>SUMIF(IIp.16!M2:M564,"14*",IIp.16!F2:F564)</f>
        <v>16</v>
      </c>
      <c r="Q22" s="37"/>
      <c r="T22" s="1" t="s">
        <v>0</v>
      </c>
      <c r="U22" s="94"/>
      <c r="V22" s="20"/>
      <c r="W22" s="37" t="s">
        <v>3574</v>
      </c>
    </row>
    <row r="23" spans="2:25" x14ac:dyDescent="0.25">
      <c r="B23" s="121">
        <v>3115</v>
      </c>
      <c r="C23" s="11" t="s">
        <v>3522</v>
      </c>
      <c r="D23" s="16">
        <f>SUMIF(IIp.16!M2:M564,"3115*",IIp.16!F2:F564)</f>
        <v>4</v>
      </c>
      <c r="E23" s="109">
        <v>2149</v>
      </c>
      <c r="F23" s="11" t="s">
        <v>3499</v>
      </c>
      <c r="G23" s="104" t="s">
        <v>3573</v>
      </c>
      <c r="H23" s="122">
        <v>2165</v>
      </c>
      <c r="I23" s="11" t="s">
        <v>3509</v>
      </c>
      <c r="J23" s="16">
        <f>SUMIF(IIp.16!M2:M564,"2165*",IIp.16!F2:F564)</f>
        <v>1</v>
      </c>
      <c r="K23" s="120">
        <v>12</v>
      </c>
      <c r="L23" s="11" t="s">
        <v>3576</v>
      </c>
      <c r="M23" s="112">
        <f>SUMIF(IIp.16!M2:M564,"12*",IIp.16!F2:F564)</f>
        <v>26</v>
      </c>
      <c r="P23" s="18">
        <f>SUM(P18:P22)</f>
        <v>188</v>
      </c>
      <c r="Q23" s="37"/>
      <c r="T23" s="98"/>
      <c r="U23" s="99"/>
      <c r="V23" s="92"/>
      <c r="W23" s="110"/>
      <c r="X23" s="111"/>
    </row>
    <row r="24" spans="2:25" x14ac:dyDescent="0.25">
      <c r="B24" s="121">
        <v>3116</v>
      </c>
      <c r="C24" s="11" t="s">
        <v>3523</v>
      </c>
      <c r="D24" s="16">
        <f>SUMIF(IIp.16!M2:M564,"3116*",IIp.16!F2:F564)</f>
        <v>1</v>
      </c>
      <c r="E24" s="109">
        <v>2149</v>
      </c>
      <c r="F24" s="11" t="s">
        <v>3500</v>
      </c>
      <c r="G24" s="104" t="s">
        <v>3573</v>
      </c>
      <c r="H24" s="126">
        <v>3111</v>
      </c>
      <c r="I24" s="11" t="s">
        <v>3587</v>
      </c>
      <c r="J24" s="16">
        <f>SUMIF(IIp.16!M2:M564,"3111*",IIp.16!F2:F564)</f>
        <v>0</v>
      </c>
      <c r="K24" s="89"/>
      <c r="L24" s="20"/>
      <c r="M24" s="90">
        <f>SUM(M18:M23)</f>
        <v>108</v>
      </c>
      <c r="Q24" s="37"/>
      <c r="T24" s="116">
        <v>41</v>
      </c>
      <c r="U24" s="11" t="s">
        <v>3592</v>
      </c>
      <c r="V24" s="91">
        <f>SUMIF(IIp.16!M2:M564,"41*",IIp.16!F2:F564)</f>
        <v>2</v>
      </c>
      <c r="W24" s="120">
        <v>11</v>
      </c>
      <c r="X24" s="11" t="s">
        <v>3575</v>
      </c>
      <c r="Y24" s="115">
        <f>SUMIF(IIp.16!M2:M564,"11*",IIp.16!F2:F564)</f>
        <v>11</v>
      </c>
    </row>
    <row r="25" spans="2:25" x14ac:dyDescent="0.25">
      <c r="B25" s="121">
        <v>3117</v>
      </c>
      <c r="C25" s="11" t="s">
        <v>3524</v>
      </c>
      <c r="D25" s="16">
        <f>SUMIF(IIp.16!M2:M564,"3117*",IIp.16!F2:F564)</f>
        <v>1</v>
      </c>
      <c r="E25" s="109">
        <v>2149</v>
      </c>
      <c r="F25" s="11" t="s">
        <v>3501</v>
      </c>
      <c r="G25" s="104" t="s">
        <v>3573</v>
      </c>
      <c r="H25" s="126">
        <v>3112</v>
      </c>
      <c r="I25" s="11" t="s">
        <v>3519</v>
      </c>
      <c r="J25" s="16">
        <f>SUMIF(IIp.16!M2:M564,"3112*",IIp.16!F2:F564)</f>
        <v>4</v>
      </c>
      <c r="K25" s="89"/>
      <c r="L25" s="20"/>
      <c r="M25" s="20"/>
      <c r="N25" s="100" t="s">
        <v>134</v>
      </c>
      <c r="O25" s="93"/>
      <c r="Q25" s="37"/>
      <c r="T25" s="116">
        <v>44</v>
      </c>
      <c r="U25" s="11" t="s">
        <v>3539</v>
      </c>
      <c r="V25" s="91">
        <f>SUMIF(IIp.16!M2:M564,"44*",IIp.16!F2:F564)</f>
        <v>0</v>
      </c>
      <c r="W25" s="108">
        <v>2111</v>
      </c>
      <c r="X25" s="11" t="s">
        <v>3580</v>
      </c>
      <c r="Y25" s="115">
        <f>SUMIF(IIp.16!M2:M564,"2111*",IIp.16!F2:F564)</f>
        <v>0</v>
      </c>
    </row>
    <row r="26" spans="2:25" x14ac:dyDescent="0.25">
      <c r="B26" s="121">
        <v>3119</v>
      </c>
      <c r="C26" s="11" t="s">
        <v>3526</v>
      </c>
      <c r="D26" s="16">
        <f>SUMIF(IIp.16!M2:M564,"3119*",IIp.16!F2:F564)</f>
        <v>6</v>
      </c>
      <c r="E26" s="109">
        <v>2149</v>
      </c>
      <c r="F26" s="11" t="s">
        <v>3502</v>
      </c>
      <c r="G26" s="104" t="s">
        <v>3573</v>
      </c>
      <c r="H26" s="126">
        <v>3118</v>
      </c>
      <c r="I26" s="11" t="s">
        <v>3525</v>
      </c>
      <c r="J26" s="16">
        <f>SUMIF(IIp.16!M2:M564,"3118*",IIp.16!F2:F564)</f>
        <v>1</v>
      </c>
      <c r="K26" s="89"/>
      <c r="L26" s="20"/>
      <c r="M26" s="20"/>
      <c r="N26" s="6"/>
      <c r="O26" s="7"/>
      <c r="Q26" s="37"/>
      <c r="T26" s="131">
        <v>7515</v>
      </c>
      <c r="U26" s="11" t="s">
        <v>3552</v>
      </c>
      <c r="V26" s="91">
        <f>SUMIF(IIp.16!M2:M564,"7515*",IIp.16!F2:F564)</f>
        <v>0</v>
      </c>
      <c r="W26" s="108">
        <v>2112</v>
      </c>
      <c r="X26" s="11" t="s">
        <v>3581</v>
      </c>
      <c r="Y26" s="115">
        <f>SUMIF(IIp.16!M2:M564,"2112*",IIp.16!F2:F564)</f>
        <v>0</v>
      </c>
    </row>
    <row r="27" spans="2:25" x14ac:dyDescent="0.25">
      <c r="B27" s="121">
        <v>3121</v>
      </c>
      <c r="C27" s="11" t="s">
        <v>3527</v>
      </c>
      <c r="D27" s="16">
        <f>SUMIF(IIp.16!M2:M564,"3121*",IIp.16!F2:F564)</f>
        <v>0</v>
      </c>
      <c r="E27" s="109">
        <v>2149</v>
      </c>
      <c r="F27" s="11" t="s">
        <v>3503</v>
      </c>
      <c r="G27" s="104" t="s">
        <v>3573</v>
      </c>
      <c r="H27" s="126">
        <v>3123</v>
      </c>
      <c r="I27" s="11" t="s">
        <v>3529</v>
      </c>
      <c r="J27" s="16">
        <f>SUMIF(IIp.16!M2:M564,"3123*",IIp.16!F2:F564)</f>
        <v>0</v>
      </c>
      <c r="K27" s="89"/>
      <c r="L27" s="20"/>
      <c r="N27" s="131">
        <v>7512</v>
      </c>
      <c r="O27" s="11" t="s">
        <v>3549</v>
      </c>
      <c r="P27" s="95">
        <f>SUMIF(IIp.16!M2:M564,"7512*",IIp.16!F2:F564)</f>
        <v>1</v>
      </c>
      <c r="Q27" s="37"/>
      <c r="T27" s="37"/>
      <c r="V27" s="2">
        <f>SUM(V24:V26)</f>
        <v>2</v>
      </c>
      <c r="W27" s="108">
        <v>2114</v>
      </c>
      <c r="X27" s="11" t="s">
        <v>3582</v>
      </c>
      <c r="Y27" s="115">
        <f>SUMIF(IIp.16!M2:M564,"2114*",IIp.16!F2:F564)</f>
        <v>0</v>
      </c>
    </row>
    <row r="28" spans="2:25" x14ac:dyDescent="0.25">
      <c r="B28" s="121">
        <v>3122</v>
      </c>
      <c r="C28" s="11" t="s">
        <v>3528</v>
      </c>
      <c r="D28" s="16">
        <f>SUMIF(IIp.16!M2:M564,"3122*",IIp.16!F2:F564)</f>
        <v>1</v>
      </c>
      <c r="E28" s="108">
        <v>2151</v>
      </c>
      <c r="F28" s="11" t="s">
        <v>3504</v>
      </c>
      <c r="G28" s="16">
        <f>SUMIF(IIp.16!M2:M564,"2151*",IIp.16!F2:F564)</f>
        <v>2</v>
      </c>
      <c r="H28" s="129">
        <v>71</v>
      </c>
      <c r="I28" s="11" t="s">
        <v>3544</v>
      </c>
      <c r="J28" s="16">
        <f>SUMIF(IIp.16!M2:M564,"71*",IIp.16!F2:F564)</f>
        <v>19</v>
      </c>
      <c r="K28" s="89"/>
      <c r="L28" s="20"/>
      <c r="M28" s="20"/>
      <c r="P28" s="18">
        <f>SUM(P27)</f>
        <v>1</v>
      </c>
      <c r="Q28" s="37"/>
      <c r="T28" s="37"/>
      <c r="W28" s="108">
        <v>2120</v>
      </c>
      <c r="X28" s="11" t="s">
        <v>3583</v>
      </c>
      <c r="Y28" s="115">
        <f>SUMIF(IIp.16!M2:M564,"2120*",IIp.16!F2:F564)</f>
        <v>2</v>
      </c>
    </row>
    <row r="29" spans="2:25" x14ac:dyDescent="0.25">
      <c r="B29" s="124">
        <v>313</v>
      </c>
      <c r="C29" s="11" t="s">
        <v>3530</v>
      </c>
      <c r="D29" s="16">
        <f>SUMIF(IIp.16!M2:M564,"313*",IIp.16!F2:F564)</f>
        <v>5</v>
      </c>
      <c r="E29" s="108">
        <v>2152</v>
      </c>
      <c r="F29" s="11" t="s">
        <v>3505</v>
      </c>
      <c r="G29" s="16">
        <f>SUMIF(IIp.16!M2:M564,"2152*",IIp.16!F2:F564)</f>
        <v>2</v>
      </c>
      <c r="H29" s="132">
        <v>7521</v>
      </c>
      <c r="I29" s="11" t="s">
        <v>3553</v>
      </c>
      <c r="J29" s="16">
        <f>SUMIF(IIp.16!M2:M564,"7521*",IIp.16!F2:F564)</f>
        <v>0</v>
      </c>
      <c r="K29" s="89"/>
      <c r="L29" s="20"/>
      <c r="M29" s="20"/>
      <c r="N29" s="94" t="s">
        <v>154</v>
      </c>
      <c r="O29" s="94"/>
      <c r="P29" s="18"/>
      <c r="T29" s="37"/>
      <c r="W29" s="119">
        <v>0</v>
      </c>
      <c r="X29" s="11" t="s">
        <v>3586</v>
      </c>
      <c r="Y29" s="115">
        <f>SUMIF(IIp.16!M2:M564,"0*",IIp.16!F2:F564)</f>
        <v>0</v>
      </c>
    </row>
    <row r="30" spans="2:25" x14ac:dyDescent="0.25">
      <c r="B30" s="124">
        <v>314</v>
      </c>
      <c r="C30" s="11" t="s">
        <v>3531</v>
      </c>
      <c r="D30" s="16">
        <f>SUMIF(IIp.16!M2:M564,"314*",IIp.16!F2:F564)</f>
        <v>2</v>
      </c>
      <c r="E30" s="108">
        <v>2153</v>
      </c>
      <c r="F30" s="11" t="s">
        <v>3506</v>
      </c>
      <c r="G30" s="16">
        <f>SUMIF(IIp.16!M2:M564,"2153*",IIp.16!F2:F564)</f>
        <v>1</v>
      </c>
      <c r="H30" s="132">
        <v>7522</v>
      </c>
      <c r="I30" s="11" t="s">
        <v>3554</v>
      </c>
      <c r="J30" s="16">
        <f>SUMIF(IIp.16!M2:M564,"7522*",IIp.16!F2:F564)</f>
        <v>0</v>
      </c>
      <c r="K30" s="89"/>
      <c r="L30" s="20"/>
      <c r="M30" s="20"/>
      <c r="N30" s="6"/>
      <c r="O30" s="7"/>
      <c r="P30" s="92"/>
      <c r="Y30" s="2">
        <f>SUM(Y24:Y29)</f>
        <v>13</v>
      </c>
    </row>
    <row r="31" spans="2:25" x14ac:dyDescent="0.25">
      <c r="B31" s="125">
        <v>35</v>
      </c>
      <c r="C31" s="11" t="s">
        <v>3536</v>
      </c>
      <c r="D31" s="16">
        <f>SUMIF(IIp.16!M2:M564,"35*",IIp.16!F2:F564)</f>
        <v>2</v>
      </c>
      <c r="E31" s="118">
        <v>25</v>
      </c>
      <c r="F31" s="11" t="s">
        <v>3513</v>
      </c>
      <c r="G31" s="16">
        <f>SUMIF(IIp.16!M2:M564,"25*",IIp.16!F2:F564)</f>
        <v>29</v>
      </c>
      <c r="J31" s="18">
        <f>SUM(J18:J30)</f>
        <v>33</v>
      </c>
      <c r="K31" s="89"/>
      <c r="L31" s="20"/>
      <c r="M31" s="20"/>
      <c r="N31" s="131">
        <v>753</v>
      </c>
      <c r="O31" s="11" t="s">
        <v>3556</v>
      </c>
      <c r="P31" s="95">
        <f>SUMIF(IIp.16!M2:M564,"753*",IIp.16!F2:F564)</f>
        <v>0</v>
      </c>
    </row>
    <row r="32" spans="2:25" x14ac:dyDescent="0.25">
      <c r="B32" s="119">
        <v>6</v>
      </c>
      <c r="C32" s="11" t="s">
        <v>3543</v>
      </c>
      <c r="D32" s="16">
        <f>SUMIF(IIp.16!M2:M564,"6*",IIp.16!F2:F564)</f>
        <v>0</v>
      </c>
      <c r="E32" s="130">
        <v>74</v>
      </c>
      <c r="F32" s="11" t="s">
        <v>3547</v>
      </c>
      <c r="G32" s="16">
        <f>SUMIF(IIp.16!M2:M564,"74*",IIp.16!F2:F564)</f>
        <v>4</v>
      </c>
      <c r="H32" s="89"/>
      <c r="I32" s="20"/>
      <c r="K32" s="20"/>
      <c r="L32" s="20"/>
      <c r="M32" s="20"/>
      <c r="N32" s="131">
        <v>7541</v>
      </c>
      <c r="O32" s="11" t="s">
        <v>3557</v>
      </c>
      <c r="P32" s="95">
        <f>SUMIF(IIp.16!M2:M564,"7541*",IIp.16!F2:F564)</f>
        <v>0</v>
      </c>
    </row>
    <row r="33" spans="2:20" x14ac:dyDescent="0.25">
      <c r="B33" s="130">
        <v>72</v>
      </c>
      <c r="C33" s="11" t="s">
        <v>3545</v>
      </c>
      <c r="D33" s="16">
        <f>SUMIF(IIp.16!M2:M564,"72*",IIp.16!F2:F564)</f>
        <v>18</v>
      </c>
      <c r="G33" s="2">
        <f>SUM(G18:G32)</f>
        <v>64</v>
      </c>
      <c r="N33" s="127">
        <v>54</v>
      </c>
      <c r="O33" s="11" t="s">
        <v>3588</v>
      </c>
      <c r="P33" s="95">
        <f>SUMIF(IIp.16!M2:M564,"54*",IIp.16!F2:F564)</f>
        <v>0</v>
      </c>
    </row>
    <row r="34" spans="2:20" x14ac:dyDescent="0.25">
      <c r="B34" s="130">
        <v>73</v>
      </c>
      <c r="C34" s="11" t="s">
        <v>3546</v>
      </c>
      <c r="D34" s="16">
        <f>SUMIF(IIp.16!M2:M564,"73*",IIp.16!F2:F564)</f>
        <v>0</v>
      </c>
      <c r="P34" s="2">
        <f>SUM(P31:P33)</f>
        <v>0</v>
      </c>
    </row>
    <row r="35" spans="2:20" x14ac:dyDescent="0.25">
      <c r="B35" s="131">
        <v>7511</v>
      </c>
      <c r="C35" s="11" t="s">
        <v>3548</v>
      </c>
      <c r="D35" s="16">
        <f>SUMIF(IIp.16!M2:M564,"7511*",IIp.16!F2:F564)</f>
        <v>0</v>
      </c>
      <c r="T35" s="37"/>
    </row>
    <row r="36" spans="2:20" x14ac:dyDescent="0.25">
      <c r="B36" s="131">
        <v>7513</v>
      </c>
      <c r="C36" s="11" t="s">
        <v>3550</v>
      </c>
      <c r="D36" s="16">
        <f>SUMIF(IIp.16!M2:M564,"7513*",IIp.16!F2:F564)</f>
        <v>0</v>
      </c>
      <c r="T36" s="37"/>
    </row>
    <row r="37" spans="2:20" x14ac:dyDescent="0.25">
      <c r="B37" s="131">
        <v>7514</v>
      </c>
      <c r="C37" s="11" t="s">
        <v>3551</v>
      </c>
      <c r="D37" s="16">
        <f>SUMIF(IIp.16!M2:M564,"7514*",IIp.16!F2:F564)</f>
        <v>0</v>
      </c>
      <c r="T37" s="37"/>
    </row>
    <row r="38" spans="2:20" x14ac:dyDescent="0.25">
      <c r="B38" s="131">
        <v>7523</v>
      </c>
      <c r="C38" s="11" t="s">
        <v>3555</v>
      </c>
      <c r="D38" s="16">
        <f>SUMIF(IIp.16!M2:M564,"7523*",IIp.16!F2:F564)</f>
        <v>0</v>
      </c>
      <c r="T38" s="37"/>
    </row>
    <row r="39" spans="2:20" x14ac:dyDescent="0.25">
      <c r="B39" s="131">
        <v>7542</v>
      </c>
      <c r="C39" s="11" t="s">
        <v>3558</v>
      </c>
      <c r="D39" s="16">
        <f>SUMIF(IIp.16!M2:M564,"7542*",IIp.16!F2:F564)</f>
        <v>0</v>
      </c>
      <c r="T39" s="37"/>
    </row>
    <row r="40" spans="2:20" x14ac:dyDescent="0.25">
      <c r="B40" s="131">
        <v>7543</v>
      </c>
      <c r="C40" s="11" t="s">
        <v>3559</v>
      </c>
      <c r="D40" s="16">
        <f>SUMIF(IIp.16!M2:M564,"7543*",IIp.16!F2:F564)</f>
        <v>0</v>
      </c>
    </row>
    <row r="41" spans="2:20" x14ac:dyDescent="0.25">
      <c r="B41" s="131">
        <v>7544</v>
      </c>
      <c r="C41" s="11" t="s">
        <v>3560</v>
      </c>
      <c r="D41" s="16">
        <f>SUMIF(IIp.16!M2:M564,"7544*",IIp.16!F2:F564)</f>
        <v>0</v>
      </c>
    </row>
    <row r="42" spans="2:20" x14ac:dyDescent="0.25">
      <c r="B42" s="134">
        <v>81</v>
      </c>
      <c r="C42" s="11" t="s">
        <v>3562</v>
      </c>
      <c r="D42" s="16">
        <f>SUMIF(IIp.16!M2:M564,"81*",IIp.16!F2:F564)</f>
        <v>3</v>
      </c>
    </row>
    <row r="43" spans="2:20" x14ac:dyDescent="0.25">
      <c r="B43" s="134">
        <v>82</v>
      </c>
      <c r="C43" s="11" t="s">
        <v>3563</v>
      </c>
      <c r="D43" s="16">
        <f>SUMIF(IIp.16!M2:M564,"82*",IIp.16!F2:F564)</f>
        <v>0</v>
      </c>
    </row>
    <row r="44" spans="2:20" x14ac:dyDescent="0.25">
      <c r="B44" s="120">
        <v>13</v>
      </c>
      <c r="C44" s="11" t="s">
        <v>3577</v>
      </c>
      <c r="D44" s="16">
        <f>SUMIF(IIp.16!M2:M564,"13*",IIp.16!F2:F564)</f>
        <v>12</v>
      </c>
    </row>
    <row r="45" spans="2:20" x14ac:dyDescent="0.25">
      <c r="B45" s="108">
        <v>2163</v>
      </c>
      <c r="C45" s="11" t="s">
        <v>3579</v>
      </c>
      <c r="D45" s="16">
        <f>SUMIF(IIp.16!M2:M564,"2163*",IIp.16!F2:F564)</f>
        <v>0</v>
      </c>
    </row>
    <row r="46" spans="2:20" x14ac:dyDescent="0.25">
      <c r="B46" s="108">
        <v>2133</v>
      </c>
      <c r="C46" s="11" t="s">
        <v>3584</v>
      </c>
      <c r="D46" s="16">
        <f>SUMIF(IIp.16!M2:M564,"2133*",IIp.16!F2:F564)</f>
        <v>2</v>
      </c>
    </row>
    <row r="47" spans="2:20" x14ac:dyDescent="0.25">
      <c r="B47" s="37"/>
      <c r="D47" s="2">
        <f>SUM(D18:D46)</f>
        <v>73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EXACT(E12,P15)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COUNTIF('IV kw.19'!E3:E901,"praca.pl")</f>
        <v>0</v>
      </c>
      <c r="J3" s="12" t="s">
        <v>3515</v>
      </c>
      <c r="N3" s="12">
        <v>1</v>
      </c>
      <c r="O3" s="11" t="s">
        <v>170</v>
      </c>
      <c r="P3" s="12">
        <f>SUM(D47)</f>
        <v>60</v>
      </c>
      <c r="S3" s="18"/>
      <c r="T3" s="18"/>
      <c r="U3" s="18"/>
    </row>
    <row r="4" spans="2:24" x14ac:dyDescent="0.25">
      <c r="B4" s="12" t="s">
        <v>3516</v>
      </c>
      <c r="C4" s="17" t="s">
        <v>3459</v>
      </c>
      <c r="D4" s="26">
        <v>466</v>
      </c>
      <c r="E4" s="26">
        <v>477</v>
      </c>
      <c r="F4" s="12"/>
      <c r="H4" s="11" t="s">
        <v>192</v>
      </c>
      <c r="I4" s="12">
        <f>COUNTIF('IV kw.19'!E3:E901,"pracuj.pl")</f>
        <v>217</v>
      </c>
      <c r="J4" s="12" t="s">
        <v>3516</v>
      </c>
      <c r="N4" s="12">
        <v>2</v>
      </c>
      <c r="O4" s="11" t="s">
        <v>2</v>
      </c>
      <c r="P4" s="12">
        <f>SUM(G33)</f>
        <v>56</v>
      </c>
      <c r="S4" s="18"/>
      <c r="T4" s="18"/>
      <c r="U4" s="18"/>
    </row>
    <row r="5" spans="2:24" x14ac:dyDescent="0.25">
      <c r="B5" s="12" t="s">
        <v>3517</v>
      </c>
      <c r="C5" s="17" t="s">
        <v>3458</v>
      </c>
      <c r="D5" s="26">
        <v>365</v>
      </c>
      <c r="E5" s="26">
        <v>386</v>
      </c>
      <c r="F5" s="12"/>
      <c r="H5" s="11" t="s">
        <v>217</v>
      </c>
      <c r="I5" s="12">
        <f>COUNTIF('IV kw.19'!E3:E901,"agora")</f>
        <v>29</v>
      </c>
      <c r="J5" s="12" t="s">
        <v>3517</v>
      </c>
      <c r="N5" s="12">
        <v>3</v>
      </c>
      <c r="O5" s="11" t="s">
        <v>3</v>
      </c>
      <c r="P5" s="12">
        <f>SUM(J31)</f>
        <v>19</v>
      </c>
      <c r="S5" s="18"/>
      <c r="T5" s="18"/>
      <c r="U5" s="18"/>
    </row>
    <row r="6" spans="2:24" x14ac:dyDescent="0.25">
      <c r="B6" s="12" t="s">
        <v>3518</v>
      </c>
      <c r="C6" s="17" t="s">
        <v>3457</v>
      </c>
      <c r="D6" s="26">
        <v>461</v>
      </c>
      <c r="E6" s="26">
        <v>444</v>
      </c>
      <c r="F6" s="12"/>
      <c r="H6" s="11" t="s">
        <v>3464</v>
      </c>
      <c r="I6" s="12">
        <f>COUNTIF('IV kw.19'!E3:E901,"gratka")</f>
        <v>5</v>
      </c>
      <c r="J6" s="12" t="s">
        <v>3518</v>
      </c>
      <c r="N6" s="12">
        <v>4</v>
      </c>
      <c r="O6" s="11" t="s">
        <v>3589</v>
      </c>
      <c r="P6" s="12">
        <f>SUM(M24)</f>
        <v>99</v>
      </c>
      <c r="S6" s="18"/>
      <c r="T6" s="18"/>
      <c r="U6" s="18"/>
    </row>
    <row r="7" spans="2:24" x14ac:dyDescent="0.25">
      <c r="B7" s="12" t="s">
        <v>13071</v>
      </c>
      <c r="C7" s="17" t="s">
        <v>173</v>
      </c>
      <c r="D7" s="26">
        <v>720</v>
      </c>
      <c r="E7" s="26">
        <v>704</v>
      </c>
      <c r="F7" s="12"/>
      <c r="H7" s="184"/>
      <c r="I7" s="183">
        <f>SUM(I3:I6)</f>
        <v>251</v>
      </c>
      <c r="J7" s="184"/>
      <c r="N7" s="12">
        <v>5</v>
      </c>
      <c r="O7" s="11" t="s">
        <v>13096</v>
      </c>
      <c r="P7" s="12">
        <f>SUM(P23)</f>
        <v>112</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135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226</v>
      </c>
      <c r="N10" s="12">
        <v>8</v>
      </c>
      <c r="O10" s="11" t="s">
        <v>4</v>
      </c>
      <c r="P10" s="12">
        <f>SUM(S21)</f>
        <v>15</v>
      </c>
      <c r="S10" s="18"/>
      <c r="T10" s="18"/>
      <c r="U10" s="18"/>
    </row>
    <row r="11" spans="2:24" x14ac:dyDescent="0.25">
      <c r="B11" s="12">
        <v>3</v>
      </c>
      <c r="C11" s="17" t="s">
        <v>3481</v>
      </c>
      <c r="D11" s="12">
        <v>180</v>
      </c>
      <c r="E11" s="12">
        <v>231</v>
      </c>
      <c r="F11" s="12"/>
      <c r="H11" s="11" t="s">
        <v>3471</v>
      </c>
      <c r="I11" s="11" t="s">
        <v>3567</v>
      </c>
      <c r="J11" s="12">
        <f>SUM(V21,V27)</f>
        <v>13</v>
      </c>
      <c r="N11" s="12">
        <v>9</v>
      </c>
      <c r="O11" s="11" t="s">
        <v>3591</v>
      </c>
      <c r="P11" s="12">
        <f>SUM(V21)</f>
        <v>11</v>
      </c>
      <c r="S11" s="18"/>
      <c r="T11" s="18"/>
      <c r="U11" s="18"/>
    </row>
    <row r="12" spans="2:24" x14ac:dyDescent="0.25">
      <c r="B12" s="107">
        <v>4</v>
      </c>
      <c r="C12" s="106" t="s">
        <v>3482</v>
      </c>
      <c r="D12" s="107">
        <v>361</v>
      </c>
      <c r="E12" s="107">
        <v>378</v>
      </c>
      <c r="F12" s="107" t="s">
        <v>13068</v>
      </c>
      <c r="H12" s="11" t="s">
        <v>3472</v>
      </c>
      <c r="I12" s="11" t="s">
        <v>6</v>
      </c>
      <c r="J12" s="12">
        <f>SUM(Y20)</f>
        <v>2</v>
      </c>
      <c r="N12" s="12">
        <v>10</v>
      </c>
      <c r="O12" s="11" t="s">
        <v>0</v>
      </c>
      <c r="P12" s="12">
        <f>SUM(V27)</f>
        <v>2</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2</v>
      </c>
      <c r="S13" s="18"/>
      <c r="T13" s="18"/>
      <c r="U13" s="18"/>
    </row>
    <row r="14" spans="2:24" x14ac:dyDescent="0.25">
      <c r="B14" s="18"/>
      <c r="C14" s="89"/>
      <c r="D14" s="135"/>
      <c r="E14" s="135"/>
      <c r="F14" s="20"/>
      <c r="H14" s="184"/>
      <c r="I14" s="184"/>
      <c r="J14" s="183">
        <f>SUM(J9:J13)</f>
        <v>378</v>
      </c>
      <c r="N14" s="12">
        <v>12</v>
      </c>
      <c r="O14" s="17" t="s">
        <v>3574</v>
      </c>
      <c r="P14" s="12">
        <f>SUM(Y30)</f>
        <v>2</v>
      </c>
      <c r="S14" s="18"/>
      <c r="T14" s="18"/>
      <c r="U14" s="18"/>
    </row>
    <row r="15" spans="2:24" ht="18.75" x14ac:dyDescent="0.25">
      <c r="B15" s="18"/>
      <c r="C15" s="89"/>
      <c r="D15" s="135"/>
      <c r="E15" s="135"/>
      <c r="F15" s="20"/>
      <c r="P15" s="191">
        <f>SUM(P3:P14)</f>
        <v>378</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SUMIF('IV kw.19'!M3:M501,"2141*",'IV kw.19'!F3:F501)</f>
        <v>3</v>
      </c>
      <c r="E18" s="108">
        <v>2113</v>
      </c>
      <c r="F18" s="11" t="s">
        <v>3491</v>
      </c>
      <c r="G18" s="16">
        <f>SUMIF('IV kw.19'!M3:M468,"2113*",'IV kw.19'!F3:F468)</f>
        <v>2</v>
      </c>
      <c r="H18" s="122">
        <v>2142</v>
      </c>
      <c r="I18" s="11" t="s">
        <v>3494</v>
      </c>
      <c r="J18" s="16">
        <f>SUMIF('IV kw.19'!M3:M501,"2142*",'IV kw.19'!F3:F501)</f>
        <v>6</v>
      </c>
      <c r="K18" s="123">
        <v>315</v>
      </c>
      <c r="L18" s="11" t="s">
        <v>3532</v>
      </c>
      <c r="M18" s="112">
        <f>SUMIF('IV kw.19'!M3:M501,"315*",'IV kw.19'!F3:F501)</f>
        <v>0</v>
      </c>
      <c r="N18" s="108">
        <v>2166</v>
      </c>
      <c r="O18" s="11" t="s">
        <v>3510</v>
      </c>
      <c r="P18" s="95">
        <f>SUMIF('IV kw.19'!M3:M501,"2166*",'IV kw.19'!F3:F501)</f>
        <v>3</v>
      </c>
      <c r="Q18" s="118">
        <v>22</v>
      </c>
      <c r="R18" s="11" t="s">
        <v>3511</v>
      </c>
      <c r="S18" s="96">
        <f>SUMIF('IV kw.19'!M3:M501,"22*",'IV kw.19'!F3:F501)</f>
        <v>8</v>
      </c>
      <c r="T18" s="118">
        <v>23</v>
      </c>
      <c r="U18" s="11" t="s">
        <v>3512</v>
      </c>
      <c r="V18" s="91">
        <f>SUMIF('IV kw.19'!M3:M501,"23*",'IV kw.19'!F3:F501)</f>
        <v>6</v>
      </c>
      <c r="W18" s="131">
        <v>7549</v>
      </c>
      <c r="X18" s="11" t="s">
        <v>3561</v>
      </c>
      <c r="Y18" s="97">
        <f>SUMIF('IV kw.19'!M3:M501,"7549*",'IV kw.19'!F3:F501)</f>
        <v>0</v>
      </c>
    </row>
    <row r="19" spans="2:25" x14ac:dyDescent="0.25">
      <c r="B19" s="108">
        <v>2132</v>
      </c>
      <c r="C19" s="11" t="s">
        <v>3493</v>
      </c>
      <c r="D19" s="195">
        <f>SUMIF('IV kw.19'!M3:M501,"2132*",'IV kw.19'!F3:F501)</f>
        <v>1</v>
      </c>
      <c r="E19" s="108">
        <v>2145</v>
      </c>
      <c r="F19" s="11" t="s">
        <v>3496</v>
      </c>
      <c r="G19" s="16">
        <f>SUMIF('IV kw.19'!M3:M468,"2145*",'IV kw.19'!F3:F468)</f>
        <v>0</v>
      </c>
      <c r="H19" s="122">
        <v>2143</v>
      </c>
      <c r="I19" s="11" t="s">
        <v>93</v>
      </c>
      <c r="J19" s="16">
        <f>SUMIF('IV kw.19'!M3:M501,"2143*",'IV kw.19'!F3:F501)</f>
        <v>1</v>
      </c>
      <c r="K19" s="117">
        <v>42</v>
      </c>
      <c r="L19" s="11" t="s">
        <v>3537</v>
      </c>
      <c r="M19" s="112">
        <f>SUMIF('IV kw.19'!M3:M501,"42*",'IV kw.19'!F3:F501)</f>
        <v>8</v>
      </c>
      <c r="N19" s="118">
        <v>24</v>
      </c>
      <c r="O19" s="11" t="s">
        <v>3571</v>
      </c>
      <c r="P19" s="95">
        <f>SUMIF('IV kw.19'!M3:M501,"24*",'IV kw.19'!F3:F501)</f>
        <v>55</v>
      </c>
      <c r="Q19" s="125">
        <v>32</v>
      </c>
      <c r="R19" s="11" t="s">
        <v>3533</v>
      </c>
      <c r="S19" s="96">
        <f>SUMIF('IV kw.19'!M3:M501,"32*",'IV kw.19'!F3:F501)</f>
        <v>7</v>
      </c>
      <c r="T19" s="118">
        <v>26</v>
      </c>
      <c r="U19" s="11" t="s">
        <v>3572</v>
      </c>
      <c r="V19" s="91">
        <f>SUMIF('IV kw.19'!M3:M501,"26*",'IV kw.19'!F3:F501)</f>
        <v>5</v>
      </c>
      <c r="W19" s="119">
        <v>9</v>
      </c>
      <c r="X19" s="11" t="s">
        <v>3565</v>
      </c>
      <c r="Y19" s="97">
        <f>SUMIF('IV kw.19'!M3:M501,"9*",'IV kw.19'!F3:F501)</f>
        <v>2</v>
      </c>
    </row>
    <row r="20" spans="2:25" x14ac:dyDescent="0.25">
      <c r="B20" s="108">
        <v>2146</v>
      </c>
      <c r="C20" s="11" t="s">
        <v>3497</v>
      </c>
      <c r="D20" s="16">
        <f>SUMIF('IV kw.19'!M3:M501,"2146*",'IV kw.19'!F3:F501)</f>
        <v>0</v>
      </c>
      <c r="E20" s="108">
        <v>2131</v>
      </c>
      <c r="F20" s="11" t="s">
        <v>3492</v>
      </c>
      <c r="G20" s="16">
        <f>SUMIF('IV kw.19'!M3:M468,"2131*",'IV kw.19'!F3:F468)</f>
        <v>0</v>
      </c>
      <c r="H20" s="122">
        <v>2161</v>
      </c>
      <c r="I20" s="11" t="s">
        <v>3507</v>
      </c>
      <c r="J20" s="16">
        <f>SUMIF('IV kw.19'!M3:M501,"2161*",'IV kw.19'!F3:F501)</f>
        <v>0</v>
      </c>
      <c r="K20" s="117">
        <v>43</v>
      </c>
      <c r="L20" s="11" t="s">
        <v>3538</v>
      </c>
      <c r="M20" s="112">
        <f>SUMIF('IV kw.19'!M3:M501,"43*",'IV kw.19'!F3:F501)</f>
        <v>16</v>
      </c>
      <c r="N20" s="125">
        <v>33</v>
      </c>
      <c r="O20" s="11" t="s">
        <v>3534</v>
      </c>
      <c r="P20" s="95">
        <f>SUMIF('IV kw.19'!M3:M501,"33*",'IV kw.19'!F3:F501)</f>
        <v>46</v>
      </c>
      <c r="Q20" s="127">
        <v>53</v>
      </c>
      <c r="R20" s="11" t="s">
        <v>3542</v>
      </c>
      <c r="S20" s="96">
        <f>SUMIF('IV kw.19'!M3:M501,"53*",'IV kw.19'!F3:F501)</f>
        <v>0</v>
      </c>
      <c r="T20" s="125">
        <v>34</v>
      </c>
      <c r="U20" s="11" t="s">
        <v>3535</v>
      </c>
      <c r="V20" s="91">
        <f>SUMIF('IV kw.19'!M3:M501,"34*",'IV kw.19'!F3:F501)</f>
        <v>0</v>
      </c>
      <c r="W20" s="37"/>
      <c r="Y20" s="2">
        <f>SUM(Y18:Y19)</f>
        <v>2</v>
      </c>
    </row>
    <row r="21" spans="2:25" x14ac:dyDescent="0.25">
      <c r="B21" s="121">
        <v>3113</v>
      </c>
      <c r="C21" s="11" t="s">
        <v>3520</v>
      </c>
      <c r="D21" s="16">
        <f>SUMIF('IV kw.19'!M3:M501,"3113*",'IV kw.19'!F3:F501)</f>
        <v>5</v>
      </c>
      <c r="E21" s="108">
        <v>2144</v>
      </c>
      <c r="F21" s="11" t="s">
        <v>3495</v>
      </c>
      <c r="G21" s="16">
        <f>SUMIF('IV kw.19'!M3:M468,"2144*",'IV kw.19'!F3:F468)</f>
        <v>9</v>
      </c>
      <c r="H21" s="122">
        <v>2162</v>
      </c>
      <c r="I21" s="11" t="s">
        <v>3508</v>
      </c>
      <c r="J21" s="16">
        <f>SUMIF('IV kw.19'!M3:M501,"2162*",'IV kw.19'!F3:F501)</f>
        <v>0</v>
      </c>
      <c r="K21" s="128">
        <v>52</v>
      </c>
      <c r="L21" s="11" t="s">
        <v>3541</v>
      </c>
      <c r="M21" s="112">
        <f>SUMIF('IV kw.19'!M3:M501,"52*",'IV kw.19'!F3:F501)</f>
        <v>48</v>
      </c>
      <c r="N21" s="127">
        <v>51</v>
      </c>
      <c r="O21" s="11" t="s">
        <v>3540</v>
      </c>
      <c r="P21" s="95">
        <f>SUMIF('IV kw.19'!M3:M501,"51*",'IV kw.19'!F3:F501)</f>
        <v>1</v>
      </c>
      <c r="Q21" s="37"/>
      <c r="S21" s="2">
        <f>SUM(S18:S20)</f>
        <v>15</v>
      </c>
      <c r="V21" s="2">
        <f>SUM(V18:V20)</f>
        <v>11</v>
      </c>
      <c r="W21" s="37"/>
    </row>
    <row r="22" spans="2:25" x14ac:dyDescent="0.25">
      <c r="B22" s="121">
        <v>3114</v>
      </c>
      <c r="C22" s="11" t="s">
        <v>3521</v>
      </c>
      <c r="D22" s="16">
        <f>SUMIF('IV kw.19'!M3:M501,"3114*",'IV kw.19'!F3:F501)</f>
        <v>3</v>
      </c>
      <c r="E22" s="108">
        <v>2149</v>
      </c>
      <c r="F22" s="11" t="s">
        <v>3498</v>
      </c>
      <c r="G22" s="16">
        <f>SUMIF('IV kw.19'!M3:M468,"2149*",'IV kw.19'!F3:F468)</f>
        <v>5</v>
      </c>
      <c r="H22" s="108">
        <v>2164</v>
      </c>
      <c r="I22" s="11" t="s">
        <v>3585</v>
      </c>
      <c r="J22" s="16">
        <f>SUMIF('IV kw.19'!M3:M501,"2164*",'IV kw.19'!F3:F501)</f>
        <v>0</v>
      </c>
      <c r="K22" s="133">
        <v>83</v>
      </c>
      <c r="L22" s="11" t="s">
        <v>3564</v>
      </c>
      <c r="M22" s="112">
        <f>SUMIF('IV kw.19'!M3:M501,"83*",'IV kw.19'!F3:F501)</f>
        <v>9</v>
      </c>
      <c r="N22" s="120">
        <v>14</v>
      </c>
      <c r="O22" s="11" t="s">
        <v>3578</v>
      </c>
      <c r="P22" s="95">
        <f>SUMIF('IV kw.19'!M3:M501,"14*",'IV kw.19'!F3:F501)</f>
        <v>7</v>
      </c>
      <c r="Q22" s="37"/>
      <c r="T22" s="1" t="s">
        <v>0</v>
      </c>
      <c r="U22" s="94"/>
      <c r="V22" s="20"/>
      <c r="W22" s="37" t="s">
        <v>3574</v>
      </c>
    </row>
    <row r="23" spans="2:25" x14ac:dyDescent="0.25">
      <c r="B23" s="121">
        <v>3115</v>
      </c>
      <c r="C23" s="11" t="s">
        <v>3522</v>
      </c>
      <c r="D23" s="16">
        <f>SUMIF('IV kw.19'!M3:M501,"3115*",'IV kw.19'!F3:F501)</f>
        <v>8</v>
      </c>
      <c r="E23" s="109">
        <v>2149</v>
      </c>
      <c r="F23" s="11" t="s">
        <v>3499</v>
      </c>
      <c r="G23" s="104" t="s">
        <v>3573</v>
      </c>
      <c r="H23" s="122">
        <v>2165</v>
      </c>
      <c r="I23" s="11" t="s">
        <v>3509</v>
      </c>
      <c r="J23" s="16">
        <f>SUMIF('IV kw.19'!M3:M501,"2165*",'IV kw.19'!F3:F501)</f>
        <v>0</v>
      </c>
      <c r="K23" s="120">
        <v>12</v>
      </c>
      <c r="L23" s="11" t="s">
        <v>3576</v>
      </c>
      <c r="M23" s="112">
        <f>SUMIF('IV kw.19'!M3:M501,"12*",'IV kw.19'!F3:F501)</f>
        <v>18</v>
      </c>
      <c r="P23" s="18">
        <f>SUM(P18:P22)</f>
        <v>112</v>
      </c>
      <c r="Q23" s="37"/>
      <c r="T23" s="98"/>
      <c r="U23" s="99"/>
      <c r="V23" s="92"/>
      <c r="W23" s="110"/>
      <c r="X23" s="111"/>
    </row>
    <row r="24" spans="2:25" x14ac:dyDescent="0.25">
      <c r="B24" s="121">
        <v>3116</v>
      </c>
      <c r="C24" s="11" t="s">
        <v>3523</v>
      </c>
      <c r="D24" s="16">
        <f>SUMIF('IV kw.19'!M3:M501,"3116*",'IV kw.19'!F3:F501)</f>
        <v>1</v>
      </c>
      <c r="E24" s="109">
        <v>2149</v>
      </c>
      <c r="F24" s="11" t="s">
        <v>3500</v>
      </c>
      <c r="G24" s="104" t="s">
        <v>3573</v>
      </c>
      <c r="H24" s="126">
        <v>3111</v>
      </c>
      <c r="I24" s="11" t="s">
        <v>3587</v>
      </c>
      <c r="J24" s="16">
        <f>SUMIF('IV kw.19'!M3:M501,"3111*",'IV kw.19'!F3:F501)</f>
        <v>0</v>
      </c>
      <c r="K24" s="89"/>
      <c r="L24" s="20"/>
      <c r="M24" s="90">
        <f>SUM(M18:M23)</f>
        <v>99</v>
      </c>
      <c r="Q24" s="37"/>
      <c r="T24" s="116">
        <v>41</v>
      </c>
      <c r="U24" s="11" t="s">
        <v>3592</v>
      </c>
      <c r="V24" s="91">
        <f>SUMIF('IV kw.19'!M3:M501,"41*",'IV kw.19'!F3:F501)</f>
        <v>2</v>
      </c>
      <c r="W24" s="120">
        <v>11</v>
      </c>
      <c r="X24" s="11" t="s">
        <v>3575</v>
      </c>
      <c r="Y24" s="115">
        <f>SUMIF('IV kw.19'!M3:M501,"11*",'IV kw.19'!F3:F501)</f>
        <v>2</v>
      </c>
    </row>
    <row r="25" spans="2:25" x14ac:dyDescent="0.25">
      <c r="B25" s="121">
        <v>3117</v>
      </c>
      <c r="C25" s="11" t="s">
        <v>3524</v>
      </c>
      <c r="D25" s="16">
        <f>SUMIF('IV kw.19'!M3:M501,"3117*",'IV kw.19'!F3:F501)</f>
        <v>0</v>
      </c>
      <c r="E25" s="109">
        <v>2149</v>
      </c>
      <c r="F25" s="11" t="s">
        <v>3501</v>
      </c>
      <c r="G25" s="104" t="s">
        <v>3573</v>
      </c>
      <c r="H25" s="126">
        <v>3112</v>
      </c>
      <c r="I25" s="11" t="s">
        <v>3519</v>
      </c>
      <c r="J25" s="16">
        <f>SUMIF('IV kw.19'!M3:M501,"3112*",'IV kw.19'!F3:F501)</f>
        <v>3</v>
      </c>
      <c r="K25" s="89"/>
      <c r="L25" s="20"/>
      <c r="M25" s="20"/>
      <c r="N25" s="100" t="s">
        <v>134</v>
      </c>
      <c r="O25" s="93"/>
      <c r="Q25" s="37"/>
      <c r="T25" s="116">
        <v>44</v>
      </c>
      <c r="U25" s="11" t="s">
        <v>3539</v>
      </c>
      <c r="V25" s="91">
        <f>SUMIF('IV kw.19'!M3:M501,"44*",'IV kw.19'!F3:F501)</f>
        <v>0</v>
      </c>
      <c r="W25" s="108">
        <v>2111</v>
      </c>
      <c r="X25" s="11" t="s">
        <v>3580</v>
      </c>
      <c r="Y25" s="115">
        <f>SUMIF('IV kw.19'!M3:M501,"2111*",'IV kw.19'!F3:F501)</f>
        <v>0</v>
      </c>
    </row>
    <row r="26" spans="2:25" x14ac:dyDescent="0.25">
      <c r="B26" s="121">
        <v>3119</v>
      </c>
      <c r="C26" s="11" t="s">
        <v>3526</v>
      </c>
      <c r="D26" s="16">
        <f>SUMIF('IV kw.19'!M3:M501,"3119*",'IV kw.19'!F3:F501)</f>
        <v>5</v>
      </c>
      <c r="E26" s="109">
        <v>2149</v>
      </c>
      <c r="F26" s="11" t="s">
        <v>3502</v>
      </c>
      <c r="G26" s="104" t="s">
        <v>3573</v>
      </c>
      <c r="H26" s="126">
        <v>3118</v>
      </c>
      <c r="I26" s="11" t="s">
        <v>3525</v>
      </c>
      <c r="J26" s="16">
        <f>SUMIF('IV kw.19'!M3:M501,"3118*",'IV kw.19'!F3:F501)</f>
        <v>0</v>
      </c>
      <c r="K26" s="89"/>
      <c r="L26" s="20"/>
      <c r="M26" s="20"/>
      <c r="N26" s="6"/>
      <c r="O26" s="7"/>
      <c r="Q26" s="37"/>
      <c r="T26" s="131">
        <v>7515</v>
      </c>
      <c r="U26" s="11" t="s">
        <v>3552</v>
      </c>
      <c r="V26" s="204">
        <f>SUMIF('IV kw.19'!M3:M501,"7515*",'IV kw.19'!F3:F501)</f>
        <v>0</v>
      </c>
      <c r="W26" s="108">
        <v>2112</v>
      </c>
      <c r="X26" s="11" t="s">
        <v>3581</v>
      </c>
      <c r="Y26" s="115">
        <f>SUMIF('IV kw.19'!M3:M501,"2112*",'IV kw.19'!F3:F501)</f>
        <v>0</v>
      </c>
    </row>
    <row r="27" spans="2:25" x14ac:dyDescent="0.25">
      <c r="B27" s="121">
        <v>3121</v>
      </c>
      <c r="C27" s="11" t="s">
        <v>3527</v>
      </c>
      <c r="D27" s="16">
        <f>SUMIF('IV kw.19'!M3:M501,"3121*",'IV kw.19'!F3:F501)</f>
        <v>0</v>
      </c>
      <c r="E27" s="109">
        <v>2149</v>
      </c>
      <c r="F27" s="11" t="s">
        <v>3503</v>
      </c>
      <c r="G27" s="104" t="s">
        <v>3573</v>
      </c>
      <c r="H27" s="126">
        <v>3123</v>
      </c>
      <c r="I27" s="11" t="s">
        <v>3529</v>
      </c>
      <c r="J27" s="16">
        <f>SUMIF('IV kw.19'!M3:M501,"3123*",'IV kw.19'!F3:F501)</f>
        <v>0</v>
      </c>
      <c r="K27" s="89"/>
      <c r="L27" s="20"/>
      <c r="N27" s="131">
        <v>7512</v>
      </c>
      <c r="O27" s="11" t="s">
        <v>3549</v>
      </c>
      <c r="P27" s="95">
        <f>SUMIF('IV kw.19'!M3:M501,"7512*",'IV kw.19'!F3:F501)</f>
        <v>0</v>
      </c>
      <c r="Q27" s="37"/>
      <c r="T27" s="37"/>
      <c r="V27" s="2">
        <f>SUM(V24:V26)</f>
        <v>2</v>
      </c>
      <c r="W27" s="108">
        <v>2114</v>
      </c>
      <c r="X27" s="11" t="s">
        <v>3582</v>
      </c>
      <c r="Y27" s="115">
        <f>SUMIF('IV kw.19'!M3:M501,"2114*",'IV kw.19'!F3:F501)</f>
        <v>0</v>
      </c>
    </row>
    <row r="28" spans="2:25" x14ac:dyDescent="0.25">
      <c r="B28" s="121">
        <v>3122</v>
      </c>
      <c r="C28" s="11" t="s">
        <v>3528</v>
      </c>
      <c r="D28" s="16">
        <f>SUMIF('IV kw.19'!M3:M501,"3122*",'IV kw.19'!F3:F501)</f>
        <v>0</v>
      </c>
      <c r="E28" s="108">
        <v>2151</v>
      </c>
      <c r="F28" s="11" t="s">
        <v>3504</v>
      </c>
      <c r="G28" s="16">
        <f>SUMIF('IV kw.19'!M3:M468,"2151*",'IV kw.19'!F3:F468)</f>
        <v>3</v>
      </c>
      <c r="H28" s="129">
        <v>71</v>
      </c>
      <c r="I28" s="11" t="s">
        <v>3544</v>
      </c>
      <c r="J28" s="16">
        <f>SUMIF('IV kw.19'!M3:M501,"71*",'IV kw.19'!F3:F501)</f>
        <v>8</v>
      </c>
      <c r="K28" s="89"/>
      <c r="L28" s="20"/>
      <c r="M28" s="20"/>
      <c r="P28" s="18">
        <f>SUM(P27)</f>
        <v>0</v>
      </c>
      <c r="Q28" s="37"/>
      <c r="T28" s="37"/>
      <c r="W28" s="108">
        <v>2120</v>
      </c>
      <c r="X28" s="11" t="s">
        <v>3583</v>
      </c>
      <c r="Y28" s="115">
        <f>SUMIF('IV kw.19'!M3:M501,"2120*",'IV kw.19'!F3:F501)</f>
        <v>0</v>
      </c>
    </row>
    <row r="29" spans="2:25" x14ac:dyDescent="0.25">
      <c r="B29" s="124">
        <v>313</v>
      </c>
      <c r="C29" s="11" t="s">
        <v>3530</v>
      </c>
      <c r="D29" s="16">
        <f>SUMIF('IV kw.19'!M3:M501,"313*",'IV kw.19'!F3:F501)</f>
        <v>6</v>
      </c>
      <c r="E29" s="108">
        <v>2152</v>
      </c>
      <c r="F29" s="11" t="s">
        <v>3505</v>
      </c>
      <c r="G29" s="16">
        <f>SUMIF('IV kw.19'!M3:M468,"2152*",'IV kw.19'!F3:F468)</f>
        <v>4</v>
      </c>
      <c r="H29" s="132">
        <v>7521</v>
      </c>
      <c r="I29" s="11" t="s">
        <v>3553</v>
      </c>
      <c r="J29" s="16">
        <f>SUMIF('IV kw.19'!M3:M501,"7521*",'IV kw.19'!F3:F501)</f>
        <v>0</v>
      </c>
      <c r="K29" s="89"/>
      <c r="L29" s="20"/>
      <c r="M29" s="20"/>
      <c r="N29" s="94" t="s">
        <v>154</v>
      </c>
      <c r="O29" s="94"/>
      <c r="P29" s="18"/>
      <c r="T29" s="37"/>
      <c r="W29" s="119">
        <v>0</v>
      </c>
      <c r="X29" s="11" t="s">
        <v>3586</v>
      </c>
      <c r="Y29" s="115">
        <f>SUMIF('IV kw.19'!M3:M501,"0*",'IV kw.19'!F3:F501)</f>
        <v>0</v>
      </c>
    </row>
    <row r="30" spans="2:25" x14ac:dyDescent="0.25">
      <c r="B30" s="124">
        <v>314</v>
      </c>
      <c r="C30" s="11" t="s">
        <v>3531</v>
      </c>
      <c r="D30" s="16">
        <f>SUMIF('IV kw.19'!M3:M501,"314*",'IV kw.19'!F3:F501)</f>
        <v>3</v>
      </c>
      <c r="E30" s="108">
        <v>2153</v>
      </c>
      <c r="F30" s="11" t="s">
        <v>3506</v>
      </c>
      <c r="G30" s="16">
        <f>SUMIF('IV kw.19'!M3:M468,"2153*",'IV kw.19'!F3:F468)</f>
        <v>3</v>
      </c>
      <c r="H30" s="132">
        <v>7522</v>
      </c>
      <c r="I30" s="11" t="s">
        <v>3554</v>
      </c>
      <c r="J30" s="16">
        <f>SUMIF('IV kw.19'!M3:M501,"7522*",'IV kw.19'!F3:F501)</f>
        <v>1</v>
      </c>
      <c r="K30" s="89"/>
      <c r="L30" s="20"/>
      <c r="M30" s="20"/>
      <c r="N30" s="6"/>
      <c r="O30" s="7"/>
      <c r="P30" s="92"/>
      <c r="Y30" s="2">
        <f>SUM(Y24:Y29)</f>
        <v>2</v>
      </c>
    </row>
    <row r="31" spans="2:25" x14ac:dyDescent="0.25">
      <c r="B31" s="125">
        <v>35</v>
      </c>
      <c r="C31" s="11" t="s">
        <v>3536</v>
      </c>
      <c r="D31" s="16">
        <f>SUMIF('IV kw.19'!M3:M501,"35*",'IV kw.19'!F3:F501)</f>
        <v>1</v>
      </c>
      <c r="E31" s="118">
        <v>25</v>
      </c>
      <c r="F31" s="11" t="s">
        <v>3513</v>
      </c>
      <c r="G31" s="16">
        <f>SUMIF('IV kw.19'!M3:M468,"25*",'IV kw.19'!F3:F468)</f>
        <v>25</v>
      </c>
      <c r="J31" s="18">
        <f>SUM(J18:J30)</f>
        <v>19</v>
      </c>
      <c r="K31" s="89"/>
      <c r="L31" s="20"/>
      <c r="M31" s="20"/>
      <c r="N31" s="131">
        <v>753</v>
      </c>
      <c r="O31" s="11" t="s">
        <v>3556</v>
      </c>
      <c r="P31" s="95">
        <f>SUMIF('IV kw.19'!M3:M501,"753*",'IV kw.19'!F3:F501)</f>
        <v>0</v>
      </c>
    </row>
    <row r="32" spans="2:25" x14ac:dyDescent="0.25">
      <c r="B32" s="119">
        <v>6</v>
      </c>
      <c r="C32" s="11" t="s">
        <v>3543</v>
      </c>
      <c r="D32" s="16">
        <f>SUMIF('IV kw.19'!M3:M501,"6*",'IV kw.19'!F3:F501)</f>
        <v>0</v>
      </c>
      <c r="E32" s="130">
        <v>74</v>
      </c>
      <c r="F32" s="11" t="s">
        <v>3547</v>
      </c>
      <c r="G32" s="16">
        <f>SUMIF('IV kw.19'!M3:M468,"74*",'IV kw.19'!F3:F468)</f>
        <v>5</v>
      </c>
      <c r="H32" s="89"/>
      <c r="I32" s="20"/>
      <c r="K32" s="20"/>
      <c r="L32" s="20"/>
      <c r="M32" s="20"/>
      <c r="N32" s="131">
        <v>7541</v>
      </c>
      <c r="O32" s="11" t="s">
        <v>3557</v>
      </c>
      <c r="P32" s="95">
        <f>SUMIF('IV kw.19'!M3:M501,"7541*",'IV kw.19'!F3:F501)</f>
        <v>0</v>
      </c>
    </row>
    <row r="33" spans="2:20" x14ac:dyDescent="0.25">
      <c r="B33" s="130">
        <v>72</v>
      </c>
      <c r="C33" s="11" t="s">
        <v>3545</v>
      </c>
      <c r="D33" s="16">
        <f>SUMIF('IV kw.19'!M3:M501,"72*",'IV kw.19'!F3:F501)</f>
        <v>6</v>
      </c>
      <c r="G33" s="2">
        <f>SUM(G18:G32)</f>
        <v>56</v>
      </c>
      <c r="N33" s="127">
        <v>54</v>
      </c>
      <c r="O33" s="11" t="s">
        <v>3588</v>
      </c>
      <c r="P33" s="95">
        <f>SUMIF('IV kw.19'!M3:M501,"54*",'IV kw.19'!F3:F501)</f>
        <v>0</v>
      </c>
    </row>
    <row r="34" spans="2:20" x14ac:dyDescent="0.25">
      <c r="B34" s="130">
        <v>73</v>
      </c>
      <c r="C34" s="11" t="s">
        <v>3546</v>
      </c>
      <c r="D34" s="16">
        <f>SUMIF('IV kw.19'!M3:M501,"73*",'IV kw.19'!F3:F501)</f>
        <v>0</v>
      </c>
      <c r="P34" s="2">
        <f>SUM(P31:P33)</f>
        <v>0</v>
      </c>
    </row>
    <row r="35" spans="2:20" x14ac:dyDescent="0.25">
      <c r="B35" s="131">
        <v>7511</v>
      </c>
      <c r="C35" s="11" t="s">
        <v>3548</v>
      </c>
      <c r="D35" s="16">
        <f>SUMIF('IV kw.19'!M3:M501,"7511*",'IV kw.19'!F3:F501)</f>
        <v>0</v>
      </c>
      <c r="T35" s="37"/>
    </row>
    <row r="36" spans="2:20" x14ac:dyDescent="0.25">
      <c r="B36" s="131">
        <v>7513</v>
      </c>
      <c r="C36" s="11" t="s">
        <v>3550</v>
      </c>
      <c r="D36" s="16">
        <f>SUMIF('IV kw.19'!M3:M501,"7513*",'IV kw.19'!F3:F501)</f>
        <v>0</v>
      </c>
      <c r="T36" s="37"/>
    </row>
    <row r="37" spans="2:20" x14ac:dyDescent="0.25">
      <c r="B37" s="131">
        <v>7514</v>
      </c>
      <c r="C37" s="11" t="s">
        <v>3551</v>
      </c>
      <c r="D37" s="16">
        <f>SUMIF('IV kw.19'!M3:M501,"7514*",'IV kw.19'!F3:F501)</f>
        <v>1</v>
      </c>
      <c r="T37" s="37"/>
    </row>
    <row r="38" spans="2:20" x14ac:dyDescent="0.25">
      <c r="B38" s="131">
        <v>7523</v>
      </c>
      <c r="C38" s="11" t="s">
        <v>3555</v>
      </c>
      <c r="D38" s="16">
        <f>SUMIF('IV kw.19'!M3:M501,"7523*",'IV kw.19'!F3:F501)</f>
        <v>0</v>
      </c>
      <c r="T38" s="37"/>
    </row>
    <row r="39" spans="2:20" x14ac:dyDescent="0.25">
      <c r="B39" s="131">
        <v>7542</v>
      </c>
      <c r="C39" s="11" t="s">
        <v>3558</v>
      </c>
      <c r="D39" s="16">
        <f>SUMIF('IV kw.19'!M3:M501,"7542*",'IV kw.19'!F3:F501)</f>
        <v>0</v>
      </c>
      <c r="T39" s="37"/>
    </row>
    <row r="40" spans="2:20" x14ac:dyDescent="0.25">
      <c r="B40" s="131">
        <v>7543</v>
      </c>
      <c r="C40" s="11" t="s">
        <v>3559</v>
      </c>
      <c r="D40" s="16">
        <f>SUMIF('IV kw.19'!M3:M501,"7543*",'IV kw.19'!F3:F501)</f>
        <v>0</v>
      </c>
    </row>
    <row r="41" spans="2:20" x14ac:dyDescent="0.25">
      <c r="B41" s="131">
        <v>7544</v>
      </c>
      <c r="C41" s="11" t="s">
        <v>3560</v>
      </c>
      <c r="D41" s="16">
        <f>SUMIF('IV kw.19'!M3:M501,"7544*",'IV kw.19'!F3:F501)</f>
        <v>0</v>
      </c>
    </row>
    <row r="42" spans="2:20" x14ac:dyDescent="0.25">
      <c r="B42" s="134">
        <v>81</v>
      </c>
      <c r="C42" s="11" t="s">
        <v>3562</v>
      </c>
      <c r="D42" s="16">
        <f>SUMIF('IV kw.19'!M3:M501,"81*",'IV kw.19'!F3:F501)</f>
        <v>4</v>
      </c>
    </row>
    <row r="43" spans="2:20" x14ac:dyDescent="0.25">
      <c r="B43" s="134">
        <v>82</v>
      </c>
      <c r="C43" s="11" t="s">
        <v>3563</v>
      </c>
      <c r="D43" s="16">
        <f>SUMIF('IV kw.19'!M3:M501,"82*",'IV kw.19'!F3:F501)</f>
        <v>0</v>
      </c>
    </row>
    <row r="44" spans="2:20" x14ac:dyDescent="0.25">
      <c r="B44" s="120">
        <v>13</v>
      </c>
      <c r="C44" s="11" t="s">
        <v>3577</v>
      </c>
      <c r="D44" s="16">
        <f>SUMIF('IV kw.19'!M3:M501,"13*",'IV kw.19'!F3:F501)</f>
        <v>11</v>
      </c>
    </row>
    <row r="45" spans="2:20" x14ac:dyDescent="0.25">
      <c r="B45" s="108">
        <v>2163</v>
      </c>
      <c r="C45" s="11" t="s">
        <v>3579</v>
      </c>
      <c r="D45" s="16">
        <f>SUMIF('IV kw.19'!M3:M501,"2163*",'IV kw.19'!F3:F501)</f>
        <v>0</v>
      </c>
    </row>
    <row r="46" spans="2:20" x14ac:dyDescent="0.25">
      <c r="B46" s="108">
        <v>2133</v>
      </c>
      <c r="C46" s="11" t="s">
        <v>3584</v>
      </c>
      <c r="D46" s="16">
        <f>SUMIF('IV kw.19'!M3:M501,"2133*",'IV kw.19'!F3:F501)</f>
        <v>2</v>
      </c>
    </row>
    <row r="47" spans="2:20" x14ac:dyDescent="0.25">
      <c r="B47" s="37"/>
      <c r="D47" s="2">
        <f>SUM(D18:D46)</f>
        <v>60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8"/>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EXACT(E15,J15)</f>
        <v>1</v>
      </c>
    </row>
    <row r="2" spans="2:21" x14ac:dyDescent="0.25">
      <c r="B2" s="1" t="s">
        <v>3461</v>
      </c>
      <c r="C2" s="2"/>
      <c r="D2" s="1"/>
      <c r="E2" s="1"/>
      <c r="H2" s="1" t="s">
        <v>3466</v>
      </c>
      <c r="O2" s="3" t="b">
        <f ca="1">EXACT(E15,P16)</f>
        <v>1</v>
      </c>
    </row>
    <row r="3" spans="2:21" ht="45" x14ac:dyDescent="0.25">
      <c r="B3" s="244" t="s">
        <v>171</v>
      </c>
      <c r="C3" s="244" t="s">
        <v>172</v>
      </c>
      <c r="D3" s="244" t="s">
        <v>3468</v>
      </c>
      <c r="E3" s="244" t="s">
        <v>3483</v>
      </c>
      <c r="F3" s="244" t="s">
        <v>3467</v>
      </c>
      <c r="H3" s="193" t="s">
        <v>3462</v>
      </c>
      <c r="I3" s="193" t="s">
        <v>3465</v>
      </c>
      <c r="J3" s="193" t="s">
        <v>3514</v>
      </c>
      <c r="R3" s="3" t="s">
        <v>6394</v>
      </c>
      <c r="S3" s="20"/>
      <c r="T3" s="3" t="s">
        <v>6394</v>
      </c>
      <c r="U3" s="20"/>
    </row>
    <row r="4" spans="2:21" x14ac:dyDescent="0.25">
      <c r="B4" s="12" t="s">
        <v>3515</v>
      </c>
      <c r="C4" s="17" t="s">
        <v>3460</v>
      </c>
      <c r="D4" s="26">
        <v>563</v>
      </c>
      <c r="E4" s="26">
        <v>523</v>
      </c>
      <c r="F4" s="12"/>
      <c r="H4" s="11" t="s">
        <v>3463</v>
      </c>
      <c r="I4" s="12">
        <f>COUNTIF('I kw.20'!E3:E899,"praca")</f>
        <v>71</v>
      </c>
      <c r="J4" s="12" t="s">
        <v>3515</v>
      </c>
      <c r="N4" s="12">
        <v>1</v>
      </c>
      <c r="O4" s="11" t="s">
        <v>170</v>
      </c>
      <c r="P4" s="12">
        <f>SUM(D48)</f>
        <v>47</v>
      </c>
      <c r="R4" s="12">
        <f ca="1">RANK(P4,$P$4:$P$15,0)+COUNTIF($P$4:P4,P4)-1</f>
        <v>3</v>
      </c>
      <c r="T4" s="17" t="str">
        <f ca="1">INDEX($N$4:$P$15,MATCH(1,$R$4:$R$15,0),2)</f>
        <v>Usługi finansowe, HR i inne</v>
      </c>
      <c r="U4" s="12">
        <f ca="1">INDEX($N$4:$P$15,MATCH(1,$R$4:$R$15,0),3)</f>
        <v>91</v>
      </c>
    </row>
    <row r="5" spans="2:21" x14ac:dyDescent="0.25">
      <c r="B5" s="12" t="s">
        <v>3516</v>
      </c>
      <c r="C5" s="17" t="s">
        <v>3459</v>
      </c>
      <c r="D5" s="26">
        <v>466</v>
      </c>
      <c r="E5" s="26">
        <v>477</v>
      </c>
      <c r="F5" s="12"/>
      <c r="H5" s="11" t="s">
        <v>192</v>
      </c>
      <c r="I5" s="12">
        <f>COUNTIF('I kw.20'!E3:E899,"pracuj.pl")</f>
        <v>161</v>
      </c>
      <c r="J5" s="12" t="s">
        <v>3516</v>
      </c>
      <c r="N5" s="12">
        <v>2</v>
      </c>
      <c r="O5" s="11" t="s">
        <v>2</v>
      </c>
      <c r="P5" s="12">
        <f ca="1">SUM(G34)</f>
        <v>38</v>
      </c>
      <c r="R5" s="12">
        <f ca="1">RANK(P5,$P$4:$P$15,0)+COUNTIF($P$4:P5,P5)-1</f>
        <v>4</v>
      </c>
      <c r="T5" s="17" t="str">
        <f ca="1">INDEX($N$4:$P$15,MATCH(2,$R$4:$R$15,0),2)</f>
        <v>Handel, transport, logistyka</v>
      </c>
      <c r="U5" s="12">
        <f ca="1">INDEX($N$4:$P$15,MATCH(2,$R$4:$R$15,0),3)</f>
        <v>52</v>
      </c>
    </row>
    <row r="6" spans="2:21" x14ac:dyDescent="0.25">
      <c r="B6" s="12" t="s">
        <v>3517</v>
      </c>
      <c r="C6" s="17" t="s">
        <v>3458</v>
      </c>
      <c r="D6" s="26">
        <v>365</v>
      </c>
      <c r="E6" s="26">
        <v>386</v>
      </c>
      <c r="F6" s="12"/>
      <c r="H6" s="11" t="s">
        <v>217</v>
      </c>
      <c r="I6" s="12">
        <f>COUNTIF('I kw.20'!E3:E899,"agora")</f>
        <v>9</v>
      </c>
      <c r="J6" s="12" t="s">
        <v>3517</v>
      </c>
      <c r="N6" s="12">
        <v>3</v>
      </c>
      <c r="O6" s="11" t="s">
        <v>3</v>
      </c>
      <c r="P6" s="12">
        <f>SUM(J32)</f>
        <v>8</v>
      </c>
      <c r="R6" s="12">
        <f ca="1">RANK(P6,$P$4:$P$15,0)+COUNTIF($P$4:P6,P6)-1</f>
        <v>7</v>
      </c>
      <c r="T6" s="17" t="str">
        <f ca="1">INDEX($N$4:$P$15,MATCH(3,$R$4:$R$15,0),2)</f>
        <v>Przemysł produkcyjny</v>
      </c>
      <c r="U6" s="12">
        <f ca="1">INDEX($N$4:$P$15,MATCH(3,$R$4:$R$15,0),3)</f>
        <v>47</v>
      </c>
    </row>
    <row r="7" spans="2:21" x14ac:dyDescent="0.25">
      <c r="B7" s="12" t="s">
        <v>3518</v>
      </c>
      <c r="C7" s="17" t="s">
        <v>3457</v>
      </c>
      <c r="D7" s="26">
        <v>461</v>
      </c>
      <c r="E7" s="26">
        <v>444</v>
      </c>
      <c r="F7" s="12"/>
      <c r="H7" s="11" t="s">
        <v>3464</v>
      </c>
      <c r="I7" s="12">
        <f>COUNTIF('I kw.20'!E3:E899,"gratka")</f>
        <v>8</v>
      </c>
      <c r="J7" s="12" t="s">
        <v>3518</v>
      </c>
      <c r="N7" s="12">
        <v>4</v>
      </c>
      <c r="O7" s="11" t="s">
        <v>3589</v>
      </c>
      <c r="P7" s="12">
        <f>SUM(M25)</f>
        <v>52</v>
      </c>
      <c r="R7" s="12">
        <f ca="1">RANK(P7,$P$4:$P$15,0)+COUNTIF($P$4:P7,P7)-1</f>
        <v>2</v>
      </c>
      <c r="T7" s="17" t="str">
        <f ca="1">INDEX($N$4:$P$15,MATCH(4,$R$4:$R$15,0),2)</f>
        <v>Przemysł high-tech</v>
      </c>
      <c r="U7" s="12">
        <f ca="1">INDEX($N$4:$P$15,MATCH(4,$R$4:$R$15,0),3)</f>
        <v>38</v>
      </c>
    </row>
    <row r="8" spans="2:21" x14ac:dyDescent="0.25">
      <c r="B8" s="12" t="s">
        <v>13071</v>
      </c>
      <c r="C8" s="17" t="s">
        <v>173</v>
      </c>
      <c r="D8" s="26">
        <v>720</v>
      </c>
      <c r="E8" s="26">
        <v>704</v>
      </c>
      <c r="F8" s="12"/>
      <c r="H8" s="184"/>
      <c r="I8" s="183">
        <f>SUM(I4:I7)</f>
        <v>249</v>
      </c>
      <c r="J8" s="184"/>
      <c r="N8" s="12">
        <v>5</v>
      </c>
      <c r="O8" s="11" t="s">
        <v>13096</v>
      </c>
      <c r="P8" s="12">
        <f>SUM(P24)</f>
        <v>91</v>
      </c>
      <c r="R8" s="12">
        <f ca="1">RANK(P8,$P$4:$P$15,0)+COUNTIF($P$4:P8,P8)-1</f>
        <v>1</v>
      </c>
      <c r="T8" s="17" t="str">
        <f ca="1">INDEX($N$4:$P$15,MATCH(5,$R$4:$R$15,0),2)</f>
        <v>Zdrowie i opieka społeczna</v>
      </c>
      <c r="U8" s="12">
        <f ca="1">INDEX($N$4:$P$15,MATCH(5,$R$4:$R$15,0),3)</f>
        <v>13</v>
      </c>
    </row>
    <row r="9" spans="2:21" x14ac:dyDescent="0.25">
      <c r="B9" s="12">
        <v>1</v>
      </c>
      <c r="C9" s="17" t="s">
        <v>175</v>
      </c>
      <c r="D9" s="26">
        <v>86</v>
      </c>
      <c r="E9" s="26">
        <v>122</v>
      </c>
      <c r="F9" s="12"/>
      <c r="H9" s="1" t="s">
        <v>3570</v>
      </c>
      <c r="N9" s="12">
        <v>6</v>
      </c>
      <c r="O9" s="11" t="s">
        <v>134</v>
      </c>
      <c r="P9" s="12">
        <f>SUM(P29)</f>
        <v>0</v>
      </c>
      <c r="R9" s="12">
        <f ca="1">RANK(P9,$P$4:$P$15,0)+COUNTIF($P$4:P9,P9)-1</f>
        <v>8</v>
      </c>
      <c r="T9" s="17" t="str">
        <f ca="1">INDEX($N$4:$P$15,MATCH(6,$R$4:$R$15,0),2)</f>
        <v>Informacja i edukcja</v>
      </c>
      <c r="U9" s="12">
        <f ca="1">INDEX($N$4:$P$15,MATCH(6,$R$4:$R$15,0),3)</f>
        <v>9</v>
      </c>
    </row>
    <row r="10" spans="2:21" x14ac:dyDescent="0.25">
      <c r="B10" s="12">
        <v>2</v>
      </c>
      <c r="C10" s="17" t="s">
        <v>174</v>
      </c>
      <c r="D10" s="26">
        <v>377</v>
      </c>
      <c r="E10" s="26">
        <v>410</v>
      </c>
      <c r="F10" s="12"/>
      <c r="H10" s="11" t="s">
        <v>3469</v>
      </c>
      <c r="I10" s="11" t="s">
        <v>3568</v>
      </c>
      <c r="J10" s="12">
        <f ca="1">SUM(D48,G34,J32)</f>
        <v>93</v>
      </c>
      <c r="N10" s="12">
        <v>7</v>
      </c>
      <c r="O10" s="11" t="s">
        <v>3590</v>
      </c>
      <c r="P10" s="12">
        <f>SUM(P35)</f>
        <v>0</v>
      </c>
      <c r="R10" s="12">
        <f ca="1">RANK(P10,$P$4:$P$15,0)+COUNTIF($P$4:P10,P10)-1</f>
        <v>9</v>
      </c>
      <c r="T10" s="17" t="str">
        <f ca="1">INDEX($N$4:$P$15,MATCH(7,$R$4:$R$15,0),2)</f>
        <v>Budownictwo</v>
      </c>
      <c r="U10" s="12">
        <f ca="1">INDEX($N$4:$P$15,MATCH(7,$R$4:$R$15,0),3)</f>
        <v>8</v>
      </c>
    </row>
    <row r="11" spans="2:21" x14ac:dyDescent="0.25">
      <c r="B11" s="12" t="s">
        <v>13072</v>
      </c>
      <c r="C11" s="17" t="s">
        <v>3486</v>
      </c>
      <c r="D11" s="26">
        <f>SUM(D9:D10)</f>
        <v>463</v>
      </c>
      <c r="E11" s="26">
        <f>SUM(E9:E10)</f>
        <v>532</v>
      </c>
      <c r="F11" s="12"/>
      <c r="H11" s="11" t="s">
        <v>3470</v>
      </c>
      <c r="I11" s="11" t="s">
        <v>3566</v>
      </c>
      <c r="J11" s="12">
        <f>SUM(M25,P24,P29,P35,S22)</f>
        <v>156</v>
      </c>
      <c r="N11" s="12">
        <v>8</v>
      </c>
      <c r="O11" s="11" t="s">
        <v>4</v>
      </c>
      <c r="P11" s="12">
        <f>SUM(S22)</f>
        <v>13</v>
      </c>
      <c r="R11" s="12">
        <f ca="1">RANK(P11,$P$4:$P$15,0)+COUNTIF($P$4:P11,P11)-1</f>
        <v>5</v>
      </c>
      <c r="T11" s="17" t="str">
        <f ca="1">INDEX($N$4:$P$15,MATCH(8,$R$4:$R$15,0),2)</f>
        <v>Usługi gastronomiczne</v>
      </c>
      <c r="U11" s="12">
        <f ca="1">INDEX($N$4:$P$15,MATCH(8,$R$4:$R$15,0),3)</f>
        <v>0</v>
      </c>
    </row>
    <row r="12" spans="2:21" x14ac:dyDescent="0.25">
      <c r="B12" s="12">
        <v>3</v>
      </c>
      <c r="C12" s="17" t="s">
        <v>3481</v>
      </c>
      <c r="D12" s="12">
        <v>180</v>
      </c>
      <c r="E12" s="12">
        <v>231</v>
      </c>
      <c r="F12" s="12"/>
      <c r="H12" s="11" t="s">
        <v>3471</v>
      </c>
      <c r="I12" s="11" t="s">
        <v>3567</v>
      </c>
      <c r="J12" s="12">
        <f>SUM(V22,V28)</f>
        <v>9</v>
      </c>
      <c r="N12" s="12">
        <v>9</v>
      </c>
      <c r="O12" s="11" t="s">
        <v>3591</v>
      </c>
      <c r="P12" s="12">
        <f>SUM(V22)</f>
        <v>9</v>
      </c>
      <c r="R12" s="12">
        <f ca="1">RANK(P12,$P$4:$P$15,0)+COUNTIF($P$4:P12,P12)-1</f>
        <v>6</v>
      </c>
      <c r="T12" s="17" t="str">
        <f ca="1">INDEX($N$4:$P$15,MATCH(9,$R$4:$R$15,0),2)</f>
        <v>Usługi typu krawiectwo, kaletnictwo, obuwnictwo + poszukiwanie + ochrona</v>
      </c>
      <c r="U12" s="12">
        <f ca="1">INDEX($N$4:$P$15,MATCH(9,$R$4:$R$15,0),3)</f>
        <v>0</v>
      </c>
    </row>
    <row r="13" spans="2:21" x14ac:dyDescent="0.25">
      <c r="B13" s="12">
        <v>4</v>
      </c>
      <c r="C13" s="17" t="s">
        <v>3482</v>
      </c>
      <c r="D13" s="12">
        <v>361</v>
      </c>
      <c r="E13" s="12">
        <v>378</v>
      </c>
      <c r="F13" s="12"/>
      <c r="H13" s="11" t="s">
        <v>3472</v>
      </c>
      <c r="I13" s="11" t="s">
        <v>6</v>
      </c>
      <c r="J13" s="12">
        <f>SUM(Y21)</f>
        <v>0</v>
      </c>
      <c r="N13" s="12">
        <v>10</v>
      </c>
      <c r="O13" s="11" t="s">
        <v>0</v>
      </c>
      <c r="P13" s="12">
        <f>SUM(V28)</f>
        <v>0</v>
      </c>
      <c r="R13" s="12">
        <f ca="1">RANK(P13,$P$4:$P$15,0)+COUNTIF($P$4:P13,P13)-1</f>
        <v>10</v>
      </c>
      <c r="T13" s="17" t="str">
        <f ca="1">INDEX($N$4:$P$15,MATCH(10,$R$4:$R$15,0),2)</f>
        <v>Nadzór i administracja</v>
      </c>
      <c r="U13" s="12">
        <f ca="1">INDEX($N$4:$P$15,MATCH(10,$R$4:$R$15,0),3)</f>
        <v>0</v>
      </c>
    </row>
    <row r="14" spans="2:21" x14ac:dyDescent="0.25">
      <c r="B14" s="12" t="s">
        <v>13073</v>
      </c>
      <c r="C14" s="17" t="s">
        <v>3487</v>
      </c>
      <c r="D14" s="26">
        <f>SUM(D12:D13)</f>
        <v>541</v>
      </c>
      <c r="E14" s="26">
        <f>SUM(E12:E13)</f>
        <v>609</v>
      </c>
      <c r="F14" s="12"/>
      <c r="H14" s="247"/>
      <c r="I14" s="11" t="s">
        <v>3574</v>
      </c>
      <c r="J14" s="12">
        <f>SUM(Y31)</f>
        <v>0</v>
      </c>
      <c r="N14" s="12">
        <v>11</v>
      </c>
      <c r="O14" s="11" t="s">
        <v>6</v>
      </c>
      <c r="P14" s="12">
        <f>SUM(Y21)</f>
        <v>0</v>
      </c>
      <c r="R14" s="12">
        <f ca="1">RANK(P14,$P$4:$P$15,0)+COUNTIF($P$4:P14,P14)-1</f>
        <v>11</v>
      </c>
      <c r="T14" s="17" t="str">
        <f ca="1">INDEX($N$4:$P$15,MATCH(11,$R$4:$R$15,0),2)</f>
        <v>Prace proste</v>
      </c>
      <c r="U14" s="12">
        <f ca="1">INDEX($N$4:$P$15,MATCH(11,$R$4:$R$15,0),3)</f>
        <v>0</v>
      </c>
    </row>
    <row r="15" spans="2:21" x14ac:dyDescent="0.25">
      <c r="B15" s="107">
        <v>5</v>
      </c>
      <c r="C15" s="106" t="s">
        <v>6392</v>
      </c>
      <c r="D15" s="105">
        <v>249</v>
      </c>
      <c r="E15" s="105">
        <v>258</v>
      </c>
      <c r="F15" s="107" t="s">
        <v>13069</v>
      </c>
      <c r="H15" s="184"/>
      <c r="I15" s="184"/>
      <c r="J15" s="183">
        <f ca="1">SUM(J10:J14)</f>
        <v>258</v>
      </c>
      <c r="N15" s="12">
        <v>12</v>
      </c>
      <c r="O15" s="17" t="s">
        <v>3574</v>
      </c>
      <c r="P15" s="12">
        <f>SUM(Y31)</f>
        <v>0</v>
      </c>
      <c r="R15" s="12">
        <f ca="1">RANK(P15,$P$4:$P$15,0)+COUNTIF($P$4:P15,P15)-1</f>
        <v>12</v>
      </c>
      <c r="T15" s="17" t="str">
        <f ca="1">INDEX($N$4:$P$15,MATCH(12,$R$4:$R$15,0),2)</f>
        <v>Pozostałe grupy</v>
      </c>
      <c r="U15" s="12">
        <f ca="1">INDEX($N$4:$P$15,MATCH(12,$R$4:$R$15,0),3)</f>
        <v>0</v>
      </c>
    </row>
    <row r="16" spans="2:21" x14ac:dyDescent="0.25">
      <c r="B16" s="18"/>
      <c r="C16" s="89"/>
      <c r="D16" s="135"/>
      <c r="E16" s="135"/>
      <c r="F16" s="20"/>
      <c r="N16" s="242"/>
      <c r="O16" s="242"/>
      <c r="P16" s="243">
        <f ca="1">SUM(P4:P15)</f>
        <v>258</v>
      </c>
      <c r="R16" s="242"/>
      <c r="T16" s="243"/>
      <c r="U16" s="246">
        <f ca="1">SUM(U4:U15)</f>
        <v>258</v>
      </c>
    </row>
    <row r="17" spans="2:25" x14ac:dyDescent="0.25">
      <c r="B17" s="1" t="s">
        <v>170</v>
      </c>
      <c r="C17" s="1"/>
      <c r="D17" s="1"/>
      <c r="E17" s="1" t="s">
        <v>2</v>
      </c>
      <c r="F17" s="1"/>
      <c r="G17" s="1"/>
      <c r="H17" s="1" t="s">
        <v>3</v>
      </c>
      <c r="I17" s="1"/>
      <c r="J17" s="1"/>
      <c r="K17" s="1" t="s">
        <v>3589</v>
      </c>
      <c r="L17" s="1"/>
      <c r="M17" s="1"/>
      <c r="N17" s="1" t="s">
        <v>1</v>
      </c>
      <c r="O17" s="1"/>
      <c r="P17" s="1"/>
      <c r="Q17" s="1" t="s">
        <v>4</v>
      </c>
      <c r="R17" s="1"/>
      <c r="S17" s="1"/>
      <c r="T17" s="1" t="s">
        <v>5</v>
      </c>
      <c r="U17" s="1"/>
      <c r="V17" s="1"/>
      <c r="W17" s="1" t="s">
        <v>6</v>
      </c>
      <c r="X17" s="1"/>
    </row>
    <row r="18" spans="2:25" x14ac:dyDescent="0.25">
      <c r="B18" s="4"/>
      <c r="C18" s="5"/>
      <c r="D18" s="4"/>
      <c r="E18" s="21"/>
      <c r="F18" s="22"/>
      <c r="G18" s="88"/>
      <c r="H18" s="13"/>
      <c r="I18" s="13"/>
      <c r="J18" s="88"/>
      <c r="K18" s="114"/>
      <c r="L18" s="113"/>
      <c r="M18" s="88"/>
      <c r="N18" s="6"/>
      <c r="O18" s="7"/>
      <c r="P18" s="88"/>
      <c r="Q18" s="8"/>
      <c r="R18" s="9"/>
      <c r="S18" s="93"/>
      <c r="T18" s="98"/>
      <c r="U18" s="99"/>
      <c r="V18" s="93"/>
      <c r="W18" s="101"/>
      <c r="X18" s="102"/>
      <c r="Y18" s="92"/>
    </row>
    <row r="19" spans="2:25" x14ac:dyDescent="0.25">
      <c r="B19" s="108">
        <v>2141</v>
      </c>
      <c r="C19" s="12" t="s">
        <v>3569</v>
      </c>
      <c r="D19" s="16">
        <f>SUMIF('I kw.20'!U3:U499,"2141*",'I kw.20'!F3:F499)</f>
        <v>2</v>
      </c>
      <c r="E19" s="108">
        <v>2113</v>
      </c>
      <c r="F19" s="11" t="s">
        <v>3491</v>
      </c>
      <c r="G19" s="16">
        <f ca="1">SUMIF('I kw.20'!U3:U499,"2113*",'I kw.20'!F3:F466)</f>
        <v>1</v>
      </c>
      <c r="H19" s="122">
        <v>2142</v>
      </c>
      <c r="I19" s="11" t="s">
        <v>3494</v>
      </c>
      <c r="J19" s="16">
        <f>SUMIF('I kw.20'!U3:U499,"2142*",'I kw.20'!F3:F499)</f>
        <v>1</v>
      </c>
      <c r="K19" s="123">
        <v>315</v>
      </c>
      <c r="L19" s="11" t="s">
        <v>3532</v>
      </c>
      <c r="M19" s="112">
        <f>SUMIF('I kw.20'!U3:U499,"315*",'I kw.20'!F3:F499)</f>
        <v>0</v>
      </c>
      <c r="N19" s="108">
        <v>2166</v>
      </c>
      <c r="O19" s="11" t="s">
        <v>3510</v>
      </c>
      <c r="P19" s="95">
        <f>SUMIF('I kw.20'!U3:U499,"2166*",'I kw.20'!F3:F499)</f>
        <v>0</v>
      </c>
      <c r="Q19" s="118">
        <v>22</v>
      </c>
      <c r="R19" s="11" t="s">
        <v>3511</v>
      </c>
      <c r="S19" s="96">
        <f>SUMIF('I kw.20'!U3:U499,"22*",'I kw.20'!F3:F499)</f>
        <v>6</v>
      </c>
      <c r="T19" s="118">
        <v>23</v>
      </c>
      <c r="U19" s="11" t="s">
        <v>3512</v>
      </c>
      <c r="V19" s="91">
        <f>SUMIF('I kw.20'!U3:U499,"23*",'I kw.20'!F3:F499)</f>
        <v>1</v>
      </c>
      <c r="W19" s="131">
        <v>7549</v>
      </c>
      <c r="X19" s="11" t="s">
        <v>3561</v>
      </c>
      <c r="Y19" s="97">
        <f>SUMIF('I kw.20'!U3:U499,"7549*",'I kw.20'!F3:F499)</f>
        <v>0</v>
      </c>
    </row>
    <row r="20" spans="2:25" x14ac:dyDescent="0.25">
      <c r="B20" s="108">
        <v>2132</v>
      </c>
      <c r="C20" s="11" t="s">
        <v>3493</v>
      </c>
      <c r="D20" s="195">
        <f>SUMIF('I kw.20'!U3:U499,"2132*",'I kw.20'!F3:F499)</f>
        <v>0</v>
      </c>
      <c r="E20" s="108">
        <v>2145</v>
      </c>
      <c r="F20" s="11" t="s">
        <v>3496</v>
      </c>
      <c r="G20" s="16">
        <f ca="1">SUMIF('I kw.20'!U3:U499,"2145*",'I kw.20'!F3:F466)</f>
        <v>0</v>
      </c>
      <c r="H20" s="122">
        <v>2143</v>
      </c>
      <c r="I20" s="11" t="s">
        <v>93</v>
      </c>
      <c r="J20" s="16">
        <f>SUMIF('I kw.20'!U3:U499,"2143*",'I kw.20'!F3:F499)</f>
        <v>0</v>
      </c>
      <c r="K20" s="117">
        <v>42</v>
      </c>
      <c r="L20" s="11" t="s">
        <v>3537</v>
      </c>
      <c r="M20" s="112">
        <f>SUMIF('I kw.20'!U3:U499,"42*",'I kw.20'!F3:F499)</f>
        <v>6</v>
      </c>
      <c r="N20" s="118">
        <v>24</v>
      </c>
      <c r="O20" s="11" t="s">
        <v>3571</v>
      </c>
      <c r="P20" s="95">
        <f>SUMIF('I kw.20'!U3:U499,"24*",'I kw.20'!F3:F499)</f>
        <v>43</v>
      </c>
      <c r="Q20" s="125">
        <v>32</v>
      </c>
      <c r="R20" s="11" t="s">
        <v>3533</v>
      </c>
      <c r="S20" s="96">
        <f>SUMIF('I kw.20'!U3:U499,"32*",'I kw.20'!F3:F499)</f>
        <v>7</v>
      </c>
      <c r="T20" s="118">
        <v>26</v>
      </c>
      <c r="U20" s="11" t="s">
        <v>3572</v>
      </c>
      <c r="V20" s="91">
        <f>SUMIF('I kw.20'!U3:U499,"26*",'I kw.20'!F3:F499)</f>
        <v>7</v>
      </c>
      <c r="W20" s="119">
        <v>9</v>
      </c>
      <c r="X20" s="11" t="s">
        <v>3565</v>
      </c>
      <c r="Y20" s="97">
        <f>SUMIF('I kw.20'!U3:U499,"9*",'I kw.20'!F3:F499)</f>
        <v>0</v>
      </c>
    </row>
    <row r="21" spans="2:25" x14ac:dyDescent="0.25">
      <c r="B21" s="108">
        <v>2146</v>
      </c>
      <c r="C21" s="11" t="s">
        <v>3497</v>
      </c>
      <c r="D21" s="16">
        <f>SUMIF('I kw.20'!U3:U499,"2146*",'I kw.20'!F3:F499)</f>
        <v>0</v>
      </c>
      <c r="E21" s="108">
        <v>2131</v>
      </c>
      <c r="F21" s="11" t="s">
        <v>3492</v>
      </c>
      <c r="G21" s="16">
        <f ca="1">SUMIF('I kw.20'!U3:U499,"2131*",'I kw.20'!F3:F466)</f>
        <v>0</v>
      </c>
      <c r="H21" s="122">
        <v>2161</v>
      </c>
      <c r="I21" s="11" t="s">
        <v>3507</v>
      </c>
      <c r="J21" s="16">
        <f>SUMIF('I kw.20'!U3:U499,"2161*",'I kw.20'!F3:F499)</f>
        <v>0</v>
      </c>
      <c r="K21" s="117">
        <v>43</v>
      </c>
      <c r="L21" s="11" t="s">
        <v>3538</v>
      </c>
      <c r="M21" s="112">
        <f>SUMIF('I kw.20'!U3:U499,"43*",'I kw.20'!F3:F499)</f>
        <v>4</v>
      </c>
      <c r="N21" s="125">
        <v>33</v>
      </c>
      <c r="O21" s="11" t="s">
        <v>3534</v>
      </c>
      <c r="P21" s="95">
        <f>SUMIF('I kw.20'!U3:U499,"33*",'I kw.20'!F3:F499)</f>
        <v>40</v>
      </c>
      <c r="Q21" s="127">
        <v>53</v>
      </c>
      <c r="R21" s="11" t="s">
        <v>3542</v>
      </c>
      <c r="S21" s="96">
        <f>SUMIF('I kw.20'!U3:U499,"53*",'I kw.20'!F3:F499)</f>
        <v>0</v>
      </c>
      <c r="T21" s="125">
        <v>34</v>
      </c>
      <c r="U21" s="11" t="s">
        <v>3535</v>
      </c>
      <c r="V21" s="91">
        <f>SUMIF('I kw.20'!U3:U499,"34*",'I kw.20'!F3:F499)</f>
        <v>1</v>
      </c>
      <c r="W21" s="37"/>
      <c r="Y21" s="2">
        <f>SUM(Y19:Y20)</f>
        <v>0</v>
      </c>
    </row>
    <row r="22" spans="2:25" x14ac:dyDescent="0.25">
      <c r="B22" s="121">
        <v>3113</v>
      </c>
      <c r="C22" s="11" t="s">
        <v>3520</v>
      </c>
      <c r="D22" s="16">
        <f>SUMIF('I kw.20'!U3:U499,"3113*",'I kw.20'!F3:F499)</f>
        <v>2</v>
      </c>
      <c r="E22" s="108">
        <v>2144</v>
      </c>
      <c r="F22" s="11" t="s">
        <v>3495</v>
      </c>
      <c r="G22" s="16">
        <f ca="1">SUMIF('I kw.20'!U3:U499,"2144*",'I kw.20'!F3:F466)</f>
        <v>9</v>
      </c>
      <c r="H22" s="122">
        <v>2162</v>
      </c>
      <c r="I22" s="11" t="s">
        <v>3508</v>
      </c>
      <c r="J22" s="16">
        <f>SUMIF('I kw.20'!U3:U499,"2162*",'I kw.20'!F3:F499)</f>
        <v>1</v>
      </c>
      <c r="K22" s="128">
        <v>52</v>
      </c>
      <c r="L22" s="11" t="s">
        <v>3541</v>
      </c>
      <c r="M22" s="112">
        <f>SUMIF('I kw.20'!U3:U499,"52*",'I kw.20'!F3:F499)</f>
        <v>19</v>
      </c>
      <c r="N22" s="127">
        <v>51</v>
      </c>
      <c r="O22" s="11" t="s">
        <v>3540</v>
      </c>
      <c r="P22" s="95">
        <f>SUMIF('I kw.20'!U3:U499,"51*",'I kw.20'!F3:F499)</f>
        <v>0</v>
      </c>
      <c r="Q22" s="37"/>
      <c r="S22" s="2">
        <f>SUM(S19:S21)</f>
        <v>13</v>
      </c>
      <c r="V22" s="2">
        <f>SUM(V19:V21)</f>
        <v>9</v>
      </c>
      <c r="W22" s="37"/>
    </row>
    <row r="23" spans="2:25" x14ac:dyDescent="0.25">
      <c r="B23" s="121">
        <v>3114</v>
      </c>
      <c r="C23" s="11" t="s">
        <v>3521</v>
      </c>
      <c r="D23" s="16">
        <f>SUMIF('I kw.20'!U3:U499,"3114*",'I kw.20'!F3:F499)</f>
        <v>2</v>
      </c>
      <c r="E23" s="108">
        <v>2149</v>
      </c>
      <c r="F23" s="11" t="s">
        <v>3498</v>
      </c>
      <c r="G23" s="16">
        <f ca="1">SUMIF('I kw.20'!U3:U499,"2149*",'I kw.20'!F3:F466)</f>
        <v>3</v>
      </c>
      <c r="H23" s="108">
        <v>2164</v>
      </c>
      <c r="I23" s="11" t="s">
        <v>3585</v>
      </c>
      <c r="J23" s="16">
        <f>SUMIF('I kw.20'!U3:U499,"2164*",'I kw.20'!F3:F499)</f>
        <v>0</v>
      </c>
      <c r="K23" s="133">
        <v>83</v>
      </c>
      <c r="L23" s="11" t="s">
        <v>3564</v>
      </c>
      <c r="M23" s="112">
        <f>SUMIF('I kw.20'!U3:U499,"83*",'I kw.20'!F3:F499)</f>
        <v>10</v>
      </c>
      <c r="N23" s="120">
        <v>14</v>
      </c>
      <c r="O23" s="11" t="s">
        <v>3578</v>
      </c>
      <c r="P23" s="95">
        <f>SUMIF('I kw.20'!U3:U499,"14*",'I kw.20'!F3:F499)</f>
        <v>8</v>
      </c>
      <c r="Q23" s="37"/>
      <c r="T23" s="1" t="s">
        <v>0</v>
      </c>
      <c r="U23" s="94"/>
      <c r="V23" s="20"/>
      <c r="W23" s="37" t="s">
        <v>3574</v>
      </c>
    </row>
    <row r="24" spans="2:25" x14ac:dyDescent="0.25">
      <c r="B24" s="121">
        <v>3115</v>
      </c>
      <c r="C24" s="11" t="s">
        <v>3522</v>
      </c>
      <c r="D24" s="16">
        <f>SUMIF('I kw.20'!U3:U499,"3115*",'I kw.20'!F3:F499)</f>
        <v>8</v>
      </c>
      <c r="E24" s="109">
        <v>2149</v>
      </c>
      <c r="F24" s="11" t="s">
        <v>3499</v>
      </c>
      <c r="G24" s="104" t="s">
        <v>3573</v>
      </c>
      <c r="H24" s="122">
        <v>2165</v>
      </c>
      <c r="I24" s="11" t="s">
        <v>3509</v>
      </c>
      <c r="J24" s="16">
        <f>SUMIF('I kw.20'!U3:U499,"2165*",'I kw.20'!F3:F499)</f>
        <v>1</v>
      </c>
      <c r="K24" s="120">
        <v>12</v>
      </c>
      <c r="L24" s="11" t="s">
        <v>3576</v>
      </c>
      <c r="M24" s="112">
        <f>SUMIF('I kw.20'!U3:U499,"12*",'I kw.20'!F3:F499)</f>
        <v>13</v>
      </c>
      <c r="P24" s="18">
        <f>SUM(P19:P23)</f>
        <v>91</v>
      </c>
      <c r="Q24" s="37"/>
      <c r="T24" s="98"/>
      <c r="U24" s="99"/>
      <c r="V24" s="92"/>
      <c r="W24" s="110"/>
      <c r="X24" s="111"/>
    </row>
    <row r="25" spans="2:25" x14ac:dyDescent="0.25">
      <c r="B25" s="121">
        <v>3116</v>
      </c>
      <c r="C25" s="11" t="s">
        <v>3523</v>
      </c>
      <c r="D25" s="16">
        <f>SUMIF('I kw.20'!U3:U499,"3116*",'I kw.20'!F3:F499)</f>
        <v>0</v>
      </c>
      <c r="E25" s="109">
        <v>2149</v>
      </c>
      <c r="F25" s="11" t="s">
        <v>3500</v>
      </c>
      <c r="G25" s="104" t="s">
        <v>3573</v>
      </c>
      <c r="H25" s="126">
        <v>3111</v>
      </c>
      <c r="I25" s="11" t="s">
        <v>3587</v>
      </c>
      <c r="J25" s="16">
        <f>SUMIF('I kw.20'!U3:U499,"3111*",'I kw.20'!F3:F499)</f>
        <v>0</v>
      </c>
      <c r="K25" s="89"/>
      <c r="L25" s="20"/>
      <c r="M25" s="90">
        <f>SUM(M19:M24)</f>
        <v>52</v>
      </c>
      <c r="Q25" s="37"/>
      <c r="T25" s="116">
        <v>41</v>
      </c>
      <c r="U25" s="11" t="s">
        <v>3592</v>
      </c>
      <c r="V25" s="91">
        <f>SUMIF('I kw.20'!U3:U499,"41*",'I kw.20'!F3:F499)</f>
        <v>0</v>
      </c>
      <c r="W25" s="120">
        <v>11</v>
      </c>
      <c r="X25" s="11" t="s">
        <v>3575</v>
      </c>
      <c r="Y25" s="115">
        <f>SUMIF('I kw.20'!U3:U499,"11*",'I kw.20'!F3:F499)</f>
        <v>0</v>
      </c>
    </row>
    <row r="26" spans="2:25" x14ac:dyDescent="0.25">
      <c r="B26" s="121">
        <v>3117</v>
      </c>
      <c r="C26" s="11" t="s">
        <v>3524</v>
      </c>
      <c r="D26" s="16">
        <f>SUMIF('I kw.20'!U3:U499,"3117*",'I kw.20'!F3:F499)</f>
        <v>0</v>
      </c>
      <c r="E26" s="109">
        <v>2149</v>
      </c>
      <c r="F26" s="11" t="s">
        <v>3501</v>
      </c>
      <c r="G26" s="104" t="s">
        <v>3573</v>
      </c>
      <c r="H26" s="126">
        <v>3112</v>
      </c>
      <c r="I26" s="11" t="s">
        <v>3519</v>
      </c>
      <c r="J26" s="16">
        <f>SUMIF('I kw.20'!U3:U499,"3112*",'I kw.20'!F3:F499)</f>
        <v>1</v>
      </c>
      <c r="K26" s="89"/>
      <c r="L26" s="20"/>
      <c r="M26" s="20"/>
      <c r="N26" s="100" t="s">
        <v>134</v>
      </c>
      <c r="O26" s="93"/>
      <c r="Q26" s="37"/>
      <c r="T26" s="116">
        <v>44</v>
      </c>
      <c r="U26" s="11" t="s">
        <v>3539</v>
      </c>
      <c r="V26" s="91">
        <f>SUMIF('I kw.20'!U3:U499,"44*",'I kw.20'!F3:F499)</f>
        <v>0</v>
      </c>
      <c r="W26" s="108">
        <v>2111</v>
      </c>
      <c r="X26" s="11" t="s">
        <v>3580</v>
      </c>
      <c r="Y26" s="115">
        <f>SUMIF('I kw.20'!U3:U499,"2111*",'I kw.20'!F3:F499)</f>
        <v>0</v>
      </c>
    </row>
    <row r="27" spans="2:25" x14ac:dyDescent="0.25">
      <c r="B27" s="121">
        <v>3119</v>
      </c>
      <c r="C27" s="11" t="s">
        <v>3526</v>
      </c>
      <c r="D27" s="16">
        <f>SUMIF('I kw.20'!U3:U499,"3119*",'I kw.20'!F3:F499)</f>
        <v>4</v>
      </c>
      <c r="E27" s="109">
        <v>2149</v>
      </c>
      <c r="F27" s="11" t="s">
        <v>3502</v>
      </c>
      <c r="G27" s="104" t="s">
        <v>3573</v>
      </c>
      <c r="H27" s="126">
        <v>3118</v>
      </c>
      <c r="I27" s="11" t="s">
        <v>3525</v>
      </c>
      <c r="J27" s="16">
        <f>SUMIF('I kw.20'!U3:U499,"3118*",'I kw.20'!F3:F499)</f>
        <v>0</v>
      </c>
      <c r="K27" s="89"/>
      <c r="L27" s="20"/>
      <c r="M27" s="20"/>
      <c r="N27" s="6"/>
      <c r="O27" s="7"/>
      <c r="Q27" s="37"/>
      <c r="T27" s="131">
        <v>7515</v>
      </c>
      <c r="U27" s="11" t="s">
        <v>3552</v>
      </c>
      <c r="V27" s="204">
        <f>SUMIF('I kw.20'!U3:U499,"7515*",'I kw.20'!F3:F499)</f>
        <v>0</v>
      </c>
      <c r="W27" s="108">
        <v>2112</v>
      </c>
      <c r="X27" s="11" t="s">
        <v>3581</v>
      </c>
      <c r="Y27" s="115">
        <f>SUMIF('I kw.20'!U3:U499,"2112*",'I kw.20'!F3:F499)</f>
        <v>0</v>
      </c>
    </row>
    <row r="28" spans="2:25" x14ac:dyDescent="0.25">
      <c r="B28" s="121">
        <v>3121</v>
      </c>
      <c r="C28" s="11" t="s">
        <v>3527</v>
      </c>
      <c r="D28" s="16">
        <f>SUMIF('I kw.20'!U3:U499,"3121*",'I kw.20'!F3:F499)</f>
        <v>0</v>
      </c>
      <c r="E28" s="109">
        <v>2149</v>
      </c>
      <c r="F28" s="11" t="s">
        <v>3503</v>
      </c>
      <c r="G28" s="104" t="s">
        <v>3573</v>
      </c>
      <c r="H28" s="126">
        <v>3123</v>
      </c>
      <c r="I28" s="11" t="s">
        <v>3529</v>
      </c>
      <c r="J28" s="16">
        <f>SUMIF('I kw.20'!U3:U499,"3123*",'I kw.20'!F3:F499)</f>
        <v>0</v>
      </c>
      <c r="K28" s="89"/>
      <c r="L28" s="20"/>
      <c r="N28" s="131">
        <v>7512</v>
      </c>
      <c r="O28" s="11" t="s">
        <v>3549</v>
      </c>
      <c r="P28" s="95">
        <f>SUMIF('I kw.20'!U3:U499,"7512*",'I kw.20'!F3:F499)</f>
        <v>0</v>
      </c>
      <c r="Q28" s="37"/>
      <c r="T28" s="37"/>
      <c r="V28" s="2">
        <f>SUM(V25:V27)</f>
        <v>0</v>
      </c>
      <c r="W28" s="108">
        <v>2114</v>
      </c>
      <c r="X28" s="11" t="s">
        <v>3582</v>
      </c>
      <c r="Y28" s="115">
        <f>SUMIF('I kw.20'!U3:U499,"2114*",'I kw.20'!F3:F499)</f>
        <v>0</v>
      </c>
    </row>
    <row r="29" spans="2:25" x14ac:dyDescent="0.25">
      <c r="B29" s="121">
        <v>3122</v>
      </c>
      <c r="C29" s="11" t="s">
        <v>3528</v>
      </c>
      <c r="D29" s="16">
        <f>SUMIF('I kw.20'!U3:U499,"3122*",'I kw.20'!F3:F499)</f>
        <v>0</v>
      </c>
      <c r="E29" s="108">
        <v>2151</v>
      </c>
      <c r="F29" s="11" t="s">
        <v>3504</v>
      </c>
      <c r="G29" s="16">
        <f ca="1">SUMIF('I kw.20'!U3:U499,"2151*",'I kw.20'!F3:F466)</f>
        <v>1</v>
      </c>
      <c r="H29" s="129">
        <v>71</v>
      </c>
      <c r="I29" s="11" t="s">
        <v>3544</v>
      </c>
      <c r="J29" s="16">
        <f>SUMIF('I kw.20'!U3:U499,"71*",'I kw.20'!F3:F499)</f>
        <v>4</v>
      </c>
      <c r="K29" s="89"/>
      <c r="L29" s="20"/>
      <c r="M29" s="20"/>
      <c r="P29" s="18">
        <f>SUM(P28)</f>
        <v>0</v>
      </c>
      <c r="Q29" s="37"/>
      <c r="T29" s="37"/>
      <c r="W29" s="108">
        <v>2120</v>
      </c>
      <c r="X29" s="11" t="s">
        <v>3583</v>
      </c>
      <c r="Y29" s="115">
        <f>SUMIF('I kw.20'!U3:U499,"2120*",'I kw.20'!F3:F499)</f>
        <v>0</v>
      </c>
    </row>
    <row r="30" spans="2:25" x14ac:dyDescent="0.25">
      <c r="B30" s="124">
        <v>313</v>
      </c>
      <c r="C30" s="11" t="s">
        <v>3530</v>
      </c>
      <c r="D30" s="16">
        <f>SUMIF('I kw.20'!U3:U499,"313*",'I kw.20'!F3:F499)</f>
        <v>4</v>
      </c>
      <c r="E30" s="108">
        <v>2152</v>
      </c>
      <c r="F30" s="11" t="s">
        <v>3505</v>
      </c>
      <c r="G30" s="16">
        <f ca="1">SUMIF('I kw.20'!U3:U499,"2152*",'I kw.20'!F3:F466)</f>
        <v>1</v>
      </c>
      <c r="H30" s="132">
        <v>7521</v>
      </c>
      <c r="I30" s="11" t="s">
        <v>3553</v>
      </c>
      <c r="J30" s="16">
        <f>SUMIF('I kw.20'!U3:U499,"7521*",'I kw.20'!F3:F499)</f>
        <v>0</v>
      </c>
      <c r="K30" s="89"/>
      <c r="L30" s="20"/>
      <c r="M30" s="20"/>
      <c r="N30" s="94" t="s">
        <v>154</v>
      </c>
      <c r="O30" s="94"/>
      <c r="P30" s="18"/>
      <c r="T30" s="37"/>
      <c r="W30" s="119">
        <v>0</v>
      </c>
      <c r="X30" s="11" t="s">
        <v>3586</v>
      </c>
      <c r="Y30" s="115">
        <f>SUMIF('I kw.20'!U3:U499,"0*",'I kw.20'!F3:F499)</f>
        <v>0</v>
      </c>
    </row>
    <row r="31" spans="2:25" x14ac:dyDescent="0.25">
      <c r="B31" s="124">
        <v>314</v>
      </c>
      <c r="C31" s="11" t="s">
        <v>3531</v>
      </c>
      <c r="D31" s="16">
        <f>SUMIF('I kw.20'!U3:U499,"314*",'I kw.20'!F3:F499)</f>
        <v>0</v>
      </c>
      <c r="E31" s="108">
        <v>2153</v>
      </c>
      <c r="F31" s="11" t="s">
        <v>3506</v>
      </c>
      <c r="G31" s="16">
        <f ca="1">SUMIF('I kw.20'!U3:U499,"2153*",'I kw.20'!F3:F466)</f>
        <v>1</v>
      </c>
      <c r="H31" s="132">
        <v>7522</v>
      </c>
      <c r="I31" s="11" t="s">
        <v>3554</v>
      </c>
      <c r="J31" s="16">
        <f>SUMIF('I kw.20'!U3:U499,"7522*",'I kw.20'!F3:F499)</f>
        <v>0</v>
      </c>
      <c r="K31" s="89"/>
      <c r="L31" s="20"/>
      <c r="M31" s="20"/>
      <c r="N31" s="6"/>
      <c r="O31" s="7"/>
      <c r="P31" s="92"/>
      <c r="Y31" s="2">
        <f>SUM(Y25:Y30)</f>
        <v>0</v>
      </c>
    </row>
    <row r="32" spans="2:25" x14ac:dyDescent="0.25">
      <c r="B32" s="125">
        <v>35</v>
      </c>
      <c r="C32" s="11" t="s">
        <v>3536</v>
      </c>
      <c r="D32" s="16">
        <f>SUMIF('I kw.20'!U3:U499,"35*",'I kw.20'!F3:F499)</f>
        <v>1</v>
      </c>
      <c r="E32" s="118">
        <v>25</v>
      </c>
      <c r="F32" s="11" t="s">
        <v>3513</v>
      </c>
      <c r="G32" s="16">
        <f ca="1">SUMIF('I kw.20'!U3:U499,"25*",'I kw.20'!F3:F466)</f>
        <v>20</v>
      </c>
      <c r="J32" s="18">
        <f>SUM(J19:J31)</f>
        <v>8</v>
      </c>
      <c r="K32" s="89"/>
      <c r="L32" s="20"/>
      <c r="M32" s="20"/>
      <c r="N32" s="131">
        <v>753</v>
      </c>
      <c r="O32" s="11" t="s">
        <v>3556</v>
      </c>
      <c r="P32" s="95">
        <f>SUMIF('I kw.20'!U3:U499,"753*",'I kw.20'!F3:F499)</f>
        <v>0</v>
      </c>
    </row>
    <row r="33" spans="2:20" x14ac:dyDescent="0.25">
      <c r="B33" s="119">
        <v>6</v>
      </c>
      <c r="C33" s="11" t="s">
        <v>3543</v>
      </c>
      <c r="D33" s="16">
        <f>SUMIF('I kw.20'!U3:U499,"6*",'I kw.20'!F3:F499)</f>
        <v>0</v>
      </c>
      <c r="E33" s="130">
        <v>74</v>
      </c>
      <c r="F33" s="11" t="s">
        <v>3547</v>
      </c>
      <c r="G33" s="16">
        <f ca="1">SUMIF('I kw.20'!U3:U499,"74*",'I kw.20'!F3:F466)</f>
        <v>2</v>
      </c>
      <c r="H33" s="89"/>
      <c r="I33" s="20"/>
      <c r="K33" s="20"/>
      <c r="L33" s="20"/>
      <c r="M33" s="20"/>
      <c r="N33" s="131">
        <v>7541</v>
      </c>
      <c r="O33" s="11" t="s">
        <v>3557</v>
      </c>
      <c r="P33" s="95">
        <f>SUMIF('I kw.20'!U3:U499,"7541*",'I kw.20'!F3:F499)</f>
        <v>0</v>
      </c>
    </row>
    <row r="34" spans="2:20" x14ac:dyDescent="0.25">
      <c r="B34" s="130">
        <v>72</v>
      </c>
      <c r="C34" s="11" t="s">
        <v>3545</v>
      </c>
      <c r="D34" s="16">
        <f>SUMIF('I kw.20'!U3:U499,"72*",'I kw.20'!F3:F499)</f>
        <v>6</v>
      </c>
      <c r="G34" s="2">
        <f ca="1">SUM(G19:G33)</f>
        <v>38</v>
      </c>
      <c r="N34" s="127">
        <v>54</v>
      </c>
      <c r="O34" s="11" t="s">
        <v>3588</v>
      </c>
      <c r="P34" s="95">
        <f>SUMIF('I kw.20'!U3:U499,"54*",'I kw.20'!F3:F499)</f>
        <v>0</v>
      </c>
    </row>
    <row r="35" spans="2:20" x14ac:dyDescent="0.25">
      <c r="B35" s="130">
        <v>73</v>
      </c>
      <c r="C35" s="11" t="s">
        <v>3546</v>
      </c>
      <c r="D35" s="16">
        <f>SUMIF('I kw.20'!U3:U499,"73*",'I kw.20'!F3:F499)</f>
        <v>0</v>
      </c>
      <c r="P35" s="2">
        <f>SUM(P32:P34)</f>
        <v>0</v>
      </c>
    </row>
    <row r="36" spans="2:20" x14ac:dyDescent="0.25">
      <c r="B36" s="131">
        <v>7511</v>
      </c>
      <c r="C36" s="11" t="s">
        <v>3548</v>
      </c>
      <c r="D36" s="16">
        <f>SUMIF('I kw.20'!U3:U499,"7511*",'I kw.20'!F3:F499)</f>
        <v>0</v>
      </c>
      <c r="T36" s="37"/>
    </row>
    <row r="37" spans="2:20" x14ac:dyDescent="0.25">
      <c r="B37" s="131">
        <v>7513</v>
      </c>
      <c r="C37" s="11" t="s">
        <v>3550</v>
      </c>
      <c r="D37" s="16">
        <f>SUMIF('I kw.20'!U3:U499,"7513*",'I kw.20'!F3:F499)</f>
        <v>0</v>
      </c>
      <c r="T37" s="37"/>
    </row>
    <row r="38" spans="2:20" x14ac:dyDescent="0.25">
      <c r="B38" s="131">
        <v>7514</v>
      </c>
      <c r="C38" s="11" t="s">
        <v>3551</v>
      </c>
      <c r="D38" s="16">
        <f>SUMIF('I kw.20'!U3:U499,"7514*",'I kw.20'!F3:F499)</f>
        <v>0</v>
      </c>
      <c r="T38" s="37"/>
    </row>
    <row r="39" spans="2:20" x14ac:dyDescent="0.25">
      <c r="B39" s="131">
        <v>7523</v>
      </c>
      <c r="C39" s="11" t="s">
        <v>3555</v>
      </c>
      <c r="D39" s="16">
        <f>SUMIF('I kw.20'!U3:U499,"7523*",'I kw.20'!F3:F499)</f>
        <v>0</v>
      </c>
      <c r="T39" s="37"/>
    </row>
    <row r="40" spans="2:20" x14ac:dyDescent="0.25">
      <c r="B40" s="131">
        <v>7542</v>
      </c>
      <c r="C40" s="11" t="s">
        <v>3558</v>
      </c>
      <c r="D40" s="16">
        <f>SUMIF('I kw.20'!U3:U499,"7542*",'I kw.20'!F3:F499)</f>
        <v>0</v>
      </c>
      <c r="T40" s="37"/>
    </row>
    <row r="41" spans="2:20" x14ac:dyDescent="0.25">
      <c r="B41" s="131">
        <v>7543</v>
      </c>
      <c r="C41" s="11" t="s">
        <v>3559</v>
      </c>
      <c r="D41" s="16">
        <f>SUMIF('I kw.20'!U3:U499,"7543*",'I kw.20'!F3:F499)</f>
        <v>0</v>
      </c>
    </row>
    <row r="42" spans="2:20" x14ac:dyDescent="0.25">
      <c r="B42" s="131">
        <v>7544</v>
      </c>
      <c r="C42" s="11" t="s">
        <v>3560</v>
      </c>
      <c r="D42" s="16">
        <f>SUMIF('I kw.20'!U3:U499,"7544*",'I kw.20'!F3:F499)</f>
        <v>0</v>
      </c>
    </row>
    <row r="43" spans="2:20" x14ac:dyDescent="0.25">
      <c r="B43" s="134">
        <v>81</v>
      </c>
      <c r="C43" s="11" t="s">
        <v>3562</v>
      </c>
      <c r="D43" s="16">
        <f>SUMIF('I kw.20'!U3:U499,"81*",'I kw.20'!F3:F499)</f>
        <v>2</v>
      </c>
    </row>
    <row r="44" spans="2:20" x14ac:dyDescent="0.25">
      <c r="B44" s="134">
        <v>82</v>
      </c>
      <c r="C44" s="11" t="s">
        <v>3563</v>
      </c>
      <c r="D44" s="16">
        <f>SUMIF('I kw.20'!U3:U499,"82*",'I kw.20'!F3:F499)</f>
        <v>2</v>
      </c>
    </row>
    <row r="45" spans="2:20" x14ac:dyDescent="0.25">
      <c r="B45" s="120">
        <v>13</v>
      </c>
      <c r="C45" s="11" t="s">
        <v>3577</v>
      </c>
      <c r="D45" s="16">
        <f>SUMIF('I kw.20'!U3:U499,"13*",'I kw.20'!F3:F499)</f>
        <v>13</v>
      </c>
    </row>
    <row r="46" spans="2:20" x14ac:dyDescent="0.25">
      <c r="B46" s="108">
        <v>2163</v>
      </c>
      <c r="C46" s="11" t="s">
        <v>3579</v>
      </c>
      <c r="D46" s="16">
        <f>SUMIF('I kw.20'!U3:U499,"2163*",'I kw.20'!F3:F499)</f>
        <v>0</v>
      </c>
    </row>
    <row r="47" spans="2:20" x14ac:dyDescent="0.25">
      <c r="B47" s="108">
        <v>2133</v>
      </c>
      <c r="C47" s="11" t="s">
        <v>3584</v>
      </c>
      <c r="D47" s="16">
        <f>SUMIF('I kw.20'!U3:U499,"2133*",'I kw.20'!F3:F499)</f>
        <v>1</v>
      </c>
    </row>
    <row r="48" spans="2:20" x14ac:dyDescent="0.25">
      <c r="B48" s="37"/>
      <c r="D48" s="2">
        <f>SUM(D19:D47)</f>
        <v>47</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78"/>
  <sheetViews>
    <sheetView zoomScale="80" zoomScaleNormal="80" workbookViewId="0">
      <selection activeCell="B1" sqref="B1"/>
    </sheetView>
  </sheetViews>
  <sheetFormatPr defaultRowHeight="15" x14ac:dyDescent="0.25"/>
  <cols>
    <col min="1" max="1" width="3.42578125" style="3" customWidth="1"/>
    <col min="2" max="2" width="8.42578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EXACT(E16,J15)</f>
        <v>1</v>
      </c>
    </row>
    <row r="2" spans="2:21" x14ac:dyDescent="0.25">
      <c r="B2" s="1" t="s">
        <v>3461</v>
      </c>
      <c r="C2" s="2"/>
      <c r="D2" s="1"/>
      <c r="E2" s="1"/>
      <c r="H2" s="1" t="s">
        <v>3466</v>
      </c>
      <c r="O2" s="3" t="b">
        <f ca="1">EXACT(E16,P17)</f>
        <v>1</v>
      </c>
    </row>
    <row r="3" spans="2:21" ht="45" x14ac:dyDescent="0.25">
      <c r="B3" s="244" t="s">
        <v>171</v>
      </c>
      <c r="C3" s="244" t="s">
        <v>172</v>
      </c>
      <c r="D3" s="63" t="s">
        <v>6539</v>
      </c>
      <c r="E3" s="63" t="s">
        <v>3483</v>
      </c>
      <c r="F3" s="244" t="s">
        <v>3467</v>
      </c>
      <c r="H3" s="193" t="s">
        <v>3462</v>
      </c>
      <c r="I3" s="193" t="s">
        <v>3465</v>
      </c>
      <c r="J3" s="193" t="s">
        <v>3514</v>
      </c>
      <c r="R3" s="3" t="s">
        <v>6394</v>
      </c>
      <c r="S3" s="20"/>
      <c r="T3" s="3" t="s">
        <v>6394</v>
      </c>
      <c r="U3" s="20"/>
    </row>
    <row r="4" spans="2:21" x14ac:dyDescent="0.25">
      <c r="B4" s="12" t="s">
        <v>3515</v>
      </c>
      <c r="C4" s="17" t="s">
        <v>3460</v>
      </c>
      <c r="D4" s="26">
        <v>563</v>
      </c>
      <c r="E4" s="26">
        <v>523</v>
      </c>
      <c r="F4" s="12"/>
      <c r="H4" s="11" t="s">
        <v>3463</v>
      </c>
      <c r="I4" s="12">
        <f>COUNTIF('II kw.20'!E3:E899,"praca")</f>
        <v>50</v>
      </c>
      <c r="J4" s="12" t="s">
        <v>3515</v>
      </c>
      <c r="N4" s="12">
        <v>1</v>
      </c>
      <c r="O4" s="11" t="s">
        <v>170</v>
      </c>
      <c r="P4" s="12">
        <f>SUM(D49)</f>
        <v>13</v>
      </c>
      <c r="R4" s="12">
        <f ca="1">RANK(P4,$P$4:$P$15,0)+COUNTIF($P$4:P4,P4)-1</f>
        <v>4</v>
      </c>
      <c r="T4" s="17" t="str">
        <f ca="1">INDEX($N$4:$P$15,MATCH(1,$R$4:$R$15,0),2)</f>
        <v>Usługi finansowe, HR i inne</v>
      </c>
      <c r="U4" s="12">
        <f ca="1">INDEX($N$4:$P$15,MATCH(1,$R$4:$R$15,0),3)</f>
        <v>120</v>
      </c>
    </row>
    <row r="5" spans="2:21" x14ac:dyDescent="0.25">
      <c r="B5" s="12" t="s">
        <v>3516</v>
      </c>
      <c r="C5" s="17" t="s">
        <v>3459</v>
      </c>
      <c r="D5" s="26">
        <v>466</v>
      </c>
      <c r="E5" s="26">
        <v>477</v>
      </c>
      <c r="F5" s="12"/>
      <c r="H5" s="11" t="s">
        <v>192</v>
      </c>
      <c r="I5" s="12">
        <f>COUNTIF('II kw.20'!E3:E899,"pracuj.pl")</f>
        <v>110</v>
      </c>
      <c r="J5" s="12" t="s">
        <v>3516</v>
      </c>
      <c r="N5" s="12">
        <v>2</v>
      </c>
      <c r="O5" s="11" t="s">
        <v>2</v>
      </c>
      <c r="P5" s="12">
        <f ca="1">SUM(G35)</f>
        <v>9</v>
      </c>
      <c r="R5" s="12">
        <f ca="1">RANK(P5,$P$4:$P$15,0)+COUNTIF($P$4:P5,P5)-1</f>
        <v>5</v>
      </c>
      <c r="T5" s="17" t="str">
        <f ca="1">INDEX($N$4:$P$15,MATCH(2,$R$4:$R$15,0),2)</f>
        <v>Informacja i edukcja</v>
      </c>
      <c r="U5" s="12">
        <f ca="1">INDEX($N$4:$P$15,MATCH(2,$R$4:$R$15,0),3)</f>
        <v>22</v>
      </c>
    </row>
    <row r="6" spans="2:21" x14ac:dyDescent="0.25">
      <c r="B6" s="12" t="s">
        <v>3517</v>
      </c>
      <c r="C6" s="17" t="s">
        <v>3458</v>
      </c>
      <c r="D6" s="26">
        <v>365</v>
      </c>
      <c r="E6" s="26">
        <v>386</v>
      </c>
      <c r="F6" s="12"/>
      <c r="H6" s="11" t="s">
        <v>217</v>
      </c>
      <c r="I6" s="12">
        <f>COUNTIF('II kw.20'!E3:E899,"agora")</f>
        <v>6</v>
      </c>
      <c r="J6" s="12" t="s">
        <v>3517</v>
      </c>
      <c r="N6" s="12">
        <v>3</v>
      </c>
      <c r="O6" s="11" t="s">
        <v>3</v>
      </c>
      <c r="P6" s="12">
        <f>SUM(J33)</f>
        <v>6</v>
      </c>
      <c r="R6" s="12">
        <f ca="1">RANK(P6,$P$4:$P$15,0)+COUNTIF($P$4:P6,P6)-1</f>
        <v>6</v>
      </c>
      <c r="T6" s="17" t="str">
        <f ca="1">INDEX($N$4:$P$15,MATCH(3,$R$4:$R$15,0),2)</f>
        <v>Handel, transport, logistyka</v>
      </c>
      <c r="U6" s="12">
        <f ca="1">INDEX($N$4:$P$15,MATCH(3,$R$4:$R$15,0),3)</f>
        <v>19</v>
      </c>
    </row>
    <row r="7" spans="2:21" x14ac:dyDescent="0.25">
      <c r="B7" s="12" t="s">
        <v>3518</v>
      </c>
      <c r="C7" s="17" t="s">
        <v>3457</v>
      </c>
      <c r="D7" s="26">
        <v>461</v>
      </c>
      <c r="E7" s="26">
        <v>444</v>
      </c>
      <c r="F7" s="12"/>
      <c r="H7" s="11" t="s">
        <v>3464</v>
      </c>
      <c r="I7" s="12">
        <f>COUNTIF('II kw.20'!E3:E899,"gratka")</f>
        <v>7</v>
      </c>
      <c r="J7" s="12" t="s">
        <v>3518</v>
      </c>
      <c r="N7" s="12">
        <v>4</v>
      </c>
      <c r="O7" s="11" t="s">
        <v>3589</v>
      </c>
      <c r="P7" s="12">
        <f>SUM(M26)</f>
        <v>19</v>
      </c>
      <c r="R7" s="12">
        <f ca="1">RANK(P7,$P$4:$P$15,0)+COUNTIF($P$4:P7,P7)-1</f>
        <v>3</v>
      </c>
      <c r="T7" s="17" t="str">
        <f ca="1">INDEX($N$4:$P$15,MATCH(4,$R$4:$R$15,0),2)</f>
        <v>Przemysł produkcyjny</v>
      </c>
      <c r="U7" s="12">
        <f ca="1">INDEX($N$4:$P$15,MATCH(4,$R$4:$R$15,0),3)</f>
        <v>13</v>
      </c>
    </row>
    <row r="8" spans="2:21" x14ac:dyDescent="0.25">
      <c r="B8" s="12" t="s">
        <v>13071</v>
      </c>
      <c r="C8" s="17" t="s">
        <v>173</v>
      </c>
      <c r="D8" s="26">
        <v>720</v>
      </c>
      <c r="E8" s="26">
        <v>704</v>
      </c>
      <c r="F8" s="12"/>
      <c r="H8" s="184"/>
      <c r="I8" s="183">
        <f>SUM(I4:I7)</f>
        <v>173</v>
      </c>
      <c r="J8" s="184"/>
      <c r="N8" s="12">
        <v>5</v>
      </c>
      <c r="O8" s="11" t="s">
        <v>13096</v>
      </c>
      <c r="P8" s="12">
        <f>SUM(P25)</f>
        <v>120</v>
      </c>
      <c r="R8" s="12">
        <f ca="1">RANK(P8,$P$4:$P$15,0)+COUNTIF($P$4:P8,P8)-1</f>
        <v>1</v>
      </c>
      <c r="T8" s="17" t="str">
        <f ca="1">INDEX($N$4:$P$15,MATCH(5,$R$4:$R$15,0),2)</f>
        <v>Przemysł high-tech</v>
      </c>
      <c r="U8" s="12">
        <f ca="1">INDEX($N$4:$P$15,MATCH(5,$R$4:$R$15,0),3)</f>
        <v>9</v>
      </c>
    </row>
    <row r="9" spans="2:21" x14ac:dyDescent="0.25">
      <c r="B9" s="12">
        <v>1</v>
      </c>
      <c r="C9" s="17" t="s">
        <v>175</v>
      </c>
      <c r="D9" s="26">
        <v>86</v>
      </c>
      <c r="E9" s="26">
        <v>122</v>
      </c>
      <c r="F9" s="12"/>
      <c r="H9" s="1" t="s">
        <v>3570</v>
      </c>
      <c r="N9" s="12">
        <v>6</v>
      </c>
      <c r="O9" s="11" t="s">
        <v>134</v>
      </c>
      <c r="P9" s="12">
        <f>SUM(P30)</f>
        <v>0</v>
      </c>
      <c r="R9" s="12">
        <f ca="1">RANK(P9,$P$4:$P$15,0)+COUNTIF($P$4:P9,P9)-1</f>
        <v>11</v>
      </c>
      <c r="T9" s="17" t="str">
        <f ca="1">INDEX($N$4:$P$15,MATCH(6,$R$4:$R$15,0),2)</f>
        <v>Budownictwo</v>
      </c>
      <c r="U9" s="12">
        <f ca="1">INDEX($N$4:$P$15,MATCH(6,$R$4:$R$15,0),3)</f>
        <v>6</v>
      </c>
    </row>
    <row r="10" spans="2:21" x14ac:dyDescent="0.25">
      <c r="B10" s="12">
        <v>2</v>
      </c>
      <c r="C10" s="17" t="s">
        <v>174</v>
      </c>
      <c r="D10" s="26">
        <v>377</v>
      </c>
      <c r="E10" s="26">
        <v>410</v>
      </c>
      <c r="F10" s="12"/>
      <c r="H10" s="312" t="s">
        <v>3469</v>
      </c>
      <c r="I10" s="312" t="s">
        <v>3568</v>
      </c>
      <c r="J10" s="313">
        <f ca="1">SUM(D49,G35,J33)</f>
        <v>28</v>
      </c>
      <c r="N10" s="12">
        <v>7</v>
      </c>
      <c r="O10" s="11" t="s">
        <v>3590</v>
      </c>
      <c r="P10" s="12">
        <f>SUM(P36)</f>
        <v>2</v>
      </c>
      <c r="R10" s="12">
        <f ca="1">RANK(P10,$P$4:$P$15,0)+COUNTIF($P$4:P10,P10)-1</f>
        <v>7</v>
      </c>
      <c r="T10" s="17" t="str">
        <f ca="1">INDEX($N$4:$P$15,MATCH(7,$R$4:$R$15,0),2)</f>
        <v>Usługi typu krawiectwo, kaletnictwo, obuwnictwo + poszukiwanie + ochrona</v>
      </c>
      <c r="U10" s="12">
        <f ca="1">INDEX($N$4:$P$15,MATCH(7,$R$4:$R$15,0),3)</f>
        <v>2</v>
      </c>
    </row>
    <row r="11" spans="2:21" x14ac:dyDescent="0.25">
      <c r="B11" s="12" t="s">
        <v>13072</v>
      </c>
      <c r="C11" s="17" t="s">
        <v>3486</v>
      </c>
      <c r="D11" s="26">
        <f>SUM(D9:D10)</f>
        <v>463</v>
      </c>
      <c r="E11" s="26">
        <f>SUM(E9:E10)</f>
        <v>532</v>
      </c>
      <c r="F11" s="12"/>
      <c r="H11" s="308" t="s">
        <v>3470</v>
      </c>
      <c r="I11" s="308" t="s">
        <v>3566</v>
      </c>
      <c r="J11" s="307">
        <f>SUM(M26,P25,P30,P36,S23)</f>
        <v>143</v>
      </c>
      <c r="N11" s="12">
        <v>8</v>
      </c>
      <c r="O11" s="11" t="s">
        <v>4</v>
      </c>
      <c r="P11" s="12">
        <f>SUM(S23)</f>
        <v>2</v>
      </c>
      <c r="R11" s="12">
        <f ca="1">RANK(P11,$P$4:$P$15,0)+COUNTIF($P$4:P11,P11)-1</f>
        <v>8</v>
      </c>
      <c r="T11" s="17" t="str">
        <f ca="1">INDEX($N$4:$P$15,MATCH(8,$R$4:$R$15,0),2)</f>
        <v>Zdrowie i opieka społeczna</v>
      </c>
      <c r="U11" s="12">
        <f ca="1">INDEX($N$4:$P$15,MATCH(8,$R$4:$R$15,0),3)</f>
        <v>2</v>
      </c>
    </row>
    <row r="12" spans="2:21" x14ac:dyDescent="0.25">
      <c r="B12" s="12">
        <v>3</v>
      </c>
      <c r="C12" s="17" t="s">
        <v>3481</v>
      </c>
      <c r="D12" s="12">
        <v>180</v>
      </c>
      <c r="E12" s="12">
        <v>231</v>
      </c>
      <c r="F12" s="12"/>
      <c r="H12" s="322" t="s">
        <v>3471</v>
      </c>
      <c r="I12" s="322" t="s">
        <v>3567</v>
      </c>
      <c r="J12" s="316">
        <f>SUM(V23,V29)</f>
        <v>24</v>
      </c>
      <c r="N12" s="12">
        <v>9</v>
      </c>
      <c r="O12" s="11" t="s">
        <v>3591</v>
      </c>
      <c r="P12" s="12">
        <f>SUM(V23)</f>
        <v>22</v>
      </c>
      <c r="R12" s="12">
        <f ca="1">RANK(P12,$P$4:$P$15,0)+COUNTIF($P$4:P12,P12)-1</f>
        <v>2</v>
      </c>
      <c r="T12" s="17" t="str">
        <f ca="1">INDEX($N$4:$P$15,MATCH(9,$R$4:$R$15,0),2)</f>
        <v>Nadzór i administracja</v>
      </c>
      <c r="U12" s="12">
        <f ca="1">INDEX($N$4:$P$15,MATCH(9,$R$4:$R$15,0),3)</f>
        <v>2</v>
      </c>
    </row>
    <row r="13" spans="2:21" x14ac:dyDescent="0.25">
      <c r="B13" s="12">
        <v>4</v>
      </c>
      <c r="C13" s="17" t="s">
        <v>3482</v>
      </c>
      <c r="D13" s="12">
        <v>361</v>
      </c>
      <c r="E13" s="12">
        <v>378</v>
      </c>
      <c r="F13" s="12"/>
      <c r="H13" s="325" t="s">
        <v>3472</v>
      </c>
      <c r="I13" s="325" t="s">
        <v>6</v>
      </c>
      <c r="J13" s="326">
        <f>SUM(Y22)</f>
        <v>2</v>
      </c>
      <c r="N13" s="12">
        <v>10</v>
      </c>
      <c r="O13" s="11" t="s">
        <v>0</v>
      </c>
      <c r="P13" s="12">
        <f>SUM(V29)</f>
        <v>2</v>
      </c>
      <c r="R13" s="12">
        <f ca="1">RANK(P13,$P$4:$P$15,0)+COUNTIF($P$4:P13,P13)-1</f>
        <v>9</v>
      </c>
      <c r="T13" s="17" t="str">
        <f ca="1">INDEX($N$4:$P$15,MATCH(10,$R$4:$R$15,0),2)</f>
        <v>Prace proste</v>
      </c>
      <c r="U13" s="12">
        <f ca="1">INDEX($N$4:$P$15,MATCH(10,$R$4:$R$15,0),3)</f>
        <v>2</v>
      </c>
    </row>
    <row r="14" spans="2:21" x14ac:dyDescent="0.25">
      <c r="B14" s="12" t="s">
        <v>13073</v>
      </c>
      <c r="C14" s="17" t="s">
        <v>3487</v>
      </c>
      <c r="D14" s="26">
        <f>SUM(D12:D13)</f>
        <v>541</v>
      </c>
      <c r="E14" s="26">
        <f>SUM(E12:E13)</f>
        <v>609</v>
      </c>
      <c r="F14" s="12"/>
      <c r="H14" s="329" t="s">
        <v>3473</v>
      </c>
      <c r="I14" s="329" t="s">
        <v>3574</v>
      </c>
      <c r="J14" s="96">
        <f>SUM(Y32)</f>
        <v>0</v>
      </c>
      <c r="N14" s="12">
        <v>11</v>
      </c>
      <c r="O14" s="11" t="s">
        <v>6</v>
      </c>
      <c r="P14" s="12">
        <f>SUM(Y22)</f>
        <v>2</v>
      </c>
      <c r="R14" s="12">
        <f ca="1">RANK(P14,$P$4:$P$15,0)+COUNTIF($P$4:P14,P14)-1</f>
        <v>10</v>
      </c>
      <c r="T14" s="17" t="str">
        <f ca="1">INDEX($N$4:$P$15,MATCH(11,$R$4:$R$15,0),2)</f>
        <v>Usługi gastronomiczne</v>
      </c>
      <c r="U14" s="12">
        <f ca="1">INDEX($N$4:$P$15,MATCH(11,$R$4:$R$15,0),3)</f>
        <v>0</v>
      </c>
    </row>
    <row r="15" spans="2:21" x14ac:dyDescent="0.25">
      <c r="B15" s="12">
        <v>5</v>
      </c>
      <c r="C15" s="17" t="s">
        <v>6392</v>
      </c>
      <c r="D15" s="26">
        <v>249</v>
      </c>
      <c r="E15" s="26">
        <v>258</v>
      </c>
      <c r="F15" s="12"/>
      <c r="H15" s="184"/>
      <c r="I15" s="184"/>
      <c r="J15" s="183">
        <f ca="1">SUM(J10:J14)</f>
        <v>197</v>
      </c>
      <c r="N15" s="12">
        <v>12</v>
      </c>
      <c r="O15" s="17" t="s">
        <v>3574</v>
      </c>
      <c r="P15" s="12">
        <f>SUM(Y32)</f>
        <v>0</v>
      </c>
      <c r="R15" s="12">
        <f ca="1">RANK(P15,$P$4:$P$15,0)+COUNTIF($P$4:P15,P15)-1</f>
        <v>12</v>
      </c>
      <c r="T15" s="17" t="str">
        <f ca="1">INDEX($N$4:$P$15,MATCH(12,$R$4:$R$15,0),2)</f>
        <v>Pozostałe grupy</v>
      </c>
      <c r="U15" s="12">
        <f ca="1">INDEX($N$4:$P$15,MATCH(12,$R$4:$R$15,0),3)</f>
        <v>0</v>
      </c>
    </row>
    <row r="16" spans="2:21" x14ac:dyDescent="0.25">
      <c r="B16" s="107">
        <v>6</v>
      </c>
      <c r="C16" s="106" t="s">
        <v>6924</v>
      </c>
      <c r="D16" s="105">
        <v>173</v>
      </c>
      <c r="E16" s="105">
        <v>197</v>
      </c>
      <c r="F16" s="107" t="s">
        <v>13070</v>
      </c>
      <c r="H16" s="184"/>
      <c r="I16" s="184"/>
      <c r="J16" s="183"/>
      <c r="N16" s="18"/>
      <c r="O16" s="89"/>
      <c r="P16" s="18"/>
      <c r="R16" s="18"/>
      <c r="T16" s="89"/>
      <c r="U16" s="18"/>
    </row>
    <row r="17" spans="2:25" x14ac:dyDescent="0.25">
      <c r="B17" s="18"/>
      <c r="C17" s="89"/>
      <c r="D17" s="135"/>
      <c r="E17" s="135"/>
      <c r="F17" s="20"/>
      <c r="N17" s="242"/>
      <c r="O17" s="242"/>
      <c r="P17" s="243">
        <f ca="1">SUM(P4:P15)</f>
        <v>197</v>
      </c>
      <c r="R17" s="242"/>
      <c r="T17" s="243"/>
      <c r="U17" s="246">
        <f ca="1">SUM(U4:U15)</f>
        <v>197</v>
      </c>
    </row>
    <row r="18" spans="2:25" x14ac:dyDescent="0.25">
      <c r="B18" s="303" t="s">
        <v>170</v>
      </c>
      <c r="C18" s="303"/>
      <c r="D18" s="303"/>
      <c r="E18" s="303" t="s">
        <v>2</v>
      </c>
      <c r="F18" s="303"/>
      <c r="G18" s="303"/>
      <c r="H18" s="303" t="s">
        <v>3</v>
      </c>
      <c r="I18" s="303"/>
      <c r="J18" s="303"/>
      <c r="K18" s="304" t="s">
        <v>3589</v>
      </c>
      <c r="L18" s="304"/>
      <c r="M18" s="304"/>
      <c r="N18" s="304" t="s">
        <v>1</v>
      </c>
      <c r="O18" s="304"/>
      <c r="P18" s="304"/>
      <c r="Q18" s="304" t="s">
        <v>4</v>
      </c>
      <c r="R18" s="304"/>
      <c r="S18" s="304"/>
      <c r="T18" s="314" t="s">
        <v>5</v>
      </c>
      <c r="U18" s="314"/>
      <c r="V18" s="314"/>
      <c r="W18" s="328" t="s">
        <v>6</v>
      </c>
      <c r="X18" s="328"/>
      <c r="Y18" s="327"/>
    </row>
    <row r="19" spans="2:25" x14ac:dyDescent="0.25">
      <c r="B19" s="21" t="s">
        <v>3469</v>
      </c>
      <c r="C19" s="22"/>
      <c r="D19" s="311"/>
      <c r="E19" s="21" t="s">
        <v>3470</v>
      </c>
      <c r="F19" s="22"/>
      <c r="G19" s="311"/>
      <c r="H19" s="21" t="s">
        <v>3470</v>
      </c>
      <c r="I19" s="21"/>
      <c r="J19" s="311"/>
      <c r="K19" s="114"/>
      <c r="L19" s="113"/>
      <c r="M19" s="305"/>
      <c r="N19" s="305"/>
      <c r="O19" s="306"/>
      <c r="P19" s="305"/>
      <c r="Q19" s="305"/>
      <c r="R19" s="306"/>
      <c r="S19" s="305"/>
      <c r="T19" s="98"/>
      <c r="U19" s="99"/>
      <c r="V19" s="315"/>
      <c r="W19" s="323"/>
      <c r="X19" s="324"/>
      <c r="Y19" s="325"/>
    </row>
    <row r="20" spans="2:25" x14ac:dyDescent="0.25">
      <c r="B20" s="108">
        <v>2141</v>
      </c>
      <c r="C20" s="12" t="s">
        <v>3569</v>
      </c>
      <c r="D20" s="16">
        <f>SUMIF('II kw.20'!U3:U499,"2141*",'II kw.20'!F3:F499)</f>
        <v>1</v>
      </c>
      <c r="E20" s="108">
        <v>2113</v>
      </c>
      <c r="F20" s="11" t="s">
        <v>3491</v>
      </c>
      <c r="G20" s="16">
        <f ca="1">SUMIF('II kw.20'!U3:U499,"2113*",'II kw.20'!F3:F466)</f>
        <v>1</v>
      </c>
      <c r="H20" s="122">
        <v>2142</v>
      </c>
      <c r="I20" s="11" t="s">
        <v>3494</v>
      </c>
      <c r="J20" s="16">
        <f>SUMIF('II kw.20'!U3:U499,"2142*",'II kw.20'!F3:F499)</f>
        <v>0</v>
      </c>
      <c r="K20" s="123">
        <v>315</v>
      </c>
      <c r="L20" s="11" t="s">
        <v>3532</v>
      </c>
      <c r="M20" s="112">
        <f>SUMIF('II kw.20'!U3:U499,"315*",'II kw.20'!F3:F499)</f>
        <v>0</v>
      </c>
      <c r="N20" s="108">
        <v>2166</v>
      </c>
      <c r="O20" s="11" t="s">
        <v>3510</v>
      </c>
      <c r="P20" s="307">
        <f>SUMIF('II kw.20'!U3:U499,"2166*",'II kw.20'!F3:F499)</f>
        <v>1</v>
      </c>
      <c r="Q20" s="118">
        <v>22</v>
      </c>
      <c r="R20" s="11" t="s">
        <v>3511</v>
      </c>
      <c r="S20" s="307">
        <f>SUMIF('II kw.20'!U3:U499,"22*",'II kw.20'!F3:F499)</f>
        <v>2</v>
      </c>
      <c r="T20" s="118">
        <v>23</v>
      </c>
      <c r="U20" s="11" t="s">
        <v>3512</v>
      </c>
      <c r="V20" s="316">
        <f>SUMIF('II kw.20'!U3:U499,"23*",'II kw.20'!F3:F499)</f>
        <v>1</v>
      </c>
      <c r="W20" s="131">
        <v>7549</v>
      </c>
      <c r="X20" s="11" t="s">
        <v>3561</v>
      </c>
      <c r="Y20" s="326">
        <f>SUMIF('II kw.20'!U3:U499,"7549*",'II kw.20'!F3:F499)</f>
        <v>0</v>
      </c>
    </row>
    <row r="21" spans="2:25" x14ac:dyDescent="0.25">
      <c r="B21" s="108">
        <v>2132</v>
      </c>
      <c r="C21" s="11" t="s">
        <v>3493</v>
      </c>
      <c r="D21" s="195">
        <f>SUMIF('II kw.20'!U3:U499,"2132*",'II kw.20'!F3:F499)</f>
        <v>0</v>
      </c>
      <c r="E21" s="108">
        <v>2145</v>
      </c>
      <c r="F21" s="11" t="s">
        <v>3496</v>
      </c>
      <c r="G21" s="16">
        <f ca="1">SUMIF('II kw.20'!U3:U499,"2145*",'II kw.20'!F3:F466)</f>
        <v>0</v>
      </c>
      <c r="H21" s="122">
        <v>2143</v>
      </c>
      <c r="I21" s="11" t="s">
        <v>93</v>
      </c>
      <c r="J21" s="16">
        <f>SUMIF('II kw.20'!U3:U499,"2143*",'II kw.20'!F3:F499)</f>
        <v>0</v>
      </c>
      <c r="K21" s="117">
        <v>42</v>
      </c>
      <c r="L21" s="11" t="s">
        <v>3537</v>
      </c>
      <c r="M21" s="112">
        <f>SUMIF('II kw.20'!U3:U499,"42*",'II kw.20'!F3:F499)</f>
        <v>2</v>
      </c>
      <c r="N21" s="118">
        <v>24</v>
      </c>
      <c r="O21" s="302" t="s">
        <v>3571</v>
      </c>
      <c r="P21" s="307">
        <f>SUMIF('II kw.20'!U3:U499,"24*",'II kw.20'!F3:F499)</f>
        <v>56</v>
      </c>
      <c r="Q21" s="121">
        <v>32</v>
      </c>
      <c r="R21" s="11" t="s">
        <v>3533</v>
      </c>
      <c r="S21" s="307">
        <f>SUMIF('II kw.20'!U3:U499,"32*",'II kw.20'!F3:F499)</f>
        <v>0</v>
      </c>
      <c r="T21" s="118">
        <v>26</v>
      </c>
      <c r="U21" s="11" t="s">
        <v>3572</v>
      </c>
      <c r="V21" s="316">
        <f>SUMIF('II kw.20'!U3:U499,"26*",'II kw.20'!F3:F499)</f>
        <v>21</v>
      </c>
      <c r="W21" s="119">
        <v>9</v>
      </c>
      <c r="X21" s="11" t="s">
        <v>3565</v>
      </c>
      <c r="Y21" s="326">
        <f>SUMIF('II kw.20'!U3:U499,"9*",'II kw.20'!F3:F499)</f>
        <v>2</v>
      </c>
    </row>
    <row r="22" spans="2:25" x14ac:dyDescent="0.25">
      <c r="B22" s="108">
        <v>2146</v>
      </c>
      <c r="C22" s="11" t="s">
        <v>3497</v>
      </c>
      <c r="D22" s="16">
        <f>SUMIF('II kw.20'!U3:U499,"2146*",'II kw.20'!F3:F499)</f>
        <v>0</v>
      </c>
      <c r="E22" s="108">
        <v>2131</v>
      </c>
      <c r="F22" s="11" t="s">
        <v>3492</v>
      </c>
      <c r="G22" s="16">
        <f ca="1">SUMIF('II kw.20'!U3:U499,"2131*",'II kw.20'!F3:F466)</f>
        <v>0</v>
      </c>
      <c r="H22" s="122">
        <v>2161</v>
      </c>
      <c r="I22" s="11" t="s">
        <v>3507</v>
      </c>
      <c r="J22" s="16">
        <f>SUMIF('II kw.20'!U3:U499,"2161*",'II kw.20'!F3:F499)</f>
        <v>1</v>
      </c>
      <c r="K22" s="117">
        <v>43</v>
      </c>
      <c r="L22" s="11" t="s">
        <v>3538</v>
      </c>
      <c r="M22" s="112">
        <f>SUMIF('II kw.20'!U3:U499,"43*",'II kw.20'!F3:F499)</f>
        <v>1</v>
      </c>
      <c r="N22" s="125">
        <v>33</v>
      </c>
      <c r="O22" s="302" t="s">
        <v>3534</v>
      </c>
      <c r="P22" s="307">
        <f>SUMIF('II kw.20'!U3:U499,"33*",'II kw.20'!F3:F499)</f>
        <v>53</v>
      </c>
      <c r="Q22" s="127">
        <v>53</v>
      </c>
      <c r="R22" s="11" t="s">
        <v>3542</v>
      </c>
      <c r="S22" s="307">
        <f>SUMIF('II kw.20'!U3:U499,"53*",'II kw.20'!F3:F499)</f>
        <v>0</v>
      </c>
      <c r="T22" s="125">
        <v>34</v>
      </c>
      <c r="U22" s="11" t="s">
        <v>3535</v>
      </c>
      <c r="V22" s="316">
        <f>SUMIF('II kw.20'!U3:U499,"34*",'II kw.20'!F3:F499)</f>
        <v>0</v>
      </c>
      <c r="W22" s="37"/>
      <c r="Y22" s="326">
        <f>SUM(Y20:Y21)</f>
        <v>2</v>
      </c>
    </row>
    <row r="23" spans="2:25" x14ac:dyDescent="0.25">
      <c r="B23" s="121">
        <v>3113</v>
      </c>
      <c r="C23" s="11" t="s">
        <v>3520</v>
      </c>
      <c r="D23" s="16">
        <f>SUMIF('II kw.20'!U3:U499,"3113*",'II kw.20'!F3:F499)</f>
        <v>0</v>
      </c>
      <c r="E23" s="108">
        <v>2144</v>
      </c>
      <c r="F23" s="11" t="s">
        <v>3495</v>
      </c>
      <c r="G23" s="16">
        <f ca="1">SUMIF('II kw.20'!U3:U499,"2144*",'II kw.20'!F3:F466)</f>
        <v>1</v>
      </c>
      <c r="H23" s="122">
        <v>2162</v>
      </c>
      <c r="I23" s="11" t="s">
        <v>3508</v>
      </c>
      <c r="J23" s="16">
        <f>SUMIF('II kw.20'!U3:U499,"2162*",'II kw.20'!F3:F499)</f>
        <v>0</v>
      </c>
      <c r="K23" s="128">
        <v>52</v>
      </c>
      <c r="L23" s="11" t="s">
        <v>3541</v>
      </c>
      <c r="M23" s="112">
        <f>SUMIF('II kw.20'!U3:U499,"52*",'II kw.20'!F3:F499)</f>
        <v>13</v>
      </c>
      <c r="N23" s="127">
        <v>51</v>
      </c>
      <c r="O23" s="11" t="s">
        <v>3540</v>
      </c>
      <c r="P23" s="307">
        <f>SUMIF('II kw.20'!U3:U499,"51*",'II kw.20'!F3:F499)</f>
        <v>4</v>
      </c>
      <c r="Q23" s="37"/>
      <c r="S23" s="307">
        <f>SUM(S20:S22)</f>
        <v>2</v>
      </c>
      <c r="V23" s="317">
        <f>SUM(V20:V22)</f>
        <v>22</v>
      </c>
      <c r="W23" s="37"/>
    </row>
    <row r="24" spans="2:25" x14ac:dyDescent="0.25">
      <c r="B24" s="121">
        <v>3114</v>
      </c>
      <c r="C24" s="11" t="s">
        <v>3521</v>
      </c>
      <c r="D24" s="16">
        <f>SUMIF('II kw.20'!U3:U499,"3114*",'II kw.20'!F3:F499)</f>
        <v>1</v>
      </c>
      <c r="E24" s="108">
        <v>2149</v>
      </c>
      <c r="F24" s="11" t="s">
        <v>3498</v>
      </c>
      <c r="G24" s="16">
        <f ca="1">SUMIF('II kw.20'!U3:U499,"2149*",'II kw.20'!F3:F466)</f>
        <v>0</v>
      </c>
      <c r="H24" s="108">
        <v>2164</v>
      </c>
      <c r="I24" s="11" t="s">
        <v>3585</v>
      </c>
      <c r="J24" s="16">
        <f>SUMIF('II kw.20'!U3:U499,"2164*",'II kw.20'!F3:F499)</f>
        <v>0</v>
      </c>
      <c r="K24" s="133">
        <v>83</v>
      </c>
      <c r="L24" s="11" t="s">
        <v>3564</v>
      </c>
      <c r="M24" s="112">
        <f>SUMIF('II kw.20'!U3:U499,"83*",'II kw.20'!F3:F499)</f>
        <v>3</v>
      </c>
      <c r="N24" s="120">
        <v>14</v>
      </c>
      <c r="O24" s="11" t="s">
        <v>3578</v>
      </c>
      <c r="P24" s="307">
        <f>SUMIF('II kw.20'!U3:U499,"14*",'II kw.20'!F3:F499)</f>
        <v>6</v>
      </c>
      <c r="Q24" s="37"/>
      <c r="T24" s="1" t="s">
        <v>0</v>
      </c>
      <c r="U24" s="94"/>
      <c r="V24" s="20"/>
      <c r="W24" s="37" t="s">
        <v>3574</v>
      </c>
    </row>
    <row r="25" spans="2:25" x14ac:dyDescent="0.25">
      <c r="B25" s="121">
        <v>3115</v>
      </c>
      <c r="C25" s="11" t="s">
        <v>3522</v>
      </c>
      <c r="D25" s="16">
        <f>SUMIF('II kw.20'!U3:U499,"3115*",'II kw.20'!F3:F499)</f>
        <v>1</v>
      </c>
      <c r="E25" s="109">
        <v>2149</v>
      </c>
      <c r="F25" s="11" t="s">
        <v>3499</v>
      </c>
      <c r="G25" s="104" t="s">
        <v>3573</v>
      </c>
      <c r="H25" s="122">
        <v>2165</v>
      </c>
      <c r="I25" s="11" t="s">
        <v>3509</v>
      </c>
      <c r="J25" s="16">
        <f>SUMIF('II kw.20'!U3:U499,"2165*",'II kw.20'!F3:F499)</f>
        <v>0</v>
      </c>
      <c r="K25" s="120">
        <v>12</v>
      </c>
      <c r="L25" s="11" t="s">
        <v>3576</v>
      </c>
      <c r="M25" s="112">
        <f>SUMIF('II kw.20'!U3:U499,"12*",'II kw.20'!F3:F499)</f>
        <v>0</v>
      </c>
      <c r="P25" s="307">
        <f>SUM(P20:P24)</f>
        <v>120</v>
      </c>
      <c r="Q25" s="37"/>
      <c r="T25" s="321"/>
      <c r="U25" s="320"/>
      <c r="V25" s="318"/>
      <c r="W25" s="330"/>
      <c r="X25" s="331"/>
      <c r="Y25" s="329"/>
    </row>
    <row r="26" spans="2:25" x14ac:dyDescent="0.25">
      <c r="B26" s="121">
        <v>3116</v>
      </c>
      <c r="C26" s="11" t="s">
        <v>3523</v>
      </c>
      <c r="D26" s="16">
        <f>SUMIF('II kw.20'!U3:U499,"3116*",'II kw.20'!F3:F499)</f>
        <v>0</v>
      </c>
      <c r="E26" s="109">
        <v>2149</v>
      </c>
      <c r="F26" s="11" t="s">
        <v>3500</v>
      </c>
      <c r="G26" s="104" t="s">
        <v>3573</v>
      </c>
      <c r="H26" s="126">
        <v>3111</v>
      </c>
      <c r="I26" s="11" t="s">
        <v>3587</v>
      </c>
      <c r="J26" s="16">
        <f>SUMIF('II kw.20'!U3:U499,"3111*",'II kw.20'!F3:F499)</f>
        <v>0</v>
      </c>
      <c r="K26" s="89"/>
      <c r="L26" s="20"/>
      <c r="M26" s="307">
        <f>SUM(M20:M25)</f>
        <v>19</v>
      </c>
      <c r="Q26" s="37"/>
      <c r="T26" s="116">
        <v>41</v>
      </c>
      <c r="U26" s="11" t="s">
        <v>3592</v>
      </c>
      <c r="V26" s="316">
        <f>SUMIF('II kw.20'!U3:U499,"41*",'II kw.20'!F3:F499)</f>
        <v>0</v>
      </c>
      <c r="W26" s="120">
        <v>11</v>
      </c>
      <c r="X26" s="11" t="s">
        <v>3575</v>
      </c>
      <c r="Y26" s="96">
        <f>SUMIF('II kw.20'!U3:U499,"11*",'II kw.20'!F3:F499)</f>
        <v>0</v>
      </c>
    </row>
    <row r="27" spans="2:25" x14ac:dyDescent="0.25">
      <c r="B27" s="121">
        <v>3117</v>
      </c>
      <c r="C27" s="11" t="s">
        <v>3524</v>
      </c>
      <c r="D27" s="16">
        <f>SUMIF('II kw.20'!U3:U499,"3117*",'II kw.20'!F3:F499)</f>
        <v>0</v>
      </c>
      <c r="E27" s="109">
        <v>2149</v>
      </c>
      <c r="F27" s="11" t="s">
        <v>3501</v>
      </c>
      <c r="G27" s="104" t="s">
        <v>3573</v>
      </c>
      <c r="H27" s="126">
        <v>3112</v>
      </c>
      <c r="I27" s="11" t="s">
        <v>3519</v>
      </c>
      <c r="J27" s="16">
        <f>SUMIF('II kw.20'!U3:U499,"3112*",'II kw.20'!F3:F499)</f>
        <v>1</v>
      </c>
      <c r="K27" s="89"/>
      <c r="L27" s="20"/>
      <c r="M27" s="20"/>
      <c r="N27" s="100" t="s">
        <v>134</v>
      </c>
      <c r="O27" s="93"/>
      <c r="Q27" s="37"/>
      <c r="T27" s="116">
        <v>44</v>
      </c>
      <c r="U27" s="11" t="s">
        <v>3539</v>
      </c>
      <c r="V27" s="316">
        <f>SUMIF('II kw.20'!U3:U499,"44*",'II kw.20'!F3:F499)</f>
        <v>2</v>
      </c>
      <c r="W27" s="108">
        <v>2111</v>
      </c>
      <c r="X27" s="11" t="s">
        <v>3580</v>
      </c>
      <c r="Y27" s="96">
        <f>SUMIF('II kw.20'!U3:U499,"2111*",'II kw.20'!F3:F499)</f>
        <v>0</v>
      </c>
    </row>
    <row r="28" spans="2:25" x14ac:dyDescent="0.25">
      <c r="B28" s="121">
        <v>3119</v>
      </c>
      <c r="C28" s="11" t="s">
        <v>3526</v>
      </c>
      <c r="D28" s="16">
        <f>SUMIF('II kw.20'!U3:U499,"3119*",'II kw.20'!F3:F499)</f>
        <v>0</v>
      </c>
      <c r="E28" s="109">
        <v>2149</v>
      </c>
      <c r="F28" s="11" t="s">
        <v>3502</v>
      </c>
      <c r="G28" s="104" t="s">
        <v>3573</v>
      </c>
      <c r="H28" s="126">
        <v>3118</v>
      </c>
      <c r="I28" s="11" t="s">
        <v>3525</v>
      </c>
      <c r="J28" s="16">
        <f>SUMIF('II kw.20'!U3:U499,"3118*",'II kw.20'!F3:F499)</f>
        <v>0</v>
      </c>
      <c r="K28" s="89"/>
      <c r="L28" s="20"/>
      <c r="M28" s="20"/>
      <c r="N28" s="305"/>
      <c r="O28" s="306"/>
      <c r="P28" s="308"/>
      <c r="Q28" s="37"/>
      <c r="T28" s="131">
        <v>7515</v>
      </c>
      <c r="U28" s="11" t="s">
        <v>3552</v>
      </c>
      <c r="V28" s="319">
        <f>SUMIF('II kw.20'!U3:U499,"7515*",'II kw.20'!F3:F499)</f>
        <v>0</v>
      </c>
      <c r="W28" s="108">
        <v>2112</v>
      </c>
      <c r="X28" s="11" t="s">
        <v>3581</v>
      </c>
      <c r="Y28" s="96">
        <f>SUMIF('II kw.20'!U3:U499,"2112*",'II kw.20'!F3:F499)</f>
        <v>0</v>
      </c>
    </row>
    <row r="29" spans="2:25" x14ac:dyDescent="0.25">
      <c r="B29" s="121">
        <v>3121</v>
      </c>
      <c r="C29" s="11" t="s">
        <v>3527</v>
      </c>
      <c r="D29" s="16">
        <f>SUMIF('II kw.20'!U3:U499,"3121*",'II kw.20'!F3:F499)</f>
        <v>0</v>
      </c>
      <c r="E29" s="109">
        <v>2149</v>
      </c>
      <c r="F29" s="11" t="s">
        <v>3503</v>
      </c>
      <c r="G29" s="104" t="s">
        <v>3573</v>
      </c>
      <c r="H29" s="126">
        <v>3123</v>
      </c>
      <c r="I29" s="11" t="s">
        <v>3529</v>
      </c>
      <c r="J29" s="16">
        <f>SUMIF('II kw.20'!U3:U499,"3123*",'II kw.20'!F3:F499)</f>
        <v>1</v>
      </c>
      <c r="K29" s="89"/>
      <c r="L29" s="20"/>
      <c r="N29" s="131">
        <v>7512</v>
      </c>
      <c r="O29" s="11" t="s">
        <v>3549</v>
      </c>
      <c r="P29" s="307">
        <f>SUMIF('II kw.20'!U3:U499,"7512*",'II kw.20'!F3:F499)</f>
        <v>0</v>
      </c>
      <c r="Q29" s="37"/>
      <c r="T29" s="37"/>
      <c r="V29" s="317">
        <f>SUM(V26:V28)</f>
        <v>2</v>
      </c>
      <c r="W29" s="108">
        <v>2114</v>
      </c>
      <c r="X29" s="11" t="s">
        <v>3582</v>
      </c>
      <c r="Y29" s="96">
        <f>SUMIF('II kw.20'!U3:U499,"2114*",'II kw.20'!F3:F499)</f>
        <v>0</v>
      </c>
    </row>
    <row r="30" spans="2:25" x14ac:dyDescent="0.25">
      <c r="B30" s="121">
        <v>3122</v>
      </c>
      <c r="C30" s="11" t="s">
        <v>3528</v>
      </c>
      <c r="D30" s="16">
        <f>SUMIF('II kw.20'!U3:U499,"3122*",'II kw.20'!F3:F499)</f>
        <v>0</v>
      </c>
      <c r="E30" s="108">
        <v>2151</v>
      </c>
      <c r="F30" s="11" t="s">
        <v>3504</v>
      </c>
      <c r="G30" s="16">
        <f ca="1">SUMIF('II kw.20'!U3:U499,"2151*",'II kw.20'!F3:F466)</f>
        <v>1</v>
      </c>
      <c r="H30" s="129">
        <v>71</v>
      </c>
      <c r="I30" s="11" t="s">
        <v>3544</v>
      </c>
      <c r="J30" s="16">
        <f>SUMIF('II kw.20'!U3:U499,"71*",'II kw.20'!F3:F499)</f>
        <v>3</v>
      </c>
      <c r="K30" s="89"/>
      <c r="L30" s="20"/>
      <c r="M30" s="20"/>
      <c r="P30" s="307">
        <f>SUM(P29)</f>
        <v>0</v>
      </c>
      <c r="Q30" s="37"/>
      <c r="T30" s="37"/>
      <c r="W30" s="108">
        <v>2120</v>
      </c>
      <c r="X30" s="11" t="s">
        <v>3583</v>
      </c>
      <c r="Y30" s="96">
        <f>SUMIF('II kw.20'!U3:U499,"2120*",'II kw.20'!F3:F499)</f>
        <v>0</v>
      </c>
    </row>
    <row r="31" spans="2:25" x14ac:dyDescent="0.25">
      <c r="B31" s="124">
        <v>313</v>
      </c>
      <c r="C31" s="11" t="s">
        <v>3530</v>
      </c>
      <c r="D31" s="16">
        <f>SUMIF('II kw.20'!U3:U499,"313*",'II kw.20'!F3:F499)</f>
        <v>0</v>
      </c>
      <c r="E31" s="108">
        <v>2152</v>
      </c>
      <c r="F31" s="11" t="s">
        <v>3505</v>
      </c>
      <c r="G31" s="16">
        <f ca="1">SUMIF('II kw.20'!U3:U499,"2152*",'II kw.20'!F3:F466)</f>
        <v>0</v>
      </c>
      <c r="H31" s="132">
        <v>7521</v>
      </c>
      <c r="I31" s="11" t="s">
        <v>3553</v>
      </c>
      <c r="J31" s="16">
        <f>SUMIF('II kw.20'!U3:U499,"7521*",'II kw.20'!F3:F499)</f>
        <v>0</v>
      </c>
      <c r="K31" s="89"/>
      <c r="L31" s="20"/>
      <c r="M31" s="20"/>
      <c r="N31" s="94" t="s">
        <v>154</v>
      </c>
      <c r="O31" s="94"/>
      <c r="P31" s="18"/>
      <c r="T31" s="37"/>
      <c r="W31" s="119">
        <v>0</v>
      </c>
      <c r="X31" s="11" t="s">
        <v>3586</v>
      </c>
      <c r="Y31" s="96">
        <f>SUMIF('II kw.20'!U3:U499,"0*",'II kw.20'!F3:F499)</f>
        <v>0</v>
      </c>
    </row>
    <row r="32" spans="2:25" x14ac:dyDescent="0.25">
      <c r="B32" s="124">
        <v>314</v>
      </c>
      <c r="C32" s="11" t="s">
        <v>3531</v>
      </c>
      <c r="D32" s="16">
        <f>SUMIF('II kw.20'!U3:U499,"314*",'II kw.20'!F3:F499)</f>
        <v>0</v>
      </c>
      <c r="E32" s="108">
        <v>2153</v>
      </c>
      <c r="F32" s="11" t="s">
        <v>3506</v>
      </c>
      <c r="G32" s="16">
        <f ca="1">SUMIF('II kw.20'!U3:U499,"2153*",'II kw.20'!F3:F466)</f>
        <v>0</v>
      </c>
      <c r="H32" s="132">
        <v>7522</v>
      </c>
      <c r="I32" s="11" t="s">
        <v>3554</v>
      </c>
      <c r="J32" s="16">
        <f>SUMIF('II kw.20'!U3:U499,"7522*",'II kw.20'!F3:F499)</f>
        <v>0</v>
      </c>
      <c r="K32" s="89"/>
      <c r="L32" s="20"/>
      <c r="M32" s="20"/>
      <c r="N32" s="305"/>
      <c r="O32" s="306"/>
      <c r="P32" s="308"/>
      <c r="Y32" s="96">
        <f>SUM(Y26:Y31)</f>
        <v>0</v>
      </c>
    </row>
    <row r="33" spans="2:20" x14ac:dyDescent="0.25">
      <c r="B33" s="125">
        <v>35</v>
      </c>
      <c r="C33" s="11" t="s">
        <v>3536</v>
      </c>
      <c r="D33" s="16">
        <f>SUMIF('II kw.20'!U3:U499,"35*",'II kw.20'!F3:F499)</f>
        <v>1</v>
      </c>
      <c r="E33" s="118">
        <v>25</v>
      </c>
      <c r="F33" s="11" t="s">
        <v>3513</v>
      </c>
      <c r="G33" s="16">
        <f ca="1">SUMIF('II kw.20'!U3:U499,"25*",'II kw.20'!F3:F466)</f>
        <v>5</v>
      </c>
      <c r="J33" s="309">
        <f>SUM(J20:J32)</f>
        <v>6</v>
      </c>
      <c r="K33" s="89"/>
      <c r="L33" s="20"/>
      <c r="M33" s="20"/>
      <c r="N33" s="131">
        <v>753</v>
      </c>
      <c r="O33" s="11" t="s">
        <v>3556</v>
      </c>
      <c r="P33" s="307">
        <f>SUMIF('II kw.20'!U3:U499,"753*",'II kw.20'!F3:F499)</f>
        <v>1</v>
      </c>
    </row>
    <row r="34" spans="2:20" x14ac:dyDescent="0.25">
      <c r="B34" s="119">
        <v>6</v>
      </c>
      <c r="C34" s="11" t="s">
        <v>3543</v>
      </c>
      <c r="D34" s="16">
        <f>SUMIF('II kw.20'!U3:U499,"6*",'II kw.20'!F3:F499)</f>
        <v>0</v>
      </c>
      <c r="E34" s="130">
        <v>74</v>
      </c>
      <c r="F34" s="11" t="s">
        <v>3547</v>
      </c>
      <c r="G34" s="16">
        <f ca="1">SUMIF('II kw.20'!U3:U499,"74*",'II kw.20'!F3:F466)</f>
        <v>1</v>
      </c>
      <c r="H34" s="89"/>
      <c r="I34" s="20"/>
      <c r="K34" s="20"/>
      <c r="L34" s="20"/>
      <c r="M34" s="20"/>
      <c r="N34" s="131">
        <v>7541</v>
      </c>
      <c r="O34" s="11" t="s">
        <v>3557</v>
      </c>
      <c r="P34" s="307">
        <f>SUMIF('II kw.20'!U3:U499,"7541*",'II kw.20'!F3:F499)</f>
        <v>0</v>
      </c>
    </row>
    <row r="35" spans="2:20" x14ac:dyDescent="0.25">
      <c r="B35" s="130">
        <v>72</v>
      </c>
      <c r="C35" s="11" t="s">
        <v>3545</v>
      </c>
      <c r="D35" s="16">
        <f>SUMIF('II kw.20'!U3:U499,"72*",'II kw.20'!F3:F499)</f>
        <v>1</v>
      </c>
      <c r="G35" s="310">
        <f ca="1">SUM(G20:G34)</f>
        <v>9</v>
      </c>
      <c r="N35" s="127">
        <v>54</v>
      </c>
      <c r="O35" s="11" t="s">
        <v>3588</v>
      </c>
      <c r="P35" s="307">
        <f>SUMIF('II kw.20'!U3:U499,"54*",'II kw.20'!F3:F499)</f>
        <v>1</v>
      </c>
    </row>
    <row r="36" spans="2:20" x14ac:dyDescent="0.25">
      <c r="B36" s="130">
        <v>73</v>
      </c>
      <c r="C36" s="11" t="s">
        <v>3546</v>
      </c>
      <c r="D36" s="16">
        <f>SUMIF('II kw.20'!U3:U499,"73*",'II kw.20'!F3:F499)</f>
        <v>0</v>
      </c>
      <c r="P36" s="307">
        <f>SUM(P33:P35)</f>
        <v>2</v>
      </c>
    </row>
    <row r="37" spans="2:20" x14ac:dyDescent="0.25">
      <c r="B37" s="131">
        <v>7511</v>
      </c>
      <c r="C37" s="11" t="s">
        <v>3548</v>
      </c>
      <c r="D37" s="16">
        <f>SUMIF('II kw.20'!U3:U499,"7511*",'II kw.20'!F3:F499)</f>
        <v>0</v>
      </c>
      <c r="T37" s="37"/>
    </row>
    <row r="38" spans="2:20" x14ac:dyDescent="0.25">
      <c r="B38" s="131">
        <v>7513</v>
      </c>
      <c r="C38" s="11" t="s">
        <v>3550</v>
      </c>
      <c r="D38" s="16">
        <f>SUMIF('II kw.20'!U3:U499,"7513*",'II kw.20'!F3:F499)</f>
        <v>0</v>
      </c>
      <c r="T38" s="37"/>
    </row>
    <row r="39" spans="2:20" x14ac:dyDescent="0.25">
      <c r="B39" s="131">
        <v>7514</v>
      </c>
      <c r="C39" s="11" t="s">
        <v>3551</v>
      </c>
      <c r="D39" s="16">
        <f>SUMIF('II kw.20'!U3:U499,"7514*",'II kw.20'!F3:F499)</f>
        <v>0</v>
      </c>
      <c r="T39" s="37"/>
    </row>
    <row r="40" spans="2:20" x14ac:dyDescent="0.25">
      <c r="B40" s="131">
        <v>7523</v>
      </c>
      <c r="C40" s="11" t="s">
        <v>3555</v>
      </c>
      <c r="D40" s="16">
        <f>SUMIF('II kw.20'!U3:U499,"7523*",'II kw.20'!F3:F499)</f>
        <v>0</v>
      </c>
      <c r="T40" s="37"/>
    </row>
    <row r="41" spans="2:20" x14ac:dyDescent="0.25">
      <c r="B41" s="131">
        <v>7542</v>
      </c>
      <c r="C41" s="11" t="s">
        <v>3558</v>
      </c>
      <c r="D41" s="16">
        <f>SUMIF('II kw.20'!U3:U499,"7542*",'II kw.20'!F3:F499)</f>
        <v>0</v>
      </c>
      <c r="T41" s="37"/>
    </row>
    <row r="42" spans="2:20" x14ac:dyDescent="0.25">
      <c r="B42" s="131">
        <v>7543</v>
      </c>
      <c r="C42" s="11" t="s">
        <v>3559</v>
      </c>
      <c r="D42" s="16">
        <f>SUMIF('II kw.20'!U3:U499,"7543*",'II kw.20'!F3:F499)</f>
        <v>0</v>
      </c>
    </row>
    <row r="43" spans="2:20" x14ac:dyDescent="0.25">
      <c r="B43" s="131">
        <v>7544</v>
      </c>
      <c r="C43" s="11" t="s">
        <v>3560</v>
      </c>
      <c r="D43" s="16">
        <f>SUMIF('II kw.20'!U3:U499,"7544*",'II kw.20'!F3:F499)</f>
        <v>0</v>
      </c>
    </row>
    <row r="44" spans="2:20" x14ac:dyDescent="0.25">
      <c r="B44" s="134">
        <v>81</v>
      </c>
      <c r="C44" s="11" t="s">
        <v>3562</v>
      </c>
      <c r="D44" s="16">
        <f>SUMIF('II kw.20'!U3:U499,"81*",'II kw.20'!F3:F499)</f>
        <v>0</v>
      </c>
    </row>
    <row r="45" spans="2:20" x14ac:dyDescent="0.25">
      <c r="B45" s="134">
        <v>82</v>
      </c>
      <c r="C45" s="11" t="s">
        <v>3563</v>
      </c>
      <c r="D45" s="16">
        <f>SUMIF('II kw.20'!U3:U499,"82*",'II kw.20'!F3:F499)</f>
        <v>0</v>
      </c>
    </row>
    <row r="46" spans="2:20" x14ac:dyDescent="0.25">
      <c r="B46" s="120">
        <v>13</v>
      </c>
      <c r="C46" s="11" t="s">
        <v>3577</v>
      </c>
      <c r="D46" s="16">
        <f>SUMIF('II kw.20'!U3:U499,"13*",'II kw.20'!F3:F499)</f>
        <v>7</v>
      </c>
    </row>
    <row r="47" spans="2:20" x14ac:dyDescent="0.25">
      <c r="B47" s="108">
        <v>2163</v>
      </c>
      <c r="C47" s="11" t="s">
        <v>3579</v>
      </c>
      <c r="D47" s="16">
        <f>SUMIF('II kw.20'!U3:U499,"2163*",'II kw.20'!F3:F499)</f>
        <v>1</v>
      </c>
    </row>
    <row r="48" spans="2:20" x14ac:dyDescent="0.25">
      <c r="B48" s="108">
        <v>2133</v>
      </c>
      <c r="C48" s="11" t="s">
        <v>3584</v>
      </c>
      <c r="D48" s="16">
        <f>SUMIF('II kw.20'!U3:U499,"2133*",'II kw.20'!F3:F499)</f>
        <v>0</v>
      </c>
    </row>
    <row r="49" spans="1:4" x14ac:dyDescent="0.25">
      <c r="B49" s="37"/>
      <c r="D49" s="310">
        <f>SUM(D20:D48)</f>
        <v>13</v>
      </c>
    </row>
    <row r="51" spans="1:4" x14ac:dyDescent="0.25">
      <c r="B51" s="1" t="s">
        <v>6926</v>
      </c>
    </row>
    <row r="52" spans="1:4" x14ac:dyDescent="0.25">
      <c r="B52" s="337" t="s">
        <v>6927</v>
      </c>
      <c r="C52" s="338" t="s">
        <v>3465</v>
      </c>
    </row>
    <row r="53" spans="1:4" x14ac:dyDescent="0.25">
      <c r="A53" s="3">
        <v>1</v>
      </c>
      <c r="B53" s="282">
        <v>1801</v>
      </c>
      <c r="C53" s="339">
        <f>SUMIF('II kw.20'!N3:N500,"1801",'II kw.20'!F3:F500)</f>
        <v>3</v>
      </c>
    </row>
    <row r="54" spans="1:4" x14ac:dyDescent="0.25">
      <c r="A54" s="3">
        <v>2</v>
      </c>
      <c r="B54" s="282">
        <v>1802</v>
      </c>
      <c r="C54" s="339">
        <f>SUMIF('II kw.20'!N3:N500,"1802",'II kw.20'!F3:F500)</f>
        <v>2</v>
      </c>
    </row>
    <row r="55" spans="1:4" x14ac:dyDescent="0.25">
      <c r="A55" s="3">
        <v>3</v>
      </c>
      <c r="B55" s="282">
        <v>1803</v>
      </c>
      <c r="C55" s="339">
        <f>SUMIF('II kw.20'!N3:N500,"1803",'II kw.20'!F3:F500)</f>
        <v>9</v>
      </c>
    </row>
    <row r="56" spans="1:4" x14ac:dyDescent="0.25">
      <c r="A56" s="3">
        <v>4</v>
      </c>
      <c r="B56" s="282">
        <v>1804</v>
      </c>
      <c r="C56" s="339">
        <f>SUMIF('II kw.20'!N3:N500,"1804",'II kw.20'!F3:F500)</f>
        <v>5</v>
      </c>
    </row>
    <row r="57" spans="1:4" x14ac:dyDescent="0.25">
      <c r="A57" s="3">
        <v>5</v>
      </c>
      <c r="B57" s="282">
        <v>1805</v>
      </c>
      <c r="C57" s="339">
        <f>SUMIF('II kw.20'!N3:N500,"1805",'II kw.20'!F3:F500)</f>
        <v>5</v>
      </c>
    </row>
    <row r="58" spans="1:4" x14ac:dyDescent="0.25">
      <c r="A58" s="3">
        <v>6</v>
      </c>
      <c r="B58" s="282">
        <v>1806</v>
      </c>
      <c r="C58" s="339">
        <f>SUMIF('II kw.20'!N3:N500,"1806",'II kw.20'!F3:F500)</f>
        <v>3</v>
      </c>
    </row>
    <row r="59" spans="1:4" x14ac:dyDescent="0.25">
      <c r="A59" s="3">
        <v>7</v>
      </c>
      <c r="B59" s="282">
        <v>1807</v>
      </c>
      <c r="C59" s="339">
        <f>SUMIF('II kw.20'!N3:N500,"1807",'II kw.20'!F3:F500)</f>
        <v>2</v>
      </c>
    </row>
    <row r="60" spans="1:4" x14ac:dyDescent="0.25">
      <c r="A60" s="3">
        <v>8</v>
      </c>
      <c r="B60" s="282">
        <v>1808</v>
      </c>
      <c r="C60" s="339">
        <f>SUMIF('II kw.20'!N3:N500,"1808",'II kw.20'!F3:F500)</f>
        <v>7</v>
      </c>
    </row>
    <row r="61" spans="1:4" x14ac:dyDescent="0.25">
      <c r="A61" s="3">
        <v>9</v>
      </c>
      <c r="B61" s="340">
        <v>1809</v>
      </c>
      <c r="C61" s="341">
        <f>SUMIF('II kw.20'!N3:N500,"1809",'II kw.20'!F3:F500)</f>
        <v>28</v>
      </c>
    </row>
    <row r="62" spans="1:4" x14ac:dyDescent="0.25">
      <c r="A62" s="3">
        <v>10</v>
      </c>
      <c r="B62" s="282">
        <v>1810</v>
      </c>
      <c r="C62" s="339">
        <f>SUMIF('II kw.20'!N3:N500,"1810",'II kw.20'!F3:F500)</f>
        <v>6</v>
      </c>
    </row>
    <row r="63" spans="1:4" x14ac:dyDescent="0.25">
      <c r="A63" s="3">
        <v>11</v>
      </c>
      <c r="B63" s="340">
        <v>1811</v>
      </c>
      <c r="C63" s="341">
        <f>SUMIF('II kw.20'!N3:N500,"1811",'II kw.20'!F3:F500)</f>
        <v>10</v>
      </c>
    </row>
    <row r="64" spans="1:4" x14ac:dyDescent="0.25">
      <c r="A64" s="3">
        <v>12</v>
      </c>
      <c r="B64" s="282">
        <v>1812</v>
      </c>
      <c r="C64" s="339">
        <f>SUMIF('II kw.20'!N3:N500,"1812",'II kw.20'!F3:F500)</f>
        <v>8</v>
      </c>
    </row>
    <row r="65" spans="1:3" x14ac:dyDescent="0.25">
      <c r="A65" s="3">
        <v>13</v>
      </c>
      <c r="B65" s="282">
        <v>1813</v>
      </c>
      <c r="C65" s="339">
        <f>SUMIF('II kw.20'!N3:N500,"1813",'II kw.20'!F3:F500)</f>
        <v>0</v>
      </c>
    </row>
    <row r="66" spans="1:3" x14ac:dyDescent="0.25">
      <c r="A66" s="3">
        <v>14</v>
      </c>
      <c r="B66" s="282">
        <v>1814</v>
      </c>
      <c r="C66" s="339">
        <f>SUMIF('II kw.20'!N3:N500,"1814",'II kw.20'!F3:F500)</f>
        <v>7</v>
      </c>
    </row>
    <row r="67" spans="1:3" x14ac:dyDescent="0.25">
      <c r="A67" s="3">
        <v>15</v>
      </c>
      <c r="B67" s="282">
        <v>1815</v>
      </c>
      <c r="C67" s="339">
        <f>SUMIF('II kw.20'!N3:N500,"1815",'II kw.20'!F3:F500)</f>
        <v>6</v>
      </c>
    </row>
    <row r="68" spans="1:3" x14ac:dyDescent="0.25">
      <c r="A68" s="3">
        <v>16</v>
      </c>
      <c r="B68" s="282">
        <v>1816</v>
      </c>
      <c r="C68" s="339">
        <f>SUMIF('II kw.20'!N3:N500,"1816",'II kw.20'!F3:F500)</f>
        <v>8</v>
      </c>
    </row>
    <row r="69" spans="1:3" x14ac:dyDescent="0.25">
      <c r="A69" s="3">
        <v>17</v>
      </c>
      <c r="B69" s="282">
        <v>1817</v>
      </c>
      <c r="C69" s="339">
        <f>SUMIF('II kw.20'!N3:N500,"1817",'II kw.20'!F3:F500)</f>
        <v>5</v>
      </c>
    </row>
    <row r="70" spans="1:3" x14ac:dyDescent="0.25">
      <c r="A70" s="3">
        <v>18</v>
      </c>
      <c r="B70" s="282">
        <v>1818</v>
      </c>
      <c r="C70" s="339">
        <f>SUMIF('II kw.20'!N3:N500,"1818",'II kw.20'!F3:F500)</f>
        <v>4</v>
      </c>
    </row>
    <row r="71" spans="1:3" x14ac:dyDescent="0.25">
      <c r="A71" s="3">
        <v>19</v>
      </c>
      <c r="B71" s="282">
        <v>1819</v>
      </c>
      <c r="C71" s="339">
        <f>SUMIF('II kw.20'!N3:N500,"1819",'II kw.20'!F3:F500)</f>
        <v>1</v>
      </c>
    </row>
    <row r="72" spans="1:3" x14ac:dyDescent="0.25">
      <c r="A72" s="3">
        <v>20</v>
      </c>
      <c r="B72" s="282">
        <v>1820</v>
      </c>
      <c r="C72" s="339">
        <f>SUMIF('II kw.20'!N3:N500,"1820",'II kw.20'!F3:F500)</f>
        <v>4</v>
      </c>
    </row>
    <row r="73" spans="1:3" x14ac:dyDescent="0.25">
      <c r="A73" s="3">
        <v>21</v>
      </c>
      <c r="B73" s="282">
        <v>1821</v>
      </c>
      <c r="C73" s="339">
        <f>SUMIF('II kw.20'!N3:N500,"1821",'II kw.20'!F3:F500)</f>
        <v>7</v>
      </c>
    </row>
    <row r="74" spans="1:3" x14ac:dyDescent="0.25">
      <c r="A74" s="3">
        <v>22</v>
      </c>
      <c r="B74" s="340">
        <v>1861</v>
      </c>
      <c r="C74" s="341">
        <f>SUMIF('II kw.20'!N3:N500,"1861",'II kw.20'!F3:F500)</f>
        <v>10</v>
      </c>
    </row>
    <row r="75" spans="1:3" x14ac:dyDescent="0.25">
      <c r="A75" s="3">
        <v>23</v>
      </c>
      <c r="B75" s="282">
        <v>1862</v>
      </c>
      <c r="C75" s="339">
        <f>SUMIF('II kw.20'!N3:N500,"1862",'II kw.20'!F3:F500)</f>
        <v>6</v>
      </c>
    </row>
    <row r="76" spans="1:3" x14ac:dyDescent="0.25">
      <c r="A76" s="3">
        <v>24</v>
      </c>
      <c r="B76" s="340">
        <v>1863</v>
      </c>
      <c r="C76" s="341">
        <f>SUMIF('II kw.20'!N3:N500,"1863",'II kw.20'!F3:F500)</f>
        <v>22</v>
      </c>
    </row>
    <row r="77" spans="1:3" x14ac:dyDescent="0.25">
      <c r="A77" s="3">
        <v>25</v>
      </c>
      <c r="B77" s="282">
        <v>1864</v>
      </c>
      <c r="C77" s="339">
        <f>SUMIF('II kw.20'!N3:N500,"1864",'II kw.20'!F3:F500)</f>
        <v>6</v>
      </c>
    </row>
    <row r="78" spans="1:3" x14ac:dyDescent="0.25">
      <c r="B78" s="282">
        <v>1800</v>
      </c>
      <c r="C78" s="339">
        <f>SUM(C53:C77)</f>
        <v>174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80"/>
  <sheetViews>
    <sheetView zoomScale="80" zoomScaleNormal="80" zoomScaleSheetLayoutView="110" workbookViewId="0">
      <selection activeCell="B1" sqref="B1"/>
    </sheetView>
  </sheetViews>
  <sheetFormatPr defaultRowHeight="15" x14ac:dyDescent="0.25"/>
  <cols>
    <col min="1" max="1" width="3.42578125" style="3" customWidth="1"/>
    <col min="2" max="2" width="6.2851562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row r="2" spans="2:21" ht="15.75" thickBot="1" x14ac:dyDescent="0.3">
      <c r="B2" s="1" t="s">
        <v>3461</v>
      </c>
      <c r="C2" s="2"/>
      <c r="D2" s="1"/>
      <c r="E2" s="1"/>
      <c r="H2" s="1" t="s">
        <v>3466</v>
      </c>
      <c r="L2" s="3" t="b">
        <f ca="1">EXACT(E18,J15)</f>
        <v>1</v>
      </c>
      <c r="M2" s="3" t="b">
        <f ca="1">EXACT(E18,P19)</f>
        <v>1</v>
      </c>
    </row>
    <row r="3" spans="2:21" ht="45.75" thickBot="1" x14ac:dyDescent="0.3">
      <c r="B3" s="360" t="s">
        <v>171</v>
      </c>
      <c r="C3" s="361" t="s">
        <v>172</v>
      </c>
      <c r="D3" s="361" t="s">
        <v>6539</v>
      </c>
      <c r="E3" s="361" t="s">
        <v>3483</v>
      </c>
      <c r="F3" s="362" t="s">
        <v>3467</v>
      </c>
      <c r="H3" s="193" t="s">
        <v>3462</v>
      </c>
      <c r="I3" s="193" t="s">
        <v>3465</v>
      </c>
      <c r="J3" s="193" t="s">
        <v>3514</v>
      </c>
      <c r="R3" s="3" t="s">
        <v>6394</v>
      </c>
      <c r="S3" s="20"/>
      <c r="T3" s="3" t="s">
        <v>6394</v>
      </c>
      <c r="U3" s="20"/>
    </row>
    <row r="4" spans="2:21" ht="15.75" thickBot="1" x14ac:dyDescent="0.3">
      <c r="B4" s="351" t="s">
        <v>3515</v>
      </c>
      <c r="C4" s="352" t="s">
        <v>3460</v>
      </c>
      <c r="D4" s="353">
        <v>563</v>
      </c>
      <c r="E4" s="353">
        <v>523</v>
      </c>
      <c r="F4" s="433"/>
      <c r="H4" s="11" t="s">
        <v>3463</v>
      </c>
      <c r="I4" s="12">
        <f>COUNTIF('III kw.20'!E3:E899,"praca")</f>
        <v>76</v>
      </c>
      <c r="J4" s="12" t="s">
        <v>3515</v>
      </c>
      <c r="N4" s="12">
        <v>1</v>
      </c>
      <c r="O4" s="11" t="s">
        <v>170</v>
      </c>
      <c r="P4" s="12">
        <f>SUM(D51)</f>
        <v>15</v>
      </c>
      <c r="R4" s="12">
        <f ca="1">RANK(P4,$P$4:$P$15,0)+COUNTIF($P$4:P4,P4)-1</f>
        <v>3</v>
      </c>
      <c r="T4" s="17" t="str">
        <f ca="1">INDEX($N$4:$P$15,MATCH(1,$R$4:$R$15,0),2)</f>
        <v>Handel, transport, logistyka</v>
      </c>
      <c r="U4" s="12">
        <f ca="1">INDEX($N$4:$P$15,MATCH(1,$R$4:$R$15,0),3)</f>
        <v>50</v>
      </c>
    </row>
    <row r="5" spans="2:21" x14ac:dyDescent="0.25">
      <c r="B5" s="342" t="s">
        <v>3516</v>
      </c>
      <c r="C5" s="343" t="s">
        <v>3459</v>
      </c>
      <c r="D5" s="344">
        <v>466</v>
      </c>
      <c r="E5" s="344">
        <v>477</v>
      </c>
      <c r="F5" s="434"/>
      <c r="H5" s="11" t="s">
        <v>192</v>
      </c>
      <c r="I5" s="12">
        <f>COUNTIF('III kw.20'!E3:E899,"pracuj.pl")</f>
        <v>8</v>
      </c>
      <c r="J5" s="12" t="s">
        <v>3516</v>
      </c>
      <c r="N5" s="12">
        <v>2</v>
      </c>
      <c r="O5" s="11" t="s">
        <v>2</v>
      </c>
      <c r="P5" s="12">
        <f ca="1">SUM(G37)</f>
        <v>6</v>
      </c>
      <c r="R5" s="12">
        <f ca="1">RANK(P5,$P$4:$P$15,0)+COUNTIF($P$4:P5,P5)-1</f>
        <v>4</v>
      </c>
      <c r="T5" s="17" t="str">
        <f ca="1">INDEX($N$4:$P$15,MATCH(2,$R$4:$R$15,0),2)</f>
        <v>Usługi finansowe, HR i inne</v>
      </c>
      <c r="U5" s="12">
        <f ca="1">INDEX($N$4:$P$15,MATCH(2,$R$4:$R$15,0),3)</f>
        <v>19</v>
      </c>
    </row>
    <row r="6" spans="2:21" ht="15.75" thickBot="1" x14ac:dyDescent="0.3">
      <c r="B6" s="345" t="s">
        <v>3517</v>
      </c>
      <c r="C6" s="346" t="s">
        <v>3458</v>
      </c>
      <c r="D6" s="347">
        <v>365</v>
      </c>
      <c r="E6" s="347">
        <v>386</v>
      </c>
      <c r="F6" s="435"/>
      <c r="H6" s="11" t="s">
        <v>217</v>
      </c>
      <c r="I6" s="12">
        <f>COUNTIF('III kw.20'!E3:E899,"agora")</f>
        <v>3</v>
      </c>
      <c r="J6" s="12" t="s">
        <v>3517</v>
      </c>
      <c r="N6" s="12">
        <v>3</v>
      </c>
      <c r="O6" s="11" t="s">
        <v>3</v>
      </c>
      <c r="P6" s="12">
        <f>SUM(J35)</f>
        <v>1</v>
      </c>
      <c r="R6" s="12">
        <f ca="1">RANK(P6,$P$4:$P$15,0)+COUNTIF($P$4:P6,P6)-1</f>
        <v>6</v>
      </c>
      <c r="T6" s="17" t="str">
        <f ca="1">INDEX($N$4:$P$15,MATCH(3,$R$4:$R$15,0),2)</f>
        <v>Przemysł produkcyjny</v>
      </c>
      <c r="U6" s="12">
        <f ca="1">INDEX($N$4:$P$15,MATCH(3,$R$4:$R$15,0),3)</f>
        <v>15</v>
      </c>
    </row>
    <row r="7" spans="2:21" x14ac:dyDescent="0.25">
      <c r="B7" s="342" t="s">
        <v>3518</v>
      </c>
      <c r="C7" s="343" t="s">
        <v>3457</v>
      </c>
      <c r="D7" s="344">
        <v>461</v>
      </c>
      <c r="E7" s="344">
        <v>444</v>
      </c>
      <c r="F7" s="434"/>
      <c r="H7" s="11" t="s">
        <v>3464</v>
      </c>
      <c r="I7" s="12">
        <f>COUNTIF('III kw.20'!E3:E899,"gratka")</f>
        <v>10</v>
      </c>
      <c r="J7" s="12" t="s">
        <v>3518</v>
      </c>
      <c r="N7" s="12">
        <v>4</v>
      </c>
      <c r="O7" s="11" t="s">
        <v>3589</v>
      </c>
      <c r="P7" s="12">
        <f>SUM(M28)</f>
        <v>50</v>
      </c>
      <c r="R7" s="12">
        <f ca="1">RANK(P7,$P$4:$P$15,0)+COUNTIF($P$4:P7,P7)-1</f>
        <v>1</v>
      </c>
      <c r="T7" s="17" t="str">
        <f ca="1">INDEX($N$4:$P$15,MATCH(4,$R$4:$R$15,0),2)</f>
        <v>Przemysł high-tech</v>
      </c>
      <c r="U7" s="12">
        <f ca="1">INDEX($N$4:$P$15,MATCH(4,$R$4:$R$15,0),3)</f>
        <v>6</v>
      </c>
    </row>
    <row r="8" spans="2:21" ht="15.75" thickBot="1" x14ac:dyDescent="0.3">
      <c r="B8" s="345" t="s">
        <v>13071</v>
      </c>
      <c r="C8" s="346" t="s">
        <v>173</v>
      </c>
      <c r="D8" s="347">
        <v>720</v>
      </c>
      <c r="E8" s="347">
        <v>704</v>
      </c>
      <c r="F8" s="435"/>
      <c r="H8" s="184"/>
      <c r="I8" s="183">
        <f>SUM(I4:I7)</f>
        <v>97</v>
      </c>
      <c r="J8" s="184"/>
      <c r="N8" s="12">
        <v>5</v>
      </c>
      <c r="O8" s="11" t="s">
        <v>13096</v>
      </c>
      <c r="P8" s="12">
        <f>SUM(P27)</f>
        <v>19</v>
      </c>
      <c r="R8" s="12">
        <f ca="1">RANK(P8,$P$4:$P$15,0)+COUNTIF($P$4:P8,P8)-1</f>
        <v>2</v>
      </c>
      <c r="T8" s="17" t="str">
        <f ca="1">INDEX($N$4:$P$15,MATCH(5,$R$4:$R$15,0),2)</f>
        <v>Prace proste</v>
      </c>
      <c r="U8" s="12">
        <f ca="1">INDEX($N$4:$P$15,MATCH(5,$R$4:$R$15,0),3)</f>
        <v>3</v>
      </c>
    </row>
    <row r="9" spans="2:21" x14ac:dyDescent="0.25">
      <c r="B9" s="357">
        <v>1</v>
      </c>
      <c r="C9" s="349" t="s">
        <v>175</v>
      </c>
      <c r="D9" s="350">
        <v>86</v>
      </c>
      <c r="E9" s="350">
        <v>122</v>
      </c>
      <c r="F9" s="436"/>
      <c r="H9" s="1" t="s">
        <v>3570</v>
      </c>
      <c r="N9" s="12">
        <v>6</v>
      </c>
      <c r="O9" s="11" t="s">
        <v>134</v>
      </c>
      <c r="P9" s="12">
        <f>SUM(P32)</f>
        <v>0</v>
      </c>
      <c r="R9" s="12">
        <f ca="1">RANK(P9,$P$4:$P$15,0)+COUNTIF($P$4:P9,P9)-1</f>
        <v>10</v>
      </c>
      <c r="T9" s="17" t="str">
        <f ca="1">INDEX($N$4:$P$15,MATCH(6,$R$4:$R$15,0),2)</f>
        <v>Budownictwo</v>
      </c>
      <c r="U9" s="12">
        <f ca="1">INDEX($N$4:$P$15,MATCH(6,$R$4:$R$15,0),3)</f>
        <v>1</v>
      </c>
    </row>
    <row r="10" spans="2:21" ht="15.75" thickBot="1" x14ac:dyDescent="0.3">
      <c r="B10" s="358">
        <v>2</v>
      </c>
      <c r="C10" s="355" t="s">
        <v>174</v>
      </c>
      <c r="D10" s="356">
        <v>377</v>
      </c>
      <c r="E10" s="356">
        <v>410</v>
      </c>
      <c r="F10" s="437"/>
      <c r="H10" s="312" t="s">
        <v>3469</v>
      </c>
      <c r="I10" s="312" t="s">
        <v>3568</v>
      </c>
      <c r="J10" s="313">
        <f ca="1">SUM(D51,G37,J35)</f>
        <v>22</v>
      </c>
      <c r="N10" s="12">
        <v>7</v>
      </c>
      <c r="O10" s="11" t="s">
        <v>3590</v>
      </c>
      <c r="P10" s="12">
        <f>SUM(P38)</f>
        <v>0</v>
      </c>
      <c r="R10" s="12">
        <f ca="1">RANK(P10,$P$4:$P$15,0)+COUNTIF($P$4:P10,P10)-1</f>
        <v>11</v>
      </c>
      <c r="T10" s="17" t="str">
        <f ca="1">INDEX($N$4:$P$15,MATCH(7,$R$4:$R$15,0),2)</f>
        <v>Zdrowie i opieka społeczna</v>
      </c>
      <c r="U10" s="12">
        <f ca="1">INDEX($N$4:$P$15,MATCH(7,$R$4:$R$15,0),3)</f>
        <v>1</v>
      </c>
    </row>
    <row r="11" spans="2:21" ht="15.75" thickBot="1" x14ac:dyDescent="0.3">
      <c r="B11" s="351" t="s">
        <v>13072</v>
      </c>
      <c r="C11" s="352" t="s">
        <v>3486</v>
      </c>
      <c r="D11" s="353">
        <f>SUM(D9:D10)</f>
        <v>463</v>
      </c>
      <c r="E11" s="353">
        <f>SUM(E9:E10)</f>
        <v>532</v>
      </c>
      <c r="F11" s="433"/>
      <c r="H11" s="308" t="s">
        <v>3470</v>
      </c>
      <c r="I11" s="308" t="s">
        <v>3566</v>
      </c>
      <c r="J11" s="307">
        <f>SUM(M28,P27,P32,P38,S25)</f>
        <v>70</v>
      </c>
      <c r="N11" s="12">
        <v>8</v>
      </c>
      <c r="O11" s="11" t="s">
        <v>4</v>
      </c>
      <c r="P11" s="12">
        <f>SUM(S25)</f>
        <v>1</v>
      </c>
      <c r="R11" s="12">
        <f ca="1">RANK(P11,$P$4:$P$15,0)+COUNTIF($P$4:P11,P11)-1</f>
        <v>7</v>
      </c>
      <c r="T11" s="17" t="str">
        <f ca="1">INDEX($N$4:$P$15,MATCH(8,$R$4:$R$15,0),2)</f>
        <v>Informacja i edukcja</v>
      </c>
      <c r="U11" s="12">
        <f ca="1">INDEX($N$4:$P$15,MATCH(8,$R$4:$R$15,0),3)</f>
        <v>1</v>
      </c>
    </row>
    <row r="12" spans="2:21" x14ac:dyDescent="0.25">
      <c r="B12" s="357">
        <v>3</v>
      </c>
      <c r="C12" s="349" t="s">
        <v>3481</v>
      </c>
      <c r="D12" s="348">
        <v>180</v>
      </c>
      <c r="E12" s="348">
        <v>231</v>
      </c>
      <c r="F12" s="436"/>
      <c r="H12" s="322" t="s">
        <v>3471</v>
      </c>
      <c r="I12" s="322" t="s">
        <v>3567</v>
      </c>
      <c r="J12" s="316">
        <f>SUM(V25,V31)</f>
        <v>1</v>
      </c>
      <c r="N12" s="12">
        <v>9</v>
      </c>
      <c r="O12" s="11" t="s">
        <v>3591</v>
      </c>
      <c r="P12" s="12">
        <f>SUM(V25)</f>
        <v>1</v>
      </c>
      <c r="R12" s="12">
        <f ca="1">RANK(P12,$P$4:$P$15,0)+COUNTIF($P$4:P12,P12)-1</f>
        <v>8</v>
      </c>
      <c r="T12" s="17" t="str">
        <f ca="1">INDEX($N$4:$P$15,MATCH(9,$R$4:$R$15,0),2)</f>
        <v>Pozostałe grupy</v>
      </c>
      <c r="U12" s="12">
        <f ca="1">INDEX($N$4:$P$15,MATCH(9,$R$4:$R$15,0),3)</f>
        <v>1</v>
      </c>
    </row>
    <row r="13" spans="2:21" ht="15.75" thickBot="1" x14ac:dyDescent="0.3">
      <c r="B13" s="358">
        <v>4</v>
      </c>
      <c r="C13" s="355" t="s">
        <v>3482</v>
      </c>
      <c r="D13" s="354">
        <v>361</v>
      </c>
      <c r="E13" s="354">
        <v>378</v>
      </c>
      <c r="F13" s="437"/>
      <c r="H13" s="325" t="s">
        <v>3472</v>
      </c>
      <c r="I13" s="325" t="s">
        <v>6</v>
      </c>
      <c r="J13" s="326">
        <f>SUM(Y24)</f>
        <v>3</v>
      </c>
      <c r="N13" s="12">
        <v>10</v>
      </c>
      <c r="O13" s="11" t="s">
        <v>0</v>
      </c>
      <c r="P13" s="12">
        <f>SUM(V31)</f>
        <v>0</v>
      </c>
      <c r="R13" s="12">
        <f ca="1">RANK(P13,$P$4:$P$15,0)+COUNTIF($P$4:P13,P13)-1</f>
        <v>12</v>
      </c>
      <c r="T13" s="17" t="str">
        <f ca="1">INDEX($N$4:$P$15,MATCH(10,$R$4:$R$15,0),2)</f>
        <v>Usługi gastronomiczne</v>
      </c>
      <c r="U13" s="12">
        <f ca="1">INDEX($N$4:$P$15,MATCH(10,$R$4:$R$15,0),3)</f>
        <v>0</v>
      </c>
    </row>
    <row r="14" spans="2:21" ht="15.75" thickBot="1" x14ac:dyDescent="0.3">
      <c r="B14" s="351" t="s">
        <v>13073</v>
      </c>
      <c r="C14" s="352" t="s">
        <v>3487</v>
      </c>
      <c r="D14" s="353">
        <f>SUM(D12:D13)</f>
        <v>541</v>
      </c>
      <c r="E14" s="353">
        <f>SUM(E12:E13)</f>
        <v>609</v>
      </c>
      <c r="F14" s="433"/>
      <c r="H14" s="329" t="s">
        <v>3473</v>
      </c>
      <c r="I14" s="329" t="s">
        <v>3574</v>
      </c>
      <c r="J14" s="96">
        <f>SUM(Y34)</f>
        <v>1</v>
      </c>
      <c r="N14" s="12">
        <v>11</v>
      </c>
      <c r="O14" s="11" t="s">
        <v>6</v>
      </c>
      <c r="P14" s="12">
        <f>SUM(Y24)</f>
        <v>3</v>
      </c>
      <c r="R14" s="12">
        <f ca="1">RANK(P14,$P$4:$P$15,0)+COUNTIF($P$4:P14,P14)-1</f>
        <v>5</v>
      </c>
      <c r="T14" s="17" t="str">
        <f ca="1">INDEX($N$4:$P$15,MATCH(11,$R$4:$R$15,0),2)</f>
        <v>Usługi typu krawiectwo, kaletnictwo, obuwnictwo + poszukiwanie + ochrona</v>
      </c>
      <c r="U14" s="12">
        <f ca="1">INDEX($N$4:$P$15,MATCH(11,$R$4:$R$15,0),3)</f>
        <v>0</v>
      </c>
    </row>
    <row r="15" spans="2:21" x14ac:dyDescent="0.25">
      <c r="B15" s="357">
        <v>5</v>
      </c>
      <c r="C15" s="349" t="s">
        <v>6392</v>
      </c>
      <c r="D15" s="350">
        <v>249</v>
      </c>
      <c r="E15" s="350">
        <v>258</v>
      </c>
      <c r="F15" s="436"/>
      <c r="H15" s="184"/>
      <c r="I15" s="184"/>
      <c r="J15" s="183">
        <f ca="1">SUM(J10:J14)</f>
        <v>97</v>
      </c>
      <c r="N15" s="12">
        <v>12</v>
      </c>
      <c r="O15" s="17" t="s">
        <v>3574</v>
      </c>
      <c r="P15" s="12">
        <f>SUM(Y34)</f>
        <v>1</v>
      </c>
      <c r="R15" s="12">
        <f ca="1">RANK(P15,$P$4:$P$15,0)+COUNTIF($P$4:P15,P15)-1</f>
        <v>9</v>
      </c>
      <c r="T15" s="17" t="str">
        <f ca="1">INDEX($N$4:$P$15,MATCH(12,$R$4:$R$15,0),2)</f>
        <v>Nadzór i administracja</v>
      </c>
      <c r="U15" s="12">
        <f ca="1">INDEX($N$4:$P$15,MATCH(12,$R$4:$R$15,0),3)</f>
        <v>0</v>
      </c>
    </row>
    <row r="16" spans="2:21" ht="15.75" thickBot="1" x14ac:dyDescent="0.3">
      <c r="B16" s="359">
        <v>6</v>
      </c>
      <c r="C16" s="17" t="s">
        <v>6924</v>
      </c>
      <c r="D16" s="26">
        <v>173</v>
      </c>
      <c r="E16" s="26">
        <v>197</v>
      </c>
      <c r="F16" s="438"/>
      <c r="H16" s="184"/>
      <c r="I16" s="184"/>
      <c r="J16" s="183"/>
      <c r="N16" s="18"/>
      <c r="O16" s="89"/>
      <c r="P16" s="18"/>
      <c r="R16" s="18"/>
      <c r="T16" s="89"/>
      <c r="U16" s="18"/>
    </row>
    <row r="17" spans="2:25" ht="15.75" thickBot="1" x14ac:dyDescent="0.3">
      <c r="B17" s="351" t="s">
        <v>13074</v>
      </c>
      <c r="C17" s="352" t="s">
        <v>6929</v>
      </c>
      <c r="D17" s="353">
        <f>SUM(D15:D16)</f>
        <v>422</v>
      </c>
      <c r="E17" s="353">
        <f>SUM(E15:E16)</f>
        <v>455</v>
      </c>
      <c r="F17" s="433"/>
      <c r="H17" s="184"/>
      <c r="I17" s="184"/>
      <c r="J17" s="183"/>
      <c r="N17" s="18"/>
      <c r="O17" s="89"/>
      <c r="P17" s="18"/>
      <c r="R17" s="18"/>
      <c r="T17" s="89"/>
      <c r="U17" s="18"/>
    </row>
    <row r="18" spans="2:25" ht="15.75" thickBot="1" x14ac:dyDescent="0.3">
      <c r="B18" s="430">
        <v>7</v>
      </c>
      <c r="C18" s="431" t="s">
        <v>6928</v>
      </c>
      <c r="D18" s="432">
        <v>97</v>
      </c>
      <c r="E18" s="432">
        <v>97</v>
      </c>
      <c r="F18" s="439" t="s">
        <v>13075</v>
      </c>
      <c r="H18" s="184"/>
      <c r="I18" s="184"/>
      <c r="J18" s="183"/>
      <c r="N18" s="18"/>
      <c r="O18" s="89"/>
      <c r="P18" s="18"/>
      <c r="R18" s="18"/>
      <c r="T18" s="89"/>
      <c r="U18" s="18"/>
    </row>
    <row r="19" spans="2:25" x14ac:dyDescent="0.25">
      <c r="B19" s="18"/>
      <c r="C19" s="89"/>
      <c r="D19" s="135"/>
      <c r="E19" s="135"/>
      <c r="F19" s="20"/>
      <c r="N19" s="242"/>
      <c r="O19" s="242"/>
      <c r="P19" s="243">
        <f ca="1">SUM(P4:P15)</f>
        <v>97</v>
      </c>
      <c r="R19" s="242"/>
      <c r="T19" s="243"/>
      <c r="U19" s="246">
        <f ca="1">SUM(U4:U15)</f>
        <v>97</v>
      </c>
    </row>
    <row r="20" spans="2:25" x14ac:dyDescent="0.25">
      <c r="B20" s="303" t="s">
        <v>170</v>
      </c>
      <c r="C20" s="303"/>
      <c r="D20" s="303"/>
      <c r="E20" s="303" t="s">
        <v>2</v>
      </c>
      <c r="F20" s="303"/>
      <c r="G20" s="303"/>
      <c r="H20" s="303" t="s">
        <v>3</v>
      </c>
      <c r="I20" s="303"/>
      <c r="J20" s="303"/>
      <c r="K20" s="304" t="s">
        <v>3589</v>
      </c>
      <c r="L20" s="304"/>
      <c r="M20" s="304"/>
      <c r="N20" s="304" t="s">
        <v>1</v>
      </c>
      <c r="O20" s="304"/>
      <c r="P20" s="304"/>
      <c r="Q20" s="304" t="s">
        <v>4</v>
      </c>
      <c r="R20" s="304"/>
      <c r="S20" s="304"/>
      <c r="T20" s="314" t="s">
        <v>5</v>
      </c>
      <c r="U20" s="314"/>
      <c r="V20" s="314"/>
      <c r="W20" s="328" t="s">
        <v>6</v>
      </c>
      <c r="X20" s="328"/>
      <c r="Y20" s="327"/>
    </row>
    <row r="21" spans="2:25" x14ac:dyDescent="0.25">
      <c r="B21" s="21" t="s">
        <v>3469</v>
      </c>
      <c r="C21" s="22"/>
      <c r="D21" s="311"/>
      <c r="E21" s="21" t="s">
        <v>3470</v>
      </c>
      <c r="F21" s="22"/>
      <c r="G21" s="311"/>
      <c r="H21" s="21" t="s">
        <v>3470</v>
      </c>
      <c r="I21" s="21"/>
      <c r="J21" s="311"/>
      <c r="K21" s="114"/>
      <c r="L21" s="113"/>
      <c r="M21" s="305"/>
      <c r="N21" s="305"/>
      <c r="O21" s="306"/>
      <c r="P21" s="305"/>
      <c r="Q21" s="305"/>
      <c r="R21" s="306"/>
      <c r="S21" s="305"/>
      <c r="T21" s="98"/>
      <c r="U21" s="99"/>
      <c r="V21" s="315"/>
      <c r="W21" s="323"/>
      <c r="X21" s="324"/>
      <c r="Y21" s="325"/>
    </row>
    <row r="22" spans="2:25" x14ac:dyDescent="0.25">
      <c r="B22" s="108">
        <v>2141</v>
      </c>
      <c r="C22" s="12" t="s">
        <v>3569</v>
      </c>
      <c r="D22" s="16">
        <f>SUMIF('III kw.20'!AJ3:AJ499,"2141*",'III kw.20'!F3:F499)</f>
        <v>0</v>
      </c>
      <c r="E22" s="108">
        <v>2113</v>
      </c>
      <c r="F22" s="11" t="s">
        <v>3491</v>
      </c>
      <c r="G22" s="16">
        <f ca="1">SUMIF('III kw.20'!AJ3:AJ499,"2113*",'III kw.20'!F3:F466)</f>
        <v>0</v>
      </c>
      <c r="H22" s="122">
        <v>2142</v>
      </c>
      <c r="I22" s="11" t="s">
        <v>3494</v>
      </c>
      <c r="J22" s="16">
        <f>SUMIF('III kw.20'!AJ3:AJ499,"2142*",'III kw.20'!F3:F499)</f>
        <v>1</v>
      </c>
      <c r="K22" s="123">
        <v>315</v>
      </c>
      <c r="L22" s="11" t="s">
        <v>3532</v>
      </c>
      <c r="M22" s="112">
        <f>SUMIF('III kw.20'!AJ3:AJ499,"315*",'III kw.20'!F3:F499)</f>
        <v>0</v>
      </c>
      <c r="N22" s="108">
        <v>2166</v>
      </c>
      <c r="O22" s="11" t="s">
        <v>3510</v>
      </c>
      <c r="P22" s="307">
        <f>SUMIF('III kw.20'!AJ3:AJ499,"2166*",'III kw.20'!F3:F499)</f>
        <v>0</v>
      </c>
      <c r="Q22" s="118">
        <v>22</v>
      </c>
      <c r="R22" s="11" t="s">
        <v>3511</v>
      </c>
      <c r="S22" s="307">
        <f>SUMIF('III kw.20'!AJ3:AJ499,"22*",'III kw.20'!F3:F499)</f>
        <v>1</v>
      </c>
      <c r="T22" s="118">
        <v>23</v>
      </c>
      <c r="U22" s="11" t="s">
        <v>3512</v>
      </c>
      <c r="V22" s="316">
        <f>SUMIF('III kw.20'!AJ3:AJ499,"23*",'III kw.20'!F3:F499)</f>
        <v>1</v>
      </c>
      <c r="W22" s="131">
        <v>7549</v>
      </c>
      <c r="X22" s="11" t="s">
        <v>3561</v>
      </c>
      <c r="Y22" s="326">
        <f>SUMIF('III kw.20'!AJ3:AJ499,"7549*",'III kw.20'!F3:F499)</f>
        <v>0</v>
      </c>
    </row>
    <row r="23" spans="2:25" x14ac:dyDescent="0.25">
      <c r="B23" s="108">
        <v>2132</v>
      </c>
      <c r="C23" s="11" t="s">
        <v>3493</v>
      </c>
      <c r="D23" s="195">
        <f>SUMIF('III kw.20'!AJ3:AJ499,"2132*",'III kw.20'!F3:F499)</f>
        <v>1</v>
      </c>
      <c r="E23" s="108">
        <v>2145</v>
      </c>
      <c r="F23" s="11" t="s">
        <v>3496</v>
      </c>
      <c r="G23" s="16">
        <f ca="1">SUMIF('III kw.20'!AJ3:AJ499,"2145*",'III kw.20'!F3:F466)</f>
        <v>0</v>
      </c>
      <c r="H23" s="122">
        <v>2143</v>
      </c>
      <c r="I23" s="11" t="s">
        <v>93</v>
      </c>
      <c r="J23" s="16">
        <f>SUMIF('III kw.20'!AJ3:AJ499,"2143*",'III kw.20'!F3:F499)</f>
        <v>0</v>
      </c>
      <c r="K23" s="117">
        <v>42</v>
      </c>
      <c r="L23" s="11" t="s">
        <v>3537</v>
      </c>
      <c r="M23" s="112">
        <f>SUMIF('III kw.20'!AJ3:AJ499,"42*",'III kw.20'!F3:F499)</f>
        <v>1</v>
      </c>
      <c r="N23" s="118">
        <v>24</v>
      </c>
      <c r="O23" s="368" t="s">
        <v>3571</v>
      </c>
      <c r="P23" s="107">
        <f>SUMIF('III kw.20'!AJ3:AJ499,"24*",'III kw.20'!F3:F499)</f>
        <v>4</v>
      </c>
      <c r="Q23" s="121">
        <v>32</v>
      </c>
      <c r="R23" s="11" t="s">
        <v>3533</v>
      </c>
      <c r="S23" s="307">
        <f>SUMIF('III kw.20'!AJ3:AJ499,"32*",'III kw.20'!F3:F499)</f>
        <v>0</v>
      </c>
      <c r="T23" s="118">
        <v>26</v>
      </c>
      <c r="U23" s="11" t="s">
        <v>3572</v>
      </c>
      <c r="V23" s="316">
        <f>SUMIF('III kw.20'!AJ3:AJ499,"26*",'III kw.20'!F3:F499)</f>
        <v>0</v>
      </c>
      <c r="W23" s="119">
        <v>9</v>
      </c>
      <c r="X23" s="11" t="s">
        <v>3565</v>
      </c>
      <c r="Y23" s="326">
        <f>SUMIF('III kw.20'!AJ3:AJ499,"9*",'III kw.20'!F3:F499)</f>
        <v>3</v>
      </c>
    </row>
    <row r="24" spans="2:25" x14ac:dyDescent="0.25">
      <c r="B24" s="108">
        <v>2146</v>
      </c>
      <c r="C24" s="11" t="s">
        <v>3497</v>
      </c>
      <c r="D24" s="16">
        <f>SUMIF('III kw.20'!AJ3:AJ499,"2146*",'III kw.20'!F3:F499)</f>
        <v>0</v>
      </c>
      <c r="E24" s="108">
        <v>2131</v>
      </c>
      <c r="F24" s="11" t="s">
        <v>3492</v>
      </c>
      <c r="G24" s="16">
        <f ca="1">SUMIF('III kw.20'!AJ3:AJ499,"2131*",'III kw.20'!F3:F466)</f>
        <v>0</v>
      </c>
      <c r="H24" s="122">
        <v>2161</v>
      </c>
      <c r="I24" s="11" t="s">
        <v>3507</v>
      </c>
      <c r="J24" s="16">
        <f>SUMIF('III kw.20'!AJ3:AJ499,"2161*",'III kw.20'!F3:F499)</f>
        <v>0</v>
      </c>
      <c r="K24" s="117">
        <v>43</v>
      </c>
      <c r="L24" s="103" t="s">
        <v>3538</v>
      </c>
      <c r="M24" s="107">
        <f>SUMIF('III kw.20'!AJ3:AJ499,"43*",'III kw.20'!F3:F499)</f>
        <v>5</v>
      </c>
      <c r="N24" s="125">
        <v>33</v>
      </c>
      <c r="O24" s="368" t="s">
        <v>3534</v>
      </c>
      <c r="P24" s="107">
        <f>SUMIF('III kw.20'!AJ3:AJ499,"33*",'III kw.20'!F3:F499)</f>
        <v>9</v>
      </c>
      <c r="Q24" s="127">
        <v>53</v>
      </c>
      <c r="R24" s="11" t="s">
        <v>3542</v>
      </c>
      <c r="S24" s="307">
        <f>SUMIF('III kw.20'!AJ3:AJ499,"53*",'III kw.20'!F3:F499)</f>
        <v>0</v>
      </c>
      <c r="T24" s="125">
        <v>34</v>
      </c>
      <c r="U24" s="11" t="s">
        <v>3535</v>
      </c>
      <c r="V24" s="316">
        <f>SUMIF('III kw.20'!AJ3:AJ499,"34*",'III kw.20'!F3:F499)</f>
        <v>0</v>
      </c>
      <c r="W24" s="37"/>
      <c r="Y24" s="326">
        <f>SUM(Y22:Y23)</f>
        <v>3</v>
      </c>
    </row>
    <row r="25" spans="2:25" x14ac:dyDescent="0.25">
      <c r="B25" s="121">
        <v>3113</v>
      </c>
      <c r="C25" s="11" t="s">
        <v>3520</v>
      </c>
      <c r="D25" s="16">
        <f>SUMIF('III kw.20'!AJ3:AJ499,"3113*",'III kw.20'!F3:F499)</f>
        <v>2</v>
      </c>
      <c r="E25" s="108">
        <v>2144</v>
      </c>
      <c r="F25" s="11" t="s">
        <v>3495</v>
      </c>
      <c r="G25" s="16">
        <f ca="1">SUMIF('III kw.20'!AJ3:AJ499,"2144*",'III kw.20'!F3:F466)</f>
        <v>1</v>
      </c>
      <c r="H25" s="122">
        <v>2162</v>
      </c>
      <c r="I25" s="11" t="s">
        <v>3508</v>
      </c>
      <c r="J25" s="16">
        <f>SUMIF('III kw.20'!AJ3:AJ499,"2162*",'III kw.20'!F3:F499)</f>
        <v>0</v>
      </c>
      <c r="K25" s="367">
        <v>52</v>
      </c>
      <c r="L25" s="103" t="s">
        <v>3541</v>
      </c>
      <c r="M25" s="107">
        <f>SUMIF('III kw.20'!AJ3:AJ499,"52*",'III kw.20'!F3:F499)</f>
        <v>39</v>
      </c>
      <c r="N25" s="127">
        <v>51</v>
      </c>
      <c r="O25" s="11" t="s">
        <v>3540</v>
      </c>
      <c r="P25" s="307">
        <f>SUMIF('III kw.20'!AJ3:AJ499,"51*",'III kw.20'!F3:F499)</f>
        <v>0</v>
      </c>
      <c r="Q25" s="37"/>
      <c r="S25" s="307">
        <f>SUM(S22:S24)</f>
        <v>1</v>
      </c>
      <c r="V25" s="317">
        <f>SUM(V22:V24)</f>
        <v>1</v>
      </c>
      <c r="W25" s="37"/>
    </row>
    <row r="26" spans="2:25" x14ac:dyDescent="0.25">
      <c r="B26" s="121">
        <v>3114</v>
      </c>
      <c r="C26" s="11" t="s">
        <v>3521</v>
      </c>
      <c r="D26" s="16">
        <f>SUMIF('III kw.20'!AJ3:AJ499,"3114*",'III kw.20'!F3:F499)</f>
        <v>0</v>
      </c>
      <c r="E26" s="108">
        <v>2149</v>
      </c>
      <c r="F26" s="11" t="s">
        <v>3498</v>
      </c>
      <c r="G26" s="16">
        <f ca="1">SUMIF('III kw.20'!AJ3:AJ499,"2149*",'III kw.20'!F3:F466)</f>
        <v>0</v>
      </c>
      <c r="H26" s="108">
        <v>2164</v>
      </c>
      <c r="I26" s="11" t="s">
        <v>3585</v>
      </c>
      <c r="J26" s="16">
        <f>SUMIF('III kw.20'!AJ3:AJ499,"2164*",'III kw.20'!F3:F499)</f>
        <v>0</v>
      </c>
      <c r="K26" s="133">
        <v>83</v>
      </c>
      <c r="L26" s="11" t="s">
        <v>3564</v>
      </c>
      <c r="M26" s="112">
        <f>SUMIF('III kw.20'!AJ3:AJ499,"83*",'III kw.20'!F3:F499)</f>
        <v>1</v>
      </c>
      <c r="N26" s="120">
        <v>14</v>
      </c>
      <c r="O26" s="11" t="s">
        <v>3578</v>
      </c>
      <c r="P26" s="307">
        <f>SUMIF('III kw.20'!AJ3:AJ499,"14*",'III kw.20'!F3:F499)</f>
        <v>6</v>
      </c>
      <c r="Q26" s="37"/>
      <c r="T26" s="1" t="s">
        <v>0</v>
      </c>
      <c r="U26" s="94"/>
      <c r="V26" s="20"/>
      <c r="W26" s="37" t="s">
        <v>3574</v>
      </c>
    </row>
    <row r="27" spans="2:25" x14ac:dyDescent="0.25">
      <c r="B27" s="121">
        <v>3115</v>
      </c>
      <c r="C27" s="11" t="s">
        <v>3522</v>
      </c>
      <c r="D27" s="16">
        <f>SUMIF('III kw.20'!AJ3:AJ499,"3115*",'III kw.20'!F3:F499)</f>
        <v>0</v>
      </c>
      <c r="E27" s="109">
        <v>2149</v>
      </c>
      <c r="F27" s="11" t="s">
        <v>3499</v>
      </c>
      <c r="G27" s="104" t="s">
        <v>3573</v>
      </c>
      <c r="H27" s="122">
        <v>2165</v>
      </c>
      <c r="I27" s="11" t="s">
        <v>3509</v>
      </c>
      <c r="J27" s="16">
        <f>SUMIF('III kw.20'!AJ3:AJ499,"2165*",'III kw.20'!F3:F499)</f>
        <v>0</v>
      </c>
      <c r="K27" s="120">
        <v>12</v>
      </c>
      <c r="L27" s="11" t="s">
        <v>3576</v>
      </c>
      <c r="M27" s="112">
        <f>SUMIF('III kw.20'!AJ3:AJ499,"12*",'III kw.20'!F3:F499)</f>
        <v>4</v>
      </c>
      <c r="P27" s="307">
        <f>SUM(P22:P26)</f>
        <v>19</v>
      </c>
      <c r="Q27" s="37"/>
      <c r="T27" s="321"/>
      <c r="U27" s="320"/>
      <c r="V27" s="318"/>
      <c r="W27" s="330"/>
      <c r="X27" s="331"/>
      <c r="Y27" s="329"/>
    </row>
    <row r="28" spans="2:25" x14ac:dyDescent="0.25">
      <c r="B28" s="121">
        <v>3116</v>
      </c>
      <c r="C28" s="11" t="s">
        <v>3523</v>
      </c>
      <c r="D28" s="16">
        <f>SUMIF('III kw.20'!AJ3:AJ499,"3116*",'III kw.20'!F3:F499)</f>
        <v>0</v>
      </c>
      <c r="E28" s="109">
        <v>2149</v>
      </c>
      <c r="F28" s="11" t="s">
        <v>3500</v>
      </c>
      <c r="G28" s="104" t="s">
        <v>3573</v>
      </c>
      <c r="H28" s="126">
        <v>3111</v>
      </c>
      <c r="I28" s="11" t="s">
        <v>3587</v>
      </c>
      <c r="J28" s="16">
        <f>SUMIF('III kw.20'!AJ3:AJ499,"3111*",'III kw.20'!F3:F499)</f>
        <v>0</v>
      </c>
      <c r="K28" s="89"/>
      <c r="L28" s="20"/>
      <c r="M28" s="307">
        <f>SUM(M22:M27)</f>
        <v>50</v>
      </c>
      <c r="Q28" s="37"/>
      <c r="T28" s="116">
        <v>41</v>
      </c>
      <c r="U28" s="11" t="s">
        <v>3592</v>
      </c>
      <c r="V28" s="316">
        <f>SUMIF('III kw.20'!AJ3:AJ499,"41*",'III kw.20'!F3:F499)</f>
        <v>0</v>
      </c>
      <c r="W28" s="120">
        <v>11</v>
      </c>
      <c r="X28" s="11" t="s">
        <v>3575</v>
      </c>
      <c r="Y28" s="96">
        <f>SUMIF('III kw.20'!AJ3:AJ499,"11*",'III kw.20'!F3:F499)</f>
        <v>1</v>
      </c>
    </row>
    <row r="29" spans="2:25" x14ac:dyDescent="0.25">
      <c r="B29" s="121">
        <v>3117</v>
      </c>
      <c r="C29" s="11" t="s">
        <v>3524</v>
      </c>
      <c r="D29" s="16">
        <f>SUMIF('III kw.20'!AJ3:AJ499,"3117*",'III kw.20'!F3:F499)</f>
        <v>0</v>
      </c>
      <c r="E29" s="109">
        <v>2149</v>
      </c>
      <c r="F29" s="11" t="s">
        <v>3501</v>
      </c>
      <c r="G29" s="104" t="s">
        <v>3573</v>
      </c>
      <c r="H29" s="126">
        <v>3112</v>
      </c>
      <c r="I29" s="11" t="s">
        <v>3519</v>
      </c>
      <c r="J29" s="16">
        <f>SUMIF('III kw.20'!AJ3:AJ499,"3112*",'III kw.20'!F3:F499)</f>
        <v>0</v>
      </c>
      <c r="K29" s="89"/>
      <c r="L29" s="20"/>
      <c r="M29" s="20"/>
      <c r="N29" s="100" t="s">
        <v>134</v>
      </c>
      <c r="O29" s="93"/>
      <c r="Q29" s="37"/>
      <c r="T29" s="116">
        <v>44</v>
      </c>
      <c r="U29" s="11" t="s">
        <v>3539</v>
      </c>
      <c r="V29" s="316">
        <f>SUMIF('III kw.20'!AJ3:AJ499,"44*",'III kw.20'!F3:F499)</f>
        <v>0</v>
      </c>
      <c r="W29" s="108">
        <v>2111</v>
      </c>
      <c r="X29" s="11" t="s">
        <v>3580</v>
      </c>
      <c r="Y29" s="96">
        <f>SUMIF('III kw.20'!AJ3:AJ499,"2111*",'III kw.20'!F3:F499)</f>
        <v>0</v>
      </c>
    </row>
    <row r="30" spans="2:25" x14ac:dyDescent="0.25">
      <c r="B30" s="121">
        <v>3119</v>
      </c>
      <c r="C30" s="11" t="s">
        <v>3526</v>
      </c>
      <c r="D30" s="16">
        <f>SUMIF('III kw.20'!AJ3:AJ499,"3119*",'III kw.20'!F3:F499)</f>
        <v>0</v>
      </c>
      <c r="E30" s="109">
        <v>2149</v>
      </c>
      <c r="F30" s="11" t="s">
        <v>3502</v>
      </c>
      <c r="G30" s="104" t="s">
        <v>3573</v>
      </c>
      <c r="H30" s="126">
        <v>3118</v>
      </c>
      <c r="I30" s="11" t="s">
        <v>3525</v>
      </c>
      <c r="J30" s="16">
        <f>SUMIF('III kw.20'!AJ3:AJ499,"3118*",'III kw.20'!F3:F499)</f>
        <v>0</v>
      </c>
      <c r="K30" s="89"/>
      <c r="L30" s="20"/>
      <c r="M30" s="20"/>
      <c r="N30" s="305"/>
      <c r="O30" s="306"/>
      <c r="P30" s="308"/>
      <c r="Q30" s="37"/>
      <c r="T30" s="131">
        <v>7515</v>
      </c>
      <c r="U30" s="11" t="s">
        <v>3552</v>
      </c>
      <c r="V30" s="319">
        <f>SUMIF('III kw.20'!AJ3:AJ499,"7515*",'III kw.20'!F3:F499)</f>
        <v>0</v>
      </c>
      <c r="W30" s="108">
        <v>2112</v>
      </c>
      <c r="X30" s="11" t="s">
        <v>3581</v>
      </c>
      <c r="Y30" s="96">
        <f>SUMIF('III kw.20'!AJ3:AJ499,"2112*",'III kw.20'!F3:F499)</f>
        <v>0</v>
      </c>
    </row>
    <row r="31" spans="2:25" x14ac:dyDescent="0.25">
      <c r="B31" s="121">
        <v>3121</v>
      </c>
      <c r="C31" s="11" t="s">
        <v>3527</v>
      </c>
      <c r="D31" s="16">
        <f>SUMIF('III kw.20'!AJ3:AJ499,"3121*",'III kw.20'!F3:F499)</f>
        <v>0</v>
      </c>
      <c r="E31" s="109">
        <v>2149</v>
      </c>
      <c r="F31" s="11" t="s">
        <v>3503</v>
      </c>
      <c r="G31" s="104" t="s">
        <v>3573</v>
      </c>
      <c r="H31" s="126">
        <v>3123</v>
      </c>
      <c r="I31" s="11" t="s">
        <v>3529</v>
      </c>
      <c r="J31" s="16">
        <f>SUMIF('III kw.20'!AJ3:AJ499,"3123*",'III kw.20'!F3:F499)</f>
        <v>0</v>
      </c>
      <c r="K31" s="89"/>
      <c r="L31" s="20"/>
      <c r="N31" s="131">
        <v>7512</v>
      </c>
      <c r="O31" s="11" t="s">
        <v>3549</v>
      </c>
      <c r="P31" s="307">
        <f>SUMIF('III kw.20'!AJ3:AJ499,"7512*",'III kw.20'!F3:F499)</f>
        <v>0</v>
      </c>
      <c r="Q31" s="37"/>
      <c r="T31" s="37"/>
      <c r="V31" s="317">
        <f>SUM(V28:V30)</f>
        <v>0</v>
      </c>
      <c r="W31" s="108">
        <v>2114</v>
      </c>
      <c r="X31" s="11" t="s">
        <v>3582</v>
      </c>
      <c r="Y31" s="96">
        <f>SUMIF('III kw.20'!AJ3:AJ499,"2114*",'III kw.20'!F3:F499)</f>
        <v>0</v>
      </c>
    </row>
    <row r="32" spans="2:25" x14ac:dyDescent="0.25">
      <c r="B32" s="121">
        <v>3122</v>
      </c>
      <c r="C32" s="11" t="s">
        <v>3528</v>
      </c>
      <c r="D32" s="16">
        <f>SUMIF('III kw.20'!AJ3:AJ499,"3122*",'III kw.20'!F3:F499)</f>
        <v>0</v>
      </c>
      <c r="E32" s="108">
        <v>2151</v>
      </c>
      <c r="F32" s="11" t="s">
        <v>3504</v>
      </c>
      <c r="G32" s="16">
        <f ca="1">SUMIF('III kw.20'!AJ3:AJ499,"2151*",'III kw.20'!F3:F466)</f>
        <v>0</v>
      </c>
      <c r="H32" s="129">
        <v>71</v>
      </c>
      <c r="I32" s="11" t="s">
        <v>3544</v>
      </c>
      <c r="J32" s="16">
        <f>SUMIF('III kw.20'!AJ3:AJ499,"71*",'III kw.20'!F3:F499)</f>
        <v>0</v>
      </c>
      <c r="K32" s="89"/>
      <c r="L32" s="20"/>
      <c r="M32" s="20"/>
      <c r="P32" s="307">
        <f>SUM(P31)</f>
        <v>0</v>
      </c>
      <c r="Q32" s="37"/>
      <c r="T32" s="37"/>
      <c r="W32" s="108">
        <v>2120</v>
      </c>
      <c r="X32" s="11" t="s">
        <v>3583</v>
      </c>
      <c r="Y32" s="96">
        <f>SUMIF('III kw.20'!AJ3:AJ499,"2120*",'III kw.20'!F3:F499)</f>
        <v>0</v>
      </c>
    </row>
    <row r="33" spans="2:25" x14ac:dyDescent="0.25">
      <c r="B33" s="124">
        <v>313</v>
      </c>
      <c r="C33" s="11" t="s">
        <v>3530</v>
      </c>
      <c r="D33" s="16">
        <f>SUMIF('III kw.20'!AJ3:AJ499,"313*",'III kw.20'!F3:F499)</f>
        <v>9</v>
      </c>
      <c r="E33" s="108">
        <v>2152</v>
      </c>
      <c r="F33" s="11" t="s">
        <v>3505</v>
      </c>
      <c r="G33" s="16">
        <f ca="1">SUMIF('III kw.20'!AJ3:AJ499,"2152*",'III kw.20'!F3:F466)</f>
        <v>0</v>
      </c>
      <c r="H33" s="132">
        <v>7521</v>
      </c>
      <c r="I33" s="11" t="s">
        <v>3553</v>
      </c>
      <c r="J33" s="16">
        <f>SUMIF('III kw.20'!AJ3:AJ499,"7521*",'III kw.20'!F3:F499)</f>
        <v>0</v>
      </c>
      <c r="K33" s="89"/>
      <c r="L33" s="20"/>
      <c r="M33" s="20"/>
      <c r="N33" s="94" t="s">
        <v>154</v>
      </c>
      <c r="O33" s="94"/>
      <c r="P33" s="18"/>
      <c r="T33" s="37"/>
      <c r="W33" s="119">
        <v>0</v>
      </c>
      <c r="X33" s="11" t="s">
        <v>3586</v>
      </c>
      <c r="Y33" s="96">
        <f>SUMIF('III kw.20'!AJ3:AJ499,"0*",'III kw.20'!F3:F499)</f>
        <v>0</v>
      </c>
    </row>
    <row r="34" spans="2:25" x14ac:dyDescent="0.25">
      <c r="B34" s="124">
        <v>314</v>
      </c>
      <c r="C34" s="11" t="s">
        <v>3531</v>
      </c>
      <c r="D34" s="16">
        <f>SUMIF('III kw.20'!AJ3:AJ499,"314*",'III kw.20'!F3:F499)</f>
        <v>0</v>
      </c>
      <c r="E34" s="108">
        <v>2153</v>
      </c>
      <c r="F34" s="11" t="s">
        <v>3506</v>
      </c>
      <c r="G34" s="16">
        <f ca="1">SUMIF('III kw.20'!AJ3:AJ499,"2153*",'III kw.20'!F3:F466)</f>
        <v>0</v>
      </c>
      <c r="H34" s="132">
        <v>7522</v>
      </c>
      <c r="I34" s="11" t="s">
        <v>3554</v>
      </c>
      <c r="J34" s="16">
        <f>SUMIF('III kw.20'!AJ3:AJ499,"7522*",'III kw.20'!F3:F499)</f>
        <v>0</v>
      </c>
      <c r="K34" s="89"/>
      <c r="L34" s="20"/>
      <c r="M34" s="20"/>
      <c r="N34" s="305"/>
      <c r="O34" s="306"/>
      <c r="P34" s="308"/>
      <c r="Y34" s="96">
        <f>SUM(Y28:Y33)</f>
        <v>1</v>
      </c>
    </row>
    <row r="35" spans="2:25" x14ac:dyDescent="0.25">
      <c r="B35" s="125">
        <v>35</v>
      </c>
      <c r="C35" s="11" t="s">
        <v>3536</v>
      </c>
      <c r="D35" s="16">
        <f>SUMIF('III kw.20'!AJ3:AJ499,"35*",'III kw.20'!F3:F499)</f>
        <v>0</v>
      </c>
      <c r="E35" s="118">
        <v>25</v>
      </c>
      <c r="F35" s="11" t="s">
        <v>3513</v>
      </c>
      <c r="G35" s="16">
        <f ca="1">SUMIF('III kw.20'!AJ3:AJ499,"25*",'III kw.20'!F3:F466)</f>
        <v>2</v>
      </c>
      <c r="J35" s="309">
        <f>SUM(J22:J34)</f>
        <v>1</v>
      </c>
      <c r="K35" s="89"/>
      <c r="L35" s="20"/>
      <c r="M35" s="20"/>
      <c r="N35" s="131">
        <v>753</v>
      </c>
      <c r="O35" s="11" t="s">
        <v>3556</v>
      </c>
      <c r="P35" s="307">
        <f>SUMIF('III kw.20'!AJ3:AJ499,"753*",'III kw.20'!F3:F499)</f>
        <v>0</v>
      </c>
    </row>
    <row r="36" spans="2:25" x14ac:dyDescent="0.25">
      <c r="B36" s="119">
        <v>6</v>
      </c>
      <c r="C36" s="11" t="s">
        <v>3543</v>
      </c>
      <c r="D36" s="16">
        <f>SUMIF('III kw.20'!AJ3:AJ499,"6*",'III kw.20'!F3:F499)</f>
        <v>0</v>
      </c>
      <c r="E36" s="130">
        <v>74</v>
      </c>
      <c r="F36" s="11" t="s">
        <v>3547</v>
      </c>
      <c r="G36" s="16">
        <f ca="1">SUMIF('III kw.20'!AJ3:AJ499,"74*",'III kw.20'!F3:F466)</f>
        <v>3</v>
      </c>
      <c r="H36" s="89"/>
      <c r="I36" s="20"/>
      <c r="K36" s="20"/>
      <c r="L36" s="20"/>
      <c r="M36" s="20"/>
      <c r="N36" s="131">
        <v>7541</v>
      </c>
      <c r="O36" s="11" t="s">
        <v>3557</v>
      </c>
      <c r="P36" s="307">
        <f>SUMIF('III kw.20'!AJ3:AJ499,"7541*",'III kw.20'!F3:F499)</f>
        <v>0</v>
      </c>
    </row>
    <row r="37" spans="2:25" x14ac:dyDescent="0.25">
      <c r="B37" s="130">
        <v>72</v>
      </c>
      <c r="C37" s="11" t="s">
        <v>3545</v>
      </c>
      <c r="D37" s="16">
        <f>SUMIF('III kw.20'!AJ3:AJ499,"72*",'III kw.20'!F3:F499)</f>
        <v>1</v>
      </c>
      <c r="G37" s="310">
        <f ca="1">SUM(G22:G36)</f>
        <v>6</v>
      </c>
      <c r="N37" s="127">
        <v>54</v>
      </c>
      <c r="O37" s="11" t="s">
        <v>3588</v>
      </c>
      <c r="P37" s="307">
        <f>SUMIF('III kw.20'!AJ3:AJ499,"54*",'III kw.20'!F3:F499)</f>
        <v>0</v>
      </c>
    </row>
    <row r="38" spans="2:25" x14ac:dyDescent="0.25">
      <c r="B38" s="130">
        <v>73</v>
      </c>
      <c r="C38" s="11" t="s">
        <v>3546</v>
      </c>
      <c r="D38" s="16">
        <f>SUMIF('III kw.20'!AJ3:AJ499,"73*",'III kw.20'!F3:F499)</f>
        <v>0</v>
      </c>
      <c r="P38" s="307">
        <f>SUM(P35:P37)</f>
        <v>0</v>
      </c>
    </row>
    <row r="39" spans="2:25" x14ac:dyDescent="0.25">
      <c r="B39" s="131">
        <v>7511</v>
      </c>
      <c r="C39" s="11" t="s">
        <v>3548</v>
      </c>
      <c r="D39" s="16">
        <f>SUMIF('III kw.20'!AJ3:AJ499,"7511*",'III kw.20'!F3:F499)</f>
        <v>0</v>
      </c>
      <c r="T39" s="37"/>
    </row>
    <row r="40" spans="2:25" x14ac:dyDescent="0.25">
      <c r="B40" s="131">
        <v>7513</v>
      </c>
      <c r="C40" s="11" t="s">
        <v>3550</v>
      </c>
      <c r="D40" s="16">
        <f>SUMIF('III kw.20'!AJ3:AJ499,"7513*",'III kw.20'!F3:F499)</f>
        <v>0</v>
      </c>
      <c r="T40" s="37"/>
    </row>
    <row r="41" spans="2:25" x14ac:dyDescent="0.25">
      <c r="B41" s="131">
        <v>7514</v>
      </c>
      <c r="C41" s="11" t="s">
        <v>3551</v>
      </c>
      <c r="D41" s="16">
        <f>SUMIF('III kw.20'!AJ3:AJ499,"7514*",'III kw.20'!F3:F499)</f>
        <v>0</v>
      </c>
      <c r="T41" s="37"/>
    </row>
    <row r="42" spans="2:25" x14ac:dyDescent="0.25">
      <c r="B42" s="131">
        <v>7523</v>
      </c>
      <c r="C42" s="11" t="s">
        <v>3555</v>
      </c>
      <c r="D42" s="16">
        <f>SUMIF('III kw.20'!AJ3:AJ499,"7523*",'III kw.20'!F3:F499)</f>
        <v>0</v>
      </c>
      <c r="T42" s="37"/>
    </row>
    <row r="43" spans="2:25" x14ac:dyDescent="0.25">
      <c r="B43" s="131">
        <v>7542</v>
      </c>
      <c r="C43" s="11" t="s">
        <v>3558</v>
      </c>
      <c r="D43" s="16">
        <f>SUMIF('III kw.20'!AJ3:AJ499,"7542*",'III kw.20'!F3:F499)</f>
        <v>0</v>
      </c>
      <c r="T43" s="37"/>
    </row>
    <row r="44" spans="2:25" x14ac:dyDescent="0.25">
      <c r="B44" s="131">
        <v>7543</v>
      </c>
      <c r="C44" s="11" t="s">
        <v>3559</v>
      </c>
      <c r="D44" s="16">
        <f>SUMIF('III kw.20'!AJ3:AJ499,"7543*",'III kw.20'!F3:F499)</f>
        <v>0</v>
      </c>
    </row>
    <row r="45" spans="2:25" x14ac:dyDescent="0.25">
      <c r="B45" s="131">
        <v>7544</v>
      </c>
      <c r="C45" s="11" t="s">
        <v>3560</v>
      </c>
      <c r="D45" s="16">
        <f>SUMIF('III kw.20'!AJ3:AJ499,"7544*",'III kw.20'!F3:F499)</f>
        <v>0</v>
      </c>
    </row>
    <row r="46" spans="2:25" x14ac:dyDescent="0.25">
      <c r="B46" s="134">
        <v>81</v>
      </c>
      <c r="C46" s="11" t="s">
        <v>3562</v>
      </c>
      <c r="D46" s="16">
        <f>SUMIF('III kw.20'!AJ3:AJ499,"81*",'III kw.20'!F3:F499)</f>
        <v>0</v>
      </c>
    </row>
    <row r="47" spans="2:25" x14ac:dyDescent="0.25">
      <c r="B47" s="134">
        <v>82</v>
      </c>
      <c r="C47" s="11" t="s">
        <v>3563</v>
      </c>
      <c r="D47" s="16">
        <f>SUMIF('III kw.20'!AJ3:AJ499,"82*",'III kw.20'!F3:F499)</f>
        <v>0</v>
      </c>
    </row>
    <row r="48" spans="2:25" x14ac:dyDescent="0.25">
      <c r="B48" s="120">
        <v>13</v>
      </c>
      <c r="C48" s="11" t="s">
        <v>3577</v>
      </c>
      <c r="D48" s="16">
        <f>SUMIF('III kw.20'!AJ3:AJ499,"13*",'III kw.20'!F3:F499)</f>
        <v>1</v>
      </c>
    </row>
    <row r="49" spans="1:14" x14ac:dyDescent="0.25">
      <c r="B49" s="108">
        <v>2163</v>
      </c>
      <c r="C49" s="11" t="s">
        <v>3579</v>
      </c>
      <c r="D49" s="16">
        <f>SUMIF('III kw.20'!AJ3:AJ499,"2163*",'III kw.20'!F3:F499)</f>
        <v>1</v>
      </c>
    </row>
    <row r="50" spans="1:14" ht="30" x14ac:dyDescent="0.25">
      <c r="B50" s="108">
        <v>2133</v>
      </c>
      <c r="C50" s="11" t="s">
        <v>3584</v>
      </c>
      <c r="D50" s="16">
        <f>SUMIF('III kw.20'!AJ3:AJ499,"2133*",'III kw.20'!F3:F499)</f>
        <v>0</v>
      </c>
      <c r="L50" s="11"/>
      <c r="M50" s="371" t="s">
        <v>7254</v>
      </c>
      <c r="N50" s="372" t="s">
        <v>3465</v>
      </c>
    </row>
    <row r="51" spans="1:14" x14ac:dyDescent="0.25">
      <c r="B51" s="37"/>
      <c r="D51" s="310">
        <f>SUM(D22:D50)</f>
        <v>15</v>
      </c>
      <c r="L51" s="12" t="s">
        <v>4323</v>
      </c>
      <c r="M51" s="12">
        <v>86</v>
      </c>
      <c r="N51" s="12">
        <v>122</v>
      </c>
    </row>
    <row r="52" spans="1:14" x14ac:dyDescent="0.25">
      <c r="L52" s="12" t="s">
        <v>4324</v>
      </c>
      <c r="M52" s="12">
        <v>377</v>
      </c>
      <c r="N52" s="12">
        <v>410</v>
      </c>
    </row>
    <row r="53" spans="1:14" x14ac:dyDescent="0.25">
      <c r="B53" s="1" t="s">
        <v>6926</v>
      </c>
      <c r="L53" s="12" t="s">
        <v>4325</v>
      </c>
      <c r="M53" s="12">
        <v>180</v>
      </c>
      <c r="N53" s="12">
        <v>231</v>
      </c>
    </row>
    <row r="54" spans="1:14" x14ac:dyDescent="0.25">
      <c r="B54" s="337" t="s">
        <v>6927</v>
      </c>
      <c r="C54" s="338" t="s">
        <v>3465</v>
      </c>
      <c r="L54" s="12" t="s">
        <v>4326</v>
      </c>
      <c r="M54" s="12">
        <v>361</v>
      </c>
      <c r="N54" s="12">
        <v>378</v>
      </c>
    </row>
    <row r="55" spans="1:14" x14ac:dyDescent="0.25">
      <c r="A55" s="3">
        <v>1</v>
      </c>
      <c r="B55" s="282">
        <v>1801</v>
      </c>
      <c r="C55" s="339">
        <f>SUMIF('II kw.20'!N3:N500,"1801",'II kw.20'!F3:F500)</f>
        <v>3</v>
      </c>
      <c r="L55" s="12" t="s">
        <v>6393</v>
      </c>
      <c r="M55" s="12">
        <v>249</v>
      </c>
      <c r="N55" s="12">
        <v>258</v>
      </c>
    </row>
    <row r="56" spans="1:14" x14ac:dyDescent="0.25">
      <c r="A56" s="3">
        <v>2</v>
      </c>
      <c r="B56" s="282">
        <v>1802</v>
      </c>
      <c r="C56" s="339">
        <f>SUMIF('II kw.20'!N3:N500,"1802",'II kw.20'!F3:F500)</f>
        <v>2</v>
      </c>
      <c r="L56" s="12" t="s">
        <v>6925</v>
      </c>
      <c r="M56" s="12">
        <v>173</v>
      </c>
      <c r="N56" s="12">
        <v>197</v>
      </c>
    </row>
    <row r="57" spans="1:14" x14ac:dyDescent="0.25">
      <c r="A57" s="3">
        <v>3</v>
      </c>
      <c r="B57" s="282">
        <v>1803</v>
      </c>
      <c r="C57" s="339">
        <f>SUMIF('II kw.20'!N3:N500,"1803",'II kw.20'!F3:F500)</f>
        <v>9</v>
      </c>
      <c r="L57" s="12" t="s">
        <v>7253</v>
      </c>
      <c r="M57" s="12">
        <v>97</v>
      </c>
      <c r="N57" s="12">
        <v>97</v>
      </c>
    </row>
    <row r="58" spans="1:14" x14ac:dyDescent="0.25">
      <c r="A58" s="3">
        <v>4</v>
      </c>
      <c r="B58" s="282">
        <v>1804</v>
      </c>
      <c r="C58" s="339">
        <f>SUMIF('II kw.20'!N3:N500,"1804",'II kw.20'!F3:F500)</f>
        <v>5</v>
      </c>
    </row>
    <row r="59" spans="1:14" x14ac:dyDescent="0.25">
      <c r="A59" s="3">
        <v>5</v>
      </c>
      <c r="B59" s="282">
        <v>1805</v>
      </c>
      <c r="C59" s="339">
        <f>SUMIF('II kw.20'!N3:N500,"1805",'II kw.20'!F3:F500)</f>
        <v>5</v>
      </c>
    </row>
    <row r="60" spans="1:14" x14ac:dyDescent="0.25">
      <c r="A60" s="3">
        <v>6</v>
      </c>
      <c r="B60" s="282">
        <v>1806</v>
      </c>
      <c r="C60" s="339">
        <f>SUMIF('II kw.20'!N3:N500,"1806",'II kw.20'!F3:F500)</f>
        <v>3</v>
      </c>
    </row>
    <row r="61" spans="1:14" x14ac:dyDescent="0.25">
      <c r="A61" s="3">
        <v>7</v>
      </c>
      <c r="B61" s="282">
        <v>1807</v>
      </c>
      <c r="C61" s="339">
        <f>SUMIF('II kw.20'!N3:N500,"1807",'II kw.20'!F3:F500)</f>
        <v>2</v>
      </c>
    </row>
    <row r="62" spans="1:14" x14ac:dyDescent="0.25">
      <c r="A62" s="3">
        <v>8</v>
      </c>
      <c r="B62" s="282">
        <v>1808</v>
      </c>
      <c r="C62" s="339">
        <f>SUMIF('II kw.20'!N3:N500,"1808",'II kw.20'!F3:F500)</f>
        <v>7</v>
      </c>
    </row>
    <row r="63" spans="1:14" x14ac:dyDescent="0.25">
      <c r="A63" s="3">
        <v>9</v>
      </c>
      <c r="B63" s="340">
        <v>1809</v>
      </c>
      <c r="C63" s="341">
        <f>SUMIF('II kw.20'!N3:N500,"1809",'II kw.20'!F3:F500)</f>
        <v>28</v>
      </c>
    </row>
    <row r="64" spans="1:14" x14ac:dyDescent="0.25">
      <c r="A64" s="3">
        <v>10</v>
      </c>
      <c r="B64" s="282">
        <v>1810</v>
      </c>
      <c r="C64" s="339">
        <f>SUMIF('II kw.20'!N3:N500,"1810",'II kw.20'!F3:F500)</f>
        <v>6</v>
      </c>
    </row>
    <row r="65" spans="1:3" x14ac:dyDescent="0.25">
      <c r="A65" s="3">
        <v>11</v>
      </c>
      <c r="B65" s="340">
        <v>1811</v>
      </c>
      <c r="C65" s="341">
        <f>SUMIF('II kw.20'!N3:N500,"1811",'II kw.20'!F3:F500)</f>
        <v>10</v>
      </c>
    </row>
    <row r="66" spans="1:3" x14ac:dyDescent="0.25">
      <c r="A66" s="3">
        <v>12</v>
      </c>
      <c r="B66" s="282">
        <v>1812</v>
      </c>
      <c r="C66" s="339">
        <f>SUMIF('II kw.20'!N3:N500,"1812",'II kw.20'!F3:F500)</f>
        <v>8</v>
      </c>
    </row>
    <row r="67" spans="1:3" x14ac:dyDescent="0.25">
      <c r="A67" s="3">
        <v>13</v>
      </c>
      <c r="B67" s="282">
        <v>1813</v>
      </c>
      <c r="C67" s="339">
        <f>SUMIF('II kw.20'!N3:N500,"1813",'II kw.20'!F3:F500)</f>
        <v>0</v>
      </c>
    </row>
    <row r="68" spans="1:3" x14ac:dyDescent="0.25">
      <c r="A68" s="3">
        <v>14</v>
      </c>
      <c r="B68" s="282">
        <v>1814</v>
      </c>
      <c r="C68" s="339">
        <f>SUMIF('II kw.20'!N3:N500,"1814",'II kw.20'!F3:F500)</f>
        <v>7</v>
      </c>
    </row>
    <row r="69" spans="1:3" x14ac:dyDescent="0.25">
      <c r="A69" s="3">
        <v>15</v>
      </c>
      <c r="B69" s="282">
        <v>1815</v>
      </c>
      <c r="C69" s="339">
        <f>SUMIF('II kw.20'!N3:N500,"1815",'II kw.20'!F3:F500)</f>
        <v>6</v>
      </c>
    </row>
    <row r="70" spans="1:3" x14ac:dyDescent="0.25">
      <c r="A70" s="3">
        <v>16</v>
      </c>
      <c r="B70" s="282">
        <v>1816</v>
      </c>
      <c r="C70" s="339">
        <f>SUMIF('II kw.20'!N3:N500,"1816",'II kw.20'!F3:F500)</f>
        <v>8</v>
      </c>
    </row>
    <row r="71" spans="1:3" x14ac:dyDescent="0.25">
      <c r="A71" s="3">
        <v>17</v>
      </c>
      <c r="B71" s="282">
        <v>1817</v>
      </c>
      <c r="C71" s="339">
        <f>SUMIF('II kw.20'!N3:N500,"1817",'II kw.20'!F3:F500)</f>
        <v>5</v>
      </c>
    </row>
    <row r="72" spans="1:3" x14ac:dyDescent="0.25">
      <c r="A72" s="3">
        <v>18</v>
      </c>
      <c r="B72" s="282">
        <v>1818</v>
      </c>
      <c r="C72" s="339">
        <f>SUMIF('II kw.20'!N3:N500,"1818",'II kw.20'!F3:F500)</f>
        <v>4</v>
      </c>
    </row>
    <row r="73" spans="1:3" x14ac:dyDescent="0.25">
      <c r="A73" s="3">
        <v>19</v>
      </c>
      <c r="B73" s="282">
        <v>1819</v>
      </c>
      <c r="C73" s="339">
        <f>SUMIF('II kw.20'!N3:N500,"1819",'II kw.20'!F3:F500)</f>
        <v>1</v>
      </c>
    </row>
    <row r="74" spans="1:3" x14ac:dyDescent="0.25">
      <c r="A74" s="3">
        <v>20</v>
      </c>
      <c r="B74" s="282">
        <v>1820</v>
      </c>
      <c r="C74" s="339">
        <f>SUMIF('II kw.20'!N3:N500,"1820",'II kw.20'!F3:F500)</f>
        <v>4</v>
      </c>
    </row>
    <row r="75" spans="1:3" x14ac:dyDescent="0.25">
      <c r="A75" s="3">
        <v>21</v>
      </c>
      <c r="B75" s="282">
        <v>1821</v>
      </c>
      <c r="C75" s="339">
        <f>SUMIF('II kw.20'!N3:N500,"1821",'II kw.20'!F3:F500)</f>
        <v>7</v>
      </c>
    </row>
    <row r="76" spans="1:3" x14ac:dyDescent="0.25">
      <c r="A76" s="3">
        <v>22</v>
      </c>
      <c r="B76" s="340">
        <v>1861</v>
      </c>
      <c r="C76" s="341">
        <f>SUMIF('II kw.20'!N3:N500,"1861",'II kw.20'!F3:F500)</f>
        <v>10</v>
      </c>
    </row>
    <row r="77" spans="1:3" x14ac:dyDescent="0.25">
      <c r="A77" s="3">
        <v>23</v>
      </c>
      <c r="B77" s="282">
        <v>1862</v>
      </c>
      <c r="C77" s="339">
        <f>SUMIF('II kw.20'!N3:N500,"1862",'II kw.20'!F3:F500)</f>
        <v>6</v>
      </c>
    </row>
    <row r="78" spans="1:3" x14ac:dyDescent="0.25">
      <c r="A78" s="3">
        <v>24</v>
      </c>
      <c r="B78" s="340">
        <v>1863</v>
      </c>
      <c r="C78" s="341">
        <f>SUMIF('II kw.20'!N3:N500,"1863",'II kw.20'!F3:F500)</f>
        <v>22</v>
      </c>
    </row>
    <row r="79" spans="1:3" x14ac:dyDescent="0.25">
      <c r="A79" s="3">
        <v>25</v>
      </c>
      <c r="B79" s="282">
        <v>1864</v>
      </c>
      <c r="C79" s="339">
        <f>SUMIF('II kw.20'!N3:N500,"1864",'II kw.20'!F3:F500)</f>
        <v>6</v>
      </c>
    </row>
    <row r="80" spans="1:3" x14ac:dyDescent="0.25">
      <c r="B80" s="282">
        <v>1800</v>
      </c>
      <c r="C80" s="339">
        <f>SUM(C55:C79)</f>
        <v>174</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1"/>
  <sheetViews>
    <sheetView zoomScale="80" zoomScaleNormal="80" workbookViewId="0">
      <selection activeCell="B1" sqref="B1"/>
    </sheetView>
  </sheetViews>
  <sheetFormatPr defaultRowHeight="15" x14ac:dyDescent="0.25"/>
  <cols>
    <col min="1" max="1" width="3.710937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EXACT(E19,J17)</f>
        <v>1</v>
      </c>
      <c r="M2" s="3" t="b">
        <f ca="1">EXACT(E19,P20)</f>
        <v>1</v>
      </c>
    </row>
    <row r="3" spans="2:30" ht="45" x14ac:dyDescent="0.25">
      <c r="B3" s="380" t="s">
        <v>171</v>
      </c>
      <c r="C3" s="380" t="s">
        <v>172</v>
      </c>
      <c r="D3" s="380" t="s">
        <v>6539</v>
      </c>
      <c r="E3" s="380" t="s">
        <v>3483</v>
      </c>
      <c r="F3" s="380" t="s">
        <v>3467</v>
      </c>
      <c r="H3" s="193" t="s">
        <v>3462</v>
      </c>
      <c r="I3" s="193" t="s">
        <v>3465</v>
      </c>
      <c r="J3" s="193" t="s">
        <v>3514</v>
      </c>
      <c r="R3" s="3" t="s">
        <v>6394</v>
      </c>
      <c r="S3" s="20"/>
      <c r="T3" s="3" t="s">
        <v>6394</v>
      </c>
      <c r="U3" s="20"/>
      <c r="Y3" s="3" t="s">
        <v>6927</v>
      </c>
    </row>
    <row r="4" spans="2:30" x14ac:dyDescent="0.25">
      <c r="B4" s="381" t="s">
        <v>3515</v>
      </c>
      <c r="C4" s="382" t="s">
        <v>3460</v>
      </c>
      <c r="D4" s="383">
        <v>563</v>
      </c>
      <c r="E4" s="383">
        <v>523</v>
      </c>
      <c r="F4" s="381"/>
      <c r="H4" s="11" t="s">
        <v>3463</v>
      </c>
      <c r="I4" s="12">
        <f>COUNTIF('IV kw.20'!E3:E899,"praca")</f>
        <v>42</v>
      </c>
      <c r="J4" s="12" t="s">
        <v>3515</v>
      </c>
      <c r="N4" s="12">
        <v>1</v>
      </c>
      <c r="O4" s="11" t="s">
        <v>170</v>
      </c>
      <c r="P4" s="12">
        <f>SUM(D52)</f>
        <v>23</v>
      </c>
      <c r="R4" s="12">
        <f ca="1">RANK(P4,$P$4:$P$15,0)+COUNTIF($P$4:P4,P4)-1</f>
        <v>4</v>
      </c>
      <c r="T4" s="17" t="str">
        <f ca="1">INDEX($N$4:$P$15,MATCH(1,$R$4:$R$15,0),2)</f>
        <v>Usługi finansowe, HR i inne</v>
      </c>
      <c r="U4" s="12">
        <f ca="1">INDEX($N$4:$P$15,MATCH(1,$R$4:$R$15,0),3)</f>
        <v>85</v>
      </c>
      <c r="Y4" s="12">
        <v>1803</v>
      </c>
      <c r="Z4" s="26">
        <f>SUMIF('IV kw.20'!T3:T500,"1803",'IV kw.20'!F3:F500)</f>
        <v>18</v>
      </c>
      <c r="AA4" s="12">
        <v>1801</v>
      </c>
      <c r="AB4" s="26">
        <f>SUMIF('IV kw.20'!T3:T500,"1801",'IV kw.20'!F3:F500)</f>
        <v>0</v>
      </c>
      <c r="AD4" s="12">
        <v>1801</v>
      </c>
    </row>
    <row r="5" spans="2:30" x14ac:dyDescent="0.25">
      <c r="B5" s="381" t="s">
        <v>3516</v>
      </c>
      <c r="C5" s="382" t="s">
        <v>3459</v>
      </c>
      <c r="D5" s="383">
        <v>466</v>
      </c>
      <c r="E5" s="383">
        <v>477</v>
      </c>
      <c r="F5" s="381"/>
      <c r="H5" s="11" t="s">
        <v>192</v>
      </c>
      <c r="I5" s="12">
        <f>COUNTIF('IV kw.20'!E3:E899,"pracuj.pl")</f>
        <v>176</v>
      </c>
      <c r="J5" s="12" t="s">
        <v>3516</v>
      </c>
      <c r="N5" s="12">
        <v>2</v>
      </c>
      <c r="O5" s="11" t="s">
        <v>2</v>
      </c>
      <c r="P5" s="12">
        <f ca="1">SUM(G38)</f>
        <v>41</v>
      </c>
      <c r="R5" s="12">
        <f ca="1">RANK(P5,$P$4:$P$15,0)+COUNTIF($P$4:P5,P5)-1</f>
        <v>3</v>
      </c>
      <c r="T5" s="17" t="str">
        <f ca="1">INDEX($N$4:$P$15,MATCH(2,$R$4:$R$15,0),2)</f>
        <v>Handel, transport, logistyka</v>
      </c>
      <c r="U5" s="12">
        <f ca="1">INDEX($N$4:$P$15,MATCH(2,$R$4:$R$15,0),3)</f>
        <v>48</v>
      </c>
      <c r="Y5" s="12">
        <v>1811</v>
      </c>
      <c r="Z5" s="26">
        <f>SUMIF('IV kw.20'!T3:T500,"1811",'IV kw.20'!F3:F500)</f>
        <v>13</v>
      </c>
      <c r="AA5" s="12">
        <v>1802</v>
      </c>
      <c r="AB5" s="26">
        <f>SUMIF('IV kw.20'!T3:T500,"1802",'IV kw.20'!F3:F500)</f>
        <v>1</v>
      </c>
      <c r="AD5" s="12">
        <v>1802</v>
      </c>
    </row>
    <row r="6" spans="2:30" x14ac:dyDescent="0.25">
      <c r="B6" s="381" t="s">
        <v>3517</v>
      </c>
      <c r="C6" s="382" t="s">
        <v>3458</v>
      </c>
      <c r="D6" s="383">
        <v>365</v>
      </c>
      <c r="E6" s="383">
        <v>386</v>
      </c>
      <c r="F6" s="381"/>
      <c r="H6" s="11" t="s">
        <v>217</v>
      </c>
      <c r="I6" s="12">
        <f>COUNTIF('IV kw.20'!E3:E899,"agora")</f>
        <v>4</v>
      </c>
      <c r="J6" s="12" t="s">
        <v>3517</v>
      </c>
      <c r="N6" s="12">
        <v>3</v>
      </c>
      <c r="O6" s="11" t="s">
        <v>3</v>
      </c>
      <c r="P6" s="12">
        <f>SUM(J36)</f>
        <v>12</v>
      </c>
      <c r="R6" s="12">
        <f ca="1">RANK(P6,$P$4:$P$15,0)+COUNTIF($P$4:P6,P6)-1</f>
        <v>5</v>
      </c>
      <c r="T6" s="17" t="str">
        <f ca="1">INDEX($N$4:$P$15,MATCH(3,$R$4:$R$15,0),2)</f>
        <v>Przemysł high-tech</v>
      </c>
      <c r="U6" s="12">
        <f ca="1">INDEX($N$4:$P$15,MATCH(3,$R$4:$R$15,0),3)</f>
        <v>41</v>
      </c>
      <c r="Y6" s="12">
        <v>1816</v>
      </c>
      <c r="Z6" s="26">
        <f>SUMIF('IV kw.20'!T3:T500,"1816",'IV kw.20'!F3:F500)</f>
        <v>16</v>
      </c>
      <c r="AA6" s="12">
        <v>1804</v>
      </c>
      <c r="AB6" s="26">
        <f>SUMIF('IV kw.20'!T3:T500,"1804",'IV kw.20'!F3:F500)</f>
        <v>1</v>
      </c>
      <c r="AD6" s="12">
        <v>1803</v>
      </c>
    </row>
    <row r="7" spans="2:30" x14ac:dyDescent="0.25">
      <c r="B7" s="381" t="s">
        <v>3518</v>
      </c>
      <c r="C7" s="382" t="s">
        <v>3457</v>
      </c>
      <c r="D7" s="383">
        <v>461</v>
      </c>
      <c r="E7" s="383">
        <v>444</v>
      </c>
      <c r="F7" s="381"/>
      <c r="H7" s="11" t="s">
        <v>3464</v>
      </c>
      <c r="I7" s="12">
        <f>COUNTIF('IV kw.20'!E3:E899,"gratka")</f>
        <v>2</v>
      </c>
      <c r="J7" s="12" t="s">
        <v>3518</v>
      </c>
      <c r="N7" s="12">
        <v>4</v>
      </c>
      <c r="O7" s="11" t="s">
        <v>3589</v>
      </c>
      <c r="P7" s="12">
        <f>SUM(M29)</f>
        <v>48</v>
      </c>
      <c r="R7" s="12">
        <f ca="1">RANK(P7,$P$4:$P$15,0)+COUNTIF($P$4:P7,P7)-1</f>
        <v>2</v>
      </c>
      <c r="T7" s="17" t="str">
        <f ca="1">INDEX($N$4:$P$15,MATCH(4,$R$4:$R$15,0),2)</f>
        <v>Przemysł produkcyjny</v>
      </c>
      <c r="U7" s="12">
        <f ca="1">INDEX($N$4:$P$15,MATCH(4,$R$4:$R$15,0),3)</f>
        <v>23</v>
      </c>
      <c r="Y7" s="12">
        <v>1861</v>
      </c>
      <c r="Z7" s="26">
        <f>SUMIF('IV kw.20'!T3:T500,"1861",'IV kw.20'!F3:F500)</f>
        <v>18</v>
      </c>
      <c r="AA7" s="12">
        <v>1805</v>
      </c>
      <c r="AB7" s="26">
        <f>SUMIF('IV kw.20'!T3:T500,"1805",'IV kw.20'!F3:F500)</f>
        <v>7</v>
      </c>
      <c r="AD7" s="12">
        <v>1804</v>
      </c>
    </row>
    <row r="8" spans="2:30" x14ac:dyDescent="0.25">
      <c r="B8" s="381" t="s">
        <v>13071</v>
      </c>
      <c r="C8" s="382" t="s">
        <v>173</v>
      </c>
      <c r="D8" s="383">
        <v>720</v>
      </c>
      <c r="E8" s="383">
        <v>704</v>
      </c>
      <c r="F8" s="381"/>
      <c r="H8" s="302" t="s">
        <v>7786</v>
      </c>
      <c r="I8" s="11"/>
      <c r="J8" s="11"/>
      <c r="N8" s="12">
        <v>5</v>
      </c>
      <c r="O8" s="11" t="s">
        <v>13096</v>
      </c>
      <c r="P8" s="12">
        <f>SUM(P28)</f>
        <v>85</v>
      </c>
      <c r="R8" s="12">
        <f ca="1">RANK(P8,$P$4:$P$15,0)+COUNTIF($P$4:P8,P8)-1</f>
        <v>1</v>
      </c>
      <c r="T8" s="17" t="str">
        <f ca="1">INDEX($N$4:$P$15,MATCH(5,$R$4:$R$15,0),2)</f>
        <v>Budownictwo</v>
      </c>
      <c r="U8" s="12">
        <f ca="1">INDEX($N$4:$P$15,MATCH(5,$R$4:$R$15,0),3)</f>
        <v>12</v>
      </c>
      <c r="Y8" s="12">
        <v>1863</v>
      </c>
      <c r="Z8" s="26">
        <f>SUMIF('IV kw.20'!T3:T500,"1863",'IV kw.20'!F3:F500)</f>
        <v>70</v>
      </c>
      <c r="AA8" s="12">
        <v>1806</v>
      </c>
      <c r="AB8" s="26">
        <f>SUMIF('IV kw.20'!T3:T500,"1806",'IV kw.20'!F3:F500)</f>
        <v>2</v>
      </c>
      <c r="AD8" s="12">
        <v>1805</v>
      </c>
    </row>
    <row r="9" spans="2:30" x14ac:dyDescent="0.25">
      <c r="B9" s="12">
        <v>1</v>
      </c>
      <c r="C9" s="17" t="s">
        <v>175</v>
      </c>
      <c r="D9" s="26">
        <v>86</v>
      </c>
      <c r="E9" s="26">
        <v>122</v>
      </c>
      <c r="F9" s="12"/>
      <c r="H9" s="184"/>
      <c r="I9" s="183">
        <f>SUM(I4:I7)</f>
        <v>224</v>
      </c>
      <c r="J9" s="184"/>
      <c r="N9" s="12">
        <v>6</v>
      </c>
      <c r="O9" s="11" t="s">
        <v>134</v>
      </c>
      <c r="P9" s="12">
        <f>SUM(P33)</f>
        <v>0</v>
      </c>
      <c r="R9" s="12">
        <f ca="1">RANK(P9,$P$4:$P$15,0)+COUNTIF($P$4:P9,P9)-1</f>
        <v>10</v>
      </c>
      <c r="T9" s="17" t="str">
        <f ca="1">INDEX($N$4:$P$15,MATCH(6,$R$4:$R$15,0),2)</f>
        <v>Zdrowie i opieka społeczna</v>
      </c>
      <c r="U9" s="12">
        <f ca="1">INDEX($N$4:$P$15,MATCH(6,$R$4:$R$15,0),3)</f>
        <v>10</v>
      </c>
      <c r="Y9" s="16" t="s">
        <v>7787</v>
      </c>
      <c r="Z9" s="299">
        <f>SUM(Z4:Z8)</f>
        <v>135</v>
      </c>
      <c r="AA9" s="12">
        <v>1807</v>
      </c>
      <c r="AB9" s="26">
        <f>SUMIF('IV kw.20'!T3:T500,"1807",'IV kw.20'!F3:F500)</f>
        <v>0</v>
      </c>
      <c r="AD9" s="12">
        <v>1806</v>
      </c>
    </row>
    <row r="10" spans="2:30" x14ac:dyDescent="0.25">
      <c r="B10" s="12">
        <v>2</v>
      </c>
      <c r="C10" s="17" t="s">
        <v>174</v>
      </c>
      <c r="D10" s="26">
        <v>377</v>
      </c>
      <c r="E10" s="26">
        <v>410</v>
      </c>
      <c r="F10" s="12"/>
      <c r="N10" s="12">
        <v>7</v>
      </c>
      <c r="O10" s="11" t="s">
        <v>3590</v>
      </c>
      <c r="P10" s="12">
        <f>SUM(P39)</f>
        <v>0</v>
      </c>
      <c r="R10" s="12">
        <f ca="1">RANK(P10,$P$4:$P$15,0)+COUNTIF($P$4:P10,P10)-1</f>
        <v>11</v>
      </c>
      <c r="T10" s="17" t="str">
        <f ca="1">INDEX($N$4:$P$15,MATCH(7,$R$4:$R$15,0),2)</f>
        <v>Informacja i edukcja</v>
      </c>
      <c r="U10" s="12">
        <f ca="1">INDEX($N$4:$P$15,MATCH(7,$R$4:$R$15,0),3)</f>
        <v>3</v>
      </c>
      <c r="AA10" s="12">
        <v>1808</v>
      </c>
      <c r="AB10" s="12">
        <f>SUMIF('IV kw.20'!T3:T500,"1808",'IV kw.20'!F3:F500)</f>
        <v>4</v>
      </c>
      <c r="AD10" s="12">
        <v>1807</v>
      </c>
    </row>
    <row r="11" spans="2:30" x14ac:dyDescent="0.25">
      <c r="B11" s="381" t="s">
        <v>13072</v>
      </c>
      <c r="C11" s="382" t="s">
        <v>3486</v>
      </c>
      <c r="D11" s="383">
        <f>SUM(D9:D10)</f>
        <v>463</v>
      </c>
      <c r="E11" s="383">
        <f>SUM(E9:E10)</f>
        <v>532</v>
      </c>
      <c r="F11" s="381"/>
      <c r="H11" s="1" t="s">
        <v>3570</v>
      </c>
      <c r="N11" s="12">
        <v>8</v>
      </c>
      <c r="O11" s="11" t="s">
        <v>4</v>
      </c>
      <c r="P11" s="12">
        <f>SUM(S26)</f>
        <v>10</v>
      </c>
      <c r="R11" s="12">
        <f ca="1">RANK(P11,$P$4:$P$15,0)+COUNTIF($P$4:P11,P11)-1</f>
        <v>6</v>
      </c>
      <c r="T11" s="17" t="str">
        <f ca="1">INDEX($N$4:$P$15,MATCH(8,$R$4:$R$15,0),2)</f>
        <v>Prace proste</v>
      </c>
      <c r="U11" s="12">
        <f ca="1">INDEX($N$4:$P$15,MATCH(8,$R$4:$R$15,0),3)</f>
        <v>1</v>
      </c>
      <c r="AA11" s="12">
        <v>1809</v>
      </c>
      <c r="AB11" s="12">
        <f>SUMIF('IV kw.20'!T3:T500,"1809",'IV kw.20'!F3:F500)</f>
        <v>1</v>
      </c>
      <c r="AD11" s="12">
        <v>1808</v>
      </c>
    </row>
    <row r="12" spans="2:30" x14ac:dyDescent="0.25">
      <c r="B12" s="12">
        <v>3</v>
      </c>
      <c r="C12" s="17" t="s">
        <v>3481</v>
      </c>
      <c r="D12" s="12">
        <v>180</v>
      </c>
      <c r="E12" s="12">
        <v>231</v>
      </c>
      <c r="F12" s="12"/>
      <c r="H12" s="312" t="s">
        <v>3469</v>
      </c>
      <c r="I12" s="312" t="s">
        <v>3568</v>
      </c>
      <c r="J12" s="313">
        <f ca="1">SUM(D52,G38,J36)</f>
        <v>76</v>
      </c>
      <c r="N12" s="12">
        <v>9</v>
      </c>
      <c r="O12" s="11" t="s">
        <v>3591</v>
      </c>
      <c r="P12" s="12">
        <f>SUM(V26)</f>
        <v>3</v>
      </c>
      <c r="R12" s="12">
        <f ca="1">RANK(P12,$P$4:$P$15,0)+COUNTIF($P$4:P12,P12)-1</f>
        <v>7</v>
      </c>
      <c r="T12" s="17" t="str">
        <f ca="1">INDEX($N$4:$P$15,MATCH(9,$R$4:$R$15,0),2)</f>
        <v>Pozostałe grupy</v>
      </c>
      <c r="U12" s="12">
        <f ca="1">INDEX($N$4:$P$15,MATCH(9,$R$4:$R$15,0),3)</f>
        <v>1</v>
      </c>
      <c r="AA12" s="12">
        <v>1810</v>
      </c>
      <c r="AB12" s="12">
        <f>SUMIF('IV kw.20'!T3:T500,"1810",'IV kw.20'!F3:F500)</f>
        <v>5</v>
      </c>
      <c r="AD12" s="12">
        <v>1809</v>
      </c>
    </row>
    <row r="13" spans="2:30" x14ac:dyDescent="0.25">
      <c r="B13" s="12">
        <v>4</v>
      </c>
      <c r="C13" s="17" t="s">
        <v>3482</v>
      </c>
      <c r="D13" s="12">
        <v>361</v>
      </c>
      <c r="E13" s="12">
        <v>378</v>
      </c>
      <c r="F13" s="12"/>
      <c r="H13" s="308" t="s">
        <v>3470</v>
      </c>
      <c r="I13" s="308" t="s">
        <v>3566</v>
      </c>
      <c r="J13" s="307">
        <f>SUM(M29,P28,P33,P39,S26)</f>
        <v>143</v>
      </c>
      <c r="N13" s="12">
        <v>10</v>
      </c>
      <c r="O13" s="11" t="s">
        <v>0</v>
      </c>
      <c r="P13" s="12">
        <f>SUM(V32)</f>
        <v>0</v>
      </c>
      <c r="R13" s="12">
        <f ca="1">RANK(P13,$P$4:$P$15,0)+COUNTIF($P$4:P13,P13)-1</f>
        <v>12</v>
      </c>
      <c r="T13" s="17" t="str">
        <f ca="1">INDEX($N$4:$P$15,MATCH(10,$R$4:$R$15,0),2)</f>
        <v>Usługi gastronomiczne</v>
      </c>
      <c r="U13" s="12">
        <f ca="1">INDEX($N$4:$P$15,MATCH(10,$R$4:$R$15,0),3)</f>
        <v>0</v>
      </c>
      <c r="AA13" s="12">
        <v>1812</v>
      </c>
      <c r="AB13" s="12">
        <f>SUMIF('IV kw.20'!T3:T500,"1812",'IV kw.20'!F3:F500)</f>
        <v>7</v>
      </c>
      <c r="AD13" s="12">
        <v>1810</v>
      </c>
    </row>
    <row r="14" spans="2:30" x14ac:dyDescent="0.25">
      <c r="B14" s="381" t="s">
        <v>13073</v>
      </c>
      <c r="C14" s="382" t="s">
        <v>3487</v>
      </c>
      <c r="D14" s="383">
        <f>SUM(D12:D13)</f>
        <v>541</v>
      </c>
      <c r="E14" s="383">
        <f>SUM(E12:E13)</f>
        <v>609</v>
      </c>
      <c r="F14" s="381"/>
      <c r="H14" s="322" t="s">
        <v>3471</v>
      </c>
      <c r="I14" s="322" t="s">
        <v>3567</v>
      </c>
      <c r="J14" s="316">
        <f>SUM(V26,V32)</f>
        <v>3</v>
      </c>
      <c r="N14" s="12">
        <v>11</v>
      </c>
      <c r="O14" s="11" t="s">
        <v>6</v>
      </c>
      <c r="P14" s="12">
        <f>SUM(Y25)</f>
        <v>1</v>
      </c>
      <c r="R14" s="12">
        <f ca="1">RANK(P14,$P$4:$P$15,0)+COUNTIF($P$4:P14,P14)-1</f>
        <v>8</v>
      </c>
      <c r="T14" s="17" t="str">
        <f ca="1">INDEX($N$4:$P$15,MATCH(11,$R$4:$R$15,0),2)</f>
        <v>Usługi typu krawiectwo, kaletnictwo, obuwnictwo + poszukiwanie + ochrona</v>
      </c>
      <c r="U14" s="12">
        <f ca="1">INDEX($N$4:$P$15,MATCH(11,$R$4:$R$15,0),3)</f>
        <v>0</v>
      </c>
      <c r="AA14" s="12">
        <v>1813</v>
      </c>
      <c r="AB14" s="12">
        <f>SUMIF('IV kw.20'!T3:T500,"1813",'IV kw.20'!F3:F500)</f>
        <v>0</v>
      </c>
      <c r="AD14" s="12">
        <v>1811</v>
      </c>
    </row>
    <row r="15" spans="2:30" x14ac:dyDescent="0.25">
      <c r="B15" s="12">
        <v>5</v>
      </c>
      <c r="C15" s="17" t="s">
        <v>6392</v>
      </c>
      <c r="D15" s="26">
        <v>249</v>
      </c>
      <c r="E15" s="26">
        <v>258</v>
      </c>
      <c r="F15" s="12"/>
      <c r="H15" s="325" t="s">
        <v>3472</v>
      </c>
      <c r="I15" s="325" t="s">
        <v>6</v>
      </c>
      <c r="J15" s="326">
        <f>SUM(Y25)</f>
        <v>1</v>
      </c>
      <c r="N15" s="12">
        <v>12</v>
      </c>
      <c r="O15" s="17" t="s">
        <v>3574</v>
      </c>
      <c r="P15" s="12">
        <f>SUM(Y35)</f>
        <v>1</v>
      </c>
      <c r="R15" s="12">
        <f ca="1">RANK(P15,$P$4:$P$15,0)+COUNTIF($P$4:P15,P15)-1</f>
        <v>9</v>
      </c>
      <c r="T15" s="17" t="str">
        <f ca="1">INDEX($N$4:$P$15,MATCH(12,$R$4:$R$15,0),2)</f>
        <v>Nadzór i administracja</v>
      </c>
      <c r="U15" s="12">
        <f ca="1">INDEX($N$4:$P$15,MATCH(12,$R$4:$R$15,0),3)</f>
        <v>0</v>
      </c>
      <c r="AA15" s="12">
        <v>1814</v>
      </c>
      <c r="AB15" s="12">
        <f>SUMIF('IV kw.20'!T3:T500,"1814",'IV kw.20'!F3:F500)</f>
        <v>4</v>
      </c>
      <c r="AD15" s="12">
        <v>1812</v>
      </c>
    </row>
    <row r="16" spans="2:30" x14ac:dyDescent="0.25">
      <c r="B16" s="12">
        <v>6</v>
      </c>
      <c r="C16" s="17" t="s">
        <v>6924</v>
      </c>
      <c r="D16" s="26">
        <v>173</v>
      </c>
      <c r="E16" s="26">
        <v>197</v>
      </c>
      <c r="F16" s="12"/>
      <c r="H16" s="329" t="s">
        <v>3473</v>
      </c>
      <c r="I16" s="329" t="s">
        <v>3574</v>
      </c>
      <c r="J16" s="96">
        <f>SUM(Y35)</f>
        <v>1</v>
      </c>
      <c r="N16" s="18"/>
      <c r="O16" s="89"/>
      <c r="P16" s="18"/>
      <c r="R16" s="18"/>
      <c r="T16" s="89"/>
      <c r="U16" s="18"/>
      <c r="AA16" s="12">
        <v>1815</v>
      </c>
      <c r="AB16" s="12">
        <f>SUMIF('IV kw.20'!T3:T500,"1815",'IV kw.20'!F3:F500)</f>
        <v>4</v>
      </c>
      <c r="AD16" s="12">
        <v>1813</v>
      </c>
    </row>
    <row r="17" spans="2:30" x14ac:dyDescent="0.25">
      <c r="B17" s="381" t="s">
        <v>13074</v>
      </c>
      <c r="C17" s="382" t="s">
        <v>6929</v>
      </c>
      <c r="D17" s="383">
        <f>SUM(D15:D16)</f>
        <v>422</v>
      </c>
      <c r="E17" s="383">
        <f>SUM(E15:E16)</f>
        <v>455</v>
      </c>
      <c r="F17" s="381"/>
      <c r="H17" s="184"/>
      <c r="I17" s="184"/>
      <c r="J17" s="183">
        <f ca="1">SUM(J12:J16)</f>
        <v>224</v>
      </c>
      <c r="N17" s="18"/>
      <c r="O17" s="89"/>
      <c r="P17" s="18"/>
      <c r="R17" s="18"/>
      <c r="T17" s="89"/>
      <c r="U17" s="18"/>
      <c r="AA17" s="12">
        <v>1817</v>
      </c>
      <c r="AB17" s="12">
        <f>SUMIF('IV kw.20'!T3:T500,"1817",'IV kw.20'!F3:F500)</f>
        <v>4</v>
      </c>
      <c r="AD17" s="12">
        <v>1814</v>
      </c>
    </row>
    <row r="18" spans="2:30" x14ac:dyDescent="0.25">
      <c r="B18" s="12">
        <v>7</v>
      </c>
      <c r="C18" s="17" t="s">
        <v>6928</v>
      </c>
      <c r="D18" s="26">
        <v>97</v>
      </c>
      <c r="E18" s="26">
        <v>97</v>
      </c>
      <c r="F18" s="12"/>
      <c r="H18" s="184"/>
      <c r="I18" s="184"/>
      <c r="J18" s="183"/>
      <c r="N18" s="18"/>
      <c r="O18" s="89"/>
      <c r="P18" s="18"/>
      <c r="R18" s="18"/>
      <c r="T18" s="89"/>
      <c r="U18" s="18"/>
      <c r="AA18" s="12">
        <v>1818</v>
      </c>
      <c r="AB18" s="12">
        <f>SUMIF('IV kw.20'!T3:T500,"1818",'IV kw.20'!F3:F500)</f>
        <v>9</v>
      </c>
      <c r="AD18" s="12">
        <v>1815</v>
      </c>
    </row>
    <row r="19" spans="2:30" x14ac:dyDescent="0.25">
      <c r="B19" s="107">
        <v>8</v>
      </c>
      <c r="C19" s="106" t="s">
        <v>7785</v>
      </c>
      <c r="D19" s="105">
        <v>224</v>
      </c>
      <c r="E19" s="105">
        <v>224</v>
      </c>
      <c r="F19" s="107" t="s">
        <v>13076</v>
      </c>
      <c r="H19" s="184"/>
      <c r="I19" s="184"/>
      <c r="J19" s="183"/>
      <c r="N19" s="18"/>
      <c r="O19" s="89"/>
      <c r="P19" s="18"/>
      <c r="R19" s="18"/>
      <c r="T19" s="89"/>
      <c r="U19" s="18"/>
      <c r="AA19" s="12">
        <v>1819</v>
      </c>
      <c r="AB19" s="12">
        <f>SUMIF('IV kw.20'!T3:T500,"1819",'IV kw.20'!F3:F500)</f>
        <v>0</v>
      </c>
      <c r="AD19" s="12">
        <v>1816</v>
      </c>
    </row>
    <row r="20" spans="2:30" x14ac:dyDescent="0.25">
      <c r="B20" s="18"/>
      <c r="C20" s="89"/>
      <c r="D20" s="135"/>
      <c r="E20" s="135"/>
      <c r="F20" s="20"/>
      <c r="N20" s="242"/>
      <c r="O20" s="242"/>
      <c r="P20" s="243">
        <f ca="1">SUM(P4:P15)</f>
        <v>224</v>
      </c>
      <c r="R20" s="242"/>
      <c r="T20" s="243"/>
      <c r="U20" s="246">
        <f ca="1">SUM(U4:U15)</f>
        <v>224</v>
      </c>
      <c r="AA20" s="12">
        <v>1820</v>
      </c>
      <c r="AB20" s="12">
        <f>SUMIF('IV kw.20'!T3:T500,"1820",'IV kw.20'!F3:F500)</f>
        <v>4</v>
      </c>
      <c r="AD20" s="12">
        <v>1817</v>
      </c>
    </row>
    <row r="21" spans="2:30" x14ac:dyDescent="0.25">
      <c r="B21" s="303" t="s">
        <v>170</v>
      </c>
      <c r="C21" s="303"/>
      <c r="D21" s="303"/>
      <c r="E21" s="303" t="s">
        <v>2</v>
      </c>
      <c r="F21" s="303"/>
      <c r="G21" s="303"/>
      <c r="H21" s="303" t="s">
        <v>3</v>
      </c>
      <c r="I21" s="303"/>
      <c r="J21" s="303"/>
      <c r="K21" s="304" t="s">
        <v>3589</v>
      </c>
      <c r="L21" s="304"/>
      <c r="M21" s="304"/>
      <c r="N21" s="304" t="s">
        <v>1</v>
      </c>
      <c r="O21" s="304"/>
      <c r="P21" s="304"/>
      <c r="Q21" s="304" t="s">
        <v>4</v>
      </c>
      <c r="R21" s="304"/>
      <c r="S21" s="304"/>
      <c r="T21" s="314" t="s">
        <v>5</v>
      </c>
      <c r="U21" s="314"/>
      <c r="V21" s="314"/>
      <c r="W21" s="328" t="s">
        <v>6</v>
      </c>
      <c r="X21" s="328"/>
      <c r="Y21" s="327"/>
      <c r="AA21" s="12">
        <v>1821</v>
      </c>
      <c r="AB21" s="12">
        <f>SUMIF('IV kw.20'!T3:T500,"1821",'IV kw.20'!F3:F500)</f>
        <v>2</v>
      </c>
      <c r="AD21" s="12">
        <v>1818</v>
      </c>
    </row>
    <row r="22" spans="2:30" x14ac:dyDescent="0.25">
      <c r="B22" s="21" t="s">
        <v>3469</v>
      </c>
      <c r="C22" s="22"/>
      <c r="D22" s="311"/>
      <c r="E22" s="21" t="s">
        <v>3470</v>
      </c>
      <c r="F22" s="22"/>
      <c r="G22" s="311"/>
      <c r="H22" s="21" t="s">
        <v>3470</v>
      </c>
      <c r="I22" s="21"/>
      <c r="J22" s="311"/>
      <c r="K22" s="114"/>
      <c r="L22" s="113"/>
      <c r="M22" s="305"/>
      <c r="N22" s="305"/>
      <c r="O22" s="306"/>
      <c r="P22" s="305"/>
      <c r="Q22" s="305"/>
      <c r="R22" s="306"/>
      <c r="S22" s="305"/>
      <c r="T22" s="98"/>
      <c r="U22" s="99"/>
      <c r="V22" s="315"/>
      <c r="W22" s="323"/>
      <c r="X22" s="324"/>
      <c r="Y22" s="325"/>
      <c r="AA22" s="12">
        <v>1862</v>
      </c>
      <c r="AB22" s="12">
        <f>SUMIF('IV kw.20'!T3:T500,"1862",'IV kw.20'!F3:F500)</f>
        <v>6</v>
      </c>
      <c r="AD22" s="12">
        <v>1819</v>
      </c>
    </row>
    <row r="23" spans="2:30" x14ac:dyDescent="0.25">
      <c r="B23" s="108">
        <v>2141</v>
      </c>
      <c r="C23" s="390" t="s">
        <v>3569</v>
      </c>
      <c r="D23" s="390">
        <f>SUMIF('IV kw.20'!AJ3:AJ499,"2141*",'IV kw.20'!F3:F499)</f>
        <v>1</v>
      </c>
      <c r="E23" s="108">
        <v>2113</v>
      </c>
      <c r="F23" s="11" t="s">
        <v>3491</v>
      </c>
      <c r="G23" s="16">
        <f ca="1">SUMIF('IV kw.20'!AJ3:AJ499,"2113*",'IV kw.20'!F3:F466)</f>
        <v>0</v>
      </c>
      <c r="H23" s="122">
        <v>2142</v>
      </c>
      <c r="I23" s="399" t="s">
        <v>3494</v>
      </c>
      <c r="J23" s="16">
        <f>SUMIF('IV kw.20'!AJ3:AJ499,"2142*",'IV kw.20'!F3:F499)</f>
        <v>2</v>
      </c>
      <c r="K23" s="123">
        <v>315</v>
      </c>
      <c r="L23" s="11" t="s">
        <v>3532</v>
      </c>
      <c r="M23" s="112">
        <f>SUMIF('IV kw.20'!AJ3:AJ499,"315*",'IV kw.20'!F3:F499)</f>
        <v>0</v>
      </c>
      <c r="N23" s="108">
        <v>2166</v>
      </c>
      <c r="O23" s="11" t="s">
        <v>3510</v>
      </c>
      <c r="P23" s="307">
        <f>SUMIF('IV kw.20'!AJ3:AJ499,"2166*",'IV kw.20'!F3:F499)</f>
        <v>0</v>
      </c>
      <c r="Q23" s="118">
        <v>22</v>
      </c>
      <c r="R23" s="11" t="s">
        <v>3511</v>
      </c>
      <c r="S23" s="307">
        <f>SUMIF('IV kw.20'!AJ3:AJ499,"22*",'IV kw.20'!F3:F499)</f>
        <v>8</v>
      </c>
      <c r="T23" s="118">
        <v>23</v>
      </c>
      <c r="U23" s="11" t="s">
        <v>3512</v>
      </c>
      <c r="V23" s="316">
        <f>SUMIF('IV kw.20'!AJ3:AJ499,"23*",'IV kw.20'!F3:F499)</f>
        <v>1</v>
      </c>
      <c r="W23" s="131">
        <v>7549</v>
      </c>
      <c r="X23" s="11" t="s">
        <v>3561</v>
      </c>
      <c r="Y23" s="326">
        <f>SUMIF('IV kw.20'!AJ3:AJ499,"7549*",'IV kw.20'!F3:F499)</f>
        <v>0</v>
      </c>
      <c r="AA23" s="12">
        <v>1864</v>
      </c>
      <c r="AB23" s="12">
        <f>SUMIF('IV kw.20'!T3:T500,"1864",'IV kw.20'!F3:F500)</f>
        <v>4</v>
      </c>
      <c r="AD23" s="12">
        <v>1820</v>
      </c>
    </row>
    <row r="24" spans="2:30" x14ac:dyDescent="0.25">
      <c r="B24" s="108">
        <v>2132</v>
      </c>
      <c r="C24" s="11" t="s">
        <v>3493</v>
      </c>
      <c r="D24" s="195">
        <f>SUMIF('IV kw.20'!AJ3:AJ499,"2132*",'IV kw.20'!F3:F499)</f>
        <v>0</v>
      </c>
      <c r="E24" s="108">
        <v>2145</v>
      </c>
      <c r="F24" s="11" t="s">
        <v>3496</v>
      </c>
      <c r="G24" s="16">
        <f ca="1">SUMIF('IV kw.20'!AJ3:AJ499,"2145*",'IV kw.20'!F3:F466)</f>
        <v>0</v>
      </c>
      <c r="H24" s="122">
        <v>2143</v>
      </c>
      <c r="I24" s="11" t="s">
        <v>93</v>
      </c>
      <c r="J24" s="16">
        <f>SUMIF('IV kw.20'!AJ3:AJ499,"2143*",'IV kw.20'!F3:F499)</f>
        <v>0</v>
      </c>
      <c r="K24" s="117">
        <v>42</v>
      </c>
      <c r="L24" s="11" t="s">
        <v>3537</v>
      </c>
      <c r="M24" s="112">
        <f>SUMIF('IV kw.20'!AJ3:AJ499,"42*",'IV kw.20'!F3:F499)</f>
        <v>1</v>
      </c>
      <c r="N24" s="118">
        <v>24</v>
      </c>
      <c r="O24" s="368" t="s">
        <v>3571</v>
      </c>
      <c r="P24" s="107">
        <f>SUMIF('IV kw.20'!AJ3:AJ499,"24*",'IV kw.20'!F3:F499)</f>
        <v>30</v>
      </c>
      <c r="Q24" s="121">
        <v>32</v>
      </c>
      <c r="R24" s="11" t="s">
        <v>3533</v>
      </c>
      <c r="S24" s="307">
        <f>SUMIF('IV kw.20'!AJ3:AJ499,"32*",'IV kw.20'!F3:F499)</f>
        <v>2</v>
      </c>
      <c r="T24" s="118">
        <v>26</v>
      </c>
      <c r="U24" s="11" t="s">
        <v>3572</v>
      </c>
      <c r="V24" s="316">
        <f>SUMIF('IV kw.20'!AJ3:AJ499,"26*",'IV kw.20'!F3:F499)</f>
        <v>2</v>
      </c>
      <c r="W24" s="119">
        <v>9</v>
      </c>
      <c r="X24" s="11" t="s">
        <v>3565</v>
      </c>
      <c r="Y24" s="326">
        <f>SUMIF('IV kw.20'!AJ3:AJ499,"9*",'IV kw.20'!F3:F499)</f>
        <v>1</v>
      </c>
      <c r="AA24" s="299" t="s">
        <v>7788</v>
      </c>
      <c r="AB24" s="16">
        <f>SUM(AB4:AB23)</f>
        <v>65</v>
      </c>
      <c r="AD24" s="12">
        <v>1821</v>
      </c>
    </row>
    <row r="25" spans="2:30" x14ac:dyDescent="0.25">
      <c r="B25" s="108">
        <v>2146</v>
      </c>
      <c r="C25" s="11" t="s">
        <v>3497</v>
      </c>
      <c r="D25" s="16">
        <f>SUMIF('IV kw.20'!AJ3:AJ499,"2146*",'IV kw.20'!F3:F499)</f>
        <v>0</v>
      </c>
      <c r="E25" s="108">
        <v>2131</v>
      </c>
      <c r="F25" s="11" t="s">
        <v>3492</v>
      </c>
      <c r="G25" s="16">
        <f ca="1">SUMIF('IV kw.20'!AJ3:AJ499,"2131*",'IV kw.20'!F3:F466)</f>
        <v>0</v>
      </c>
      <c r="H25" s="122">
        <v>2161</v>
      </c>
      <c r="I25" s="11" t="s">
        <v>3507</v>
      </c>
      <c r="J25" s="16">
        <f>SUMIF('IV kw.20'!AJ3:AJ499,"2161*",'IV kw.20'!F3:F499)</f>
        <v>0</v>
      </c>
      <c r="K25" s="117">
        <v>43</v>
      </c>
      <c r="L25" s="103" t="s">
        <v>3538</v>
      </c>
      <c r="M25" s="107">
        <f>SUMIF('IV kw.20'!AJ3:AJ499,"43*",'IV kw.20'!F3:F499)</f>
        <v>4</v>
      </c>
      <c r="N25" s="125">
        <v>33</v>
      </c>
      <c r="O25" s="368" t="s">
        <v>3534</v>
      </c>
      <c r="P25" s="107">
        <f>SUMIF('IV kw.20'!AJ3:AJ499,"33*",'IV kw.20'!F3:F499)</f>
        <v>52</v>
      </c>
      <c r="Q25" s="127">
        <v>53</v>
      </c>
      <c r="R25" s="11" t="s">
        <v>3542</v>
      </c>
      <c r="S25" s="307">
        <f>SUMIF('IV kw.20'!AJ3:AJ499,"53*",'IV kw.20'!F3:F499)</f>
        <v>0</v>
      </c>
      <c r="T25" s="125">
        <v>34</v>
      </c>
      <c r="U25" s="11" t="s">
        <v>3535</v>
      </c>
      <c r="V25" s="316">
        <f>SUMIF('IV kw.20'!AJ3:AJ499,"34*",'IV kw.20'!F3:F499)</f>
        <v>0</v>
      </c>
      <c r="W25" s="37"/>
      <c r="Y25" s="326">
        <f>SUM(Y23:Y24)</f>
        <v>1</v>
      </c>
      <c r="AA25" s="16" t="s">
        <v>7789</v>
      </c>
      <c r="AB25" s="16">
        <f>SUM(Z9,AB24)</f>
        <v>200</v>
      </c>
      <c r="AD25" s="12">
        <v>1861</v>
      </c>
    </row>
    <row r="26" spans="2:30" x14ac:dyDescent="0.25">
      <c r="B26" s="121">
        <v>3113</v>
      </c>
      <c r="C26" s="11" t="s">
        <v>3520</v>
      </c>
      <c r="D26" s="16">
        <f>SUMIF('IV kw.20'!AJ3:AJ499,"3113*",'IV kw.20'!F3:F499)</f>
        <v>0</v>
      </c>
      <c r="E26" s="108">
        <v>2144</v>
      </c>
      <c r="F26" s="399" t="s">
        <v>3495</v>
      </c>
      <c r="G26" s="398">
        <f ca="1">SUMIF('IV kw.20'!AJ3:AJ499,"2144*",'IV kw.20'!F3:F466)</f>
        <v>8</v>
      </c>
      <c r="H26" s="122">
        <v>2162</v>
      </c>
      <c r="I26" s="11" t="s">
        <v>3508</v>
      </c>
      <c r="J26" s="16">
        <f>SUMIF('IV kw.20'!AJ3:AJ499,"2162*",'IV kw.20'!F3:F499)</f>
        <v>0</v>
      </c>
      <c r="K26" s="367">
        <v>52</v>
      </c>
      <c r="L26" s="103" t="s">
        <v>3541</v>
      </c>
      <c r="M26" s="107">
        <f>SUMIF('IV kw.20'!AJ3:AJ499,"52*",'IV kw.20'!F3:F499)</f>
        <v>35</v>
      </c>
      <c r="N26" s="127">
        <v>51</v>
      </c>
      <c r="O26" s="11" t="s">
        <v>3540</v>
      </c>
      <c r="P26" s="307">
        <f>SUMIF('IV kw.20'!AJ3:AJ499,"51*",'IV kw.20'!F3:F499)</f>
        <v>1</v>
      </c>
      <c r="Q26" s="37"/>
      <c r="S26" s="307">
        <f>SUM(S23:S25)</f>
        <v>10</v>
      </c>
      <c r="V26" s="317">
        <f>SUM(V23:V25)</f>
        <v>3</v>
      </c>
      <c r="W26" s="37"/>
      <c r="AA26" s="11" t="s">
        <v>7790</v>
      </c>
      <c r="AB26" s="12">
        <f ca="1">J17-COUNTA('IV kw.20'!T3:T500)</f>
        <v>10</v>
      </c>
      <c r="AD26" s="12">
        <v>1862</v>
      </c>
    </row>
    <row r="27" spans="2:30" x14ac:dyDescent="0.25">
      <c r="B27" s="121">
        <v>3114</v>
      </c>
      <c r="C27" s="11" t="s">
        <v>3521</v>
      </c>
      <c r="D27" s="16">
        <f>SUMIF('IV kw.20'!AJ3:AJ499,"3114*",'IV kw.20'!F3:F499)</f>
        <v>0</v>
      </c>
      <c r="E27" s="108">
        <v>2149</v>
      </c>
      <c r="F27" s="399" t="s">
        <v>3498</v>
      </c>
      <c r="G27" s="398">
        <f ca="1">SUMIF('IV kw.20'!AJ3:AJ499,"2149*",'IV kw.20'!F3:F466)</f>
        <v>9</v>
      </c>
      <c r="H27" s="108">
        <v>2164</v>
      </c>
      <c r="I27" s="11" t="s">
        <v>3585</v>
      </c>
      <c r="J27" s="16">
        <f>SUMIF('IV kw.20'!AJ3:AJ499,"2164*",'IV kw.20'!F3:F499)</f>
        <v>0</v>
      </c>
      <c r="K27" s="133">
        <v>83</v>
      </c>
      <c r="L27" s="11" t="s">
        <v>3564</v>
      </c>
      <c r="M27" s="112">
        <f>SUMIF('IV kw.20'!AJ3:AJ499,"83*",'IV kw.20'!F3:F499)</f>
        <v>3</v>
      </c>
      <c r="N27" s="120">
        <v>14</v>
      </c>
      <c r="O27" s="11" t="s">
        <v>3578</v>
      </c>
      <c r="P27" s="307">
        <f>SUMIF('IV kw.20'!AJ3:AJ499,"14*",'IV kw.20'!F3:F499)</f>
        <v>2</v>
      </c>
      <c r="Q27" s="37"/>
      <c r="T27" s="1" t="s">
        <v>0</v>
      </c>
      <c r="U27" s="94"/>
      <c r="V27" s="20"/>
      <c r="W27" s="37" t="s">
        <v>3574</v>
      </c>
      <c r="AA27" s="11" t="s">
        <v>7791</v>
      </c>
      <c r="AB27" s="12">
        <f>SUMPRODUCT(COUNTIF('IV kw.20'!$T$3:$T$500,"*"&amp;'13'!$AD$4:$AD$28&amp;"*"))</f>
        <v>123</v>
      </c>
      <c r="AD27" s="12">
        <v>1863</v>
      </c>
    </row>
    <row r="28" spans="2:30" x14ac:dyDescent="0.25">
      <c r="B28" s="121">
        <v>3115</v>
      </c>
      <c r="C28" s="11" t="s">
        <v>3522</v>
      </c>
      <c r="D28" s="16">
        <f>SUMIF('IV kw.20'!AJ3:AJ499,"3115*",'IV kw.20'!F3:F499)</f>
        <v>0</v>
      </c>
      <c r="E28" s="389">
        <v>2149</v>
      </c>
      <c r="F28" s="11" t="s">
        <v>3499</v>
      </c>
      <c r="G28" s="104" t="s">
        <v>3573</v>
      </c>
      <c r="H28" s="122">
        <v>2165</v>
      </c>
      <c r="I28" s="11" t="s">
        <v>3509</v>
      </c>
      <c r="J28" s="16">
        <f>SUMIF('IV kw.20'!AJ3:AJ499,"2165*",'IV kw.20'!F3:F499)</f>
        <v>0</v>
      </c>
      <c r="K28" s="120">
        <v>12</v>
      </c>
      <c r="L28" s="11" t="s">
        <v>3576</v>
      </c>
      <c r="M28" s="112">
        <f>SUMIF('IV kw.20'!AJ3:AJ499,"12*",'IV kw.20'!F3:F499)</f>
        <v>5</v>
      </c>
      <c r="P28" s="307">
        <f>SUM(P23:P27)</f>
        <v>85</v>
      </c>
      <c r="Q28" s="37"/>
      <c r="T28" s="321"/>
      <c r="U28" s="320"/>
      <c r="V28" s="318"/>
      <c r="W28" s="330"/>
      <c r="X28" s="331"/>
      <c r="Y28" s="329"/>
      <c r="AD28" s="12">
        <v>1864</v>
      </c>
    </row>
    <row r="29" spans="2:30" x14ac:dyDescent="0.25">
      <c r="B29" s="121">
        <v>3116</v>
      </c>
      <c r="C29" s="11" t="s">
        <v>3523</v>
      </c>
      <c r="D29" s="16">
        <f>SUMIF('IV kw.20'!AJ3:AJ499,"3116*",'IV kw.20'!F3:F499)</f>
        <v>0</v>
      </c>
      <c r="E29" s="389">
        <v>2149</v>
      </c>
      <c r="F29" s="11" t="s">
        <v>3500</v>
      </c>
      <c r="G29" s="104" t="s">
        <v>3573</v>
      </c>
      <c r="H29" s="126">
        <v>3111</v>
      </c>
      <c r="I29" s="11" t="s">
        <v>3587</v>
      </c>
      <c r="J29" s="16">
        <f>SUMIF('IV kw.20'!AJ3:AJ499,"3111*",'IV kw.20'!F3:F499)</f>
        <v>0</v>
      </c>
      <c r="K29" s="89"/>
      <c r="L29" s="20"/>
      <c r="M29" s="307">
        <f>SUM(M23:M28)</f>
        <v>48</v>
      </c>
      <c r="Q29" s="37"/>
      <c r="T29" s="116">
        <v>41</v>
      </c>
      <c r="U29" s="11" t="s">
        <v>3592</v>
      </c>
      <c r="V29" s="316">
        <f>SUMIF('IV kw.20'!AJ3:AJ499,"41*",'IV kw.20'!F3:F499)</f>
        <v>0</v>
      </c>
      <c r="W29" s="120">
        <v>11</v>
      </c>
      <c r="X29" s="11" t="s">
        <v>3575</v>
      </c>
      <c r="Y29" s="96">
        <f>SUMIF('IV kw.20'!AJ3:AJ499,"11*",'IV kw.20'!F3:F499)</f>
        <v>1</v>
      </c>
    </row>
    <row r="30" spans="2:30" x14ac:dyDescent="0.25">
      <c r="B30" s="121">
        <v>3117</v>
      </c>
      <c r="C30" s="11" t="s">
        <v>3524</v>
      </c>
      <c r="D30" s="16">
        <f>SUMIF('IV kw.20'!AJ3:AJ499,"3117*",'IV kw.20'!F3:F499)</f>
        <v>0</v>
      </c>
      <c r="E30" s="389">
        <v>2149</v>
      </c>
      <c r="F30" s="11" t="s">
        <v>3501</v>
      </c>
      <c r="G30" s="104" t="s">
        <v>3573</v>
      </c>
      <c r="H30" s="126">
        <v>3112</v>
      </c>
      <c r="I30" s="399" t="s">
        <v>3519</v>
      </c>
      <c r="J30" s="16">
        <f>SUMIF('IV kw.20'!AJ3:AJ499,"3112*",'IV kw.20'!F3:F499)</f>
        <v>4</v>
      </c>
      <c r="K30" s="89"/>
      <c r="L30" s="20"/>
      <c r="M30" s="20"/>
      <c r="N30" s="100" t="s">
        <v>134</v>
      </c>
      <c r="O30" s="93"/>
      <c r="Q30" s="37"/>
      <c r="T30" s="116">
        <v>44</v>
      </c>
      <c r="U30" s="11" t="s">
        <v>3539</v>
      </c>
      <c r="V30" s="316">
        <f>SUMIF('IV kw.20'!AJ3:AJ499,"44*",'IV kw.20'!F3:F499)</f>
        <v>0</v>
      </c>
      <c r="W30" s="108">
        <v>2111</v>
      </c>
      <c r="X30" s="11" t="s">
        <v>3580</v>
      </c>
      <c r="Y30" s="96">
        <f>SUMIF('IV kw.20'!AJ3:AJ499,"2111*",'IV kw.20'!F3:F499)</f>
        <v>0</v>
      </c>
    </row>
    <row r="31" spans="2:30" x14ac:dyDescent="0.25">
      <c r="B31" s="121">
        <v>3119</v>
      </c>
      <c r="C31" s="396" t="s">
        <v>3526</v>
      </c>
      <c r="D31" s="397">
        <f>SUMIF('IV kw.20'!AJ3:AJ499,"3119*",'IV kw.20'!F3:F499)</f>
        <v>4</v>
      </c>
      <c r="E31" s="389">
        <v>2149</v>
      </c>
      <c r="F31" s="11" t="s">
        <v>3502</v>
      </c>
      <c r="G31" s="104" t="s">
        <v>3573</v>
      </c>
      <c r="H31" s="126">
        <v>3118</v>
      </c>
      <c r="I31" s="11" t="s">
        <v>3525</v>
      </c>
      <c r="J31" s="16">
        <f>SUMIF('IV kw.20'!AJ3:AJ499,"3118*",'IV kw.20'!F3:F499)</f>
        <v>0</v>
      </c>
      <c r="K31" s="89"/>
      <c r="L31" s="20"/>
      <c r="M31" s="20"/>
      <c r="N31" s="305"/>
      <c r="O31" s="306"/>
      <c r="P31" s="308"/>
      <c r="Q31" s="37"/>
      <c r="T31" s="131">
        <v>7515</v>
      </c>
      <c r="U31" s="11" t="s">
        <v>3552</v>
      </c>
      <c r="V31" s="319">
        <f>SUMIF('IV kw.20'!AJ3:AJ499,"7515*",'IV kw.20'!F3:F499)</f>
        <v>0</v>
      </c>
      <c r="W31" s="108">
        <v>2112</v>
      </c>
      <c r="X31" s="11" t="s">
        <v>3581</v>
      </c>
      <c r="Y31" s="96">
        <f>SUMIF('IV kw.20'!AJ3:AJ499,"2112*",'IV kw.20'!F3:F499)</f>
        <v>0</v>
      </c>
    </row>
    <row r="32" spans="2:30" x14ac:dyDescent="0.25">
      <c r="B32" s="121">
        <v>3121</v>
      </c>
      <c r="C32" s="11" t="s">
        <v>3527</v>
      </c>
      <c r="D32" s="16">
        <f>SUMIF('IV kw.20'!AJ3:AJ499,"3121*",'IV kw.20'!F3:F499)</f>
        <v>0</v>
      </c>
      <c r="E32" s="389">
        <v>2149</v>
      </c>
      <c r="F32" s="11" t="s">
        <v>3503</v>
      </c>
      <c r="G32" s="104" t="s">
        <v>3573</v>
      </c>
      <c r="H32" s="126">
        <v>3123</v>
      </c>
      <c r="I32" s="11" t="s">
        <v>3529</v>
      </c>
      <c r="J32" s="16">
        <f>SUMIF('IV kw.20'!AJ3:AJ499,"3123*",'IV kw.20'!F3:F499)</f>
        <v>0</v>
      </c>
      <c r="K32" s="89"/>
      <c r="L32" s="20"/>
      <c r="N32" s="131">
        <v>7512</v>
      </c>
      <c r="O32" s="11" t="s">
        <v>3549</v>
      </c>
      <c r="P32" s="307">
        <f>SUMIF('IV kw.20'!AJ3:AJ499,"7512*",'IV kw.20'!F3:F499)</f>
        <v>0</v>
      </c>
      <c r="Q32" s="37"/>
      <c r="T32" s="37"/>
      <c r="V32" s="317">
        <f>SUM(V29:V31)</f>
        <v>0</v>
      </c>
      <c r="W32" s="108">
        <v>2114</v>
      </c>
      <c r="X32" s="11" t="s">
        <v>3582</v>
      </c>
      <c r="Y32" s="96">
        <f>SUMIF('IV kw.20'!AJ3:AJ499,"2114*",'IV kw.20'!F3:F499)</f>
        <v>0</v>
      </c>
    </row>
    <row r="33" spans="2:25" x14ac:dyDescent="0.25">
      <c r="B33" s="121">
        <v>3122</v>
      </c>
      <c r="C33" s="11" t="s">
        <v>3528</v>
      </c>
      <c r="D33" s="16">
        <f>SUMIF('IV kw.20'!AJ3:AJ499,"3122*",'IV kw.20'!F3:F499)</f>
        <v>0</v>
      </c>
      <c r="E33" s="108">
        <v>2151</v>
      </c>
      <c r="F33" s="11" t="s">
        <v>3504</v>
      </c>
      <c r="G33" s="16">
        <f ca="1">SUMIF('IV kw.20'!AJ3:AJ499,"2151*",'IV kw.20'!F3:F466)</f>
        <v>2</v>
      </c>
      <c r="H33" s="129">
        <v>71</v>
      </c>
      <c r="I33" s="399" t="s">
        <v>3544</v>
      </c>
      <c r="J33" s="398">
        <f>SUMIF('IV kw.20'!AJ3:AJ499,"71*",'IV kw.20'!F3:F499)</f>
        <v>6</v>
      </c>
      <c r="K33" s="89"/>
      <c r="L33" s="20"/>
      <c r="M33" s="20"/>
      <c r="P33" s="307">
        <f>SUM(P32)</f>
        <v>0</v>
      </c>
      <c r="Q33" s="37"/>
      <c r="T33" s="37"/>
      <c r="W33" s="108">
        <v>2120</v>
      </c>
      <c r="X33" s="11" t="s">
        <v>3583</v>
      </c>
      <c r="Y33" s="96">
        <f>SUMIF('IV kw.20'!AJ3:AJ499,"2120*",'IV kw.20'!F3:F499)</f>
        <v>0</v>
      </c>
    </row>
    <row r="34" spans="2:25" x14ac:dyDescent="0.25">
      <c r="B34" s="124">
        <v>313</v>
      </c>
      <c r="C34" s="391" t="s">
        <v>3530</v>
      </c>
      <c r="D34" s="390">
        <f>SUMIF('IV kw.20'!AJ3:AJ499,"313*",'IV kw.20'!F3:F499)</f>
        <v>1</v>
      </c>
      <c r="E34" s="108">
        <v>2152</v>
      </c>
      <c r="F34" s="11" t="s">
        <v>3505</v>
      </c>
      <c r="G34" s="16">
        <f ca="1">SUMIF('IV kw.20'!AJ3:AJ499,"2152*",'IV kw.20'!F3:F466)</f>
        <v>1</v>
      </c>
      <c r="H34" s="132">
        <v>7521</v>
      </c>
      <c r="I34" s="11" t="s">
        <v>3553</v>
      </c>
      <c r="J34" s="16">
        <f>SUMIF('IV kw.20'!AJ3:AJ499,"7521*",'IV kw.20'!F3:F499)</f>
        <v>0</v>
      </c>
      <c r="K34" s="89"/>
      <c r="L34" s="20"/>
      <c r="M34" s="20"/>
      <c r="N34" s="94" t="s">
        <v>154</v>
      </c>
      <c r="O34" s="94"/>
      <c r="P34" s="18"/>
      <c r="T34" s="37"/>
      <c r="W34" s="119">
        <v>0</v>
      </c>
      <c r="X34" s="11" t="s">
        <v>3586</v>
      </c>
      <c r="Y34" s="96">
        <f>SUMIF('IV kw.20'!AJ3:AJ499,"0*",'IV kw.20'!F3:F499)</f>
        <v>0</v>
      </c>
    </row>
    <row r="35" spans="2:25" x14ac:dyDescent="0.25">
      <c r="B35" s="124">
        <v>314</v>
      </c>
      <c r="C35" s="11" t="s">
        <v>3531</v>
      </c>
      <c r="D35" s="16">
        <f>SUMIF('IV kw.20'!AJ3:AJ499,"314*",'IV kw.20'!F3:F499)</f>
        <v>0</v>
      </c>
      <c r="E35" s="108">
        <v>2153</v>
      </c>
      <c r="F35" s="11" t="s">
        <v>3506</v>
      </c>
      <c r="G35" s="16">
        <f ca="1">SUMIF('IV kw.20'!AJ3:AJ499,"2153*",'IV kw.20'!F3:F466)</f>
        <v>0</v>
      </c>
      <c r="H35" s="132">
        <v>7522</v>
      </c>
      <c r="I35" s="11" t="s">
        <v>3554</v>
      </c>
      <c r="J35" s="16">
        <f>SUMIF('IV kw.20'!AJ3:AJ499,"7522*",'IV kw.20'!F3:F499)</f>
        <v>0</v>
      </c>
      <c r="K35" s="89"/>
      <c r="L35" s="20"/>
      <c r="M35" s="20"/>
      <c r="N35" s="305"/>
      <c r="O35" s="306"/>
      <c r="P35" s="308"/>
      <c r="Y35" s="96">
        <f>SUM(Y29:Y34)</f>
        <v>1</v>
      </c>
    </row>
    <row r="36" spans="2:25" x14ac:dyDescent="0.25">
      <c r="B36" s="125">
        <v>35</v>
      </c>
      <c r="C36" s="391" t="s">
        <v>3536</v>
      </c>
      <c r="D36" s="390">
        <f>SUMIF('IV kw.20'!AJ3:AJ499,"35*",'IV kw.20'!F3:F499)</f>
        <v>3</v>
      </c>
      <c r="E36" s="118">
        <v>25</v>
      </c>
      <c r="F36" s="400" t="s">
        <v>3513</v>
      </c>
      <c r="G36" s="16">
        <f ca="1">SUMIF('IV kw.20'!AJ3:AJ499,"25*",'IV kw.20'!F3:F466)</f>
        <v>21</v>
      </c>
      <c r="J36" s="309">
        <f>SUM(J23:J35)</f>
        <v>12</v>
      </c>
      <c r="K36" s="89"/>
      <c r="L36" s="20"/>
      <c r="M36" s="20"/>
      <c r="N36" s="131">
        <v>753</v>
      </c>
      <c r="O36" s="11" t="s">
        <v>3556</v>
      </c>
      <c r="P36" s="307">
        <f>SUMIF('IV kw.20'!AJ3:AJ499,"753*",'IV kw.20'!F3:F499)</f>
        <v>0</v>
      </c>
    </row>
    <row r="37" spans="2:25" x14ac:dyDescent="0.25">
      <c r="B37" s="119">
        <v>6</v>
      </c>
      <c r="C37" s="11" t="s">
        <v>3543</v>
      </c>
      <c r="D37" s="16">
        <f>SUMIF('IV kw.20'!AJ3:AJ499,"6*",'IV kw.20'!F3:F499)</f>
        <v>0</v>
      </c>
      <c r="E37" s="130">
        <v>74</v>
      </c>
      <c r="F37" s="11" t="s">
        <v>3547</v>
      </c>
      <c r="G37" s="16">
        <f ca="1">SUMIF('IV kw.20'!AJ3:AJ499,"74*",'IV kw.20'!F3:F466)</f>
        <v>0</v>
      </c>
      <c r="H37" s="89"/>
      <c r="I37" s="20"/>
      <c r="K37" s="20"/>
      <c r="L37" s="20"/>
      <c r="M37" s="20"/>
      <c r="N37" s="131">
        <v>7541</v>
      </c>
      <c r="O37" s="11" t="s">
        <v>3557</v>
      </c>
      <c r="P37" s="307">
        <f>SUMIF('IV kw.20'!AJ3:AJ499,"7541*",'IV kw.20'!F3:F499)</f>
        <v>0</v>
      </c>
    </row>
    <row r="38" spans="2:25" x14ac:dyDescent="0.25">
      <c r="B38" s="130">
        <v>72</v>
      </c>
      <c r="C38" s="396" t="s">
        <v>3545</v>
      </c>
      <c r="D38" s="397">
        <f>SUMIF('IV kw.20'!AJ3:AJ499,"72*",'IV kw.20'!F3:F499)</f>
        <v>5</v>
      </c>
      <c r="G38" s="310">
        <f ca="1">SUM(G23:G37)</f>
        <v>41</v>
      </c>
      <c r="N38" s="127">
        <v>54</v>
      </c>
      <c r="O38" s="11" t="s">
        <v>3588</v>
      </c>
      <c r="P38" s="307">
        <f>SUMIF('IV kw.20'!AJ3:AJ499,"54*",'IV kw.20'!F3:F499)</f>
        <v>0</v>
      </c>
    </row>
    <row r="39" spans="2:25" x14ac:dyDescent="0.25">
      <c r="B39" s="130">
        <v>73</v>
      </c>
      <c r="C39" s="11" t="s">
        <v>3546</v>
      </c>
      <c r="D39" s="16">
        <f>SUMIF('IV kw.20'!AJ3:AJ499,"73*",'IV kw.20'!F3:F499)</f>
        <v>0</v>
      </c>
      <c r="P39" s="307">
        <f>SUM(P36:P38)</f>
        <v>0</v>
      </c>
    </row>
    <row r="40" spans="2:25" x14ac:dyDescent="0.25">
      <c r="B40" s="131">
        <v>7511</v>
      </c>
      <c r="C40" s="11" t="s">
        <v>3548</v>
      </c>
      <c r="D40" s="16">
        <f>SUMIF('IV kw.20'!AJ3:AJ499,"7511*",'IV kw.20'!F3:F499)</f>
        <v>0</v>
      </c>
      <c r="T40" s="37"/>
    </row>
    <row r="41" spans="2:25" x14ac:dyDescent="0.25">
      <c r="B41" s="131">
        <v>7513</v>
      </c>
      <c r="C41" s="11" t="s">
        <v>3550</v>
      </c>
      <c r="D41" s="16">
        <f>SUMIF('IV kw.20'!AJ3:AJ499,"7513*",'IV kw.20'!F3:F499)</f>
        <v>0</v>
      </c>
      <c r="T41" s="37"/>
    </row>
    <row r="42" spans="2:25" x14ac:dyDescent="0.25">
      <c r="B42" s="131">
        <v>7514</v>
      </c>
      <c r="C42" s="11" t="s">
        <v>3551</v>
      </c>
      <c r="D42" s="16">
        <f>SUMIF('IV kw.20'!AJ3:AJ499,"7514*",'IV kw.20'!F3:F499)</f>
        <v>0</v>
      </c>
      <c r="T42" s="37"/>
    </row>
    <row r="43" spans="2:25" x14ac:dyDescent="0.25">
      <c r="B43" s="131">
        <v>7523</v>
      </c>
      <c r="C43" s="11" t="s">
        <v>3555</v>
      </c>
      <c r="D43" s="16">
        <f>SUMIF('IV kw.20'!AJ3:AJ499,"7523*",'IV kw.20'!F3:F499)</f>
        <v>0</v>
      </c>
      <c r="T43" s="37"/>
    </row>
    <row r="44" spans="2:25" x14ac:dyDescent="0.25">
      <c r="B44" s="131">
        <v>7542</v>
      </c>
      <c r="C44" s="11" t="s">
        <v>3558</v>
      </c>
      <c r="D44" s="16">
        <f>SUMIF('IV kw.20'!AJ3:AJ499,"7542*",'IV kw.20'!F3:F499)</f>
        <v>0</v>
      </c>
      <c r="T44" s="37"/>
    </row>
    <row r="45" spans="2:25" x14ac:dyDescent="0.25">
      <c r="B45" s="131">
        <v>7543</v>
      </c>
      <c r="C45" s="11" t="s">
        <v>3559</v>
      </c>
      <c r="D45" s="16">
        <f>SUMIF('IV kw.20'!AJ3:AJ499,"7543*",'IV kw.20'!F3:F499)</f>
        <v>0</v>
      </c>
    </row>
    <row r="46" spans="2:25" x14ac:dyDescent="0.25">
      <c r="B46" s="131">
        <v>7544</v>
      </c>
      <c r="C46" s="11" t="s">
        <v>3560</v>
      </c>
      <c r="D46" s="16">
        <f>SUMIF('IV kw.20'!AJ3:AJ499,"7544*",'IV kw.20'!F3:F499)</f>
        <v>0</v>
      </c>
    </row>
    <row r="47" spans="2:25" x14ac:dyDescent="0.25">
      <c r="B47" s="134">
        <v>81</v>
      </c>
      <c r="C47" s="11" t="s">
        <v>3562</v>
      </c>
      <c r="D47" s="16">
        <f>SUMIF('IV kw.20'!AJ3:AJ499,"81*",'IV kw.20'!F3:F499)</f>
        <v>0</v>
      </c>
    </row>
    <row r="48" spans="2:25" x14ac:dyDescent="0.25">
      <c r="B48" s="134">
        <v>82</v>
      </c>
      <c r="C48" s="11" t="s">
        <v>3563</v>
      </c>
      <c r="D48" s="16">
        <f>SUMIF('IV kw.20'!AJ3:AJ499,"82*",'IV kw.20'!F3:F499)</f>
        <v>0</v>
      </c>
    </row>
    <row r="49" spans="1:14" x14ac:dyDescent="0.25">
      <c r="B49" s="120">
        <v>13</v>
      </c>
      <c r="C49" s="396" t="s">
        <v>3577</v>
      </c>
      <c r="D49" s="397">
        <f>SUMIF('IV kw.20'!AJ3:AJ499,"13*",'IV kw.20'!F3:F499)</f>
        <v>5</v>
      </c>
    </row>
    <row r="50" spans="1:14" x14ac:dyDescent="0.25">
      <c r="B50" s="108">
        <v>2163</v>
      </c>
      <c r="C50" s="396" t="s">
        <v>3579</v>
      </c>
      <c r="D50" s="397">
        <f>SUMIF('IV kw.20'!AJ3:AJ499,"2163*",'IV kw.20'!F3:F499)</f>
        <v>4</v>
      </c>
    </row>
    <row r="51" spans="1:14" ht="30" x14ac:dyDescent="0.25">
      <c r="B51" s="108">
        <v>2133</v>
      </c>
      <c r="C51" s="11" t="s">
        <v>3584</v>
      </c>
      <c r="D51" s="16">
        <f>SUMIF('IV kw.20'!AJ3:AJ499,"2133*",'IV kw.20'!F3:F499)</f>
        <v>0</v>
      </c>
      <c r="L51" s="392"/>
      <c r="M51" s="393" t="s">
        <v>7254</v>
      </c>
      <c r="N51" s="394" t="s">
        <v>3465</v>
      </c>
    </row>
    <row r="52" spans="1:14" x14ac:dyDescent="0.25">
      <c r="B52" s="37"/>
      <c r="D52" s="310">
        <f>SUM(D23:D51)</f>
        <v>23</v>
      </c>
      <c r="L52" s="395" t="s">
        <v>7792</v>
      </c>
      <c r="M52" s="313">
        <v>86</v>
      </c>
      <c r="N52" s="313">
        <v>122</v>
      </c>
    </row>
    <row r="53" spans="1:14" x14ac:dyDescent="0.25">
      <c r="L53" s="395" t="s">
        <v>7793</v>
      </c>
      <c r="M53" s="313">
        <v>377</v>
      </c>
      <c r="N53" s="313">
        <v>410</v>
      </c>
    </row>
    <row r="54" spans="1:14" x14ac:dyDescent="0.25">
      <c r="B54" s="1" t="s">
        <v>6926</v>
      </c>
      <c r="L54" s="395" t="s">
        <v>7794</v>
      </c>
      <c r="M54" s="313">
        <v>180</v>
      </c>
      <c r="N54" s="313">
        <v>231</v>
      </c>
    </row>
    <row r="55" spans="1:14" x14ac:dyDescent="0.25">
      <c r="B55" s="282" t="s">
        <v>6927</v>
      </c>
      <c r="C55" s="338" t="s">
        <v>3465</v>
      </c>
      <c r="L55" s="395" t="s">
        <v>7795</v>
      </c>
      <c r="M55" s="313">
        <v>361</v>
      </c>
      <c r="N55" s="313">
        <v>378</v>
      </c>
    </row>
    <row r="56" spans="1:14" x14ac:dyDescent="0.25">
      <c r="A56" s="3">
        <v>1</v>
      </c>
      <c r="B56" s="282">
        <v>1801</v>
      </c>
      <c r="C56" s="339">
        <f>SUMIF('II kw.20'!N3:N500,"1801",'II kw.20'!F3:F500)</f>
        <v>3</v>
      </c>
      <c r="L56" s="382" t="s">
        <v>7796</v>
      </c>
      <c r="M56" s="381">
        <v>249</v>
      </c>
      <c r="N56" s="381">
        <v>258</v>
      </c>
    </row>
    <row r="57" spans="1:14" x14ac:dyDescent="0.25">
      <c r="A57" s="3">
        <v>2</v>
      </c>
      <c r="B57" s="282">
        <v>1802</v>
      </c>
      <c r="C57" s="339">
        <f>SUMIF('II kw.20'!N3:N500,"1802",'II kw.20'!F3:F500)</f>
        <v>2</v>
      </c>
      <c r="L57" s="382" t="s">
        <v>7797</v>
      </c>
      <c r="M57" s="381">
        <v>173</v>
      </c>
      <c r="N57" s="381">
        <v>197</v>
      </c>
    </row>
    <row r="58" spans="1:14" x14ac:dyDescent="0.25">
      <c r="A58" s="3">
        <v>3</v>
      </c>
      <c r="B58" s="282">
        <v>1803</v>
      </c>
      <c r="C58" s="339">
        <f>SUMIF('II kw.20'!N3:N500,"1803",'II kw.20'!F3:F500)</f>
        <v>9</v>
      </c>
      <c r="L58" s="382" t="s">
        <v>7798</v>
      </c>
      <c r="M58" s="381">
        <v>97</v>
      </c>
      <c r="N58" s="381">
        <v>97</v>
      </c>
    </row>
    <row r="59" spans="1:14" x14ac:dyDescent="0.25">
      <c r="A59" s="3">
        <v>4</v>
      </c>
      <c r="B59" s="282">
        <v>1804</v>
      </c>
      <c r="C59" s="339">
        <f>SUMIF('II kw.20'!N3:N500,"1804",'II kw.20'!F3:F500)</f>
        <v>5</v>
      </c>
      <c r="L59" s="384" t="s">
        <v>7799</v>
      </c>
      <c r="M59" s="381">
        <v>224</v>
      </c>
      <c r="N59" s="381">
        <v>224</v>
      </c>
    </row>
    <row r="60" spans="1:14" x14ac:dyDescent="0.25">
      <c r="A60" s="3">
        <v>5</v>
      </c>
      <c r="B60" s="282">
        <v>1805</v>
      </c>
      <c r="C60" s="339">
        <f>SUMIF('II kw.20'!N3:N500,"1805",'II kw.20'!F3:F500)</f>
        <v>5</v>
      </c>
    </row>
    <row r="61" spans="1:14" x14ac:dyDescent="0.25">
      <c r="A61" s="3">
        <v>6</v>
      </c>
      <c r="B61" s="282">
        <v>1806</v>
      </c>
      <c r="C61" s="339">
        <f>SUMIF('II kw.20'!N3:N500,"1806",'II kw.20'!F3:F500)</f>
        <v>3</v>
      </c>
    </row>
    <row r="62" spans="1:14" x14ac:dyDescent="0.25">
      <c r="A62" s="3">
        <v>7</v>
      </c>
      <c r="B62" s="282">
        <v>1807</v>
      </c>
      <c r="C62" s="339">
        <f>SUMIF('II kw.20'!N3:N500,"1807",'II kw.20'!F3:F500)</f>
        <v>2</v>
      </c>
    </row>
    <row r="63" spans="1:14" x14ac:dyDescent="0.25">
      <c r="A63" s="3">
        <v>8</v>
      </c>
      <c r="B63" s="282">
        <v>1808</v>
      </c>
      <c r="C63" s="339">
        <f>SUMIF('II kw.20'!N3:N500,"1808",'II kw.20'!F3:F500)</f>
        <v>7</v>
      </c>
    </row>
    <row r="64" spans="1:14" x14ac:dyDescent="0.25">
      <c r="A64" s="3">
        <v>9</v>
      </c>
      <c r="B64" s="340">
        <v>1809</v>
      </c>
      <c r="C64" s="341">
        <f>SUMIF('II kw.20'!N3:N500,"1809",'II kw.20'!F3:F500)</f>
        <v>28</v>
      </c>
    </row>
    <row r="65" spans="1:3" x14ac:dyDescent="0.25">
      <c r="A65" s="3">
        <v>10</v>
      </c>
      <c r="B65" s="282">
        <v>1810</v>
      </c>
      <c r="C65" s="339">
        <f>SUMIF('II kw.20'!N3:N500,"1810",'II kw.20'!F3:F500)</f>
        <v>6</v>
      </c>
    </row>
    <row r="66" spans="1:3" x14ac:dyDescent="0.25">
      <c r="A66" s="3">
        <v>11</v>
      </c>
      <c r="B66" s="340">
        <v>1811</v>
      </c>
      <c r="C66" s="341">
        <f>SUMIF('II kw.20'!N3:N500,"1811",'II kw.20'!F3:F500)</f>
        <v>10</v>
      </c>
    </row>
    <row r="67" spans="1:3" x14ac:dyDescent="0.25">
      <c r="A67" s="3">
        <v>12</v>
      </c>
      <c r="B67" s="282">
        <v>1812</v>
      </c>
      <c r="C67" s="339">
        <f>SUMIF('II kw.20'!N3:N500,"1812",'II kw.20'!F3:F500)</f>
        <v>8</v>
      </c>
    </row>
    <row r="68" spans="1:3" x14ac:dyDescent="0.25">
      <c r="A68" s="3">
        <v>13</v>
      </c>
      <c r="B68" s="282">
        <v>1813</v>
      </c>
      <c r="C68" s="339">
        <f>SUMIF('II kw.20'!N3:N500,"1813",'II kw.20'!F3:F500)</f>
        <v>0</v>
      </c>
    </row>
    <row r="69" spans="1:3" x14ac:dyDescent="0.25">
      <c r="A69" s="3">
        <v>14</v>
      </c>
      <c r="B69" s="282">
        <v>1814</v>
      </c>
      <c r="C69" s="339">
        <f>SUMIF('II kw.20'!N3:N500,"1814",'II kw.20'!F3:F500)</f>
        <v>7</v>
      </c>
    </row>
    <row r="70" spans="1:3" x14ac:dyDescent="0.25">
      <c r="A70" s="3">
        <v>15</v>
      </c>
      <c r="B70" s="282">
        <v>1815</v>
      </c>
      <c r="C70" s="339">
        <f>SUMIF('II kw.20'!N3:N500,"1815",'II kw.20'!F3:F500)</f>
        <v>6</v>
      </c>
    </row>
    <row r="71" spans="1:3" x14ac:dyDescent="0.25">
      <c r="A71" s="3">
        <v>16</v>
      </c>
      <c r="B71" s="282">
        <v>1816</v>
      </c>
      <c r="C71" s="339">
        <f>SUMIF('II kw.20'!N3:N500,"1816",'II kw.20'!F3:F500)</f>
        <v>8</v>
      </c>
    </row>
    <row r="72" spans="1:3" x14ac:dyDescent="0.25">
      <c r="A72" s="3">
        <v>17</v>
      </c>
      <c r="B72" s="282">
        <v>1817</v>
      </c>
      <c r="C72" s="339">
        <f>SUMIF('II kw.20'!N3:N500,"1817",'II kw.20'!F3:F500)</f>
        <v>5</v>
      </c>
    </row>
    <row r="73" spans="1:3" x14ac:dyDescent="0.25">
      <c r="A73" s="3">
        <v>18</v>
      </c>
      <c r="B73" s="282">
        <v>1818</v>
      </c>
      <c r="C73" s="339">
        <f>SUMIF('II kw.20'!N3:N500,"1818",'II kw.20'!F3:F500)</f>
        <v>4</v>
      </c>
    </row>
    <row r="74" spans="1:3" x14ac:dyDescent="0.25">
      <c r="A74" s="3">
        <v>19</v>
      </c>
      <c r="B74" s="282">
        <v>1819</v>
      </c>
      <c r="C74" s="339">
        <f>SUMIF('II kw.20'!N3:N500,"1819",'II kw.20'!F3:F500)</f>
        <v>1</v>
      </c>
    </row>
    <row r="75" spans="1:3" x14ac:dyDescent="0.25">
      <c r="A75" s="3">
        <v>20</v>
      </c>
      <c r="B75" s="282">
        <v>1820</v>
      </c>
      <c r="C75" s="339">
        <f>SUMIF('II kw.20'!N3:N500,"1820",'II kw.20'!F3:F500)</f>
        <v>4</v>
      </c>
    </row>
    <row r="76" spans="1:3" x14ac:dyDescent="0.25">
      <c r="A76" s="3">
        <v>21</v>
      </c>
      <c r="B76" s="282">
        <v>1821</v>
      </c>
      <c r="C76" s="339">
        <f>SUMIF('II kw.20'!N3:N500,"1821",'II kw.20'!F3:F500)</f>
        <v>7</v>
      </c>
    </row>
    <row r="77" spans="1:3" x14ac:dyDescent="0.25">
      <c r="A77" s="3">
        <v>22</v>
      </c>
      <c r="B77" s="340">
        <v>1861</v>
      </c>
      <c r="C77" s="341">
        <f>SUMIF('II kw.20'!N3:N500,"1861",'II kw.20'!F3:F500)</f>
        <v>10</v>
      </c>
    </row>
    <row r="78" spans="1:3" x14ac:dyDescent="0.25">
      <c r="A78" s="3">
        <v>23</v>
      </c>
      <c r="B78" s="282">
        <v>1862</v>
      </c>
      <c r="C78" s="339">
        <f>SUMIF('II kw.20'!N3:N500,"1862",'II kw.20'!F3:F500)</f>
        <v>6</v>
      </c>
    </row>
    <row r="79" spans="1:3" x14ac:dyDescent="0.25">
      <c r="A79" s="3">
        <v>24</v>
      </c>
      <c r="B79" s="340">
        <v>1863</v>
      </c>
      <c r="C79" s="341">
        <f>SUMIF('II kw.20'!N3:N500,"1863",'II kw.20'!F3:F500)</f>
        <v>22</v>
      </c>
    </row>
    <row r="80" spans="1:3" x14ac:dyDescent="0.25">
      <c r="A80" s="3">
        <v>25</v>
      </c>
      <c r="B80" s="282">
        <v>1864</v>
      </c>
      <c r="C80" s="339">
        <f>SUMIF('II kw.20'!N3:N500,"1864",'II kw.20'!F3:F500)</f>
        <v>6</v>
      </c>
    </row>
    <row r="81" spans="2:3" x14ac:dyDescent="0.25">
      <c r="B81" s="282">
        <v>1800</v>
      </c>
      <c r="C81" s="339">
        <f>SUM(C56:C80)</f>
        <v>174</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4"/>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EXACT(E21,P23)</f>
        <v>1</v>
      </c>
    </row>
    <row r="3" spans="2:30" ht="45" x14ac:dyDescent="0.25">
      <c r="B3" s="380" t="s">
        <v>171</v>
      </c>
      <c r="C3" s="380" t="s">
        <v>172</v>
      </c>
      <c r="D3" s="380" t="s">
        <v>6539</v>
      </c>
      <c r="E3" s="380" t="s">
        <v>3483</v>
      </c>
      <c r="F3" s="380" t="s">
        <v>3467</v>
      </c>
      <c r="H3" s="193" t="s">
        <v>3462</v>
      </c>
      <c r="I3" s="193" t="s">
        <v>3465</v>
      </c>
      <c r="J3" s="193" t="s">
        <v>3514</v>
      </c>
      <c r="R3" s="3" t="s">
        <v>6394</v>
      </c>
      <c r="S3" s="20"/>
      <c r="T3" s="3" t="s">
        <v>6394</v>
      </c>
      <c r="U3" s="20"/>
      <c r="Y3" s="3" t="s">
        <v>6927</v>
      </c>
    </row>
    <row r="4" spans="2:30" x14ac:dyDescent="0.25">
      <c r="B4" s="381" t="s">
        <v>3515</v>
      </c>
      <c r="C4" s="382" t="s">
        <v>3460</v>
      </c>
      <c r="D4" s="383">
        <v>563</v>
      </c>
      <c r="E4" s="383">
        <v>523</v>
      </c>
      <c r="F4" s="381"/>
      <c r="H4" s="11" t="s">
        <v>3463</v>
      </c>
      <c r="I4" s="12">
        <f>COUNTIF('I kw.21'!E2:E157,"praca")</f>
        <v>57</v>
      </c>
      <c r="J4" s="12" t="s">
        <v>3515</v>
      </c>
      <c r="N4" s="12">
        <v>1</v>
      </c>
      <c r="O4" s="11" t="s">
        <v>170</v>
      </c>
      <c r="P4" s="12">
        <f>SUM(D55)</f>
        <v>15</v>
      </c>
      <c r="R4" s="12">
        <f ca="1">RANK(P4,$P$4:$P$15,0)+COUNTIF($P$4:P4,P4)-1</f>
        <v>4</v>
      </c>
      <c r="T4" s="17" t="str">
        <f ca="1">INDEX($N$4:$P$15,MATCH(1,$R$4:$R$15,0),2)</f>
        <v>Usługi finansowe, HR i inne</v>
      </c>
      <c r="U4" s="12">
        <f ca="1">INDEX($N$4:$P$15,MATCH(1,$R$4:$R$15,0),3)</f>
        <v>70</v>
      </c>
      <c r="Y4" s="12">
        <v>1803</v>
      </c>
      <c r="Z4" s="26">
        <f>SUMIF('I kw.21'!T3:T500,"1803",'I kw.21'!F3:F500)</f>
        <v>5</v>
      </c>
      <c r="AA4" s="12">
        <v>1801</v>
      </c>
      <c r="AB4" s="26">
        <f>SUMIF('I kw.21'!T2:T500,"1801",'I kw.21'!F2:F500)</f>
        <v>0</v>
      </c>
      <c r="AD4" s="12">
        <v>1801</v>
      </c>
    </row>
    <row r="5" spans="2:30" x14ac:dyDescent="0.25">
      <c r="B5" s="381" t="s">
        <v>3516</v>
      </c>
      <c r="C5" s="382" t="s">
        <v>3459</v>
      </c>
      <c r="D5" s="383">
        <v>466</v>
      </c>
      <c r="E5" s="383">
        <v>477</v>
      </c>
      <c r="F5" s="381"/>
      <c r="H5" s="11" t="s">
        <v>192</v>
      </c>
      <c r="I5" s="12">
        <f>COUNTIF('I kw.21'!E2:E157,"pracuj.pl")</f>
        <v>76</v>
      </c>
      <c r="J5" s="12" t="s">
        <v>3516</v>
      </c>
      <c r="N5" s="12">
        <v>2</v>
      </c>
      <c r="O5" s="11" t="s">
        <v>2</v>
      </c>
      <c r="P5" s="12">
        <f ca="1">SUM(G41)</f>
        <v>24</v>
      </c>
      <c r="R5" s="12">
        <f ca="1">RANK(P5,$P$4:$P$15,0)+COUNTIF($P$4:P5,P5)-1</f>
        <v>3</v>
      </c>
      <c r="T5" s="17" t="str">
        <f ca="1">INDEX($N$4:$P$15,MATCH(2,$R$4:$R$15,0),2)</f>
        <v>Handel, transport, logistyka</v>
      </c>
      <c r="U5" s="12">
        <f ca="1">INDEX($N$4:$P$15,MATCH(2,$R$4:$R$15,0),3)</f>
        <v>30</v>
      </c>
      <c r="Y5" s="12">
        <v>1811</v>
      </c>
      <c r="Z5" s="26">
        <f>SUMIF('I kw.21'!T3:T500,"1811",'I kw.21'!F3:F500)</f>
        <v>8</v>
      </c>
      <c r="AA5" s="12">
        <v>1802</v>
      </c>
      <c r="AB5" s="26">
        <f>SUMIF('I kw.21'!T2:T500,"1802",'I kw.21'!F2:F500)</f>
        <v>3</v>
      </c>
      <c r="AD5" s="12">
        <v>1802</v>
      </c>
    </row>
    <row r="6" spans="2:30" x14ac:dyDescent="0.25">
      <c r="B6" s="381" t="s">
        <v>3517</v>
      </c>
      <c r="C6" s="382" t="s">
        <v>3458</v>
      </c>
      <c r="D6" s="383">
        <v>365</v>
      </c>
      <c r="E6" s="383">
        <v>386</v>
      </c>
      <c r="F6" s="381"/>
      <c r="H6" s="11" t="s">
        <v>217</v>
      </c>
      <c r="I6" s="12">
        <f>COUNTIF('I kw.21'!E2:E157,"agora")</f>
        <v>11</v>
      </c>
      <c r="J6" s="12" t="s">
        <v>3517</v>
      </c>
      <c r="N6" s="12">
        <v>3</v>
      </c>
      <c r="O6" s="11" t="s">
        <v>3</v>
      </c>
      <c r="P6" s="12">
        <f>SUM(J39)</f>
        <v>9</v>
      </c>
      <c r="R6" s="12">
        <f ca="1">RANK(P6,$P$4:$P$15,0)+COUNTIF($P$4:P6,P6)-1</f>
        <v>5</v>
      </c>
      <c r="T6" s="17" t="str">
        <f ca="1">INDEX($N$4:$P$15,MATCH(3,$R$4:$R$15,0),2)</f>
        <v>Przemysł high-tech</v>
      </c>
      <c r="U6" s="12">
        <f ca="1">INDEX($N$4:$P$15,MATCH(3,$R$4:$R$15,0),3)</f>
        <v>24</v>
      </c>
      <c r="Y6" s="12">
        <v>1816</v>
      </c>
      <c r="Z6" s="26">
        <f>SUMIF('I kw.21'!T3:T500,"1816",'I kw.21'!F3:F500)</f>
        <v>5</v>
      </c>
      <c r="AA6" s="12">
        <v>1804</v>
      </c>
      <c r="AB6" s="26">
        <f>SUMIF('I kw.21'!T2:T500,"1804",'I kw.21'!F2:F500)</f>
        <v>3</v>
      </c>
      <c r="AD6" s="12">
        <v>1803</v>
      </c>
    </row>
    <row r="7" spans="2:30" x14ac:dyDescent="0.25">
      <c r="B7" s="381" t="s">
        <v>3518</v>
      </c>
      <c r="C7" s="382" t="s">
        <v>3457</v>
      </c>
      <c r="D7" s="383">
        <v>461</v>
      </c>
      <c r="E7" s="383">
        <v>444</v>
      </c>
      <c r="F7" s="381"/>
      <c r="H7" s="11" t="s">
        <v>3464</v>
      </c>
      <c r="I7" s="12">
        <f>COUNTIF('I kw.21'!E2:E157,"gratka")</f>
        <v>12</v>
      </c>
      <c r="J7" s="12" t="s">
        <v>3518</v>
      </c>
      <c r="N7" s="12">
        <v>4</v>
      </c>
      <c r="O7" s="11" t="s">
        <v>3589</v>
      </c>
      <c r="P7" s="12">
        <f>SUM(M32)</f>
        <v>30</v>
      </c>
      <c r="R7" s="12">
        <f ca="1">RANK(P7,$P$4:$P$15,0)+COUNTIF($P$4:P7,P7)-1</f>
        <v>2</v>
      </c>
      <c r="T7" s="17" t="str">
        <f ca="1">INDEX($N$4:$P$15,MATCH(4,$R$4:$R$15,0),2)</f>
        <v>Przemysł produkcyjny</v>
      </c>
      <c r="U7" s="12">
        <f ca="1">INDEX($N$4:$P$15,MATCH(4,$R$4:$R$15,0),3)</f>
        <v>15</v>
      </c>
      <c r="Y7" s="12">
        <v>1861</v>
      </c>
      <c r="Z7" s="26">
        <f>SUMIF('I kw.21'!T3:T500,"1861",'I kw.21'!F3:F500)</f>
        <v>3</v>
      </c>
      <c r="AA7" s="12">
        <v>1805</v>
      </c>
      <c r="AB7" s="26">
        <f>SUMIF('I kw.21'!T2:T500,"1805",'I kw.21'!F2:F500)</f>
        <v>5</v>
      </c>
      <c r="AD7" s="12">
        <v>1804</v>
      </c>
    </row>
    <row r="8" spans="2:30" x14ac:dyDescent="0.25">
      <c r="B8" s="381" t="s">
        <v>13071</v>
      </c>
      <c r="C8" s="382" t="s">
        <v>173</v>
      </c>
      <c r="D8" s="383">
        <v>720</v>
      </c>
      <c r="E8" s="383">
        <v>704</v>
      </c>
      <c r="F8" s="381"/>
      <c r="H8" s="302" t="s">
        <v>7786</v>
      </c>
      <c r="I8" s="11"/>
      <c r="J8" s="11"/>
      <c r="N8" s="12">
        <v>5</v>
      </c>
      <c r="O8" s="11" t="s">
        <v>13096</v>
      </c>
      <c r="P8" s="12">
        <f>SUM(P31)</f>
        <v>70</v>
      </c>
      <c r="R8" s="12">
        <f ca="1">RANK(P8,$P$4:$P$15,0)+COUNTIF($P$4:P8,P8)-1</f>
        <v>1</v>
      </c>
      <c r="T8" s="17" t="str">
        <f ca="1">INDEX($N$4:$P$15,MATCH(5,$R$4:$R$15,0),2)</f>
        <v>Budownictwo</v>
      </c>
      <c r="U8" s="12">
        <f ca="1">INDEX($N$4:$P$15,MATCH(5,$R$4:$R$15,0),3)</f>
        <v>9</v>
      </c>
      <c r="Y8" s="12">
        <v>1863</v>
      </c>
      <c r="Z8" s="26">
        <f>SUMIF('I kw.21'!T3:T500,"1863",'I kw.21'!F3:F500)</f>
        <v>72</v>
      </c>
      <c r="AA8" s="12">
        <v>1806</v>
      </c>
      <c r="AB8" s="26">
        <f>SUMIF('I kw.21'!T2:T500,"1806",'I kw.21'!F2:F500)</f>
        <v>0</v>
      </c>
      <c r="AD8" s="12">
        <v>1805</v>
      </c>
    </row>
    <row r="9" spans="2:30" x14ac:dyDescent="0.25">
      <c r="B9" s="12">
        <v>1</v>
      </c>
      <c r="C9" s="17" t="s">
        <v>175</v>
      </c>
      <c r="D9" s="26">
        <v>86</v>
      </c>
      <c r="E9" s="26">
        <v>122</v>
      </c>
      <c r="F9" s="12"/>
      <c r="H9" s="184"/>
      <c r="I9" s="183">
        <f>SUM(I4:I7)</f>
        <v>156</v>
      </c>
      <c r="J9" s="184"/>
      <c r="N9" s="12">
        <v>6</v>
      </c>
      <c r="O9" s="11" t="s">
        <v>134</v>
      </c>
      <c r="P9" s="12">
        <f>SUM(P36)</f>
        <v>0</v>
      </c>
      <c r="R9" s="12">
        <f ca="1">RANK(P9,$P$4:$P$15,0)+COUNTIF($P$4:P9,P9)-1</f>
        <v>11</v>
      </c>
      <c r="T9" s="17" t="str">
        <f ca="1">INDEX($N$4:$P$15,MATCH(6,$R$4:$R$15,0),2)</f>
        <v>Informacja i edukcja</v>
      </c>
      <c r="U9" s="12">
        <f ca="1">INDEX($N$4:$P$15,MATCH(6,$R$4:$R$15,0),3)</f>
        <v>9</v>
      </c>
      <c r="Y9" s="16" t="s">
        <v>7787</v>
      </c>
      <c r="Z9" s="299">
        <f>SUM(Z4:Z8)</f>
        <v>93</v>
      </c>
      <c r="AA9" s="12">
        <v>1807</v>
      </c>
      <c r="AB9" s="26">
        <f>SUMIF('I kw.21'!T2:T500,"1807",'I kw.21'!F2:F500)</f>
        <v>1</v>
      </c>
      <c r="AD9" s="12">
        <v>1806</v>
      </c>
    </row>
    <row r="10" spans="2:30" x14ac:dyDescent="0.25">
      <c r="B10" s="12">
        <v>2</v>
      </c>
      <c r="C10" s="17" t="s">
        <v>174</v>
      </c>
      <c r="D10" s="26">
        <v>377</v>
      </c>
      <c r="E10" s="26">
        <v>410</v>
      </c>
      <c r="F10" s="12"/>
      <c r="N10" s="12">
        <v>7</v>
      </c>
      <c r="O10" s="11" t="s">
        <v>3590</v>
      </c>
      <c r="P10" s="12">
        <f>SUM(P42)</f>
        <v>0</v>
      </c>
      <c r="R10" s="12">
        <f ca="1">RANK(P10,$P$4:$P$15,0)+COUNTIF($P$4:P10,P10)-1</f>
        <v>12</v>
      </c>
      <c r="T10" s="17" t="str">
        <f ca="1">INDEX($N$4:$P$15,MATCH(7,$R$4:$R$15,0),2)</f>
        <v>Zdrowie i opieka społeczna</v>
      </c>
      <c r="U10" s="12">
        <f ca="1">INDEX($N$4:$P$15,MATCH(7,$R$4:$R$15,0),3)</f>
        <v>4</v>
      </c>
      <c r="AA10" s="12">
        <v>1808</v>
      </c>
      <c r="AB10" s="12">
        <f>SUMIF('I kw.21'!T2:T500,"1808",'I kw.21'!F2:F500)</f>
        <v>3</v>
      </c>
      <c r="AD10" s="12">
        <v>1807</v>
      </c>
    </row>
    <row r="11" spans="2:30" x14ac:dyDescent="0.25">
      <c r="B11" s="381" t="s">
        <v>13072</v>
      </c>
      <c r="C11" s="382" t="s">
        <v>3486</v>
      </c>
      <c r="D11" s="383">
        <f>SUM(D9:D10)</f>
        <v>463</v>
      </c>
      <c r="E11" s="383">
        <f>SUM(E9:E10)</f>
        <v>532</v>
      </c>
      <c r="F11" s="381"/>
      <c r="H11" s="1" t="s">
        <v>3570</v>
      </c>
      <c r="N11" s="12">
        <v>8</v>
      </c>
      <c r="O11" s="11" t="s">
        <v>4</v>
      </c>
      <c r="P11" s="12">
        <f>SUM(S29)</f>
        <v>4</v>
      </c>
      <c r="R11" s="12">
        <f ca="1">RANK(P11,$P$4:$P$15,0)+COUNTIF($P$4:P11,P11)-1</f>
        <v>7</v>
      </c>
      <c r="T11" s="17" t="str">
        <f ca="1">INDEX($N$4:$P$15,MATCH(8,$R$4:$R$15,0),2)</f>
        <v>Prace proste</v>
      </c>
      <c r="U11" s="12">
        <f ca="1">INDEX($N$4:$P$15,MATCH(8,$R$4:$R$15,0),3)</f>
        <v>2</v>
      </c>
      <c r="AA11" s="12">
        <v>1809</v>
      </c>
      <c r="AB11" s="12">
        <f>SUMIF('I kw.21'!T2:T500,"1809",'I kw.21'!F2:F500)</f>
        <v>2</v>
      </c>
      <c r="AD11" s="12">
        <v>1808</v>
      </c>
    </row>
    <row r="12" spans="2:30" x14ac:dyDescent="0.25">
      <c r="B12" s="12">
        <v>3</v>
      </c>
      <c r="C12" s="17" t="s">
        <v>3481</v>
      </c>
      <c r="D12" s="12">
        <v>180</v>
      </c>
      <c r="E12" s="12">
        <v>231</v>
      </c>
      <c r="F12" s="12"/>
      <c r="H12" s="312" t="s">
        <v>3469</v>
      </c>
      <c r="I12" s="312" t="s">
        <v>3568</v>
      </c>
      <c r="J12" s="313">
        <f ca="1">SUM(D55,G41,J39)</f>
        <v>48</v>
      </c>
      <c r="N12" s="12">
        <v>9</v>
      </c>
      <c r="O12" s="11" t="s">
        <v>3591</v>
      </c>
      <c r="P12" s="12">
        <f>SUM(V29)</f>
        <v>9</v>
      </c>
      <c r="R12" s="12">
        <f ca="1">RANK(P12,$P$4:$P$15,0)+COUNTIF($P$4:P12,P12)-1</f>
        <v>6</v>
      </c>
      <c r="T12" s="17" t="str">
        <f ca="1">INDEX($N$4:$P$15,MATCH(9,$R$4:$R$15,0),2)</f>
        <v>Nadzór i administracja</v>
      </c>
      <c r="U12" s="12">
        <f ca="1">INDEX($N$4:$P$15,MATCH(9,$R$4:$R$15,0),3)</f>
        <v>1</v>
      </c>
      <c r="AA12" s="12">
        <v>1810</v>
      </c>
      <c r="AB12" s="12">
        <f>SUMIF('I kw.21'!T2:T500,"1810",'I kw.21'!F2:F500)</f>
        <v>5</v>
      </c>
      <c r="AD12" s="12">
        <v>1809</v>
      </c>
    </row>
    <row r="13" spans="2:30" x14ac:dyDescent="0.25">
      <c r="B13" s="12">
        <v>4</v>
      </c>
      <c r="C13" s="17" t="s">
        <v>3482</v>
      </c>
      <c r="D13" s="12">
        <v>361</v>
      </c>
      <c r="E13" s="12">
        <v>378</v>
      </c>
      <c r="F13" s="12"/>
      <c r="H13" s="308" t="s">
        <v>3470</v>
      </c>
      <c r="I13" s="308" t="s">
        <v>3566</v>
      </c>
      <c r="J13" s="307">
        <f>SUM(M32,P31,P36,P42,S29)</f>
        <v>104</v>
      </c>
      <c r="N13" s="12">
        <v>10</v>
      </c>
      <c r="O13" s="11" t="s">
        <v>0</v>
      </c>
      <c r="P13" s="12">
        <f>SUM(V35)</f>
        <v>1</v>
      </c>
      <c r="R13" s="12">
        <f ca="1">RANK(P13,$P$4:$P$15,0)+COUNTIF($P$4:P13,P13)-1</f>
        <v>9</v>
      </c>
      <c r="T13" s="17" t="str">
        <f ca="1">INDEX($N$4:$P$15,MATCH(10,$R$4:$R$15,0),2)</f>
        <v>Pozostałe grupy</v>
      </c>
      <c r="U13" s="12">
        <f ca="1">INDEX($N$4:$P$15,MATCH(10,$R$4:$R$15,0),3)</f>
        <v>1</v>
      </c>
      <c r="AA13" s="12">
        <v>1812</v>
      </c>
      <c r="AB13" s="12">
        <f>SUMIF('I kw.21'!T2:T500,"1812",'I kw.21'!F2:F500)</f>
        <v>0</v>
      </c>
      <c r="AD13" s="12">
        <v>1810</v>
      </c>
    </row>
    <row r="14" spans="2:30" x14ac:dyDescent="0.25">
      <c r="B14" s="381" t="s">
        <v>13073</v>
      </c>
      <c r="C14" s="382" t="s">
        <v>3487</v>
      </c>
      <c r="D14" s="383">
        <f>SUM(D12:D13)</f>
        <v>541</v>
      </c>
      <c r="E14" s="383">
        <f>SUM(E12:E13)</f>
        <v>609</v>
      </c>
      <c r="F14" s="381"/>
      <c r="H14" s="322" t="s">
        <v>3471</v>
      </c>
      <c r="I14" s="322" t="s">
        <v>3567</v>
      </c>
      <c r="J14" s="316">
        <f>SUM(V29,V35)</f>
        <v>10</v>
      </c>
      <c r="N14" s="12">
        <v>11</v>
      </c>
      <c r="O14" s="11" t="s">
        <v>6</v>
      </c>
      <c r="P14" s="12">
        <f>SUM(Y28)</f>
        <v>2</v>
      </c>
      <c r="R14" s="12">
        <f ca="1">RANK(P14,$P$4:$P$15,0)+COUNTIF($P$4:P14,P14)-1</f>
        <v>8</v>
      </c>
      <c r="T14" s="17" t="str">
        <f ca="1">INDEX($N$4:$P$15,MATCH(11,$R$4:$R$15,0),2)</f>
        <v>Usługi gastronomiczne</v>
      </c>
      <c r="U14" s="12">
        <f ca="1">INDEX($N$4:$P$15,MATCH(11,$R$4:$R$15,0),3)</f>
        <v>0</v>
      </c>
      <c r="AA14" s="12">
        <v>1813</v>
      </c>
      <c r="AB14" s="12">
        <f>SUMIF('I kw.21'!T2:T500,"1813",'I kw.21'!F2:F500)</f>
        <v>1</v>
      </c>
      <c r="AD14" s="12">
        <v>1811</v>
      </c>
    </row>
    <row r="15" spans="2:30" x14ac:dyDescent="0.25">
      <c r="B15" s="12">
        <v>5</v>
      </c>
      <c r="C15" s="17" t="s">
        <v>6392</v>
      </c>
      <c r="D15" s="26">
        <v>249</v>
      </c>
      <c r="E15" s="26">
        <v>258</v>
      </c>
      <c r="F15" s="12"/>
      <c r="H15" s="325" t="s">
        <v>3472</v>
      </c>
      <c r="I15" s="325" t="s">
        <v>6</v>
      </c>
      <c r="J15" s="326">
        <f>SUM(Y28)</f>
        <v>2</v>
      </c>
      <c r="N15" s="12">
        <v>12</v>
      </c>
      <c r="O15" s="17" t="s">
        <v>3574</v>
      </c>
      <c r="P15" s="12">
        <f>SUM(Y38)</f>
        <v>1</v>
      </c>
      <c r="R15" s="12">
        <f ca="1">RANK(P15,$P$4:$P$15,0)+COUNTIF($P$4:P15,P15)-1</f>
        <v>10</v>
      </c>
      <c r="T15" s="17" t="str">
        <f ca="1">INDEX($N$4:$P$15,MATCH(12,$R$4:$R$15,0),2)</f>
        <v>Usługi typu krawiectwo, kaletnictwo, obuwnictwo + poszukiwanie + ochrona</v>
      </c>
      <c r="U15" s="12">
        <f ca="1">INDEX($N$4:$P$15,MATCH(12,$R$4:$R$15,0),3)</f>
        <v>0</v>
      </c>
      <c r="AA15" s="12">
        <v>1814</v>
      </c>
      <c r="AB15" s="12">
        <f>SUMIF('I kw.21'!T2:T500,"1814",'I kw.21'!F2:F500)</f>
        <v>1</v>
      </c>
      <c r="AD15" s="12">
        <v>1812</v>
      </c>
    </row>
    <row r="16" spans="2:30" x14ac:dyDescent="0.25">
      <c r="B16" s="12">
        <v>6</v>
      </c>
      <c r="C16" s="17" t="s">
        <v>6924</v>
      </c>
      <c r="D16" s="26">
        <v>173</v>
      </c>
      <c r="E16" s="26">
        <v>197</v>
      </c>
      <c r="F16" s="12"/>
      <c r="H16" s="329" t="s">
        <v>3473</v>
      </c>
      <c r="I16" s="329" t="s">
        <v>3574</v>
      </c>
      <c r="J16" s="96">
        <f>SUM(Y38)</f>
        <v>1</v>
      </c>
      <c r="N16" s="18"/>
      <c r="O16" s="89"/>
      <c r="P16" s="18"/>
      <c r="R16" s="18"/>
      <c r="T16" s="89"/>
      <c r="U16" s="18"/>
      <c r="AA16" s="12">
        <v>1815</v>
      </c>
      <c r="AB16" s="12">
        <f>SUMIF('I kw.21'!T2:T500,"1815",'I kw.21'!F2:F500)</f>
        <v>2</v>
      </c>
      <c r="AD16" s="12">
        <v>1813</v>
      </c>
    </row>
    <row r="17" spans="2:30" x14ac:dyDescent="0.25">
      <c r="B17" s="381" t="s">
        <v>13074</v>
      </c>
      <c r="C17" s="382" t="s">
        <v>6929</v>
      </c>
      <c r="D17" s="383">
        <f>SUM(D15:D16)</f>
        <v>422</v>
      </c>
      <c r="E17" s="383">
        <f>SUM(E15:E16)</f>
        <v>455</v>
      </c>
      <c r="F17" s="381"/>
      <c r="H17" s="184"/>
      <c r="I17" s="184"/>
      <c r="J17" s="183">
        <f ca="1">SUM(J12:J16)</f>
        <v>165</v>
      </c>
      <c r="N17" s="18"/>
      <c r="O17" s="89"/>
      <c r="P17" s="18"/>
      <c r="R17" s="18"/>
      <c r="T17" s="89"/>
      <c r="U17" s="18"/>
      <c r="AA17" s="12">
        <v>1817</v>
      </c>
      <c r="AB17" s="12">
        <f>SUMIF('I kw.21'!T2:T500,"1817",'I kw.21'!F2:F500)</f>
        <v>1</v>
      </c>
      <c r="AD17" s="12">
        <v>1814</v>
      </c>
    </row>
    <row r="18" spans="2:30" x14ac:dyDescent="0.25">
      <c r="B18" s="12">
        <v>7</v>
      </c>
      <c r="C18" s="17" t="s">
        <v>6928</v>
      </c>
      <c r="D18" s="26">
        <v>97</v>
      </c>
      <c r="E18" s="26">
        <v>97</v>
      </c>
      <c r="F18" s="12"/>
      <c r="H18" s="184"/>
      <c r="I18" s="184"/>
      <c r="J18" s="183"/>
      <c r="N18" s="18"/>
      <c r="O18" s="89"/>
      <c r="P18" s="18"/>
      <c r="R18" s="18"/>
      <c r="T18" s="89"/>
      <c r="U18" s="18"/>
      <c r="AA18" s="12">
        <v>1818</v>
      </c>
      <c r="AB18" s="12">
        <f>SUMIF('I kw.21'!T2:T500,"1818",'I kw.21'!F2:F500)</f>
        <v>3</v>
      </c>
      <c r="AD18" s="12">
        <v>1815</v>
      </c>
    </row>
    <row r="19" spans="2:30" x14ac:dyDescent="0.25">
      <c r="B19" s="12">
        <v>8</v>
      </c>
      <c r="C19" s="17" t="s">
        <v>7785</v>
      </c>
      <c r="D19" s="26">
        <v>224</v>
      </c>
      <c r="E19" s="26">
        <v>224</v>
      </c>
      <c r="F19" s="12"/>
      <c r="H19" s="184"/>
      <c r="I19" s="184"/>
      <c r="J19" s="183"/>
      <c r="N19" s="18"/>
      <c r="O19" s="89"/>
      <c r="P19" s="18"/>
      <c r="R19" s="18"/>
      <c r="T19" s="89"/>
      <c r="U19" s="18"/>
      <c r="AA19" s="12">
        <v>1819</v>
      </c>
      <c r="AB19" s="12">
        <f>SUMIF('I kw.21'!T2:T500,"1819",'I kw.21'!F2:F500)</f>
        <v>0</v>
      </c>
      <c r="AD19" s="12">
        <v>1816</v>
      </c>
    </row>
    <row r="20" spans="2:30" x14ac:dyDescent="0.25">
      <c r="B20" s="381" t="s">
        <v>3469</v>
      </c>
      <c r="C20" s="382" t="s">
        <v>13077</v>
      </c>
      <c r="D20" s="383">
        <f>SUM(D18:D19)</f>
        <v>321</v>
      </c>
      <c r="E20" s="383">
        <f>SUM(E18:E19)</f>
        <v>321</v>
      </c>
      <c r="F20" s="381"/>
      <c r="H20" s="184"/>
      <c r="I20" s="184"/>
      <c r="J20" s="183"/>
      <c r="N20" s="18"/>
      <c r="O20" s="89"/>
      <c r="P20" s="18"/>
      <c r="R20" s="18"/>
      <c r="T20" s="89"/>
      <c r="U20" s="18"/>
      <c r="AA20" s="12"/>
      <c r="AB20" s="12"/>
      <c r="AD20" s="12"/>
    </row>
    <row r="21" spans="2:30" x14ac:dyDescent="0.25">
      <c r="B21" s="107">
        <v>9</v>
      </c>
      <c r="C21" s="106" t="s">
        <v>7800</v>
      </c>
      <c r="D21" s="105">
        <v>156</v>
      </c>
      <c r="E21" s="105">
        <v>165</v>
      </c>
      <c r="F21" s="107" t="s">
        <v>13078</v>
      </c>
      <c r="G21" s="135">
        <f>SUM(D18:D19,D15:D16)</f>
        <v>743</v>
      </c>
      <c r="H21" s="184"/>
      <c r="I21" s="184"/>
      <c r="J21" s="183"/>
      <c r="N21" s="18"/>
      <c r="O21" s="89"/>
      <c r="P21" s="18"/>
      <c r="R21" s="18"/>
      <c r="T21" s="89"/>
      <c r="U21" s="18"/>
      <c r="AA21" s="12"/>
      <c r="AB21" s="12"/>
      <c r="AD21" s="12"/>
    </row>
    <row r="22" spans="2:30" x14ac:dyDescent="0.25">
      <c r="B22" s="18"/>
      <c r="C22" s="89"/>
      <c r="D22" s="135"/>
      <c r="E22" s="135"/>
      <c r="F22" s="20"/>
      <c r="G22" s="135"/>
      <c r="H22" s="184"/>
      <c r="I22" s="184"/>
      <c r="J22" s="183"/>
      <c r="N22" s="18"/>
      <c r="O22" s="89"/>
      <c r="P22" s="18"/>
      <c r="R22" s="18"/>
      <c r="T22" s="89"/>
      <c r="U22" s="18"/>
      <c r="AA22" s="12"/>
      <c r="AB22" s="12"/>
      <c r="AD22" s="12"/>
    </row>
    <row r="23" spans="2:30" x14ac:dyDescent="0.25">
      <c r="B23" s="18"/>
      <c r="C23" s="89"/>
      <c r="E23" s="135"/>
      <c r="F23" s="20"/>
      <c r="N23" s="242"/>
      <c r="O23" s="242"/>
      <c r="P23" s="243">
        <f ca="1">SUM(P4:P15)</f>
        <v>165</v>
      </c>
      <c r="R23" s="242"/>
      <c r="T23" s="243"/>
      <c r="U23" s="246">
        <f ca="1">SUM(U4:U15)</f>
        <v>165</v>
      </c>
      <c r="AA23" s="12">
        <v>1820</v>
      </c>
      <c r="AB23" s="12">
        <f>SUMIF('I kw.21'!T2:T500,"1820",'I kw.21'!F2:F500)</f>
        <v>1</v>
      </c>
      <c r="AD23" s="12">
        <v>1817</v>
      </c>
    </row>
    <row r="24" spans="2:30" x14ac:dyDescent="0.25">
      <c r="B24" s="303" t="s">
        <v>170</v>
      </c>
      <c r="C24" s="303"/>
      <c r="D24" s="303"/>
      <c r="E24" s="303" t="s">
        <v>2</v>
      </c>
      <c r="F24" s="303"/>
      <c r="G24" s="303"/>
      <c r="H24" s="303" t="s">
        <v>3</v>
      </c>
      <c r="I24" s="303"/>
      <c r="J24" s="303"/>
      <c r="K24" s="304" t="s">
        <v>3589</v>
      </c>
      <c r="L24" s="304"/>
      <c r="M24" s="304"/>
      <c r="N24" s="304" t="s">
        <v>1</v>
      </c>
      <c r="O24" s="304"/>
      <c r="P24" s="304"/>
      <c r="Q24" s="407" t="s">
        <v>4</v>
      </c>
      <c r="R24" s="407"/>
      <c r="S24" s="407"/>
      <c r="T24" s="314" t="s">
        <v>5</v>
      </c>
      <c r="U24" s="314"/>
      <c r="V24" s="314"/>
      <c r="W24" s="328" t="s">
        <v>6</v>
      </c>
      <c r="X24" s="328"/>
      <c r="Y24" s="327"/>
      <c r="AA24" s="12">
        <v>1821</v>
      </c>
      <c r="AB24" s="12">
        <f>SUMIF('I kw.21'!T2:T500,"1821",'I kw.21'!F2:F500)</f>
        <v>0</v>
      </c>
      <c r="AD24" s="12">
        <v>1818</v>
      </c>
    </row>
    <row r="25" spans="2:30" x14ac:dyDescent="0.25">
      <c r="B25" s="21" t="s">
        <v>3469</v>
      </c>
      <c r="C25" s="22"/>
      <c r="D25" s="311"/>
      <c r="E25" s="21" t="s">
        <v>3470</v>
      </c>
      <c r="F25" s="22"/>
      <c r="G25" s="311"/>
      <c r="H25" s="21" t="s">
        <v>3470</v>
      </c>
      <c r="I25" s="21"/>
      <c r="J25" s="311"/>
      <c r="K25" s="114"/>
      <c r="L25" s="113"/>
      <c r="M25" s="305"/>
      <c r="N25" s="305"/>
      <c r="O25" s="306"/>
      <c r="P25" s="305"/>
      <c r="Q25" s="305"/>
      <c r="R25" s="306"/>
      <c r="S25" s="305"/>
      <c r="T25" s="98"/>
      <c r="U25" s="99"/>
      <c r="V25" s="315"/>
      <c r="W25" s="323"/>
      <c r="X25" s="324"/>
      <c r="Y25" s="325"/>
      <c r="AA25" s="12">
        <v>1862</v>
      </c>
      <c r="AB25" s="12">
        <f>SUMIF('I kw.21'!T2:T500,"1862",'I kw.21'!F2:F500)</f>
        <v>7</v>
      </c>
      <c r="AD25" s="12">
        <v>1819</v>
      </c>
    </row>
    <row r="26" spans="2:30" x14ac:dyDescent="0.25">
      <c r="B26" s="108">
        <v>2141</v>
      </c>
      <c r="C26" s="390" t="s">
        <v>3569</v>
      </c>
      <c r="D26" s="390">
        <f>SUMIF('I kw.21'!AJ2:AJ499,"2141*",'I kw.21'!F2:F499)</f>
        <v>1</v>
      </c>
      <c r="E26" s="108">
        <v>2113</v>
      </c>
      <c r="F26" s="11" t="s">
        <v>3491</v>
      </c>
      <c r="G26" s="16">
        <f ca="1">SUMIF('I kw.21'!AJ2:AJ499,"2113*",'I kw.21'!F2:F466)</f>
        <v>1</v>
      </c>
      <c r="H26" s="122">
        <v>2142</v>
      </c>
      <c r="I26" s="399" t="s">
        <v>3494</v>
      </c>
      <c r="J26" s="16">
        <f>SUMIF('I kw.21'!AJ2:AJ499,"2142*",'I kw.21'!F2:F499)</f>
        <v>3</v>
      </c>
      <c r="K26" s="123">
        <v>315</v>
      </c>
      <c r="L26" s="11" t="s">
        <v>3532</v>
      </c>
      <c r="M26" s="112">
        <f>SUMIF('I kw.21'!AJ2:AJ499,"315*",'I kw.21'!F2:F499)</f>
        <v>0</v>
      </c>
      <c r="N26" s="108">
        <v>2166</v>
      </c>
      <c r="O26" s="11" t="s">
        <v>3510</v>
      </c>
      <c r="P26" s="307">
        <f>SUMIF('I kw.21'!AJ2:AJ499,"2166*",'I kw.21'!F2:F499)</f>
        <v>1</v>
      </c>
      <c r="Q26" s="405">
        <v>22</v>
      </c>
      <c r="R26" s="406" t="s">
        <v>3511</v>
      </c>
      <c r="S26" s="307">
        <f>SUMIF('I kw.21'!AJ2:AJ499,"22*",'I kw.21'!F2:F499)</f>
        <v>3</v>
      </c>
      <c r="T26" s="118">
        <v>23</v>
      </c>
      <c r="U26" s="11" t="s">
        <v>3512</v>
      </c>
      <c r="V26" s="316">
        <f>SUMIF('I kw.21'!AJ2:AJ499,"23*",'I kw.21'!F2:F499)</f>
        <v>2</v>
      </c>
      <c r="W26" s="131">
        <v>7549</v>
      </c>
      <c r="X26" s="11" t="s">
        <v>3561</v>
      </c>
      <c r="Y26" s="326">
        <f>SUMIF('I kw.21'!AJ2:AJ499,"7549*",'I kw.21'!F2:F499)</f>
        <v>0</v>
      </c>
      <c r="AA26" s="12">
        <v>1864</v>
      </c>
      <c r="AB26" s="12">
        <f>SUMIF('I kw.21'!T2:T500,"1864",'I kw.21'!F2:F500)</f>
        <v>1</v>
      </c>
      <c r="AD26" s="12">
        <v>1820</v>
      </c>
    </row>
    <row r="27" spans="2:30" x14ac:dyDescent="0.25">
      <c r="B27" s="108">
        <v>2132</v>
      </c>
      <c r="C27" s="11" t="s">
        <v>3493</v>
      </c>
      <c r="D27" s="195">
        <f>SUMIF('I kw.21'!AJ2:AJ499,"2132*",'I kw.21'!F2:F499)</f>
        <v>0</v>
      </c>
      <c r="E27" s="108">
        <v>2145</v>
      </c>
      <c r="F27" s="11" t="s">
        <v>3496</v>
      </c>
      <c r="G27" s="16">
        <f ca="1">SUMIF('I kw.21'!AJ2:AJ499,"2145*",'I kw.21'!F2:F466)</f>
        <v>0</v>
      </c>
      <c r="H27" s="122">
        <v>2143</v>
      </c>
      <c r="I27" s="11" t="s">
        <v>93</v>
      </c>
      <c r="J27" s="16">
        <f>SUMIF('I kw.21'!AJ2:AJ499,"2143*",'I kw.21'!F2:F499)</f>
        <v>1</v>
      </c>
      <c r="K27" s="117">
        <v>42</v>
      </c>
      <c r="L27" s="11" t="s">
        <v>3537</v>
      </c>
      <c r="M27" s="112">
        <f>SUMIF('I kw.21'!AJ2:AJ499,"42*",'I kw.21'!F2:F499)</f>
        <v>1</v>
      </c>
      <c r="N27" s="118">
        <v>24</v>
      </c>
      <c r="O27" s="368" t="s">
        <v>3571</v>
      </c>
      <c r="P27" s="107">
        <f>SUMIF('I kw.21'!AJ2:AJ499,"24*",'I kw.21'!F2:F499)</f>
        <v>29</v>
      </c>
      <c r="Q27" s="405">
        <v>32</v>
      </c>
      <c r="R27" s="406" t="s">
        <v>3533</v>
      </c>
      <c r="S27" s="307">
        <f>SUMIF('I kw.21'!AJ2:AJ499,"32*",'I kw.21'!F2:F499)</f>
        <v>1</v>
      </c>
      <c r="T27" s="118">
        <v>26</v>
      </c>
      <c r="U27" s="11" t="s">
        <v>3572</v>
      </c>
      <c r="V27" s="316">
        <f>SUMIF('I kw.21'!AJ2:AJ499,"26*",'I kw.21'!F2:F499)</f>
        <v>6</v>
      </c>
      <c r="W27" s="119">
        <v>9</v>
      </c>
      <c r="X27" s="11" t="s">
        <v>3565</v>
      </c>
      <c r="Y27" s="326">
        <f>SUMIF('I kw.21'!AJ2:AJ499,"9*",'I kw.21'!F2:F499)</f>
        <v>2</v>
      </c>
      <c r="AA27" s="299" t="s">
        <v>7788</v>
      </c>
      <c r="AB27" s="16">
        <f>SUM(AB4:AB26)</f>
        <v>39</v>
      </c>
      <c r="AD27" s="12">
        <v>1821</v>
      </c>
    </row>
    <row r="28" spans="2:30" x14ac:dyDescent="0.25">
      <c r="B28" s="108">
        <v>2146</v>
      </c>
      <c r="C28" s="11" t="s">
        <v>3497</v>
      </c>
      <c r="D28" s="16">
        <f>SUMIF('I kw.21'!AJ2:AJ499,"2146*",'I kw.21'!F2:F499)</f>
        <v>0</v>
      </c>
      <c r="E28" s="108">
        <v>2131</v>
      </c>
      <c r="F28" s="11" t="s">
        <v>3492</v>
      </c>
      <c r="G28" s="16">
        <f ca="1">SUMIF('I kw.21'!AJ2:AJ499,"2131*",'I kw.21'!F2:F466)</f>
        <v>0</v>
      </c>
      <c r="H28" s="122">
        <v>2161</v>
      </c>
      <c r="I28" s="11" t="s">
        <v>3507</v>
      </c>
      <c r="J28" s="16">
        <f>SUMIF('I kw.21'!AJ2:AJ499,"2161*",'I kw.21'!F2:F499)</f>
        <v>0</v>
      </c>
      <c r="K28" s="117">
        <v>43</v>
      </c>
      <c r="L28" s="103" t="s">
        <v>3538</v>
      </c>
      <c r="M28" s="107">
        <f>SUMIF('I kw.21'!AJ2:AJ499,"43*",'I kw.21'!F2:F499)</f>
        <v>5</v>
      </c>
      <c r="N28" s="125">
        <v>33</v>
      </c>
      <c r="O28" s="368" t="s">
        <v>3534</v>
      </c>
      <c r="P28" s="107">
        <f>SUMIF('I kw.21'!AJ2:AJ499,"33*",'I kw.21'!F2:F499)</f>
        <v>26</v>
      </c>
      <c r="Q28" s="405">
        <v>53</v>
      </c>
      <c r="R28" s="406" t="s">
        <v>3542</v>
      </c>
      <c r="S28" s="307">
        <f>SUMIF('I kw.21'!AJ2:AJ499,"53*",'I kw.21'!F2:F499)</f>
        <v>0</v>
      </c>
      <c r="T28" s="125">
        <v>34</v>
      </c>
      <c r="U28" s="11" t="s">
        <v>3535</v>
      </c>
      <c r="V28" s="316">
        <f>SUMIF('I kw.21'!AJ2:AJ499,"34*",'I kw.21'!F2:F499)</f>
        <v>1</v>
      </c>
      <c r="W28" s="37"/>
      <c r="Y28" s="326">
        <f>SUM(Y26:Y27)</f>
        <v>2</v>
      </c>
      <c r="AA28" s="16" t="s">
        <v>7789</v>
      </c>
      <c r="AB28" s="16">
        <f>SUM(Z9,AB27)</f>
        <v>132</v>
      </c>
      <c r="AD28" s="12">
        <v>1861</v>
      </c>
    </row>
    <row r="29" spans="2:30" x14ac:dyDescent="0.25">
      <c r="B29" s="121">
        <v>3113</v>
      </c>
      <c r="C29" s="11" t="s">
        <v>3520</v>
      </c>
      <c r="D29" s="16">
        <f>SUMIF('I kw.21'!AJ2:AJ499,"3113*",'I kw.21'!F2:F499)</f>
        <v>0</v>
      </c>
      <c r="E29" s="108">
        <v>2144</v>
      </c>
      <c r="F29" s="399" t="s">
        <v>3495</v>
      </c>
      <c r="G29" s="398">
        <f ca="1">SUMIF('I kw.21'!AJ2:AJ499,"2144*",'I kw.21'!F2:F466)</f>
        <v>0</v>
      </c>
      <c r="H29" s="122">
        <v>2162</v>
      </c>
      <c r="I29" s="11" t="s">
        <v>3508</v>
      </c>
      <c r="J29" s="16">
        <f>SUMIF('I kw.21'!AJ2:AJ499,"2162*",'I kw.21'!F2:F499)</f>
        <v>0</v>
      </c>
      <c r="K29" s="367">
        <v>52</v>
      </c>
      <c r="L29" s="103" t="s">
        <v>3541</v>
      </c>
      <c r="M29" s="107">
        <f>SUMIF('I kw.21'!AJ2:AJ499,"52*",'I kw.21'!F2:F499)</f>
        <v>13</v>
      </c>
      <c r="N29" s="127">
        <v>51</v>
      </c>
      <c r="O29" s="11" t="s">
        <v>3540</v>
      </c>
      <c r="P29" s="307">
        <f>SUMIF('I kw.21'!AJ2:AJ499,"51*",'I kw.21'!F2:F499)</f>
        <v>11</v>
      </c>
      <c r="Q29" s="37"/>
      <c r="S29" s="307">
        <f>SUM(S26:S28)</f>
        <v>4</v>
      </c>
      <c r="V29" s="317">
        <f>SUM(V26:V28)</f>
        <v>9</v>
      </c>
      <c r="W29" s="37"/>
      <c r="AA29" s="11" t="s">
        <v>7790</v>
      </c>
      <c r="AB29" s="12">
        <f ca="1">J17-COUNTA('I kw.21'!T2:T500)</f>
        <v>23</v>
      </c>
      <c r="AD29" s="12">
        <v>1862</v>
      </c>
    </row>
    <row r="30" spans="2:30" x14ac:dyDescent="0.25">
      <c r="B30" s="121">
        <v>3114</v>
      </c>
      <c r="C30" s="11" t="s">
        <v>3521</v>
      </c>
      <c r="D30" s="16">
        <f>SUMIF('I kw.21'!AJ2:AJ499,"3114*",'I kw.21'!F2:F499)</f>
        <v>0</v>
      </c>
      <c r="E30" s="108">
        <v>2149</v>
      </c>
      <c r="F30" s="399" t="s">
        <v>3498</v>
      </c>
      <c r="G30" s="398">
        <f ca="1">SUMIF('I kw.21'!AJ2:AJ499,"2149*",'I kw.21'!F2:F466)</f>
        <v>2</v>
      </c>
      <c r="H30" s="108">
        <v>2164</v>
      </c>
      <c r="I30" s="11" t="s">
        <v>3585</v>
      </c>
      <c r="J30" s="16">
        <f>SUMIF('I kw.21'!AJ2:AJ499,"2164*",'I kw.21'!F2:F499)</f>
        <v>0</v>
      </c>
      <c r="K30" s="133">
        <v>83</v>
      </c>
      <c r="L30" s="11" t="s">
        <v>3564</v>
      </c>
      <c r="M30" s="112">
        <f>SUMIF('I kw.21'!AJ2:AJ499,"83*",'I kw.21'!F2:F499)</f>
        <v>4</v>
      </c>
      <c r="N30" s="120">
        <v>14</v>
      </c>
      <c r="O30" s="11" t="s">
        <v>3578</v>
      </c>
      <c r="P30" s="307">
        <f>SUMIF('I kw.21'!AJ2:AJ499,"14*",'I kw.21'!F2:F499)</f>
        <v>3</v>
      </c>
      <c r="Q30" s="37"/>
      <c r="T30" s="1" t="s">
        <v>0</v>
      </c>
      <c r="U30" s="94"/>
      <c r="V30" s="20"/>
      <c r="W30" s="37" t="s">
        <v>3574</v>
      </c>
      <c r="AA30" s="11" t="s">
        <v>7791</v>
      </c>
      <c r="AB30" s="12">
        <f>SUMPRODUCT(COUNTIF('I kw.21'!$T$2:$T$500,"*"&amp;'13'!$AD$4:$AD$28&amp;"*"))</f>
        <v>18</v>
      </c>
      <c r="AD30" s="12">
        <v>1863</v>
      </c>
    </row>
    <row r="31" spans="2:30" x14ac:dyDescent="0.25">
      <c r="B31" s="401">
        <v>3115</v>
      </c>
      <c r="C31" s="8" t="s">
        <v>3522</v>
      </c>
      <c r="D31" s="9">
        <f>SUMIF('I kw.21'!AJ2:AJ499,"3115*",'I kw.21'!F2:F499)</f>
        <v>2</v>
      </c>
      <c r="E31" s="389">
        <v>2149</v>
      </c>
      <c r="F31" s="11" t="s">
        <v>3499</v>
      </c>
      <c r="G31" s="104" t="s">
        <v>3573</v>
      </c>
      <c r="H31" s="122">
        <v>2165</v>
      </c>
      <c r="I31" s="11" t="s">
        <v>3509</v>
      </c>
      <c r="J31" s="16">
        <f>SUMIF('I kw.21'!AJ2:AJ499,"2165*",'I kw.21'!F2:F499)</f>
        <v>0</v>
      </c>
      <c r="K31" s="120">
        <v>12</v>
      </c>
      <c r="L31" s="11" t="s">
        <v>3576</v>
      </c>
      <c r="M31" s="112">
        <f>SUMIF('I kw.21'!AJ2:AJ499,"12*",'I kw.21'!F2:F499)</f>
        <v>7</v>
      </c>
      <c r="P31" s="307">
        <f>SUM(P26:P30)</f>
        <v>70</v>
      </c>
      <c r="Q31" s="37"/>
      <c r="T31" s="321"/>
      <c r="U31" s="320"/>
      <c r="V31" s="318"/>
      <c r="W31" s="330"/>
      <c r="X31" s="331"/>
      <c r="Y31" s="329"/>
      <c r="AD31" s="12">
        <v>1864</v>
      </c>
    </row>
    <row r="32" spans="2:30" x14ac:dyDescent="0.25">
      <c r="B32" s="401">
        <v>3116</v>
      </c>
      <c r="C32" s="8" t="s">
        <v>3523</v>
      </c>
      <c r="D32" s="9">
        <f>SUMIF('I kw.21'!AJ2:AJ499,"3116*",'I kw.21'!F2:F499)</f>
        <v>1</v>
      </c>
      <c r="E32" s="389">
        <v>2149</v>
      </c>
      <c r="F32" s="11" t="s">
        <v>3500</v>
      </c>
      <c r="G32" s="104" t="s">
        <v>3573</v>
      </c>
      <c r="H32" s="126">
        <v>3111</v>
      </c>
      <c r="I32" s="11" t="s">
        <v>3587</v>
      </c>
      <c r="J32" s="16">
        <f>SUMIF('I kw.21'!AJ2:AJ499,"3111*",'I kw.21'!F2:F499)</f>
        <v>0</v>
      </c>
      <c r="K32" s="89"/>
      <c r="L32" s="20"/>
      <c r="M32" s="307">
        <f>SUM(M26:M31)</f>
        <v>30</v>
      </c>
      <c r="Q32" s="37"/>
      <c r="T32" s="116">
        <v>41</v>
      </c>
      <c r="U32" s="11" t="s">
        <v>3592</v>
      </c>
      <c r="V32" s="316">
        <f>SUMIF('I kw.21'!AJ2:AJ499,"41*",'I kw.21'!F2:F499)</f>
        <v>1</v>
      </c>
      <c r="W32" s="120">
        <v>11</v>
      </c>
      <c r="X32" s="11" t="s">
        <v>3575</v>
      </c>
      <c r="Y32" s="96">
        <f>SUMIF('I kw.21'!AJ2:AJ499,"11*",'I kw.21'!F2:F499)</f>
        <v>1</v>
      </c>
    </row>
    <row r="33" spans="2:25" x14ac:dyDescent="0.25">
      <c r="B33" s="121">
        <v>3117</v>
      </c>
      <c r="C33" s="11" t="s">
        <v>3524</v>
      </c>
      <c r="D33" s="16">
        <f>SUMIF('I kw.21'!AJ2:AJ499,"3117*",'I kw.21'!F2:F499)</f>
        <v>0</v>
      </c>
      <c r="E33" s="389">
        <v>2149</v>
      </c>
      <c r="F33" s="11" t="s">
        <v>3501</v>
      </c>
      <c r="G33" s="104" t="s">
        <v>3573</v>
      </c>
      <c r="H33" s="126">
        <v>3112</v>
      </c>
      <c r="I33" s="399" t="s">
        <v>3519</v>
      </c>
      <c r="J33" s="16">
        <f>SUMIF('I kw.21'!AJ2:AJ499,"3112*",'I kw.21'!F2:F499)</f>
        <v>2</v>
      </c>
      <c r="K33" s="89"/>
      <c r="L33" s="20"/>
      <c r="M33" s="20"/>
      <c r="N33" s="100" t="s">
        <v>134</v>
      </c>
      <c r="O33" s="93"/>
      <c r="Q33" s="37"/>
      <c r="T33" s="116">
        <v>44</v>
      </c>
      <c r="U33" s="11" t="s">
        <v>3539</v>
      </c>
      <c r="V33" s="316">
        <f>SUMIF('I kw.21'!AJ2:AJ499,"44*",'I kw.21'!F2:F499)</f>
        <v>0</v>
      </c>
      <c r="W33" s="108">
        <v>2111</v>
      </c>
      <c r="X33" s="11" t="s">
        <v>3580</v>
      </c>
      <c r="Y33" s="96">
        <f>SUMIF('I kw.21'!AJ2:AJ499,"2111*",'I kw.21'!F2:F499)</f>
        <v>0</v>
      </c>
    </row>
    <row r="34" spans="2:25" x14ac:dyDescent="0.25">
      <c r="B34" s="121">
        <v>3119</v>
      </c>
      <c r="C34" s="396" t="s">
        <v>3526</v>
      </c>
      <c r="D34" s="397">
        <f>SUMIF('I kw.21'!AJ2:AJ499,"3119*",'I kw.21'!F2:F499)</f>
        <v>1</v>
      </c>
      <c r="E34" s="389">
        <v>2149</v>
      </c>
      <c r="F34" s="11" t="s">
        <v>3502</v>
      </c>
      <c r="G34" s="104" t="s">
        <v>3573</v>
      </c>
      <c r="H34" s="126">
        <v>3118</v>
      </c>
      <c r="I34" s="11" t="s">
        <v>3525</v>
      </c>
      <c r="J34" s="16">
        <f>SUMIF('I kw.21'!AJ2:AJ499,"3118*",'I kw.21'!F2:F499)</f>
        <v>0</v>
      </c>
      <c r="K34" s="89"/>
      <c r="L34" s="20"/>
      <c r="M34" s="20"/>
      <c r="N34" s="305"/>
      <c r="O34" s="306"/>
      <c r="P34" s="308"/>
      <c r="Q34" s="37"/>
      <c r="T34" s="131">
        <v>7515</v>
      </c>
      <c r="U34" s="11" t="s">
        <v>3552</v>
      </c>
      <c r="V34" s="319">
        <f>SUMIF('I kw.21'!AJ2:AJ499,"7515*",'I kw.21'!F2:F499)</f>
        <v>0</v>
      </c>
      <c r="W34" s="108">
        <v>2112</v>
      </c>
      <c r="X34" s="11" t="s">
        <v>3581</v>
      </c>
      <c r="Y34" s="96">
        <f>SUMIF('I kw.21'!AJ2:AJ499,"2112*",'I kw.21'!F2:F499)</f>
        <v>0</v>
      </c>
    </row>
    <row r="35" spans="2:25" x14ac:dyDescent="0.25">
      <c r="B35" s="121">
        <v>3121</v>
      </c>
      <c r="C35" s="11" t="s">
        <v>3527</v>
      </c>
      <c r="D35" s="16">
        <f>SUMIF('I kw.21'!AJ2:AJ499,"3121*",'I kw.21'!F2:F499)</f>
        <v>0</v>
      </c>
      <c r="E35" s="389">
        <v>2149</v>
      </c>
      <c r="F35" s="11" t="s">
        <v>3503</v>
      </c>
      <c r="G35" s="104" t="s">
        <v>3573</v>
      </c>
      <c r="H35" s="126">
        <v>3123</v>
      </c>
      <c r="I35" s="11" t="s">
        <v>3529</v>
      </c>
      <c r="J35" s="16">
        <f>SUMIF('I kw.21'!AJ2:AJ499,"3123*",'I kw.21'!F2:F499)</f>
        <v>0</v>
      </c>
      <c r="K35" s="89"/>
      <c r="L35" s="20"/>
      <c r="N35" s="131">
        <v>7512</v>
      </c>
      <c r="O35" s="11" t="s">
        <v>3549</v>
      </c>
      <c r="P35" s="307">
        <f>SUMIF('I kw.21'!AJ2:AJ499,"7512*",'I kw.21'!F2:F499)</f>
        <v>0</v>
      </c>
      <c r="Q35" s="37"/>
      <c r="T35" s="37"/>
      <c r="V35" s="317">
        <f>SUM(V32:V34)</f>
        <v>1</v>
      </c>
      <c r="W35" s="108">
        <v>2114</v>
      </c>
      <c r="X35" s="11" t="s">
        <v>3582</v>
      </c>
      <c r="Y35" s="96">
        <f>SUMIF('I kw.21'!AJ2:AJ499,"2114*",'I kw.21'!F2:F499)</f>
        <v>0</v>
      </c>
    </row>
    <row r="36" spans="2:25" x14ac:dyDescent="0.25">
      <c r="B36" s="121">
        <v>3122</v>
      </c>
      <c r="C36" s="11" t="s">
        <v>3528</v>
      </c>
      <c r="D36" s="16">
        <f>SUMIF('I kw.21'!AJ2:AJ499,"3122*",'I kw.21'!F2:F499)</f>
        <v>0</v>
      </c>
      <c r="E36" s="108">
        <v>2151</v>
      </c>
      <c r="F36" s="11" t="s">
        <v>3504</v>
      </c>
      <c r="G36" s="16">
        <f ca="1">SUMIF('I kw.21'!AJ2:AJ499,"2151*",'I kw.21'!F2:F466)</f>
        <v>2</v>
      </c>
      <c r="H36" s="129">
        <v>71</v>
      </c>
      <c r="I36" s="399" t="s">
        <v>3544</v>
      </c>
      <c r="J36" s="398">
        <f>SUMIF('I kw.21'!AJ2:AJ499,"71*",'I kw.21'!F2:F499)</f>
        <v>3</v>
      </c>
      <c r="K36" s="89"/>
      <c r="L36" s="20"/>
      <c r="M36" s="20"/>
      <c r="P36" s="307">
        <f>SUM(P35)</f>
        <v>0</v>
      </c>
      <c r="Q36" s="37"/>
      <c r="T36" s="37"/>
      <c r="W36" s="108">
        <v>2120</v>
      </c>
      <c r="X36" s="11" t="s">
        <v>3583</v>
      </c>
      <c r="Y36" s="96">
        <f>SUMIF('I kw.21'!AJ2:AJ499,"2120*",'I kw.21'!F2:F499)</f>
        <v>0</v>
      </c>
    </row>
    <row r="37" spans="2:25" x14ac:dyDescent="0.25">
      <c r="B37" s="124">
        <v>313</v>
      </c>
      <c r="C37" s="391" t="s">
        <v>3530</v>
      </c>
      <c r="D37" s="390">
        <f>SUMIF('I kw.21'!AJ2:AJ499,"313*",'I kw.21'!F2:F499)</f>
        <v>3</v>
      </c>
      <c r="E37" s="108">
        <v>2152</v>
      </c>
      <c r="F37" s="11" t="s">
        <v>3505</v>
      </c>
      <c r="G37" s="16">
        <f ca="1">SUMIF('I kw.21'!AJ2:AJ499,"2152*",'I kw.21'!F2:F466)</f>
        <v>1</v>
      </c>
      <c r="H37" s="132">
        <v>7521</v>
      </c>
      <c r="I37" s="11" t="s">
        <v>3553</v>
      </c>
      <c r="J37" s="16">
        <f>SUMIF('I kw.21'!AJ2:AJ499,"7521*",'I kw.21'!F2:F499)</f>
        <v>0</v>
      </c>
      <c r="K37" s="89"/>
      <c r="L37" s="20"/>
      <c r="M37" s="20"/>
      <c r="N37" s="94" t="s">
        <v>154</v>
      </c>
      <c r="O37" s="94"/>
      <c r="P37" s="18"/>
      <c r="T37" s="37"/>
      <c r="W37" s="119">
        <v>0</v>
      </c>
      <c r="X37" s="11" t="s">
        <v>3586</v>
      </c>
      <c r="Y37" s="96">
        <f>SUMIF('I kw.21'!AJ2:AJ499,"0*",'I kw.21'!F2:F499)</f>
        <v>0</v>
      </c>
    </row>
    <row r="38" spans="2:25" x14ac:dyDescent="0.25">
      <c r="B38" s="401">
        <v>314</v>
      </c>
      <c r="C38" s="8" t="s">
        <v>3531</v>
      </c>
      <c r="D38" s="9">
        <f>SUMIF('I kw.21'!AJ2:AJ499,"314*",'I kw.21'!F2:F499)</f>
        <v>1</v>
      </c>
      <c r="E38" s="108">
        <v>2153</v>
      </c>
      <c r="F38" s="11" t="s">
        <v>3506</v>
      </c>
      <c r="G38" s="16">
        <f ca="1">SUMIF('I kw.21'!AJ2:AJ499,"2153*",'I kw.21'!F2:F466)</f>
        <v>4</v>
      </c>
      <c r="H38" s="132">
        <v>7522</v>
      </c>
      <c r="I38" s="11" t="s">
        <v>3554</v>
      </c>
      <c r="J38" s="16">
        <f>SUMIF('I kw.21'!AJ2:AJ499,"7522*",'I kw.21'!F2:F499)</f>
        <v>0</v>
      </c>
      <c r="K38" s="89"/>
      <c r="L38" s="20"/>
      <c r="M38" s="20"/>
      <c r="N38" s="305"/>
      <c r="O38" s="306"/>
      <c r="P38" s="308"/>
      <c r="Y38" s="96">
        <f>SUM(Y32:Y37)</f>
        <v>1</v>
      </c>
    </row>
    <row r="39" spans="2:25" x14ac:dyDescent="0.25">
      <c r="B39" s="125">
        <v>35</v>
      </c>
      <c r="C39" s="391" t="s">
        <v>3536</v>
      </c>
      <c r="D39" s="390">
        <f>SUMIF('I kw.21'!AJ2:AJ499,"35*",'I kw.21'!F2:F499)</f>
        <v>0</v>
      </c>
      <c r="E39" s="118">
        <v>25</v>
      </c>
      <c r="F39" s="400" t="s">
        <v>3513</v>
      </c>
      <c r="G39" s="16">
        <f ca="1">SUMIF('I kw.21'!AJ2:AJ499,"25*",'I kw.21'!F2:F466)</f>
        <v>12</v>
      </c>
      <c r="J39" s="309">
        <f>SUM(J26:J38)</f>
        <v>9</v>
      </c>
      <c r="K39" s="89"/>
      <c r="L39" s="20"/>
      <c r="M39" s="20"/>
      <c r="N39" s="131">
        <v>753</v>
      </c>
      <c r="O39" s="11" t="s">
        <v>3556</v>
      </c>
      <c r="P39" s="307">
        <f>SUMIF('I kw.21'!AJ2:AJ499,"753*",'I kw.21'!F2:F499)</f>
        <v>0</v>
      </c>
    </row>
    <row r="40" spans="2:25" x14ac:dyDescent="0.25">
      <c r="B40" s="119">
        <v>6</v>
      </c>
      <c r="C40" s="11" t="s">
        <v>3543</v>
      </c>
      <c r="D40" s="16">
        <f>SUMIF('I kw.21'!AJ2:AJ499,"6*",'I kw.21'!F2:F499)</f>
        <v>0</v>
      </c>
      <c r="E40" s="130">
        <v>74</v>
      </c>
      <c r="F40" s="11" t="s">
        <v>3547</v>
      </c>
      <c r="G40" s="16">
        <f ca="1">SUMIF('I kw.21'!AJ2:AJ499,"74*",'I kw.21'!F2:F466)</f>
        <v>2</v>
      </c>
      <c r="H40" s="89"/>
      <c r="I40" s="20"/>
      <c r="K40" s="20"/>
      <c r="L40" s="20"/>
      <c r="M40" s="20"/>
      <c r="N40" s="131">
        <v>7541</v>
      </c>
      <c r="O40" s="11" t="s">
        <v>3557</v>
      </c>
      <c r="P40" s="307">
        <f>SUMIF('I kw.21'!AJ2:AJ499,"7541*",'I kw.21'!F2:F499)</f>
        <v>0</v>
      </c>
    </row>
    <row r="41" spans="2:25" x14ac:dyDescent="0.25">
      <c r="B41" s="130">
        <v>72</v>
      </c>
      <c r="C41" s="396" t="s">
        <v>3545</v>
      </c>
      <c r="D41" s="397">
        <f>SUMIF('I kw.21'!AJ2:AJ499,"72*",'I kw.21'!F2:F499)</f>
        <v>2</v>
      </c>
      <c r="G41" s="310">
        <f ca="1">SUM(G26:G40)</f>
        <v>24</v>
      </c>
      <c r="N41" s="127">
        <v>54</v>
      </c>
      <c r="O41" s="11" t="s">
        <v>3588</v>
      </c>
      <c r="P41" s="307">
        <f>SUMIF('I kw.21'!AJ2:AJ499,"54*",'I kw.21'!F2:F499)</f>
        <v>0</v>
      </c>
    </row>
    <row r="42" spans="2:25" x14ac:dyDescent="0.25">
      <c r="B42" s="130">
        <v>73</v>
      </c>
      <c r="C42" s="11" t="s">
        <v>3546</v>
      </c>
      <c r="D42" s="16">
        <f>SUMIF('I kw.21'!AJ2:AJ499,"73*",'I kw.21'!F2:F499)</f>
        <v>1</v>
      </c>
      <c r="P42" s="307">
        <f>SUM(P39:P41)</f>
        <v>0</v>
      </c>
    </row>
    <row r="43" spans="2:25" x14ac:dyDescent="0.25">
      <c r="B43" s="131">
        <v>7511</v>
      </c>
      <c r="C43" s="11" t="s">
        <v>3548</v>
      </c>
      <c r="D43" s="16">
        <f>SUMIF('I kw.21'!AJ2:AJ499,"7511*",'I kw.21'!F2:F499)</f>
        <v>0</v>
      </c>
      <c r="T43" s="37"/>
    </row>
    <row r="44" spans="2:25" x14ac:dyDescent="0.25">
      <c r="B44" s="131">
        <v>7513</v>
      </c>
      <c r="C44" s="11" t="s">
        <v>3550</v>
      </c>
      <c r="D44" s="16">
        <f>SUMIF('I kw.21'!AJ2:AJ499,"7513*",'I kw.21'!F2:F499)</f>
        <v>0</v>
      </c>
      <c r="T44" s="37"/>
    </row>
    <row r="45" spans="2:25" x14ac:dyDescent="0.25">
      <c r="B45" s="131">
        <v>7514</v>
      </c>
      <c r="C45" s="11" t="s">
        <v>3551</v>
      </c>
      <c r="D45" s="16">
        <f>SUMIF('I kw.21'!AJ2:AJ499,"7514*",'I kw.21'!F2:F499)</f>
        <v>0</v>
      </c>
      <c r="T45" s="37"/>
    </row>
    <row r="46" spans="2:25" x14ac:dyDescent="0.25">
      <c r="B46" s="131">
        <v>7523</v>
      </c>
      <c r="C46" s="11" t="s">
        <v>3555</v>
      </c>
      <c r="D46" s="16">
        <f>SUMIF('I kw.21'!AJ2:AJ499,"7523*",'I kw.21'!F2:F499)</f>
        <v>0</v>
      </c>
      <c r="T46" s="37"/>
    </row>
    <row r="47" spans="2:25" x14ac:dyDescent="0.25">
      <c r="B47" s="131">
        <v>7542</v>
      </c>
      <c r="C47" s="11" t="s">
        <v>3558</v>
      </c>
      <c r="D47" s="16">
        <f>SUMIF('I kw.21'!AJ2:AJ499,"7542*",'I kw.21'!F2:F499)</f>
        <v>0</v>
      </c>
      <c r="T47" s="37"/>
    </row>
    <row r="48" spans="2:25" x14ac:dyDescent="0.25">
      <c r="B48" s="131">
        <v>7543</v>
      </c>
      <c r="C48" s="11" t="s">
        <v>3559</v>
      </c>
      <c r="D48" s="16">
        <f>SUMIF('I kw.21'!AJ2:AJ499,"7543*",'I kw.21'!F2:F499)</f>
        <v>0</v>
      </c>
    </row>
    <row r="49" spans="1:14" x14ac:dyDescent="0.25">
      <c r="B49" s="131">
        <v>7544</v>
      </c>
      <c r="C49" s="11" t="s">
        <v>3560</v>
      </c>
      <c r="D49" s="16">
        <f>SUMIF('I kw.21'!AJ2:AJ499,"7544*",'I kw.21'!F2:F499)</f>
        <v>0</v>
      </c>
    </row>
    <row r="50" spans="1:14" x14ac:dyDescent="0.25">
      <c r="B50" s="134">
        <v>81</v>
      </c>
      <c r="C50" s="11" t="s">
        <v>3562</v>
      </c>
      <c r="D50" s="16">
        <f>SUMIF('I kw.21'!AJ2:AJ499,"81*",'I kw.21'!F2:F499)</f>
        <v>1</v>
      </c>
    </row>
    <row r="51" spans="1:14" x14ac:dyDescent="0.25">
      <c r="B51" s="134">
        <v>82</v>
      </c>
      <c r="C51" s="11" t="s">
        <v>3563</v>
      </c>
      <c r="D51" s="16">
        <f>SUMIF('I kw.21'!AJ2:AJ499,"82*",'I kw.21'!F2:F499)</f>
        <v>1</v>
      </c>
    </row>
    <row r="52" spans="1:14" x14ac:dyDescent="0.25">
      <c r="B52" s="120">
        <v>13</v>
      </c>
      <c r="C52" s="396" t="s">
        <v>3577</v>
      </c>
      <c r="D52" s="397">
        <f>SUMIF('I kw.21'!AJ2:AJ499,"13*",'I kw.21'!F2:F499)</f>
        <v>1</v>
      </c>
    </row>
    <row r="53" spans="1:14" x14ac:dyDescent="0.25">
      <c r="B53" s="108">
        <v>2163</v>
      </c>
      <c r="C53" s="396" t="s">
        <v>3579</v>
      </c>
      <c r="D53" s="397">
        <f>SUMIF('I kw.21'!AJ2:AJ499,"2163*",'I kw.21'!F2:F499)</f>
        <v>0</v>
      </c>
    </row>
    <row r="54" spans="1:14" ht="30" x14ac:dyDescent="0.25">
      <c r="B54" s="108">
        <v>2133</v>
      </c>
      <c r="C54" s="11" t="s">
        <v>3584</v>
      </c>
      <c r="D54" s="16">
        <f>SUMIF('I kw.21'!AJ2:AJ499,"2133*",'I kw.21'!F2:F499)</f>
        <v>0</v>
      </c>
      <c r="L54" s="11"/>
      <c r="M54" s="393" t="s">
        <v>7254</v>
      </c>
      <c r="N54" s="394" t="s">
        <v>3465</v>
      </c>
    </row>
    <row r="55" spans="1:14" x14ac:dyDescent="0.25">
      <c r="B55" s="37"/>
      <c r="D55" s="310">
        <f>SUM(D26:D54)</f>
        <v>15</v>
      </c>
      <c r="L55" s="395" t="s">
        <v>7792</v>
      </c>
      <c r="M55" s="313">
        <v>86</v>
      </c>
      <c r="N55" s="313">
        <v>122</v>
      </c>
    </row>
    <row r="56" spans="1:14" x14ac:dyDescent="0.25">
      <c r="L56" s="395" t="s">
        <v>7793</v>
      </c>
      <c r="M56" s="313">
        <v>377</v>
      </c>
      <c r="N56" s="313">
        <v>410</v>
      </c>
    </row>
    <row r="57" spans="1:14" x14ac:dyDescent="0.25">
      <c r="B57" s="1" t="s">
        <v>6926</v>
      </c>
      <c r="L57" s="395" t="s">
        <v>7794</v>
      </c>
      <c r="M57" s="313">
        <v>180</v>
      </c>
      <c r="N57" s="313">
        <v>231</v>
      </c>
    </row>
    <row r="58" spans="1:14" x14ac:dyDescent="0.25">
      <c r="B58" s="282" t="s">
        <v>6927</v>
      </c>
      <c r="C58" s="338" t="s">
        <v>3465</v>
      </c>
      <c r="L58" s="395" t="s">
        <v>7795</v>
      </c>
      <c r="M58" s="313">
        <v>361</v>
      </c>
      <c r="N58" s="313">
        <v>378</v>
      </c>
    </row>
    <row r="59" spans="1:14" x14ac:dyDescent="0.25">
      <c r="A59" s="3">
        <v>1</v>
      </c>
      <c r="B59" s="282">
        <v>1801</v>
      </c>
      <c r="C59" s="339">
        <f>SUMIF('I kw.21'!T2:T500,"1801",'I kw.21'!F2:F500)</f>
        <v>0</v>
      </c>
      <c r="L59" s="382" t="s">
        <v>7796</v>
      </c>
      <c r="M59" s="381">
        <v>249</v>
      </c>
      <c r="N59" s="381">
        <v>258</v>
      </c>
    </row>
    <row r="60" spans="1:14" x14ac:dyDescent="0.25">
      <c r="A60" s="3">
        <v>2</v>
      </c>
      <c r="B60" s="282">
        <v>1802</v>
      </c>
      <c r="C60" s="339">
        <f>SUMIF('I kw.21'!T2:T500,"1802",'I kw.21'!F2:F500)</f>
        <v>3</v>
      </c>
      <c r="L60" s="382" t="s">
        <v>7797</v>
      </c>
      <c r="M60" s="381">
        <v>173</v>
      </c>
      <c r="N60" s="381">
        <v>197</v>
      </c>
    </row>
    <row r="61" spans="1:14" x14ac:dyDescent="0.25">
      <c r="A61" s="3">
        <v>3</v>
      </c>
      <c r="B61" s="282">
        <v>1803</v>
      </c>
      <c r="C61" s="339">
        <f>SUMIF('I kw.21'!T2:T500,"1803",'I kw.21'!F2:F500)</f>
        <v>5</v>
      </c>
      <c r="L61" s="382" t="s">
        <v>7798</v>
      </c>
      <c r="M61" s="381">
        <v>97</v>
      </c>
      <c r="N61" s="381">
        <v>97</v>
      </c>
    </row>
    <row r="62" spans="1:14" x14ac:dyDescent="0.25">
      <c r="A62" s="3">
        <v>4</v>
      </c>
      <c r="B62" s="282">
        <v>1804</v>
      </c>
      <c r="C62" s="339">
        <f>SUMIF('I kw.21'!T2:T500,"1804",'I kw.21'!F2:F500)</f>
        <v>3</v>
      </c>
      <c r="L62" s="384" t="s">
        <v>7799</v>
      </c>
      <c r="M62" s="381">
        <v>224</v>
      </c>
      <c r="N62" s="381">
        <v>224</v>
      </c>
    </row>
    <row r="63" spans="1:14" x14ac:dyDescent="0.25">
      <c r="A63" s="3">
        <v>5</v>
      </c>
      <c r="B63" s="282">
        <v>1805</v>
      </c>
      <c r="C63" s="339">
        <f>SUMIF('I kw.21'!T2:T500,"1805",'I kw.21'!F2:F500)</f>
        <v>5</v>
      </c>
      <c r="L63" s="384" t="s">
        <v>8302</v>
      </c>
      <c r="M63" s="381">
        <v>156</v>
      </c>
      <c r="N63" s="381">
        <v>165</v>
      </c>
    </row>
    <row r="64" spans="1:14" x14ac:dyDescent="0.25">
      <c r="A64" s="3">
        <v>6</v>
      </c>
      <c r="B64" s="282">
        <v>1806</v>
      </c>
      <c r="C64" s="339">
        <f>SUMIF('I kw.21'!T2:T500,"1806",'I kw.21'!F2:F500)</f>
        <v>0</v>
      </c>
    </row>
    <row r="65" spans="1:3" x14ac:dyDescent="0.25">
      <c r="A65" s="3">
        <v>7</v>
      </c>
      <c r="B65" s="282">
        <v>1807</v>
      </c>
      <c r="C65" s="339">
        <f>SUMIF('I kw.21'!T2:T500,"1807",'I kw.21'!F2:F500)</f>
        <v>1</v>
      </c>
    </row>
    <row r="66" spans="1:3" x14ac:dyDescent="0.25">
      <c r="A66" s="3">
        <v>8</v>
      </c>
      <c r="B66" s="282">
        <v>1808</v>
      </c>
      <c r="C66" s="339">
        <f>SUMIF('I kw.21'!T2:T500,"1808",'I kw.21'!F2:F500)</f>
        <v>3</v>
      </c>
    </row>
    <row r="67" spans="1:3" x14ac:dyDescent="0.25">
      <c r="A67" s="3">
        <v>9</v>
      </c>
      <c r="B67" s="403">
        <v>1809</v>
      </c>
      <c r="C67" s="404">
        <f>SUMIF('I kw.21'!T2:T500,"1809",'I kw.21'!F2:F500)</f>
        <v>2</v>
      </c>
    </row>
    <row r="68" spans="1:3" x14ac:dyDescent="0.25">
      <c r="A68" s="3">
        <v>10</v>
      </c>
      <c r="B68" s="282">
        <v>1810</v>
      </c>
      <c r="C68" s="339">
        <f>SUMIF('I kw.21'!T2:T500,"1810",'I kw.21'!F2:F500)</f>
        <v>5</v>
      </c>
    </row>
    <row r="69" spans="1:3" x14ac:dyDescent="0.25">
      <c r="A69" s="3">
        <v>11</v>
      </c>
      <c r="B69" s="340">
        <v>1811</v>
      </c>
      <c r="C69" s="341">
        <f>SUMIF('I kw.21'!T2:T500,"1811",'I kw.21'!F2:F500)</f>
        <v>8</v>
      </c>
    </row>
    <row r="70" spans="1:3" x14ac:dyDescent="0.25">
      <c r="A70" s="3">
        <v>12</v>
      </c>
      <c r="B70" s="282">
        <v>1812</v>
      </c>
      <c r="C70" s="339">
        <f>SUMIF('I kw.21'!T2:T500,"1812",'I kw.21'!F2:F500)</f>
        <v>0</v>
      </c>
    </row>
    <row r="71" spans="1:3" x14ac:dyDescent="0.25">
      <c r="A71" s="3">
        <v>13</v>
      </c>
      <c r="B71" s="282">
        <v>1813</v>
      </c>
      <c r="C71" s="339">
        <f>SUMIF('I kw.21'!T2:T500,"1813",'I kw.21'!F2:F500)</f>
        <v>1</v>
      </c>
    </row>
    <row r="72" spans="1:3" x14ac:dyDescent="0.25">
      <c r="A72" s="3">
        <v>14</v>
      </c>
      <c r="B72" s="282">
        <v>1814</v>
      </c>
      <c r="C72" s="339">
        <f>SUMIF('I kw.21'!T2:T500,"1814",'I kw.21'!F2:F500)</f>
        <v>1</v>
      </c>
    </row>
    <row r="73" spans="1:3" x14ac:dyDescent="0.25">
      <c r="A73" s="3">
        <v>15</v>
      </c>
      <c r="B73" s="282">
        <v>1815</v>
      </c>
      <c r="C73" s="339">
        <f>SUMIF('I kw.21'!T2:T500,"1815",'I kw.21'!F2:F500)</f>
        <v>2</v>
      </c>
    </row>
    <row r="74" spans="1:3" x14ac:dyDescent="0.25">
      <c r="A74" s="3">
        <v>16</v>
      </c>
      <c r="B74" s="282">
        <v>1816</v>
      </c>
      <c r="C74" s="339">
        <f>SUMIF('I kw.21'!T2:T500,"1816",'I kw.21'!F2:F500)</f>
        <v>5</v>
      </c>
    </row>
    <row r="75" spans="1:3" x14ac:dyDescent="0.25">
      <c r="A75" s="3">
        <v>17</v>
      </c>
      <c r="B75" s="282">
        <v>1817</v>
      </c>
      <c r="C75" s="339">
        <f>SUMIF('I kw.21'!T2:T500,"1817",'I kw.21'!F2:F500)</f>
        <v>1</v>
      </c>
    </row>
    <row r="76" spans="1:3" x14ac:dyDescent="0.25">
      <c r="A76" s="3">
        <v>18</v>
      </c>
      <c r="B76" s="282">
        <v>1818</v>
      </c>
      <c r="C76" s="339">
        <f>SUMIF('I kw.21'!T2:T500,"1818",'I kw.21'!F2:F500)</f>
        <v>3</v>
      </c>
    </row>
    <row r="77" spans="1:3" x14ac:dyDescent="0.25">
      <c r="A77" s="3">
        <v>19</v>
      </c>
      <c r="B77" s="282">
        <v>1819</v>
      </c>
      <c r="C77" s="339">
        <f>SUMIF('I kw.21'!T2:T500,"1819",'I kw.21'!F2:F500)</f>
        <v>0</v>
      </c>
    </row>
    <row r="78" spans="1:3" x14ac:dyDescent="0.25">
      <c r="A78" s="3">
        <v>20</v>
      </c>
      <c r="B78" s="282">
        <v>1820</v>
      </c>
      <c r="C78" s="339">
        <f>SUMIF('I kw.21'!T2:T500,"1820",'I kw.21'!F2:F500)</f>
        <v>1</v>
      </c>
    </row>
    <row r="79" spans="1:3" x14ac:dyDescent="0.25">
      <c r="A79" s="3">
        <v>21</v>
      </c>
      <c r="B79" s="282">
        <v>1821</v>
      </c>
      <c r="C79" s="339">
        <f>SUMIF('I kw.21'!T2:T500,"1821",'I kw.21'!F2:F500)</f>
        <v>0</v>
      </c>
    </row>
    <row r="80" spans="1:3" x14ac:dyDescent="0.25">
      <c r="A80" s="3">
        <v>22</v>
      </c>
      <c r="B80" s="403">
        <v>1861</v>
      </c>
      <c r="C80" s="404">
        <f>SUMIF('I kw.21'!T2:T500,"1861",'I kw.21'!F2:F500)</f>
        <v>3</v>
      </c>
    </row>
    <row r="81" spans="1:3" x14ac:dyDescent="0.25">
      <c r="A81" s="3">
        <v>23</v>
      </c>
      <c r="B81" s="282">
        <v>1862</v>
      </c>
      <c r="C81" s="339">
        <f>SUMIF('I kw.21'!T2:T500,"1862",'I kw.21'!F2:F500)</f>
        <v>7</v>
      </c>
    </row>
    <row r="82" spans="1:3" x14ac:dyDescent="0.25">
      <c r="A82" s="3">
        <v>24</v>
      </c>
      <c r="B82" s="340">
        <v>1863</v>
      </c>
      <c r="C82" s="341">
        <f>SUMIF('I kw.21'!T2:T500,"1863",'I kw.21'!F2:F500)</f>
        <v>72</v>
      </c>
    </row>
    <row r="83" spans="1:3" x14ac:dyDescent="0.25">
      <c r="A83" s="3">
        <v>25</v>
      </c>
      <c r="B83" s="282">
        <v>1864</v>
      </c>
      <c r="C83" s="339">
        <f>SUMIF('I kw.21'!T2:T500,"1864",'I kw.21'!F2:F500)</f>
        <v>1</v>
      </c>
    </row>
    <row r="84" spans="1:3" x14ac:dyDescent="0.25">
      <c r="B84" s="282">
        <v>1800</v>
      </c>
      <c r="C84" s="339">
        <f>SUM(C59:C83)</f>
        <v>132</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3"/>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EXACT(E21,P22)</f>
        <v>1</v>
      </c>
    </row>
    <row r="3" spans="2:30" ht="60" x14ac:dyDescent="0.25">
      <c r="B3" s="380" t="s">
        <v>171</v>
      </c>
      <c r="C3" s="380" t="s">
        <v>172</v>
      </c>
      <c r="D3" s="380" t="s">
        <v>6539</v>
      </c>
      <c r="E3" s="380" t="s">
        <v>3483</v>
      </c>
      <c r="F3" s="380" t="s">
        <v>3467</v>
      </c>
      <c r="H3" s="193" t="s">
        <v>3462</v>
      </c>
      <c r="I3" s="193" t="s">
        <v>3465</v>
      </c>
      <c r="J3" s="193" t="s">
        <v>3514</v>
      </c>
      <c r="K3" s="413" t="s">
        <v>9295</v>
      </c>
      <c r="R3" s="3" t="s">
        <v>6394</v>
      </c>
      <c r="S3" s="20"/>
      <c r="T3" s="3" t="s">
        <v>6394</v>
      </c>
      <c r="U3" s="20"/>
      <c r="Y3" s="3" t="s">
        <v>6927</v>
      </c>
    </row>
    <row r="4" spans="2:30" x14ac:dyDescent="0.25">
      <c r="B4" s="381" t="s">
        <v>3515</v>
      </c>
      <c r="C4" s="382" t="s">
        <v>3460</v>
      </c>
      <c r="D4" s="383">
        <v>563</v>
      </c>
      <c r="E4" s="383">
        <v>523</v>
      </c>
      <c r="F4" s="381"/>
      <c r="H4" s="11" t="s">
        <v>3463</v>
      </c>
      <c r="I4" s="12">
        <f>COUNTIF('II kw.21'!E2:E242,"praca")</f>
        <v>219</v>
      </c>
      <c r="J4" s="12" t="s">
        <v>3515</v>
      </c>
      <c r="K4" s="12">
        <f ca="1">SUMIF('II kw.21'!E2:F238,"praca",'II kw.21'!F2:F238)</f>
        <v>224</v>
      </c>
      <c r="N4" s="12">
        <v>1</v>
      </c>
      <c r="O4" s="11" t="s">
        <v>170</v>
      </c>
      <c r="P4" s="12">
        <f>SUM(D54)</f>
        <v>28</v>
      </c>
      <c r="R4" s="12">
        <f ca="1">RANK(P4,$P$4:$P$15,0)+COUNTIF($P$4:P4,P4)-1</f>
        <v>4</v>
      </c>
      <c r="T4" s="17" t="str">
        <f ca="1">INDEX($N$4:$P$15,MATCH(1,$R$4:$R$15,0),2)</f>
        <v>Przemysł high-tech</v>
      </c>
      <c r="U4" s="12">
        <f ca="1">INDEX($N$4:$P$15,MATCH(1,$R$4:$R$15,0),3)</f>
        <v>73</v>
      </c>
      <c r="Y4" s="12">
        <v>1803</v>
      </c>
      <c r="Z4" s="26">
        <f>SUMIF('II kw.21'!T3:T500,"1803",'II kw.21'!F3:F500)</f>
        <v>1</v>
      </c>
      <c r="AA4" s="12">
        <v>1801</v>
      </c>
      <c r="AB4" s="26">
        <f>SUMIF('II kw.21'!T2:T500,"1801",'II kw.21'!F2:F500)</f>
        <v>0</v>
      </c>
      <c r="AD4" s="12">
        <v>1801</v>
      </c>
    </row>
    <row r="5" spans="2:30" x14ac:dyDescent="0.25">
      <c r="B5" s="381" t="s">
        <v>3516</v>
      </c>
      <c r="C5" s="382" t="s">
        <v>3459</v>
      </c>
      <c r="D5" s="383">
        <v>466</v>
      </c>
      <c r="E5" s="383">
        <v>477</v>
      </c>
      <c r="F5" s="381"/>
      <c r="H5" s="11" t="s">
        <v>192</v>
      </c>
      <c r="I5" s="12">
        <f>COUNTIF('II kw.21'!E2:E243,"pracuj.pl")</f>
        <v>3</v>
      </c>
      <c r="J5" s="12" t="s">
        <v>3516</v>
      </c>
      <c r="K5" s="12">
        <f ca="1">SUMIF('II kw.21'!E2:F238,"pracuj.pl",'II kw.21'!F2:F238)</f>
        <v>3</v>
      </c>
      <c r="N5" s="12">
        <v>2</v>
      </c>
      <c r="O5" s="11" t="s">
        <v>2</v>
      </c>
      <c r="P5" s="12">
        <f ca="1">SUM(G40)</f>
        <v>73</v>
      </c>
      <c r="R5" s="12">
        <f ca="1">RANK(P5,$P$4:$P$15,0)+COUNTIF($P$4:P5,P5)-1</f>
        <v>1</v>
      </c>
      <c r="T5" s="17" t="str">
        <f ca="1">INDEX($N$4:$P$15,MATCH(2,$R$4:$R$15,0),2)</f>
        <v>Handel, transport, logistyka</v>
      </c>
      <c r="U5" s="12">
        <f ca="1">INDEX($N$4:$P$15,MATCH(2,$R$4:$R$15,0),3)</f>
        <v>61</v>
      </c>
      <c r="Y5" s="12">
        <v>1811</v>
      </c>
      <c r="Z5" s="26">
        <f>SUMIF('II kw.21'!T3:T500,"1811",'II kw.21'!F3:F500)</f>
        <v>20</v>
      </c>
      <c r="AA5" s="12">
        <v>1802</v>
      </c>
      <c r="AB5" s="26">
        <f>SUMIF('II kw.21'!T2:T500,"1802",'II kw.21'!F2:F500)</f>
        <v>0</v>
      </c>
      <c r="AD5" s="12">
        <v>1802</v>
      </c>
    </row>
    <row r="6" spans="2:30" x14ac:dyDescent="0.25">
      <c r="B6" s="381" t="s">
        <v>3517</v>
      </c>
      <c r="C6" s="382" t="s">
        <v>3458</v>
      </c>
      <c r="D6" s="383">
        <v>365</v>
      </c>
      <c r="E6" s="383">
        <v>386</v>
      </c>
      <c r="F6" s="381"/>
      <c r="H6" s="11" t="s">
        <v>217</v>
      </c>
      <c r="I6" s="12">
        <f>COUNTIF('II kw.21'!E2:E244,"agora")</f>
        <v>9</v>
      </c>
      <c r="J6" s="12" t="s">
        <v>3517</v>
      </c>
      <c r="K6" s="12">
        <f ca="1">SUMIF('II kw.21'!E3:F239,"agora",'II kw.21'!F3:F239)</f>
        <v>9</v>
      </c>
      <c r="N6" s="12">
        <v>3</v>
      </c>
      <c r="O6" s="11" t="s">
        <v>3</v>
      </c>
      <c r="P6" s="12">
        <f>SUM(J38)</f>
        <v>12</v>
      </c>
      <c r="R6" s="12">
        <f ca="1">RANK(P6,$P$4:$P$15,0)+COUNTIF($P$4:P6,P6)-1</f>
        <v>5</v>
      </c>
      <c r="T6" s="17" t="str">
        <f ca="1">INDEX($N$4:$P$15,MATCH(3,$R$4:$R$15,0),2)</f>
        <v>Usługi finansowe, HR i inne</v>
      </c>
      <c r="U6" s="12">
        <f ca="1">INDEX($N$4:$P$15,MATCH(3,$R$4:$R$15,0),3)</f>
        <v>46</v>
      </c>
      <c r="Y6" s="12">
        <v>1816</v>
      </c>
      <c r="Z6" s="26">
        <f>SUMIF('II kw.21'!T3:T500,"1816",'II kw.21'!F3:F500)</f>
        <v>3</v>
      </c>
      <c r="AA6" s="12">
        <v>1804</v>
      </c>
      <c r="AB6" s="26">
        <f>SUMIF('II kw.21'!T2:T500,"1804",'II kw.21'!F2:F500)</f>
        <v>4</v>
      </c>
      <c r="AD6" s="12">
        <v>1803</v>
      </c>
    </row>
    <row r="7" spans="2:30" x14ac:dyDescent="0.25">
      <c r="B7" s="381" t="s">
        <v>3518</v>
      </c>
      <c r="C7" s="382" t="s">
        <v>3457</v>
      </c>
      <c r="D7" s="383">
        <v>461</v>
      </c>
      <c r="E7" s="383">
        <v>444</v>
      </c>
      <c r="F7" s="381"/>
      <c r="H7" s="11" t="s">
        <v>3464</v>
      </c>
      <c r="I7" s="12">
        <f>COUNTIF('II kw.21'!E2:E245,"gratka")</f>
        <v>6</v>
      </c>
      <c r="J7" s="12" t="s">
        <v>3518</v>
      </c>
      <c r="K7" s="12">
        <f ca="1">SUMIF('II kw.21'!E4:F240,"gratka",'II kw.21'!F4:F240)</f>
        <v>6</v>
      </c>
      <c r="N7" s="12">
        <v>4</v>
      </c>
      <c r="O7" s="11" t="s">
        <v>3589</v>
      </c>
      <c r="P7" s="12">
        <f>SUM(M31)</f>
        <v>61</v>
      </c>
      <c r="R7" s="12">
        <f ca="1">RANK(P7,$P$4:$P$15,0)+COUNTIF($P$4:P7,P7)-1</f>
        <v>2</v>
      </c>
      <c r="T7" s="17" t="str">
        <f ca="1">INDEX($N$4:$P$15,MATCH(4,$R$4:$R$15,0),2)</f>
        <v>Przemysł produkcyjny</v>
      </c>
      <c r="U7" s="12">
        <f ca="1">INDEX($N$4:$P$15,MATCH(4,$R$4:$R$15,0),3)</f>
        <v>28</v>
      </c>
      <c r="Y7" s="12">
        <v>1861</v>
      </c>
      <c r="Z7" s="26">
        <f>SUMIF('II kw.21'!T3:T500,"1861",'II kw.21'!F3:F500)</f>
        <v>6</v>
      </c>
      <c r="AA7" s="12">
        <v>1805</v>
      </c>
      <c r="AB7" s="26">
        <f>SUMIF('II kw.21'!T2:T500,"1805",'II kw.21'!F2:F500)</f>
        <v>1</v>
      </c>
      <c r="AD7" s="12">
        <v>1804</v>
      </c>
    </row>
    <row r="8" spans="2:30" x14ac:dyDescent="0.25">
      <c r="B8" s="381" t="s">
        <v>13071</v>
      </c>
      <c r="C8" s="382" t="s">
        <v>173</v>
      </c>
      <c r="D8" s="383">
        <v>720</v>
      </c>
      <c r="E8" s="383">
        <v>704</v>
      </c>
      <c r="F8" s="381"/>
      <c r="H8" s="415" t="s">
        <v>7786</v>
      </c>
      <c r="I8" s="300"/>
      <c r="J8" s="300"/>
      <c r="K8" s="414"/>
      <c r="N8" s="12">
        <v>5</v>
      </c>
      <c r="O8" s="11" t="s">
        <v>13096</v>
      </c>
      <c r="P8" s="12">
        <f>SUM(P30)</f>
        <v>46</v>
      </c>
      <c r="R8" s="12">
        <f ca="1">RANK(P8,$P$4:$P$15,0)+COUNTIF($P$4:P8,P8)-1</f>
        <v>3</v>
      </c>
      <c r="T8" s="17" t="str">
        <f ca="1">INDEX($N$4:$P$15,MATCH(5,$R$4:$R$15,0),2)</f>
        <v>Budownictwo</v>
      </c>
      <c r="U8" s="12">
        <f ca="1">INDEX($N$4:$P$15,MATCH(5,$R$4:$R$15,0),3)</f>
        <v>12</v>
      </c>
      <c r="Y8" s="12">
        <v>1863</v>
      </c>
      <c r="Z8" s="26">
        <f>SUMIF('II kw.21'!T3:T500,"1863",'II kw.21'!F3:F500)</f>
        <v>28</v>
      </c>
      <c r="AA8" s="12">
        <v>1806</v>
      </c>
      <c r="AB8" s="26">
        <f>SUMIF('II kw.21'!T2:T500,"1806",'II kw.21'!F2:F500)</f>
        <v>0</v>
      </c>
      <c r="AD8" s="12">
        <v>1805</v>
      </c>
    </row>
    <row r="9" spans="2:30" x14ac:dyDescent="0.25">
      <c r="B9" s="12">
        <v>1</v>
      </c>
      <c r="C9" s="17" t="s">
        <v>175</v>
      </c>
      <c r="D9" s="26">
        <v>86</v>
      </c>
      <c r="E9" s="26">
        <v>122</v>
      </c>
      <c r="F9" s="12"/>
      <c r="H9" s="184"/>
      <c r="I9" s="183">
        <f>SUM(I4:I7)</f>
        <v>237</v>
      </c>
      <c r="J9" s="184"/>
      <c r="K9" s="183">
        <f ca="1">SUM(K4:K8)</f>
        <v>242</v>
      </c>
      <c r="N9" s="12">
        <v>6</v>
      </c>
      <c r="O9" s="11" t="s">
        <v>134</v>
      </c>
      <c r="P9" s="12">
        <f>SUM(P35)</f>
        <v>0</v>
      </c>
      <c r="R9" s="12">
        <f ca="1">RANK(P9,$P$4:$P$15,0)+COUNTIF($P$4:P9,P9)-1</f>
        <v>10</v>
      </c>
      <c r="T9" s="17" t="str">
        <f ca="1">INDEX($N$4:$P$15,MATCH(6,$R$4:$R$15,0),2)</f>
        <v>Informacja i edukcja</v>
      </c>
      <c r="U9" s="12">
        <f ca="1">INDEX($N$4:$P$15,MATCH(6,$R$4:$R$15,0),3)</f>
        <v>10</v>
      </c>
      <c r="Y9" s="16" t="s">
        <v>7787</v>
      </c>
      <c r="Z9" s="299">
        <f>SUM(Z4:Z8)</f>
        <v>58</v>
      </c>
      <c r="AA9" s="12">
        <v>1807</v>
      </c>
      <c r="AB9" s="26">
        <f>SUMIF('II kw.21'!T2:T500,"1807",'II kw.21'!F2:F500)</f>
        <v>0</v>
      </c>
      <c r="AD9" s="12">
        <v>1806</v>
      </c>
    </row>
    <row r="10" spans="2:30" x14ac:dyDescent="0.25">
      <c r="B10" s="12">
        <v>2</v>
      </c>
      <c r="C10" s="17" t="s">
        <v>174</v>
      </c>
      <c r="D10" s="26">
        <v>377</v>
      </c>
      <c r="E10" s="26">
        <v>410</v>
      </c>
      <c r="F10" s="12"/>
      <c r="N10" s="12">
        <v>7</v>
      </c>
      <c r="O10" s="11" t="s">
        <v>3590</v>
      </c>
      <c r="P10" s="12">
        <f>SUM(P41)</f>
        <v>2</v>
      </c>
      <c r="R10" s="12">
        <f ca="1">RANK(P10,$P$4:$P$15,0)+COUNTIF($P$4:P10,P10)-1</f>
        <v>8</v>
      </c>
      <c r="T10" s="17" t="str">
        <f ca="1">INDEX($N$4:$P$15,MATCH(7,$R$4:$R$15,0),2)</f>
        <v>Prace proste</v>
      </c>
      <c r="U10" s="12">
        <f ca="1">INDEX($N$4:$P$15,MATCH(7,$R$4:$R$15,0),3)</f>
        <v>8</v>
      </c>
      <c r="AA10" s="12">
        <v>1808</v>
      </c>
      <c r="AB10" s="12">
        <f>SUMIF('II kw.21'!T2:T500,"1808",'II kw.21'!F2:F500)</f>
        <v>1</v>
      </c>
      <c r="AD10" s="12">
        <v>1807</v>
      </c>
    </row>
    <row r="11" spans="2:30" x14ac:dyDescent="0.25">
      <c r="B11" s="381" t="s">
        <v>13072</v>
      </c>
      <c r="C11" s="382" t="s">
        <v>3486</v>
      </c>
      <c r="D11" s="383">
        <f>SUM(D9:D10)</f>
        <v>463</v>
      </c>
      <c r="E11" s="383">
        <f>SUM(E9:E10)</f>
        <v>532</v>
      </c>
      <c r="F11" s="381"/>
      <c r="H11" s="1" t="s">
        <v>3570</v>
      </c>
      <c r="N11" s="12">
        <v>8</v>
      </c>
      <c r="O11" s="11" t="s">
        <v>4</v>
      </c>
      <c r="P11" s="12">
        <f>SUM(S28)</f>
        <v>2</v>
      </c>
      <c r="R11" s="12">
        <f ca="1">RANK(P11,$P$4:$P$15,0)+COUNTIF($P$4:P11,P11)-1</f>
        <v>9</v>
      </c>
      <c r="T11" s="17" t="str">
        <f ca="1">INDEX($N$4:$P$15,MATCH(8,$R$4:$R$15,0),2)</f>
        <v>Usługi typu krawiectwo, kaletnictwo, obuwnictwo + poszukiwanie + ochrona</v>
      </c>
      <c r="U11" s="12">
        <f ca="1">INDEX($N$4:$P$15,MATCH(8,$R$4:$R$15,0),3)</f>
        <v>2</v>
      </c>
      <c r="AA11" s="12">
        <v>1809</v>
      </c>
      <c r="AB11" s="12">
        <f>SUMIF('II kw.21'!T2:T500,"1809",'II kw.21'!F2:F500)</f>
        <v>0</v>
      </c>
      <c r="AD11" s="12">
        <v>1808</v>
      </c>
    </row>
    <row r="12" spans="2:30" x14ac:dyDescent="0.25">
      <c r="B12" s="12">
        <v>3</v>
      </c>
      <c r="C12" s="17" t="s">
        <v>3481</v>
      </c>
      <c r="D12" s="12">
        <v>180</v>
      </c>
      <c r="E12" s="12">
        <v>231</v>
      </c>
      <c r="F12" s="12"/>
      <c r="H12" s="312" t="s">
        <v>3469</v>
      </c>
      <c r="I12" s="312" t="s">
        <v>3568</v>
      </c>
      <c r="J12" s="313">
        <f ca="1">SUM(D54,G40,J38)</f>
        <v>113</v>
      </c>
      <c r="N12" s="12">
        <v>9</v>
      </c>
      <c r="O12" s="11" t="s">
        <v>3591</v>
      </c>
      <c r="P12" s="12">
        <f>SUM(V28)</f>
        <v>10</v>
      </c>
      <c r="R12" s="12">
        <f ca="1">RANK(P12,$P$4:$P$15,0)+COUNTIF($P$4:P12,P12)-1</f>
        <v>6</v>
      </c>
      <c r="T12" s="17" t="str">
        <f ca="1">INDEX($N$4:$P$15,MATCH(9,$R$4:$R$15,0),2)</f>
        <v>Zdrowie i opieka społeczna</v>
      </c>
      <c r="U12" s="12">
        <f ca="1">INDEX($N$4:$P$15,MATCH(9,$R$4:$R$15,0),3)</f>
        <v>2</v>
      </c>
      <c r="AA12" s="12">
        <v>1810</v>
      </c>
      <c r="AB12" s="12">
        <f>SUMIF('II kw.21'!T2:T500,"1810",'II kw.21'!F2:F500)</f>
        <v>1</v>
      </c>
      <c r="AD12" s="12">
        <v>1809</v>
      </c>
    </row>
    <row r="13" spans="2:30" x14ac:dyDescent="0.25">
      <c r="B13" s="12">
        <v>4</v>
      </c>
      <c r="C13" s="17" t="s">
        <v>3482</v>
      </c>
      <c r="D13" s="12">
        <v>361</v>
      </c>
      <c r="E13" s="12">
        <v>378</v>
      </c>
      <c r="F13" s="12"/>
      <c r="H13" s="308" t="s">
        <v>3470</v>
      </c>
      <c r="I13" s="308" t="s">
        <v>3566</v>
      </c>
      <c r="J13" s="307">
        <f>SUM(M31,P30,P35,P41,S28)</f>
        <v>111</v>
      </c>
      <c r="N13" s="12">
        <v>10</v>
      </c>
      <c r="O13" s="11" t="s">
        <v>0</v>
      </c>
      <c r="P13" s="12">
        <f>SUM(V34)</f>
        <v>0</v>
      </c>
      <c r="R13" s="12">
        <f ca="1">RANK(P13,$P$4:$P$15,0)+COUNTIF($P$4:P13,P13)-1</f>
        <v>11</v>
      </c>
      <c r="T13" s="17" t="str">
        <f ca="1">INDEX($N$4:$P$15,MATCH(10,$R$4:$R$15,0),2)</f>
        <v>Usługi gastronomiczne</v>
      </c>
      <c r="U13" s="12">
        <f ca="1">INDEX($N$4:$P$15,MATCH(10,$R$4:$R$15,0),3)</f>
        <v>0</v>
      </c>
      <c r="AA13" s="12">
        <v>1812</v>
      </c>
      <c r="AB13" s="12">
        <f>SUMIF('II kw.21'!T2:T500,"1812",'II kw.21'!F2:F500)</f>
        <v>3</v>
      </c>
      <c r="AD13" s="12">
        <v>1810</v>
      </c>
    </row>
    <row r="14" spans="2:30" x14ac:dyDescent="0.25">
      <c r="B14" s="381" t="s">
        <v>13073</v>
      </c>
      <c r="C14" s="382" t="s">
        <v>3487</v>
      </c>
      <c r="D14" s="383">
        <f>SUM(D12:D13)</f>
        <v>541</v>
      </c>
      <c r="E14" s="383">
        <f>SUM(E12:E13)</f>
        <v>609</v>
      </c>
      <c r="F14" s="381"/>
      <c r="H14" s="322" t="s">
        <v>3471</v>
      </c>
      <c r="I14" s="322" t="s">
        <v>3567</v>
      </c>
      <c r="J14" s="316">
        <f>SUM(V28,V34)</f>
        <v>10</v>
      </c>
      <c r="N14" s="12">
        <v>11</v>
      </c>
      <c r="O14" s="11" t="s">
        <v>6</v>
      </c>
      <c r="P14" s="12">
        <f>SUM(Y27)</f>
        <v>8</v>
      </c>
      <c r="R14" s="12">
        <f ca="1">RANK(P14,$P$4:$P$15,0)+COUNTIF($P$4:P14,P14)-1</f>
        <v>7</v>
      </c>
      <c r="T14" s="17" t="str">
        <f ca="1">INDEX($N$4:$P$15,MATCH(11,$R$4:$R$15,0),2)</f>
        <v>Nadzór i administracja</v>
      </c>
      <c r="U14" s="12">
        <f ca="1">INDEX($N$4:$P$15,MATCH(11,$R$4:$R$15,0),3)</f>
        <v>0</v>
      </c>
      <c r="AA14" s="12">
        <v>1813</v>
      </c>
      <c r="AB14" s="12">
        <f>SUMIF('II kw.21'!T2:T500,"1813",'II kw.21'!F2:F500)</f>
        <v>0</v>
      </c>
      <c r="AD14" s="12">
        <v>1811</v>
      </c>
    </row>
    <row r="15" spans="2:30" x14ac:dyDescent="0.25">
      <c r="B15" s="12">
        <v>5</v>
      </c>
      <c r="C15" s="17" t="s">
        <v>6392</v>
      </c>
      <c r="D15" s="26">
        <v>249</v>
      </c>
      <c r="E15" s="26">
        <v>258</v>
      </c>
      <c r="F15" s="12"/>
      <c r="H15" s="325" t="s">
        <v>3472</v>
      </c>
      <c r="I15" s="325" t="s">
        <v>6</v>
      </c>
      <c r="J15" s="326">
        <f>SUM(Y27)</f>
        <v>8</v>
      </c>
      <c r="N15" s="12">
        <v>12</v>
      </c>
      <c r="O15" s="17" t="s">
        <v>3574</v>
      </c>
      <c r="P15" s="12">
        <f>SUM(Y37)</f>
        <v>0</v>
      </c>
      <c r="R15" s="12">
        <f ca="1">RANK(P15,$P$4:$P$15,0)+COUNTIF($P$4:P15,P15)-1</f>
        <v>12</v>
      </c>
      <c r="T15" s="17" t="str">
        <f ca="1">INDEX($N$4:$P$15,MATCH(12,$R$4:$R$15,0),2)</f>
        <v>Pozostałe grupy</v>
      </c>
      <c r="U15" s="12">
        <f ca="1">INDEX($N$4:$P$15,MATCH(12,$R$4:$R$15,0),3)</f>
        <v>0</v>
      </c>
      <c r="AA15" s="12">
        <v>1814</v>
      </c>
      <c r="AB15" s="12">
        <f>SUMIF('II kw.21'!T2:T500,"1814",'II kw.21'!F2:F500)</f>
        <v>0</v>
      </c>
      <c r="AD15" s="12">
        <v>1812</v>
      </c>
    </row>
    <row r="16" spans="2:30" x14ac:dyDescent="0.25">
      <c r="B16" s="12">
        <v>6</v>
      </c>
      <c r="C16" s="17" t="s">
        <v>6924</v>
      </c>
      <c r="D16" s="26">
        <v>173</v>
      </c>
      <c r="E16" s="26">
        <v>197</v>
      </c>
      <c r="F16" s="12"/>
      <c r="H16" s="329" t="s">
        <v>3473</v>
      </c>
      <c r="I16" s="329" t="s">
        <v>3574</v>
      </c>
      <c r="J16" s="96">
        <f>SUM(Y37)</f>
        <v>0</v>
      </c>
      <c r="N16" s="18"/>
      <c r="O16" s="89"/>
      <c r="P16" s="18"/>
      <c r="R16" s="18"/>
      <c r="T16" s="89"/>
      <c r="U16" s="18"/>
      <c r="AA16" s="12">
        <v>1815</v>
      </c>
      <c r="AB16" s="12">
        <f>SUMIF('II kw.21'!T2:T500,"1815",'II kw.21'!F2:F500)</f>
        <v>0</v>
      </c>
      <c r="AD16" s="12">
        <v>1813</v>
      </c>
    </row>
    <row r="17" spans="2:30" x14ac:dyDescent="0.25">
      <c r="B17" s="381" t="s">
        <v>3469</v>
      </c>
      <c r="C17" s="382" t="s">
        <v>6929</v>
      </c>
      <c r="D17" s="383">
        <f>SUM(D15:D16)</f>
        <v>422</v>
      </c>
      <c r="E17" s="383">
        <f>SUM(E15:E16)</f>
        <v>455</v>
      </c>
      <c r="F17" s="381"/>
      <c r="H17" s="184"/>
      <c r="I17" s="184"/>
      <c r="J17" s="183">
        <f ca="1">SUM(J12:J16)</f>
        <v>242</v>
      </c>
      <c r="N17" s="18"/>
      <c r="O17" s="89"/>
      <c r="P17" s="18"/>
      <c r="R17" s="18"/>
      <c r="T17" s="89"/>
      <c r="U17" s="18"/>
      <c r="AA17" s="12">
        <v>1817</v>
      </c>
      <c r="AB17" s="12">
        <f>SUMIF('II kw.21'!T2:T500,"1817",'II kw.21'!F2:F500)</f>
        <v>3</v>
      </c>
      <c r="AD17" s="12">
        <v>1814</v>
      </c>
    </row>
    <row r="18" spans="2:30" x14ac:dyDescent="0.25">
      <c r="B18" s="12">
        <v>7</v>
      </c>
      <c r="C18" s="17" t="s">
        <v>6928</v>
      </c>
      <c r="D18" s="26">
        <v>97</v>
      </c>
      <c r="E18" s="26">
        <v>97</v>
      </c>
      <c r="F18" s="12"/>
      <c r="H18" s="184"/>
      <c r="I18" s="184"/>
      <c r="J18" s="183"/>
      <c r="N18" s="18"/>
      <c r="O18" s="89"/>
      <c r="P18" s="18"/>
      <c r="R18" s="18"/>
      <c r="T18" s="89"/>
      <c r="U18" s="18"/>
      <c r="AA18" s="12">
        <v>1818</v>
      </c>
      <c r="AB18" s="12">
        <f>SUMIF('II kw.21'!T2:T500,"1818",'II kw.21'!F2:F500)</f>
        <v>1</v>
      </c>
      <c r="AD18" s="12">
        <v>1815</v>
      </c>
    </row>
    <row r="19" spans="2:30" x14ac:dyDescent="0.25">
      <c r="B19" s="12">
        <v>8</v>
      </c>
      <c r="C19" s="17" t="s">
        <v>7785</v>
      </c>
      <c r="D19" s="26">
        <v>224</v>
      </c>
      <c r="E19" s="26">
        <v>224</v>
      </c>
      <c r="F19" s="12"/>
      <c r="H19" s="184"/>
      <c r="I19" s="184"/>
      <c r="J19" s="183"/>
      <c r="N19" s="18"/>
      <c r="O19" s="89"/>
      <c r="P19" s="18"/>
      <c r="R19" s="18"/>
      <c r="T19" s="89"/>
      <c r="U19" s="18"/>
      <c r="AA19" s="12">
        <v>1819</v>
      </c>
      <c r="AB19" s="12">
        <f>SUMIF('II kw.21'!T2:T500,"1819",'II kw.21'!F2:F500)</f>
        <v>0</v>
      </c>
      <c r="AD19" s="12">
        <v>1816</v>
      </c>
    </row>
    <row r="20" spans="2:30" x14ac:dyDescent="0.25">
      <c r="B20" s="12">
        <v>9</v>
      </c>
      <c r="C20" s="17" t="s">
        <v>7800</v>
      </c>
      <c r="D20" s="26">
        <v>156</v>
      </c>
      <c r="E20" s="26">
        <v>165</v>
      </c>
      <c r="F20" s="12"/>
      <c r="G20" s="135"/>
      <c r="H20" s="184"/>
      <c r="I20" s="184"/>
      <c r="J20" s="183"/>
      <c r="N20" s="18"/>
      <c r="O20" s="89"/>
      <c r="P20" s="18"/>
      <c r="R20" s="18"/>
      <c r="T20" s="89"/>
      <c r="U20" s="18"/>
      <c r="AA20" s="12"/>
      <c r="AB20" s="12"/>
      <c r="AD20" s="12"/>
    </row>
    <row r="21" spans="2:30" x14ac:dyDescent="0.25">
      <c r="B21" s="107">
        <v>10</v>
      </c>
      <c r="C21" s="106" t="s">
        <v>8303</v>
      </c>
      <c r="D21" s="105">
        <v>237</v>
      </c>
      <c r="E21" s="105">
        <v>242</v>
      </c>
      <c r="F21" s="107" t="s">
        <v>13079</v>
      </c>
      <c r="G21" s="135"/>
      <c r="H21" s="184"/>
      <c r="I21" s="184"/>
      <c r="J21" s="183"/>
      <c r="N21" s="18"/>
      <c r="O21" s="89"/>
      <c r="P21" s="18"/>
      <c r="R21" s="18"/>
      <c r="T21" s="89"/>
      <c r="U21" s="18"/>
      <c r="AA21" s="12"/>
      <c r="AB21" s="12"/>
      <c r="AD21" s="12"/>
    </row>
    <row r="22" spans="2:30" x14ac:dyDescent="0.25">
      <c r="B22" s="18"/>
      <c r="C22" s="89"/>
      <c r="E22" s="135"/>
      <c r="F22" s="20"/>
      <c r="N22" s="242"/>
      <c r="O22" s="242"/>
      <c r="P22" s="243">
        <f ca="1">SUM(P4:P15)</f>
        <v>242</v>
      </c>
      <c r="R22" s="242"/>
      <c r="T22" s="243"/>
      <c r="U22" s="246">
        <f ca="1">SUM(U4:U15)</f>
        <v>242</v>
      </c>
      <c r="AA22" s="12">
        <v>1820</v>
      </c>
      <c r="AB22" s="12">
        <f>SUMIF('II kw.21'!T2:T500,"1820",'II kw.21'!F2:F500)</f>
        <v>0</v>
      </c>
      <c r="AD22" s="12">
        <v>1817</v>
      </c>
    </row>
    <row r="23" spans="2:30" x14ac:dyDescent="0.25">
      <c r="B23" s="303" t="s">
        <v>170</v>
      </c>
      <c r="C23" s="303"/>
      <c r="D23" s="303"/>
      <c r="E23" s="303" t="s">
        <v>2</v>
      </c>
      <c r="F23" s="303"/>
      <c r="G23" s="303"/>
      <c r="H23" s="303" t="s">
        <v>3</v>
      </c>
      <c r="I23" s="303"/>
      <c r="J23" s="303"/>
      <c r="K23" s="304" t="s">
        <v>3589</v>
      </c>
      <c r="L23" s="304"/>
      <c r="M23" s="304"/>
      <c r="N23" s="304" t="s">
        <v>1</v>
      </c>
      <c r="O23" s="304"/>
      <c r="P23" s="304"/>
      <c r="Q23" s="407" t="s">
        <v>4</v>
      </c>
      <c r="R23" s="407"/>
      <c r="S23" s="407"/>
      <c r="T23" s="314" t="s">
        <v>5</v>
      </c>
      <c r="U23" s="314"/>
      <c r="V23" s="314"/>
      <c r="W23" s="328" t="s">
        <v>6</v>
      </c>
      <c r="X23" s="328"/>
      <c r="Y23" s="327"/>
      <c r="AA23" s="12">
        <v>1821</v>
      </c>
      <c r="AB23" s="12">
        <f>SUMIF('II kw.21'!T2:T500,"1821",'II kw.21'!F2:F500)</f>
        <v>1</v>
      </c>
      <c r="AD23" s="12">
        <v>1818</v>
      </c>
    </row>
    <row r="24" spans="2:30" x14ac:dyDescent="0.25">
      <c r="B24" s="21" t="s">
        <v>3469</v>
      </c>
      <c r="C24" s="22"/>
      <c r="D24" s="311"/>
      <c r="E24" s="21" t="s">
        <v>3470</v>
      </c>
      <c r="F24" s="22"/>
      <c r="G24" s="311"/>
      <c r="H24" s="21" t="s">
        <v>3470</v>
      </c>
      <c r="I24" s="21"/>
      <c r="J24" s="311"/>
      <c r="K24" s="114"/>
      <c r="L24" s="113"/>
      <c r="M24" s="305"/>
      <c r="N24" s="305"/>
      <c r="O24" s="306"/>
      <c r="P24" s="305"/>
      <c r="Q24" s="305"/>
      <c r="R24" s="306"/>
      <c r="S24" s="305"/>
      <c r="T24" s="98"/>
      <c r="U24" s="99"/>
      <c r="V24" s="315"/>
      <c r="W24" s="323"/>
      <c r="X24" s="324"/>
      <c r="Y24" s="325"/>
      <c r="AA24" s="12">
        <v>1862</v>
      </c>
      <c r="AB24" s="12">
        <f>SUMIF('II kw.21'!T2:T500,"1862",'II kw.21'!F2:F500)</f>
        <v>2</v>
      </c>
      <c r="AD24" s="12">
        <v>1819</v>
      </c>
    </row>
    <row r="25" spans="2:30" x14ac:dyDescent="0.25">
      <c r="B25" s="108">
        <v>2141</v>
      </c>
      <c r="C25" s="390" t="s">
        <v>3569</v>
      </c>
      <c r="D25" s="390">
        <f>SUMIF('II kw.21'!AJ2:AJ499,"2141*",'II kw.21'!F2:F499)</f>
        <v>1</v>
      </c>
      <c r="E25" s="108">
        <v>2113</v>
      </c>
      <c r="F25" s="11" t="s">
        <v>3491</v>
      </c>
      <c r="G25" s="16">
        <f ca="1">SUMIF('II kw.21'!AJ2:AJ499,"2113*",'II kw.21'!F2:F466)</f>
        <v>1</v>
      </c>
      <c r="H25" s="122">
        <v>2142</v>
      </c>
      <c r="I25" s="399" t="s">
        <v>3494</v>
      </c>
      <c r="J25" s="16">
        <f>SUMIF('II kw.21'!AJ2:AJ499,"2142*",'II kw.21'!F2:F499)</f>
        <v>2</v>
      </c>
      <c r="K25" s="123">
        <v>315</v>
      </c>
      <c r="L25" s="11" t="s">
        <v>3532</v>
      </c>
      <c r="M25" s="112">
        <f>SUMIF('II kw.21'!AJ2:AJ499,"315*",'II kw.21'!F2:F499)</f>
        <v>0</v>
      </c>
      <c r="N25" s="108">
        <v>2166</v>
      </c>
      <c r="O25" s="11" t="s">
        <v>3510</v>
      </c>
      <c r="P25" s="307">
        <f>SUMIF('II kw.21'!AJ2:AJ499,"2166*",'II kw.21'!F2:F499)</f>
        <v>0</v>
      </c>
      <c r="Q25" s="405">
        <v>22</v>
      </c>
      <c r="R25" s="406" t="s">
        <v>3511</v>
      </c>
      <c r="S25" s="307">
        <f>SUMIF('II kw.21'!AJ2:AJ499,"22*",'II kw.21'!F2:F499)</f>
        <v>1</v>
      </c>
      <c r="T25" s="118">
        <v>23</v>
      </c>
      <c r="U25" s="11" t="s">
        <v>3512</v>
      </c>
      <c r="V25" s="316">
        <f>SUMIF('II kw.21'!AJ2:AJ499,"23*",'II kw.21'!F2:F499)</f>
        <v>5</v>
      </c>
      <c r="W25" s="131">
        <v>7549</v>
      </c>
      <c r="X25" s="11" t="s">
        <v>3561</v>
      </c>
      <c r="Y25" s="326">
        <f>SUMIF('II kw.21'!AJ2:AJ499,"7549*",'II kw.21'!F2:F499)</f>
        <v>0</v>
      </c>
      <c r="AA25" s="12">
        <v>1864</v>
      </c>
      <c r="AB25" s="12">
        <f>SUMIF('II kw.21'!T2:T500,"1864",'II kw.21'!F2:F500)</f>
        <v>7</v>
      </c>
      <c r="AD25" s="12">
        <v>1820</v>
      </c>
    </row>
    <row r="26" spans="2:30" x14ac:dyDescent="0.25">
      <c r="B26" s="108">
        <v>2132</v>
      </c>
      <c r="C26" s="11" t="s">
        <v>3493</v>
      </c>
      <c r="D26" s="195">
        <f>SUMIF('II kw.21'!AJ2:AJ499,"2132*",'II kw.21'!F2:F499)</f>
        <v>0</v>
      </c>
      <c r="E26" s="108">
        <v>2145</v>
      </c>
      <c r="F26" s="11" t="s">
        <v>3496</v>
      </c>
      <c r="G26" s="16">
        <f ca="1">SUMIF('II kw.21'!AJ2:AJ499,"2145*",'II kw.21'!F2:F466)</f>
        <v>1</v>
      </c>
      <c r="H26" s="122">
        <v>2143</v>
      </c>
      <c r="I26" s="11" t="s">
        <v>93</v>
      </c>
      <c r="J26" s="16">
        <f>SUMIF('II kw.21'!AJ2:AJ499,"2143*",'II kw.21'!F2:F499)</f>
        <v>0</v>
      </c>
      <c r="K26" s="117">
        <v>42</v>
      </c>
      <c r="L26" s="11" t="s">
        <v>3537</v>
      </c>
      <c r="M26" s="112">
        <f>SUMIF('II kw.21'!AJ2:AJ499,"42*",'II kw.21'!F2:F499)</f>
        <v>15</v>
      </c>
      <c r="N26" s="118">
        <v>24</v>
      </c>
      <c r="O26" s="368" t="s">
        <v>3571</v>
      </c>
      <c r="P26" s="107">
        <f>SUMIF('II kw.21'!AJ2:AJ499,"24*",'II kw.21'!F2:F499)</f>
        <v>24</v>
      </c>
      <c r="Q26" s="405">
        <v>32</v>
      </c>
      <c r="R26" s="406" t="s">
        <v>3533</v>
      </c>
      <c r="S26" s="307">
        <f>SUMIF('II kw.21'!AJ2:AJ499,"32*",'II kw.21'!F2:F499)</f>
        <v>1</v>
      </c>
      <c r="T26" s="118">
        <v>26</v>
      </c>
      <c r="U26" s="11" t="s">
        <v>3572</v>
      </c>
      <c r="V26" s="316">
        <f>SUMIF('II kw.21'!AJ2:AJ499,"26*",'II kw.21'!F2:F499)</f>
        <v>5</v>
      </c>
      <c r="W26" s="119">
        <v>9</v>
      </c>
      <c r="X26" s="11" t="s">
        <v>3565</v>
      </c>
      <c r="Y26" s="326">
        <f>SUMIF('II kw.21'!AJ2:AJ499,"9*",'II kw.21'!F2:F499)</f>
        <v>8</v>
      </c>
      <c r="AA26" s="299" t="s">
        <v>7788</v>
      </c>
      <c r="AB26" s="16">
        <f>SUM(AB4:AB25)</f>
        <v>24</v>
      </c>
      <c r="AD26" s="12">
        <v>1821</v>
      </c>
    </row>
    <row r="27" spans="2:30" x14ac:dyDescent="0.25">
      <c r="B27" s="108">
        <v>2146</v>
      </c>
      <c r="C27" s="11" t="s">
        <v>3497</v>
      </c>
      <c r="D27" s="16">
        <f>SUMIF('II kw.21'!AJ2:AJ499,"2146*",'II kw.21'!F2:F499)</f>
        <v>0</v>
      </c>
      <c r="E27" s="108">
        <v>2131</v>
      </c>
      <c r="F27" s="11" t="s">
        <v>3492</v>
      </c>
      <c r="G27" s="16">
        <f ca="1">SUMIF('II kw.21'!AJ2:AJ499,"2131*",'II kw.21'!F2:F466)</f>
        <v>0</v>
      </c>
      <c r="H27" s="122">
        <v>2161</v>
      </c>
      <c r="I27" s="11" t="s">
        <v>3507</v>
      </c>
      <c r="J27" s="16">
        <f>SUMIF('II kw.21'!AJ2:AJ499,"2161*",'II kw.21'!F2:F499)</f>
        <v>1</v>
      </c>
      <c r="K27" s="117">
        <v>43</v>
      </c>
      <c r="L27" s="103" t="s">
        <v>3538</v>
      </c>
      <c r="M27" s="107">
        <f>SUMIF('II kw.21'!AJ2:AJ499,"43*",'II kw.21'!F2:F499)</f>
        <v>5</v>
      </c>
      <c r="N27" s="125">
        <v>33</v>
      </c>
      <c r="O27" s="368" t="s">
        <v>3534</v>
      </c>
      <c r="P27" s="107">
        <f>SUMIF('II kw.21'!AJ2:AJ499,"33*",'II kw.21'!F2:F499)</f>
        <v>20</v>
      </c>
      <c r="Q27" s="405">
        <v>53</v>
      </c>
      <c r="R27" s="406" t="s">
        <v>3542</v>
      </c>
      <c r="S27" s="307">
        <f>SUMIF('II kw.21'!AJ2:AJ499,"53*",'II kw.21'!F2:F499)</f>
        <v>0</v>
      </c>
      <c r="T27" s="125">
        <v>34</v>
      </c>
      <c r="U27" s="11" t="s">
        <v>3535</v>
      </c>
      <c r="V27" s="316">
        <f>SUMIF('II kw.21'!AJ2:AJ499,"34*",'II kw.21'!F2:F499)</f>
        <v>0</v>
      </c>
      <c r="W27" s="37"/>
      <c r="Y27" s="326">
        <f>SUM(Y25:Y26)</f>
        <v>8</v>
      </c>
      <c r="AA27" s="96" t="s">
        <v>7789</v>
      </c>
      <c r="AB27" s="96">
        <f>SUM(Z9,AB26)</f>
        <v>82</v>
      </c>
      <c r="AD27" s="12">
        <v>1861</v>
      </c>
    </row>
    <row r="28" spans="2:30" x14ac:dyDescent="0.25">
      <c r="B28" s="121">
        <v>3113</v>
      </c>
      <c r="C28" s="11" t="s">
        <v>3520</v>
      </c>
      <c r="D28" s="16">
        <f>SUMIF('II kw.21'!AJ2:AJ499,"3113*",'II kw.21'!F2:F499)</f>
        <v>0</v>
      </c>
      <c r="E28" s="108">
        <v>2144</v>
      </c>
      <c r="F28" s="399" t="s">
        <v>3495</v>
      </c>
      <c r="G28" s="398">
        <f ca="1">SUMIF('II kw.21'!AJ2:AJ499,"2144*",'II kw.21'!F2:F466)</f>
        <v>0</v>
      </c>
      <c r="H28" s="122">
        <v>2162</v>
      </c>
      <c r="I28" s="11" t="s">
        <v>3508</v>
      </c>
      <c r="J28" s="16">
        <f>SUMIF('II kw.21'!AJ2:AJ499,"2162*",'II kw.21'!F2:F499)</f>
        <v>0</v>
      </c>
      <c r="K28" s="367">
        <v>52</v>
      </c>
      <c r="L28" s="103" t="s">
        <v>3541</v>
      </c>
      <c r="M28" s="107">
        <f>SUMIF('II kw.21'!AJ2:AJ499,"52*",'II kw.21'!F2:F499)</f>
        <v>24</v>
      </c>
      <c r="N28" s="127">
        <v>51</v>
      </c>
      <c r="O28" s="11" t="s">
        <v>3540</v>
      </c>
      <c r="P28" s="307">
        <f>SUMIF('II kw.21'!AJ2:AJ499,"51*",'II kw.21'!F2:F499)</f>
        <v>2</v>
      </c>
      <c r="Q28" s="37"/>
      <c r="S28" s="307">
        <f>SUM(S25:S27)</f>
        <v>2</v>
      </c>
      <c r="V28" s="317">
        <f>SUM(V25:V27)</f>
        <v>10</v>
      </c>
      <c r="W28" s="37"/>
      <c r="AA28" s="11" t="s">
        <v>7790</v>
      </c>
      <c r="AB28" s="12">
        <f ca="1">J17-COUNTA('II kw.21'!T2:T500)</f>
        <v>149</v>
      </c>
      <c r="AD28" s="12">
        <v>1862</v>
      </c>
    </row>
    <row r="29" spans="2:30" x14ac:dyDescent="0.25">
      <c r="B29" s="121">
        <v>3114</v>
      </c>
      <c r="C29" s="11" t="s">
        <v>3521</v>
      </c>
      <c r="D29" s="16">
        <f>SUMIF('II kw.21'!AJ2:AJ499,"3114*",'II kw.21'!F2:F499)</f>
        <v>0</v>
      </c>
      <c r="E29" s="108">
        <v>2149</v>
      </c>
      <c r="F29" s="399" t="s">
        <v>3498</v>
      </c>
      <c r="G29" s="398">
        <f ca="1">SUMIF('II kw.21'!AJ2:AJ499,"2149*",'II kw.21'!F2:F466)</f>
        <v>0</v>
      </c>
      <c r="H29" s="108">
        <v>2164</v>
      </c>
      <c r="I29" s="11" t="s">
        <v>3585</v>
      </c>
      <c r="J29" s="16">
        <f>SUMIF('II kw.21'!AJ2:AJ499,"2164*",'II kw.21'!F2:F499)</f>
        <v>0</v>
      </c>
      <c r="K29" s="133">
        <v>83</v>
      </c>
      <c r="L29" s="11" t="s">
        <v>3564</v>
      </c>
      <c r="M29" s="112">
        <f>SUMIF('II kw.21'!AJ2:AJ499,"83*",'II kw.21'!F2:F499)</f>
        <v>13</v>
      </c>
      <c r="N29" s="120">
        <v>14</v>
      </c>
      <c r="O29" s="11" t="s">
        <v>3578</v>
      </c>
      <c r="P29" s="307">
        <f>SUMIF('II kw.21'!AJ2:AJ499,"14*",'II kw.21'!F2:F499)</f>
        <v>0</v>
      </c>
      <c r="Q29" s="37"/>
      <c r="T29" s="1" t="s">
        <v>0</v>
      </c>
      <c r="U29" s="94"/>
      <c r="V29" s="20"/>
      <c r="W29" s="37" t="s">
        <v>3574</v>
      </c>
      <c r="AA29" s="11" t="s">
        <v>7791</v>
      </c>
      <c r="AB29" s="12">
        <f>SUMPRODUCT(COUNTIF('II kw.21'!$T$2:$T$500,"*"&amp;'13'!$AD$4:$AD$28&amp;"*"))</f>
        <v>50</v>
      </c>
      <c r="AD29" s="12">
        <v>1863</v>
      </c>
    </row>
    <row r="30" spans="2:30" x14ac:dyDescent="0.25">
      <c r="B30" s="401">
        <v>3115</v>
      </c>
      <c r="C30" s="8" t="s">
        <v>3522</v>
      </c>
      <c r="D30" s="9">
        <f>SUMIF('II kw.21'!AJ2:AJ499,"3115*",'II kw.21'!F2:F499)</f>
        <v>1</v>
      </c>
      <c r="E30" s="389">
        <v>2149</v>
      </c>
      <c r="F30" s="11" t="s">
        <v>3499</v>
      </c>
      <c r="G30" s="104" t="s">
        <v>3573</v>
      </c>
      <c r="H30" s="122">
        <v>2165</v>
      </c>
      <c r="I30" s="11" t="s">
        <v>3509</v>
      </c>
      <c r="J30" s="16">
        <f>SUMIF('II kw.21'!AJ2:AJ499,"2165*",'II kw.21'!F2:F499)</f>
        <v>0</v>
      </c>
      <c r="K30" s="120">
        <v>12</v>
      </c>
      <c r="L30" s="11" t="s">
        <v>3576</v>
      </c>
      <c r="M30" s="112">
        <f>SUMIF('II kw.21'!AJ2:AJ499,"12*",'II kw.21'!F2:F499)</f>
        <v>4</v>
      </c>
      <c r="P30" s="307">
        <f>SUM(P25:P29)</f>
        <v>46</v>
      </c>
      <c r="Q30" s="37"/>
      <c r="T30" s="321"/>
      <c r="U30" s="320"/>
      <c r="V30" s="318"/>
      <c r="W30" s="330"/>
      <c r="X30" s="331"/>
      <c r="Y30" s="329"/>
      <c r="AD30" s="12">
        <v>1864</v>
      </c>
    </row>
    <row r="31" spans="2:30" x14ac:dyDescent="0.25">
      <c r="B31" s="401">
        <v>3116</v>
      </c>
      <c r="C31" s="8" t="s">
        <v>3523</v>
      </c>
      <c r="D31" s="9">
        <f>SUMIF('II kw.21'!AJ2:AJ499,"3116*",'II kw.21'!F2:F499)</f>
        <v>0</v>
      </c>
      <c r="E31" s="389">
        <v>2149</v>
      </c>
      <c r="F31" s="11" t="s">
        <v>3500</v>
      </c>
      <c r="G31" s="104" t="s">
        <v>3573</v>
      </c>
      <c r="H31" s="126">
        <v>3111</v>
      </c>
      <c r="I31" s="11" t="s">
        <v>3587</v>
      </c>
      <c r="J31" s="16">
        <f>SUMIF('II kw.21'!AJ2:AJ499,"3111*",'II kw.21'!F2:F499)</f>
        <v>0</v>
      </c>
      <c r="K31" s="89"/>
      <c r="L31" s="20"/>
      <c r="M31" s="307">
        <f>SUM(M25:M30)</f>
        <v>61</v>
      </c>
      <c r="Q31" s="37"/>
      <c r="T31" s="116">
        <v>41</v>
      </c>
      <c r="U31" s="11" t="s">
        <v>3592</v>
      </c>
      <c r="V31" s="316">
        <f>SUMIF('II kw.21'!AJ2:AJ499,"41*",'II kw.21'!F2:F499)</f>
        <v>0</v>
      </c>
      <c r="W31" s="120">
        <v>11</v>
      </c>
      <c r="X31" s="11" t="s">
        <v>3575</v>
      </c>
      <c r="Y31" s="96">
        <f>SUMIF('II kw.21'!AJ2:AJ499,"11*",'II kw.21'!F2:F499)</f>
        <v>0</v>
      </c>
    </row>
    <row r="32" spans="2:30" x14ac:dyDescent="0.25">
      <c r="B32" s="121">
        <v>3117</v>
      </c>
      <c r="C32" s="11" t="s">
        <v>3524</v>
      </c>
      <c r="D32" s="16">
        <f>SUMIF('II kw.21'!AJ2:AJ499,"3117*",'II kw.21'!F2:F499)</f>
        <v>0</v>
      </c>
      <c r="E32" s="389">
        <v>2149</v>
      </c>
      <c r="F32" s="11" t="s">
        <v>3501</v>
      </c>
      <c r="G32" s="104" t="s">
        <v>3573</v>
      </c>
      <c r="H32" s="126">
        <v>3112</v>
      </c>
      <c r="I32" s="399" t="s">
        <v>3519</v>
      </c>
      <c r="J32" s="16">
        <f>SUMIF('II kw.21'!AJ2:AJ499,"3112*",'II kw.21'!F2:F499)</f>
        <v>1</v>
      </c>
      <c r="K32" s="89"/>
      <c r="L32" s="20"/>
      <c r="M32" s="20"/>
      <c r="N32" s="100" t="s">
        <v>134</v>
      </c>
      <c r="O32" s="93"/>
      <c r="Q32" s="37"/>
      <c r="T32" s="116">
        <v>44</v>
      </c>
      <c r="U32" s="11" t="s">
        <v>3539</v>
      </c>
      <c r="V32" s="316">
        <f>SUMIF('II kw.21'!AJ2:AJ499,"44*",'II kw.21'!F2:F499)</f>
        <v>0</v>
      </c>
      <c r="W32" s="108">
        <v>2111</v>
      </c>
      <c r="X32" s="11" t="s">
        <v>3580</v>
      </c>
      <c r="Y32" s="96">
        <f>SUMIF('II kw.21'!AJ2:AJ499,"2111*",'II kw.21'!F2:F499)</f>
        <v>0</v>
      </c>
    </row>
    <row r="33" spans="2:25" x14ac:dyDescent="0.25">
      <c r="B33" s="121">
        <v>3119</v>
      </c>
      <c r="C33" s="396" t="s">
        <v>3526</v>
      </c>
      <c r="D33" s="397">
        <f>SUMIF('II kw.21'!AJ2:AJ499,"3119*",'II kw.21'!F2:F499)</f>
        <v>0</v>
      </c>
      <c r="E33" s="389">
        <v>2149</v>
      </c>
      <c r="F33" s="11" t="s">
        <v>3502</v>
      </c>
      <c r="G33" s="104" t="s">
        <v>3573</v>
      </c>
      <c r="H33" s="126">
        <v>3118</v>
      </c>
      <c r="I33" s="11" t="s">
        <v>3525</v>
      </c>
      <c r="J33" s="16">
        <f>SUMIF('II kw.21'!AJ2:AJ499,"3118*",'II kw.21'!F2:F499)</f>
        <v>0</v>
      </c>
      <c r="K33" s="89"/>
      <c r="L33" s="20"/>
      <c r="M33" s="20"/>
      <c r="N33" s="305"/>
      <c r="O33" s="306"/>
      <c r="P33" s="308"/>
      <c r="Q33" s="37"/>
      <c r="T33" s="131">
        <v>7515</v>
      </c>
      <c r="U33" s="11" t="s">
        <v>3552</v>
      </c>
      <c r="V33" s="319">
        <f>SUMIF('II kw.21'!AJ2:AJ499,"7515*",'II kw.21'!F2:F499)</f>
        <v>0</v>
      </c>
      <c r="W33" s="108">
        <v>2112</v>
      </c>
      <c r="X33" s="11" t="s">
        <v>3581</v>
      </c>
      <c r="Y33" s="96">
        <f>SUMIF('II kw.21'!AJ2:AJ499,"2112*",'II kw.21'!F2:F499)</f>
        <v>0</v>
      </c>
    </row>
    <row r="34" spans="2:25" x14ac:dyDescent="0.25">
      <c r="B34" s="121">
        <v>3121</v>
      </c>
      <c r="C34" s="11" t="s">
        <v>3527</v>
      </c>
      <c r="D34" s="16">
        <f>SUMIF('II kw.21'!AJ2:AJ499,"3121*",'II kw.21'!F2:F499)</f>
        <v>0</v>
      </c>
      <c r="E34" s="389">
        <v>2149</v>
      </c>
      <c r="F34" s="11" t="s">
        <v>3503</v>
      </c>
      <c r="G34" s="104" t="s">
        <v>3573</v>
      </c>
      <c r="H34" s="126">
        <v>3123</v>
      </c>
      <c r="I34" s="11" t="s">
        <v>3529</v>
      </c>
      <c r="J34" s="16">
        <f>SUMIF('II kw.21'!AJ2:AJ499,"3123*",'II kw.21'!F2:F499)</f>
        <v>0</v>
      </c>
      <c r="K34" s="89"/>
      <c r="L34" s="20"/>
      <c r="N34" s="131">
        <v>7512</v>
      </c>
      <c r="O34" s="11" t="s">
        <v>3549</v>
      </c>
      <c r="P34" s="307">
        <f>SUMIF('II kw.21'!AJ2:AJ499,"7512*",'II kw.21'!F2:F499)</f>
        <v>0</v>
      </c>
      <c r="Q34" s="37"/>
      <c r="T34" s="37"/>
      <c r="V34" s="317">
        <f>SUM(V31:V33)</f>
        <v>0</v>
      </c>
      <c r="W34" s="108">
        <v>2114</v>
      </c>
      <c r="X34" s="11" t="s">
        <v>3582</v>
      </c>
      <c r="Y34" s="96">
        <f>SUMIF('II kw.21'!AJ2:AJ499,"2114*",'II kw.21'!F2:F499)</f>
        <v>0</v>
      </c>
    </row>
    <row r="35" spans="2:25" x14ac:dyDescent="0.25">
      <c r="B35" s="121">
        <v>3122</v>
      </c>
      <c r="C35" s="11" t="s">
        <v>3528</v>
      </c>
      <c r="D35" s="16">
        <f>SUMIF('II kw.21'!AJ2:AJ499,"3122*",'II kw.21'!F2:F499)</f>
        <v>0</v>
      </c>
      <c r="E35" s="108">
        <v>2151</v>
      </c>
      <c r="F35" s="11" t="s">
        <v>3504</v>
      </c>
      <c r="G35" s="16">
        <f ca="1">SUMIF('II kw.21'!AJ2:AJ499,"2151*",'II kw.21'!F2:F466)</f>
        <v>1</v>
      </c>
      <c r="H35" s="129">
        <v>71</v>
      </c>
      <c r="I35" s="399" t="s">
        <v>3544</v>
      </c>
      <c r="J35" s="417">
        <f>SUMIF('II kw.21'!AJ2:AJ499,"71*",'II kw.21'!F2:F499)</f>
        <v>8</v>
      </c>
      <c r="K35" s="89"/>
      <c r="L35" s="20"/>
      <c r="M35" s="20"/>
      <c r="P35" s="307">
        <f>SUM(P34)</f>
        <v>0</v>
      </c>
      <c r="Q35" s="37"/>
      <c r="T35" s="37"/>
      <c r="W35" s="108">
        <v>2120</v>
      </c>
      <c r="X35" s="11" t="s">
        <v>3583</v>
      </c>
      <c r="Y35" s="96">
        <f>SUMIF('II kw.21'!AJ2:AJ499,"2120*",'II kw.21'!F2:F499)</f>
        <v>0</v>
      </c>
    </row>
    <row r="36" spans="2:25" x14ac:dyDescent="0.25">
      <c r="B36" s="416">
        <v>313</v>
      </c>
      <c r="C36" s="391" t="s">
        <v>3530</v>
      </c>
      <c r="D36" s="390">
        <f>SUMIF('II kw.21'!AJ2:AJ499,"313*",'II kw.21'!F2:F499)</f>
        <v>4</v>
      </c>
      <c r="E36" s="108">
        <v>2152</v>
      </c>
      <c r="F36" s="11" t="s">
        <v>3505</v>
      </c>
      <c r="G36" s="16">
        <f ca="1">SUMIF('II kw.21'!AJ2:AJ499,"2152*",'II kw.21'!F2:F466)</f>
        <v>0</v>
      </c>
      <c r="H36" s="132">
        <v>7521</v>
      </c>
      <c r="I36" s="11" t="s">
        <v>3553</v>
      </c>
      <c r="J36" s="16">
        <f>SUMIF('II kw.21'!AJ2:AJ499,"7521*",'II kw.21'!F2:F499)</f>
        <v>0</v>
      </c>
      <c r="K36" s="89"/>
      <c r="L36" s="20"/>
      <c r="M36" s="20"/>
      <c r="N36" s="94" t="s">
        <v>154</v>
      </c>
      <c r="O36" s="94"/>
      <c r="P36" s="18"/>
      <c r="T36" s="37"/>
      <c r="W36" s="119">
        <v>0</v>
      </c>
      <c r="X36" s="11" t="s">
        <v>3586</v>
      </c>
      <c r="Y36" s="96">
        <f>SUMIF('II kw.21'!AJ2:AJ499,"0*",'II kw.21'!F2:F499)</f>
        <v>0</v>
      </c>
    </row>
    <row r="37" spans="2:25" x14ac:dyDescent="0.25">
      <c r="B37" s="401">
        <v>314</v>
      </c>
      <c r="C37" s="8" t="s">
        <v>3531</v>
      </c>
      <c r="D37" s="9">
        <f>SUMIF('II kw.21'!AJ2:AJ499,"314*",'II kw.21'!F2:F499)</f>
        <v>0</v>
      </c>
      <c r="E37" s="108">
        <v>2153</v>
      </c>
      <c r="F37" s="11" t="s">
        <v>3506</v>
      </c>
      <c r="G37" s="16">
        <f ca="1">SUMIF('II kw.21'!AJ2:AJ499,"2153*",'II kw.21'!F2:F466)</f>
        <v>4</v>
      </c>
      <c r="H37" s="132">
        <v>7522</v>
      </c>
      <c r="I37" s="11" t="s">
        <v>3554</v>
      </c>
      <c r="J37" s="16">
        <f>SUMIF('II kw.21'!AJ2:AJ499,"7522*",'II kw.21'!F2:F499)</f>
        <v>0</v>
      </c>
      <c r="K37" s="89"/>
      <c r="L37" s="20"/>
      <c r="M37" s="20"/>
      <c r="N37" s="305"/>
      <c r="O37" s="306"/>
      <c r="P37" s="308"/>
      <c r="Y37" s="96">
        <f>SUM(Y31:Y36)</f>
        <v>0</v>
      </c>
    </row>
    <row r="38" spans="2:25" x14ac:dyDescent="0.25">
      <c r="B38" s="125">
        <v>35</v>
      </c>
      <c r="C38" s="391" t="s">
        <v>3536</v>
      </c>
      <c r="D38" s="390">
        <f>SUMIF('II kw.21'!AJ2:AJ499,"35*",'II kw.21'!F2:F499)</f>
        <v>1</v>
      </c>
      <c r="E38" s="118">
        <v>25</v>
      </c>
      <c r="F38" s="400" t="s">
        <v>3513</v>
      </c>
      <c r="G38" s="16">
        <f ca="1">SUMIF('II kw.21'!AJ2:AJ499,"25*",'II kw.21'!F2:F466)</f>
        <v>64</v>
      </c>
      <c r="J38" s="309">
        <f>SUM(J25:J37)</f>
        <v>12</v>
      </c>
      <c r="K38" s="89"/>
      <c r="L38" s="20"/>
      <c r="M38" s="20"/>
      <c r="N38" s="131">
        <v>753</v>
      </c>
      <c r="O38" s="11" t="s">
        <v>3556</v>
      </c>
      <c r="P38" s="307">
        <f>SUMIF('II kw.21'!AJ2:AJ499,"753*",'II kw.21'!F2:F499)</f>
        <v>0</v>
      </c>
    </row>
    <row r="39" spans="2:25" x14ac:dyDescent="0.25">
      <c r="B39" s="119">
        <v>6</v>
      </c>
      <c r="C39" s="11" t="s">
        <v>3543</v>
      </c>
      <c r="D39" s="16">
        <f>SUMIF('II kw.21'!AJ2:AJ499,"6*",'II kw.21'!F2:F499)</f>
        <v>0</v>
      </c>
      <c r="E39" s="130">
        <v>74</v>
      </c>
      <c r="F39" s="11" t="s">
        <v>3547</v>
      </c>
      <c r="G39" s="16">
        <f ca="1">SUMIF('II kw.21'!AJ2:AJ499,"74*",'II kw.21'!F2:F466)</f>
        <v>2</v>
      </c>
      <c r="H39" s="89"/>
      <c r="I39" s="20"/>
      <c r="K39" s="20"/>
      <c r="L39" s="20"/>
      <c r="M39" s="20"/>
      <c r="N39" s="131">
        <v>7541</v>
      </c>
      <c r="O39" s="11" t="s">
        <v>3557</v>
      </c>
      <c r="P39" s="307">
        <f>SUMIF('II kw.21'!AJ2:AJ499,"7541*",'II kw.21'!F2:F499)</f>
        <v>0</v>
      </c>
    </row>
    <row r="40" spans="2:25" x14ac:dyDescent="0.25">
      <c r="B40" s="130">
        <v>72</v>
      </c>
      <c r="C40" s="396" t="s">
        <v>3545</v>
      </c>
      <c r="D40" s="397">
        <f>SUMIF('II kw.21'!AJ2:AJ499,"72*",'II kw.21'!F2:F499)</f>
        <v>7</v>
      </c>
      <c r="G40" s="310">
        <f ca="1">SUM(G25:G39)</f>
        <v>73</v>
      </c>
      <c r="N40" s="127">
        <v>54</v>
      </c>
      <c r="O40" s="11" t="s">
        <v>3588</v>
      </c>
      <c r="P40" s="307">
        <f>SUMIF('II kw.21'!AJ2:AJ499,"54*",'II kw.21'!F2:F499)</f>
        <v>2</v>
      </c>
    </row>
    <row r="41" spans="2:25" x14ac:dyDescent="0.25">
      <c r="B41" s="130">
        <v>73</v>
      </c>
      <c r="C41" s="11" t="s">
        <v>3546</v>
      </c>
      <c r="D41" s="16">
        <f>SUMIF('II kw.21'!AJ2:AJ499,"73*",'II kw.21'!F2:F499)</f>
        <v>2</v>
      </c>
      <c r="P41" s="307">
        <f>SUM(P38:P40)</f>
        <v>2</v>
      </c>
    </row>
    <row r="42" spans="2:25" x14ac:dyDescent="0.25">
      <c r="B42" s="131">
        <v>7511</v>
      </c>
      <c r="C42" s="11" t="s">
        <v>3548</v>
      </c>
      <c r="D42" s="16">
        <f>SUMIF('II kw.21'!AJ2:AJ499,"7511*",'II kw.21'!F2:F499)</f>
        <v>0</v>
      </c>
      <c r="T42" s="37"/>
    </row>
    <row r="43" spans="2:25" x14ac:dyDescent="0.25">
      <c r="B43" s="131">
        <v>7513</v>
      </c>
      <c r="C43" s="11" t="s">
        <v>3550</v>
      </c>
      <c r="D43" s="16">
        <f>SUMIF('II kw.21'!AJ2:AJ499,"7513*",'II kw.21'!F2:F499)</f>
        <v>0</v>
      </c>
      <c r="T43" s="37"/>
    </row>
    <row r="44" spans="2:25" x14ac:dyDescent="0.25">
      <c r="B44" s="131">
        <v>7514</v>
      </c>
      <c r="C44" s="11" t="s">
        <v>3551</v>
      </c>
      <c r="D44" s="16">
        <f>SUMIF('II kw.21'!AJ2:AJ499,"7514*",'II kw.21'!F2:F499)</f>
        <v>0</v>
      </c>
      <c r="T44" s="37"/>
    </row>
    <row r="45" spans="2:25" x14ac:dyDescent="0.25">
      <c r="B45" s="131">
        <v>7523</v>
      </c>
      <c r="C45" s="11" t="s">
        <v>3555</v>
      </c>
      <c r="D45" s="16">
        <f>SUMIF('II kw.21'!AJ2:AJ499,"7523*",'II kw.21'!F2:F499)</f>
        <v>0</v>
      </c>
      <c r="T45" s="37"/>
    </row>
    <row r="46" spans="2:25" x14ac:dyDescent="0.25">
      <c r="B46" s="131">
        <v>7542</v>
      </c>
      <c r="C46" s="11" t="s">
        <v>3558</v>
      </c>
      <c r="D46" s="16">
        <f>SUMIF('II kw.21'!AJ2:AJ499,"7542*",'II kw.21'!F2:F499)</f>
        <v>0</v>
      </c>
      <c r="T46" s="37"/>
    </row>
    <row r="47" spans="2:25" x14ac:dyDescent="0.25">
      <c r="B47" s="131">
        <v>7543</v>
      </c>
      <c r="C47" s="11" t="s">
        <v>3559</v>
      </c>
      <c r="D47" s="16">
        <f>SUMIF('II kw.21'!AJ2:AJ499,"7543*",'II kw.21'!F2:F499)</f>
        <v>0</v>
      </c>
    </row>
    <row r="48" spans="2:25" x14ac:dyDescent="0.25">
      <c r="B48" s="131">
        <v>7544</v>
      </c>
      <c r="C48" s="11" t="s">
        <v>3560</v>
      </c>
      <c r="D48" s="16">
        <f>SUMIF('II kw.21'!AJ2:AJ499,"7544*",'II kw.21'!F2:F499)</f>
        <v>0</v>
      </c>
    </row>
    <row r="49" spans="1:14" x14ac:dyDescent="0.25">
      <c r="B49" s="134">
        <v>81</v>
      </c>
      <c r="C49" s="11" t="s">
        <v>3562</v>
      </c>
      <c r="D49" s="16">
        <f>SUMIF('II kw.21'!AJ2:AJ499,"81*",'II kw.21'!F2:F499)</f>
        <v>1</v>
      </c>
    </row>
    <row r="50" spans="1:14" x14ac:dyDescent="0.25">
      <c r="B50" s="134">
        <v>82</v>
      </c>
      <c r="C50" s="11" t="s">
        <v>3563</v>
      </c>
      <c r="D50" s="16">
        <f>SUMIF('II kw.21'!AJ2:AJ499,"82*",'II kw.21'!F2:F499)</f>
        <v>0</v>
      </c>
    </row>
    <row r="51" spans="1:14" x14ac:dyDescent="0.25">
      <c r="B51" s="120">
        <v>13</v>
      </c>
      <c r="C51" s="396" t="s">
        <v>3577</v>
      </c>
      <c r="D51" s="397">
        <f>SUMIF('II kw.21'!AJ2:AJ499,"13*",'II kw.21'!F2:F499)</f>
        <v>11</v>
      </c>
    </row>
    <row r="52" spans="1:14" x14ac:dyDescent="0.25">
      <c r="B52" s="108">
        <v>2163</v>
      </c>
      <c r="C52" s="396" t="s">
        <v>3579</v>
      </c>
      <c r="D52" s="397">
        <f>SUMIF('II kw.21'!AJ2:AJ499,"2163*",'II kw.21'!F2:F499)</f>
        <v>0</v>
      </c>
    </row>
    <row r="53" spans="1:14" ht="30" x14ac:dyDescent="0.25">
      <c r="B53" s="108">
        <v>2133</v>
      </c>
      <c r="C53" s="11" t="s">
        <v>3584</v>
      </c>
      <c r="D53" s="16">
        <f>SUMIF('II kw.21'!AJ2:AJ499,"2133*",'II kw.21'!F2:F499)</f>
        <v>0</v>
      </c>
      <c r="L53" s="11"/>
      <c r="M53" s="393" t="s">
        <v>7254</v>
      </c>
      <c r="N53" s="394" t="s">
        <v>3465</v>
      </c>
    </row>
    <row r="54" spans="1:14" x14ac:dyDescent="0.25">
      <c r="B54" s="37"/>
      <c r="D54" s="310">
        <f>SUM(D25:D53)</f>
        <v>28</v>
      </c>
      <c r="L54" s="395" t="s">
        <v>7792</v>
      </c>
      <c r="M54" s="313">
        <v>86</v>
      </c>
      <c r="N54" s="313">
        <v>122</v>
      </c>
    </row>
    <row r="55" spans="1:14" x14ac:dyDescent="0.25">
      <c r="L55" s="395" t="s">
        <v>7793</v>
      </c>
      <c r="M55" s="313">
        <v>377</v>
      </c>
      <c r="N55" s="313">
        <v>410</v>
      </c>
    </row>
    <row r="56" spans="1:14" x14ac:dyDescent="0.25">
      <c r="B56" s="1" t="s">
        <v>6926</v>
      </c>
      <c r="L56" s="395" t="s">
        <v>7794</v>
      </c>
      <c r="M56" s="313">
        <v>180</v>
      </c>
      <c r="N56" s="313">
        <v>231</v>
      </c>
    </row>
    <row r="57" spans="1:14" x14ac:dyDescent="0.25">
      <c r="B57" s="282" t="s">
        <v>6927</v>
      </c>
      <c r="C57" s="338" t="s">
        <v>3465</v>
      </c>
      <c r="L57" s="395" t="s">
        <v>7795</v>
      </c>
      <c r="M57" s="313">
        <v>361</v>
      </c>
      <c r="N57" s="313">
        <v>378</v>
      </c>
    </row>
    <row r="58" spans="1:14" x14ac:dyDescent="0.25">
      <c r="A58" s="3">
        <v>1</v>
      </c>
      <c r="B58" s="282">
        <v>1801</v>
      </c>
      <c r="C58" s="339">
        <f>SUMIF('II kw.21'!T2:T500,"1801",'II kw.21'!F2:F500)</f>
        <v>0</v>
      </c>
      <c r="L58" s="382" t="s">
        <v>7796</v>
      </c>
      <c r="M58" s="381">
        <v>249</v>
      </c>
      <c r="N58" s="381">
        <v>258</v>
      </c>
    </row>
    <row r="59" spans="1:14" x14ac:dyDescent="0.25">
      <c r="A59" s="3">
        <v>2</v>
      </c>
      <c r="B59" s="282">
        <v>1802</v>
      </c>
      <c r="C59" s="339">
        <f>SUMIF('II kw.21'!T2:T500,"1802",'II kw.21'!F2:F500)</f>
        <v>0</v>
      </c>
      <c r="L59" s="382" t="s">
        <v>7797</v>
      </c>
      <c r="M59" s="381">
        <v>173</v>
      </c>
      <c r="N59" s="381">
        <v>197</v>
      </c>
    </row>
    <row r="60" spans="1:14" x14ac:dyDescent="0.25">
      <c r="A60" s="3">
        <v>3</v>
      </c>
      <c r="B60" s="282">
        <v>1803</v>
      </c>
      <c r="C60" s="339">
        <f>SUMIF('II kw.21'!T2:T500,"1803",'II kw.21'!F2:F500)</f>
        <v>1</v>
      </c>
      <c r="L60" s="382" t="s">
        <v>7798</v>
      </c>
      <c r="M60" s="381">
        <v>97</v>
      </c>
      <c r="N60" s="381">
        <v>97</v>
      </c>
    </row>
    <row r="61" spans="1:14" x14ac:dyDescent="0.25">
      <c r="A61" s="3">
        <v>4</v>
      </c>
      <c r="B61" s="282">
        <v>1804</v>
      </c>
      <c r="C61" s="339">
        <f>SUMIF('II kw.21'!T2:T500,"1804",'II kw.21'!F2:F500)</f>
        <v>4</v>
      </c>
      <c r="L61" s="384" t="s">
        <v>7799</v>
      </c>
      <c r="M61" s="381">
        <v>224</v>
      </c>
      <c r="N61" s="381">
        <v>224</v>
      </c>
    </row>
    <row r="62" spans="1:14" x14ac:dyDescent="0.25">
      <c r="A62" s="3">
        <v>5</v>
      </c>
      <c r="B62" s="282">
        <v>1805</v>
      </c>
      <c r="C62" s="339">
        <f>SUMIF('II kw.21'!T2:T500,"1805",'II kw.21'!F2:F500)</f>
        <v>1</v>
      </c>
      <c r="L62" s="329" t="s">
        <v>8302</v>
      </c>
      <c r="M62" s="96">
        <v>156</v>
      </c>
      <c r="N62" s="96">
        <v>165</v>
      </c>
    </row>
    <row r="63" spans="1:14" x14ac:dyDescent="0.25">
      <c r="A63" s="3">
        <v>6</v>
      </c>
      <c r="B63" s="282">
        <v>1806</v>
      </c>
      <c r="C63" s="339">
        <f>SUMIF('II kw.21'!T2:T500,"1806",'II kw.21'!F2:F500)</f>
        <v>0</v>
      </c>
      <c r="L63" s="329" t="s">
        <v>9296</v>
      </c>
      <c r="M63" s="96">
        <v>237</v>
      </c>
      <c r="N63" s="96">
        <v>242</v>
      </c>
    </row>
    <row r="64" spans="1:14" x14ac:dyDescent="0.25">
      <c r="A64" s="3">
        <v>7</v>
      </c>
      <c r="B64" s="282">
        <v>1807</v>
      </c>
      <c r="C64" s="339">
        <f>SUMIF('II kw.21'!T2:T500,"1807",'II kw.21'!F2:F500)</f>
        <v>0</v>
      </c>
    </row>
    <row r="65" spans="1:3" x14ac:dyDescent="0.25">
      <c r="A65" s="3">
        <v>8</v>
      </c>
      <c r="B65" s="282">
        <v>1808</v>
      </c>
      <c r="C65" s="339">
        <f>SUMIF('II kw.21'!T2:T500,"1808",'II kw.21'!F2:F500)</f>
        <v>1</v>
      </c>
    </row>
    <row r="66" spans="1:3" x14ac:dyDescent="0.25">
      <c r="A66" s="3">
        <v>9</v>
      </c>
      <c r="B66" s="403">
        <v>1809</v>
      </c>
      <c r="C66" s="404">
        <f>SUMIF('II kw.21'!T2:T500,"1809",'II kw.21'!F2:F500)</f>
        <v>0</v>
      </c>
    </row>
    <row r="67" spans="1:3" x14ac:dyDescent="0.25">
      <c r="A67" s="3">
        <v>10</v>
      </c>
      <c r="B67" s="282">
        <v>1810</v>
      </c>
      <c r="C67" s="339">
        <f>SUMIF('II kw.21'!T2:T500,"1810",'II kw.21'!F2:F500)</f>
        <v>1</v>
      </c>
    </row>
    <row r="68" spans="1:3" x14ac:dyDescent="0.25">
      <c r="A68" s="3">
        <v>11</v>
      </c>
      <c r="B68" s="340">
        <v>1811</v>
      </c>
      <c r="C68" s="341">
        <f>SUMIF('II kw.21'!T2:T500,"1811",'II kw.21'!F2:F500)</f>
        <v>20</v>
      </c>
    </row>
    <row r="69" spans="1:3" x14ac:dyDescent="0.25">
      <c r="A69" s="3">
        <v>12</v>
      </c>
      <c r="B69" s="282">
        <v>1812</v>
      </c>
      <c r="C69" s="339">
        <f>SUMIF('II kw.21'!T2:T500,"1812",'II kw.21'!F2:F500)</f>
        <v>3</v>
      </c>
    </row>
    <row r="70" spans="1:3" x14ac:dyDescent="0.25">
      <c r="A70" s="3">
        <v>13</v>
      </c>
      <c r="B70" s="282">
        <v>1813</v>
      </c>
      <c r="C70" s="339">
        <f>SUMIF('II kw.21'!T2:T500,"1813",'II kw.21'!F2:F500)</f>
        <v>0</v>
      </c>
    </row>
    <row r="71" spans="1:3" x14ac:dyDescent="0.25">
      <c r="A71" s="3">
        <v>14</v>
      </c>
      <c r="B71" s="282">
        <v>1814</v>
      </c>
      <c r="C71" s="339">
        <f>SUMIF('II kw.21'!T2:T500,"1814",'II kw.21'!F2:F500)</f>
        <v>0</v>
      </c>
    </row>
    <row r="72" spans="1:3" x14ac:dyDescent="0.25">
      <c r="A72" s="3">
        <v>15</v>
      </c>
      <c r="B72" s="282">
        <v>1815</v>
      </c>
      <c r="C72" s="339">
        <f>SUMIF('II kw.21'!T2:T500,"1815",'II kw.21'!F2:F500)</f>
        <v>0</v>
      </c>
    </row>
    <row r="73" spans="1:3" x14ac:dyDescent="0.25">
      <c r="A73" s="3">
        <v>16</v>
      </c>
      <c r="B73" s="282">
        <v>1816</v>
      </c>
      <c r="C73" s="339">
        <f>SUMIF('II kw.21'!T2:T500,"1816",'II kw.21'!F2:F500)</f>
        <v>3</v>
      </c>
    </row>
    <row r="74" spans="1:3" x14ac:dyDescent="0.25">
      <c r="A74" s="3">
        <v>17</v>
      </c>
      <c r="B74" s="282">
        <v>1817</v>
      </c>
      <c r="C74" s="339">
        <f>SUMIF('II kw.21'!T2:T500,"1817",'II kw.21'!F2:F500)</f>
        <v>3</v>
      </c>
    </row>
    <row r="75" spans="1:3" x14ac:dyDescent="0.25">
      <c r="A75" s="3">
        <v>18</v>
      </c>
      <c r="B75" s="282">
        <v>1818</v>
      </c>
      <c r="C75" s="339">
        <f>SUMIF('II kw.21'!T2:T500,"1818",'II kw.21'!F2:F500)</f>
        <v>1</v>
      </c>
    </row>
    <row r="76" spans="1:3" x14ac:dyDescent="0.25">
      <c r="A76" s="3">
        <v>19</v>
      </c>
      <c r="B76" s="282">
        <v>1819</v>
      </c>
      <c r="C76" s="339">
        <f>SUMIF('II kw.21'!T2:T500,"1819",'II kw.21'!F2:F500)</f>
        <v>0</v>
      </c>
    </row>
    <row r="77" spans="1:3" x14ac:dyDescent="0.25">
      <c r="A77" s="3">
        <v>20</v>
      </c>
      <c r="B77" s="282">
        <v>1820</v>
      </c>
      <c r="C77" s="339">
        <f>SUMIF('II kw.21'!T2:T500,"1820",'II kw.21'!F2:F500)</f>
        <v>0</v>
      </c>
    </row>
    <row r="78" spans="1:3" x14ac:dyDescent="0.25">
      <c r="A78" s="3">
        <v>21</v>
      </c>
      <c r="B78" s="282">
        <v>1821</v>
      </c>
      <c r="C78" s="339">
        <f>SUMIF('II kw.21'!T2:T500,"1821",'II kw.21'!F2:F500)</f>
        <v>1</v>
      </c>
    </row>
    <row r="79" spans="1:3" x14ac:dyDescent="0.25">
      <c r="A79" s="3">
        <v>22</v>
      </c>
      <c r="B79" s="403">
        <v>1861</v>
      </c>
      <c r="C79" s="404">
        <f>SUMIF('II kw.21'!T2:T500,"1861",'II kw.21'!F2:F500)</f>
        <v>6</v>
      </c>
    </row>
    <row r="80" spans="1:3" x14ac:dyDescent="0.25">
      <c r="A80" s="3">
        <v>23</v>
      </c>
      <c r="B80" s="282">
        <v>1862</v>
      </c>
      <c r="C80" s="339">
        <f>SUMIF('II kw.21'!T2:T500,"1862",'II kw.21'!F2:F500)</f>
        <v>2</v>
      </c>
    </row>
    <row r="81" spans="1:3" x14ac:dyDescent="0.25">
      <c r="A81" s="3">
        <v>24</v>
      </c>
      <c r="B81" s="340">
        <v>1863</v>
      </c>
      <c r="C81" s="341">
        <f>SUMIF('II kw.21'!T2:T500,"1863",'II kw.21'!F2:F500)</f>
        <v>28</v>
      </c>
    </row>
    <row r="82" spans="1:3" x14ac:dyDescent="0.25">
      <c r="A82" s="3">
        <v>25</v>
      </c>
      <c r="B82" s="282">
        <v>1864</v>
      </c>
      <c r="C82" s="339">
        <f>SUMIF('II kw.21'!T2:T500,"1864",'II kw.21'!F2:F500)</f>
        <v>7</v>
      </c>
    </row>
    <row r="83" spans="1:3" x14ac:dyDescent="0.25">
      <c r="B83" s="403">
        <v>1800</v>
      </c>
      <c r="C83" s="404">
        <f>SUM(C58:C82)</f>
        <v>82</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6"/>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EXACT(E24,J17)</f>
        <v>1</v>
      </c>
      <c r="M2" s="3" t="b">
        <f>EXACT(E24,P25)</f>
        <v>1</v>
      </c>
    </row>
    <row r="3" spans="2:30" ht="60" x14ac:dyDescent="0.25">
      <c r="B3" s="380" t="s">
        <v>171</v>
      </c>
      <c r="C3" s="380" t="s">
        <v>172</v>
      </c>
      <c r="D3" s="380" t="s">
        <v>6539</v>
      </c>
      <c r="E3" s="380" t="s">
        <v>3483</v>
      </c>
      <c r="F3" s="380" t="s">
        <v>3467</v>
      </c>
      <c r="H3" s="193" t="s">
        <v>3462</v>
      </c>
      <c r="I3" s="193" t="s">
        <v>3465</v>
      </c>
      <c r="J3" s="193" t="s">
        <v>3514</v>
      </c>
      <c r="K3" s="413" t="s">
        <v>9295</v>
      </c>
      <c r="R3" s="443" t="s">
        <v>6394</v>
      </c>
      <c r="S3" s="20"/>
      <c r="T3" s="3" t="s">
        <v>6394</v>
      </c>
      <c r="U3" s="20"/>
      <c r="AA3" s="1" t="s">
        <v>6927</v>
      </c>
    </row>
    <row r="4" spans="2:30" x14ac:dyDescent="0.25">
      <c r="B4" s="381" t="s">
        <v>3515</v>
      </c>
      <c r="C4" s="382" t="s">
        <v>3460</v>
      </c>
      <c r="D4" s="383">
        <v>563</v>
      </c>
      <c r="E4" s="383">
        <v>523</v>
      </c>
      <c r="F4" s="381"/>
      <c r="H4" s="11" t="s">
        <v>3463</v>
      </c>
      <c r="I4" s="12">
        <f>COUNTIF('III kw.21'!E2:E1023,"praca")</f>
        <v>149</v>
      </c>
      <c r="J4" s="12" t="s">
        <v>3515</v>
      </c>
      <c r="K4" s="151">
        <f>SUMIF('III kw.21'!AM2:AM1022,"praca",'III kw.21'!AL2:AL1022)</f>
        <v>152</v>
      </c>
      <c r="N4" s="12">
        <v>1</v>
      </c>
      <c r="O4" s="11" t="s">
        <v>170</v>
      </c>
      <c r="P4" s="12">
        <f>SUM(D57)</f>
        <v>85</v>
      </c>
      <c r="R4" s="12">
        <f>RANK(P4,$P$4:$P$15,0)+COUNTIF($P$4:P4,P4)-1</f>
        <v>4</v>
      </c>
      <c r="T4" s="17" t="str">
        <f>INDEX($N$4:$P$15,MATCH(1,$R$4:$R$15,0),2)</f>
        <v>Przemysł high-tech</v>
      </c>
      <c r="U4" s="12">
        <f>INDEX($N$4:$P$15,MATCH(1,$R$4:$R$15,0),3)</f>
        <v>379</v>
      </c>
      <c r="AA4" s="12">
        <v>1801</v>
      </c>
      <c r="AB4" s="26">
        <f>SUMIF('III kw.21'!T2:T1032,"1801",'III kw.21'!F2:F1032)</f>
        <v>1</v>
      </c>
      <c r="AD4" s="151">
        <v>18</v>
      </c>
    </row>
    <row r="5" spans="2:30" x14ac:dyDescent="0.25">
      <c r="B5" s="381" t="s">
        <v>3516</v>
      </c>
      <c r="C5" s="382" t="s">
        <v>3459</v>
      </c>
      <c r="D5" s="383">
        <v>466</v>
      </c>
      <c r="E5" s="383">
        <v>477</v>
      </c>
      <c r="F5" s="381"/>
      <c r="H5" s="11" t="s">
        <v>192</v>
      </c>
      <c r="I5" s="12">
        <f>COUNTIF('III kw.21'!E2:E1023,"pracuj.pl")</f>
        <v>462</v>
      </c>
      <c r="J5" s="12" t="s">
        <v>3516</v>
      </c>
      <c r="K5" s="12">
        <f>SUMIF('III kw.21'!E2:E1032,"pracuj.pl",'III kw.21'!F2:F1032)</f>
        <v>466</v>
      </c>
      <c r="N5" s="12">
        <v>2</v>
      </c>
      <c r="O5" s="11" t="s">
        <v>2</v>
      </c>
      <c r="P5" s="12">
        <f>SUM(G43)</f>
        <v>379</v>
      </c>
      <c r="R5" s="12">
        <f>RANK(P5,$P$4:$P$15,0)+COUNTIF($P$4:P5,P5)-1</f>
        <v>1</v>
      </c>
      <c r="T5" s="17" t="str">
        <f>INDEX($N$4:$P$15,MATCH(2,$R$4:$R$15,0),2)</f>
        <v>Usługi finansowe, HR i inne</v>
      </c>
      <c r="U5" s="12">
        <f>INDEX($N$4:$P$15,MATCH(2,$R$4:$R$15,0),3)</f>
        <v>269</v>
      </c>
      <c r="AA5" s="12">
        <v>1802</v>
      </c>
      <c r="AB5" s="26">
        <f>SUMIF('III kw.21'!T2:T1032,"1802",'III kw.21'!F2:F1032)</f>
        <v>2</v>
      </c>
      <c r="AD5" s="18"/>
    </row>
    <row r="6" spans="2:30" x14ac:dyDescent="0.25">
      <c r="B6" s="381" t="s">
        <v>3517</v>
      </c>
      <c r="C6" s="382" t="s">
        <v>3458</v>
      </c>
      <c r="D6" s="383">
        <v>365</v>
      </c>
      <c r="E6" s="383">
        <v>386</v>
      </c>
      <c r="F6" s="381"/>
      <c r="H6" s="11" t="s">
        <v>217</v>
      </c>
      <c r="I6" s="12">
        <f>COUNTIF('III kw.21'!E2:E1023,"agora")</f>
        <v>409</v>
      </c>
      <c r="J6" s="12" t="s">
        <v>3517</v>
      </c>
      <c r="K6" s="12">
        <f>SUMIF('III kw.21'!AM2:AM1022,"agora",'III kw.21'!AL2:AL1022)</f>
        <v>410</v>
      </c>
      <c r="N6" s="12">
        <v>3</v>
      </c>
      <c r="O6" s="11" t="s">
        <v>3</v>
      </c>
      <c r="P6" s="12">
        <f>SUM(J41)</f>
        <v>34</v>
      </c>
      <c r="R6" s="12">
        <f>RANK(P6,$P$4:$P$15,0)+COUNTIF($P$4:P6,P6)-1</f>
        <v>6</v>
      </c>
      <c r="T6" s="17" t="str">
        <f>INDEX($N$4:$P$15,MATCH(3,$R$4:$R$15,0),2)</f>
        <v>Handel, transport, logistyka</v>
      </c>
      <c r="U6" s="12">
        <f>INDEX($N$4:$P$15,MATCH(3,$R$4:$R$15,0),3)</f>
        <v>177</v>
      </c>
      <c r="AA6" s="12">
        <v>1803</v>
      </c>
      <c r="AB6" s="26">
        <f>SUMIF('III kw.21'!T2:T1032,"1803",'III kw.21'!F2:F1032)</f>
        <v>25</v>
      </c>
      <c r="AD6" s="18"/>
    </row>
    <row r="7" spans="2:30" x14ac:dyDescent="0.25">
      <c r="B7" s="381" t="s">
        <v>3518</v>
      </c>
      <c r="C7" s="382" t="s">
        <v>3457</v>
      </c>
      <c r="D7" s="383">
        <v>461</v>
      </c>
      <c r="E7" s="383">
        <v>444</v>
      </c>
      <c r="F7" s="381"/>
      <c r="H7" s="11" t="s">
        <v>3464</v>
      </c>
      <c r="I7" s="12">
        <f>COUNTIF('III kw.21'!E2:E1023,"gratka")</f>
        <v>2</v>
      </c>
      <c r="J7" s="12" t="s">
        <v>3518</v>
      </c>
      <c r="K7" s="12">
        <f>SUMIF('III kw.21'!AM2:AM1022,"gratka",'III kw.21'!AL2:AL1022)</f>
        <v>2</v>
      </c>
      <c r="N7" s="12">
        <v>4</v>
      </c>
      <c r="O7" s="11" t="s">
        <v>3589</v>
      </c>
      <c r="P7" s="12">
        <f>SUM(M34)</f>
        <v>177</v>
      </c>
      <c r="R7" s="12">
        <f>RANK(P7,$P$4:$P$15,0)+COUNTIF($P$4:P7,P7)-1</f>
        <v>3</v>
      </c>
      <c r="T7" s="17" t="str">
        <f>INDEX($N$4:$P$15,MATCH(4,$R$4:$R$15,0),2)</f>
        <v>Przemysł produkcyjny</v>
      </c>
      <c r="U7" s="12">
        <f>INDEX($N$4:$P$15,MATCH(4,$R$4:$R$15,0),3)</f>
        <v>85</v>
      </c>
      <c r="AA7" s="12">
        <v>1804</v>
      </c>
      <c r="AB7" s="26">
        <f>SUMIF('III kw.21'!T2:T1032,"1804",'III kw.21'!F2:F1032)</f>
        <v>10</v>
      </c>
      <c r="AD7" s="18"/>
    </row>
    <row r="8" spans="2:30" x14ac:dyDescent="0.25">
      <c r="B8" s="381" t="s">
        <v>13071</v>
      </c>
      <c r="C8" s="382" t="s">
        <v>173</v>
      </c>
      <c r="D8" s="383">
        <v>720</v>
      </c>
      <c r="E8" s="383">
        <v>704</v>
      </c>
      <c r="F8" s="381"/>
      <c r="H8" s="442" t="s">
        <v>7786</v>
      </c>
      <c r="I8" s="300"/>
      <c r="J8" s="300"/>
      <c r="K8" s="414"/>
      <c r="N8" s="12">
        <v>5</v>
      </c>
      <c r="O8" s="11" t="s">
        <v>13096</v>
      </c>
      <c r="P8" s="12">
        <f>SUM(P33)</f>
        <v>269</v>
      </c>
      <c r="R8" s="12">
        <f>RANK(P8,$P$4:$P$15,0)+COUNTIF($P$4:P8,P8)-1</f>
        <v>2</v>
      </c>
      <c r="T8" s="17" t="str">
        <f>INDEX($N$4:$P$15,MATCH(5,$R$4:$R$15,0),2)</f>
        <v>Informacja i edukcja</v>
      </c>
      <c r="U8" s="12">
        <f>INDEX($N$4:$P$15,MATCH(5,$R$4:$R$15,0),3)</f>
        <v>37</v>
      </c>
      <c r="AA8" s="12">
        <v>1805</v>
      </c>
      <c r="AB8" s="26">
        <f>SUMIF('III kw.21'!T2:T1032,"1805",'III kw.21'!F2:F1032)</f>
        <v>10</v>
      </c>
      <c r="AD8" s="18"/>
    </row>
    <row r="9" spans="2:30" x14ac:dyDescent="0.25">
      <c r="B9" s="12">
        <v>1</v>
      </c>
      <c r="C9" s="17" t="s">
        <v>175</v>
      </c>
      <c r="D9" s="26">
        <v>86</v>
      </c>
      <c r="E9" s="26">
        <v>122</v>
      </c>
      <c r="F9" s="12"/>
      <c r="H9" s="184"/>
      <c r="I9" s="183">
        <f>SUM(I4:I7)</f>
        <v>1022</v>
      </c>
      <c r="J9" s="184"/>
      <c r="K9" s="2">
        <f>SUM(K4:K7)</f>
        <v>1030</v>
      </c>
      <c r="N9" s="12">
        <v>6</v>
      </c>
      <c r="O9" s="11" t="s">
        <v>134</v>
      </c>
      <c r="P9" s="12">
        <f>SUM(P38)</f>
        <v>0</v>
      </c>
      <c r="R9" s="12">
        <f>RANK(P9,$P$4:$P$15,0)+COUNTIF($P$4:P9,P9)-1</f>
        <v>12</v>
      </c>
      <c r="T9" s="17" t="str">
        <f>INDEX($N$4:$P$15,MATCH(6,$R$4:$R$15,0),2)</f>
        <v>Budownictwo</v>
      </c>
      <c r="U9" s="12">
        <f>INDEX($N$4:$P$15,MATCH(6,$R$4:$R$15,0),3)</f>
        <v>34</v>
      </c>
      <c r="AA9" s="12">
        <v>1806</v>
      </c>
      <c r="AB9" s="26">
        <f>SUMIF('III kw.21'!T2:T1032,"1806",'III kw.21'!F2:F1032)</f>
        <v>6</v>
      </c>
      <c r="AD9" s="18"/>
    </row>
    <row r="10" spans="2:30" x14ac:dyDescent="0.25">
      <c r="B10" s="12">
        <v>2</v>
      </c>
      <c r="C10" s="17" t="s">
        <v>174</v>
      </c>
      <c r="D10" s="26">
        <v>377</v>
      </c>
      <c r="E10" s="26">
        <v>410</v>
      </c>
      <c r="F10" s="12"/>
      <c r="N10" s="12">
        <v>7</v>
      </c>
      <c r="O10" s="11" t="s">
        <v>3590</v>
      </c>
      <c r="P10" s="12">
        <f>SUM(P44)</f>
        <v>2</v>
      </c>
      <c r="R10" s="12">
        <f>RANK(P10,$P$4:$P$15,0)+COUNTIF($P$4:P10,P10)-1</f>
        <v>11</v>
      </c>
      <c r="T10" s="17" t="str">
        <f>INDEX($N$4:$P$15,MATCH(7,$R$4:$R$15,0),2)</f>
        <v>Zdrowie i opieka społeczna</v>
      </c>
      <c r="U10" s="12">
        <f>INDEX($N$4:$P$15,MATCH(7,$R$4:$R$15,0),3)</f>
        <v>29</v>
      </c>
      <c r="AA10" s="12">
        <v>1807</v>
      </c>
      <c r="AB10" s="26">
        <f>SUMIF('III kw.21'!T2:T1032,"1807",'III kw.21'!F2:F1032)</f>
        <v>1</v>
      </c>
      <c r="AD10" s="18"/>
    </row>
    <row r="11" spans="2:30" x14ac:dyDescent="0.25">
      <c r="B11" s="381" t="s">
        <v>13072</v>
      </c>
      <c r="C11" s="382" t="s">
        <v>3486</v>
      </c>
      <c r="D11" s="383">
        <f>SUM(D9:D10)</f>
        <v>463</v>
      </c>
      <c r="E11" s="383">
        <f>SUM(E9:E10)</f>
        <v>532</v>
      </c>
      <c r="F11" s="381"/>
      <c r="H11" s="1" t="s">
        <v>3570</v>
      </c>
      <c r="N11" s="12">
        <v>8</v>
      </c>
      <c r="O11" s="11" t="s">
        <v>4</v>
      </c>
      <c r="P11" s="12">
        <f>SUM(S31)</f>
        <v>29</v>
      </c>
      <c r="R11" s="12">
        <f>RANK(P11,$P$4:$P$15,0)+COUNTIF($P$4:P11,P11)-1</f>
        <v>7</v>
      </c>
      <c r="T11" s="17" t="str">
        <f>INDEX($N$4:$P$15,MATCH(8,$R$4:$R$15,0),2)</f>
        <v>Prace proste</v>
      </c>
      <c r="U11" s="12">
        <f>INDEX($N$4:$P$15,MATCH(8,$R$4:$R$15,0),3)</f>
        <v>9</v>
      </c>
      <c r="AA11" s="12">
        <v>1808</v>
      </c>
      <c r="AB11" s="12">
        <f>SUMIF('III kw.21'!T2:T1032,"1808",'III kw.21'!F2:F1032)</f>
        <v>4</v>
      </c>
      <c r="AD11" s="18"/>
    </row>
    <row r="12" spans="2:30" x14ac:dyDescent="0.25">
      <c r="B12" s="12">
        <v>3</v>
      </c>
      <c r="C12" s="17" t="s">
        <v>3481</v>
      </c>
      <c r="D12" s="12">
        <v>180</v>
      </c>
      <c r="E12" s="12">
        <v>231</v>
      </c>
      <c r="F12" s="12"/>
      <c r="H12" s="312" t="s">
        <v>3469</v>
      </c>
      <c r="I12" s="312" t="s">
        <v>3568</v>
      </c>
      <c r="J12" s="313">
        <f>SUM(D57,G43,J41)</f>
        <v>498</v>
      </c>
      <c r="N12" s="12">
        <v>9</v>
      </c>
      <c r="O12" s="11" t="s">
        <v>3591</v>
      </c>
      <c r="P12" s="12">
        <f>SUM(V31)</f>
        <v>37</v>
      </c>
      <c r="R12" s="12">
        <f>RANK(P12,$P$4:$P$15,0)+COUNTIF($P$4:P12,P12)-1</f>
        <v>5</v>
      </c>
      <c r="T12" s="17" t="str">
        <f>INDEX($N$4:$P$15,MATCH(9,$R$4:$R$15,0),2)</f>
        <v>Nadzór i administracja</v>
      </c>
      <c r="U12" s="12">
        <f>INDEX($N$4:$P$15,MATCH(9,$R$4:$R$15,0),3)</f>
        <v>5</v>
      </c>
      <c r="AA12" s="12">
        <v>1809</v>
      </c>
      <c r="AB12" s="12">
        <f>SUMIF('III kw.21'!T2:T1032,"1809",'III kw.21'!F2:F1032)</f>
        <v>3</v>
      </c>
      <c r="AD12" s="18"/>
    </row>
    <row r="13" spans="2:30" x14ac:dyDescent="0.25">
      <c r="B13" s="12">
        <v>4</v>
      </c>
      <c r="C13" s="17" t="s">
        <v>3482</v>
      </c>
      <c r="D13" s="12">
        <v>361</v>
      </c>
      <c r="E13" s="12">
        <v>378</v>
      </c>
      <c r="F13" s="12"/>
      <c r="H13" s="308" t="s">
        <v>3470</v>
      </c>
      <c r="I13" s="308" t="s">
        <v>3566</v>
      </c>
      <c r="J13" s="307">
        <f>SUM(M34,P33,P38,P44,S31)</f>
        <v>477</v>
      </c>
      <c r="N13" s="12">
        <v>10</v>
      </c>
      <c r="O13" s="11" t="s">
        <v>0</v>
      </c>
      <c r="P13" s="12">
        <f>SUM(V37)</f>
        <v>5</v>
      </c>
      <c r="R13" s="12">
        <f>RANK(P13,$P$4:$P$15,0)+COUNTIF($P$4:P13,P13)-1</f>
        <v>9</v>
      </c>
      <c r="T13" s="17" t="str">
        <f>INDEX($N$4:$P$15,MATCH(10,$R$4:$R$15,0),2)</f>
        <v>Pozostałe grupy</v>
      </c>
      <c r="U13" s="12">
        <f>INDEX($N$4:$P$15,MATCH(10,$R$4:$R$15,0),3)</f>
        <v>4</v>
      </c>
      <c r="AA13" s="12">
        <v>1810</v>
      </c>
      <c r="AB13" s="12">
        <f>SUMIF('III kw.21'!T2:T1032,"1810",'III kw.21'!F2:F1032)</f>
        <v>9</v>
      </c>
      <c r="AD13" s="18"/>
    </row>
    <row r="14" spans="2:30" x14ac:dyDescent="0.25">
      <c r="B14" s="381" t="s">
        <v>13073</v>
      </c>
      <c r="C14" s="382" t="s">
        <v>3487</v>
      </c>
      <c r="D14" s="383">
        <f>SUM(D12:D13)</f>
        <v>541</v>
      </c>
      <c r="E14" s="383">
        <f>SUM(E12:E13)</f>
        <v>609</v>
      </c>
      <c r="F14" s="381"/>
      <c r="H14" s="322" t="s">
        <v>3471</v>
      </c>
      <c r="I14" s="322" t="s">
        <v>3567</v>
      </c>
      <c r="J14" s="316">
        <f>SUM(V31,V37)</f>
        <v>42</v>
      </c>
      <c r="N14" s="12">
        <v>11</v>
      </c>
      <c r="O14" s="11" t="s">
        <v>6</v>
      </c>
      <c r="P14" s="12">
        <f>SUM(Y30)</f>
        <v>9</v>
      </c>
      <c r="R14" s="12">
        <f>RANK(P14,$P$4:$P$15,0)+COUNTIF($P$4:P14,P14)-1</f>
        <v>8</v>
      </c>
      <c r="T14" s="17" t="str">
        <f>INDEX($N$4:$P$15,MATCH(11,$R$4:$R$15,0),2)</f>
        <v>Usługi typu krawiectwo, kaletnictwo, obuwnictwo + poszukiwanie + ochrona</v>
      </c>
      <c r="U14" s="12">
        <f>INDEX($N$4:$P$15,MATCH(11,$R$4:$R$15,0),3)</f>
        <v>2</v>
      </c>
      <c r="AA14" s="12">
        <v>1811</v>
      </c>
      <c r="AB14" s="26">
        <f>SUMIF('III kw.21'!T2:T1032,"1811",'III kw.21'!F2:F1032)</f>
        <v>35</v>
      </c>
      <c r="AD14" s="18"/>
    </row>
    <row r="15" spans="2:30" x14ac:dyDescent="0.25">
      <c r="B15" s="12">
        <v>5</v>
      </c>
      <c r="C15" s="17" t="s">
        <v>6392</v>
      </c>
      <c r="D15" s="26">
        <v>249</v>
      </c>
      <c r="E15" s="26">
        <v>258</v>
      </c>
      <c r="F15" s="12"/>
      <c r="H15" s="325" t="s">
        <v>3472</v>
      </c>
      <c r="I15" s="325" t="s">
        <v>6</v>
      </c>
      <c r="J15" s="326">
        <f>SUM(Y30)</f>
        <v>9</v>
      </c>
      <c r="N15" s="12">
        <v>12</v>
      </c>
      <c r="O15" s="17" t="s">
        <v>3574</v>
      </c>
      <c r="P15" s="12">
        <f>SUM(Y40)</f>
        <v>4</v>
      </c>
      <c r="R15" s="12">
        <f>RANK(P15,$P$4:$P$15,0)+COUNTIF($P$4:P15,P15)-1</f>
        <v>10</v>
      </c>
      <c r="T15" s="17" t="str">
        <f>INDEX($N$4:$P$15,MATCH(12,$R$4:$R$15,0),2)</f>
        <v>Usługi gastronomiczne</v>
      </c>
      <c r="U15" s="12">
        <f>INDEX($N$4:$P$15,MATCH(12,$R$4:$R$15,0),3)</f>
        <v>0</v>
      </c>
      <c r="AA15" s="12">
        <v>1812</v>
      </c>
      <c r="AB15" s="12">
        <f>SUMIF('III kw.21'!T2:T1032,"1812",'III kw.21'!F2:F1032)</f>
        <v>2</v>
      </c>
      <c r="AD15" s="18"/>
    </row>
    <row r="16" spans="2:30" x14ac:dyDescent="0.25">
      <c r="B16" s="12">
        <v>6</v>
      </c>
      <c r="C16" s="17" t="s">
        <v>6924</v>
      </c>
      <c r="D16" s="26">
        <v>173</v>
      </c>
      <c r="E16" s="26">
        <v>197</v>
      </c>
      <c r="F16" s="12"/>
      <c r="H16" s="329" t="s">
        <v>3473</v>
      </c>
      <c r="I16" s="329" t="s">
        <v>3574</v>
      </c>
      <c r="J16" s="96">
        <f>SUM(Y40)</f>
        <v>4</v>
      </c>
      <c r="N16" s="18"/>
      <c r="O16" s="89"/>
      <c r="P16" s="18"/>
      <c r="R16" s="18"/>
      <c r="T16" s="89"/>
      <c r="U16" s="18"/>
      <c r="AA16" s="12">
        <v>1813</v>
      </c>
      <c r="AB16" s="12">
        <f>SUMIF('III kw.21'!T2:T1032,"1813",'III kw.21'!F2:F1032)</f>
        <v>0</v>
      </c>
      <c r="AD16" s="18"/>
    </row>
    <row r="17" spans="2:30" x14ac:dyDescent="0.25">
      <c r="B17" s="381" t="s">
        <v>13074</v>
      </c>
      <c r="C17" s="382" t="s">
        <v>6929</v>
      </c>
      <c r="D17" s="383">
        <f>SUM(D15:D16)</f>
        <v>422</v>
      </c>
      <c r="E17" s="383">
        <f>SUM(E15:E16)</f>
        <v>455</v>
      </c>
      <c r="F17" s="381"/>
      <c r="H17" s="184"/>
      <c r="I17" s="184"/>
      <c r="J17" s="183">
        <f>SUM(J12:J16)</f>
        <v>1030</v>
      </c>
      <c r="N17" s="18"/>
      <c r="O17" s="89"/>
      <c r="P17" s="18"/>
      <c r="R17" s="18"/>
      <c r="T17" s="89"/>
      <c r="U17" s="18"/>
      <c r="AA17" s="12">
        <v>1814</v>
      </c>
      <c r="AB17" s="12">
        <f>SUMIF('III kw.21'!T2:T1032,"1814",'III kw.21'!F2:F1032)</f>
        <v>17</v>
      </c>
      <c r="AD17" s="18"/>
    </row>
    <row r="18" spans="2:30" x14ac:dyDescent="0.25">
      <c r="B18" s="12">
        <v>7</v>
      </c>
      <c r="C18" s="17" t="s">
        <v>6928</v>
      </c>
      <c r="D18" s="26">
        <v>97</v>
      </c>
      <c r="E18" s="26">
        <v>97</v>
      </c>
      <c r="F18" s="12"/>
      <c r="H18" s="184"/>
      <c r="I18" s="184"/>
      <c r="J18" s="183"/>
      <c r="N18" s="18"/>
      <c r="O18" s="89"/>
      <c r="P18" s="18"/>
      <c r="R18" s="18"/>
      <c r="T18" s="89"/>
      <c r="U18" s="18"/>
      <c r="AA18" s="12">
        <v>1815</v>
      </c>
      <c r="AB18" s="12">
        <f>SUMIF('III kw.21'!T2:T1032,"1815",'III kw.21'!F2:F1032)</f>
        <v>14</v>
      </c>
      <c r="AC18" s="20"/>
      <c r="AD18" s="18"/>
    </row>
    <row r="19" spans="2:30" x14ac:dyDescent="0.25">
      <c r="B19" s="12">
        <v>8</v>
      </c>
      <c r="C19" s="17" t="s">
        <v>7785</v>
      </c>
      <c r="D19" s="26">
        <v>224</v>
      </c>
      <c r="E19" s="26">
        <v>224</v>
      </c>
      <c r="F19" s="12"/>
      <c r="H19" s="184"/>
      <c r="I19" s="184"/>
      <c r="J19" s="183"/>
      <c r="N19" s="18"/>
      <c r="O19" s="89"/>
      <c r="P19" s="18"/>
      <c r="R19" s="18"/>
      <c r="T19" s="89"/>
      <c r="U19" s="18"/>
      <c r="AA19" s="12">
        <v>1816</v>
      </c>
      <c r="AB19" s="26">
        <f>SUMIF('III kw.21'!T2:T1032,"1816",'III kw.21'!F2:F1032)</f>
        <v>42</v>
      </c>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2">
        <v>1817</v>
      </c>
      <c r="AB20" s="12">
        <f>SUMIF('III kw.21'!T2:T1032,"1817",'III kw.21'!F2:F1032)</f>
        <v>9</v>
      </c>
      <c r="AC20" s="20"/>
      <c r="AD20" s="18"/>
    </row>
    <row r="21" spans="2:30" x14ac:dyDescent="0.25">
      <c r="B21" s="12">
        <v>9</v>
      </c>
      <c r="C21" s="17" t="s">
        <v>7800</v>
      </c>
      <c r="D21" s="26">
        <v>156</v>
      </c>
      <c r="E21" s="26">
        <v>165</v>
      </c>
      <c r="F21" s="12"/>
      <c r="G21" s="135"/>
      <c r="H21" s="184"/>
      <c r="I21" s="184"/>
      <c r="J21" s="183"/>
      <c r="N21" s="18"/>
      <c r="O21" s="89"/>
      <c r="P21" s="18"/>
      <c r="R21" s="18"/>
      <c r="T21" s="89"/>
      <c r="U21" s="18"/>
      <c r="AA21" s="12">
        <v>1818</v>
      </c>
      <c r="AB21" s="12">
        <f>SUMIF('III kw.21'!T2:T1032,"1818",'III kw.21'!F2:F1032)</f>
        <v>15</v>
      </c>
      <c r="AC21" s="20"/>
      <c r="AD21" s="18"/>
    </row>
    <row r="22" spans="2:30" x14ac:dyDescent="0.25">
      <c r="B22" s="12">
        <v>10</v>
      </c>
      <c r="C22" s="17" t="s">
        <v>8303</v>
      </c>
      <c r="D22" s="26">
        <v>237</v>
      </c>
      <c r="E22" s="26">
        <v>242</v>
      </c>
      <c r="F22" s="12"/>
      <c r="G22" s="135"/>
      <c r="H22" s="184"/>
      <c r="I22" s="184"/>
      <c r="J22" s="183"/>
      <c r="N22" s="18"/>
      <c r="O22" s="89"/>
      <c r="P22" s="18"/>
      <c r="R22" s="18"/>
      <c r="T22" s="89"/>
      <c r="U22" s="18"/>
      <c r="AA22" s="12">
        <v>1819</v>
      </c>
      <c r="AB22" s="12">
        <f>SUMIF('III kw.21'!T2:T1032,"1819",'III kw.21'!F2:F1032)</f>
        <v>4</v>
      </c>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348">
        <v>1820</v>
      </c>
      <c r="AB23" s="348">
        <f>SUMIF('III kw.21'!T2:T1032,"1820",'III kw.21'!F2:F1032)</f>
        <v>8</v>
      </c>
      <c r="AC23" s="20"/>
      <c r="AD23" s="18"/>
    </row>
    <row r="24" spans="2:30" x14ac:dyDescent="0.25">
      <c r="B24" s="107">
        <v>11</v>
      </c>
      <c r="C24" s="106" t="s">
        <v>13054</v>
      </c>
      <c r="D24" s="105">
        <v>1022</v>
      </c>
      <c r="E24" s="105">
        <v>1030</v>
      </c>
      <c r="F24" s="107" t="s">
        <v>13080</v>
      </c>
      <c r="G24" s="135"/>
      <c r="H24" s="184"/>
      <c r="I24" s="184"/>
      <c r="J24" s="183"/>
      <c r="N24" s="18"/>
      <c r="O24" s="89"/>
      <c r="P24" s="18"/>
      <c r="R24" s="18"/>
      <c r="T24" s="89"/>
      <c r="U24" s="18"/>
      <c r="AC24" s="20"/>
      <c r="AD24" s="18"/>
    </row>
    <row r="25" spans="2:30" x14ac:dyDescent="0.25">
      <c r="B25" s="18"/>
      <c r="C25" s="89"/>
      <c r="E25" s="135"/>
      <c r="F25" s="20"/>
      <c r="N25" s="242"/>
      <c r="O25" s="242"/>
      <c r="P25" s="243">
        <f>SUM(P4:P15)</f>
        <v>1030</v>
      </c>
      <c r="R25" s="242"/>
      <c r="T25" s="243"/>
      <c r="U25" s="246">
        <f>SUM(U4:U15)</f>
        <v>1030</v>
      </c>
      <c r="AC25" s="20"/>
      <c r="AD25" s="20"/>
    </row>
    <row r="26" spans="2:30" x14ac:dyDescent="0.25">
      <c r="B26" s="303" t="s">
        <v>170</v>
      </c>
      <c r="C26" s="303"/>
      <c r="D26" s="303"/>
      <c r="E26" s="303" t="s">
        <v>2</v>
      </c>
      <c r="F26" s="303"/>
      <c r="G26" s="303"/>
      <c r="H26" s="303" t="s">
        <v>3</v>
      </c>
      <c r="I26" s="303"/>
      <c r="J26" s="303"/>
      <c r="K26" s="304" t="s">
        <v>3589</v>
      </c>
      <c r="L26" s="304"/>
      <c r="M26" s="304"/>
      <c r="N26" s="304" t="s">
        <v>1</v>
      </c>
      <c r="O26" s="304"/>
      <c r="P26" s="304"/>
      <c r="Q26" s="407" t="s">
        <v>4</v>
      </c>
      <c r="R26" s="407"/>
      <c r="S26" s="407"/>
      <c r="T26" s="314" t="s">
        <v>5</v>
      </c>
      <c r="U26" s="314"/>
      <c r="V26" s="314"/>
      <c r="W26" s="328" t="s">
        <v>6</v>
      </c>
      <c r="X26" s="328"/>
      <c r="Y26" s="327"/>
      <c r="AA26" s="12">
        <v>1821</v>
      </c>
      <c r="AB26" s="12">
        <f>SUMIF('III kw.21'!T2:T1032,"1821",'III kw.21'!F2:F1032)</f>
        <v>6</v>
      </c>
      <c r="AC26" s="20"/>
      <c r="AD26" s="18"/>
    </row>
    <row r="27" spans="2:30" x14ac:dyDescent="0.25">
      <c r="B27" s="21" t="s">
        <v>3469</v>
      </c>
      <c r="C27" s="22"/>
      <c r="D27" s="311"/>
      <c r="E27" s="21" t="s">
        <v>3470</v>
      </c>
      <c r="F27" s="22"/>
      <c r="G27" s="311"/>
      <c r="H27" s="21" t="s">
        <v>3470</v>
      </c>
      <c r="I27" s="21"/>
      <c r="J27" s="311"/>
      <c r="K27" s="114"/>
      <c r="L27" s="113"/>
      <c r="M27" s="305"/>
      <c r="N27" s="305"/>
      <c r="O27" s="306"/>
      <c r="P27" s="305"/>
      <c r="Q27" s="305"/>
      <c r="R27" s="306"/>
      <c r="S27" s="305"/>
      <c r="T27" s="98"/>
      <c r="U27" s="99"/>
      <c r="V27" s="315"/>
      <c r="W27" s="323"/>
      <c r="X27" s="324"/>
      <c r="Y27" s="325"/>
      <c r="AA27" s="12">
        <v>1861</v>
      </c>
      <c r="AB27" s="26">
        <f>SUMIF('III kw.21'!T2:T1032,"1861",'III kw.21'!F2:F1032)</f>
        <v>31</v>
      </c>
      <c r="AC27" s="20"/>
      <c r="AD27" s="18"/>
    </row>
    <row r="28" spans="2:30" x14ac:dyDescent="0.25">
      <c r="B28" s="108">
        <v>2141</v>
      </c>
      <c r="C28" s="390" t="s">
        <v>3569</v>
      </c>
      <c r="D28" s="390">
        <f>SUMIF('III kw.21'!AJ2:AJ1032,"2141*",'III kw.21'!F2:F1032)</f>
        <v>7</v>
      </c>
      <c r="E28" s="108">
        <v>2113</v>
      </c>
      <c r="F28" s="11" t="s">
        <v>3491</v>
      </c>
      <c r="G28" s="16">
        <f>SUMIF('III kw.21'!AJ2:AJ1032,"2113*",'III kw.21'!F2:F1032)</f>
        <v>4</v>
      </c>
      <c r="H28" s="122">
        <v>2142</v>
      </c>
      <c r="I28" s="399" t="s">
        <v>3494</v>
      </c>
      <c r="J28" s="16">
        <f>SUMIF('III kw.21'!AJ2:AJ1032,"2142*",'III kw.21'!F2:F1032)</f>
        <v>10</v>
      </c>
      <c r="K28" s="425">
        <v>315</v>
      </c>
      <c r="L28" s="11" t="s">
        <v>3532</v>
      </c>
      <c r="M28" s="112">
        <f>SUMIF('III kw.21'!AJ2:AJ1032,"315*",'III kw.21'!F2:F1032)</f>
        <v>1</v>
      </c>
      <c r="N28" s="108">
        <v>2166</v>
      </c>
      <c r="O28" s="11" t="s">
        <v>3510</v>
      </c>
      <c r="P28" s="307">
        <f>SUMIF('III kw.21'!AJ2:AJ1032,"2166*",'III kw.21'!F2:F1032)</f>
        <v>3</v>
      </c>
      <c r="Q28" s="405">
        <v>22</v>
      </c>
      <c r="R28" s="406" t="s">
        <v>3511</v>
      </c>
      <c r="S28" s="307">
        <f>SUMIF('III kw.21'!AJ2:AJ1032,"22*",'III kw.21'!F2:F1032)</f>
        <v>25</v>
      </c>
      <c r="T28" s="118">
        <v>23</v>
      </c>
      <c r="U28" s="11" t="s">
        <v>3512</v>
      </c>
      <c r="V28" s="316">
        <f>SUMIF('III kw.21'!AJ2:AJ1032,"23*",'III kw.21'!F2:F1032)</f>
        <v>12</v>
      </c>
      <c r="W28" s="131">
        <v>7549</v>
      </c>
      <c r="X28" s="11" t="s">
        <v>3561</v>
      </c>
      <c r="Y28" s="326">
        <f>SUMIF('III kw.21'!AJ2:AJ1032,"7549*",'III kw.21'!F2:F1032)</f>
        <v>0</v>
      </c>
      <c r="AA28" s="12">
        <v>1862</v>
      </c>
      <c r="AB28" s="12">
        <f>SUMIF('III kw.21'!T2:T1032,"1862",'III kw.21'!F2:F1032)</f>
        <v>22</v>
      </c>
      <c r="AC28" s="20"/>
      <c r="AD28" s="18"/>
    </row>
    <row r="29" spans="2:30" x14ac:dyDescent="0.25">
      <c r="B29" s="108">
        <v>2132</v>
      </c>
      <c r="C29" s="11" t="s">
        <v>3493</v>
      </c>
      <c r="D29" s="195">
        <f>SUMIF('III kw.21'!AJ2:AJ1032,"2132*",'III kw.21'!F2:F1032)</f>
        <v>0</v>
      </c>
      <c r="E29" s="108">
        <v>2145</v>
      </c>
      <c r="F29" s="11" t="s">
        <v>3496</v>
      </c>
      <c r="G29" s="16">
        <f>SUMIF('III kw.21'!AJ2:AJ1032,"2145*",'III kw.21'!F2:F1032)</f>
        <v>0</v>
      </c>
      <c r="H29" s="122">
        <v>2143</v>
      </c>
      <c r="I29" s="11" t="s">
        <v>93</v>
      </c>
      <c r="J29" s="16">
        <f>SUMIF('III kw.21'!AJ2:AJ1032,"2143*",'III kw.21'!F2:F1032)</f>
        <v>3</v>
      </c>
      <c r="K29" s="426">
        <v>42</v>
      </c>
      <c r="L29" s="11" t="s">
        <v>3537</v>
      </c>
      <c r="M29" s="112">
        <f>SUMIF('III kw.21'!AJ2:AJ1032,"42*",'III kw.21'!F2:F1032)</f>
        <v>10</v>
      </c>
      <c r="N29" s="118">
        <v>24</v>
      </c>
      <c r="O29" s="368" t="s">
        <v>3571</v>
      </c>
      <c r="P29" s="107">
        <f>SUMIF('III kw.21'!AJ2:AJ1032,"24*",'III kw.21'!F2:F1032)</f>
        <v>96</v>
      </c>
      <c r="Q29" s="405">
        <v>32</v>
      </c>
      <c r="R29" s="406" t="s">
        <v>3533</v>
      </c>
      <c r="S29" s="307">
        <f>SUMIF('III kw.21'!AJ2:AJ1032,"32*",'III kw.21'!F2:F1032)</f>
        <v>4</v>
      </c>
      <c r="T29" s="118">
        <v>26</v>
      </c>
      <c r="U29" s="11" t="s">
        <v>3572</v>
      </c>
      <c r="V29" s="316">
        <f>SUMIF('III kw.21'!AJ2:AJ1032,"26*",'III kw.21'!F2:F1032)</f>
        <v>25</v>
      </c>
      <c r="W29" s="119">
        <v>9</v>
      </c>
      <c r="X29" s="11" t="s">
        <v>3565</v>
      </c>
      <c r="Y29" s="326">
        <f>SUMIF('III kw.21'!AJ2:AJ1032,"9*",'III kw.21'!F2:F1032)</f>
        <v>9</v>
      </c>
      <c r="AA29" s="12">
        <v>1863</v>
      </c>
      <c r="AB29" s="26">
        <f>SUMIF('III kw.21'!T2:T1032,"1863",'III kw.21'!F2:F1032)</f>
        <v>363</v>
      </c>
      <c r="AD29" s="18"/>
    </row>
    <row r="30" spans="2:30" x14ac:dyDescent="0.25">
      <c r="B30" s="108">
        <v>2146</v>
      </c>
      <c r="C30" s="11" t="s">
        <v>3497</v>
      </c>
      <c r="D30" s="16">
        <f>SUMIF('III kw.21'!AJ2:AJ1032,"2146*",'III kw.21'!F2:F1032)</f>
        <v>0</v>
      </c>
      <c r="E30" s="108">
        <v>2131</v>
      </c>
      <c r="F30" s="11" t="s">
        <v>3492</v>
      </c>
      <c r="G30" s="16">
        <f>SUMIF('III kw.21'!AJ2:AJ1032,"2131*",'III kw.21'!F2:F1032)</f>
        <v>0</v>
      </c>
      <c r="H30" s="122">
        <v>2161</v>
      </c>
      <c r="I30" s="11" t="s">
        <v>3507</v>
      </c>
      <c r="J30" s="16">
        <f>SUMIF('III kw.21'!AJ2:AJ1032,"2161*",'III kw.21'!F2:F1032)</f>
        <v>1</v>
      </c>
      <c r="K30" s="426">
        <v>43</v>
      </c>
      <c r="L30" s="103" t="s">
        <v>3538</v>
      </c>
      <c r="M30" s="107">
        <f>SUMIF('III kw.21'!AJ2:AJ1032,"43*",'III kw.21'!F2:F1032)</f>
        <v>17</v>
      </c>
      <c r="N30" s="125">
        <v>33</v>
      </c>
      <c r="O30" s="368" t="s">
        <v>3534</v>
      </c>
      <c r="P30" s="107">
        <f>SUMIF('III kw.21'!AJ2:AJ1032,"33*",'III kw.21'!F2:F1032)</f>
        <v>143</v>
      </c>
      <c r="Q30" s="405">
        <v>53</v>
      </c>
      <c r="R30" s="406" t="s">
        <v>3542</v>
      </c>
      <c r="S30" s="307">
        <f>SUMIF('III kw.21'!AJ2:AJ1032,"53*",'III kw.21'!F2:F1032)</f>
        <v>0</v>
      </c>
      <c r="T30" s="125">
        <v>34</v>
      </c>
      <c r="U30" s="11" t="s">
        <v>3535</v>
      </c>
      <c r="V30" s="316">
        <f>SUMIF('III kw.21'!AJ2:AJ1032,"34*",'III kw.21'!F2:F1032)</f>
        <v>0</v>
      </c>
      <c r="W30" s="37"/>
      <c r="Y30" s="326">
        <f>SUM(Y28:Y29)</f>
        <v>9</v>
      </c>
      <c r="AA30" s="12">
        <v>1864</v>
      </c>
      <c r="AB30" s="12">
        <f>SUMIF('III kw.21'!T2:T1032,"1864",'III kw.21'!F2:F1032)</f>
        <v>14</v>
      </c>
      <c r="AD30" s="18"/>
    </row>
    <row r="31" spans="2:30" x14ac:dyDescent="0.25">
      <c r="B31" s="121">
        <v>3113</v>
      </c>
      <c r="C31" s="11" t="s">
        <v>3520</v>
      </c>
      <c r="D31" s="16">
        <f>SUMIF('III kw.21'!AJ2:AJ1032,"3113*",'III kw.21'!F2:F1032)</f>
        <v>4</v>
      </c>
      <c r="E31" s="108">
        <v>2144</v>
      </c>
      <c r="F31" s="399" t="s">
        <v>3495</v>
      </c>
      <c r="G31" s="398">
        <f>SUMIF('III kw.21'!AJ2:AJ1032,"2144*",'III kw.21'!F2:F1032)</f>
        <v>4</v>
      </c>
      <c r="H31" s="122">
        <v>2162</v>
      </c>
      <c r="I31" s="11" t="s">
        <v>3508</v>
      </c>
      <c r="J31" s="16">
        <f>SUMIF('III kw.21'!AJ2:AJ1032,"2162*",'III kw.21'!F2:F1032)</f>
        <v>0</v>
      </c>
      <c r="K31" s="427">
        <v>52</v>
      </c>
      <c r="L31" s="103" t="s">
        <v>3541</v>
      </c>
      <c r="M31" s="107">
        <f>SUMIF('III kw.21'!AJ2:AJ1032,"52*",'III kw.21'!F2:F1032)</f>
        <v>93</v>
      </c>
      <c r="N31" s="127">
        <v>51</v>
      </c>
      <c r="O31" s="11" t="s">
        <v>3540</v>
      </c>
      <c r="P31" s="307">
        <f>SUMIF('III kw.21'!AJ2:AJ1032,"51*",'III kw.21'!F2:F1032)</f>
        <v>8</v>
      </c>
      <c r="Q31" s="37"/>
      <c r="S31" s="307">
        <f>SUM(S28:S30)</f>
        <v>29</v>
      </c>
      <c r="V31" s="317">
        <f>SUM(V28:V30)</f>
        <v>37</v>
      </c>
      <c r="W31" s="37"/>
      <c r="AA31" s="299" t="s">
        <v>5793</v>
      </c>
      <c r="AB31" s="16">
        <f>SUM(AB4:AB23,AB26:AB30)</f>
        <v>653</v>
      </c>
      <c r="AD31" s="20"/>
    </row>
    <row r="32" spans="2:30" x14ac:dyDescent="0.25">
      <c r="B32" s="121">
        <v>3114</v>
      </c>
      <c r="C32" s="11" t="s">
        <v>3521</v>
      </c>
      <c r="D32" s="16">
        <f>SUMIF('III kw.21'!AJ2:AJ1032,"3114*",'III kw.21'!F2:F1032)</f>
        <v>0</v>
      </c>
      <c r="E32" s="108">
        <v>2149</v>
      </c>
      <c r="F32" s="399" t="s">
        <v>3498</v>
      </c>
      <c r="G32" s="398">
        <f>SUMIF('III kw.21'!AJ2:AJ1032,"2149*",'III kw.21'!F2:F1032)</f>
        <v>9</v>
      </c>
      <c r="H32" s="108">
        <v>2164</v>
      </c>
      <c r="I32" s="11" t="s">
        <v>3585</v>
      </c>
      <c r="J32" s="16">
        <f>SUMIF('III kw.21'!AJ2:AJ1032,"2164*",'III kw.21'!F2:F1032)</f>
        <v>0</v>
      </c>
      <c r="K32" s="428">
        <v>83</v>
      </c>
      <c r="L32" s="11" t="s">
        <v>3564</v>
      </c>
      <c r="M32" s="112">
        <f>SUMIF('III kw.21'!AJ2:AJ1032,"83*",'III kw.21'!F2:F1032)</f>
        <v>29</v>
      </c>
      <c r="N32" s="120">
        <v>14</v>
      </c>
      <c r="O32" s="11" t="s">
        <v>3578</v>
      </c>
      <c r="P32" s="307">
        <f>SUMIF('III kw.21'!AJ2:AJ1032,"14*",'III kw.21'!F2:F1032)</f>
        <v>19</v>
      </c>
      <c r="Q32" s="37"/>
      <c r="T32" s="1" t="s">
        <v>0</v>
      </c>
      <c r="U32" s="94"/>
      <c r="V32" s="20"/>
      <c r="W32" s="37" t="s">
        <v>3574</v>
      </c>
      <c r="AA32" s="11" t="s">
        <v>7790</v>
      </c>
      <c r="AB32" s="12">
        <f>J17-COUNTA('III kw.21'!T2:T1032)</f>
        <v>376</v>
      </c>
    </row>
    <row r="33" spans="2:28" x14ac:dyDescent="0.25">
      <c r="B33" s="401">
        <v>3115</v>
      </c>
      <c r="C33" s="8" t="s">
        <v>3522</v>
      </c>
      <c r="D33" s="9">
        <f>SUMIF('III kw.21'!AJ2:AJ1032,"3115*",'III kw.21'!F2:F1032)</f>
        <v>11</v>
      </c>
      <c r="E33" s="389">
        <v>2149</v>
      </c>
      <c r="F33" s="11" t="s">
        <v>3499</v>
      </c>
      <c r="G33" s="104" t="s">
        <v>3573</v>
      </c>
      <c r="H33" s="122">
        <v>2165</v>
      </c>
      <c r="I33" s="11" t="s">
        <v>3509</v>
      </c>
      <c r="J33" s="16">
        <f>SUMIF('III kw.21'!AJ2:AJ1032,"2165*",'III kw.21'!F2:F1032)</f>
        <v>1</v>
      </c>
      <c r="K33" s="429">
        <v>12</v>
      </c>
      <c r="L33" s="11" t="s">
        <v>3576</v>
      </c>
      <c r="M33" s="112">
        <f>SUMIF('III kw.21'!AJ2:AJ1032,"12*",'III kw.21'!F2:F1032)</f>
        <v>27</v>
      </c>
      <c r="P33" s="307">
        <f>SUM(P28:P32)</f>
        <v>269</v>
      </c>
      <c r="Q33" s="37"/>
      <c r="T33" s="321"/>
      <c r="U33" s="320"/>
      <c r="V33" s="318"/>
      <c r="W33" s="330"/>
      <c r="X33" s="331"/>
      <c r="Y33" s="329"/>
      <c r="AA33" s="16" t="s">
        <v>7787</v>
      </c>
      <c r="AB33" s="299">
        <f>SUM(AB31:AB32)</f>
        <v>1029</v>
      </c>
    </row>
    <row r="34" spans="2:28" x14ac:dyDescent="0.25">
      <c r="B34" s="401">
        <v>3116</v>
      </c>
      <c r="C34" s="8" t="s">
        <v>3523</v>
      </c>
      <c r="D34" s="9">
        <f>SUMIF('III kw.21'!AJ2:AJ1032,"3116*",'III kw.21'!F2:F1032)</f>
        <v>1</v>
      </c>
      <c r="E34" s="389">
        <v>2149</v>
      </c>
      <c r="F34" s="11" t="s">
        <v>3500</v>
      </c>
      <c r="G34" s="104" t="s">
        <v>3573</v>
      </c>
      <c r="H34" s="126">
        <v>3111</v>
      </c>
      <c r="I34" s="11" t="s">
        <v>3587</v>
      </c>
      <c r="J34" s="16">
        <f>SUMIF('III kw.21'!AJ2:AJ1032,"3111*",'III kw.21'!F2:F1032)</f>
        <v>0</v>
      </c>
      <c r="K34" s="89"/>
      <c r="L34" s="20"/>
      <c r="M34" s="307">
        <f>SUM(M28:M33)</f>
        <v>177</v>
      </c>
      <c r="Q34" s="37"/>
      <c r="T34" s="116">
        <v>41</v>
      </c>
      <c r="U34" s="11" t="s">
        <v>3592</v>
      </c>
      <c r="V34" s="316">
        <f>SUMIF('III kw.21'!AJ2:AJ1032,"41*",'III kw.21'!F2:F1032)</f>
        <v>5</v>
      </c>
      <c r="W34" s="120">
        <v>11</v>
      </c>
      <c r="X34" s="11" t="s">
        <v>3575</v>
      </c>
      <c r="Y34" s="96">
        <f>SUMIF('III kw.21'!AJ2:AJ1032,"11*",'III kw.21'!F2:F1032)</f>
        <v>4</v>
      </c>
      <c r="AA34" s="302" t="s">
        <v>7791</v>
      </c>
      <c r="AB34" s="445">
        <f>SUMPRODUCT(COUNTIF('III kw.21'!$T$2:$T$1032,"*"&amp;'16'!$AD$4&amp;"*"))</f>
        <v>654</v>
      </c>
    </row>
    <row r="35" spans="2:28" x14ac:dyDescent="0.25">
      <c r="B35" s="121">
        <v>3117</v>
      </c>
      <c r="C35" s="11" t="s">
        <v>3524</v>
      </c>
      <c r="D35" s="16">
        <f>SUMIF('III kw.21'!AJ2:AJ1032,"3117*",'III kw.21'!F2:F1032)</f>
        <v>0</v>
      </c>
      <c r="E35" s="389">
        <v>2149</v>
      </c>
      <c r="F35" s="11" t="s">
        <v>3501</v>
      </c>
      <c r="G35" s="104" t="s">
        <v>3573</v>
      </c>
      <c r="H35" s="126">
        <v>3112</v>
      </c>
      <c r="I35" s="399" t="s">
        <v>3519</v>
      </c>
      <c r="J35" s="16">
        <f>SUMIF('III kw.21'!AJ2:AJ1032,"3112*",'III kw.21'!F2:F1032)</f>
        <v>5</v>
      </c>
      <c r="K35" s="89"/>
      <c r="L35" s="20"/>
      <c r="M35" s="20"/>
      <c r="N35" s="100" t="s">
        <v>134</v>
      </c>
      <c r="O35" s="93"/>
      <c r="Q35" s="37"/>
      <c r="T35" s="116">
        <v>44</v>
      </c>
      <c r="U35" s="11" t="s">
        <v>3539</v>
      </c>
      <c r="V35" s="316">
        <f>SUMIF('III kw.21'!AJ2:AJ1032,"44*",'III kw.21'!F2:F1032)</f>
        <v>0</v>
      </c>
      <c r="W35" s="108">
        <v>2111</v>
      </c>
      <c r="X35" s="11" t="s">
        <v>3580</v>
      </c>
      <c r="Y35" s="96">
        <f>SUMIF('III kw.21'!AJ2:AJ1032,"2111*",'III kw.21'!F2:F1032)</f>
        <v>0</v>
      </c>
      <c r="AA35" s="11" t="s">
        <v>7791</v>
      </c>
      <c r="AB35" s="12">
        <f>SUM(AB34-AB31)</f>
        <v>1</v>
      </c>
    </row>
    <row r="36" spans="2:28" x14ac:dyDescent="0.25">
      <c r="B36" s="121">
        <v>3119</v>
      </c>
      <c r="C36" s="396" t="s">
        <v>3526</v>
      </c>
      <c r="D36" s="397">
        <f>SUMIF('III kw.21'!AJ2:AJ1032,"3119*",'III kw.21'!F2:F1032)</f>
        <v>6</v>
      </c>
      <c r="E36" s="389">
        <v>2149</v>
      </c>
      <c r="F36" s="11" t="s">
        <v>3502</v>
      </c>
      <c r="G36" s="104" t="s">
        <v>3573</v>
      </c>
      <c r="H36" s="126">
        <v>3118</v>
      </c>
      <c r="I36" s="11" t="s">
        <v>3525</v>
      </c>
      <c r="J36" s="16">
        <f>SUMIF('III kw.21'!AJ2:AJ1032,"3118*",'III kw.21'!F2:F1032)</f>
        <v>0</v>
      </c>
      <c r="K36" s="89"/>
      <c r="L36" s="20"/>
      <c r="M36" s="20"/>
      <c r="N36" s="305"/>
      <c r="O36" s="306"/>
      <c r="P36" s="308"/>
      <c r="Q36" s="37"/>
      <c r="T36" s="131">
        <v>7515</v>
      </c>
      <c r="U36" s="11" t="s">
        <v>3552</v>
      </c>
      <c r="V36" s="319">
        <f>SUMIF('III kw.21'!AJ2:AJ1032,"7515*",'III kw.21'!F2:F1032)</f>
        <v>0</v>
      </c>
      <c r="W36" s="108">
        <v>2112</v>
      </c>
      <c r="X36" s="11" t="s">
        <v>3581</v>
      </c>
      <c r="Y36" s="96">
        <f>SUMIF('III kw.21'!AJ2:AJ1032,"2112*",'III kw.21'!F2:F1032)</f>
        <v>0</v>
      </c>
      <c r="AA36" s="16" t="s">
        <v>7788</v>
      </c>
      <c r="AB36" s="299">
        <f>SUM(AB33,AB35)</f>
        <v>1030</v>
      </c>
    </row>
    <row r="37" spans="2:28" x14ac:dyDescent="0.25">
      <c r="B37" s="121">
        <v>3121</v>
      </c>
      <c r="C37" s="11" t="s">
        <v>3527</v>
      </c>
      <c r="D37" s="16">
        <f>SUMIF('III kw.21'!AJ2:AJ1032,"3121*",'III kw.21'!F2:F1032)</f>
        <v>0</v>
      </c>
      <c r="E37" s="389">
        <v>2149</v>
      </c>
      <c r="F37" s="11" t="s">
        <v>3503</v>
      </c>
      <c r="G37" s="104" t="s">
        <v>3573</v>
      </c>
      <c r="H37" s="126">
        <v>3123</v>
      </c>
      <c r="I37" s="11" t="s">
        <v>3529</v>
      </c>
      <c r="J37" s="16">
        <f>SUMIF('III kw.21'!AJ2:AJ1032,"3123*",'III kw.21'!F2:F1032)</f>
        <v>1</v>
      </c>
      <c r="K37" s="89"/>
      <c r="L37" s="20"/>
      <c r="N37" s="131">
        <v>7512</v>
      </c>
      <c r="O37" s="11" t="s">
        <v>3549</v>
      </c>
      <c r="P37" s="307">
        <f>SUMIF('III kw.21'!AJ2:AJ1032,"7512*",'III kw.21'!F2:F1032)</f>
        <v>0</v>
      </c>
      <c r="Q37" s="37"/>
      <c r="T37" s="37"/>
      <c r="V37" s="317">
        <f>SUM(V34:V36)</f>
        <v>5</v>
      </c>
      <c r="W37" s="108">
        <v>2114</v>
      </c>
      <c r="X37" s="11" t="s">
        <v>3582</v>
      </c>
      <c r="Y37" s="96">
        <f>SUMIF('III kw.21'!AJ2:AJ1032,"2114*",'III kw.21'!F2:F1032)</f>
        <v>0</v>
      </c>
    </row>
    <row r="38" spans="2:28" x14ac:dyDescent="0.25">
      <c r="B38" s="121">
        <v>3122</v>
      </c>
      <c r="C38" s="11" t="s">
        <v>3528</v>
      </c>
      <c r="D38" s="16">
        <f>SUMIF('III kw.21'!AJ2:AJ1032,"3122*",'III kw.21'!F2:F1032)</f>
        <v>0</v>
      </c>
      <c r="E38" s="108">
        <v>2151</v>
      </c>
      <c r="F38" s="11" t="s">
        <v>3504</v>
      </c>
      <c r="G38" s="16">
        <f>SUMIF('III kw.21'!AJ2:AJ1032,"2151*",'III kw.21'!F2:F1032)</f>
        <v>3</v>
      </c>
      <c r="H38" s="129">
        <v>71</v>
      </c>
      <c r="I38" s="399" t="s">
        <v>3544</v>
      </c>
      <c r="J38" s="417">
        <f>SUMIF('III kw.21'!AJ2:AJ1032,"71*",'III kw.21'!F2:F1032)</f>
        <v>12</v>
      </c>
      <c r="K38" s="89"/>
      <c r="L38" s="20"/>
      <c r="M38" s="20"/>
      <c r="P38" s="307">
        <f>SUM(P37)</f>
        <v>0</v>
      </c>
      <c r="Q38" s="37"/>
      <c r="T38" s="37"/>
      <c r="W38" s="108">
        <v>2120</v>
      </c>
      <c r="X38" s="11" t="s">
        <v>3583</v>
      </c>
      <c r="Y38" s="96">
        <f>SUMIF('III kw.21'!AJ2:AJ1032,"2120*",'III kw.21'!F2:F1032)</f>
        <v>0</v>
      </c>
    </row>
    <row r="39" spans="2:28" x14ac:dyDescent="0.25">
      <c r="B39" s="416">
        <v>313</v>
      </c>
      <c r="C39" s="391" t="s">
        <v>3530</v>
      </c>
      <c r="D39" s="390">
        <f>SUMIF('III kw.21'!AJ2:AJ1032,"313*",'III kw.21'!F2:F1032)</f>
        <v>8</v>
      </c>
      <c r="E39" s="108">
        <v>2152</v>
      </c>
      <c r="F39" s="11" t="s">
        <v>3505</v>
      </c>
      <c r="G39" s="16">
        <f>SUMIF('III kw.21'!AJ2:AJ1032,"2152*",'III kw.21'!F2:F1032)</f>
        <v>2</v>
      </c>
      <c r="H39" s="132">
        <v>7521</v>
      </c>
      <c r="I39" s="11" t="s">
        <v>3553</v>
      </c>
      <c r="J39" s="16">
        <f>SUMIF('III kw.21'!AJ2:AJ1032,"7521*",'III kw.21'!F2:F1032)</f>
        <v>0</v>
      </c>
      <c r="K39" s="89"/>
      <c r="L39" s="20"/>
      <c r="M39" s="20"/>
      <c r="N39" s="94" t="s">
        <v>154</v>
      </c>
      <c r="O39" s="94"/>
      <c r="P39" s="18"/>
      <c r="T39" s="37"/>
      <c r="W39" s="119">
        <v>0</v>
      </c>
      <c r="X39" s="11" t="s">
        <v>3586</v>
      </c>
      <c r="Y39" s="96">
        <f>SUMIF('III kw.21'!AJ2:AJ1032,"0*",'III kw.21'!F2:F1032)</f>
        <v>0</v>
      </c>
    </row>
    <row r="40" spans="2:28" x14ac:dyDescent="0.25">
      <c r="B40" s="401">
        <v>314</v>
      </c>
      <c r="C40" s="8" t="s">
        <v>3531</v>
      </c>
      <c r="D40" s="9">
        <f>SUMIF('III kw.21'!AJ2:AJ1032,"314*",'III kw.21'!F2:F1032)</f>
        <v>3</v>
      </c>
      <c r="E40" s="108">
        <v>2153</v>
      </c>
      <c r="F40" s="11" t="s">
        <v>3506</v>
      </c>
      <c r="G40" s="16">
        <f>SUMIF('III kw.21'!AJ2:AJ1032,"2153*",'III kw.21'!F2:F1032)</f>
        <v>4</v>
      </c>
      <c r="H40" s="132">
        <v>7522</v>
      </c>
      <c r="I40" s="11" t="s">
        <v>3554</v>
      </c>
      <c r="J40" s="16">
        <f>SUMIF('III kw.21'!AJ2:AJ1032,"7522*",'III kw.21'!F2:F1032)</f>
        <v>1</v>
      </c>
      <c r="K40" s="89"/>
      <c r="L40" s="20"/>
      <c r="M40" s="20"/>
      <c r="N40" s="305"/>
      <c r="O40" s="306"/>
      <c r="P40" s="308"/>
      <c r="Y40" s="96">
        <f>SUM(Y34:Y39)</f>
        <v>4</v>
      </c>
    </row>
    <row r="41" spans="2:28" x14ac:dyDescent="0.25">
      <c r="B41" s="125">
        <v>35</v>
      </c>
      <c r="C41" s="391" t="s">
        <v>3536</v>
      </c>
      <c r="D41" s="390">
        <f>SUMIF('III kw.21'!AJ2:AJ1032,"35*",'III kw.21'!F2:F1032)</f>
        <v>6</v>
      </c>
      <c r="E41" s="118">
        <v>25</v>
      </c>
      <c r="F41" s="446" t="s">
        <v>3513</v>
      </c>
      <c r="G41" s="16">
        <f>SUMIF('III kw.21'!AJ2:AJ1032,"25*",'III kw.21'!F2:F1032)</f>
        <v>349</v>
      </c>
      <c r="J41" s="309">
        <f>SUM(J28:J40)</f>
        <v>34</v>
      </c>
      <c r="K41" s="89"/>
      <c r="L41" s="20"/>
      <c r="M41" s="20"/>
      <c r="N41" s="131">
        <v>753</v>
      </c>
      <c r="O41" s="11" t="s">
        <v>3556</v>
      </c>
      <c r="P41" s="307">
        <f>SUMIF('III kw.21'!AJ2:AJ1032,"753*",'III kw.21'!F2:F1032)</f>
        <v>0</v>
      </c>
    </row>
    <row r="42" spans="2:28" x14ac:dyDescent="0.25">
      <c r="B42" s="119">
        <v>6</v>
      </c>
      <c r="C42" s="11" t="s">
        <v>3543</v>
      </c>
      <c r="D42" s="16">
        <f>SUMIF('III kw.21'!AJ2:AJ1032,"6*",'III kw.21'!F2:F1032)</f>
        <v>0</v>
      </c>
      <c r="E42" s="130">
        <v>74</v>
      </c>
      <c r="F42" s="11" t="s">
        <v>3547</v>
      </c>
      <c r="G42" s="16">
        <f>SUMIF('III kw.21'!AJ2:AJ1032,"74*",'III kw.21'!F2:F1032)</f>
        <v>4</v>
      </c>
      <c r="H42" s="89"/>
      <c r="I42" s="20"/>
      <c r="K42" s="20"/>
      <c r="L42" s="20"/>
      <c r="M42" s="20"/>
      <c r="N42" s="131">
        <v>7541</v>
      </c>
      <c r="O42" s="11" t="s">
        <v>3557</v>
      </c>
      <c r="P42" s="307">
        <f>SUMIF('III kw.21'!AJ2:AJ1032,"7541*",'III kw.21'!F2:F1032)</f>
        <v>0</v>
      </c>
    </row>
    <row r="43" spans="2:28" x14ac:dyDescent="0.25">
      <c r="B43" s="130">
        <v>72</v>
      </c>
      <c r="C43" s="396" t="s">
        <v>3545</v>
      </c>
      <c r="D43" s="397">
        <f>SUMIF('III kw.21'!AJ2:AJ1032,"72*",'III kw.21'!F2:F1032)</f>
        <v>13</v>
      </c>
      <c r="G43" s="310">
        <f>SUM(G28:G42)</f>
        <v>379</v>
      </c>
      <c r="N43" s="127">
        <v>54</v>
      </c>
      <c r="O43" s="11" t="s">
        <v>3588</v>
      </c>
      <c r="P43" s="307">
        <f>SUMIF('III kw.21'!AJ2:AJ1032,"54*",'III kw.21'!F2:F1032)</f>
        <v>2</v>
      </c>
    </row>
    <row r="44" spans="2:28" x14ac:dyDescent="0.25">
      <c r="B44" s="130">
        <v>73</v>
      </c>
      <c r="C44" s="11" t="s">
        <v>3546</v>
      </c>
      <c r="D44" s="16">
        <f>SUMIF('III kw.21'!AJ2:AJ1032,"73*",'III kw.21'!F2:F1032)</f>
        <v>1</v>
      </c>
      <c r="P44" s="307">
        <f>SUM(P41:P43)</f>
        <v>2</v>
      </c>
    </row>
    <row r="45" spans="2:28" x14ac:dyDescent="0.25">
      <c r="B45" s="131">
        <v>7511</v>
      </c>
      <c r="C45" s="11" t="s">
        <v>3548</v>
      </c>
      <c r="D45" s="16">
        <f>SUMIF('III kw.21'!AJ2:AJ1032,"7511*",'III kw.21'!F2:F1032)</f>
        <v>0</v>
      </c>
      <c r="T45" s="37"/>
    </row>
    <row r="46" spans="2:28" x14ac:dyDescent="0.25">
      <c r="B46" s="131">
        <v>7513</v>
      </c>
      <c r="C46" s="11" t="s">
        <v>3550</v>
      </c>
      <c r="D46" s="16">
        <f>SUMIF('III kw.21'!AJ2:AJ1032,"7513*",'III kw.21'!F2:F1032)</f>
        <v>0</v>
      </c>
      <c r="T46" s="37"/>
    </row>
    <row r="47" spans="2:28" x14ac:dyDescent="0.25">
      <c r="B47" s="131">
        <v>7514</v>
      </c>
      <c r="C47" s="11" t="s">
        <v>3551</v>
      </c>
      <c r="D47" s="16">
        <f>SUMIF('III kw.21'!AJ2:AJ1032,"7514*",'III kw.21'!F2:F1032)</f>
        <v>0</v>
      </c>
      <c r="T47" s="37"/>
    </row>
    <row r="48" spans="2:28" x14ac:dyDescent="0.25">
      <c r="B48" s="131">
        <v>7523</v>
      </c>
      <c r="C48" s="11" t="s">
        <v>3555</v>
      </c>
      <c r="D48" s="16">
        <f>SUMIF('III kw.21'!AJ2:AJ1032,"7523*",'III kw.21'!F2:F1032)</f>
        <v>0</v>
      </c>
      <c r="T48" s="37"/>
    </row>
    <row r="49" spans="1:20" x14ac:dyDescent="0.25">
      <c r="B49" s="131">
        <v>7542</v>
      </c>
      <c r="C49" s="11" t="s">
        <v>3558</v>
      </c>
      <c r="D49" s="16">
        <f>SUMIF('III kw.21'!AJ2:AJ1032,"7542*",'III kw.21'!F2:F1032)</f>
        <v>0</v>
      </c>
      <c r="T49" s="37"/>
    </row>
    <row r="50" spans="1:20" x14ac:dyDescent="0.25">
      <c r="B50" s="131">
        <v>7543</v>
      </c>
      <c r="C50" s="11" t="s">
        <v>3559</v>
      </c>
      <c r="D50" s="16">
        <f>SUMIF('III kw.21'!AJ2:AJ1032,"7543*",'III kw.21'!F2:F1032)</f>
        <v>0</v>
      </c>
    </row>
    <row r="51" spans="1:20" x14ac:dyDescent="0.25">
      <c r="B51" s="131">
        <v>7544</v>
      </c>
      <c r="C51" s="11" t="s">
        <v>3560</v>
      </c>
      <c r="D51" s="16">
        <f>SUMIF('III kw.21'!AJ2:AJ1032,"7544*",'III kw.21'!F2:F1032)</f>
        <v>0</v>
      </c>
    </row>
    <row r="52" spans="1:20" x14ac:dyDescent="0.25">
      <c r="B52" s="134">
        <v>81</v>
      </c>
      <c r="C52" s="11" t="s">
        <v>3562</v>
      </c>
      <c r="D52" s="16">
        <f>SUMIF('III kw.21'!AJ2:AJ1032,"81*",'III kw.21'!F2:F1032)</f>
        <v>6</v>
      </c>
    </row>
    <row r="53" spans="1:20" x14ac:dyDescent="0.25">
      <c r="B53" s="134">
        <v>82</v>
      </c>
      <c r="C53" s="11" t="s">
        <v>3563</v>
      </c>
      <c r="D53" s="16">
        <f>SUMIF('III kw.21'!AJ2:AJ1032,"82*",'III kw.21'!F2:F1032)</f>
        <v>3</v>
      </c>
    </row>
    <row r="54" spans="1:20" x14ac:dyDescent="0.25">
      <c r="B54" s="120">
        <v>13</v>
      </c>
      <c r="C54" s="396" t="s">
        <v>3577</v>
      </c>
      <c r="D54" s="397">
        <f>SUMIF('III kw.21'!AJ2:AJ1032,"13*",'III kw.21'!F2:F1032)</f>
        <v>16</v>
      </c>
    </row>
    <row r="55" spans="1:20" x14ac:dyDescent="0.25">
      <c r="B55" s="108">
        <v>2163</v>
      </c>
      <c r="C55" s="396" t="s">
        <v>3579</v>
      </c>
      <c r="D55" s="397">
        <f>SUMIF('III kw.21'!AJ2:AJ1032,"2163*",'III kw.21'!F2:F1032)</f>
        <v>0</v>
      </c>
    </row>
    <row r="56" spans="1:20" ht="30" x14ac:dyDescent="0.25">
      <c r="B56" s="108">
        <v>2133</v>
      </c>
      <c r="C56" s="11" t="s">
        <v>3584</v>
      </c>
      <c r="D56" s="16">
        <f>SUMIF('III kw.21'!AJ2:AJ1032,"2133*",'III kw.21'!F2:F1032)</f>
        <v>0</v>
      </c>
      <c r="L56" s="11"/>
      <c r="M56" s="393" t="s">
        <v>7254</v>
      </c>
      <c r="N56" s="394" t="s">
        <v>3465</v>
      </c>
    </row>
    <row r="57" spans="1:20" x14ac:dyDescent="0.25">
      <c r="B57" s="37"/>
      <c r="D57" s="310">
        <f>SUM(D28:D56)</f>
        <v>85</v>
      </c>
      <c r="L57" s="395" t="s">
        <v>7792</v>
      </c>
      <c r="M57" s="313">
        <v>86</v>
      </c>
      <c r="N57" s="313">
        <v>122</v>
      </c>
    </row>
    <row r="58" spans="1:20" x14ac:dyDescent="0.25">
      <c r="L58" s="395" t="s">
        <v>7793</v>
      </c>
      <c r="M58" s="313">
        <v>377</v>
      </c>
      <c r="N58" s="313">
        <v>410</v>
      </c>
    </row>
    <row r="59" spans="1:20" x14ac:dyDescent="0.25">
      <c r="B59" s="1" t="s">
        <v>6926</v>
      </c>
      <c r="L59" s="395" t="s">
        <v>7794</v>
      </c>
      <c r="M59" s="313">
        <v>180</v>
      </c>
      <c r="N59" s="313">
        <v>231</v>
      </c>
    </row>
    <row r="60" spans="1:20" x14ac:dyDescent="0.25">
      <c r="B60" s="282" t="s">
        <v>6927</v>
      </c>
      <c r="C60" s="338" t="s">
        <v>3465</v>
      </c>
      <c r="L60" s="395" t="s">
        <v>7795</v>
      </c>
      <c r="M60" s="313">
        <v>361</v>
      </c>
      <c r="N60" s="313">
        <v>378</v>
      </c>
    </row>
    <row r="61" spans="1:20" x14ac:dyDescent="0.25">
      <c r="A61" s="3">
        <v>1</v>
      </c>
      <c r="B61" s="282">
        <v>1801</v>
      </c>
      <c r="C61" s="339">
        <f>SUMIF('III kw.21'!T2:T1032,"1801",'III kw.21'!F2:F1032)</f>
        <v>1</v>
      </c>
      <c r="L61" s="382" t="s">
        <v>7796</v>
      </c>
      <c r="M61" s="381">
        <v>249</v>
      </c>
      <c r="N61" s="381">
        <v>258</v>
      </c>
    </row>
    <row r="62" spans="1:20" x14ac:dyDescent="0.25">
      <c r="A62" s="3">
        <v>2</v>
      </c>
      <c r="B62" s="282">
        <v>1802</v>
      </c>
      <c r="C62" s="339">
        <f>SUMIF('III kw.21'!T2:T1032,"1802",'III kw.21'!F2:F1032)</f>
        <v>2</v>
      </c>
      <c r="L62" s="382" t="s">
        <v>7797</v>
      </c>
      <c r="M62" s="381">
        <v>173</v>
      </c>
      <c r="N62" s="381">
        <v>197</v>
      </c>
    </row>
    <row r="63" spans="1:20" x14ac:dyDescent="0.25">
      <c r="A63" s="3">
        <v>3</v>
      </c>
      <c r="B63" s="282">
        <v>1803</v>
      </c>
      <c r="C63" s="339">
        <f>SUMIF('III kw.21'!T2:T1032,"1803",'III kw.21'!F2:F1032)</f>
        <v>25</v>
      </c>
      <c r="L63" s="382" t="s">
        <v>7798</v>
      </c>
      <c r="M63" s="381">
        <v>97</v>
      </c>
      <c r="N63" s="381">
        <v>97</v>
      </c>
    </row>
    <row r="64" spans="1:20" x14ac:dyDescent="0.25">
      <c r="A64" s="3">
        <v>4</v>
      </c>
      <c r="B64" s="282">
        <v>1804</v>
      </c>
      <c r="C64" s="339">
        <f>SUMIF('III kw.21'!T2:T1032,"1804",'III kw.21'!F2:F1032)</f>
        <v>10</v>
      </c>
      <c r="L64" s="384" t="s">
        <v>7799</v>
      </c>
      <c r="M64" s="381">
        <v>224</v>
      </c>
      <c r="N64" s="381">
        <v>224</v>
      </c>
    </row>
    <row r="65" spans="1:14" x14ac:dyDescent="0.25">
      <c r="A65" s="3">
        <v>5</v>
      </c>
      <c r="B65" s="282">
        <v>1805</v>
      </c>
      <c r="C65" s="339">
        <f>SUMIF('III kw.21'!T2:T1032,"1805",'III kw.21'!F2:F1032)</f>
        <v>10</v>
      </c>
      <c r="L65" s="329" t="s">
        <v>8302</v>
      </c>
      <c r="M65" s="96">
        <v>156</v>
      </c>
      <c r="N65" s="96">
        <v>165</v>
      </c>
    </row>
    <row r="66" spans="1:14" x14ac:dyDescent="0.25">
      <c r="A66" s="3">
        <v>6</v>
      </c>
      <c r="B66" s="282">
        <v>1806</v>
      </c>
      <c r="C66" s="339">
        <f>SUMIF('III kw.21'!T2:T1032,"1806",'III kw.21'!F2:F1032)</f>
        <v>6</v>
      </c>
      <c r="L66" s="329" t="s">
        <v>9296</v>
      </c>
      <c r="M66" s="96">
        <v>237</v>
      </c>
      <c r="N66" s="96">
        <v>242</v>
      </c>
    </row>
    <row r="67" spans="1:14" x14ac:dyDescent="0.25">
      <c r="A67" s="3">
        <v>7</v>
      </c>
      <c r="B67" s="282">
        <v>1807</v>
      </c>
      <c r="C67" s="339">
        <f>SUMIF('III kw.21'!T2:T1032,"1807",'III kw.21'!F2:F1032)</f>
        <v>1</v>
      </c>
      <c r="L67" s="329" t="s">
        <v>13095</v>
      </c>
      <c r="M67" s="96">
        <v>1022</v>
      </c>
      <c r="N67" s="96">
        <v>1030</v>
      </c>
    </row>
    <row r="68" spans="1:14" x14ac:dyDescent="0.25">
      <c r="A68" s="3">
        <v>8</v>
      </c>
      <c r="B68" s="282">
        <v>1808</v>
      </c>
      <c r="C68" s="339">
        <f>SUMIF('III kw.21'!T2:T1032,"1808",'III kw.21'!F2:F1032)</f>
        <v>4</v>
      </c>
    </row>
    <row r="69" spans="1:14" x14ac:dyDescent="0.25">
      <c r="A69" s="3">
        <v>9</v>
      </c>
      <c r="B69" s="403">
        <v>1809</v>
      </c>
      <c r="C69" s="404">
        <f>SUMIF('III kw.21'!T2:T1032,"1809",'III kw.21'!F2:F1032)</f>
        <v>3</v>
      </c>
    </row>
    <row r="70" spans="1:14" x14ac:dyDescent="0.25">
      <c r="A70" s="3">
        <v>10</v>
      </c>
      <c r="B70" s="282">
        <v>1810</v>
      </c>
      <c r="C70" s="339">
        <f>SUMIF('III kw.21'!T2:T1032,"1810",'III kw.21'!F2:F1032)</f>
        <v>9</v>
      </c>
    </row>
    <row r="71" spans="1:14" x14ac:dyDescent="0.25">
      <c r="A71" s="3">
        <v>11</v>
      </c>
      <c r="B71" s="340">
        <v>1811</v>
      </c>
      <c r="C71" s="341">
        <f>SUMIF('III kw.21'!T2:T1032,"1811",'III kw.21'!F2:F1032)</f>
        <v>35</v>
      </c>
    </row>
    <row r="72" spans="1:14" x14ac:dyDescent="0.25">
      <c r="A72" s="3">
        <v>12</v>
      </c>
      <c r="B72" s="282">
        <v>1812</v>
      </c>
      <c r="C72" s="339">
        <f>SUMIF('III kw.21'!T2:T1032,"1812",'III kw.21'!F2:F1032)</f>
        <v>2</v>
      </c>
    </row>
    <row r="73" spans="1:14" x14ac:dyDescent="0.25">
      <c r="A73" s="3">
        <v>13</v>
      </c>
      <c r="B73" s="282">
        <v>1813</v>
      </c>
      <c r="C73" s="339">
        <f>SUMIF('III kw.21'!T2:T1032,"1813",'III kw.21'!F2:F1032)</f>
        <v>0</v>
      </c>
    </row>
    <row r="74" spans="1:14" x14ac:dyDescent="0.25">
      <c r="A74" s="3">
        <v>14</v>
      </c>
      <c r="B74" s="282">
        <v>1814</v>
      </c>
      <c r="C74" s="339">
        <f>SUMIF('III kw.21'!T2:T1032,"1814",'III kw.21'!F2:F1032)</f>
        <v>17</v>
      </c>
    </row>
    <row r="75" spans="1:14" x14ac:dyDescent="0.25">
      <c r="A75" s="3">
        <v>15</v>
      </c>
      <c r="B75" s="282">
        <v>1815</v>
      </c>
      <c r="C75" s="339">
        <f>SUMIF('III kw.21'!T2:T1032,"1815",'III kw.21'!F2:F1032)</f>
        <v>14</v>
      </c>
    </row>
    <row r="76" spans="1:14" x14ac:dyDescent="0.25">
      <c r="A76" s="3">
        <v>16</v>
      </c>
      <c r="B76" s="282">
        <v>1816</v>
      </c>
      <c r="C76" s="339">
        <f>SUMIF('III kw.21'!T2:T1032,"1816",'III kw.21'!F2:F1032)</f>
        <v>42</v>
      </c>
    </row>
    <row r="77" spans="1:14" x14ac:dyDescent="0.25">
      <c r="A77" s="3">
        <v>17</v>
      </c>
      <c r="B77" s="282">
        <v>1817</v>
      </c>
      <c r="C77" s="339">
        <f>SUMIF('III kw.21'!T2:T1032,"1817",'III kw.21'!F2:F1032)</f>
        <v>9</v>
      </c>
    </row>
    <row r="78" spans="1:14" x14ac:dyDescent="0.25">
      <c r="A78" s="3">
        <v>18</v>
      </c>
      <c r="B78" s="282">
        <v>1818</v>
      </c>
      <c r="C78" s="339">
        <f>SUMIF('III kw.21'!T2:T1032,"1818",'III kw.21'!F2:F1032)</f>
        <v>15</v>
      </c>
    </row>
    <row r="79" spans="1:14" x14ac:dyDescent="0.25">
      <c r="A79" s="3">
        <v>19</v>
      </c>
      <c r="B79" s="282">
        <v>1819</v>
      </c>
      <c r="C79" s="339">
        <f>SUMIF('III kw.21'!T2:T1032,"1819",'III kw.21'!F2:F1032)</f>
        <v>4</v>
      </c>
    </row>
    <row r="80" spans="1:14" x14ac:dyDescent="0.25">
      <c r="A80" s="3">
        <v>20</v>
      </c>
      <c r="B80" s="282">
        <v>1820</v>
      </c>
      <c r="C80" s="339">
        <f>SUMIF('III kw.21'!T2:T1032,"1820",'III kw.21'!F2:F1032)</f>
        <v>8</v>
      </c>
    </row>
    <row r="81" spans="1:3" x14ac:dyDescent="0.25">
      <c r="A81" s="3">
        <v>21</v>
      </c>
      <c r="B81" s="282">
        <v>1821</v>
      </c>
      <c r="C81" s="339">
        <f>SUMIF('III kw.21'!T2:T1032,"1821",'III kw.21'!F2:F1032)</f>
        <v>6</v>
      </c>
    </row>
    <row r="82" spans="1:3" x14ac:dyDescent="0.25">
      <c r="A82" s="3">
        <v>22</v>
      </c>
      <c r="B82" s="403">
        <v>1861</v>
      </c>
      <c r="C82" s="404">
        <f>SUMIF('III kw.21'!T2:T1032,"1861",'III kw.21'!F2:F1032)</f>
        <v>31</v>
      </c>
    </row>
    <row r="83" spans="1:3" x14ac:dyDescent="0.25">
      <c r="A83" s="3">
        <v>23</v>
      </c>
      <c r="B83" s="282">
        <v>1862</v>
      </c>
      <c r="C83" s="339">
        <f>SUMIF('III kw.21'!T2:T1032,"1862",'III kw.21'!F2:F1032)</f>
        <v>22</v>
      </c>
    </row>
    <row r="84" spans="1:3" x14ac:dyDescent="0.25">
      <c r="A84" s="3">
        <v>24</v>
      </c>
      <c r="B84" s="340">
        <v>1863</v>
      </c>
      <c r="C84" s="341">
        <f>SUMIF('III kw.21'!T2:T1032,"1863",'III kw.21'!F2:F1032)</f>
        <v>363</v>
      </c>
    </row>
    <row r="85" spans="1:3" x14ac:dyDescent="0.25">
      <c r="A85" s="3">
        <v>25</v>
      </c>
      <c r="B85" s="282">
        <v>1864</v>
      </c>
      <c r="C85" s="339">
        <f>SUMIF('III kw.21'!T2:T1032,"1864",'III kw.21'!F2:F1032)</f>
        <v>14</v>
      </c>
    </row>
    <row r="86" spans="1:3" x14ac:dyDescent="0.25">
      <c r="B86" s="403">
        <v>1800</v>
      </c>
      <c r="C86" s="404">
        <f>SUM(C61:C85)</f>
        <v>653</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8"/>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2.140625" style="3" customWidth="1"/>
    <col min="27" max="27" width="21.28515625" style="3" customWidth="1"/>
    <col min="28" max="28" width="11.140625" style="3" bestFit="1" customWidth="1"/>
    <col min="29" max="29" width="3.28515625" style="3" customWidth="1"/>
    <col min="30" max="16384" width="9.140625" style="3"/>
  </cols>
  <sheetData>
    <row r="1" spans="2:30" ht="12.75" customHeight="1" x14ac:dyDescent="0.25"/>
    <row r="2" spans="2:30" x14ac:dyDescent="0.25">
      <c r="B2" s="1" t="s">
        <v>3461</v>
      </c>
      <c r="C2" s="2"/>
      <c r="D2" s="1"/>
      <c r="E2" s="1"/>
      <c r="H2" s="1" t="s">
        <v>3466</v>
      </c>
      <c r="L2" s="3" t="b">
        <f>EXACT(E25,J17)</f>
        <v>1</v>
      </c>
      <c r="M2" s="3" t="b">
        <f>EXACT(E25,P27)</f>
        <v>1</v>
      </c>
    </row>
    <row r="3" spans="2:30" ht="60" x14ac:dyDescent="0.25">
      <c r="B3" s="380" t="s">
        <v>171</v>
      </c>
      <c r="C3" s="380" t="s">
        <v>172</v>
      </c>
      <c r="D3" s="380" t="s">
        <v>6539</v>
      </c>
      <c r="E3" s="380" t="s">
        <v>3483</v>
      </c>
      <c r="F3" s="380" t="s">
        <v>3467</v>
      </c>
      <c r="H3" s="16" t="s">
        <v>3462</v>
      </c>
      <c r="I3" s="193" t="s">
        <v>3465</v>
      </c>
      <c r="J3" s="16" t="s">
        <v>3514</v>
      </c>
      <c r="K3" s="464" t="s">
        <v>9295</v>
      </c>
      <c r="R3" s="443" t="s">
        <v>6394</v>
      </c>
      <c r="S3" s="20"/>
      <c r="T3" s="3" t="s">
        <v>6394</v>
      </c>
      <c r="U3" s="20"/>
      <c r="AA3" s="1" t="s">
        <v>6927</v>
      </c>
    </row>
    <row r="4" spans="2:30" x14ac:dyDescent="0.25">
      <c r="B4" s="381" t="s">
        <v>3515</v>
      </c>
      <c r="C4" s="382" t="s">
        <v>3460</v>
      </c>
      <c r="D4" s="383">
        <v>563</v>
      </c>
      <c r="E4" s="383">
        <v>523</v>
      </c>
      <c r="F4" s="381"/>
      <c r="H4" s="11" t="s">
        <v>3463</v>
      </c>
      <c r="I4" s="12">
        <f>COUNTIF('IV kw.21'!E2:E1023,"praca")</f>
        <v>186</v>
      </c>
      <c r="J4" s="12" t="s">
        <v>3515</v>
      </c>
      <c r="K4" s="151">
        <f>SUMIF('IV kw.21'!E2:E1022,"praca",'IV kw.21'!F2:F1022)</f>
        <v>186</v>
      </c>
      <c r="N4" s="12">
        <v>1</v>
      </c>
      <c r="O4" s="11" t="s">
        <v>170</v>
      </c>
      <c r="P4" s="12">
        <f>SUM(D59)</f>
        <v>73</v>
      </c>
      <c r="R4" s="12">
        <f>RANK(P4,$P$4:$P$15,0)+COUNTIF($P$4:P4,P4)-1</f>
        <v>4</v>
      </c>
      <c r="T4" s="17" t="str">
        <f>INDEX($N$4:$P$15,MATCH(1,$R$4:$R$15,0),2)</f>
        <v>Przemysł high-tech</v>
      </c>
      <c r="U4" s="12">
        <f>INDEX($N$4:$P$15,MATCH(1,$R$4:$R$15,0),3)</f>
        <v>207</v>
      </c>
      <c r="AA4" s="12">
        <v>1801</v>
      </c>
      <c r="AB4" s="26">
        <f>SUMIF('IV kw.21'!T2:T1032,"1801",'IV kw.21'!F2:F1032)</f>
        <v>0</v>
      </c>
      <c r="AD4" s="151">
        <v>18</v>
      </c>
    </row>
    <row r="5" spans="2:30" x14ac:dyDescent="0.25">
      <c r="B5" s="381" t="s">
        <v>3516</v>
      </c>
      <c r="C5" s="382" t="s">
        <v>3459</v>
      </c>
      <c r="D5" s="383">
        <v>466</v>
      </c>
      <c r="E5" s="383">
        <v>477</v>
      </c>
      <c r="F5" s="381"/>
      <c r="H5" s="11" t="s">
        <v>192</v>
      </c>
      <c r="I5" s="12">
        <f>COUNTIF('IV kw.21'!E2:E1023,"pracuj.pl")</f>
        <v>470</v>
      </c>
      <c r="J5" s="12" t="s">
        <v>3516</v>
      </c>
      <c r="K5" s="12">
        <f>SUMIF('IV kw.21'!E2:E1032,"pracuj.pl",'IV kw.21'!F2:F1032)</f>
        <v>473</v>
      </c>
      <c r="N5" s="12">
        <v>2</v>
      </c>
      <c r="O5" s="11" t="s">
        <v>2</v>
      </c>
      <c r="P5" s="12">
        <f>SUM(G45)</f>
        <v>207</v>
      </c>
      <c r="R5" s="12">
        <f>RANK(P5,$P$4:$P$15,0)+COUNTIF($P$4:P5,P5)-1</f>
        <v>1</v>
      </c>
      <c r="T5" s="17" t="str">
        <f>INDEX($N$4:$P$15,MATCH(2,$R$4:$R$15,0),2)</f>
        <v>Usługi finansowe, HR i inne</v>
      </c>
      <c r="U5" s="12">
        <f>INDEX($N$4:$P$15,MATCH(2,$R$4:$R$15,0),3)</f>
        <v>186</v>
      </c>
      <c r="AA5" s="12">
        <v>1802</v>
      </c>
      <c r="AB5" s="26">
        <f>SUMIF('IV kw.21'!T2:T1032,"1802",'IV kw.21'!F2:F1032)</f>
        <v>2</v>
      </c>
      <c r="AD5" s="18"/>
    </row>
    <row r="6" spans="2:30" x14ac:dyDescent="0.25">
      <c r="B6" s="381" t="s">
        <v>3517</v>
      </c>
      <c r="C6" s="382" t="s">
        <v>3458</v>
      </c>
      <c r="D6" s="383">
        <v>365</v>
      </c>
      <c r="E6" s="383">
        <v>386</v>
      </c>
      <c r="F6" s="381"/>
      <c r="H6" s="11" t="s">
        <v>217</v>
      </c>
      <c r="I6" s="12">
        <f>COUNTIF('IV kw.21'!E2:E1023,"agora")</f>
        <v>41</v>
      </c>
      <c r="J6" s="12" t="s">
        <v>3517</v>
      </c>
      <c r="K6" s="12">
        <f>SUMIF('IV kw.21'!E2:E1022,"agora",'IV kw.21'!F2:F1022)</f>
        <v>41</v>
      </c>
      <c r="N6" s="12">
        <v>3</v>
      </c>
      <c r="O6" s="11" t="s">
        <v>3</v>
      </c>
      <c r="P6" s="12">
        <f>SUM(J43)</f>
        <v>40</v>
      </c>
      <c r="R6" s="12">
        <f>RANK(P6,$P$4:$P$15,0)+COUNTIF($P$4:P6,P6)-1</f>
        <v>6</v>
      </c>
      <c r="T6" s="17" t="str">
        <f>INDEX($N$4:$P$15,MATCH(3,$R$4:$R$15,0),2)</f>
        <v>Handel, transport, logistyka</v>
      </c>
      <c r="U6" s="12">
        <f>INDEX($N$4:$P$15,MATCH(3,$R$4:$R$15,0),3)</f>
        <v>123</v>
      </c>
      <c r="AA6" s="12">
        <v>1803</v>
      </c>
      <c r="AB6" s="26">
        <f>SUMIF('IV kw.21'!T2:T1032,"1803",'IV kw.21'!F2:F1032)</f>
        <v>25</v>
      </c>
      <c r="AD6" s="18"/>
    </row>
    <row r="7" spans="2:30" x14ac:dyDescent="0.25">
      <c r="B7" s="381" t="s">
        <v>3518</v>
      </c>
      <c r="C7" s="382" t="s">
        <v>3457</v>
      </c>
      <c r="D7" s="383">
        <v>461</v>
      </c>
      <c r="E7" s="383">
        <v>444</v>
      </c>
      <c r="F7" s="381"/>
      <c r="H7" s="11" t="s">
        <v>3464</v>
      </c>
      <c r="I7" s="12">
        <f>COUNTIF('IV kw.21'!E2:E1023,"gratka")</f>
        <v>4</v>
      </c>
      <c r="J7" s="12" t="s">
        <v>3518</v>
      </c>
      <c r="K7" s="12">
        <f>SUMIF('IV kw.21'!E2:E1022,"gratka",'IV kw.21'!F2:F1022)</f>
        <v>4</v>
      </c>
      <c r="N7" s="12">
        <v>4</v>
      </c>
      <c r="O7" s="11" t="s">
        <v>3589</v>
      </c>
      <c r="P7" s="12">
        <f>SUM(M36)</f>
        <v>123</v>
      </c>
      <c r="R7" s="12">
        <f>RANK(P7,$P$4:$P$15,0)+COUNTIF($P$4:P7,P7)-1</f>
        <v>3</v>
      </c>
      <c r="T7" s="17" t="str">
        <f>INDEX($N$4:$P$15,MATCH(4,$R$4:$R$15,0),2)</f>
        <v>Przemysł produkcyjny</v>
      </c>
      <c r="U7" s="12">
        <f>INDEX($N$4:$P$15,MATCH(4,$R$4:$R$15,0),3)</f>
        <v>73</v>
      </c>
      <c r="AA7" s="12">
        <v>1804</v>
      </c>
      <c r="AB7" s="26">
        <f>SUMIF('IV kw.21'!T2:T1032,"1804",'IV kw.21'!F2:F1032)</f>
        <v>8</v>
      </c>
      <c r="AD7" s="18"/>
    </row>
    <row r="8" spans="2:30" x14ac:dyDescent="0.25">
      <c r="B8" s="381" t="s">
        <v>13071</v>
      </c>
      <c r="C8" s="382" t="s">
        <v>173</v>
      </c>
      <c r="D8" s="383">
        <v>720</v>
      </c>
      <c r="E8" s="383">
        <v>704</v>
      </c>
      <c r="F8" s="381"/>
      <c r="H8" s="442" t="s">
        <v>7786</v>
      </c>
      <c r="I8" s="300"/>
      <c r="J8" s="300"/>
      <c r="K8" s="414"/>
      <c r="N8" s="12">
        <v>5</v>
      </c>
      <c r="O8" s="11" t="s">
        <v>13096</v>
      </c>
      <c r="P8" s="12">
        <f>SUM(P35)</f>
        <v>186</v>
      </c>
      <c r="R8" s="12">
        <f>RANK(P8,$P$4:$P$15,0)+COUNTIF($P$4:P8,P8)-1</f>
        <v>2</v>
      </c>
      <c r="T8" s="17" t="str">
        <f>INDEX($N$4:$P$15,MATCH(5,$R$4:$R$15,0),2)</f>
        <v>Informacja i edukcja</v>
      </c>
      <c r="U8" s="12">
        <f>INDEX($N$4:$P$15,MATCH(5,$R$4:$R$15,0),3)</f>
        <v>41</v>
      </c>
      <c r="AA8" s="12">
        <v>1805</v>
      </c>
      <c r="AB8" s="26">
        <f>SUMIF('IV kw.21'!T2:T1032,"1805",'IV kw.21'!F2:F1032)</f>
        <v>16</v>
      </c>
      <c r="AD8" s="18"/>
    </row>
    <row r="9" spans="2:30" x14ac:dyDescent="0.25">
      <c r="B9" s="12">
        <v>1</v>
      </c>
      <c r="C9" s="17" t="s">
        <v>175</v>
      </c>
      <c r="D9" s="26">
        <v>86</v>
      </c>
      <c r="E9" s="26">
        <v>122</v>
      </c>
      <c r="F9" s="12"/>
      <c r="H9" s="45"/>
      <c r="I9" s="183">
        <f>SUM(I4:I7)</f>
        <v>701</v>
      </c>
      <c r="J9" s="45"/>
      <c r="K9" s="159">
        <f>SUM(K4:K7)</f>
        <v>704</v>
      </c>
      <c r="N9" s="12">
        <v>6</v>
      </c>
      <c r="O9" s="11" t="s">
        <v>134</v>
      </c>
      <c r="P9" s="12">
        <f>SUM(P40)</f>
        <v>0</v>
      </c>
      <c r="R9" s="12">
        <f>RANK(P9,$P$4:$P$15,0)+COUNTIF($P$4:P9,P9)-1</f>
        <v>12</v>
      </c>
      <c r="T9" s="17" t="str">
        <f>INDEX($N$4:$P$15,MATCH(6,$R$4:$R$15,0),2)</f>
        <v>Budownictwo</v>
      </c>
      <c r="U9" s="12">
        <f>INDEX($N$4:$P$15,MATCH(6,$R$4:$R$15,0),3)</f>
        <v>40</v>
      </c>
      <c r="AA9" s="12">
        <v>1806</v>
      </c>
      <c r="AB9" s="26">
        <f>SUMIF('IV kw.21'!T2:T1032,"1806",'IV kw.21'!F2:F1032)</f>
        <v>1</v>
      </c>
      <c r="AD9" s="18"/>
    </row>
    <row r="10" spans="2:30" x14ac:dyDescent="0.25">
      <c r="B10" s="12">
        <v>2</v>
      </c>
      <c r="C10" s="17" t="s">
        <v>174</v>
      </c>
      <c r="D10" s="26">
        <v>377</v>
      </c>
      <c r="E10" s="26">
        <v>410</v>
      </c>
      <c r="F10" s="12"/>
      <c r="N10" s="12">
        <v>7</v>
      </c>
      <c r="O10" s="11" t="s">
        <v>3590</v>
      </c>
      <c r="P10" s="12">
        <f>SUM(P46)</f>
        <v>2</v>
      </c>
      <c r="R10" s="12">
        <f>RANK(P10,$P$4:$P$15,0)+COUNTIF($P$4:P10,P10)-1</f>
        <v>11</v>
      </c>
      <c r="T10" s="17" t="str">
        <f>INDEX($N$4:$P$15,MATCH(7,$R$4:$R$15,0),2)</f>
        <v>Zdrowie i opieka społeczna</v>
      </c>
      <c r="U10" s="12">
        <f>INDEX($N$4:$P$15,MATCH(7,$R$4:$R$15,0),3)</f>
        <v>17</v>
      </c>
      <c r="AA10" s="12">
        <v>1807</v>
      </c>
      <c r="AB10" s="26">
        <f>SUMIF('IV kw.21'!T2:T1032,"1807",'IV kw.21'!F2:F1032)</f>
        <v>2</v>
      </c>
      <c r="AD10" s="18"/>
    </row>
    <row r="11" spans="2:30" x14ac:dyDescent="0.25">
      <c r="B11" s="381" t="s">
        <v>13072</v>
      </c>
      <c r="C11" s="382" t="s">
        <v>3486</v>
      </c>
      <c r="D11" s="383">
        <f>SUM(D9:D10)</f>
        <v>463</v>
      </c>
      <c r="E11" s="383">
        <f>SUM(E9:E10)</f>
        <v>532</v>
      </c>
      <c r="F11" s="381"/>
      <c r="H11" s="1" t="s">
        <v>3570</v>
      </c>
      <c r="N11" s="12">
        <v>8</v>
      </c>
      <c r="O11" s="11" t="s">
        <v>4</v>
      </c>
      <c r="P11" s="12">
        <f>SUM(S33)</f>
        <v>17</v>
      </c>
      <c r="R11" s="12">
        <f>RANK(P11,$P$4:$P$15,0)+COUNTIF($P$4:P11,P11)-1</f>
        <v>7</v>
      </c>
      <c r="T11" s="17" t="str">
        <f>INDEX($N$4:$P$15,MATCH(8,$R$4:$R$15,0),2)</f>
        <v>Pozostałe grupy</v>
      </c>
      <c r="U11" s="12">
        <f>INDEX($N$4:$P$15,MATCH(8,$R$4:$R$15,0),3)</f>
        <v>7</v>
      </c>
      <c r="AA11" s="12">
        <v>1808</v>
      </c>
      <c r="AB11" s="12">
        <f>SUMIF('IV kw.21'!T2:T1032,"1808",'IV kw.21'!F2:F1032)</f>
        <v>5</v>
      </c>
      <c r="AD11" s="18"/>
    </row>
    <row r="12" spans="2:30" x14ac:dyDescent="0.25">
      <c r="B12" s="12">
        <v>3</v>
      </c>
      <c r="C12" s="17" t="s">
        <v>3481</v>
      </c>
      <c r="D12" s="12">
        <v>180</v>
      </c>
      <c r="E12" s="12">
        <v>231</v>
      </c>
      <c r="F12" s="12"/>
      <c r="H12" s="474" t="s">
        <v>3469</v>
      </c>
      <c r="I12" s="474" t="s">
        <v>3568</v>
      </c>
      <c r="J12" s="475">
        <f>SUM(D59,G45,J43)</f>
        <v>320</v>
      </c>
      <c r="N12" s="12">
        <v>9</v>
      </c>
      <c r="O12" s="11" t="s">
        <v>3591</v>
      </c>
      <c r="P12" s="12">
        <f>SUM(V33)</f>
        <v>41</v>
      </c>
      <c r="R12" s="12">
        <f>RANK(P12,$P$4:$P$15,0)+COUNTIF($P$4:P12,P12)-1</f>
        <v>5</v>
      </c>
      <c r="T12" s="17" t="str">
        <f>INDEX($N$4:$P$15,MATCH(9,$R$4:$R$15,0),2)</f>
        <v>Nadzór i administracja</v>
      </c>
      <c r="U12" s="12">
        <f>INDEX($N$4:$P$15,MATCH(9,$R$4:$R$15,0),3)</f>
        <v>4</v>
      </c>
      <c r="AA12" s="12">
        <v>1809</v>
      </c>
      <c r="AB12" s="12">
        <f>SUMIF('IV kw.21'!T2:T1032,"1809",'IV kw.21'!F2:F1032)</f>
        <v>2</v>
      </c>
      <c r="AD12" s="18"/>
    </row>
    <row r="13" spans="2:30" x14ac:dyDescent="0.25">
      <c r="B13" s="12">
        <v>4</v>
      </c>
      <c r="C13" s="17" t="s">
        <v>3482</v>
      </c>
      <c r="D13" s="12">
        <v>361</v>
      </c>
      <c r="E13" s="12">
        <v>378</v>
      </c>
      <c r="F13" s="12"/>
      <c r="H13" s="486" t="s">
        <v>3470</v>
      </c>
      <c r="I13" s="486" t="s">
        <v>3566</v>
      </c>
      <c r="J13" s="487">
        <f>SUM(M36,P35,P40,P46,S33)</f>
        <v>328</v>
      </c>
      <c r="N13" s="12">
        <v>10</v>
      </c>
      <c r="O13" s="11" t="s">
        <v>0</v>
      </c>
      <c r="P13" s="12">
        <f>SUM(V39)</f>
        <v>4</v>
      </c>
      <c r="R13" s="12">
        <f>RANK(P13,$P$4:$P$15,0)+COUNTIF($P$4:P13,P13)-1</f>
        <v>9</v>
      </c>
      <c r="T13" s="17" t="str">
        <f>INDEX($N$4:$P$15,MATCH(10,$R$4:$R$15,0),2)</f>
        <v>Prace proste</v>
      </c>
      <c r="U13" s="12">
        <f>INDEX($N$4:$P$15,MATCH(10,$R$4:$R$15,0),3)</f>
        <v>4</v>
      </c>
      <c r="AA13" s="12">
        <v>1810</v>
      </c>
      <c r="AB13" s="12">
        <f>SUMIF('IV kw.21'!T2:T1032,"1810",'IV kw.21'!F2:F1032)</f>
        <v>7</v>
      </c>
      <c r="AD13" s="18"/>
    </row>
    <row r="14" spans="2:30" x14ac:dyDescent="0.25">
      <c r="B14" s="381" t="s">
        <v>13073</v>
      </c>
      <c r="C14" s="382" t="s">
        <v>3487</v>
      </c>
      <c r="D14" s="383">
        <f>SUM(D12:D13)</f>
        <v>541</v>
      </c>
      <c r="E14" s="383">
        <f>SUM(E12:E13)</f>
        <v>609</v>
      </c>
      <c r="F14" s="381"/>
      <c r="H14" s="322" t="s">
        <v>3471</v>
      </c>
      <c r="I14" s="322" t="s">
        <v>3567</v>
      </c>
      <c r="J14" s="316">
        <f>SUM(V33,V39)</f>
        <v>45</v>
      </c>
      <c r="N14" s="12">
        <v>11</v>
      </c>
      <c r="O14" s="11" t="s">
        <v>6</v>
      </c>
      <c r="P14" s="12">
        <f>SUM(Y32)</f>
        <v>4</v>
      </c>
      <c r="R14" s="12">
        <f>RANK(P14,$P$4:$P$15,0)+COUNTIF($P$4:P14,P14)-1</f>
        <v>10</v>
      </c>
      <c r="T14" s="17" t="str">
        <f>INDEX($N$4:$P$15,MATCH(11,$R$4:$R$15,0),2)</f>
        <v>Usługi typu krawiectwo, kaletnictwo, obuwnictwo + poszukiwanie + ochrona</v>
      </c>
      <c r="U14" s="12">
        <f>INDEX($N$4:$P$15,MATCH(11,$R$4:$R$15,0),3)</f>
        <v>2</v>
      </c>
      <c r="AA14" s="12">
        <v>1811</v>
      </c>
      <c r="AB14" s="26">
        <f>SUMIF('IV kw.21'!T2:T1032,"1811",'IV kw.21'!F2:F1032)</f>
        <v>35</v>
      </c>
      <c r="AD14" s="18"/>
    </row>
    <row r="15" spans="2:30" x14ac:dyDescent="0.25">
      <c r="B15" s="12">
        <v>5</v>
      </c>
      <c r="C15" s="17" t="s">
        <v>6392</v>
      </c>
      <c r="D15" s="26">
        <v>249</v>
      </c>
      <c r="E15" s="26">
        <v>258</v>
      </c>
      <c r="F15" s="12"/>
      <c r="H15" s="325" t="s">
        <v>3472</v>
      </c>
      <c r="I15" s="325" t="s">
        <v>6</v>
      </c>
      <c r="J15" s="326">
        <f>SUM(Y32)</f>
        <v>4</v>
      </c>
      <c r="N15" s="12">
        <v>12</v>
      </c>
      <c r="O15" s="17" t="s">
        <v>3574</v>
      </c>
      <c r="P15" s="12">
        <f>SUM(Y42)</f>
        <v>7</v>
      </c>
      <c r="R15" s="12">
        <f>RANK(P15,$P$4:$P$15,0)+COUNTIF($P$4:P15,P15)-1</f>
        <v>8</v>
      </c>
      <c r="T15" s="17" t="str">
        <f>INDEX($N$4:$P$15,MATCH(12,$R$4:$R$15,0),2)</f>
        <v>Usługi gastronomiczne</v>
      </c>
      <c r="U15" s="12">
        <f>INDEX($N$4:$P$15,MATCH(12,$R$4:$R$15,0),3)</f>
        <v>0</v>
      </c>
      <c r="AA15" s="12">
        <v>1812</v>
      </c>
      <c r="AB15" s="12">
        <f>SUMIF('IV kw.21'!T2:T1032,"1812",'IV kw.21'!F2:F1032)</f>
        <v>2</v>
      </c>
      <c r="AD15" s="18"/>
    </row>
    <row r="16" spans="2:30" x14ac:dyDescent="0.25">
      <c r="B16" s="12">
        <v>6</v>
      </c>
      <c r="C16" s="17" t="s">
        <v>6924</v>
      </c>
      <c r="D16" s="26">
        <v>173</v>
      </c>
      <c r="E16" s="26">
        <v>197</v>
      </c>
      <c r="F16" s="12"/>
      <c r="H16" s="472" t="s">
        <v>3473</v>
      </c>
      <c r="I16" s="472" t="s">
        <v>3574</v>
      </c>
      <c r="J16" s="473">
        <f>SUM(Y42)</f>
        <v>7</v>
      </c>
      <c r="N16" s="18"/>
      <c r="O16" s="89"/>
      <c r="P16" s="18">
        <f>SUM(P4:P15)</f>
        <v>704</v>
      </c>
      <c r="R16" s="18"/>
      <c r="T16" s="89"/>
      <c r="U16" s="18"/>
      <c r="AA16" s="12">
        <v>1813</v>
      </c>
      <c r="AB16" s="12">
        <f>SUMIF('IV kw.21'!T2:T1032,"1813",'IV kw.21'!F2:F1032)</f>
        <v>0</v>
      </c>
      <c r="AD16" s="18"/>
    </row>
    <row r="17" spans="2:30" x14ac:dyDescent="0.25">
      <c r="B17" s="381" t="s">
        <v>13074</v>
      </c>
      <c r="C17" s="382" t="s">
        <v>6929</v>
      </c>
      <c r="D17" s="383">
        <f>SUM(D15:D16)</f>
        <v>422</v>
      </c>
      <c r="E17" s="383">
        <f>SUM(E15:E16)</f>
        <v>455</v>
      </c>
      <c r="F17" s="381"/>
      <c r="H17" s="184"/>
      <c r="I17" s="184"/>
      <c r="J17" s="183">
        <f>SUM(J12:J16)</f>
        <v>704</v>
      </c>
      <c r="N17" s="18"/>
      <c r="O17" s="89"/>
      <c r="P17" s="18"/>
      <c r="R17" s="18"/>
      <c r="T17" s="89"/>
      <c r="U17" s="18"/>
      <c r="AA17" s="12">
        <v>1814</v>
      </c>
      <c r="AB17" s="12">
        <f>SUMIF('IV kw.21'!T2:T1032,"1814",'IV kw.21'!F2:F1032)</f>
        <v>2</v>
      </c>
      <c r="AD17" s="18"/>
    </row>
    <row r="18" spans="2:30" x14ac:dyDescent="0.25">
      <c r="B18" s="12">
        <v>7</v>
      </c>
      <c r="C18" s="17" t="s">
        <v>6928</v>
      </c>
      <c r="D18" s="26">
        <v>97</v>
      </c>
      <c r="E18" s="26">
        <v>97</v>
      </c>
      <c r="F18" s="12"/>
      <c r="H18" s="184"/>
      <c r="I18" s="184"/>
      <c r="J18" s="183"/>
      <c r="N18" s="18"/>
      <c r="O18" s="89"/>
      <c r="P18" s="18"/>
      <c r="R18" s="18"/>
      <c r="T18" s="89"/>
      <c r="U18" s="18"/>
      <c r="AA18" s="12">
        <v>1815</v>
      </c>
      <c r="AB18" s="12">
        <f>SUMIF('IV kw.21'!T2:T1032,"1815",'IV kw.21'!F2:F1032)</f>
        <v>8</v>
      </c>
      <c r="AC18" s="20"/>
      <c r="AD18" s="18"/>
    </row>
    <row r="19" spans="2:30" x14ac:dyDescent="0.25">
      <c r="B19" s="12">
        <v>8</v>
      </c>
      <c r="C19" s="17" t="s">
        <v>7785</v>
      </c>
      <c r="D19" s="26">
        <v>224</v>
      </c>
      <c r="E19" s="26">
        <v>224</v>
      </c>
      <c r="F19" s="12"/>
      <c r="H19" s="184"/>
      <c r="I19" s="184"/>
      <c r="J19" s="183"/>
      <c r="N19" s="18"/>
      <c r="O19" s="89"/>
      <c r="P19" s="18"/>
      <c r="R19" s="18"/>
      <c r="T19" s="89"/>
      <c r="U19" s="18"/>
      <c r="AA19" s="12">
        <v>1816</v>
      </c>
      <c r="AB19" s="26">
        <f>SUMIF('IV kw.21'!T2:T1032,"1816",'IV kw.21'!F2:F1032)</f>
        <v>32</v>
      </c>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2">
        <v>1817</v>
      </c>
      <c r="AB20" s="12">
        <f>SUMIF('IV kw.21'!T2:T1032,"1817",'IV kw.21'!F2:F1032)</f>
        <v>1</v>
      </c>
      <c r="AC20" s="20"/>
      <c r="AD20" s="18"/>
    </row>
    <row r="21" spans="2:30" x14ac:dyDescent="0.25">
      <c r="B21" s="12">
        <v>9</v>
      </c>
      <c r="C21" s="17" t="s">
        <v>7800</v>
      </c>
      <c r="D21" s="26">
        <v>156</v>
      </c>
      <c r="E21" s="26">
        <v>165</v>
      </c>
      <c r="F21" s="12"/>
      <c r="G21" s="135"/>
      <c r="H21" s="184"/>
      <c r="I21" s="184"/>
      <c r="J21" s="183"/>
      <c r="N21" s="18"/>
      <c r="O21" s="89"/>
      <c r="P21" s="18"/>
      <c r="R21" s="18"/>
      <c r="T21" s="89"/>
      <c r="U21" s="18"/>
      <c r="AA21" s="12">
        <v>1818</v>
      </c>
      <c r="AB21" s="12">
        <f>SUMIF('IV kw.21'!T2:T1032,"1818",'IV kw.21'!F2:F1032)</f>
        <v>4</v>
      </c>
      <c r="AC21" s="20"/>
      <c r="AD21" s="18"/>
    </row>
    <row r="22" spans="2:30" x14ac:dyDescent="0.25">
      <c r="B22" s="12">
        <v>10</v>
      </c>
      <c r="C22" s="17" t="s">
        <v>8303</v>
      </c>
      <c r="D22" s="26">
        <v>237</v>
      </c>
      <c r="E22" s="26">
        <v>242</v>
      </c>
      <c r="F22" s="12"/>
      <c r="G22" s="135"/>
      <c r="H22" s="184"/>
      <c r="I22" s="184"/>
      <c r="J22" s="183"/>
      <c r="N22" s="18"/>
      <c r="O22" s="89"/>
      <c r="P22" s="18"/>
      <c r="R22" s="18"/>
      <c r="T22" s="89"/>
      <c r="U22" s="18"/>
      <c r="AA22" s="12">
        <v>1819</v>
      </c>
      <c r="AB22" s="12">
        <f>SUMIF('IV kw.21'!T2:T1032,"1819",'IV kw.21'!F2:F1032)</f>
        <v>0</v>
      </c>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348">
        <v>1820</v>
      </c>
      <c r="AB23" s="348">
        <f>SUMIF('IV kw.21'!T2:T1032,"1820",'IV kw.21'!F2:F1032)</f>
        <v>3</v>
      </c>
      <c r="AC23" s="20"/>
      <c r="AD23" s="18"/>
    </row>
    <row r="24" spans="2:30" x14ac:dyDescent="0.25">
      <c r="B24" s="12">
        <v>11</v>
      </c>
      <c r="C24" s="17" t="s">
        <v>13054</v>
      </c>
      <c r="D24" s="26">
        <v>1022</v>
      </c>
      <c r="E24" s="26">
        <v>1030</v>
      </c>
      <c r="F24" s="12"/>
      <c r="G24" s="135"/>
      <c r="H24" s="184"/>
      <c r="I24" s="184"/>
      <c r="J24" s="183"/>
      <c r="N24" s="18"/>
      <c r="O24" s="89"/>
      <c r="P24" s="18"/>
      <c r="R24" s="18"/>
      <c r="T24" s="89"/>
      <c r="U24" s="18"/>
      <c r="AC24" s="20"/>
      <c r="AD24" s="18"/>
    </row>
    <row r="25" spans="2:30" x14ac:dyDescent="0.25">
      <c r="B25" s="107">
        <v>12</v>
      </c>
      <c r="C25" s="106" t="s">
        <v>13106</v>
      </c>
      <c r="D25" s="105">
        <v>701</v>
      </c>
      <c r="E25" s="105">
        <v>704</v>
      </c>
      <c r="F25" s="107" t="s">
        <v>13109</v>
      </c>
      <c r="G25" s="135"/>
      <c r="H25" s="184"/>
      <c r="I25" s="184"/>
      <c r="J25" s="183"/>
      <c r="N25" s="18"/>
      <c r="O25" s="89"/>
      <c r="P25" s="18"/>
      <c r="R25" s="18"/>
      <c r="T25" s="89"/>
      <c r="U25" s="18"/>
      <c r="AC25" s="20"/>
      <c r="AD25" s="18"/>
    </row>
    <row r="26" spans="2:30" x14ac:dyDescent="0.25">
      <c r="B26" s="381" t="s">
        <v>13107</v>
      </c>
      <c r="C26" s="382" t="s">
        <v>13108</v>
      </c>
      <c r="D26" s="383">
        <f>SUM(D24:D25)</f>
        <v>1723</v>
      </c>
      <c r="E26" s="383">
        <f>SUM(E24:E25)</f>
        <v>1734</v>
      </c>
      <c r="F26" s="381"/>
      <c r="G26" s="135"/>
      <c r="H26" s="184"/>
      <c r="I26" s="184"/>
      <c r="J26" s="183"/>
      <c r="N26" s="18"/>
      <c r="O26" s="89"/>
      <c r="P26" s="18"/>
      <c r="R26" s="18"/>
      <c r="T26" s="89"/>
      <c r="U26" s="18"/>
      <c r="AC26" s="20"/>
      <c r="AD26" s="18"/>
    </row>
    <row r="27" spans="2:30" x14ac:dyDescent="0.25">
      <c r="B27" s="18"/>
      <c r="C27" s="89"/>
      <c r="E27" s="135"/>
      <c r="F27" s="20"/>
      <c r="N27" s="242"/>
      <c r="O27" s="242"/>
      <c r="P27" s="243">
        <f>SUM(P4:P15)</f>
        <v>704</v>
      </c>
      <c r="R27" s="242"/>
      <c r="T27" s="243"/>
      <c r="U27" s="246">
        <f>SUM(U4:U15)</f>
        <v>704</v>
      </c>
      <c r="AC27" s="20"/>
      <c r="AD27" s="20"/>
    </row>
    <row r="28" spans="2:30" x14ac:dyDescent="0.25">
      <c r="B28" s="476" t="s">
        <v>170</v>
      </c>
      <c r="C28" s="476"/>
      <c r="D28" s="476"/>
      <c r="E28" s="476" t="s">
        <v>2</v>
      </c>
      <c r="F28" s="476"/>
      <c r="G28" s="476"/>
      <c r="H28" s="476" t="s">
        <v>3</v>
      </c>
      <c r="I28" s="476"/>
      <c r="J28" s="476"/>
      <c r="K28" s="488" t="s">
        <v>3589</v>
      </c>
      <c r="L28" s="488"/>
      <c r="M28" s="488"/>
      <c r="N28" s="488" t="s">
        <v>1</v>
      </c>
      <c r="O28" s="488"/>
      <c r="P28" s="488"/>
      <c r="Q28" s="407" t="s">
        <v>4</v>
      </c>
      <c r="R28" s="407"/>
      <c r="S28" s="407"/>
      <c r="T28" s="314" t="s">
        <v>5</v>
      </c>
      <c r="U28" s="314"/>
      <c r="V28" s="314"/>
      <c r="W28" s="328" t="s">
        <v>6</v>
      </c>
      <c r="X28" s="328"/>
      <c r="Y28" s="327"/>
      <c r="AA28" s="12">
        <v>1821</v>
      </c>
      <c r="AB28" s="12">
        <f>SUMIF('IV kw.21'!T2:T1032,"1821",'IV kw.21'!F2:F1032)</f>
        <v>0</v>
      </c>
      <c r="AC28" s="20"/>
      <c r="AD28" s="18"/>
    </row>
    <row r="29" spans="2:30" x14ac:dyDescent="0.25">
      <c r="B29" s="478" t="s">
        <v>3469</v>
      </c>
      <c r="C29" s="477"/>
      <c r="D29" s="479"/>
      <c r="E29" s="478" t="s">
        <v>3470</v>
      </c>
      <c r="F29" s="477"/>
      <c r="G29" s="479"/>
      <c r="H29" s="478" t="s">
        <v>3470</v>
      </c>
      <c r="I29" s="478"/>
      <c r="J29" s="479"/>
      <c r="K29" s="489"/>
      <c r="L29" s="490"/>
      <c r="M29" s="489"/>
      <c r="N29" s="489"/>
      <c r="O29" s="490"/>
      <c r="P29" s="489"/>
      <c r="Q29" s="489"/>
      <c r="R29" s="490"/>
      <c r="S29" s="489"/>
      <c r="T29" s="98"/>
      <c r="U29" s="99"/>
      <c r="V29" s="315"/>
      <c r="W29" s="323"/>
      <c r="X29" s="324"/>
      <c r="Y29" s="325"/>
      <c r="AA29" s="12">
        <v>1861</v>
      </c>
      <c r="AB29" s="26">
        <f>SUMIF('IV kw.21'!T2:T1032,"1861",'IV kw.21'!F2:F1032)</f>
        <v>21</v>
      </c>
      <c r="AC29" s="20"/>
      <c r="AD29" s="18"/>
    </row>
    <row r="30" spans="2:30" x14ac:dyDescent="0.25">
      <c r="B30" s="108">
        <v>2141</v>
      </c>
      <c r="C30" s="390" t="s">
        <v>3569</v>
      </c>
      <c r="D30" s="390">
        <f>SUMIF('IV kw.21'!AJ2:AJ1032,"2141*",'IV kw.21'!F2:F1032)</f>
        <v>6</v>
      </c>
      <c r="E30" s="108">
        <v>2113</v>
      </c>
      <c r="F30" s="11" t="s">
        <v>3491</v>
      </c>
      <c r="G30" s="475">
        <f>SUMIF('IV kw.21'!AJ2:AJ1032,"2113*",'IV kw.21'!F2:F1032)</f>
        <v>2</v>
      </c>
      <c r="H30" s="122">
        <v>2142</v>
      </c>
      <c r="I30" s="399" t="s">
        <v>3494</v>
      </c>
      <c r="J30" s="475">
        <f>SUMIF('IV kw.21'!AJ2:AJ1032,"2142*",'IV kw.21'!F2:F1032)</f>
        <v>20</v>
      </c>
      <c r="K30" s="425">
        <v>315</v>
      </c>
      <c r="L30" s="11" t="s">
        <v>3532</v>
      </c>
      <c r="M30" s="487">
        <f>SUMIF('IV kw.21'!AJ2:AJ1032,"315*",'IV kw.21'!F2:F1032)</f>
        <v>0</v>
      </c>
      <c r="N30" s="108">
        <v>2166</v>
      </c>
      <c r="O30" s="11" t="s">
        <v>3510</v>
      </c>
      <c r="P30" s="487">
        <f>SUMIF('IV kw.21'!AJ2:AJ1032,"2166*",'IV kw.21'!F2:F1032)</f>
        <v>3</v>
      </c>
      <c r="Q30" s="405">
        <v>22</v>
      </c>
      <c r="R30" s="406" t="s">
        <v>3511</v>
      </c>
      <c r="S30" s="487">
        <f>SUMIF('IV kw.21'!AJ2:AJ1032,"22*",'IV kw.21'!F2:F1032)</f>
        <v>10</v>
      </c>
      <c r="T30" s="118">
        <v>23</v>
      </c>
      <c r="U30" s="11" t="s">
        <v>3512</v>
      </c>
      <c r="V30" s="316">
        <f>SUMIF('IV kw.21'!AJ2:AJ1032,"23*",'IV kw.21'!F2:F1032)</f>
        <v>22</v>
      </c>
      <c r="W30" s="131">
        <v>7549</v>
      </c>
      <c r="X30" s="11" t="s">
        <v>3561</v>
      </c>
      <c r="Y30" s="326">
        <f>SUMIF('IV kw.21'!AJ2:AJ1032,"7549*",'IV kw.21'!F2:F1032)</f>
        <v>0</v>
      </c>
      <c r="AA30" s="12">
        <v>1862</v>
      </c>
      <c r="AB30" s="12">
        <f>SUMIF('IV kw.21'!T2:T1032,"1862",'IV kw.21'!F2:F1032)</f>
        <v>9</v>
      </c>
      <c r="AC30" s="20"/>
      <c r="AD30" s="18"/>
    </row>
    <row r="31" spans="2:30" x14ac:dyDescent="0.25">
      <c r="B31" s="108">
        <v>2132</v>
      </c>
      <c r="C31" s="11" t="s">
        <v>3493</v>
      </c>
      <c r="D31" s="480">
        <f>SUMIF('IV kw.21'!AJ2:AJ1032,"2132*",'IV kw.21'!F2:F1032)</f>
        <v>0</v>
      </c>
      <c r="E31" s="108">
        <v>2145</v>
      </c>
      <c r="F31" s="11" t="s">
        <v>3496</v>
      </c>
      <c r="G31" s="475">
        <f>SUMIF('IV kw.21'!AJ2:AJ1032,"2145*",'IV kw.21'!F2:F1032)</f>
        <v>1</v>
      </c>
      <c r="H31" s="122">
        <v>2143</v>
      </c>
      <c r="I31" s="11" t="s">
        <v>93</v>
      </c>
      <c r="J31" s="475">
        <f>SUMIF('IV kw.21'!AJ2:AJ1032,"2143*",'IV kw.21'!F2:F1032)</f>
        <v>5</v>
      </c>
      <c r="K31" s="426">
        <v>42</v>
      </c>
      <c r="L31" s="11" t="s">
        <v>3537</v>
      </c>
      <c r="M31" s="487">
        <f>SUMIF('IV kw.21'!AJ2:AJ1032,"42*",'IV kw.21'!F2:F1032)</f>
        <v>11</v>
      </c>
      <c r="N31" s="118">
        <v>24</v>
      </c>
      <c r="O31" s="368" t="s">
        <v>3571</v>
      </c>
      <c r="P31" s="107">
        <f>SUMIF('IV kw.21'!AJ2:AJ1032,"24*",'IV kw.21'!F2:F1032)</f>
        <v>107</v>
      </c>
      <c r="Q31" s="405">
        <v>32</v>
      </c>
      <c r="R31" s="406" t="s">
        <v>3533</v>
      </c>
      <c r="S31" s="487">
        <f>SUMIF('IV kw.21'!AJ2:AJ1032,"32*",'IV kw.21'!F2:F1032)</f>
        <v>7</v>
      </c>
      <c r="T31" s="118">
        <v>26</v>
      </c>
      <c r="U31" s="11" t="s">
        <v>3572</v>
      </c>
      <c r="V31" s="316">
        <f>SUMIF('IV kw.21'!AJ2:AJ1032,"26*",'IV kw.21'!F2:F1032)</f>
        <v>17</v>
      </c>
      <c r="W31" s="119">
        <v>9</v>
      </c>
      <c r="X31" s="11" t="s">
        <v>3565</v>
      </c>
      <c r="Y31" s="326">
        <f>SUMIF('IV kw.21'!AJ2:AJ1032,"9*",'IV kw.21'!F2:F1032)</f>
        <v>4</v>
      </c>
      <c r="AA31" s="12">
        <v>1863</v>
      </c>
      <c r="AB31" s="26">
        <f>SUMIF('IV kw.21'!T2:T1032,"1863",'IV kw.21'!F2:F1032)</f>
        <v>148</v>
      </c>
      <c r="AD31" s="18"/>
    </row>
    <row r="32" spans="2:30" x14ac:dyDescent="0.25">
      <c r="B32" s="108">
        <v>2146</v>
      </c>
      <c r="C32" s="11" t="s">
        <v>3497</v>
      </c>
      <c r="D32" s="475">
        <f>SUMIF('IV kw.21'!AJ2:AJ1032,"2146*",'IV kw.21'!F2:F1032)</f>
        <v>1</v>
      </c>
      <c r="E32" s="108">
        <v>2131</v>
      </c>
      <c r="F32" s="11" t="s">
        <v>3492</v>
      </c>
      <c r="G32" s="475">
        <f>SUMIF('IV kw.21'!AJ2:AJ1032,"2131*",'IV kw.21'!F2:F1032)</f>
        <v>0</v>
      </c>
      <c r="H32" s="122">
        <v>2161</v>
      </c>
      <c r="I32" s="11" t="s">
        <v>3507</v>
      </c>
      <c r="J32" s="475">
        <f>SUMIF('IV kw.21'!AJ2:AJ1032,"2161*",'IV kw.21'!F2:F1032)</f>
        <v>1</v>
      </c>
      <c r="K32" s="426">
        <v>43</v>
      </c>
      <c r="L32" s="103" t="s">
        <v>3538</v>
      </c>
      <c r="M32" s="107">
        <f>SUMIF('IV kw.21'!AJ2:AJ1032,"43*",'IV kw.21'!F2:F1032)</f>
        <v>21</v>
      </c>
      <c r="N32" s="125">
        <v>33</v>
      </c>
      <c r="O32" s="368" t="s">
        <v>3534</v>
      </c>
      <c r="P32" s="107">
        <f>SUMIF('IV kw.21'!AJ2:AJ1032,"33*",'IV kw.21'!F2:F1032)</f>
        <v>63</v>
      </c>
      <c r="Q32" s="405">
        <v>53</v>
      </c>
      <c r="R32" s="406" t="s">
        <v>3542</v>
      </c>
      <c r="S32" s="487">
        <f>SUMIF('IV kw.21'!AJ2:AJ1032,"53*",'IV kw.21'!F2:F1032)</f>
        <v>0</v>
      </c>
      <c r="T32" s="125">
        <v>34</v>
      </c>
      <c r="U32" s="11" t="s">
        <v>3535</v>
      </c>
      <c r="V32" s="316">
        <f>SUMIF('IV kw.21'!AJ2:AJ1032,"34*",'IV kw.21'!F2:F1032)</f>
        <v>2</v>
      </c>
      <c r="W32" s="37"/>
      <c r="Y32" s="326">
        <f>SUM(Y30:Y31)</f>
        <v>4</v>
      </c>
      <c r="AA32" s="12">
        <v>1864</v>
      </c>
      <c r="AB32" s="12">
        <f>SUMIF('IV kw.21'!T2:T1032,"1864",'IV kw.21'!F2:F1032)</f>
        <v>1</v>
      </c>
      <c r="AD32" s="18"/>
    </row>
    <row r="33" spans="2:30" ht="15" customHeight="1" x14ac:dyDescent="0.25">
      <c r="B33" s="121">
        <v>3113</v>
      </c>
      <c r="C33" s="11" t="s">
        <v>3520</v>
      </c>
      <c r="D33" s="475">
        <f>SUMIF('IV kw.21'!AJ2:AJ1032,"3113*",'IV kw.21'!F2:F1032)</f>
        <v>2</v>
      </c>
      <c r="E33" s="108">
        <v>2144</v>
      </c>
      <c r="F33" s="399" t="s">
        <v>3495</v>
      </c>
      <c r="G33" s="482">
        <f>SUMIF('IV kw.21'!AJ2:AJ1032,"2144*",'IV kw.21'!F2:F1032)</f>
        <v>7</v>
      </c>
      <c r="H33" s="122">
        <v>2162</v>
      </c>
      <c r="I33" s="11" t="s">
        <v>3508</v>
      </c>
      <c r="J33" s="475">
        <f>SUMIF('IV kw.21'!AJ2:AJ1032,"2162*",'IV kw.21'!F2:F1032)</f>
        <v>0</v>
      </c>
      <c r="K33" s="427">
        <v>52</v>
      </c>
      <c r="L33" s="103" t="s">
        <v>3541</v>
      </c>
      <c r="M33" s="107">
        <f>SUMIF('IV kw.21'!AJ2:AJ1032,"52*",'IV kw.21'!F2:F1032)</f>
        <v>45</v>
      </c>
      <c r="N33" s="127">
        <v>51</v>
      </c>
      <c r="O33" s="11" t="s">
        <v>3540</v>
      </c>
      <c r="P33" s="487">
        <f>SUMIF('IV kw.21'!AJ2:AJ1032,"51*",'IV kw.21'!F2:F1032)</f>
        <v>7</v>
      </c>
      <c r="Q33" s="37"/>
      <c r="S33" s="487">
        <f>SUM(S30:S32)</f>
        <v>17</v>
      </c>
      <c r="V33" s="317">
        <f>SUM(V30:V32)</f>
        <v>41</v>
      </c>
      <c r="W33" s="37"/>
      <c r="AA33" s="493" t="s">
        <v>16045</v>
      </c>
      <c r="AB33" s="16">
        <f>SUM(AB4:AB23,AB28:AB32)</f>
        <v>334</v>
      </c>
      <c r="AD33" s="20"/>
    </row>
    <row r="34" spans="2:30" x14ac:dyDescent="0.25">
      <c r="B34" s="121">
        <v>3114</v>
      </c>
      <c r="C34" s="11" t="s">
        <v>3521</v>
      </c>
      <c r="D34" s="475">
        <f>SUMIF('IV kw.21'!AJ2:AJ1032,"3114*",'IV kw.21'!F2:F1032)</f>
        <v>1</v>
      </c>
      <c r="E34" s="108">
        <v>2149</v>
      </c>
      <c r="F34" s="399" t="s">
        <v>3498</v>
      </c>
      <c r="G34" s="482">
        <f>SUMIF('IV kw.21'!AJ2:AJ1032,"2149*",'IV kw.21'!F2:F1032)</f>
        <v>5</v>
      </c>
      <c r="H34" s="108">
        <v>2164</v>
      </c>
      <c r="I34" s="11" t="s">
        <v>3585</v>
      </c>
      <c r="J34" s="475">
        <f>SUMIF('IV kw.21'!AJ2:AJ1032,"2164*",'IV kw.21'!F2:F1032)</f>
        <v>0</v>
      </c>
      <c r="K34" s="428">
        <v>83</v>
      </c>
      <c r="L34" s="11" t="s">
        <v>3564</v>
      </c>
      <c r="M34" s="487">
        <f>SUMIF('IV kw.21'!AJ2:AJ1032,"83*",'IV kw.21'!F2:F1032)</f>
        <v>21</v>
      </c>
      <c r="N34" s="120">
        <v>14</v>
      </c>
      <c r="O34" s="11" t="s">
        <v>3578</v>
      </c>
      <c r="P34" s="487">
        <f>SUMIF('IV kw.21'!AJ2:AJ1032,"14*",'IV kw.21'!F2:F1032)</f>
        <v>6</v>
      </c>
      <c r="Q34" s="37"/>
      <c r="T34" s="1" t="s">
        <v>0</v>
      </c>
      <c r="U34" s="94"/>
      <c r="V34" s="20"/>
      <c r="W34" s="37" t="s">
        <v>3574</v>
      </c>
      <c r="AA34" s="442" t="s">
        <v>16046</v>
      </c>
      <c r="AB34" s="12">
        <f>J17-COUNTA('IV kw.21'!T2:T1032)</f>
        <v>363</v>
      </c>
    </row>
    <row r="35" spans="2:30" x14ac:dyDescent="0.25">
      <c r="B35" s="401">
        <v>3115</v>
      </c>
      <c r="C35" s="8" t="s">
        <v>3522</v>
      </c>
      <c r="D35" s="541">
        <f>SUMIF('IV kw.21'!AJ2:AJ1032,"3115*",'IV kw.21'!F2:F1032)</f>
        <v>8</v>
      </c>
      <c r="E35" s="389">
        <v>2149</v>
      </c>
      <c r="F35" s="11" t="s">
        <v>3499</v>
      </c>
      <c r="G35" s="483" t="s">
        <v>3573</v>
      </c>
      <c r="H35" s="122">
        <v>2165</v>
      </c>
      <c r="I35" s="11" t="s">
        <v>3509</v>
      </c>
      <c r="J35" s="475">
        <f>SUMIF('IV kw.21'!AJ2:AJ1032,"2165*",'IV kw.21'!F2:F1032)</f>
        <v>1</v>
      </c>
      <c r="K35" s="429">
        <v>12</v>
      </c>
      <c r="L35" s="11" t="s">
        <v>3576</v>
      </c>
      <c r="M35" s="487">
        <f>SUMIF('IV kw.21'!AJ2:AJ1032,"12*",'IV kw.21'!F2:F1032)</f>
        <v>25</v>
      </c>
      <c r="P35" s="487">
        <f>SUM(P30:P34)</f>
        <v>186</v>
      </c>
      <c r="Q35" s="37"/>
      <c r="T35" s="321"/>
      <c r="U35" s="320"/>
      <c r="V35" s="318"/>
      <c r="W35" s="470"/>
      <c r="X35" s="471"/>
      <c r="Y35" s="472"/>
      <c r="AA35" s="493" t="s">
        <v>7787</v>
      </c>
      <c r="AB35" s="299">
        <f>SUM(AB33:AB34)</f>
        <v>697</v>
      </c>
    </row>
    <row r="36" spans="2:30" x14ac:dyDescent="0.25">
      <c r="B36" s="401">
        <v>3116</v>
      </c>
      <c r="C36" s="8" t="s">
        <v>3523</v>
      </c>
      <c r="D36" s="9">
        <f>SUMIF('IV kw.21'!AJ2:AJ1032,"3116*",'IV kw.21'!F2:F1032)</f>
        <v>0</v>
      </c>
      <c r="E36" s="389">
        <v>2149</v>
      </c>
      <c r="F36" s="11" t="s">
        <v>3500</v>
      </c>
      <c r="G36" s="483" t="s">
        <v>3573</v>
      </c>
      <c r="H36" s="126">
        <v>3111</v>
      </c>
      <c r="I36" s="11" t="s">
        <v>3587</v>
      </c>
      <c r="J36" s="475">
        <f>SUMIF('IV kw.21'!AJ2:AJ1032,"3111*",'IV kw.21'!F2:F1032)</f>
        <v>0</v>
      </c>
      <c r="K36" s="89"/>
      <c r="L36" s="20"/>
      <c r="M36" s="487">
        <f>SUM(M30:M35)</f>
        <v>123</v>
      </c>
      <c r="Q36" s="37"/>
      <c r="T36" s="116">
        <v>41</v>
      </c>
      <c r="U36" s="11" t="s">
        <v>3592</v>
      </c>
      <c r="V36" s="316">
        <f>SUMIF('IV kw.21'!AJ2:AJ1032,"41*",'IV kw.21'!F2:F1032)</f>
        <v>4</v>
      </c>
      <c r="W36" s="120">
        <v>11</v>
      </c>
      <c r="X36" s="11" t="s">
        <v>3575</v>
      </c>
      <c r="Y36" s="473">
        <f>SUMIF('IV kw.21'!AJ2:AJ1032,"11*",'IV kw.21'!F2:F1032)</f>
        <v>6</v>
      </c>
      <c r="AA36" s="415" t="s">
        <v>7791</v>
      </c>
      <c r="AB36" s="445">
        <f>SUMPRODUCT(COUNTIF('IV kw.21'!$T$2:$T$1032,"*"&amp;'17'!$AD$4&amp;"*"))</f>
        <v>341</v>
      </c>
    </row>
    <row r="37" spans="2:30" x14ac:dyDescent="0.25">
      <c r="B37" s="121">
        <v>3117</v>
      </c>
      <c r="C37" s="11" t="s">
        <v>3524</v>
      </c>
      <c r="D37" s="475">
        <f>SUMIF('IV kw.21'!AJ2:AJ1032,"3117*",'IV kw.21'!F2:F1032)</f>
        <v>0</v>
      </c>
      <c r="E37" s="389">
        <v>2149</v>
      </c>
      <c r="F37" s="11" t="s">
        <v>3501</v>
      </c>
      <c r="G37" s="483" t="s">
        <v>3573</v>
      </c>
      <c r="H37" s="126">
        <v>3112</v>
      </c>
      <c r="I37" s="399" t="s">
        <v>3519</v>
      </c>
      <c r="J37" s="475">
        <f>SUMIF('IV kw.21'!AJ2:AJ1032,"3112*",'IV kw.21'!F2:F1032)</f>
        <v>2</v>
      </c>
      <c r="K37" s="89"/>
      <c r="L37" s="20"/>
      <c r="M37" s="20"/>
      <c r="N37" s="100" t="s">
        <v>134</v>
      </c>
      <c r="O37" s="93"/>
      <c r="Q37" s="37"/>
      <c r="T37" s="116">
        <v>44</v>
      </c>
      <c r="U37" s="11" t="s">
        <v>3539</v>
      </c>
      <c r="V37" s="316">
        <f>SUMIF('IV kw.21'!AJ2:AJ1032,"44*",'IV kw.21'!F2:F1032)</f>
        <v>0</v>
      </c>
      <c r="W37" s="108">
        <v>2111</v>
      </c>
      <c r="X37" s="11" t="s">
        <v>3580</v>
      </c>
      <c r="Y37" s="473">
        <f>SUMIF('IV kw.21'!AJ2:AJ1032,"2111*",'IV kw.21'!F2:F1032)</f>
        <v>0</v>
      </c>
      <c r="AA37" s="442" t="s">
        <v>16047</v>
      </c>
      <c r="AB37" s="12">
        <f>SUM(AB36-AB33)</f>
        <v>7</v>
      </c>
      <c r="AC37" s="2">
        <v>10</v>
      </c>
    </row>
    <row r="38" spans="2:30" x14ac:dyDescent="0.25">
      <c r="B38" s="121">
        <v>3119</v>
      </c>
      <c r="C38" s="396" t="s">
        <v>3526</v>
      </c>
      <c r="D38" s="397">
        <f>SUMIF('IV kw.21'!AJ2:AJ1032,"3119*",'IV kw.21'!F2:F1032)</f>
        <v>10</v>
      </c>
      <c r="E38" s="389">
        <v>2149</v>
      </c>
      <c r="F38" s="11" t="s">
        <v>3502</v>
      </c>
      <c r="G38" s="483" t="s">
        <v>3573</v>
      </c>
      <c r="H38" s="126">
        <v>3118</v>
      </c>
      <c r="I38" s="11" t="s">
        <v>3525</v>
      </c>
      <c r="J38" s="475">
        <f>SUMIF('IV kw.21'!AJ2:AJ1032,"3118*",'IV kw.21'!F2:F1032)</f>
        <v>0</v>
      </c>
      <c r="K38" s="89"/>
      <c r="L38" s="20"/>
      <c r="M38" s="20"/>
      <c r="N38" s="489"/>
      <c r="O38" s="490"/>
      <c r="P38" s="486"/>
      <c r="Q38" s="37"/>
      <c r="T38" s="131">
        <v>7515</v>
      </c>
      <c r="U38" s="11" t="s">
        <v>3552</v>
      </c>
      <c r="V38" s="319">
        <f>SUMIF('IV kw.21'!AJ2:AJ1032,"7515*",'IV kw.21'!F2:F1032)</f>
        <v>0</v>
      </c>
      <c r="W38" s="108">
        <v>2112</v>
      </c>
      <c r="X38" s="11" t="s">
        <v>3581</v>
      </c>
      <c r="Y38" s="473">
        <f>SUMIF('IV kw.21'!AJ2:AJ1032,"2112*",'IV kw.21'!F2:F1032)</f>
        <v>0</v>
      </c>
      <c r="AA38" s="493" t="s">
        <v>7788</v>
      </c>
      <c r="AB38" s="299">
        <f>SUM(AB35,AB37)</f>
        <v>704</v>
      </c>
    </row>
    <row r="39" spans="2:30" x14ac:dyDescent="0.25">
      <c r="B39" s="121">
        <v>3121</v>
      </c>
      <c r="C39" s="11" t="s">
        <v>3527</v>
      </c>
      <c r="D39" s="475">
        <f>SUMIF('IV kw.21'!AJ2:AJ1032,"3121*",'IV kw.21'!F2:F1032)</f>
        <v>0</v>
      </c>
      <c r="E39" s="389">
        <v>2149</v>
      </c>
      <c r="F39" s="11" t="s">
        <v>3503</v>
      </c>
      <c r="G39" s="483" t="s">
        <v>3573</v>
      </c>
      <c r="H39" s="126">
        <v>3123</v>
      </c>
      <c r="I39" s="11" t="s">
        <v>3529</v>
      </c>
      <c r="J39" s="475">
        <f>SUMIF('IV kw.21'!AJ2:AJ1032,"3123*",'IV kw.21'!F2:F1032)</f>
        <v>0</v>
      </c>
      <c r="K39" s="89"/>
      <c r="L39" s="20"/>
      <c r="N39" s="131">
        <v>7512</v>
      </c>
      <c r="O39" s="11" t="s">
        <v>3549</v>
      </c>
      <c r="P39" s="487">
        <f>SUMIF('IV kw.21'!AJ2:AJ1032,"7512*",'IV kw.21'!F2:F1032)</f>
        <v>0</v>
      </c>
      <c r="Q39" s="37"/>
      <c r="T39" s="37"/>
      <c r="V39" s="317">
        <f>SUM(V36:V38)</f>
        <v>4</v>
      </c>
      <c r="W39" s="108">
        <v>2114</v>
      </c>
      <c r="X39" s="11" t="s">
        <v>3582</v>
      </c>
      <c r="Y39" s="473">
        <f>SUMIF('IV kw.21'!AJ2:AJ1032,"2114*",'IV kw.21'!F2:F1032)</f>
        <v>0</v>
      </c>
    </row>
    <row r="40" spans="2:30" x14ac:dyDescent="0.25">
      <c r="B40" s="121">
        <v>3122</v>
      </c>
      <c r="C40" s="11" t="s">
        <v>3528</v>
      </c>
      <c r="D40" s="475">
        <f>SUMIF('IV kw.21'!AJ2:AJ1032,"3122*",'IV kw.21'!F2:F1032)</f>
        <v>1</v>
      </c>
      <c r="E40" s="108">
        <v>2151</v>
      </c>
      <c r="F40" s="11" t="s">
        <v>3504</v>
      </c>
      <c r="G40" s="475">
        <f>SUMIF('IV kw.21'!AJ2:AJ1032,"2151*",'IV kw.21'!F2:F1032)</f>
        <v>7</v>
      </c>
      <c r="H40" s="129">
        <v>71</v>
      </c>
      <c r="I40" s="399" t="s">
        <v>3544</v>
      </c>
      <c r="J40" s="475">
        <f>SUMIF('IV kw.21'!AJ2:AJ1032,"71*",'IV kw.21'!F2:F1032)</f>
        <v>10</v>
      </c>
      <c r="K40" s="89"/>
      <c r="L40" s="20"/>
      <c r="M40" s="20"/>
      <c r="P40" s="487">
        <f>SUM(P39)</f>
        <v>0</v>
      </c>
      <c r="Q40" s="37"/>
      <c r="T40" s="37"/>
      <c r="W40" s="108">
        <v>2120</v>
      </c>
      <c r="X40" s="11" t="s">
        <v>3583</v>
      </c>
      <c r="Y40" s="473">
        <f>SUMIF('IV kw.21'!AJ2:AJ1032,"2120*",'IV kw.21'!F2:F1032)</f>
        <v>1</v>
      </c>
    </row>
    <row r="41" spans="2:30" x14ac:dyDescent="0.25">
      <c r="B41" s="416">
        <v>313</v>
      </c>
      <c r="C41" s="391" t="s">
        <v>3530</v>
      </c>
      <c r="D41" s="390">
        <f>SUMIF('IV kw.21'!AJ2:AJ1032,"313*",'IV kw.21'!F2:F1032)</f>
        <v>8</v>
      </c>
      <c r="E41" s="108">
        <v>2152</v>
      </c>
      <c r="F41" s="11" t="s">
        <v>3505</v>
      </c>
      <c r="G41" s="475">
        <f>SUMIF('IV kw.21'!AJ2:AJ1032,"2152*",'IV kw.21'!F2:F1032)</f>
        <v>3</v>
      </c>
      <c r="H41" s="132">
        <v>7521</v>
      </c>
      <c r="I41" s="11" t="s">
        <v>3553</v>
      </c>
      <c r="J41" s="475">
        <f>SUMIF('IV kw.21'!AJ2:AJ1032,"7521*",'IV kw.21'!F2:F1032)</f>
        <v>0</v>
      </c>
      <c r="K41" s="89"/>
      <c r="L41" s="20"/>
      <c r="M41" s="20"/>
      <c r="N41" s="94" t="s">
        <v>154</v>
      </c>
      <c r="O41" s="94"/>
      <c r="P41" s="18"/>
      <c r="T41" s="37"/>
      <c r="W41" s="119">
        <v>0</v>
      </c>
      <c r="X41" s="11" t="s">
        <v>3586</v>
      </c>
      <c r="Y41" s="473">
        <f>SUMIF('IV kw.21'!AJ2:AJ1032,"0*",'IV kw.21'!F2:F1032)</f>
        <v>0</v>
      </c>
    </row>
    <row r="42" spans="2:30" x14ac:dyDescent="0.25">
      <c r="B42" s="401">
        <v>314</v>
      </c>
      <c r="C42" s="8" t="s">
        <v>3531</v>
      </c>
      <c r="D42" s="9">
        <f>SUMIF('IV kw.21'!AJ2:AJ1032,"314*",'IV kw.21'!F2:F1032)</f>
        <v>0</v>
      </c>
      <c r="E42" s="108">
        <v>2153</v>
      </c>
      <c r="F42" s="11" t="s">
        <v>3506</v>
      </c>
      <c r="G42" s="475">
        <f>SUMIF('IV kw.21'!AJ2:AJ1032,"2153*",'IV kw.21'!F2:F1032)</f>
        <v>10</v>
      </c>
      <c r="H42" s="132">
        <v>7522</v>
      </c>
      <c r="I42" s="11" t="s">
        <v>3554</v>
      </c>
      <c r="J42" s="475">
        <f>SUMIF('IV kw.21'!AJ2:AJ1032,"7522*",'IV kw.21'!F2:F1032)</f>
        <v>1</v>
      </c>
      <c r="K42" s="89"/>
      <c r="L42" s="20"/>
      <c r="M42" s="20"/>
      <c r="N42" s="489"/>
      <c r="O42" s="490"/>
      <c r="P42" s="486"/>
      <c r="Y42" s="473">
        <f>SUM(Y36:Y41)</f>
        <v>7</v>
      </c>
    </row>
    <row r="43" spans="2:30" x14ac:dyDescent="0.25">
      <c r="B43" s="125">
        <v>35</v>
      </c>
      <c r="C43" s="391" t="s">
        <v>3536</v>
      </c>
      <c r="D43" s="390">
        <f>SUMIF('IV kw.21'!AJ2:AJ1032,"35*",'IV kw.21'!F2:F1032)</f>
        <v>1</v>
      </c>
      <c r="E43" s="118">
        <v>25</v>
      </c>
      <c r="F43" s="446" t="s">
        <v>3513</v>
      </c>
      <c r="G43" s="475">
        <f>SUMIF('IV kw.21'!AJ2:AJ1032,"25*",'IV kw.21'!F2:F1032)</f>
        <v>160</v>
      </c>
      <c r="J43" s="484">
        <f>SUM(J30:J42)</f>
        <v>40</v>
      </c>
      <c r="K43" s="89"/>
      <c r="L43" s="20"/>
      <c r="M43" s="20"/>
      <c r="N43" s="131">
        <v>753</v>
      </c>
      <c r="O43" s="11" t="s">
        <v>3556</v>
      </c>
      <c r="P43" s="487">
        <f>SUMIF('IV kw.21'!AJ2:AJ1032,"753*",'IV kw.21'!F2:F1032)</f>
        <v>2</v>
      </c>
    </row>
    <row r="44" spans="2:30" x14ac:dyDescent="0.25">
      <c r="B44" s="119">
        <v>6</v>
      </c>
      <c r="C44" s="11" t="s">
        <v>3543</v>
      </c>
      <c r="D44" s="475">
        <f>SUMIF('IV kw.21'!AJ2:AJ1032,"6*",'IV kw.21'!F2:F1032)</f>
        <v>1</v>
      </c>
      <c r="E44" s="130">
        <v>74</v>
      </c>
      <c r="F44" s="11" t="s">
        <v>3547</v>
      </c>
      <c r="G44" s="475">
        <f>SUMIF('IV kw.21'!AJ2:AJ1032,"74*",'IV kw.21'!F2:F1032)</f>
        <v>12</v>
      </c>
      <c r="H44" s="89"/>
      <c r="I44" s="20"/>
      <c r="K44" s="20"/>
      <c r="L44" s="20"/>
      <c r="M44" s="20"/>
      <c r="N44" s="131">
        <v>7541</v>
      </c>
      <c r="O44" s="11" t="s">
        <v>3557</v>
      </c>
      <c r="P44" s="487">
        <f>SUMIF('IV kw.21'!AJ2:AJ1032,"7541*",'IV kw.21'!F2:F1032)</f>
        <v>0</v>
      </c>
    </row>
    <row r="45" spans="2:30" x14ac:dyDescent="0.25">
      <c r="B45" s="130">
        <v>72</v>
      </c>
      <c r="C45" s="396" t="s">
        <v>3545</v>
      </c>
      <c r="D45" s="397">
        <f>SUMIF('IV kw.21'!AJ2:AJ1032,"72*",'IV kw.21'!F2:F1032)</f>
        <v>11</v>
      </c>
      <c r="G45" s="481">
        <f>SUM(G30:G44)</f>
        <v>207</v>
      </c>
      <c r="N45" s="127">
        <v>54</v>
      </c>
      <c r="O45" s="11" t="s">
        <v>3588</v>
      </c>
      <c r="P45" s="487">
        <f>SUMIF('IV kw.21'!AJ2:AJ1032,"54*",'IV kw.21'!F2:F1032)</f>
        <v>0</v>
      </c>
    </row>
    <row r="46" spans="2:30" x14ac:dyDescent="0.25">
      <c r="B46" s="130">
        <v>73</v>
      </c>
      <c r="C46" s="11" t="s">
        <v>3546</v>
      </c>
      <c r="D46" s="475">
        <f>SUMIF('IV kw.21'!AJ2:AJ1032,"73*",'IV kw.21'!F2:F1032)</f>
        <v>4</v>
      </c>
      <c r="P46" s="487">
        <f>SUM(P43:P45)</f>
        <v>2</v>
      </c>
    </row>
    <row r="47" spans="2:30" x14ac:dyDescent="0.25">
      <c r="B47" s="131">
        <v>7511</v>
      </c>
      <c r="C47" s="11" t="s">
        <v>3548</v>
      </c>
      <c r="D47" s="475">
        <f>SUMIF('IV kw.21'!AJ2:AJ1032,"7511*",'IV kw.21'!F2:F1032)</f>
        <v>0</v>
      </c>
      <c r="T47" s="37"/>
    </row>
    <row r="48" spans="2:30" x14ac:dyDescent="0.25">
      <c r="B48" s="131">
        <v>7513</v>
      </c>
      <c r="C48" s="11" t="s">
        <v>3550</v>
      </c>
      <c r="D48" s="475">
        <f>SUMIF('IV kw.21'!AJ2:AJ1032,"7513*",'IV kw.21'!F2:F1032)</f>
        <v>0</v>
      </c>
      <c r="T48" s="37"/>
    </row>
    <row r="49" spans="1:20" x14ac:dyDescent="0.25">
      <c r="B49" s="131">
        <v>7514</v>
      </c>
      <c r="C49" s="11" t="s">
        <v>3551</v>
      </c>
      <c r="D49" s="475">
        <f>SUMIF('IV kw.21'!AJ2:AJ1032,"7514*",'IV kw.21'!F2:F1032)</f>
        <v>0</v>
      </c>
      <c r="T49" s="37"/>
    </row>
    <row r="50" spans="1:20" x14ac:dyDescent="0.25">
      <c r="B50" s="131">
        <v>7523</v>
      </c>
      <c r="C50" s="11" t="s">
        <v>3555</v>
      </c>
      <c r="D50" s="475">
        <f>SUMIF('IV kw.21'!AJ2:AJ1032,"7523*",'IV kw.21'!F2:F1032)</f>
        <v>0</v>
      </c>
      <c r="T50" s="37"/>
    </row>
    <row r="51" spans="1:20" x14ac:dyDescent="0.25">
      <c r="B51" s="131">
        <v>7542</v>
      </c>
      <c r="C51" s="11" t="s">
        <v>3558</v>
      </c>
      <c r="D51" s="475">
        <f>SUMIF('IV kw.21'!AJ2:AJ1032,"7542*",'IV kw.21'!F2:F1032)</f>
        <v>0</v>
      </c>
      <c r="T51" s="37"/>
    </row>
    <row r="52" spans="1:20" x14ac:dyDescent="0.25">
      <c r="B52" s="131">
        <v>7543</v>
      </c>
      <c r="C52" s="11" t="s">
        <v>3559</v>
      </c>
      <c r="D52" s="475">
        <f>SUMIF('IV kw.21'!AJ2:AJ1032,"7543*",'IV kw.21'!F2:F1032)</f>
        <v>0</v>
      </c>
    </row>
    <row r="53" spans="1:20" x14ac:dyDescent="0.25">
      <c r="B53" s="131">
        <v>7544</v>
      </c>
      <c r="C53" s="11" t="s">
        <v>3560</v>
      </c>
      <c r="D53" s="475">
        <f>SUMIF('IV kw.21'!AJ2:AJ1032,"7544*",'IV kw.21'!F2:F1032)</f>
        <v>0</v>
      </c>
    </row>
    <row r="54" spans="1:20" x14ac:dyDescent="0.25">
      <c r="B54" s="134">
        <v>81</v>
      </c>
      <c r="C54" s="11" t="s">
        <v>3562</v>
      </c>
      <c r="D54" s="475">
        <f>SUMIF('IV kw.21'!AJ2:AJ1032,"81*",'IV kw.21'!F2:F1032)</f>
        <v>6</v>
      </c>
    </row>
    <row r="55" spans="1:20" x14ac:dyDescent="0.25">
      <c r="B55" s="134">
        <v>82</v>
      </c>
      <c r="C55" s="11" t="s">
        <v>3563</v>
      </c>
      <c r="D55" s="475">
        <f>SUMIF('IV kw.21'!AJ2:AJ1032,"82*",'IV kw.21'!F2:F1032)</f>
        <v>1</v>
      </c>
    </row>
    <row r="56" spans="1:20" x14ac:dyDescent="0.25">
      <c r="B56" s="120">
        <v>13</v>
      </c>
      <c r="C56" s="396" t="s">
        <v>3577</v>
      </c>
      <c r="D56" s="397">
        <f>SUMIF('IV kw.21'!AJ2:AJ1032,"13*",'IV kw.21'!F2:F1032)</f>
        <v>12</v>
      </c>
    </row>
    <row r="57" spans="1:20" x14ac:dyDescent="0.25">
      <c r="B57" s="108">
        <v>2163</v>
      </c>
      <c r="C57" s="396" t="s">
        <v>3579</v>
      </c>
      <c r="D57" s="397">
        <f>SUMIF('IV kw.21'!AJ2:AJ1032,"2163*",'IV kw.21'!F2:F1032)</f>
        <v>0</v>
      </c>
    </row>
    <row r="58" spans="1:20" ht="30" x14ac:dyDescent="0.25">
      <c r="B58" s="108">
        <v>2133</v>
      </c>
      <c r="C58" s="11" t="s">
        <v>3584</v>
      </c>
      <c r="D58" s="475">
        <f>SUMIF('IV kw.21'!AJ2:AJ1032,"2133*",'IV kw.21'!F2:F1032)</f>
        <v>0</v>
      </c>
      <c r="L58" s="467"/>
      <c r="M58" s="468" t="s">
        <v>7254</v>
      </c>
      <c r="N58" s="469" t="s">
        <v>3465</v>
      </c>
    </row>
    <row r="59" spans="1:20" x14ac:dyDescent="0.25">
      <c r="B59" s="37"/>
      <c r="D59" s="481">
        <f>SUM(D30:D58)</f>
        <v>73</v>
      </c>
      <c r="L59" s="395" t="s">
        <v>7792</v>
      </c>
      <c r="M59" s="313">
        <v>86</v>
      </c>
      <c r="N59" s="313">
        <v>122</v>
      </c>
    </row>
    <row r="60" spans="1:20" x14ac:dyDescent="0.25">
      <c r="L60" s="395" t="s">
        <v>7793</v>
      </c>
      <c r="M60" s="313">
        <v>377</v>
      </c>
      <c r="N60" s="313">
        <v>410</v>
      </c>
    </row>
    <row r="61" spans="1:20" x14ac:dyDescent="0.25">
      <c r="B61" s="1" t="s">
        <v>6926</v>
      </c>
      <c r="L61" s="395" t="s">
        <v>7794</v>
      </c>
      <c r="M61" s="313">
        <v>180</v>
      </c>
      <c r="N61" s="313">
        <v>231</v>
      </c>
    </row>
    <row r="62" spans="1:20" x14ac:dyDescent="0.25">
      <c r="B62" s="282" t="s">
        <v>6927</v>
      </c>
      <c r="C62" s="338" t="s">
        <v>3465</v>
      </c>
      <c r="L62" s="395" t="s">
        <v>7795</v>
      </c>
      <c r="M62" s="313">
        <v>361</v>
      </c>
      <c r="N62" s="313">
        <v>378</v>
      </c>
    </row>
    <row r="63" spans="1:20" x14ac:dyDescent="0.25">
      <c r="A63" s="3">
        <v>1</v>
      </c>
      <c r="B63" s="282">
        <v>1801</v>
      </c>
      <c r="C63" s="339">
        <f>SUMIF('IV kw.21'!T2:T1032,"1801",'IV kw.21'!F2:F1032)</f>
        <v>0</v>
      </c>
      <c r="L63" s="465" t="s">
        <v>7796</v>
      </c>
      <c r="M63" s="466">
        <v>249</v>
      </c>
      <c r="N63" s="466">
        <v>258</v>
      </c>
    </row>
    <row r="64" spans="1:20" x14ac:dyDescent="0.25">
      <c r="A64" s="3">
        <v>2</v>
      </c>
      <c r="B64" s="282">
        <v>1802</v>
      </c>
      <c r="C64" s="339">
        <f>SUMIF('IV kw.21'!T2:T1032,"1802",'IV kw.21'!F2:F1032)</f>
        <v>2</v>
      </c>
      <c r="L64" s="465" t="s">
        <v>7797</v>
      </c>
      <c r="M64" s="466">
        <v>173</v>
      </c>
      <c r="N64" s="466">
        <v>197</v>
      </c>
    </row>
    <row r="65" spans="1:14" x14ac:dyDescent="0.25">
      <c r="A65" s="3">
        <v>3</v>
      </c>
      <c r="B65" s="282">
        <v>1803</v>
      </c>
      <c r="C65" s="339">
        <f>SUMIF('IV kw.21'!T2:T1032,"1803",'IV kw.21'!F2:F1032)</f>
        <v>25</v>
      </c>
      <c r="L65" s="465" t="s">
        <v>7798</v>
      </c>
      <c r="M65" s="466">
        <v>97</v>
      </c>
      <c r="N65" s="466">
        <v>97</v>
      </c>
    </row>
    <row r="66" spans="1:14" x14ac:dyDescent="0.25">
      <c r="A66" s="3">
        <v>4</v>
      </c>
      <c r="B66" s="282">
        <v>1804</v>
      </c>
      <c r="C66" s="339">
        <f>SUMIF('IV kw.21'!T2:T1032,"1804",'IV kw.21'!F2:F1032)</f>
        <v>8</v>
      </c>
      <c r="L66" s="467" t="s">
        <v>7799</v>
      </c>
      <c r="M66" s="466">
        <v>224</v>
      </c>
      <c r="N66" s="466">
        <v>224</v>
      </c>
    </row>
    <row r="67" spans="1:14" x14ac:dyDescent="0.25">
      <c r="A67" s="3">
        <v>5</v>
      </c>
      <c r="B67" s="282">
        <v>1805</v>
      </c>
      <c r="C67" s="339">
        <f>SUMIF('IV kw.21'!T2:T1032,"1805",'IV kw.21'!F2:F1032)</f>
        <v>16</v>
      </c>
      <c r="L67" s="329" t="s">
        <v>8302</v>
      </c>
      <c r="M67" s="96">
        <v>156</v>
      </c>
      <c r="N67" s="96">
        <v>165</v>
      </c>
    </row>
    <row r="68" spans="1:14" x14ac:dyDescent="0.25">
      <c r="A68" s="3">
        <v>6</v>
      </c>
      <c r="B68" s="282">
        <v>1806</v>
      </c>
      <c r="C68" s="339">
        <f>SUMIF('IV kw.21'!T2:T1032,"1806",'IV kw.21'!F2:F1032)</f>
        <v>1</v>
      </c>
      <c r="L68" s="329" t="s">
        <v>9296</v>
      </c>
      <c r="M68" s="96">
        <v>237</v>
      </c>
      <c r="N68" s="96">
        <v>242</v>
      </c>
    </row>
    <row r="69" spans="1:14" x14ac:dyDescent="0.25">
      <c r="A69" s="3">
        <v>7</v>
      </c>
      <c r="B69" s="282">
        <v>1807</v>
      </c>
      <c r="C69" s="339">
        <f>SUMIF('IV kw.21'!T2:T1032,"1807",'IV kw.21'!F2:F1032)</f>
        <v>2</v>
      </c>
      <c r="L69" s="329" t="s">
        <v>13095</v>
      </c>
      <c r="M69" s="96">
        <v>1022</v>
      </c>
      <c r="N69" s="96">
        <v>1030</v>
      </c>
    </row>
    <row r="70" spans="1:14" x14ac:dyDescent="0.25">
      <c r="A70" s="3">
        <v>8</v>
      </c>
      <c r="B70" s="282">
        <v>1808</v>
      </c>
      <c r="C70" s="339">
        <f>SUMIF('IV kw.21'!T2:T1032,"1808",'IV kw.21'!F2:F1032)</f>
        <v>5</v>
      </c>
      <c r="L70" s="329" t="s">
        <v>16044</v>
      </c>
      <c r="M70" s="96">
        <v>701</v>
      </c>
      <c r="N70" s="96">
        <v>704</v>
      </c>
    </row>
    <row r="71" spans="1:14" x14ac:dyDescent="0.25">
      <c r="A71" s="3">
        <v>9</v>
      </c>
      <c r="B71" s="282">
        <v>1809</v>
      </c>
      <c r="C71" s="339">
        <f>SUMIF('IV kw.21'!T2:T1032,"1809",'IV kw.21'!F2:F1032)</f>
        <v>2</v>
      </c>
    </row>
    <row r="72" spans="1:14" x14ac:dyDescent="0.25">
      <c r="A72" s="3">
        <v>10</v>
      </c>
      <c r="B72" s="282">
        <v>1810</v>
      </c>
      <c r="C72" s="339">
        <f>SUMIF('IV kw.21'!T2:T1032,"1810",'IV kw.21'!F2:F1032)</f>
        <v>7</v>
      </c>
    </row>
    <row r="73" spans="1:14" x14ac:dyDescent="0.25">
      <c r="A73" s="3">
        <v>11</v>
      </c>
      <c r="B73" s="340">
        <v>1811</v>
      </c>
      <c r="C73" s="341">
        <f>SUMIF('IV kw.21'!T2:T1032,"1811",'IV kw.21'!F2:F1032)</f>
        <v>35</v>
      </c>
    </row>
    <row r="74" spans="1:14" x14ac:dyDescent="0.25">
      <c r="A74" s="3">
        <v>12</v>
      </c>
      <c r="B74" s="282">
        <v>1812</v>
      </c>
      <c r="C74" s="339">
        <f>SUMIF('IV kw.21'!T2:T1032,"1812",'IV kw.21'!F2:F1032)</f>
        <v>2</v>
      </c>
    </row>
    <row r="75" spans="1:14" x14ac:dyDescent="0.25">
      <c r="A75" s="3">
        <v>13</v>
      </c>
      <c r="B75" s="282">
        <v>1813</v>
      </c>
      <c r="C75" s="339">
        <f>SUMIF('IV kw.21'!T2:T1032,"1813",'IV kw.21'!F2:F1032)</f>
        <v>0</v>
      </c>
    </row>
    <row r="76" spans="1:14" x14ac:dyDescent="0.25">
      <c r="A76" s="3">
        <v>14</v>
      </c>
      <c r="B76" s="282">
        <v>1814</v>
      </c>
      <c r="C76" s="339">
        <f>SUMIF('IV kw.21'!T2:T1032,"1814",'IV kw.21'!F2:F1032)</f>
        <v>2</v>
      </c>
    </row>
    <row r="77" spans="1:14" x14ac:dyDescent="0.25">
      <c r="A77" s="3">
        <v>15</v>
      </c>
      <c r="B77" s="282">
        <v>1815</v>
      </c>
      <c r="C77" s="339">
        <f>SUMIF('IV kw.21'!T2:T1032,"1815",'IV kw.21'!F2:F1032)</f>
        <v>8</v>
      </c>
    </row>
    <row r="78" spans="1:14" x14ac:dyDescent="0.25">
      <c r="A78" s="3">
        <v>16</v>
      </c>
      <c r="B78" s="340">
        <v>1816</v>
      </c>
      <c r="C78" s="341">
        <f>SUMIF('IV kw.21'!T2:T1032,"1816",'IV kw.21'!F2:F1032)</f>
        <v>32</v>
      </c>
    </row>
    <row r="79" spans="1:14" x14ac:dyDescent="0.25">
      <c r="A79" s="3">
        <v>17</v>
      </c>
      <c r="B79" s="282">
        <v>1817</v>
      </c>
      <c r="C79" s="339">
        <f>SUMIF('IV kw.21'!T2:T1032,"1817",'IV kw.21'!F2:F1032)</f>
        <v>1</v>
      </c>
    </row>
    <row r="80" spans="1:14" x14ac:dyDescent="0.25">
      <c r="A80" s="3">
        <v>18</v>
      </c>
      <c r="B80" s="282">
        <v>1818</v>
      </c>
      <c r="C80" s="339">
        <f>SUMIF('IV kw.21'!T2:T1032,"1818",'IV kw.21'!F2:F1032)</f>
        <v>4</v>
      </c>
    </row>
    <row r="81" spans="1:3" x14ac:dyDescent="0.25">
      <c r="A81" s="3">
        <v>19</v>
      </c>
      <c r="B81" s="282">
        <v>1819</v>
      </c>
      <c r="C81" s="339">
        <f>SUMIF('IV kw.21'!T2:T1032,"1819",'IV kw.21'!F2:F1032)</f>
        <v>0</v>
      </c>
    </row>
    <row r="82" spans="1:3" x14ac:dyDescent="0.25">
      <c r="A82" s="3">
        <v>20</v>
      </c>
      <c r="B82" s="282">
        <v>1820</v>
      </c>
      <c r="C82" s="339">
        <f>SUMIF('IV kw.21'!T2:T1032,"1820",'IV kw.21'!F2:F1032)</f>
        <v>3</v>
      </c>
    </row>
    <row r="83" spans="1:3" x14ac:dyDescent="0.25">
      <c r="A83" s="3">
        <v>21</v>
      </c>
      <c r="B83" s="282">
        <v>1821</v>
      </c>
      <c r="C83" s="339">
        <f>SUMIF('IV kw.21'!T2:T1032,"1821",'IV kw.21'!F2:F1032)</f>
        <v>0</v>
      </c>
    </row>
    <row r="84" spans="1:3" x14ac:dyDescent="0.25">
      <c r="A84" s="3">
        <v>22</v>
      </c>
      <c r="B84" s="282">
        <v>1861</v>
      </c>
      <c r="C84" s="339">
        <f>SUMIF('IV kw.21'!T2:T1032,"1861",'IV kw.21'!F2:F1032)</f>
        <v>21</v>
      </c>
    </row>
    <row r="85" spans="1:3" x14ac:dyDescent="0.25">
      <c r="A85" s="3">
        <v>23</v>
      </c>
      <c r="B85" s="282">
        <v>1862</v>
      </c>
      <c r="C85" s="339">
        <f>SUMIF('IV kw.21'!T2:T1032,"1862",'IV kw.21'!F2:F1032)</f>
        <v>9</v>
      </c>
    </row>
    <row r="86" spans="1:3" x14ac:dyDescent="0.25">
      <c r="A86" s="3">
        <v>24</v>
      </c>
      <c r="B86" s="340">
        <v>1863</v>
      </c>
      <c r="C86" s="341">
        <f>SUMIF('IV kw.21'!T2:T1032,"1863",'IV kw.21'!F2:F1032)</f>
        <v>148</v>
      </c>
    </row>
    <row r="87" spans="1:3" x14ac:dyDescent="0.25">
      <c r="A87" s="3">
        <v>25</v>
      </c>
      <c r="B87" s="282">
        <v>1864</v>
      </c>
      <c r="C87" s="339">
        <f>SUMIF('IV kw.21'!T2:T1032,"1864",'IV kw.21'!F2:F1032)</f>
        <v>1</v>
      </c>
    </row>
    <row r="88" spans="1:3" x14ac:dyDescent="0.25">
      <c r="B88" s="403">
        <v>1800</v>
      </c>
      <c r="C88" s="404">
        <f>SUM(C63:C87)</f>
        <v>334</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9"/>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5.28515625" style="3" customWidth="1"/>
    <col min="23" max="23" width="5.85546875" style="3" customWidth="1"/>
    <col min="24" max="24" width="14.85546875" style="3" customWidth="1"/>
    <col min="25" max="25" width="7" style="3" customWidth="1"/>
    <col min="26" max="26" width="2" style="3" customWidth="1"/>
    <col min="27" max="27" width="21.28515625" style="3" customWidth="1"/>
    <col min="28" max="28" width="11.140625" style="3" bestFit="1" customWidth="1"/>
    <col min="29" max="29" width="3.140625" style="3" customWidth="1"/>
    <col min="30" max="16384" width="9.140625" style="3"/>
  </cols>
  <sheetData>
    <row r="1" spans="2:30" ht="12.75" customHeight="1" x14ac:dyDescent="0.25"/>
    <row r="2" spans="2:30" x14ac:dyDescent="0.25">
      <c r="B2" s="1" t="s">
        <v>3461</v>
      </c>
      <c r="C2" s="2"/>
      <c r="D2" s="1"/>
      <c r="E2" s="1"/>
      <c r="H2" s="1" t="s">
        <v>3466</v>
      </c>
      <c r="L2" s="3" t="b">
        <f>EXACT(E27,J17)</f>
        <v>1</v>
      </c>
      <c r="M2" s="3" t="b">
        <f>EXACT(E27,P28)</f>
        <v>1</v>
      </c>
    </row>
    <row r="3" spans="2:30" ht="60" x14ac:dyDescent="0.25">
      <c r="B3" s="380" t="s">
        <v>171</v>
      </c>
      <c r="C3" s="380" t="s">
        <v>172</v>
      </c>
      <c r="D3" s="380" t="s">
        <v>6539</v>
      </c>
      <c r="E3" s="380" t="s">
        <v>3483</v>
      </c>
      <c r="F3" s="380" t="s">
        <v>3467</v>
      </c>
      <c r="H3" s="16" t="s">
        <v>3462</v>
      </c>
      <c r="I3" s="193" t="s">
        <v>3465</v>
      </c>
      <c r="J3" s="16" t="s">
        <v>3514</v>
      </c>
      <c r="K3" s="464" t="s">
        <v>9295</v>
      </c>
      <c r="R3" s="443" t="s">
        <v>6394</v>
      </c>
      <c r="S3" s="20"/>
      <c r="T3" s="3" t="s">
        <v>6394</v>
      </c>
      <c r="U3" s="20"/>
      <c r="AA3" s="1" t="s">
        <v>6927</v>
      </c>
    </row>
    <row r="4" spans="2:30" x14ac:dyDescent="0.25">
      <c r="B4" s="381" t="s">
        <v>3515</v>
      </c>
      <c r="C4" s="382" t="s">
        <v>3460</v>
      </c>
      <c r="D4" s="383">
        <v>563</v>
      </c>
      <c r="E4" s="383">
        <v>523</v>
      </c>
      <c r="F4" s="381"/>
      <c r="H4" s="11" t="s">
        <v>3463</v>
      </c>
      <c r="I4" s="12">
        <f>COUNTIF('I kw.22'!E2:E1023,"praca")</f>
        <v>107</v>
      </c>
      <c r="J4" s="12" t="s">
        <v>3515</v>
      </c>
      <c r="K4" s="151">
        <f>SUMIF('I kw.22'!E2:E1022,"praca",'I kw.22'!F2:F1022)</f>
        <v>107</v>
      </c>
      <c r="N4" s="12">
        <v>1</v>
      </c>
      <c r="O4" s="11" t="s">
        <v>170</v>
      </c>
      <c r="P4" s="12">
        <f>SUM(D60)</f>
        <v>107</v>
      </c>
      <c r="R4" s="12">
        <f>RANK(P4,$P$4:$P$15,0)+COUNTIF($P$4:P4,P4)-1</f>
        <v>4</v>
      </c>
      <c r="T4" s="17" t="str">
        <f>INDEX($N$4:$P$15,MATCH(1,$R$4:$R$15,0),2)</f>
        <v>Usługi finansowe, HR i inne</v>
      </c>
      <c r="U4" s="12">
        <f>INDEX($N$4:$P$15,MATCH(1,$R$4:$R$15,0),3)</f>
        <v>269</v>
      </c>
      <c r="AA4" s="12">
        <v>1801</v>
      </c>
      <c r="AB4" s="26">
        <f>SUMIF('I kw.22'!T2:T1032,"1801",'I kw.22'!V2:V1032)</f>
        <v>0</v>
      </c>
      <c r="AD4" s="151">
        <v>18</v>
      </c>
    </row>
    <row r="5" spans="2:30" x14ac:dyDescent="0.25">
      <c r="B5" s="381" t="s">
        <v>3516</v>
      </c>
      <c r="C5" s="382" t="s">
        <v>3459</v>
      </c>
      <c r="D5" s="383">
        <v>466</v>
      </c>
      <c r="E5" s="383">
        <v>477</v>
      </c>
      <c r="F5" s="381"/>
      <c r="H5" s="11" t="s">
        <v>192</v>
      </c>
      <c r="I5" s="12">
        <f>COUNTIF('I kw.22'!E2:E1023,"pracuj.pl")</f>
        <v>610</v>
      </c>
      <c r="J5" s="12" t="s">
        <v>3516</v>
      </c>
      <c r="K5" s="12">
        <f>SUMIF('I kw.22'!E2:E1032,"pracuj.pl",'I kw.22'!F2:F1032)</f>
        <v>614</v>
      </c>
      <c r="N5" s="12">
        <v>2</v>
      </c>
      <c r="O5" s="11" t="s">
        <v>2</v>
      </c>
      <c r="P5" s="12">
        <f>SUM(G46)</f>
        <v>187</v>
      </c>
      <c r="R5" s="12">
        <f>RANK(P5,$P$4:$P$15,0)+COUNTIF($P$4:P5,P5)-1</f>
        <v>2</v>
      </c>
      <c r="T5" s="17" t="str">
        <f>INDEX($N$4:$P$15,MATCH(2,$R$4:$R$15,0),2)</f>
        <v>Przemysł high-tech</v>
      </c>
      <c r="U5" s="12">
        <f>INDEX($N$4:$P$15,MATCH(2,$R$4:$R$15,0),3)</f>
        <v>187</v>
      </c>
      <c r="AA5" s="12">
        <v>1802</v>
      </c>
      <c r="AB5" s="26">
        <f>SUMIF('I kw.22'!T2:T1032,"180")</f>
        <v>0</v>
      </c>
      <c r="AD5" s="18"/>
    </row>
    <row r="6" spans="2:30" x14ac:dyDescent="0.25">
      <c r="B6" s="381" t="s">
        <v>3517</v>
      </c>
      <c r="C6" s="382" t="s">
        <v>3458</v>
      </c>
      <c r="D6" s="383">
        <v>365</v>
      </c>
      <c r="E6" s="383">
        <v>386</v>
      </c>
      <c r="F6" s="381"/>
      <c r="H6" s="11" t="s">
        <v>217</v>
      </c>
      <c r="I6" s="12">
        <f>COUNTIF('I kw.22'!E2:E1023,"agora")</f>
        <v>49</v>
      </c>
      <c r="J6" s="12" t="s">
        <v>3517</v>
      </c>
      <c r="K6" s="12">
        <f>SUMIF('I kw.22'!E2:E1022,"agora",'I kw.22'!F2:F1022)</f>
        <v>49</v>
      </c>
      <c r="N6" s="12">
        <v>3</v>
      </c>
      <c r="O6" s="11" t="s">
        <v>3</v>
      </c>
      <c r="P6" s="12">
        <f>SUM(J44)</f>
        <v>27</v>
      </c>
      <c r="R6" s="12">
        <f>RANK(P6,$P$4:$P$15,0)+COUNTIF($P$4:P6,P6)-1</f>
        <v>6</v>
      </c>
      <c r="T6" s="17" t="str">
        <f>INDEX($N$4:$P$15,MATCH(3,$R$4:$R$15,0),2)</f>
        <v>Handel, transport, logistyka</v>
      </c>
      <c r="U6" s="12">
        <f>INDEX($N$4:$P$15,MATCH(3,$R$4:$R$15,0),3)</f>
        <v>112</v>
      </c>
      <c r="AA6" s="12">
        <v>1803</v>
      </c>
      <c r="AB6" s="26">
        <f>SUMIF('I kw.22'!T2:T1032,"1803",'I kw.22'!V2:V1032)</f>
        <v>0</v>
      </c>
      <c r="AD6" s="18"/>
    </row>
    <row r="7" spans="2:30" x14ac:dyDescent="0.25">
      <c r="B7" s="381" t="s">
        <v>3518</v>
      </c>
      <c r="C7" s="382" t="s">
        <v>3457</v>
      </c>
      <c r="D7" s="383">
        <v>461</v>
      </c>
      <c r="E7" s="383">
        <v>444</v>
      </c>
      <c r="F7" s="381"/>
      <c r="H7" s="11" t="s">
        <v>3464</v>
      </c>
      <c r="I7" s="12">
        <f>COUNTIF('I kw.22'!E2:E1023,"gratka")</f>
        <v>3</v>
      </c>
      <c r="J7" s="12" t="s">
        <v>3518</v>
      </c>
      <c r="K7" s="12">
        <f>SUMIF('I kw.22'!E2:E1022,"gratka",'I kw.22'!F2:F1022)</f>
        <v>3</v>
      </c>
      <c r="N7" s="12">
        <v>4</v>
      </c>
      <c r="O7" s="11" t="s">
        <v>3589</v>
      </c>
      <c r="P7" s="12">
        <f>SUM(M37)</f>
        <v>112</v>
      </c>
      <c r="R7" s="12">
        <f>RANK(P7,$P$4:$P$15,0)+COUNTIF($P$4:P7,P7)-1</f>
        <v>3</v>
      </c>
      <c r="T7" s="17" t="str">
        <f>INDEX($N$4:$P$15,MATCH(4,$R$4:$R$15,0),2)</f>
        <v>Przemysł produkcyjny</v>
      </c>
      <c r="U7" s="12">
        <f>INDEX($N$4:$P$15,MATCH(4,$R$4:$R$15,0),3)</f>
        <v>107</v>
      </c>
      <c r="AA7" s="12">
        <v>1804</v>
      </c>
      <c r="AB7" s="26">
        <f>SUMIF('I kw.22'!T2:T1032,"1804",'I kw.22'!V2:V1032)</f>
        <v>0</v>
      </c>
      <c r="AD7" s="18"/>
    </row>
    <row r="8" spans="2:30" x14ac:dyDescent="0.25">
      <c r="B8" s="381" t="s">
        <v>13071</v>
      </c>
      <c r="C8" s="382" t="s">
        <v>173</v>
      </c>
      <c r="D8" s="383">
        <v>720</v>
      </c>
      <c r="E8" s="383">
        <v>704</v>
      </c>
      <c r="F8" s="381"/>
      <c r="H8" s="442" t="s">
        <v>7786</v>
      </c>
      <c r="I8" s="300"/>
      <c r="J8" s="300"/>
      <c r="K8" s="414"/>
      <c r="N8" s="12">
        <v>5</v>
      </c>
      <c r="O8" s="11" t="s">
        <v>13096</v>
      </c>
      <c r="P8" s="12">
        <f>SUM(P36)</f>
        <v>269</v>
      </c>
      <c r="R8" s="12">
        <f>RANK(P8,$P$4:$P$15,0)+COUNTIF($P$4:P8,P8)-1</f>
        <v>1</v>
      </c>
      <c r="T8" s="17" t="str">
        <f>INDEX($N$4:$P$15,MATCH(5,$R$4:$R$15,0),2)</f>
        <v>Informacja i edukcja</v>
      </c>
      <c r="U8" s="12">
        <f>INDEX($N$4:$P$15,MATCH(5,$R$4:$R$15,0),3)</f>
        <v>28</v>
      </c>
      <c r="AA8" s="12">
        <v>1805</v>
      </c>
      <c r="AB8" s="26">
        <f>SUMIF('I kw.22'!T2:T1032,"1805",'I kw.22'!V2:V1032)</f>
        <v>0</v>
      </c>
      <c r="AD8" s="18"/>
    </row>
    <row r="9" spans="2:30" x14ac:dyDescent="0.25">
      <c r="B9" s="12">
        <v>1</v>
      </c>
      <c r="C9" s="17" t="s">
        <v>175</v>
      </c>
      <c r="D9" s="26">
        <v>86</v>
      </c>
      <c r="E9" s="26">
        <v>122</v>
      </c>
      <c r="F9" s="12"/>
      <c r="H9" s="48"/>
      <c r="I9" s="36">
        <f>SUM(I4:I7)</f>
        <v>769</v>
      </c>
      <c r="J9" s="48"/>
      <c r="K9" s="36">
        <f>SUM(K4:K7)</f>
        <v>773</v>
      </c>
      <c r="N9" s="12">
        <v>6</v>
      </c>
      <c r="O9" s="11" t="s">
        <v>134</v>
      </c>
      <c r="P9" s="12">
        <f>SUM(P41)</f>
        <v>0</v>
      </c>
      <c r="R9" s="12">
        <f>RANK(P9,$P$4:$P$15,0)+COUNTIF($P$4:P9,P9)-1</f>
        <v>11</v>
      </c>
      <c r="T9" s="17" t="str">
        <f>INDEX($N$4:$P$15,MATCH(6,$R$4:$R$15,0),2)</f>
        <v>Budownictwo</v>
      </c>
      <c r="U9" s="12">
        <f>INDEX($N$4:$P$15,MATCH(6,$R$4:$R$15,0),3)</f>
        <v>27</v>
      </c>
      <c r="AA9" s="12">
        <v>1806</v>
      </c>
      <c r="AB9" s="26">
        <f>SUMIF('I kw.22'!T2:T1032,"1806",'I kw.22'!V2:V1032)</f>
        <v>0</v>
      </c>
      <c r="AD9" s="18"/>
    </row>
    <row r="10" spans="2:30" x14ac:dyDescent="0.25">
      <c r="B10" s="12">
        <v>2</v>
      </c>
      <c r="C10" s="17" t="s">
        <v>17635</v>
      </c>
      <c r="D10" s="26">
        <v>377</v>
      </c>
      <c r="E10" s="26">
        <v>410</v>
      </c>
      <c r="F10" s="12"/>
      <c r="N10" s="12">
        <v>7</v>
      </c>
      <c r="O10" s="11" t="s">
        <v>3590</v>
      </c>
      <c r="P10" s="12">
        <f>SUM(P47)</f>
        <v>0</v>
      </c>
      <c r="R10" s="12">
        <f>RANK(P10,$P$4:$P$15,0)+COUNTIF($P$4:P10,P10)-1</f>
        <v>12</v>
      </c>
      <c r="T10" s="17" t="str">
        <f>INDEX($N$4:$P$15,MATCH(7,$R$4:$R$15,0),2)</f>
        <v>Zdrowie i opieka społeczna</v>
      </c>
      <c r="U10" s="12">
        <f>INDEX($N$4:$P$15,MATCH(7,$R$4:$R$15,0),3)</f>
        <v>16</v>
      </c>
      <c r="AA10" s="12">
        <v>1807</v>
      </c>
      <c r="AB10" s="26">
        <f>SUMIF('I kw.22'!T2:T1032,"1807",'I kw.22'!F2:V1032)</f>
        <v>0</v>
      </c>
      <c r="AD10" s="18"/>
    </row>
    <row r="11" spans="2:30" x14ac:dyDescent="0.25">
      <c r="B11" s="381" t="s">
        <v>13072</v>
      </c>
      <c r="C11" s="382" t="s">
        <v>3486</v>
      </c>
      <c r="D11" s="383">
        <f>SUM(D9:D10)</f>
        <v>463</v>
      </c>
      <c r="E11" s="383">
        <f>SUM(E9:E10)</f>
        <v>532</v>
      </c>
      <c r="F11" s="381"/>
      <c r="H11" s="1" t="s">
        <v>3570</v>
      </c>
      <c r="N11" s="12">
        <v>8</v>
      </c>
      <c r="O11" s="11" t="s">
        <v>4</v>
      </c>
      <c r="P11" s="12">
        <f>SUM(S34)</f>
        <v>16</v>
      </c>
      <c r="R11" s="12">
        <f>RANK(P11,$P$4:$P$15,0)+COUNTIF($P$4:P11,P11)-1</f>
        <v>7</v>
      </c>
      <c r="T11" s="17" t="str">
        <f>INDEX($N$4:$P$15,MATCH(8,$R$4:$R$15,0),2)</f>
        <v>Prace proste</v>
      </c>
      <c r="U11" s="12">
        <f>INDEX($N$4:$P$15,MATCH(8,$R$4:$R$15,0),3)</f>
        <v>11</v>
      </c>
      <c r="AA11" s="12">
        <v>1808</v>
      </c>
      <c r="AB11" s="12">
        <f>SUMIF('I kw.22'!T2:T1032,"1808",'I kw.22'!F2:V1032)</f>
        <v>0</v>
      </c>
      <c r="AD11" s="18"/>
    </row>
    <row r="12" spans="2:30" x14ac:dyDescent="0.25">
      <c r="B12" s="12">
        <v>3</v>
      </c>
      <c r="C12" s="17" t="s">
        <v>3481</v>
      </c>
      <c r="D12" s="12">
        <v>180</v>
      </c>
      <c r="E12" s="12">
        <v>231</v>
      </c>
      <c r="F12" s="12"/>
      <c r="H12" s="474" t="s">
        <v>3469</v>
      </c>
      <c r="I12" s="474" t="s">
        <v>3568</v>
      </c>
      <c r="J12" s="475">
        <f>SUM(D60,G46,J44)</f>
        <v>321</v>
      </c>
      <c r="N12" s="12">
        <v>9</v>
      </c>
      <c r="O12" s="11" t="s">
        <v>3591</v>
      </c>
      <c r="P12" s="12">
        <f>SUM(V34)</f>
        <v>28</v>
      </c>
      <c r="R12" s="12">
        <f>RANK(P12,$P$4:$P$15,0)+COUNTIF($P$4:P12,P12)-1</f>
        <v>5</v>
      </c>
      <c r="T12" s="17" t="str">
        <f>INDEX($N$4:$P$15,MATCH(9,$R$4:$R$15,0),2)</f>
        <v>Pozostałe grupy</v>
      </c>
      <c r="U12" s="12">
        <f>INDEX($N$4:$P$15,MATCH(9,$R$4:$R$15,0),3)</f>
        <v>10</v>
      </c>
      <c r="AA12" s="12">
        <v>1809</v>
      </c>
      <c r="AB12" s="12">
        <f>SUMIF('I kw.22'!T2:T1032,"1809",'I kw.22'!F2:V1032)</f>
        <v>0</v>
      </c>
      <c r="AD12" s="18"/>
    </row>
    <row r="13" spans="2:30" x14ac:dyDescent="0.25">
      <c r="B13" s="12">
        <v>4</v>
      </c>
      <c r="C13" s="17" t="s">
        <v>3482</v>
      </c>
      <c r="D13" s="12">
        <v>361</v>
      </c>
      <c r="E13" s="12">
        <v>378</v>
      </c>
      <c r="F13" s="12"/>
      <c r="H13" s="486" t="s">
        <v>3470</v>
      </c>
      <c r="I13" s="486" t="s">
        <v>3566</v>
      </c>
      <c r="J13" s="487">
        <f>SUM(M37,P36,P41,P47,S34)</f>
        <v>397</v>
      </c>
      <c r="N13" s="12">
        <v>10</v>
      </c>
      <c r="O13" s="11" t="s">
        <v>0</v>
      </c>
      <c r="P13" s="12">
        <f>SUM(V40)</f>
        <v>6</v>
      </c>
      <c r="R13" s="12">
        <f>RANK(P13,$P$4:$P$15,0)+COUNTIF($P$4:P13,P13)-1</f>
        <v>10</v>
      </c>
      <c r="T13" s="17" t="str">
        <f>INDEX($N$4:$P$15,MATCH(10,$R$4:$R$15,0),2)</f>
        <v>Nadzór i administracja</v>
      </c>
      <c r="U13" s="12">
        <f>INDEX($N$4:$P$15,MATCH(10,$R$4:$R$15,0),3)</f>
        <v>6</v>
      </c>
      <c r="AA13" s="12">
        <v>1810</v>
      </c>
      <c r="AB13" s="12">
        <f>SUMIF('I kw.22'!T2:T1032,"1810",'I kw.22'!F2:V1032)</f>
        <v>0</v>
      </c>
      <c r="AD13" s="18"/>
    </row>
    <row r="14" spans="2:30" x14ac:dyDescent="0.25">
      <c r="B14" s="381" t="s">
        <v>13073</v>
      </c>
      <c r="C14" s="382" t="s">
        <v>3487</v>
      </c>
      <c r="D14" s="383">
        <f>SUM(D12:D13)</f>
        <v>541</v>
      </c>
      <c r="E14" s="383">
        <f>SUM(E12:E13)</f>
        <v>609</v>
      </c>
      <c r="F14" s="381"/>
      <c r="H14" s="322" t="s">
        <v>3471</v>
      </c>
      <c r="I14" s="322" t="s">
        <v>3567</v>
      </c>
      <c r="J14" s="316">
        <f>SUM(V34,V40)</f>
        <v>34</v>
      </c>
      <c r="N14" s="12">
        <v>11</v>
      </c>
      <c r="O14" s="11" t="s">
        <v>6</v>
      </c>
      <c r="P14" s="12">
        <f>SUM(Y33)</f>
        <v>11</v>
      </c>
      <c r="R14" s="12">
        <f>RANK(P14,$P$4:$P$15,0)+COUNTIF($P$4:P14,P14)-1</f>
        <v>8</v>
      </c>
      <c r="T14" s="17" t="str">
        <f>INDEX($N$4:$P$15,MATCH(11,$R$4:$R$15,0),2)</f>
        <v>Usługi gastronomiczne</v>
      </c>
      <c r="U14" s="12">
        <f>INDEX($N$4:$P$15,MATCH(11,$R$4:$R$15,0),3)</f>
        <v>0</v>
      </c>
      <c r="AA14" s="12">
        <v>1811</v>
      </c>
      <c r="AB14" s="26">
        <f>SUMIF('I kw.22'!T2:T1032,"1811",'I kw.22'!F2:V1032)</f>
        <v>0</v>
      </c>
      <c r="AD14" s="18"/>
    </row>
    <row r="15" spans="2:30" x14ac:dyDescent="0.25">
      <c r="B15" s="12">
        <v>5</v>
      </c>
      <c r="C15" s="17" t="s">
        <v>6392</v>
      </c>
      <c r="D15" s="26">
        <v>249</v>
      </c>
      <c r="E15" s="26">
        <v>258</v>
      </c>
      <c r="F15" s="12"/>
      <c r="H15" s="325" t="s">
        <v>3469</v>
      </c>
      <c r="I15" s="325" t="s">
        <v>6</v>
      </c>
      <c r="J15" s="326">
        <f>SUM(Y33)</f>
        <v>11</v>
      </c>
      <c r="N15" s="12">
        <v>12</v>
      </c>
      <c r="O15" s="17" t="s">
        <v>3574</v>
      </c>
      <c r="P15" s="12">
        <f>SUM(Y43)</f>
        <v>10</v>
      </c>
      <c r="R15" s="12">
        <f>RANK(P15,$P$4:$P$15,0)+COUNTIF($P$4:P15,P15)-1</f>
        <v>9</v>
      </c>
      <c r="T15" s="17" t="str">
        <f>INDEX($N$4:$P$15,MATCH(12,$R$4:$R$15,0),2)</f>
        <v>Usługi typu krawiectwo, kaletnictwo, obuwnictwo + poszukiwanie + ochrona</v>
      </c>
      <c r="U15" s="12">
        <f>INDEX($N$4:$P$15,MATCH(12,$R$4:$R$15,0),3)</f>
        <v>0</v>
      </c>
      <c r="AA15" s="12">
        <v>1812</v>
      </c>
      <c r="AB15" s="12">
        <f>SUMIF('I kw.22'!T2:T1032,"1812",'I kw.22'!F2:V1032)</f>
        <v>0</v>
      </c>
      <c r="AD15" s="18"/>
    </row>
    <row r="16" spans="2:30" x14ac:dyDescent="0.25">
      <c r="B16" s="12">
        <v>6</v>
      </c>
      <c r="C16" s="17" t="s">
        <v>17636</v>
      </c>
      <c r="D16" s="26">
        <v>173</v>
      </c>
      <c r="E16" s="26">
        <v>197</v>
      </c>
      <c r="F16" s="12"/>
      <c r="H16" s="472" t="s">
        <v>3473</v>
      </c>
      <c r="I16" s="472" t="s">
        <v>3574</v>
      </c>
      <c r="J16" s="473">
        <f>SUM(Y43)</f>
        <v>10</v>
      </c>
      <c r="N16" s="18"/>
      <c r="O16" s="89"/>
      <c r="P16" s="18"/>
      <c r="R16" s="18"/>
      <c r="T16" s="89"/>
      <c r="U16" s="18"/>
      <c r="AA16" s="12">
        <v>1813</v>
      </c>
      <c r="AB16" s="12">
        <f>SUMIF('I kw.22'!T2:T1032,"1813",'I kw.22'!F2:V1032)</f>
        <v>0</v>
      </c>
      <c r="AD16" s="18"/>
    </row>
    <row r="17" spans="2:30" x14ac:dyDescent="0.25">
      <c r="B17" s="381" t="s">
        <v>13074</v>
      </c>
      <c r="C17" s="382" t="s">
        <v>6929</v>
      </c>
      <c r="D17" s="383">
        <f>SUM(D15:D16)</f>
        <v>422</v>
      </c>
      <c r="E17" s="383">
        <f>SUM(E15:E16)</f>
        <v>455</v>
      </c>
      <c r="F17" s="381"/>
      <c r="H17" s="48"/>
      <c r="I17" s="48"/>
      <c r="J17" s="36">
        <f>SUM(J12:J16)</f>
        <v>773</v>
      </c>
      <c r="N17" s="18"/>
      <c r="O17" s="89"/>
      <c r="P17" s="18"/>
      <c r="R17" s="18"/>
      <c r="T17" s="89"/>
      <c r="U17" s="18"/>
      <c r="AA17" s="12">
        <v>1814</v>
      </c>
      <c r="AB17" s="12">
        <f>SUMIF('I kw.22'!T2:T1032,"1814",'I kw.22'!F2:V1032)</f>
        <v>0</v>
      </c>
      <c r="AD17" s="18"/>
    </row>
    <row r="18" spans="2:30" x14ac:dyDescent="0.25">
      <c r="B18" s="12">
        <v>7</v>
      </c>
      <c r="C18" s="17" t="s">
        <v>6928</v>
      </c>
      <c r="D18" s="26">
        <v>97</v>
      </c>
      <c r="E18" s="26">
        <v>97</v>
      </c>
      <c r="F18" s="12"/>
      <c r="H18" s="184"/>
      <c r="I18" s="184"/>
      <c r="J18" s="183"/>
      <c r="N18" s="18"/>
      <c r="O18" s="89"/>
      <c r="P18" s="18"/>
      <c r="R18" s="18"/>
      <c r="T18" s="89"/>
      <c r="U18" s="18"/>
      <c r="AA18" s="12">
        <v>1815</v>
      </c>
      <c r="AB18" s="12">
        <f>SUMIF('I kw.22'!T2:T1032,"1815",'I kw.22'!F2:V1032)</f>
        <v>0</v>
      </c>
      <c r="AC18" s="20"/>
      <c r="AD18" s="18"/>
    </row>
    <row r="19" spans="2:30" x14ac:dyDescent="0.25">
      <c r="B19" s="12">
        <v>8</v>
      </c>
      <c r="C19" s="17" t="s">
        <v>7785</v>
      </c>
      <c r="D19" s="26">
        <v>224</v>
      </c>
      <c r="E19" s="26">
        <v>224</v>
      </c>
      <c r="F19" s="12"/>
      <c r="H19" s="184"/>
      <c r="I19" s="184"/>
      <c r="J19" s="183"/>
      <c r="N19" s="18"/>
      <c r="O19" s="89"/>
      <c r="P19" s="18"/>
      <c r="R19" s="18"/>
      <c r="T19" s="89"/>
      <c r="U19" s="18"/>
      <c r="AA19" s="12">
        <v>1816</v>
      </c>
      <c r="AB19" s="26">
        <f>SUMIF('I kw.22'!T2:T1032,"1816",'I kw.22'!F2:V1032)</f>
        <v>0</v>
      </c>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2">
        <v>1817</v>
      </c>
      <c r="AB20" s="12">
        <f>SUMIF('I kw.22'!T2:T1032,"1817",'I kw.22'!F2:V1032)</f>
        <v>0</v>
      </c>
      <c r="AC20" s="20"/>
      <c r="AD20" s="18"/>
    </row>
    <row r="21" spans="2:30" x14ac:dyDescent="0.25">
      <c r="B21" s="12">
        <v>9</v>
      </c>
      <c r="C21" s="17" t="s">
        <v>7800</v>
      </c>
      <c r="D21" s="26">
        <v>156</v>
      </c>
      <c r="E21" s="26">
        <v>165</v>
      </c>
      <c r="F21" s="12"/>
      <c r="G21" s="135"/>
      <c r="H21" s="184"/>
      <c r="I21" s="184"/>
      <c r="J21" s="183"/>
      <c r="N21" s="18"/>
      <c r="O21" s="89"/>
      <c r="P21" s="18"/>
      <c r="R21" s="18"/>
      <c r="T21" s="89"/>
      <c r="U21" s="18"/>
      <c r="AA21" s="12">
        <v>1818</v>
      </c>
      <c r="AB21" s="12">
        <f>SUMIF('I kw.22'!T2:T1032,"1818",'I kw.22'!F2:V1032)</f>
        <v>0</v>
      </c>
      <c r="AC21" s="20"/>
      <c r="AD21" s="18"/>
    </row>
    <row r="22" spans="2:30" x14ac:dyDescent="0.25">
      <c r="B22" s="12">
        <v>10</v>
      </c>
      <c r="C22" s="17" t="s">
        <v>17637</v>
      </c>
      <c r="D22" s="26">
        <v>237</v>
      </c>
      <c r="E22" s="26">
        <v>242</v>
      </c>
      <c r="F22" s="12"/>
      <c r="G22" s="135"/>
      <c r="H22" s="184"/>
      <c r="I22" s="184"/>
      <c r="J22" s="183"/>
      <c r="N22" s="18"/>
      <c r="O22" s="89"/>
      <c r="P22" s="18"/>
      <c r="R22" s="18"/>
      <c r="T22" s="89"/>
      <c r="U22" s="18"/>
      <c r="AA22" s="12">
        <v>1819</v>
      </c>
      <c r="AB22" s="12">
        <f>SUMIF('I kw.22'!T2:T1032,"1819",'I kw.22'!F2:V1032)</f>
        <v>0</v>
      </c>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348">
        <v>1820</v>
      </c>
      <c r="AB23" s="348">
        <f>SUMIF('I kw.22'!T2:T1032,"1820",'I kw.22'!F2:V1032)</f>
        <v>0</v>
      </c>
      <c r="AC23" s="20"/>
      <c r="AD23" s="18"/>
    </row>
    <row r="24" spans="2:30" x14ac:dyDescent="0.25">
      <c r="B24" s="12">
        <v>11</v>
      </c>
      <c r="C24" s="17" t="s">
        <v>13054</v>
      </c>
      <c r="D24" s="26">
        <v>1022</v>
      </c>
      <c r="E24" s="26">
        <v>1030</v>
      </c>
      <c r="F24" s="12"/>
      <c r="G24" s="135"/>
      <c r="H24" s="184"/>
      <c r="I24" s="184"/>
      <c r="J24" s="183"/>
      <c r="N24" s="18"/>
      <c r="O24" s="89"/>
      <c r="P24" s="18"/>
      <c r="R24" s="18"/>
      <c r="T24" s="89"/>
      <c r="U24" s="18"/>
      <c r="AC24" s="20"/>
      <c r="AD24" s="18"/>
    </row>
    <row r="25" spans="2:30" x14ac:dyDescent="0.25">
      <c r="B25" s="12">
        <v>12</v>
      </c>
      <c r="C25" s="17" t="s">
        <v>13106</v>
      </c>
      <c r="D25" s="26">
        <v>701</v>
      </c>
      <c r="E25" s="26">
        <v>704</v>
      </c>
      <c r="F25" s="12"/>
      <c r="G25" s="135"/>
      <c r="H25" s="184"/>
      <c r="I25" s="184"/>
      <c r="J25" s="183"/>
      <c r="N25" s="18"/>
      <c r="O25" s="89"/>
      <c r="P25" s="18"/>
      <c r="R25" s="18"/>
      <c r="T25" s="89"/>
      <c r="U25" s="18"/>
      <c r="AC25" s="20"/>
      <c r="AD25" s="18"/>
    </row>
    <row r="26" spans="2:30" x14ac:dyDescent="0.25">
      <c r="B26" s="381" t="s">
        <v>13107</v>
      </c>
      <c r="C26" s="382" t="s">
        <v>13108</v>
      </c>
      <c r="D26" s="383">
        <f>SUM(D24:D25)</f>
        <v>1723</v>
      </c>
      <c r="E26" s="383">
        <f>SUM(E24:E25)</f>
        <v>1734</v>
      </c>
      <c r="F26" s="381"/>
      <c r="G26" s="135"/>
      <c r="H26" s="184"/>
      <c r="I26" s="184"/>
      <c r="J26" s="183"/>
      <c r="N26" s="18"/>
      <c r="O26" s="89"/>
      <c r="P26" s="18"/>
      <c r="R26" s="18"/>
      <c r="T26" s="89"/>
      <c r="U26" s="18"/>
      <c r="AC26" s="20"/>
      <c r="AD26" s="18"/>
    </row>
    <row r="27" spans="2:30" x14ac:dyDescent="0.25">
      <c r="B27" s="107">
        <v>13</v>
      </c>
      <c r="C27" s="106" t="s">
        <v>17622</v>
      </c>
      <c r="D27" s="105">
        <v>769</v>
      </c>
      <c r="E27" s="105">
        <v>773</v>
      </c>
      <c r="F27" s="107" t="s">
        <v>17632</v>
      </c>
      <c r="G27" s="135">
        <f>SUM(D27-D21)</f>
        <v>613</v>
      </c>
      <c r="H27" s="184"/>
      <c r="I27" s="184"/>
      <c r="J27" s="183"/>
      <c r="N27" s="18"/>
      <c r="O27" s="89"/>
      <c r="P27" s="18"/>
      <c r="R27" s="18"/>
      <c r="T27" s="89"/>
      <c r="U27" s="18"/>
      <c r="AC27" s="20"/>
      <c r="AD27" s="18"/>
    </row>
    <row r="28" spans="2:30" x14ac:dyDescent="0.25">
      <c r="B28" s="18"/>
      <c r="C28" s="89"/>
      <c r="E28" s="135"/>
      <c r="F28" s="20"/>
      <c r="N28" s="242"/>
      <c r="O28" s="242"/>
      <c r="P28" s="243">
        <f>SUM(P4:P15)</f>
        <v>773</v>
      </c>
      <c r="R28" s="242"/>
      <c r="T28" s="243"/>
      <c r="U28" s="246">
        <f>SUM(U4:U15)</f>
        <v>773</v>
      </c>
      <c r="AC28" s="20"/>
      <c r="AD28" s="20"/>
    </row>
    <row r="29" spans="2:30" x14ac:dyDescent="0.25">
      <c r="B29" s="476" t="s">
        <v>170</v>
      </c>
      <c r="C29" s="476"/>
      <c r="D29" s="476"/>
      <c r="E29" s="476" t="s">
        <v>2</v>
      </c>
      <c r="F29" s="476"/>
      <c r="G29" s="476"/>
      <c r="H29" s="476" t="s">
        <v>3</v>
      </c>
      <c r="I29" s="476"/>
      <c r="J29" s="476"/>
      <c r="K29" s="488" t="s">
        <v>3589</v>
      </c>
      <c r="L29" s="488"/>
      <c r="M29" s="488"/>
      <c r="N29" s="488" t="s">
        <v>1</v>
      </c>
      <c r="O29" s="488"/>
      <c r="P29" s="488"/>
      <c r="Q29" s="407" t="s">
        <v>4</v>
      </c>
      <c r="R29" s="407"/>
      <c r="S29" s="407"/>
      <c r="T29" s="314" t="s">
        <v>5</v>
      </c>
      <c r="U29" s="314"/>
      <c r="V29" s="314"/>
      <c r="W29" s="328" t="s">
        <v>6</v>
      </c>
      <c r="X29" s="328"/>
      <c r="Y29" s="327"/>
      <c r="AA29" s="12">
        <v>1821</v>
      </c>
      <c r="AB29" s="12">
        <f>SUMIF('I kw.22'!T2:T1032,"1821",'I kw.22'!F2:F1032)</f>
        <v>0</v>
      </c>
      <c r="AC29" s="20"/>
      <c r="AD29" s="18"/>
    </row>
    <row r="30" spans="2:30" x14ac:dyDescent="0.25">
      <c r="B30" s="478" t="s">
        <v>3469</v>
      </c>
      <c r="C30" s="477"/>
      <c r="D30" s="479"/>
      <c r="E30" s="478" t="s">
        <v>3470</v>
      </c>
      <c r="F30" s="477"/>
      <c r="G30" s="479"/>
      <c r="H30" s="478" t="s">
        <v>3470</v>
      </c>
      <c r="I30" s="478"/>
      <c r="J30" s="479"/>
      <c r="K30" s="489"/>
      <c r="L30" s="490"/>
      <c r="M30" s="489"/>
      <c r="N30" s="489"/>
      <c r="O30" s="490"/>
      <c r="P30" s="489"/>
      <c r="Q30" s="489"/>
      <c r="R30" s="490"/>
      <c r="S30" s="489"/>
      <c r="T30" s="98"/>
      <c r="U30" s="99"/>
      <c r="V30" s="315"/>
      <c r="W30" s="323"/>
      <c r="X30" s="324"/>
      <c r="Y30" s="325"/>
      <c r="AA30" s="12">
        <v>1861</v>
      </c>
      <c r="AB30" s="26">
        <f>SUMIF('I kw.22'!T2:T1032,"1861",'I kw.22'!F2:F1032)</f>
        <v>0</v>
      </c>
      <c r="AC30" s="20"/>
      <c r="AD30" s="18"/>
    </row>
    <row r="31" spans="2:30" x14ac:dyDescent="0.25">
      <c r="B31" s="108">
        <v>2141</v>
      </c>
      <c r="C31" s="390" t="s">
        <v>3569</v>
      </c>
      <c r="D31" s="390">
        <f>SUMIF('I kw.22'!AJ2:AJ1032,"2141*",'I kw.22'!F2:F1032)</f>
        <v>4</v>
      </c>
      <c r="E31" s="108">
        <v>2113</v>
      </c>
      <c r="F31" s="11" t="s">
        <v>3491</v>
      </c>
      <c r="G31" s="475">
        <f>SUMIF('I kw.22'!AJ2:AJ1032,"2113*",'I kw.22'!F2:F1032)</f>
        <v>0</v>
      </c>
      <c r="H31" s="122">
        <v>2142</v>
      </c>
      <c r="I31" s="399" t="s">
        <v>3494</v>
      </c>
      <c r="J31" s="475">
        <f>SUMIF('I kw.22'!AJ2:AJ1032,"2142*",'I kw.22'!F2:F1032)</f>
        <v>11</v>
      </c>
      <c r="K31" s="425">
        <v>315</v>
      </c>
      <c r="L31" s="11" t="s">
        <v>3532</v>
      </c>
      <c r="M31" s="487">
        <f>SUMIF('I kw.22'!AJ2:AJ1032,"315*",'I kw.22'!F2:F1032)</f>
        <v>0</v>
      </c>
      <c r="N31" s="108">
        <v>2166</v>
      </c>
      <c r="O31" s="11" t="s">
        <v>3510</v>
      </c>
      <c r="P31" s="487">
        <f>SUMIF('I kw.22'!AJ2:AJ1032,"2166*",'I kw.22'!F2:F1032)</f>
        <v>2</v>
      </c>
      <c r="Q31" s="405">
        <v>22</v>
      </c>
      <c r="R31" s="406" t="s">
        <v>3511</v>
      </c>
      <c r="S31" s="487">
        <f>SUMIF('I kw.22'!AJ2:AJ1032,"22*",'I kw.22'!F2:F1032)</f>
        <v>9</v>
      </c>
      <c r="T31" s="118">
        <v>23</v>
      </c>
      <c r="U31" s="11" t="s">
        <v>3512</v>
      </c>
      <c r="V31" s="316">
        <f>SUMIF('I kw.22'!AJ2:AJ1032,"23*",'I kw.22'!F2:F1032)</f>
        <v>12</v>
      </c>
      <c r="W31" s="131">
        <v>7549</v>
      </c>
      <c r="X31" s="11" t="s">
        <v>3561</v>
      </c>
      <c r="Y31" s="326">
        <f>SUMIF('I kw.22'!AJ2:AJ1032,"7549*",'I kw.22'!F2:F1032)</f>
        <v>4</v>
      </c>
      <c r="AA31" s="12">
        <v>1862</v>
      </c>
      <c r="AB31" s="12">
        <f>SUMIF('I kw.22'!T2:T1032,"1862",'I kw.22'!F2:F1032)</f>
        <v>0</v>
      </c>
      <c r="AC31" s="20"/>
      <c r="AD31" s="18"/>
    </row>
    <row r="32" spans="2:30" x14ac:dyDescent="0.25">
      <c r="B32" s="108">
        <v>2132</v>
      </c>
      <c r="C32" s="11" t="s">
        <v>3493</v>
      </c>
      <c r="D32" s="480">
        <f>SUMIF('I kw.22'!AJ2:AJ1032,"2132*",'I kw.22'!F2:F1032)</f>
        <v>1</v>
      </c>
      <c r="E32" s="108">
        <v>2145</v>
      </c>
      <c r="F32" s="11" t="s">
        <v>3496</v>
      </c>
      <c r="G32" s="475">
        <f>SUMIF('I kw.22'!AJ2:AJ1032,"2145*",'I kw.22'!F2:F1032)</f>
        <v>1</v>
      </c>
      <c r="H32" s="122">
        <v>2143</v>
      </c>
      <c r="I32" s="11" t="s">
        <v>93</v>
      </c>
      <c r="J32" s="475">
        <f>SUMIF('I kw.22'!AJ2:AJ1032,"2143*",'I kw.22'!F2:F1032)</f>
        <v>3</v>
      </c>
      <c r="K32" s="426">
        <v>42</v>
      </c>
      <c r="L32" s="11" t="s">
        <v>3537</v>
      </c>
      <c r="M32" s="487">
        <f>SUMIF('I kw.22'!AJ2:AJ1032,"42*",'I kw.22'!F2:F1032)</f>
        <v>11</v>
      </c>
      <c r="N32" s="118">
        <v>24</v>
      </c>
      <c r="O32" s="368" t="s">
        <v>3571</v>
      </c>
      <c r="P32" s="107">
        <f>SUMIF('I kw.22'!AJ2:AJ1032,"24*",'I kw.22'!F2:F1032)</f>
        <v>150</v>
      </c>
      <c r="Q32" s="405">
        <v>32</v>
      </c>
      <c r="R32" s="406" t="s">
        <v>3533</v>
      </c>
      <c r="S32" s="487">
        <f>SUMIF('I kw.22'!AJ2:AJ1032,"32*",'I kw.22'!F2:F1032)</f>
        <v>7</v>
      </c>
      <c r="T32" s="118">
        <v>26</v>
      </c>
      <c r="U32" s="11" t="s">
        <v>3572</v>
      </c>
      <c r="V32" s="316">
        <f>SUMIF('I kw.22'!AJ2:AJ1032,"26*",'I kw.22'!F2:F1032)</f>
        <v>16</v>
      </c>
      <c r="W32" s="119">
        <v>9</v>
      </c>
      <c r="X32" s="11" t="s">
        <v>3565</v>
      </c>
      <c r="Y32" s="326">
        <f>SUMIF('I kw.22'!AJ2:AJ1032,"9*",'I kw.22'!F2:F1032)</f>
        <v>7</v>
      </c>
      <c r="AA32" s="12">
        <v>1863</v>
      </c>
      <c r="AB32" s="26">
        <f>SUMIF('I kw.22'!T2:T1032,"1863",'I kw.22'!V2:V1032)</f>
        <v>0</v>
      </c>
      <c r="AD32" s="18"/>
    </row>
    <row r="33" spans="2:30" x14ac:dyDescent="0.25">
      <c r="B33" s="108">
        <v>2146</v>
      </c>
      <c r="C33" s="11" t="s">
        <v>3497</v>
      </c>
      <c r="D33" s="475">
        <f>SUMIF('I kw.22'!AJ2:AJ1032,"2146*",'I kw.22'!F2:F1032)</f>
        <v>1</v>
      </c>
      <c r="E33" s="108">
        <v>2131</v>
      </c>
      <c r="F33" s="11" t="s">
        <v>3492</v>
      </c>
      <c r="G33" s="475">
        <f>SUMIF('I kw.22'!AJ2:AJ1032,"2131*",'I kw.22'!F2:F1032)</f>
        <v>1</v>
      </c>
      <c r="H33" s="122">
        <v>2161</v>
      </c>
      <c r="I33" s="11" t="s">
        <v>3507</v>
      </c>
      <c r="J33" s="475">
        <f>SUMIF('I kw.22'!AJ2:AJ1032,"2161*",'I kw.22'!F2:F1032)</f>
        <v>0</v>
      </c>
      <c r="K33" s="426">
        <v>43</v>
      </c>
      <c r="L33" s="103" t="s">
        <v>3538</v>
      </c>
      <c r="M33" s="107">
        <f>SUMIF('I kw.22'!AJ2:AJ1032,"43*",'I kw.22'!F2:F1032)</f>
        <v>12</v>
      </c>
      <c r="N33" s="125">
        <v>33</v>
      </c>
      <c r="O33" s="368" t="s">
        <v>3534</v>
      </c>
      <c r="P33" s="107">
        <f>SUMIF('I kw.22'!AJ2:AJ1032,"33*",'I kw.22'!F2:F1032)</f>
        <v>97</v>
      </c>
      <c r="Q33" s="405">
        <v>53</v>
      </c>
      <c r="R33" s="406" t="s">
        <v>3542</v>
      </c>
      <c r="S33" s="487">
        <f>SUMIF('I kw.22'!AJ2:AJ1032,"53*",'I kw.22'!F2:F1032)</f>
        <v>0</v>
      </c>
      <c r="T33" s="125">
        <v>34</v>
      </c>
      <c r="U33" s="11" t="s">
        <v>3535</v>
      </c>
      <c r="V33" s="316">
        <f>SUMIF('I kw.22'!AJ2:AJ1032,"34*",'I kw.22'!F2:F1032)</f>
        <v>0</v>
      </c>
      <c r="W33" s="37"/>
      <c r="Y33" s="326">
        <f>SUM(Y31:Y32)</f>
        <v>11</v>
      </c>
      <c r="AA33" s="12">
        <v>1864</v>
      </c>
      <c r="AB33" s="12">
        <f>SUMIF('I kw.22'!T2:T1032,"1864",'I kw.22'!F2:F1032)</f>
        <v>0</v>
      </c>
      <c r="AD33" s="18"/>
    </row>
    <row r="34" spans="2:30" ht="15" customHeight="1" x14ac:dyDescent="0.25">
      <c r="B34" s="121">
        <v>3113</v>
      </c>
      <c r="C34" s="11" t="s">
        <v>3520</v>
      </c>
      <c r="D34" s="475">
        <f>SUMIF('I kw.22'!AJ2:AJ1032,"3113*",'I kw.22'!F2:F1032)</f>
        <v>2</v>
      </c>
      <c r="E34" s="108">
        <v>2144</v>
      </c>
      <c r="F34" s="399" t="s">
        <v>3495</v>
      </c>
      <c r="G34" s="482">
        <f>SUMIF('I kw.22'!AJ2:AJ1032,"2144*",'I kw.22'!F2:F1032)</f>
        <v>15</v>
      </c>
      <c r="H34" s="122">
        <v>2162</v>
      </c>
      <c r="I34" s="11" t="s">
        <v>3508</v>
      </c>
      <c r="J34" s="475">
        <f>SUMIF('I kw.22'!AJ2:AJ1032,"2162*",'I kw.22'!F2:F1032)</f>
        <v>0</v>
      </c>
      <c r="K34" s="427">
        <v>52</v>
      </c>
      <c r="L34" s="103" t="s">
        <v>3541</v>
      </c>
      <c r="M34" s="107">
        <f>SUMIF('I kw.22'!AJ2:AJ1032,"52*",'I kw.22'!F2:F1032)</f>
        <v>50</v>
      </c>
      <c r="N34" s="127">
        <v>51</v>
      </c>
      <c r="O34" s="11" t="s">
        <v>3540</v>
      </c>
      <c r="P34" s="487">
        <f>SUMIF('I kw.22'!AJ2:AJ1032,"51*",'I kw.22'!F2:F1032)</f>
        <v>3</v>
      </c>
      <c r="Q34" s="37"/>
      <c r="S34" s="487">
        <f>SUM(S31:S33)</f>
        <v>16</v>
      </c>
      <c r="V34" s="317">
        <f>SUM(V31:V33)</f>
        <v>28</v>
      </c>
      <c r="W34" s="37"/>
      <c r="AA34" s="493" t="s">
        <v>16045</v>
      </c>
      <c r="AB34" s="16">
        <f>SUM(AB4:AB23,AB29:AB33)</f>
        <v>0</v>
      </c>
      <c r="AD34" s="20"/>
    </row>
    <row r="35" spans="2:30" x14ac:dyDescent="0.25">
      <c r="B35" s="121">
        <v>3114</v>
      </c>
      <c r="C35" s="11" t="s">
        <v>3521</v>
      </c>
      <c r="D35" s="475">
        <f>SUMIF('I kw.22'!AJ2:AJ1032,"3114*",'I kw.22'!F2:F1032)</f>
        <v>1</v>
      </c>
      <c r="E35" s="108">
        <v>2149</v>
      </c>
      <c r="F35" s="399" t="s">
        <v>3498</v>
      </c>
      <c r="G35" s="482">
        <f>SUMIF('I kw.22'!AJ2:AJ1032,"2149*",'I kw.22'!F2:F1032)</f>
        <v>12</v>
      </c>
      <c r="H35" s="108">
        <v>2164</v>
      </c>
      <c r="I35" s="11" t="s">
        <v>3585</v>
      </c>
      <c r="J35" s="475">
        <f>SUMIF('I kw.22'!AJ2:AJ1032,"2164*",'I kw.22'!F2:F1032)</f>
        <v>0</v>
      </c>
      <c r="K35" s="428">
        <v>83</v>
      </c>
      <c r="L35" s="11" t="s">
        <v>3564</v>
      </c>
      <c r="M35" s="487">
        <f>SUMIF('I kw.22'!AJ2:AJ1032,"83*",'I kw.22'!F2:F1032)</f>
        <v>15</v>
      </c>
      <c r="N35" s="120">
        <v>14</v>
      </c>
      <c r="O35" s="11" t="s">
        <v>3578</v>
      </c>
      <c r="P35" s="487">
        <f>SUMIF('I kw.22'!AJ2:AJ1032,"14*",'I kw.22'!F2:F1032)</f>
        <v>17</v>
      </c>
      <c r="Q35" s="37"/>
      <c r="T35" s="1" t="s">
        <v>0</v>
      </c>
      <c r="U35" s="94"/>
      <c r="V35" s="20"/>
      <c r="W35" s="37" t="s">
        <v>3574</v>
      </c>
      <c r="AA35" s="442" t="s">
        <v>16046</v>
      </c>
      <c r="AB35" s="12">
        <f>J17-COUNTA('I kw.22'!T2:T1032)</f>
        <v>4</v>
      </c>
    </row>
    <row r="36" spans="2:30" x14ac:dyDescent="0.25">
      <c r="B36" s="401">
        <v>3115</v>
      </c>
      <c r="C36" s="8" t="s">
        <v>3522</v>
      </c>
      <c r="D36" s="9">
        <f>SUMIF('I kw.22'!AJ2:AJ1032,"3115*",'I kw.22'!F2:F1032)</f>
        <v>7</v>
      </c>
      <c r="E36" s="389">
        <v>2149</v>
      </c>
      <c r="F36" s="11" t="s">
        <v>3499</v>
      </c>
      <c r="G36" s="483" t="s">
        <v>3573</v>
      </c>
      <c r="H36" s="122">
        <v>2165</v>
      </c>
      <c r="I36" s="11" t="s">
        <v>3509</v>
      </c>
      <c r="J36" s="475">
        <f>SUMIF('I kw.22'!AJ2:AJ1032,"2165*",'I kw.22'!F2:F1032)</f>
        <v>0</v>
      </c>
      <c r="K36" s="429">
        <v>12</v>
      </c>
      <c r="L36" s="11" t="s">
        <v>3576</v>
      </c>
      <c r="M36" s="487">
        <f>SUMIF('I kw.22'!AJ2:AJ1032,"12*",'I kw.22'!F2:F1032)</f>
        <v>24</v>
      </c>
      <c r="P36" s="487">
        <f>SUM(P31:P35)</f>
        <v>269</v>
      </c>
      <c r="Q36" s="37"/>
      <c r="T36" s="321"/>
      <c r="U36" s="320"/>
      <c r="V36" s="318"/>
      <c r="W36" s="470"/>
      <c r="X36" s="471"/>
      <c r="Y36" s="472"/>
      <c r="AA36" s="493" t="s">
        <v>7787</v>
      </c>
      <c r="AB36" s="299">
        <f>SUM(AB34:AB35)</f>
        <v>4</v>
      </c>
    </row>
    <row r="37" spans="2:30" x14ac:dyDescent="0.25">
      <c r="B37" s="401">
        <v>3116</v>
      </c>
      <c r="C37" s="8" t="s">
        <v>3523</v>
      </c>
      <c r="D37" s="9">
        <f>SUMIF('I kw.22'!AJ2:AJ1032,"3116*",'I kw.22'!F2:F1032)</f>
        <v>0</v>
      </c>
      <c r="E37" s="389">
        <v>2149</v>
      </c>
      <c r="F37" s="11" t="s">
        <v>3500</v>
      </c>
      <c r="G37" s="483" t="s">
        <v>3573</v>
      </c>
      <c r="H37" s="126">
        <v>3111</v>
      </c>
      <c r="I37" s="11" t="s">
        <v>3587</v>
      </c>
      <c r="J37" s="475">
        <f>SUMIF('I kw.22'!AJ2:AJ1032,"3111*",'I kw.22'!F2:F1032)</f>
        <v>1</v>
      </c>
      <c r="K37" s="89"/>
      <c r="L37" s="20"/>
      <c r="M37" s="487">
        <f>SUM(M31:M36)</f>
        <v>112</v>
      </c>
      <c r="Q37" s="37"/>
      <c r="T37" s="116">
        <v>41</v>
      </c>
      <c r="U37" s="11" t="s">
        <v>3592</v>
      </c>
      <c r="V37" s="316">
        <f>SUMIF('I kw.22'!AJ2:AJ1032,"41*",'I kw.22'!F2:F1032)</f>
        <v>6</v>
      </c>
      <c r="W37" s="120">
        <v>11</v>
      </c>
      <c r="X37" s="11" t="s">
        <v>3575</v>
      </c>
      <c r="Y37" s="473">
        <f>SUMIF('I kw.22'!AJ2:AJ1032,"11*",'I kw.22'!F2:F1032)</f>
        <v>10</v>
      </c>
      <c r="AA37" s="415" t="s">
        <v>7791</v>
      </c>
      <c r="AB37" s="445">
        <f>SUMPRODUCT(COUNTIF('I kw.22'!$T$2:$T$1032,"*"&amp;'17'!$AD$4&amp;"*"))</f>
        <v>0</v>
      </c>
    </row>
    <row r="38" spans="2:30" x14ac:dyDescent="0.25">
      <c r="B38" s="121">
        <v>3117</v>
      </c>
      <c r="C38" s="11" t="s">
        <v>3524</v>
      </c>
      <c r="D38" s="475">
        <f>SUMIF('I kw.22'!AJ2:AJ1032,"3117*",'I kw.22'!F2:F1032)</f>
        <v>1</v>
      </c>
      <c r="E38" s="389">
        <v>2149</v>
      </c>
      <c r="F38" s="11" t="s">
        <v>3501</v>
      </c>
      <c r="G38" s="483" t="s">
        <v>3573</v>
      </c>
      <c r="H38" s="126">
        <v>3112</v>
      </c>
      <c r="I38" s="399" t="s">
        <v>3519</v>
      </c>
      <c r="J38" s="475">
        <f>SUMIF('I kw.22'!AJ2:AJ1032,"3112*",'I kw.22'!F2:F1032)</f>
        <v>3</v>
      </c>
      <c r="K38" s="89"/>
      <c r="L38" s="20"/>
      <c r="M38" s="20"/>
      <c r="N38" s="100" t="s">
        <v>134</v>
      </c>
      <c r="O38" s="93"/>
      <c r="Q38" s="37"/>
      <c r="T38" s="116">
        <v>44</v>
      </c>
      <c r="U38" s="11" t="s">
        <v>3539</v>
      </c>
      <c r="V38" s="316">
        <f>SUMIF('I kw.22'!AJ2:AJ1032,"44*",'I kw.22'!F2:F1032)</f>
        <v>0</v>
      </c>
      <c r="W38" s="108">
        <v>2111</v>
      </c>
      <c r="X38" s="11" t="s">
        <v>3580</v>
      </c>
      <c r="Y38" s="473">
        <f>SUMIF('I kw.22'!AJ2:AJ1032,"2111*",'I kw.22'!F2:F1032)</f>
        <v>0</v>
      </c>
      <c r="AA38" s="442" t="s">
        <v>16047</v>
      </c>
      <c r="AB38" s="12">
        <f>SUM(AB37-AB34)</f>
        <v>0</v>
      </c>
      <c r="AC38" s="2">
        <v>10</v>
      </c>
    </row>
    <row r="39" spans="2:30" x14ac:dyDescent="0.25">
      <c r="B39" s="121">
        <v>3119</v>
      </c>
      <c r="C39" s="396" t="s">
        <v>3526</v>
      </c>
      <c r="D39" s="397">
        <f>SUMIF('I kw.22'!AJ2:AJ1032,"3119*",'I kw.22'!F2:F1032)</f>
        <v>8</v>
      </c>
      <c r="E39" s="389">
        <v>2149</v>
      </c>
      <c r="F39" s="11" t="s">
        <v>3502</v>
      </c>
      <c r="G39" s="483" t="s">
        <v>3573</v>
      </c>
      <c r="H39" s="126">
        <v>3118</v>
      </c>
      <c r="I39" s="11" t="s">
        <v>3525</v>
      </c>
      <c r="J39" s="475">
        <f>SUMIF('I kw.22'!AJ2:AJ1032,"3118*",'I kw.22'!F2:F1032)</f>
        <v>0</v>
      </c>
      <c r="K39" s="89"/>
      <c r="L39" s="20"/>
      <c r="M39" s="20"/>
      <c r="N39" s="489"/>
      <c r="O39" s="490"/>
      <c r="P39" s="486"/>
      <c r="Q39" s="37"/>
      <c r="T39" s="131">
        <v>7515</v>
      </c>
      <c r="U39" s="11" t="s">
        <v>3552</v>
      </c>
      <c r="V39" s="319">
        <f>SUMIF('I kw.22'!AJ2:AJ1032,"7515*",'I kw.22'!F2:F1032)</f>
        <v>0</v>
      </c>
      <c r="W39" s="108">
        <v>2112</v>
      </c>
      <c r="X39" s="11" t="s">
        <v>3581</v>
      </c>
      <c r="Y39" s="473">
        <f>SUMIF('I kw.22'!AJ2:AJ1032,"2112*",'I kw.22'!F2:F1032)</f>
        <v>0</v>
      </c>
      <c r="AA39" s="493" t="s">
        <v>7788</v>
      </c>
      <c r="AB39" s="299">
        <f>SUM(AB36,AB38)</f>
        <v>4</v>
      </c>
    </row>
    <row r="40" spans="2:30" x14ac:dyDescent="0.25">
      <c r="B40" s="121">
        <v>3121</v>
      </c>
      <c r="C40" s="11" t="s">
        <v>3527</v>
      </c>
      <c r="D40" s="475">
        <f>SUMIF('I kw.22'!AJ2:AJ1032,"3121*",'I kw.22'!F2:F1032)</f>
        <v>0</v>
      </c>
      <c r="E40" s="389">
        <v>2149</v>
      </c>
      <c r="F40" s="11" t="s">
        <v>3503</v>
      </c>
      <c r="G40" s="483" t="s">
        <v>3573</v>
      </c>
      <c r="H40" s="126">
        <v>3123</v>
      </c>
      <c r="I40" s="11" t="s">
        <v>3529</v>
      </c>
      <c r="J40" s="475">
        <f>SUMIF('I kw.22'!AJ2:AJ1032,"3123*",'I kw.22'!F2:F1032)</f>
        <v>0</v>
      </c>
      <c r="K40" s="89"/>
      <c r="L40" s="20"/>
      <c r="N40" s="131">
        <v>7512</v>
      </c>
      <c r="O40" s="11" t="s">
        <v>3549</v>
      </c>
      <c r="P40" s="487">
        <f>SUMIF('I kw.22'!AJ2:AJ1032,"7512*",'I kw.22'!F2:F1032)</f>
        <v>0</v>
      </c>
      <c r="Q40" s="37"/>
      <c r="T40" s="37"/>
      <c r="V40" s="317">
        <f>SUM(V37:V39)</f>
        <v>6</v>
      </c>
      <c r="W40" s="108">
        <v>2114</v>
      </c>
      <c r="X40" s="11" t="s">
        <v>3582</v>
      </c>
      <c r="Y40" s="473">
        <f>SUMIF('I kw.22'!AJ2:AJ1032,"2114*",'I kw.22'!F2:F1032)</f>
        <v>0</v>
      </c>
    </row>
    <row r="41" spans="2:30" x14ac:dyDescent="0.25">
      <c r="B41" s="121">
        <v>3122</v>
      </c>
      <c r="C41" s="11" t="s">
        <v>3528</v>
      </c>
      <c r="D41" s="475">
        <f>SUMIF('I kw.22'!AJ2:AJ1032,"3122*",'I kw.22'!F2:F1032)</f>
        <v>1</v>
      </c>
      <c r="E41" s="108">
        <v>2151</v>
      </c>
      <c r="F41" s="11" t="s">
        <v>3504</v>
      </c>
      <c r="G41" s="475">
        <f>SUMIF('I kw.22'!AJ2:AJ1032,"2151*",'I kw.22'!F2:F1032)</f>
        <v>4</v>
      </c>
      <c r="H41" s="129">
        <v>71</v>
      </c>
      <c r="I41" s="399" t="s">
        <v>3544</v>
      </c>
      <c r="J41" s="475">
        <f>SUMIF('I kw.22'!AJ2:AJ1032,"71*",'I kw.22'!F2:F1032)</f>
        <v>9</v>
      </c>
      <c r="K41" s="89"/>
      <c r="L41" s="20"/>
      <c r="M41" s="20"/>
      <c r="P41" s="487">
        <f>SUM(P40)</f>
        <v>0</v>
      </c>
      <c r="Q41" s="37"/>
      <c r="T41" s="37"/>
      <c r="W41" s="108">
        <v>2120</v>
      </c>
      <c r="X41" s="11" t="s">
        <v>3583</v>
      </c>
      <c r="Y41" s="473">
        <f>SUMIF('I kw.22'!AJ2:AJ1032,"2120*",'I kw.22'!F2:F1032)</f>
        <v>0</v>
      </c>
    </row>
    <row r="42" spans="2:30" x14ac:dyDescent="0.25">
      <c r="B42" s="416">
        <v>313</v>
      </c>
      <c r="C42" s="391" t="s">
        <v>3530</v>
      </c>
      <c r="D42" s="390">
        <f>SUMIF('I kw.22'!AJ2:AJ1032,"313*",'I kw.22'!F2:F1032)</f>
        <v>16</v>
      </c>
      <c r="E42" s="108">
        <v>2152</v>
      </c>
      <c r="F42" s="11" t="s">
        <v>3505</v>
      </c>
      <c r="G42" s="475">
        <f>SUMIF('I kw.22'!AJ2:AJ1032,"2152*",'I kw.22'!F2:F1032)</f>
        <v>8</v>
      </c>
      <c r="H42" s="132">
        <v>7521</v>
      </c>
      <c r="I42" s="11" t="s">
        <v>3553</v>
      </c>
      <c r="J42" s="475">
        <f>SUMIF('I kw.22'!AJ2:AJ1032,"7521*",'I kw.22'!F2:F1032)</f>
        <v>0</v>
      </c>
      <c r="K42" s="89"/>
      <c r="L42" s="20"/>
      <c r="M42" s="20"/>
      <c r="N42" s="94" t="s">
        <v>154</v>
      </c>
      <c r="O42" s="94"/>
      <c r="P42" s="18"/>
      <c r="T42" s="37"/>
      <c r="W42" s="119">
        <v>0</v>
      </c>
      <c r="X42" s="11" t="s">
        <v>3586</v>
      </c>
      <c r="Y42" s="473">
        <f>SUMIF('I kw.22'!AJ2:AJ1032,"0*",'I kw.22'!F2:F1032)</f>
        <v>0</v>
      </c>
    </row>
    <row r="43" spans="2:30" x14ac:dyDescent="0.25">
      <c r="B43" s="401">
        <v>314</v>
      </c>
      <c r="C43" s="8" t="s">
        <v>3531</v>
      </c>
      <c r="D43" s="9">
        <f>SUMIF('I kw.22'!AJ2:AJ1032,"314*",'I kw.22'!F2:F1032)</f>
        <v>1</v>
      </c>
      <c r="E43" s="108">
        <v>2153</v>
      </c>
      <c r="F43" s="11" t="s">
        <v>3506</v>
      </c>
      <c r="G43" s="475">
        <f>SUMIF('I kw.22'!AJ2:AJ1032,"2153*",'I kw.22'!F2:F1032)</f>
        <v>1</v>
      </c>
      <c r="H43" s="132">
        <v>7522</v>
      </c>
      <c r="I43" s="11" t="s">
        <v>3554</v>
      </c>
      <c r="J43" s="475">
        <f>SUMIF('I kw.22'!AJ2:AJ1032,"7522*",'I kw.22'!F2:F1032)</f>
        <v>0</v>
      </c>
      <c r="K43" s="89"/>
      <c r="L43" s="20"/>
      <c r="M43" s="20"/>
      <c r="N43" s="489"/>
      <c r="O43" s="490"/>
      <c r="P43" s="486"/>
      <c r="Y43" s="473">
        <f>SUM(Y37:Y42)</f>
        <v>10</v>
      </c>
    </row>
    <row r="44" spans="2:30" x14ac:dyDescent="0.25">
      <c r="B44" s="125">
        <v>35</v>
      </c>
      <c r="C44" s="391" t="s">
        <v>3536</v>
      </c>
      <c r="D44" s="390">
        <f>SUMIF('I kw.22'!AJ2:AJ1032,"35*",'I kw.22'!F2:F1032)</f>
        <v>14</v>
      </c>
      <c r="E44" s="118">
        <v>25</v>
      </c>
      <c r="F44" s="446" t="s">
        <v>3513</v>
      </c>
      <c r="G44" s="507">
        <f>SUMIF('I kw.22'!AJ2:AJ1032,"25*",'I kw.22'!F2:F1032)</f>
        <v>133</v>
      </c>
      <c r="J44" s="484">
        <f>SUM(J31:J43)</f>
        <v>27</v>
      </c>
      <c r="K44" s="89"/>
      <c r="L44" s="20"/>
      <c r="M44" s="20"/>
      <c r="N44" s="131">
        <v>753</v>
      </c>
      <c r="O44" s="11" t="s">
        <v>3556</v>
      </c>
      <c r="P44" s="487">
        <f>SUMIF('I kw.22'!AJ2:AJ1032,"753*",'I kw.22'!F2:F1032)</f>
        <v>0</v>
      </c>
    </row>
    <row r="45" spans="2:30" x14ac:dyDescent="0.25">
      <c r="B45" s="119">
        <v>6</v>
      </c>
      <c r="C45" s="11" t="s">
        <v>3543</v>
      </c>
      <c r="D45" s="475">
        <f>SUMIF('I kw.22'!AJ2:AJ1032,"6*",'I kw.22'!F2:F1032)</f>
        <v>0</v>
      </c>
      <c r="E45" s="130">
        <v>74</v>
      </c>
      <c r="F45" s="11" t="s">
        <v>3547</v>
      </c>
      <c r="G45" s="475">
        <f>SUMIF('I kw.22'!AJ2:AJ1032,"74*",'I kw.22'!F2:F1032)</f>
        <v>12</v>
      </c>
      <c r="H45" s="89"/>
      <c r="I45" s="20"/>
      <c r="K45" s="20"/>
      <c r="L45" s="20"/>
      <c r="M45" s="20"/>
      <c r="N45" s="131">
        <v>7541</v>
      </c>
      <c r="O45" s="11" t="s">
        <v>3557</v>
      </c>
      <c r="P45" s="487">
        <f>SUMIF('I kw.22'!AJ2:AJ1032,"7541*",'I kw.22'!F2:F1032)</f>
        <v>0</v>
      </c>
    </row>
    <row r="46" spans="2:30" x14ac:dyDescent="0.25">
      <c r="B46" s="130">
        <v>72</v>
      </c>
      <c r="C46" s="396" t="s">
        <v>3545</v>
      </c>
      <c r="D46" s="397">
        <f>SUMIF('I kw.22'!AJ2:AJ1032,"72*",'I kw.22'!F2:F1032)</f>
        <v>13</v>
      </c>
      <c r="G46" s="481">
        <f>SUM(G31:G45)</f>
        <v>187</v>
      </c>
      <c r="N46" s="127">
        <v>54</v>
      </c>
      <c r="O46" s="11" t="s">
        <v>3588</v>
      </c>
      <c r="P46" s="487">
        <f>SUMIF('I kw.22'!AJ2:AJ1032,"54*",'I kw.22'!F2:F1032)</f>
        <v>0</v>
      </c>
    </row>
    <row r="47" spans="2:30" x14ac:dyDescent="0.25">
      <c r="B47" s="130">
        <v>73</v>
      </c>
      <c r="C47" s="11" t="s">
        <v>3546</v>
      </c>
      <c r="D47" s="475">
        <f>SUMIF('I kw.22'!AJ2:AJ1032,"73*",'I kw.22'!F2:F1032)</f>
        <v>1</v>
      </c>
      <c r="P47" s="487">
        <f>SUM(P44:P46)</f>
        <v>0</v>
      </c>
    </row>
    <row r="48" spans="2:30" x14ac:dyDescent="0.25">
      <c r="B48" s="131">
        <v>7511</v>
      </c>
      <c r="C48" s="11" t="s">
        <v>3548</v>
      </c>
      <c r="D48" s="475">
        <f>SUMIF('I kw.22'!AJ2:AJ1032,"7511*",'I kw.22'!F2:F1032)</f>
        <v>0</v>
      </c>
      <c r="T48" s="37"/>
    </row>
    <row r="49" spans="1:20" x14ac:dyDescent="0.25">
      <c r="B49" s="131">
        <v>7513</v>
      </c>
      <c r="C49" s="11" t="s">
        <v>3550</v>
      </c>
      <c r="D49" s="475">
        <f>SUMIF('I kw.22'!AJ2:AJ1032,"7513*",'I kw.22'!F2:F1032)</f>
        <v>0</v>
      </c>
      <c r="T49" s="37"/>
    </row>
    <row r="50" spans="1:20" x14ac:dyDescent="0.25">
      <c r="B50" s="131">
        <v>7514</v>
      </c>
      <c r="C50" s="11" t="s">
        <v>3551</v>
      </c>
      <c r="D50" s="475">
        <f>SUMIF('I kw.22'!AJ2:AJ1032,"7514*",'I kw.22'!F2:F1032)</f>
        <v>0</v>
      </c>
      <c r="T50" s="37"/>
    </row>
    <row r="51" spans="1:20" x14ac:dyDescent="0.25">
      <c r="B51" s="131">
        <v>7523</v>
      </c>
      <c r="C51" s="11" t="s">
        <v>3555</v>
      </c>
      <c r="D51" s="475">
        <f>SUMIF('I kw.22'!AJ2:AJ1032,"7523*",'I kw.22'!F2:F1032)</f>
        <v>0</v>
      </c>
      <c r="T51" s="37"/>
    </row>
    <row r="52" spans="1:20" x14ac:dyDescent="0.25">
      <c r="B52" s="131">
        <v>7542</v>
      </c>
      <c r="C52" s="11" t="s">
        <v>3558</v>
      </c>
      <c r="D52" s="475">
        <f>SUMIF('I kw.22'!AJ2:AJ1032,"7542*",'I kw.22'!F2:F1032)</f>
        <v>0</v>
      </c>
      <c r="T52" s="37"/>
    </row>
    <row r="53" spans="1:20" x14ac:dyDescent="0.25">
      <c r="B53" s="131">
        <v>7543</v>
      </c>
      <c r="C53" s="11" t="s">
        <v>3559</v>
      </c>
      <c r="D53" s="475">
        <f>SUMIF('I kw.22'!AJ2:AJ1032,"7543*",'I kw.22'!F2:F1032)</f>
        <v>0</v>
      </c>
    </row>
    <row r="54" spans="1:20" x14ac:dyDescent="0.25">
      <c r="B54" s="131">
        <v>7544</v>
      </c>
      <c r="C54" s="11" t="s">
        <v>3560</v>
      </c>
      <c r="D54" s="475">
        <f>SUMIF('I kw.22'!AJ2:AJ1032,"7544*",'I kw.22'!F2:F1032)</f>
        <v>0</v>
      </c>
    </row>
    <row r="55" spans="1:20" x14ac:dyDescent="0.25">
      <c r="B55" s="134">
        <v>81</v>
      </c>
      <c r="C55" s="11" t="s">
        <v>3562</v>
      </c>
      <c r="D55" s="475">
        <f>SUMIF('I kw.22'!AJ2:AJ1032,"81*",'I kw.22'!F2:F1032)</f>
        <v>3</v>
      </c>
    </row>
    <row r="56" spans="1:20" x14ac:dyDescent="0.25">
      <c r="B56" s="134">
        <v>82</v>
      </c>
      <c r="C56" s="11" t="s">
        <v>3563</v>
      </c>
      <c r="D56" s="475">
        <f>SUMIF('I kw.22'!AJ2:AJ1032,"82*",'I kw.22'!F2:F1032)</f>
        <v>3</v>
      </c>
    </row>
    <row r="57" spans="1:20" x14ac:dyDescent="0.25">
      <c r="B57" s="120">
        <v>13</v>
      </c>
      <c r="C57" s="396" t="s">
        <v>3577</v>
      </c>
      <c r="D57" s="397">
        <f>SUMIF('I kw.22'!AJ2:AJ1032,"13*",'I kw.22'!F2:F1032)</f>
        <v>25</v>
      </c>
    </row>
    <row r="58" spans="1:20" x14ac:dyDescent="0.25">
      <c r="B58" s="108">
        <v>2163</v>
      </c>
      <c r="C58" s="396" t="s">
        <v>3579</v>
      </c>
      <c r="D58" s="397">
        <f>SUMIF('I kw.22'!AJ2:AJ1032,"2163*",'I kw.22'!F2:F1032)</f>
        <v>1</v>
      </c>
    </row>
    <row r="59" spans="1:20" ht="45" x14ac:dyDescent="0.25">
      <c r="B59" s="108">
        <v>2133</v>
      </c>
      <c r="C59" s="11" t="s">
        <v>3584</v>
      </c>
      <c r="D59" s="475">
        <f>SUMIF('I kw.22'!AJ2:AJ1032,"2133*",'I kw.22'!F2:F1032)</f>
        <v>4</v>
      </c>
      <c r="L59" s="467"/>
      <c r="M59" s="468" t="s">
        <v>17634</v>
      </c>
      <c r="N59" s="469" t="s">
        <v>4476</v>
      </c>
    </row>
    <row r="60" spans="1:20" x14ac:dyDescent="0.25">
      <c r="B60" s="37"/>
      <c r="D60" s="481">
        <f>SUM(D31:D59)</f>
        <v>107</v>
      </c>
      <c r="L60" s="395" t="s">
        <v>7792</v>
      </c>
      <c r="M60" s="313">
        <v>86</v>
      </c>
      <c r="N60" s="313">
        <v>122</v>
      </c>
    </row>
    <row r="61" spans="1:20" x14ac:dyDescent="0.25">
      <c r="L61" s="395" t="s">
        <v>7793</v>
      </c>
      <c r="M61" s="313">
        <v>377</v>
      </c>
      <c r="N61" s="313">
        <v>410</v>
      </c>
    </row>
    <row r="62" spans="1:20" x14ac:dyDescent="0.25">
      <c r="B62" s="1" t="s">
        <v>6926</v>
      </c>
      <c r="L62" s="395" t="s">
        <v>7794</v>
      </c>
      <c r="M62" s="313">
        <v>180</v>
      </c>
      <c r="N62" s="313">
        <v>231</v>
      </c>
    </row>
    <row r="63" spans="1:20" x14ac:dyDescent="0.25">
      <c r="B63" s="282" t="s">
        <v>6927</v>
      </c>
      <c r="C63" s="338" t="s">
        <v>3465</v>
      </c>
      <c r="L63" s="395" t="s">
        <v>7792</v>
      </c>
      <c r="M63" s="313">
        <v>361</v>
      </c>
      <c r="N63" s="313">
        <v>378</v>
      </c>
    </row>
    <row r="64" spans="1:20" x14ac:dyDescent="0.25">
      <c r="A64" s="3">
        <v>1</v>
      </c>
      <c r="B64" s="282">
        <v>1801</v>
      </c>
      <c r="C64" s="339">
        <f>SUMIF('I kw.22'!T2:T1032,"1801",'I kw.22'!F2:F1032)</f>
        <v>0</v>
      </c>
      <c r="L64" s="465" t="s">
        <v>7796</v>
      </c>
      <c r="M64" s="466">
        <v>249</v>
      </c>
      <c r="N64" s="466">
        <v>258</v>
      </c>
    </row>
    <row r="65" spans="1:14" x14ac:dyDescent="0.25">
      <c r="A65" s="3">
        <v>2</v>
      </c>
      <c r="B65" s="282">
        <v>1802</v>
      </c>
      <c r="C65" s="339">
        <f>SUMIF('I kw.22'!T2:T1032,"1802",'I kw.22'!F2:F1032)</f>
        <v>0</v>
      </c>
      <c r="L65" s="465" t="s">
        <v>7797</v>
      </c>
      <c r="M65" s="466">
        <v>173</v>
      </c>
      <c r="N65" s="466">
        <v>197</v>
      </c>
    </row>
    <row r="66" spans="1:14" x14ac:dyDescent="0.25">
      <c r="A66" s="3">
        <v>3</v>
      </c>
      <c r="B66" s="282">
        <v>1803</v>
      </c>
      <c r="C66" s="339">
        <f>SUMIF('I kw.22'!T2:T1032,"1803",'I kw.22'!F2:F1032)</f>
        <v>0</v>
      </c>
      <c r="L66" s="465" t="s">
        <v>7798</v>
      </c>
      <c r="M66" s="466">
        <v>97</v>
      </c>
      <c r="N66" s="466">
        <v>97</v>
      </c>
    </row>
    <row r="67" spans="1:14" x14ac:dyDescent="0.25">
      <c r="A67" s="3">
        <v>4</v>
      </c>
      <c r="B67" s="282">
        <v>1804</v>
      </c>
      <c r="C67" s="339">
        <f>SUMIF('I kw.22'!T2:T1032,"1804",'I kw.22'!F2:F1032)</f>
        <v>0</v>
      </c>
      <c r="L67" s="467" t="s">
        <v>7796</v>
      </c>
      <c r="M67" s="466">
        <v>224</v>
      </c>
      <c r="N67" s="466">
        <v>224</v>
      </c>
    </row>
    <row r="68" spans="1:14" x14ac:dyDescent="0.25">
      <c r="A68" s="3">
        <v>5</v>
      </c>
      <c r="B68" s="282">
        <v>1805</v>
      </c>
      <c r="C68" s="339">
        <f>SUMIF('I kw.22'!T2:T1032,"1805",'I kw.22'!F2:F1032)</f>
        <v>0</v>
      </c>
      <c r="L68" s="329" t="s">
        <v>8302</v>
      </c>
      <c r="M68" s="96">
        <v>156</v>
      </c>
      <c r="N68" s="96">
        <v>165</v>
      </c>
    </row>
    <row r="69" spans="1:14" x14ac:dyDescent="0.25">
      <c r="A69" s="3">
        <v>6</v>
      </c>
      <c r="B69" s="282">
        <v>1806</v>
      </c>
      <c r="C69" s="339">
        <f>SUMIF('I kw.22'!T2:T1032,"1806",'I kw.22'!F2:F1032)</f>
        <v>0</v>
      </c>
      <c r="L69" s="329" t="s">
        <v>9296</v>
      </c>
      <c r="M69" s="96">
        <v>237</v>
      </c>
      <c r="N69" s="96">
        <v>242</v>
      </c>
    </row>
    <row r="70" spans="1:14" x14ac:dyDescent="0.25">
      <c r="A70" s="3">
        <v>7</v>
      </c>
      <c r="B70" s="282">
        <v>1807</v>
      </c>
      <c r="C70" s="339">
        <f>SUMIF('I kw.22'!T2:T1032,"1807",'I kw.22'!F2:F1032)</f>
        <v>0</v>
      </c>
      <c r="L70" s="329" t="s">
        <v>13095</v>
      </c>
      <c r="M70" s="96">
        <v>1022</v>
      </c>
      <c r="N70" s="96">
        <v>1030</v>
      </c>
    </row>
    <row r="71" spans="1:14" x14ac:dyDescent="0.25">
      <c r="A71" s="3">
        <v>8</v>
      </c>
      <c r="B71" s="282">
        <v>1808</v>
      </c>
      <c r="C71" s="339">
        <f>SUMIF('I kw.22'!T2:T1032,"1808",'I kw.22'!F2:F1032)</f>
        <v>0</v>
      </c>
      <c r="L71" s="329" t="s">
        <v>8302</v>
      </c>
      <c r="M71" s="96">
        <v>701</v>
      </c>
      <c r="N71" s="96">
        <v>704</v>
      </c>
    </row>
    <row r="72" spans="1:14" x14ac:dyDescent="0.25">
      <c r="A72" s="3">
        <v>9</v>
      </c>
      <c r="B72" s="282">
        <v>1809</v>
      </c>
      <c r="C72" s="339">
        <f>SUMIF('I kw.22'!T2:T1032,"1809",'I kw.22'!F2:F1032)</f>
        <v>0</v>
      </c>
      <c r="L72" s="502" t="s">
        <v>17633</v>
      </c>
      <c r="M72" s="503">
        <v>769</v>
      </c>
      <c r="N72" s="503">
        <v>773</v>
      </c>
    </row>
    <row r="73" spans="1:14" x14ac:dyDescent="0.25">
      <c r="A73" s="3">
        <v>10</v>
      </c>
      <c r="B73" s="282">
        <v>1810</v>
      </c>
      <c r="C73" s="339">
        <f>SUMIF('I kw.22'!T2:T1032,"1810",'I kw.22'!F2:F1032)</f>
        <v>0</v>
      </c>
      <c r="L73" s="502"/>
      <c r="M73" s="502"/>
      <c r="N73" s="502"/>
    </row>
    <row r="74" spans="1:14" x14ac:dyDescent="0.25">
      <c r="A74" s="3">
        <v>11</v>
      </c>
      <c r="B74" s="340">
        <v>1811</v>
      </c>
      <c r="C74" s="341">
        <f>SUMIF('I kw.22'!T2:T1032,"1811",'I kw.22'!F2:F1032)</f>
        <v>0</v>
      </c>
      <c r="L74" s="502"/>
      <c r="M74" s="502"/>
      <c r="N74" s="502"/>
    </row>
    <row r="75" spans="1:14" x14ac:dyDescent="0.25">
      <c r="A75" s="3">
        <v>12</v>
      </c>
      <c r="B75" s="282">
        <v>1812</v>
      </c>
      <c r="C75" s="339">
        <f>SUMIF('I kw.22'!T2:T1032,"1812",'I kw.22'!F2:F1032)</f>
        <v>0</v>
      </c>
      <c r="L75" s="502"/>
      <c r="M75" s="502"/>
      <c r="N75" s="502"/>
    </row>
    <row r="76" spans="1:14" x14ac:dyDescent="0.25">
      <c r="A76" s="3">
        <v>13</v>
      </c>
      <c r="B76" s="282">
        <v>1813</v>
      </c>
      <c r="C76" s="339">
        <f>SUMIF('I kw.22'!T2:T1032,"1813",'I kw.22'!F2:F1032)</f>
        <v>0</v>
      </c>
    </row>
    <row r="77" spans="1:14" x14ac:dyDescent="0.25">
      <c r="A77" s="3">
        <v>14</v>
      </c>
      <c r="B77" s="282">
        <v>1814</v>
      </c>
      <c r="C77" s="339">
        <f>SUMIF('I kw.22'!T2:T1032,"1814",'I kw.22'!F2:F1032)</f>
        <v>0</v>
      </c>
    </row>
    <row r="78" spans="1:14" x14ac:dyDescent="0.25">
      <c r="A78" s="3">
        <v>15</v>
      </c>
      <c r="B78" s="282">
        <v>1815</v>
      </c>
      <c r="C78" s="339">
        <f>SUMIF('I kw.22'!T2:T1032,"1815",'I kw.22'!F2:F1032)</f>
        <v>0</v>
      </c>
    </row>
    <row r="79" spans="1:14" x14ac:dyDescent="0.25">
      <c r="A79" s="3">
        <v>16</v>
      </c>
      <c r="B79" s="340">
        <v>1816</v>
      </c>
      <c r="C79" s="341">
        <f>SUMIF('I kw.22'!T2:T1032,"1816",'I kw.22'!F2:F1032)</f>
        <v>0</v>
      </c>
    </row>
    <row r="80" spans="1:14" x14ac:dyDescent="0.25">
      <c r="A80" s="3">
        <v>17</v>
      </c>
      <c r="B80" s="282">
        <v>1817</v>
      </c>
      <c r="C80" s="339">
        <f>SUMIF('I kw.22'!T2:T1032,"1817",'I kw.22'!F2:F1032)</f>
        <v>0</v>
      </c>
    </row>
    <row r="81" spans="1:3" x14ac:dyDescent="0.25">
      <c r="A81" s="3">
        <v>18</v>
      </c>
      <c r="B81" s="282">
        <v>1818</v>
      </c>
      <c r="C81" s="339">
        <f>SUMIF('I kw.22'!T2:T1032,"1818",'I kw.22'!F2:F1032)</f>
        <v>0</v>
      </c>
    </row>
    <row r="82" spans="1:3" x14ac:dyDescent="0.25">
      <c r="A82" s="3">
        <v>19</v>
      </c>
      <c r="B82" s="282">
        <v>1819</v>
      </c>
      <c r="C82" s="339">
        <f>SUMIF('I kw.22'!T2:T1032,"1819",'I kw.22'!F2:F1032)</f>
        <v>0</v>
      </c>
    </row>
    <row r="83" spans="1:3" x14ac:dyDescent="0.25">
      <c r="A83" s="3">
        <v>20</v>
      </c>
      <c r="B83" s="282">
        <v>1820</v>
      </c>
      <c r="C83" s="339">
        <f>SUMIF('I kw.22'!T2:T1032,"1820",'I kw.22'!F2:F1032)</f>
        <v>0</v>
      </c>
    </row>
    <row r="84" spans="1:3" x14ac:dyDescent="0.25">
      <c r="A84" s="3">
        <v>21</v>
      </c>
      <c r="B84" s="282">
        <v>1821</v>
      </c>
      <c r="C84" s="339">
        <f>SUMIF('I kw.22'!T2:T1032,"1821",'I kw.22'!F2:F1032)</f>
        <v>0</v>
      </c>
    </row>
    <row r="85" spans="1:3" x14ac:dyDescent="0.25">
      <c r="A85" s="3">
        <v>22</v>
      </c>
      <c r="B85" s="282">
        <v>1861</v>
      </c>
      <c r="C85" s="339">
        <f>SUMIF('I kw.22'!T2:T1032,"1861",'I kw.22'!F2:F1032)</f>
        <v>0</v>
      </c>
    </row>
    <row r="86" spans="1:3" x14ac:dyDescent="0.25">
      <c r="A86" s="3">
        <v>23</v>
      </c>
      <c r="B86" s="282">
        <v>1862</v>
      </c>
      <c r="C86" s="339">
        <f>SUMIF('I kw.22'!T2:T1032,"1862",'I kw.22'!F2:F1032)</f>
        <v>0</v>
      </c>
    </row>
    <row r="87" spans="1:3" x14ac:dyDescent="0.25">
      <c r="A87" s="3">
        <v>24</v>
      </c>
      <c r="B87" s="340">
        <v>1863</v>
      </c>
      <c r="C87" s="341">
        <f>SUMIF('I kw.22'!T2:T1032,"1863",'I kw.22'!F2:F1032)</f>
        <v>0</v>
      </c>
    </row>
    <row r="88" spans="1:3" x14ac:dyDescent="0.25">
      <c r="A88" s="3">
        <v>25</v>
      </c>
      <c r="B88" s="282">
        <v>1864</v>
      </c>
      <c r="C88" s="339">
        <f>SUMIF('I kw.22'!T2:T1032,"1864",'I kw.22'!F2:F1032)</f>
        <v>0</v>
      </c>
    </row>
    <row r="89" spans="1:3" x14ac:dyDescent="0.25">
      <c r="B89" s="403">
        <v>1800</v>
      </c>
      <c r="C89" s="404">
        <f>SUM(C64:C88)</f>
        <v>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EXACT(E4,P15)</f>
        <v>1</v>
      </c>
    </row>
    <row r="2" spans="2:24" ht="45" x14ac:dyDescent="0.25">
      <c r="B2" s="63" t="s">
        <v>171</v>
      </c>
      <c r="C2" s="63" t="s">
        <v>172</v>
      </c>
      <c r="D2" s="63" t="s">
        <v>3468</v>
      </c>
      <c r="E2" s="63" t="s">
        <v>3483</v>
      </c>
      <c r="F2" s="63" t="s">
        <v>3467</v>
      </c>
      <c r="H2" s="151" t="s">
        <v>3462</v>
      </c>
      <c r="I2" s="151" t="s">
        <v>3465</v>
      </c>
      <c r="J2" s="151" t="s">
        <v>3514</v>
      </c>
    </row>
    <row r="3" spans="2:24" x14ac:dyDescent="0.25">
      <c r="B3" s="12" t="s">
        <v>3515</v>
      </c>
      <c r="C3" s="17" t="s">
        <v>3460</v>
      </c>
      <c r="D3" s="26">
        <v>563</v>
      </c>
      <c r="E3" s="26">
        <v>523</v>
      </c>
      <c r="F3" s="12"/>
      <c r="H3" s="11" t="s">
        <v>3463</v>
      </c>
      <c r="I3" s="12">
        <f>COUNTIF(Ip.17!E2:E700,"praca")</f>
        <v>69</v>
      </c>
      <c r="J3" s="12" t="s">
        <v>3515</v>
      </c>
      <c r="N3" s="12">
        <v>1</v>
      </c>
      <c r="O3" s="11" t="s">
        <v>170</v>
      </c>
      <c r="P3" s="12">
        <f>SUM(D47)</f>
        <v>73</v>
      </c>
    </row>
    <row r="4" spans="2:24" x14ac:dyDescent="0.25">
      <c r="B4" s="107" t="s">
        <v>3516</v>
      </c>
      <c r="C4" s="106" t="s">
        <v>3459</v>
      </c>
      <c r="D4" s="105">
        <v>466</v>
      </c>
      <c r="E4" s="105">
        <v>477</v>
      </c>
      <c r="F4" s="107" t="s">
        <v>13060</v>
      </c>
      <c r="H4" s="11" t="s">
        <v>192</v>
      </c>
      <c r="I4" s="12">
        <f>COUNTIF(Ip.17!E2:E700,"pracuj.pl")</f>
        <v>263</v>
      </c>
      <c r="J4" s="12" t="s">
        <v>3516</v>
      </c>
      <c r="N4" s="12">
        <v>2</v>
      </c>
      <c r="O4" s="11" t="s">
        <v>2</v>
      </c>
      <c r="P4" s="12">
        <f>SUM(G33)</f>
        <v>41</v>
      </c>
    </row>
    <row r="5" spans="2:24" x14ac:dyDescent="0.25">
      <c r="B5" s="12" t="s">
        <v>3517</v>
      </c>
      <c r="C5" s="17" t="s">
        <v>3458</v>
      </c>
      <c r="D5" s="26">
        <v>365</v>
      </c>
      <c r="E5" s="26">
        <v>386</v>
      </c>
      <c r="F5" s="12"/>
      <c r="H5" s="11" t="s">
        <v>217</v>
      </c>
      <c r="I5" s="12">
        <f>COUNTIF(Ip.17!E2:E700,"agora")</f>
        <v>49</v>
      </c>
      <c r="J5" s="12" t="s">
        <v>3517</v>
      </c>
      <c r="N5" s="12">
        <v>3</v>
      </c>
      <c r="O5" s="11" t="s">
        <v>3</v>
      </c>
      <c r="P5" s="12">
        <f>SUM(J31)</f>
        <v>9</v>
      </c>
    </row>
    <row r="6" spans="2:24" x14ac:dyDescent="0.25">
      <c r="B6" s="12" t="s">
        <v>3518</v>
      </c>
      <c r="C6" s="17" t="s">
        <v>3457</v>
      </c>
      <c r="D6" s="26">
        <v>461</v>
      </c>
      <c r="E6" s="26">
        <v>444</v>
      </c>
      <c r="F6" s="12"/>
      <c r="H6" s="11" t="s">
        <v>3464</v>
      </c>
      <c r="I6" s="12">
        <f>COUNTIF(Ip.17!E2:E700,"gratka")</f>
        <v>85</v>
      </c>
      <c r="J6" s="12" t="s">
        <v>3518</v>
      </c>
      <c r="N6" s="12">
        <v>4</v>
      </c>
      <c r="O6" s="11" t="s">
        <v>3589</v>
      </c>
      <c r="P6" s="12">
        <f>SUM(M24)</f>
        <v>104</v>
      </c>
    </row>
    <row r="7" spans="2:24" x14ac:dyDescent="0.25">
      <c r="B7" s="12" t="s">
        <v>13071</v>
      </c>
      <c r="C7" s="17" t="s">
        <v>173</v>
      </c>
      <c r="D7" s="26">
        <v>720</v>
      </c>
      <c r="E7" s="26">
        <v>704</v>
      </c>
      <c r="F7" s="12"/>
      <c r="H7" s="184"/>
      <c r="I7" s="183">
        <f>SUM(I3:I6)</f>
        <v>466</v>
      </c>
      <c r="J7" s="184"/>
      <c r="N7" s="12">
        <v>5</v>
      </c>
      <c r="O7" s="11" t="s">
        <v>13096</v>
      </c>
      <c r="P7" s="12">
        <f>SUM(P23)</f>
        <v>211</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123</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321</v>
      </c>
      <c r="N10" s="12">
        <v>8</v>
      </c>
      <c r="O10" s="11" t="s">
        <v>4</v>
      </c>
      <c r="P10" s="12">
        <f>SUM(S21)</f>
        <v>6</v>
      </c>
    </row>
    <row r="11" spans="2:24" x14ac:dyDescent="0.25">
      <c r="B11" s="12">
        <v>3</v>
      </c>
      <c r="C11" s="17" t="s">
        <v>3481</v>
      </c>
      <c r="D11" s="12">
        <v>180</v>
      </c>
      <c r="E11" s="12">
        <v>231</v>
      </c>
      <c r="F11" s="12"/>
      <c r="H11" s="11" t="s">
        <v>3471</v>
      </c>
      <c r="I11" s="11" t="s">
        <v>3567</v>
      </c>
      <c r="J11" s="12">
        <f>SUM(V21,V27)</f>
        <v>18</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3</v>
      </c>
    </row>
    <row r="13" spans="2:24" x14ac:dyDescent="0.25">
      <c r="B13" s="12" t="s">
        <v>13073</v>
      </c>
      <c r="C13" s="17" t="s">
        <v>3487</v>
      </c>
      <c r="D13" s="26">
        <f>SUM(D11:D12)</f>
        <v>541</v>
      </c>
      <c r="E13" s="26">
        <f>SUM(E11:E12)</f>
        <v>609</v>
      </c>
      <c r="F13" s="12"/>
      <c r="H13" s="11" t="s">
        <v>3473</v>
      </c>
      <c r="I13" s="11" t="s">
        <v>3574</v>
      </c>
      <c r="J13" s="12">
        <f>SUM(Y30)</f>
        <v>10</v>
      </c>
      <c r="N13" s="12">
        <v>11</v>
      </c>
      <c r="O13" s="11" t="s">
        <v>6</v>
      </c>
      <c r="P13" s="12">
        <f>SUM(Y20)</f>
        <v>5</v>
      </c>
    </row>
    <row r="14" spans="2:24" x14ac:dyDescent="0.25">
      <c r="B14" s="18"/>
      <c r="C14" s="89"/>
      <c r="D14" s="135"/>
      <c r="E14" s="135"/>
      <c r="F14" s="20"/>
      <c r="H14" s="184"/>
      <c r="I14" s="184"/>
      <c r="J14" s="183">
        <f>SUM(J9:J13)</f>
        <v>477</v>
      </c>
      <c r="N14" s="12">
        <v>12</v>
      </c>
      <c r="O14" s="17" t="s">
        <v>3574</v>
      </c>
      <c r="P14" s="12">
        <f>SUM(Y30)</f>
        <v>10</v>
      </c>
    </row>
    <row r="15" spans="2:24" x14ac:dyDescent="0.25">
      <c r="B15" s="18"/>
      <c r="C15" s="89"/>
      <c r="D15" s="135"/>
      <c r="E15" s="135"/>
      <c r="F15" s="20"/>
      <c r="P15" s="2">
        <f>SUM(P3:P14)</f>
        <v>477</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SUMIF(Ip.17!M2:M500,"2141*",Ip.17!F2:F500)</f>
        <v>6</v>
      </c>
      <c r="E18" s="108">
        <v>2113</v>
      </c>
      <c r="F18" s="11" t="s">
        <v>3491</v>
      </c>
      <c r="G18" s="16">
        <f>SUMIF(Ip.17!M2:M467,"2113*",Ip.17!F2:F467)</f>
        <v>1</v>
      </c>
      <c r="H18" s="122">
        <v>2142</v>
      </c>
      <c r="I18" s="11" t="s">
        <v>3494</v>
      </c>
      <c r="J18" s="16">
        <f>SUMIF(Ip.17!M2:M500,"2142*",Ip.17!F2:F500)</f>
        <v>1</v>
      </c>
      <c r="K18" s="123">
        <v>315</v>
      </c>
      <c r="L18" s="11" t="s">
        <v>3532</v>
      </c>
      <c r="M18" s="112">
        <f>SUMIF(Ip.17!M2:M500,"315*",Ip.17!F2:F500)</f>
        <v>2</v>
      </c>
      <c r="N18" s="108">
        <v>2166</v>
      </c>
      <c r="O18" s="11" t="s">
        <v>3510</v>
      </c>
      <c r="P18" s="95">
        <f>SUMIF(Ip.17!M2:M500,"2166*",Ip.17!F2:F500)</f>
        <v>1</v>
      </c>
      <c r="Q18" s="118">
        <v>22</v>
      </c>
      <c r="R18" s="11" t="s">
        <v>3511</v>
      </c>
      <c r="S18" s="96">
        <f>SUMIF(Ip.17!M2:M500,"22*",Ip.17!F2:F500)</f>
        <v>2</v>
      </c>
      <c r="T18" s="118">
        <v>23</v>
      </c>
      <c r="U18" s="11" t="s">
        <v>3512</v>
      </c>
      <c r="V18" s="91">
        <f>SUMIF(Ip.17!M2:M500,"23*",Ip.17!F2:F500)</f>
        <v>4</v>
      </c>
      <c r="W18" s="131">
        <v>7549</v>
      </c>
      <c r="X18" s="11" t="s">
        <v>3561</v>
      </c>
      <c r="Y18" s="97">
        <f>SUMIF(Ip.17!M2:M500,"7549*",Ip.17!F2:F500)</f>
        <v>0</v>
      </c>
    </row>
    <row r="19" spans="2:25" x14ac:dyDescent="0.25">
      <c r="B19" s="108">
        <v>2132</v>
      </c>
      <c r="C19" s="11" t="s">
        <v>3493</v>
      </c>
      <c r="D19" s="16">
        <f>SUMIF(Ip.17!M2:M500,"2132*",Ip.17!F2:F500)</f>
        <v>0</v>
      </c>
      <c r="E19" s="108">
        <v>2145</v>
      </c>
      <c r="F19" s="11" t="s">
        <v>3496</v>
      </c>
      <c r="G19" s="16">
        <f>SUMIF(Ip.17!M2:M467,"2145*",Ip.17!F2:F467)</f>
        <v>1</v>
      </c>
      <c r="H19" s="122">
        <v>2143</v>
      </c>
      <c r="I19" s="11" t="s">
        <v>93</v>
      </c>
      <c r="J19" s="16">
        <f>SUMIF(Ip.17!M2:M500,"2143*",Ip.17!F2:F500)</f>
        <v>1</v>
      </c>
      <c r="K19" s="117">
        <v>42</v>
      </c>
      <c r="L19" s="11" t="s">
        <v>3537</v>
      </c>
      <c r="M19" s="112">
        <f>SUMIF(Ip.17!M2:M500,"42*",Ip.17!F2:F500)</f>
        <v>3</v>
      </c>
      <c r="N19" s="118">
        <v>24</v>
      </c>
      <c r="O19" s="11" t="s">
        <v>3571</v>
      </c>
      <c r="P19" s="95">
        <f>SUMIF(Ip.17!M2:M500,"24*",Ip.17!F2:F500)</f>
        <v>87</v>
      </c>
      <c r="Q19" s="125">
        <v>32</v>
      </c>
      <c r="R19" s="11" t="s">
        <v>3533</v>
      </c>
      <c r="S19" s="96">
        <f>SUMIF(Ip.17!M2:M500,"32*",Ip.17!F2:F500)</f>
        <v>3</v>
      </c>
      <c r="T19" s="118">
        <v>26</v>
      </c>
      <c r="U19" s="11" t="s">
        <v>3572</v>
      </c>
      <c r="V19" s="91">
        <f>SUMIF(Ip.17!M2:M500,"26*",Ip.17!F2:F500)</f>
        <v>10</v>
      </c>
      <c r="W19" s="119">
        <v>9</v>
      </c>
      <c r="X19" s="11" t="s">
        <v>3565</v>
      </c>
      <c r="Y19" s="97">
        <f>SUMIF(Ip.17!M2:M500,"9*",Ip.17!F2:F500)</f>
        <v>5</v>
      </c>
    </row>
    <row r="20" spans="2:25" x14ac:dyDescent="0.25">
      <c r="B20" s="108">
        <v>2146</v>
      </c>
      <c r="C20" s="11" t="s">
        <v>3497</v>
      </c>
      <c r="D20" s="16">
        <f>SUMIF(Ip.17!M2:M500,"2146*",Ip.17!F2:F500)</f>
        <v>0</v>
      </c>
      <c r="E20" s="108">
        <v>2131</v>
      </c>
      <c r="F20" s="11" t="s">
        <v>3492</v>
      </c>
      <c r="G20" s="16">
        <f>SUMIF(Ip.17!M2:M467,"2131*",Ip.17!F2:F467)</f>
        <v>0</v>
      </c>
      <c r="H20" s="122">
        <v>2161</v>
      </c>
      <c r="I20" s="11" t="s">
        <v>3507</v>
      </c>
      <c r="J20" s="16">
        <f>SUMIF(Ip.17!M2:M500,"2161*",Ip.17!F2:F500)</f>
        <v>1</v>
      </c>
      <c r="K20" s="117">
        <v>43</v>
      </c>
      <c r="L20" s="11" t="s">
        <v>3538</v>
      </c>
      <c r="M20" s="112">
        <f>SUMIF(Ip.17!M2:M500,"43*",Ip.17!F2:F500)</f>
        <v>9</v>
      </c>
      <c r="N20" s="125">
        <v>33</v>
      </c>
      <c r="O20" s="11" t="s">
        <v>3534</v>
      </c>
      <c r="P20" s="95">
        <f>SUMIF(Ip.17!M2:M500,"33*",Ip.17!F2:F500)</f>
        <v>109</v>
      </c>
      <c r="Q20" s="127">
        <v>53</v>
      </c>
      <c r="R20" s="11" t="s">
        <v>3542</v>
      </c>
      <c r="S20" s="96">
        <f>SUMIF(Ip.17!M2:M500,"53*",Ip.17!F2:F500)</f>
        <v>1</v>
      </c>
      <c r="T20" s="125">
        <v>34</v>
      </c>
      <c r="U20" s="11" t="s">
        <v>3535</v>
      </c>
      <c r="V20" s="91">
        <f>SUMIF(Ip.17!M2:M500,"34*",Ip.17!F2:F500)</f>
        <v>1</v>
      </c>
      <c r="W20" s="37"/>
      <c r="Y20" s="2">
        <f>SUM(Y18:Y19)</f>
        <v>5</v>
      </c>
    </row>
    <row r="21" spans="2:25" x14ac:dyDescent="0.25">
      <c r="B21" s="121">
        <v>3113</v>
      </c>
      <c r="C21" s="11" t="s">
        <v>3520</v>
      </c>
      <c r="D21" s="16">
        <f>SUMIF(Ip.17!M2:M500,"3113*",Ip.17!F2:F500)</f>
        <v>5</v>
      </c>
      <c r="E21" s="108">
        <v>2144</v>
      </c>
      <c r="F21" s="11" t="s">
        <v>3495</v>
      </c>
      <c r="G21" s="16">
        <f>SUMIF(Ip.17!M2:M467,"2144*",Ip.17!F2:F467)</f>
        <v>2</v>
      </c>
      <c r="H21" s="122">
        <v>2162</v>
      </c>
      <c r="I21" s="11" t="s">
        <v>3508</v>
      </c>
      <c r="J21" s="16">
        <f>SUMIF(Ip.17!M2:M500,"2162*",Ip.17!F2:F500)</f>
        <v>0</v>
      </c>
      <c r="K21" s="128">
        <v>52</v>
      </c>
      <c r="L21" s="11" t="s">
        <v>3541</v>
      </c>
      <c r="M21" s="112">
        <f>SUMIF(Ip.17!M2:M500,"52*",Ip.17!F2:F500)</f>
        <v>62</v>
      </c>
      <c r="N21" s="127">
        <v>51</v>
      </c>
      <c r="O21" s="11" t="s">
        <v>3540</v>
      </c>
      <c r="P21" s="95">
        <f>SUMIF(Ip.17!M2:M500,"51*",Ip.17!F2:F500)</f>
        <v>1</v>
      </c>
      <c r="Q21" s="37"/>
      <c r="S21" s="2">
        <f>SUM(S18:S20)</f>
        <v>6</v>
      </c>
      <c r="V21" s="2">
        <f>SUM(V18:V20)</f>
        <v>15</v>
      </c>
      <c r="W21" s="37"/>
    </row>
    <row r="22" spans="2:25" x14ac:dyDescent="0.25">
      <c r="B22" s="121">
        <v>3114</v>
      </c>
      <c r="C22" s="11" t="s">
        <v>3521</v>
      </c>
      <c r="D22" s="16">
        <f>SUMIF(Ip.17!M2:M500,"3114*",Ip.17!F2:F500)</f>
        <v>1</v>
      </c>
      <c r="E22" s="108">
        <v>2149</v>
      </c>
      <c r="F22" s="11" t="s">
        <v>3498</v>
      </c>
      <c r="G22" s="16">
        <f>SUMIF(Ip.17!M2:M467,"2149*",Ip.17!F2:F467)</f>
        <v>8</v>
      </c>
      <c r="H22" s="108">
        <v>2164</v>
      </c>
      <c r="I22" s="11" t="s">
        <v>3585</v>
      </c>
      <c r="J22" s="16">
        <f>SUMIF(Ip.17!M2:M500,"2164*",Ip.17!F2:F500)</f>
        <v>1</v>
      </c>
      <c r="K22" s="133">
        <v>83</v>
      </c>
      <c r="L22" s="11" t="s">
        <v>3564</v>
      </c>
      <c r="M22" s="112">
        <f>SUMIF(Ip.17!M2:M500,"83*",Ip.17!F2:F500)</f>
        <v>7</v>
      </c>
      <c r="N22" s="120">
        <v>14</v>
      </c>
      <c r="O22" s="11" t="s">
        <v>3578</v>
      </c>
      <c r="P22" s="95">
        <f>SUMIF(Ip.17!M2:M500,"14*",Ip.17!F2:F500)</f>
        <v>13</v>
      </c>
      <c r="Q22" s="37"/>
      <c r="T22" s="1" t="s">
        <v>0</v>
      </c>
      <c r="U22" s="94"/>
      <c r="V22" s="20"/>
      <c r="W22" s="37" t="s">
        <v>3574</v>
      </c>
    </row>
    <row r="23" spans="2:25" x14ac:dyDescent="0.25">
      <c r="B23" s="121">
        <v>3115</v>
      </c>
      <c r="C23" s="11" t="s">
        <v>3522</v>
      </c>
      <c r="D23" s="16">
        <f>SUMIF(Ip.17!M2:M500,"3115*",Ip.17!F2:F500)</f>
        <v>1</v>
      </c>
      <c r="E23" s="109">
        <v>2149</v>
      </c>
      <c r="F23" s="11" t="s">
        <v>3499</v>
      </c>
      <c r="G23" s="104" t="s">
        <v>3573</v>
      </c>
      <c r="H23" s="122">
        <v>2165</v>
      </c>
      <c r="I23" s="11" t="s">
        <v>3509</v>
      </c>
      <c r="J23" s="16">
        <f>SUMIF(Ip.17!M2:M500,"2165*",Ip.17!F2:F500)</f>
        <v>1</v>
      </c>
      <c r="K23" s="120">
        <v>12</v>
      </c>
      <c r="L23" s="11" t="s">
        <v>3576</v>
      </c>
      <c r="M23" s="112">
        <f>SUMIF(Ip.17!M2:M500,"12*",Ip.17!F2:F500)</f>
        <v>21</v>
      </c>
      <c r="P23" s="18">
        <f>SUM(P18:P22)</f>
        <v>211</v>
      </c>
      <c r="Q23" s="37"/>
      <c r="T23" s="98"/>
      <c r="U23" s="99"/>
      <c r="V23" s="92"/>
      <c r="W23" s="110"/>
      <c r="X23" s="111"/>
    </row>
    <row r="24" spans="2:25" x14ac:dyDescent="0.25">
      <c r="B24" s="121">
        <v>3116</v>
      </c>
      <c r="C24" s="11" t="s">
        <v>3523</v>
      </c>
      <c r="D24" s="16">
        <f>SUMIF(Ip.17!M2:M500,"3116*",Ip.17!F2:F500)</f>
        <v>0</v>
      </c>
      <c r="E24" s="109">
        <v>2149</v>
      </c>
      <c r="F24" s="11" t="s">
        <v>3500</v>
      </c>
      <c r="G24" s="104" t="s">
        <v>3573</v>
      </c>
      <c r="H24" s="126">
        <v>3111</v>
      </c>
      <c r="I24" s="11" t="s">
        <v>3587</v>
      </c>
      <c r="J24" s="16">
        <f>SUMIF(Ip.17!M2:M500,"3111*",Ip.17!F2:F500)</f>
        <v>0</v>
      </c>
      <c r="K24" s="89"/>
      <c r="L24" s="20"/>
      <c r="M24" s="90">
        <f>SUM(M18:M23)</f>
        <v>104</v>
      </c>
      <c r="Q24" s="37"/>
      <c r="T24" s="116">
        <v>41</v>
      </c>
      <c r="U24" s="11" t="s">
        <v>3592</v>
      </c>
      <c r="V24" s="91">
        <f>SUMIF(Ip.17!M2:M500,"41*",Ip.17!F2:F500)</f>
        <v>2</v>
      </c>
      <c r="W24" s="120">
        <v>11</v>
      </c>
      <c r="X24" s="11" t="s">
        <v>3575</v>
      </c>
      <c r="Y24" s="115">
        <f>SUMIF(Ip.17!M2:M500,"11*",Ip.17!F2:F500)</f>
        <v>10</v>
      </c>
    </row>
    <row r="25" spans="2:25" x14ac:dyDescent="0.25">
      <c r="B25" s="121">
        <v>3117</v>
      </c>
      <c r="C25" s="11" t="s">
        <v>3524</v>
      </c>
      <c r="D25" s="16">
        <f>SUMIF(Ip.17!M2:M500,"3117*",Ip.17!F2:F500)</f>
        <v>0</v>
      </c>
      <c r="E25" s="109">
        <v>2149</v>
      </c>
      <c r="F25" s="11" t="s">
        <v>3501</v>
      </c>
      <c r="G25" s="104" t="s">
        <v>3573</v>
      </c>
      <c r="H25" s="126">
        <v>3112</v>
      </c>
      <c r="I25" s="11" t="s">
        <v>3519</v>
      </c>
      <c r="J25" s="16">
        <f>SUMIF(Ip.17!M2:M500,"3112*",Ip.17!F2:F500)</f>
        <v>0</v>
      </c>
      <c r="K25" s="89"/>
      <c r="L25" s="20"/>
      <c r="M25" s="20"/>
      <c r="N25" s="100" t="s">
        <v>134</v>
      </c>
      <c r="O25" s="93"/>
      <c r="Q25" s="37"/>
      <c r="T25" s="116">
        <v>44</v>
      </c>
      <c r="U25" s="11" t="s">
        <v>3539</v>
      </c>
      <c r="V25" s="91">
        <f>SUMIF(Ip.17!M2:M500,"44*",Ip.17!F2:F500)</f>
        <v>1</v>
      </c>
      <c r="W25" s="108">
        <v>2111</v>
      </c>
      <c r="X25" s="11" t="s">
        <v>3580</v>
      </c>
      <c r="Y25" s="115">
        <f>SUMIF(Ip.17!M2:M500,"2111*",Ip.17!F2:F500)</f>
        <v>0</v>
      </c>
    </row>
    <row r="26" spans="2:25" x14ac:dyDescent="0.25">
      <c r="B26" s="121">
        <v>3119</v>
      </c>
      <c r="C26" s="11" t="s">
        <v>3526</v>
      </c>
      <c r="D26" s="16">
        <f>SUMIF(Ip.17!M2:M500,"3119*",Ip.17!F2:F500)</f>
        <v>6</v>
      </c>
      <c r="E26" s="109">
        <v>2149</v>
      </c>
      <c r="F26" s="11" t="s">
        <v>3502</v>
      </c>
      <c r="G26" s="104" t="s">
        <v>3573</v>
      </c>
      <c r="H26" s="126">
        <v>3118</v>
      </c>
      <c r="I26" s="11" t="s">
        <v>3525</v>
      </c>
      <c r="J26" s="16">
        <f>SUMIF(Ip.17!M2:M500,"3118*",Ip.17!F2:F500)</f>
        <v>0</v>
      </c>
      <c r="K26" s="89"/>
      <c r="L26" s="20"/>
      <c r="M26" s="20"/>
      <c r="N26" s="6"/>
      <c r="O26" s="7"/>
      <c r="Q26" s="37"/>
      <c r="T26" s="131">
        <v>7515</v>
      </c>
      <c r="U26" s="11" t="s">
        <v>3552</v>
      </c>
      <c r="V26" s="91">
        <f>SUMIF(Ip.17!M2:M500,"7515*",Ip.17!F2:F500)</f>
        <v>0</v>
      </c>
      <c r="W26" s="108">
        <v>2112</v>
      </c>
      <c r="X26" s="11" t="s">
        <v>3581</v>
      </c>
      <c r="Y26" s="115">
        <f>SUMIF(Ip.17!M2:M500,"2112*",Ip.17!F2:F500)</f>
        <v>0</v>
      </c>
    </row>
    <row r="27" spans="2:25" x14ac:dyDescent="0.25">
      <c r="B27" s="121">
        <v>3121</v>
      </c>
      <c r="C27" s="11" t="s">
        <v>3527</v>
      </c>
      <c r="D27" s="16">
        <f>SUMIF(Ip.17!M2:M500,"3121*",Ip.17!F2:F500)</f>
        <v>0</v>
      </c>
      <c r="E27" s="109">
        <v>2149</v>
      </c>
      <c r="F27" s="11" t="s">
        <v>3503</v>
      </c>
      <c r="G27" s="104" t="s">
        <v>3573</v>
      </c>
      <c r="H27" s="126">
        <v>3123</v>
      </c>
      <c r="I27" s="11" t="s">
        <v>3529</v>
      </c>
      <c r="J27" s="16">
        <f>SUMIF(Ip.17!M2:M500,"3123*",Ip.17!F2:F500)</f>
        <v>0</v>
      </c>
      <c r="K27" s="89"/>
      <c r="L27" s="20"/>
      <c r="N27" s="131">
        <v>7512</v>
      </c>
      <c r="O27" s="11" t="s">
        <v>3549</v>
      </c>
      <c r="P27" s="95">
        <f>SUMIF(Ip.17!M2:M500,"7512*",Ip.17!F2:F500)</f>
        <v>0</v>
      </c>
      <c r="Q27" s="37"/>
      <c r="T27" s="37"/>
      <c r="V27" s="2">
        <f>SUM(V24:V26)</f>
        <v>3</v>
      </c>
      <c r="W27" s="108">
        <v>2114</v>
      </c>
      <c r="X27" s="11" t="s">
        <v>3582</v>
      </c>
      <c r="Y27" s="115">
        <f>SUMIF(Ip.17!M2:M500,"2114*",Ip.17!F2:F500)</f>
        <v>0</v>
      </c>
    </row>
    <row r="28" spans="2:25" x14ac:dyDescent="0.25">
      <c r="B28" s="121">
        <v>3122</v>
      </c>
      <c r="C28" s="11" t="s">
        <v>3528</v>
      </c>
      <c r="D28" s="16">
        <f>SUMIF(Ip.17!M2:M500,"3122*",Ip.17!F2:F500)</f>
        <v>3</v>
      </c>
      <c r="E28" s="108">
        <v>2151</v>
      </c>
      <c r="F28" s="11" t="s">
        <v>3504</v>
      </c>
      <c r="G28" s="16">
        <f>SUMIF(Ip.17!M2:M467,"2151*",Ip.17!F2:F467)</f>
        <v>2</v>
      </c>
      <c r="H28" s="129">
        <v>71</v>
      </c>
      <c r="I28" s="11" t="s">
        <v>3544</v>
      </c>
      <c r="J28" s="16">
        <f>SUMIF(Ip.17!M2:M500,"71*",Ip.17!F2:F500)</f>
        <v>4</v>
      </c>
      <c r="K28" s="89"/>
      <c r="L28" s="20"/>
      <c r="M28" s="20"/>
      <c r="P28" s="18">
        <f>SUM(P27)</f>
        <v>0</v>
      </c>
      <c r="Q28" s="37"/>
      <c r="T28" s="37"/>
      <c r="W28" s="108">
        <v>2120</v>
      </c>
      <c r="X28" s="11" t="s">
        <v>3583</v>
      </c>
      <c r="Y28" s="115">
        <f>SUMIF(Ip.17!M2:M500,"2120*",Ip.17!F2:F500)</f>
        <v>0</v>
      </c>
    </row>
    <row r="29" spans="2:25" x14ac:dyDescent="0.25">
      <c r="B29" s="124">
        <v>313</v>
      </c>
      <c r="C29" s="11" t="s">
        <v>3530</v>
      </c>
      <c r="D29" s="16">
        <f>SUMIF(Ip.17!M2:M500,"313*",Ip.17!F2:F500)</f>
        <v>11</v>
      </c>
      <c r="E29" s="108">
        <v>2152</v>
      </c>
      <c r="F29" s="11" t="s">
        <v>3505</v>
      </c>
      <c r="G29" s="16">
        <f>SUMIF(Ip.17!M2:M467,"2152*",Ip.17!F2:F467)</f>
        <v>1</v>
      </c>
      <c r="H29" s="132">
        <v>7521</v>
      </c>
      <c r="I29" s="11" t="s">
        <v>3553</v>
      </c>
      <c r="J29" s="16">
        <f>SUMIF(Ip.17!M2:M500,"7521*",Ip.17!F2:F500)</f>
        <v>0</v>
      </c>
      <c r="K29" s="89"/>
      <c r="L29" s="20"/>
      <c r="M29" s="20"/>
      <c r="N29" s="94" t="s">
        <v>154</v>
      </c>
      <c r="O29" s="94"/>
      <c r="P29" s="18"/>
      <c r="T29" s="37"/>
      <c r="W29" s="119">
        <v>0</v>
      </c>
      <c r="X29" s="11" t="s">
        <v>3586</v>
      </c>
      <c r="Y29" s="115">
        <f>SUMIF(Ip.17!M2:M500,"0*",Ip.17!F2:F500)</f>
        <v>0</v>
      </c>
    </row>
    <row r="30" spans="2:25" x14ac:dyDescent="0.25">
      <c r="B30" s="124">
        <v>314</v>
      </c>
      <c r="C30" s="11" t="s">
        <v>3531</v>
      </c>
      <c r="D30" s="16">
        <f>SUMIF(Ip.17!M2:M500,"314*",Ip.17!F2:F500)</f>
        <v>2</v>
      </c>
      <c r="E30" s="108">
        <v>2153</v>
      </c>
      <c r="F30" s="11" t="s">
        <v>3506</v>
      </c>
      <c r="G30" s="16">
        <f>SUMIF(Ip.17!M2:M467,"2153*",Ip.17!F2:F467)</f>
        <v>3</v>
      </c>
      <c r="H30" s="132">
        <v>7522</v>
      </c>
      <c r="I30" s="11" t="s">
        <v>3554</v>
      </c>
      <c r="J30" s="16">
        <f>SUMIF(Ip.17!M2:M500,"7522*",Ip.17!F2:F500)</f>
        <v>0</v>
      </c>
      <c r="K30" s="89"/>
      <c r="L30" s="20"/>
      <c r="M30" s="20"/>
      <c r="N30" s="6"/>
      <c r="O30" s="7"/>
      <c r="P30" s="92"/>
      <c r="Y30" s="2">
        <f>SUM(Y24:Y29)</f>
        <v>10</v>
      </c>
    </row>
    <row r="31" spans="2:25" x14ac:dyDescent="0.25">
      <c r="B31" s="125">
        <v>35</v>
      </c>
      <c r="C31" s="11" t="s">
        <v>3536</v>
      </c>
      <c r="D31" s="16">
        <f>SUMIF(Ip.17!M2:M500,"35*",Ip.17!F2:F500)</f>
        <v>2</v>
      </c>
      <c r="E31" s="118">
        <v>25</v>
      </c>
      <c r="F31" s="11" t="s">
        <v>3513</v>
      </c>
      <c r="G31" s="16">
        <f>SUMIF(Ip.17!M2:M467,"25*",Ip.17!F2:F467)</f>
        <v>19</v>
      </c>
      <c r="J31" s="18">
        <f>SUM(J18:J30)</f>
        <v>9</v>
      </c>
      <c r="K31" s="89"/>
      <c r="L31" s="20"/>
      <c r="M31" s="20"/>
      <c r="N31" s="131">
        <v>753</v>
      </c>
      <c r="O31" s="11" t="s">
        <v>3556</v>
      </c>
      <c r="P31" s="95">
        <f>SUMIF(Ip.17!M2:M500,"753*",Ip.17!F2:F500)</f>
        <v>0</v>
      </c>
    </row>
    <row r="32" spans="2:25" x14ac:dyDescent="0.25">
      <c r="B32" s="119">
        <v>6</v>
      </c>
      <c r="C32" s="11" t="s">
        <v>3543</v>
      </c>
      <c r="D32" s="16">
        <f>SUMIF(Ip.17!M2:M500,"6*",Ip.17!F2:F500)</f>
        <v>0</v>
      </c>
      <c r="E32" s="130">
        <v>74</v>
      </c>
      <c r="F32" s="11" t="s">
        <v>3547</v>
      </c>
      <c r="G32" s="16">
        <f>SUMIF(Ip.17!M2:M467,"74*",Ip.17!F2:F467)</f>
        <v>4</v>
      </c>
      <c r="H32" s="89"/>
      <c r="I32" s="20"/>
      <c r="K32" s="20"/>
      <c r="L32" s="20"/>
      <c r="M32" s="20"/>
      <c r="N32" s="131">
        <v>7541</v>
      </c>
      <c r="O32" s="11" t="s">
        <v>3557</v>
      </c>
      <c r="P32" s="95">
        <f>SUMIF(Ip.17!M2:M500,"7541*",Ip.17!F2:F500)</f>
        <v>0</v>
      </c>
    </row>
    <row r="33" spans="2:20" x14ac:dyDescent="0.25">
      <c r="B33" s="130">
        <v>72</v>
      </c>
      <c r="C33" s="11" t="s">
        <v>3545</v>
      </c>
      <c r="D33" s="16">
        <f>SUMIF(Ip.17!M2:M500,"72*",Ip.17!F2:F500)</f>
        <v>14</v>
      </c>
      <c r="G33" s="2">
        <f>SUM(G18:G32)</f>
        <v>41</v>
      </c>
      <c r="N33" s="127">
        <v>54</v>
      </c>
      <c r="O33" s="11" t="s">
        <v>3588</v>
      </c>
      <c r="P33" s="95">
        <f>SUMIF(Ip.17!M2:M500,"54*",Ip.17!F2:F500)</f>
        <v>0</v>
      </c>
    </row>
    <row r="34" spans="2:20" x14ac:dyDescent="0.25">
      <c r="B34" s="130">
        <v>73</v>
      </c>
      <c r="C34" s="11" t="s">
        <v>3546</v>
      </c>
      <c r="D34" s="16">
        <f>SUMIF(Ip.17!M2:M500,"73*",Ip.17!F2:F500)</f>
        <v>2</v>
      </c>
      <c r="P34" s="2">
        <f>SUM(P31:P33)</f>
        <v>0</v>
      </c>
    </row>
    <row r="35" spans="2:20" x14ac:dyDescent="0.25">
      <c r="B35" s="131">
        <v>7511</v>
      </c>
      <c r="C35" s="11" t="s">
        <v>3548</v>
      </c>
      <c r="D35" s="16">
        <f>SUMIF(Ip.17!M2:M500,"7511*",Ip.17!F2:F500)</f>
        <v>0</v>
      </c>
      <c r="T35" s="37"/>
    </row>
    <row r="36" spans="2:20" x14ac:dyDescent="0.25">
      <c r="B36" s="131">
        <v>7513</v>
      </c>
      <c r="C36" s="11" t="s">
        <v>3550</v>
      </c>
      <c r="D36" s="16">
        <f>SUMIF(Ip.17!M2:M500,"7513*",Ip.17!F2:F500)</f>
        <v>0</v>
      </c>
      <c r="T36" s="37"/>
    </row>
    <row r="37" spans="2:20" x14ac:dyDescent="0.25">
      <c r="B37" s="131">
        <v>7514</v>
      </c>
      <c r="C37" s="11" t="s">
        <v>3551</v>
      </c>
      <c r="D37" s="16">
        <f>SUMIF(Ip.17!M2:M500,"7514*",Ip.17!F2:F500)</f>
        <v>0</v>
      </c>
      <c r="T37" s="37"/>
    </row>
    <row r="38" spans="2:20" x14ac:dyDescent="0.25">
      <c r="B38" s="131">
        <v>7523</v>
      </c>
      <c r="C38" s="11" t="s">
        <v>3555</v>
      </c>
      <c r="D38" s="16">
        <f>SUMIF(Ip.17!M2:M500,"7523*",Ip.17!F2:F500)</f>
        <v>0</v>
      </c>
      <c r="T38" s="37"/>
    </row>
    <row r="39" spans="2:20" x14ac:dyDescent="0.25">
      <c r="B39" s="131">
        <v>7542</v>
      </c>
      <c r="C39" s="11" t="s">
        <v>3558</v>
      </c>
      <c r="D39" s="16">
        <f>SUMIF(Ip.17!M2:M500,"7542*",Ip.17!F2:F500)</f>
        <v>0</v>
      </c>
      <c r="T39" s="37"/>
    </row>
    <row r="40" spans="2:20" x14ac:dyDescent="0.25">
      <c r="B40" s="131">
        <v>7543</v>
      </c>
      <c r="C40" s="11" t="s">
        <v>3559</v>
      </c>
      <c r="D40" s="16">
        <f>SUMIF(Ip.17!M2:M500,"7543*",Ip.17!F2:F500)</f>
        <v>0</v>
      </c>
    </row>
    <row r="41" spans="2:20" x14ac:dyDescent="0.25">
      <c r="B41" s="131">
        <v>7544</v>
      </c>
      <c r="C41" s="11" t="s">
        <v>3560</v>
      </c>
      <c r="D41" s="16">
        <f>SUMIF(Ip.17!M2:M500,"7544*",Ip.17!F2:F500)</f>
        <v>0</v>
      </c>
    </row>
    <row r="42" spans="2:20" x14ac:dyDescent="0.25">
      <c r="B42" s="134">
        <v>81</v>
      </c>
      <c r="C42" s="11" t="s">
        <v>3562</v>
      </c>
      <c r="D42" s="16">
        <f>SUMIF(Ip.17!M2:M500,"81*",Ip.17!F2:F500)</f>
        <v>4</v>
      </c>
    </row>
    <row r="43" spans="2:20" x14ac:dyDescent="0.25">
      <c r="B43" s="134">
        <v>82</v>
      </c>
      <c r="C43" s="11" t="s">
        <v>3563</v>
      </c>
      <c r="D43" s="16">
        <f>SUMIF(Ip.17!M2:M500,"82*",Ip.17!F2:F500)</f>
        <v>0</v>
      </c>
    </row>
    <row r="44" spans="2:20" x14ac:dyDescent="0.25">
      <c r="B44" s="120">
        <v>13</v>
      </c>
      <c r="C44" s="11" t="s">
        <v>3577</v>
      </c>
      <c r="D44" s="16">
        <f>SUMIF(Ip.17!M2:M500,"13*",Ip.17!F2:F500)</f>
        <v>15</v>
      </c>
    </row>
    <row r="45" spans="2:20" x14ac:dyDescent="0.25">
      <c r="B45" s="108">
        <v>2163</v>
      </c>
      <c r="C45" s="11" t="s">
        <v>3579</v>
      </c>
      <c r="D45" s="16">
        <f>SUMIF(Ip.17!M2:M500,"2163*",Ip.17!F2:F500)</f>
        <v>1</v>
      </c>
    </row>
    <row r="46" spans="2:20" x14ac:dyDescent="0.25">
      <c r="B46" s="108">
        <v>2133</v>
      </c>
      <c r="C46" s="11" t="s">
        <v>3584</v>
      </c>
      <c r="D46" s="16">
        <f>SUMIF(Ip.17!M2:M500,"2133*",Ip.17!F2:F500)</f>
        <v>0</v>
      </c>
    </row>
    <row r="47" spans="2:20" x14ac:dyDescent="0.25">
      <c r="B47" s="37"/>
      <c r="D47" s="2">
        <f>SUM(D18:D46)</f>
        <v>73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104"/>
  <sheetViews>
    <sheetView zoomScale="80" zoomScaleNormal="80" workbookViewId="0">
      <selection activeCell="B1" sqref="B1"/>
    </sheetView>
  </sheetViews>
  <sheetFormatPr defaultRowHeight="15" x14ac:dyDescent="0.25"/>
  <cols>
    <col min="1" max="1" width="3.42578125" style="3" customWidth="1"/>
    <col min="2" max="2" width="10.4257812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3.5703125" style="3" customWidth="1"/>
    <col min="27" max="27" width="21.28515625" style="3" customWidth="1"/>
    <col min="28" max="28" width="11.140625" style="3" bestFit="1" customWidth="1"/>
    <col min="29" max="29" width="4.28515625" style="3" customWidth="1"/>
    <col min="30" max="16384" width="9.140625" style="3"/>
  </cols>
  <sheetData>
    <row r="1" spans="2:30" ht="12.75" customHeight="1" x14ac:dyDescent="0.25"/>
    <row r="2" spans="2:30" x14ac:dyDescent="0.25">
      <c r="B2" s="1" t="s">
        <v>20298</v>
      </c>
      <c r="C2" s="2"/>
      <c r="D2" s="1"/>
      <c r="E2" s="1"/>
      <c r="H2" s="1" t="s">
        <v>3466</v>
      </c>
      <c r="L2" s="3" t="b">
        <f ca="1">EXACT(E28,J17)</f>
        <v>1</v>
      </c>
      <c r="M2" s="3" t="b">
        <f ca="1">EXACT(E28,P29)</f>
        <v>1</v>
      </c>
    </row>
    <row r="3" spans="2:30" ht="60" x14ac:dyDescent="0.25">
      <c r="B3" s="380" t="s">
        <v>171</v>
      </c>
      <c r="C3" s="380" t="s">
        <v>172</v>
      </c>
      <c r="D3" s="380" t="s">
        <v>6539</v>
      </c>
      <c r="E3" s="380" t="s">
        <v>3483</v>
      </c>
      <c r="F3" s="380" t="s">
        <v>3467</v>
      </c>
      <c r="H3" s="16" t="s">
        <v>3462</v>
      </c>
      <c r="I3" s="193" t="s">
        <v>3465</v>
      </c>
      <c r="J3" s="16" t="s">
        <v>3514</v>
      </c>
      <c r="K3" s="464" t="s">
        <v>9295</v>
      </c>
      <c r="R3" s="443" t="s">
        <v>6394</v>
      </c>
      <c r="S3" s="20"/>
      <c r="T3" s="3" t="s">
        <v>6394</v>
      </c>
      <c r="U3" s="20"/>
      <c r="AA3" s="1"/>
    </row>
    <row r="4" spans="2:30" x14ac:dyDescent="0.25">
      <c r="B4" s="381" t="s">
        <v>3515</v>
      </c>
      <c r="C4" s="382" t="s">
        <v>3460</v>
      </c>
      <c r="D4" s="383">
        <v>563</v>
      </c>
      <c r="E4" s="383">
        <v>523</v>
      </c>
      <c r="F4" s="381"/>
      <c r="H4" s="11" t="s">
        <v>3463</v>
      </c>
      <c r="I4" s="12">
        <f>COUNTIF('II kw.22'!E2:E821,"praca")</f>
        <v>95</v>
      </c>
      <c r="J4" s="12" t="s">
        <v>3515</v>
      </c>
      <c r="K4" s="151">
        <f>SUMIF('II kw.22'!E2:E820,"praca",'II kw.22'!F2:F820)</f>
        <v>95</v>
      </c>
      <c r="N4" s="12">
        <v>1</v>
      </c>
      <c r="O4" s="11" t="s">
        <v>170</v>
      </c>
      <c r="P4" s="12">
        <f>SUM(D61)</f>
        <v>114</v>
      </c>
      <c r="R4" s="12">
        <f ca="1">RANK(P4,$P$4:$P$15,0)+COUNTIF($P$4:P4,P4)-1</f>
        <v>4</v>
      </c>
      <c r="T4" s="17" t="str">
        <f ca="1">INDEX($N$4:$P$15,MATCH(1,$R$4:$R$15,0),2)</f>
        <v>Usługi finansowe, HR i inne</v>
      </c>
      <c r="U4" s="12">
        <f ca="1">INDEX($N$4:$P$15,MATCH(1,$R$4:$R$15,0),3)</f>
        <v>249</v>
      </c>
      <c r="AA4" s="18"/>
      <c r="AD4" s="18"/>
    </row>
    <row r="5" spans="2:30" x14ac:dyDescent="0.25">
      <c r="B5" s="381" t="s">
        <v>3516</v>
      </c>
      <c r="C5" s="382" t="s">
        <v>3459</v>
      </c>
      <c r="D5" s="383">
        <v>466</v>
      </c>
      <c r="E5" s="383">
        <v>477</v>
      </c>
      <c r="F5" s="381"/>
      <c r="H5" s="11" t="s">
        <v>192</v>
      </c>
      <c r="I5" s="12">
        <f>COUNTIF('II kw.22'!E2:E821,"pracuj.pl")</f>
        <v>614</v>
      </c>
      <c r="J5" s="12" t="s">
        <v>3516</v>
      </c>
      <c r="K5" s="12">
        <f>SUMIF('II kw.22'!E2:E830,"pracuj.pl",'II kw.22'!F2:F830)</f>
        <v>617</v>
      </c>
      <c r="N5" s="12">
        <v>2</v>
      </c>
      <c r="O5" s="11" t="s">
        <v>2</v>
      </c>
      <c r="P5" s="12">
        <f ca="1">SUM(G47)</f>
        <v>165</v>
      </c>
      <c r="R5" s="12">
        <f ca="1">RANK(P5,$P$4:$P$15,0)+COUNTIF($P$4:P5,P5)-1</f>
        <v>2</v>
      </c>
      <c r="T5" s="17" t="str">
        <f ca="1">INDEX($N$4:$P$15,MATCH(2,$R$4:$R$15,0),2)</f>
        <v>Przemysł high-tech</v>
      </c>
      <c r="U5" s="12">
        <f ca="1">INDEX($N$4:$P$15,MATCH(2,$R$4:$R$15,0),3)</f>
        <v>165</v>
      </c>
      <c r="AA5" s="18"/>
      <c r="AD5" s="18"/>
    </row>
    <row r="6" spans="2:30" x14ac:dyDescent="0.25">
      <c r="B6" s="381" t="s">
        <v>3517</v>
      </c>
      <c r="C6" s="382" t="s">
        <v>3458</v>
      </c>
      <c r="D6" s="383">
        <v>365</v>
      </c>
      <c r="E6" s="383">
        <v>386</v>
      </c>
      <c r="F6" s="381"/>
      <c r="H6" s="11" t="s">
        <v>217</v>
      </c>
      <c r="I6" s="12">
        <f>COUNTIF('II kw.22'!E2:E821,"agora")</f>
        <v>54</v>
      </c>
      <c r="J6" s="12" t="s">
        <v>3517</v>
      </c>
      <c r="K6" s="12">
        <f>SUMIF('II kw.22'!E2:E820,"agora",'II kw.22'!F2:F820)</f>
        <v>54</v>
      </c>
      <c r="N6" s="12">
        <v>3</v>
      </c>
      <c r="O6" s="11" t="s">
        <v>3</v>
      </c>
      <c r="P6" s="12">
        <f>SUM(J45)</f>
        <v>28</v>
      </c>
      <c r="R6" s="12">
        <f ca="1">RANK(P6,$P$4:$P$15,0)+COUNTIF($P$4:P6,P6)-1</f>
        <v>6</v>
      </c>
      <c r="T6" s="17" t="str">
        <f ca="1">INDEX($N$4:$P$15,MATCH(3,$R$4:$R$15,0),2)</f>
        <v>Handel, transport, logistyka</v>
      </c>
      <c r="U6" s="12">
        <f ca="1">INDEX($N$4:$P$15,MATCH(3,$R$4:$R$15,0),3)</f>
        <v>135</v>
      </c>
      <c r="AA6" s="18"/>
      <c r="AD6" s="18"/>
    </row>
    <row r="7" spans="2:30" x14ac:dyDescent="0.25">
      <c r="B7" s="381" t="s">
        <v>3518</v>
      </c>
      <c r="C7" s="382" t="s">
        <v>3457</v>
      </c>
      <c r="D7" s="383">
        <v>461</v>
      </c>
      <c r="E7" s="383">
        <v>444</v>
      </c>
      <c r="F7" s="381"/>
      <c r="H7" s="11" t="s">
        <v>3464</v>
      </c>
      <c r="I7" s="12">
        <f>COUNTIF('II kw.22'!E2:E821,"gratka")</f>
        <v>3</v>
      </c>
      <c r="J7" s="12" t="s">
        <v>3518</v>
      </c>
      <c r="K7" s="12">
        <f>SUMIF('II kw.22'!E2:E820,"gratka",'II kw.22'!F2:F820)</f>
        <v>3</v>
      </c>
      <c r="N7" s="12">
        <v>4</v>
      </c>
      <c r="O7" s="11" t="s">
        <v>3589</v>
      </c>
      <c r="P7" s="12">
        <f>SUM(M38)</f>
        <v>135</v>
      </c>
      <c r="R7" s="12">
        <f ca="1">RANK(P7,$P$4:$P$15,0)+COUNTIF($P$4:P7,P7)-1</f>
        <v>3</v>
      </c>
      <c r="T7" s="17" t="str">
        <f ca="1">INDEX($N$4:$P$15,MATCH(4,$R$4:$R$15,0),2)</f>
        <v>Przemysł produkcyjny</v>
      </c>
      <c r="U7" s="12">
        <f ca="1">INDEX($N$4:$P$15,MATCH(4,$R$4:$R$15,0),3)</f>
        <v>114</v>
      </c>
      <c r="AA7" s="18"/>
      <c r="AD7" s="18"/>
    </row>
    <row r="8" spans="2:30" x14ac:dyDescent="0.25">
      <c r="B8" s="381" t="s">
        <v>13071</v>
      </c>
      <c r="C8" s="382" t="s">
        <v>173</v>
      </c>
      <c r="D8" s="383">
        <v>720</v>
      </c>
      <c r="E8" s="383">
        <v>704</v>
      </c>
      <c r="F8" s="381"/>
      <c r="H8" s="442" t="s">
        <v>7786</v>
      </c>
      <c r="I8" s="300"/>
      <c r="J8" s="300"/>
      <c r="K8" s="414"/>
      <c r="N8" s="12">
        <v>5</v>
      </c>
      <c r="O8" s="11" t="s">
        <v>13096</v>
      </c>
      <c r="P8" s="12">
        <f>SUM(P37)</f>
        <v>249</v>
      </c>
      <c r="R8" s="12">
        <f ca="1">RANK(P8,$P$4:$P$15,0)+COUNTIF($P$4:P8,P8)-1</f>
        <v>1</v>
      </c>
      <c r="T8" s="17" t="str">
        <f ca="1">INDEX($N$4:$P$15,MATCH(5,$R$4:$R$15,0),2)</f>
        <v>Informacja i edukcja</v>
      </c>
      <c r="U8" s="12">
        <f ca="1">INDEX($N$4:$P$15,MATCH(5,$R$4:$R$15,0),3)</f>
        <v>36</v>
      </c>
      <c r="AA8" s="18"/>
      <c r="AD8" s="18"/>
    </row>
    <row r="9" spans="2:30" x14ac:dyDescent="0.25">
      <c r="B9" s="12">
        <v>1</v>
      </c>
      <c r="C9" s="17" t="s">
        <v>175</v>
      </c>
      <c r="D9" s="26">
        <v>86</v>
      </c>
      <c r="E9" s="26">
        <v>122</v>
      </c>
      <c r="F9" s="12"/>
      <c r="H9" s="48"/>
      <c r="I9" s="36">
        <f>SUM(I4:I7)</f>
        <v>766</v>
      </c>
      <c r="J9" s="48"/>
      <c r="K9" s="36">
        <f>SUM(K4:K7)</f>
        <v>769</v>
      </c>
      <c r="N9" s="12">
        <v>6</v>
      </c>
      <c r="O9" s="11" t="s">
        <v>134</v>
      </c>
      <c r="P9" s="12">
        <f>SUM(P42)</f>
        <v>1</v>
      </c>
      <c r="R9" s="12">
        <f ca="1">RANK(P9,$P$4:$P$15,0)+COUNTIF($P$4:P9,P9)-1</f>
        <v>12</v>
      </c>
      <c r="T9" s="17" t="str">
        <f ca="1">INDEX($N$4:$P$15,MATCH(6,$R$4:$R$15,0),2)</f>
        <v>Budownictwo</v>
      </c>
      <c r="U9" s="12">
        <f ca="1">INDEX($N$4:$P$15,MATCH(6,$R$4:$R$15,0),3)</f>
        <v>28</v>
      </c>
      <c r="AA9" s="18"/>
      <c r="AD9" s="18"/>
    </row>
    <row r="10" spans="2:30" x14ac:dyDescent="0.25">
      <c r="B10" s="12">
        <v>2</v>
      </c>
      <c r="C10" s="17" t="s">
        <v>174</v>
      </c>
      <c r="D10" s="26">
        <v>377</v>
      </c>
      <c r="E10" s="26">
        <v>410</v>
      </c>
      <c r="F10" s="12"/>
      <c r="N10" s="12">
        <v>7</v>
      </c>
      <c r="O10" s="11" t="s">
        <v>3590</v>
      </c>
      <c r="P10" s="12">
        <f>SUM(P48)</f>
        <v>3</v>
      </c>
      <c r="R10" s="12">
        <f ca="1">RANK(P10,$P$4:$P$15,0)+COUNTIF($P$4:P10,P10)-1</f>
        <v>11</v>
      </c>
      <c r="T10" s="17" t="str">
        <f ca="1">INDEX($N$4:$P$15,MATCH(7,$R$4:$R$15,0),2)</f>
        <v>Zdrowie i opieka społeczna</v>
      </c>
      <c r="U10" s="12">
        <f ca="1">INDEX($N$4:$P$15,MATCH(7,$R$4:$R$15,0),3)</f>
        <v>17</v>
      </c>
      <c r="AA10" s="18"/>
      <c r="AD10" s="18"/>
    </row>
    <row r="11" spans="2:30" x14ac:dyDescent="0.25">
      <c r="B11" s="381" t="s">
        <v>13072</v>
      </c>
      <c r="C11" s="382" t="s">
        <v>3486</v>
      </c>
      <c r="D11" s="383">
        <f>SUM(D9:D10)</f>
        <v>463</v>
      </c>
      <c r="E11" s="383">
        <f>SUM(E9:E10)</f>
        <v>532</v>
      </c>
      <c r="F11" s="381"/>
      <c r="H11" s="1" t="s">
        <v>3570</v>
      </c>
      <c r="N11" s="12">
        <v>8</v>
      </c>
      <c r="O11" s="11" t="s">
        <v>4</v>
      </c>
      <c r="P11" s="12">
        <f>SUM(S35)</f>
        <v>17</v>
      </c>
      <c r="R11" s="12">
        <f ca="1">RANK(P11,$P$4:$P$15,0)+COUNTIF($P$4:P11,P11)-1</f>
        <v>7</v>
      </c>
      <c r="T11" s="17" t="str">
        <f ca="1">INDEX($N$4:$P$15,MATCH(8,$R$4:$R$15,0),2)</f>
        <v>Pozostałe grupy</v>
      </c>
      <c r="U11" s="12">
        <f ca="1">INDEX($N$4:$P$15,MATCH(8,$R$4:$R$15,0),3)</f>
        <v>8</v>
      </c>
      <c r="AA11" s="18"/>
      <c r="AD11" s="18"/>
    </row>
    <row r="12" spans="2:30" x14ac:dyDescent="0.25">
      <c r="B12" s="12">
        <v>3</v>
      </c>
      <c r="C12" s="17" t="s">
        <v>3481</v>
      </c>
      <c r="D12" s="12">
        <v>180</v>
      </c>
      <c r="E12" s="12">
        <v>231</v>
      </c>
      <c r="F12" s="12"/>
      <c r="H12" s="474" t="s">
        <v>3469</v>
      </c>
      <c r="I12" s="474" t="s">
        <v>3568</v>
      </c>
      <c r="J12" s="475">
        <f ca="1">SUM(D61,G47,J45)</f>
        <v>307</v>
      </c>
      <c r="N12" s="12">
        <v>9</v>
      </c>
      <c r="O12" s="11" t="s">
        <v>3591</v>
      </c>
      <c r="P12" s="12">
        <f>SUM(V35)</f>
        <v>36</v>
      </c>
      <c r="R12" s="12">
        <f ca="1">RANK(P12,$P$4:$P$15,0)+COUNTIF($P$4:P12,P12)-1</f>
        <v>5</v>
      </c>
      <c r="T12" s="17" t="str">
        <f ca="1">INDEX($N$4:$P$15,MATCH(9,$R$4:$R$15,0),2)</f>
        <v>Prace proste</v>
      </c>
      <c r="U12" s="12">
        <f ca="1">INDEX($N$4:$P$15,MATCH(9,$R$4:$R$15,0),3)</f>
        <v>7</v>
      </c>
      <c r="AA12" s="18"/>
      <c r="AD12" s="18"/>
    </row>
    <row r="13" spans="2:30" x14ac:dyDescent="0.25">
      <c r="B13" s="12">
        <v>4</v>
      </c>
      <c r="C13" s="17" t="s">
        <v>3482</v>
      </c>
      <c r="D13" s="12">
        <v>361</v>
      </c>
      <c r="E13" s="12">
        <v>378</v>
      </c>
      <c r="F13" s="12"/>
      <c r="H13" s="486" t="s">
        <v>3470</v>
      </c>
      <c r="I13" s="486" t="s">
        <v>3566</v>
      </c>
      <c r="J13" s="487">
        <f>SUM(M38,P37,P42,P48,S35)</f>
        <v>405</v>
      </c>
      <c r="N13" s="12">
        <v>10</v>
      </c>
      <c r="O13" s="11" t="s">
        <v>0</v>
      </c>
      <c r="P13" s="12">
        <f>SUM(V41)</f>
        <v>6</v>
      </c>
      <c r="R13" s="12">
        <f ca="1">RANK(P13,$P$4:$P$15,0)+COUNTIF($P$4:P13,P13)-1</f>
        <v>10</v>
      </c>
      <c r="T13" s="17" t="str">
        <f ca="1">INDEX($N$4:$P$15,MATCH(10,$R$4:$R$15,0),2)</f>
        <v>Nadzór i administracja</v>
      </c>
      <c r="U13" s="12">
        <f ca="1">INDEX($N$4:$P$15,MATCH(10,$R$4:$R$15,0),3)</f>
        <v>6</v>
      </c>
      <c r="AA13" s="18"/>
      <c r="AD13" s="18"/>
    </row>
    <row r="14" spans="2:30" x14ac:dyDescent="0.25">
      <c r="B14" s="381" t="s">
        <v>13073</v>
      </c>
      <c r="C14" s="382" t="s">
        <v>3487</v>
      </c>
      <c r="D14" s="383">
        <f>SUM(D12:D13)</f>
        <v>541</v>
      </c>
      <c r="E14" s="383">
        <f>SUM(E12:E13)</f>
        <v>609</v>
      </c>
      <c r="F14" s="381"/>
      <c r="H14" s="322" t="s">
        <v>3471</v>
      </c>
      <c r="I14" s="322" t="s">
        <v>3567</v>
      </c>
      <c r="J14" s="316">
        <f>SUM(V35,V41)</f>
        <v>42</v>
      </c>
      <c r="N14" s="12">
        <v>11</v>
      </c>
      <c r="O14" s="11" t="s">
        <v>6</v>
      </c>
      <c r="P14" s="12">
        <f>SUM(Y34)</f>
        <v>7</v>
      </c>
      <c r="R14" s="12">
        <f ca="1">RANK(P14,$P$4:$P$15,0)+COUNTIF($P$4:P14,P14)-1</f>
        <v>9</v>
      </c>
      <c r="T14" s="17" t="str">
        <f ca="1">INDEX($N$4:$P$15,MATCH(11,$R$4:$R$15,0),2)</f>
        <v>Usługi typu krawiectwo, kaletnictwo, obuwnictwo + poszukiwanie + ochrona</v>
      </c>
      <c r="U14" s="12">
        <f ca="1">INDEX($N$4:$P$15,MATCH(11,$R$4:$R$15,0),3)</f>
        <v>3</v>
      </c>
      <c r="AA14" s="18"/>
      <c r="AD14" s="18"/>
    </row>
    <row r="15" spans="2:30" x14ac:dyDescent="0.25">
      <c r="B15" s="12">
        <v>5</v>
      </c>
      <c r="C15" s="17" t="s">
        <v>6392</v>
      </c>
      <c r="D15" s="26">
        <v>249</v>
      </c>
      <c r="E15" s="26">
        <v>258</v>
      </c>
      <c r="F15" s="12"/>
      <c r="H15" s="325" t="s">
        <v>3469</v>
      </c>
      <c r="I15" s="325" t="s">
        <v>6</v>
      </c>
      <c r="J15" s="326">
        <f>SUM(Y34)</f>
        <v>7</v>
      </c>
      <c r="N15" s="12">
        <v>12</v>
      </c>
      <c r="O15" s="17" t="s">
        <v>3574</v>
      </c>
      <c r="P15" s="12">
        <f>SUM(Y44)</f>
        <v>8</v>
      </c>
      <c r="R15" s="12">
        <f ca="1">RANK(P15,$P$4:$P$15,0)+COUNTIF($P$4:P15,P15)-1</f>
        <v>8</v>
      </c>
      <c r="T15" s="17" t="str">
        <f ca="1">INDEX($N$4:$P$15,MATCH(12,$R$4:$R$15,0),2)</f>
        <v>Usługi gastronomiczne</v>
      </c>
      <c r="U15" s="12">
        <f ca="1">INDEX($N$4:$P$15,MATCH(12,$R$4:$R$15,0),3)</f>
        <v>1</v>
      </c>
      <c r="AA15" s="18"/>
      <c r="AD15" s="18"/>
    </row>
    <row r="16" spans="2:30" x14ac:dyDescent="0.25">
      <c r="B16" s="12">
        <v>6</v>
      </c>
      <c r="C16" s="17" t="s">
        <v>6924</v>
      </c>
      <c r="D16" s="26">
        <v>173</v>
      </c>
      <c r="E16" s="26">
        <v>197</v>
      </c>
      <c r="F16" s="12"/>
      <c r="H16" s="472" t="s">
        <v>3473</v>
      </c>
      <c r="I16" s="472" t="s">
        <v>3574</v>
      </c>
      <c r="J16" s="473">
        <f>SUM(Y44)</f>
        <v>8</v>
      </c>
      <c r="N16" s="18"/>
      <c r="O16" s="89"/>
      <c r="P16" s="18"/>
      <c r="R16" s="18"/>
      <c r="T16" s="89"/>
      <c r="U16" s="18"/>
      <c r="AA16" s="18"/>
      <c r="AD16" s="18"/>
    </row>
    <row r="17" spans="2:30" x14ac:dyDescent="0.25">
      <c r="B17" s="381" t="s">
        <v>13074</v>
      </c>
      <c r="C17" s="382" t="s">
        <v>6929</v>
      </c>
      <c r="D17" s="383">
        <f>SUM(D15:D16)</f>
        <v>422</v>
      </c>
      <c r="E17" s="383">
        <f>SUM(E15:E16)</f>
        <v>455</v>
      </c>
      <c r="F17" s="381"/>
      <c r="H17" s="48"/>
      <c r="I17" s="48"/>
      <c r="J17" s="36">
        <f ca="1">SUM(J12:J16)</f>
        <v>769</v>
      </c>
      <c r="N17" s="18"/>
      <c r="O17" s="89"/>
      <c r="P17" s="18"/>
      <c r="R17" s="18"/>
      <c r="T17" s="89"/>
      <c r="U17" s="18"/>
      <c r="AA17" s="18"/>
      <c r="AD17" s="18"/>
    </row>
    <row r="18" spans="2:30" x14ac:dyDescent="0.25">
      <c r="B18" s="12">
        <v>7</v>
      </c>
      <c r="C18" s="17" t="s">
        <v>6928</v>
      </c>
      <c r="D18" s="26">
        <v>97</v>
      </c>
      <c r="E18" s="26">
        <v>97</v>
      </c>
      <c r="F18" s="12"/>
      <c r="H18" s="184"/>
      <c r="I18" s="184"/>
      <c r="J18" s="183"/>
      <c r="N18" s="18"/>
      <c r="O18" s="89"/>
      <c r="P18" s="18"/>
      <c r="R18" s="18"/>
      <c r="T18" s="89"/>
      <c r="U18" s="18"/>
      <c r="AA18" s="18"/>
      <c r="AC18" s="20"/>
      <c r="AD18" s="18"/>
    </row>
    <row r="19" spans="2:30" x14ac:dyDescent="0.25">
      <c r="B19" s="12">
        <v>8</v>
      </c>
      <c r="C19" s="17" t="s">
        <v>7785</v>
      </c>
      <c r="D19" s="26">
        <v>224</v>
      </c>
      <c r="E19" s="26">
        <v>224</v>
      </c>
      <c r="F19" s="12"/>
      <c r="H19" s="184"/>
      <c r="I19" s="184"/>
      <c r="J19" s="183"/>
      <c r="N19" s="18"/>
      <c r="O19" s="89"/>
      <c r="P19" s="18"/>
      <c r="R19" s="18"/>
      <c r="T19" s="89"/>
      <c r="U19" s="18"/>
      <c r="AA19" s="18"/>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8"/>
      <c r="AC20" s="20"/>
      <c r="AD20" s="18"/>
    </row>
    <row r="21" spans="2:30" x14ac:dyDescent="0.25">
      <c r="B21" s="12">
        <v>9</v>
      </c>
      <c r="C21" s="17" t="s">
        <v>7800</v>
      </c>
      <c r="D21" s="26">
        <v>156</v>
      </c>
      <c r="E21" s="26">
        <v>165</v>
      </c>
      <c r="F21" s="12"/>
      <c r="G21" s="135"/>
      <c r="H21" s="184"/>
      <c r="I21" s="184"/>
      <c r="J21" s="183"/>
      <c r="N21" s="18"/>
      <c r="O21" s="89"/>
      <c r="P21" s="18"/>
      <c r="R21" s="18"/>
      <c r="T21" s="89"/>
      <c r="U21" s="18"/>
      <c r="AA21" s="18"/>
      <c r="AC21" s="20"/>
      <c r="AD21" s="18"/>
    </row>
    <row r="22" spans="2:30" x14ac:dyDescent="0.25">
      <c r="B22" s="12">
        <v>10</v>
      </c>
      <c r="C22" s="17" t="s">
        <v>8303</v>
      </c>
      <c r="D22" s="26">
        <v>237</v>
      </c>
      <c r="E22" s="26">
        <v>242</v>
      </c>
      <c r="F22" s="12"/>
      <c r="G22" s="135"/>
      <c r="H22" s="184"/>
      <c r="I22" s="184"/>
      <c r="J22" s="183"/>
      <c r="N22" s="18"/>
      <c r="O22" s="89"/>
      <c r="P22" s="18"/>
      <c r="R22" s="18"/>
      <c r="T22" s="89"/>
      <c r="U22" s="18"/>
      <c r="AA22" s="18"/>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18"/>
      <c r="AC23" s="20"/>
      <c r="AD23" s="18"/>
    </row>
    <row r="24" spans="2:30" x14ac:dyDescent="0.25">
      <c r="B24" s="12">
        <v>11</v>
      </c>
      <c r="C24" s="17" t="s">
        <v>13054</v>
      </c>
      <c r="D24" s="26">
        <v>1022</v>
      </c>
      <c r="E24" s="26">
        <v>1030</v>
      </c>
      <c r="F24" s="12"/>
      <c r="G24" s="135"/>
      <c r="H24" s="184"/>
      <c r="I24" s="184"/>
      <c r="J24" s="183"/>
      <c r="N24" s="18"/>
      <c r="O24" s="89"/>
      <c r="P24" s="18"/>
      <c r="R24" s="18"/>
      <c r="T24" s="89"/>
      <c r="U24" s="18"/>
      <c r="AB24" s="2"/>
      <c r="AC24" s="20"/>
      <c r="AD24" s="18"/>
    </row>
    <row r="25" spans="2:30" x14ac:dyDescent="0.25">
      <c r="B25" s="12">
        <v>12</v>
      </c>
      <c r="C25" s="17" t="s">
        <v>13106</v>
      </c>
      <c r="D25" s="26">
        <v>701</v>
      </c>
      <c r="E25" s="26">
        <v>704</v>
      </c>
      <c r="F25" s="12"/>
      <c r="G25" s="135"/>
      <c r="H25" s="184"/>
      <c r="I25" s="184"/>
      <c r="J25" s="183"/>
      <c r="N25" s="18"/>
      <c r="O25" s="89"/>
      <c r="P25" s="18"/>
      <c r="R25" s="18"/>
      <c r="T25" s="89"/>
      <c r="U25" s="18"/>
      <c r="AC25" s="20"/>
      <c r="AD25" s="18"/>
    </row>
    <row r="26" spans="2:30" x14ac:dyDescent="0.25">
      <c r="B26" s="381" t="s">
        <v>13107</v>
      </c>
      <c r="C26" s="382" t="s">
        <v>13108</v>
      </c>
      <c r="D26" s="383">
        <f>SUM(D24:D25)</f>
        <v>1723</v>
      </c>
      <c r="E26" s="383">
        <f>SUM(E24:E25)</f>
        <v>1734</v>
      </c>
      <c r="F26" s="381"/>
      <c r="G26" s="135"/>
      <c r="H26" s="184"/>
      <c r="I26" s="184"/>
      <c r="J26" s="183"/>
      <c r="N26" s="18"/>
      <c r="O26" s="89"/>
      <c r="P26" s="18"/>
      <c r="R26" s="18"/>
      <c r="T26" s="89"/>
      <c r="U26" s="18"/>
      <c r="AC26" s="20"/>
      <c r="AD26" s="18"/>
    </row>
    <row r="27" spans="2:30" x14ac:dyDescent="0.25">
      <c r="B27" s="12">
        <v>13</v>
      </c>
      <c r="C27" s="17" t="s">
        <v>17622</v>
      </c>
      <c r="D27" s="26">
        <v>769</v>
      </c>
      <c r="E27" s="26">
        <v>773</v>
      </c>
      <c r="F27" s="12" t="s">
        <v>17632</v>
      </c>
      <c r="G27" s="135">
        <f>SUM(D27-D21)</f>
        <v>613</v>
      </c>
      <c r="H27" s="184"/>
      <c r="I27" s="184"/>
      <c r="J27" s="183"/>
      <c r="N27" s="18"/>
      <c r="O27" s="89"/>
      <c r="P27" s="18"/>
      <c r="R27" s="18"/>
      <c r="T27" s="89"/>
      <c r="U27" s="18"/>
      <c r="AC27" s="20"/>
      <c r="AD27" s="18"/>
    </row>
    <row r="28" spans="2:30" x14ac:dyDescent="0.25">
      <c r="B28" s="107">
        <v>14</v>
      </c>
      <c r="C28" s="106" t="s">
        <v>17629</v>
      </c>
      <c r="D28" s="105">
        <v>766</v>
      </c>
      <c r="E28" s="105">
        <v>769</v>
      </c>
      <c r="F28" s="107" t="s">
        <v>19922</v>
      </c>
      <c r="G28" s="135">
        <f>SUM(D28-D22)</f>
        <v>529</v>
      </c>
      <c r="H28" s="184"/>
      <c r="I28" s="184"/>
      <c r="J28" s="183"/>
      <c r="N28" s="18"/>
      <c r="O28" s="89"/>
      <c r="P28" s="18"/>
      <c r="R28" s="18"/>
      <c r="T28" s="89"/>
      <c r="U28" s="18"/>
      <c r="AC28" s="20"/>
      <c r="AD28" s="18"/>
    </row>
    <row r="29" spans="2:30" x14ac:dyDescent="0.25">
      <c r="B29" s="18"/>
      <c r="C29" s="89"/>
      <c r="E29" s="135"/>
      <c r="F29" s="20"/>
      <c r="N29" s="242"/>
      <c r="O29" s="242"/>
      <c r="P29" s="243">
        <f ca="1">SUM(P4:P15)</f>
        <v>769</v>
      </c>
      <c r="R29" s="242"/>
      <c r="T29" s="243"/>
      <c r="U29" s="246">
        <f ca="1">SUM(U4:U15)</f>
        <v>769</v>
      </c>
      <c r="AC29" s="20"/>
      <c r="AD29" s="20"/>
    </row>
    <row r="30" spans="2:30" x14ac:dyDescent="0.25">
      <c r="B30" s="476" t="s">
        <v>170</v>
      </c>
      <c r="C30" s="476"/>
      <c r="D30" s="476"/>
      <c r="E30" s="476" t="s">
        <v>2</v>
      </c>
      <c r="F30" s="476"/>
      <c r="G30" s="476"/>
      <c r="H30" s="476" t="s">
        <v>3</v>
      </c>
      <c r="I30" s="476"/>
      <c r="J30" s="476"/>
      <c r="K30" s="488" t="s">
        <v>3589</v>
      </c>
      <c r="L30" s="488"/>
      <c r="M30" s="488"/>
      <c r="N30" s="488" t="s">
        <v>1</v>
      </c>
      <c r="O30" s="488"/>
      <c r="P30" s="488"/>
      <c r="Q30" s="407" t="s">
        <v>4</v>
      </c>
      <c r="R30" s="407"/>
      <c r="S30" s="407"/>
      <c r="T30" s="314" t="s">
        <v>5</v>
      </c>
      <c r="U30" s="314"/>
      <c r="V30" s="314"/>
      <c r="W30" s="328" t="s">
        <v>6</v>
      </c>
      <c r="X30" s="328"/>
      <c r="Y30" s="327"/>
      <c r="AD30" s="18"/>
    </row>
    <row r="31" spans="2:30" x14ac:dyDescent="0.25">
      <c r="B31" s="478" t="s">
        <v>3469</v>
      </c>
      <c r="C31" s="477"/>
      <c r="D31" s="479"/>
      <c r="E31" s="478" t="s">
        <v>3470</v>
      </c>
      <c r="F31" s="477"/>
      <c r="G31" s="479"/>
      <c r="H31" s="478" t="s">
        <v>3470</v>
      </c>
      <c r="I31" s="478"/>
      <c r="J31" s="479"/>
      <c r="K31" s="489"/>
      <c r="L31" s="490"/>
      <c r="M31" s="489"/>
      <c r="N31" s="489"/>
      <c r="O31" s="490"/>
      <c r="P31" s="489"/>
      <c r="Q31" s="489"/>
      <c r="R31" s="490"/>
      <c r="S31" s="489"/>
      <c r="T31" s="98"/>
      <c r="U31" s="99"/>
      <c r="V31" s="315"/>
      <c r="W31" s="323"/>
      <c r="X31" s="324"/>
      <c r="Y31" s="325"/>
      <c r="AD31" s="18"/>
    </row>
    <row r="32" spans="2:30" x14ac:dyDescent="0.25">
      <c r="B32" s="108">
        <v>2141</v>
      </c>
      <c r="C32" s="390" t="s">
        <v>3569</v>
      </c>
      <c r="D32" s="390">
        <f>SUMIF('II kw.22'!AJ2:AJ830,"2141*",'II kw.22'!F2:F830)</f>
        <v>6</v>
      </c>
      <c r="E32" s="108">
        <v>2113</v>
      </c>
      <c r="F32" s="11" t="s">
        <v>3491</v>
      </c>
      <c r="G32" s="475">
        <f>SUMIF('II kw.22'!AJ2:AJ830,"2113*",'II kw.22'!F2:F830)</f>
        <v>4</v>
      </c>
      <c r="H32" s="122">
        <v>2142</v>
      </c>
      <c r="I32" s="399" t="s">
        <v>3494</v>
      </c>
      <c r="J32" s="475">
        <f>SUMIF('II kw.22'!AJ2:AJ830,"2142*",'II kw.22'!F2:F830)</f>
        <v>10</v>
      </c>
      <c r="K32" s="425">
        <v>315</v>
      </c>
      <c r="L32" s="11" t="s">
        <v>3532</v>
      </c>
      <c r="M32" s="487">
        <f>SUMIF('II kw.22'!AJ2:AJ830,"315*",'II kw.22'!F2:F830)</f>
        <v>0</v>
      </c>
      <c r="N32" s="108">
        <v>2166</v>
      </c>
      <c r="O32" s="11" t="s">
        <v>3510</v>
      </c>
      <c r="P32" s="487">
        <f>SUMIF('II kw.22'!AJ2:AJ830,"2166*",'II kw.22'!F2:F830)</f>
        <v>1</v>
      </c>
      <c r="Q32" s="405">
        <v>22</v>
      </c>
      <c r="R32" s="406" t="s">
        <v>3511</v>
      </c>
      <c r="S32" s="487">
        <f>SUMIF('II kw.22'!AJ2:AJ830,"22*",'II kw.22'!F2:F830)</f>
        <v>9</v>
      </c>
      <c r="T32" s="118">
        <v>23</v>
      </c>
      <c r="U32" s="11" t="s">
        <v>3512</v>
      </c>
      <c r="V32" s="316">
        <f>SUMIF('II kw.22'!AJ2:AJ830,"23*",'II kw.22'!F2:F830)</f>
        <v>6</v>
      </c>
      <c r="W32" s="131">
        <v>7549</v>
      </c>
      <c r="X32" s="11" t="s">
        <v>3561</v>
      </c>
      <c r="Y32" s="326">
        <f>SUMIF('II kw.22'!AJ2:AJ830,"7549*",'II kw.22'!F2:F830)</f>
        <v>4</v>
      </c>
      <c r="AD32" s="18"/>
    </row>
    <row r="33" spans="2:30" x14ac:dyDescent="0.25">
      <c r="B33" s="108">
        <v>2132</v>
      </c>
      <c r="C33" s="11" t="s">
        <v>3493</v>
      </c>
      <c r="D33" s="480">
        <f>SUMIF('II kw.22'!AJ2:AJ830,"2132*",'II kw.22'!F2:F830)</f>
        <v>2</v>
      </c>
      <c r="E33" s="108">
        <v>2145</v>
      </c>
      <c r="F33" s="11" t="s">
        <v>3496</v>
      </c>
      <c r="G33" s="475">
        <f>SUMIF('II kw.22'!AJ2:AJ830,"2145*",'II kw.22'!F2:F830)</f>
        <v>0</v>
      </c>
      <c r="H33" s="122">
        <v>2143</v>
      </c>
      <c r="I33" s="11" t="s">
        <v>93</v>
      </c>
      <c r="J33" s="475">
        <f>SUMIF('II kw.22'!AJ2:AJ830,"2143*",'II kw.22'!F2:F830)</f>
        <v>6</v>
      </c>
      <c r="K33" s="426">
        <v>42</v>
      </c>
      <c r="L33" s="11" t="s">
        <v>3537</v>
      </c>
      <c r="M33" s="487">
        <f>SUMIF('II kw.22'!AJ2:AJ830,"42*",'II kw.22'!F2:F830)</f>
        <v>7</v>
      </c>
      <c r="N33" s="118">
        <v>24</v>
      </c>
      <c r="O33" s="368" t="s">
        <v>3571</v>
      </c>
      <c r="P33" s="107">
        <f>SUMIF('II kw.22'!AJ2:AJ830,"24*",'II kw.22'!F2:F830)</f>
        <v>121</v>
      </c>
      <c r="Q33" s="405">
        <v>32</v>
      </c>
      <c r="R33" s="406" t="s">
        <v>3533</v>
      </c>
      <c r="S33" s="487">
        <f>SUMIF('II kw.22'!AJ2:AJ830,"32*",'II kw.22'!F2:F830)</f>
        <v>7</v>
      </c>
      <c r="T33" s="118">
        <v>26</v>
      </c>
      <c r="U33" s="11" t="s">
        <v>3572</v>
      </c>
      <c r="V33" s="316">
        <f>SUMIF('II kw.22'!AJ2:AJ830,"26*",'II kw.22'!F2:F830)</f>
        <v>27</v>
      </c>
      <c r="W33" s="119">
        <v>9</v>
      </c>
      <c r="X33" s="11" t="s">
        <v>3565</v>
      </c>
      <c r="Y33" s="326">
        <f>SUMIF('II kw.22'!AJ2:AJ830,"9*",'II kw.22'!F2:F830)</f>
        <v>3</v>
      </c>
      <c r="AD33" s="18"/>
    </row>
    <row r="34" spans="2:30" x14ac:dyDescent="0.25">
      <c r="B34" s="108">
        <v>2146</v>
      </c>
      <c r="C34" s="11" t="s">
        <v>3497</v>
      </c>
      <c r="D34" s="475">
        <f>SUMIF('II kw.22'!AJ2:AJ830,"2146*",'II kw.22'!F2:F830)</f>
        <v>0</v>
      </c>
      <c r="E34" s="108">
        <v>2131</v>
      </c>
      <c r="F34" s="11" t="s">
        <v>3492</v>
      </c>
      <c r="G34" s="475">
        <f>SUMIF('II kw.22'!AJ2:AJ830,"2131*",'II kw.22'!F2:F830)</f>
        <v>2</v>
      </c>
      <c r="H34" s="122">
        <v>2161</v>
      </c>
      <c r="I34" s="11" t="s">
        <v>3507</v>
      </c>
      <c r="J34" s="475">
        <f>SUMIF('II kw.22'!AJ2:AJ830,"2161*",'II kw.22'!F2:F830)</f>
        <v>7</v>
      </c>
      <c r="K34" s="426">
        <v>43</v>
      </c>
      <c r="L34" s="103" t="s">
        <v>3538</v>
      </c>
      <c r="M34" s="107">
        <f>SUMIF('II kw.22'!AJ2:AJ830,"43*",'II kw.22'!F2:F830)</f>
        <v>16</v>
      </c>
      <c r="N34" s="125">
        <v>33</v>
      </c>
      <c r="O34" s="368" t="s">
        <v>3534</v>
      </c>
      <c r="P34" s="107">
        <f>SUMIF('II kw.22'!AJ2:AJ830,"33*",'II kw.22'!F2:F830)</f>
        <v>93</v>
      </c>
      <c r="Q34" s="405">
        <v>53</v>
      </c>
      <c r="R34" s="406" t="s">
        <v>3542</v>
      </c>
      <c r="S34" s="487">
        <f>SUMIF('II kw.22'!AJ2:AJ830,"53*",'II kw.22'!F2:F830)</f>
        <v>1</v>
      </c>
      <c r="T34" s="125">
        <v>34</v>
      </c>
      <c r="U34" s="11" t="s">
        <v>3535</v>
      </c>
      <c r="V34" s="316">
        <f>SUMIF('II kw.22'!AJ2:AJ830,"34*",'II kw.22'!F2:F830)</f>
        <v>3</v>
      </c>
      <c r="W34" s="37"/>
      <c r="Y34" s="326">
        <f>SUM(Y32:Y33)</f>
        <v>7</v>
      </c>
      <c r="AD34" s="18"/>
    </row>
    <row r="35" spans="2:30" ht="15" customHeight="1" x14ac:dyDescent="0.25">
      <c r="B35" s="121">
        <v>3113</v>
      </c>
      <c r="C35" s="11" t="s">
        <v>3520</v>
      </c>
      <c r="D35" s="475">
        <f>SUMIF('II kw.22'!AJ2:AJ830,"3113*",'II kw.22'!F2:F830)</f>
        <v>1</v>
      </c>
      <c r="E35" s="108">
        <v>2144</v>
      </c>
      <c r="F35" s="399" t="s">
        <v>3495</v>
      </c>
      <c r="G35" s="482">
        <f>SUMIF('II kw.22'!AJ2:AJ830,"2144*",'II kw.22'!F2:F830)</f>
        <v>7</v>
      </c>
      <c r="H35" s="122">
        <v>2162</v>
      </c>
      <c r="I35" s="11" t="s">
        <v>3508</v>
      </c>
      <c r="J35" s="475">
        <f>SUMIF('II kw.22'!AJ2:AJ830,"2162*",'II kw.22'!F2:F830)</f>
        <v>0</v>
      </c>
      <c r="K35" s="427">
        <v>52</v>
      </c>
      <c r="L35" s="103" t="s">
        <v>3541</v>
      </c>
      <c r="M35" s="107">
        <f>SUMIF('II kw.22'!AJ2:AJ830,"52*",'II kw.22'!F2:F830)</f>
        <v>64</v>
      </c>
      <c r="N35" s="127">
        <v>51</v>
      </c>
      <c r="O35" s="11" t="s">
        <v>3540</v>
      </c>
      <c r="P35" s="487">
        <f>SUMIF('II kw.22'!AJ2:AJ830,"51*",'II kw.22'!F2:F830)</f>
        <v>6</v>
      </c>
      <c r="Q35" s="37"/>
      <c r="S35" s="487">
        <f>SUM(S32:S34)</f>
        <v>17</v>
      </c>
      <c r="V35" s="317">
        <f>SUM(V32:V34)</f>
        <v>36</v>
      </c>
      <c r="W35" s="37"/>
      <c r="AD35" s="20"/>
    </row>
    <row r="36" spans="2:30" x14ac:dyDescent="0.25">
      <c r="B36" s="121">
        <v>3114</v>
      </c>
      <c r="C36" s="11" t="s">
        <v>3521</v>
      </c>
      <c r="D36" s="475">
        <f>SUMIF('II kw.22'!AJ2:AJ830,"3114*",'II kw.22'!F2:F830)</f>
        <v>4</v>
      </c>
      <c r="E36" s="108">
        <v>2149</v>
      </c>
      <c r="F36" s="399" t="s">
        <v>3498</v>
      </c>
      <c r="G36" s="482">
        <f>SUMIF('II kw.22'!AJ2:AJ830,"2149*",'II kw.22'!F2:F830)</f>
        <v>22</v>
      </c>
      <c r="H36" s="108">
        <v>2164</v>
      </c>
      <c r="I36" s="11" t="s">
        <v>3585</v>
      </c>
      <c r="J36" s="475">
        <f>SUMIF('II kw.22'!AJ2:AJ830,"2164*",'II kw.22'!F2:F830)</f>
        <v>0</v>
      </c>
      <c r="K36" s="428">
        <v>83</v>
      </c>
      <c r="L36" s="11" t="s">
        <v>3564</v>
      </c>
      <c r="M36" s="487">
        <f>SUMIF('II kw.22'!AJ2:AJ830,"83*",'II kw.22'!F2:F830)</f>
        <v>18</v>
      </c>
      <c r="N36" s="120">
        <v>14</v>
      </c>
      <c r="O36" s="11" t="s">
        <v>3578</v>
      </c>
      <c r="P36" s="487">
        <f>SUMIF('II kw.22'!AJ2:AJ830,"14*",'II kw.22'!F2:F830)</f>
        <v>28</v>
      </c>
      <c r="Q36" s="37"/>
      <c r="T36" s="1" t="s">
        <v>0</v>
      </c>
      <c r="U36" s="94"/>
      <c r="V36" s="20"/>
      <c r="W36" s="37" t="s">
        <v>3574</v>
      </c>
    </row>
    <row r="37" spans="2:30" x14ac:dyDescent="0.25">
      <c r="B37" s="401">
        <v>3115</v>
      </c>
      <c r="C37" s="8" t="s">
        <v>3522</v>
      </c>
      <c r="D37" s="9">
        <f>SUMIF('II kw.22'!AJ2:AJ830,"3115*",'II kw.22'!F2:F830)</f>
        <v>8</v>
      </c>
      <c r="E37" s="389">
        <v>2149</v>
      </c>
      <c r="F37" s="11" t="s">
        <v>3499</v>
      </c>
      <c r="G37" s="483" t="s">
        <v>3573</v>
      </c>
      <c r="H37" s="122">
        <v>2165</v>
      </c>
      <c r="I37" s="11" t="s">
        <v>3509</v>
      </c>
      <c r="J37" s="475">
        <f>SUMIF('II kw.22'!AJ2:AJ830,"2165*",'II kw.22'!F2:F830)</f>
        <v>0</v>
      </c>
      <c r="K37" s="429">
        <v>12</v>
      </c>
      <c r="L37" s="11" t="s">
        <v>3576</v>
      </c>
      <c r="M37" s="487">
        <f>SUMIF('II kw.22'!AJ2:AJ830,"12*",'II kw.22'!F2:F830)</f>
        <v>30</v>
      </c>
      <c r="P37" s="487">
        <f>SUM(P32:P36)</f>
        <v>249</v>
      </c>
      <c r="Q37" s="37"/>
      <c r="T37" s="321"/>
      <c r="U37" s="320"/>
      <c r="V37" s="318"/>
      <c r="W37" s="470"/>
      <c r="X37" s="471"/>
      <c r="Y37" s="472"/>
    </row>
    <row r="38" spans="2:30" x14ac:dyDescent="0.25">
      <c r="B38" s="401">
        <v>3116</v>
      </c>
      <c r="C38" s="8" t="s">
        <v>3523</v>
      </c>
      <c r="D38" s="9">
        <f>SUMIF('II kw.22'!AJ2:AJ830,"3116*",'II kw.22'!F2:F830)</f>
        <v>3</v>
      </c>
      <c r="E38" s="389">
        <v>2149</v>
      </c>
      <c r="F38" s="11" t="s">
        <v>3500</v>
      </c>
      <c r="G38" s="483" t="s">
        <v>3573</v>
      </c>
      <c r="H38" s="126">
        <v>3111</v>
      </c>
      <c r="I38" s="11" t="s">
        <v>3587</v>
      </c>
      <c r="J38" s="475">
        <f>SUMIF('II kw.22'!AJ2:AJ830,"3111*",'II kw.22'!F2:F830)</f>
        <v>1</v>
      </c>
      <c r="K38" s="89"/>
      <c r="L38" s="20"/>
      <c r="M38" s="487">
        <f>SUM(M32:M37)</f>
        <v>135</v>
      </c>
      <c r="Q38" s="37"/>
      <c r="T38" s="116">
        <v>41</v>
      </c>
      <c r="U38" s="11" t="s">
        <v>3592</v>
      </c>
      <c r="V38" s="316">
        <f>SUMIF('II kw.22'!AJ2:AJ830,"41*",'II kw.22'!F2:F830)</f>
        <v>6</v>
      </c>
      <c r="W38" s="120">
        <v>11</v>
      </c>
      <c r="X38" s="11" t="s">
        <v>3575</v>
      </c>
      <c r="Y38" s="473">
        <f>SUMIF('II kw.22'!AJ2:AJ830,"11*",'II kw.22'!F2:F830)</f>
        <v>6</v>
      </c>
    </row>
    <row r="39" spans="2:30" x14ac:dyDescent="0.25">
      <c r="B39" s="121">
        <v>3117</v>
      </c>
      <c r="C39" s="11" t="s">
        <v>3524</v>
      </c>
      <c r="D39" s="475">
        <f>SUMIF('II kw.22'!AJ2:AJ830,"3117*",'II kw.22'!F2:F830)</f>
        <v>2</v>
      </c>
      <c r="E39" s="389">
        <v>2149</v>
      </c>
      <c r="F39" s="11" t="s">
        <v>3501</v>
      </c>
      <c r="G39" s="483" t="s">
        <v>3573</v>
      </c>
      <c r="H39" s="126">
        <v>3112</v>
      </c>
      <c r="I39" s="399" t="s">
        <v>3519</v>
      </c>
      <c r="J39" s="475">
        <f>SUMIF('II kw.22'!AJ2:AJ830,"3112*",'II kw.22'!F2:F830)</f>
        <v>1</v>
      </c>
      <c r="K39" s="89"/>
      <c r="L39" s="20"/>
      <c r="M39" s="20"/>
      <c r="N39" s="100" t="s">
        <v>134</v>
      </c>
      <c r="O39" s="93"/>
      <c r="Q39" s="37"/>
      <c r="T39" s="116">
        <v>44</v>
      </c>
      <c r="U39" s="11" t="s">
        <v>3539</v>
      </c>
      <c r="V39" s="316">
        <f>SUMIF('II kw.22'!AJ2:AJ830,"44*",'II kw.22'!F2:F830)</f>
        <v>0</v>
      </c>
      <c r="W39" s="108">
        <v>2111</v>
      </c>
      <c r="X39" s="11" t="s">
        <v>3580</v>
      </c>
      <c r="Y39" s="473">
        <f>SUMIF('II kw.22'!AJ2:AJ830,"2111*",'II kw.22'!F2:F830)</f>
        <v>0</v>
      </c>
    </row>
    <row r="40" spans="2:30" x14ac:dyDescent="0.25">
      <c r="B40" s="121">
        <v>3119</v>
      </c>
      <c r="C40" s="396" t="s">
        <v>3526</v>
      </c>
      <c r="D40" s="397">
        <f>SUMIF('II kw.22'!AJ2:AJ830,"3119*",'II kw.22'!F2:F830)</f>
        <v>8</v>
      </c>
      <c r="E40" s="389">
        <v>2149</v>
      </c>
      <c r="F40" s="11" t="s">
        <v>3502</v>
      </c>
      <c r="G40" s="483" t="s">
        <v>3573</v>
      </c>
      <c r="H40" s="126">
        <v>3118</v>
      </c>
      <c r="I40" s="11" t="s">
        <v>3525</v>
      </c>
      <c r="J40" s="475">
        <f>SUMIF('II kw.22'!AJ2:AJ830,"3118*",'II kw.22'!F2:F830)</f>
        <v>0</v>
      </c>
      <c r="K40" s="89"/>
      <c r="L40" s="20"/>
      <c r="M40" s="20"/>
      <c r="N40" s="489"/>
      <c r="O40" s="490"/>
      <c r="P40" s="486"/>
      <c r="Q40" s="37"/>
      <c r="T40" s="131">
        <v>7515</v>
      </c>
      <c r="U40" s="11" t="s">
        <v>3552</v>
      </c>
      <c r="V40" s="319">
        <f>SUMIF('II kw.22'!AJ2:AJ830,"7515*",'II kw.22'!F2:F830)</f>
        <v>0</v>
      </c>
      <c r="W40" s="108">
        <v>2112</v>
      </c>
      <c r="X40" s="11" t="s">
        <v>3581</v>
      </c>
      <c r="Y40" s="473">
        <f>SUMIF('II kw.22'!AJ2:AJ830,"2112*",'II kw.22'!F2:F830)</f>
        <v>0</v>
      </c>
    </row>
    <row r="41" spans="2:30" x14ac:dyDescent="0.25">
      <c r="B41" s="121">
        <v>3121</v>
      </c>
      <c r="C41" s="11" t="s">
        <v>3527</v>
      </c>
      <c r="D41" s="475">
        <f>SUMIF('II kw.22'!AJ2:AJ830,"3121*",'II kw.22'!F2:F830)</f>
        <v>0</v>
      </c>
      <c r="E41" s="389">
        <v>2149</v>
      </c>
      <c r="F41" s="11" t="s">
        <v>3503</v>
      </c>
      <c r="G41" s="483" t="s">
        <v>3573</v>
      </c>
      <c r="H41" s="126">
        <v>3123</v>
      </c>
      <c r="I41" s="11" t="s">
        <v>3529</v>
      </c>
      <c r="J41" s="475">
        <f>SUMIF('II kw.22'!AJ2:AJ830,"3123*",'II kw.22'!F2:F830)</f>
        <v>0</v>
      </c>
      <c r="K41" s="89"/>
      <c r="L41" s="20"/>
      <c r="N41" s="131">
        <v>7512</v>
      </c>
      <c r="O41" s="11" t="s">
        <v>3549</v>
      </c>
      <c r="P41" s="487">
        <f>SUMIF('II kw.22'!AJ2:AJ830,"7512*",'II kw.22'!F2:F830)</f>
        <v>1</v>
      </c>
      <c r="Q41" s="37"/>
      <c r="T41" s="37"/>
      <c r="V41" s="317">
        <f>SUM(V38:V40)</f>
        <v>6</v>
      </c>
      <c r="W41" s="108">
        <v>2114</v>
      </c>
      <c r="X41" s="11" t="s">
        <v>3582</v>
      </c>
      <c r="Y41" s="473">
        <f>SUMIF('II kw.22'!AJ2:AJ830,"2114*",'II kw.22'!F2:F830)</f>
        <v>0</v>
      </c>
    </row>
    <row r="42" spans="2:30" x14ac:dyDescent="0.25">
      <c r="B42" s="121">
        <v>3122</v>
      </c>
      <c r="C42" s="11" t="s">
        <v>3528</v>
      </c>
      <c r="D42" s="475">
        <f>SUMIF('II kw.22'!AJ2:AJ830,"3122*",'II kw.22'!F2:F830)</f>
        <v>0</v>
      </c>
      <c r="E42" s="108">
        <v>2151</v>
      </c>
      <c r="F42" s="11" t="s">
        <v>3504</v>
      </c>
      <c r="G42" s="475">
        <f>SUMIF('II kw.22'!AJ2:AJ830,"2151*",'II kw.22'!F2:F830)</f>
        <v>5</v>
      </c>
      <c r="H42" s="129">
        <v>71</v>
      </c>
      <c r="I42" s="399" t="s">
        <v>3544</v>
      </c>
      <c r="J42" s="475">
        <f>SUMIF('II kw.22'!AJ2:AJ830,"71*",'II kw.22'!F2:F830)</f>
        <v>3</v>
      </c>
      <c r="K42" s="89"/>
      <c r="L42" s="20"/>
      <c r="M42" s="20"/>
      <c r="P42" s="487">
        <f>SUM(P41)</f>
        <v>1</v>
      </c>
      <c r="Q42" s="37"/>
      <c r="T42" s="37"/>
      <c r="W42" s="108">
        <v>2120</v>
      </c>
      <c r="X42" s="11" t="s">
        <v>3583</v>
      </c>
      <c r="Y42" s="473">
        <f>SUMIF('II kw.22'!AJ2:AJ830,"2120*",'II kw.22'!F2:F830)</f>
        <v>2</v>
      </c>
    </row>
    <row r="43" spans="2:30" x14ac:dyDescent="0.25">
      <c r="B43" s="416">
        <v>313</v>
      </c>
      <c r="C43" s="391" t="s">
        <v>3530</v>
      </c>
      <c r="D43" s="390">
        <f>SUMIF('II kw.22'!AJ2:AJ830,"313*",'II kw.22'!F2:F830)</f>
        <v>18</v>
      </c>
      <c r="E43" s="108">
        <v>2152</v>
      </c>
      <c r="F43" s="11" t="s">
        <v>3505</v>
      </c>
      <c r="G43" s="475">
        <f>SUMIF('II kw.22'!AJ2:AJ830,"2152*",'II kw.22'!F2:F830)</f>
        <v>4</v>
      </c>
      <c r="H43" s="132">
        <v>7521</v>
      </c>
      <c r="I43" s="11" t="s">
        <v>3553</v>
      </c>
      <c r="J43" s="475">
        <f>SUMIF('II kw.22'!AJ2:AJ830,"7521*",'II kw.22'!F2:F830)</f>
        <v>0</v>
      </c>
      <c r="K43" s="89"/>
      <c r="L43" s="20"/>
      <c r="M43" s="20"/>
      <c r="N43" s="94" t="s">
        <v>154</v>
      </c>
      <c r="O43" s="94"/>
      <c r="P43" s="18"/>
      <c r="T43" s="37"/>
      <c r="W43" s="119">
        <v>0</v>
      </c>
      <c r="X43" s="11" t="s">
        <v>3586</v>
      </c>
      <c r="Y43" s="473">
        <f>SUMIF('II kw.22'!AJ2:AJ830,"0*",'II kw.22'!F2:F830)</f>
        <v>0</v>
      </c>
    </row>
    <row r="44" spans="2:30" x14ac:dyDescent="0.25">
      <c r="B44" s="401">
        <v>314</v>
      </c>
      <c r="C44" s="8" t="s">
        <v>3531</v>
      </c>
      <c r="D44" s="9">
        <f>SUMIF('II kw.22'!AJ2:AJ830,"314*",'II kw.22'!F2:F830)</f>
        <v>2</v>
      </c>
      <c r="E44" s="108">
        <v>2153</v>
      </c>
      <c r="F44" s="11" t="s">
        <v>3506</v>
      </c>
      <c r="G44" s="475">
        <f>SUMIF('II kw.22'!AJ2:AJ830,"2153*",'II kw.22'!F2:F830)</f>
        <v>5</v>
      </c>
      <c r="H44" s="132">
        <v>7522</v>
      </c>
      <c r="I44" s="11" t="s">
        <v>3554</v>
      </c>
      <c r="J44" s="475">
        <f>SUMIF('II kw.22'!AJ2:AJ830,"7522*",'II kw.22'!F2:F830)</f>
        <v>0</v>
      </c>
      <c r="K44" s="89"/>
      <c r="L44" s="20"/>
      <c r="M44" s="20"/>
      <c r="N44" s="489"/>
      <c r="O44" s="490"/>
      <c r="P44" s="486"/>
      <c r="Y44" s="473">
        <f>SUM(Y38:Y43)</f>
        <v>8</v>
      </c>
    </row>
    <row r="45" spans="2:30" x14ac:dyDescent="0.25">
      <c r="B45" s="125">
        <v>35</v>
      </c>
      <c r="C45" s="391" t="s">
        <v>3536</v>
      </c>
      <c r="D45" s="390">
        <f>SUMIF('II kw.22'!AJ2:AJ830,"35*",'II kw.22'!F2:F830)</f>
        <v>5</v>
      </c>
      <c r="E45" s="118">
        <v>25</v>
      </c>
      <c r="F45" s="446" t="s">
        <v>3513</v>
      </c>
      <c r="G45" s="507">
        <f>SUMIF('II kw.22'!AJ2:AJ830,"25*",'II kw.22'!F2:F830)</f>
        <v>105</v>
      </c>
      <c r="J45" s="484">
        <f>SUM(J32:J44)</f>
        <v>28</v>
      </c>
      <c r="K45" s="89"/>
      <c r="L45" s="20"/>
      <c r="M45" s="20"/>
      <c r="N45" s="131">
        <v>753</v>
      </c>
      <c r="O45" s="11" t="s">
        <v>3556</v>
      </c>
      <c r="P45" s="487">
        <f>SUMIF('II kw.22'!AJ2:AJ830,"753*",'II kw.22'!F2:F830)</f>
        <v>0</v>
      </c>
    </row>
    <row r="46" spans="2:30" x14ac:dyDescent="0.25">
      <c r="B46" s="119">
        <v>6</v>
      </c>
      <c r="C46" s="11" t="s">
        <v>3543</v>
      </c>
      <c r="D46" s="475">
        <f>SUMIF('II kw.22'!AJ2:AJ830,"6*",'II kw.22'!F2:F830)</f>
        <v>0</v>
      </c>
      <c r="E46" s="130">
        <v>74</v>
      </c>
      <c r="F46" s="11" t="s">
        <v>3547</v>
      </c>
      <c r="G46" s="475">
        <f ca="1">SUMIF('II kw.22'!AJ2:AJ1032,"74*",'II kw.22'!F2:F830)</f>
        <v>11</v>
      </c>
      <c r="H46" s="89"/>
      <c r="I46" s="20"/>
      <c r="K46" s="20"/>
      <c r="L46" s="20"/>
      <c r="M46" s="20"/>
      <c r="N46" s="131">
        <v>7541</v>
      </c>
      <c r="O46" s="11" t="s">
        <v>3557</v>
      </c>
      <c r="P46" s="487">
        <f>SUMIF('II kw.22'!AJ2:AJ830,"7541*",'II kw.22'!F2:F830)</f>
        <v>0</v>
      </c>
    </row>
    <row r="47" spans="2:30" x14ac:dyDescent="0.25">
      <c r="B47" s="130">
        <v>72</v>
      </c>
      <c r="C47" s="396" t="s">
        <v>3545</v>
      </c>
      <c r="D47" s="397">
        <f>SUMIF('II kw.22'!AJ2:AJ830,"72*",'II kw.22'!F2:F830)</f>
        <v>12</v>
      </c>
      <c r="G47" s="481">
        <f ca="1">SUM(G32:G46)</f>
        <v>165</v>
      </c>
      <c r="N47" s="127">
        <v>54</v>
      </c>
      <c r="O47" s="11" t="s">
        <v>3588</v>
      </c>
      <c r="P47" s="487">
        <f>SUMIF('II kw.22'!AJ2:AJ830,"54*",'II kw.22'!F2:F830)</f>
        <v>3</v>
      </c>
    </row>
    <row r="48" spans="2:30" x14ac:dyDescent="0.25">
      <c r="B48" s="130">
        <v>73</v>
      </c>
      <c r="C48" s="11" t="s">
        <v>3546</v>
      </c>
      <c r="D48" s="475">
        <f>SUMIF('II kw.22'!AJ2:AJ830,"73*",'II kw.22'!F2:F830)</f>
        <v>0</v>
      </c>
      <c r="P48" s="487">
        <f>SUM(P45:P47)</f>
        <v>3</v>
      </c>
    </row>
    <row r="49" spans="2:20" x14ac:dyDescent="0.25">
      <c r="B49" s="131">
        <v>7511</v>
      </c>
      <c r="C49" s="11" t="s">
        <v>3548</v>
      </c>
      <c r="D49" s="475">
        <f>SUMIF('II kw.22'!AJ2:AJ830,"7511*",'II kw.22'!F2:F830)</f>
        <v>0</v>
      </c>
      <c r="T49" s="37"/>
    </row>
    <row r="50" spans="2:20" x14ac:dyDescent="0.25">
      <c r="B50" s="131">
        <v>7513</v>
      </c>
      <c r="C50" s="11" t="s">
        <v>3550</v>
      </c>
      <c r="D50" s="475">
        <f>SUMIF('II kw.22'!AJ2:AJ830,"7513*",'II kw.22'!F2:F830)</f>
        <v>0</v>
      </c>
      <c r="T50" s="37"/>
    </row>
    <row r="51" spans="2:20" x14ac:dyDescent="0.25">
      <c r="B51" s="131">
        <v>7514</v>
      </c>
      <c r="C51" s="11" t="s">
        <v>3551</v>
      </c>
      <c r="D51" s="475">
        <f>SUMIF('II kw.22'!AJ2:AJ830,"7514*",'II kw.22'!F2:F830)</f>
        <v>0</v>
      </c>
      <c r="T51" s="37"/>
    </row>
    <row r="52" spans="2:20" x14ac:dyDescent="0.25">
      <c r="B52" s="131">
        <v>7523</v>
      </c>
      <c r="C52" s="11" t="s">
        <v>3555</v>
      </c>
      <c r="D52" s="475">
        <f>SUMIF('II kw.22'!AJ2:AJ830,"7523*",'II kw.22'!F2:F830)</f>
        <v>0</v>
      </c>
      <c r="T52" s="37"/>
    </row>
    <row r="53" spans="2:20" x14ac:dyDescent="0.25">
      <c r="B53" s="131">
        <v>7542</v>
      </c>
      <c r="C53" s="11" t="s">
        <v>3558</v>
      </c>
      <c r="D53" s="475">
        <f>SUMIF('II kw.22'!AJ2:AJ830,"7542*",'II kw.22'!F2:F830)</f>
        <v>0</v>
      </c>
      <c r="T53" s="37"/>
    </row>
    <row r="54" spans="2:20" x14ac:dyDescent="0.25">
      <c r="B54" s="131">
        <v>7543</v>
      </c>
      <c r="C54" s="11" t="s">
        <v>3559</v>
      </c>
      <c r="D54" s="475">
        <f>SUMIF('II kw.22'!AJ2:AJ830,"7543*",'II kw.22'!F2:F830)</f>
        <v>0</v>
      </c>
    </row>
    <row r="55" spans="2:20" x14ac:dyDescent="0.25">
      <c r="B55" s="131">
        <v>7544</v>
      </c>
      <c r="C55" s="11" t="s">
        <v>3560</v>
      </c>
      <c r="D55" s="475">
        <f>SUMIF('II kw.22'!AJ2:AJ830,"7544*",'II kw.22'!F2:F830)</f>
        <v>0</v>
      </c>
    </row>
    <row r="56" spans="2:20" x14ac:dyDescent="0.25">
      <c r="B56" s="134">
        <v>81</v>
      </c>
      <c r="C56" s="11" t="s">
        <v>3562</v>
      </c>
      <c r="D56" s="475">
        <f>SUMIF('II kw.22'!AJ2:AJ830,"81*",'II kw.22'!F2:F830)</f>
        <v>4</v>
      </c>
    </row>
    <row r="57" spans="2:20" x14ac:dyDescent="0.25">
      <c r="B57" s="134">
        <v>82</v>
      </c>
      <c r="C57" s="11" t="s">
        <v>3563</v>
      </c>
      <c r="D57" s="475">
        <f>SUMIF('II kw.22'!AJ2:AJ830,"82*",'II kw.22'!F2:F830)</f>
        <v>4</v>
      </c>
    </row>
    <row r="58" spans="2:20" x14ac:dyDescent="0.25">
      <c r="B58" s="120">
        <v>13</v>
      </c>
      <c r="C58" s="396" t="s">
        <v>3577</v>
      </c>
      <c r="D58" s="397">
        <f>SUMIF('II kw.22'!AJ2:AJ830,"13*",'II kw.22'!F2:F830)</f>
        <v>35</v>
      </c>
    </row>
    <row r="59" spans="2:20" x14ac:dyDescent="0.25">
      <c r="B59" s="108">
        <v>2163</v>
      </c>
      <c r="C59" s="396" t="s">
        <v>3579</v>
      </c>
      <c r="D59" s="397">
        <f>SUMIF('II kw.22'!AJ2:AJ830,"2163*",'II kw.22'!F2:F830)</f>
        <v>0</v>
      </c>
    </row>
    <row r="60" spans="2:20" ht="45" x14ac:dyDescent="0.25">
      <c r="B60" s="108">
        <v>2133</v>
      </c>
      <c r="C60" s="11" t="s">
        <v>3584</v>
      </c>
      <c r="D60" s="475">
        <f>SUMIF('II kw.22'!AJ2:AJ830,"2133*",'II kw.22'!F2:F830)</f>
        <v>0</v>
      </c>
      <c r="L60" s="467"/>
      <c r="M60" s="468" t="s">
        <v>17634</v>
      </c>
      <c r="N60" s="469" t="s">
        <v>4476</v>
      </c>
    </row>
    <row r="61" spans="2:20" x14ac:dyDescent="0.25">
      <c r="B61" s="37"/>
      <c r="D61" s="481">
        <f>SUM(D32:D60)</f>
        <v>114</v>
      </c>
      <c r="L61" s="395" t="s">
        <v>7792</v>
      </c>
      <c r="M61" s="313">
        <v>86</v>
      </c>
      <c r="N61" s="313">
        <v>122</v>
      </c>
    </row>
    <row r="62" spans="2:20" x14ac:dyDescent="0.25">
      <c r="L62" s="395" t="s">
        <v>7793</v>
      </c>
      <c r="M62" s="313">
        <v>377</v>
      </c>
      <c r="N62" s="313">
        <v>410</v>
      </c>
    </row>
    <row r="63" spans="2:20" x14ac:dyDescent="0.25">
      <c r="B63" s="1" t="s">
        <v>20299</v>
      </c>
      <c r="L63" s="395" t="s">
        <v>7794</v>
      </c>
      <c r="M63" s="313">
        <v>180</v>
      </c>
      <c r="N63" s="313">
        <v>231</v>
      </c>
    </row>
    <row r="64" spans="2:20" x14ac:dyDescent="0.25">
      <c r="B64" s="282" t="s">
        <v>6927</v>
      </c>
      <c r="C64" s="338" t="s">
        <v>3465</v>
      </c>
      <c r="L64" s="395" t="s">
        <v>7792</v>
      </c>
      <c r="M64" s="313">
        <v>361</v>
      </c>
      <c r="N64" s="313">
        <v>378</v>
      </c>
    </row>
    <row r="65" spans="1:14" x14ac:dyDescent="0.25">
      <c r="A65" s="3">
        <v>1</v>
      </c>
      <c r="B65" s="282">
        <v>1801</v>
      </c>
      <c r="C65" s="26">
        <f>SUMIFS('II kw.22'!F2:F830,'II kw.22'!V2:V830,"1801")</f>
        <v>3</v>
      </c>
      <c r="L65" s="465" t="s">
        <v>7796</v>
      </c>
      <c r="M65" s="466">
        <v>249</v>
      </c>
      <c r="N65" s="466">
        <v>258</v>
      </c>
    </row>
    <row r="66" spans="1:14" x14ac:dyDescent="0.25">
      <c r="A66" s="3">
        <v>2</v>
      </c>
      <c r="B66" s="282">
        <v>1802</v>
      </c>
      <c r="C66" s="26">
        <f>SUMIFS('II kw.22'!F2:F830,'II kw.22'!V2:V830,"1802")</f>
        <v>5</v>
      </c>
      <c r="L66" s="465" t="s">
        <v>7797</v>
      </c>
      <c r="M66" s="466">
        <v>173</v>
      </c>
      <c r="N66" s="466">
        <v>197</v>
      </c>
    </row>
    <row r="67" spans="1:14" x14ac:dyDescent="0.25">
      <c r="A67" s="3">
        <v>3</v>
      </c>
      <c r="B67" s="282">
        <v>1803</v>
      </c>
      <c r="C67" s="26">
        <f>SUMIFS('II kw.22'!F2:F830,'II kw.22'!V2:V830,"1803")</f>
        <v>22</v>
      </c>
      <c r="L67" s="465" t="s">
        <v>7798</v>
      </c>
      <c r="M67" s="466">
        <v>97</v>
      </c>
      <c r="N67" s="466">
        <v>97</v>
      </c>
    </row>
    <row r="68" spans="1:14" x14ac:dyDescent="0.25">
      <c r="A68" s="3">
        <v>4</v>
      </c>
      <c r="B68" s="282">
        <v>1804</v>
      </c>
      <c r="C68" s="26">
        <f>SUMIFS('II kw.22'!F2:F830,'II kw.22'!V2:V830,"1804")</f>
        <v>11</v>
      </c>
      <c r="L68" s="467" t="s">
        <v>7796</v>
      </c>
      <c r="M68" s="466">
        <v>224</v>
      </c>
      <c r="N68" s="466">
        <v>224</v>
      </c>
    </row>
    <row r="69" spans="1:14" x14ac:dyDescent="0.25">
      <c r="A69" s="3">
        <v>5</v>
      </c>
      <c r="B69" s="282">
        <v>1805</v>
      </c>
      <c r="C69" s="26">
        <f>SUMIFS('II kw.22'!F2:F830,'II kw.22'!V2:V830,"1805")</f>
        <v>16</v>
      </c>
      <c r="L69" s="329" t="s">
        <v>8302</v>
      </c>
      <c r="M69" s="96">
        <v>156</v>
      </c>
      <c r="N69" s="96">
        <v>165</v>
      </c>
    </row>
    <row r="70" spans="1:14" x14ac:dyDescent="0.25">
      <c r="A70" s="3">
        <v>6</v>
      </c>
      <c r="B70" s="282">
        <v>1806</v>
      </c>
      <c r="C70" s="26">
        <f>SUMIFS('II kw.22'!F2:F830,'II kw.22'!V2:V830,"1806")</f>
        <v>8</v>
      </c>
      <c r="L70" s="8" t="s">
        <v>9296</v>
      </c>
      <c r="M70" s="96">
        <v>237</v>
      </c>
      <c r="N70" s="96">
        <v>242</v>
      </c>
    </row>
    <row r="71" spans="1:14" x14ac:dyDescent="0.25">
      <c r="A71" s="3">
        <v>7</v>
      </c>
      <c r="B71" s="282">
        <v>1807</v>
      </c>
      <c r="C71" s="26">
        <f>SUMIFS('II kw.22'!F2:F830,'II kw.22'!V2:V830,"1807")</f>
        <v>8</v>
      </c>
      <c r="L71" s="329" t="s">
        <v>13095</v>
      </c>
      <c r="M71" s="96">
        <v>1022</v>
      </c>
      <c r="N71" s="96">
        <v>1030</v>
      </c>
    </row>
    <row r="72" spans="1:14" x14ac:dyDescent="0.25">
      <c r="A72" s="3">
        <v>8</v>
      </c>
      <c r="B72" s="282">
        <v>1808</v>
      </c>
      <c r="C72" s="12">
        <f>SUMIFS('II kw.22'!F2:F830,'II kw.22'!V2:V830,"1808")</f>
        <v>4</v>
      </c>
      <c r="L72" s="329" t="s">
        <v>8302</v>
      </c>
      <c r="M72" s="96">
        <v>701</v>
      </c>
      <c r="N72" s="96">
        <v>704</v>
      </c>
    </row>
    <row r="73" spans="1:14" x14ac:dyDescent="0.25">
      <c r="A73" s="3">
        <v>9</v>
      </c>
      <c r="B73" s="282">
        <v>1809</v>
      </c>
      <c r="C73" s="12">
        <f>SUMIFS('II kw.22'!F2:F830,'II kw.22'!V2:V830,"1809")</f>
        <v>2</v>
      </c>
      <c r="L73" s="502" t="s">
        <v>17633</v>
      </c>
      <c r="M73" s="503">
        <v>769</v>
      </c>
      <c r="N73" s="503">
        <v>773</v>
      </c>
    </row>
    <row r="74" spans="1:14" x14ac:dyDescent="0.25">
      <c r="A74" s="3">
        <v>10</v>
      </c>
      <c r="B74" s="282">
        <v>1810</v>
      </c>
      <c r="C74" s="12">
        <f>SUMIFS('II kw.22'!F2:F830,'II kw.22'!V2:V830,"1810")</f>
        <v>7</v>
      </c>
      <c r="K74" s="3">
        <f>SUM(M74-M70)</f>
        <v>529</v>
      </c>
      <c r="L74" s="520" t="s">
        <v>19923</v>
      </c>
      <c r="M74" s="503">
        <v>766</v>
      </c>
      <c r="N74" s="503">
        <v>769</v>
      </c>
    </row>
    <row r="75" spans="1:14" x14ac:dyDescent="0.25">
      <c r="A75" s="3">
        <v>11</v>
      </c>
      <c r="B75" s="282">
        <v>1811</v>
      </c>
      <c r="C75" s="26">
        <f>SUMIFS('II kw.22'!F2:F830,'II kw.22'!V2:V830,"1811")</f>
        <v>48</v>
      </c>
      <c r="L75" s="502"/>
      <c r="M75" s="503"/>
      <c r="N75" s="503"/>
    </row>
    <row r="76" spans="1:14" x14ac:dyDescent="0.25">
      <c r="A76" s="3">
        <v>12</v>
      </c>
      <c r="B76" s="282">
        <v>1812</v>
      </c>
      <c r="C76" s="12">
        <f>SUMIFS('II kw.22'!F2:F830,'II kw.22'!V2:V830,"1812")</f>
        <v>3</v>
      </c>
      <c r="L76" s="502"/>
      <c r="M76" s="503"/>
      <c r="N76" s="503"/>
    </row>
    <row r="77" spans="1:14" x14ac:dyDescent="0.25">
      <c r="A77" s="3">
        <v>13</v>
      </c>
      <c r="B77" s="282">
        <v>1813</v>
      </c>
      <c r="C77" s="12">
        <f>SUMIFS('II kw.22'!F2:F830,'II kw.22'!V2:V830,"1813")</f>
        <v>1</v>
      </c>
    </row>
    <row r="78" spans="1:14" x14ac:dyDescent="0.25">
      <c r="A78" s="3">
        <v>14</v>
      </c>
      <c r="B78" s="282">
        <v>1814</v>
      </c>
      <c r="C78" s="12">
        <f>SUMIFS('II kw.22'!F2:F830,'II kw.22'!V2:V830,"1814")</f>
        <v>4</v>
      </c>
    </row>
    <row r="79" spans="1:14" x14ac:dyDescent="0.25">
      <c r="A79" s="3">
        <v>15</v>
      </c>
      <c r="B79" s="282">
        <v>1815</v>
      </c>
      <c r="C79" s="12">
        <f>SUMIFS('II kw.22'!F2:F830,'II kw.22'!V2:V830,"1815")</f>
        <v>7</v>
      </c>
    </row>
    <row r="80" spans="1:14" x14ac:dyDescent="0.25">
      <c r="A80" s="3">
        <v>16</v>
      </c>
      <c r="B80" s="282">
        <v>1816</v>
      </c>
      <c r="C80" s="26">
        <f>SUMIFS('II kw.22'!F2:F830,'II kw.22'!V2:V830,"1816")</f>
        <v>48</v>
      </c>
    </row>
    <row r="81" spans="1:4" x14ac:dyDescent="0.25">
      <c r="A81" s="3">
        <v>17</v>
      </c>
      <c r="B81" s="282">
        <v>1817</v>
      </c>
      <c r="C81" s="12">
        <f>SUMIFS('II kw.22'!F2:F830,'II kw.22'!V2:V830,"1817")</f>
        <v>9</v>
      </c>
    </row>
    <row r="82" spans="1:4" x14ac:dyDescent="0.25">
      <c r="A82" s="3">
        <v>18</v>
      </c>
      <c r="B82" s="282">
        <v>1818</v>
      </c>
      <c r="C82" s="12">
        <f>SUMIFS('II kw.22'!F2:F830,'II kw.22'!V2:V830,"1818")</f>
        <v>26</v>
      </c>
    </row>
    <row r="83" spans="1:4" x14ac:dyDescent="0.25">
      <c r="A83" s="3">
        <v>19</v>
      </c>
      <c r="B83" s="282">
        <v>1819</v>
      </c>
      <c r="C83" s="12">
        <f>SUMIFS('II kw.22'!F2:F830,'II kw.22'!V2:V830,"1819")</f>
        <v>2</v>
      </c>
    </row>
    <row r="84" spans="1:4" x14ac:dyDescent="0.25">
      <c r="A84" s="3">
        <v>20</v>
      </c>
      <c r="B84" s="282">
        <v>1820</v>
      </c>
      <c r="C84" s="348">
        <f>SUMIFS('II kw.22'!F2:F830,'II kw.22'!V2:V830,"1820")</f>
        <v>2</v>
      </c>
    </row>
    <row r="85" spans="1:4" x14ac:dyDescent="0.25">
      <c r="A85" s="3">
        <v>21</v>
      </c>
      <c r="B85" s="282">
        <v>1821</v>
      </c>
      <c r="C85" s="339">
        <f>SUMIFS('II kw.22'!F2:F830,'II kw.22'!V2:V830,"1821")</f>
        <v>7</v>
      </c>
    </row>
    <row r="86" spans="1:4" x14ac:dyDescent="0.25">
      <c r="A86" s="3">
        <v>22</v>
      </c>
      <c r="B86" s="282">
        <v>1861</v>
      </c>
      <c r="C86" s="339">
        <f>SUMIFS('II kw.22'!F2:F830,'II kw.22'!V2:V830,"1861")</f>
        <v>22</v>
      </c>
    </row>
    <row r="87" spans="1:4" x14ac:dyDescent="0.25">
      <c r="A87" s="3">
        <v>23</v>
      </c>
      <c r="B87" s="282">
        <v>1862</v>
      </c>
      <c r="C87" s="339">
        <f>SUMIFS('II kw.22'!F2:F830,'II kw.22'!V2:V830,"1862")</f>
        <v>18</v>
      </c>
    </row>
    <row r="88" spans="1:4" x14ac:dyDescent="0.25">
      <c r="A88" s="3">
        <v>24</v>
      </c>
      <c r="B88" s="282">
        <v>1863</v>
      </c>
      <c r="C88" s="339">
        <f>SUMIFS('II kw.22'!F2:F830,'II kw.22'!V2:V830,"1863")</f>
        <v>197</v>
      </c>
    </row>
    <row r="89" spans="1:4" x14ac:dyDescent="0.25">
      <c r="A89" s="3">
        <v>25</v>
      </c>
      <c r="B89" s="282">
        <v>1864</v>
      </c>
      <c r="C89" s="339">
        <f>SUMIFS('II kw.22'!F2:F830,'II kw.22'!V2:V830,"1864")</f>
        <v>9</v>
      </c>
    </row>
    <row r="90" spans="1:4" x14ac:dyDescent="0.25">
      <c r="B90" s="524">
        <v>1800</v>
      </c>
      <c r="C90" s="525">
        <f>SUM(C65:C89)</f>
        <v>489</v>
      </c>
    </row>
    <row r="91" spans="1:4" ht="43.5" customHeight="1" x14ac:dyDescent="0.25">
      <c r="B91" s="442" t="s">
        <v>20302</v>
      </c>
      <c r="C91" s="12"/>
    </row>
    <row r="92" spans="1:4" ht="48" customHeight="1" x14ac:dyDescent="0.25">
      <c r="B92" s="442" t="s">
        <v>20303</v>
      </c>
      <c r="C92" s="12"/>
      <c r="D92" s="20"/>
    </row>
    <row r="93" spans="1:4" x14ac:dyDescent="0.25">
      <c r="B93" s="11" t="s">
        <v>20304</v>
      </c>
      <c r="C93" s="11"/>
      <c r="D93" s="20"/>
    </row>
    <row r="94" spans="1:4" x14ac:dyDescent="0.25">
      <c r="D94" s="20"/>
    </row>
    <row r="96" spans="1:4" x14ac:dyDescent="0.25">
      <c r="B96" s="527" t="s">
        <v>20301</v>
      </c>
      <c r="C96" s="16">
        <f>IF('II kw.22'!V2:V830="","",SUM('II kw.22'!F2:F830))</f>
        <v>1538</v>
      </c>
    </row>
    <row r="97" spans="2:4" ht="30" x14ac:dyDescent="0.25">
      <c r="B97" s="493" t="s">
        <v>20300</v>
      </c>
      <c r="C97" s="16">
        <f>IF(COUNTBLANK('II kw.22'!V2:V830),SUM('II kw.22'!F2:F830))</f>
        <v>1538</v>
      </c>
    </row>
    <row r="98" spans="2:4" x14ac:dyDescent="0.25">
      <c r="B98" s="526"/>
      <c r="C98" s="16">
        <f>SUM(C96-C97)</f>
        <v>0</v>
      </c>
    </row>
    <row r="99" spans="2:4" ht="30" x14ac:dyDescent="0.25">
      <c r="B99" s="442" t="s">
        <v>16047</v>
      </c>
      <c r="C99" s="154">
        <f>SUM(C102-C90)</f>
        <v>-468</v>
      </c>
    </row>
    <row r="100" spans="2:4" x14ac:dyDescent="0.25">
      <c r="B100" s="493" t="s">
        <v>7788</v>
      </c>
      <c r="C100" s="299" t="e">
        <f>SUM(#REF!,C99)</f>
        <v>#REF!</v>
      </c>
    </row>
    <row r="101" spans="2:4" x14ac:dyDescent="0.25">
      <c r="B101" s="526"/>
      <c r="C101" s="526"/>
      <c r="D101" s="2"/>
    </row>
    <row r="102" spans="2:4" x14ac:dyDescent="0.25">
      <c r="B102" s="528" t="s">
        <v>7791</v>
      </c>
      <c r="C102" s="529">
        <f>SUMPRODUCT(COUNTIF('II kw.22'!$T$2:$T$830,"*"&amp;'17'!$AD$4&amp;"*"))</f>
        <v>21</v>
      </c>
    </row>
    <row r="103" spans="2:4" x14ac:dyDescent="0.25">
      <c r="C103" s="3" t="e">
        <f ca="1">suma.warunkow('II kw.22'!F2:F830,'II kw.22'!V2:V830,)</f>
        <v>#NAME?</v>
      </c>
    </row>
    <row r="104" spans="2:4" x14ac:dyDescent="0.25">
      <c r="C104" s="3" t="e">
        <f ca="1">suma.warunkow('II kw.22'!F2:F830,'II kw.22'!V2:V830,COUNTBLANK('II kw.22'!V2:V830))</f>
        <v>#NAME?</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80" zoomScaleNormal="80" workbookViewId="0">
      <selection activeCell="B1" sqref="B1"/>
    </sheetView>
  </sheetViews>
  <sheetFormatPr defaultRowHeight="15" x14ac:dyDescent="0.25"/>
  <cols>
    <col min="1" max="1" width="3.42578125" style="3" customWidth="1"/>
    <col min="2" max="2" width="10.42578125" style="3" customWidth="1"/>
    <col min="3" max="3" width="16.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ustomWidth="1"/>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3.28515625"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row r="2" spans="2:33" x14ac:dyDescent="0.25">
      <c r="B2" s="1" t="s">
        <v>20298</v>
      </c>
      <c r="C2" s="2"/>
      <c r="D2" s="1"/>
      <c r="E2" s="1"/>
      <c r="H2" s="1" t="s">
        <v>3466</v>
      </c>
      <c r="L2" s="3" t="b">
        <f ca="1">EXACT(E30,J17)</f>
        <v>1</v>
      </c>
      <c r="M2" s="3" t="b">
        <f ca="1">EXACT(E30,P35)</f>
        <v>1</v>
      </c>
      <c r="S2" s="1" t="s">
        <v>23107</v>
      </c>
      <c r="W2" s="2"/>
      <c r="X2" s="1" t="s">
        <v>20299</v>
      </c>
      <c r="AG2" s="20"/>
    </row>
    <row r="3" spans="2:33" ht="34.5" x14ac:dyDescent="0.25">
      <c r="B3" s="548" t="s">
        <v>171</v>
      </c>
      <c r="C3" s="548" t="s">
        <v>172</v>
      </c>
      <c r="D3" s="548" t="s">
        <v>6539</v>
      </c>
      <c r="E3" s="548" t="s">
        <v>3483</v>
      </c>
      <c r="F3" s="548" t="s">
        <v>3467</v>
      </c>
      <c r="H3" s="545" t="s">
        <v>3462</v>
      </c>
      <c r="I3" s="546" t="s">
        <v>3465</v>
      </c>
      <c r="J3" s="545" t="s">
        <v>3514</v>
      </c>
      <c r="K3" s="547" t="s">
        <v>9295</v>
      </c>
      <c r="L3" s="45"/>
      <c r="M3" s="45"/>
      <c r="N3" s="45"/>
      <c r="O3" s="45"/>
      <c r="P3" s="45"/>
      <c r="Q3" s="45"/>
      <c r="S3" s="549" t="s">
        <v>23108</v>
      </c>
      <c r="T3" s="550" t="s">
        <v>17634</v>
      </c>
      <c r="U3" s="551" t="s">
        <v>4476</v>
      </c>
      <c r="W3" s="2"/>
      <c r="X3" s="545" t="s">
        <v>6927</v>
      </c>
      <c r="Y3" s="552" t="s">
        <v>4476</v>
      </c>
      <c r="Z3" s="552" t="s">
        <v>3465</v>
      </c>
      <c r="AB3" s="545" t="s">
        <v>171</v>
      </c>
      <c r="AC3" s="545" t="s">
        <v>23110</v>
      </c>
      <c r="AD3" s="554" t="s">
        <v>23111</v>
      </c>
      <c r="AE3" s="545" t="s">
        <v>6394</v>
      </c>
      <c r="AF3" s="545" t="s">
        <v>6394</v>
      </c>
      <c r="AG3" s="545" t="s">
        <v>6394</v>
      </c>
    </row>
    <row r="4" spans="2:33" x14ac:dyDescent="0.25">
      <c r="B4" s="381" t="s">
        <v>3515</v>
      </c>
      <c r="C4" s="382" t="s">
        <v>3460</v>
      </c>
      <c r="D4" s="383">
        <v>563</v>
      </c>
      <c r="E4" s="383">
        <v>523</v>
      </c>
      <c r="F4" s="381"/>
      <c r="H4" s="11" t="s">
        <v>3463</v>
      </c>
      <c r="I4" s="12">
        <f>COUNTIF('III kw.22'!E2:E821,"praca")</f>
        <v>108</v>
      </c>
      <c r="J4" s="12" t="s">
        <v>3515</v>
      </c>
      <c r="K4" s="151">
        <f>SUMIF('III kw.22'!E2:E820,"praca",'III kw.22'!F2:F820)</f>
        <v>110</v>
      </c>
      <c r="L4" s="45"/>
      <c r="M4" s="45"/>
      <c r="N4" s="45"/>
      <c r="O4" s="45"/>
      <c r="P4" s="45"/>
      <c r="Q4" s="45"/>
      <c r="S4" s="395" t="s">
        <v>7792</v>
      </c>
      <c r="T4" s="313">
        <v>86</v>
      </c>
      <c r="U4" s="313">
        <v>122</v>
      </c>
      <c r="W4" s="2">
        <v>1</v>
      </c>
      <c r="X4" s="282">
        <v>1801</v>
      </c>
      <c r="Y4" s="26">
        <f>SUMIFS('III kw.22'!F2:F830,'III kw.22'!V2:V830,"1801")</f>
        <v>4</v>
      </c>
      <c r="Z4" s="26">
        <f>SUMIFS('III kw.22'!AK2:AK830,'III kw.22'!V2:V830,"1801")</f>
        <v>4</v>
      </c>
      <c r="AB4" s="12">
        <v>1</v>
      </c>
      <c r="AC4" s="11" t="s">
        <v>170</v>
      </c>
      <c r="AD4" s="12">
        <f>SUM(D67)</f>
        <v>144</v>
      </c>
      <c r="AE4" s="12">
        <f ca="1">RANK(AD4,$AD$4:$AD$15,0)+COUNTIF($AD$4:AD4,AD4)-1</f>
        <v>2</v>
      </c>
      <c r="AF4" s="17" t="str">
        <f ca="1">INDEX($AB$4:$AD$15,MATCH(1,$AE$4:$AE$15,0),2)</f>
        <v>Usługi finansowe, HR i inne</v>
      </c>
      <c r="AG4" s="12">
        <f ca="1">INDEX($AB$4:$AD$15,MATCH(1,$AE$4:$AE$15,0),3)</f>
        <v>234</v>
      </c>
    </row>
    <row r="5" spans="2:33" x14ac:dyDescent="0.25">
      <c r="B5" s="381" t="s">
        <v>3516</v>
      </c>
      <c r="C5" s="382" t="s">
        <v>3459</v>
      </c>
      <c r="D5" s="383">
        <v>466</v>
      </c>
      <c r="E5" s="383">
        <v>477</v>
      </c>
      <c r="F5" s="381"/>
      <c r="H5" s="11" t="s">
        <v>192</v>
      </c>
      <c r="I5" s="12">
        <f>COUNTIF('III kw.22'!E2:E821,"pracuj.pl")</f>
        <v>523</v>
      </c>
      <c r="J5" s="12" t="s">
        <v>3516</v>
      </c>
      <c r="K5" s="12">
        <f>SUMIF('III kw.22'!E2:E830,"pracuj.pl",'III kw.22'!F2:F830)</f>
        <v>561</v>
      </c>
      <c r="L5" s="45"/>
      <c r="M5" s="45"/>
      <c r="N5" s="45"/>
      <c r="O5" s="45"/>
      <c r="P5" s="45"/>
      <c r="Q5" s="45"/>
      <c r="S5" s="395" t="s">
        <v>7793</v>
      </c>
      <c r="T5" s="313">
        <v>377</v>
      </c>
      <c r="U5" s="313">
        <v>410</v>
      </c>
      <c r="W5" s="2">
        <v>2</v>
      </c>
      <c r="X5" s="282">
        <v>1802</v>
      </c>
      <c r="Y5" s="26">
        <f>SUMIFS('III kw.22'!F2:F830,'III kw.22'!V2:V830,"1802")</f>
        <v>2</v>
      </c>
      <c r="Z5" s="26">
        <f>SUMIFS('III kw.22'!AK2:AK830,'III kw.22'!V2:V830,"1802")</f>
        <v>2</v>
      </c>
      <c r="AB5" s="12">
        <v>2</v>
      </c>
      <c r="AC5" s="11" t="s">
        <v>2</v>
      </c>
      <c r="AD5" s="12">
        <f ca="1">SUM(G53)</f>
        <v>140</v>
      </c>
      <c r="AE5" s="12">
        <f ca="1">RANK(AD5,$AD$4:$AD$15,0)+COUNTIF($AD$4:AD5,AD5)-1</f>
        <v>4</v>
      </c>
      <c r="AF5" s="17" t="str">
        <f ca="1">INDEX($AB$4:$AD$15,MATCH(2,$AE$4:$AE$15,0),2)</f>
        <v>Przemysł produkcyjny</v>
      </c>
      <c r="AG5" s="12">
        <f ca="1">INDEX($AB$4:$AD$15,MATCH(2,$AE$4:$AE$15,0),3)</f>
        <v>144</v>
      </c>
    </row>
    <row r="6" spans="2:33" x14ac:dyDescent="0.25">
      <c r="B6" s="381" t="s">
        <v>3517</v>
      </c>
      <c r="C6" s="382" t="s">
        <v>3458</v>
      </c>
      <c r="D6" s="383">
        <v>365</v>
      </c>
      <c r="E6" s="383">
        <v>386</v>
      </c>
      <c r="F6" s="381"/>
      <c r="H6" s="11" t="s">
        <v>217</v>
      </c>
      <c r="I6" s="12">
        <f>COUNTIF('III kw.22'!E2:E821,"agora")</f>
        <v>65</v>
      </c>
      <c r="J6" s="12" t="s">
        <v>3517</v>
      </c>
      <c r="K6" s="12">
        <f>SUMIF('III kw.22'!E2:E820,"agora",'III kw.22'!F2:F820)</f>
        <v>65</v>
      </c>
      <c r="L6" s="45"/>
      <c r="M6" s="45"/>
      <c r="N6" s="45"/>
      <c r="O6" s="45"/>
      <c r="P6" s="45"/>
      <c r="Q6" s="45"/>
      <c r="S6" s="395" t="s">
        <v>7794</v>
      </c>
      <c r="T6" s="313">
        <v>180</v>
      </c>
      <c r="U6" s="313">
        <v>231</v>
      </c>
      <c r="W6" s="2">
        <v>3</v>
      </c>
      <c r="X6" s="282">
        <v>1803</v>
      </c>
      <c r="Y6" s="26">
        <f>SUMIFS('III kw.22'!F2:F830,'III kw.22'!V2:V830,"1803")</f>
        <v>24</v>
      </c>
      <c r="Z6" s="26">
        <f>SUMIFS('III kw.22'!AK2:AK830,'III kw.22'!V2:V830,"1803")</f>
        <v>24</v>
      </c>
      <c r="AB6" s="12">
        <v>3</v>
      </c>
      <c r="AC6" s="11" t="s">
        <v>3</v>
      </c>
      <c r="AD6" s="12">
        <f>SUM(J51)</f>
        <v>33</v>
      </c>
      <c r="AE6" s="12">
        <f ca="1">RANK(AD6,$AD$4:$AD$15,0)+COUNTIF($AD$4:AD6,AD6)-1</f>
        <v>5</v>
      </c>
      <c r="AF6" s="17" t="str">
        <f ca="1">INDEX($AB$4:$AD$15,MATCH(3,$AE$4:$AE$15,0),2)</f>
        <v>Handel, transport, logistyka</v>
      </c>
      <c r="AG6" s="12">
        <f ca="1">INDEX($AB$4:$AD$15,MATCH(3,$AE$4:$AE$15,0),3)</f>
        <v>142</v>
      </c>
    </row>
    <row r="7" spans="2:33" x14ac:dyDescent="0.25">
      <c r="B7" s="381" t="s">
        <v>3518</v>
      </c>
      <c r="C7" s="382" t="s">
        <v>3457</v>
      </c>
      <c r="D7" s="383">
        <v>461</v>
      </c>
      <c r="E7" s="383">
        <v>444</v>
      </c>
      <c r="F7" s="381"/>
      <c r="H7" s="11" t="s">
        <v>3464</v>
      </c>
      <c r="I7" s="12">
        <f>COUNTIF('III kw.22'!E2:E821,"gratka")</f>
        <v>7</v>
      </c>
      <c r="J7" s="12" t="s">
        <v>3518</v>
      </c>
      <c r="K7" s="12">
        <f>SUMIF('III kw.22'!E2:E820,"gratka",'III kw.22'!F2:F820)</f>
        <v>7</v>
      </c>
      <c r="L7" s="45"/>
      <c r="M7" s="45"/>
      <c r="N7" s="45"/>
      <c r="O7" s="45"/>
      <c r="P7" s="45"/>
      <c r="Q7" s="45"/>
      <c r="S7" s="395" t="s">
        <v>7795</v>
      </c>
      <c r="T7" s="313">
        <v>361</v>
      </c>
      <c r="U7" s="313">
        <v>378</v>
      </c>
      <c r="W7" s="2">
        <v>4</v>
      </c>
      <c r="X7" s="282">
        <v>1804</v>
      </c>
      <c r="Y7" s="26">
        <f>SUMIFS('III kw.22'!F2:F830,'III kw.22'!V2:V830,"1804")</f>
        <v>13</v>
      </c>
      <c r="Z7" s="26">
        <f>SUMIFS('III kw.22'!AK2:AK830,'III kw.22'!V2:V830,"1804")</f>
        <v>13</v>
      </c>
      <c r="AB7" s="12">
        <v>4</v>
      </c>
      <c r="AC7" s="11" t="s">
        <v>3589</v>
      </c>
      <c r="AD7" s="12">
        <f>SUM(M44)</f>
        <v>142</v>
      </c>
      <c r="AE7" s="12">
        <f ca="1">RANK(AD7,$AD$4:$AD$15,0)+COUNTIF($AD$4:AD7,AD7)-1</f>
        <v>3</v>
      </c>
      <c r="AF7" s="17" t="str">
        <f ca="1">INDEX($AB$4:$AD$15,MATCH(4,$AE$4:$AE$15,0),2)</f>
        <v>Przemysł high-tech</v>
      </c>
      <c r="AG7" s="12">
        <f ca="1">INDEX($AB$4:$AD$15,MATCH(4,$AE$4:$AE$15,0),3)</f>
        <v>140</v>
      </c>
    </row>
    <row r="8" spans="2:33" x14ac:dyDescent="0.25">
      <c r="B8" s="381" t="s">
        <v>13071</v>
      </c>
      <c r="C8" s="382" t="s">
        <v>173</v>
      </c>
      <c r="D8" s="383">
        <v>720</v>
      </c>
      <c r="E8" s="383">
        <v>704</v>
      </c>
      <c r="F8" s="381"/>
      <c r="H8" s="442" t="s">
        <v>7786</v>
      </c>
      <c r="I8" s="300"/>
      <c r="J8" s="300"/>
      <c r="K8" s="414"/>
      <c r="L8" s="45"/>
      <c r="M8" s="45"/>
      <c r="N8" s="45"/>
      <c r="O8" s="45"/>
      <c r="P8" s="45"/>
      <c r="Q8" s="45"/>
      <c r="S8" s="465" t="s">
        <v>7796</v>
      </c>
      <c r="T8" s="466">
        <v>249</v>
      </c>
      <c r="U8" s="466">
        <v>258</v>
      </c>
      <c r="W8" s="2">
        <v>5</v>
      </c>
      <c r="X8" s="282">
        <v>1805</v>
      </c>
      <c r="Y8" s="26">
        <f>SUMIFS('III kw.22'!F2:F830,'III kw.22'!V2:V830,"1805")</f>
        <v>19</v>
      </c>
      <c r="Z8" s="26">
        <f>SUMIFS('III kw.22'!AK2:AK830,'III kw.22'!V2:V830,"1805")</f>
        <v>19</v>
      </c>
      <c r="AB8" s="12">
        <v>5</v>
      </c>
      <c r="AC8" s="11" t="s">
        <v>13096</v>
      </c>
      <c r="AD8" s="12">
        <f>SUM(P43)</f>
        <v>234</v>
      </c>
      <c r="AE8" s="12">
        <f ca="1">RANK(AD8,$AD$4:$AD$15,0)+COUNTIF($AD$4:AD8,AD8)-1</f>
        <v>1</v>
      </c>
      <c r="AF8" s="17" t="str">
        <f ca="1">INDEX($AB$4:$AD$15,MATCH(5,$AE$4:$AE$15,0),2)</f>
        <v>Budownictwo</v>
      </c>
      <c r="AG8" s="12">
        <f ca="1">INDEX($AB$4:$AD$15,MATCH(5,$AE$4:$AE$15,0),3)</f>
        <v>33</v>
      </c>
    </row>
    <row r="9" spans="2:33" x14ac:dyDescent="0.25">
      <c r="B9" s="12">
        <v>1</v>
      </c>
      <c r="C9" s="17" t="s">
        <v>175</v>
      </c>
      <c r="D9" s="26">
        <v>86</v>
      </c>
      <c r="E9" s="26">
        <v>122</v>
      </c>
      <c r="F9" s="12"/>
      <c r="H9" s="543"/>
      <c r="I9" s="544">
        <f>SUM(I4:I7)</f>
        <v>703</v>
      </c>
      <c r="J9" s="543"/>
      <c r="K9" s="544">
        <f>SUM(K4:K7)</f>
        <v>743</v>
      </c>
      <c r="L9" s="45"/>
      <c r="M9" s="45"/>
      <c r="N9" s="45"/>
      <c r="O9" s="45"/>
      <c r="P9" s="45"/>
      <c r="Q9" s="45"/>
      <c r="S9" s="465" t="s">
        <v>7797</v>
      </c>
      <c r="T9" s="466">
        <v>173</v>
      </c>
      <c r="U9" s="466">
        <v>197</v>
      </c>
      <c r="W9" s="2">
        <v>6</v>
      </c>
      <c r="X9" s="282">
        <v>1806</v>
      </c>
      <c r="Y9" s="26">
        <f>SUMIFS('III kw.22'!F2:F830,'III kw.22'!V2:V830,"1806")</f>
        <v>6</v>
      </c>
      <c r="Z9" s="26">
        <f>SUMIFS('III kw.22'!AK2:AK830,'III kw.22'!V2:V830,"1806")</f>
        <v>6</v>
      </c>
      <c r="AB9" s="12">
        <v>6</v>
      </c>
      <c r="AC9" s="11" t="s">
        <v>23112</v>
      </c>
      <c r="AD9" s="12">
        <f>SUM(P48)</f>
        <v>0</v>
      </c>
      <c r="AE9" s="12">
        <f ca="1">RANK(AD9,$AD$4:$AD$15,0)+COUNTIF($AD$4:AD9,AD9)-1</f>
        <v>12</v>
      </c>
      <c r="AF9" s="17" t="str">
        <f ca="1">INDEX($AB$4:$AD$15,MATCH(6,$AE$4:$AE$15,0),2)</f>
        <v>Informacja i edukcja</v>
      </c>
      <c r="AG9" s="12">
        <f ca="1">INDEX($AB$4:$AD$15,MATCH(6,$AE$4:$AE$15,0),3)</f>
        <v>20</v>
      </c>
    </row>
    <row r="10" spans="2:33" x14ac:dyDescent="0.25">
      <c r="B10" s="12">
        <v>2</v>
      </c>
      <c r="C10" s="17" t="s">
        <v>174</v>
      </c>
      <c r="D10" s="26">
        <v>377</v>
      </c>
      <c r="E10" s="26">
        <v>410</v>
      </c>
      <c r="F10" s="12"/>
      <c r="S10" s="465" t="s">
        <v>7798</v>
      </c>
      <c r="T10" s="466">
        <v>97</v>
      </c>
      <c r="U10" s="466">
        <v>97</v>
      </c>
      <c r="W10" s="2">
        <v>7</v>
      </c>
      <c r="X10" s="282">
        <v>1807</v>
      </c>
      <c r="Y10" s="26">
        <f>SUMIFS('III kw.22'!F2:F830,'III kw.22'!V2:V830,"1807")</f>
        <v>3</v>
      </c>
      <c r="Z10" s="26">
        <f>SUMIFS('III kw.22'!AK2:AK830,'III kw.22'!V2:V830,"1807")</f>
        <v>3</v>
      </c>
      <c r="AB10" s="12">
        <v>7</v>
      </c>
      <c r="AC10" s="11" t="s">
        <v>3590</v>
      </c>
      <c r="AD10" s="12">
        <f>SUM(P54)</f>
        <v>2</v>
      </c>
      <c r="AE10" s="12">
        <f ca="1">RANK(AD10,$AD$4:$AD$15,0)+COUNTIF($AD$4:AD10,AD10)-1</f>
        <v>10</v>
      </c>
      <c r="AF10" s="17" t="str">
        <f ca="1">INDEX($AB$4:$AD$15,MATCH(7,$AE$4:$AE$15,0),2)</f>
        <v>Zdrowie i opieka społeczna</v>
      </c>
      <c r="AG10" s="12">
        <f ca="1">INDEX($AB$4:$AD$15,MATCH(7,$AE$4:$AE$15,0),3)</f>
        <v>19</v>
      </c>
    </row>
    <row r="11" spans="2:33" x14ac:dyDescent="0.25">
      <c r="B11" s="381" t="s">
        <v>13072</v>
      </c>
      <c r="C11" s="382" t="s">
        <v>3486</v>
      </c>
      <c r="D11" s="383">
        <f>SUM(D9:D10)</f>
        <v>463</v>
      </c>
      <c r="E11" s="383">
        <f>SUM(E9:E10)</f>
        <v>532</v>
      </c>
      <c r="F11" s="381"/>
      <c r="H11" s="1" t="s">
        <v>3570</v>
      </c>
      <c r="S11" s="467" t="s">
        <v>7799</v>
      </c>
      <c r="T11" s="466">
        <v>224</v>
      </c>
      <c r="U11" s="466">
        <v>224</v>
      </c>
      <c r="W11" s="2">
        <v>8</v>
      </c>
      <c r="X11" s="282">
        <v>1808</v>
      </c>
      <c r="Y11" s="12">
        <f>SUMIFS('III kw.22'!F2:F830,'III kw.22'!V2:V830,"1808")</f>
        <v>4</v>
      </c>
      <c r="Z11" s="12">
        <f>SUMIFS('III kw.22'!AK2:AK830,'III kw.22'!V2:V830,"1808")</f>
        <v>4</v>
      </c>
      <c r="AB11" s="12">
        <v>8</v>
      </c>
      <c r="AC11" s="11" t="s">
        <v>4</v>
      </c>
      <c r="AD11" s="12">
        <f>SUM(S41)</f>
        <v>19</v>
      </c>
      <c r="AE11" s="12">
        <f ca="1">RANK(AD11,$AD$4:$AD$15,0)+COUNTIF($AD$4:AD11,AD11)-1</f>
        <v>7</v>
      </c>
      <c r="AF11" s="17" t="str">
        <f ca="1">INDEX($AB$4:$AD$15,MATCH(8,$AE$4:$AE$15,0),2)</f>
        <v>Nadzór i administracja</v>
      </c>
      <c r="AG11" s="12">
        <f ca="1">INDEX($AB$4:$AD$15,MATCH(8,$AE$4:$AE$15,0),3)</f>
        <v>5</v>
      </c>
    </row>
    <row r="12" spans="2:33" x14ac:dyDescent="0.25">
      <c r="B12" s="12">
        <v>3</v>
      </c>
      <c r="C12" s="17" t="s">
        <v>3481</v>
      </c>
      <c r="D12" s="12">
        <v>180</v>
      </c>
      <c r="E12" s="12">
        <v>231</v>
      </c>
      <c r="F12" s="12"/>
      <c r="H12" s="474" t="s">
        <v>3469</v>
      </c>
      <c r="I12" s="474" t="s">
        <v>3568</v>
      </c>
      <c r="J12" s="475">
        <f ca="1">SUM(D67,G53,J51)</f>
        <v>317</v>
      </c>
      <c r="S12" s="329" t="s">
        <v>8302</v>
      </c>
      <c r="T12" s="96">
        <v>156</v>
      </c>
      <c r="U12" s="96">
        <v>165</v>
      </c>
      <c r="W12" s="2">
        <v>9</v>
      </c>
      <c r="X12" s="282">
        <v>1809</v>
      </c>
      <c r="Y12" s="12">
        <f>SUMIFS('III kw.22'!F2:F830,'III kw.22'!V2:V830,"1809")</f>
        <v>2</v>
      </c>
      <c r="Z12" s="12">
        <f>SUMIFS('III kw.22'!AK2:AK830,'III kw.22'!V2:V830,"1809")</f>
        <v>2</v>
      </c>
      <c r="AB12" s="12">
        <v>9</v>
      </c>
      <c r="AC12" s="11" t="s">
        <v>3591</v>
      </c>
      <c r="AD12" s="12">
        <f>SUM(V41)</f>
        <v>20</v>
      </c>
      <c r="AE12" s="12">
        <f ca="1">RANK(AD12,$AD$4:$AD$15,0)+COUNTIF($AD$4:AD12,AD12)-1</f>
        <v>6</v>
      </c>
      <c r="AF12" s="17" t="str">
        <f ca="1">INDEX($AB$4:$AD$15,MATCH(9,$AE$4:$AE$15,0),2)</f>
        <v>Prace proste</v>
      </c>
      <c r="AG12" s="12">
        <f ca="1">INDEX($AB$4:$AD$15,MATCH(9,$AE$4:$AE$15,0),3)</f>
        <v>3</v>
      </c>
    </row>
    <row r="13" spans="2:33" x14ac:dyDescent="0.25">
      <c r="B13" s="12">
        <v>4</v>
      </c>
      <c r="C13" s="17" t="s">
        <v>3482</v>
      </c>
      <c r="D13" s="12">
        <v>361</v>
      </c>
      <c r="E13" s="12">
        <v>378</v>
      </c>
      <c r="F13" s="12"/>
      <c r="H13" s="486" t="s">
        <v>3470</v>
      </c>
      <c r="I13" s="486" t="s">
        <v>3566</v>
      </c>
      <c r="J13" s="487">
        <f>SUM(M44,P43,P48,P54,S41)</f>
        <v>397</v>
      </c>
      <c r="S13" s="329" t="s">
        <v>9296</v>
      </c>
      <c r="T13" s="96">
        <v>237</v>
      </c>
      <c r="U13" s="96">
        <v>242</v>
      </c>
      <c r="W13" s="2">
        <v>10</v>
      </c>
      <c r="X13" s="282">
        <v>1810</v>
      </c>
      <c r="Y13" s="12">
        <f>SUMIFS('III kw.22'!F2:F830,'III kw.22'!V2:V830,"1810")</f>
        <v>3</v>
      </c>
      <c r="Z13" s="12">
        <f>SUMIFS('III kw.22'!AK2:AK830,'III kw.22'!V2:V830,"1810")</f>
        <v>3</v>
      </c>
      <c r="AB13" s="12">
        <v>10</v>
      </c>
      <c r="AC13" s="11" t="s">
        <v>0</v>
      </c>
      <c r="AD13" s="12">
        <f>SUM(V47)</f>
        <v>5</v>
      </c>
      <c r="AE13" s="12">
        <f ca="1">RANK(AD13,$AD$4:$AD$15,0)+COUNTIF($AD$4:AD13,AD13)-1</f>
        <v>8</v>
      </c>
      <c r="AF13" s="17" t="str">
        <f ca="1">INDEX($AB$4:$AD$15,MATCH(10,$AE$4:$AE$15,0),2)</f>
        <v>Usługi typu krawiectwo, kaletnictwo, obuwnictwo + poszukiwanie + ochrona</v>
      </c>
      <c r="AG13" s="12">
        <f ca="1">INDEX($AB$4:$AD$15,MATCH(10,$AE$4:$AE$15,0),3)</f>
        <v>2</v>
      </c>
    </row>
    <row r="14" spans="2:33" x14ac:dyDescent="0.25">
      <c r="B14" s="381" t="s">
        <v>13073</v>
      </c>
      <c r="C14" s="382" t="s">
        <v>3487</v>
      </c>
      <c r="D14" s="383">
        <f>SUM(D12:D13)</f>
        <v>541</v>
      </c>
      <c r="E14" s="383">
        <f>SUM(E12:E13)</f>
        <v>609</v>
      </c>
      <c r="F14" s="381"/>
      <c r="H14" s="322" t="s">
        <v>3471</v>
      </c>
      <c r="I14" s="322" t="s">
        <v>3567</v>
      </c>
      <c r="J14" s="316">
        <f>SUM(V41,V47)</f>
        <v>25</v>
      </c>
      <c r="S14" s="8" t="s">
        <v>13095</v>
      </c>
      <c r="T14" s="96">
        <v>1022</v>
      </c>
      <c r="U14" s="96">
        <v>1030</v>
      </c>
      <c r="W14" s="2">
        <v>11</v>
      </c>
      <c r="X14" s="282">
        <v>1811</v>
      </c>
      <c r="Y14" s="26">
        <f>SUMIFS('III kw.22'!F2:F830,'III kw.22'!V2:V830,"1811")</f>
        <v>53</v>
      </c>
      <c r="Z14" s="26">
        <f>SUMIFS('III kw.22'!AK2:AK830,'III kw.22'!V2:V830,"1811")</f>
        <v>45</v>
      </c>
      <c r="AB14" s="12">
        <v>11</v>
      </c>
      <c r="AC14" s="11" t="s">
        <v>6</v>
      </c>
      <c r="AD14" s="12">
        <f>SUM(Y40)</f>
        <v>3</v>
      </c>
      <c r="AE14" s="12">
        <f ca="1">RANK(AD14,$AD$4:$AD$15,0)+COUNTIF($AD$4:AD14,AD14)-1</f>
        <v>9</v>
      </c>
      <c r="AF14" s="17" t="str">
        <f ca="1">INDEX($AB$4:$AD$15,MATCH(11,$AE$4:$AE$15,0),2)</f>
        <v>Pozostałe grupy</v>
      </c>
      <c r="AG14" s="12">
        <f ca="1">INDEX($AB$4:$AD$15,MATCH(11,$AE$4:$AE$15,0),3)</f>
        <v>1</v>
      </c>
    </row>
    <row r="15" spans="2:33" x14ac:dyDescent="0.25">
      <c r="B15" s="12">
        <v>5</v>
      </c>
      <c r="C15" s="17" t="s">
        <v>6392</v>
      </c>
      <c r="D15" s="26">
        <v>249</v>
      </c>
      <c r="E15" s="26">
        <v>258</v>
      </c>
      <c r="F15" s="12"/>
      <c r="H15" s="325" t="s">
        <v>3469</v>
      </c>
      <c r="I15" s="325" t="s">
        <v>6</v>
      </c>
      <c r="J15" s="326">
        <f>SUM(Y40)</f>
        <v>3</v>
      </c>
      <c r="S15" s="329" t="s">
        <v>16044</v>
      </c>
      <c r="T15" s="96">
        <v>701</v>
      </c>
      <c r="U15" s="96">
        <v>704</v>
      </c>
      <c r="W15" s="2">
        <v>12</v>
      </c>
      <c r="X15" s="282">
        <v>1812</v>
      </c>
      <c r="Y15" s="12">
        <f>SUMIFS('III kw.22'!F2:F830,'III kw.22'!V2:V830,"1812")</f>
        <v>3</v>
      </c>
      <c r="Z15" s="12">
        <f>SUMIFS('III kw.22'!AK2:AK830,'III kw.22'!V2:V830,"1812")</f>
        <v>3</v>
      </c>
      <c r="AB15" s="12">
        <v>12</v>
      </c>
      <c r="AC15" s="17" t="s">
        <v>3574</v>
      </c>
      <c r="AD15" s="12">
        <f>SUM(Y50)</f>
        <v>1</v>
      </c>
      <c r="AE15" s="12">
        <f ca="1">RANK(AD15,$AD$4:$AD$15,0)+COUNTIF($AD$4:AD15,AD15)-1</f>
        <v>11</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472" t="s">
        <v>3473</v>
      </c>
      <c r="I16" s="472" t="s">
        <v>3574</v>
      </c>
      <c r="J16" s="473">
        <f>SUM(Y50)</f>
        <v>1</v>
      </c>
      <c r="S16" s="502" t="s">
        <v>17633</v>
      </c>
      <c r="T16" s="503">
        <v>769</v>
      </c>
      <c r="U16" s="503">
        <v>773</v>
      </c>
      <c r="W16" s="2">
        <v>13</v>
      </c>
      <c r="X16" s="282">
        <v>1813</v>
      </c>
      <c r="Y16" s="12">
        <f>SUMIFS('III kw.22'!F2:F830,'III kw.22'!V2:V830,"1813")</f>
        <v>20</v>
      </c>
      <c r="Z16" s="12">
        <f>SUMIFS('III kw.22'!AK2:AK830,'III kw.22'!V2:V830,"1813")</f>
        <v>1</v>
      </c>
      <c r="AB16" s="18"/>
      <c r="AC16" s="89"/>
      <c r="AD16" s="18">
        <f ca="1">SUM(AD4:AD15)</f>
        <v>743</v>
      </c>
      <c r="AE16" s="3"/>
      <c r="AF16" s="18"/>
    </row>
    <row r="17" spans="2:26" x14ac:dyDescent="0.25">
      <c r="B17" s="381" t="s">
        <v>13074</v>
      </c>
      <c r="C17" s="382" t="s">
        <v>6929</v>
      </c>
      <c r="D17" s="383">
        <f>SUM(D15:D16)</f>
        <v>422</v>
      </c>
      <c r="E17" s="383">
        <f>SUM(E15:E16)</f>
        <v>455</v>
      </c>
      <c r="F17" s="381"/>
      <c r="H17" s="543"/>
      <c r="I17" s="543"/>
      <c r="J17" s="544">
        <f ca="1">SUM(J12:J16)</f>
        <v>743</v>
      </c>
      <c r="N17" s="18"/>
      <c r="O17" s="89"/>
      <c r="P17" s="18"/>
      <c r="R17" s="18"/>
      <c r="S17" s="502" t="s">
        <v>19923</v>
      </c>
      <c r="T17" s="503">
        <v>766</v>
      </c>
      <c r="U17" s="503">
        <v>769</v>
      </c>
      <c r="W17" s="2">
        <v>14</v>
      </c>
      <c r="X17" s="282">
        <v>1814</v>
      </c>
      <c r="Y17" s="12">
        <f>SUMIFS('III kw.22'!F2:F830,'III kw.22'!V2:V830,"1814")</f>
        <v>2</v>
      </c>
      <c r="Z17" s="12">
        <f>SUMIFS('III kw.22'!AK2:AK830,'III kw.22'!V2:V830,"1814")</f>
        <v>2</v>
      </c>
    </row>
    <row r="18" spans="2:26" x14ac:dyDescent="0.25">
      <c r="B18" s="12">
        <v>7</v>
      </c>
      <c r="C18" s="17" t="s">
        <v>6928</v>
      </c>
      <c r="D18" s="26">
        <v>97</v>
      </c>
      <c r="E18" s="26">
        <v>97</v>
      </c>
      <c r="F18" s="12"/>
      <c r="H18" s="184"/>
      <c r="I18" s="184"/>
      <c r="J18" s="183"/>
      <c r="N18" s="18"/>
      <c r="O18" s="89"/>
      <c r="P18" s="18"/>
      <c r="R18" s="18"/>
      <c r="S18" s="520" t="s">
        <v>23104</v>
      </c>
      <c r="T18" s="503">
        <f>SUM(D30)</f>
        <v>703</v>
      </c>
      <c r="U18" s="503">
        <f>SUM(E30)</f>
        <v>743</v>
      </c>
      <c r="W18" s="2">
        <v>15</v>
      </c>
      <c r="X18" s="282">
        <v>1815</v>
      </c>
      <c r="Y18" s="12">
        <f>SUMIFS('III kw.22'!F2:F830,'III kw.22'!V2:V830,"1815")</f>
        <v>8</v>
      </c>
      <c r="Z18" s="12">
        <f>SUMIFS('III kw.22'!AK2:AK830,'III kw.22'!V2:V830,"1815")</f>
        <v>8</v>
      </c>
    </row>
    <row r="19" spans="2:26" x14ac:dyDescent="0.25">
      <c r="B19" s="12">
        <v>8</v>
      </c>
      <c r="C19" s="17" t="s">
        <v>7785</v>
      </c>
      <c r="D19" s="26">
        <v>224</v>
      </c>
      <c r="E19" s="26">
        <v>224</v>
      </c>
      <c r="F19" s="12"/>
      <c r="H19" s="184"/>
      <c r="I19" s="184"/>
      <c r="J19" s="183"/>
      <c r="N19" s="18"/>
      <c r="O19" s="89"/>
      <c r="P19" s="18"/>
      <c r="R19" s="18"/>
      <c r="S19" s="11" t="s">
        <v>23105</v>
      </c>
      <c r="T19" s="12"/>
      <c r="U19" s="12"/>
      <c r="W19" s="2">
        <v>16</v>
      </c>
      <c r="X19" s="282">
        <v>1816</v>
      </c>
      <c r="Y19" s="26">
        <f>SUMIFS('III kw.22'!F2:F830,'III kw.22'!V2:V830,"1816")</f>
        <v>35</v>
      </c>
      <c r="Z19" s="26">
        <f>SUMIFS('III kw.22'!AK2:AK830,'III kw.22'!V2:V830,"1816")</f>
        <v>35</v>
      </c>
    </row>
    <row r="20" spans="2:26" x14ac:dyDescent="0.25">
      <c r="B20" s="381" t="s">
        <v>3469</v>
      </c>
      <c r="C20" s="382" t="s">
        <v>13077</v>
      </c>
      <c r="D20" s="383">
        <f>SUM(D18:D19)</f>
        <v>321</v>
      </c>
      <c r="E20" s="383">
        <f>SUM(E18:E19)</f>
        <v>321</v>
      </c>
      <c r="F20" s="381"/>
      <c r="H20" s="184"/>
      <c r="I20" s="184"/>
      <c r="J20" s="183"/>
      <c r="N20" s="18"/>
      <c r="O20" s="89"/>
      <c r="P20" s="18"/>
      <c r="R20" s="18"/>
      <c r="S20" s="11"/>
      <c r="T20" s="17"/>
      <c r="U20" s="12"/>
      <c r="W20" s="2">
        <v>17</v>
      </c>
      <c r="X20" s="282">
        <v>1817</v>
      </c>
      <c r="Y20" s="12">
        <f>SUMIFS('III kw.22'!F2:F830,'III kw.22'!V2:V830,"1817")</f>
        <v>11</v>
      </c>
      <c r="Z20" s="12">
        <f>SUMIFS('III kw.22'!AK2:AK830,'III kw.22'!V2:V830,"1817")</f>
        <v>9</v>
      </c>
    </row>
    <row r="21" spans="2:26" x14ac:dyDescent="0.25">
      <c r="B21" s="12">
        <v>9</v>
      </c>
      <c r="C21" s="17" t="s">
        <v>7800</v>
      </c>
      <c r="D21" s="26">
        <v>156</v>
      </c>
      <c r="E21" s="26">
        <v>165</v>
      </c>
      <c r="F21" s="12"/>
      <c r="G21" s="135"/>
      <c r="H21" s="184"/>
      <c r="I21" s="184"/>
      <c r="J21" s="183"/>
      <c r="N21" s="18"/>
      <c r="O21" s="89"/>
      <c r="P21" s="18"/>
      <c r="R21" s="18"/>
      <c r="S21" s="11"/>
      <c r="T21" s="17"/>
      <c r="U21" s="12"/>
      <c r="W21" s="2">
        <v>18</v>
      </c>
      <c r="X21" s="282">
        <v>1818</v>
      </c>
      <c r="Y21" s="12">
        <f>SUMIFS('III kw.22'!F2:F830,'III kw.22'!V2:V830,"1818")</f>
        <v>29</v>
      </c>
      <c r="Z21" s="12">
        <f>SUMIFS('III kw.22'!AK2:AK830,'III kw.22'!V2:V830,"1818")</f>
        <v>29</v>
      </c>
    </row>
    <row r="22" spans="2:26" x14ac:dyDescent="0.25">
      <c r="B22" s="12">
        <v>10</v>
      </c>
      <c r="C22" s="17" t="s">
        <v>8303</v>
      </c>
      <c r="D22" s="26">
        <v>237</v>
      </c>
      <c r="E22" s="26">
        <v>242</v>
      </c>
      <c r="F22" s="12"/>
      <c r="G22" s="135"/>
      <c r="H22" s="184"/>
      <c r="I22" s="184"/>
      <c r="J22" s="183"/>
      <c r="N22" s="18"/>
      <c r="O22" s="89"/>
      <c r="P22" s="18"/>
      <c r="R22" s="18"/>
      <c r="S22" s="11"/>
      <c r="T22" s="17"/>
      <c r="U22" s="12"/>
      <c r="W22" s="2">
        <v>19</v>
      </c>
      <c r="X22" s="282">
        <v>1819</v>
      </c>
      <c r="Y22" s="12">
        <f>SUMIFS('III kw.22'!F2:F830,'III kw.22'!V2:V830,"1819")</f>
        <v>1</v>
      </c>
      <c r="Z22" s="12">
        <f>SUMIFS('III kw.22'!AK2:AK830,'III kw.22'!V2:V830,"1819")</f>
        <v>1</v>
      </c>
    </row>
    <row r="23" spans="2:26" x14ac:dyDescent="0.25">
      <c r="B23" s="381" t="s">
        <v>13092</v>
      </c>
      <c r="C23" s="382" t="s">
        <v>13093</v>
      </c>
      <c r="D23" s="383">
        <f>SUM(D21:D22)</f>
        <v>393</v>
      </c>
      <c r="E23" s="383">
        <f>SUM(E21:E22)</f>
        <v>407</v>
      </c>
      <c r="F23" s="381"/>
      <c r="G23" s="135"/>
      <c r="H23" s="184"/>
      <c r="I23" s="184"/>
      <c r="J23" s="183"/>
      <c r="N23" s="18"/>
      <c r="O23" s="89"/>
      <c r="P23" s="18"/>
      <c r="R23" s="18"/>
      <c r="S23" s="11"/>
      <c r="T23" s="17"/>
      <c r="U23" s="12"/>
      <c r="W23" s="2">
        <v>20</v>
      </c>
      <c r="X23" s="282">
        <v>1820</v>
      </c>
      <c r="Y23" s="348">
        <f>SUMIFS('III kw.22'!F2:F830,'III kw.22'!V2:V830,"1820")</f>
        <v>7</v>
      </c>
      <c r="Z23" s="348">
        <f>SUMIFS('III kw.22'!AK2:AK830,'III kw.22'!V2:V830,"1820")</f>
        <v>7</v>
      </c>
    </row>
    <row r="24" spans="2:26" x14ac:dyDescent="0.25">
      <c r="B24" s="12">
        <v>11</v>
      </c>
      <c r="C24" s="17" t="s">
        <v>13054</v>
      </c>
      <c r="D24" s="26">
        <v>1022</v>
      </c>
      <c r="E24" s="26">
        <v>1030</v>
      </c>
      <c r="F24" s="12"/>
      <c r="G24" s="135"/>
      <c r="H24" s="184"/>
      <c r="I24" s="184"/>
      <c r="J24" s="183"/>
      <c r="N24" s="18"/>
      <c r="O24" s="89"/>
      <c r="P24" s="18"/>
      <c r="R24" s="18"/>
      <c r="S24" s="11"/>
      <c r="T24" s="17"/>
      <c r="U24" s="12"/>
      <c r="W24" s="2">
        <v>21</v>
      </c>
      <c r="X24" s="282">
        <v>1821</v>
      </c>
      <c r="Y24" s="339">
        <f>SUMIFS('III kw.22'!F2:F830,'III kw.22'!V2:V830,"1821")</f>
        <v>5</v>
      </c>
      <c r="Z24" s="339">
        <f>SUMIFS('III kw.22'!AK2:AK830,'III kw.22'!V2:V830,"1821")</f>
        <v>5</v>
      </c>
    </row>
    <row r="25" spans="2:26" x14ac:dyDescent="0.25">
      <c r="B25" s="12">
        <v>12</v>
      </c>
      <c r="C25" s="17" t="s">
        <v>13106</v>
      </c>
      <c r="D25" s="26">
        <v>701</v>
      </c>
      <c r="E25" s="26">
        <v>704</v>
      </c>
      <c r="F25" s="12"/>
      <c r="G25" s="135"/>
      <c r="H25" s="184"/>
      <c r="I25" s="184"/>
      <c r="J25" s="183"/>
      <c r="N25" s="18"/>
      <c r="O25" s="89"/>
      <c r="P25" s="18"/>
      <c r="R25" s="18"/>
      <c r="S25" s="11"/>
      <c r="T25" s="17"/>
      <c r="U25" s="12"/>
      <c r="W25" s="2">
        <v>22</v>
      </c>
      <c r="X25" s="282">
        <v>1861</v>
      </c>
      <c r="Y25" s="339">
        <f>SUMIFS('III kw.22'!F2:F830,'III kw.22'!V2:V830,"1861")</f>
        <v>18</v>
      </c>
      <c r="Z25" s="339">
        <f>SUMIFS('III kw.22'!AK2:AK830,'III kw.22'!V2:V830,"1861")</f>
        <v>18</v>
      </c>
    </row>
    <row r="26" spans="2:26" x14ac:dyDescent="0.25">
      <c r="B26" s="381" t="s">
        <v>13107</v>
      </c>
      <c r="C26" s="382" t="s">
        <v>13108</v>
      </c>
      <c r="D26" s="383">
        <f>SUM(D24:D25)</f>
        <v>1723</v>
      </c>
      <c r="E26" s="383">
        <f>SUM(E24:E25)</f>
        <v>1734</v>
      </c>
      <c r="F26" s="381"/>
      <c r="G26" s="135"/>
      <c r="H26" s="184"/>
      <c r="I26" s="184"/>
      <c r="J26" s="183"/>
      <c r="N26" s="18"/>
      <c r="O26" s="89"/>
      <c r="P26" s="18"/>
      <c r="R26" s="18"/>
      <c r="S26" s="11"/>
      <c r="T26" s="17"/>
      <c r="U26" s="12"/>
      <c r="W26" s="2">
        <v>23</v>
      </c>
      <c r="X26" s="282">
        <v>1862</v>
      </c>
      <c r="Y26" s="339">
        <f>SUMIFS('III kw.22'!F2:F830,'III kw.22'!V2:V830,"1862")</f>
        <v>10</v>
      </c>
      <c r="Z26" s="339">
        <f>SUMIFS('III kw.22'!AK2:AK830,'III kw.22'!V2:V830,"1862")</f>
        <v>10</v>
      </c>
    </row>
    <row r="27" spans="2:26" x14ac:dyDescent="0.25">
      <c r="B27" s="12">
        <v>13</v>
      </c>
      <c r="C27" s="17" t="s">
        <v>17622</v>
      </c>
      <c r="D27" s="26">
        <v>769</v>
      </c>
      <c r="E27" s="26">
        <v>773</v>
      </c>
      <c r="F27" s="12" t="s">
        <v>17632</v>
      </c>
      <c r="H27" s="184"/>
      <c r="I27" s="184"/>
      <c r="J27" s="183"/>
      <c r="N27" s="18"/>
      <c r="O27" s="89"/>
      <c r="P27" s="18"/>
      <c r="R27" s="18"/>
      <c r="S27" s="11"/>
      <c r="T27" s="17"/>
      <c r="U27" s="12"/>
      <c r="W27" s="2">
        <v>24</v>
      </c>
      <c r="X27" s="282">
        <v>1863</v>
      </c>
      <c r="Y27" s="339">
        <f>SUMIFS('III kw.22'!F2:F830,'III kw.22'!V2:V830,"1863")</f>
        <v>185</v>
      </c>
      <c r="Z27" s="339">
        <f>SUMIFS('III kw.22'!AK2:AK830,'III kw.22'!V2:V830,"1863")</f>
        <v>177</v>
      </c>
    </row>
    <row r="28" spans="2:26" x14ac:dyDescent="0.25">
      <c r="B28" s="12">
        <v>14</v>
      </c>
      <c r="C28" s="17" t="s">
        <v>17629</v>
      </c>
      <c r="D28" s="26">
        <v>766</v>
      </c>
      <c r="E28" s="26">
        <v>769</v>
      </c>
      <c r="F28" s="12" t="s">
        <v>19922</v>
      </c>
      <c r="H28" s="184"/>
      <c r="I28" s="184"/>
      <c r="J28" s="183"/>
      <c r="N28" s="18"/>
      <c r="O28" s="89"/>
      <c r="P28" s="18"/>
      <c r="R28" s="18"/>
      <c r="S28" s="11"/>
      <c r="T28" s="17"/>
      <c r="U28" s="12"/>
      <c r="W28" s="2">
        <v>25</v>
      </c>
      <c r="X28" s="282">
        <v>1864</v>
      </c>
      <c r="Y28" s="339">
        <f>SUMIFS('III kw.22'!F2:F830,'III kw.22'!V2:V830,"1864")</f>
        <v>13</v>
      </c>
      <c r="Z28" s="339">
        <f>SUMIFS('III kw.22'!AK2:AK830,'III kw.22'!V2:V830,"1864")</f>
        <v>13</v>
      </c>
    </row>
    <row r="29" spans="2:26" x14ac:dyDescent="0.25">
      <c r="B29" s="381" t="s">
        <v>17623</v>
      </c>
      <c r="C29" s="382" t="s">
        <v>23097</v>
      </c>
      <c r="D29" s="383">
        <f>SUM(D27:D28)</f>
        <v>1535</v>
      </c>
      <c r="E29" s="383">
        <f>SUM(E27:E28)</f>
        <v>1542</v>
      </c>
      <c r="F29" s="381"/>
      <c r="G29" s="135">
        <f>SUM(D30-D24)</f>
        <v>-319</v>
      </c>
      <c r="H29" s="184"/>
      <c r="I29" s="184"/>
      <c r="J29" s="183"/>
      <c r="N29" s="18"/>
      <c r="O29" s="89"/>
      <c r="P29" s="18"/>
      <c r="R29" s="18"/>
      <c r="S29" s="11"/>
      <c r="T29" s="17"/>
      <c r="U29" s="12"/>
      <c r="X29" s="340" t="s">
        <v>23106</v>
      </c>
      <c r="Y29" s="341">
        <f>SUM(Y4:Y28)</f>
        <v>480</v>
      </c>
      <c r="Z29" s="341">
        <f>SUM(Z4:Z28)</f>
        <v>443</v>
      </c>
    </row>
    <row r="30" spans="2:26" x14ac:dyDescent="0.25">
      <c r="B30" s="107">
        <v>15</v>
      </c>
      <c r="C30" s="106" t="s">
        <v>17630</v>
      </c>
      <c r="D30" s="105">
        <v>703</v>
      </c>
      <c r="E30" s="105">
        <v>743</v>
      </c>
      <c r="F30" s="107" t="s">
        <v>23098</v>
      </c>
      <c r="G30" s="135">
        <f>SUM(D30-D28)</f>
        <v>-63</v>
      </c>
      <c r="H30" s="184"/>
      <c r="I30" s="184"/>
      <c r="J30" s="183"/>
      <c r="N30" s="18"/>
      <c r="O30" s="89"/>
      <c r="P30" s="18"/>
      <c r="R30" s="18"/>
      <c r="S30" s="11"/>
      <c r="T30" s="17"/>
      <c r="U30" s="12"/>
      <c r="X30" s="493">
        <v>0</v>
      </c>
      <c r="Y30" s="16">
        <v>15</v>
      </c>
      <c r="Z30" s="16">
        <v>15</v>
      </c>
    </row>
    <row r="31" spans="2:26" x14ac:dyDescent="0.25">
      <c r="B31" s="12"/>
      <c r="C31" s="17"/>
      <c r="D31" s="26"/>
      <c r="E31" s="26"/>
      <c r="F31" s="12"/>
      <c r="G31" s="135"/>
      <c r="J31" s="2"/>
      <c r="N31" s="18"/>
      <c r="O31" s="89"/>
      <c r="P31" s="18"/>
      <c r="R31" s="18"/>
      <c r="S31" s="11"/>
      <c r="T31" s="17"/>
      <c r="U31" s="12"/>
      <c r="X31" s="493">
        <v>25</v>
      </c>
      <c r="Y31" s="16">
        <v>247</v>
      </c>
      <c r="Z31" s="16">
        <v>244</v>
      </c>
    </row>
    <row r="32" spans="2:26" x14ac:dyDescent="0.25">
      <c r="B32" s="12"/>
      <c r="C32" s="17"/>
      <c r="D32" s="26"/>
      <c r="E32" s="26"/>
      <c r="F32" s="12"/>
      <c r="G32" s="135"/>
      <c r="J32" s="2"/>
      <c r="N32" s="18"/>
      <c r="O32" s="89"/>
      <c r="P32" s="18"/>
      <c r="R32" s="18"/>
      <c r="S32" s="11"/>
      <c r="T32" s="17"/>
      <c r="U32" s="12"/>
      <c r="X32" s="527">
        <v>9</v>
      </c>
      <c r="Y32" s="16">
        <v>1</v>
      </c>
      <c r="Z32" s="16">
        <v>1</v>
      </c>
    </row>
    <row r="33" spans="2:30" x14ac:dyDescent="0.25">
      <c r="B33" s="12"/>
      <c r="C33" s="17"/>
      <c r="D33" s="26"/>
      <c r="E33" s="26"/>
      <c r="F33" s="12"/>
      <c r="G33" s="135"/>
      <c r="J33" s="2"/>
      <c r="N33" s="18"/>
      <c r="O33" s="89"/>
      <c r="P33" s="18"/>
      <c r="R33" s="18"/>
      <c r="S33" s="11"/>
      <c r="T33" s="17"/>
      <c r="U33" s="12"/>
      <c r="Y33" s="224">
        <f>SUM(Y29:Y32)</f>
        <v>743</v>
      </c>
      <c r="Z33" s="224">
        <f>SUM(Z29:Z32)</f>
        <v>703</v>
      </c>
    </row>
    <row r="34" spans="2:30" x14ac:dyDescent="0.25">
      <c r="B34" s="12"/>
      <c r="C34" s="17"/>
      <c r="D34" s="26"/>
      <c r="E34" s="26"/>
      <c r="F34" s="12"/>
      <c r="G34" s="135"/>
      <c r="J34" s="2"/>
      <c r="N34" s="18"/>
      <c r="O34" s="89"/>
      <c r="P34" s="18"/>
      <c r="R34" s="18"/>
      <c r="T34" s="89"/>
      <c r="U34" s="18"/>
    </row>
    <row r="35" spans="2:30" x14ac:dyDescent="0.25">
      <c r="B35" s="18"/>
      <c r="C35" s="89"/>
      <c r="E35" s="135"/>
      <c r="F35" s="20"/>
      <c r="N35" s="242"/>
      <c r="O35" s="242"/>
      <c r="P35" s="243">
        <f ca="1">SUM(AD4:AD15)</f>
        <v>743</v>
      </c>
      <c r="R35" s="242"/>
      <c r="T35" s="243"/>
      <c r="U35" s="246">
        <f ca="1">SUM(AG4:AG15)</f>
        <v>743</v>
      </c>
    </row>
    <row r="36" spans="2:30" x14ac:dyDescent="0.25">
      <c r="B36" s="476" t="s">
        <v>170</v>
      </c>
      <c r="C36" s="476"/>
      <c r="D36" s="476"/>
      <c r="E36" s="476" t="s">
        <v>2</v>
      </c>
      <c r="F36" s="476"/>
      <c r="G36" s="476"/>
      <c r="H36" s="476" t="s">
        <v>3</v>
      </c>
      <c r="I36" s="476"/>
      <c r="J36" s="476"/>
      <c r="K36" s="488" t="s">
        <v>3589</v>
      </c>
      <c r="L36" s="488"/>
      <c r="M36" s="488"/>
      <c r="N36" s="488" t="s">
        <v>1</v>
      </c>
      <c r="O36" s="488"/>
      <c r="P36" s="488"/>
      <c r="Q36" s="407" t="s">
        <v>4</v>
      </c>
      <c r="R36" s="407"/>
      <c r="S36" s="407"/>
      <c r="T36" s="314" t="s">
        <v>5</v>
      </c>
      <c r="U36" s="314"/>
      <c r="V36" s="314"/>
      <c r="W36" s="328" t="s">
        <v>6</v>
      </c>
      <c r="X36" s="328"/>
      <c r="Y36" s="327"/>
    </row>
    <row r="37" spans="2:30" x14ac:dyDescent="0.25">
      <c r="B37" s="478" t="s">
        <v>3469</v>
      </c>
      <c r="C37" s="477"/>
      <c r="D37" s="479"/>
      <c r="E37" s="478" t="s">
        <v>3470</v>
      </c>
      <c r="F37" s="477"/>
      <c r="G37" s="479"/>
      <c r="H37" s="478" t="s">
        <v>3470</v>
      </c>
      <c r="I37" s="478"/>
      <c r="J37" s="479"/>
      <c r="K37" s="489"/>
      <c r="L37" s="490"/>
      <c r="M37" s="489"/>
      <c r="N37" s="489"/>
      <c r="O37" s="490"/>
      <c r="P37" s="489"/>
      <c r="Q37" s="489"/>
      <c r="R37" s="490"/>
      <c r="S37" s="489"/>
      <c r="T37" s="98"/>
      <c r="U37" s="99"/>
      <c r="V37" s="315"/>
      <c r="W37" s="323"/>
      <c r="X37" s="324"/>
      <c r="Y37" s="325"/>
    </row>
    <row r="38" spans="2:30" x14ac:dyDescent="0.25">
      <c r="B38" s="108">
        <v>2141</v>
      </c>
      <c r="C38" s="390" t="s">
        <v>3569</v>
      </c>
      <c r="D38" s="390">
        <f>SUMIF('III kw.22'!AJ2:AJ830,"2141*",'III kw.22'!F2:F830)</f>
        <v>12</v>
      </c>
      <c r="E38" s="108">
        <v>2113</v>
      </c>
      <c r="F38" s="11" t="s">
        <v>3491</v>
      </c>
      <c r="G38" s="475">
        <f>SUMIF('III kw.22'!AJ2:AJ830,"2113*",'III kw.22'!F2:F830)</f>
        <v>1</v>
      </c>
      <c r="H38" s="122">
        <v>2142</v>
      </c>
      <c r="I38" s="399" t="s">
        <v>3494</v>
      </c>
      <c r="J38" s="475">
        <f>SUMIF('III kw.22'!AJ2:AJ830,"2142*",'III kw.22'!F2:F830)</f>
        <v>14</v>
      </c>
      <c r="K38" s="425">
        <v>315</v>
      </c>
      <c r="L38" s="11" t="s">
        <v>3532</v>
      </c>
      <c r="M38" s="487">
        <f>SUMIF('III kw.22'!AJ2:AJ830,"315*",'III kw.22'!F2:F830)</f>
        <v>0</v>
      </c>
      <c r="N38" s="108">
        <v>2166</v>
      </c>
      <c r="O38" s="11" t="s">
        <v>3510</v>
      </c>
      <c r="P38" s="487">
        <f>SUMIF('III kw.22'!AJ2:AJ830,"2166*",'III kw.22'!F2:F830)</f>
        <v>0</v>
      </c>
      <c r="Q38" s="405">
        <v>22</v>
      </c>
      <c r="R38" s="406" t="s">
        <v>3511</v>
      </c>
      <c r="S38" s="487">
        <f>SUMIF('III kw.22'!AJ2:AJ830,"22*",'III kw.22'!F2:F830)</f>
        <v>12</v>
      </c>
      <c r="T38" s="118">
        <v>23</v>
      </c>
      <c r="U38" s="11" t="s">
        <v>3512</v>
      </c>
      <c r="V38" s="316">
        <f>SUMIF('III kw.22'!AJ2:AJ830,"23*",'III kw.22'!F2:F830)</f>
        <v>5</v>
      </c>
      <c r="W38" s="131">
        <v>7549</v>
      </c>
      <c r="X38" s="11" t="s">
        <v>3561</v>
      </c>
      <c r="Y38" s="326">
        <f>SUMIF('III kw.22'!AJ2:AJ830,"7549*",'III kw.22'!F2:F830)</f>
        <v>0</v>
      </c>
    </row>
    <row r="39" spans="2:30" x14ac:dyDescent="0.25">
      <c r="B39" s="108">
        <v>2132</v>
      </c>
      <c r="C39" s="11" t="s">
        <v>3493</v>
      </c>
      <c r="D39" s="480">
        <f>SUMIF('III kw.22'!AJ2:AJ830,"2132*",'III kw.22'!F2:F830)</f>
        <v>1</v>
      </c>
      <c r="E39" s="108">
        <v>2145</v>
      </c>
      <c r="F39" s="11" t="s">
        <v>3496</v>
      </c>
      <c r="G39" s="475">
        <f>SUMIF('III kw.22'!AJ2:AJ830,"2145*",'III kw.22'!F2:F830)</f>
        <v>1</v>
      </c>
      <c r="H39" s="122">
        <v>2143</v>
      </c>
      <c r="I39" s="11" t="s">
        <v>93</v>
      </c>
      <c r="J39" s="475">
        <f>SUMIF('III kw.22'!AJ2:AJ830,"2143*",'III kw.22'!F2:F830)</f>
        <v>6</v>
      </c>
      <c r="K39" s="426">
        <v>42</v>
      </c>
      <c r="L39" s="11" t="s">
        <v>3537</v>
      </c>
      <c r="M39" s="487">
        <f>SUMIF('III kw.22'!AJ2:AJ830,"42*",'III kw.22'!F2:F830)</f>
        <v>17</v>
      </c>
      <c r="N39" s="118">
        <v>24</v>
      </c>
      <c r="O39" s="368" t="s">
        <v>3571</v>
      </c>
      <c r="P39" s="107">
        <f>SUMIF('III kw.22'!AJ2:AJ830,"24*",'III kw.22'!F2:F830)</f>
        <v>115</v>
      </c>
      <c r="Q39" s="405">
        <v>32</v>
      </c>
      <c r="R39" s="406" t="s">
        <v>3533</v>
      </c>
      <c r="S39" s="487">
        <f>SUMIF('III kw.22'!AJ2:AJ830,"32*",'III kw.22'!F2:F830)</f>
        <v>7</v>
      </c>
      <c r="T39" s="118">
        <v>26</v>
      </c>
      <c r="U39" s="11" t="s">
        <v>3572</v>
      </c>
      <c r="V39" s="316">
        <f>SUMIF('III kw.22'!AJ2:AJ830,"26*",'III kw.22'!F2:F830)</f>
        <v>15</v>
      </c>
      <c r="W39" s="119">
        <v>9</v>
      </c>
      <c r="X39" s="11" t="s">
        <v>3565</v>
      </c>
      <c r="Y39" s="326">
        <f>SUMIF('III kw.22'!AJ2:AJ830,"9*",'III kw.22'!F2:F830)</f>
        <v>3</v>
      </c>
      <c r="AD39" s="18"/>
    </row>
    <row r="40" spans="2:30" x14ac:dyDescent="0.25">
      <c r="B40" s="108">
        <v>2146</v>
      </c>
      <c r="C40" s="11" t="s">
        <v>3497</v>
      </c>
      <c r="D40" s="475">
        <f>SUMIF('III kw.22'!AJ2:AJ830,"2146*",'III kw.22'!F2:F830)</f>
        <v>0</v>
      </c>
      <c r="E40" s="108">
        <v>2131</v>
      </c>
      <c r="F40" s="11" t="s">
        <v>3492</v>
      </c>
      <c r="G40" s="475">
        <f>SUMIF('III kw.22'!AJ2:AJ830,"2131*",'III kw.22'!F2:F830)</f>
        <v>2</v>
      </c>
      <c r="H40" s="122">
        <v>2161</v>
      </c>
      <c r="I40" s="11" t="s">
        <v>3507</v>
      </c>
      <c r="J40" s="475">
        <f>SUMIF('III kw.22'!AJ2:AJ830,"2161*",'III kw.22'!F2:F830)</f>
        <v>3</v>
      </c>
      <c r="K40" s="426">
        <v>43</v>
      </c>
      <c r="L40" s="103" t="s">
        <v>3538</v>
      </c>
      <c r="M40" s="107">
        <f>SUMIF('III kw.22'!AJ2:AJ830,"43*",'III kw.22'!F2:F830)</f>
        <v>11</v>
      </c>
      <c r="N40" s="125">
        <v>33</v>
      </c>
      <c r="O40" s="368" t="s">
        <v>3534</v>
      </c>
      <c r="P40" s="107">
        <f>SUMIF('III kw.22'!AJ2:AJ830,"33*",'III kw.22'!F2:F830)</f>
        <v>85</v>
      </c>
      <c r="Q40" s="405">
        <v>53</v>
      </c>
      <c r="R40" s="406" t="s">
        <v>3542</v>
      </c>
      <c r="S40" s="487">
        <f>SUMIF('III kw.22'!AJ2:AJ830,"53*",'III kw.22'!F2:F830)</f>
        <v>0</v>
      </c>
      <c r="T40" s="125">
        <v>34</v>
      </c>
      <c r="U40" s="11" t="s">
        <v>3535</v>
      </c>
      <c r="V40" s="316">
        <f>SUMIF('III kw.22'!AJ2:AJ830,"34*",'III kw.22'!F2:F830)</f>
        <v>0</v>
      </c>
      <c r="W40" s="37"/>
      <c r="Y40" s="326">
        <f>SUM(Y38:Y39)</f>
        <v>3</v>
      </c>
      <c r="AD40" s="18"/>
    </row>
    <row r="41" spans="2:30" ht="15" customHeight="1" x14ac:dyDescent="0.25">
      <c r="B41" s="121">
        <v>3113</v>
      </c>
      <c r="C41" s="11" t="s">
        <v>3520</v>
      </c>
      <c r="D41" s="475">
        <f>SUMIF('III kw.22'!AJ2:AJ830,"3113*",'III kw.22'!F2:F830)</f>
        <v>4</v>
      </c>
      <c r="E41" s="108">
        <v>2144</v>
      </c>
      <c r="F41" s="399" t="s">
        <v>3495</v>
      </c>
      <c r="G41" s="482">
        <f>SUMIF('III kw.22'!AJ2:AJ830,"2144*",'III kw.22'!F2:F830)</f>
        <v>9</v>
      </c>
      <c r="H41" s="122">
        <v>2162</v>
      </c>
      <c r="I41" s="11" t="s">
        <v>3508</v>
      </c>
      <c r="J41" s="475">
        <f>SUMIF('III kw.22'!AJ2:AJ830,"2162*",'III kw.22'!F2:F830)</f>
        <v>0</v>
      </c>
      <c r="K41" s="427">
        <v>52</v>
      </c>
      <c r="L41" s="103" t="s">
        <v>3541</v>
      </c>
      <c r="M41" s="107">
        <f>SUMIF('III kw.22'!AJ2:AJ830,"52*",'III kw.22'!F2:F830)</f>
        <v>44</v>
      </c>
      <c r="N41" s="127">
        <v>51</v>
      </c>
      <c r="O41" s="11" t="s">
        <v>3540</v>
      </c>
      <c r="P41" s="487">
        <f>SUMIF('III kw.22'!AJ2:AJ830,"51*",'III kw.22'!F2:F830)</f>
        <v>16</v>
      </c>
      <c r="Q41" s="37"/>
      <c r="S41" s="487">
        <f>SUM(S38:S40)</f>
        <v>19</v>
      </c>
      <c r="V41" s="317">
        <f>SUM(V38:V40)</f>
        <v>20</v>
      </c>
      <c r="W41" s="37"/>
      <c r="AD41" s="20"/>
    </row>
    <row r="42" spans="2:30" x14ac:dyDescent="0.25">
      <c r="B42" s="121">
        <v>3114</v>
      </c>
      <c r="C42" s="11" t="s">
        <v>3521</v>
      </c>
      <c r="D42" s="475">
        <f>SUMIF('III kw.22'!AJ2:AJ830,"3114*",'III kw.22'!F2:F830)</f>
        <v>1</v>
      </c>
      <c r="E42" s="108">
        <v>2149</v>
      </c>
      <c r="F42" s="399" t="s">
        <v>3498</v>
      </c>
      <c r="G42" s="482">
        <f>SUMIF('III kw.22'!AJ2:AJ830,"2149*",'III kw.22'!F2:F830)</f>
        <v>10</v>
      </c>
      <c r="H42" s="108">
        <v>2164</v>
      </c>
      <c r="I42" s="11" t="s">
        <v>3585</v>
      </c>
      <c r="J42" s="475">
        <f>SUMIF('III kw.22'!AJ2:AJ830,"2164*",'III kw.22'!F2:F830)</f>
        <v>0</v>
      </c>
      <c r="K42" s="428">
        <v>83</v>
      </c>
      <c r="L42" s="11" t="s">
        <v>3564</v>
      </c>
      <c r="M42" s="487">
        <f>SUMIF('III kw.22'!AJ2:AJ830,"83*",'III kw.22'!F2:F830)</f>
        <v>36</v>
      </c>
      <c r="N42" s="120">
        <v>14</v>
      </c>
      <c r="O42" s="11" t="s">
        <v>3578</v>
      </c>
      <c r="P42" s="487">
        <f>SUMIF('III kw.22'!AJ2:AJ830,"14*",'III kw.22'!F2:F830)</f>
        <v>18</v>
      </c>
      <c r="Q42" s="37"/>
      <c r="T42" s="1" t="s">
        <v>0</v>
      </c>
      <c r="U42" s="94"/>
      <c r="V42" s="20"/>
      <c r="W42" s="542" t="s">
        <v>3574</v>
      </c>
    </row>
    <row r="43" spans="2:30" x14ac:dyDescent="0.25">
      <c r="B43" s="401">
        <v>3115</v>
      </c>
      <c r="C43" s="8" t="s">
        <v>3522</v>
      </c>
      <c r="D43" s="9">
        <f>SUMIF('III kw.22'!AJ2:AJ830,"3115*",'III kw.22'!F2:F830)</f>
        <v>14</v>
      </c>
      <c r="E43" s="389">
        <v>2149</v>
      </c>
      <c r="F43" s="11" t="s">
        <v>3499</v>
      </c>
      <c r="G43" s="483" t="s">
        <v>3573</v>
      </c>
      <c r="H43" s="122">
        <v>2165</v>
      </c>
      <c r="I43" s="11" t="s">
        <v>3509</v>
      </c>
      <c r="J43" s="475">
        <f>SUMIF('III kw.22'!AJ2:AJ830,"2165*",'III kw.22'!F2:F830)</f>
        <v>0</v>
      </c>
      <c r="K43" s="429">
        <v>12</v>
      </c>
      <c r="L43" s="11" t="s">
        <v>3576</v>
      </c>
      <c r="M43" s="487">
        <f>SUMIF('III kw.22'!AJ2:AJ830,"12*",'III kw.22'!F2:F830)</f>
        <v>34</v>
      </c>
      <c r="P43" s="487">
        <f>SUM(P38:P42)</f>
        <v>234</v>
      </c>
      <c r="Q43" s="37"/>
      <c r="T43" s="321"/>
      <c r="U43" s="320"/>
      <c r="V43" s="318"/>
      <c r="W43" s="470"/>
      <c r="X43" s="471"/>
      <c r="Y43" s="472"/>
    </row>
    <row r="44" spans="2:30" x14ac:dyDescent="0.25">
      <c r="B44" s="401">
        <v>3116</v>
      </c>
      <c r="C44" s="8" t="s">
        <v>3523</v>
      </c>
      <c r="D44" s="9">
        <f>SUMIF('III kw.22'!AJ2:AJ830,"3116*",'III kw.22'!F2:F830)</f>
        <v>2</v>
      </c>
      <c r="E44" s="389">
        <v>2149</v>
      </c>
      <c r="F44" s="11" t="s">
        <v>3500</v>
      </c>
      <c r="G44" s="483" t="s">
        <v>3573</v>
      </c>
      <c r="H44" s="126">
        <v>3111</v>
      </c>
      <c r="I44" s="11" t="s">
        <v>3587</v>
      </c>
      <c r="J44" s="475">
        <f>SUMIF('III kw.22'!AJ2:AJ830,"3111*",'III kw.22'!F2:F830)</f>
        <v>1</v>
      </c>
      <c r="K44" s="89"/>
      <c r="L44" s="20"/>
      <c r="M44" s="487">
        <f>SUM(M38:M43)</f>
        <v>142</v>
      </c>
      <c r="Q44" s="37"/>
      <c r="T44" s="116">
        <v>41</v>
      </c>
      <c r="U44" s="11" t="s">
        <v>3592</v>
      </c>
      <c r="V44" s="316">
        <f>SUMIF('III kw.22'!AJ2:AJ830,"41*",'III kw.22'!F2:F830)</f>
        <v>4</v>
      </c>
      <c r="W44" s="120">
        <v>11</v>
      </c>
      <c r="X44" s="11" t="s">
        <v>23109</v>
      </c>
      <c r="Y44" s="473">
        <f>SUMIF('III kw.22'!AJ2:AJ830,"11*",'III kw.22'!F2:F830)</f>
        <v>1</v>
      </c>
    </row>
    <row r="45" spans="2:30" x14ac:dyDescent="0.25">
      <c r="B45" s="121">
        <v>3117</v>
      </c>
      <c r="C45" s="11" t="s">
        <v>3524</v>
      </c>
      <c r="D45" s="475">
        <f>SUMIF('III kw.22'!AJ2:AJ830,"3117*",'III kw.22'!F2:F830)</f>
        <v>0</v>
      </c>
      <c r="E45" s="389">
        <v>2149</v>
      </c>
      <c r="F45" s="11" t="s">
        <v>3501</v>
      </c>
      <c r="G45" s="483" t="s">
        <v>3573</v>
      </c>
      <c r="H45" s="126">
        <v>3112</v>
      </c>
      <c r="I45" s="399" t="s">
        <v>3519</v>
      </c>
      <c r="J45" s="475">
        <f>SUMIF('III kw.22'!AJ2:AJ830,"3112*",'III kw.22'!F2:F830)</f>
        <v>3</v>
      </c>
      <c r="K45" s="89"/>
      <c r="L45" s="20"/>
      <c r="M45" s="20"/>
      <c r="N45" s="100" t="s">
        <v>134</v>
      </c>
      <c r="O45" s="93"/>
      <c r="Q45" s="37"/>
      <c r="T45" s="116">
        <v>44</v>
      </c>
      <c r="U45" s="11" t="s">
        <v>3539</v>
      </c>
      <c r="V45" s="316">
        <f>SUMIF('III kw.22'!AJ2:AJ830,"44*",'III kw.22'!F2:F830)</f>
        <v>1</v>
      </c>
      <c r="W45" s="108">
        <v>2111</v>
      </c>
      <c r="X45" s="11" t="s">
        <v>3580</v>
      </c>
      <c r="Y45" s="473">
        <f>SUMIF('III kw.22'!AJ2:AJ830,"2111*",'III kw.22'!F2:F830)</f>
        <v>0</v>
      </c>
    </row>
    <row r="46" spans="2:30" x14ac:dyDescent="0.25">
      <c r="B46" s="121">
        <v>3119</v>
      </c>
      <c r="C46" s="396" t="s">
        <v>3526</v>
      </c>
      <c r="D46" s="397">
        <f>SUMIF('III kw.22'!AJ2:AJ830,"3119*",'III kw.22'!F2:F830)</f>
        <v>8</v>
      </c>
      <c r="E46" s="389">
        <v>2149</v>
      </c>
      <c r="F46" s="11" t="s">
        <v>3502</v>
      </c>
      <c r="G46" s="483" t="s">
        <v>3573</v>
      </c>
      <c r="H46" s="126">
        <v>3118</v>
      </c>
      <c r="I46" s="11" t="s">
        <v>3525</v>
      </c>
      <c r="J46" s="475">
        <f>SUMIF('III kw.22'!AJ2:AJ830,"3118*",'III kw.22'!F2:F830)</f>
        <v>0</v>
      </c>
      <c r="K46" s="89"/>
      <c r="L46" s="20"/>
      <c r="M46" s="20"/>
      <c r="N46" s="489"/>
      <c r="O46" s="490"/>
      <c r="P46" s="486"/>
      <c r="Q46" s="37"/>
      <c r="T46" s="131">
        <v>7515</v>
      </c>
      <c r="U46" s="11" t="s">
        <v>3552</v>
      </c>
      <c r="V46" s="319">
        <f>SUMIF('III kw.22'!AJ2:AJ830,"7515*",'III kw.22'!F2:F830)</f>
        <v>0</v>
      </c>
      <c r="W46" s="108">
        <v>2112</v>
      </c>
      <c r="X46" s="11" t="s">
        <v>3581</v>
      </c>
      <c r="Y46" s="473">
        <f>SUMIF('III kw.22'!AJ2:AJ830,"2112*",'III kw.22'!F2:F830)</f>
        <v>0</v>
      </c>
    </row>
    <row r="47" spans="2:30" x14ac:dyDescent="0.25">
      <c r="B47" s="121">
        <v>3121</v>
      </c>
      <c r="C47" s="11" t="s">
        <v>3527</v>
      </c>
      <c r="D47" s="475">
        <f>SUMIF('III kw.22'!AJ2:AJ830,"3121*",'III kw.22'!F2:F830)</f>
        <v>0</v>
      </c>
      <c r="E47" s="389">
        <v>2149</v>
      </c>
      <c r="F47" s="11" t="s">
        <v>3503</v>
      </c>
      <c r="G47" s="483" t="s">
        <v>3573</v>
      </c>
      <c r="H47" s="126">
        <v>3123</v>
      </c>
      <c r="I47" s="11" t="s">
        <v>3529</v>
      </c>
      <c r="J47" s="475">
        <f>SUMIF('III kw.22'!AJ2:AJ830,"3123*",'III kw.22'!F2:F830)</f>
        <v>0</v>
      </c>
      <c r="K47" s="89"/>
      <c r="L47" s="20"/>
      <c r="N47" s="131">
        <v>7512</v>
      </c>
      <c r="O47" s="11" t="s">
        <v>3549</v>
      </c>
      <c r="P47" s="487">
        <f>SUMIF('III kw.22'!AJ2:AJ830,"7512*",'III kw.22'!F2:F830)</f>
        <v>0</v>
      </c>
      <c r="Q47" s="37"/>
      <c r="T47" s="37"/>
      <c r="V47" s="317">
        <f>SUM(V44:V46)</f>
        <v>5</v>
      </c>
      <c r="W47" s="108">
        <v>2114</v>
      </c>
      <c r="X47" s="11" t="s">
        <v>3582</v>
      </c>
      <c r="Y47" s="473">
        <f>SUMIF('III kw.22'!AJ2:AJ830,"2114*",'III kw.22'!F2:F830)</f>
        <v>0</v>
      </c>
    </row>
    <row r="48" spans="2:30" x14ac:dyDescent="0.25">
      <c r="B48" s="121">
        <v>3122</v>
      </c>
      <c r="C48" s="11" t="s">
        <v>3528</v>
      </c>
      <c r="D48" s="475">
        <f>SUMIF('III kw.22'!AJ2:AJ830,"3122*",'III kw.22'!F2:F830)</f>
        <v>0</v>
      </c>
      <c r="E48" s="108">
        <v>2151</v>
      </c>
      <c r="F48" s="11" t="s">
        <v>3504</v>
      </c>
      <c r="G48" s="475">
        <f>SUMIF('III kw.22'!AJ2:AJ830,"2151*",'III kw.22'!F2:F830)</f>
        <v>2</v>
      </c>
      <c r="H48" s="129">
        <v>71</v>
      </c>
      <c r="I48" s="399" t="s">
        <v>3544</v>
      </c>
      <c r="J48" s="475">
        <f>SUMIF('III kw.22'!AJ2:AJ830,"71*",'III kw.22'!F2:F830)</f>
        <v>6</v>
      </c>
      <c r="K48" s="89"/>
      <c r="L48" s="20"/>
      <c r="M48" s="20"/>
      <c r="P48" s="487">
        <f>SUM(P47)</f>
        <v>0</v>
      </c>
      <c r="Q48" s="37"/>
      <c r="T48" s="37"/>
      <c r="W48" s="108">
        <v>2120</v>
      </c>
      <c r="X48" s="11" t="s">
        <v>3583</v>
      </c>
      <c r="Y48" s="473">
        <f>SUMIF('III kw.22'!AJ2:AJ830,"2120*",'III kw.22'!F2:F830)</f>
        <v>0</v>
      </c>
    </row>
    <row r="49" spans="2:25" x14ac:dyDescent="0.25">
      <c r="B49" s="416">
        <v>313</v>
      </c>
      <c r="C49" s="391" t="s">
        <v>3530</v>
      </c>
      <c r="D49" s="390">
        <f>SUMIF('III kw.22'!AJ2:AJ830,"313*",'III kw.22'!F2:F830)</f>
        <v>14</v>
      </c>
      <c r="E49" s="108">
        <v>2152</v>
      </c>
      <c r="F49" s="11" t="s">
        <v>3505</v>
      </c>
      <c r="G49" s="475">
        <f>SUMIF('III kw.22'!AJ2:AJ830,"2152*",'III kw.22'!F2:F830)</f>
        <v>1</v>
      </c>
      <c r="H49" s="132">
        <v>7521</v>
      </c>
      <c r="I49" s="11" t="s">
        <v>3553</v>
      </c>
      <c r="J49" s="475">
        <f>SUMIF('III kw.22'!AJ2:AJ830,"7521*",'III kw.22'!F2:F830)</f>
        <v>0</v>
      </c>
      <c r="K49" s="89"/>
      <c r="L49" s="20"/>
      <c r="M49" s="20"/>
      <c r="N49" s="94" t="s">
        <v>154</v>
      </c>
      <c r="O49" s="94"/>
      <c r="P49" s="18"/>
      <c r="T49" s="37"/>
      <c r="W49" s="119">
        <v>0</v>
      </c>
      <c r="X49" s="11" t="s">
        <v>3586</v>
      </c>
      <c r="Y49" s="473">
        <f>SUMIF('III kw.22'!AJ2:AJ830,"0*",'III kw.22'!F2:F830)</f>
        <v>0</v>
      </c>
    </row>
    <row r="50" spans="2:25" x14ac:dyDescent="0.25">
      <c r="B50" s="401">
        <v>314</v>
      </c>
      <c r="C50" s="8" t="s">
        <v>3531</v>
      </c>
      <c r="D50" s="9">
        <f>SUMIF('III kw.22'!AJ2:AJ830,"314*",'III kw.22'!F2:F830)</f>
        <v>2</v>
      </c>
      <c r="E50" s="108">
        <v>2153</v>
      </c>
      <c r="F50" s="11" t="s">
        <v>3506</v>
      </c>
      <c r="G50" s="475">
        <f>SUMIF('III kw.22'!AJ2:AJ830,"2153*",'III kw.22'!F2:F830)</f>
        <v>0</v>
      </c>
      <c r="H50" s="132">
        <v>7522</v>
      </c>
      <c r="I50" s="11" t="s">
        <v>3554</v>
      </c>
      <c r="J50" s="475">
        <f>SUMIF('III kw.22'!AJ2:AJ830,"7522*",'III kw.22'!F2:F830)</f>
        <v>0</v>
      </c>
      <c r="K50" s="89"/>
      <c r="L50" s="20"/>
      <c r="M50" s="20"/>
      <c r="N50" s="489"/>
      <c r="O50" s="490"/>
      <c r="P50" s="486"/>
      <c r="Y50" s="473">
        <f>SUM(Y44:Y49)</f>
        <v>1</v>
      </c>
    </row>
    <row r="51" spans="2:25" x14ac:dyDescent="0.25">
      <c r="B51" s="125">
        <v>35</v>
      </c>
      <c r="C51" s="391" t="s">
        <v>3536</v>
      </c>
      <c r="D51" s="390">
        <f>SUMIF('III kw.22'!AJ2:AJ830,"35*",'III kw.22'!F2:F830)</f>
        <v>4</v>
      </c>
      <c r="E51" s="118">
        <v>25</v>
      </c>
      <c r="F51" s="446" t="s">
        <v>3513</v>
      </c>
      <c r="G51" s="507">
        <f>SUMIF('III kw.22'!AJ2:AJ830,"25*",'III kw.22'!F2:F830)</f>
        <v>98</v>
      </c>
      <c r="J51" s="484">
        <f>SUM(J38:J50)</f>
        <v>33</v>
      </c>
      <c r="K51" s="89"/>
      <c r="L51" s="20"/>
      <c r="M51" s="20"/>
      <c r="N51" s="131">
        <v>753</v>
      </c>
      <c r="O51" s="11" t="s">
        <v>3556</v>
      </c>
      <c r="P51" s="487">
        <f>SUMIF('III kw.22'!AJ2:AJ830,"753*",'III kw.22'!F2:F830)</f>
        <v>1</v>
      </c>
    </row>
    <row r="52" spans="2:25" x14ac:dyDescent="0.25">
      <c r="B52" s="553">
        <v>6</v>
      </c>
      <c r="C52" s="11" t="s">
        <v>3543</v>
      </c>
      <c r="D52" s="475">
        <f>SUMIF('III kw.22'!AJ2:AJ830,"6*",'III kw.22'!F2:F830)</f>
        <v>1</v>
      </c>
      <c r="E52" s="130">
        <v>74</v>
      </c>
      <c r="F52" s="11" t="s">
        <v>3547</v>
      </c>
      <c r="G52" s="475">
        <f ca="1">SUMIF('III kw.22'!AJ2:AJ1032,"74*",'III kw.22'!F2:F830)</f>
        <v>16</v>
      </c>
      <c r="H52" s="89"/>
      <c r="I52" s="20"/>
      <c r="K52" s="20"/>
      <c r="L52" s="20"/>
      <c r="M52" s="20"/>
      <c r="N52" s="131">
        <v>7541</v>
      </c>
      <c r="O52" s="11" t="s">
        <v>3557</v>
      </c>
      <c r="P52" s="487">
        <f>SUMIF('III kw.22'!AJ2:AJ830,"7541*",'III kw.22'!F2:F830)</f>
        <v>0</v>
      </c>
    </row>
    <row r="53" spans="2:25" x14ac:dyDescent="0.25">
      <c r="B53" s="130">
        <v>72</v>
      </c>
      <c r="C53" s="396" t="s">
        <v>3545</v>
      </c>
      <c r="D53" s="397">
        <f>SUMIF('III kw.22'!AJ2:AJ830,"72*",'III kw.22'!F2:F830)</f>
        <v>41</v>
      </c>
      <c r="G53" s="481">
        <f ca="1">SUM(G38:G52)</f>
        <v>140</v>
      </c>
      <c r="N53" s="127">
        <v>54</v>
      </c>
      <c r="O53" s="11" t="s">
        <v>3588</v>
      </c>
      <c r="P53" s="487">
        <f>SUMIF('III kw.22'!AJ2:AJ830,"54*",'III kw.22'!F2:F830)</f>
        <v>1</v>
      </c>
    </row>
    <row r="54" spans="2:25" x14ac:dyDescent="0.25">
      <c r="B54" s="130">
        <v>73</v>
      </c>
      <c r="C54" s="11" t="s">
        <v>3546</v>
      </c>
      <c r="D54" s="475">
        <f>SUMIF('III kw.22'!AJ2:AJ830,"73*",'III kw.22'!F2:F830)</f>
        <v>0</v>
      </c>
      <c r="P54" s="487">
        <f>SUM(P51:P53)</f>
        <v>2</v>
      </c>
    </row>
    <row r="55" spans="2:25" x14ac:dyDescent="0.25">
      <c r="B55" s="131">
        <v>7511</v>
      </c>
      <c r="C55" s="11" t="s">
        <v>3548</v>
      </c>
      <c r="D55" s="475">
        <f>SUMIF('III kw.22'!AJ2:AJ830,"7511*",'III kw.22'!F2:F830)</f>
        <v>0</v>
      </c>
      <c r="T55" s="37"/>
    </row>
    <row r="56" spans="2:25" x14ac:dyDescent="0.25">
      <c r="B56" s="131">
        <v>7513</v>
      </c>
      <c r="C56" s="11" t="s">
        <v>3550</v>
      </c>
      <c r="D56" s="475">
        <f>SUMIF('III kw.22'!AJ2:AJ830,"7513*",'III kw.22'!F2:F830)</f>
        <v>0</v>
      </c>
    </row>
    <row r="57" spans="2:25" x14ac:dyDescent="0.25">
      <c r="B57" s="131">
        <v>7514</v>
      </c>
      <c r="C57" s="11" t="s">
        <v>3551</v>
      </c>
      <c r="D57" s="475">
        <f>SUMIF('III kw.22'!AJ2:AJ830,"7514*",'III kw.22'!F2:F830)</f>
        <v>0</v>
      </c>
    </row>
    <row r="58" spans="2:25" x14ac:dyDescent="0.25">
      <c r="B58" s="131">
        <v>7523</v>
      </c>
      <c r="C58" s="11" t="s">
        <v>3555</v>
      </c>
      <c r="D58" s="475">
        <f>SUMIF('III kw.22'!AJ2:AJ830,"7523*",'III kw.22'!F2:F830)</f>
        <v>0</v>
      </c>
    </row>
    <row r="59" spans="2:25" x14ac:dyDescent="0.25">
      <c r="B59" s="131">
        <v>7542</v>
      </c>
      <c r="C59" s="11" t="s">
        <v>3558</v>
      </c>
      <c r="D59" s="475">
        <f>SUMIF('III kw.22'!AJ2:AJ830,"7542*",'III kw.22'!F2:F830)</f>
        <v>0</v>
      </c>
    </row>
    <row r="60" spans="2:25" x14ac:dyDescent="0.25">
      <c r="B60" s="131">
        <v>7543</v>
      </c>
      <c r="C60" s="11" t="s">
        <v>3559</v>
      </c>
      <c r="D60" s="475">
        <f>SUMIF('III kw.22'!AJ2:AJ830,"7543*",'III kw.22'!F2:F830)</f>
        <v>0</v>
      </c>
    </row>
    <row r="61" spans="2:25" x14ac:dyDescent="0.25">
      <c r="B61" s="131">
        <v>7544</v>
      </c>
      <c r="C61" s="11" t="s">
        <v>3560</v>
      </c>
      <c r="D61" s="475">
        <f>SUMIF('III kw.22'!AJ2:AJ830,"7544*",'III kw.22'!F2:F830)</f>
        <v>0</v>
      </c>
    </row>
    <row r="62" spans="2:25" x14ac:dyDescent="0.25">
      <c r="B62" s="134">
        <v>81</v>
      </c>
      <c r="C62" s="11" t="s">
        <v>3562</v>
      </c>
      <c r="D62" s="475">
        <f>SUMIF('III kw.22'!AJ2:AJ830,"81*",'III kw.22'!F2:F830)</f>
        <v>0</v>
      </c>
    </row>
    <row r="63" spans="2:25" x14ac:dyDescent="0.25">
      <c r="B63" s="134">
        <v>82</v>
      </c>
      <c r="C63" s="11" t="s">
        <v>3563</v>
      </c>
      <c r="D63" s="475">
        <f>SUMIF('III kw.22'!AJ2:AJ830,"82*",'III kw.22'!F2:F830)</f>
        <v>2</v>
      </c>
    </row>
    <row r="64" spans="2:25" x14ac:dyDescent="0.25">
      <c r="B64" s="120">
        <v>13</v>
      </c>
      <c r="C64" s="396" t="s">
        <v>3577</v>
      </c>
      <c r="D64" s="397">
        <f>SUMIF('III kw.22'!AJ2:AJ830,"13*",'III kw.22'!F2:F830)</f>
        <v>36</v>
      </c>
    </row>
    <row r="65" spans="2:4" x14ac:dyDescent="0.25">
      <c r="B65" s="108">
        <v>2163</v>
      </c>
      <c r="C65" s="396" t="s">
        <v>3579</v>
      </c>
      <c r="D65" s="397">
        <f>SUMIF('III kw.22'!AJ2:AJ830,"2163*",'III kw.22'!F2:F830)</f>
        <v>2</v>
      </c>
    </row>
    <row r="66" spans="2:4" x14ac:dyDescent="0.25">
      <c r="B66" s="108">
        <v>2133</v>
      </c>
      <c r="C66" s="11" t="s">
        <v>3584</v>
      </c>
      <c r="D66" s="475">
        <f>SUMIF('III kw.22'!AJ2:AJ830,"2133*",'III kw.22'!F2:F830)</f>
        <v>0</v>
      </c>
    </row>
    <row r="67" spans="2:4" x14ac:dyDescent="0.25">
      <c r="B67" s="37"/>
      <c r="D67" s="481">
        <f>SUM(D38:D66)</f>
        <v>144</v>
      </c>
    </row>
    <row r="97" ht="17.25" customHeight="1" x14ac:dyDescent="0.25"/>
    <row r="98" ht="20.25" customHeight="1" x14ac:dyDescent="0.25"/>
    <row r="99" ht="18" customHeight="1" x14ac:dyDescent="0.25"/>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90" zoomScaleNormal="90" workbookViewId="0">
      <selection activeCell="X31" sqref="X31"/>
    </sheetView>
  </sheetViews>
  <sheetFormatPr defaultRowHeight="15" x14ac:dyDescent="0.25"/>
  <cols>
    <col min="1" max="1" width="3.42578125" style="3" customWidth="1"/>
    <col min="2" max="2" width="10.42578125" style="3" customWidth="1"/>
    <col min="3" max="3" width="16.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7"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c r="U1" s="2">
        <f>SUM(T19-T18)</f>
        <v>93</v>
      </c>
    </row>
    <row r="2" spans="2:33" x14ac:dyDescent="0.25">
      <c r="B2" s="1" t="s">
        <v>20298</v>
      </c>
      <c r="C2" s="2"/>
      <c r="D2" s="1"/>
      <c r="E2" s="1"/>
      <c r="H2" s="1" t="s">
        <v>3466</v>
      </c>
      <c r="L2" s="3" t="b">
        <f ca="1">EXACT(E31,J17)</f>
        <v>1</v>
      </c>
      <c r="M2" s="3" t="b">
        <f ca="1">EXACT(E31,P35)</f>
        <v>1</v>
      </c>
      <c r="S2" s="1" t="s">
        <v>23107</v>
      </c>
      <c r="U2" s="2">
        <f>SUM(T19-T15)</f>
        <v>95</v>
      </c>
      <c r="W2" s="2"/>
      <c r="X2" s="1" t="s">
        <v>20299</v>
      </c>
      <c r="AG2" s="20"/>
    </row>
    <row r="3" spans="2:33" ht="34.5" x14ac:dyDescent="0.25">
      <c r="B3" s="569" t="s">
        <v>171</v>
      </c>
      <c r="C3" s="569" t="s">
        <v>172</v>
      </c>
      <c r="D3" s="569" t="s">
        <v>6539</v>
      </c>
      <c r="E3" s="569" t="s">
        <v>3483</v>
      </c>
      <c r="F3" s="569" t="s">
        <v>3467</v>
      </c>
      <c r="H3" s="570" t="s">
        <v>3462</v>
      </c>
      <c r="I3" s="570" t="s">
        <v>3465</v>
      </c>
      <c r="J3" s="570" t="s">
        <v>3514</v>
      </c>
      <c r="K3" s="571" t="s">
        <v>9295</v>
      </c>
      <c r="L3" s="595"/>
      <c r="M3" s="595"/>
      <c r="N3" s="595"/>
      <c r="O3" s="595"/>
      <c r="P3" s="595"/>
      <c r="Q3" s="595"/>
      <c r="S3" s="570" t="s">
        <v>23108</v>
      </c>
      <c r="T3" s="572" t="s">
        <v>17634</v>
      </c>
      <c r="U3" s="573" t="s">
        <v>4476</v>
      </c>
      <c r="W3" s="2"/>
      <c r="X3" s="570" t="s">
        <v>6927</v>
      </c>
      <c r="Y3" s="569" t="s">
        <v>4476</v>
      </c>
      <c r="Z3" s="569" t="s">
        <v>3465</v>
      </c>
      <c r="AB3" s="633" t="s">
        <v>171</v>
      </c>
      <c r="AC3" s="633" t="s">
        <v>23110</v>
      </c>
      <c r="AD3" s="634" t="s">
        <v>23111</v>
      </c>
      <c r="AE3" s="633" t="s">
        <v>6394</v>
      </c>
      <c r="AF3" s="633" t="s">
        <v>6394</v>
      </c>
      <c r="AG3" s="633" t="s">
        <v>6394</v>
      </c>
    </row>
    <row r="4" spans="2:33" x14ac:dyDescent="0.25">
      <c r="B4" s="566" t="s">
        <v>3515</v>
      </c>
      <c r="C4" s="567" t="s">
        <v>3460</v>
      </c>
      <c r="D4" s="568">
        <v>563</v>
      </c>
      <c r="E4" s="568">
        <v>523</v>
      </c>
      <c r="F4" s="566"/>
      <c r="H4" s="11" t="s">
        <v>3463</v>
      </c>
      <c r="I4" s="12">
        <f>COUNTIF('IV kw.22'!E2:E821,"praca")</f>
        <v>75</v>
      </c>
      <c r="J4" s="12" t="s">
        <v>3515</v>
      </c>
      <c r="K4" s="151">
        <f>SUMIF('IV kw.22'!E2:E820,"praca",'IV kw.22'!F2:F820)</f>
        <v>75</v>
      </c>
      <c r="L4" s="595"/>
      <c r="M4" s="595"/>
      <c r="N4" s="595"/>
      <c r="O4" s="595"/>
      <c r="P4" s="595"/>
      <c r="Q4" s="595"/>
      <c r="S4" s="594" t="s">
        <v>7792</v>
      </c>
      <c r="T4" s="577">
        <v>86</v>
      </c>
      <c r="U4" s="577">
        <v>122</v>
      </c>
      <c r="W4" s="2">
        <v>1</v>
      </c>
      <c r="X4" s="282">
        <v>1801</v>
      </c>
      <c r="Y4" s="26">
        <f>SUMIFS('IV kw.22'!F2:F830,'IV kw.22'!V2:V830,"1801")</f>
        <v>5</v>
      </c>
      <c r="Z4" s="26">
        <f>SUMIFS('IV kw.22'!AK2:AK830,'IV kw.22'!V2:V830,"1801")</f>
        <v>5</v>
      </c>
      <c r="AB4" s="12">
        <v>1</v>
      </c>
      <c r="AC4" s="11" t="s">
        <v>170</v>
      </c>
      <c r="AD4" s="12">
        <f>SUM(D67)</f>
        <v>162</v>
      </c>
      <c r="AE4" s="12">
        <f ca="1">RANK(AD4,$AD$4:$AD$15,0)+COUNTIF($AD$4:AD4,AD4)-1</f>
        <v>2</v>
      </c>
      <c r="AF4" s="17" t="str">
        <f ca="1">INDEX($AB$4:$AD$15,MATCH(1,$AE$4:$AE$15,0),2)</f>
        <v>Usługi finansowe, HR i inne</v>
      </c>
      <c r="AG4" s="12">
        <f ca="1">INDEX($AB$4:$AD$15,MATCH(1,$AE$4:$AE$15,0),3)</f>
        <v>261</v>
      </c>
    </row>
    <row r="5" spans="2:33" x14ac:dyDescent="0.25">
      <c r="B5" s="566" t="s">
        <v>3516</v>
      </c>
      <c r="C5" s="567" t="s">
        <v>3459</v>
      </c>
      <c r="D5" s="568">
        <v>466</v>
      </c>
      <c r="E5" s="568">
        <v>477</v>
      </c>
      <c r="F5" s="566"/>
      <c r="H5" s="11" t="s">
        <v>192</v>
      </c>
      <c r="I5" s="12">
        <f>COUNTIF('IV kw.22'!E2:E821,"pracuj.pl")</f>
        <v>525</v>
      </c>
      <c r="J5" s="12" t="s">
        <v>3516</v>
      </c>
      <c r="K5" s="12">
        <f>SUMIF('IV kw.22'!E2:E830,"pracuj.pl",'IV kw.22'!F2:F830)</f>
        <v>529</v>
      </c>
      <c r="L5" s="595"/>
      <c r="M5" s="595"/>
      <c r="N5" s="595"/>
      <c r="O5" s="595"/>
      <c r="P5" s="595"/>
      <c r="Q5" s="595"/>
      <c r="S5" s="594" t="s">
        <v>7793</v>
      </c>
      <c r="T5" s="577">
        <v>377</v>
      </c>
      <c r="U5" s="577">
        <v>410</v>
      </c>
      <c r="W5" s="2">
        <v>2</v>
      </c>
      <c r="X5" s="282">
        <v>1802</v>
      </c>
      <c r="Y5" s="26">
        <f>SUMIFS('IV kw.22'!F2:F830,'IV kw.22'!V2:V830,"1802")</f>
        <v>2</v>
      </c>
      <c r="Z5" s="26">
        <f>SUMIFS('IV kw.22'!AK2:AK830,'IV kw.22'!V2:V830,"1802")</f>
        <v>2</v>
      </c>
      <c r="AB5" s="12">
        <v>2</v>
      </c>
      <c r="AC5" s="11" t="s">
        <v>2</v>
      </c>
      <c r="AD5" s="12">
        <f ca="1">SUM(G53)</f>
        <v>134</v>
      </c>
      <c r="AE5" s="12">
        <f ca="1">RANK(AD5,$AD$4:$AD$15,0)+COUNTIF($AD$4:AD5,AD5)-1</f>
        <v>4</v>
      </c>
      <c r="AF5" s="17" t="str">
        <f ca="1">INDEX($AB$4:$AD$15,MATCH(2,$AE$4:$AE$15,0),2)</f>
        <v>Przemysł produkcyjny</v>
      </c>
      <c r="AG5" s="12">
        <f ca="1">INDEX($AB$4:$AD$15,MATCH(2,$AE$4:$AE$15,0),3)</f>
        <v>162</v>
      </c>
    </row>
    <row r="6" spans="2:33" x14ac:dyDescent="0.25">
      <c r="B6" s="566" t="s">
        <v>3517</v>
      </c>
      <c r="C6" s="567" t="s">
        <v>3458</v>
      </c>
      <c r="D6" s="568">
        <v>365</v>
      </c>
      <c r="E6" s="568">
        <v>386</v>
      </c>
      <c r="F6" s="566"/>
      <c r="H6" s="11" t="s">
        <v>217</v>
      </c>
      <c r="I6" s="12">
        <f>COUNTIF('IV kw.22'!E2:E821,"agora")</f>
        <v>195</v>
      </c>
      <c r="J6" s="12" t="s">
        <v>3517</v>
      </c>
      <c r="K6" s="12">
        <f>SUMIF('IV kw.22'!E2:E820,"agora",'IV kw.22'!F2:F820)</f>
        <v>195</v>
      </c>
      <c r="L6" s="595"/>
      <c r="M6" s="595"/>
      <c r="N6" s="595"/>
      <c r="O6" s="595"/>
      <c r="P6" s="595"/>
      <c r="Q6" s="595"/>
      <c r="S6" s="594" t="s">
        <v>7794</v>
      </c>
      <c r="T6" s="577">
        <v>180</v>
      </c>
      <c r="U6" s="577">
        <v>231</v>
      </c>
      <c r="W6" s="2">
        <v>3</v>
      </c>
      <c r="X6" s="282">
        <v>1803</v>
      </c>
      <c r="Y6" s="26">
        <f>SUMIFS('IV kw.22'!F2:F830,'IV kw.22'!V2:V830,"1803")</f>
        <v>20</v>
      </c>
      <c r="Z6" s="26">
        <f>SUMIFS('IV kw.22'!AK2:AK830,'IV kw.22'!V2:V830,"1803")</f>
        <v>20</v>
      </c>
      <c r="AB6" s="12">
        <v>3</v>
      </c>
      <c r="AC6" s="11" t="s">
        <v>3</v>
      </c>
      <c r="AD6" s="12">
        <f>SUM(J51)</f>
        <v>20</v>
      </c>
      <c r="AE6" s="12">
        <f ca="1">RANK(AD6,$AD$4:$AD$15,0)+COUNTIF($AD$4:AD6,AD6)-1</f>
        <v>7</v>
      </c>
      <c r="AF6" s="17" t="str">
        <f ca="1">INDEX($AB$4:$AD$15,MATCH(3,$AE$4:$AE$15,0),2)</f>
        <v>Handel, transport, logistyka</v>
      </c>
      <c r="AG6" s="12">
        <f ca="1">INDEX($AB$4:$AD$15,MATCH(3,$AE$4:$AE$15,0),3)</f>
        <v>147</v>
      </c>
    </row>
    <row r="7" spans="2:33" x14ac:dyDescent="0.25">
      <c r="B7" s="566" t="s">
        <v>3518</v>
      </c>
      <c r="C7" s="567" t="s">
        <v>3457</v>
      </c>
      <c r="D7" s="568">
        <v>461</v>
      </c>
      <c r="E7" s="568">
        <v>444</v>
      </c>
      <c r="F7" s="566"/>
      <c r="H7" s="11" t="s">
        <v>3464</v>
      </c>
      <c r="I7" s="12">
        <f>COUNTIF('IV kw.22'!E2:E821,"gratka")</f>
        <v>1</v>
      </c>
      <c r="J7" s="12" t="s">
        <v>3518</v>
      </c>
      <c r="K7" s="12">
        <f>SUMIF('IV kw.22'!E2:E820,"gratka",'IV kw.22'!F2:F820)</f>
        <v>1</v>
      </c>
      <c r="L7" s="595"/>
      <c r="M7" s="595"/>
      <c r="N7" s="595"/>
      <c r="O7" s="595"/>
      <c r="P7" s="595"/>
      <c r="Q7" s="595"/>
      <c r="S7" s="594" t="s">
        <v>7795</v>
      </c>
      <c r="T7" s="577">
        <v>361</v>
      </c>
      <c r="U7" s="577">
        <v>378</v>
      </c>
      <c r="W7" s="2">
        <v>4</v>
      </c>
      <c r="X7" s="282">
        <v>1804</v>
      </c>
      <c r="Y7" s="26">
        <f>SUMIFS('IV kw.22'!F2:F830,'IV kw.22'!V2:V830,"1804")</f>
        <v>12</v>
      </c>
      <c r="Z7" s="26">
        <f>SUMIFS('IV kw.22'!AK2:AK830,'IV kw.22'!V2:V830,"1804")</f>
        <v>12</v>
      </c>
      <c r="AB7" s="12">
        <v>4</v>
      </c>
      <c r="AC7" s="11" t="s">
        <v>3589</v>
      </c>
      <c r="AD7" s="12">
        <f>SUM(M44)</f>
        <v>147</v>
      </c>
      <c r="AE7" s="12">
        <f ca="1">RANK(AD7,$AD$4:$AD$15,0)+COUNTIF($AD$4:AD7,AD7)-1</f>
        <v>3</v>
      </c>
      <c r="AF7" s="17" t="str">
        <f ca="1">INDEX($AB$4:$AD$15,MATCH(4,$AE$4:$AE$15,0),2)</f>
        <v>Przemysł high-tech</v>
      </c>
      <c r="AG7" s="12">
        <f ca="1">INDEX($AB$4:$AD$15,MATCH(4,$AE$4:$AE$15,0),3)</f>
        <v>134</v>
      </c>
    </row>
    <row r="8" spans="2:33" x14ac:dyDescent="0.25">
      <c r="B8" s="566" t="s">
        <v>13071</v>
      </c>
      <c r="C8" s="567" t="s">
        <v>173</v>
      </c>
      <c r="D8" s="568">
        <v>720</v>
      </c>
      <c r="E8" s="568">
        <v>704</v>
      </c>
      <c r="F8" s="566"/>
      <c r="H8" s="442" t="s">
        <v>7786</v>
      </c>
      <c r="I8" s="300"/>
      <c r="J8" s="300"/>
      <c r="K8" s="414"/>
      <c r="L8" s="595"/>
      <c r="M8" s="595"/>
      <c r="N8" s="595"/>
      <c r="O8" s="595"/>
      <c r="P8" s="595"/>
      <c r="Q8" s="595"/>
      <c r="S8" s="630" t="s">
        <v>7796</v>
      </c>
      <c r="T8" s="631">
        <v>249</v>
      </c>
      <c r="U8" s="631">
        <v>258</v>
      </c>
      <c r="W8" s="2">
        <v>5</v>
      </c>
      <c r="X8" s="282">
        <v>1805</v>
      </c>
      <c r="Y8" s="26">
        <f>SUMIFS('IV kw.22'!F2:F830,'IV kw.22'!V2:V830,"1805")</f>
        <v>18</v>
      </c>
      <c r="Z8" s="26">
        <f>SUMIFS('IV kw.22'!AK2:AK830,'IV kw.22'!V2:V830,"1805")</f>
        <v>18</v>
      </c>
      <c r="AB8" s="12">
        <v>5</v>
      </c>
      <c r="AC8" s="11" t="s">
        <v>13096</v>
      </c>
      <c r="AD8" s="12">
        <f>SUM(P43)</f>
        <v>261</v>
      </c>
      <c r="AE8" s="12">
        <f ca="1">RANK(AD8,$AD$4:$AD$15,0)+COUNTIF($AD$4:AD8,AD8)-1</f>
        <v>1</v>
      </c>
      <c r="AF8" s="17" t="str">
        <f ca="1">INDEX($AB$4:$AD$15,MATCH(5,$AE$4:$AE$15,0),2)</f>
        <v>Zdrowie i opieka społeczna</v>
      </c>
      <c r="AG8" s="12">
        <f ca="1">INDEX($AB$4:$AD$15,MATCH(5,$AE$4:$AE$15,0),3)</f>
        <v>29</v>
      </c>
    </row>
    <row r="9" spans="2:33" x14ac:dyDescent="0.25">
      <c r="B9" s="12">
        <v>1</v>
      </c>
      <c r="C9" s="17" t="s">
        <v>175</v>
      </c>
      <c r="D9" s="26">
        <v>86</v>
      </c>
      <c r="E9" s="26">
        <v>122</v>
      </c>
      <c r="F9" s="12"/>
      <c r="H9" s="593"/>
      <c r="I9" s="544">
        <f>SUM(I4:I7)</f>
        <v>796</v>
      </c>
      <c r="J9" s="593"/>
      <c r="K9" s="544">
        <f>SUM(K4:K7)</f>
        <v>800</v>
      </c>
      <c r="L9" s="595"/>
      <c r="M9" s="595"/>
      <c r="N9" s="595"/>
      <c r="O9" s="595"/>
      <c r="P9" s="595"/>
      <c r="Q9" s="595"/>
      <c r="S9" s="630" t="s">
        <v>7797</v>
      </c>
      <c r="T9" s="631">
        <v>173</v>
      </c>
      <c r="U9" s="631">
        <v>197</v>
      </c>
      <c r="W9" s="2">
        <v>6</v>
      </c>
      <c r="X9" s="282">
        <v>1806</v>
      </c>
      <c r="Y9" s="26">
        <f>SUMIFS('IV kw.22'!F2:F830,'IV kw.22'!V2:V830,"1806")</f>
        <v>4</v>
      </c>
      <c r="Z9" s="26">
        <f>SUMIFS('IV kw.22'!AK2:AK830,'IV kw.22'!V2:V830,"1806")</f>
        <v>4</v>
      </c>
      <c r="AB9" s="12">
        <v>6</v>
      </c>
      <c r="AC9" s="11" t="s">
        <v>23112</v>
      </c>
      <c r="AD9" s="12">
        <f>SUM(P48)</f>
        <v>0</v>
      </c>
      <c r="AE9" s="12">
        <f ca="1">RANK(AD9,$AD$4:$AD$15,0)+COUNTIF($AD$4:AD9,AD9)-1</f>
        <v>12</v>
      </c>
      <c r="AF9" s="17" t="str">
        <f ca="1">INDEX($AB$4:$AD$15,MATCH(6,$AE$4:$AE$15,0),2)</f>
        <v>Informacja i edukcja</v>
      </c>
      <c r="AG9" s="12">
        <f ca="1">INDEX($AB$4:$AD$15,MATCH(6,$AE$4:$AE$15,0),3)</f>
        <v>25</v>
      </c>
    </row>
    <row r="10" spans="2:33" x14ac:dyDescent="0.25">
      <c r="B10" s="12">
        <v>2</v>
      </c>
      <c r="C10" s="17" t="s">
        <v>174</v>
      </c>
      <c r="D10" s="26">
        <v>377</v>
      </c>
      <c r="E10" s="26">
        <v>410</v>
      </c>
      <c r="F10" s="12"/>
      <c r="S10" s="630" t="s">
        <v>7798</v>
      </c>
      <c r="T10" s="631">
        <v>97</v>
      </c>
      <c r="U10" s="631">
        <v>97</v>
      </c>
      <c r="W10" s="2">
        <v>7</v>
      </c>
      <c r="X10" s="282">
        <v>1807</v>
      </c>
      <c r="Y10" s="26">
        <f>SUMIFS('IV kw.22'!F2:F830,'IV kw.22'!V2:V830,"1807")</f>
        <v>4</v>
      </c>
      <c r="Z10" s="26">
        <f>SUMIFS('IV kw.22'!AK2:AK830,'IV kw.22'!V2:V830,"1807")</f>
        <v>4</v>
      </c>
      <c r="AB10" s="12">
        <v>7</v>
      </c>
      <c r="AC10" s="11" t="s">
        <v>3590</v>
      </c>
      <c r="AD10" s="12">
        <f>SUM(P54)</f>
        <v>4</v>
      </c>
      <c r="AE10" s="12">
        <f ca="1">RANK(AD10,$AD$4:$AD$15,0)+COUNTIF($AD$4:AD10,AD10)-1</f>
        <v>10</v>
      </c>
      <c r="AF10" s="17" t="str">
        <f ca="1">INDEX($AB$4:$AD$15,MATCH(7,$AE$4:$AE$15,0),2)</f>
        <v>Budownictwo</v>
      </c>
      <c r="AG10" s="12">
        <f ca="1">INDEX($AB$4:$AD$15,MATCH(7,$AE$4:$AE$15,0),3)</f>
        <v>20</v>
      </c>
    </row>
    <row r="11" spans="2:33" x14ac:dyDescent="0.25">
      <c r="B11" s="566" t="s">
        <v>13072</v>
      </c>
      <c r="C11" s="567" t="s">
        <v>3486</v>
      </c>
      <c r="D11" s="568">
        <f>SUM(D9:D10)</f>
        <v>463</v>
      </c>
      <c r="E11" s="568">
        <f>SUM(E9:E10)</f>
        <v>532</v>
      </c>
      <c r="F11" s="566"/>
      <c r="H11" s="1" t="s">
        <v>26048</v>
      </c>
      <c r="S11" s="632" t="s">
        <v>7799</v>
      </c>
      <c r="T11" s="631">
        <v>224</v>
      </c>
      <c r="U11" s="631">
        <v>224</v>
      </c>
      <c r="W11" s="2">
        <v>8</v>
      </c>
      <c r="X11" s="282">
        <v>1808</v>
      </c>
      <c r="Y11" s="12">
        <f>SUMIFS('IV kw.22'!F2:F830,'IV kw.22'!V2:V830,"1808")</f>
        <v>7</v>
      </c>
      <c r="Z11" s="12">
        <f>SUMIFS('IV kw.22'!AK2:AK830,'IV kw.22'!V2:V830,"1808")</f>
        <v>7</v>
      </c>
      <c r="AB11" s="12">
        <v>8</v>
      </c>
      <c r="AC11" s="11" t="s">
        <v>4</v>
      </c>
      <c r="AD11" s="12">
        <f>SUM(S41)</f>
        <v>29</v>
      </c>
      <c r="AE11" s="12">
        <f ca="1">RANK(AD11,$AD$4:$AD$15,0)+COUNTIF($AD$4:AD11,AD11)-1</f>
        <v>5</v>
      </c>
      <c r="AF11" s="17" t="str">
        <f ca="1">INDEX($AB$4:$AD$15,MATCH(8,$AE$4:$AE$15,0),2)</f>
        <v>Nadzór i administracja</v>
      </c>
      <c r="AG11" s="12">
        <f ca="1">INDEX($AB$4:$AD$15,MATCH(8,$AE$4:$AE$15,0),3)</f>
        <v>11</v>
      </c>
    </row>
    <row r="12" spans="2:33" x14ac:dyDescent="0.25">
      <c r="B12" s="12">
        <v>3</v>
      </c>
      <c r="C12" s="17" t="s">
        <v>3481</v>
      </c>
      <c r="D12" s="12">
        <v>180</v>
      </c>
      <c r="E12" s="12">
        <v>231</v>
      </c>
      <c r="F12" s="12"/>
      <c r="H12" s="575" t="s">
        <v>3469</v>
      </c>
      <c r="I12" s="575" t="s">
        <v>3568</v>
      </c>
      <c r="J12" s="566">
        <f ca="1">SUM(D67,G53,J51)</f>
        <v>316</v>
      </c>
      <c r="S12" s="11" t="s">
        <v>8302</v>
      </c>
      <c r="T12" s="12">
        <v>156</v>
      </c>
      <c r="U12" s="12">
        <v>165</v>
      </c>
      <c r="W12" s="2">
        <v>9</v>
      </c>
      <c r="X12" s="282">
        <v>1809</v>
      </c>
      <c r="Y12" s="12">
        <f>SUMIFS('IV kw.22'!F2:F830,'IV kw.22'!V2:V830,"1809")</f>
        <v>3</v>
      </c>
      <c r="Z12" s="12">
        <f>SUMIFS('IV kw.22'!AK2:AK830,'IV kw.22'!V2:V830,"1809")</f>
        <v>3</v>
      </c>
      <c r="AB12" s="12">
        <v>9</v>
      </c>
      <c r="AC12" s="11" t="s">
        <v>3591</v>
      </c>
      <c r="AD12" s="12">
        <f>SUM(V41)</f>
        <v>25</v>
      </c>
      <c r="AE12" s="12">
        <f ca="1">RANK(AD12,$AD$4:$AD$15,0)+COUNTIF($AD$4:AD12,AD12)-1</f>
        <v>6</v>
      </c>
      <c r="AF12" s="17" t="str">
        <f ca="1">INDEX($AB$4:$AD$15,MATCH(9,$AE$4:$AE$15,0),2)</f>
        <v>Pozostałe grupy</v>
      </c>
      <c r="AG12" s="12">
        <f ca="1">INDEX($AB$4:$AD$15,MATCH(9,$AE$4:$AE$15,0),3)</f>
        <v>5</v>
      </c>
    </row>
    <row r="13" spans="2:33" x14ac:dyDescent="0.25">
      <c r="B13" s="12">
        <v>4</v>
      </c>
      <c r="C13" s="17" t="s">
        <v>3482</v>
      </c>
      <c r="D13" s="12">
        <v>361</v>
      </c>
      <c r="E13" s="12">
        <v>378</v>
      </c>
      <c r="F13" s="12"/>
      <c r="H13" s="596" t="s">
        <v>3470</v>
      </c>
      <c r="I13" s="596" t="s">
        <v>3566</v>
      </c>
      <c r="J13" s="597">
        <f>SUM(M44,P43,P48,P54,S41)</f>
        <v>441</v>
      </c>
      <c r="S13" s="11" t="s">
        <v>9296</v>
      </c>
      <c r="T13" s="12">
        <v>237</v>
      </c>
      <c r="U13" s="12">
        <v>242</v>
      </c>
      <c r="W13" s="2">
        <v>10</v>
      </c>
      <c r="X13" s="282">
        <v>1810</v>
      </c>
      <c r="Y13" s="12">
        <f>SUMIFS('IV kw.22'!F2:F830,'IV kw.22'!V2:V830,"1810")</f>
        <v>7</v>
      </c>
      <c r="Z13" s="12">
        <f>SUMIFS('IV kw.22'!AK2:AK830,'IV kw.22'!V2:V830,"1810")</f>
        <v>7</v>
      </c>
      <c r="AB13" s="12">
        <v>10</v>
      </c>
      <c r="AC13" s="11" t="s">
        <v>0</v>
      </c>
      <c r="AD13" s="12">
        <f>SUM(V47)</f>
        <v>11</v>
      </c>
      <c r="AE13" s="12">
        <f ca="1">RANK(AD13,$AD$4:$AD$15,0)+COUNTIF($AD$4:AD13,AD13)-1</f>
        <v>8</v>
      </c>
      <c r="AF13" s="17" t="str">
        <f ca="1">INDEX($AB$4:$AD$15,MATCH(10,$AE$4:$AE$15,0),2)</f>
        <v>Usługi typu krawiectwo, kaletnictwo, obuwnictwo + poszukiwanie + ochrona</v>
      </c>
      <c r="AG13" s="12">
        <f ca="1">INDEX($AB$4:$AD$15,MATCH(10,$AE$4:$AE$15,0),3)</f>
        <v>4</v>
      </c>
    </row>
    <row r="14" spans="2:33" x14ac:dyDescent="0.25">
      <c r="B14" s="566" t="s">
        <v>13073</v>
      </c>
      <c r="C14" s="567" t="s">
        <v>3487</v>
      </c>
      <c r="D14" s="568">
        <f>SUM(D12:D13)</f>
        <v>541</v>
      </c>
      <c r="E14" s="568">
        <f>SUM(E12:E13)</f>
        <v>609</v>
      </c>
      <c r="F14" s="566"/>
      <c r="H14" s="608" t="s">
        <v>3471</v>
      </c>
      <c r="I14" s="608" t="s">
        <v>3567</v>
      </c>
      <c r="J14" s="609">
        <f>SUM(V41,V47)</f>
        <v>36</v>
      </c>
      <c r="S14" s="11" t="s">
        <v>13095</v>
      </c>
      <c r="T14" s="12">
        <v>1022</v>
      </c>
      <c r="U14" s="12">
        <v>1030</v>
      </c>
      <c r="W14" s="2">
        <v>11</v>
      </c>
      <c r="X14" s="282">
        <v>1811</v>
      </c>
      <c r="Y14" s="26">
        <f>SUMIFS('IV kw.22'!F2:F830,'IV kw.22'!V2:V830,"1811")</f>
        <v>44</v>
      </c>
      <c r="Z14" s="26">
        <f>SUMIFS('IV kw.22'!AK2:AK830,'IV kw.22'!V2:V830,"1811")</f>
        <v>44</v>
      </c>
      <c r="AB14" s="12">
        <v>11</v>
      </c>
      <c r="AC14" s="11" t="s">
        <v>6</v>
      </c>
      <c r="AD14" s="12">
        <f>SUM(Y40)</f>
        <v>2</v>
      </c>
      <c r="AE14" s="12">
        <f ca="1">RANK(AD14,$AD$4:$AD$15,0)+COUNTIF($AD$4:AD14,AD14)-1</f>
        <v>11</v>
      </c>
      <c r="AF14" s="17" t="str">
        <f ca="1">INDEX($AB$4:$AD$15,MATCH(11,$AE$4:$AE$15,0),2)</f>
        <v>Prace proste</v>
      </c>
      <c r="AG14" s="12">
        <f ca="1">INDEX($AB$4:$AD$15,MATCH(11,$AE$4:$AE$15,0),3)</f>
        <v>2</v>
      </c>
    </row>
    <row r="15" spans="2:33" x14ac:dyDescent="0.25">
      <c r="B15" s="12">
        <v>5</v>
      </c>
      <c r="C15" s="17" t="s">
        <v>6392</v>
      </c>
      <c r="D15" s="26">
        <v>249</v>
      </c>
      <c r="E15" s="26">
        <v>258</v>
      </c>
      <c r="F15" s="12"/>
      <c r="H15" s="619" t="s">
        <v>3469</v>
      </c>
      <c r="I15" s="619" t="s">
        <v>6</v>
      </c>
      <c r="J15" s="620">
        <f>SUM(Y40)</f>
        <v>2</v>
      </c>
      <c r="S15" s="11" t="s">
        <v>16044</v>
      </c>
      <c r="T15" s="12">
        <v>701</v>
      </c>
      <c r="U15" s="12">
        <v>704</v>
      </c>
      <c r="W15" s="2">
        <v>12</v>
      </c>
      <c r="X15" s="282">
        <v>1812</v>
      </c>
      <c r="Y15" s="12">
        <f>SUMIFS('IV kw.22'!F2:F830,'IV kw.22'!V2:V830,"1812")</f>
        <v>12</v>
      </c>
      <c r="Z15" s="12">
        <f>SUMIFS('IV kw.22'!AK2:AK830,'IV kw.22'!V2:V830,"1812")</f>
        <v>12</v>
      </c>
      <c r="AB15" s="12">
        <v>12</v>
      </c>
      <c r="AC15" s="17" t="s">
        <v>3574</v>
      </c>
      <c r="AD15" s="12">
        <f>SUM(Y50)</f>
        <v>5</v>
      </c>
      <c r="AE15" s="12">
        <f ca="1">RANK(AD15,$AD$4:$AD$15,0)+COUNTIF($AD$4:AD15,AD15)-1</f>
        <v>9</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625" t="s">
        <v>3473</v>
      </c>
      <c r="I16" s="625" t="s">
        <v>3574</v>
      </c>
      <c r="J16" s="626">
        <f>SUM(Y50)</f>
        <v>5</v>
      </c>
      <c r="S16" s="576" t="s">
        <v>17633</v>
      </c>
      <c r="T16" s="577">
        <v>769</v>
      </c>
      <c r="U16" s="577">
        <v>773</v>
      </c>
      <c r="W16" s="2">
        <v>13</v>
      </c>
      <c r="X16" s="282">
        <v>1813</v>
      </c>
      <c r="Y16" s="12">
        <f>SUMIFS('IV kw.22'!F2:F830,'IV kw.22'!V2:V830,"1813")</f>
        <v>1</v>
      </c>
      <c r="Z16" s="12">
        <f>SUMIFS('IV kw.22'!AK2:AK830,'IV kw.22'!V2:V830,"1813")</f>
        <v>1</v>
      </c>
      <c r="AB16" s="18"/>
      <c r="AC16" s="89"/>
      <c r="AD16" s="18">
        <f ca="1">SUM(AD4:AD15)</f>
        <v>800</v>
      </c>
      <c r="AE16" s="3"/>
      <c r="AF16" s="18"/>
    </row>
    <row r="17" spans="2:26" x14ac:dyDescent="0.25">
      <c r="B17" s="566" t="s">
        <v>13074</v>
      </c>
      <c r="C17" s="567" t="s">
        <v>6929</v>
      </c>
      <c r="D17" s="568">
        <f>SUM(D15:D16)</f>
        <v>422</v>
      </c>
      <c r="E17" s="568">
        <f>SUM(E15:E16)</f>
        <v>455</v>
      </c>
      <c r="F17" s="566"/>
      <c r="J17" s="544">
        <f ca="1">SUM(J12:J16)</f>
        <v>800</v>
      </c>
      <c r="N17" s="18"/>
      <c r="O17" s="89"/>
      <c r="P17" s="18"/>
      <c r="R17" s="18"/>
      <c r="S17" s="576" t="s">
        <v>19923</v>
      </c>
      <c r="T17" s="577">
        <v>766</v>
      </c>
      <c r="U17" s="577">
        <v>769</v>
      </c>
      <c r="W17" s="2">
        <v>14</v>
      </c>
      <c r="X17" s="282">
        <v>1814</v>
      </c>
      <c r="Y17" s="12">
        <f>SUMIFS('IV kw.22'!F2:F830,'IV kw.22'!V2:V830,"1814")</f>
        <v>10</v>
      </c>
      <c r="Z17" s="12">
        <f>SUMIFS('IV kw.22'!AK2:AK830,'IV kw.22'!V2:V830,"1814")</f>
        <v>10</v>
      </c>
    </row>
    <row r="18" spans="2:26" x14ac:dyDescent="0.25">
      <c r="B18" s="12">
        <v>7</v>
      </c>
      <c r="C18" s="17" t="s">
        <v>6928</v>
      </c>
      <c r="D18" s="26">
        <v>97</v>
      </c>
      <c r="E18" s="26">
        <v>97</v>
      </c>
      <c r="F18" s="12"/>
      <c r="H18" s="593"/>
      <c r="I18" s="593"/>
      <c r="J18" s="574"/>
      <c r="K18" s="593"/>
      <c r="L18" s="593"/>
      <c r="N18" s="18"/>
      <c r="O18" s="89"/>
      <c r="P18" s="18"/>
      <c r="R18" s="18"/>
      <c r="S18" s="576" t="s">
        <v>23104</v>
      </c>
      <c r="T18" s="577">
        <f>SUM(D30)</f>
        <v>703</v>
      </c>
      <c r="U18" s="577">
        <f>SUM(E30)</f>
        <v>743</v>
      </c>
      <c r="W18" s="2">
        <v>15</v>
      </c>
      <c r="X18" s="282">
        <v>1815</v>
      </c>
      <c r="Y18" s="12">
        <f>SUMIFS('IV kw.22'!F2:F830,'IV kw.22'!V2:V830,"1815")</f>
        <v>6</v>
      </c>
      <c r="Z18" s="12">
        <f>SUMIFS('IV kw.22'!AK2:AK830,'IV kw.22'!V2:V830,"1815")</f>
        <v>6</v>
      </c>
    </row>
    <row r="19" spans="2:26" x14ac:dyDescent="0.25">
      <c r="B19" s="12">
        <v>8</v>
      </c>
      <c r="C19" s="17" t="s">
        <v>7785</v>
      </c>
      <c r="D19" s="26">
        <v>224</v>
      </c>
      <c r="E19" s="26">
        <v>224</v>
      </c>
      <c r="F19" s="12"/>
      <c r="H19" s="593"/>
      <c r="I19" s="593"/>
      <c r="J19" s="574"/>
      <c r="K19" s="593"/>
      <c r="L19" s="593"/>
      <c r="N19" s="18"/>
      <c r="O19" s="89"/>
      <c r="P19" s="18"/>
      <c r="R19" s="18"/>
      <c r="S19" s="576" t="s">
        <v>23105</v>
      </c>
      <c r="T19" s="577">
        <f>SUM(D31)</f>
        <v>796</v>
      </c>
      <c r="U19" s="577">
        <f>SUM(E31)</f>
        <v>800</v>
      </c>
      <c r="W19" s="2">
        <v>16</v>
      </c>
      <c r="X19" s="282">
        <v>1816</v>
      </c>
      <c r="Y19" s="26">
        <f>SUMIFS('IV kw.22'!F2:F830,'IV kw.22'!V2:V830,"1816")</f>
        <v>61</v>
      </c>
      <c r="Z19" s="26">
        <f>SUMIFS('IV kw.22'!AK2:AK830,'IV kw.22'!V2:V830,"1816")</f>
        <v>61</v>
      </c>
    </row>
    <row r="20" spans="2:26" x14ac:dyDescent="0.25">
      <c r="B20" s="566" t="s">
        <v>3469</v>
      </c>
      <c r="C20" s="567" t="s">
        <v>13077</v>
      </c>
      <c r="D20" s="568">
        <f>SUM(D18:D19)</f>
        <v>321</v>
      </c>
      <c r="E20" s="568">
        <f>SUM(E18:E19)</f>
        <v>321</v>
      </c>
      <c r="F20" s="566"/>
      <c r="H20" s="593"/>
      <c r="I20" s="593"/>
      <c r="J20" s="574"/>
      <c r="K20" s="593"/>
      <c r="L20" s="593"/>
      <c r="N20" s="18"/>
      <c r="O20" s="89"/>
      <c r="P20" s="18"/>
      <c r="R20" s="18"/>
      <c r="S20" s="11"/>
      <c r="T20" s="17"/>
      <c r="U20" s="12"/>
      <c r="W20" s="2">
        <v>17</v>
      </c>
      <c r="X20" s="282">
        <v>1817</v>
      </c>
      <c r="Y20" s="12">
        <f>SUMIFS('IV kw.22'!F2:F830,'IV kw.22'!V2:V830,"1817")</f>
        <v>9</v>
      </c>
      <c r="Z20" s="12">
        <f>SUMIFS('IV kw.22'!AK2:AK830,'IV kw.22'!V2:V830,"1817")</f>
        <v>9</v>
      </c>
    </row>
    <row r="21" spans="2:26" x14ac:dyDescent="0.25">
      <c r="B21" s="12">
        <v>9</v>
      </c>
      <c r="C21" s="17" t="s">
        <v>7800</v>
      </c>
      <c r="D21" s="26">
        <v>156</v>
      </c>
      <c r="E21" s="26">
        <v>165</v>
      </c>
      <c r="F21" s="12"/>
      <c r="G21" s="135"/>
      <c r="H21" s="593"/>
      <c r="I21" s="593"/>
      <c r="J21" s="574"/>
      <c r="K21" s="593"/>
      <c r="L21" s="593"/>
      <c r="N21" s="18"/>
      <c r="O21" s="89"/>
      <c r="P21" s="18"/>
      <c r="R21" s="18"/>
      <c r="S21" s="11"/>
      <c r="T21" s="17"/>
      <c r="U21" s="12"/>
      <c r="W21" s="2">
        <v>18</v>
      </c>
      <c r="X21" s="282">
        <v>1818</v>
      </c>
      <c r="Y21" s="12">
        <f>SUMIFS('IV kw.22'!F2:F830,'IV kw.22'!V2:V830,"1818")</f>
        <v>19</v>
      </c>
      <c r="Z21" s="12">
        <f>SUMIFS('IV kw.22'!AK2:AK830,'IV kw.22'!V2:V830,"1818")</f>
        <v>19</v>
      </c>
    </row>
    <row r="22" spans="2:26" x14ac:dyDescent="0.25">
      <c r="B22" s="12">
        <v>10</v>
      </c>
      <c r="C22" s="17" t="s">
        <v>8303</v>
      </c>
      <c r="D22" s="26">
        <v>237</v>
      </c>
      <c r="E22" s="26">
        <v>242</v>
      </c>
      <c r="F22" s="12"/>
      <c r="G22" s="135"/>
      <c r="H22" s="593"/>
      <c r="I22" s="593"/>
      <c r="J22" s="574"/>
      <c r="K22" s="593"/>
      <c r="L22" s="593"/>
      <c r="N22" s="18"/>
      <c r="O22" s="89"/>
      <c r="P22" s="18"/>
      <c r="R22" s="18"/>
      <c r="S22" s="11"/>
      <c r="T22" s="17"/>
      <c r="U22" s="12"/>
      <c r="W22" s="2">
        <v>19</v>
      </c>
      <c r="X22" s="282">
        <v>1819</v>
      </c>
      <c r="Y22" s="12">
        <f>SUMIFS('IV kw.22'!F2:F830,'IV kw.22'!V2:V830,"1819")</f>
        <v>7</v>
      </c>
      <c r="Z22" s="12">
        <f>SUMIFS('IV kw.22'!AK2:AK830,'IV kw.22'!V2:V830,"1819")</f>
        <v>7</v>
      </c>
    </row>
    <row r="23" spans="2:26" x14ac:dyDescent="0.25">
      <c r="B23" s="566" t="s">
        <v>13092</v>
      </c>
      <c r="C23" s="567" t="s">
        <v>13093</v>
      </c>
      <c r="D23" s="568">
        <f>SUM(D21:D22)</f>
        <v>393</v>
      </c>
      <c r="E23" s="568">
        <f>SUM(E21:E22)</f>
        <v>407</v>
      </c>
      <c r="F23" s="566"/>
      <c r="G23" s="135"/>
      <c r="H23" s="593"/>
      <c r="I23" s="593"/>
      <c r="J23" s="574"/>
      <c r="K23" s="593"/>
      <c r="L23" s="593"/>
      <c r="N23" s="18"/>
      <c r="O23" s="89"/>
      <c r="P23" s="18"/>
      <c r="R23" s="18"/>
      <c r="S23" s="11"/>
      <c r="T23" s="17"/>
      <c r="U23" s="12"/>
      <c r="W23" s="2">
        <v>20</v>
      </c>
      <c r="X23" s="282">
        <v>1820</v>
      </c>
      <c r="Y23" s="348">
        <f>SUMIFS('IV kw.22'!F2:F830,'IV kw.22'!V2:V830,"1820")</f>
        <v>4</v>
      </c>
      <c r="Z23" s="348">
        <f>SUMIFS('IV kw.22'!AK2:AK830,'IV kw.22'!V2:V830,"1820")</f>
        <v>4</v>
      </c>
    </row>
    <row r="24" spans="2:26" x14ac:dyDescent="0.25">
      <c r="B24" s="12">
        <v>11</v>
      </c>
      <c r="C24" s="17" t="s">
        <v>13054</v>
      </c>
      <c r="D24" s="26">
        <v>1022</v>
      </c>
      <c r="E24" s="26">
        <v>1030</v>
      </c>
      <c r="F24" s="12"/>
      <c r="G24" s="135"/>
      <c r="H24" s="593"/>
      <c r="I24" s="593"/>
      <c r="J24" s="574"/>
      <c r="K24" s="593"/>
      <c r="L24" s="593"/>
      <c r="N24" s="18"/>
      <c r="O24" s="89"/>
      <c r="P24" s="18"/>
      <c r="R24" s="18"/>
      <c r="S24" s="11"/>
      <c r="T24" s="17"/>
      <c r="U24" s="12"/>
      <c r="W24" s="2">
        <v>21</v>
      </c>
      <c r="X24" s="282">
        <v>1821</v>
      </c>
      <c r="Y24" s="339">
        <f>SUMIFS('IV kw.22'!F2:F830,'IV kw.22'!V2:V830,"1821")</f>
        <v>8</v>
      </c>
      <c r="Z24" s="339">
        <f>SUMIFS('IV kw.22'!AK2:AK830,'IV kw.22'!V2:V830,"1821")</f>
        <v>8</v>
      </c>
    </row>
    <row r="25" spans="2:26" x14ac:dyDescent="0.25">
      <c r="B25" s="12">
        <v>12</v>
      </c>
      <c r="C25" s="17" t="s">
        <v>13106</v>
      </c>
      <c r="D25" s="26">
        <v>701</v>
      </c>
      <c r="E25" s="26">
        <v>704</v>
      </c>
      <c r="F25" s="12"/>
      <c r="G25" s="135"/>
      <c r="H25" s="593"/>
      <c r="I25" s="593"/>
      <c r="J25" s="574"/>
      <c r="K25" s="593"/>
      <c r="L25" s="593"/>
      <c r="N25" s="18"/>
      <c r="O25" s="89"/>
      <c r="P25" s="18"/>
      <c r="R25" s="18"/>
      <c r="S25" s="11"/>
      <c r="T25" s="17"/>
      <c r="U25" s="12"/>
      <c r="W25" s="2">
        <v>22</v>
      </c>
      <c r="X25" s="282">
        <v>1861</v>
      </c>
      <c r="Y25" s="339">
        <f>SUMIFS('IV kw.22'!F2:F830,'IV kw.22'!V2:V830,"1861")</f>
        <v>12</v>
      </c>
      <c r="Z25" s="339">
        <f>SUMIFS('IV kw.22'!AK2:AK830,'IV kw.22'!V2:V830,"1861")</f>
        <v>12</v>
      </c>
    </row>
    <row r="26" spans="2:26" x14ac:dyDescent="0.25">
      <c r="B26" s="566" t="s">
        <v>13107</v>
      </c>
      <c r="C26" s="567" t="s">
        <v>13108</v>
      </c>
      <c r="D26" s="568">
        <f>SUM(D24:D25)</f>
        <v>1723</v>
      </c>
      <c r="E26" s="568">
        <f>SUM(E24:E25)</f>
        <v>1734</v>
      </c>
      <c r="F26" s="566"/>
      <c r="G26" s="135"/>
      <c r="H26" s="593"/>
      <c r="I26" s="593"/>
      <c r="J26" s="574"/>
      <c r="K26" s="593"/>
      <c r="L26" s="593"/>
      <c r="N26" s="18"/>
      <c r="O26" s="89"/>
      <c r="P26" s="18"/>
      <c r="R26" s="18"/>
      <c r="S26" s="11"/>
      <c r="T26" s="17"/>
      <c r="U26" s="12"/>
      <c r="W26" s="2">
        <v>23</v>
      </c>
      <c r="X26" s="282">
        <v>1862</v>
      </c>
      <c r="Y26" s="339">
        <f>SUMIFS('IV kw.22'!F2:F830,'IV kw.22'!V2:V830,"1862")</f>
        <v>29</v>
      </c>
      <c r="Z26" s="339">
        <f>SUMIFS('IV kw.22'!AK2:AK830,'IV kw.22'!V2:V830,"1862")</f>
        <v>29</v>
      </c>
    </row>
    <row r="27" spans="2:26" x14ac:dyDescent="0.25">
      <c r="B27" s="12">
        <v>13</v>
      </c>
      <c r="C27" s="17" t="s">
        <v>17622</v>
      </c>
      <c r="D27" s="26">
        <v>769</v>
      </c>
      <c r="E27" s="26">
        <v>773</v>
      </c>
      <c r="F27" s="12" t="s">
        <v>17632</v>
      </c>
      <c r="H27" s="593"/>
      <c r="I27" s="593"/>
      <c r="J27" s="574"/>
      <c r="K27" s="593"/>
      <c r="L27" s="593"/>
      <c r="N27" s="18"/>
      <c r="O27" s="89"/>
      <c r="P27" s="18"/>
      <c r="R27" s="18"/>
      <c r="S27" s="11"/>
      <c r="T27" s="17"/>
      <c r="U27" s="12"/>
      <c r="W27" s="2">
        <v>24</v>
      </c>
      <c r="X27" s="282">
        <v>1863</v>
      </c>
      <c r="Y27" s="339">
        <f>SUMIFS('IV kw.22'!F2:F830,'IV kw.22'!V2:V830,"1863")</f>
        <v>170</v>
      </c>
      <c r="Z27" s="339">
        <f>SUMIFS('IV kw.22'!AK2:AK830,'IV kw.22'!V2:V830,"1863")</f>
        <v>167</v>
      </c>
    </row>
    <row r="28" spans="2:26" x14ac:dyDescent="0.25">
      <c r="B28" s="12">
        <v>14</v>
      </c>
      <c r="C28" s="17" t="s">
        <v>17629</v>
      </c>
      <c r="D28" s="26">
        <v>766</v>
      </c>
      <c r="E28" s="26">
        <v>769</v>
      </c>
      <c r="F28" s="12" t="s">
        <v>19922</v>
      </c>
      <c r="H28" s="593"/>
      <c r="I28" s="593"/>
      <c r="J28" s="574"/>
      <c r="K28" s="593"/>
      <c r="L28" s="593"/>
      <c r="N28" s="18"/>
      <c r="O28" s="89"/>
      <c r="P28" s="18"/>
      <c r="R28" s="18"/>
      <c r="S28" s="11"/>
      <c r="T28" s="17"/>
      <c r="U28" s="12"/>
      <c r="W28" s="2">
        <v>25</v>
      </c>
      <c r="X28" s="282">
        <v>1864</v>
      </c>
      <c r="Y28" s="339">
        <f>SUMIFS('IV kw.22'!F2:F830,'IV kw.22'!V2:V830,"1864")</f>
        <v>12</v>
      </c>
      <c r="Z28" s="339">
        <f>SUMIFS('IV kw.22'!AK2:AK830,'IV kw.22'!V2:V830,"1864")</f>
        <v>12</v>
      </c>
    </row>
    <row r="29" spans="2:26" x14ac:dyDescent="0.25">
      <c r="B29" s="566" t="s">
        <v>17623</v>
      </c>
      <c r="C29" s="567" t="s">
        <v>23097</v>
      </c>
      <c r="D29" s="568">
        <f>SUM(D27:D28)</f>
        <v>1535</v>
      </c>
      <c r="E29" s="568">
        <f>SUM(E27:E28)</f>
        <v>1542</v>
      </c>
      <c r="F29" s="566"/>
      <c r="G29" s="135">
        <f>SUM(D30-D24)</f>
        <v>-319</v>
      </c>
      <c r="H29" s="593"/>
      <c r="I29" s="593"/>
      <c r="J29" s="574"/>
      <c r="K29" s="593"/>
      <c r="L29" s="593"/>
      <c r="N29" s="18"/>
      <c r="O29" s="89"/>
      <c r="P29" s="18"/>
      <c r="R29" s="18"/>
      <c r="S29" s="11"/>
      <c r="T29" s="17"/>
      <c r="U29" s="12"/>
      <c r="X29" s="635" t="s">
        <v>23106</v>
      </c>
      <c r="Y29" s="636">
        <f>SUM(Y4:Y28)</f>
        <v>486</v>
      </c>
      <c r="Z29" s="636">
        <f>SUM(Z4:Z28)</f>
        <v>483</v>
      </c>
    </row>
    <row r="30" spans="2:26" x14ac:dyDescent="0.25">
      <c r="B30" s="12">
        <v>15</v>
      </c>
      <c r="C30" s="17" t="s">
        <v>17630</v>
      </c>
      <c r="D30" s="26">
        <v>703</v>
      </c>
      <c r="E30" s="26">
        <v>743</v>
      </c>
      <c r="F30" s="12" t="s">
        <v>23098</v>
      </c>
      <c r="G30" s="135">
        <f>SUM(D30-D28)</f>
        <v>-63</v>
      </c>
      <c r="H30" s="593"/>
      <c r="I30" s="593"/>
      <c r="J30" s="574"/>
      <c r="K30" s="593"/>
      <c r="L30" s="593"/>
      <c r="N30" s="18"/>
      <c r="O30" s="89"/>
      <c r="P30" s="18"/>
      <c r="R30" s="18"/>
      <c r="S30" s="11"/>
      <c r="T30" s="17"/>
      <c r="U30" s="12"/>
      <c r="X30" s="442" t="s">
        <v>26049</v>
      </c>
      <c r="Y30" s="12">
        <v>314</v>
      </c>
      <c r="Z30" s="12">
        <v>313</v>
      </c>
    </row>
    <row r="31" spans="2:26" x14ac:dyDescent="0.25">
      <c r="B31" s="107">
        <v>16</v>
      </c>
      <c r="C31" s="106" t="s">
        <v>17631</v>
      </c>
      <c r="D31" s="105">
        <v>796</v>
      </c>
      <c r="E31" s="105">
        <v>800</v>
      </c>
      <c r="F31" s="107" t="s">
        <v>26046</v>
      </c>
      <c r="G31" s="135"/>
      <c r="J31" s="2"/>
      <c r="N31" s="18"/>
      <c r="O31" s="89"/>
      <c r="P31" s="18"/>
      <c r="R31" s="18"/>
      <c r="S31" s="11"/>
      <c r="T31" s="17"/>
      <c r="U31" s="12"/>
      <c r="X31" s="442"/>
      <c r="Y31" s="12"/>
      <c r="Z31" s="12"/>
    </row>
    <row r="32" spans="2:26" x14ac:dyDescent="0.25">
      <c r="B32" s="566" t="s">
        <v>23100</v>
      </c>
      <c r="C32" s="567" t="s">
        <v>26047</v>
      </c>
      <c r="D32" s="568">
        <f>SUM(D30:D31)</f>
        <v>1499</v>
      </c>
      <c r="E32" s="568">
        <f>SUM(E30:E31)</f>
        <v>1543</v>
      </c>
      <c r="F32" s="566"/>
      <c r="G32" s="135"/>
      <c r="J32" s="2"/>
      <c r="N32" s="18"/>
      <c r="O32" s="89"/>
      <c r="P32" s="18"/>
      <c r="R32" s="18"/>
      <c r="S32" s="11"/>
      <c r="T32" s="17"/>
      <c r="U32" s="12"/>
      <c r="X32" s="17"/>
      <c r="Y32" s="12"/>
      <c r="Z32" s="12"/>
    </row>
    <row r="33" spans="2:30" x14ac:dyDescent="0.25">
      <c r="B33" s="12"/>
      <c r="C33" s="17"/>
      <c r="D33" s="26"/>
      <c r="E33" s="26"/>
      <c r="F33" s="12"/>
      <c r="G33" s="135"/>
      <c r="J33" s="2"/>
      <c r="N33" s="18"/>
      <c r="O33" s="89"/>
      <c r="P33" s="18"/>
      <c r="R33" s="18"/>
      <c r="S33" s="11"/>
      <c r="T33" s="17"/>
      <c r="U33" s="12"/>
      <c r="Y33" s="637">
        <f>SUM(Y29:Y32)</f>
        <v>800</v>
      </c>
      <c r="Z33" s="637">
        <f>SUM(Z29:Z32)</f>
        <v>796</v>
      </c>
    </row>
    <row r="34" spans="2:30" x14ac:dyDescent="0.25">
      <c r="B34" s="12"/>
      <c r="C34" s="17"/>
      <c r="D34" s="26"/>
      <c r="E34" s="26"/>
      <c r="F34" s="12"/>
      <c r="G34" s="135"/>
      <c r="J34" s="2"/>
      <c r="N34" s="18"/>
      <c r="O34" s="89"/>
      <c r="P34" s="18"/>
      <c r="R34" s="18"/>
      <c r="T34" s="89"/>
      <c r="U34" s="18"/>
    </row>
    <row r="35" spans="2:30" x14ac:dyDescent="0.25">
      <c r="B35" s="18"/>
      <c r="C35" s="89"/>
      <c r="E35" s="135"/>
      <c r="F35" s="20"/>
      <c r="N35" s="242"/>
      <c r="O35" s="242"/>
      <c r="P35" s="243">
        <f ca="1">SUM(AD4:AD15)</f>
        <v>800</v>
      </c>
      <c r="R35" s="242"/>
      <c r="T35" s="243"/>
      <c r="U35" s="246">
        <f ca="1">SUM(AG4:AG15)</f>
        <v>800</v>
      </c>
    </row>
    <row r="36" spans="2:30" x14ac:dyDescent="0.25">
      <c r="B36" s="578" t="s">
        <v>170</v>
      </c>
      <c r="C36" s="578"/>
      <c r="D36" s="578"/>
      <c r="E36" s="578" t="s">
        <v>2</v>
      </c>
      <c r="F36" s="578"/>
      <c r="G36" s="578"/>
      <c r="H36" s="578" t="s">
        <v>3</v>
      </c>
      <c r="I36" s="578"/>
      <c r="J36" s="578"/>
      <c r="K36" s="598" t="s">
        <v>3589</v>
      </c>
      <c r="L36" s="598"/>
      <c r="M36" s="598"/>
      <c r="N36" s="598" t="s">
        <v>1</v>
      </c>
      <c r="O36" s="598"/>
      <c r="P36" s="598"/>
      <c r="Q36" s="407" t="s">
        <v>4</v>
      </c>
      <c r="R36" s="407"/>
      <c r="S36" s="407"/>
      <c r="T36" s="610" t="s">
        <v>5</v>
      </c>
      <c r="U36" s="610"/>
      <c r="V36" s="610"/>
      <c r="W36" s="621" t="s">
        <v>6</v>
      </c>
      <c r="X36" s="621"/>
      <c r="Y36" s="622"/>
    </row>
    <row r="37" spans="2:30" x14ac:dyDescent="0.25">
      <c r="B37" s="579" t="s">
        <v>3469</v>
      </c>
      <c r="C37" s="580"/>
      <c r="D37" s="581"/>
      <c r="E37" s="579" t="s">
        <v>3470</v>
      </c>
      <c r="F37" s="580"/>
      <c r="G37" s="581"/>
      <c r="H37" s="579" t="s">
        <v>3470</v>
      </c>
      <c r="I37" s="579"/>
      <c r="J37" s="581"/>
      <c r="K37" s="599"/>
      <c r="L37" s="600"/>
      <c r="M37" s="599"/>
      <c r="N37" s="599"/>
      <c r="O37" s="600"/>
      <c r="P37" s="599"/>
      <c r="Q37" s="599"/>
      <c r="R37" s="600"/>
      <c r="S37" s="599"/>
      <c r="T37" s="614"/>
      <c r="U37" s="615"/>
      <c r="V37" s="611"/>
      <c r="W37" s="623"/>
      <c r="X37" s="624"/>
      <c r="Y37" s="619"/>
    </row>
    <row r="38" spans="2:30" x14ac:dyDescent="0.25">
      <c r="B38" s="587">
        <v>2141</v>
      </c>
      <c r="C38" s="390" t="s">
        <v>3569</v>
      </c>
      <c r="D38" s="390">
        <f>SUMIF('IV kw.22'!AJ2:AJ830,"2141*",'IV kw.22'!F2:F830)</f>
        <v>13</v>
      </c>
      <c r="E38" s="587">
        <v>2113</v>
      </c>
      <c r="F38" s="11" t="s">
        <v>3491</v>
      </c>
      <c r="G38" s="577">
        <f>SUMIF('IV kw.22'!AJ2:AJ830,"2113*",'IV kw.22'!F2:F830)</f>
        <v>0</v>
      </c>
      <c r="H38" s="589">
        <v>2142</v>
      </c>
      <c r="I38" s="399" t="s">
        <v>3494</v>
      </c>
      <c r="J38" s="577">
        <f>SUMIF('IV kw.22'!AJ2:AJ830,"2142*",'IV kw.22'!F2:F830)</f>
        <v>10</v>
      </c>
      <c r="K38" s="425">
        <v>315</v>
      </c>
      <c r="L38" s="11" t="s">
        <v>3532</v>
      </c>
      <c r="M38" s="597">
        <f>SUMIF('IV kw.22'!AJ2:AJ830,"315*",'IV kw.22'!F2:F830)</f>
        <v>1</v>
      </c>
      <c r="N38" s="108">
        <v>2166</v>
      </c>
      <c r="O38" s="11" t="s">
        <v>3510</v>
      </c>
      <c r="P38" s="597">
        <f>SUMIF('IV kw.22'!AJ2:AJ830,"2166*",'IV kw.22'!F2:F830)</f>
        <v>2</v>
      </c>
      <c r="Q38" s="405">
        <v>22</v>
      </c>
      <c r="R38" s="406" t="s">
        <v>3511</v>
      </c>
      <c r="S38" s="597">
        <f>SUMIF('IV kw.22'!AJ2:AJ830,"22*",'IV kw.22'!F2:F830)</f>
        <v>15</v>
      </c>
      <c r="T38" s="613">
        <v>23</v>
      </c>
      <c r="U38" s="11" t="s">
        <v>3512</v>
      </c>
      <c r="V38" s="609">
        <f>SUMIF('IV kw.22'!AJ2:AJ830,"23*",'IV kw.22'!F2:F830)</f>
        <v>9</v>
      </c>
      <c r="W38" s="131">
        <v>7549</v>
      </c>
      <c r="X38" s="11" t="s">
        <v>3561</v>
      </c>
      <c r="Y38" s="620">
        <f>SUMIF('IV kw.22'!AJ2:AJ830,"7549*",'IV kw.22'!F2:F830)</f>
        <v>1</v>
      </c>
    </row>
    <row r="39" spans="2:30" x14ac:dyDescent="0.25">
      <c r="B39" s="587">
        <v>2132</v>
      </c>
      <c r="C39" s="11" t="s">
        <v>3493</v>
      </c>
      <c r="D39" s="582">
        <f>SUMIF('IV kw.22'!AJ2:AJ830,"2132*",'IV kw.22'!F2:F830)</f>
        <v>1</v>
      </c>
      <c r="E39" s="587">
        <v>2145</v>
      </c>
      <c r="F39" s="11" t="s">
        <v>3496</v>
      </c>
      <c r="G39" s="577">
        <f>SUMIF('IV kw.22'!AJ2:AJ830,"2145*",'IV kw.22'!F2:F830)</f>
        <v>0</v>
      </c>
      <c r="H39" s="589">
        <v>2143</v>
      </c>
      <c r="I39" s="11" t="s">
        <v>93</v>
      </c>
      <c r="J39" s="577">
        <f>SUMIF('IV kw.22'!AJ2:AJ830,"2143*",'IV kw.22'!F2:F830)</f>
        <v>3</v>
      </c>
      <c r="K39" s="426">
        <v>42</v>
      </c>
      <c r="L39" s="11" t="s">
        <v>3537</v>
      </c>
      <c r="M39" s="597">
        <f>SUMIF('IV kw.22'!AJ2:AJ830,"42*",'IV kw.22'!F2:F830)</f>
        <v>22</v>
      </c>
      <c r="N39" s="118">
        <v>24</v>
      </c>
      <c r="O39" s="368" t="s">
        <v>3571</v>
      </c>
      <c r="P39" s="107">
        <f>SUMIF('IV kw.22'!AJ2:AJ830,"24*",'IV kw.22'!F2:F830)</f>
        <v>128</v>
      </c>
      <c r="Q39" s="405">
        <v>32</v>
      </c>
      <c r="R39" s="406" t="s">
        <v>3533</v>
      </c>
      <c r="S39" s="597">
        <f>SUMIF('IV kw.22'!AJ2:AJ830,"32*",'IV kw.22'!F2:F830)</f>
        <v>14</v>
      </c>
      <c r="T39" s="613">
        <v>26</v>
      </c>
      <c r="U39" s="11" t="s">
        <v>3572</v>
      </c>
      <c r="V39" s="609">
        <f>SUMIF('IV kw.22'!AJ2:AJ830,"26*",'IV kw.22'!F2:F830)</f>
        <v>16</v>
      </c>
      <c r="W39" s="119">
        <v>9</v>
      </c>
      <c r="X39" s="11" t="s">
        <v>3565</v>
      </c>
      <c r="Y39" s="620">
        <f>SUMIF('IV kw.22'!AJ2:AJ830,"9*",'IV kw.22'!F2:F830)</f>
        <v>1</v>
      </c>
      <c r="AD39" s="18"/>
    </row>
    <row r="40" spans="2:30" x14ac:dyDescent="0.25">
      <c r="B40" s="587">
        <v>2146</v>
      </c>
      <c r="C40" s="11" t="s">
        <v>3497</v>
      </c>
      <c r="D40" s="577">
        <f>SUMIF('IV kw.22'!AJ2:AJ830,"2146*",'IV kw.22'!F2:F830)</f>
        <v>0</v>
      </c>
      <c r="E40" s="587">
        <v>2131</v>
      </c>
      <c r="F40" s="11" t="s">
        <v>3492</v>
      </c>
      <c r="G40" s="577">
        <f>SUMIF('IV kw.22'!AJ2:AJ830,"2131*",'IV kw.22'!F2:F830)</f>
        <v>0</v>
      </c>
      <c r="H40" s="589">
        <v>2161</v>
      </c>
      <c r="I40" s="11" t="s">
        <v>3507</v>
      </c>
      <c r="J40" s="577">
        <f>SUMIF('IV kw.22'!AJ2:AJ830,"2161*",'IV kw.22'!F2:F830)</f>
        <v>0</v>
      </c>
      <c r="K40" s="426">
        <v>43</v>
      </c>
      <c r="L40" s="103" t="s">
        <v>3538</v>
      </c>
      <c r="M40" s="107">
        <f>SUMIF('IV kw.22'!AJ2:AJ830,"43*",'IV kw.22'!F2:F830)</f>
        <v>16</v>
      </c>
      <c r="N40" s="125">
        <v>33</v>
      </c>
      <c r="O40" s="368" t="s">
        <v>3534</v>
      </c>
      <c r="P40" s="107">
        <f>SUMIF('IV kw.22'!AJ2:AJ830,"33*",'IV kw.22'!F2:F830)</f>
        <v>103</v>
      </c>
      <c r="Q40" s="405">
        <v>53</v>
      </c>
      <c r="R40" s="406" t="s">
        <v>3542</v>
      </c>
      <c r="S40" s="597">
        <f>SUMIF('IV kw.22'!AJ2:AJ830,"53*",'IV kw.22'!F2:F830)</f>
        <v>0</v>
      </c>
      <c r="T40" s="613">
        <v>34</v>
      </c>
      <c r="U40" s="11" t="s">
        <v>3535</v>
      </c>
      <c r="V40" s="609">
        <f>SUMIF('IV kw.22'!AJ2:AJ830,"34*",'IV kw.22'!F2:F830)</f>
        <v>0</v>
      </c>
      <c r="W40" s="37"/>
      <c r="Y40" s="620">
        <f>SUM(Y38:Y39)</f>
        <v>2</v>
      </c>
      <c r="AD40" s="18"/>
    </row>
    <row r="41" spans="2:30" ht="15" customHeight="1" x14ac:dyDescent="0.25">
      <c r="B41" s="121">
        <v>3113</v>
      </c>
      <c r="C41" s="11" t="s">
        <v>3520</v>
      </c>
      <c r="D41" s="577">
        <f>SUMIF('IV kw.22'!AJ2:AJ830,"3113*",'IV kw.22'!F2:F830)</f>
        <v>5</v>
      </c>
      <c r="E41" s="587">
        <v>2144</v>
      </c>
      <c r="F41" s="399" t="s">
        <v>3495</v>
      </c>
      <c r="G41" s="584">
        <f>SUMIF('IV kw.22'!AJ2:AJ830,"2144*",'IV kw.22'!F2:F830)</f>
        <v>6</v>
      </c>
      <c r="H41" s="589">
        <v>2162</v>
      </c>
      <c r="I41" s="11" t="s">
        <v>3508</v>
      </c>
      <c r="J41" s="577">
        <f>SUMIF('IV kw.22'!AJ2:AJ830,"2162*",'IV kw.22'!F2:F830)</f>
        <v>0</v>
      </c>
      <c r="K41" s="427">
        <v>52</v>
      </c>
      <c r="L41" s="103" t="s">
        <v>3541</v>
      </c>
      <c r="M41" s="107">
        <f>SUMIF('IV kw.22'!AJ2:AJ830,"52*",'IV kw.22'!F2:F830)</f>
        <v>65</v>
      </c>
      <c r="N41" s="127">
        <v>51</v>
      </c>
      <c r="O41" s="11" t="s">
        <v>3540</v>
      </c>
      <c r="P41" s="597">
        <f>SUMIF('IV kw.22'!AJ2:AJ830,"51*",'IV kw.22'!F2:F830)</f>
        <v>10</v>
      </c>
      <c r="Q41" s="37"/>
      <c r="S41" s="597">
        <f>SUM(S38:S40)</f>
        <v>29</v>
      </c>
      <c r="V41" s="612">
        <f>SUM(V38:V40)</f>
        <v>25</v>
      </c>
      <c r="W41" s="37"/>
      <c r="AD41" s="20"/>
    </row>
    <row r="42" spans="2:30" x14ac:dyDescent="0.25">
      <c r="B42" s="121">
        <v>3114</v>
      </c>
      <c r="C42" s="11" t="s">
        <v>3521</v>
      </c>
      <c r="D42" s="577">
        <f>SUMIF('IV kw.22'!AJ2:AJ830,"3114*",'IV kw.22'!F2:F830)</f>
        <v>1</v>
      </c>
      <c r="E42" s="587">
        <v>2149</v>
      </c>
      <c r="F42" s="399" t="s">
        <v>3498</v>
      </c>
      <c r="G42" s="584">
        <f>SUMIF('IV kw.22'!AJ2:AJ830,"2149*",'IV kw.22'!F2:F830)</f>
        <v>15</v>
      </c>
      <c r="H42" s="587">
        <v>2164</v>
      </c>
      <c r="I42" s="11" t="s">
        <v>3585</v>
      </c>
      <c r="J42" s="577">
        <f>SUMIF('IV kw.22'!AJ2:AJ830,"2164*",'IV kw.22'!F2:F830)</f>
        <v>0</v>
      </c>
      <c r="K42" s="428">
        <v>83</v>
      </c>
      <c r="L42" s="11" t="s">
        <v>3564</v>
      </c>
      <c r="M42" s="597">
        <f>SUMIF('IV kw.22'!AJ2:AJ830,"83*",'IV kw.22'!F2:F830)</f>
        <v>27</v>
      </c>
      <c r="N42" s="120">
        <v>14</v>
      </c>
      <c r="O42" s="11" t="s">
        <v>3578</v>
      </c>
      <c r="P42" s="597">
        <f>SUMIF('IV kw.22'!AJ2:AJ830,"14*",'IV kw.22'!F2:F830)</f>
        <v>18</v>
      </c>
      <c r="Q42" s="37"/>
      <c r="T42" s="1" t="s">
        <v>0</v>
      </c>
      <c r="U42" s="94"/>
      <c r="V42" s="20"/>
      <c r="W42" s="542" t="s">
        <v>3574</v>
      </c>
    </row>
    <row r="43" spans="2:30" x14ac:dyDescent="0.25">
      <c r="B43" s="401">
        <v>3115</v>
      </c>
      <c r="C43" s="8" t="s">
        <v>3522</v>
      </c>
      <c r="D43" s="9">
        <f>SUMIF('IV kw.22'!AJ2:AJ830,"3115*",'IV kw.22'!F2:F830)</f>
        <v>11</v>
      </c>
      <c r="E43" s="389">
        <v>2149</v>
      </c>
      <c r="F43" s="11" t="s">
        <v>3499</v>
      </c>
      <c r="G43" s="585" t="s">
        <v>3573</v>
      </c>
      <c r="H43" s="589">
        <v>2165</v>
      </c>
      <c r="I43" s="11" t="s">
        <v>3509</v>
      </c>
      <c r="J43" s="577">
        <f>SUMIF('IV kw.22'!AJ2:AJ830,"2165*",'IV kw.22'!F2:F830)</f>
        <v>0</v>
      </c>
      <c r="K43" s="429">
        <v>12</v>
      </c>
      <c r="L43" s="11" t="s">
        <v>3576</v>
      </c>
      <c r="M43" s="597">
        <f>SUMIF('IV kw.22'!AJ2:AJ830,"12*",'IV kw.22'!F2:F830)</f>
        <v>16</v>
      </c>
      <c r="P43" s="597">
        <f>SUM(P38:P42)</f>
        <v>261</v>
      </c>
      <c r="Q43" s="37"/>
      <c r="T43" s="614"/>
      <c r="U43" s="615"/>
      <c r="V43" s="616"/>
      <c r="W43" s="627"/>
      <c r="X43" s="628"/>
      <c r="Y43" s="625"/>
    </row>
    <row r="44" spans="2:30" x14ac:dyDescent="0.25">
      <c r="B44" s="401">
        <v>3116</v>
      </c>
      <c r="C44" s="8" t="s">
        <v>3523</v>
      </c>
      <c r="D44" s="9">
        <f>SUMIF('IV kw.22'!AJ2:AJ830,"3116*",'IV kw.22'!F2:F830)</f>
        <v>0</v>
      </c>
      <c r="E44" s="389">
        <v>2149</v>
      </c>
      <c r="F44" s="11" t="s">
        <v>3500</v>
      </c>
      <c r="G44" s="585" t="s">
        <v>3573</v>
      </c>
      <c r="H44" s="126">
        <v>3111</v>
      </c>
      <c r="I44" s="11" t="s">
        <v>3587</v>
      </c>
      <c r="J44" s="577">
        <f>SUMIF('IV kw.22'!AJ2:AJ830,"3111*",'IV kw.22'!F2:F830)</f>
        <v>0</v>
      </c>
      <c r="K44" s="89"/>
      <c r="L44" s="20"/>
      <c r="M44" s="597">
        <f>SUM(M38:M43)</f>
        <v>147</v>
      </c>
      <c r="Q44" s="37"/>
      <c r="T44" s="116">
        <v>41</v>
      </c>
      <c r="U44" s="11" t="s">
        <v>3592</v>
      </c>
      <c r="V44" s="609">
        <f>SUMIF('IV kw.22'!AJ2:AJ830,"41*",'IV kw.22'!F2:F830)</f>
        <v>10</v>
      </c>
      <c r="W44" s="120">
        <v>11</v>
      </c>
      <c r="X44" s="11" t="s">
        <v>23109</v>
      </c>
      <c r="Y44" s="626">
        <f>SUMIF('IV kw.22'!AJ2:AJ830,"11*",'IV kw.22'!F2:F830)</f>
        <v>5</v>
      </c>
    </row>
    <row r="45" spans="2:30" x14ac:dyDescent="0.25">
      <c r="B45" s="121">
        <v>3117</v>
      </c>
      <c r="C45" s="11" t="s">
        <v>3524</v>
      </c>
      <c r="D45" s="577">
        <f>SUMIF('IV kw.22'!AJ2:AJ830,"3117*",'IV kw.22'!F2:F830)</f>
        <v>0</v>
      </c>
      <c r="E45" s="389">
        <v>2149</v>
      </c>
      <c r="F45" s="11" t="s">
        <v>3501</v>
      </c>
      <c r="G45" s="585" t="s">
        <v>3573</v>
      </c>
      <c r="H45" s="126">
        <v>3112</v>
      </c>
      <c r="I45" s="399" t="s">
        <v>3519</v>
      </c>
      <c r="J45" s="577">
        <f>SUMIF('IV kw.22'!AJ2:AJ830,"3112*",'IV kw.22'!F2:F830)</f>
        <v>4</v>
      </c>
      <c r="K45" s="89"/>
      <c r="L45" s="20"/>
      <c r="M45" s="20"/>
      <c r="N45" s="100" t="s">
        <v>134</v>
      </c>
      <c r="O45" s="93"/>
      <c r="Q45" s="37"/>
      <c r="T45" s="116">
        <v>44</v>
      </c>
      <c r="U45" s="11" t="s">
        <v>3539</v>
      </c>
      <c r="V45" s="609">
        <f>SUMIF('IV kw.22'!AJ2:AJ830,"44*",'IV kw.22'!F2:F830)</f>
        <v>1</v>
      </c>
      <c r="W45" s="629">
        <v>2111</v>
      </c>
      <c r="X45" s="11" t="s">
        <v>3580</v>
      </c>
      <c r="Y45" s="626">
        <f>SUMIF('IV kw.22'!AJ2:AJ830,"2111*",'IV kw.22'!F2:F830)</f>
        <v>0</v>
      </c>
    </row>
    <row r="46" spans="2:30" x14ac:dyDescent="0.25">
      <c r="B46" s="121">
        <v>3119</v>
      </c>
      <c r="C46" s="396" t="s">
        <v>3526</v>
      </c>
      <c r="D46" s="397">
        <f>SUMIF('IV kw.22'!AJ2:AJ830,"3119*",'IV kw.22'!F2:F830)</f>
        <v>1</v>
      </c>
      <c r="E46" s="389">
        <v>2149</v>
      </c>
      <c r="F46" s="11" t="s">
        <v>3502</v>
      </c>
      <c r="G46" s="585" t="s">
        <v>3573</v>
      </c>
      <c r="H46" s="126">
        <v>3118</v>
      </c>
      <c r="I46" s="11" t="s">
        <v>3525</v>
      </c>
      <c r="J46" s="577">
        <f>SUMIF('IV kw.22'!AJ2:AJ830,"3118*",'IV kw.22'!F2:F830)</f>
        <v>0</v>
      </c>
      <c r="K46" s="89"/>
      <c r="L46" s="20"/>
      <c r="M46" s="20"/>
      <c r="N46" s="489"/>
      <c r="O46" s="490"/>
      <c r="P46" s="486"/>
      <c r="Q46" s="37"/>
      <c r="T46" s="618">
        <v>7515</v>
      </c>
      <c r="U46" s="11" t="s">
        <v>3552</v>
      </c>
      <c r="V46" s="617">
        <f>SUMIF('IV kw.22'!AJ2:AJ830,"7515*",'IV kw.22'!F2:F830)</f>
        <v>0</v>
      </c>
      <c r="W46" s="629">
        <v>2112</v>
      </c>
      <c r="X46" s="11" t="s">
        <v>3581</v>
      </c>
      <c r="Y46" s="626">
        <f>SUMIF('IV kw.22'!AJ2:AJ830,"2112*",'IV kw.22'!F2:F830)</f>
        <v>0</v>
      </c>
    </row>
    <row r="47" spans="2:30" x14ac:dyDescent="0.25">
      <c r="B47" s="121">
        <v>3121</v>
      </c>
      <c r="C47" s="11" t="s">
        <v>3527</v>
      </c>
      <c r="D47" s="577">
        <f>SUMIF('IV kw.22'!AJ2:AJ830,"3121*",'IV kw.22'!F2:F830)</f>
        <v>0</v>
      </c>
      <c r="E47" s="389">
        <v>2149</v>
      </c>
      <c r="F47" s="11" t="s">
        <v>3503</v>
      </c>
      <c r="G47" s="585" t="s">
        <v>3573</v>
      </c>
      <c r="H47" s="126">
        <v>3123</v>
      </c>
      <c r="I47" s="11" t="s">
        <v>3529</v>
      </c>
      <c r="J47" s="577">
        <f>SUMIF('IV kw.22'!AJ2:AJ830,"3123*",'IV kw.22'!F2:F830)</f>
        <v>0</v>
      </c>
      <c r="K47" s="89"/>
      <c r="L47" s="20"/>
      <c r="N47" s="131">
        <v>7512</v>
      </c>
      <c r="O47" s="11" t="s">
        <v>3549</v>
      </c>
      <c r="P47" s="487">
        <f>SUMIF('IV kw.22'!AJ2:AJ830,"7512*",'IV kw.22'!F2:F830)</f>
        <v>0</v>
      </c>
      <c r="Q47" s="37"/>
      <c r="T47" s="37"/>
      <c r="V47" s="612">
        <f>SUM(V44:V46)</f>
        <v>11</v>
      </c>
      <c r="W47" s="629">
        <v>2114</v>
      </c>
      <c r="X47" s="11" t="s">
        <v>3582</v>
      </c>
      <c r="Y47" s="626">
        <f>SUMIF('IV kw.22'!AJ2:AJ830,"2114*",'IV kw.22'!F2:F830)</f>
        <v>0</v>
      </c>
    </row>
    <row r="48" spans="2:30" x14ac:dyDescent="0.25">
      <c r="B48" s="121">
        <v>3122</v>
      </c>
      <c r="C48" s="11" t="s">
        <v>3528</v>
      </c>
      <c r="D48" s="577">
        <f>SUMIF('IV kw.22'!AJ2:AJ830,"3122*",'IV kw.22'!F2:F830)</f>
        <v>0</v>
      </c>
      <c r="E48" s="587">
        <v>2151</v>
      </c>
      <c r="F48" s="11" t="s">
        <v>3504</v>
      </c>
      <c r="G48" s="577">
        <f>SUMIF('IV kw.22'!AJ2:AJ830,"2151*",'IV kw.22'!F2:F830)</f>
        <v>6</v>
      </c>
      <c r="H48" s="592">
        <v>71</v>
      </c>
      <c r="I48" s="399" t="s">
        <v>3544</v>
      </c>
      <c r="J48" s="577">
        <f>SUMIF('IV kw.22'!AJ2:AJ830,"71*",'IV kw.22'!F2:F830)</f>
        <v>3</v>
      </c>
      <c r="K48" s="89"/>
      <c r="L48" s="20"/>
      <c r="M48" s="20"/>
      <c r="P48" s="487">
        <f>SUM(P47)</f>
        <v>0</v>
      </c>
      <c r="Q48" s="37"/>
      <c r="T48" s="37"/>
      <c r="W48" s="629">
        <v>2120</v>
      </c>
      <c r="X48" s="11" t="s">
        <v>3583</v>
      </c>
      <c r="Y48" s="626">
        <f>SUMIF('IV kw.22'!AJ2:AJ830,"2120*",'IV kw.22'!F2:F830)</f>
        <v>0</v>
      </c>
    </row>
    <row r="49" spans="2:25" x14ac:dyDescent="0.25">
      <c r="B49" s="416">
        <v>313</v>
      </c>
      <c r="C49" s="391" t="s">
        <v>3530</v>
      </c>
      <c r="D49" s="390">
        <f>SUMIF('IV kw.22'!AJ2:AJ830,"313*",'IV kw.22'!F2:F830)</f>
        <v>40</v>
      </c>
      <c r="E49" s="587">
        <v>2152</v>
      </c>
      <c r="F49" s="11" t="s">
        <v>3505</v>
      </c>
      <c r="G49" s="577">
        <f>SUMIF('IV kw.22'!AJ2:AJ830,"2152*",'IV kw.22'!F2:F830)</f>
        <v>1</v>
      </c>
      <c r="H49" s="591">
        <v>7521</v>
      </c>
      <c r="I49" s="11" t="s">
        <v>3553</v>
      </c>
      <c r="J49" s="577">
        <f>SUMIF('IV kw.22'!AJ2:AJ830,"7521*",'IV kw.22'!F2:F830)</f>
        <v>0</v>
      </c>
      <c r="K49" s="89"/>
      <c r="L49" s="20"/>
      <c r="M49" s="20"/>
      <c r="N49" s="94" t="s">
        <v>154</v>
      </c>
      <c r="O49" s="94"/>
      <c r="P49" s="18"/>
      <c r="T49" s="37"/>
      <c r="W49" s="119">
        <v>0</v>
      </c>
      <c r="X49" s="11" t="s">
        <v>3586</v>
      </c>
      <c r="Y49" s="626">
        <f>SUMIF('IV kw.22'!AJ2:AJ830,"0*",'IV kw.22'!F2:F830)</f>
        <v>0</v>
      </c>
    </row>
    <row r="50" spans="2:25" x14ac:dyDescent="0.25">
      <c r="B50" s="401">
        <v>314</v>
      </c>
      <c r="C50" s="8" t="s">
        <v>3531</v>
      </c>
      <c r="D50" s="9">
        <f>SUMIF('IV kw.22'!AJ2:AJ830,"314*",'IV kw.22'!F2:F830)</f>
        <v>2</v>
      </c>
      <c r="E50" s="587">
        <v>2153</v>
      </c>
      <c r="F50" s="11" t="s">
        <v>3506</v>
      </c>
      <c r="G50" s="577">
        <f>SUMIF('IV kw.22'!AJ2:AJ830,"2153*",'IV kw.22'!F2:F830)</f>
        <v>4</v>
      </c>
      <c r="H50" s="591">
        <v>7522</v>
      </c>
      <c r="I50" s="11" t="s">
        <v>3554</v>
      </c>
      <c r="J50" s="577">
        <f>SUMIF('IV kw.22'!AJ2:AJ830,"7522*",'IV kw.22'!F2:F830)</f>
        <v>0</v>
      </c>
      <c r="K50" s="89"/>
      <c r="L50" s="20"/>
      <c r="M50" s="20"/>
      <c r="N50" s="489"/>
      <c r="O50" s="490"/>
      <c r="P50" s="486"/>
      <c r="Y50" s="626">
        <f>SUM(Y44:Y49)</f>
        <v>5</v>
      </c>
    </row>
    <row r="51" spans="2:25" x14ac:dyDescent="0.25">
      <c r="B51" s="125">
        <v>35</v>
      </c>
      <c r="C51" s="391" t="s">
        <v>3536</v>
      </c>
      <c r="D51" s="390">
        <f>SUMIF('IV kw.22'!AJ2:AJ830,"35*",'IV kw.22'!F2:F830)</f>
        <v>5</v>
      </c>
      <c r="E51" s="588">
        <v>25</v>
      </c>
      <c r="F51" s="576" t="s">
        <v>3513</v>
      </c>
      <c r="G51" s="577">
        <f>SUMIF('IV kw.22'!AJ2:AJ830,"25*",'IV kw.22'!F2:F830)</f>
        <v>87</v>
      </c>
      <c r="J51" s="586">
        <f>SUM(J38:J50)</f>
        <v>20</v>
      </c>
      <c r="K51" s="89"/>
      <c r="L51" s="20"/>
      <c r="M51" s="20"/>
      <c r="N51" s="131">
        <v>753</v>
      </c>
      <c r="O51" s="11" t="s">
        <v>3556</v>
      </c>
      <c r="P51" s="487">
        <f>SUMIF('IV kw.22'!AJ2:AJ830,"753*",'IV kw.22'!F2:F830)</f>
        <v>0</v>
      </c>
    </row>
    <row r="52" spans="2:25" x14ac:dyDescent="0.25">
      <c r="B52" s="553">
        <v>6</v>
      </c>
      <c r="C52" s="11" t="s">
        <v>3543</v>
      </c>
      <c r="D52" s="577">
        <f>SUMIF('IV kw.22'!AJ2:AJ830,"6*",'IV kw.22'!F2:F830)</f>
        <v>1</v>
      </c>
      <c r="E52" s="590">
        <v>74</v>
      </c>
      <c r="F52" s="11" t="s">
        <v>3547</v>
      </c>
      <c r="G52" s="577">
        <f ca="1">SUMIF('IV kw.22'!AJ2:AJ1032,"74*",'IV kw.22'!F2:F830)</f>
        <v>15</v>
      </c>
      <c r="H52" s="89"/>
      <c r="I52" s="20"/>
      <c r="K52" s="20"/>
      <c r="L52" s="20"/>
      <c r="M52" s="20"/>
      <c r="N52" s="131">
        <v>7541</v>
      </c>
      <c r="O52" s="11" t="s">
        <v>3557</v>
      </c>
      <c r="P52" s="487">
        <f>SUMIF('IV kw.22'!AJ2:AJ830,"7541*",'IV kw.22'!F2:F830)</f>
        <v>0</v>
      </c>
    </row>
    <row r="53" spans="2:25" x14ac:dyDescent="0.25">
      <c r="B53" s="590">
        <v>72</v>
      </c>
      <c r="C53" s="396" t="s">
        <v>3545</v>
      </c>
      <c r="D53" s="397">
        <f>SUMIF('IV kw.22'!AJ2:AJ830,"72*",'IV kw.22'!F2:F830)</f>
        <v>18</v>
      </c>
      <c r="G53" s="583">
        <f ca="1">SUM(G38:G52)</f>
        <v>134</v>
      </c>
      <c r="N53" s="127">
        <v>54</v>
      </c>
      <c r="O53" s="11" t="s">
        <v>3588</v>
      </c>
      <c r="P53" s="487">
        <f>SUMIF('IV kw.22'!AJ2:AJ830,"54*",'IV kw.22'!F2:F830)</f>
        <v>4</v>
      </c>
    </row>
    <row r="54" spans="2:25" x14ac:dyDescent="0.25">
      <c r="B54" s="590">
        <v>73</v>
      </c>
      <c r="C54" s="11" t="s">
        <v>3546</v>
      </c>
      <c r="D54" s="577">
        <f>SUMIF('IV kw.22'!AJ2:AJ830,"73*",'IV kw.22'!F2:F830)</f>
        <v>3</v>
      </c>
      <c r="P54" s="487">
        <f>SUM(P51:P53)</f>
        <v>4</v>
      </c>
    </row>
    <row r="55" spans="2:25" x14ac:dyDescent="0.25">
      <c r="B55" s="587">
        <v>7511</v>
      </c>
      <c r="C55" s="11" t="s">
        <v>3548</v>
      </c>
      <c r="D55" s="577">
        <f>SUMIF('IV kw.22'!AJ2:AJ830,"7511*",'IV kw.22'!F2:F830)</f>
        <v>0</v>
      </c>
      <c r="T55" s="37"/>
    </row>
    <row r="56" spans="2:25" x14ac:dyDescent="0.25">
      <c r="B56" s="587">
        <v>7513</v>
      </c>
      <c r="C56" s="11" t="s">
        <v>3550</v>
      </c>
      <c r="D56" s="577">
        <f>SUMIF('IV kw.22'!AJ2:AJ830,"7513*",'IV kw.22'!F2:F830)</f>
        <v>0</v>
      </c>
    </row>
    <row r="57" spans="2:25" x14ac:dyDescent="0.25">
      <c r="B57" s="587">
        <v>7514</v>
      </c>
      <c r="C57" s="11" t="s">
        <v>3551</v>
      </c>
      <c r="D57" s="577">
        <f>SUMIF('IV kw.22'!AJ2:AJ830,"7514*",'IV kw.22'!F2:F830)</f>
        <v>0</v>
      </c>
    </row>
    <row r="58" spans="2:25" x14ac:dyDescent="0.25">
      <c r="B58" s="587">
        <v>7523</v>
      </c>
      <c r="C58" s="11" t="s">
        <v>3555</v>
      </c>
      <c r="D58" s="577">
        <f>SUMIF('IV kw.22'!AJ2:AJ830,"7523*",'IV kw.22'!F2:F830)</f>
        <v>0</v>
      </c>
    </row>
    <row r="59" spans="2:25" x14ac:dyDescent="0.25">
      <c r="B59" s="587">
        <v>7542</v>
      </c>
      <c r="C59" s="11" t="s">
        <v>3558</v>
      </c>
      <c r="D59" s="577">
        <f>SUMIF('IV kw.22'!AJ2:AJ830,"7542*",'IV kw.22'!F2:F830)</f>
        <v>0</v>
      </c>
    </row>
    <row r="60" spans="2:25" x14ac:dyDescent="0.25">
      <c r="B60" s="587">
        <v>7543</v>
      </c>
      <c r="C60" s="11" t="s">
        <v>3559</v>
      </c>
      <c r="D60" s="577">
        <f>SUMIF('IV kw.22'!AJ2:AJ830,"7543*",'IV kw.22'!F2:F830)</f>
        <v>0</v>
      </c>
    </row>
    <row r="61" spans="2:25" x14ac:dyDescent="0.25">
      <c r="B61" s="587">
        <v>7544</v>
      </c>
      <c r="C61" s="11" t="s">
        <v>3560</v>
      </c>
      <c r="D61" s="577">
        <f>SUMIF('IV kw.22'!AJ2:AJ830,"7544*",'IV kw.22'!F2:F830)</f>
        <v>0</v>
      </c>
    </row>
    <row r="62" spans="2:25" x14ac:dyDescent="0.25">
      <c r="B62" s="134">
        <v>81</v>
      </c>
      <c r="C62" s="11" t="s">
        <v>3562</v>
      </c>
      <c r="D62" s="577">
        <f>SUMIF('IV kw.22'!AJ2:AJ830,"81*",'IV kw.22'!F2:F830)</f>
        <v>2</v>
      </c>
    </row>
    <row r="63" spans="2:25" x14ac:dyDescent="0.25">
      <c r="B63" s="134">
        <v>82</v>
      </c>
      <c r="C63" s="11" t="s">
        <v>3563</v>
      </c>
      <c r="D63" s="577">
        <f>SUMIF('IV kw.22'!AJ2:AJ830,"82*",'IV kw.22'!F2:F830)</f>
        <v>45</v>
      </c>
    </row>
    <row r="64" spans="2:25" x14ac:dyDescent="0.25">
      <c r="B64" s="120">
        <v>13</v>
      </c>
      <c r="C64" s="396" t="s">
        <v>3577</v>
      </c>
      <c r="D64" s="397">
        <f>SUMIF('IV kw.22'!AJ2:AJ830,"13*",'IV kw.22'!F2:F830)</f>
        <v>14</v>
      </c>
    </row>
    <row r="65" spans="2:4" x14ac:dyDescent="0.25">
      <c r="B65" s="587">
        <v>2163</v>
      </c>
      <c r="C65" s="396" t="s">
        <v>3579</v>
      </c>
      <c r="D65" s="397">
        <f>SUMIF('IV kw.22'!AJ2:AJ830,"2163*",'IV kw.22'!F2:F830)</f>
        <v>0</v>
      </c>
    </row>
    <row r="66" spans="2:4" x14ac:dyDescent="0.25">
      <c r="B66" s="587">
        <v>2133</v>
      </c>
      <c r="C66" s="11" t="s">
        <v>3584</v>
      </c>
      <c r="D66" s="577">
        <f>SUMIF('IV kw.22'!AJ2:AJ830,"2133*",'IV kw.22'!F2:F830)</f>
        <v>0</v>
      </c>
    </row>
    <row r="67" spans="2:4" x14ac:dyDescent="0.25">
      <c r="B67" s="37"/>
      <c r="D67" s="583">
        <f>SUM(D38:D66)</f>
        <v>162</v>
      </c>
    </row>
    <row r="97" ht="17.25" customHeight="1" x14ac:dyDescent="0.25"/>
    <row r="98" ht="20.25" customHeight="1" x14ac:dyDescent="0.25"/>
    <row r="99" ht="18" customHeight="1"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G99"/>
  <sheetViews>
    <sheetView tabSelected="1" zoomScale="70" zoomScaleNormal="70" workbookViewId="0">
      <selection activeCell="B1" sqref="B1"/>
    </sheetView>
  </sheetViews>
  <sheetFormatPr defaultRowHeight="15" x14ac:dyDescent="0.25"/>
  <cols>
    <col min="1" max="1" width="3.42578125" style="3" customWidth="1"/>
    <col min="2" max="2" width="10.42578125" style="3" customWidth="1"/>
    <col min="3" max="3" width="16.28515625" style="3" customWidth="1"/>
    <col min="4" max="4" width="9.42578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3.7109375"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c r="U1" s="2">
        <f>SUM(T19-T18)</f>
        <v>93</v>
      </c>
    </row>
    <row r="2" spans="2:33" x14ac:dyDescent="0.25">
      <c r="B2" s="1" t="s">
        <v>20298</v>
      </c>
      <c r="C2" s="2"/>
      <c r="D2" s="1"/>
      <c r="E2" s="1"/>
      <c r="H2" s="1" t="s">
        <v>3466</v>
      </c>
      <c r="L2" s="3" t="b">
        <f ca="1">EXACT(E33,J17)</f>
        <v>1</v>
      </c>
      <c r="M2" s="3" t="b">
        <f ca="1">EXACT(E33,P35)</f>
        <v>1</v>
      </c>
      <c r="S2" s="1" t="s">
        <v>23107</v>
      </c>
      <c r="U2" s="2">
        <f>SUM(T19-T15)</f>
        <v>95</v>
      </c>
      <c r="W2" s="2"/>
      <c r="X2" s="1" t="s">
        <v>20299</v>
      </c>
      <c r="AG2" s="20"/>
    </row>
    <row r="3" spans="2:33" ht="34.5" x14ac:dyDescent="0.25">
      <c r="B3" s="569" t="s">
        <v>171</v>
      </c>
      <c r="C3" s="569" t="s">
        <v>172</v>
      </c>
      <c r="D3" s="569" t="s">
        <v>6539</v>
      </c>
      <c r="E3" s="569" t="s">
        <v>3483</v>
      </c>
      <c r="F3" s="569" t="s">
        <v>3467</v>
      </c>
      <c r="H3" s="570" t="s">
        <v>3462</v>
      </c>
      <c r="I3" s="570" t="s">
        <v>3465</v>
      </c>
      <c r="J3" s="570" t="s">
        <v>3514</v>
      </c>
      <c r="K3" s="571" t="s">
        <v>9295</v>
      </c>
      <c r="L3" s="595"/>
      <c r="M3" s="595"/>
      <c r="N3" s="595"/>
      <c r="O3" s="595"/>
      <c r="P3" s="595"/>
      <c r="Q3" s="595"/>
      <c r="S3" s="570" t="s">
        <v>23108</v>
      </c>
      <c r="T3" s="572" t="s">
        <v>17634</v>
      </c>
      <c r="U3" s="573" t="s">
        <v>4476</v>
      </c>
      <c r="W3" s="2"/>
      <c r="X3" s="570" t="s">
        <v>6927</v>
      </c>
      <c r="Y3" s="569" t="s">
        <v>4476</v>
      </c>
      <c r="Z3" s="569" t="s">
        <v>3465</v>
      </c>
      <c r="AB3" s="633" t="s">
        <v>171</v>
      </c>
      <c r="AC3" s="633" t="s">
        <v>23110</v>
      </c>
      <c r="AD3" s="634" t="s">
        <v>23111</v>
      </c>
      <c r="AE3" s="633" t="s">
        <v>6394</v>
      </c>
      <c r="AF3" s="633" t="s">
        <v>6394</v>
      </c>
      <c r="AG3" s="633" t="s">
        <v>6394</v>
      </c>
    </row>
    <row r="4" spans="2:33" x14ac:dyDescent="0.25">
      <c r="B4" s="566" t="s">
        <v>3515</v>
      </c>
      <c r="C4" s="567" t="s">
        <v>3460</v>
      </c>
      <c r="D4" s="568">
        <v>563</v>
      </c>
      <c r="E4" s="568">
        <v>523</v>
      </c>
      <c r="F4" s="566"/>
      <c r="H4" s="11" t="s">
        <v>3463</v>
      </c>
      <c r="I4" s="12">
        <f>COUNTIF('I kw.23'!E2:E821,"praca")</f>
        <v>28</v>
      </c>
      <c r="J4" s="12" t="s">
        <v>3515</v>
      </c>
      <c r="K4" s="151">
        <f>SUMIF('I kw.23'!E2:E820,"praca",'I kw.23'!F2:F820)</f>
        <v>28</v>
      </c>
      <c r="L4" s="595"/>
      <c r="M4" s="595"/>
      <c r="N4" s="595"/>
      <c r="O4" s="595"/>
      <c r="P4" s="595"/>
      <c r="Q4" s="595"/>
      <c r="S4" s="594" t="s">
        <v>7792</v>
      </c>
      <c r="T4" s="577">
        <v>86</v>
      </c>
      <c r="U4" s="577">
        <v>122</v>
      </c>
      <c r="W4" s="2">
        <v>1</v>
      </c>
      <c r="X4" s="282">
        <v>1801</v>
      </c>
      <c r="Y4" s="26">
        <f>SUMIFS('I kw.23'!F2:F830,'I kw.23'!V2:V830,"1801")</f>
        <v>3</v>
      </c>
      <c r="Z4" s="26">
        <f>SUMIFS('I kw.23'!AO2:AO830,'I kw.23'!V2:V830,"1801")</f>
        <v>0</v>
      </c>
      <c r="AB4" s="12">
        <v>1</v>
      </c>
      <c r="AC4" s="11" t="s">
        <v>170</v>
      </c>
      <c r="AD4" s="12">
        <f>SUM(D67)</f>
        <v>138</v>
      </c>
      <c r="AE4" s="12">
        <f ca="1">RANK(AD4,$AD$4:$AD$15,0)+COUNTIF($AD$4:AD4,AD4)-1</f>
        <v>4</v>
      </c>
      <c r="AF4" s="17" t="str">
        <f ca="1">INDEX($AB$4:$AD$15,MATCH(1,$AE$4:$AE$15,0),2)</f>
        <v>Handel, transport, logistyka</v>
      </c>
      <c r="AG4" s="12">
        <f ca="1">INDEX($AB$4:$AD$15,MATCH(1,$AE$4:$AE$15,0),3)</f>
        <v>203</v>
      </c>
    </row>
    <row r="5" spans="2:33" x14ac:dyDescent="0.25">
      <c r="B5" s="566" t="s">
        <v>3516</v>
      </c>
      <c r="C5" s="567" t="s">
        <v>3459</v>
      </c>
      <c r="D5" s="568">
        <v>466</v>
      </c>
      <c r="E5" s="568">
        <v>477</v>
      </c>
      <c r="F5" s="566"/>
      <c r="H5" s="11" t="s">
        <v>192</v>
      </c>
      <c r="I5" s="12">
        <f>COUNTIF('I kw.23'!E2:E821,"pracuj.pl")</f>
        <v>0</v>
      </c>
      <c r="J5" s="12" t="s">
        <v>3516</v>
      </c>
      <c r="K5" s="12">
        <f>SUMIF('I kw.23'!E2:E830,"pracuj.pl",'I kw.23'!F2:F830)</f>
        <v>0</v>
      </c>
      <c r="L5" s="595"/>
      <c r="M5" s="595"/>
      <c r="N5" s="595"/>
      <c r="O5" s="595"/>
      <c r="P5" s="595"/>
      <c r="Q5" s="595"/>
      <c r="S5" s="594" t="s">
        <v>7793</v>
      </c>
      <c r="T5" s="577">
        <v>377</v>
      </c>
      <c r="U5" s="577">
        <v>410</v>
      </c>
      <c r="W5" s="2">
        <v>2</v>
      </c>
      <c r="X5" s="282">
        <v>1802</v>
      </c>
      <c r="Y5" s="26">
        <f>SUMIFS('I kw.23'!F2:F830,'I kw.23'!V2:V830,"1802")</f>
        <v>0</v>
      </c>
      <c r="Z5" s="26">
        <f>SUMIFS('I kw.23'!AO2:AO830,'I kw.23'!V2:V830,"1802")</f>
        <v>0</v>
      </c>
      <c r="AB5" s="12">
        <v>2</v>
      </c>
      <c r="AC5" s="11" t="s">
        <v>2</v>
      </c>
      <c r="AD5" s="12">
        <f ca="1">SUM(G53)</f>
        <v>201</v>
      </c>
      <c r="AE5" s="12">
        <f ca="1">RANK(AD5,$AD$4:$AD$15,0)+COUNTIF($AD$4:AD5,AD5)-1</f>
        <v>2</v>
      </c>
      <c r="AF5" s="17" t="str">
        <f ca="1">INDEX($AB$4:$AD$15,MATCH(2,$AE$4:$AE$15,0),2)</f>
        <v>Przemysł high-tech</v>
      </c>
      <c r="AG5" s="12">
        <f ca="1">INDEX($AB$4:$AD$15,MATCH(2,$AE$4:$AE$15,0),3)</f>
        <v>201</v>
      </c>
    </row>
    <row r="6" spans="2:33" x14ac:dyDescent="0.25">
      <c r="B6" s="566" t="s">
        <v>3517</v>
      </c>
      <c r="C6" s="567" t="s">
        <v>3458</v>
      </c>
      <c r="D6" s="568">
        <v>365</v>
      </c>
      <c r="E6" s="568">
        <v>386</v>
      </c>
      <c r="F6" s="566"/>
      <c r="H6" s="11" t="s">
        <v>217</v>
      </c>
      <c r="I6" s="12">
        <f>COUNTIF('I kw.23'!E2:E821,"agora")</f>
        <v>767</v>
      </c>
      <c r="J6" s="12" t="s">
        <v>3517</v>
      </c>
      <c r="K6" s="12">
        <f>SUMIF('I kw.23'!E2:E820,"agora",'I kw.23'!F2:F820)</f>
        <v>767</v>
      </c>
      <c r="L6" s="595"/>
      <c r="M6" s="595"/>
      <c r="N6" s="595"/>
      <c r="O6" s="595"/>
      <c r="P6" s="595"/>
      <c r="Q6" s="595"/>
      <c r="S6" s="594" t="s">
        <v>7794</v>
      </c>
      <c r="T6" s="577">
        <v>180</v>
      </c>
      <c r="U6" s="577">
        <v>231</v>
      </c>
      <c r="W6" s="2">
        <v>3</v>
      </c>
      <c r="X6" s="282">
        <v>1803</v>
      </c>
      <c r="Y6" s="26">
        <f>SUMIFS('I kw.23'!F2:F830,'I kw.23'!V2:V830,"1803")</f>
        <v>7</v>
      </c>
      <c r="Z6" s="26">
        <f>SUMIFS('I kw.23'!AO2:AO830,'I kw.23'!V2:V830,"1803")</f>
        <v>0</v>
      </c>
      <c r="AB6" s="12">
        <v>3</v>
      </c>
      <c r="AC6" s="11" t="s">
        <v>3</v>
      </c>
      <c r="AD6" s="12">
        <f>SUM(J51)</f>
        <v>11</v>
      </c>
      <c r="AE6" s="12">
        <f ca="1">RANK(AD6,$AD$4:$AD$15,0)+COUNTIF($AD$4:AD6,AD6)-1</f>
        <v>6</v>
      </c>
      <c r="AF6" s="17" t="str">
        <f ca="1">INDEX($AB$4:$AD$15,MATCH(3,$AE$4:$AE$15,0),2)</f>
        <v>Usługi finansowe, HR i inne</v>
      </c>
      <c r="AG6" s="12">
        <f ca="1">INDEX($AB$4:$AD$15,MATCH(3,$AE$4:$AE$15,0),3)</f>
        <v>200</v>
      </c>
    </row>
    <row r="7" spans="2:33" x14ac:dyDescent="0.25">
      <c r="B7" s="566" t="s">
        <v>3518</v>
      </c>
      <c r="C7" s="567" t="s">
        <v>3457</v>
      </c>
      <c r="D7" s="568">
        <v>461</v>
      </c>
      <c r="E7" s="568">
        <v>444</v>
      </c>
      <c r="F7" s="566"/>
      <c r="H7" s="11" t="s">
        <v>3464</v>
      </c>
      <c r="I7" s="12">
        <f>COUNTIF('I kw.23'!E2:E821,"gratka")</f>
        <v>0</v>
      </c>
      <c r="J7" s="12" t="s">
        <v>3518</v>
      </c>
      <c r="K7" s="12">
        <f>SUMIF('I kw.23'!E2:E820,"gratka",'I kw.23'!F2:F820)</f>
        <v>0</v>
      </c>
      <c r="L7" s="595"/>
      <c r="M7" s="595"/>
      <c r="N7" s="595"/>
      <c r="O7" s="595"/>
      <c r="P7" s="595"/>
      <c r="Q7" s="595"/>
      <c r="S7" s="594" t="s">
        <v>7795</v>
      </c>
      <c r="T7" s="577">
        <v>361</v>
      </c>
      <c r="U7" s="577">
        <v>378</v>
      </c>
      <c r="W7" s="2">
        <v>4</v>
      </c>
      <c r="X7" s="282">
        <v>1804</v>
      </c>
      <c r="Y7" s="26">
        <f>SUMIFS('I kw.23'!F2:F830,'I kw.23'!V2:V830,"1804")</f>
        <v>5</v>
      </c>
      <c r="Z7" s="26">
        <f>SUMIFS('I kw.23'!AO2:AO830,'I kw.23'!V2:V830,"1804")</f>
        <v>0</v>
      </c>
      <c r="AB7" s="12">
        <v>4</v>
      </c>
      <c r="AC7" s="11" t="s">
        <v>3589</v>
      </c>
      <c r="AD7" s="12">
        <f>SUM(M44)</f>
        <v>203</v>
      </c>
      <c r="AE7" s="12">
        <f ca="1">RANK(AD7,$AD$4:$AD$15,0)+COUNTIF($AD$4:AD7,AD7)-1</f>
        <v>1</v>
      </c>
      <c r="AF7" s="17" t="str">
        <f ca="1">INDEX($AB$4:$AD$15,MATCH(4,$AE$4:$AE$15,0),2)</f>
        <v>Przemysł produkcyjny</v>
      </c>
      <c r="AG7" s="12">
        <f ca="1">INDEX($AB$4:$AD$15,MATCH(4,$AE$4:$AE$15,0),3)</f>
        <v>138</v>
      </c>
    </row>
    <row r="8" spans="2:33" x14ac:dyDescent="0.25">
      <c r="B8" s="566" t="s">
        <v>13071</v>
      </c>
      <c r="C8" s="567" t="s">
        <v>173</v>
      </c>
      <c r="D8" s="568">
        <v>720</v>
      </c>
      <c r="E8" s="568">
        <v>704</v>
      </c>
      <c r="F8" s="566"/>
      <c r="H8" s="442" t="s">
        <v>7786</v>
      </c>
      <c r="I8" s="300"/>
      <c r="J8" s="300"/>
      <c r="K8" s="414"/>
      <c r="L8" s="595"/>
      <c r="M8" s="595"/>
      <c r="N8" s="595"/>
      <c r="O8" s="595"/>
      <c r="P8" s="595"/>
      <c r="Q8" s="595"/>
      <c r="S8" s="630" t="s">
        <v>7796</v>
      </c>
      <c r="T8" s="631">
        <v>249</v>
      </c>
      <c r="U8" s="631">
        <v>258</v>
      </c>
      <c r="W8" s="2">
        <v>5</v>
      </c>
      <c r="X8" s="282">
        <v>1805</v>
      </c>
      <c r="Y8" s="26">
        <f>SUMIFS('I kw.23'!F2:F830,'I kw.23'!V2:V830,"1805")</f>
        <v>4</v>
      </c>
      <c r="Z8" s="26">
        <f>SUMIFS('I kw.23'!AO2:AO830,'I kw.23'!V2:V830,"1805")</f>
        <v>0</v>
      </c>
      <c r="AB8" s="12">
        <v>5</v>
      </c>
      <c r="AC8" s="11" t="s">
        <v>13096</v>
      </c>
      <c r="AD8" s="12">
        <f>SUM(P43)</f>
        <v>200</v>
      </c>
      <c r="AE8" s="12">
        <f ca="1">RANK(AD8,$AD$4:$AD$15,0)+COUNTIF($AD$4:AD8,AD8)-1</f>
        <v>3</v>
      </c>
      <c r="AF8" s="17" t="str">
        <f ca="1">INDEX($AB$4:$AD$15,MATCH(5,$AE$4:$AE$15,0),2)</f>
        <v>Prace proste</v>
      </c>
      <c r="AG8" s="12">
        <f ca="1">INDEX($AB$4:$AD$15,MATCH(5,$AE$4:$AE$15,0),3)</f>
        <v>16</v>
      </c>
    </row>
    <row r="9" spans="2:33" x14ac:dyDescent="0.25">
      <c r="B9" s="12">
        <v>1</v>
      </c>
      <c r="C9" s="17" t="s">
        <v>175</v>
      </c>
      <c r="D9" s="26">
        <v>86</v>
      </c>
      <c r="E9" s="26">
        <v>122</v>
      </c>
      <c r="F9" s="12"/>
      <c r="H9" s="593"/>
      <c r="I9" s="544">
        <f>SUM(I4:I7)</f>
        <v>795</v>
      </c>
      <c r="J9" s="593"/>
      <c r="K9" s="544">
        <f>SUM(K4:K7)</f>
        <v>795</v>
      </c>
      <c r="L9" s="595"/>
      <c r="M9" s="595"/>
      <c r="N9" s="595"/>
      <c r="O9" s="595"/>
      <c r="P9" s="595"/>
      <c r="Q9" s="595"/>
      <c r="S9" s="630" t="s">
        <v>7797</v>
      </c>
      <c r="T9" s="631">
        <v>173</v>
      </c>
      <c r="U9" s="631">
        <v>197</v>
      </c>
      <c r="W9" s="2">
        <v>6</v>
      </c>
      <c r="X9" s="282">
        <v>1806</v>
      </c>
      <c r="Y9" s="26">
        <f>SUMIFS('I kw.23'!F2:F830,'I kw.23'!V2:V830,"1806")</f>
        <v>0</v>
      </c>
      <c r="Z9" s="26">
        <f>SUMIFS('I kw.23'!AO2:AO830,'I kw.23'!V2:V830,"1806")</f>
        <v>0</v>
      </c>
      <c r="AB9" s="12">
        <v>6</v>
      </c>
      <c r="AC9" s="11" t="s">
        <v>23112</v>
      </c>
      <c r="AD9" s="12">
        <f>SUM(P48)</f>
        <v>0</v>
      </c>
      <c r="AE9" s="12">
        <f ca="1">RANK(AD9,$AD$4:$AD$15,0)+COUNTIF($AD$4:AD9,AD9)-1</f>
        <v>12</v>
      </c>
      <c r="AF9" s="17" t="str">
        <f ca="1">INDEX($AB$4:$AD$15,MATCH(6,$AE$4:$AE$15,0),2)</f>
        <v>Budownictwo</v>
      </c>
      <c r="AG9" s="12">
        <f ca="1">INDEX($AB$4:$AD$15,MATCH(6,$AE$4:$AE$15,0),3)</f>
        <v>11</v>
      </c>
    </row>
    <row r="10" spans="2:33" x14ac:dyDescent="0.25">
      <c r="B10" s="12">
        <v>2</v>
      </c>
      <c r="C10" s="17" t="s">
        <v>174</v>
      </c>
      <c r="D10" s="26">
        <v>377</v>
      </c>
      <c r="E10" s="26">
        <v>410</v>
      </c>
      <c r="F10" s="12"/>
      <c r="S10" s="630" t="s">
        <v>7798</v>
      </c>
      <c r="T10" s="631">
        <v>97</v>
      </c>
      <c r="U10" s="631">
        <v>97</v>
      </c>
      <c r="W10" s="2">
        <v>7</v>
      </c>
      <c r="X10" s="282">
        <v>1807</v>
      </c>
      <c r="Y10" s="26">
        <f>SUMIFS('I kw.23'!F2:F830,'I kw.23'!V2:V830,"1807")</f>
        <v>0</v>
      </c>
      <c r="Z10" s="26">
        <f>SUMIFS('I kw.23'!AO2:AO830,'I kw.23'!V2:V830,"1807")</f>
        <v>0</v>
      </c>
      <c r="AB10" s="12">
        <v>7</v>
      </c>
      <c r="AC10" s="11" t="s">
        <v>3590</v>
      </c>
      <c r="AD10" s="12">
        <f>SUM(P54)</f>
        <v>4</v>
      </c>
      <c r="AE10" s="12">
        <f ca="1">RANK(AD10,$AD$4:$AD$15,0)+COUNTIF($AD$4:AD10,AD10)-1</f>
        <v>10</v>
      </c>
      <c r="AF10" s="17" t="str">
        <f ca="1">INDEX($AB$4:$AD$15,MATCH(7,$AE$4:$AE$15,0),2)</f>
        <v>Zdrowie i opieka społeczna</v>
      </c>
      <c r="AG10" s="12">
        <f ca="1">INDEX($AB$4:$AD$15,MATCH(7,$AE$4:$AE$15,0),3)</f>
        <v>10</v>
      </c>
    </row>
    <row r="11" spans="2:33" x14ac:dyDescent="0.25">
      <c r="B11" s="566" t="s">
        <v>13072</v>
      </c>
      <c r="C11" s="567" t="s">
        <v>3486</v>
      </c>
      <c r="D11" s="568">
        <f>SUM(D9:D10)</f>
        <v>463</v>
      </c>
      <c r="E11" s="568">
        <f>SUM(E9:E10)</f>
        <v>532</v>
      </c>
      <c r="F11" s="566"/>
      <c r="H11" s="1" t="s">
        <v>26048</v>
      </c>
      <c r="S11" s="632" t="s">
        <v>7799</v>
      </c>
      <c r="T11" s="631">
        <v>224</v>
      </c>
      <c r="U11" s="631">
        <v>224</v>
      </c>
      <c r="W11" s="2">
        <v>8</v>
      </c>
      <c r="X11" s="282">
        <v>1808</v>
      </c>
      <c r="Y11" s="12">
        <f>SUMIFS('I kw.23'!F2:F830,'I kw.23'!V2:V830,"1808")</f>
        <v>1</v>
      </c>
      <c r="Z11" s="12">
        <f>SUMIFS('I kw.23'!AO2:AO830,'I kw.23'!V2:V830,"1808")</f>
        <v>0</v>
      </c>
      <c r="AB11" s="12">
        <v>8</v>
      </c>
      <c r="AC11" s="11" t="s">
        <v>4</v>
      </c>
      <c r="AD11" s="12">
        <f>SUM(S41)</f>
        <v>10</v>
      </c>
      <c r="AE11" s="12">
        <f ca="1">RANK(AD11,$AD$4:$AD$15,0)+COUNTIF($AD$4:AD11,AD11)-1</f>
        <v>7</v>
      </c>
      <c r="AF11" s="17" t="str">
        <f ca="1">INDEX($AB$4:$AD$15,MATCH(8,$AE$4:$AE$15,0),2)</f>
        <v>Informacja i edukcja</v>
      </c>
      <c r="AG11" s="12">
        <f ca="1">INDEX($AB$4:$AD$15,MATCH(8,$AE$4:$AE$15,0),3)</f>
        <v>5</v>
      </c>
    </row>
    <row r="12" spans="2:33" x14ac:dyDescent="0.25">
      <c r="B12" s="12">
        <v>3</v>
      </c>
      <c r="C12" s="17" t="s">
        <v>3481</v>
      </c>
      <c r="D12" s="12">
        <v>180</v>
      </c>
      <c r="E12" s="12">
        <v>231</v>
      </c>
      <c r="F12" s="12"/>
      <c r="H12" s="575" t="s">
        <v>3469</v>
      </c>
      <c r="I12" s="575" t="s">
        <v>3568</v>
      </c>
      <c r="J12" s="566">
        <f ca="1">SUM(D67,G53,J51)</f>
        <v>350</v>
      </c>
      <c r="S12" s="11" t="s">
        <v>8302</v>
      </c>
      <c r="T12" s="12">
        <v>156</v>
      </c>
      <c r="U12" s="12">
        <v>165</v>
      </c>
      <c r="W12" s="2">
        <v>9</v>
      </c>
      <c r="X12" s="282">
        <v>1809</v>
      </c>
      <c r="Y12" s="12">
        <f>SUMIFS('I kw.23'!F2:F830,'I kw.23'!V2:V830,"1809")</f>
        <v>4</v>
      </c>
      <c r="Z12" s="12">
        <f>SUMIFS('I kw.23'!AO2:AO830,'I kw.23'!V2:V830,"1809")</f>
        <v>0</v>
      </c>
      <c r="AB12" s="12">
        <v>9</v>
      </c>
      <c r="AC12" s="11" t="s">
        <v>3591</v>
      </c>
      <c r="AD12" s="12">
        <f>SUM(V41)</f>
        <v>5</v>
      </c>
      <c r="AE12" s="12">
        <f ca="1">RANK(AD12,$AD$4:$AD$15,0)+COUNTIF($AD$4:AD12,AD12)-1</f>
        <v>8</v>
      </c>
      <c r="AF12" s="17" t="str">
        <f ca="1">INDEX($AB$4:$AD$15,MATCH(9,$AE$4:$AE$15,0),2)</f>
        <v>Nadzór i administracja</v>
      </c>
      <c r="AG12" s="12">
        <f ca="1">INDEX($AB$4:$AD$15,MATCH(9,$AE$4:$AE$15,0),3)</f>
        <v>5</v>
      </c>
    </row>
    <row r="13" spans="2:33" x14ac:dyDescent="0.25">
      <c r="B13" s="12">
        <v>4</v>
      </c>
      <c r="C13" s="17" t="s">
        <v>3482</v>
      </c>
      <c r="D13" s="12">
        <v>361</v>
      </c>
      <c r="E13" s="12">
        <v>378</v>
      </c>
      <c r="F13" s="12"/>
      <c r="H13" s="596" t="s">
        <v>3470</v>
      </c>
      <c r="I13" s="596" t="s">
        <v>3566</v>
      </c>
      <c r="J13" s="597">
        <f>SUM(M44,P43,P48,P54,S41)</f>
        <v>417</v>
      </c>
      <c r="S13" s="11" t="s">
        <v>9296</v>
      </c>
      <c r="T13" s="12">
        <v>237</v>
      </c>
      <c r="U13" s="12">
        <v>242</v>
      </c>
      <c r="W13" s="2">
        <v>10</v>
      </c>
      <c r="X13" s="282">
        <v>1810</v>
      </c>
      <c r="Y13" s="12">
        <f>SUMIFS('I kw.23'!F2:F830,'I kw.23'!V2:V830,"1810")</f>
        <v>0</v>
      </c>
      <c r="Z13" s="12">
        <f>SUMIFS('I kw.23'!AO2:AO830,'I kw.23'!V2:V830,"1810")</f>
        <v>0</v>
      </c>
      <c r="AB13" s="12">
        <v>10</v>
      </c>
      <c r="AC13" s="11" t="s">
        <v>0</v>
      </c>
      <c r="AD13" s="12">
        <f>SUM(V47)</f>
        <v>5</v>
      </c>
      <c r="AE13" s="12">
        <f ca="1">RANK(AD13,$AD$4:$AD$15,0)+COUNTIF($AD$4:AD13,AD13)-1</f>
        <v>9</v>
      </c>
      <c r="AF13" s="17" t="str">
        <f ca="1">INDEX($AB$4:$AD$15,MATCH(10,$AE$4:$AE$15,0),2)</f>
        <v>Usługi typu krawiectwo, kaletnictwo, obuwnictwo + poszukiwanie + ochrona</v>
      </c>
      <c r="AG13" s="12">
        <f ca="1">INDEX($AB$4:$AD$15,MATCH(10,$AE$4:$AE$15,0),3)</f>
        <v>4</v>
      </c>
    </row>
    <row r="14" spans="2:33" x14ac:dyDescent="0.25">
      <c r="B14" s="566" t="s">
        <v>13073</v>
      </c>
      <c r="C14" s="567" t="s">
        <v>3487</v>
      </c>
      <c r="D14" s="568">
        <f>SUM(D12:D13)</f>
        <v>541</v>
      </c>
      <c r="E14" s="568">
        <f>SUM(E12:E13)</f>
        <v>609</v>
      </c>
      <c r="F14" s="566"/>
      <c r="H14" s="608" t="s">
        <v>3471</v>
      </c>
      <c r="I14" s="608" t="s">
        <v>3567</v>
      </c>
      <c r="J14" s="609">
        <f>SUM(V41,V47)</f>
        <v>10</v>
      </c>
      <c r="S14" s="11" t="s">
        <v>13095</v>
      </c>
      <c r="T14" s="12">
        <v>1022</v>
      </c>
      <c r="U14" s="12">
        <v>1030</v>
      </c>
      <c r="W14" s="2">
        <v>11</v>
      </c>
      <c r="X14" s="282">
        <v>1811</v>
      </c>
      <c r="Y14" s="26">
        <f>SUMIFS('I kw.23'!F2:F830,'I kw.23'!V2:V830,"1811")</f>
        <v>41</v>
      </c>
      <c r="Z14" s="26">
        <f>SUMIFS('I kw.23'!AO2:AO830,'I kw.23'!V2:V830,"1811")</f>
        <v>0</v>
      </c>
      <c r="AB14" s="12">
        <v>11</v>
      </c>
      <c r="AC14" s="11" t="s">
        <v>6</v>
      </c>
      <c r="AD14" s="12">
        <f>SUM(Y40)</f>
        <v>16</v>
      </c>
      <c r="AE14" s="12">
        <f ca="1">RANK(AD14,$AD$4:$AD$15,0)+COUNTIF($AD$4:AD14,AD14)-1</f>
        <v>5</v>
      </c>
      <c r="AF14" s="17" t="str">
        <f ca="1">INDEX($AB$4:$AD$15,MATCH(11,$AE$4:$AE$15,0),2)</f>
        <v>Pozostałe grupy</v>
      </c>
      <c r="AG14" s="12">
        <f ca="1">INDEX($AB$4:$AD$15,MATCH(11,$AE$4:$AE$15,0),3)</f>
        <v>2</v>
      </c>
    </row>
    <row r="15" spans="2:33" x14ac:dyDescent="0.25">
      <c r="B15" s="12">
        <v>5</v>
      </c>
      <c r="C15" s="17" t="s">
        <v>6392</v>
      </c>
      <c r="D15" s="26">
        <v>249</v>
      </c>
      <c r="E15" s="26">
        <v>258</v>
      </c>
      <c r="F15" s="12"/>
      <c r="H15" s="619" t="s">
        <v>3469</v>
      </c>
      <c r="I15" s="619" t="s">
        <v>6</v>
      </c>
      <c r="J15" s="620">
        <f>SUM(Y40)</f>
        <v>16</v>
      </c>
      <c r="S15" s="11" t="s">
        <v>16044</v>
      </c>
      <c r="T15" s="12">
        <v>701</v>
      </c>
      <c r="U15" s="12">
        <v>704</v>
      </c>
      <c r="W15" s="2">
        <v>12</v>
      </c>
      <c r="X15" s="282">
        <v>1812</v>
      </c>
      <c r="Y15" s="12">
        <f>SUMIFS('I kw.23'!F2:F830,'I kw.23'!V2:V830,"1812")</f>
        <v>0</v>
      </c>
      <c r="Z15" s="12">
        <f>SUMIFS('I kw.23'!AO2:AO830,'I kw.23'!V2:V830,"1812")</f>
        <v>0</v>
      </c>
      <c r="AB15" s="12">
        <v>12</v>
      </c>
      <c r="AC15" s="17" t="s">
        <v>3574</v>
      </c>
      <c r="AD15" s="12">
        <f>SUM(Y50)</f>
        <v>2</v>
      </c>
      <c r="AE15" s="12">
        <f ca="1">RANK(AD15,$AD$4:$AD$15,0)+COUNTIF($AD$4:AD15,AD15)-1</f>
        <v>11</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625" t="s">
        <v>3473</v>
      </c>
      <c r="I16" s="625" t="s">
        <v>3574</v>
      </c>
      <c r="J16" s="626">
        <f>SUM(Y50)</f>
        <v>2</v>
      </c>
      <c r="S16" s="576" t="s">
        <v>17633</v>
      </c>
      <c r="T16" s="577">
        <v>769</v>
      </c>
      <c r="U16" s="577">
        <v>773</v>
      </c>
      <c r="W16" s="2">
        <v>13</v>
      </c>
      <c r="X16" s="282">
        <v>1813</v>
      </c>
      <c r="Y16" s="12">
        <f>SUMIFS('I kw.23'!F2:F830,'I kw.23'!V2:V830,"1813")</f>
        <v>0</v>
      </c>
      <c r="Z16" s="12">
        <f>SUMIFS('I kw.23'!AO2:AO830,'I kw.23'!V2:V830,"1813")</f>
        <v>0</v>
      </c>
      <c r="AB16" s="18"/>
      <c r="AC16" s="89"/>
      <c r="AD16" s="18">
        <f ca="1">SUM(AD4:AD15)</f>
        <v>795</v>
      </c>
      <c r="AE16" s="3"/>
      <c r="AF16" s="18"/>
    </row>
    <row r="17" spans="2:26" x14ac:dyDescent="0.25">
      <c r="B17" s="566" t="s">
        <v>13074</v>
      </c>
      <c r="C17" s="567" t="s">
        <v>6929</v>
      </c>
      <c r="D17" s="568">
        <f>SUM(D15:D16)</f>
        <v>422</v>
      </c>
      <c r="E17" s="568">
        <f>SUM(E15:E16)</f>
        <v>455</v>
      </c>
      <c r="F17" s="566"/>
      <c r="J17" s="544">
        <f ca="1">SUM(J12:J16)</f>
        <v>795</v>
      </c>
      <c r="N17" s="18"/>
      <c r="O17" s="89"/>
      <c r="P17" s="18"/>
      <c r="R17" s="18"/>
      <c r="S17" s="576" t="s">
        <v>19923</v>
      </c>
      <c r="T17" s="577">
        <v>766</v>
      </c>
      <c r="U17" s="577">
        <v>769</v>
      </c>
      <c r="W17" s="2">
        <v>14</v>
      </c>
      <c r="X17" s="282">
        <v>1814</v>
      </c>
      <c r="Y17" s="12">
        <f>SUMIFS('I kw.23'!F2:F830,'I kw.23'!V2:V830,"1814")</f>
        <v>4</v>
      </c>
      <c r="Z17" s="12">
        <f>SUMIFS('I kw.23'!AO2:AO830,'I kw.23'!V2:V830,"1814")</f>
        <v>0</v>
      </c>
    </row>
    <row r="18" spans="2:26" x14ac:dyDescent="0.25">
      <c r="B18" s="12">
        <v>7</v>
      </c>
      <c r="C18" s="17" t="s">
        <v>6928</v>
      </c>
      <c r="D18" s="26">
        <v>97</v>
      </c>
      <c r="E18" s="26">
        <v>97</v>
      </c>
      <c r="F18" s="12"/>
      <c r="H18" s="593"/>
      <c r="I18" s="593"/>
      <c r="J18" s="574"/>
      <c r="K18" s="593"/>
      <c r="L18" s="593"/>
      <c r="N18" s="18"/>
      <c r="O18" s="89"/>
      <c r="P18" s="18"/>
      <c r="R18" s="18"/>
      <c r="S18" s="576" t="s">
        <v>23104</v>
      </c>
      <c r="T18" s="577">
        <f>SUM(D30)</f>
        <v>703</v>
      </c>
      <c r="U18" s="577">
        <f>SUM(E30)</f>
        <v>743</v>
      </c>
      <c r="W18" s="2">
        <v>15</v>
      </c>
      <c r="X18" s="282">
        <v>1815</v>
      </c>
      <c r="Y18" s="12">
        <f>SUMIFS('I kw.23'!F2:F830,'I kw.23'!V2:V830,"1815")</f>
        <v>1</v>
      </c>
      <c r="Z18" s="12">
        <f>SUMIFS('I kw.23'!AO2:AO830,'I kw.23'!V2:V830,"1815")</f>
        <v>0</v>
      </c>
    </row>
    <row r="19" spans="2:26" x14ac:dyDescent="0.25">
      <c r="B19" s="12">
        <v>8</v>
      </c>
      <c r="C19" s="17" t="s">
        <v>7785</v>
      </c>
      <c r="D19" s="26">
        <v>224</v>
      </c>
      <c r="E19" s="26">
        <v>224</v>
      </c>
      <c r="F19" s="12"/>
      <c r="H19" s="593"/>
      <c r="I19" s="593"/>
      <c r="J19" s="574"/>
      <c r="K19" s="593"/>
      <c r="L19" s="593"/>
      <c r="N19" s="18"/>
      <c r="O19" s="89"/>
      <c r="P19" s="18"/>
      <c r="R19" s="18"/>
      <c r="S19" s="576" t="s">
        <v>23105</v>
      </c>
      <c r="T19" s="577">
        <f>SUM(D31)</f>
        <v>796</v>
      </c>
      <c r="U19" s="577">
        <f>SUM(E31)</f>
        <v>800</v>
      </c>
      <c r="W19" s="2">
        <v>16</v>
      </c>
      <c r="X19" s="282">
        <v>1816</v>
      </c>
      <c r="Y19" s="26">
        <f>SUMIFS('I kw.23'!F2:F830,'I kw.23'!V2:V830,"1816")</f>
        <v>18</v>
      </c>
      <c r="Z19" s="26">
        <f>SUMIFS('I kw.23'!AO2:AO830,'I kw.23'!V2:V830,"1816")</f>
        <v>0</v>
      </c>
    </row>
    <row r="20" spans="2:26" x14ac:dyDescent="0.25">
      <c r="B20" s="566" t="s">
        <v>3469</v>
      </c>
      <c r="C20" s="567" t="s">
        <v>13077</v>
      </c>
      <c r="D20" s="568">
        <f>SUM(D18:D19)</f>
        <v>321</v>
      </c>
      <c r="E20" s="568">
        <f>SUM(E18:E19)</f>
        <v>321</v>
      </c>
      <c r="F20" s="566"/>
      <c r="H20" s="593"/>
      <c r="I20" s="593"/>
      <c r="J20" s="574"/>
      <c r="K20" s="593"/>
      <c r="L20" s="593"/>
      <c r="N20" s="18"/>
      <c r="O20" s="89"/>
      <c r="P20" s="18"/>
      <c r="R20" s="18"/>
      <c r="S20" s="11" t="s">
        <v>28320</v>
      </c>
      <c r="T20" s="12">
        <f>SUM(D33)</f>
        <v>795</v>
      </c>
      <c r="U20" s="12">
        <f>SUM(E33)</f>
        <v>795</v>
      </c>
      <c r="W20" s="2">
        <v>17</v>
      </c>
      <c r="X20" s="282">
        <v>1817</v>
      </c>
      <c r="Y20" s="12">
        <f>SUMIFS('I kw.23'!F2:F830,'I kw.23'!V2:V830,"1817")</f>
        <v>8</v>
      </c>
      <c r="Z20" s="12">
        <f>SUMIFS('I kw.23'!AO2:AO830,'I kw.23'!V2:V830,"1817")</f>
        <v>0</v>
      </c>
    </row>
    <row r="21" spans="2:26" x14ac:dyDescent="0.25">
      <c r="B21" s="12">
        <v>9</v>
      </c>
      <c r="C21" s="17" t="s">
        <v>7800</v>
      </c>
      <c r="D21" s="26">
        <v>156</v>
      </c>
      <c r="E21" s="26">
        <v>165</v>
      </c>
      <c r="F21" s="12"/>
      <c r="G21" s="135"/>
      <c r="H21" s="593"/>
      <c r="I21" s="593"/>
      <c r="J21" s="574"/>
      <c r="K21" s="593"/>
      <c r="L21" s="593"/>
      <c r="N21" s="18"/>
      <c r="O21" s="89"/>
      <c r="P21" s="18"/>
      <c r="R21" s="18"/>
      <c r="S21" s="11"/>
      <c r="T21" s="17"/>
      <c r="U21" s="12"/>
      <c r="W21" s="2">
        <v>18</v>
      </c>
      <c r="X21" s="282">
        <v>1818</v>
      </c>
      <c r="Y21" s="12">
        <f>SUMIFS('I kw.23'!F2:F830,'I kw.23'!V2:V830,"1818")</f>
        <v>44</v>
      </c>
      <c r="Z21" s="12">
        <f>SUMIFS('I kw.23'!AO2:AO830,'I kw.23'!V2:V830,"1818")</f>
        <v>0</v>
      </c>
    </row>
    <row r="22" spans="2:26" x14ac:dyDescent="0.25">
      <c r="B22" s="12">
        <v>10</v>
      </c>
      <c r="C22" s="17" t="s">
        <v>8303</v>
      </c>
      <c r="D22" s="26">
        <v>237</v>
      </c>
      <c r="E22" s="26">
        <v>242</v>
      </c>
      <c r="F22" s="12"/>
      <c r="G22" s="135"/>
      <c r="H22" s="593"/>
      <c r="I22" s="593"/>
      <c r="J22" s="574"/>
      <c r="K22" s="593"/>
      <c r="L22" s="593"/>
      <c r="N22" s="18"/>
      <c r="O22" s="89"/>
      <c r="P22" s="18"/>
      <c r="R22" s="18"/>
      <c r="S22" s="11"/>
      <c r="T22" s="17"/>
      <c r="U22" s="12"/>
      <c r="W22" s="2">
        <v>19</v>
      </c>
      <c r="X22" s="282">
        <v>1819</v>
      </c>
      <c r="Y22" s="12">
        <f>SUMIFS('I kw.23'!F2:F830,'I kw.23'!V2:V830,"1819")</f>
        <v>1</v>
      </c>
      <c r="Z22" s="12">
        <f>SUMIFS('I kw.23'!AO2:AO830,'I kw.23'!V2:V830,"1819")</f>
        <v>0</v>
      </c>
    </row>
    <row r="23" spans="2:26" x14ac:dyDescent="0.25">
      <c r="B23" s="566" t="s">
        <v>13092</v>
      </c>
      <c r="C23" s="567" t="s">
        <v>13093</v>
      </c>
      <c r="D23" s="568">
        <f>SUM(D21:D22)</f>
        <v>393</v>
      </c>
      <c r="E23" s="568">
        <f>SUM(E21:E22)</f>
        <v>407</v>
      </c>
      <c r="F23" s="566"/>
      <c r="G23" s="135"/>
      <c r="H23" s="593"/>
      <c r="I23" s="593"/>
      <c r="J23" s="574"/>
      <c r="K23" s="593"/>
      <c r="L23" s="593"/>
      <c r="N23" s="18"/>
      <c r="O23" s="89"/>
      <c r="P23" s="18"/>
      <c r="R23" s="18"/>
      <c r="S23" s="11"/>
      <c r="T23" s="17"/>
      <c r="U23" s="12"/>
      <c r="W23" s="2">
        <v>20</v>
      </c>
      <c r="X23" s="282">
        <v>1820</v>
      </c>
      <c r="Y23" s="348">
        <f>SUMIFS('I kw.23'!F2:F830,'I kw.23'!V2:V830,"1820")</f>
        <v>2</v>
      </c>
      <c r="Z23" s="348">
        <f>SUMIFS('I kw.23'!AO2:AO830,'I kw.23'!V2:V830,"1820")</f>
        <v>0</v>
      </c>
    </row>
    <row r="24" spans="2:26" x14ac:dyDescent="0.25">
      <c r="B24" s="12">
        <v>11</v>
      </c>
      <c r="C24" s="17" t="s">
        <v>13054</v>
      </c>
      <c r="D24" s="26">
        <v>1022</v>
      </c>
      <c r="E24" s="26">
        <v>1030</v>
      </c>
      <c r="F24" s="12"/>
      <c r="G24" s="135"/>
      <c r="H24" s="593"/>
      <c r="I24" s="593"/>
      <c r="J24" s="574"/>
      <c r="K24" s="593"/>
      <c r="L24" s="593"/>
      <c r="N24" s="18"/>
      <c r="O24" s="89"/>
      <c r="P24" s="18"/>
      <c r="R24" s="18"/>
      <c r="S24" s="11"/>
      <c r="T24" s="17"/>
      <c r="U24" s="12"/>
      <c r="W24" s="2">
        <v>21</v>
      </c>
      <c r="X24" s="282">
        <v>1821</v>
      </c>
      <c r="Y24" s="339">
        <f>SUMIFS('I kw.23'!F2:F830,'I kw.23'!V2:V830,"1821")</f>
        <v>0</v>
      </c>
      <c r="Z24" s="339">
        <f>SUMIFS('I kw.23'!AO2:AO830,'I kw.23'!V2:V830,"1821")</f>
        <v>0</v>
      </c>
    </row>
    <row r="25" spans="2:26" x14ac:dyDescent="0.25">
      <c r="B25" s="12">
        <v>12</v>
      </c>
      <c r="C25" s="17" t="s">
        <v>13106</v>
      </c>
      <c r="D25" s="26">
        <v>701</v>
      </c>
      <c r="E25" s="26">
        <v>704</v>
      </c>
      <c r="F25" s="12"/>
      <c r="G25" s="135"/>
      <c r="H25" s="593"/>
      <c r="I25" s="593"/>
      <c r="J25" s="574"/>
      <c r="K25" s="593"/>
      <c r="L25" s="593"/>
      <c r="N25" s="18"/>
      <c r="O25" s="89"/>
      <c r="P25" s="18"/>
      <c r="R25" s="18"/>
      <c r="S25" s="11"/>
      <c r="T25" s="17"/>
      <c r="U25" s="12"/>
      <c r="W25" s="2">
        <v>22</v>
      </c>
      <c r="X25" s="282">
        <v>1861</v>
      </c>
      <c r="Y25" s="339">
        <f>SUMIFS('I kw.23'!F2:F830,'I kw.23'!V2:V830,"1861")</f>
        <v>7</v>
      </c>
      <c r="Z25" s="339">
        <f>SUMIFS('I kw.23'!AO2:AO830,'I kw.23'!V2:V830,"1861")</f>
        <v>0</v>
      </c>
    </row>
    <row r="26" spans="2:26" x14ac:dyDescent="0.25">
      <c r="B26" s="566" t="s">
        <v>13107</v>
      </c>
      <c r="C26" s="567" t="s">
        <v>13108</v>
      </c>
      <c r="D26" s="568">
        <f>SUM(D24:D25)</f>
        <v>1723</v>
      </c>
      <c r="E26" s="568">
        <f>SUM(E24:E25)</f>
        <v>1734</v>
      </c>
      <c r="F26" s="566"/>
      <c r="G26" s="135"/>
      <c r="H26" s="593"/>
      <c r="I26" s="593"/>
      <c r="J26" s="574"/>
      <c r="K26" s="593"/>
      <c r="L26" s="593"/>
      <c r="N26" s="18"/>
      <c r="O26" s="89"/>
      <c r="P26" s="18"/>
      <c r="R26" s="18"/>
      <c r="S26" s="11"/>
      <c r="T26" s="17"/>
      <c r="U26" s="12"/>
      <c r="W26" s="2">
        <v>23</v>
      </c>
      <c r="X26" s="282">
        <v>1862</v>
      </c>
      <c r="Y26" s="339">
        <f>SUMIFS('I kw.23'!F2:F830,'I kw.23'!V2:V830,"1862")</f>
        <v>28</v>
      </c>
      <c r="Z26" s="339">
        <f>SUMIFS('I kw.23'!AO2:AO830,'I kw.23'!V2:V830,"1862")</f>
        <v>0</v>
      </c>
    </row>
    <row r="27" spans="2:26" x14ac:dyDescent="0.25">
      <c r="B27" s="12">
        <v>13</v>
      </c>
      <c r="C27" s="17" t="s">
        <v>17622</v>
      </c>
      <c r="D27" s="26">
        <v>769</v>
      </c>
      <c r="E27" s="26">
        <v>773</v>
      </c>
      <c r="F27" s="12"/>
      <c r="H27" s="593"/>
      <c r="I27" s="593"/>
      <c r="J27" s="574"/>
      <c r="K27" s="593"/>
      <c r="L27" s="593"/>
      <c r="N27" s="18"/>
      <c r="O27" s="89"/>
      <c r="P27" s="18"/>
      <c r="R27" s="18"/>
      <c r="S27" s="11"/>
      <c r="T27" s="17"/>
      <c r="U27" s="12"/>
      <c r="W27" s="2">
        <v>24</v>
      </c>
      <c r="X27" s="282">
        <v>1863</v>
      </c>
      <c r="Y27" s="339">
        <f>SUMIFS('I kw.23'!F2:F830,'I kw.23'!V2:V830,"1863")</f>
        <v>569</v>
      </c>
      <c r="Z27" s="339">
        <f>SUMIFS('I kw.23'!AO2:AO830,'I kw.23'!V2:V830,"1863")</f>
        <v>0</v>
      </c>
    </row>
    <row r="28" spans="2:26" x14ac:dyDescent="0.25">
      <c r="B28" s="12">
        <v>14</v>
      </c>
      <c r="C28" s="17" t="s">
        <v>17629</v>
      </c>
      <c r="D28" s="26">
        <v>766</v>
      </c>
      <c r="E28" s="26">
        <v>769</v>
      </c>
      <c r="F28" s="12"/>
      <c r="H28" s="593"/>
      <c r="I28" s="593"/>
      <c r="J28" s="574"/>
      <c r="K28" s="593"/>
      <c r="L28" s="593"/>
      <c r="N28" s="18"/>
      <c r="O28" s="89"/>
      <c r="P28" s="18"/>
      <c r="R28" s="18"/>
      <c r="S28" s="11"/>
      <c r="T28" s="17"/>
      <c r="U28" s="12"/>
      <c r="W28" s="2">
        <v>25</v>
      </c>
      <c r="X28" s="282">
        <v>1864</v>
      </c>
      <c r="Y28" s="339">
        <f>SUMIFS('I kw.23'!F2:F830,'I kw.23'!V2:V830,"1864")</f>
        <v>10</v>
      </c>
      <c r="Z28" s="339">
        <f>SUMIFS('I kw.23'!AO2:AO830,'I kw.23'!V2:V830,"1864")</f>
        <v>0</v>
      </c>
    </row>
    <row r="29" spans="2:26" x14ac:dyDescent="0.25">
      <c r="B29" s="566" t="s">
        <v>17623</v>
      </c>
      <c r="C29" s="567" t="s">
        <v>23097</v>
      </c>
      <c r="D29" s="568">
        <f>SUM(D27:D28)</f>
        <v>1535</v>
      </c>
      <c r="E29" s="568">
        <f>SUM(E27:E28)</f>
        <v>1542</v>
      </c>
      <c r="F29" s="566"/>
      <c r="H29" s="593"/>
      <c r="I29" s="593"/>
      <c r="J29" s="574"/>
      <c r="K29" s="593"/>
      <c r="L29" s="593"/>
      <c r="N29" s="18"/>
      <c r="O29" s="89"/>
      <c r="P29" s="18"/>
      <c r="R29" s="18"/>
      <c r="S29" s="11"/>
      <c r="T29" s="17"/>
      <c r="U29" s="12"/>
      <c r="X29" s="635" t="s">
        <v>23106</v>
      </c>
      <c r="Y29" s="636">
        <f>SUM(Y4:Y28)</f>
        <v>757</v>
      </c>
      <c r="Z29" s="636">
        <f>SUM(Z4:Z28)</f>
        <v>0</v>
      </c>
    </row>
    <row r="30" spans="2:26" x14ac:dyDescent="0.25">
      <c r="B30" s="12">
        <v>15</v>
      </c>
      <c r="C30" s="17" t="s">
        <v>17630</v>
      </c>
      <c r="D30" s="26">
        <v>703</v>
      </c>
      <c r="E30" s="26">
        <v>743</v>
      </c>
      <c r="F30" s="12"/>
      <c r="H30" s="593"/>
      <c r="I30" s="593"/>
      <c r="J30" s="574"/>
      <c r="K30" s="593"/>
      <c r="L30" s="593"/>
      <c r="N30" s="18"/>
      <c r="O30" s="89"/>
      <c r="P30" s="18"/>
      <c r="R30" s="18"/>
      <c r="S30" s="11"/>
      <c r="T30" s="17"/>
      <c r="U30" s="12"/>
      <c r="X30" s="442" t="s">
        <v>26049</v>
      </c>
      <c r="Y30" s="12">
        <v>37</v>
      </c>
      <c r="Z30" s="12"/>
    </row>
    <row r="31" spans="2:26" x14ac:dyDescent="0.25">
      <c r="B31" s="12">
        <v>16</v>
      </c>
      <c r="C31" s="17" t="s">
        <v>17631</v>
      </c>
      <c r="D31" s="26">
        <v>796</v>
      </c>
      <c r="E31" s="26">
        <v>800</v>
      </c>
      <c r="F31" s="12"/>
      <c r="G31" s="135"/>
      <c r="J31" s="2"/>
      <c r="N31" s="18"/>
      <c r="O31" s="89"/>
      <c r="P31" s="18"/>
      <c r="R31" s="18"/>
      <c r="S31" s="11"/>
      <c r="T31" s="17"/>
      <c r="U31" s="12"/>
      <c r="X31" s="442" t="s">
        <v>28322</v>
      </c>
      <c r="Y31" s="12">
        <v>1</v>
      </c>
      <c r="Z31" s="12"/>
    </row>
    <row r="32" spans="2:26" x14ac:dyDescent="0.25">
      <c r="B32" s="566" t="s">
        <v>23100</v>
      </c>
      <c r="C32" s="567" t="s">
        <v>26047</v>
      </c>
      <c r="D32" s="568">
        <f>SUM(D30:D31)</f>
        <v>1499</v>
      </c>
      <c r="E32" s="568">
        <f>SUM(E30:E31)</f>
        <v>1543</v>
      </c>
      <c r="F32" s="566"/>
      <c r="G32" s="135"/>
      <c r="J32" s="2"/>
      <c r="N32" s="18"/>
      <c r="O32" s="89"/>
      <c r="P32" s="18"/>
      <c r="R32" s="18"/>
      <c r="S32" s="11"/>
      <c r="T32" s="17"/>
      <c r="U32" s="12"/>
      <c r="X32" s="17"/>
      <c r="Y32" s="12"/>
      <c r="Z32" s="12"/>
    </row>
    <row r="33" spans="2:30" x14ac:dyDescent="0.25">
      <c r="B33" s="12">
        <v>17</v>
      </c>
      <c r="C33" s="17" t="s">
        <v>28318</v>
      </c>
      <c r="D33" s="26">
        <v>795</v>
      </c>
      <c r="E33" s="26">
        <v>795</v>
      </c>
      <c r="F33" s="12" t="s">
        <v>28319</v>
      </c>
      <c r="G33" s="135">
        <f>SUM(D33-D31)</f>
        <v>-1</v>
      </c>
      <c r="J33" s="2"/>
      <c r="N33" s="18"/>
      <c r="O33" s="89"/>
      <c r="P33" s="18"/>
      <c r="R33" s="18"/>
      <c r="S33" s="11"/>
      <c r="T33" s="17"/>
      <c r="U33" s="12"/>
      <c r="Y33" s="637">
        <f>SUM(Y29:Y32)</f>
        <v>795</v>
      </c>
      <c r="Z33" s="637">
        <f>SUM(Z29:Z32)</f>
        <v>0</v>
      </c>
    </row>
    <row r="34" spans="2:30" x14ac:dyDescent="0.25">
      <c r="B34" s="12"/>
      <c r="C34" s="17"/>
      <c r="D34" s="26"/>
      <c r="E34" s="26"/>
      <c r="F34" s="12"/>
      <c r="G34" s="135">
        <f>SUM(D33-D27)</f>
        <v>26</v>
      </c>
      <c r="J34" s="2"/>
      <c r="N34" s="18"/>
      <c r="O34" s="89"/>
      <c r="P34" s="18"/>
      <c r="R34" s="18"/>
      <c r="T34" s="89"/>
      <c r="U34" s="18"/>
    </row>
    <row r="35" spans="2:30" x14ac:dyDescent="0.25">
      <c r="B35" s="18"/>
      <c r="C35" s="89"/>
      <c r="E35" s="135"/>
      <c r="F35" s="20"/>
      <c r="N35" s="242"/>
      <c r="O35" s="242"/>
      <c r="P35" s="243">
        <f ca="1">SUM(AD4:AD15)</f>
        <v>795</v>
      </c>
      <c r="R35" s="242"/>
      <c r="T35" s="243"/>
      <c r="U35" s="246">
        <f ca="1">SUM(AG4:AG15)</f>
        <v>795</v>
      </c>
    </row>
    <row r="36" spans="2:30" x14ac:dyDescent="0.25">
      <c r="B36" s="578" t="s">
        <v>170</v>
      </c>
      <c r="C36" s="578"/>
      <c r="D36" s="578"/>
      <c r="E36" s="578" t="s">
        <v>2</v>
      </c>
      <c r="F36" s="578"/>
      <c r="G36" s="578"/>
      <c r="H36" s="578" t="s">
        <v>3</v>
      </c>
      <c r="I36" s="578"/>
      <c r="J36" s="578"/>
      <c r="K36" s="598" t="s">
        <v>3589</v>
      </c>
      <c r="L36" s="598"/>
      <c r="M36" s="598"/>
      <c r="N36" s="598" t="s">
        <v>1</v>
      </c>
      <c r="O36" s="598"/>
      <c r="P36" s="598"/>
      <c r="Q36" s="407" t="s">
        <v>4</v>
      </c>
      <c r="R36" s="407"/>
      <c r="S36" s="407"/>
      <c r="T36" s="610" t="s">
        <v>5</v>
      </c>
      <c r="U36" s="610"/>
      <c r="V36" s="610"/>
      <c r="W36" s="621" t="s">
        <v>6</v>
      </c>
      <c r="X36" s="621"/>
      <c r="Y36" s="622"/>
    </row>
    <row r="37" spans="2:30" x14ac:dyDescent="0.25">
      <c r="B37" s="579" t="s">
        <v>3469</v>
      </c>
      <c r="C37" s="580"/>
      <c r="D37" s="581"/>
      <c r="E37" s="579" t="s">
        <v>3470</v>
      </c>
      <c r="F37" s="580"/>
      <c r="G37" s="581"/>
      <c r="H37" s="579" t="s">
        <v>3470</v>
      </c>
      <c r="I37" s="579"/>
      <c r="J37" s="581"/>
      <c r="K37" s="599"/>
      <c r="L37" s="600"/>
      <c r="M37" s="599"/>
      <c r="N37" s="599"/>
      <c r="O37" s="600"/>
      <c r="P37" s="599"/>
      <c r="Q37" s="599"/>
      <c r="R37" s="600"/>
      <c r="S37" s="599"/>
      <c r="T37" s="614"/>
      <c r="U37" s="615"/>
      <c r="V37" s="611"/>
      <c r="W37" s="623"/>
      <c r="X37" s="624"/>
      <c r="Y37" s="619"/>
    </row>
    <row r="38" spans="2:30" x14ac:dyDescent="0.25">
      <c r="B38" s="587">
        <v>2141</v>
      </c>
      <c r="C38" s="390" t="s">
        <v>3569</v>
      </c>
      <c r="D38" s="390">
        <f>SUMIF('I kw.23'!AJ2:AJ830,"2141*",'I kw.23'!F2:F830)</f>
        <v>4</v>
      </c>
      <c r="E38" s="587">
        <v>2113</v>
      </c>
      <c r="F38" s="11" t="s">
        <v>3491</v>
      </c>
      <c r="G38" s="577">
        <f>SUMIF('I kw.23'!AJ2:AJ830,"2113*",'I kw.23'!F2:F830)</f>
        <v>0</v>
      </c>
      <c r="H38" s="589">
        <v>2142</v>
      </c>
      <c r="I38" s="399" t="s">
        <v>3494</v>
      </c>
      <c r="J38" s="577">
        <f>SUMIF('I kw.23'!AJ2:AJ830,"2142*",'I kw.23'!F2:F830)</f>
        <v>9</v>
      </c>
      <c r="K38" s="425">
        <v>315</v>
      </c>
      <c r="L38" s="11" t="s">
        <v>3532</v>
      </c>
      <c r="M38" s="597">
        <f>SUMIF('I kw.23'!AJ2:AJ830,"315*",'I kw.23'!F2:F830)</f>
        <v>0</v>
      </c>
      <c r="N38" s="108">
        <v>2166</v>
      </c>
      <c r="O38" s="11" t="s">
        <v>3510</v>
      </c>
      <c r="P38" s="597">
        <f>SUMIF('I kw.23'!AJ2:AJ830,"2166*",'I kw.23'!F2:F830)</f>
        <v>0</v>
      </c>
      <c r="Q38" s="405">
        <v>22</v>
      </c>
      <c r="R38" s="406" t="s">
        <v>3511</v>
      </c>
      <c r="S38" s="597">
        <f>SUMIF('I kw.23'!AJ2:AJ830,"22*",'I kw.23'!F2:F830)</f>
        <v>10</v>
      </c>
      <c r="T38" s="613">
        <v>23</v>
      </c>
      <c r="U38" s="11" t="s">
        <v>3512</v>
      </c>
      <c r="V38" s="609">
        <f>SUMIF('I kw.23'!AJ2:AJ830,"23*",'I kw.23'!F2:F830)</f>
        <v>1</v>
      </c>
      <c r="W38" s="131">
        <v>7549</v>
      </c>
      <c r="X38" s="11" t="s">
        <v>3561</v>
      </c>
      <c r="Y38" s="620">
        <f>SUMIF('I kw.23'!AJ2:AJ830,"7549*",'I kw.23'!F2:F830)</f>
        <v>0</v>
      </c>
    </row>
    <row r="39" spans="2:30" x14ac:dyDescent="0.25">
      <c r="B39" s="587">
        <v>2132</v>
      </c>
      <c r="C39" s="11" t="s">
        <v>3493</v>
      </c>
      <c r="D39" s="582">
        <f>SUMIF('I kw.23'!AJ2:AJ830,"2132*",'I kw.23'!F2:F830)</f>
        <v>0</v>
      </c>
      <c r="E39" s="587">
        <v>2145</v>
      </c>
      <c r="F39" s="11" t="s">
        <v>3496</v>
      </c>
      <c r="G39" s="577">
        <f>SUMIF('I kw.23'!AJ2:AJ830,"2145*",'I kw.23'!F2:F830)</f>
        <v>0</v>
      </c>
      <c r="H39" s="589">
        <v>2143</v>
      </c>
      <c r="I39" s="11" t="s">
        <v>93</v>
      </c>
      <c r="J39" s="577">
        <f>SUMIF('I kw.23'!AJ2:AJ830,"2143*",'I kw.23'!F2:F830)</f>
        <v>2</v>
      </c>
      <c r="K39" s="426">
        <v>42</v>
      </c>
      <c r="L39" s="11" t="s">
        <v>3537</v>
      </c>
      <c r="M39" s="597">
        <f>SUMIF('I kw.23'!AJ2:AJ830,"42*",'I kw.23'!F2:F830)</f>
        <v>142</v>
      </c>
      <c r="N39" s="118">
        <v>24</v>
      </c>
      <c r="O39" s="368" t="s">
        <v>3571</v>
      </c>
      <c r="P39" s="107">
        <f>SUMIF('I kw.23'!AJ2:AJ830,"24*",'I kw.23'!F2:F830)</f>
        <v>89</v>
      </c>
      <c r="Q39" s="405">
        <v>32</v>
      </c>
      <c r="R39" s="406" t="s">
        <v>3533</v>
      </c>
      <c r="S39" s="597">
        <f>SUMIF('I kw.23'!AJ2:AJ830,"32*",'I kw.23'!F2:F830)</f>
        <v>0</v>
      </c>
      <c r="T39" s="613">
        <v>26</v>
      </c>
      <c r="U39" s="11" t="s">
        <v>3572</v>
      </c>
      <c r="V39" s="609">
        <f>SUMIF('I kw.23'!AJ2:AJ830,"26*",'I kw.23'!F2:F830)</f>
        <v>3</v>
      </c>
      <c r="W39" s="119">
        <v>9</v>
      </c>
      <c r="X39" s="11" t="s">
        <v>3565</v>
      </c>
      <c r="Y39" s="620">
        <f>SUMIF('I kw.23'!AJ2:AJ830,"9*",'I kw.23'!F2:F830)</f>
        <v>16</v>
      </c>
      <c r="AD39" s="18"/>
    </row>
    <row r="40" spans="2:30" x14ac:dyDescent="0.25">
      <c r="B40" s="587">
        <v>2146</v>
      </c>
      <c r="C40" s="11" t="s">
        <v>3497</v>
      </c>
      <c r="D40" s="577">
        <f>SUMIF('I kw.23'!AJ2:AJ830,"2146*",'I kw.23'!F2:F830)</f>
        <v>0</v>
      </c>
      <c r="E40" s="587">
        <v>2131</v>
      </c>
      <c r="F40" s="11" t="s">
        <v>3492</v>
      </c>
      <c r="G40" s="577">
        <f>SUMIF('I kw.23'!AJ2:AJ830,"2131*",'I kw.23'!F2:F830)</f>
        <v>0</v>
      </c>
      <c r="H40" s="589">
        <v>2161</v>
      </c>
      <c r="I40" s="11" t="s">
        <v>3507</v>
      </c>
      <c r="J40" s="577">
        <f>SUMIF('I kw.23'!AJ2:AJ830,"2161*",'I kw.23'!F2:F830)</f>
        <v>0</v>
      </c>
      <c r="K40" s="426">
        <v>43</v>
      </c>
      <c r="L40" s="103" t="s">
        <v>3538</v>
      </c>
      <c r="M40" s="107">
        <f>SUMIF('I kw.23'!AJ2:AJ830,"43*",'I kw.23'!F2:F830)</f>
        <v>7</v>
      </c>
      <c r="N40" s="125">
        <v>33</v>
      </c>
      <c r="O40" s="368" t="s">
        <v>3534</v>
      </c>
      <c r="P40" s="107">
        <f>SUMIF('I kw.23'!AJ2:AJ830,"33*",'I kw.23'!F2:F830)</f>
        <v>84</v>
      </c>
      <c r="Q40" s="405">
        <v>53</v>
      </c>
      <c r="R40" s="406" t="s">
        <v>3542</v>
      </c>
      <c r="S40" s="597">
        <f>SUMIF('I kw.23'!AJ2:AJ830,"53*",'I kw.23'!F2:F830)</f>
        <v>0</v>
      </c>
      <c r="T40" s="613">
        <v>34</v>
      </c>
      <c r="U40" s="11" t="s">
        <v>3535</v>
      </c>
      <c r="V40" s="609">
        <f>SUMIF('I kw.23'!AJ2:AJ830,"34*",'I kw.23'!F2:F830)</f>
        <v>1</v>
      </c>
      <c r="W40" s="37"/>
      <c r="Y40" s="620">
        <f>SUM(Y38:Y39)</f>
        <v>16</v>
      </c>
      <c r="AD40" s="18"/>
    </row>
    <row r="41" spans="2:30" ht="15" customHeight="1" x14ac:dyDescent="0.25">
      <c r="B41" s="121">
        <v>3113</v>
      </c>
      <c r="C41" s="11" t="s">
        <v>3520</v>
      </c>
      <c r="D41" s="577">
        <f>SUMIF('I kw.23'!AJ2:AJ830,"3113*",'I kw.23'!F2:F830)</f>
        <v>8</v>
      </c>
      <c r="E41" s="587">
        <v>2144</v>
      </c>
      <c r="F41" s="399" t="s">
        <v>3495</v>
      </c>
      <c r="G41" s="584">
        <f>SUMIF('I kw.23'!AJ2:AJ830,"2144*",'I kw.23'!F2:F830)</f>
        <v>0</v>
      </c>
      <c r="H41" s="589">
        <v>2162</v>
      </c>
      <c r="I41" s="11" t="s">
        <v>3508</v>
      </c>
      <c r="J41" s="577">
        <f>SUMIF('I kw.23'!AJ2:AJ830,"2162*",'I kw.23'!F2:F830)</f>
        <v>0</v>
      </c>
      <c r="K41" s="427">
        <v>52</v>
      </c>
      <c r="L41" s="103" t="s">
        <v>3541</v>
      </c>
      <c r="M41" s="107">
        <f>SUMIF('I kw.23'!AJ2:AJ830,"52*",'I kw.23'!F2:F830)</f>
        <v>39</v>
      </c>
      <c r="N41" s="127">
        <v>51</v>
      </c>
      <c r="O41" s="11" t="s">
        <v>3540</v>
      </c>
      <c r="P41" s="597">
        <f>SUMIF('I kw.23'!AJ2:AJ830,"51*",'I kw.23'!F2:F830)</f>
        <v>17</v>
      </c>
      <c r="Q41" s="37"/>
      <c r="S41" s="597">
        <f>SUM(S38:S40)</f>
        <v>10</v>
      </c>
      <c r="V41" s="612">
        <f>SUM(V38:V40)</f>
        <v>5</v>
      </c>
      <c r="W41" s="37"/>
      <c r="AD41" s="20"/>
    </row>
    <row r="42" spans="2:30" x14ac:dyDescent="0.25">
      <c r="B42" s="121">
        <v>3114</v>
      </c>
      <c r="C42" s="11" t="s">
        <v>3521</v>
      </c>
      <c r="D42" s="577">
        <f>SUMIF('I kw.23'!AJ2:AJ830,"3114*",'I kw.23'!F2:F830)</f>
        <v>0</v>
      </c>
      <c r="E42" s="587">
        <v>2149</v>
      </c>
      <c r="F42" s="399" t="s">
        <v>3498</v>
      </c>
      <c r="G42" s="584">
        <f>SUMIF('I kw.23'!AJ2:AJ830,"2149*",'I kw.23'!F2:F830)</f>
        <v>2</v>
      </c>
      <c r="H42" s="587">
        <v>2164</v>
      </c>
      <c r="I42" s="11" t="s">
        <v>3585</v>
      </c>
      <c r="J42" s="577">
        <f>SUMIF('I kw.23'!AJ2:AJ830,"2164*",'I kw.23'!F2:F830)</f>
        <v>0</v>
      </c>
      <c r="K42" s="428">
        <v>83</v>
      </c>
      <c r="L42" s="11" t="s">
        <v>3564</v>
      </c>
      <c r="M42" s="597">
        <f>SUMIF('I kw.23'!AJ2:AJ830,"83*",'I kw.23'!F2:F830)</f>
        <v>0</v>
      </c>
      <c r="N42" s="120">
        <v>14</v>
      </c>
      <c r="O42" s="11" t="s">
        <v>3578</v>
      </c>
      <c r="P42" s="597">
        <f>SUMIF('I kw.23'!AJ2:AJ830,"14*",'I kw.23'!F2:F830)</f>
        <v>10</v>
      </c>
      <c r="Q42" s="37"/>
      <c r="T42" s="1" t="s">
        <v>0</v>
      </c>
      <c r="U42" s="94"/>
      <c r="V42" s="20"/>
      <c r="W42" s="542" t="s">
        <v>3574</v>
      </c>
    </row>
    <row r="43" spans="2:30" x14ac:dyDescent="0.25">
      <c r="B43" s="401">
        <v>3115</v>
      </c>
      <c r="C43" s="8" t="s">
        <v>3522</v>
      </c>
      <c r="D43" s="9">
        <f>SUMIF('I kw.23'!AJ2:AJ830,"3115*",'I kw.23'!F2:F830)</f>
        <v>0</v>
      </c>
      <c r="E43" s="389">
        <v>2149</v>
      </c>
      <c r="F43" s="11" t="s">
        <v>3499</v>
      </c>
      <c r="G43" s="585" t="s">
        <v>3573</v>
      </c>
      <c r="H43" s="589">
        <v>2165</v>
      </c>
      <c r="I43" s="11" t="s">
        <v>3509</v>
      </c>
      <c r="J43" s="577">
        <f>SUMIF('I kw.23'!AJ2:AJ830,"2165*",'I kw.23'!F2:F830)</f>
        <v>0</v>
      </c>
      <c r="K43" s="429">
        <v>12</v>
      </c>
      <c r="L43" s="11" t="s">
        <v>3576</v>
      </c>
      <c r="M43" s="597">
        <f>SUMIF('I kw.23'!AJ2:AJ830,"12*",'I kw.23'!F2:F830)</f>
        <v>15</v>
      </c>
      <c r="P43" s="597">
        <f>SUM(P38:P42)</f>
        <v>200</v>
      </c>
      <c r="Q43" s="37"/>
      <c r="T43" s="614"/>
      <c r="U43" s="615"/>
      <c r="V43" s="616"/>
      <c r="W43" s="627"/>
      <c r="X43" s="628"/>
      <c r="Y43" s="625"/>
    </row>
    <row r="44" spans="2:30" x14ac:dyDescent="0.25">
      <c r="B44" s="401">
        <v>3116</v>
      </c>
      <c r="C44" s="8" t="s">
        <v>3523</v>
      </c>
      <c r="D44" s="9">
        <f>SUMIF('I kw.23'!AJ2:AJ830,"3116*",'I kw.23'!F2:F830)</f>
        <v>0</v>
      </c>
      <c r="E44" s="389">
        <v>2149</v>
      </c>
      <c r="F44" s="11" t="s">
        <v>3500</v>
      </c>
      <c r="G44" s="585" t="s">
        <v>3573</v>
      </c>
      <c r="H44" s="126">
        <v>3111</v>
      </c>
      <c r="I44" s="11" t="s">
        <v>3587</v>
      </c>
      <c r="J44" s="577">
        <f>SUMIF('I kw.23'!AJ2:AJ830,"3111*",'I kw.23'!F2:F830)</f>
        <v>0</v>
      </c>
      <c r="K44" s="89"/>
      <c r="L44" s="20"/>
      <c r="M44" s="597">
        <f>SUM(M38:M43)</f>
        <v>203</v>
      </c>
      <c r="Q44" s="37"/>
      <c r="T44" s="116">
        <v>41</v>
      </c>
      <c r="U44" s="11" t="s">
        <v>3592</v>
      </c>
      <c r="V44" s="609">
        <f>SUMIF('I kw.23'!AJ2:AJ830,"41*",'I kw.23'!F2:F830)</f>
        <v>5</v>
      </c>
      <c r="W44" s="120">
        <v>11</v>
      </c>
      <c r="X44" s="11" t="s">
        <v>23109</v>
      </c>
      <c r="Y44" s="626">
        <f>SUMIF('I kw.23'!AJ2:AJ830,"11*",'I kw.23'!F2:F830)</f>
        <v>2</v>
      </c>
    </row>
    <row r="45" spans="2:30" x14ac:dyDescent="0.25">
      <c r="B45" s="121">
        <v>3117</v>
      </c>
      <c r="C45" s="11" t="s">
        <v>3524</v>
      </c>
      <c r="D45" s="577">
        <f>SUMIF('I kw.23'!AJ2:AJ830,"3117*",'I kw.23'!F2:F830)</f>
        <v>0</v>
      </c>
      <c r="E45" s="389">
        <v>2149</v>
      </c>
      <c r="F45" s="11" t="s">
        <v>3501</v>
      </c>
      <c r="G45" s="585" t="s">
        <v>3573</v>
      </c>
      <c r="H45" s="126">
        <v>3112</v>
      </c>
      <c r="I45" s="399" t="s">
        <v>3519</v>
      </c>
      <c r="J45" s="577">
        <f>SUMIF('I kw.23'!AJ2:AJ830,"3112*",'I kw.23'!F2:F830)</f>
        <v>0</v>
      </c>
      <c r="K45" s="89"/>
      <c r="L45" s="20"/>
      <c r="M45" s="20"/>
      <c r="N45" s="100" t="s">
        <v>134</v>
      </c>
      <c r="O45" s="93"/>
      <c r="Q45" s="37"/>
      <c r="T45" s="116">
        <v>44</v>
      </c>
      <c r="U45" s="11" t="s">
        <v>3539</v>
      </c>
      <c r="V45" s="609">
        <f>SUMIF('I kw.23'!AJ2:AJ830,"44*",'I kw.23'!F2:F830)</f>
        <v>0</v>
      </c>
      <c r="W45" s="629">
        <v>2111</v>
      </c>
      <c r="X45" s="11" t="s">
        <v>3580</v>
      </c>
      <c r="Y45" s="626">
        <f>SUMIF('I kw.23'!AJ2:AJ830,"2111*",'I kw.23'!F2:F830)</f>
        <v>0</v>
      </c>
    </row>
    <row r="46" spans="2:30" x14ac:dyDescent="0.25">
      <c r="B46" s="121">
        <v>3119</v>
      </c>
      <c r="C46" s="396" t="s">
        <v>3526</v>
      </c>
      <c r="D46" s="397">
        <f>SUMIF('I kw.23'!AJ2:AJ830,"3119*",'I kw.23'!F2:F830)</f>
        <v>2</v>
      </c>
      <c r="E46" s="389">
        <v>2149</v>
      </c>
      <c r="F46" s="11" t="s">
        <v>3502</v>
      </c>
      <c r="G46" s="585" t="s">
        <v>3573</v>
      </c>
      <c r="H46" s="126">
        <v>3118</v>
      </c>
      <c r="I46" s="11" t="s">
        <v>3525</v>
      </c>
      <c r="J46" s="577">
        <f>SUMIF('I kw.23'!AJ2:AJ830,"3118*",'I kw.23'!F2:F830)</f>
        <v>0</v>
      </c>
      <c r="K46" s="89"/>
      <c r="L46" s="20"/>
      <c r="M46" s="20"/>
      <c r="N46" s="489"/>
      <c r="O46" s="490"/>
      <c r="P46" s="486"/>
      <c r="Q46" s="37"/>
      <c r="T46" s="618">
        <v>7515</v>
      </c>
      <c r="U46" s="11" t="s">
        <v>3552</v>
      </c>
      <c r="V46" s="617">
        <f>SUMIF('I kw.23'!AJ2:AJ830,"7515*",'I kw.23'!F2:F830)</f>
        <v>0</v>
      </c>
      <c r="W46" s="629">
        <v>2112</v>
      </c>
      <c r="X46" s="11" t="s">
        <v>3581</v>
      </c>
      <c r="Y46" s="626">
        <f>SUMIF('I kw.23'!AJ2:AJ830,"2112*",'I kw.23'!F2:F830)</f>
        <v>0</v>
      </c>
    </row>
    <row r="47" spans="2:30" x14ac:dyDescent="0.25">
      <c r="B47" s="121">
        <v>3121</v>
      </c>
      <c r="C47" s="11" t="s">
        <v>3527</v>
      </c>
      <c r="D47" s="577">
        <f>SUMIF('I kw.23'!AJ2:AJ830,"3121*",'I kw.23'!F2:F830)</f>
        <v>0</v>
      </c>
      <c r="E47" s="389">
        <v>2149</v>
      </c>
      <c r="F47" s="11" t="s">
        <v>3503</v>
      </c>
      <c r="G47" s="585" t="s">
        <v>3573</v>
      </c>
      <c r="H47" s="126">
        <v>3123</v>
      </c>
      <c r="I47" s="11" t="s">
        <v>3529</v>
      </c>
      <c r="J47" s="577">
        <f>SUMIF('I kw.23'!AJ2:AJ830,"3123*",'I kw.23'!F2:F830)</f>
        <v>0</v>
      </c>
      <c r="K47" s="89"/>
      <c r="L47" s="20"/>
      <c r="N47" s="131">
        <v>7512</v>
      </c>
      <c r="O47" s="11" t="s">
        <v>3549</v>
      </c>
      <c r="P47" s="487">
        <f>SUMIF('I kw.23'!AJ2:AJ830,"7512*",'I kw.23'!F2:F830)</f>
        <v>0</v>
      </c>
      <c r="Q47" s="37"/>
      <c r="T47" s="37"/>
      <c r="V47" s="612">
        <f>SUM(V44:V46)</f>
        <v>5</v>
      </c>
      <c r="W47" s="629">
        <v>2114</v>
      </c>
      <c r="X47" s="11" t="s">
        <v>3582</v>
      </c>
      <c r="Y47" s="626">
        <f>SUMIF('I kw.23'!AJ2:AJ830,"2114*",'I kw.23'!F2:F830)</f>
        <v>0</v>
      </c>
    </row>
    <row r="48" spans="2:30" x14ac:dyDescent="0.25">
      <c r="B48" s="121">
        <v>3122</v>
      </c>
      <c r="C48" s="11" t="s">
        <v>3528</v>
      </c>
      <c r="D48" s="577">
        <f>SUMIF('I kw.23'!AJ2:AJ830,"3122*",'I kw.23'!F2:F830)</f>
        <v>0</v>
      </c>
      <c r="E48" s="587">
        <v>2151</v>
      </c>
      <c r="F48" s="11" t="s">
        <v>3504</v>
      </c>
      <c r="G48" s="577">
        <f>SUMIF('I kw.23'!AJ2:AJ830,"2151*",'I kw.23'!F2:F830)</f>
        <v>2</v>
      </c>
      <c r="H48" s="592">
        <v>71</v>
      </c>
      <c r="I48" s="399" t="s">
        <v>3544</v>
      </c>
      <c r="J48" s="577">
        <f>SUMIF('I kw.23'!AJ2:AJ830,"71*",'I kw.23'!F2:F830)</f>
        <v>0</v>
      </c>
      <c r="K48" s="89"/>
      <c r="L48" s="20"/>
      <c r="M48" s="20"/>
      <c r="P48" s="487">
        <f>SUM(P47)</f>
        <v>0</v>
      </c>
      <c r="Q48" s="37"/>
      <c r="T48" s="37"/>
      <c r="W48" s="629">
        <v>2120</v>
      </c>
      <c r="X48" s="11" t="s">
        <v>3583</v>
      </c>
      <c r="Y48" s="626">
        <f>SUMIF('I kw.23'!AJ2:AJ830,"2120*",'I kw.23'!F2:F830)</f>
        <v>0</v>
      </c>
    </row>
    <row r="49" spans="2:25" x14ac:dyDescent="0.25">
      <c r="B49" s="416">
        <v>313</v>
      </c>
      <c r="C49" s="391" t="s">
        <v>3530</v>
      </c>
      <c r="D49" s="390">
        <f>SUMIF('I kw.23'!AJ2:AJ830,"313*",'I kw.23'!F2:F830)</f>
        <v>10</v>
      </c>
      <c r="E49" s="587">
        <v>2152</v>
      </c>
      <c r="F49" s="11" t="s">
        <v>3505</v>
      </c>
      <c r="G49" s="577">
        <f>SUMIF('I kw.23'!AJ2:AJ830,"2152*",'I kw.23'!F2:F830)</f>
        <v>0</v>
      </c>
      <c r="H49" s="591">
        <v>7521</v>
      </c>
      <c r="I49" s="11" t="s">
        <v>3553</v>
      </c>
      <c r="J49" s="577">
        <f>SUMIF('I kw.23'!AJ2:AJ830,"7521*",'I kw.23'!F2:F830)</f>
        <v>0</v>
      </c>
      <c r="K49" s="89"/>
      <c r="L49" s="20"/>
      <c r="M49" s="20"/>
      <c r="N49" s="94" t="s">
        <v>154</v>
      </c>
      <c r="O49" s="94"/>
      <c r="P49" s="18"/>
      <c r="T49" s="37"/>
      <c r="W49" s="119">
        <v>0</v>
      </c>
      <c r="X49" s="11" t="s">
        <v>3586</v>
      </c>
      <c r="Y49" s="626">
        <f>SUMIF('I kw.23'!AJ2:AJ830,"0*",'I kw.23'!F2:F830)</f>
        <v>0</v>
      </c>
    </row>
    <row r="50" spans="2:25" x14ac:dyDescent="0.25">
      <c r="B50" s="401">
        <v>314</v>
      </c>
      <c r="C50" s="8" t="s">
        <v>3531</v>
      </c>
      <c r="D50" s="9">
        <f>SUMIF('I kw.23'!AJ2:AJ830,"314*",'I kw.23'!F2:F830)</f>
        <v>2</v>
      </c>
      <c r="E50" s="587">
        <v>2153</v>
      </c>
      <c r="F50" s="11" t="s">
        <v>3506</v>
      </c>
      <c r="G50" s="577">
        <f>SUMIF('I kw.23'!AJ2:AJ830,"2153*",'I kw.23'!F2:F830)</f>
        <v>0</v>
      </c>
      <c r="H50" s="591">
        <v>7522</v>
      </c>
      <c r="I50" s="11" t="s">
        <v>3554</v>
      </c>
      <c r="J50" s="577">
        <f>SUMIF('I kw.23'!AJ2:AJ830,"7522*",'I kw.23'!F2:F830)</f>
        <v>0</v>
      </c>
      <c r="K50" s="89"/>
      <c r="L50" s="20"/>
      <c r="M50" s="20"/>
      <c r="N50" s="489"/>
      <c r="O50" s="490"/>
      <c r="P50" s="486"/>
      <c r="Y50" s="626">
        <f>SUM(Y44:Y49)</f>
        <v>2</v>
      </c>
    </row>
    <row r="51" spans="2:25" x14ac:dyDescent="0.25">
      <c r="B51" s="125">
        <v>35</v>
      </c>
      <c r="C51" s="391" t="s">
        <v>3536</v>
      </c>
      <c r="D51" s="390">
        <f>SUMIF('I kw.23'!AJ2:AJ830,"35*",'I kw.23'!F2:F830)</f>
        <v>60</v>
      </c>
      <c r="E51" s="588">
        <v>25</v>
      </c>
      <c r="F51" s="576" t="s">
        <v>3513</v>
      </c>
      <c r="G51" s="577">
        <f>SUMIF('I kw.23'!AJ2:AJ830,"25*",'I kw.23'!F2:F830)</f>
        <v>191</v>
      </c>
      <c r="J51" s="586">
        <f>SUM(J38:J50)</f>
        <v>11</v>
      </c>
      <c r="K51" s="89"/>
      <c r="L51" s="20"/>
      <c r="M51" s="20"/>
      <c r="N51" s="131">
        <v>753</v>
      </c>
      <c r="O51" s="11" t="s">
        <v>3556</v>
      </c>
      <c r="P51" s="487">
        <f>SUMIF('I kw.23'!AJ2:AJ830,"753*",'I kw.23'!F2:F830)</f>
        <v>0</v>
      </c>
    </row>
    <row r="52" spans="2:25" x14ac:dyDescent="0.25">
      <c r="B52" s="553">
        <v>6</v>
      </c>
      <c r="C52" s="11" t="s">
        <v>3543</v>
      </c>
      <c r="D52" s="577">
        <f>SUMIF('I kw.23'!AJ2:AJ830,"6*",'I kw.23'!F2:F830)</f>
        <v>0</v>
      </c>
      <c r="E52" s="590">
        <v>74</v>
      </c>
      <c r="F52" s="11" t="s">
        <v>3547</v>
      </c>
      <c r="G52" s="577">
        <f ca="1">SUMIF('I kw.23'!AJ2:AJ1032,"74*",'I kw.23'!F2:F830)</f>
        <v>6</v>
      </c>
      <c r="H52" s="89"/>
      <c r="I52" s="20"/>
      <c r="K52" s="20"/>
      <c r="L52" s="20"/>
      <c r="M52" s="20"/>
      <c r="N52" s="131">
        <v>7541</v>
      </c>
      <c r="O52" s="11" t="s">
        <v>3557</v>
      </c>
      <c r="P52" s="487">
        <f>SUMIF('I kw.23'!AJ2:AJ830,"7541*",'I kw.23'!F2:F830)</f>
        <v>0</v>
      </c>
    </row>
    <row r="53" spans="2:25" x14ac:dyDescent="0.25">
      <c r="B53" s="590">
        <v>72</v>
      </c>
      <c r="C53" s="396" t="s">
        <v>3545</v>
      </c>
      <c r="D53" s="397">
        <f>SUMIF('I kw.23'!AJ2:AJ830,"72*",'I kw.23'!F2:F830)</f>
        <v>4</v>
      </c>
      <c r="G53" s="583">
        <f ca="1">SUM(G38:G52)</f>
        <v>201</v>
      </c>
      <c r="N53" s="127">
        <v>54</v>
      </c>
      <c r="O53" s="11" t="s">
        <v>3588</v>
      </c>
      <c r="P53" s="487">
        <f>SUMIF('I kw.23'!AJ2:AJ830,"54*",'I kw.23'!F2:F830)</f>
        <v>4</v>
      </c>
    </row>
    <row r="54" spans="2:25" x14ac:dyDescent="0.25">
      <c r="B54" s="590">
        <v>73</v>
      </c>
      <c r="C54" s="11" t="s">
        <v>3546</v>
      </c>
      <c r="D54" s="577">
        <f>SUMIF('I kw.23'!AJ2:AJ830,"73*",'I kw.23'!F2:F830)</f>
        <v>0</v>
      </c>
      <c r="P54" s="487">
        <f>SUM(P51:P53)</f>
        <v>4</v>
      </c>
    </row>
    <row r="55" spans="2:25" x14ac:dyDescent="0.25">
      <c r="B55" s="587">
        <v>7511</v>
      </c>
      <c r="C55" s="11" t="s">
        <v>3548</v>
      </c>
      <c r="D55" s="577">
        <f>SUMIF('I kw.23'!AJ2:AJ830,"7511*",'I kw.23'!F2:F830)</f>
        <v>0</v>
      </c>
      <c r="T55" s="37"/>
    </row>
    <row r="56" spans="2:25" x14ac:dyDescent="0.25">
      <c r="B56" s="587">
        <v>7513</v>
      </c>
      <c r="C56" s="11" t="s">
        <v>3550</v>
      </c>
      <c r="D56" s="577">
        <f>SUMIF('I kw.23'!AJ2:AJ830,"7513*",'I kw.23'!F2:F830)</f>
        <v>0</v>
      </c>
    </row>
    <row r="57" spans="2:25" x14ac:dyDescent="0.25">
      <c r="B57" s="587">
        <v>7514</v>
      </c>
      <c r="C57" s="11" t="s">
        <v>3551</v>
      </c>
      <c r="D57" s="577">
        <f>SUMIF('I kw.23'!AJ2:AJ830,"7514*",'I kw.23'!F2:F830)</f>
        <v>0</v>
      </c>
    </row>
    <row r="58" spans="2:25" x14ac:dyDescent="0.25">
      <c r="B58" s="587">
        <v>7523</v>
      </c>
      <c r="C58" s="11" t="s">
        <v>3555</v>
      </c>
      <c r="D58" s="577">
        <f>SUMIF('I kw.23'!AJ2:AJ830,"7523*",'I kw.23'!F2:F830)</f>
        <v>0</v>
      </c>
    </row>
    <row r="59" spans="2:25" x14ac:dyDescent="0.25">
      <c r="B59" s="587">
        <v>7542</v>
      </c>
      <c r="C59" s="11" t="s">
        <v>3558</v>
      </c>
      <c r="D59" s="577">
        <f>SUMIF('I kw.23'!AJ2:AJ830,"7542*",'I kw.23'!F2:F830)</f>
        <v>0</v>
      </c>
    </row>
    <row r="60" spans="2:25" x14ac:dyDescent="0.25">
      <c r="B60" s="587">
        <v>7543</v>
      </c>
      <c r="C60" s="11" t="s">
        <v>3559</v>
      </c>
      <c r="D60" s="577">
        <f>SUMIF('I kw.23'!AJ2:AJ830,"7543*",'I kw.23'!F2:F830)</f>
        <v>0</v>
      </c>
    </row>
    <row r="61" spans="2:25" x14ac:dyDescent="0.25">
      <c r="B61" s="587">
        <v>7544</v>
      </c>
      <c r="C61" s="11" t="s">
        <v>3560</v>
      </c>
      <c r="D61" s="577">
        <f>SUMIF('I kw.23'!AJ2:AJ830,"7544*",'I kw.23'!F2:F830)</f>
        <v>0</v>
      </c>
    </row>
    <row r="62" spans="2:25" x14ac:dyDescent="0.25">
      <c r="B62" s="134">
        <v>81</v>
      </c>
      <c r="C62" s="11" t="s">
        <v>3562</v>
      </c>
      <c r="D62" s="577">
        <f>SUMIF('I kw.23'!AJ2:AJ830,"81*",'I kw.23'!F2:F830)</f>
        <v>0</v>
      </c>
    </row>
    <row r="63" spans="2:25" x14ac:dyDescent="0.25">
      <c r="B63" s="134">
        <v>82</v>
      </c>
      <c r="C63" s="11" t="s">
        <v>3563</v>
      </c>
      <c r="D63" s="577">
        <f>SUMIF('I kw.23'!AJ2:AJ830,"82*",'I kw.23'!F2:F830)</f>
        <v>0</v>
      </c>
    </row>
    <row r="64" spans="2:25" x14ac:dyDescent="0.25">
      <c r="B64" s="120">
        <v>13</v>
      </c>
      <c r="C64" s="396" t="s">
        <v>3577</v>
      </c>
      <c r="D64" s="397">
        <f>SUMIF('I kw.23'!AJ2:AJ830,"13*",'I kw.23'!F2:F830)</f>
        <v>48</v>
      </c>
    </row>
    <row r="65" spans="2:4" x14ac:dyDescent="0.25">
      <c r="B65" s="587">
        <v>2163</v>
      </c>
      <c r="C65" s="396" t="s">
        <v>3579</v>
      </c>
      <c r="D65" s="397">
        <f>SUMIF('I kw.23'!AJ2:AJ830,"2163*",'I kw.23'!F2:F830)</f>
        <v>0</v>
      </c>
    </row>
    <row r="66" spans="2:4" x14ac:dyDescent="0.25">
      <c r="B66" s="587">
        <v>2133</v>
      </c>
      <c r="C66" s="11" t="s">
        <v>3584</v>
      </c>
      <c r="D66" s="577">
        <f>SUMIF('I kw.23'!AJ2:AJ830,"2133*",'I kw.23'!F2:F830)</f>
        <v>0</v>
      </c>
    </row>
    <row r="67" spans="2:4" x14ac:dyDescent="0.25">
      <c r="B67" s="37"/>
      <c r="D67" s="583">
        <f>SUM(D38:D66)</f>
        <v>138</v>
      </c>
    </row>
    <row r="97" ht="17.25" customHeight="1" x14ac:dyDescent="0.25"/>
    <row r="98" ht="20.25" customHeight="1" x14ac:dyDescent="0.25"/>
    <row r="99" ht="18" customHeight="1" x14ac:dyDescent="0.25"/>
  </sheetData>
  <pageMargins left="0.7" right="0.7" top="0.75" bottom="0.75" header="0.3" footer="0.3"/>
  <ignoredErrors>
    <ignoredError sqref="D11:E11" formulaRange="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25"/>
  <sheetViews>
    <sheetView zoomScale="90" zoomScaleNormal="90" workbookViewId="0">
      <selection activeCell="B1" sqref="B1"/>
    </sheetView>
  </sheetViews>
  <sheetFormatPr defaultRowHeight="12.75" x14ac:dyDescent="0.2"/>
  <cols>
    <col min="1" max="1" width="2.28515625" style="450" customWidth="1"/>
    <col min="2" max="2" width="9.5703125" style="450" customWidth="1"/>
    <col min="3" max="3" width="12.140625" style="450" customWidth="1"/>
    <col min="4" max="4" width="10.5703125" style="450" customWidth="1"/>
    <col min="5" max="5" width="9.7109375" style="450" customWidth="1"/>
    <col min="6" max="6" width="2.5703125" style="450" customWidth="1"/>
    <col min="7" max="16384" width="9.140625" style="450"/>
  </cols>
  <sheetData>
    <row r="2" spans="2:5" x14ac:dyDescent="0.2">
      <c r="B2" s="450" t="s">
        <v>3461</v>
      </c>
      <c r="C2" s="454"/>
      <c r="D2" s="455"/>
      <c r="E2" s="455"/>
    </row>
    <row r="3" spans="2:5" ht="38.25" x14ac:dyDescent="0.2">
      <c r="B3" s="459" t="s">
        <v>171</v>
      </c>
      <c r="C3" s="459" t="s">
        <v>172</v>
      </c>
      <c r="D3" s="459" t="s">
        <v>6539</v>
      </c>
      <c r="E3" s="459" t="s">
        <v>3483</v>
      </c>
    </row>
    <row r="4" spans="2:5" x14ac:dyDescent="0.2">
      <c r="B4" s="456" t="s">
        <v>13081</v>
      </c>
      <c r="C4" s="456" t="s">
        <v>175</v>
      </c>
      <c r="D4" s="457">
        <v>86</v>
      </c>
      <c r="E4" s="457">
        <v>122</v>
      </c>
    </row>
    <row r="5" spans="2:5" x14ac:dyDescent="0.2">
      <c r="B5" s="456" t="s">
        <v>13082</v>
      </c>
      <c r="C5" s="456" t="s">
        <v>174</v>
      </c>
      <c r="D5" s="457">
        <v>377</v>
      </c>
      <c r="E5" s="457">
        <v>410</v>
      </c>
    </row>
    <row r="6" spans="2:5" x14ac:dyDescent="0.2">
      <c r="B6" s="456" t="s">
        <v>13083</v>
      </c>
      <c r="C6" s="456" t="s">
        <v>3481</v>
      </c>
      <c r="D6" s="453">
        <v>180</v>
      </c>
      <c r="E6" s="453">
        <v>231</v>
      </c>
    </row>
    <row r="7" spans="2:5" x14ac:dyDescent="0.2">
      <c r="B7" s="456" t="s">
        <v>13084</v>
      </c>
      <c r="C7" s="456" t="s">
        <v>3482</v>
      </c>
      <c r="D7" s="453">
        <v>361</v>
      </c>
      <c r="E7" s="453">
        <v>378</v>
      </c>
    </row>
    <row r="8" spans="2:5" x14ac:dyDescent="0.2">
      <c r="B8" s="460" t="s">
        <v>13085</v>
      </c>
      <c r="C8" s="460" t="s">
        <v>6392</v>
      </c>
      <c r="D8" s="461">
        <v>249</v>
      </c>
      <c r="E8" s="461">
        <v>258</v>
      </c>
    </row>
    <row r="9" spans="2:5" x14ac:dyDescent="0.2">
      <c r="B9" s="460" t="s">
        <v>13086</v>
      </c>
      <c r="C9" s="460" t="s">
        <v>6924</v>
      </c>
      <c r="D9" s="461">
        <v>173</v>
      </c>
      <c r="E9" s="461">
        <v>197</v>
      </c>
    </row>
    <row r="10" spans="2:5" x14ac:dyDescent="0.2">
      <c r="B10" s="460" t="s">
        <v>13087</v>
      </c>
      <c r="C10" s="460" t="s">
        <v>6928</v>
      </c>
      <c r="D10" s="461">
        <v>97</v>
      </c>
      <c r="E10" s="461">
        <v>97</v>
      </c>
    </row>
    <row r="11" spans="2:5" x14ac:dyDescent="0.2">
      <c r="B11" s="460" t="s">
        <v>13088</v>
      </c>
      <c r="C11" s="460" t="s">
        <v>7785</v>
      </c>
      <c r="D11" s="461">
        <v>224</v>
      </c>
      <c r="E11" s="461">
        <v>224</v>
      </c>
    </row>
    <row r="12" spans="2:5" x14ac:dyDescent="0.2">
      <c r="B12" s="462" t="s">
        <v>13089</v>
      </c>
      <c r="C12" s="462" t="s">
        <v>7800</v>
      </c>
      <c r="D12" s="463">
        <v>156</v>
      </c>
      <c r="E12" s="463">
        <v>165</v>
      </c>
    </row>
    <row r="13" spans="2:5" x14ac:dyDescent="0.2">
      <c r="B13" s="462" t="s">
        <v>13090</v>
      </c>
      <c r="C13" s="462" t="s">
        <v>8303</v>
      </c>
      <c r="D13" s="463">
        <v>237</v>
      </c>
      <c r="E13" s="463">
        <v>242</v>
      </c>
    </row>
    <row r="14" spans="2:5" x14ac:dyDescent="0.2">
      <c r="B14" s="462" t="s">
        <v>13091</v>
      </c>
      <c r="C14" s="462" t="s">
        <v>13054</v>
      </c>
      <c r="D14" s="463">
        <v>1022</v>
      </c>
      <c r="E14" s="463">
        <v>1030</v>
      </c>
    </row>
    <row r="15" spans="2:5" x14ac:dyDescent="0.2">
      <c r="B15" s="462" t="s">
        <v>16042</v>
      </c>
      <c r="C15" s="462" t="s">
        <v>13106</v>
      </c>
      <c r="D15" s="463">
        <v>701</v>
      </c>
      <c r="E15" s="463">
        <v>704</v>
      </c>
    </row>
    <row r="16" spans="2:5" x14ac:dyDescent="0.2">
      <c r="B16" s="499" t="s">
        <v>17625</v>
      </c>
      <c r="C16" s="499" t="s">
        <v>17622</v>
      </c>
      <c r="D16" s="500">
        <f>SUM('18'!D27)</f>
        <v>769</v>
      </c>
      <c r="E16" s="500">
        <f>SUM('18'!E27)</f>
        <v>773</v>
      </c>
    </row>
    <row r="17" spans="2:5" x14ac:dyDescent="0.2">
      <c r="B17" s="501" t="s">
        <v>17626</v>
      </c>
      <c r="C17" s="501" t="s">
        <v>17629</v>
      </c>
      <c r="D17" s="510">
        <f>SUM('19'!D28)</f>
        <v>766</v>
      </c>
      <c r="E17" s="510">
        <f>SUM('19'!E28)</f>
        <v>769</v>
      </c>
    </row>
    <row r="18" spans="2:5" x14ac:dyDescent="0.2">
      <c r="B18" s="501" t="s">
        <v>17627</v>
      </c>
      <c r="C18" s="501" t="s">
        <v>17630</v>
      </c>
      <c r="D18" s="501"/>
      <c r="E18" s="501"/>
    </row>
    <row r="19" spans="2:5" x14ac:dyDescent="0.2">
      <c r="B19" s="501" t="s">
        <v>17628</v>
      </c>
      <c r="C19" s="501" t="s">
        <v>17631</v>
      </c>
      <c r="D19" s="501"/>
      <c r="E19" s="501"/>
    </row>
    <row r="21" spans="2:5" x14ac:dyDescent="0.2">
      <c r="C21" s="452">
        <v>2019</v>
      </c>
      <c r="D21" s="452">
        <f>SUM(D4:D7)</f>
        <v>1004</v>
      </c>
      <c r="E21" s="452">
        <f>SUM(E4:E7)</f>
        <v>1141</v>
      </c>
    </row>
    <row r="22" spans="2:5" x14ac:dyDescent="0.2">
      <c r="C22" s="452">
        <v>2020</v>
      </c>
      <c r="D22" s="452">
        <f>SUM(D8:D11)</f>
        <v>743</v>
      </c>
      <c r="E22" s="452">
        <f>SUM(E8:E11)</f>
        <v>776</v>
      </c>
    </row>
    <row r="23" spans="2:5" x14ac:dyDescent="0.2">
      <c r="C23" s="452">
        <v>2021</v>
      </c>
      <c r="D23" s="452">
        <f>SUM(D12:D15)</f>
        <v>2116</v>
      </c>
      <c r="E23" s="452">
        <f>SUM(E12:E15)</f>
        <v>2141</v>
      </c>
    </row>
    <row r="24" spans="2:5" x14ac:dyDescent="0.2">
      <c r="C24" s="452">
        <v>2022</v>
      </c>
      <c r="D24" s="452">
        <f>SUM(D16:D19)</f>
        <v>1535</v>
      </c>
      <c r="E24" s="452">
        <f>SUM(E16:E19)</f>
        <v>1542</v>
      </c>
    </row>
    <row r="25" spans="2:5" x14ac:dyDescent="0.2">
      <c r="E25" s="454">
        <f>SUM(E15-E11)</f>
        <v>480</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23"/>
  <sheetViews>
    <sheetView zoomScale="90" zoomScaleNormal="90" workbookViewId="0">
      <selection activeCell="B1" sqref="B1"/>
    </sheetView>
  </sheetViews>
  <sheetFormatPr defaultRowHeight="12.75" x14ac:dyDescent="0.2"/>
  <cols>
    <col min="1" max="1" width="2.5703125" style="450" customWidth="1"/>
    <col min="2" max="2" width="9.140625" style="450"/>
    <col min="3" max="3" width="7.85546875" style="450" customWidth="1"/>
    <col min="4" max="4" width="11.85546875" style="450" customWidth="1"/>
    <col min="5" max="5" width="9.140625" style="450"/>
    <col min="6" max="6" width="2.85546875" style="450" customWidth="1"/>
    <col min="7" max="7" width="5.7109375" style="450" customWidth="1"/>
    <col min="8" max="8" width="9.140625" style="450"/>
    <col min="9" max="9" width="16.42578125" style="450" customWidth="1"/>
    <col min="10" max="10" width="16.5703125" style="450" customWidth="1"/>
    <col min="11" max="16384" width="9.140625" style="450"/>
  </cols>
  <sheetData>
    <row r="2" spans="2:5" x14ac:dyDescent="0.2">
      <c r="B2" s="450" t="s">
        <v>3461</v>
      </c>
    </row>
    <row r="3" spans="2:5" ht="38.25" x14ac:dyDescent="0.2">
      <c r="B3" s="451" t="s">
        <v>171</v>
      </c>
      <c r="C3" s="451" t="s">
        <v>172</v>
      </c>
      <c r="D3" s="451" t="s">
        <v>6539</v>
      </c>
      <c r="E3" s="451" t="s">
        <v>3483</v>
      </c>
    </row>
    <row r="4" spans="2:5" x14ac:dyDescent="0.2">
      <c r="B4" s="452" t="s">
        <v>3515</v>
      </c>
      <c r="C4" s="452" t="s">
        <v>13097</v>
      </c>
      <c r="D4" s="452">
        <v>563</v>
      </c>
      <c r="E4" s="452">
        <v>523</v>
      </c>
    </row>
    <row r="5" spans="2:5" x14ac:dyDescent="0.2">
      <c r="B5" s="453" t="s">
        <v>3516</v>
      </c>
      <c r="C5" s="453" t="s">
        <v>13060</v>
      </c>
      <c r="D5" s="453">
        <v>466</v>
      </c>
      <c r="E5" s="453">
        <v>477</v>
      </c>
    </row>
    <row r="6" spans="2:5" x14ac:dyDescent="0.2">
      <c r="B6" s="453" t="s">
        <v>3517</v>
      </c>
      <c r="C6" s="453" t="s">
        <v>13098</v>
      </c>
      <c r="D6" s="453">
        <v>365</v>
      </c>
      <c r="E6" s="453">
        <v>386</v>
      </c>
    </row>
    <row r="7" spans="2:5" x14ac:dyDescent="0.2">
      <c r="B7" s="452" t="s">
        <v>3518</v>
      </c>
      <c r="C7" s="452" t="s">
        <v>13099</v>
      </c>
      <c r="D7" s="452">
        <v>461</v>
      </c>
      <c r="E7" s="452">
        <v>444</v>
      </c>
    </row>
    <row r="8" spans="2:5" x14ac:dyDescent="0.2">
      <c r="B8" s="452" t="s">
        <v>13071</v>
      </c>
      <c r="C8" s="452" t="s">
        <v>13100</v>
      </c>
      <c r="D8" s="452">
        <v>720</v>
      </c>
      <c r="E8" s="452">
        <v>704</v>
      </c>
    </row>
    <row r="9" spans="2:5" x14ac:dyDescent="0.2">
      <c r="B9" s="453" t="s">
        <v>13072</v>
      </c>
      <c r="C9" s="453" t="s">
        <v>13101</v>
      </c>
      <c r="D9" s="453">
        <v>463</v>
      </c>
      <c r="E9" s="453">
        <v>532</v>
      </c>
    </row>
    <row r="10" spans="2:5" x14ac:dyDescent="0.2">
      <c r="B10" s="453" t="s">
        <v>13073</v>
      </c>
      <c r="C10" s="453" t="s">
        <v>13102</v>
      </c>
      <c r="D10" s="453">
        <v>541</v>
      </c>
      <c r="E10" s="453">
        <v>609</v>
      </c>
    </row>
    <row r="11" spans="2:5" x14ac:dyDescent="0.2">
      <c r="B11" s="452" t="s">
        <v>13074</v>
      </c>
      <c r="C11" s="452" t="s">
        <v>13103</v>
      </c>
      <c r="D11" s="452">
        <v>422</v>
      </c>
      <c r="E11" s="452">
        <v>455</v>
      </c>
    </row>
    <row r="12" spans="2:5" x14ac:dyDescent="0.2">
      <c r="B12" s="452" t="s">
        <v>3469</v>
      </c>
      <c r="C12" s="452" t="s">
        <v>13104</v>
      </c>
      <c r="D12" s="452">
        <v>321</v>
      </c>
      <c r="E12" s="452">
        <v>321</v>
      </c>
    </row>
    <row r="13" spans="2:5" x14ac:dyDescent="0.2">
      <c r="B13" s="453" t="s">
        <v>13092</v>
      </c>
      <c r="C13" s="453" t="s">
        <v>13105</v>
      </c>
      <c r="D13" s="453">
        <v>393</v>
      </c>
      <c r="E13" s="453">
        <v>407</v>
      </c>
    </row>
    <row r="14" spans="2:5" x14ac:dyDescent="0.2">
      <c r="B14" s="453" t="s">
        <v>13107</v>
      </c>
      <c r="C14" s="453" t="s">
        <v>16043</v>
      </c>
      <c r="D14" s="453">
        <v>1723</v>
      </c>
      <c r="E14" s="453">
        <v>1734</v>
      </c>
    </row>
    <row r="15" spans="2:5" x14ac:dyDescent="0.2">
      <c r="B15" s="452" t="s">
        <v>17623</v>
      </c>
      <c r="C15" s="452" t="s">
        <v>17624</v>
      </c>
      <c r="D15" s="452">
        <v>1535</v>
      </c>
      <c r="E15" s="452">
        <v>1542</v>
      </c>
    </row>
    <row r="16" spans="2:5" x14ac:dyDescent="0.2">
      <c r="B16" s="458" t="s">
        <v>23100</v>
      </c>
      <c r="C16" s="452" t="s">
        <v>23101</v>
      </c>
      <c r="D16" s="537"/>
      <c r="E16" s="537"/>
    </row>
    <row r="18" spans="3:5" x14ac:dyDescent="0.2">
      <c r="C18" s="452">
        <v>2017</v>
      </c>
      <c r="D18" s="452">
        <f>SUM(D5:D6)</f>
        <v>831</v>
      </c>
      <c r="E18" s="452">
        <f>SUM(E5:E6)</f>
        <v>863</v>
      </c>
    </row>
    <row r="19" spans="3:5" x14ac:dyDescent="0.2">
      <c r="C19" s="452">
        <v>2018</v>
      </c>
      <c r="D19" s="452">
        <f>SUM(D7:D8)</f>
        <v>1181</v>
      </c>
      <c r="E19" s="452">
        <f>SUM(E7:E8)</f>
        <v>1148</v>
      </c>
    </row>
    <row r="20" spans="3:5" x14ac:dyDescent="0.2">
      <c r="C20" s="452">
        <v>2019</v>
      </c>
      <c r="D20" s="452">
        <f>SUM(D9:D10)</f>
        <v>1004</v>
      </c>
      <c r="E20" s="452">
        <f>SUM(E9:E10)</f>
        <v>1141</v>
      </c>
    </row>
    <row r="21" spans="3:5" x14ac:dyDescent="0.2">
      <c r="C21" s="452">
        <v>2020</v>
      </c>
      <c r="D21" s="452">
        <f>SUM(D11:D12)</f>
        <v>743</v>
      </c>
      <c r="E21" s="452">
        <f>SUM(E11:E12)</f>
        <v>776</v>
      </c>
    </row>
    <row r="22" spans="3:5" x14ac:dyDescent="0.2">
      <c r="C22" s="452">
        <v>2021</v>
      </c>
      <c r="D22" s="452">
        <f>SUM(D13:D14)</f>
        <v>2116</v>
      </c>
      <c r="E22" s="452">
        <f>SUM(E13:E14)</f>
        <v>2141</v>
      </c>
    </row>
    <row r="23" spans="3:5" x14ac:dyDescent="0.2">
      <c r="C23" s="452">
        <v>2022</v>
      </c>
      <c r="D23" s="452"/>
      <c r="E23" s="452"/>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9"/>
  <sheetViews>
    <sheetView zoomScale="90" zoomScaleNormal="90" workbookViewId="0">
      <selection activeCell="B1" sqref="B1"/>
    </sheetView>
  </sheetViews>
  <sheetFormatPr defaultRowHeight="12.75" x14ac:dyDescent="0.2"/>
  <cols>
    <col min="1" max="1" width="2.5703125" style="450" customWidth="1"/>
    <col min="2" max="2" width="9.140625" style="450"/>
    <col min="3" max="3" width="17.28515625" style="450" customWidth="1"/>
    <col min="4" max="4" width="11.85546875" style="450" customWidth="1"/>
    <col min="5" max="5" width="9.140625" style="450"/>
    <col min="6" max="6" width="2.85546875" style="450" customWidth="1"/>
    <col min="7" max="7" width="5.7109375" style="450" customWidth="1"/>
    <col min="8" max="8" width="9.140625" style="450"/>
    <col min="9" max="9" width="16.42578125" style="450" customWidth="1"/>
    <col min="10" max="10" width="16.5703125" style="450" customWidth="1"/>
    <col min="11" max="16384" width="9.140625" style="450"/>
  </cols>
  <sheetData>
    <row r="2" spans="2:5" x14ac:dyDescent="0.2">
      <c r="B2" s="450" t="s">
        <v>3461</v>
      </c>
    </row>
    <row r="3" spans="2:5" ht="38.25" x14ac:dyDescent="0.2">
      <c r="B3" s="451" t="s">
        <v>171</v>
      </c>
      <c r="C3" s="451" t="s">
        <v>23099</v>
      </c>
      <c r="D3" s="451" t="s">
        <v>6539</v>
      </c>
      <c r="E3" s="451" t="s">
        <v>3483</v>
      </c>
    </row>
    <row r="4" spans="2:5" x14ac:dyDescent="0.2">
      <c r="B4" s="453" t="s">
        <v>3469</v>
      </c>
      <c r="C4" s="453">
        <v>2017</v>
      </c>
      <c r="D4" s="457">
        <v>831</v>
      </c>
      <c r="E4" s="457">
        <v>863</v>
      </c>
    </row>
    <row r="5" spans="2:5" x14ac:dyDescent="0.2">
      <c r="B5" s="452" t="s">
        <v>3470</v>
      </c>
      <c r="C5" s="452">
        <v>2018</v>
      </c>
      <c r="D5" s="458">
        <v>1181</v>
      </c>
      <c r="E5" s="458">
        <v>1148</v>
      </c>
    </row>
    <row r="6" spans="2:5" x14ac:dyDescent="0.2">
      <c r="B6" s="453" t="s">
        <v>3471</v>
      </c>
      <c r="C6" s="453">
        <v>2019</v>
      </c>
      <c r="D6" s="457">
        <v>1004</v>
      </c>
      <c r="E6" s="457">
        <v>1141</v>
      </c>
    </row>
    <row r="7" spans="2:5" x14ac:dyDescent="0.2">
      <c r="B7" s="452" t="s">
        <v>3472</v>
      </c>
      <c r="C7" s="452">
        <v>2020</v>
      </c>
      <c r="D7" s="458">
        <v>743</v>
      </c>
      <c r="E7" s="458">
        <v>776</v>
      </c>
    </row>
    <row r="8" spans="2:5" x14ac:dyDescent="0.2">
      <c r="B8" s="452" t="s">
        <v>3473</v>
      </c>
      <c r="C8" s="452">
        <v>2021</v>
      </c>
      <c r="D8" s="458">
        <v>2116</v>
      </c>
      <c r="E8" s="458">
        <v>2141</v>
      </c>
    </row>
    <row r="9" spans="2:5" x14ac:dyDescent="0.2">
      <c r="B9" s="452" t="s">
        <v>3474</v>
      </c>
      <c r="C9" s="452">
        <v>2022</v>
      </c>
      <c r="D9" s="452"/>
      <c r="E9" s="452"/>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565"/>
  <sheetViews>
    <sheetView zoomScale="80" zoomScaleNormal="80" workbookViewId="0"/>
  </sheetViews>
  <sheetFormatPr defaultRowHeight="15" x14ac:dyDescent="0.25"/>
  <cols>
    <col min="1" max="1" width="45.28515625" style="138" customWidth="1"/>
    <col min="2" max="2" width="22.7109375" style="138" customWidth="1"/>
    <col min="3" max="3" width="22.5703125" style="138" customWidth="1"/>
    <col min="4" max="4" width="13.42578125" style="28" customWidth="1"/>
    <col min="5" max="5" width="9.85546875" style="28" customWidth="1"/>
    <col min="6" max="13" width="9.140625" style="28"/>
  </cols>
  <sheetData>
    <row r="1" spans="1:16" s="25" customFormat="1" x14ac:dyDescent="0.25">
      <c r="A1" s="158" t="s">
        <v>176</v>
      </c>
      <c r="B1" s="158" t="s">
        <v>177</v>
      </c>
      <c r="C1" s="158" t="s">
        <v>178</v>
      </c>
      <c r="D1" s="62" t="s">
        <v>179</v>
      </c>
      <c r="E1" s="62" t="s">
        <v>180</v>
      </c>
      <c r="F1" s="62" t="s">
        <v>181</v>
      </c>
      <c r="G1" s="62" t="s">
        <v>182</v>
      </c>
      <c r="H1" s="62" t="s">
        <v>183</v>
      </c>
      <c r="I1" s="62" t="s">
        <v>184</v>
      </c>
      <c r="J1" s="62" t="s">
        <v>185</v>
      </c>
      <c r="K1" s="62" t="s">
        <v>186</v>
      </c>
      <c r="L1" s="62" t="s">
        <v>187</v>
      </c>
      <c r="M1" s="62"/>
      <c r="P1" s="27">
        <v>446</v>
      </c>
    </row>
    <row r="2" spans="1:16" x14ac:dyDescent="0.25">
      <c r="A2" s="35" t="s">
        <v>4183</v>
      </c>
      <c r="B2" s="35" t="s">
        <v>4184</v>
      </c>
      <c r="C2" s="35" t="s">
        <v>1188</v>
      </c>
      <c r="D2" s="30" t="s">
        <v>4185</v>
      </c>
      <c r="E2" s="30" t="s">
        <v>233</v>
      </c>
      <c r="F2" s="30">
        <v>1</v>
      </c>
      <c r="G2" s="30" t="s">
        <v>193</v>
      </c>
      <c r="H2" s="30" t="s">
        <v>194</v>
      </c>
      <c r="I2" s="30" t="s">
        <v>3597</v>
      </c>
      <c r="J2" s="30" t="s">
        <v>4186</v>
      </c>
      <c r="K2" s="30">
        <v>18</v>
      </c>
      <c r="L2" s="30" t="s">
        <v>1190</v>
      </c>
      <c r="M2" s="30" t="str">
        <f>MID(L2,8,6)</f>
        <v>532102</v>
      </c>
      <c r="N2" s="30">
        <v>1</v>
      </c>
      <c r="P2" s="29">
        <v>117</v>
      </c>
    </row>
    <row r="3" spans="1:16" x14ac:dyDescent="0.25">
      <c r="A3" s="35" t="s">
        <v>3602</v>
      </c>
      <c r="B3" s="35" t="s">
        <v>4187</v>
      </c>
      <c r="C3" s="35" t="s">
        <v>127</v>
      </c>
      <c r="D3" s="30" t="s">
        <v>4185</v>
      </c>
      <c r="E3" s="30" t="s">
        <v>217</v>
      </c>
      <c r="F3" s="84">
        <v>0</v>
      </c>
      <c r="G3" s="84" t="s">
        <v>194</v>
      </c>
      <c r="H3" s="30" t="s">
        <v>193</v>
      </c>
      <c r="I3" s="30" t="s">
        <v>3597</v>
      </c>
      <c r="J3" s="30" t="s">
        <v>4188</v>
      </c>
      <c r="K3" s="30">
        <v>18</v>
      </c>
      <c r="L3" s="30" t="s">
        <v>2139</v>
      </c>
      <c r="M3" s="30" t="str">
        <f t="shared" ref="M3:M66" si="0">MID(L3,8,6)</f>
        <v>723307</v>
      </c>
      <c r="N3" s="84">
        <v>1</v>
      </c>
      <c r="P3" s="28">
        <f>SUM(P1:P2)</f>
        <v>563</v>
      </c>
    </row>
    <row r="4" spans="1:16" x14ac:dyDescent="0.25">
      <c r="A4" s="35" t="s">
        <v>1011</v>
      </c>
      <c r="B4" s="35" t="s">
        <v>1012</v>
      </c>
      <c r="C4" s="35" t="s">
        <v>4189</v>
      </c>
      <c r="D4" s="30" t="s">
        <v>4185</v>
      </c>
      <c r="E4" s="30" t="s">
        <v>233</v>
      </c>
      <c r="F4" s="30">
        <v>1</v>
      </c>
      <c r="G4" s="30" t="s">
        <v>193</v>
      </c>
      <c r="H4" s="30" t="s">
        <v>194</v>
      </c>
      <c r="I4" s="30" t="s">
        <v>3597</v>
      </c>
      <c r="J4" s="30" t="s">
        <v>276</v>
      </c>
      <c r="K4" s="30">
        <v>18</v>
      </c>
      <c r="L4" s="30" t="s">
        <v>4190</v>
      </c>
      <c r="M4" s="30" t="str">
        <f t="shared" si="0"/>
        <v>241203</v>
      </c>
      <c r="N4" s="30">
        <v>1</v>
      </c>
      <c r="P4" s="27">
        <f>ROWS(N2:N564)</f>
        <v>563</v>
      </c>
    </row>
    <row r="5" spans="1:16" x14ac:dyDescent="0.25">
      <c r="A5" s="35" t="s">
        <v>1011</v>
      </c>
      <c r="B5" s="35" t="s">
        <v>1014</v>
      </c>
      <c r="C5" s="35" t="s">
        <v>95</v>
      </c>
      <c r="D5" s="30" t="s">
        <v>4185</v>
      </c>
      <c r="E5" s="30" t="s">
        <v>233</v>
      </c>
      <c r="F5" s="30">
        <v>1</v>
      </c>
      <c r="G5" s="30" t="s">
        <v>193</v>
      </c>
      <c r="H5" s="30" t="s">
        <v>194</v>
      </c>
      <c r="I5" s="30" t="s">
        <v>3597</v>
      </c>
      <c r="J5" s="30" t="s">
        <v>276</v>
      </c>
      <c r="K5" s="30">
        <v>18</v>
      </c>
      <c r="L5" s="30" t="s">
        <v>1015</v>
      </c>
      <c r="M5" s="30" t="str">
        <f t="shared" si="0"/>
        <v>122102</v>
      </c>
      <c r="N5" s="30">
        <v>1</v>
      </c>
    </row>
    <row r="6" spans="1:16" x14ac:dyDescent="0.25">
      <c r="A6" s="35" t="s">
        <v>4191</v>
      </c>
      <c r="B6" s="35" t="s">
        <v>4192</v>
      </c>
      <c r="C6" s="35" t="s">
        <v>51</v>
      </c>
      <c r="D6" s="30" t="s">
        <v>4185</v>
      </c>
      <c r="E6" s="30" t="s">
        <v>252</v>
      </c>
      <c r="F6" s="30">
        <v>1</v>
      </c>
      <c r="G6" s="30" t="s">
        <v>193</v>
      </c>
      <c r="H6" s="30" t="s">
        <v>194</v>
      </c>
      <c r="I6" s="30" t="s">
        <v>3597</v>
      </c>
      <c r="J6" s="30" t="s">
        <v>249</v>
      </c>
      <c r="K6" s="30">
        <v>18</v>
      </c>
      <c r="L6" s="30" t="s">
        <v>904</v>
      </c>
      <c r="M6" s="30" t="str">
        <f t="shared" si="0"/>
        <v>523002</v>
      </c>
      <c r="N6" s="30">
        <v>1</v>
      </c>
    </row>
    <row r="7" spans="1:16" x14ac:dyDescent="0.25">
      <c r="A7" s="35" t="s">
        <v>3644</v>
      </c>
      <c r="B7" s="35" t="s">
        <v>4193</v>
      </c>
      <c r="C7" s="35" t="s">
        <v>2658</v>
      </c>
      <c r="D7" s="30" t="s">
        <v>4185</v>
      </c>
      <c r="E7" s="30" t="s">
        <v>217</v>
      </c>
      <c r="F7" s="84">
        <v>0</v>
      </c>
      <c r="G7" s="84" t="s">
        <v>194</v>
      </c>
      <c r="H7" s="30" t="s">
        <v>193</v>
      </c>
      <c r="I7" s="30" t="s">
        <v>3597</v>
      </c>
      <c r="J7" s="30" t="s">
        <v>4194</v>
      </c>
      <c r="K7" s="30">
        <v>18</v>
      </c>
      <c r="L7" s="30" t="s">
        <v>2659</v>
      </c>
      <c r="M7" s="30" t="str">
        <f t="shared" si="0"/>
        <v>311508</v>
      </c>
      <c r="N7" s="84">
        <v>1</v>
      </c>
    </row>
    <row r="8" spans="1:16" x14ac:dyDescent="0.25">
      <c r="A8" s="35" t="s">
        <v>3644</v>
      </c>
      <c r="B8" s="35" t="s">
        <v>4195</v>
      </c>
      <c r="C8" s="35" t="s">
        <v>83</v>
      </c>
      <c r="D8" s="30" t="s">
        <v>4185</v>
      </c>
      <c r="E8" s="30" t="s">
        <v>217</v>
      </c>
      <c r="F8" s="84">
        <v>0</v>
      </c>
      <c r="G8" s="84" t="s">
        <v>194</v>
      </c>
      <c r="H8" s="30" t="s">
        <v>193</v>
      </c>
      <c r="I8" s="30" t="s">
        <v>3597</v>
      </c>
      <c r="J8" s="30" t="s">
        <v>4196</v>
      </c>
      <c r="K8" s="30">
        <v>18</v>
      </c>
      <c r="L8" s="30" t="s">
        <v>791</v>
      </c>
      <c r="M8" s="30" t="str">
        <f t="shared" si="0"/>
        <v>721204</v>
      </c>
      <c r="N8" s="84">
        <v>1</v>
      </c>
    </row>
    <row r="9" spans="1:16" x14ac:dyDescent="0.25">
      <c r="A9" s="35" t="s">
        <v>3810</v>
      </c>
      <c r="B9" s="35" t="s">
        <v>4197</v>
      </c>
      <c r="C9" s="35" t="s">
        <v>2029</v>
      </c>
      <c r="D9" s="30" t="s">
        <v>4185</v>
      </c>
      <c r="E9" s="30" t="s">
        <v>233</v>
      </c>
      <c r="F9" s="30">
        <v>1</v>
      </c>
      <c r="G9" s="30" t="s">
        <v>193</v>
      </c>
      <c r="H9" s="30" t="s">
        <v>194</v>
      </c>
      <c r="I9" s="30" t="s">
        <v>3597</v>
      </c>
      <c r="J9" s="30" t="s">
        <v>210</v>
      </c>
      <c r="K9" s="30">
        <v>18</v>
      </c>
      <c r="L9" s="30" t="s">
        <v>2030</v>
      </c>
      <c r="M9" s="30" t="str">
        <f t="shared" si="0"/>
        <v>132102</v>
      </c>
      <c r="N9" s="30">
        <v>1</v>
      </c>
    </row>
    <row r="10" spans="1:16" x14ac:dyDescent="0.25">
      <c r="A10" s="35" t="s">
        <v>2259</v>
      </c>
      <c r="B10" s="35" t="s">
        <v>4198</v>
      </c>
      <c r="C10" s="35" t="s">
        <v>3654</v>
      </c>
      <c r="D10" s="30" t="s">
        <v>4185</v>
      </c>
      <c r="E10" s="30" t="s">
        <v>233</v>
      </c>
      <c r="F10" s="30">
        <v>1</v>
      </c>
      <c r="G10" s="30" t="s">
        <v>193</v>
      </c>
      <c r="H10" s="30" t="s">
        <v>194</v>
      </c>
      <c r="I10" s="30" t="s">
        <v>4199</v>
      </c>
      <c r="J10" s="30" t="s">
        <v>210</v>
      </c>
      <c r="K10" s="30">
        <v>18</v>
      </c>
      <c r="L10" s="30" t="s">
        <v>3655</v>
      </c>
      <c r="M10" s="30" t="str">
        <f t="shared" si="0"/>
        <v>122101</v>
      </c>
      <c r="N10" s="30">
        <v>1</v>
      </c>
    </row>
    <row r="11" spans="1:16" x14ac:dyDescent="0.25">
      <c r="A11" s="35" t="s">
        <v>3107</v>
      </c>
      <c r="B11" s="35" t="s">
        <v>537</v>
      </c>
      <c r="C11" s="35" t="s">
        <v>778</v>
      </c>
      <c r="D11" s="30" t="s">
        <v>4200</v>
      </c>
      <c r="E11" s="30" t="s">
        <v>233</v>
      </c>
      <c r="F11" s="84">
        <v>0</v>
      </c>
      <c r="G11" s="84" t="s">
        <v>194</v>
      </c>
      <c r="H11" s="30" t="s">
        <v>193</v>
      </c>
      <c r="I11" s="30" t="s">
        <v>4201</v>
      </c>
      <c r="J11" s="30" t="s">
        <v>4202</v>
      </c>
      <c r="K11" s="30">
        <v>18</v>
      </c>
      <c r="L11" s="30" t="s">
        <v>779</v>
      </c>
      <c r="M11" s="30" t="str">
        <f t="shared" si="0"/>
        <v>524902</v>
      </c>
      <c r="N11" s="84">
        <v>1</v>
      </c>
    </row>
    <row r="12" spans="1:16" x14ac:dyDescent="0.25">
      <c r="A12" s="35" t="s">
        <v>1040</v>
      </c>
      <c r="B12" s="35" t="s">
        <v>1609</v>
      </c>
      <c r="C12" s="35" t="s">
        <v>944</v>
      </c>
      <c r="D12" s="30" t="s">
        <v>4200</v>
      </c>
      <c r="E12" s="30" t="s">
        <v>233</v>
      </c>
      <c r="F12" s="30">
        <v>1</v>
      </c>
      <c r="G12" s="30" t="s">
        <v>193</v>
      </c>
      <c r="H12" s="30" t="s">
        <v>194</v>
      </c>
      <c r="I12" s="30" t="s">
        <v>4203</v>
      </c>
      <c r="J12" s="30" t="s">
        <v>253</v>
      </c>
      <c r="K12" s="30">
        <v>18</v>
      </c>
      <c r="L12" s="30" t="s">
        <v>945</v>
      </c>
      <c r="M12" s="30" t="str">
        <f t="shared" si="0"/>
        <v>321301</v>
      </c>
      <c r="N12" s="30">
        <v>1</v>
      </c>
    </row>
    <row r="13" spans="1:16" x14ac:dyDescent="0.25">
      <c r="A13" s="35" t="s">
        <v>894</v>
      </c>
      <c r="B13" s="35" t="s">
        <v>4204</v>
      </c>
      <c r="C13" s="35" t="s">
        <v>3801</v>
      </c>
      <c r="D13" s="30" t="s">
        <v>4200</v>
      </c>
      <c r="E13" s="30" t="s">
        <v>217</v>
      </c>
      <c r="F13" s="84">
        <v>0</v>
      </c>
      <c r="G13" s="84" t="s">
        <v>194</v>
      </c>
      <c r="H13" s="30" t="s">
        <v>193</v>
      </c>
      <c r="I13" s="30" t="s">
        <v>4201</v>
      </c>
      <c r="J13" s="30" t="s">
        <v>4205</v>
      </c>
      <c r="K13" s="30">
        <v>18</v>
      </c>
      <c r="L13" s="30" t="s">
        <v>3802</v>
      </c>
      <c r="M13" s="30" t="str">
        <f t="shared" si="0"/>
        <v>713203</v>
      </c>
      <c r="N13" s="84">
        <v>1</v>
      </c>
    </row>
    <row r="14" spans="1:16" x14ac:dyDescent="0.25">
      <c r="A14" s="35" t="s">
        <v>888</v>
      </c>
      <c r="B14" s="35" t="s">
        <v>3947</v>
      </c>
      <c r="C14" s="35" t="s">
        <v>119</v>
      </c>
      <c r="D14" s="30" t="s">
        <v>3595</v>
      </c>
      <c r="E14" s="30" t="s">
        <v>217</v>
      </c>
      <c r="F14" s="30">
        <v>1</v>
      </c>
      <c r="G14" s="30" t="s">
        <v>193</v>
      </c>
      <c r="H14" s="30" t="s">
        <v>194</v>
      </c>
      <c r="I14" s="30" t="s">
        <v>4203</v>
      </c>
      <c r="J14" s="30" t="s">
        <v>4206</v>
      </c>
      <c r="K14" s="30">
        <v>18</v>
      </c>
      <c r="L14" s="30" t="s">
        <v>666</v>
      </c>
      <c r="M14" s="30" t="str">
        <f t="shared" si="0"/>
        <v>333105</v>
      </c>
      <c r="N14" s="30">
        <v>1</v>
      </c>
    </row>
    <row r="15" spans="1:16" x14ac:dyDescent="0.25">
      <c r="A15" s="35" t="s">
        <v>888</v>
      </c>
      <c r="B15" s="35" t="s">
        <v>3947</v>
      </c>
      <c r="C15" s="35" t="s">
        <v>119</v>
      </c>
      <c r="D15" s="30" t="s">
        <v>3595</v>
      </c>
      <c r="E15" s="30" t="s">
        <v>217</v>
      </c>
      <c r="F15" s="30">
        <v>1</v>
      </c>
      <c r="G15" s="30" t="s">
        <v>193</v>
      </c>
      <c r="H15" s="30" t="s">
        <v>194</v>
      </c>
      <c r="I15" s="30" t="s">
        <v>4203</v>
      </c>
      <c r="J15" s="30" t="s">
        <v>747</v>
      </c>
      <c r="K15" s="30">
        <v>18</v>
      </c>
      <c r="L15" s="30" t="s">
        <v>666</v>
      </c>
      <c r="M15" s="30" t="str">
        <f t="shared" si="0"/>
        <v>333105</v>
      </c>
      <c r="N15" s="30">
        <v>1</v>
      </c>
    </row>
    <row r="16" spans="1:16" x14ac:dyDescent="0.25">
      <c r="A16" s="35" t="s">
        <v>2315</v>
      </c>
      <c r="B16" s="35" t="s">
        <v>4207</v>
      </c>
      <c r="C16" s="35" t="s">
        <v>566</v>
      </c>
      <c r="D16" s="30" t="s">
        <v>3595</v>
      </c>
      <c r="E16" s="30" t="s">
        <v>233</v>
      </c>
      <c r="F16" s="30">
        <v>1</v>
      </c>
      <c r="G16" s="30" t="s">
        <v>193</v>
      </c>
      <c r="H16" s="30" t="s">
        <v>194</v>
      </c>
      <c r="I16" s="30" t="s">
        <v>4201</v>
      </c>
      <c r="J16" s="30" t="s">
        <v>196</v>
      </c>
      <c r="K16" s="30">
        <v>18</v>
      </c>
      <c r="L16" s="30" t="s">
        <v>567</v>
      </c>
      <c r="M16" s="30" t="str">
        <f t="shared" si="0"/>
        <v>311504</v>
      </c>
      <c r="N16" s="30">
        <v>1</v>
      </c>
    </row>
    <row r="17" spans="1:14" x14ac:dyDescent="0.25">
      <c r="A17" s="35" t="s">
        <v>4208</v>
      </c>
      <c r="B17" s="35" t="s">
        <v>2015</v>
      </c>
      <c r="C17" s="35" t="s">
        <v>870</v>
      </c>
      <c r="D17" s="30" t="s">
        <v>3595</v>
      </c>
      <c r="E17" s="30" t="s">
        <v>233</v>
      </c>
      <c r="F17" s="30">
        <v>1</v>
      </c>
      <c r="G17" s="30" t="s">
        <v>193</v>
      </c>
      <c r="H17" s="30" t="s">
        <v>194</v>
      </c>
      <c r="I17" s="30" t="s">
        <v>4199</v>
      </c>
      <c r="J17" s="30" t="s">
        <v>4209</v>
      </c>
      <c r="K17" s="30">
        <v>18</v>
      </c>
      <c r="L17" s="30" t="s">
        <v>872</v>
      </c>
      <c r="M17" s="30" t="str">
        <f t="shared" si="0"/>
        <v>832202</v>
      </c>
      <c r="N17" s="30">
        <v>1</v>
      </c>
    </row>
    <row r="18" spans="1:14" x14ac:dyDescent="0.25">
      <c r="A18" s="35" t="s">
        <v>4210</v>
      </c>
      <c r="B18" s="35" t="s">
        <v>4211</v>
      </c>
      <c r="C18" s="35" t="s">
        <v>4212</v>
      </c>
      <c r="D18" s="30" t="s">
        <v>3595</v>
      </c>
      <c r="E18" s="30" t="s">
        <v>233</v>
      </c>
      <c r="F18" s="30">
        <v>1</v>
      </c>
      <c r="G18" s="30" t="s">
        <v>193</v>
      </c>
      <c r="H18" s="30" t="s">
        <v>194</v>
      </c>
      <c r="I18" s="30" t="s">
        <v>4201</v>
      </c>
      <c r="J18" s="30" t="s">
        <v>210</v>
      </c>
      <c r="K18" s="30">
        <v>18</v>
      </c>
      <c r="L18" s="30" t="s">
        <v>4213</v>
      </c>
      <c r="M18" s="30" t="str">
        <f t="shared" si="0"/>
        <v>711501</v>
      </c>
      <c r="N18" s="30">
        <v>1</v>
      </c>
    </row>
    <row r="19" spans="1:14" x14ac:dyDescent="0.25">
      <c r="A19" s="35" t="s">
        <v>3637</v>
      </c>
      <c r="B19" s="35" t="s">
        <v>3638</v>
      </c>
      <c r="C19" s="35" t="s">
        <v>3639</v>
      </c>
      <c r="D19" s="30" t="s">
        <v>3595</v>
      </c>
      <c r="E19" s="30" t="s">
        <v>217</v>
      </c>
      <c r="F19" s="84">
        <v>0</v>
      </c>
      <c r="G19" s="84" t="s">
        <v>194</v>
      </c>
      <c r="H19" s="30" t="s">
        <v>193</v>
      </c>
      <c r="I19" s="30" t="s">
        <v>4199</v>
      </c>
      <c r="J19" s="30" t="s">
        <v>3640</v>
      </c>
      <c r="K19" s="30">
        <v>18</v>
      </c>
      <c r="L19" s="30" t="s">
        <v>3641</v>
      </c>
      <c r="M19" s="30" t="str">
        <f t="shared" si="0"/>
        <v>711903</v>
      </c>
      <c r="N19" s="84">
        <v>1</v>
      </c>
    </row>
    <row r="20" spans="1:14" x14ac:dyDescent="0.25">
      <c r="A20" s="35" t="s">
        <v>1040</v>
      </c>
      <c r="B20" s="35" t="s">
        <v>8</v>
      </c>
      <c r="C20" s="35" t="s">
        <v>740</v>
      </c>
      <c r="D20" s="30" t="s">
        <v>3595</v>
      </c>
      <c r="E20" s="30" t="s">
        <v>233</v>
      </c>
      <c r="F20" s="30">
        <v>1</v>
      </c>
      <c r="G20" s="30" t="s">
        <v>193</v>
      </c>
      <c r="H20" s="30" t="s">
        <v>194</v>
      </c>
      <c r="I20" s="30" t="s">
        <v>4203</v>
      </c>
      <c r="J20" s="30" t="s">
        <v>408</v>
      </c>
      <c r="K20" s="30">
        <v>18</v>
      </c>
      <c r="L20" s="30" t="s">
        <v>741</v>
      </c>
      <c r="M20" s="30" t="str">
        <f t="shared" si="0"/>
        <v>522301</v>
      </c>
      <c r="N20" s="30">
        <v>1</v>
      </c>
    </row>
    <row r="21" spans="1:14" x14ac:dyDescent="0.25">
      <c r="A21" s="35" t="s">
        <v>4214</v>
      </c>
      <c r="B21" s="35" t="s">
        <v>610</v>
      </c>
      <c r="C21" s="35" t="s">
        <v>566</v>
      </c>
      <c r="D21" s="30" t="s">
        <v>3595</v>
      </c>
      <c r="E21" s="30" t="s">
        <v>233</v>
      </c>
      <c r="F21" s="30">
        <v>1</v>
      </c>
      <c r="G21" s="30" t="s">
        <v>193</v>
      </c>
      <c r="H21" s="30" t="s">
        <v>194</v>
      </c>
      <c r="I21" s="30" t="s">
        <v>4201</v>
      </c>
      <c r="J21" s="30" t="s">
        <v>210</v>
      </c>
      <c r="K21" s="30">
        <v>18</v>
      </c>
      <c r="L21" s="30" t="s">
        <v>567</v>
      </c>
      <c r="M21" s="30" t="str">
        <f t="shared" si="0"/>
        <v>311504</v>
      </c>
      <c r="N21" s="30">
        <v>1</v>
      </c>
    </row>
    <row r="22" spans="1:14" x14ac:dyDescent="0.25">
      <c r="A22" s="35" t="s">
        <v>4215</v>
      </c>
      <c r="B22" s="35" t="s">
        <v>4216</v>
      </c>
      <c r="C22" s="35" t="s">
        <v>3645</v>
      </c>
      <c r="D22" s="30" t="s">
        <v>3595</v>
      </c>
      <c r="E22" s="30" t="s">
        <v>233</v>
      </c>
      <c r="F22" s="30">
        <v>1</v>
      </c>
      <c r="G22" s="30" t="s">
        <v>193</v>
      </c>
      <c r="H22" s="30" t="s">
        <v>194</v>
      </c>
      <c r="I22" s="30" t="s">
        <v>4201</v>
      </c>
      <c r="J22" s="30" t="s">
        <v>408</v>
      </c>
      <c r="K22" s="30">
        <v>18</v>
      </c>
      <c r="L22" s="30" t="s">
        <v>3647</v>
      </c>
      <c r="M22" s="30" t="str">
        <f t="shared" si="0"/>
        <v>741207</v>
      </c>
      <c r="N22" s="30">
        <v>1</v>
      </c>
    </row>
    <row r="23" spans="1:14" x14ac:dyDescent="0.25">
      <c r="A23" s="35" t="s">
        <v>562</v>
      </c>
      <c r="B23" s="35" t="s">
        <v>4217</v>
      </c>
      <c r="C23" s="35" t="s">
        <v>366</v>
      </c>
      <c r="D23" s="30" t="s">
        <v>4218</v>
      </c>
      <c r="E23" s="30" t="s">
        <v>192</v>
      </c>
      <c r="F23" s="30">
        <v>1</v>
      </c>
      <c r="G23" s="30" t="s">
        <v>193</v>
      </c>
      <c r="H23" s="30" t="s">
        <v>194</v>
      </c>
      <c r="I23" s="30" t="s">
        <v>4201</v>
      </c>
      <c r="J23" s="30" t="s">
        <v>253</v>
      </c>
      <c r="K23" s="30">
        <v>18</v>
      </c>
      <c r="L23" s="30" t="s">
        <v>368</v>
      </c>
      <c r="M23" s="30" t="str">
        <f t="shared" si="0"/>
        <v>215201</v>
      </c>
      <c r="N23" s="30">
        <v>1</v>
      </c>
    </row>
    <row r="24" spans="1:14" x14ac:dyDescent="0.25">
      <c r="A24" s="35" t="s">
        <v>4219</v>
      </c>
      <c r="B24" s="35" t="s">
        <v>1462</v>
      </c>
      <c r="C24" s="35" t="s">
        <v>29</v>
      </c>
      <c r="D24" s="30" t="s">
        <v>4218</v>
      </c>
      <c r="E24" s="30" t="s">
        <v>192</v>
      </c>
      <c r="F24" s="30">
        <v>1</v>
      </c>
      <c r="G24" s="30" t="s">
        <v>193</v>
      </c>
      <c r="H24" s="30" t="s">
        <v>194</v>
      </c>
      <c r="I24" s="30" t="s">
        <v>4203</v>
      </c>
      <c r="J24" s="30" t="s">
        <v>2183</v>
      </c>
      <c r="K24" s="30">
        <v>18</v>
      </c>
      <c r="L24" s="30" t="s">
        <v>808</v>
      </c>
      <c r="M24" s="30" t="str">
        <f t="shared" si="0"/>
        <v>722308</v>
      </c>
      <c r="N24" s="30">
        <v>1</v>
      </c>
    </row>
    <row r="25" spans="1:14" x14ac:dyDescent="0.25">
      <c r="A25" s="35" t="s">
        <v>4220</v>
      </c>
      <c r="B25" s="35" t="s">
        <v>4221</v>
      </c>
      <c r="C25" s="35" t="s">
        <v>560</v>
      </c>
      <c r="D25" s="30" t="s">
        <v>4218</v>
      </c>
      <c r="E25" s="30" t="s">
        <v>192</v>
      </c>
      <c r="F25" s="30">
        <v>1</v>
      </c>
      <c r="G25" s="30" t="s">
        <v>193</v>
      </c>
      <c r="H25" s="30" t="s">
        <v>194</v>
      </c>
      <c r="I25" s="30" t="s">
        <v>4199</v>
      </c>
      <c r="J25" s="30" t="s">
        <v>253</v>
      </c>
      <c r="K25" s="30">
        <v>18</v>
      </c>
      <c r="L25" s="30" t="s">
        <v>561</v>
      </c>
      <c r="M25" s="30" t="str">
        <f t="shared" si="0"/>
        <v>311408</v>
      </c>
      <c r="N25" s="30">
        <v>1</v>
      </c>
    </row>
    <row r="26" spans="1:14" x14ac:dyDescent="0.25">
      <c r="A26" s="35" t="s">
        <v>1040</v>
      </c>
      <c r="B26" s="35" t="s">
        <v>8</v>
      </c>
      <c r="C26" s="35" t="s">
        <v>740</v>
      </c>
      <c r="D26" s="30" t="s">
        <v>4218</v>
      </c>
      <c r="E26" s="30" t="s">
        <v>233</v>
      </c>
      <c r="F26" s="30">
        <v>1</v>
      </c>
      <c r="G26" s="30" t="s">
        <v>193</v>
      </c>
      <c r="H26" s="30" t="s">
        <v>194</v>
      </c>
      <c r="I26" s="30" t="s">
        <v>4199</v>
      </c>
      <c r="J26" s="30" t="s">
        <v>210</v>
      </c>
      <c r="K26" s="30">
        <v>18</v>
      </c>
      <c r="L26" s="30" t="s">
        <v>741</v>
      </c>
      <c r="M26" s="30" t="str">
        <f t="shared" si="0"/>
        <v>522301</v>
      </c>
      <c r="N26" s="30">
        <v>1</v>
      </c>
    </row>
    <row r="27" spans="1:14" x14ac:dyDescent="0.25">
      <c r="A27" s="35" t="s">
        <v>1468</v>
      </c>
      <c r="B27" s="35" t="s">
        <v>2660</v>
      </c>
      <c r="C27" s="35" t="s">
        <v>4222</v>
      </c>
      <c r="D27" s="30" t="s">
        <v>4218</v>
      </c>
      <c r="E27" s="30" t="s">
        <v>192</v>
      </c>
      <c r="F27" s="30">
        <v>1</v>
      </c>
      <c r="G27" s="30" t="s">
        <v>193</v>
      </c>
      <c r="H27" s="30" t="s">
        <v>194</v>
      </c>
      <c r="I27" s="30" t="s">
        <v>4201</v>
      </c>
      <c r="J27" s="30" t="s">
        <v>301</v>
      </c>
      <c r="K27" s="30">
        <v>18</v>
      </c>
      <c r="L27" s="30" t="s">
        <v>4223</v>
      </c>
      <c r="M27" s="30" t="str">
        <f t="shared" si="0"/>
        <v>812118</v>
      </c>
      <c r="N27" s="30">
        <v>1</v>
      </c>
    </row>
    <row r="28" spans="1:14" x14ac:dyDescent="0.25">
      <c r="A28" s="35" t="s">
        <v>4224</v>
      </c>
      <c r="B28" s="35" t="s">
        <v>4225</v>
      </c>
      <c r="C28" s="35" t="s">
        <v>3427</v>
      </c>
      <c r="D28" s="30" t="s">
        <v>4218</v>
      </c>
      <c r="E28" s="30" t="s">
        <v>192</v>
      </c>
      <c r="F28" s="30">
        <v>1</v>
      </c>
      <c r="G28" s="30" t="s">
        <v>193</v>
      </c>
      <c r="H28" s="30" t="s">
        <v>194</v>
      </c>
      <c r="I28" s="30" t="s">
        <v>4201</v>
      </c>
      <c r="J28" s="30" t="s">
        <v>385</v>
      </c>
      <c r="K28" s="30">
        <v>18</v>
      </c>
      <c r="L28" s="30" t="s">
        <v>3428</v>
      </c>
      <c r="M28" s="30" t="str">
        <f t="shared" si="0"/>
        <v>251202</v>
      </c>
      <c r="N28" s="30">
        <v>1</v>
      </c>
    </row>
    <row r="29" spans="1:14" x14ac:dyDescent="0.25">
      <c r="A29" s="35" t="s">
        <v>1050</v>
      </c>
      <c r="B29" s="35" t="s">
        <v>8</v>
      </c>
      <c r="C29" s="35" t="s">
        <v>740</v>
      </c>
      <c r="D29" s="30" t="s">
        <v>4218</v>
      </c>
      <c r="E29" s="30" t="s">
        <v>233</v>
      </c>
      <c r="F29" s="30">
        <v>1</v>
      </c>
      <c r="G29" s="30" t="s">
        <v>193</v>
      </c>
      <c r="H29" s="30" t="s">
        <v>194</v>
      </c>
      <c r="I29" s="30" t="s">
        <v>4201</v>
      </c>
      <c r="J29" s="30" t="s">
        <v>316</v>
      </c>
      <c r="K29" s="30">
        <v>18</v>
      </c>
      <c r="L29" s="30" t="s">
        <v>741</v>
      </c>
      <c r="M29" s="30" t="str">
        <f t="shared" si="0"/>
        <v>522301</v>
      </c>
      <c r="N29" s="30">
        <v>1</v>
      </c>
    </row>
    <row r="30" spans="1:14" x14ac:dyDescent="0.25">
      <c r="A30" s="35" t="s">
        <v>1061</v>
      </c>
      <c r="B30" s="35" t="s">
        <v>1062</v>
      </c>
      <c r="C30" s="35" t="s">
        <v>396</v>
      </c>
      <c r="D30" s="30" t="s">
        <v>4218</v>
      </c>
      <c r="E30" s="30" t="s">
        <v>192</v>
      </c>
      <c r="F30" s="30">
        <v>1</v>
      </c>
      <c r="G30" s="30" t="s">
        <v>193</v>
      </c>
      <c r="H30" s="30" t="s">
        <v>194</v>
      </c>
      <c r="I30" s="30" t="s">
        <v>4201</v>
      </c>
      <c r="J30" s="30" t="s">
        <v>747</v>
      </c>
      <c r="K30" s="30">
        <v>18</v>
      </c>
      <c r="L30" s="30" t="s">
        <v>397</v>
      </c>
      <c r="M30" s="30" t="str">
        <f t="shared" si="0"/>
        <v>235301</v>
      </c>
      <c r="N30" s="30">
        <v>1</v>
      </c>
    </row>
    <row r="31" spans="1:14" x14ac:dyDescent="0.25">
      <c r="A31" s="35" t="s">
        <v>4154</v>
      </c>
      <c r="B31" s="35" t="s">
        <v>67</v>
      </c>
      <c r="C31" s="35" t="s">
        <v>67</v>
      </c>
      <c r="D31" s="30" t="s">
        <v>4218</v>
      </c>
      <c r="E31" s="30" t="s">
        <v>192</v>
      </c>
      <c r="F31" s="30">
        <v>1</v>
      </c>
      <c r="G31" s="30" t="s">
        <v>193</v>
      </c>
      <c r="H31" s="30" t="s">
        <v>194</v>
      </c>
      <c r="I31" s="30" t="s">
        <v>4201</v>
      </c>
      <c r="J31" s="30" t="s">
        <v>223</v>
      </c>
      <c r="K31" s="30">
        <v>18</v>
      </c>
      <c r="L31" s="30" t="s">
        <v>709</v>
      </c>
      <c r="M31" s="30" t="str">
        <f t="shared" si="0"/>
        <v>432103</v>
      </c>
      <c r="N31" s="30">
        <v>1</v>
      </c>
    </row>
    <row r="32" spans="1:14" x14ac:dyDescent="0.25">
      <c r="A32" s="35" t="s">
        <v>271</v>
      </c>
      <c r="B32" s="35" t="s">
        <v>4226</v>
      </c>
      <c r="C32" s="35" t="s">
        <v>36</v>
      </c>
      <c r="D32" s="30" t="s">
        <v>4218</v>
      </c>
      <c r="E32" s="30" t="s">
        <v>192</v>
      </c>
      <c r="F32" s="30">
        <v>1</v>
      </c>
      <c r="G32" s="30" t="s">
        <v>193</v>
      </c>
      <c r="H32" s="30" t="s">
        <v>194</v>
      </c>
      <c r="I32" s="30" t="s">
        <v>3597</v>
      </c>
      <c r="J32" s="30" t="s">
        <v>276</v>
      </c>
      <c r="K32" s="30">
        <v>18</v>
      </c>
      <c r="L32" s="30" t="s">
        <v>609</v>
      </c>
      <c r="M32" s="30" t="str">
        <f t="shared" si="0"/>
        <v>331301</v>
      </c>
      <c r="N32" s="30">
        <v>1</v>
      </c>
    </row>
    <row r="33" spans="1:14" x14ac:dyDescent="0.25">
      <c r="A33" s="35" t="s">
        <v>3761</v>
      </c>
      <c r="B33" s="35" t="s">
        <v>3871</v>
      </c>
      <c r="C33" s="35" t="s">
        <v>29</v>
      </c>
      <c r="D33" s="30" t="s">
        <v>4218</v>
      </c>
      <c r="E33" s="30" t="s">
        <v>233</v>
      </c>
      <c r="F33" s="30">
        <v>1</v>
      </c>
      <c r="G33" s="30" t="s">
        <v>193</v>
      </c>
      <c r="H33" s="30" t="s">
        <v>194</v>
      </c>
      <c r="I33" s="30" t="s">
        <v>4203</v>
      </c>
      <c r="J33" s="30" t="s">
        <v>253</v>
      </c>
      <c r="K33" s="30">
        <v>18</v>
      </c>
      <c r="L33" s="30" t="s">
        <v>808</v>
      </c>
      <c r="M33" s="30" t="str">
        <f t="shared" si="0"/>
        <v>722308</v>
      </c>
      <c r="N33" s="30">
        <v>1</v>
      </c>
    </row>
    <row r="34" spans="1:14" x14ac:dyDescent="0.25">
      <c r="A34" s="35" t="s">
        <v>2972</v>
      </c>
      <c r="B34" s="35" t="s">
        <v>4227</v>
      </c>
      <c r="C34" s="35" t="s">
        <v>1441</v>
      </c>
      <c r="D34" s="30" t="s">
        <v>4218</v>
      </c>
      <c r="E34" s="30" t="s">
        <v>192</v>
      </c>
      <c r="F34" s="30">
        <v>1</v>
      </c>
      <c r="G34" s="30" t="s">
        <v>193</v>
      </c>
      <c r="H34" s="30" t="s">
        <v>194</v>
      </c>
      <c r="I34" s="30" t="s">
        <v>4199</v>
      </c>
      <c r="J34" s="30" t="s">
        <v>316</v>
      </c>
      <c r="K34" s="30">
        <v>18</v>
      </c>
      <c r="L34" s="30" t="s">
        <v>1443</v>
      </c>
      <c r="M34" s="139" t="str">
        <f t="shared" si="0"/>
        <v>132103</v>
      </c>
      <c r="N34" s="30">
        <v>1</v>
      </c>
    </row>
    <row r="35" spans="1:14" x14ac:dyDescent="0.25">
      <c r="A35" s="35" t="s">
        <v>1376</v>
      </c>
      <c r="B35" s="35" t="s">
        <v>565</v>
      </c>
      <c r="C35" s="35" t="s">
        <v>566</v>
      </c>
      <c r="D35" s="30" t="s">
        <v>3594</v>
      </c>
      <c r="E35" s="30" t="s">
        <v>233</v>
      </c>
      <c r="F35" s="30">
        <v>1</v>
      </c>
      <c r="G35" s="30" t="s">
        <v>193</v>
      </c>
      <c r="H35" s="30" t="s">
        <v>194</v>
      </c>
      <c r="I35" s="30" t="s">
        <v>3595</v>
      </c>
      <c r="J35" s="30" t="s">
        <v>253</v>
      </c>
      <c r="K35" s="30">
        <v>18</v>
      </c>
      <c r="L35" s="30" t="s">
        <v>567</v>
      </c>
      <c r="M35" s="139" t="str">
        <f t="shared" si="0"/>
        <v>311504</v>
      </c>
      <c r="N35" s="30">
        <v>1</v>
      </c>
    </row>
    <row r="36" spans="1:14" x14ac:dyDescent="0.25">
      <c r="A36" s="35" t="s">
        <v>1376</v>
      </c>
      <c r="B36" s="35" t="s">
        <v>3596</v>
      </c>
      <c r="C36" s="35" t="s">
        <v>863</v>
      </c>
      <c r="D36" s="30" t="s">
        <v>3594</v>
      </c>
      <c r="E36" s="30" t="s">
        <v>233</v>
      </c>
      <c r="F36" s="30">
        <v>1</v>
      </c>
      <c r="G36" s="30" t="s">
        <v>193</v>
      </c>
      <c r="H36" s="30" t="s">
        <v>194</v>
      </c>
      <c r="I36" s="30" t="s">
        <v>3597</v>
      </c>
      <c r="J36" s="30" t="s">
        <v>253</v>
      </c>
      <c r="K36" s="30">
        <v>18</v>
      </c>
      <c r="L36" s="30" t="s">
        <v>864</v>
      </c>
      <c r="M36" s="139" t="str">
        <f t="shared" si="0"/>
        <v>814208</v>
      </c>
      <c r="N36" s="30">
        <v>1</v>
      </c>
    </row>
    <row r="37" spans="1:14" x14ac:dyDescent="0.25">
      <c r="A37" s="35" t="s">
        <v>1376</v>
      </c>
      <c r="B37" s="35" t="s">
        <v>3598</v>
      </c>
      <c r="C37" s="35" t="s">
        <v>863</v>
      </c>
      <c r="D37" s="30" t="s">
        <v>3594</v>
      </c>
      <c r="E37" s="30" t="s">
        <v>233</v>
      </c>
      <c r="F37" s="30">
        <v>1</v>
      </c>
      <c r="G37" s="30" t="s">
        <v>193</v>
      </c>
      <c r="H37" s="30" t="s">
        <v>194</v>
      </c>
      <c r="I37" s="30" t="s">
        <v>3597</v>
      </c>
      <c r="J37" s="30" t="s">
        <v>253</v>
      </c>
      <c r="K37" s="30">
        <v>18</v>
      </c>
      <c r="L37" s="30" t="s">
        <v>864</v>
      </c>
      <c r="M37" s="139" t="str">
        <f t="shared" si="0"/>
        <v>814208</v>
      </c>
      <c r="N37" s="30">
        <v>1</v>
      </c>
    </row>
    <row r="38" spans="1:14" x14ac:dyDescent="0.25">
      <c r="A38" s="35" t="s">
        <v>1376</v>
      </c>
      <c r="B38" s="35" t="s">
        <v>3599</v>
      </c>
      <c r="C38" s="35" t="s">
        <v>17</v>
      </c>
      <c r="D38" s="30" t="s">
        <v>3594</v>
      </c>
      <c r="E38" s="30" t="s">
        <v>233</v>
      </c>
      <c r="F38" s="30">
        <v>1</v>
      </c>
      <c r="G38" s="30" t="s">
        <v>193</v>
      </c>
      <c r="H38" s="30" t="s">
        <v>194</v>
      </c>
      <c r="I38" s="30" t="s">
        <v>3597</v>
      </c>
      <c r="J38" s="30" t="s">
        <v>223</v>
      </c>
      <c r="K38" s="30">
        <v>18</v>
      </c>
      <c r="L38" s="30" t="s">
        <v>624</v>
      </c>
      <c r="M38" s="139" t="str">
        <f t="shared" si="0"/>
        <v>332203</v>
      </c>
      <c r="N38" s="30">
        <v>1</v>
      </c>
    </row>
    <row r="39" spans="1:14" x14ac:dyDescent="0.25">
      <c r="A39" s="35" t="s">
        <v>3600</v>
      </c>
      <c r="B39" s="35" t="s">
        <v>3601</v>
      </c>
      <c r="C39" s="35" t="s">
        <v>85</v>
      </c>
      <c r="D39" s="30" t="s">
        <v>3594</v>
      </c>
      <c r="E39" s="30" t="s">
        <v>192</v>
      </c>
      <c r="F39" s="30">
        <v>1</v>
      </c>
      <c r="G39" s="30" t="s">
        <v>193</v>
      </c>
      <c r="H39" s="30" t="s">
        <v>194</v>
      </c>
      <c r="I39" s="30" t="s">
        <v>3597</v>
      </c>
      <c r="J39" s="30" t="s">
        <v>253</v>
      </c>
      <c r="K39" s="30">
        <v>18</v>
      </c>
      <c r="L39" s="30" t="s">
        <v>477</v>
      </c>
      <c r="M39" s="30" t="str">
        <f t="shared" si="0"/>
        <v>243305</v>
      </c>
      <c r="N39" s="30">
        <v>1</v>
      </c>
    </row>
    <row r="40" spans="1:14" x14ac:dyDescent="0.25">
      <c r="A40" s="35" t="s">
        <v>3602</v>
      </c>
      <c r="B40" s="35" t="s">
        <v>3603</v>
      </c>
      <c r="C40" s="35" t="s">
        <v>3604</v>
      </c>
      <c r="D40" s="30" t="s">
        <v>3594</v>
      </c>
      <c r="E40" s="30" t="s">
        <v>217</v>
      </c>
      <c r="F40" s="84">
        <v>0</v>
      </c>
      <c r="G40" s="84" t="s">
        <v>194</v>
      </c>
      <c r="H40" s="30" t="s">
        <v>193</v>
      </c>
      <c r="I40" s="30" t="s">
        <v>3597</v>
      </c>
      <c r="J40" s="30" t="s">
        <v>3605</v>
      </c>
      <c r="K40" s="30">
        <v>18</v>
      </c>
      <c r="L40" s="30" t="s">
        <v>3606</v>
      </c>
      <c r="M40" s="30" t="str">
        <f t="shared" si="0"/>
        <v>732301</v>
      </c>
      <c r="N40" s="84">
        <v>1</v>
      </c>
    </row>
    <row r="41" spans="1:14" x14ac:dyDescent="0.25">
      <c r="A41" s="35" t="s">
        <v>3602</v>
      </c>
      <c r="B41" s="35" t="s">
        <v>3607</v>
      </c>
      <c r="C41" s="35" t="s">
        <v>3608</v>
      </c>
      <c r="D41" s="30" t="s">
        <v>3594</v>
      </c>
      <c r="E41" s="30" t="s">
        <v>217</v>
      </c>
      <c r="F41" s="84">
        <v>0</v>
      </c>
      <c r="G41" s="84" t="s">
        <v>194</v>
      </c>
      <c r="H41" s="30" t="s">
        <v>193</v>
      </c>
      <c r="I41" s="30" t="s">
        <v>3597</v>
      </c>
      <c r="J41" s="30" t="s">
        <v>3609</v>
      </c>
      <c r="K41" s="30">
        <v>18</v>
      </c>
      <c r="L41" s="30" t="s">
        <v>3610</v>
      </c>
      <c r="M41" s="30" t="str">
        <f t="shared" si="0"/>
        <v>833101</v>
      </c>
      <c r="N41" s="84">
        <v>1</v>
      </c>
    </row>
    <row r="42" spans="1:14" x14ac:dyDescent="0.25">
      <c r="A42" s="35" t="s">
        <v>3602</v>
      </c>
      <c r="B42" s="35" t="s">
        <v>3611</v>
      </c>
      <c r="C42" s="35" t="s">
        <v>3611</v>
      </c>
      <c r="D42" s="30" t="s">
        <v>3594</v>
      </c>
      <c r="E42" s="30" t="s">
        <v>217</v>
      </c>
      <c r="F42" s="84">
        <v>0</v>
      </c>
      <c r="G42" s="84" t="s">
        <v>194</v>
      </c>
      <c r="H42" s="30" t="s">
        <v>193</v>
      </c>
      <c r="I42" s="30" t="s">
        <v>3597</v>
      </c>
      <c r="J42" s="30" t="s">
        <v>3612</v>
      </c>
      <c r="K42" s="30">
        <v>18</v>
      </c>
      <c r="L42" s="30" t="s">
        <v>3613</v>
      </c>
      <c r="M42" s="30" t="str">
        <f t="shared" si="0"/>
        <v>753403</v>
      </c>
      <c r="N42" s="84">
        <v>1</v>
      </c>
    </row>
    <row r="43" spans="1:14" x14ac:dyDescent="0.25">
      <c r="A43" s="35" t="s">
        <v>3614</v>
      </c>
      <c r="B43" s="35" t="s">
        <v>3615</v>
      </c>
      <c r="C43" s="35" t="s">
        <v>80</v>
      </c>
      <c r="D43" s="30" t="s">
        <v>3594</v>
      </c>
      <c r="E43" s="30" t="s">
        <v>192</v>
      </c>
      <c r="F43" s="30">
        <v>1</v>
      </c>
      <c r="G43" s="30" t="s">
        <v>193</v>
      </c>
      <c r="H43" s="30" t="s">
        <v>194</v>
      </c>
      <c r="I43" s="30" t="s">
        <v>3597</v>
      </c>
      <c r="J43" s="30" t="s">
        <v>210</v>
      </c>
      <c r="K43" s="30">
        <v>18</v>
      </c>
      <c r="L43" s="30" t="s">
        <v>474</v>
      </c>
      <c r="M43" s="30" t="str">
        <f t="shared" si="0"/>
        <v>243304</v>
      </c>
      <c r="N43" s="30">
        <v>1</v>
      </c>
    </row>
    <row r="44" spans="1:14" x14ac:dyDescent="0.25">
      <c r="A44" s="35" t="s">
        <v>3616</v>
      </c>
      <c r="B44" s="35" t="s">
        <v>3617</v>
      </c>
      <c r="C44" s="35" t="s">
        <v>935</v>
      </c>
      <c r="D44" s="30" t="s">
        <v>3594</v>
      </c>
      <c r="E44" s="30" t="s">
        <v>192</v>
      </c>
      <c r="F44" s="30">
        <v>1</v>
      </c>
      <c r="G44" s="30" t="s">
        <v>193</v>
      </c>
      <c r="H44" s="30" t="s">
        <v>194</v>
      </c>
      <c r="I44" s="30" t="s">
        <v>3597</v>
      </c>
      <c r="J44" s="30" t="s">
        <v>276</v>
      </c>
      <c r="K44" s="30">
        <v>18</v>
      </c>
      <c r="L44" s="30" t="s">
        <v>936</v>
      </c>
      <c r="M44" s="30" t="str">
        <f t="shared" si="0"/>
        <v>213205</v>
      </c>
      <c r="N44" s="30">
        <v>1</v>
      </c>
    </row>
    <row r="45" spans="1:14" x14ac:dyDescent="0.25">
      <c r="A45" s="35" t="s">
        <v>3618</v>
      </c>
      <c r="B45" s="35" t="s">
        <v>537</v>
      </c>
      <c r="C45" s="35" t="s">
        <v>778</v>
      </c>
      <c r="D45" s="30" t="s">
        <v>3594</v>
      </c>
      <c r="E45" s="30" t="s">
        <v>192</v>
      </c>
      <c r="F45" s="30">
        <v>1</v>
      </c>
      <c r="G45" s="30" t="s">
        <v>193</v>
      </c>
      <c r="H45" s="30" t="s">
        <v>194</v>
      </c>
      <c r="I45" s="30" t="s">
        <v>3597</v>
      </c>
      <c r="J45" s="30" t="s">
        <v>210</v>
      </c>
      <c r="K45" s="30">
        <v>18</v>
      </c>
      <c r="L45" s="30" t="s">
        <v>779</v>
      </c>
      <c r="M45" s="30" t="str">
        <f t="shared" si="0"/>
        <v>524902</v>
      </c>
      <c r="N45" s="30">
        <v>1</v>
      </c>
    </row>
    <row r="46" spans="1:14" x14ac:dyDescent="0.25">
      <c r="A46" s="35" t="s">
        <v>924</v>
      </c>
      <c r="B46" s="35" t="s">
        <v>3619</v>
      </c>
      <c r="C46" s="35" t="s">
        <v>3219</v>
      </c>
      <c r="D46" s="30" t="s">
        <v>3594</v>
      </c>
      <c r="E46" s="30" t="s">
        <v>192</v>
      </c>
      <c r="F46" s="30">
        <v>1</v>
      </c>
      <c r="G46" s="30" t="s">
        <v>193</v>
      </c>
      <c r="H46" s="30" t="s">
        <v>194</v>
      </c>
      <c r="I46" s="30" t="s">
        <v>3597</v>
      </c>
      <c r="J46" s="30" t="s">
        <v>473</v>
      </c>
      <c r="K46" s="30">
        <v>18</v>
      </c>
      <c r="L46" s="30" t="s">
        <v>3620</v>
      </c>
      <c r="M46" s="30" t="str">
        <f t="shared" si="0"/>
        <v>243109</v>
      </c>
      <c r="N46" s="30">
        <v>1</v>
      </c>
    </row>
    <row r="47" spans="1:14" x14ac:dyDescent="0.25">
      <c r="A47" s="35" t="s">
        <v>796</v>
      </c>
      <c r="B47" s="35" t="s">
        <v>3621</v>
      </c>
      <c r="C47" s="35" t="s">
        <v>110</v>
      </c>
      <c r="D47" s="30" t="s">
        <v>3594</v>
      </c>
      <c r="E47" s="30" t="s">
        <v>233</v>
      </c>
      <c r="F47" s="30">
        <v>1</v>
      </c>
      <c r="G47" s="30" t="s">
        <v>193</v>
      </c>
      <c r="H47" s="30" t="s">
        <v>194</v>
      </c>
      <c r="I47" s="30" t="s">
        <v>3597</v>
      </c>
      <c r="J47" s="30" t="s">
        <v>1326</v>
      </c>
      <c r="K47" s="30">
        <v>18</v>
      </c>
      <c r="L47" s="30" t="s">
        <v>621</v>
      </c>
      <c r="M47" s="30" t="str">
        <f t="shared" si="0"/>
        <v>332201</v>
      </c>
      <c r="N47" s="30">
        <v>1</v>
      </c>
    </row>
    <row r="48" spans="1:14" x14ac:dyDescent="0.25">
      <c r="A48" s="35" t="s">
        <v>3622</v>
      </c>
      <c r="B48" s="35" t="s">
        <v>2516</v>
      </c>
      <c r="C48" s="35" t="s">
        <v>85</v>
      </c>
      <c r="D48" s="30" t="s">
        <v>3594</v>
      </c>
      <c r="E48" s="30" t="s">
        <v>192</v>
      </c>
      <c r="F48" s="30">
        <v>1</v>
      </c>
      <c r="G48" s="30" t="s">
        <v>193</v>
      </c>
      <c r="H48" s="30" t="s">
        <v>194</v>
      </c>
      <c r="I48" s="30" t="s">
        <v>3597</v>
      </c>
      <c r="J48" s="30" t="s">
        <v>385</v>
      </c>
      <c r="K48" s="30">
        <v>18</v>
      </c>
      <c r="L48" s="30" t="s">
        <v>477</v>
      </c>
      <c r="M48" s="30" t="str">
        <f t="shared" si="0"/>
        <v>243305</v>
      </c>
      <c r="N48" s="30">
        <v>1</v>
      </c>
    </row>
    <row r="49" spans="1:14" x14ac:dyDescent="0.25">
      <c r="A49" s="35" t="s">
        <v>1204</v>
      </c>
      <c r="B49" s="35" t="s">
        <v>1014</v>
      </c>
      <c r="C49" s="35" t="s">
        <v>35</v>
      </c>
      <c r="D49" s="30" t="s">
        <v>3594</v>
      </c>
      <c r="E49" s="30" t="s">
        <v>192</v>
      </c>
      <c r="F49" s="30">
        <v>1</v>
      </c>
      <c r="G49" s="30" t="s">
        <v>193</v>
      </c>
      <c r="H49" s="30" t="s">
        <v>194</v>
      </c>
      <c r="I49" s="30" t="s">
        <v>3597</v>
      </c>
      <c r="J49" s="30" t="s">
        <v>276</v>
      </c>
      <c r="K49" s="30">
        <v>18</v>
      </c>
      <c r="L49" s="30" t="s">
        <v>207</v>
      </c>
      <c r="M49" s="30" t="str">
        <f t="shared" si="0"/>
        <v>122106</v>
      </c>
      <c r="N49" s="30">
        <v>1</v>
      </c>
    </row>
    <row r="50" spans="1:14" x14ac:dyDescent="0.25">
      <c r="A50" s="35" t="s">
        <v>3623</v>
      </c>
      <c r="B50" s="35" t="s">
        <v>3624</v>
      </c>
      <c r="C50" s="35" t="s">
        <v>43</v>
      </c>
      <c r="D50" s="30" t="s">
        <v>3594</v>
      </c>
      <c r="E50" s="30" t="s">
        <v>192</v>
      </c>
      <c r="F50" s="30">
        <v>1</v>
      </c>
      <c r="G50" s="30" t="s">
        <v>193</v>
      </c>
      <c r="H50" s="30" t="s">
        <v>194</v>
      </c>
      <c r="I50" s="30" t="s">
        <v>3597</v>
      </c>
      <c r="J50" s="30" t="s">
        <v>1392</v>
      </c>
      <c r="K50" s="30">
        <v>18</v>
      </c>
      <c r="L50" s="30" t="s">
        <v>452</v>
      </c>
      <c r="M50" s="30" t="str">
        <f t="shared" si="0"/>
        <v>243106</v>
      </c>
      <c r="N50" s="30">
        <v>1</v>
      </c>
    </row>
    <row r="51" spans="1:14" x14ac:dyDescent="0.25">
      <c r="A51" s="35" t="s">
        <v>3625</v>
      </c>
      <c r="B51" s="35" t="s">
        <v>632</v>
      </c>
      <c r="C51" s="35" t="s">
        <v>17</v>
      </c>
      <c r="D51" s="30" t="s">
        <v>3594</v>
      </c>
      <c r="E51" s="30" t="s">
        <v>192</v>
      </c>
      <c r="F51" s="30">
        <v>1</v>
      </c>
      <c r="G51" s="30" t="s">
        <v>193</v>
      </c>
      <c r="H51" s="30" t="s">
        <v>194</v>
      </c>
      <c r="I51" s="30" t="s">
        <v>3597</v>
      </c>
      <c r="J51" s="30" t="s">
        <v>3402</v>
      </c>
      <c r="K51" s="30">
        <v>18</v>
      </c>
      <c r="L51" s="30" t="s">
        <v>624</v>
      </c>
      <c r="M51" s="30" t="str">
        <f t="shared" si="0"/>
        <v>332203</v>
      </c>
      <c r="N51" s="30">
        <v>1</v>
      </c>
    </row>
    <row r="52" spans="1:14" x14ac:dyDescent="0.25">
      <c r="A52" s="35" t="s">
        <v>570</v>
      </c>
      <c r="B52" s="35" t="s">
        <v>3626</v>
      </c>
      <c r="C52" s="35" t="s">
        <v>100</v>
      </c>
      <c r="D52" s="30" t="s">
        <v>3594</v>
      </c>
      <c r="E52" s="30" t="s">
        <v>192</v>
      </c>
      <c r="F52" s="30">
        <v>1</v>
      </c>
      <c r="G52" s="30" t="s">
        <v>193</v>
      </c>
      <c r="H52" s="30" t="s">
        <v>194</v>
      </c>
      <c r="I52" s="30" t="s">
        <v>3597</v>
      </c>
      <c r="J52" s="30" t="s">
        <v>672</v>
      </c>
      <c r="K52" s="30">
        <v>18</v>
      </c>
      <c r="L52" s="30" t="s">
        <v>429</v>
      </c>
      <c r="M52" s="30" t="str">
        <f t="shared" si="0"/>
        <v>242108</v>
      </c>
      <c r="N52" s="30">
        <v>1</v>
      </c>
    </row>
    <row r="53" spans="1:14" x14ac:dyDescent="0.25">
      <c r="A53" s="35" t="s">
        <v>570</v>
      </c>
      <c r="B53" s="35" t="s">
        <v>3627</v>
      </c>
      <c r="C53" s="35" t="s">
        <v>100</v>
      </c>
      <c r="D53" s="30" t="s">
        <v>3594</v>
      </c>
      <c r="E53" s="30" t="s">
        <v>192</v>
      </c>
      <c r="F53" s="30">
        <v>1</v>
      </c>
      <c r="G53" s="30" t="s">
        <v>193</v>
      </c>
      <c r="H53" s="30" t="s">
        <v>194</v>
      </c>
      <c r="I53" s="30" t="s">
        <v>3597</v>
      </c>
      <c r="J53" s="30" t="s">
        <v>672</v>
      </c>
      <c r="K53" s="30">
        <v>18</v>
      </c>
      <c r="L53" s="30" t="s">
        <v>429</v>
      </c>
      <c r="M53" s="30" t="str">
        <f t="shared" si="0"/>
        <v>242108</v>
      </c>
      <c r="N53" s="30">
        <v>1</v>
      </c>
    </row>
    <row r="54" spans="1:14" x14ac:dyDescent="0.25">
      <c r="A54" s="35" t="s">
        <v>303</v>
      </c>
      <c r="B54" s="35" t="s">
        <v>2430</v>
      </c>
      <c r="C54" s="35" t="s">
        <v>83</v>
      </c>
      <c r="D54" s="30" t="s">
        <v>3594</v>
      </c>
      <c r="E54" s="30" t="s">
        <v>192</v>
      </c>
      <c r="F54" s="30">
        <v>1</v>
      </c>
      <c r="G54" s="30" t="s">
        <v>193</v>
      </c>
      <c r="H54" s="30" t="s">
        <v>194</v>
      </c>
      <c r="I54" s="30" t="s">
        <v>3597</v>
      </c>
      <c r="J54" s="30" t="s">
        <v>305</v>
      </c>
      <c r="K54" s="30">
        <v>18</v>
      </c>
      <c r="L54" s="30" t="s">
        <v>791</v>
      </c>
      <c r="M54" s="30" t="str">
        <f t="shared" si="0"/>
        <v>721204</v>
      </c>
      <c r="N54" s="30">
        <v>1</v>
      </c>
    </row>
    <row r="55" spans="1:14" x14ac:dyDescent="0.25">
      <c r="A55" s="35" t="s">
        <v>2809</v>
      </c>
      <c r="B55" s="35" t="s">
        <v>3628</v>
      </c>
      <c r="C55" s="35" t="s">
        <v>2861</v>
      </c>
      <c r="D55" s="30" t="s">
        <v>3594</v>
      </c>
      <c r="E55" s="30" t="s">
        <v>192</v>
      </c>
      <c r="F55" s="30">
        <v>1</v>
      </c>
      <c r="G55" s="30" t="s">
        <v>193</v>
      </c>
      <c r="H55" s="30" t="s">
        <v>194</v>
      </c>
      <c r="I55" s="30" t="s">
        <v>3597</v>
      </c>
      <c r="J55" s="30" t="s">
        <v>210</v>
      </c>
      <c r="K55" s="30">
        <v>18</v>
      </c>
      <c r="L55" s="30" t="s">
        <v>3629</v>
      </c>
      <c r="M55" s="30" t="str">
        <f t="shared" si="0"/>
        <v>251903</v>
      </c>
      <c r="N55" s="30">
        <v>1</v>
      </c>
    </row>
    <row r="56" spans="1:14" x14ac:dyDescent="0.25">
      <c r="A56" s="35" t="s">
        <v>3630</v>
      </c>
      <c r="B56" s="35" t="s">
        <v>1756</v>
      </c>
      <c r="C56" s="35" t="s">
        <v>50</v>
      </c>
      <c r="D56" s="30" t="s">
        <v>3594</v>
      </c>
      <c r="E56" s="30" t="s">
        <v>192</v>
      </c>
      <c r="F56" s="30">
        <v>1</v>
      </c>
      <c r="G56" s="30" t="s">
        <v>193</v>
      </c>
      <c r="H56" s="30" t="s">
        <v>194</v>
      </c>
      <c r="I56" s="30" t="s">
        <v>3597</v>
      </c>
      <c r="J56" s="30" t="s">
        <v>3631</v>
      </c>
      <c r="K56" s="30">
        <v>18</v>
      </c>
      <c r="L56" s="30" t="s">
        <v>906</v>
      </c>
      <c r="M56" s="30" t="str">
        <f t="shared" si="0"/>
        <v>333101</v>
      </c>
      <c r="N56" s="30">
        <v>1</v>
      </c>
    </row>
    <row r="57" spans="1:14" x14ac:dyDescent="0.25">
      <c r="A57" s="35" t="s">
        <v>3107</v>
      </c>
      <c r="B57" s="35" t="s">
        <v>537</v>
      </c>
      <c r="C57" s="35" t="s">
        <v>778</v>
      </c>
      <c r="D57" s="30" t="s">
        <v>3594</v>
      </c>
      <c r="E57" s="30" t="s">
        <v>233</v>
      </c>
      <c r="F57" s="30">
        <v>1</v>
      </c>
      <c r="G57" s="30" t="s">
        <v>193</v>
      </c>
      <c r="H57" s="30" t="s">
        <v>194</v>
      </c>
      <c r="I57" s="30" t="s">
        <v>3597</v>
      </c>
      <c r="J57" s="30" t="s">
        <v>210</v>
      </c>
      <c r="K57" s="30">
        <v>18</v>
      </c>
      <c r="L57" s="30" t="s">
        <v>779</v>
      </c>
      <c r="M57" s="30" t="str">
        <f t="shared" si="0"/>
        <v>524902</v>
      </c>
      <c r="N57" s="30">
        <v>1</v>
      </c>
    </row>
    <row r="58" spans="1:14" x14ac:dyDescent="0.25">
      <c r="A58" s="35" t="s">
        <v>3107</v>
      </c>
      <c r="B58" s="35" t="s">
        <v>965</v>
      </c>
      <c r="C58" s="35" t="s">
        <v>113</v>
      </c>
      <c r="D58" s="30" t="s">
        <v>3594</v>
      </c>
      <c r="E58" s="30" t="s">
        <v>233</v>
      </c>
      <c r="F58" s="30">
        <v>1</v>
      </c>
      <c r="G58" s="30" t="s">
        <v>193</v>
      </c>
      <c r="H58" s="30" t="s">
        <v>194</v>
      </c>
      <c r="I58" s="30" t="s">
        <v>3597</v>
      </c>
      <c r="J58" s="30" t="s">
        <v>210</v>
      </c>
      <c r="K58" s="30">
        <v>18</v>
      </c>
      <c r="L58" s="30" t="s">
        <v>465</v>
      </c>
      <c r="M58" s="30" t="str">
        <f t="shared" si="0"/>
        <v>243302</v>
      </c>
      <c r="N58" s="30">
        <v>1</v>
      </c>
    </row>
    <row r="59" spans="1:14" x14ac:dyDescent="0.25">
      <c r="A59" s="35" t="s">
        <v>3632</v>
      </c>
      <c r="B59" s="35" t="s">
        <v>3633</v>
      </c>
      <c r="C59" s="35" t="s">
        <v>18</v>
      </c>
      <c r="D59" s="30" t="s">
        <v>3594</v>
      </c>
      <c r="E59" s="30" t="s">
        <v>252</v>
      </c>
      <c r="F59" s="84">
        <v>0</v>
      </c>
      <c r="G59" s="84" t="s">
        <v>194</v>
      </c>
      <c r="H59" s="30" t="s">
        <v>193</v>
      </c>
      <c r="I59" s="30" t="s">
        <v>3597</v>
      </c>
      <c r="J59" s="30" t="s">
        <v>210</v>
      </c>
      <c r="K59" s="30">
        <v>18</v>
      </c>
      <c r="L59" s="30" t="s">
        <v>1476</v>
      </c>
      <c r="M59" s="30" t="str">
        <f t="shared" si="0"/>
        <v>242309</v>
      </c>
      <c r="N59" s="84">
        <v>1</v>
      </c>
    </row>
    <row r="60" spans="1:14" x14ac:dyDescent="0.25">
      <c r="A60" s="35" t="s">
        <v>3634</v>
      </c>
      <c r="B60" s="35" t="s">
        <v>3635</v>
      </c>
      <c r="C60" s="35" t="s">
        <v>740</v>
      </c>
      <c r="D60" s="30" t="s">
        <v>3594</v>
      </c>
      <c r="E60" s="30" t="s">
        <v>233</v>
      </c>
      <c r="F60" s="30">
        <v>1</v>
      </c>
      <c r="G60" s="30" t="s">
        <v>193</v>
      </c>
      <c r="H60" s="30" t="s">
        <v>194</v>
      </c>
      <c r="I60" s="30" t="s">
        <v>3597</v>
      </c>
      <c r="J60" s="30" t="s">
        <v>267</v>
      </c>
      <c r="K60" s="30">
        <v>18</v>
      </c>
      <c r="L60" s="30" t="s">
        <v>741</v>
      </c>
      <c r="M60" s="30" t="str">
        <f t="shared" si="0"/>
        <v>522301</v>
      </c>
      <c r="N60" s="30">
        <v>1</v>
      </c>
    </row>
    <row r="61" spans="1:14" x14ac:dyDescent="0.25">
      <c r="A61" s="35" t="s">
        <v>890</v>
      </c>
      <c r="B61" s="35" t="s">
        <v>3636</v>
      </c>
      <c r="C61" s="35" t="s">
        <v>17</v>
      </c>
      <c r="D61" s="30" t="s">
        <v>3594</v>
      </c>
      <c r="E61" s="30" t="s">
        <v>233</v>
      </c>
      <c r="F61" s="30">
        <v>1</v>
      </c>
      <c r="G61" s="30" t="s">
        <v>193</v>
      </c>
      <c r="H61" s="30" t="s">
        <v>194</v>
      </c>
      <c r="I61" s="30" t="s">
        <v>3597</v>
      </c>
      <c r="J61" s="30" t="s">
        <v>210</v>
      </c>
      <c r="K61" s="30">
        <v>18</v>
      </c>
      <c r="L61" s="30" t="s">
        <v>624</v>
      </c>
      <c r="M61" s="30" t="str">
        <f t="shared" si="0"/>
        <v>332203</v>
      </c>
      <c r="N61" s="30">
        <v>1</v>
      </c>
    </row>
    <row r="62" spans="1:14" x14ac:dyDescent="0.25">
      <c r="A62" s="35" t="s">
        <v>3637</v>
      </c>
      <c r="B62" s="35" t="s">
        <v>3638</v>
      </c>
      <c r="C62" s="35" t="s">
        <v>3639</v>
      </c>
      <c r="D62" s="30" t="s">
        <v>3594</v>
      </c>
      <c r="E62" s="30" t="s">
        <v>217</v>
      </c>
      <c r="F62" s="84">
        <v>0</v>
      </c>
      <c r="G62" s="84" t="s">
        <v>194</v>
      </c>
      <c r="H62" s="30" t="s">
        <v>193</v>
      </c>
      <c r="I62" s="30" t="s">
        <v>3597</v>
      </c>
      <c r="J62" s="30" t="s">
        <v>3640</v>
      </c>
      <c r="K62" s="30">
        <v>18</v>
      </c>
      <c r="L62" s="30" t="s">
        <v>3641</v>
      </c>
      <c r="M62" s="30" t="str">
        <f t="shared" si="0"/>
        <v>711903</v>
      </c>
      <c r="N62" s="84">
        <v>1</v>
      </c>
    </row>
    <row r="63" spans="1:14" x14ac:dyDescent="0.25">
      <c r="A63" s="35" t="s">
        <v>1463</v>
      </c>
      <c r="B63" s="35" t="s">
        <v>3642</v>
      </c>
      <c r="C63" s="35" t="s">
        <v>468</v>
      </c>
      <c r="D63" s="30" t="s">
        <v>3594</v>
      </c>
      <c r="E63" s="30" t="s">
        <v>192</v>
      </c>
      <c r="F63" s="30">
        <v>1</v>
      </c>
      <c r="G63" s="30" t="s">
        <v>193</v>
      </c>
      <c r="H63" s="30" t="s">
        <v>194</v>
      </c>
      <c r="I63" s="30" t="s">
        <v>3597</v>
      </c>
      <c r="J63" s="30" t="s">
        <v>210</v>
      </c>
      <c r="K63" s="30">
        <v>18</v>
      </c>
      <c r="L63" s="30" t="s">
        <v>469</v>
      </c>
      <c r="M63" s="30" t="str">
        <f t="shared" si="0"/>
        <v>243303</v>
      </c>
      <c r="N63" s="30">
        <v>1</v>
      </c>
    </row>
    <row r="64" spans="1:14" x14ac:dyDescent="0.25">
      <c r="A64" s="35" t="s">
        <v>3643</v>
      </c>
      <c r="B64" s="35" t="s">
        <v>743</v>
      </c>
      <c r="C64" s="35" t="s">
        <v>740</v>
      </c>
      <c r="D64" s="30" t="s">
        <v>3594</v>
      </c>
      <c r="E64" s="30" t="s">
        <v>192</v>
      </c>
      <c r="F64" s="30">
        <v>1</v>
      </c>
      <c r="G64" s="30" t="s">
        <v>193</v>
      </c>
      <c r="H64" s="30" t="s">
        <v>194</v>
      </c>
      <c r="I64" s="30" t="s">
        <v>3597</v>
      </c>
      <c r="J64" s="30" t="s">
        <v>267</v>
      </c>
      <c r="K64" s="30">
        <v>18</v>
      </c>
      <c r="L64" s="30" t="s">
        <v>741</v>
      </c>
      <c r="M64" s="30" t="str">
        <f t="shared" si="0"/>
        <v>522301</v>
      </c>
      <c r="N64" s="30">
        <v>1</v>
      </c>
    </row>
    <row r="65" spans="1:14" x14ac:dyDescent="0.25">
      <c r="A65" s="35" t="s">
        <v>3644</v>
      </c>
      <c r="B65" s="35" t="s">
        <v>836</v>
      </c>
      <c r="C65" s="35" t="s">
        <v>3645</v>
      </c>
      <c r="D65" s="30" t="s">
        <v>3594</v>
      </c>
      <c r="E65" s="30" t="s">
        <v>217</v>
      </c>
      <c r="F65" s="84">
        <v>0</v>
      </c>
      <c r="G65" s="84" t="s">
        <v>194</v>
      </c>
      <c r="H65" s="30" t="s">
        <v>193</v>
      </c>
      <c r="I65" s="30" t="s">
        <v>3597</v>
      </c>
      <c r="J65" s="30" t="s">
        <v>3646</v>
      </c>
      <c r="K65" s="30">
        <v>18</v>
      </c>
      <c r="L65" s="30" t="s">
        <v>3647</v>
      </c>
      <c r="M65" s="30" t="str">
        <f t="shared" si="0"/>
        <v>741207</v>
      </c>
      <c r="N65" s="84">
        <v>1</v>
      </c>
    </row>
    <row r="66" spans="1:14" x14ac:dyDescent="0.25">
      <c r="A66" s="35" t="s">
        <v>3644</v>
      </c>
      <c r="B66" s="166" t="s">
        <v>3648</v>
      </c>
      <c r="C66" s="166" t="s">
        <v>542</v>
      </c>
      <c r="D66" s="30" t="s">
        <v>3594</v>
      </c>
      <c r="E66" s="30" t="s">
        <v>217</v>
      </c>
      <c r="F66" s="84">
        <v>0</v>
      </c>
      <c r="G66" s="84" t="s">
        <v>194</v>
      </c>
      <c r="H66" s="30" t="s">
        <v>193</v>
      </c>
      <c r="I66" s="30" t="s">
        <v>3597</v>
      </c>
      <c r="J66" s="30" t="s">
        <v>3649</v>
      </c>
      <c r="K66" s="30">
        <v>18</v>
      </c>
      <c r="L66" s="30" t="s">
        <v>543</v>
      </c>
      <c r="M66" s="30" t="str">
        <f t="shared" si="0"/>
        <v>264304</v>
      </c>
      <c r="N66" s="84">
        <v>1</v>
      </c>
    </row>
    <row r="67" spans="1:14" x14ac:dyDescent="0.25">
      <c r="A67" s="35" t="s">
        <v>716</v>
      </c>
      <c r="B67" s="35" t="s">
        <v>3650</v>
      </c>
      <c r="C67" s="35" t="s">
        <v>95</v>
      </c>
      <c r="D67" s="30" t="s">
        <v>3594</v>
      </c>
      <c r="E67" s="30" t="s">
        <v>192</v>
      </c>
      <c r="F67" s="30">
        <v>1</v>
      </c>
      <c r="G67" s="30" t="s">
        <v>193</v>
      </c>
      <c r="H67" s="30" t="s">
        <v>194</v>
      </c>
      <c r="I67" s="30" t="s">
        <v>3597</v>
      </c>
      <c r="J67" s="30" t="s">
        <v>210</v>
      </c>
      <c r="K67" s="30">
        <v>18</v>
      </c>
      <c r="L67" s="30" t="s">
        <v>1015</v>
      </c>
      <c r="M67" s="30" t="str">
        <f t="shared" ref="M67:M130" si="1">MID(L67,8,6)</f>
        <v>122102</v>
      </c>
      <c r="N67" s="30">
        <v>1</v>
      </c>
    </row>
    <row r="68" spans="1:14" x14ac:dyDescent="0.25">
      <c r="A68" s="35" t="s">
        <v>3651</v>
      </c>
      <c r="B68" s="35" t="s">
        <v>2031</v>
      </c>
      <c r="C68" s="35" t="s">
        <v>95</v>
      </c>
      <c r="D68" s="30" t="s">
        <v>3594</v>
      </c>
      <c r="E68" s="30" t="s">
        <v>217</v>
      </c>
      <c r="F68" s="30">
        <v>1</v>
      </c>
      <c r="G68" s="30" t="s">
        <v>193</v>
      </c>
      <c r="H68" s="30" t="s">
        <v>194</v>
      </c>
      <c r="I68" s="30" t="s">
        <v>3597</v>
      </c>
      <c r="J68" s="30" t="s">
        <v>253</v>
      </c>
      <c r="K68" s="30">
        <v>18</v>
      </c>
      <c r="L68" s="30" t="s">
        <v>1015</v>
      </c>
      <c r="M68" s="30" t="str">
        <f t="shared" si="1"/>
        <v>122102</v>
      </c>
      <c r="N68" s="30">
        <v>1</v>
      </c>
    </row>
    <row r="69" spans="1:14" x14ac:dyDescent="0.25">
      <c r="A69" s="35" t="s">
        <v>382</v>
      </c>
      <c r="B69" s="35" t="s">
        <v>3652</v>
      </c>
      <c r="C69" s="35" t="s">
        <v>778</v>
      </c>
      <c r="D69" s="30" t="s">
        <v>3594</v>
      </c>
      <c r="E69" s="30" t="s">
        <v>233</v>
      </c>
      <c r="F69" s="30">
        <v>1</v>
      </c>
      <c r="G69" s="30" t="s">
        <v>193</v>
      </c>
      <c r="H69" s="30" t="s">
        <v>194</v>
      </c>
      <c r="I69" s="30" t="s">
        <v>3597</v>
      </c>
      <c r="J69" s="30" t="s">
        <v>253</v>
      </c>
      <c r="K69" s="30">
        <v>18</v>
      </c>
      <c r="L69" s="30" t="s">
        <v>779</v>
      </c>
      <c r="M69" s="30" t="str">
        <f t="shared" si="1"/>
        <v>524902</v>
      </c>
      <c r="N69" s="30">
        <v>1</v>
      </c>
    </row>
    <row r="70" spans="1:14" x14ac:dyDescent="0.25">
      <c r="A70" s="35" t="s">
        <v>382</v>
      </c>
      <c r="B70" s="35" t="s">
        <v>2031</v>
      </c>
      <c r="C70" s="35" t="s">
        <v>95</v>
      </c>
      <c r="D70" s="30" t="s">
        <v>3594</v>
      </c>
      <c r="E70" s="30" t="s">
        <v>192</v>
      </c>
      <c r="F70" s="30">
        <v>1</v>
      </c>
      <c r="G70" s="30" t="s">
        <v>193</v>
      </c>
      <c r="H70" s="30" t="s">
        <v>194</v>
      </c>
      <c r="I70" s="30" t="s">
        <v>3597</v>
      </c>
      <c r="J70" s="30" t="s">
        <v>253</v>
      </c>
      <c r="K70" s="30">
        <v>18</v>
      </c>
      <c r="L70" s="30" t="s">
        <v>1015</v>
      </c>
      <c r="M70" s="30" t="str">
        <f t="shared" si="1"/>
        <v>122102</v>
      </c>
      <c r="N70" s="30">
        <v>1</v>
      </c>
    </row>
    <row r="71" spans="1:14" x14ac:dyDescent="0.25">
      <c r="A71" s="35" t="s">
        <v>382</v>
      </c>
      <c r="B71" s="35" t="s">
        <v>3653</v>
      </c>
      <c r="C71" s="35" t="s">
        <v>3654</v>
      </c>
      <c r="D71" s="30" t="s">
        <v>3594</v>
      </c>
      <c r="E71" s="30" t="s">
        <v>192</v>
      </c>
      <c r="F71" s="30">
        <v>1</v>
      </c>
      <c r="G71" s="30" t="s">
        <v>193</v>
      </c>
      <c r="H71" s="30" t="s">
        <v>194</v>
      </c>
      <c r="I71" s="30" t="s">
        <v>3597</v>
      </c>
      <c r="J71" s="30" t="s">
        <v>253</v>
      </c>
      <c r="K71" s="30">
        <v>18</v>
      </c>
      <c r="L71" s="30" t="s">
        <v>3655</v>
      </c>
      <c r="M71" s="30" t="str">
        <f t="shared" si="1"/>
        <v>122101</v>
      </c>
      <c r="N71" s="30">
        <v>1</v>
      </c>
    </row>
    <row r="72" spans="1:14" x14ac:dyDescent="0.25">
      <c r="A72" s="35" t="s">
        <v>2936</v>
      </c>
      <c r="B72" s="35" t="s">
        <v>3656</v>
      </c>
      <c r="C72" s="35" t="s">
        <v>18</v>
      </c>
      <c r="D72" s="30" t="s">
        <v>3594</v>
      </c>
      <c r="E72" s="30" t="s">
        <v>192</v>
      </c>
      <c r="F72" s="30">
        <v>1</v>
      </c>
      <c r="G72" s="30" t="s">
        <v>193</v>
      </c>
      <c r="H72" s="30" t="s">
        <v>194</v>
      </c>
      <c r="I72" s="30" t="s">
        <v>3597</v>
      </c>
      <c r="J72" s="30" t="s">
        <v>210</v>
      </c>
      <c r="K72" s="30">
        <v>18</v>
      </c>
      <c r="L72" s="30" t="s">
        <v>1476</v>
      </c>
      <c r="M72" s="30" t="str">
        <f t="shared" si="1"/>
        <v>242309</v>
      </c>
      <c r="N72" s="30">
        <v>1</v>
      </c>
    </row>
    <row r="73" spans="1:14" x14ac:dyDescent="0.25">
      <c r="A73" s="35" t="s">
        <v>552</v>
      </c>
      <c r="B73" s="35" t="s">
        <v>1462</v>
      </c>
      <c r="C73" s="35" t="s">
        <v>29</v>
      </c>
      <c r="D73" s="30" t="s">
        <v>3594</v>
      </c>
      <c r="E73" s="30" t="s">
        <v>192</v>
      </c>
      <c r="F73" s="30">
        <v>1</v>
      </c>
      <c r="G73" s="30" t="s">
        <v>193</v>
      </c>
      <c r="H73" s="30" t="s">
        <v>194</v>
      </c>
      <c r="I73" s="30" t="s">
        <v>3597</v>
      </c>
      <c r="J73" s="30" t="s">
        <v>253</v>
      </c>
      <c r="K73" s="30">
        <v>18</v>
      </c>
      <c r="L73" s="30" t="s">
        <v>808</v>
      </c>
      <c r="M73" s="30" t="str">
        <f t="shared" si="1"/>
        <v>722308</v>
      </c>
      <c r="N73" s="30">
        <v>1</v>
      </c>
    </row>
    <row r="74" spans="1:14" x14ac:dyDescent="0.25">
      <c r="A74" s="35" t="s">
        <v>260</v>
      </c>
      <c r="B74" s="35" t="s">
        <v>8</v>
      </c>
      <c r="C74" s="35" t="s">
        <v>740</v>
      </c>
      <c r="D74" s="30" t="s">
        <v>3594</v>
      </c>
      <c r="E74" s="30" t="s">
        <v>233</v>
      </c>
      <c r="F74" s="30">
        <v>1</v>
      </c>
      <c r="G74" s="30" t="s">
        <v>193</v>
      </c>
      <c r="H74" s="30" t="s">
        <v>194</v>
      </c>
      <c r="I74" s="30" t="s">
        <v>3597</v>
      </c>
      <c r="J74" s="30" t="s">
        <v>408</v>
      </c>
      <c r="K74" s="30">
        <v>18</v>
      </c>
      <c r="L74" s="30" t="s">
        <v>741</v>
      </c>
      <c r="M74" s="30" t="str">
        <f t="shared" si="1"/>
        <v>522301</v>
      </c>
      <c r="N74" s="30">
        <v>1</v>
      </c>
    </row>
    <row r="75" spans="1:14" x14ac:dyDescent="0.25">
      <c r="A75" s="35" t="s">
        <v>3140</v>
      </c>
      <c r="B75" s="35" t="s">
        <v>3657</v>
      </c>
      <c r="C75" s="35" t="s">
        <v>110</v>
      </c>
      <c r="D75" s="30" t="s">
        <v>3594</v>
      </c>
      <c r="E75" s="30" t="s">
        <v>192</v>
      </c>
      <c r="F75" s="30">
        <v>1</v>
      </c>
      <c r="G75" s="30" t="s">
        <v>193</v>
      </c>
      <c r="H75" s="30" t="s">
        <v>194</v>
      </c>
      <c r="I75" s="30" t="s">
        <v>3597</v>
      </c>
      <c r="J75" s="30" t="s">
        <v>249</v>
      </c>
      <c r="K75" s="30">
        <v>18</v>
      </c>
      <c r="L75" s="30" t="s">
        <v>621</v>
      </c>
      <c r="M75" s="30" t="str">
        <f t="shared" si="1"/>
        <v>332201</v>
      </c>
      <c r="N75" s="30">
        <v>1</v>
      </c>
    </row>
    <row r="76" spans="1:14" x14ac:dyDescent="0.25">
      <c r="A76" s="35" t="s">
        <v>1904</v>
      </c>
      <c r="B76" s="35" t="s">
        <v>3658</v>
      </c>
      <c r="C76" s="35" t="s">
        <v>2805</v>
      </c>
      <c r="D76" s="30" t="s">
        <v>3594</v>
      </c>
      <c r="E76" s="30" t="s">
        <v>192</v>
      </c>
      <c r="F76" s="30">
        <v>1</v>
      </c>
      <c r="G76" s="30" t="s">
        <v>193</v>
      </c>
      <c r="H76" s="30" t="s">
        <v>194</v>
      </c>
      <c r="I76" s="30" t="s">
        <v>3597</v>
      </c>
      <c r="J76" s="30" t="s">
        <v>575</v>
      </c>
      <c r="K76" s="30">
        <v>18</v>
      </c>
      <c r="L76" s="30" t="s">
        <v>3659</v>
      </c>
      <c r="M76" s="30" t="str">
        <f t="shared" si="1"/>
        <v>214410</v>
      </c>
      <c r="N76" s="30">
        <v>1</v>
      </c>
    </row>
    <row r="77" spans="1:14" x14ac:dyDescent="0.25">
      <c r="A77" s="35" t="s">
        <v>3660</v>
      </c>
      <c r="B77" s="35" t="s">
        <v>2192</v>
      </c>
      <c r="C77" s="35" t="s">
        <v>29</v>
      </c>
      <c r="D77" s="30" t="s">
        <v>3594</v>
      </c>
      <c r="E77" s="30" t="s">
        <v>192</v>
      </c>
      <c r="F77" s="30">
        <v>1</v>
      </c>
      <c r="G77" s="30" t="s">
        <v>193</v>
      </c>
      <c r="H77" s="30" t="s">
        <v>194</v>
      </c>
      <c r="I77" s="30" t="s">
        <v>3597</v>
      </c>
      <c r="J77" s="30" t="s">
        <v>575</v>
      </c>
      <c r="K77" s="30">
        <v>18</v>
      </c>
      <c r="L77" s="30" t="s">
        <v>808</v>
      </c>
      <c r="M77" s="30" t="str">
        <f t="shared" si="1"/>
        <v>722308</v>
      </c>
      <c r="N77" s="30">
        <v>1</v>
      </c>
    </row>
    <row r="78" spans="1:14" x14ac:dyDescent="0.25">
      <c r="A78" s="35" t="s">
        <v>3661</v>
      </c>
      <c r="B78" s="35" t="s">
        <v>3662</v>
      </c>
      <c r="C78" s="35" t="s">
        <v>468</v>
      </c>
      <c r="D78" s="30" t="s">
        <v>3594</v>
      </c>
      <c r="E78" s="30" t="s">
        <v>192</v>
      </c>
      <c r="F78" s="30">
        <v>1</v>
      </c>
      <c r="G78" s="30" t="s">
        <v>193</v>
      </c>
      <c r="H78" s="30" t="s">
        <v>194</v>
      </c>
      <c r="I78" s="30" t="s">
        <v>3663</v>
      </c>
      <c r="J78" s="30" t="s">
        <v>385</v>
      </c>
      <c r="K78" s="30">
        <v>18</v>
      </c>
      <c r="L78" s="30" t="s">
        <v>469</v>
      </c>
      <c r="M78" s="30" t="str">
        <f t="shared" si="1"/>
        <v>243303</v>
      </c>
      <c r="N78" s="30">
        <v>1</v>
      </c>
    </row>
    <row r="79" spans="1:14" x14ac:dyDescent="0.25">
      <c r="A79" s="35" t="s">
        <v>3664</v>
      </c>
      <c r="B79" s="35" t="s">
        <v>3665</v>
      </c>
      <c r="C79" s="35" t="s">
        <v>1657</v>
      </c>
      <c r="D79" s="30" t="s">
        <v>3594</v>
      </c>
      <c r="E79" s="30" t="s">
        <v>192</v>
      </c>
      <c r="F79" s="30">
        <v>1</v>
      </c>
      <c r="G79" s="30" t="s">
        <v>193</v>
      </c>
      <c r="H79" s="30" t="s">
        <v>194</v>
      </c>
      <c r="I79" s="30" t="s">
        <v>3663</v>
      </c>
      <c r="J79" s="30" t="s">
        <v>196</v>
      </c>
      <c r="K79" s="30">
        <v>18</v>
      </c>
      <c r="L79" s="30" t="s">
        <v>1658</v>
      </c>
      <c r="M79" s="30" t="str">
        <f t="shared" si="1"/>
        <v>331502</v>
      </c>
      <c r="N79" s="30">
        <v>1</v>
      </c>
    </row>
    <row r="80" spans="1:14" x14ac:dyDescent="0.25">
      <c r="A80" s="35" t="s">
        <v>967</v>
      </c>
      <c r="B80" s="35" t="s">
        <v>3666</v>
      </c>
      <c r="C80" s="35" t="s">
        <v>10</v>
      </c>
      <c r="D80" s="30" t="s">
        <v>3594</v>
      </c>
      <c r="E80" s="30" t="s">
        <v>192</v>
      </c>
      <c r="F80" s="30">
        <v>1</v>
      </c>
      <c r="G80" s="30" t="s">
        <v>193</v>
      </c>
      <c r="H80" s="30" t="s">
        <v>194</v>
      </c>
      <c r="I80" s="30" t="s">
        <v>3663</v>
      </c>
      <c r="J80" s="30" t="s">
        <v>210</v>
      </c>
      <c r="K80" s="30">
        <v>18</v>
      </c>
      <c r="L80" s="30" t="s">
        <v>484</v>
      </c>
      <c r="M80" s="30" t="str">
        <f t="shared" si="1"/>
        <v>251401</v>
      </c>
      <c r="N80" s="30">
        <v>1</v>
      </c>
    </row>
    <row r="81" spans="1:14" x14ac:dyDescent="0.25">
      <c r="A81" s="35" t="s">
        <v>615</v>
      </c>
      <c r="B81" s="35" t="s">
        <v>3667</v>
      </c>
      <c r="C81" s="35" t="s">
        <v>3668</v>
      </c>
      <c r="D81" s="30" t="s">
        <v>3594</v>
      </c>
      <c r="E81" s="30" t="s">
        <v>192</v>
      </c>
      <c r="F81" s="30">
        <v>1</v>
      </c>
      <c r="G81" s="30" t="s">
        <v>193</v>
      </c>
      <c r="H81" s="30" t="s">
        <v>194</v>
      </c>
      <c r="I81" s="30" t="s">
        <v>3663</v>
      </c>
      <c r="J81" s="30" t="s">
        <v>210</v>
      </c>
      <c r="K81" s="30">
        <v>18</v>
      </c>
      <c r="L81" s="30" t="s">
        <v>3669</v>
      </c>
      <c r="M81" s="30" t="str">
        <f t="shared" si="1"/>
        <v>332490</v>
      </c>
      <c r="N81" s="30">
        <v>1</v>
      </c>
    </row>
    <row r="82" spans="1:14" x14ac:dyDescent="0.25">
      <c r="A82" s="35" t="s">
        <v>615</v>
      </c>
      <c r="B82" s="35" t="s">
        <v>3670</v>
      </c>
      <c r="C82" s="35" t="s">
        <v>3668</v>
      </c>
      <c r="D82" s="30" t="s">
        <v>3594</v>
      </c>
      <c r="E82" s="30" t="s">
        <v>233</v>
      </c>
      <c r="F82" s="30">
        <v>1</v>
      </c>
      <c r="G82" s="30" t="s">
        <v>193</v>
      </c>
      <c r="H82" s="30" t="s">
        <v>194</v>
      </c>
      <c r="I82" s="30" t="s">
        <v>3663</v>
      </c>
      <c r="J82" s="30" t="s">
        <v>210</v>
      </c>
      <c r="K82" s="30">
        <v>18</v>
      </c>
      <c r="L82" s="30" t="s">
        <v>3669</v>
      </c>
      <c r="M82" s="30" t="str">
        <f t="shared" si="1"/>
        <v>332490</v>
      </c>
      <c r="N82" s="30">
        <v>1</v>
      </c>
    </row>
    <row r="83" spans="1:14" x14ac:dyDescent="0.25">
      <c r="A83" s="35" t="s">
        <v>1168</v>
      </c>
      <c r="B83" s="35" t="s">
        <v>3278</v>
      </c>
      <c r="C83" s="35" t="s">
        <v>3671</v>
      </c>
      <c r="D83" s="30" t="s">
        <v>3594</v>
      </c>
      <c r="E83" s="30" t="s">
        <v>217</v>
      </c>
      <c r="F83" s="30">
        <v>1</v>
      </c>
      <c r="G83" s="30" t="s">
        <v>193</v>
      </c>
      <c r="H83" s="30" t="s">
        <v>194</v>
      </c>
      <c r="I83" s="30" t="s">
        <v>3663</v>
      </c>
      <c r="J83" s="30" t="s">
        <v>305</v>
      </c>
      <c r="K83" s="30">
        <v>18</v>
      </c>
      <c r="L83" s="30" t="s">
        <v>3672</v>
      </c>
      <c r="M83" s="30" t="str">
        <f t="shared" si="1"/>
        <v>522303</v>
      </c>
      <c r="N83" s="30">
        <v>1</v>
      </c>
    </row>
    <row r="84" spans="1:14" x14ac:dyDescent="0.25">
      <c r="A84" s="35" t="s">
        <v>1168</v>
      </c>
      <c r="B84" s="35" t="s">
        <v>3278</v>
      </c>
      <c r="C84" s="35" t="s">
        <v>3671</v>
      </c>
      <c r="D84" s="30" t="s">
        <v>3594</v>
      </c>
      <c r="E84" s="30" t="s">
        <v>217</v>
      </c>
      <c r="F84" s="30">
        <v>1</v>
      </c>
      <c r="G84" s="30" t="s">
        <v>193</v>
      </c>
      <c r="H84" s="30" t="s">
        <v>194</v>
      </c>
      <c r="I84" s="30" t="s">
        <v>3663</v>
      </c>
      <c r="J84" s="30" t="s">
        <v>408</v>
      </c>
      <c r="K84" s="30">
        <v>18</v>
      </c>
      <c r="L84" s="30" t="s">
        <v>3672</v>
      </c>
      <c r="M84" s="30" t="str">
        <f t="shared" si="1"/>
        <v>522303</v>
      </c>
      <c r="N84" s="30">
        <v>1</v>
      </c>
    </row>
    <row r="85" spans="1:14" x14ac:dyDescent="0.25">
      <c r="A85" s="35" t="s">
        <v>1168</v>
      </c>
      <c r="B85" s="35" t="s">
        <v>3278</v>
      </c>
      <c r="C85" s="35" t="s">
        <v>3671</v>
      </c>
      <c r="D85" s="30" t="s">
        <v>3594</v>
      </c>
      <c r="E85" s="30" t="s">
        <v>217</v>
      </c>
      <c r="F85" s="30">
        <v>1</v>
      </c>
      <c r="G85" s="30" t="s">
        <v>193</v>
      </c>
      <c r="H85" s="30" t="s">
        <v>194</v>
      </c>
      <c r="I85" s="30" t="s">
        <v>3663</v>
      </c>
      <c r="J85" s="30" t="s">
        <v>323</v>
      </c>
      <c r="K85" s="30">
        <v>18</v>
      </c>
      <c r="L85" s="30" t="s">
        <v>3672</v>
      </c>
      <c r="M85" s="30" t="str">
        <f t="shared" si="1"/>
        <v>522303</v>
      </c>
      <c r="N85" s="30">
        <v>1</v>
      </c>
    </row>
    <row r="86" spans="1:14" x14ac:dyDescent="0.25">
      <c r="A86" s="35" t="s">
        <v>1168</v>
      </c>
      <c r="B86" s="35" t="s">
        <v>1051</v>
      </c>
      <c r="C86" s="35" t="s">
        <v>740</v>
      </c>
      <c r="D86" s="30" t="s">
        <v>3594</v>
      </c>
      <c r="E86" s="30" t="s">
        <v>217</v>
      </c>
      <c r="F86" s="30">
        <v>1</v>
      </c>
      <c r="G86" s="30" t="s">
        <v>193</v>
      </c>
      <c r="H86" s="30" t="s">
        <v>194</v>
      </c>
      <c r="I86" s="30" t="s">
        <v>3663</v>
      </c>
      <c r="J86" s="30" t="s">
        <v>210</v>
      </c>
      <c r="K86" s="30">
        <v>18</v>
      </c>
      <c r="L86" s="30" t="s">
        <v>741</v>
      </c>
      <c r="M86" s="30" t="str">
        <f t="shared" si="1"/>
        <v>522301</v>
      </c>
      <c r="N86" s="30">
        <v>1</v>
      </c>
    </row>
    <row r="87" spans="1:14" x14ac:dyDescent="0.25">
      <c r="A87" s="35" t="s">
        <v>3673</v>
      </c>
      <c r="B87" s="35" t="s">
        <v>8</v>
      </c>
      <c r="C87" s="35" t="s">
        <v>740</v>
      </c>
      <c r="D87" s="30" t="s">
        <v>3594</v>
      </c>
      <c r="E87" s="30" t="s">
        <v>233</v>
      </c>
      <c r="F87" s="30">
        <v>1</v>
      </c>
      <c r="G87" s="30" t="s">
        <v>193</v>
      </c>
      <c r="H87" s="30" t="s">
        <v>194</v>
      </c>
      <c r="I87" s="30" t="s">
        <v>3663</v>
      </c>
      <c r="J87" s="30" t="s">
        <v>3674</v>
      </c>
      <c r="K87" s="30">
        <v>18</v>
      </c>
      <c r="L87" s="30" t="s">
        <v>741</v>
      </c>
      <c r="M87" s="30" t="str">
        <f t="shared" si="1"/>
        <v>522301</v>
      </c>
      <c r="N87" s="30">
        <v>1</v>
      </c>
    </row>
    <row r="88" spans="1:14" x14ac:dyDescent="0.25">
      <c r="A88" s="35" t="s">
        <v>1823</v>
      </c>
      <c r="B88" s="35" t="s">
        <v>3675</v>
      </c>
      <c r="C88" s="35" t="s">
        <v>3676</v>
      </c>
      <c r="D88" s="30" t="s">
        <v>3594</v>
      </c>
      <c r="E88" s="30" t="s">
        <v>233</v>
      </c>
      <c r="F88" s="30">
        <v>1</v>
      </c>
      <c r="G88" s="30" t="s">
        <v>193</v>
      </c>
      <c r="H88" s="30" t="s">
        <v>194</v>
      </c>
      <c r="I88" s="30" t="s">
        <v>3663</v>
      </c>
      <c r="J88" s="30" t="s">
        <v>210</v>
      </c>
      <c r="K88" s="30">
        <v>18</v>
      </c>
      <c r="L88" s="30" t="s">
        <v>3677</v>
      </c>
      <c r="M88" s="30" t="str">
        <f t="shared" si="1"/>
        <v>121901</v>
      </c>
      <c r="N88" s="30">
        <v>1</v>
      </c>
    </row>
    <row r="89" spans="1:14" x14ac:dyDescent="0.25">
      <c r="A89" s="35" t="s">
        <v>3678</v>
      </c>
      <c r="B89" s="35" t="s">
        <v>2697</v>
      </c>
      <c r="C89" s="35" t="s">
        <v>521</v>
      </c>
      <c r="D89" s="30" t="s">
        <v>3594</v>
      </c>
      <c r="E89" s="30" t="s">
        <v>233</v>
      </c>
      <c r="F89" s="30">
        <v>1</v>
      </c>
      <c r="G89" s="30" t="s">
        <v>193</v>
      </c>
      <c r="H89" s="30" t="s">
        <v>194</v>
      </c>
      <c r="I89" s="30" t="s">
        <v>3663</v>
      </c>
      <c r="J89" s="30" t="s">
        <v>385</v>
      </c>
      <c r="K89" s="30">
        <v>18</v>
      </c>
      <c r="L89" s="30" t="s">
        <v>522</v>
      </c>
      <c r="M89" s="30" t="str">
        <f t="shared" si="1"/>
        <v>261901</v>
      </c>
      <c r="N89" s="30">
        <v>1</v>
      </c>
    </row>
    <row r="90" spans="1:14" x14ac:dyDescent="0.25">
      <c r="A90" s="35" t="s">
        <v>3679</v>
      </c>
      <c r="B90" s="35" t="s">
        <v>8</v>
      </c>
      <c r="C90" s="35" t="s">
        <v>740</v>
      </c>
      <c r="D90" s="30" t="s">
        <v>3594</v>
      </c>
      <c r="E90" s="30" t="s">
        <v>233</v>
      </c>
      <c r="F90" s="30">
        <v>1</v>
      </c>
      <c r="G90" s="30" t="s">
        <v>193</v>
      </c>
      <c r="H90" s="30" t="s">
        <v>194</v>
      </c>
      <c r="I90" s="30" t="s">
        <v>3663</v>
      </c>
      <c r="J90" s="30" t="s">
        <v>210</v>
      </c>
      <c r="K90" s="30">
        <v>18</v>
      </c>
      <c r="L90" s="30" t="s">
        <v>741</v>
      </c>
      <c r="M90" s="30" t="str">
        <f t="shared" si="1"/>
        <v>522301</v>
      </c>
      <c r="N90" s="30">
        <v>1</v>
      </c>
    </row>
    <row r="91" spans="1:14" x14ac:dyDescent="0.25">
      <c r="A91" s="35" t="s">
        <v>3680</v>
      </c>
      <c r="B91" s="35" t="s">
        <v>304</v>
      </c>
      <c r="C91" s="35" t="s">
        <v>1925</v>
      </c>
      <c r="D91" s="30" t="s">
        <v>3594</v>
      </c>
      <c r="E91" s="30" t="s">
        <v>192</v>
      </c>
      <c r="F91" s="30">
        <v>1</v>
      </c>
      <c r="G91" s="30" t="s">
        <v>193</v>
      </c>
      <c r="H91" s="30" t="s">
        <v>194</v>
      </c>
      <c r="I91" s="30" t="s">
        <v>3663</v>
      </c>
      <c r="J91" s="30" t="s">
        <v>385</v>
      </c>
      <c r="K91" s="30">
        <v>18</v>
      </c>
      <c r="L91" s="30" t="s">
        <v>1926</v>
      </c>
      <c r="M91" s="30" t="str">
        <f t="shared" si="1"/>
        <v>214301</v>
      </c>
      <c r="N91" s="30">
        <v>1</v>
      </c>
    </row>
    <row r="92" spans="1:14" x14ac:dyDescent="0.25">
      <c r="A92" s="35" t="s">
        <v>3680</v>
      </c>
      <c r="B92" s="35" t="s">
        <v>3681</v>
      </c>
      <c r="C92" s="35" t="s">
        <v>1925</v>
      </c>
      <c r="D92" s="30" t="s">
        <v>3594</v>
      </c>
      <c r="E92" s="30" t="s">
        <v>192</v>
      </c>
      <c r="F92" s="30">
        <v>1</v>
      </c>
      <c r="G92" s="30" t="s">
        <v>193</v>
      </c>
      <c r="H92" s="30" t="s">
        <v>194</v>
      </c>
      <c r="I92" s="30" t="s">
        <v>3663</v>
      </c>
      <c r="J92" s="30" t="s">
        <v>385</v>
      </c>
      <c r="K92" s="30">
        <v>18</v>
      </c>
      <c r="L92" s="30" t="s">
        <v>1926</v>
      </c>
      <c r="M92" s="30" t="str">
        <f t="shared" si="1"/>
        <v>214301</v>
      </c>
      <c r="N92" s="30">
        <v>1</v>
      </c>
    </row>
    <row r="93" spans="1:14" x14ac:dyDescent="0.25">
      <c r="A93" s="35" t="s">
        <v>3680</v>
      </c>
      <c r="B93" s="35" t="s">
        <v>3682</v>
      </c>
      <c r="C93" s="35" t="s">
        <v>98</v>
      </c>
      <c r="D93" s="30" t="s">
        <v>3594</v>
      </c>
      <c r="E93" s="30" t="s">
        <v>192</v>
      </c>
      <c r="F93" s="30">
        <v>1</v>
      </c>
      <c r="G93" s="30" t="s">
        <v>193</v>
      </c>
      <c r="H93" s="30" t="s">
        <v>194</v>
      </c>
      <c r="I93" s="30" t="s">
        <v>3663</v>
      </c>
      <c r="J93" s="30" t="s">
        <v>385</v>
      </c>
      <c r="K93" s="30">
        <v>18</v>
      </c>
      <c r="L93" s="30" t="s">
        <v>1973</v>
      </c>
      <c r="M93" s="30" t="str">
        <f t="shared" si="1"/>
        <v>214502</v>
      </c>
      <c r="N93" s="30">
        <v>1</v>
      </c>
    </row>
    <row r="94" spans="1:14" x14ac:dyDescent="0.25">
      <c r="A94" s="35" t="s">
        <v>3683</v>
      </c>
      <c r="B94" s="35" t="s">
        <v>3684</v>
      </c>
      <c r="C94" s="35" t="s">
        <v>3685</v>
      </c>
      <c r="D94" s="30" t="s">
        <v>3594</v>
      </c>
      <c r="E94" s="30" t="s">
        <v>192</v>
      </c>
      <c r="F94" s="30">
        <v>4</v>
      </c>
      <c r="G94" s="30" t="s">
        <v>193</v>
      </c>
      <c r="H94" s="30" t="s">
        <v>194</v>
      </c>
      <c r="I94" s="30" t="s">
        <v>3663</v>
      </c>
      <c r="J94" s="30" t="s">
        <v>210</v>
      </c>
      <c r="K94" s="30">
        <v>18</v>
      </c>
      <c r="L94" s="30" t="s">
        <v>3686</v>
      </c>
      <c r="M94" s="30" t="str">
        <f t="shared" si="1"/>
        <v>112017</v>
      </c>
      <c r="N94" s="30">
        <v>4</v>
      </c>
    </row>
    <row r="95" spans="1:14" x14ac:dyDescent="0.25">
      <c r="A95" s="35" t="s">
        <v>3687</v>
      </c>
      <c r="B95" s="35" t="s">
        <v>2831</v>
      </c>
      <c r="C95" s="35" t="s">
        <v>1497</v>
      </c>
      <c r="D95" s="30" t="s">
        <v>3594</v>
      </c>
      <c r="E95" s="30" t="s">
        <v>192</v>
      </c>
      <c r="F95" s="30">
        <v>1</v>
      </c>
      <c r="G95" s="30" t="s">
        <v>193</v>
      </c>
      <c r="H95" s="30" t="s">
        <v>194</v>
      </c>
      <c r="I95" s="30" t="s">
        <v>3663</v>
      </c>
      <c r="J95" s="30" t="s">
        <v>210</v>
      </c>
      <c r="K95" s="30">
        <v>18</v>
      </c>
      <c r="L95" s="30" t="s">
        <v>1498</v>
      </c>
      <c r="M95" s="30" t="str">
        <f t="shared" si="1"/>
        <v>134605</v>
      </c>
      <c r="N95" s="30">
        <v>1</v>
      </c>
    </row>
    <row r="96" spans="1:14" x14ac:dyDescent="0.25">
      <c r="A96" s="35" t="s">
        <v>1835</v>
      </c>
      <c r="B96" s="35" t="s">
        <v>965</v>
      </c>
      <c r="C96" s="35" t="s">
        <v>113</v>
      </c>
      <c r="D96" s="30" t="s">
        <v>3594</v>
      </c>
      <c r="E96" s="30" t="s">
        <v>192</v>
      </c>
      <c r="F96" s="30">
        <v>1</v>
      </c>
      <c r="G96" s="30" t="s">
        <v>193</v>
      </c>
      <c r="H96" s="30" t="s">
        <v>194</v>
      </c>
      <c r="I96" s="30" t="s">
        <v>3663</v>
      </c>
      <c r="J96" s="30" t="s">
        <v>276</v>
      </c>
      <c r="K96" s="30">
        <v>18</v>
      </c>
      <c r="L96" s="30" t="s">
        <v>465</v>
      </c>
      <c r="M96" s="30" t="str">
        <f t="shared" si="1"/>
        <v>243302</v>
      </c>
      <c r="N96" s="30">
        <v>1</v>
      </c>
    </row>
    <row r="97" spans="1:14" x14ac:dyDescent="0.25">
      <c r="A97" s="35" t="s">
        <v>1909</v>
      </c>
      <c r="B97" s="35" t="s">
        <v>1910</v>
      </c>
      <c r="C97" s="35" t="s">
        <v>3688</v>
      </c>
      <c r="D97" s="30" t="s">
        <v>3594</v>
      </c>
      <c r="E97" s="30" t="s">
        <v>233</v>
      </c>
      <c r="F97" s="30">
        <v>1</v>
      </c>
      <c r="G97" s="30" t="s">
        <v>193</v>
      </c>
      <c r="H97" s="30" t="s">
        <v>194</v>
      </c>
      <c r="I97" s="30" t="s">
        <v>3663</v>
      </c>
      <c r="J97" s="30" t="s">
        <v>210</v>
      </c>
      <c r="K97" s="30">
        <v>18</v>
      </c>
      <c r="L97" s="30" t="s">
        <v>3689</v>
      </c>
      <c r="M97" s="30" t="str">
        <f t="shared" si="1"/>
        <v>112007</v>
      </c>
      <c r="N97" s="30">
        <v>1</v>
      </c>
    </row>
    <row r="98" spans="1:14" x14ac:dyDescent="0.25">
      <c r="A98" s="35" t="s">
        <v>2622</v>
      </c>
      <c r="B98" s="35" t="s">
        <v>3690</v>
      </c>
      <c r="C98" s="35" t="s">
        <v>829</v>
      </c>
      <c r="D98" s="30" t="s">
        <v>3594</v>
      </c>
      <c r="E98" s="30" t="s">
        <v>192</v>
      </c>
      <c r="F98" s="30">
        <v>1</v>
      </c>
      <c r="G98" s="30" t="s">
        <v>193</v>
      </c>
      <c r="H98" s="30" t="s">
        <v>194</v>
      </c>
      <c r="I98" s="30" t="s">
        <v>3663</v>
      </c>
      <c r="J98" s="30" t="s">
        <v>2183</v>
      </c>
      <c r="K98" s="30">
        <v>18</v>
      </c>
      <c r="L98" s="30" t="s">
        <v>830</v>
      </c>
      <c r="M98" s="30" t="str">
        <f t="shared" si="1"/>
        <v>741201</v>
      </c>
      <c r="N98" s="30">
        <v>1</v>
      </c>
    </row>
    <row r="99" spans="1:14" x14ac:dyDescent="0.25">
      <c r="A99" s="35" t="s">
        <v>2622</v>
      </c>
      <c r="B99" s="35" t="s">
        <v>3691</v>
      </c>
      <c r="C99" s="35" t="s">
        <v>829</v>
      </c>
      <c r="D99" s="30" t="s">
        <v>3594</v>
      </c>
      <c r="E99" s="30" t="s">
        <v>233</v>
      </c>
      <c r="F99" s="30">
        <v>1</v>
      </c>
      <c r="G99" s="30" t="s">
        <v>193</v>
      </c>
      <c r="H99" s="30" t="s">
        <v>194</v>
      </c>
      <c r="I99" s="30" t="s">
        <v>3663</v>
      </c>
      <c r="J99" s="30" t="s">
        <v>2183</v>
      </c>
      <c r="K99" s="30">
        <v>18</v>
      </c>
      <c r="L99" s="30" t="s">
        <v>830</v>
      </c>
      <c r="M99" s="30" t="str">
        <f t="shared" si="1"/>
        <v>741201</v>
      </c>
      <c r="N99" s="30">
        <v>1</v>
      </c>
    </row>
    <row r="100" spans="1:14" x14ac:dyDescent="0.25">
      <c r="A100" s="35" t="s">
        <v>3692</v>
      </c>
      <c r="B100" s="35" t="s">
        <v>2124</v>
      </c>
      <c r="C100" s="35" t="s">
        <v>13</v>
      </c>
      <c r="D100" s="30" t="s">
        <v>3594</v>
      </c>
      <c r="E100" s="30" t="s">
        <v>233</v>
      </c>
      <c r="F100" s="30">
        <v>1</v>
      </c>
      <c r="G100" s="30" t="s">
        <v>193</v>
      </c>
      <c r="H100" s="30" t="s">
        <v>194</v>
      </c>
      <c r="I100" s="30" t="s">
        <v>3663</v>
      </c>
      <c r="J100" s="30" t="s">
        <v>259</v>
      </c>
      <c r="K100" s="30">
        <v>18</v>
      </c>
      <c r="L100" s="30" t="s">
        <v>2125</v>
      </c>
      <c r="M100" s="30" t="str">
        <f t="shared" si="1"/>
        <v>225101</v>
      </c>
      <c r="N100" s="30">
        <v>1</v>
      </c>
    </row>
    <row r="101" spans="1:14" x14ac:dyDescent="0.25">
      <c r="A101" s="35" t="s">
        <v>3693</v>
      </c>
      <c r="B101" s="35" t="s">
        <v>3694</v>
      </c>
      <c r="C101" s="35" t="s">
        <v>1133</v>
      </c>
      <c r="D101" s="30" t="s">
        <v>3594</v>
      </c>
      <c r="E101" s="30" t="s">
        <v>192</v>
      </c>
      <c r="F101" s="30">
        <v>1</v>
      </c>
      <c r="G101" s="30" t="s">
        <v>193</v>
      </c>
      <c r="H101" s="30" t="s">
        <v>194</v>
      </c>
      <c r="I101" s="30" t="s">
        <v>3663</v>
      </c>
      <c r="J101" s="30" t="s">
        <v>276</v>
      </c>
      <c r="K101" s="30">
        <v>18</v>
      </c>
      <c r="L101" s="30" t="s">
        <v>1134</v>
      </c>
      <c r="M101" s="30" t="str">
        <f t="shared" si="1"/>
        <v>112008</v>
      </c>
      <c r="N101" s="30">
        <v>1</v>
      </c>
    </row>
    <row r="102" spans="1:14" x14ac:dyDescent="0.25">
      <c r="A102" s="35" t="s">
        <v>3695</v>
      </c>
      <c r="B102" s="35" t="s">
        <v>3696</v>
      </c>
      <c r="C102" s="35" t="s">
        <v>1148</v>
      </c>
      <c r="D102" s="30" t="s">
        <v>3594</v>
      </c>
      <c r="E102" s="30" t="s">
        <v>192</v>
      </c>
      <c r="F102" s="30">
        <v>1</v>
      </c>
      <c r="G102" s="30" t="s">
        <v>193</v>
      </c>
      <c r="H102" s="30" t="s">
        <v>194</v>
      </c>
      <c r="I102" s="30" t="s">
        <v>3697</v>
      </c>
      <c r="J102" s="30" t="s">
        <v>238</v>
      </c>
      <c r="K102" s="30">
        <v>18</v>
      </c>
      <c r="L102" s="30" t="s">
        <v>1150</v>
      </c>
      <c r="M102" s="30" t="str">
        <f t="shared" si="1"/>
        <v>244001</v>
      </c>
      <c r="N102" s="30">
        <v>1</v>
      </c>
    </row>
    <row r="103" spans="1:14" x14ac:dyDescent="0.25">
      <c r="A103" s="35" t="s">
        <v>1340</v>
      </c>
      <c r="B103" s="35" t="s">
        <v>3698</v>
      </c>
      <c r="C103" s="35" t="s">
        <v>18</v>
      </c>
      <c r="D103" s="30" t="s">
        <v>3594</v>
      </c>
      <c r="E103" s="30" t="s">
        <v>192</v>
      </c>
      <c r="F103" s="30">
        <v>1</v>
      </c>
      <c r="G103" s="30" t="s">
        <v>193</v>
      </c>
      <c r="H103" s="30" t="s">
        <v>194</v>
      </c>
      <c r="I103" s="30" t="s">
        <v>3663</v>
      </c>
      <c r="J103" s="30" t="s">
        <v>210</v>
      </c>
      <c r="K103" s="30">
        <v>18</v>
      </c>
      <c r="L103" s="30" t="s">
        <v>1476</v>
      </c>
      <c r="M103" s="30" t="str">
        <f t="shared" si="1"/>
        <v>242309</v>
      </c>
      <c r="N103" s="30">
        <v>1</v>
      </c>
    </row>
    <row r="104" spans="1:14" x14ac:dyDescent="0.25">
      <c r="A104" s="35" t="s">
        <v>3699</v>
      </c>
      <c r="B104" s="35" t="s">
        <v>2523</v>
      </c>
      <c r="C104" s="35" t="s">
        <v>284</v>
      </c>
      <c r="D104" s="30" t="s">
        <v>3594</v>
      </c>
      <c r="E104" s="30" t="s">
        <v>192</v>
      </c>
      <c r="F104" s="30">
        <v>1</v>
      </c>
      <c r="G104" s="30" t="s">
        <v>193</v>
      </c>
      <c r="H104" s="30" t="s">
        <v>194</v>
      </c>
      <c r="I104" s="30" t="s">
        <v>3663</v>
      </c>
      <c r="J104" s="30" t="s">
        <v>210</v>
      </c>
      <c r="K104" s="30">
        <v>18</v>
      </c>
      <c r="L104" s="30" t="s">
        <v>286</v>
      </c>
      <c r="M104" s="30" t="str">
        <f t="shared" si="1"/>
        <v>214109</v>
      </c>
      <c r="N104" s="30">
        <v>1</v>
      </c>
    </row>
    <row r="105" spans="1:14" x14ac:dyDescent="0.25">
      <c r="A105" s="35" t="s">
        <v>493</v>
      </c>
      <c r="B105" s="35" t="s">
        <v>3700</v>
      </c>
      <c r="C105" s="35" t="s">
        <v>10</v>
      </c>
      <c r="D105" s="30" t="s">
        <v>3594</v>
      </c>
      <c r="E105" s="30" t="s">
        <v>192</v>
      </c>
      <c r="F105" s="30">
        <v>1</v>
      </c>
      <c r="G105" s="30" t="s">
        <v>193</v>
      </c>
      <c r="H105" s="30" t="s">
        <v>194</v>
      </c>
      <c r="I105" s="30" t="s">
        <v>3697</v>
      </c>
      <c r="J105" s="30" t="s">
        <v>210</v>
      </c>
      <c r="K105" s="30">
        <v>18</v>
      </c>
      <c r="L105" s="30" t="s">
        <v>484</v>
      </c>
      <c r="M105" s="30" t="str">
        <f t="shared" si="1"/>
        <v>251401</v>
      </c>
      <c r="N105" s="30">
        <v>1</v>
      </c>
    </row>
    <row r="106" spans="1:14" x14ac:dyDescent="0.25">
      <c r="A106" s="35" t="s">
        <v>493</v>
      </c>
      <c r="B106" s="35" t="s">
        <v>3701</v>
      </c>
      <c r="C106" s="35" t="s">
        <v>10</v>
      </c>
      <c r="D106" s="30" t="s">
        <v>3594</v>
      </c>
      <c r="E106" s="30" t="s">
        <v>192</v>
      </c>
      <c r="F106" s="30">
        <v>1</v>
      </c>
      <c r="G106" s="30" t="s">
        <v>193</v>
      </c>
      <c r="H106" s="30" t="s">
        <v>194</v>
      </c>
      <c r="I106" s="30" t="s">
        <v>3697</v>
      </c>
      <c r="J106" s="30" t="s">
        <v>210</v>
      </c>
      <c r="K106" s="30">
        <v>18</v>
      </c>
      <c r="L106" s="30" t="s">
        <v>484</v>
      </c>
      <c r="M106" s="30" t="str">
        <f t="shared" si="1"/>
        <v>251401</v>
      </c>
      <c r="N106" s="30">
        <v>1</v>
      </c>
    </row>
    <row r="107" spans="1:14" x14ac:dyDescent="0.25">
      <c r="A107" s="35" t="s">
        <v>2567</v>
      </c>
      <c r="B107" s="35" t="s">
        <v>261</v>
      </c>
      <c r="C107" s="35" t="s">
        <v>74</v>
      </c>
      <c r="D107" s="30" t="s">
        <v>3594</v>
      </c>
      <c r="E107" s="30" t="s">
        <v>192</v>
      </c>
      <c r="F107" s="30">
        <v>1</v>
      </c>
      <c r="G107" s="30" t="s">
        <v>193</v>
      </c>
      <c r="H107" s="30" t="s">
        <v>194</v>
      </c>
      <c r="I107" s="30" t="s">
        <v>3663</v>
      </c>
      <c r="J107" s="30" t="s">
        <v>253</v>
      </c>
      <c r="K107" s="30">
        <v>18</v>
      </c>
      <c r="L107" s="30" t="s">
        <v>246</v>
      </c>
      <c r="M107" s="30" t="str">
        <f t="shared" si="1"/>
        <v>142004</v>
      </c>
      <c r="N107" s="30">
        <v>1</v>
      </c>
    </row>
    <row r="108" spans="1:14" x14ac:dyDescent="0.25">
      <c r="A108" s="35" t="s">
        <v>2567</v>
      </c>
      <c r="B108" s="35" t="s">
        <v>67</v>
      </c>
      <c r="C108" s="35" t="s">
        <v>67</v>
      </c>
      <c r="D108" s="30" t="s">
        <v>3594</v>
      </c>
      <c r="E108" s="30" t="s">
        <v>192</v>
      </c>
      <c r="F108" s="30">
        <v>1</v>
      </c>
      <c r="G108" s="30" t="s">
        <v>193</v>
      </c>
      <c r="H108" s="30" t="s">
        <v>194</v>
      </c>
      <c r="I108" s="30" t="s">
        <v>3663</v>
      </c>
      <c r="J108" s="30" t="s">
        <v>223</v>
      </c>
      <c r="K108" s="30">
        <v>18</v>
      </c>
      <c r="L108" s="30" t="s">
        <v>709</v>
      </c>
      <c r="M108" s="30" t="str">
        <f t="shared" si="1"/>
        <v>432103</v>
      </c>
      <c r="N108" s="30">
        <v>1</v>
      </c>
    </row>
    <row r="109" spans="1:14" x14ac:dyDescent="0.25">
      <c r="A109" s="35" t="s">
        <v>2567</v>
      </c>
      <c r="B109" s="35" t="s">
        <v>1616</v>
      </c>
      <c r="C109" s="35" t="s">
        <v>1170</v>
      </c>
      <c r="D109" s="30" t="s">
        <v>3594</v>
      </c>
      <c r="E109" s="30" t="s">
        <v>192</v>
      </c>
      <c r="F109" s="30">
        <v>1</v>
      </c>
      <c r="G109" s="30" t="s">
        <v>193</v>
      </c>
      <c r="H109" s="30" t="s">
        <v>194</v>
      </c>
      <c r="I109" s="30" t="s">
        <v>3697</v>
      </c>
      <c r="J109" s="30" t="s">
        <v>2183</v>
      </c>
      <c r="K109" s="30">
        <v>18</v>
      </c>
      <c r="L109" s="30" t="s">
        <v>1171</v>
      </c>
      <c r="M109" s="30" t="str">
        <f t="shared" si="1"/>
        <v>522390</v>
      </c>
      <c r="N109" s="30">
        <v>1</v>
      </c>
    </row>
    <row r="110" spans="1:14" x14ac:dyDescent="0.25">
      <c r="A110" s="35" t="s">
        <v>2567</v>
      </c>
      <c r="B110" s="35" t="s">
        <v>3702</v>
      </c>
      <c r="C110" s="35" t="s">
        <v>3703</v>
      </c>
      <c r="D110" s="30" t="s">
        <v>3594</v>
      </c>
      <c r="E110" s="30" t="s">
        <v>192</v>
      </c>
      <c r="F110" s="30">
        <v>1</v>
      </c>
      <c r="G110" s="30" t="s">
        <v>193</v>
      </c>
      <c r="H110" s="30" t="s">
        <v>194</v>
      </c>
      <c r="I110" s="30" t="s">
        <v>3697</v>
      </c>
      <c r="J110" s="30" t="s">
        <v>210</v>
      </c>
      <c r="K110" s="30">
        <v>18</v>
      </c>
      <c r="L110" s="30" t="s">
        <v>3704</v>
      </c>
      <c r="M110" s="30" t="str">
        <f t="shared" si="1"/>
        <v>522302</v>
      </c>
      <c r="N110" s="30">
        <v>1</v>
      </c>
    </row>
    <row r="111" spans="1:14" x14ac:dyDescent="0.25">
      <c r="A111" s="35" t="s">
        <v>2567</v>
      </c>
      <c r="B111" s="35" t="s">
        <v>1057</v>
      </c>
      <c r="C111" s="35" t="s">
        <v>74</v>
      </c>
      <c r="D111" s="30" t="s">
        <v>3594</v>
      </c>
      <c r="E111" s="30" t="s">
        <v>192</v>
      </c>
      <c r="F111" s="30">
        <v>1</v>
      </c>
      <c r="G111" s="30" t="s">
        <v>193</v>
      </c>
      <c r="H111" s="30" t="s">
        <v>194</v>
      </c>
      <c r="I111" s="30" t="s">
        <v>3697</v>
      </c>
      <c r="J111" s="30" t="s">
        <v>253</v>
      </c>
      <c r="K111" s="30">
        <v>18</v>
      </c>
      <c r="L111" s="30" t="s">
        <v>246</v>
      </c>
      <c r="M111" s="30" t="str">
        <f t="shared" si="1"/>
        <v>142004</v>
      </c>
      <c r="N111" s="30">
        <v>1</v>
      </c>
    </row>
    <row r="112" spans="1:14" x14ac:dyDescent="0.25">
      <c r="A112" s="35" t="s">
        <v>3705</v>
      </c>
      <c r="B112" s="35" t="s">
        <v>3706</v>
      </c>
      <c r="C112" s="35" t="s">
        <v>128</v>
      </c>
      <c r="D112" s="30" t="s">
        <v>3594</v>
      </c>
      <c r="E112" s="30" t="s">
        <v>192</v>
      </c>
      <c r="F112" s="30">
        <v>1</v>
      </c>
      <c r="G112" s="30" t="s">
        <v>193</v>
      </c>
      <c r="H112" s="30" t="s">
        <v>194</v>
      </c>
      <c r="I112" s="30" t="s">
        <v>3697</v>
      </c>
      <c r="J112" s="30" t="s">
        <v>210</v>
      </c>
      <c r="K112" s="30">
        <v>18</v>
      </c>
      <c r="L112" s="30" t="s">
        <v>2084</v>
      </c>
      <c r="M112" s="30" t="str">
        <f t="shared" si="1"/>
        <v>524302</v>
      </c>
      <c r="N112" s="30">
        <v>1</v>
      </c>
    </row>
    <row r="113" spans="1:14" x14ac:dyDescent="0.25">
      <c r="A113" s="35" t="s">
        <v>1697</v>
      </c>
      <c r="B113" s="35" t="s">
        <v>2748</v>
      </c>
      <c r="C113" s="35" t="s">
        <v>43</v>
      </c>
      <c r="D113" s="30" t="s">
        <v>3594</v>
      </c>
      <c r="E113" s="30" t="s">
        <v>192</v>
      </c>
      <c r="F113" s="30">
        <v>1</v>
      </c>
      <c r="G113" s="30" t="s">
        <v>193</v>
      </c>
      <c r="H113" s="30" t="s">
        <v>194</v>
      </c>
      <c r="I113" s="30" t="s">
        <v>3697</v>
      </c>
      <c r="J113" s="30" t="s">
        <v>210</v>
      </c>
      <c r="K113" s="30">
        <v>18</v>
      </c>
      <c r="L113" s="30" t="s">
        <v>452</v>
      </c>
      <c r="M113" s="30" t="str">
        <f t="shared" si="1"/>
        <v>243106</v>
      </c>
      <c r="N113" s="30">
        <v>1</v>
      </c>
    </row>
    <row r="114" spans="1:14" x14ac:dyDescent="0.25">
      <c r="A114" s="35" t="s">
        <v>3707</v>
      </c>
      <c r="B114" s="35" t="s">
        <v>3708</v>
      </c>
      <c r="C114" s="35" t="s">
        <v>36</v>
      </c>
      <c r="D114" s="30" t="s">
        <v>3594</v>
      </c>
      <c r="E114" s="30" t="s">
        <v>233</v>
      </c>
      <c r="F114" s="30">
        <v>1</v>
      </c>
      <c r="G114" s="30" t="s">
        <v>193</v>
      </c>
      <c r="H114" s="30" t="s">
        <v>194</v>
      </c>
      <c r="I114" s="30" t="s">
        <v>3697</v>
      </c>
      <c r="J114" s="30" t="s">
        <v>210</v>
      </c>
      <c r="K114" s="30">
        <v>18</v>
      </c>
      <c r="L114" s="30" t="s">
        <v>609</v>
      </c>
      <c r="M114" s="30" t="str">
        <f t="shared" si="1"/>
        <v>331301</v>
      </c>
      <c r="N114" s="30">
        <v>1</v>
      </c>
    </row>
    <row r="115" spans="1:14" x14ac:dyDescent="0.25">
      <c r="A115" s="35" t="s">
        <v>3709</v>
      </c>
      <c r="B115" s="35" t="s">
        <v>3710</v>
      </c>
      <c r="C115" s="35" t="s">
        <v>67</v>
      </c>
      <c r="D115" s="30" t="s">
        <v>3594</v>
      </c>
      <c r="E115" s="30" t="s">
        <v>217</v>
      </c>
      <c r="F115" s="30">
        <v>1</v>
      </c>
      <c r="G115" s="30" t="s">
        <v>193</v>
      </c>
      <c r="H115" s="30" t="s">
        <v>194</v>
      </c>
      <c r="I115" s="30" t="s">
        <v>3663</v>
      </c>
      <c r="J115" s="30" t="s">
        <v>747</v>
      </c>
      <c r="K115" s="30">
        <v>18</v>
      </c>
      <c r="L115" s="30" t="s">
        <v>709</v>
      </c>
      <c r="M115" s="30" t="str">
        <f t="shared" si="1"/>
        <v>432103</v>
      </c>
      <c r="N115" s="30">
        <v>1</v>
      </c>
    </row>
    <row r="116" spans="1:14" x14ac:dyDescent="0.25">
      <c r="A116" s="35" t="s">
        <v>581</v>
      </c>
      <c r="B116" s="35" t="s">
        <v>632</v>
      </c>
      <c r="C116" s="35" t="s">
        <v>17</v>
      </c>
      <c r="D116" s="30" t="s">
        <v>3594</v>
      </c>
      <c r="E116" s="30" t="s">
        <v>192</v>
      </c>
      <c r="F116" s="30">
        <v>1</v>
      </c>
      <c r="G116" s="30" t="s">
        <v>193</v>
      </c>
      <c r="H116" s="30" t="s">
        <v>194</v>
      </c>
      <c r="I116" s="30" t="s">
        <v>3663</v>
      </c>
      <c r="J116" s="30" t="s">
        <v>210</v>
      </c>
      <c r="K116" s="30">
        <v>18</v>
      </c>
      <c r="L116" s="30" t="s">
        <v>624</v>
      </c>
      <c r="M116" s="30" t="str">
        <f t="shared" si="1"/>
        <v>332203</v>
      </c>
      <c r="N116" s="30">
        <v>1</v>
      </c>
    </row>
    <row r="117" spans="1:14" x14ac:dyDescent="0.25">
      <c r="A117" s="35" t="s">
        <v>1923</v>
      </c>
      <c r="B117" s="35" t="s">
        <v>3711</v>
      </c>
      <c r="C117" s="35" t="s">
        <v>366</v>
      </c>
      <c r="D117" s="30" t="s">
        <v>3594</v>
      </c>
      <c r="E117" s="30" t="s">
        <v>192</v>
      </c>
      <c r="F117" s="30">
        <v>1</v>
      </c>
      <c r="G117" s="30" t="s">
        <v>193</v>
      </c>
      <c r="H117" s="30" t="s">
        <v>194</v>
      </c>
      <c r="I117" s="30" t="s">
        <v>3697</v>
      </c>
      <c r="J117" s="30" t="s">
        <v>285</v>
      </c>
      <c r="K117" s="30">
        <v>18</v>
      </c>
      <c r="L117" s="30" t="s">
        <v>368</v>
      </c>
      <c r="M117" s="30" t="str">
        <f t="shared" si="1"/>
        <v>215201</v>
      </c>
      <c r="N117" s="30">
        <v>1</v>
      </c>
    </row>
    <row r="118" spans="1:14" x14ac:dyDescent="0.25">
      <c r="A118" s="35" t="s">
        <v>3712</v>
      </c>
      <c r="B118" s="35" t="s">
        <v>3713</v>
      </c>
      <c r="C118" s="35" t="s">
        <v>119</v>
      </c>
      <c r="D118" s="30" t="s">
        <v>3594</v>
      </c>
      <c r="E118" s="30" t="s">
        <v>192</v>
      </c>
      <c r="F118" s="30">
        <v>1</v>
      </c>
      <c r="G118" s="30" t="s">
        <v>193</v>
      </c>
      <c r="H118" s="30" t="s">
        <v>194</v>
      </c>
      <c r="I118" s="30" t="s">
        <v>3697</v>
      </c>
      <c r="J118" s="30" t="s">
        <v>276</v>
      </c>
      <c r="K118" s="30">
        <v>18</v>
      </c>
      <c r="L118" s="30" t="s">
        <v>666</v>
      </c>
      <c r="M118" s="30" t="str">
        <f t="shared" si="1"/>
        <v>333105</v>
      </c>
      <c r="N118" s="30">
        <v>1</v>
      </c>
    </row>
    <row r="119" spans="1:14" x14ac:dyDescent="0.25">
      <c r="A119" s="35" t="s">
        <v>3714</v>
      </c>
      <c r="B119" s="35" t="s">
        <v>3715</v>
      </c>
      <c r="C119" s="35" t="s">
        <v>80</v>
      </c>
      <c r="D119" s="30" t="s">
        <v>3594</v>
      </c>
      <c r="E119" s="30" t="s">
        <v>192</v>
      </c>
      <c r="F119" s="30">
        <v>1</v>
      </c>
      <c r="G119" s="30" t="s">
        <v>193</v>
      </c>
      <c r="H119" s="30" t="s">
        <v>194</v>
      </c>
      <c r="I119" s="30" t="s">
        <v>3697</v>
      </c>
      <c r="J119" s="30" t="s">
        <v>210</v>
      </c>
      <c r="K119" s="30">
        <v>18</v>
      </c>
      <c r="L119" s="30" t="s">
        <v>474</v>
      </c>
      <c r="M119" s="30" t="str">
        <f t="shared" si="1"/>
        <v>243304</v>
      </c>
      <c r="N119" s="30">
        <v>1</v>
      </c>
    </row>
    <row r="120" spans="1:14" x14ac:dyDescent="0.25">
      <c r="A120" s="35" t="s">
        <v>3716</v>
      </c>
      <c r="B120" s="35" t="s">
        <v>3717</v>
      </c>
      <c r="C120" s="35" t="s">
        <v>17</v>
      </c>
      <c r="D120" s="30" t="s">
        <v>3594</v>
      </c>
      <c r="E120" s="30" t="s">
        <v>192</v>
      </c>
      <c r="F120" s="30">
        <v>1</v>
      </c>
      <c r="G120" s="30" t="s">
        <v>193</v>
      </c>
      <c r="H120" s="30" t="s">
        <v>194</v>
      </c>
      <c r="I120" s="30" t="s">
        <v>3697</v>
      </c>
      <c r="J120" s="30" t="s">
        <v>473</v>
      </c>
      <c r="K120" s="30">
        <v>18</v>
      </c>
      <c r="L120" s="30" t="s">
        <v>624</v>
      </c>
      <c r="M120" s="30" t="str">
        <f t="shared" si="1"/>
        <v>332203</v>
      </c>
      <c r="N120" s="30">
        <v>1</v>
      </c>
    </row>
    <row r="121" spans="1:14" x14ac:dyDescent="0.25">
      <c r="A121" s="35" t="s">
        <v>1097</v>
      </c>
      <c r="B121" s="35" t="s">
        <v>632</v>
      </c>
      <c r="C121" s="35" t="s">
        <v>17</v>
      </c>
      <c r="D121" s="30" t="s">
        <v>3721</v>
      </c>
      <c r="E121" s="30" t="s">
        <v>233</v>
      </c>
      <c r="F121" s="30">
        <v>1</v>
      </c>
      <c r="G121" s="30" t="s">
        <v>193</v>
      </c>
      <c r="H121" s="30" t="s">
        <v>194</v>
      </c>
      <c r="I121" s="30" t="s">
        <v>4199</v>
      </c>
      <c r="J121" s="30" t="s">
        <v>1099</v>
      </c>
      <c r="K121" s="30">
        <v>18</v>
      </c>
      <c r="L121" s="30" t="s">
        <v>624</v>
      </c>
      <c r="M121" s="30" t="str">
        <f t="shared" si="1"/>
        <v>332203</v>
      </c>
      <c r="N121" s="30">
        <v>1</v>
      </c>
    </row>
    <row r="122" spans="1:14" x14ac:dyDescent="0.25">
      <c r="A122" s="35" t="s">
        <v>2769</v>
      </c>
      <c r="B122" s="35" t="s">
        <v>4228</v>
      </c>
      <c r="C122" s="35" t="s">
        <v>21</v>
      </c>
      <c r="D122" s="30" t="s">
        <v>3721</v>
      </c>
      <c r="E122" s="30" t="s">
        <v>233</v>
      </c>
      <c r="F122" s="30">
        <v>1</v>
      </c>
      <c r="G122" s="30" t="s">
        <v>193</v>
      </c>
      <c r="H122" s="30" t="s">
        <v>194</v>
      </c>
      <c r="I122" s="30" t="s">
        <v>4201</v>
      </c>
      <c r="J122" s="30" t="s">
        <v>210</v>
      </c>
      <c r="K122" s="30">
        <v>18</v>
      </c>
      <c r="L122" s="30" t="s">
        <v>293</v>
      </c>
      <c r="M122" s="30" t="str">
        <f t="shared" si="1"/>
        <v>214202</v>
      </c>
      <c r="N122" s="30">
        <v>1</v>
      </c>
    </row>
    <row r="123" spans="1:14" x14ac:dyDescent="0.25">
      <c r="A123" s="35" t="s">
        <v>1675</v>
      </c>
      <c r="B123" s="35" t="s">
        <v>4229</v>
      </c>
      <c r="C123" s="35" t="s">
        <v>9</v>
      </c>
      <c r="D123" s="30" t="s">
        <v>3721</v>
      </c>
      <c r="E123" s="30" t="s">
        <v>233</v>
      </c>
      <c r="F123" s="30">
        <v>1</v>
      </c>
      <c r="G123" s="30" t="s">
        <v>193</v>
      </c>
      <c r="H123" s="30" t="s">
        <v>194</v>
      </c>
      <c r="I123" s="30" t="s">
        <v>4201</v>
      </c>
      <c r="J123" s="30" t="s">
        <v>210</v>
      </c>
      <c r="K123" s="30">
        <v>18</v>
      </c>
      <c r="L123" s="30" t="s">
        <v>405</v>
      </c>
      <c r="M123" s="30" t="str">
        <f t="shared" si="1"/>
        <v>241304</v>
      </c>
      <c r="N123" s="30">
        <v>1</v>
      </c>
    </row>
    <row r="124" spans="1:14" x14ac:dyDescent="0.25">
      <c r="A124" s="35" t="s">
        <v>1376</v>
      </c>
      <c r="B124" s="35" t="s">
        <v>3718</v>
      </c>
      <c r="C124" s="35" t="s">
        <v>3719</v>
      </c>
      <c r="D124" s="30" t="s">
        <v>3720</v>
      </c>
      <c r="E124" s="30" t="s">
        <v>192</v>
      </c>
      <c r="F124" s="30">
        <v>1</v>
      </c>
      <c r="G124" s="30" t="s">
        <v>193</v>
      </c>
      <c r="H124" s="30" t="s">
        <v>194</v>
      </c>
      <c r="I124" s="30" t="s">
        <v>3721</v>
      </c>
      <c r="J124" s="30" t="s">
        <v>253</v>
      </c>
      <c r="K124" s="30">
        <v>18</v>
      </c>
      <c r="L124" s="30" t="s">
        <v>3722</v>
      </c>
      <c r="M124" s="30" t="str">
        <f t="shared" si="1"/>
        <v>751201</v>
      </c>
      <c r="N124" s="30">
        <v>1</v>
      </c>
    </row>
    <row r="125" spans="1:14" x14ac:dyDescent="0.25">
      <c r="A125" s="35" t="s">
        <v>1959</v>
      </c>
      <c r="B125" s="35" t="s">
        <v>3723</v>
      </c>
      <c r="C125" s="35" t="s">
        <v>36</v>
      </c>
      <c r="D125" s="30" t="s">
        <v>3720</v>
      </c>
      <c r="E125" s="30" t="s">
        <v>192</v>
      </c>
      <c r="F125" s="84">
        <v>0</v>
      </c>
      <c r="G125" s="84" t="s">
        <v>194</v>
      </c>
      <c r="H125" s="30" t="s">
        <v>193</v>
      </c>
      <c r="I125" s="30" t="s">
        <v>3721</v>
      </c>
      <c r="J125" s="30" t="s">
        <v>196</v>
      </c>
      <c r="K125" s="30">
        <v>18</v>
      </c>
      <c r="L125" s="30" t="s">
        <v>609</v>
      </c>
      <c r="M125" s="30" t="str">
        <f t="shared" si="1"/>
        <v>331301</v>
      </c>
      <c r="N125" s="84">
        <v>1</v>
      </c>
    </row>
    <row r="126" spans="1:14" x14ac:dyDescent="0.25">
      <c r="A126" s="35" t="s">
        <v>3602</v>
      </c>
      <c r="B126" s="35" t="s">
        <v>3724</v>
      </c>
      <c r="C126" s="35" t="s">
        <v>3725</v>
      </c>
      <c r="D126" s="30" t="s">
        <v>3720</v>
      </c>
      <c r="E126" s="30" t="s">
        <v>217</v>
      </c>
      <c r="F126" s="84">
        <v>0</v>
      </c>
      <c r="G126" s="84" t="s">
        <v>194</v>
      </c>
      <c r="H126" s="30" t="s">
        <v>193</v>
      </c>
      <c r="I126" s="30" t="s">
        <v>3721</v>
      </c>
      <c r="J126" s="30" t="s">
        <v>3726</v>
      </c>
      <c r="K126" s="30">
        <v>18</v>
      </c>
      <c r="L126" s="30" t="s">
        <v>3727</v>
      </c>
      <c r="M126" s="30" t="str">
        <f t="shared" si="1"/>
        <v>311511</v>
      </c>
      <c r="N126" s="84">
        <v>1</v>
      </c>
    </row>
    <row r="127" spans="1:14" x14ac:dyDescent="0.25">
      <c r="A127" s="35" t="s">
        <v>3728</v>
      </c>
      <c r="B127" s="35" t="s">
        <v>3729</v>
      </c>
      <c r="C127" s="35" t="s">
        <v>1240</v>
      </c>
      <c r="D127" s="30" t="s">
        <v>3720</v>
      </c>
      <c r="E127" s="30" t="s">
        <v>192</v>
      </c>
      <c r="F127" s="30">
        <v>1</v>
      </c>
      <c r="G127" s="30" t="s">
        <v>193</v>
      </c>
      <c r="H127" s="30" t="s">
        <v>194</v>
      </c>
      <c r="I127" s="30" t="s">
        <v>3721</v>
      </c>
      <c r="J127" s="30" t="s">
        <v>316</v>
      </c>
      <c r="K127" s="30">
        <v>18</v>
      </c>
      <c r="L127" s="30" t="s">
        <v>1242</v>
      </c>
      <c r="M127" s="30" t="str">
        <f t="shared" si="1"/>
        <v>242102</v>
      </c>
      <c r="N127" s="30">
        <v>1</v>
      </c>
    </row>
    <row r="128" spans="1:14" x14ac:dyDescent="0.25">
      <c r="A128" s="35" t="s">
        <v>3728</v>
      </c>
      <c r="B128" s="35" t="s">
        <v>3730</v>
      </c>
      <c r="C128" s="35" t="s">
        <v>106</v>
      </c>
      <c r="D128" s="30" t="s">
        <v>3720</v>
      </c>
      <c r="E128" s="30" t="s">
        <v>192</v>
      </c>
      <c r="F128" s="30">
        <v>1</v>
      </c>
      <c r="G128" s="30" t="s">
        <v>193</v>
      </c>
      <c r="H128" s="30" t="s">
        <v>194</v>
      </c>
      <c r="I128" s="30" t="s">
        <v>3721</v>
      </c>
      <c r="J128" s="30" t="s">
        <v>316</v>
      </c>
      <c r="K128" s="30">
        <v>18</v>
      </c>
      <c r="L128" s="30" t="s">
        <v>1783</v>
      </c>
      <c r="M128" s="30" t="str">
        <f t="shared" si="1"/>
        <v>334302</v>
      </c>
      <c r="N128" s="30">
        <v>1</v>
      </c>
    </row>
    <row r="129" spans="1:14" x14ac:dyDescent="0.25">
      <c r="A129" s="35" t="s">
        <v>796</v>
      </c>
      <c r="B129" s="35" t="s">
        <v>3731</v>
      </c>
      <c r="C129" s="35" t="s">
        <v>115</v>
      </c>
      <c r="D129" s="30" t="s">
        <v>3720</v>
      </c>
      <c r="E129" s="30" t="s">
        <v>233</v>
      </c>
      <c r="F129" s="30">
        <v>1</v>
      </c>
      <c r="G129" s="30" t="s">
        <v>193</v>
      </c>
      <c r="H129" s="30" t="s">
        <v>194</v>
      </c>
      <c r="I129" s="30" t="s">
        <v>3721</v>
      </c>
      <c r="J129" s="30" t="s">
        <v>210</v>
      </c>
      <c r="K129" s="30">
        <v>18</v>
      </c>
      <c r="L129" s="30" t="s">
        <v>1183</v>
      </c>
      <c r="M129" s="30" t="str">
        <f t="shared" si="1"/>
        <v>311909</v>
      </c>
      <c r="N129" s="30">
        <v>1</v>
      </c>
    </row>
    <row r="130" spans="1:14" x14ac:dyDescent="0.25">
      <c r="A130" s="35" t="s">
        <v>3732</v>
      </c>
      <c r="B130" s="35" t="s">
        <v>3733</v>
      </c>
      <c r="C130" s="35" t="s">
        <v>137</v>
      </c>
      <c r="D130" s="30" t="s">
        <v>3720</v>
      </c>
      <c r="E130" s="30" t="s">
        <v>252</v>
      </c>
      <c r="F130" s="30">
        <v>1</v>
      </c>
      <c r="G130" s="30" t="s">
        <v>193</v>
      </c>
      <c r="H130" s="30" t="s">
        <v>194</v>
      </c>
      <c r="I130" s="30" t="s">
        <v>3721</v>
      </c>
      <c r="J130" s="30" t="s">
        <v>210</v>
      </c>
      <c r="K130" s="30">
        <v>18</v>
      </c>
      <c r="L130" s="30" t="s">
        <v>2002</v>
      </c>
      <c r="M130" s="30" t="str">
        <f t="shared" si="1"/>
        <v>513101</v>
      </c>
      <c r="N130" s="30">
        <v>1</v>
      </c>
    </row>
    <row r="131" spans="1:14" x14ac:dyDescent="0.25">
      <c r="A131" s="35" t="s">
        <v>3370</v>
      </c>
      <c r="B131" s="35" t="s">
        <v>3734</v>
      </c>
      <c r="C131" s="35" t="s">
        <v>288</v>
      </c>
      <c r="D131" s="30" t="s">
        <v>3720</v>
      </c>
      <c r="E131" s="30" t="s">
        <v>192</v>
      </c>
      <c r="F131" s="30">
        <v>1</v>
      </c>
      <c r="G131" s="30" t="s">
        <v>193</v>
      </c>
      <c r="H131" s="30" t="s">
        <v>194</v>
      </c>
      <c r="I131" s="30" t="s">
        <v>3721</v>
      </c>
      <c r="J131" s="30" t="s">
        <v>316</v>
      </c>
      <c r="K131" s="30">
        <v>18</v>
      </c>
      <c r="L131" s="30" t="s">
        <v>289</v>
      </c>
      <c r="M131" s="30" t="str">
        <f t="shared" ref="M131:M194" si="2">MID(L131,8,6)</f>
        <v>214111</v>
      </c>
      <c r="N131" s="30">
        <v>1</v>
      </c>
    </row>
    <row r="132" spans="1:14" x14ac:dyDescent="0.25">
      <c r="A132" s="35" t="s">
        <v>3735</v>
      </c>
      <c r="B132" s="35" t="s">
        <v>3736</v>
      </c>
      <c r="C132" s="35" t="s">
        <v>468</v>
      </c>
      <c r="D132" s="30" t="s">
        <v>3720</v>
      </c>
      <c r="E132" s="30" t="s">
        <v>192</v>
      </c>
      <c r="F132" s="30">
        <v>1</v>
      </c>
      <c r="G132" s="30" t="s">
        <v>193</v>
      </c>
      <c r="H132" s="30" t="s">
        <v>194</v>
      </c>
      <c r="I132" s="30" t="s">
        <v>3721</v>
      </c>
      <c r="J132" s="30" t="s">
        <v>1059</v>
      </c>
      <c r="K132" s="30">
        <v>18</v>
      </c>
      <c r="L132" s="30" t="s">
        <v>469</v>
      </c>
      <c r="M132" s="30" t="str">
        <f t="shared" si="2"/>
        <v>243303</v>
      </c>
      <c r="N132" s="30">
        <v>1</v>
      </c>
    </row>
    <row r="133" spans="1:14" x14ac:dyDescent="0.25">
      <c r="A133" s="35" t="s">
        <v>1410</v>
      </c>
      <c r="B133" s="35" t="s">
        <v>1411</v>
      </c>
      <c r="C133" s="35" t="s">
        <v>1087</v>
      </c>
      <c r="D133" s="30" t="s">
        <v>3720</v>
      </c>
      <c r="E133" s="30" t="s">
        <v>217</v>
      </c>
      <c r="F133" s="30">
        <v>1</v>
      </c>
      <c r="G133" s="30" t="s">
        <v>193</v>
      </c>
      <c r="H133" s="30" t="s">
        <v>194</v>
      </c>
      <c r="I133" s="30" t="s">
        <v>3721</v>
      </c>
      <c r="J133" s="30" t="s">
        <v>210</v>
      </c>
      <c r="K133" s="30">
        <v>18</v>
      </c>
      <c r="L133" s="30" t="s">
        <v>1088</v>
      </c>
      <c r="M133" s="30" t="str">
        <f t="shared" si="2"/>
        <v>261909</v>
      </c>
      <c r="N133" s="30">
        <v>1</v>
      </c>
    </row>
    <row r="134" spans="1:14" x14ac:dyDescent="0.25">
      <c r="A134" s="35" t="s">
        <v>3737</v>
      </c>
      <c r="B134" s="35" t="s">
        <v>304</v>
      </c>
      <c r="C134" s="35" t="s">
        <v>102</v>
      </c>
      <c r="D134" s="30" t="s">
        <v>3720</v>
      </c>
      <c r="E134" s="30" t="s">
        <v>192</v>
      </c>
      <c r="F134" s="30">
        <v>1</v>
      </c>
      <c r="G134" s="30" t="s">
        <v>193</v>
      </c>
      <c r="H134" s="30" t="s">
        <v>194</v>
      </c>
      <c r="I134" s="30" t="s">
        <v>3721</v>
      </c>
      <c r="J134" s="30" t="s">
        <v>1388</v>
      </c>
      <c r="K134" s="30">
        <v>18</v>
      </c>
      <c r="L134" s="30" t="s">
        <v>1890</v>
      </c>
      <c r="M134" s="30" t="str">
        <f t="shared" si="2"/>
        <v>216601</v>
      </c>
      <c r="N134" s="30">
        <v>1</v>
      </c>
    </row>
    <row r="135" spans="1:14" x14ac:dyDescent="0.25">
      <c r="A135" s="35" t="s">
        <v>1426</v>
      </c>
      <c r="B135" s="35" t="s">
        <v>1429</v>
      </c>
      <c r="C135" s="35" t="s">
        <v>3738</v>
      </c>
      <c r="D135" s="30" t="s">
        <v>3720</v>
      </c>
      <c r="E135" s="30" t="s">
        <v>192</v>
      </c>
      <c r="F135" s="30">
        <v>1</v>
      </c>
      <c r="G135" s="30" t="s">
        <v>193</v>
      </c>
      <c r="H135" s="30" t="s">
        <v>194</v>
      </c>
      <c r="I135" s="30" t="s">
        <v>3721</v>
      </c>
      <c r="J135" s="30" t="s">
        <v>253</v>
      </c>
      <c r="K135" s="30">
        <v>18</v>
      </c>
      <c r="L135" s="30" t="s">
        <v>3739</v>
      </c>
      <c r="M135" s="30" t="str">
        <f t="shared" si="2"/>
        <v>713206</v>
      </c>
      <c r="N135" s="30">
        <v>1</v>
      </c>
    </row>
    <row r="136" spans="1:14" x14ac:dyDescent="0.25">
      <c r="A136" s="35" t="s">
        <v>940</v>
      </c>
      <c r="B136" s="35" t="s">
        <v>3119</v>
      </c>
      <c r="C136" s="35" t="s">
        <v>9</v>
      </c>
      <c r="D136" s="30" t="s">
        <v>3720</v>
      </c>
      <c r="E136" s="30" t="s">
        <v>192</v>
      </c>
      <c r="F136" s="30">
        <v>1</v>
      </c>
      <c r="G136" s="30" t="s">
        <v>193</v>
      </c>
      <c r="H136" s="30" t="s">
        <v>194</v>
      </c>
      <c r="I136" s="30" t="s">
        <v>3721</v>
      </c>
      <c r="J136" s="30" t="s">
        <v>210</v>
      </c>
      <c r="K136" s="30">
        <v>18</v>
      </c>
      <c r="L136" s="30" t="s">
        <v>405</v>
      </c>
      <c r="M136" s="30" t="str">
        <f t="shared" si="2"/>
        <v>241304</v>
      </c>
      <c r="N136" s="30">
        <v>1</v>
      </c>
    </row>
    <row r="137" spans="1:14" x14ac:dyDescent="0.25">
      <c r="A137" s="35" t="s">
        <v>890</v>
      </c>
      <c r="B137" s="35" t="s">
        <v>3740</v>
      </c>
      <c r="C137" s="35" t="s">
        <v>36</v>
      </c>
      <c r="D137" s="30" t="s">
        <v>3720</v>
      </c>
      <c r="E137" s="30" t="s">
        <v>233</v>
      </c>
      <c r="F137" s="84">
        <v>0</v>
      </c>
      <c r="G137" s="84" t="s">
        <v>194</v>
      </c>
      <c r="H137" s="30" t="s">
        <v>193</v>
      </c>
      <c r="I137" s="30" t="s">
        <v>3721</v>
      </c>
      <c r="J137" s="30" t="s">
        <v>3194</v>
      </c>
      <c r="K137" s="30">
        <v>18</v>
      </c>
      <c r="L137" s="30" t="s">
        <v>609</v>
      </c>
      <c r="M137" s="30" t="str">
        <f t="shared" si="2"/>
        <v>331301</v>
      </c>
      <c r="N137" s="84">
        <v>1</v>
      </c>
    </row>
    <row r="138" spans="1:14" x14ac:dyDescent="0.25">
      <c r="A138" s="35" t="s">
        <v>890</v>
      </c>
      <c r="B138" s="35" t="s">
        <v>3741</v>
      </c>
      <c r="C138" s="35" t="s">
        <v>366</v>
      </c>
      <c r="D138" s="30" t="s">
        <v>3720</v>
      </c>
      <c r="E138" s="30" t="s">
        <v>233</v>
      </c>
      <c r="F138" s="84">
        <v>0</v>
      </c>
      <c r="G138" s="84" t="s">
        <v>194</v>
      </c>
      <c r="H138" s="30" t="s">
        <v>193</v>
      </c>
      <c r="I138" s="30" t="s">
        <v>3721</v>
      </c>
      <c r="J138" s="30" t="s">
        <v>2878</v>
      </c>
      <c r="K138" s="30">
        <v>18</v>
      </c>
      <c r="L138" s="30" t="s">
        <v>368</v>
      </c>
      <c r="M138" s="30" t="str">
        <f t="shared" si="2"/>
        <v>215201</v>
      </c>
      <c r="N138" s="84">
        <v>1</v>
      </c>
    </row>
    <row r="139" spans="1:14" x14ac:dyDescent="0.25">
      <c r="A139" s="35" t="s">
        <v>527</v>
      </c>
      <c r="B139" s="35" t="s">
        <v>3742</v>
      </c>
      <c r="C139" s="35" t="s">
        <v>121</v>
      </c>
      <c r="D139" s="30" t="s">
        <v>3720</v>
      </c>
      <c r="E139" s="30" t="s">
        <v>192</v>
      </c>
      <c r="F139" s="30">
        <v>1</v>
      </c>
      <c r="G139" s="30" t="s">
        <v>193</v>
      </c>
      <c r="H139" s="30" t="s">
        <v>194</v>
      </c>
      <c r="I139" s="30" t="s">
        <v>3721</v>
      </c>
      <c r="J139" s="30" t="s">
        <v>367</v>
      </c>
      <c r="K139" s="30">
        <v>18</v>
      </c>
      <c r="L139" s="30" t="s">
        <v>994</v>
      </c>
      <c r="M139" s="30" t="str">
        <f t="shared" si="2"/>
        <v>214102</v>
      </c>
      <c r="N139" s="30">
        <v>1</v>
      </c>
    </row>
    <row r="140" spans="1:14" x14ac:dyDescent="0.25">
      <c r="A140" s="35" t="s">
        <v>3743</v>
      </c>
      <c r="B140" s="35" t="s">
        <v>3744</v>
      </c>
      <c r="C140" s="35" t="s">
        <v>3745</v>
      </c>
      <c r="D140" s="30" t="s">
        <v>3720</v>
      </c>
      <c r="E140" s="30" t="s">
        <v>192</v>
      </c>
      <c r="F140" s="30">
        <v>1</v>
      </c>
      <c r="G140" s="30" t="s">
        <v>193</v>
      </c>
      <c r="H140" s="30" t="s">
        <v>194</v>
      </c>
      <c r="I140" s="30" t="s">
        <v>3721</v>
      </c>
      <c r="J140" s="30" t="s">
        <v>3746</v>
      </c>
      <c r="K140" s="30">
        <v>18</v>
      </c>
      <c r="L140" s="30" t="s">
        <v>3747</v>
      </c>
      <c r="M140" s="30" t="str">
        <f t="shared" si="2"/>
        <v>213107</v>
      </c>
      <c r="N140" s="30">
        <v>1</v>
      </c>
    </row>
    <row r="141" spans="1:14" x14ac:dyDescent="0.25">
      <c r="A141" s="35" t="s">
        <v>3743</v>
      </c>
      <c r="B141" s="35" t="s">
        <v>3748</v>
      </c>
      <c r="C141" s="35" t="s">
        <v>50</v>
      </c>
      <c r="D141" s="30" t="s">
        <v>3720</v>
      </c>
      <c r="E141" s="30" t="s">
        <v>192</v>
      </c>
      <c r="F141" s="30">
        <v>1</v>
      </c>
      <c r="G141" s="30" t="s">
        <v>193</v>
      </c>
      <c r="H141" s="30" t="s">
        <v>194</v>
      </c>
      <c r="I141" s="30" t="s">
        <v>3721</v>
      </c>
      <c r="J141" s="30" t="s">
        <v>3746</v>
      </c>
      <c r="K141" s="30">
        <v>18</v>
      </c>
      <c r="L141" s="30" t="s">
        <v>906</v>
      </c>
      <c r="M141" s="30" t="str">
        <f t="shared" si="2"/>
        <v>333101</v>
      </c>
      <c r="N141" s="30">
        <v>1</v>
      </c>
    </row>
    <row r="142" spans="1:14" x14ac:dyDescent="0.25">
      <c r="A142" s="35" t="s">
        <v>3749</v>
      </c>
      <c r="B142" s="35" t="s">
        <v>537</v>
      </c>
      <c r="C142" s="35" t="s">
        <v>778</v>
      </c>
      <c r="D142" s="30" t="s">
        <v>3720</v>
      </c>
      <c r="E142" s="30" t="s">
        <v>192</v>
      </c>
      <c r="F142" s="30">
        <v>1</v>
      </c>
      <c r="G142" s="30" t="s">
        <v>193</v>
      </c>
      <c r="H142" s="30" t="s">
        <v>194</v>
      </c>
      <c r="I142" s="30" t="s">
        <v>3721</v>
      </c>
      <c r="J142" s="30" t="s">
        <v>210</v>
      </c>
      <c r="K142" s="30">
        <v>18</v>
      </c>
      <c r="L142" s="30" t="s">
        <v>779</v>
      </c>
      <c r="M142" s="30" t="str">
        <f t="shared" si="2"/>
        <v>524902</v>
      </c>
      <c r="N142" s="30">
        <v>1</v>
      </c>
    </row>
    <row r="143" spans="1:14" x14ac:dyDescent="0.25">
      <c r="A143" s="35" t="s">
        <v>3749</v>
      </c>
      <c r="B143" s="35" t="s">
        <v>3750</v>
      </c>
      <c r="C143" s="35" t="s">
        <v>74</v>
      </c>
      <c r="D143" s="30" t="s">
        <v>3720</v>
      </c>
      <c r="E143" s="30" t="s">
        <v>192</v>
      </c>
      <c r="F143" s="30">
        <v>1</v>
      </c>
      <c r="G143" s="30" t="s">
        <v>193</v>
      </c>
      <c r="H143" s="30" t="s">
        <v>194</v>
      </c>
      <c r="I143" s="30" t="s">
        <v>3721</v>
      </c>
      <c r="J143" s="30" t="s">
        <v>210</v>
      </c>
      <c r="K143" s="30">
        <v>18</v>
      </c>
      <c r="L143" s="30" t="s">
        <v>246</v>
      </c>
      <c r="M143" s="30" t="str">
        <f t="shared" si="2"/>
        <v>142004</v>
      </c>
      <c r="N143" s="30">
        <v>1</v>
      </c>
    </row>
    <row r="144" spans="1:14" x14ac:dyDescent="0.25">
      <c r="A144" s="35" t="s">
        <v>3644</v>
      </c>
      <c r="B144" s="35" t="s">
        <v>3751</v>
      </c>
      <c r="C144" s="35" t="s">
        <v>566</v>
      </c>
      <c r="D144" s="30" t="s">
        <v>3720</v>
      </c>
      <c r="E144" s="30" t="s">
        <v>217</v>
      </c>
      <c r="F144" s="84">
        <v>0</v>
      </c>
      <c r="G144" s="84" t="s">
        <v>194</v>
      </c>
      <c r="H144" s="30" t="s">
        <v>193</v>
      </c>
      <c r="I144" s="30" t="s">
        <v>3721</v>
      </c>
      <c r="J144" s="30" t="s">
        <v>3609</v>
      </c>
      <c r="K144" s="30">
        <v>18</v>
      </c>
      <c r="L144" s="30" t="s">
        <v>567</v>
      </c>
      <c r="M144" s="30" t="str">
        <f t="shared" si="2"/>
        <v>311504</v>
      </c>
      <c r="N144" s="84">
        <v>1</v>
      </c>
    </row>
    <row r="145" spans="1:14" x14ac:dyDescent="0.25">
      <c r="A145" s="35" t="s">
        <v>3752</v>
      </c>
      <c r="B145" s="35" t="s">
        <v>3753</v>
      </c>
      <c r="C145" s="35" t="s">
        <v>29</v>
      </c>
      <c r="D145" s="30" t="s">
        <v>3720</v>
      </c>
      <c r="E145" s="30" t="s">
        <v>192</v>
      </c>
      <c r="F145" s="30">
        <v>1</v>
      </c>
      <c r="G145" s="30" t="s">
        <v>193</v>
      </c>
      <c r="H145" s="30" t="s">
        <v>194</v>
      </c>
      <c r="I145" s="30" t="s">
        <v>3663</v>
      </c>
      <c r="J145" s="30" t="s">
        <v>2819</v>
      </c>
      <c r="K145" s="30">
        <v>18</v>
      </c>
      <c r="L145" s="30" t="s">
        <v>808</v>
      </c>
      <c r="M145" s="30" t="str">
        <f t="shared" si="2"/>
        <v>722308</v>
      </c>
      <c r="N145" s="30">
        <v>1</v>
      </c>
    </row>
    <row r="146" spans="1:14" x14ac:dyDescent="0.25">
      <c r="A146" s="35" t="s">
        <v>3752</v>
      </c>
      <c r="B146" s="35" t="s">
        <v>83</v>
      </c>
      <c r="C146" s="35" t="s">
        <v>83</v>
      </c>
      <c r="D146" s="30" t="s">
        <v>3720</v>
      </c>
      <c r="E146" s="30" t="s">
        <v>192</v>
      </c>
      <c r="F146" s="30">
        <v>1</v>
      </c>
      <c r="G146" s="30" t="s">
        <v>193</v>
      </c>
      <c r="H146" s="30" t="s">
        <v>194</v>
      </c>
      <c r="I146" s="30" t="s">
        <v>3663</v>
      </c>
      <c r="J146" s="30" t="s">
        <v>2819</v>
      </c>
      <c r="K146" s="30">
        <v>18</v>
      </c>
      <c r="L146" s="30" t="s">
        <v>791</v>
      </c>
      <c r="M146" s="30" t="str">
        <f t="shared" si="2"/>
        <v>721204</v>
      </c>
      <c r="N146" s="30">
        <v>1</v>
      </c>
    </row>
    <row r="147" spans="1:14" x14ac:dyDescent="0.25">
      <c r="A147" s="35" t="s">
        <v>3752</v>
      </c>
      <c r="B147" s="35" t="s">
        <v>2928</v>
      </c>
      <c r="C147" s="35" t="s">
        <v>818</v>
      </c>
      <c r="D147" s="30" t="s">
        <v>3720</v>
      </c>
      <c r="E147" s="30" t="s">
        <v>192</v>
      </c>
      <c r="F147" s="30">
        <v>1</v>
      </c>
      <c r="G147" s="30" t="s">
        <v>193</v>
      </c>
      <c r="H147" s="30" t="s">
        <v>194</v>
      </c>
      <c r="I147" s="30" t="s">
        <v>3663</v>
      </c>
      <c r="J147" s="30" t="s">
        <v>2819</v>
      </c>
      <c r="K147" s="30">
        <v>18</v>
      </c>
      <c r="L147" s="30" t="s">
        <v>819</v>
      </c>
      <c r="M147" s="30" t="str">
        <f t="shared" si="2"/>
        <v>722313</v>
      </c>
      <c r="N147" s="30">
        <v>1</v>
      </c>
    </row>
    <row r="148" spans="1:14" x14ac:dyDescent="0.25">
      <c r="A148" s="35" t="s">
        <v>3754</v>
      </c>
      <c r="B148" s="35" t="s">
        <v>3755</v>
      </c>
      <c r="C148" s="35" t="s">
        <v>3756</v>
      </c>
      <c r="D148" s="30" t="s">
        <v>3720</v>
      </c>
      <c r="E148" s="30" t="s">
        <v>192</v>
      </c>
      <c r="F148" s="30">
        <v>1</v>
      </c>
      <c r="G148" s="30" t="s">
        <v>193</v>
      </c>
      <c r="H148" s="30" t="s">
        <v>194</v>
      </c>
      <c r="I148" s="30" t="s">
        <v>3721</v>
      </c>
      <c r="J148" s="30" t="s">
        <v>1302</v>
      </c>
      <c r="K148" s="30">
        <v>18</v>
      </c>
      <c r="L148" s="30" t="s">
        <v>3757</v>
      </c>
      <c r="M148" s="30" t="str">
        <f t="shared" si="2"/>
        <v>262201</v>
      </c>
      <c r="N148" s="30">
        <v>1</v>
      </c>
    </row>
    <row r="149" spans="1:14" x14ac:dyDescent="0.25">
      <c r="A149" s="35" t="s">
        <v>3687</v>
      </c>
      <c r="B149" s="35" t="s">
        <v>537</v>
      </c>
      <c r="C149" s="35" t="s">
        <v>778</v>
      </c>
      <c r="D149" s="30" t="s">
        <v>3720</v>
      </c>
      <c r="E149" s="30" t="s">
        <v>192</v>
      </c>
      <c r="F149" s="30">
        <v>1</v>
      </c>
      <c r="G149" s="30" t="s">
        <v>193</v>
      </c>
      <c r="H149" s="30" t="s">
        <v>194</v>
      </c>
      <c r="I149" s="30" t="s">
        <v>3721</v>
      </c>
      <c r="J149" s="30" t="s">
        <v>210</v>
      </c>
      <c r="K149" s="30">
        <v>18</v>
      </c>
      <c r="L149" s="30" t="s">
        <v>779</v>
      </c>
      <c r="M149" s="30" t="str">
        <f t="shared" si="2"/>
        <v>524902</v>
      </c>
      <c r="N149" s="30">
        <v>1</v>
      </c>
    </row>
    <row r="150" spans="1:14" x14ac:dyDescent="0.25">
      <c r="A150" s="35" t="s">
        <v>3758</v>
      </c>
      <c r="B150" s="35" t="s">
        <v>1687</v>
      </c>
      <c r="C150" s="35" t="s">
        <v>319</v>
      </c>
      <c r="D150" s="30" t="s">
        <v>3720</v>
      </c>
      <c r="E150" s="30" t="s">
        <v>192</v>
      </c>
      <c r="F150" s="30">
        <v>1</v>
      </c>
      <c r="G150" s="30" t="s">
        <v>193</v>
      </c>
      <c r="H150" s="30" t="s">
        <v>194</v>
      </c>
      <c r="I150" s="30" t="s">
        <v>3721</v>
      </c>
      <c r="J150" s="30" t="s">
        <v>196</v>
      </c>
      <c r="K150" s="30">
        <v>18</v>
      </c>
      <c r="L150" s="30" t="s">
        <v>320</v>
      </c>
      <c r="M150" s="30" t="str">
        <f t="shared" si="2"/>
        <v>214407</v>
      </c>
      <c r="N150" s="30">
        <v>1</v>
      </c>
    </row>
    <row r="151" spans="1:14" x14ac:dyDescent="0.25">
      <c r="A151" s="35" t="s">
        <v>1340</v>
      </c>
      <c r="B151" s="35" t="s">
        <v>1821</v>
      </c>
      <c r="C151" s="35" t="s">
        <v>1661</v>
      </c>
      <c r="D151" s="30" t="s">
        <v>3720</v>
      </c>
      <c r="E151" s="30" t="s">
        <v>192</v>
      </c>
      <c r="F151" s="30">
        <v>1</v>
      </c>
      <c r="G151" s="30" t="s">
        <v>193</v>
      </c>
      <c r="H151" s="30" t="s">
        <v>194</v>
      </c>
      <c r="I151" s="30" t="s">
        <v>3721</v>
      </c>
      <c r="J151" s="30" t="s">
        <v>210</v>
      </c>
      <c r="K151" s="30">
        <v>18</v>
      </c>
      <c r="L151" s="30" t="s">
        <v>1662</v>
      </c>
      <c r="M151" s="30" t="str">
        <f t="shared" si="2"/>
        <v>241202</v>
      </c>
      <c r="N151" s="30">
        <v>1</v>
      </c>
    </row>
    <row r="152" spans="1:14" x14ac:dyDescent="0.25">
      <c r="A152" s="35" t="s">
        <v>331</v>
      </c>
      <c r="B152" s="35" t="s">
        <v>1127</v>
      </c>
      <c r="C152" s="35" t="s">
        <v>284</v>
      </c>
      <c r="D152" s="30" t="s">
        <v>3720</v>
      </c>
      <c r="E152" s="30" t="s">
        <v>192</v>
      </c>
      <c r="F152" s="30">
        <v>1</v>
      </c>
      <c r="G152" s="30" t="s">
        <v>193</v>
      </c>
      <c r="H152" s="30" t="s">
        <v>194</v>
      </c>
      <c r="I152" s="30" t="s">
        <v>3721</v>
      </c>
      <c r="J152" s="30" t="s">
        <v>309</v>
      </c>
      <c r="K152" s="30">
        <v>18</v>
      </c>
      <c r="L152" s="30" t="s">
        <v>286</v>
      </c>
      <c r="M152" s="30" t="str">
        <f t="shared" si="2"/>
        <v>214109</v>
      </c>
      <c r="N152" s="30">
        <v>1</v>
      </c>
    </row>
    <row r="153" spans="1:14" x14ac:dyDescent="0.25">
      <c r="A153" s="35" t="s">
        <v>3709</v>
      </c>
      <c r="B153" s="35" t="s">
        <v>3710</v>
      </c>
      <c r="C153" s="35" t="s">
        <v>67</v>
      </c>
      <c r="D153" s="30" t="s">
        <v>3720</v>
      </c>
      <c r="E153" s="30" t="s">
        <v>252</v>
      </c>
      <c r="F153" s="30">
        <v>1</v>
      </c>
      <c r="G153" s="30" t="s">
        <v>193</v>
      </c>
      <c r="H153" s="30" t="s">
        <v>194</v>
      </c>
      <c r="I153" s="30" t="s">
        <v>3721</v>
      </c>
      <c r="J153" s="30" t="s">
        <v>253</v>
      </c>
      <c r="K153" s="30">
        <v>18</v>
      </c>
      <c r="L153" s="30" t="s">
        <v>709</v>
      </c>
      <c r="M153" s="30" t="str">
        <f t="shared" si="2"/>
        <v>432103</v>
      </c>
      <c r="N153" s="30">
        <v>1</v>
      </c>
    </row>
    <row r="154" spans="1:14" x14ac:dyDescent="0.25">
      <c r="A154" s="35" t="s">
        <v>3709</v>
      </c>
      <c r="B154" s="35" t="s">
        <v>2788</v>
      </c>
      <c r="C154" s="35" t="s">
        <v>62</v>
      </c>
      <c r="D154" s="30" t="s">
        <v>3720</v>
      </c>
      <c r="E154" s="30" t="s">
        <v>252</v>
      </c>
      <c r="F154" s="30">
        <v>1</v>
      </c>
      <c r="G154" s="30" t="s">
        <v>193</v>
      </c>
      <c r="H154" s="30" t="s">
        <v>194</v>
      </c>
      <c r="I154" s="30" t="s">
        <v>3721</v>
      </c>
      <c r="J154" s="30" t="s">
        <v>253</v>
      </c>
      <c r="K154" s="30">
        <v>18</v>
      </c>
      <c r="L154" s="30" t="s">
        <v>601</v>
      </c>
      <c r="M154" s="30" t="str">
        <f t="shared" si="2"/>
        <v>313904</v>
      </c>
      <c r="N154" s="30">
        <v>1</v>
      </c>
    </row>
    <row r="155" spans="1:14" x14ac:dyDescent="0.25">
      <c r="A155" s="35" t="s">
        <v>3709</v>
      </c>
      <c r="B155" s="35" t="s">
        <v>3759</v>
      </c>
      <c r="C155" s="35" t="s">
        <v>29</v>
      </c>
      <c r="D155" s="30" t="s">
        <v>3720</v>
      </c>
      <c r="E155" s="30" t="s">
        <v>252</v>
      </c>
      <c r="F155" s="30">
        <v>1</v>
      </c>
      <c r="G155" s="30" t="s">
        <v>193</v>
      </c>
      <c r="H155" s="30" t="s">
        <v>194</v>
      </c>
      <c r="I155" s="30" t="s">
        <v>3721</v>
      </c>
      <c r="J155" s="30" t="s">
        <v>309</v>
      </c>
      <c r="K155" s="30">
        <v>18</v>
      </c>
      <c r="L155" s="30" t="s">
        <v>808</v>
      </c>
      <c r="M155" s="30" t="str">
        <f t="shared" si="2"/>
        <v>722308</v>
      </c>
      <c r="N155" s="30">
        <v>1</v>
      </c>
    </row>
    <row r="156" spans="1:14" x14ac:dyDescent="0.25">
      <c r="A156" s="35" t="s">
        <v>3709</v>
      </c>
      <c r="B156" s="35" t="s">
        <v>3760</v>
      </c>
      <c r="C156" s="35" t="s">
        <v>99</v>
      </c>
      <c r="D156" s="30" t="s">
        <v>3720</v>
      </c>
      <c r="E156" s="30" t="s">
        <v>252</v>
      </c>
      <c r="F156" s="30">
        <v>1</v>
      </c>
      <c r="G156" s="30" t="s">
        <v>193</v>
      </c>
      <c r="H156" s="30" t="s">
        <v>194</v>
      </c>
      <c r="I156" s="30" t="s">
        <v>3721</v>
      </c>
      <c r="J156" s="30" t="s">
        <v>309</v>
      </c>
      <c r="K156" s="30">
        <v>18</v>
      </c>
      <c r="L156" s="30" t="s">
        <v>2421</v>
      </c>
      <c r="M156" s="30" t="str">
        <f t="shared" si="2"/>
        <v>412001</v>
      </c>
      <c r="N156" s="30">
        <v>1</v>
      </c>
    </row>
    <row r="157" spans="1:14" x14ac:dyDescent="0.25">
      <c r="A157" s="35" t="s">
        <v>3761</v>
      </c>
      <c r="B157" s="35" t="s">
        <v>3762</v>
      </c>
      <c r="C157" s="35" t="s">
        <v>288</v>
      </c>
      <c r="D157" s="30" t="s">
        <v>3720</v>
      </c>
      <c r="E157" s="30" t="s">
        <v>233</v>
      </c>
      <c r="F157" s="30">
        <v>1</v>
      </c>
      <c r="G157" s="30" t="s">
        <v>193</v>
      </c>
      <c r="H157" s="30" t="s">
        <v>194</v>
      </c>
      <c r="I157" s="30" t="s">
        <v>3721</v>
      </c>
      <c r="J157" s="30" t="s">
        <v>210</v>
      </c>
      <c r="K157" s="30">
        <v>18</v>
      </c>
      <c r="L157" s="30" t="s">
        <v>289</v>
      </c>
      <c r="M157" s="30" t="str">
        <f t="shared" si="2"/>
        <v>214111</v>
      </c>
      <c r="N157" s="30">
        <v>1</v>
      </c>
    </row>
    <row r="158" spans="1:14" x14ac:dyDescent="0.25">
      <c r="A158" s="35" t="s">
        <v>3763</v>
      </c>
      <c r="B158" s="35" t="s">
        <v>1000</v>
      </c>
      <c r="C158" s="35" t="s">
        <v>3764</v>
      </c>
      <c r="D158" s="30" t="s">
        <v>3720</v>
      </c>
      <c r="E158" s="30" t="s">
        <v>233</v>
      </c>
      <c r="F158" s="30">
        <v>1</v>
      </c>
      <c r="G158" s="30" t="s">
        <v>193</v>
      </c>
      <c r="H158" s="30" t="s">
        <v>194</v>
      </c>
      <c r="I158" s="30" t="s">
        <v>3697</v>
      </c>
      <c r="J158" s="30" t="s">
        <v>323</v>
      </c>
      <c r="K158" s="30">
        <v>18</v>
      </c>
      <c r="L158" s="30" t="s">
        <v>3765</v>
      </c>
      <c r="M158" s="30" t="str">
        <f t="shared" si="2"/>
        <v>314207</v>
      </c>
      <c r="N158" s="30">
        <v>1</v>
      </c>
    </row>
    <row r="159" spans="1:14" x14ac:dyDescent="0.25">
      <c r="A159" s="35" t="s">
        <v>3763</v>
      </c>
      <c r="B159" s="35" t="s">
        <v>1000</v>
      </c>
      <c r="C159" s="35" t="s">
        <v>3764</v>
      </c>
      <c r="D159" s="30" t="s">
        <v>3720</v>
      </c>
      <c r="E159" s="30" t="s">
        <v>233</v>
      </c>
      <c r="F159" s="30">
        <v>1</v>
      </c>
      <c r="G159" s="30" t="s">
        <v>193</v>
      </c>
      <c r="H159" s="30" t="s">
        <v>194</v>
      </c>
      <c r="I159" s="30" t="s">
        <v>3697</v>
      </c>
      <c r="J159" s="30" t="s">
        <v>223</v>
      </c>
      <c r="K159" s="30">
        <v>18</v>
      </c>
      <c r="L159" s="30" t="s">
        <v>3765</v>
      </c>
      <c r="M159" s="30" t="str">
        <f t="shared" si="2"/>
        <v>314207</v>
      </c>
      <c r="N159" s="30">
        <v>1</v>
      </c>
    </row>
    <row r="160" spans="1:14" x14ac:dyDescent="0.25">
      <c r="A160" s="35" t="s">
        <v>3766</v>
      </c>
      <c r="B160" s="35" t="s">
        <v>2697</v>
      </c>
      <c r="C160" s="35" t="s">
        <v>104</v>
      </c>
      <c r="D160" s="30" t="s">
        <v>3720</v>
      </c>
      <c r="E160" s="30" t="s">
        <v>233</v>
      </c>
      <c r="F160" s="30">
        <v>1</v>
      </c>
      <c r="G160" s="30" t="s">
        <v>193</v>
      </c>
      <c r="H160" s="30" t="s">
        <v>194</v>
      </c>
      <c r="I160" s="30" t="s">
        <v>3697</v>
      </c>
      <c r="J160" s="30" t="s">
        <v>210</v>
      </c>
      <c r="K160" s="30">
        <v>18</v>
      </c>
      <c r="L160" s="30" t="s">
        <v>703</v>
      </c>
      <c r="M160" s="30" t="str">
        <f t="shared" si="2"/>
        <v>411004</v>
      </c>
      <c r="N160" s="30">
        <v>1</v>
      </c>
    </row>
    <row r="161" spans="1:14" x14ac:dyDescent="0.25">
      <c r="A161" s="35" t="s">
        <v>1376</v>
      </c>
      <c r="B161" s="35" t="s">
        <v>647</v>
      </c>
      <c r="C161" s="35" t="s">
        <v>17</v>
      </c>
      <c r="D161" s="30" t="s">
        <v>4230</v>
      </c>
      <c r="E161" s="30" t="s">
        <v>233</v>
      </c>
      <c r="F161" s="30">
        <v>1</v>
      </c>
      <c r="G161" s="30" t="s">
        <v>193</v>
      </c>
      <c r="H161" s="30" t="s">
        <v>194</v>
      </c>
      <c r="I161" s="30" t="s">
        <v>4201</v>
      </c>
      <c r="J161" s="30" t="s">
        <v>223</v>
      </c>
      <c r="K161" s="30">
        <v>18</v>
      </c>
      <c r="L161" s="30" t="s">
        <v>624</v>
      </c>
      <c r="M161" s="30" t="str">
        <f t="shared" si="2"/>
        <v>332203</v>
      </c>
      <c r="N161" s="30">
        <v>1</v>
      </c>
    </row>
    <row r="162" spans="1:14" x14ac:dyDescent="0.25">
      <c r="A162" s="35" t="s">
        <v>890</v>
      </c>
      <c r="B162" s="35" t="s">
        <v>3886</v>
      </c>
      <c r="C162" s="35" t="s">
        <v>770</v>
      </c>
      <c r="D162" s="30" t="s">
        <v>4230</v>
      </c>
      <c r="E162" s="30" t="s">
        <v>233</v>
      </c>
      <c r="F162" s="30">
        <v>1</v>
      </c>
      <c r="G162" s="30" t="s">
        <v>193</v>
      </c>
      <c r="H162" s="30" t="s">
        <v>194</v>
      </c>
      <c r="I162" s="30" t="s">
        <v>4201</v>
      </c>
      <c r="J162" s="30" t="s">
        <v>210</v>
      </c>
      <c r="K162" s="30">
        <v>18</v>
      </c>
      <c r="L162" s="30" t="s">
        <v>772</v>
      </c>
      <c r="M162" s="30" t="str">
        <f t="shared" si="2"/>
        <v>522305</v>
      </c>
      <c r="N162" s="30">
        <v>1</v>
      </c>
    </row>
    <row r="163" spans="1:14" x14ac:dyDescent="0.25">
      <c r="A163" s="35" t="s">
        <v>1376</v>
      </c>
      <c r="B163" s="35" t="s">
        <v>4231</v>
      </c>
      <c r="C163" s="35" t="s">
        <v>345</v>
      </c>
      <c r="D163" s="30" t="s">
        <v>4232</v>
      </c>
      <c r="E163" s="30" t="s">
        <v>233</v>
      </c>
      <c r="F163" s="30">
        <v>1</v>
      </c>
      <c r="G163" s="30" t="s">
        <v>193</v>
      </c>
      <c r="H163" s="30" t="s">
        <v>194</v>
      </c>
      <c r="I163" s="30" t="s">
        <v>4203</v>
      </c>
      <c r="J163" s="30" t="s">
        <v>253</v>
      </c>
      <c r="K163" s="30">
        <v>18</v>
      </c>
      <c r="L163" s="30" t="s">
        <v>346</v>
      </c>
      <c r="M163" s="30" t="str">
        <f t="shared" si="2"/>
        <v>214931</v>
      </c>
      <c r="N163" s="30">
        <v>1</v>
      </c>
    </row>
    <row r="164" spans="1:14" x14ac:dyDescent="0.25">
      <c r="A164" s="35" t="s">
        <v>4233</v>
      </c>
      <c r="B164" s="35" t="s">
        <v>4234</v>
      </c>
      <c r="C164" s="35" t="s">
        <v>19</v>
      </c>
      <c r="D164" s="30" t="s">
        <v>4232</v>
      </c>
      <c r="E164" s="30" t="s">
        <v>192</v>
      </c>
      <c r="F164" s="30">
        <v>1</v>
      </c>
      <c r="G164" s="30" t="s">
        <v>193</v>
      </c>
      <c r="H164" s="30" t="s">
        <v>194</v>
      </c>
      <c r="I164" s="30" t="s">
        <v>4201</v>
      </c>
      <c r="J164" s="30" t="s">
        <v>210</v>
      </c>
      <c r="K164" s="30">
        <v>18</v>
      </c>
      <c r="L164" s="30" t="s">
        <v>337</v>
      </c>
      <c r="M164" s="30" t="str">
        <f t="shared" si="2"/>
        <v>214903</v>
      </c>
      <c r="N164" s="30">
        <v>1</v>
      </c>
    </row>
    <row r="165" spans="1:14" x14ac:dyDescent="0.25">
      <c r="A165" s="35" t="s">
        <v>4235</v>
      </c>
      <c r="B165" s="35" t="s">
        <v>460</v>
      </c>
      <c r="C165" s="35" t="s">
        <v>136</v>
      </c>
      <c r="D165" s="30" t="s">
        <v>4232</v>
      </c>
      <c r="E165" s="30" t="s">
        <v>192</v>
      </c>
      <c r="F165" s="30">
        <v>1</v>
      </c>
      <c r="G165" s="30" t="s">
        <v>193</v>
      </c>
      <c r="H165" s="30" t="s">
        <v>194</v>
      </c>
      <c r="I165" s="30" t="s">
        <v>4201</v>
      </c>
      <c r="J165" s="30" t="s">
        <v>210</v>
      </c>
      <c r="K165" s="30">
        <v>18</v>
      </c>
      <c r="L165" s="30" t="s">
        <v>461</v>
      </c>
      <c r="M165" s="30" t="str">
        <f t="shared" si="2"/>
        <v>243301</v>
      </c>
      <c r="N165" s="30">
        <v>1</v>
      </c>
    </row>
    <row r="166" spans="1:14" x14ac:dyDescent="0.25">
      <c r="A166" s="35" t="s">
        <v>493</v>
      </c>
      <c r="B166" s="35" t="s">
        <v>4236</v>
      </c>
      <c r="C166" s="35" t="s">
        <v>10</v>
      </c>
      <c r="D166" s="30" t="s">
        <v>4232</v>
      </c>
      <c r="E166" s="30" t="s">
        <v>192</v>
      </c>
      <c r="F166" s="30">
        <v>1</v>
      </c>
      <c r="G166" s="30" t="s">
        <v>193</v>
      </c>
      <c r="H166" s="30" t="s">
        <v>194</v>
      </c>
      <c r="I166" s="30" t="s">
        <v>4201</v>
      </c>
      <c r="J166" s="30" t="s">
        <v>210</v>
      </c>
      <c r="K166" s="30">
        <v>18</v>
      </c>
      <c r="L166" s="30" t="s">
        <v>484</v>
      </c>
      <c r="M166" s="30" t="str">
        <f t="shared" si="2"/>
        <v>251401</v>
      </c>
      <c r="N166" s="30">
        <v>1</v>
      </c>
    </row>
    <row r="167" spans="1:14" x14ac:dyDescent="0.25">
      <c r="A167" s="35" t="s">
        <v>1920</v>
      </c>
      <c r="B167" s="35" t="s">
        <v>4237</v>
      </c>
      <c r="C167" s="35" t="s">
        <v>36</v>
      </c>
      <c r="D167" s="30" t="s">
        <v>4232</v>
      </c>
      <c r="E167" s="30" t="s">
        <v>192</v>
      </c>
      <c r="F167" s="30">
        <v>1</v>
      </c>
      <c r="G167" s="30" t="s">
        <v>193</v>
      </c>
      <c r="H167" s="30" t="s">
        <v>194</v>
      </c>
      <c r="I167" s="30" t="s">
        <v>4199</v>
      </c>
      <c r="J167" s="30" t="s">
        <v>316</v>
      </c>
      <c r="K167" s="30">
        <v>18</v>
      </c>
      <c r="L167" s="30" t="s">
        <v>609</v>
      </c>
      <c r="M167" s="30" t="str">
        <f t="shared" si="2"/>
        <v>331301</v>
      </c>
      <c r="N167" s="30">
        <v>1</v>
      </c>
    </row>
    <row r="168" spans="1:14" x14ac:dyDescent="0.25">
      <c r="A168" s="35" t="s">
        <v>2972</v>
      </c>
      <c r="B168" s="35" t="s">
        <v>2621</v>
      </c>
      <c r="C168" s="35" t="s">
        <v>19</v>
      </c>
      <c r="D168" s="30" t="s">
        <v>4232</v>
      </c>
      <c r="E168" s="30" t="s">
        <v>192</v>
      </c>
      <c r="F168" s="30">
        <v>1</v>
      </c>
      <c r="G168" s="30" t="s">
        <v>193</v>
      </c>
      <c r="H168" s="30" t="s">
        <v>194</v>
      </c>
      <c r="I168" s="30" t="s">
        <v>4199</v>
      </c>
      <c r="J168" s="30" t="s">
        <v>316</v>
      </c>
      <c r="K168" s="30">
        <v>18</v>
      </c>
      <c r="L168" s="30" t="s">
        <v>337</v>
      </c>
      <c r="M168" s="30" t="str">
        <f t="shared" si="2"/>
        <v>214903</v>
      </c>
      <c r="N168" s="30">
        <v>1</v>
      </c>
    </row>
    <row r="169" spans="1:14" x14ac:dyDescent="0.25">
      <c r="A169" s="35" t="s">
        <v>3602</v>
      </c>
      <c r="B169" s="35" t="s">
        <v>3611</v>
      </c>
      <c r="C169" s="35" t="s">
        <v>3611</v>
      </c>
      <c r="D169" s="30" t="s">
        <v>4238</v>
      </c>
      <c r="E169" s="30" t="s">
        <v>217</v>
      </c>
      <c r="F169" s="84">
        <v>0</v>
      </c>
      <c r="G169" s="84" t="s">
        <v>194</v>
      </c>
      <c r="H169" s="30" t="s">
        <v>193</v>
      </c>
      <c r="I169" s="30" t="s">
        <v>4203</v>
      </c>
      <c r="J169" s="30" t="s">
        <v>3612</v>
      </c>
      <c r="K169" s="30">
        <v>18</v>
      </c>
      <c r="L169" s="30" t="s">
        <v>3613</v>
      </c>
      <c r="M169" s="30" t="str">
        <f t="shared" si="2"/>
        <v>753403</v>
      </c>
      <c r="N169" s="84">
        <v>1</v>
      </c>
    </row>
    <row r="170" spans="1:14" x14ac:dyDescent="0.25">
      <c r="A170" s="35" t="s">
        <v>3602</v>
      </c>
      <c r="B170" s="35" t="s">
        <v>3767</v>
      </c>
      <c r="C170" s="35" t="s">
        <v>83</v>
      </c>
      <c r="D170" s="30" t="s">
        <v>3768</v>
      </c>
      <c r="E170" s="30" t="s">
        <v>217</v>
      </c>
      <c r="F170" s="84">
        <v>0</v>
      </c>
      <c r="G170" s="84" t="s">
        <v>194</v>
      </c>
      <c r="H170" s="30" t="s">
        <v>193</v>
      </c>
      <c r="I170" s="30" t="s">
        <v>3663</v>
      </c>
      <c r="J170" s="30" t="s">
        <v>3769</v>
      </c>
      <c r="K170" s="30">
        <v>18</v>
      </c>
      <c r="L170" s="30" t="s">
        <v>791</v>
      </c>
      <c r="M170" s="30" t="str">
        <f t="shared" si="2"/>
        <v>721204</v>
      </c>
      <c r="N170" s="84">
        <v>1</v>
      </c>
    </row>
    <row r="171" spans="1:14" x14ac:dyDescent="0.25">
      <c r="A171" s="35" t="s">
        <v>638</v>
      </c>
      <c r="B171" s="35" t="s">
        <v>3770</v>
      </c>
      <c r="C171" s="35" t="s">
        <v>12</v>
      </c>
      <c r="D171" s="30" t="s">
        <v>3768</v>
      </c>
      <c r="E171" s="30" t="s">
        <v>233</v>
      </c>
      <c r="F171" s="30">
        <v>1</v>
      </c>
      <c r="G171" s="30" t="s">
        <v>193</v>
      </c>
      <c r="H171" s="30" t="s">
        <v>194</v>
      </c>
      <c r="I171" s="30" t="s">
        <v>3697</v>
      </c>
      <c r="J171" s="30" t="s">
        <v>210</v>
      </c>
      <c r="K171" s="30">
        <v>18</v>
      </c>
      <c r="L171" s="30" t="s">
        <v>220</v>
      </c>
      <c r="M171" s="30" t="str">
        <f t="shared" si="2"/>
        <v>132301</v>
      </c>
      <c r="N171" s="30">
        <v>1</v>
      </c>
    </row>
    <row r="172" spans="1:14" x14ac:dyDescent="0.25">
      <c r="A172" s="35" t="s">
        <v>3771</v>
      </c>
      <c r="B172" s="35" t="s">
        <v>2491</v>
      </c>
      <c r="C172" s="35" t="s">
        <v>17</v>
      </c>
      <c r="D172" s="30" t="s">
        <v>3768</v>
      </c>
      <c r="E172" s="30" t="s">
        <v>233</v>
      </c>
      <c r="F172" s="30">
        <v>1</v>
      </c>
      <c r="G172" s="30" t="s">
        <v>193</v>
      </c>
      <c r="H172" s="30" t="s">
        <v>194</v>
      </c>
      <c r="I172" s="30" t="s">
        <v>3663</v>
      </c>
      <c r="J172" s="30" t="s">
        <v>3772</v>
      </c>
      <c r="K172" s="30">
        <v>18</v>
      </c>
      <c r="L172" s="30" t="s">
        <v>624</v>
      </c>
      <c r="M172" s="30" t="str">
        <f t="shared" si="2"/>
        <v>332203</v>
      </c>
      <c r="N172" s="30">
        <v>1</v>
      </c>
    </row>
    <row r="173" spans="1:14" x14ac:dyDescent="0.25">
      <c r="A173" s="35" t="s">
        <v>2758</v>
      </c>
      <c r="B173" s="35" t="s">
        <v>2759</v>
      </c>
      <c r="C173" s="35" t="s">
        <v>829</v>
      </c>
      <c r="D173" s="30" t="s">
        <v>3768</v>
      </c>
      <c r="E173" s="30" t="s">
        <v>252</v>
      </c>
      <c r="F173" s="30">
        <v>1</v>
      </c>
      <c r="G173" s="30" t="s">
        <v>193</v>
      </c>
      <c r="H173" s="30" t="s">
        <v>194</v>
      </c>
      <c r="I173" s="30" t="s">
        <v>3663</v>
      </c>
      <c r="J173" s="30" t="s">
        <v>210</v>
      </c>
      <c r="K173" s="30">
        <v>18</v>
      </c>
      <c r="L173" s="30" t="s">
        <v>830</v>
      </c>
      <c r="M173" s="30" t="str">
        <f t="shared" si="2"/>
        <v>741201</v>
      </c>
      <c r="N173" s="30">
        <v>1</v>
      </c>
    </row>
    <row r="174" spans="1:14" x14ac:dyDescent="0.25">
      <c r="A174" s="35" t="s">
        <v>1040</v>
      </c>
      <c r="B174" s="35" t="s">
        <v>3389</v>
      </c>
      <c r="C174" s="35" t="s">
        <v>80</v>
      </c>
      <c r="D174" s="30" t="s">
        <v>3768</v>
      </c>
      <c r="E174" s="30" t="s">
        <v>233</v>
      </c>
      <c r="F174" s="30">
        <v>1</v>
      </c>
      <c r="G174" s="30" t="s">
        <v>193</v>
      </c>
      <c r="H174" s="30" t="s">
        <v>194</v>
      </c>
      <c r="I174" s="30" t="s">
        <v>3697</v>
      </c>
      <c r="J174" s="30" t="s">
        <v>210</v>
      </c>
      <c r="K174" s="30">
        <v>18</v>
      </c>
      <c r="L174" s="30" t="s">
        <v>474</v>
      </c>
      <c r="M174" s="30" t="str">
        <f t="shared" si="2"/>
        <v>243304</v>
      </c>
      <c r="N174" s="30">
        <v>1</v>
      </c>
    </row>
    <row r="175" spans="1:14" x14ac:dyDescent="0.25">
      <c r="A175" s="35" t="s">
        <v>3644</v>
      </c>
      <c r="B175" s="35" t="s">
        <v>3773</v>
      </c>
      <c r="C175" s="35" t="s">
        <v>3774</v>
      </c>
      <c r="D175" s="30" t="s">
        <v>3768</v>
      </c>
      <c r="E175" s="30" t="s">
        <v>217</v>
      </c>
      <c r="F175" s="84">
        <v>0</v>
      </c>
      <c r="G175" s="84" t="s">
        <v>194</v>
      </c>
      <c r="H175" s="30" t="s">
        <v>193</v>
      </c>
      <c r="I175" s="30" t="s">
        <v>3697</v>
      </c>
      <c r="J175" s="30" t="s">
        <v>3775</v>
      </c>
      <c r="K175" s="30">
        <v>18</v>
      </c>
      <c r="L175" s="30" t="s">
        <v>3776</v>
      </c>
      <c r="M175" s="30" t="str">
        <f t="shared" si="2"/>
        <v>723190</v>
      </c>
      <c r="N175" s="84">
        <v>1</v>
      </c>
    </row>
    <row r="176" spans="1:14" x14ac:dyDescent="0.25">
      <c r="A176" s="35" t="s">
        <v>3777</v>
      </c>
      <c r="B176" s="35" t="s">
        <v>3778</v>
      </c>
      <c r="C176" s="35" t="s">
        <v>119</v>
      </c>
      <c r="D176" s="30" t="s">
        <v>3768</v>
      </c>
      <c r="E176" s="30" t="s">
        <v>233</v>
      </c>
      <c r="F176" s="30">
        <v>1</v>
      </c>
      <c r="G176" s="30" t="s">
        <v>193</v>
      </c>
      <c r="H176" s="30" t="s">
        <v>194</v>
      </c>
      <c r="I176" s="30" t="s">
        <v>3697</v>
      </c>
      <c r="J176" s="30" t="s">
        <v>210</v>
      </c>
      <c r="K176" s="30">
        <v>18</v>
      </c>
      <c r="L176" s="30" t="s">
        <v>666</v>
      </c>
      <c r="M176" s="30" t="str">
        <f t="shared" si="2"/>
        <v>333105</v>
      </c>
      <c r="N176" s="30">
        <v>1</v>
      </c>
    </row>
    <row r="177" spans="1:14" x14ac:dyDescent="0.25">
      <c r="A177" s="35" t="s">
        <v>244</v>
      </c>
      <c r="B177" s="35" t="s">
        <v>3779</v>
      </c>
      <c r="C177" s="35" t="s">
        <v>778</v>
      </c>
      <c r="D177" s="30" t="s">
        <v>3768</v>
      </c>
      <c r="E177" s="30" t="s">
        <v>252</v>
      </c>
      <c r="F177" s="30">
        <v>1</v>
      </c>
      <c r="G177" s="30" t="s">
        <v>193</v>
      </c>
      <c r="H177" s="30" t="s">
        <v>194</v>
      </c>
      <c r="I177" s="30" t="s">
        <v>3663</v>
      </c>
      <c r="J177" s="30" t="s">
        <v>3780</v>
      </c>
      <c r="K177" s="30">
        <v>18</v>
      </c>
      <c r="L177" s="30" t="s">
        <v>779</v>
      </c>
      <c r="M177" s="30" t="str">
        <f t="shared" si="2"/>
        <v>524902</v>
      </c>
      <c r="N177" s="30">
        <v>1</v>
      </c>
    </row>
    <row r="178" spans="1:14" x14ac:dyDescent="0.25">
      <c r="A178" s="35" t="s">
        <v>3781</v>
      </c>
      <c r="B178" s="35" t="s">
        <v>3782</v>
      </c>
      <c r="C178" s="35" t="s">
        <v>740</v>
      </c>
      <c r="D178" s="30" t="s">
        <v>3768</v>
      </c>
      <c r="E178" s="30" t="s">
        <v>233</v>
      </c>
      <c r="F178" s="30">
        <v>1</v>
      </c>
      <c r="G178" s="30" t="s">
        <v>193</v>
      </c>
      <c r="H178" s="30" t="s">
        <v>194</v>
      </c>
      <c r="I178" s="30" t="s">
        <v>3697</v>
      </c>
      <c r="J178" s="30" t="s">
        <v>210</v>
      </c>
      <c r="K178" s="30">
        <v>18</v>
      </c>
      <c r="L178" s="30" t="s">
        <v>741</v>
      </c>
      <c r="M178" s="30" t="str">
        <f t="shared" si="2"/>
        <v>522301</v>
      </c>
      <c r="N178" s="30">
        <v>1</v>
      </c>
    </row>
    <row r="179" spans="1:14" x14ac:dyDescent="0.25">
      <c r="A179" s="35" t="s">
        <v>915</v>
      </c>
      <c r="B179" s="35" t="s">
        <v>3783</v>
      </c>
      <c r="C179" s="35" t="s">
        <v>10</v>
      </c>
      <c r="D179" s="30" t="s">
        <v>3768</v>
      </c>
      <c r="E179" s="30" t="s">
        <v>233</v>
      </c>
      <c r="F179" s="84">
        <v>0</v>
      </c>
      <c r="G179" s="84" t="s">
        <v>194</v>
      </c>
      <c r="H179" s="30" t="s">
        <v>193</v>
      </c>
      <c r="I179" s="30" t="s">
        <v>3663</v>
      </c>
      <c r="J179" s="30" t="s">
        <v>196</v>
      </c>
      <c r="K179" s="30">
        <v>18</v>
      </c>
      <c r="L179" s="30" t="s">
        <v>484</v>
      </c>
      <c r="M179" s="30" t="str">
        <f t="shared" si="2"/>
        <v>251401</v>
      </c>
      <c r="N179" s="84">
        <v>1</v>
      </c>
    </row>
    <row r="180" spans="1:14" x14ac:dyDescent="0.25">
      <c r="A180" s="35" t="s">
        <v>915</v>
      </c>
      <c r="B180" s="35" t="s">
        <v>3784</v>
      </c>
      <c r="C180" s="35" t="s">
        <v>10</v>
      </c>
      <c r="D180" s="30" t="s">
        <v>3768</v>
      </c>
      <c r="E180" s="30" t="s">
        <v>233</v>
      </c>
      <c r="F180" s="84">
        <v>0</v>
      </c>
      <c r="G180" s="84" t="s">
        <v>194</v>
      </c>
      <c r="H180" s="30" t="s">
        <v>193</v>
      </c>
      <c r="I180" s="30" t="s">
        <v>3663</v>
      </c>
      <c r="J180" s="30" t="s">
        <v>196</v>
      </c>
      <c r="K180" s="30">
        <v>18</v>
      </c>
      <c r="L180" s="30" t="s">
        <v>484</v>
      </c>
      <c r="M180" s="30" t="str">
        <f t="shared" si="2"/>
        <v>251401</v>
      </c>
      <c r="N180" s="84">
        <v>1</v>
      </c>
    </row>
    <row r="181" spans="1:14" x14ac:dyDescent="0.25">
      <c r="A181" s="35" t="s">
        <v>915</v>
      </c>
      <c r="B181" s="35" t="s">
        <v>3785</v>
      </c>
      <c r="C181" s="35" t="s">
        <v>61</v>
      </c>
      <c r="D181" s="30" t="s">
        <v>3768</v>
      </c>
      <c r="E181" s="30" t="s">
        <v>233</v>
      </c>
      <c r="F181" s="84">
        <v>0</v>
      </c>
      <c r="G181" s="84" t="s">
        <v>194</v>
      </c>
      <c r="H181" s="30" t="s">
        <v>193</v>
      </c>
      <c r="I181" s="30" t="s">
        <v>3663</v>
      </c>
      <c r="J181" s="30" t="s">
        <v>196</v>
      </c>
      <c r="K181" s="30">
        <v>18</v>
      </c>
      <c r="L181" s="30" t="s">
        <v>2282</v>
      </c>
      <c r="M181" s="30" t="str">
        <f t="shared" si="2"/>
        <v>251103</v>
      </c>
      <c r="N181" s="84">
        <v>1</v>
      </c>
    </row>
    <row r="182" spans="1:14" x14ac:dyDescent="0.25">
      <c r="A182" s="35" t="s">
        <v>915</v>
      </c>
      <c r="B182" s="166" t="s">
        <v>1055</v>
      </c>
      <c r="C182" s="166" t="s">
        <v>542</v>
      </c>
      <c r="D182" s="30" t="s">
        <v>3768</v>
      </c>
      <c r="E182" s="30" t="s">
        <v>233</v>
      </c>
      <c r="F182" s="84">
        <v>0</v>
      </c>
      <c r="G182" s="84" t="s">
        <v>194</v>
      </c>
      <c r="H182" s="30" t="s">
        <v>193</v>
      </c>
      <c r="I182" s="30" t="s">
        <v>3663</v>
      </c>
      <c r="J182" s="30" t="s">
        <v>196</v>
      </c>
      <c r="K182" s="30">
        <v>18</v>
      </c>
      <c r="L182" s="30" t="s">
        <v>543</v>
      </c>
      <c r="M182" s="30" t="str">
        <f t="shared" si="2"/>
        <v>264304</v>
      </c>
      <c r="N182" s="84">
        <v>1</v>
      </c>
    </row>
    <row r="183" spans="1:14" x14ac:dyDescent="0.25">
      <c r="A183" s="35" t="s">
        <v>1622</v>
      </c>
      <c r="B183" s="35" t="s">
        <v>3786</v>
      </c>
      <c r="C183" s="35" t="s">
        <v>67</v>
      </c>
      <c r="D183" s="30" t="s">
        <v>3768</v>
      </c>
      <c r="E183" s="30" t="s">
        <v>233</v>
      </c>
      <c r="F183" s="30">
        <v>1</v>
      </c>
      <c r="G183" s="30" t="s">
        <v>193</v>
      </c>
      <c r="H183" s="30" t="s">
        <v>194</v>
      </c>
      <c r="I183" s="30" t="s">
        <v>3663</v>
      </c>
      <c r="J183" s="30" t="s">
        <v>210</v>
      </c>
      <c r="K183" s="30">
        <v>18</v>
      </c>
      <c r="L183" s="30" t="s">
        <v>709</v>
      </c>
      <c r="M183" s="30" t="str">
        <f t="shared" si="2"/>
        <v>432103</v>
      </c>
      <c r="N183" s="30">
        <v>1</v>
      </c>
    </row>
    <row r="184" spans="1:14" x14ac:dyDescent="0.25">
      <c r="A184" s="35" t="s">
        <v>1989</v>
      </c>
      <c r="B184" s="35" t="s">
        <v>1344</v>
      </c>
      <c r="C184" s="35" t="s">
        <v>51</v>
      </c>
      <c r="D184" s="30" t="s">
        <v>3768</v>
      </c>
      <c r="E184" s="30" t="s">
        <v>233</v>
      </c>
      <c r="F184" s="30">
        <v>1</v>
      </c>
      <c r="G184" s="30" t="s">
        <v>193</v>
      </c>
      <c r="H184" s="30" t="s">
        <v>194</v>
      </c>
      <c r="I184" s="30" t="s">
        <v>3663</v>
      </c>
      <c r="J184" s="30" t="s">
        <v>210</v>
      </c>
      <c r="K184" s="30">
        <v>18</v>
      </c>
      <c r="L184" s="30" t="s">
        <v>904</v>
      </c>
      <c r="M184" s="30" t="str">
        <f t="shared" si="2"/>
        <v>523002</v>
      </c>
      <c r="N184" s="30">
        <v>1</v>
      </c>
    </row>
    <row r="185" spans="1:14" x14ac:dyDescent="0.25">
      <c r="A185" s="35" t="s">
        <v>417</v>
      </c>
      <c r="B185" s="35" t="s">
        <v>3787</v>
      </c>
      <c r="C185" s="35" t="s">
        <v>1497</v>
      </c>
      <c r="D185" s="30" t="s">
        <v>3768</v>
      </c>
      <c r="E185" s="30" t="s">
        <v>217</v>
      </c>
      <c r="F185" s="30">
        <v>1</v>
      </c>
      <c r="G185" s="30" t="s">
        <v>193</v>
      </c>
      <c r="H185" s="30" t="s">
        <v>194</v>
      </c>
      <c r="I185" s="30" t="s">
        <v>3663</v>
      </c>
      <c r="J185" s="30" t="s">
        <v>1977</v>
      </c>
      <c r="K185" s="30">
        <v>18</v>
      </c>
      <c r="L185" s="30" t="s">
        <v>1498</v>
      </c>
      <c r="M185" s="30" t="str">
        <f t="shared" si="2"/>
        <v>134605</v>
      </c>
      <c r="N185" s="30">
        <v>1</v>
      </c>
    </row>
    <row r="186" spans="1:14" x14ac:dyDescent="0.25">
      <c r="A186" s="35" t="s">
        <v>1321</v>
      </c>
      <c r="B186" s="35" t="s">
        <v>3788</v>
      </c>
      <c r="C186" s="35" t="s">
        <v>10</v>
      </c>
      <c r="D186" s="30" t="s">
        <v>3768</v>
      </c>
      <c r="E186" s="30" t="s">
        <v>233</v>
      </c>
      <c r="F186" s="30">
        <v>1</v>
      </c>
      <c r="G186" s="30" t="s">
        <v>193</v>
      </c>
      <c r="H186" s="30" t="s">
        <v>194</v>
      </c>
      <c r="I186" s="30" t="s">
        <v>3663</v>
      </c>
      <c r="J186" s="30" t="s">
        <v>210</v>
      </c>
      <c r="K186" s="30">
        <v>18</v>
      </c>
      <c r="L186" s="30" t="s">
        <v>484</v>
      </c>
      <c r="M186" s="30" t="str">
        <f t="shared" si="2"/>
        <v>251401</v>
      </c>
      <c r="N186" s="30">
        <v>1</v>
      </c>
    </row>
    <row r="187" spans="1:14" x14ac:dyDescent="0.25">
      <c r="A187" s="35" t="s">
        <v>1331</v>
      </c>
      <c r="B187" s="35" t="s">
        <v>3789</v>
      </c>
      <c r="C187" s="35" t="s">
        <v>778</v>
      </c>
      <c r="D187" s="30" t="s">
        <v>3768</v>
      </c>
      <c r="E187" s="30" t="s">
        <v>252</v>
      </c>
      <c r="F187" s="30">
        <v>1</v>
      </c>
      <c r="G187" s="30" t="s">
        <v>193</v>
      </c>
      <c r="H187" s="30" t="s">
        <v>194</v>
      </c>
      <c r="I187" s="30" t="s">
        <v>3663</v>
      </c>
      <c r="J187" s="30" t="s">
        <v>316</v>
      </c>
      <c r="K187" s="30">
        <v>18</v>
      </c>
      <c r="L187" s="30" t="s">
        <v>779</v>
      </c>
      <c r="M187" s="30" t="str">
        <f t="shared" si="2"/>
        <v>524902</v>
      </c>
      <c r="N187" s="30">
        <v>1</v>
      </c>
    </row>
    <row r="188" spans="1:14" x14ac:dyDescent="0.25">
      <c r="A188" s="35" t="s">
        <v>894</v>
      </c>
      <c r="B188" s="35" t="s">
        <v>3790</v>
      </c>
      <c r="C188" s="35" t="s">
        <v>785</v>
      </c>
      <c r="D188" s="30" t="s">
        <v>3768</v>
      </c>
      <c r="E188" s="30" t="s">
        <v>217</v>
      </c>
      <c r="F188" s="84">
        <v>0</v>
      </c>
      <c r="G188" s="84" t="s">
        <v>194</v>
      </c>
      <c r="H188" s="30" t="s">
        <v>193</v>
      </c>
      <c r="I188" s="30" t="s">
        <v>3663</v>
      </c>
      <c r="J188" s="30" t="s">
        <v>3791</v>
      </c>
      <c r="K188" s="30">
        <v>18</v>
      </c>
      <c r="L188" s="30" t="s">
        <v>787</v>
      </c>
      <c r="M188" s="30" t="str">
        <f t="shared" si="2"/>
        <v>711202</v>
      </c>
      <c r="N188" s="84">
        <v>1</v>
      </c>
    </row>
    <row r="189" spans="1:14" x14ac:dyDescent="0.25">
      <c r="A189" s="35" t="s">
        <v>2259</v>
      </c>
      <c r="B189" s="35" t="s">
        <v>3792</v>
      </c>
      <c r="C189" s="35" t="s">
        <v>2993</v>
      </c>
      <c r="D189" s="30" t="s">
        <v>3768</v>
      </c>
      <c r="E189" s="30" t="s">
        <v>233</v>
      </c>
      <c r="F189" s="30">
        <v>1</v>
      </c>
      <c r="G189" s="30" t="s">
        <v>193</v>
      </c>
      <c r="H189" s="30" t="s">
        <v>194</v>
      </c>
      <c r="I189" s="30" t="s">
        <v>3697</v>
      </c>
      <c r="J189" s="30" t="s">
        <v>210</v>
      </c>
      <c r="K189" s="30">
        <v>18</v>
      </c>
      <c r="L189" s="30" t="s">
        <v>3793</v>
      </c>
      <c r="M189" s="30" t="str">
        <f t="shared" si="2"/>
        <v>251904</v>
      </c>
      <c r="N189" s="30">
        <v>1</v>
      </c>
    </row>
    <row r="190" spans="1:14" x14ac:dyDescent="0.25">
      <c r="A190" s="35" t="s">
        <v>3709</v>
      </c>
      <c r="B190" s="35" t="s">
        <v>3794</v>
      </c>
      <c r="C190" s="35" t="s">
        <v>62</v>
      </c>
      <c r="D190" s="30" t="s">
        <v>3768</v>
      </c>
      <c r="E190" s="30" t="s">
        <v>252</v>
      </c>
      <c r="F190" s="30">
        <v>1</v>
      </c>
      <c r="G190" s="30" t="s">
        <v>193</v>
      </c>
      <c r="H190" s="30" t="s">
        <v>194</v>
      </c>
      <c r="I190" s="30" t="s">
        <v>3663</v>
      </c>
      <c r="J190" s="30" t="s">
        <v>253</v>
      </c>
      <c r="K190" s="30">
        <v>18</v>
      </c>
      <c r="L190" s="30" t="s">
        <v>601</v>
      </c>
      <c r="M190" s="30" t="str">
        <f t="shared" si="2"/>
        <v>313904</v>
      </c>
      <c r="N190" s="30">
        <v>1</v>
      </c>
    </row>
    <row r="191" spans="1:14" x14ac:dyDescent="0.25">
      <c r="A191" s="35" t="s">
        <v>3795</v>
      </c>
      <c r="B191" s="35" t="s">
        <v>3385</v>
      </c>
      <c r="C191" s="35" t="s">
        <v>3385</v>
      </c>
      <c r="D191" s="30" t="s">
        <v>3768</v>
      </c>
      <c r="E191" s="30" t="s">
        <v>252</v>
      </c>
      <c r="F191" s="30">
        <v>1</v>
      </c>
      <c r="G191" s="30" t="s">
        <v>193</v>
      </c>
      <c r="H191" s="30" t="s">
        <v>194</v>
      </c>
      <c r="I191" s="30" t="s">
        <v>3663</v>
      </c>
      <c r="J191" s="30" t="s">
        <v>210</v>
      </c>
      <c r="K191" s="30">
        <v>18</v>
      </c>
      <c r="L191" s="30" t="s">
        <v>3386</v>
      </c>
      <c r="M191" s="30" t="str">
        <f t="shared" si="2"/>
        <v>834316</v>
      </c>
      <c r="N191" s="30">
        <v>1</v>
      </c>
    </row>
    <row r="192" spans="1:14" x14ac:dyDescent="0.25">
      <c r="A192" s="35" t="s">
        <v>3796</v>
      </c>
      <c r="B192" s="35" t="s">
        <v>3797</v>
      </c>
      <c r="C192" s="158" t="s">
        <v>17</v>
      </c>
      <c r="D192" s="30" t="s">
        <v>3768</v>
      </c>
      <c r="E192" s="30" t="s">
        <v>233</v>
      </c>
      <c r="F192" s="30">
        <v>1</v>
      </c>
      <c r="G192" s="30" t="s">
        <v>193</v>
      </c>
      <c r="H192" s="30" t="s">
        <v>194</v>
      </c>
      <c r="I192" s="30" t="s">
        <v>3595</v>
      </c>
      <c r="J192" s="30" t="s">
        <v>1855</v>
      </c>
      <c r="K192" s="30">
        <v>18</v>
      </c>
      <c r="L192" s="30" t="s">
        <v>624</v>
      </c>
      <c r="M192" s="30" t="str">
        <f t="shared" si="2"/>
        <v>332203</v>
      </c>
      <c r="N192" s="30">
        <v>1</v>
      </c>
    </row>
    <row r="193" spans="1:14" x14ac:dyDescent="0.25">
      <c r="A193" s="35" t="s">
        <v>409</v>
      </c>
      <c r="B193" s="35" t="s">
        <v>965</v>
      </c>
      <c r="C193" s="35" t="s">
        <v>113</v>
      </c>
      <c r="D193" s="30" t="s">
        <v>4239</v>
      </c>
      <c r="E193" s="30" t="s">
        <v>192</v>
      </c>
      <c r="F193" s="30">
        <v>1</v>
      </c>
      <c r="G193" s="30" t="s">
        <v>193</v>
      </c>
      <c r="H193" s="30" t="s">
        <v>194</v>
      </c>
      <c r="I193" s="30" t="s">
        <v>4201</v>
      </c>
      <c r="J193" s="30" t="s">
        <v>253</v>
      </c>
      <c r="K193" s="30">
        <v>18</v>
      </c>
      <c r="L193" s="30" t="s">
        <v>465</v>
      </c>
      <c r="M193" s="30" t="str">
        <f t="shared" si="2"/>
        <v>243302</v>
      </c>
      <c r="N193" s="30">
        <v>1</v>
      </c>
    </row>
    <row r="194" spans="1:14" x14ac:dyDescent="0.25">
      <c r="A194" s="35" t="s">
        <v>4240</v>
      </c>
      <c r="B194" s="35" t="s">
        <v>1590</v>
      </c>
      <c r="C194" s="158" t="s">
        <v>17</v>
      </c>
      <c r="D194" s="30" t="s">
        <v>4239</v>
      </c>
      <c r="E194" s="30" t="s">
        <v>192</v>
      </c>
      <c r="F194" s="30">
        <v>1</v>
      </c>
      <c r="G194" s="30" t="s">
        <v>193</v>
      </c>
      <c r="H194" s="30" t="s">
        <v>194</v>
      </c>
      <c r="I194" s="30" t="s">
        <v>4201</v>
      </c>
      <c r="J194" s="30" t="s">
        <v>210</v>
      </c>
      <c r="K194" s="30">
        <v>18</v>
      </c>
      <c r="L194" s="30" t="s">
        <v>624</v>
      </c>
      <c r="M194" s="30" t="str">
        <f t="shared" si="2"/>
        <v>332203</v>
      </c>
      <c r="N194" s="30">
        <v>1</v>
      </c>
    </row>
    <row r="195" spans="1:14" x14ac:dyDescent="0.25">
      <c r="A195" s="35" t="s">
        <v>4241</v>
      </c>
      <c r="B195" s="35" t="s">
        <v>4242</v>
      </c>
      <c r="C195" s="158" t="s">
        <v>17</v>
      </c>
      <c r="D195" s="30" t="s">
        <v>4239</v>
      </c>
      <c r="E195" s="30" t="s">
        <v>192</v>
      </c>
      <c r="F195" s="30">
        <v>1</v>
      </c>
      <c r="G195" s="30" t="s">
        <v>193</v>
      </c>
      <c r="H195" s="30" t="s">
        <v>194</v>
      </c>
      <c r="I195" s="30" t="s">
        <v>4201</v>
      </c>
      <c r="J195" s="30" t="s">
        <v>408</v>
      </c>
      <c r="K195" s="30">
        <v>18</v>
      </c>
      <c r="L195" s="30" t="s">
        <v>624</v>
      </c>
      <c r="M195" s="30" t="str">
        <f t="shared" ref="M195:M258" si="3">MID(L195,8,6)</f>
        <v>332203</v>
      </c>
      <c r="N195" s="30">
        <v>1</v>
      </c>
    </row>
    <row r="196" spans="1:14" x14ac:dyDescent="0.25">
      <c r="A196" s="35" t="s">
        <v>570</v>
      </c>
      <c r="B196" s="35" t="s">
        <v>2621</v>
      </c>
      <c r="C196" s="35" t="s">
        <v>115</v>
      </c>
      <c r="D196" s="30" t="s">
        <v>4239</v>
      </c>
      <c r="E196" s="30" t="s">
        <v>192</v>
      </c>
      <c r="F196" s="30">
        <v>1</v>
      </c>
      <c r="G196" s="30" t="s">
        <v>193</v>
      </c>
      <c r="H196" s="30" t="s">
        <v>194</v>
      </c>
      <c r="I196" s="30" t="s">
        <v>4201</v>
      </c>
      <c r="J196" s="30" t="s">
        <v>672</v>
      </c>
      <c r="K196" s="30">
        <v>18</v>
      </c>
      <c r="L196" s="30" t="s">
        <v>1183</v>
      </c>
      <c r="M196" s="30" t="str">
        <f t="shared" si="3"/>
        <v>311909</v>
      </c>
      <c r="N196" s="30">
        <v>1</v>
      </c>
    </row>
    <row r="197" spans="1:14" x14ac:dyDescent="0.25">
      <c r="A197" s="35" t="s">
        <v>4243</v>
      </c>
      <c r="B197" s="35" t="s">
        <v>8</v>
      </c>
      <c r="C197" s="35" t="s">
        <v>740</v>
      </c>
      <c r="D197" s="30" t="s">
        <v>4239</v>
      </c>
      <c r="E197" s="30" t="s">
        <v>192</v>
      </c>
      <c r="F197" s="30">
        <v>1</v>
      </c>
      <c r="G197" s="30" t="s">
        <v>193</v>
      </c>
      <c r="H197" s="30" t="s">
        <v>194</v>
      </c>
      <c r="I197" s="30" t="s">
        <v>4201</v>
      </c>
      <c r="J197" s="30" t="s">
        <v>210</v>
      </c>
      <c r="K197" s="30">
        <v>18</v>
      </c>
      <c r="L197" s="30" t="s">
        <v>741</v>
      </c>
      <c r="M197" s="30" t="str">
        <f t="shared" si="3"/>
        <v>522301</v>
      </c>
      <c r="N197" s="30">
        <v>1</v>
      </c>
    </row>
    <row r="198" spans="1:14" x14ac:dyDescent="0.25">
      <c r="A198" s="35" t="s">
        <v>2108</v>
      </c>
      <c r="B198" s="35" t="s">
        <v>1279</v>
      </c>
      <c r="C198" s="35" t="s">
        <v>29</v>
      </c>
      <c r="D198" s="30" t="s">
        <v>4239</v>
      </c>
      <c r="E198" s="30" t="s">
        <v>192</v>
      </c>
      <c r="F198" s="30">
        <v>1</v>
      </c>
      <c r="G198" s="30" t="s">
        <v>193</v>
      </c>
      <c r="H198" s="30" t="s">
        <v>194</v>
      </c>
      <c r="I198" s="30" t="s">
        <v>4203</v>
      </c>
      <c r="J198" s="30" t="s">
        <v>253</v>
      </c>
      <c r="K198" s="30">
        <v>18</v>
      </c>
      <c r="L198" s="30" t="s">
        <v>808</v>
      </c>
      <c r="M198" s="30" t="str">
        <f t="shared" si="3"/>
        <v>722308</v>
      </c>
      <c r="N198" s="30">
        <v>1</v>
      </c>
    </row>
    <row r="199" spans="1:14" x14ac:dyDescent="0.25">
      <c r="A199" s="35" t="s">
        <v>3602</v>
      </c>
      <c r="B199" s="35" t="s">
        <v>3798</v>
      </c>
      <c r="C199" s="35" t="s">
        <v>822</v>
      </c>
      <c r="D199" s="30" t="s">
        <v>3799</v>
      </c>
      <c r="E199" s="30" t="s">
        <v>217</v>
      </c>
      <c r="F199" s="84">
        <v>0</v>
      </c>
      <c r="G199" s="84" t="s">
        <v>194</v>
      </c>
      <c r="H199" s="30" t="s">
        <v>193</v>
      </c>
      <c r="I199" s="30" t="s">
        <v>3768</v>
      </c>
      <c r="J199" s="30" t="s">
        <v>1807</v>
      </c>
      <c r="K199" s="30">
        <v>18</v>
      </c>
      <c r="L199" s="30" t="s">
        <v>823</v>
      </c>
      <c r="M199" s="30" t="str">
        <f t="shared" si="3"/>
        <v>741103</v>
      </c>
      <c r="N199" s="84">
        <v>1</v>
      </c>
    </row>
    <row r="200" spans="1:14" x14ac:dyDescent="0.25">
      <c r="A200" s="35" t="s">
        <v>3602</v>
      </c>
      <c r="B200" s="35" t="s">
        <v>3800</v>
      </c>
      <c r="C200" s="35" t="s">
        <v>3801</v>
      </c>
      <c r="D200" s="30" t="s">
        <v>3799</v>
      </c>
      <c r="E200" s="30" t="s">
        <v>217</v>
      </c>
      <c r="F200" s="84">
        <v>0</v>
      </c>
      <c r="G200" s="84" t="s">
        <v>194</v>
      </c>
      <c r="H200" s="30" t="s">
        <v>193</v>
      </c>
      <c r="I200" s="30" t="s">
        <v>3768</v>
      </c>
      <c r="J200" s="30" t="s">
        <v>3609</v>
      </c>
      <c r="K200" s="30">
        <v>18</v>
      </c>
      <c r="L200" s="30" t="s">
        <v>3802</v>
      </c>
      <c r="M200" s="30" t="str">
        <f t="shared" si="3"/>
        <v>713203</v>
      </c>
      <c r="N200" s="84">
        <v>1</v>
      </c>
    </row>
    <row r="201" spans="1:14" x14ac:dyDescent="0.25">
      <c r="A201" s="35" t="s">
        <v>638</v>
      </c>
      <c r="B201" s="35" t="s">
        <v>1791</v>
      </c>
      <c r="C201" s="35" t="s">
        <v>1789</v>
      </c>
      <c r="D201" s="30" t="s">
        <v>3799</v>
      </c>
      <c r="E201" s="30" t="s">
        <v>233</v>
      </c>
      <c r="F201" s="84">
        <v>0</v>
      </c>
      <c r="G201" s="84" t="s">
        <v>194</v>
      </c>
      <c r="H201" s="30" t="s">
        <v>193</v>
      </c>
      <c r="I201" s="30" t="s">
        <v>3768</v>
      </c>
      <c r="J201" s="30" t="s">
        <v>196</v>
      </c>
      <c r="K201" s="30">
        <v>18</v>
      </c>
      <c r="L201" s="30" t="s">
        <v>1790</v>
      </c>
      <c r="M201" s="30" t="str">
        <f t="shared" si="3"/>
        <v>334304</v>
      </c>
      <c r="N201" s="84">
        <v>1</v>
      </c>
    </row>
    <row r="202" spans="1:14" x14ac:dyDescent="0.25">
      <c r="A202" s="35" t="s">
        <v>3803</v>
      </c>
      <c r="B202" s="35" t="s">
        <v>3804</v>
      </c>
      <c r="C202" s="35" t="s">
        <v>83</v>
      </c>
      <c r="D202" s="30" t="s">
        <v>3799</v>
      </c>
      <c r="E202" s="30" t="s">
        <v>252</v>
      </c>
      <c r="F202" s="84">
        <v>0</v>
      </c>
      <c r="G202" s="84" t="s">
        <v>194</v>
      </c>
      <c r="H202" s="30" t="s">
        <v>193</v>
      </c>
      <c r="I202" s="30" t="s">
        <v>3768</v>
      </c>
      <c r="J202" s="30" t="s">
        <v>3805</v>
      </c>
      <c r="K202" s="30">
        <v>18</v>
      </c>
      <c r="L202" s="30" t="s">
        <v>791</v>
      </c>
      <c r="M202" s="30" t="str">
        <f t="shared" si="3"/>
        <v>721204</v>
      </c>
      <c r="N202" s="84">
        <v>1</v>
      </c>
    </row>
    <row r="203" spans="1:14" x14ac:dyDescent="0.25">
      <c r="A203" s="35" t="s">
        <v>890</v>
      </c>
      <c r="B203" s="35" t="s">
        <v>2516</v>
      </c>
      <c r="C203" s="35" t="s">
        <v>3671</v>
      </c>
      <c r="D203" s="30" t="s">
        <v>3799</v>
      </c>
      <c r="E203" s="30" t="s">
        <v>233</v>
      </c>
      <c r="F203" s="30">
        <v>1</v>
      </c>
      <c r="G203" s="30" t="s">
        <v>193</v>
      </c>
      <c r="H203" s="30" t="s">
        <v>194</v>
      </c>
      <c r="I203" s="30" t="s">
        <v>3768</v>
      </c>
      <c r="J203" s="30" t="s">
        <v>210</v>
      </c>
      <c r="K203" s="30">
        <v>18</v>
      </c>
      <c r="L203" s="30" t="s">
        <v>3672</v>
      </c>
      <c r="M203" s="30" t="str">
        <f t="shared" si="3"/>
        <v>522303</v>
      </c>
      <c r="N203" s="30">
        <v>1</v>
      </c>
    </row>
    <row r="204" spans="1:14" x14ac:dyDescent="0.25">
      <c r="A204" s="35" t="s">
        <v>1154</v>
      </c>
      <c r="B204" s="35" t="s">
        <v>3806</v>
      </c>
      <c r="C204" s="35" t="s">
        <v>1035</v>
      </c>
      <c r="D204" s="30" t="s">
        <v>3799</v>
      </c>
      <c r="E204" s="30" t="s">
        <v>252</v>
      </c>
      <c r="F204" s="30">
        <v>1</v>
      </c>
      <c r="G204" s="30" t="s">
        <v>193</v>
      </c>
      <c r="H204" s="30" t="s">
        <v>194</v>
      </c>
      <c r="I204" s="30" t="s">
        <v>3768</v>
      </c>
      <c r="J204" s="30" t="s">
        <v>3807</v>
      </c>
      <c r="K204" s="30">
        <v>18</v>
      </c>
      <c r="L204" s="30" t="s">
        <v>1039</v>
      </c>
      <c r="M204" s="30" t="str">
        <f t="shared" si="3"/>
        <v>112005</v>
      </c>
      <c r="N204" s="30">
        <v>1</v>
      </c>
    </row>
    <row r="205" spans="1:14" x14ac:dyDescent="0.25">
      <c r="A205" s="35" t="s">
        <v>3644</v>
      </c>
      <c r="B205" s="35" t="s">
        <v>3808</v>
      </c>
      <c r="C205" s="35" t="s">
        <v>3703</v>
      </c>
      <c r="D205" s="30" t="s">
        <v>3799</v>
      </c>
      <c r="E205" s="30" t="s">
        <v>217</v>
      </c>
      <c r="F205" s="84">
        <v>0</v>
      </c>
      <c r="G205" s="84" t="s">
        <v>194</v>
      </c>
      <c r="H205" s="30" t="s">
        <v>193</v>
      </c>
      <c r="I205" s="30" t="s">
        <v>3768</v>
      </c>
      <c r="J205" s="30" t="s">
        <v>3809</v>
      </c>
      <c r="K205" s="30">
        <v>18</v>
      </c>
      <c r="L205" s="30" t="s">
        <v>3704</v>
      </c>
      <c r="M205" s="30" t="str">
        <f t="shared" si="3"/>
        <v>522302</v>
      </c>
      <c r="N205" s="84">
        <v>1</v>
      </c>
    </row>
    <row r="206" spans="1:14" x14ac:dyDescent="0.25">
      <c r="A206" s="35" t="s">
        <v>3810</v>
      </c>
      <c r="B206" s="35" t="s">
        <v>3811</v>
      </c>
      <c r="C206" s="35" t="s">
        <v>10</v>
      </c>
      <c r="D206" s="30" t="s">
        <v>3799</v>
      </c>
      <c r="E206" s="30" t="s">
        <v>233</v>
      </c>
      <c r="F206" s="30">
        <v>1</v>
      </c>
      <c r="G206" s="30" t="s">
        <v>193</v>
      </c>
      <c r="H206" s="30" t="s">
        <v>194</v>
      </c>
      <c r="I206" s="30" t="s">
        <v>3768</v>
      </c>
      <c r="J206" s="30" t="s">
        <v>210</v>
      </c>
      <c r="K206" s="30">
        <v>18</v>
      </c>
      <c r="L206" s="30" t="s">
        <v>484</v>
      </c>
      <c r="M206" s="30" t="str">
        <f t="shared" si="3"/>
        <v>251401</v>
      </c>
      <c r="N206" s="30">
        <v>1</v>
      </c>
    </row>
    <row r="207" spans="1:14" x14ac:dyDescent="0.25">
      <c r="A207" s="35" t="s">
        <v>3810</v>
      </c>
      <c r="B207" s="35" t="s">
        <v>3812</v>
      </c>
      <c r="C207" s="35" t="s">
        <v>10</v>
      </c>
      <c r="D207" s="30" t="s">
        <v>3799</v>
      </c>
      <c r="E207" s="30" t="s">
        <v>233</v>
      </c>
      <c r="F207" s="30">
        <v>1</v>
      </c>
      <c r="G207" s="30" t="s">
        <v>193</v>
      </c>
      <c r="H207" s="30" t="s">
        <v>194</v>
      </c>
      <c r="I207" s="30" t="s">
        <v>3768</v>
      </c>
      <c r="J207" s="30" t="s">
        <v>210</v>
      </c>
      <c r="K207" s="30">
        <v>18</v>
      </c>
      <c r="L207" s="30" t="s">
        <v>484</v>
      </c>
      <c r="M207" s="30" t="str">
        <f t="shared" si="3"/>
        <v>251401</v>
      </c>
      <c r="N207" s="30">
        <v>1</v>
      </c>
    </row>
    <row r="208" spans="1:14" x14ac:dyDescent="0.25">
      <c r="A208" s="35" t="s">
        <v>3813</v>
      </c>
      <c r="B208" s="35" t="s">
        <v>3814</v>
      </c>
      <c r="C208" s="35" t="s">
        <v>989</v>
      </c>
      <c r="D208" s="30" t="s">
        <v>3799</v>
      </c>
      <c r="E208" s="30" t="s">
        <v>252</v>
      </c>
      <c r="F208" s="84">
        <v>0</v>
      </c>
      <c r="G208" s="84" t="s">
        <v>194</v>
      </c>
      <c r="H208" s="30" t="s">
        <v>193</v>
      </c>
      <c r="I208" s="30" t="s">
        <v>3768</v>
      </c>
      <c r="J208" s="30" t="s">
        <v>3815</v>
      </c>
      <c r="K208" s="30">
        <v>18</v>
      </c>
      <c r="L208" s="30" t="s">
        <v>990</v>
      </c>
      <c r="M208" s="30" t="str">
        <f t="shared" si="3"/>
        <v>833202</v>
      </c>
      <c r="N208" s="84">
        <v>1</v>
      </c>
    </row>
    <row r="209" spans="1:14" x14ac:dyDescent="0.25">
      <c r="A209" s="35" t="s">
        <v>1213</v>
      </c>
      <c r="B209" s="35" t="s">
        <v>4244</v>
      </c>
      <c r="C209" s="35" t="s">
        <v>29</v>
      </c>
      <c r="D209" s="30" t="s">
        <v>4245</v>
      </c>
      <c r="E209" s="30" t="s">
        <v>233</v>
      </c>
      <c r="F209" s="30">
        <v>1</v>
      </c>
      <c r="G209" s="30" t="s">
        <v>193</v>
      </c>
      <c r="H209" s="30" t="s">
        <v>194</v>
      </c>
      <c r="I209" s="30" t="s">
        <v>4203</v>
      </c>
      <c r="J209" s="30" t="s">
        <v>210</v>
      </c>
      <c r="K209" s="30">
        <v>18</v>
      </c>
      <c r="L209" s="30" t="s">
        <v>808</v>
      </c>
      <c r="M209" s="30" t="str">
        <f t="shared" si="3"/>
        <v>722308</v>
      </c>
      <c r="N209" s="30">
        <v>1</v>
      </c>
    </row>
    <row r="210" spans="1:14" x14ac:dyDescent="0.25">
      <c r="A210" s="35" t="s">
        <v>4246</v>
      </c>
      <c r="B210" s="35" t="s">
        <v>36</v>
      </c>
      <c r="C210" s="35" t="s">
        <v>36</v>
      </c>
      <c r="D210" s="30" t="s">
        <v>3852</v>
      </c>
      <c r="E210" s="30" t="s">
        <v>233</v>
      </c>
      <c r="F210" s="30">
        <v>1</v>
      </c>
      <c r="G210" s="30" t="s">
        <v>193</v>
      </c>
      <c r="H210" s="30" t="s">
        <v>194</v>
      </c>
      <c r="I210" s="30" t="s">
        <v>4199</v>
      </c>
      <c r="J210" s="30" t="s">
        <v>267</v>
      </c>
      <c r="K210" s="30">
        <v>18</v>
      </c>
      <c r="L210" s="30" t="s">
        <v>609</v>
      </c>
      <c r="M210" s="30" t="str">
        <f t="shared" si="3"/>
        <v>331301</v>
      </c>
      <c r="N210" s="30">
        <v>1</v>
      </c>
    </row>
    <row r="211" spans="1:14" x14ac:dyDescent="0.25">
      <c r="A211" s="35" t="s">
        <v>4247</v>
      </c>
      <c r="B211" s="35" t="s">
        <v>8</v>
      </c>
      <c r="C211" s="35" t="s">
        <v>740</v>
      </c>
      <c r="D211" s="30" t="s">
        <v>3852</v>
      </c>
      <c r="E211" s="30" t="s">
        <v>233</v>
      </c>
      <c r="F211" s="30">
        <v>1</v>
      </c>
      <c r="G211" s="30" t="s">
        <v>193</v>
      </c>
      <c r="H211" s="30" t="s">
        <v>194</v>
      </c>
      <c r="I211" s="30" t="s">
        <v>4199</v>
      </c>
      <c r="J211" s="30" t="s">
        <v>267</v>
      </c>
      <c r="K211" s="30">
        <v>18</v>
      </c>
      <c r="L211" s="30" t="s">
        <v>741</v>
      </c>
      <c r="M211" s="30" t="str">
        <f t="shared" si="3"/>
        <v>522301</v>
      </c>
      <c r="N211" s="30">
        <v>1</v>
      </c>
    </row>
    <row r="212" spans="1:14" x14ac:dyDescent="0.25">
      <c r="A212" s="35" t="s">
        <v>1376</v>
      </c>
      <c r="B212" s="35" t="s">
        <v>4248</v>
      </c>
      <c r="C212" s="35" t="s">
        <v>45</v>
      </c>
      <c r="D212" s="30" t="s">
        <v>3818</v>
      </c>
      <c r="E212" s="30" t="s">
        <v>192</v>
      </c>
      <c r="F212" s="30">
        <v>1</v>
      </c>
      <c r="G212" s="30" t="s">
        <v>193</v>
      </c>
      <c r="H212" s="30" t="s">
        <v>194</v>
      </c>
      <c r="I212" s="30" t="s">
        <v>4201</v>
      </c>
      <c r="J212" s="30" t="s">
        <v>253</v>
      </c>
      <c r="K212" s="30">
        <v>18</v>
      </c>
      <c r="L212" s="30" t="s">
        <v>351</v>
      </c>
      <c r="M212" s="30" t="str">
        <f t="shared" si="3"/>
        <v>214932</v>
      </c>
      <c r="N212" s="30">
        <v>1</v>
      </c>
    </row>
    <row r="213" spans="1:14" x14ac:dyDescent="0.25">
      <c r="A213" s="35" t="s">
        <v>4249</v>
      </c>
      <c r="B213" s="35" t="s">
        <v>4250</v>
      </c>
      <c r="C213" s="35" t="s">
        <v>36</v>
      </c>
      <c r="D213" s="30" t="s">
        <v>3818</v>
      </c>
      <c r="E213" s="30" t="s">
        <v>192</v>
      </c>
      <c r="F213" s="30">
        <v>1</v>
      </c>
      <c r="G213" s="30" t="s">
        <v>193</v>
      </c>
      <c r="H213" s="30" t="s">
        <v>194</v>
      </c>
      <c r="I213" s="30" t="s">
        <v>4201</v>
      </c>
      <c r="J213" s="30" t="s">
        <v>210</v>
      </c>
      <c r="K213" s="30">
        <v>18</v>
      </c>
      <c r="L213" s="30" t="s">
        <v>609</v>
      </c>
      <c r="M213" s="30" t="str">
        <f t="shared" si="3"/>
        <v>331301</v>
      </c>
      <c r="N213" s="30">
        <v>1</v>
      </c>
    </row>
    <row r="214" spans="1:14" x14ac:dyDescent="0.25">
      <c r="A214" s="35" t="s">
        <v>4251</v>
      </c>
      <c r="B214" s="35" t="s">
        <v>3372</v>
      </c>
      <c r="C214" s="35" t="s">
        <v>74</v>
      </c>
      <c r="D214" s="30" t="s">
        <v>3818</v>
      </c>
      <c r="E214" s="30" t="s">
        <v>192</v>
      </c>
      <c r="F214" s="30">
        <v>1</v>
      </c>
      <c r="G214" s="30" t="s">
        <v>193</v>
      </c>
      <c r="H214" s="30" t="s">
        <v>194</v>
      </c>
      <c r="I214" s="30" t="s">
        <v>4199</v>
      </c>
      <c r="J214" s="30" t="s">
        <v>210</v>
      </c>
      <c r="K214" s="30">
        <v>18</v>
      </c>
      <c r="L214" s="30" t="s">
        <v>246</v>
      </c>
      <c r="M214" s="30" t="str">
        <f t="shared" si="3"/>
        <v>142004</v>
      </c>
      <c r="N214" s="30">
        <v>1</v>
      </c>
    </row>
    <row r="215" spans="1:14" x14ac:dyDescent="0.25">
      <c r="A215" s="35" t="s">
        <v>1376</v>
      </c>
      <c r="B215" s="35" t="s">
        <v>3816</v>
      </c>
      <c r="C215" s="35" t="s">
        <v>83</v>
      </c>
      <c r="D215" s="30" t="s">
        <v>3817</v>
      </c>
      <c r="E215" s="30" t="s">
        <v>233</v>
      </c>
      <c r="F215" s="30">
        <v>1</v>
      </c>
      <c r="G215" s="30" t="s">
        <v>193</v>
      </c>
      <c r="H215" s="30" t="s">
        <v>194</v>
      </c>
      <c r="I215" s="30" t="s">
        <v>3818</v>
      </c>
      <c r="J215" s="30" t="s">
        <v>301</v>
      </c>
      <c r="K215" s="30">
        <v>18</v>
      </c>
      <c r="L215" s="30" t="s">
        <v>791</v>
      </c>
      <c r="M215" s="30" t="str">
        <f t="shared" si="3"/>
        <v>721204</v>
      </c>
      <c r="N215" s="30">
        <v>1</v>
      </c>
    </row>
    <row r="216" spans="1:14" x14ac:dyDescent="0.25">
      <c r="A216" s="35" t="s">
        <v>3819</v>
      </c>
      <c r="B216" s="35" t="s">
        <v>3820</v>
      </c>
      <c r="C216" s="35" t="s">
        <v>1806</v>
      </c>
      <c r="D216" s="30" t="s">
        <v>3817</v>
      </c>
      <c r="E216" s="30" t="s">
        <v>252</v>
      </c>
      <c r="F216" s="84">
        <v>0</v>
      </c>
      <c r="G216" s="84" t="s">
        <v>194</v>
      </c>
      <c r="H216" s="30" t="s">
        <v>193</v>
      </c>
      <c r="I216" s="30" t="s">
        <v>3818</v>
      </c>
      <c r="J216" s="30" t="s">
        <v>3821</v>
      </c>
      <c r="K216" s="30">
        <v>18</v>
      </c>
      <c r="L216" s="30" t="s">
        <v>1808</v>
      </c>
      <c r="M216" s="30" t="str">
        <f t="shared" si="3"/>
        <v>711502</v>
      </c>
      <c r="N216" s="84">
        <v>1</v>
      </c>
    </row>
    <row r="217" spans="1:14" x14ac:dyDescent="0.25">
      <c r="A217" s="35" t="s">
        <v>638</v>
      </c>
      <c r="B217" s="35" t="s">
        <v>3822</v>
      </c>
      <c r="C217" s="35" t="s">
        <v>36</v>
      </c>
      <c r="D217" s="30" t="s">
        <v>3817</v>
      </c>
      <c r="E217" s="30" t="s">
        <v>233</v>
      </c>
      <c r="F217" s="30">
        <v>1</v>
      </c>
      <c r="G217" s="30" t="s">
        <v>193</v>
      </c>
      <c r="H217" s="30" t="s">
        <v>194</v>
      </c>
      <c r="I217" s="30" t="s">
        <v>3818</v>
      </c>
      <c r="J217" s="30" t="s">
        <v>1392</v>
      </c>
      <c r="K217" s="30">
        <v>18</v>
      </c>
      <c r="L217" s="30" t="s">
        <v>609</v>
      </c>
      <c r="M217" s="30" t="str">
        <f t="shared" si="3"/>
        <v>331301</v>
      </c>
      <c r="N217" s="30">
        <v>1</v>
      </c>
    </row>
    <row r="218" spans="1:14" x14ac:dyDescent="0.25">
      <c r="A218" s="35" t="s">
        <v>3823</v>
      </c>
      <c r="B218" s="35" t="s">
        <v>875</v>
      </c>
      <c r="C218" s="35" t="s">
        <v>875</v>
      </c>
      <c r="D218" s="30" t="s">
        <v>3817</v>
      </c>
      <c r="E218" s="30" t="s">
        <v>252</v>
      </c>
      <c r="F218" s="30">
        <v>1</v>
      </c>
      <c r="G218" s="30" t="s">
        <v>193</v>
      </c>
      <c r="H218" s="30" t="s">
        <v>194</v>
      </c>
      <c r="I218" s="30" t="s">
        <v>3818</v>
      </c>
      <c r="J218" s="30" t="s">
        <v>210</v>
      </c>
      <c r="K218" s="30">
        <v>18</v>
      </c>
      <c r="L218" s="30" t="s">
        <v>876</v>
      </c>
      <c r="M218" s="30" t="str">
        <f t="shared" si="3"/>
        <v>833203</v>
      </c>
      <c r="N218" s="30">
        <v>1</v>
      </c>
    </row>
    <row r="219" spans="1:14" x14ac:dyDescent="0.25">
      <c r="A219" s="35" t="s">
        <v>3824</v>
      </c>
      <c r="B219" s="35" t="s">
        <v>3825</v>
      </c>
      <c r="C219" s="158" t="s">
        <v>17</v>
      </c>
      <c r="D219" s="30" t="s">
        <v>3817</v>
      </c>
      <c r="E219" s="30" t="s">
        <v>233</v>
      </c>
      <c r="F219" s="30">
        <v>1</v>
      </c>
      <c r="G219" s="30" t="s">
        <v>193</v>
      </c>
      <c r="H219" s="30" t="s">
        <v>194</v>
      </c>
      <c r="I219" s="30" t="s">
        <v>3818</v>
      </c>
      <c r="J219" s="30" t="s">
        <v>210</v>
      </c>
      <c r="K219" s="30">
        <v>18</v>
      </c>
      <c r="L219" s="30" t="s">
        <v>624</v>
      </c>
      <c r="M219" s="30" t="str">
        <f t="shared" si="3"/>
        <v>332203</v>
      </c>
      <c r="N219" s="30">
        <v>1</v>
      </c>
    </row>
    <row r="220" spans="1:14" x14ac:dyDescent="0.25">
      <c r="A220" s="35" t="s">
        <v>888</v>
      </c>
      <c r="B220" s="35" t="s">
        <v>67</v>
      </c>
      <c r="C220" s="35" t="s">
        <v>67</v>
      </c>
      <c r="D220" s="30" t="s">
        <v>3817</v>
      </c>
      <c r="E220" s="30" t="s">
        <v>217</v>
      </c>
      <c r="F220" s="30">
        <v>1</v>
      </c>
      <c r="G220" s="30" t="s">
        <v>193</v>
      </c>
      <c r="H220" s="30" t="s">
        <v>194</v>
      </c>
      <c r="I220" s="30" t="s">
        <v>3818</v>
      </c>
      <c r="J220" s="30" t="s">
        <v>408</v>
      </c>
      <c r="K220" s="30">
        <v>18</v>
      </c>
      <c r="L220" s="30" t="s">
        <v>709</v>
      </c>
      <c r="M220" s="30" t="str">
        <f t="shared" si="3"/>
        <v>432103</v>
      </c>
      <c r="N220" s="30">
        <v>1</v>
      </c>
    </row>
    <row r="221" spans="1:14" x14ac:dyDescent="0.25">
      <c r="A221" s="35" t="s">
        <v>3826</v>
      </c>
      <c r="B221" s="35" t="s">
        <v>3827</v>
      </c>
      <c r="C221" s="35" t="s">
        <v>80</v>
      </c>
      <c r="D221" s="30" t="s">
        <v>3817</v>
      </c>
      <c r="E221" s="30" t="s">
        <v>217</v>
      </c>
      <c r="F221" s="30">
        <v>1</v>
      </c>
      <c r="G221" s="30" t="s">
        <v>193</v>
      </c>
      <c r="H221" s="30" t="s">
        <v>194</v>
      </c>
      <c r="I221" s="30" t="s">
        <v>3818</v>
      </c>
      <c r="J221" s="30" t="s">
        <v>210</v>
      </c>
      <c r="K221" s="30">
        <v>18</v>
      </c>
      <c r="L221" s="30" t="s">
        <v>474</v>
      </c>
      <c r="M221" s="30" t="str">
        <f t="shared" si="3"/>
        <v>243304</v>
      </c>
      <c r="N221" s="30">
        <v>1</v>
      </c>
    </row>
    <row r="222" spans="1:14" x14ac:dyDescent="0.25">
      <c r="A222" s="35" t="s">
        <v>3826</v>
      </c>
      <c r="B222" s="35" t="s">
        <v>3828</v>
      </c>
      <c r="C222" s="35" t="s">
        <v>1402</v>
      </c>
      <c r="D222" s="30" t="s">
        <v>3817</v>
      </c>
      <c r="E222" s="30" t="s">
        <v>217</v>
      </c>
      <c r="F222" s="30">
        <v>1</v>
      </c>
      <c r="G222" s="30" t="s">
        <v>193</v>
      </c>
      <c r="H222" s="30" t="s">
        <v>194</v>
      </c>
      <c r="I222" s="30" t="s">
        <v>3818</v>
      </c>
      <c r="J222" s="30" t="s">
        <v>210</v>
      </c>
      <c r="K222" s="30">
        <v>18</v>
      </c>
      <c r="L222" s="30" t="s">
        <v>1403</v>
      </c>
      <c r="M222" s="30" t="str">
        <f t="shared" si="3"/>
        <v>242228</v>
      </c>
      <c r="N222" s="30">
        <v>1</v>
      </c>
    </row>
    <row r="223" spans="1:14" x14ac:dyDescent="0.25">
      <c r="A223" s="35" t="s">
        <v>3195</v>
      </c>
      <c r="B223" s="35" t="s">
        <v>3829</v>
      </c>
      <c r="C223" s="35" t="s">
        <v>81</v>
      </c>
      <c r="D223" s="30" t="s">
        <v>3817</v>
      </c>
      <c r="E223" s="30" t="s">
        <v>252</v>
      </c>
      <c r="F223" s="30">
        <v>1</v>
      </c>
      <c r="G223" s="30" t="s">
        <v>193</v>
      </c>
      <c r="H223" s="30" t="s">
        <v>194</v>
      </c>
      <c r="I223" s="30" t="s">
        <v>3818</v>
      </c>
      <c r="J223" s="30" t="s">
        <v>210</v>
      </c>
      <c r="K223" s="30">
        <v>18</v>
      </c>
      <c r="L223" s="30" t="s">
        <v>402</v>
      </c>
      <c r="M223" s="30" t="str">
        <f t="shared" si="3"/>
        <v>241205</v>
      </c>
      <c r="N223" s="30">
        <v>1</v>
      </c>
    </row>
    <row r="224" spans="1:14" x14ac:dyDescent="0.25">
      <c r="A224" s="35" t="s">
        <v>1040</v>
      </c>
      <c r="B224" s="35" t="s">
        <v>3830</v>
      </c>
      <c r="C224" s="35" t="s">
        <v>875</v>
      </c>
      <c r="D224" s="30" t="s">
        <v>3817</v>
      </c>
      <c r="E224" s="30" t="s">
        <v>233</v>
      </c>
      <c r="F224" s="30">
        <v>1</v>
      </c>
      <c r="G224" s="30" t="s">
        <v>193</v>
      </c>
      <c r="H224" s="30" t="s">
        <v>194</v>
      </c>
      <c r="I224" s="30" t="s">
        <v>3818</v>
      </c>
      <c r="J224" s="30" t="s">
        <v>210</v>
      </c>
      <c r="K224" s="30">
        <v>18</v>
      </c>
      <c r="L224" s="30" t="s">
        <v>876</v>
      </c>
      <c r="M224" s="30" t="str">
        <f t="shared" si="3"/>
        <v>833203</v>
      </c>
      <c r="N224" s="30">
        <v>1</v>
      </c>
    </row>
    <row r="225" spans="1:14" x14ac:dyDescent="0.25">
      <c r="A225" s="35" t="s">
        <v>3651</v>
      </c>
      <c r="B225" s="35" t="s">
        <v>3831</v>
      </c>
      <c r="C225" s="35" t="s">
        <v>95</v>
      </c>
      <c r="D225" s="30" t="s">
        <v>3817</v>
      </c>
      <c r="E225" s="30" t="s">
        <v>217</v>
      </c>
      <c r="F225" s="30">
        <v>1</v>
      </c>
      <c r="G225" s="30" t="s">
        <v>193</v>
      </c>
      <c r="H225" s="30" t="s">
        <v>194</v>
      </c>
      <c r="I225" s="30" t="s">
        <v>3818</v>
      </c>
      <c r="J225" s="30" t="s">
        <v>253</v>
      </c>
      <c r="K225" s="30">
        <v>18</v>
      </c>
      <c r="L225" s="30" t="s">
        <v>1015</v>
      </c>
      <c r="M225" s="30" t="str">
        <f t="shared" si="3"/>
        <v>122102</v>
      </c>
      <c r="N225" s="30">
        <v>1</v>
      </c>
    </row>
    <row r="226" spans="1:14" x14ac:dyDescent="0.25">
      <c r="A226" s="35" t="s">
        <v>382</v>
      </c>
      <c r="B226" s="35" t="s">
        <v>3831</v>
      </c>
      <c r="C226" s="35" t="s">
        <v>95</v>
      </c>
      <c r="D226" s="30" t="s">
        <v>3817</v>
      </c>
      <c r="E226" s="30" t="s">
        <v>233</v>
      </c>
      <c r="F226" s="30">
        <v>1</v>
      </c>
      <c r="G226" s="30" t="s">
        <v>193</v>
      </c>
      <c r="H226" s="30" t="s">
        <v>194</v>
      </c>
      <c r="I226" s="30" t="s">
        <v>3818</v>
      </c>
      <c r="J226" s="30" t="s">
        <v>253</v>
      </c>
      <c r="K226" s="30">
        <v>18</v>
      </c>
      <c r="L226" s="30" t="s">
        <v>1015</v>
      </c>
      <c r="M226" s="30" t="str">
        <f t="shared" si="3"/>
        <v>122102</v>
      </c>
      <c r="N226" s="30">
        <v>1</v>
      </c>
    </row>
    <row r="227" spans="1:14" x14ac:dyDescent="0.25">
      <c r="A227" s="35" t="s">
        <v>3832</v>
      </c>
      <c r="B227" s="35" t="s">
        <v>1606</v>
      </c>
      <c r="C227" s="35" t="s">
        <v>22</v>
      </c>
      <c r="D227" s="30" t="s">
        <v>3817</v>
      </c>
      <c r="E227" s="30" t="s">
        <v>217</v>
      </c>
      <c r="F227" s="30">
        <v>1</v>
      </c>
      <c r="G227" s="30" t="s">
        <v>193</v>
      </c>
      <c r="H227" s="30" t="s">
        <v>194</v>
      </c>
      <c r="I227" s="30" t="s">
        <v>3818</v>
      </c>
      <c r="J227" s="30" t="s">
        <v>253</v>
      </c>
      <c r="K227" s="30">
        <v>18</v>
      </c>
      <c r="L227" s="30" t="s">
        <v>1608</v>
      </c>
      <c r="M227" s="30" t="str">
        <f t="shared" si="3"/>
        <v>228101</v>
      </c>
      <c r="N227" s="30">
        <v>1</v>
      </c>
    </row>
    <row r="228" spans="1:14" x14ac:dyDescent="0.25">
      <c r="A228" s="35" t="s">
        <v>3833</v>
      </c>
      <c r="B228" s="35" t="s">
        <v>3834</v>
      </c>
      <c r="C228" s="158" t="s">
        <v>525</v>
      </c>
      <c r="D228" s="30" t="s">
        <v>3817</v>
      </c>
      <c r="E228" s="30" t="s">
        <v>233</v>
      </c>
      <c r="F228" s="30">
        <v>1</v>
      </c>
      <c r="G228" s="30" t="s">
        <v>193</v>
      </c>
      <c r="H228" s="30" t="s">
        <v>194</v>
      </c>
      <c r="I228" s="30" t="s">
        <v>3818</v>
      </c>
      <c r="J228" s="30" t="s">
        <v>385</v>
      </c>
      <c r="K228" s="30">
        <v>18</v>
      </c>
      <c r="L228" s="30" t="s">
        <v>526</v>
      </c>
      <c r="M228" s="30" t="str">
        <f t="shared" si="3"/>
        <v>263102</v>
      </c>
      <c r="N228" s="30">
        <v>1</v>
      </c>
    </row>
    <row r="229" spans="1:14" x14ac:dyDescent="0.25">
      <c r="A229" s="35" t="s">
        <v>260</v>
      </c>
      <c r="B229" s="35" t="s">
        <v>8</v>
      </c>
      <c r="C229" s="35" t="s">
        <v>740</v>
      </c>
      <c r="D229" s="30" t="s">
        <v>3817</v>
      </c>
      <c r="E229" s="30" t="s">
        <v>233</v>
      </c>
      <c r="F229" s="30">
        <v>1</v>
      </c>
      <c r="G229" s="30" t="s">
        <v>193</v>
      </c>
      <c r="H229" s="30" t="s">
        <v>194</v>
      </c>
      <c r="I229" s="30" t="s">
        <v>3818</v>
      </c>
      <c r="J229" s="30" t="s">
        <v>267</v>
      </c>
      <c r="K229" s="30">
        <v>18</v>
      </c>
      <c r="L229" s="30" t="s">
        <v>741</v>
      </c>
      <c r="M229" s="30" t="str">
        <f t="shared" si="3"/>
        <v>522301</v>
      </c>
      <c r="N229" s="30">
        <v>1</v>
      </c>
    </row>
    <row r="230" spans="1:14" x14ac:dyDescent="0.25">
      <c r="A230" s="35" t="s">
        <v>3835</v>
      </c>
      <c r="B230" s="35" t="s">
        <v>3836</v>
      </c>
      <c r="C230" s="35" t="s">
        <v>3837</v>
      </c>
      <c r="D230" s="30" t="s">
        <v>3817</v>
      </c>
      <c r="E230" s="30" t="s">
        <v>252</v>
      </c>
      <c r="F230" s="84">
        <v>0</v>
      </c>
      <c r="G230" s="84" t="s">
        <v>194</v>
      </c>
      <c r="H230" s="30" t="s">
        <v>193</v>
      </c>
      <c r="I230" s="30" t="s">
        <v>3818</v>
      </c>
      <c r="J230" s="30" t="s">
        <v>3838</v>
      </c>
      <c r="K230" s="30">
        <v>18</v>
      </c>
      <c r="L230" s="30" t="s">
        <v>3839</v>
      </c>
      <c r="M230" s="30" t="str">
        <f t="shared" si="3"/>
        <v>815301</v>
      </c>
      <c r="N230" s="84">
        <v>1</v>
      </c>
    </row>
    <row r="231" spans="1:14" x14ac:dyDescent="0.25">
      <c r="A231" s="35" t="s">
        <v>3810</v>
      </c>
      <c r="B231" s="35" t="s">
        <v>3840</v>
      </c>
      <c r="C231" s="35" t="s">
        <v>10</v>
      </c>
      <c r="D231" s="30" t="s">
        <v>3817</v>
      </c>
      <c r="E231" s="30" t="s">
        <v>233</v>
      </c>
      <c r="F231" s="30">
        <v>1</v>
      </c>
      <c r="G231" s="30" t="s">
        <v>193</v>
      </c>
      <c r="H231" s="30" t="s">
        <v>194</v>
      </c>
      <c r="I231" s="30" t="s">
        <v>3818</v>
      </c>
      <c r="J231" s="30" t="s">
        <v>210</v>
      </c>
      <c r="K231" s="30">
        <v>18</v>
      </c>
      <c r="L231" s="30" t="s">
        <v>484</v>
      </c>
      <c r="M231" s="30" t="str">
        <f t="shared" si="3"/>
        <v>251401</v>
      </c>
      <c r="N231" s="30">
        <v>1</v>
      </c>
    </row>
    <row r="232" spans="1:14" x14ac:dyDescent="0.25">
      <c r="A232" s="35" t="s">
        <v>3841</v>
      </c>
      <c r="B232" s="35" t="s">
        <v>3842</v>
      </c>
      <c r="C232" s="158" t="s">
        <v>17</v>
      </c>
      <c r="D232" s="30" t="s">
        <v>3817</v>
      </c>
      <c r="E232" s="30" t="s">
        <v>233</v>
      </c>
      <c r="F232" s="30">
        <v>1</v>
      </c>
      <c r="G232" s="30" t="s">
        <v>193</v>
      </c>
      <c r="H232" s="30" t="s">
        <v>194</v>
      </c>
      <c r="I232" s="30" t="s">
        <v>3818</v>
      </c>
      <c r="J232" s="30" t="s">
        <v>951</v>
      </c>
      <c r="K232" s="30">
        <v>18</v>
      </c>
      <c r="L232" s="30" t="s">
        <v>624</v>
      </c>
      <c r="M232" s="30" t="str">
        <f t="shared" si="3"/>
        <v>332203</v>
      </c>
      <c r="N232" s="30">
        <v>1</v>
      </c>
    </row>
    <row r="233" spans="1:14" x14ac:dyDescent="0.25">
      <c r="A233" s="35" t="s">
        <v>3843</v>
      </c>
      <c r="B233" s="35" t="s">
        <v>3844</v>
      </c>
      <c r="C233" s="35" t="s">
        <v>3845</v>
      </c>
      <c r="D233" s="30" t="s">
        <v>3817</v>
      </c>
      <c r="E233" s="30" t="s">
        <v>217</v>
      </c>
      <c r="F233" s="30">
        <v>1</v>
      </c>
      <c r="G233" s="30" t="s">
        <v>193</v>
      </c>
      <c r="H233" s="30" t="s">
        <v>194</v>
      </c>
      <c r="I233" s="30" t="s">
        <v>3818</v>
      </c>
      <c r="J233" s="30" t="s">
        <v>285</v>
      </c>
      <c r="K233" s="30">
        <v>18</v>
      </c>
      <c r="L233" s="30" t="s">
        <v>3846</v>
      </c>
      <c r="M233" s="30" t="str">
        <f t="shared" si="3"/>
        <v>229301</v>
      </c>
      <c r="N233" s="30">
        <v>1</v>
      </c>
    </row>
    <row r="234" spans="1:14" x14ac:dyDescent="0.25">
      <c r="A234" s="35" t="s">
        <v>3847</v>
      </c>
      <c r="B234" s="35" t="s">
        <v>537</v>
      </c>
      <c r="C234" s="35" t="s">
        <v>778</v>
      </c>
      <c r="D234" s="30" t="s">
        <v>3817</v>
      </c>
      <c r="E234" s="30" t="s">
        <v>233</v>
      </c>
      <c r="F234" s="30">
        <v>1</v>
      </c>
      <c r="G234" s="30" t="s">
        <v>193</v>
      </c>
      <c r="H234" s="30" t="s">
        <v>194</v>
      </c>
      <c r="I234" s="30" t="s">
        <v>3818</v>
      </c>
      <c r="J234" s="30" t="s">
        <v>323</v>
      </c>
      <c r="K234" s="30">
        <v>18</v>
      </c>
      <c r="L234" s="30" t="s">
        <v>779</v>
      </c>
      <c r="M234" s="30" t="str">
        <f t="shared" si="3"/>
        <v>524902</v>
      </c>
      <c r="N234" s="30">
        <v>1</v>
      </c>
    </row>
    <row r="235" spans="1:14" x14ac:dyDescent="0.25">
      <c r="A235" s="35" t="s">
        <v>1168</v>
      </c>
      <c r="B235" s="35" t="s">
        <v>3278</v>
      </c>
      <c r="C235" s="35" t="s">
        <v>778</v>
      </c>
      <c r="D235" s="30" t="s">
        <v>3817</v>
      </c>
      <c r="E235" s="30" t="s">
        <v>217</v>
      </c>
      <c r="F235" s="30">
        <v>1</v>
      </c>
      <c r="G235" s="30" t="s">
        <v>193</v>
      </c>
      <c r="H235" s="30" t="s">
        <v>194</v>
      </c>
      <c r="I235" s="30" t="s">
        <v>3818</v>
      </c>
      <c r="J235" s="30" t="s">
        <v>408</v>
      </c>
      <c r="K235" s="30">
        <v>18</v>
      </c>
      <c r="L235" s="30" t="s">
        <v>779</v>
      </c>
      <c r="M235" s="30" t="str">
        <f t="shared" si="3"/>
        <v>524902</v>
      </c>
      <c r="N235" s="30">
        <v>1</v>
      </c>
    </row>
    <row r="236" spans="1:14" x14ac:dyDescent="0.25">
      <c r="A236" s="35" t="s">
        <v>1168</v>
      </c>
      <c r="B236" s="35" t="s">
        <v>3278</v>
      </c>
      <c r="C236" s="35" t="s">
        <v>778</v>
      </c>
      <c r="D236" s="30" t="s">
        <v>3817</v>
      </c>
      <c r="E236" s="30" t="s">
        <v>217</v>
      </c>
      <c r="F236" s="30">
        <v>1</v>
      </c>
      <c r="G236" s="30" t="s">
        <v>193</v>
      </c>
      <c r="H236" s="30" t="s">
        <v>194</v>
      </c>
      <c r="I236" s="30" t="s">
        <v>3818</v>
      </c>
      <c r="J236" s="30" t="s">
        <v>210</v>
      </c>
      <c r="K236" s="30">
        <v>18</v>
      </c>
      <c r="L236" s="30" t="s">
        <v>779</v>
      </c>
      <c r="M236" s="30" t="str">
        <f t="shared" si="3"/>
        <v>524902</v>
      </c>
      <c r="N236" s="30">
        <v>1</v>
      </c>
    </row>
    <row r="237" spans="1:14" x14ac:dyDescent="0.25">
      <c r="A237" s="35" t="s">
        <v>1168</v>
      </c>
      <c r="B237" s="35" t="s">
        <v>3848</v>
      </c>
      <c r="C237" s="35" t="s">
        <v>74</v>
      </c>
      <c r="D237" s="30" t="s">
        <v>3817</v>
      </c>
      <c r="E237" s="30" t="s">
        <v>217</v>
      </c>
      <c r="F237" s="30">
        <v>1</v>
      </c>
      <c r="G237" s="30" t="s">
        <v>193</v>
      </c>
      <c r="H237" s="30" t="s">
        <v>194</v>
      </c>
      <c r="I237" s="30" t="s">
        <v>3818</v>
      </c>
      <c r="J237" s="30" t="s">
        <v>305</v>
      </c>
      <c r="K237" s="30">
        <v>18</v>
      </c>
      <c r="L237" s="30" t="s">
        <v>246</v>
      </c>
      <c r="M237" s="30" t="str">
        <f t="shared" si="3"/>
        <v>142004</v>
      </c>
      <c r="N237" s="30">
        <v>1</v>
      </c>
    </row>
    <row r="238" spans="1:14" x14ac:dyDescent="0.25">
      <c r="A238" s="35" t="s">
        <v>915</v>
      </c>
      <c r="B238" s="35" t="s">
        <v>3849</v>
      </c>
      <c r="C238" s="35" t="s">
        <v>69</v>
      </c>
      <c r="D238" s="30" t="s">
        <v>3817</v>
      </c>
      <c r="E238" s="30" t="s">
        <v>233</v>
      </c>
      <c r="F238" s="84">
        <v>0</v>
      </c>
      <c r="G238" s="84" t="s">
        <v>194</v>
      </c>
      <c r="H238" s="30" t="s">
        <v>193</v>
      </c>
      <c r="I238" s="30" t="s">
        <v>3818</v>
      </c>
      <c r="J238" s="30" t="s">
        <v>196</v>
      </c>
      <c r="K238" s="30">
        <v>18</v>
      </c>
      <c r="L238" s="30" t="s">
        <v>375</v>
      </c>
      <c r="M238" s="30" t="str">
        <f t="shared" si="3"/>
        <v>215301</v>
      </c>
      <c r="N238" s="84">
        <v>1</v>
      </c>
    </row>
    <row r="239" spans="1:14" x14ac:dyDescent="0.25">
      <c r="A239" s="35" t="s">
        <v>3850</v>
      </c>
      <c r="B239" s="35" t="s">
        <v>3851</v>
      </c>
      <c r="C239" s="35" t="s">
        <v>1806</v>
      </c>
      <c r="D239" s="30" t="s">
        <v>3817</v>
      </c>
      <c r="E239" s="30" t="s">
        <v>252</v>
      </c>
      <c r="F239" s="30">
        <v>1</v>
      </c>
      <c r="G239" s="30" t="s">
        <v>193</v>
      </c>
      <c r="H239" s="30" t="s">
        <v>194</v>
      </c>
      <c r="I239" s="30" t="s">
        <v>3852</v>
      </c>
      <c r="J239" s="30" t="s">
        <v>253</v>
      </c>
      <c r="K239" s="30">
        <v>18</v>
      </c>
      <c r="L239" s="30" t="s">
        <v>1808</v>
      </c>
      <c r="M239" s="30" t="str">
        <f t="shared" si="3"/>
        <v>711502</v>
      </c>
      <c r="N239" s="30">
        <v>1</v>
      </c>
    </row>
    <row r="240" spans="1:14" x14ac:dyDescent="0.25">
      <c r="A240" s="35" t="s">
        <v>417</v>
      </c>
      <c r="B240" s="35" t="s">
        <v>3787</v>
      </c>
      <c r="C240" s="35" t="s">
        <v>1497</v>
      </c>
      <c r="D240" s="30" t="s">
        <v>3817</v>
      </c>
      <c r="E240" s="30" t="s">
        <v>217</v>
      </c>
      <c r="F240" s="30">
        <v>1</v>
      </c>
      <c r="G240" s="30" t="s">
        <v>193</v>
      </c>
      <c r="H240" s="30" t="s">
        <v>194</v>
      </c>
      <c r="I240" s="30" t="s">
        <v>3818</v>
      </c>
      <c r="J240" s="30" t="s">
        <v>1977</v>
      </c>
      <c r="K240" s="30">
        <v>18</v>
      </c>
      <c r="L240" s="30" t="s">
        <v>1498</v>
      </c>
      <c r="M240" s="30" t="str">
        <f t="shared" si="3"/>
        <v>134605</v>
      </c>
      <c r="N240" s="30">
        <v>1</v>
      </c>
    </row>
    <row r="241" spans="1:14" x14ac:dyDescent="0.25">
      <c r="A241" s="35" t="s">
        <v>3853</v>
      </c>
      <c r="B241" s="35" t="s">
        <v>3854</v>
      </c>
      <c r="C241" s="35" t="s">
        <v>3855</v>
      </c>
      <c r="D241" s="30" t="s">
        <v>3817</v>
      </c>
      <c r="E241" s="30" t="s">
        <v>233</v>
      </c>
      <c r="F241" s="30">
        <v>1</v>
      </c>
      <c r="G241" s="30" t="s">
        <v>193</v>
      </c>
      <c r="H241" s="30" t="s">
        <v>194</v>
      </c>
      <c r="I241" s="30" t="s">
        <v>3818</v>
      </c>
      <c r="J241" s="30" t="s">
        <v>210</v>
      </c>
      <c r="K241" s="30">
        <v>18</v>
      </c>
      <c r="L241" s="30" t="s">
        <v>3856</v>
      </c>
      <c r="M241" s="30" t="str">
        <f t="shared" si="3"/>
        <v>311207</v>
      </c>
      <c r="N241" s="30">
        <v>1</v>
      </c>
    </row>
    <row r="242" spans="1:14" x14ac:dyDescent="0.25">
      <c r="A242" s="35" t="s">
        <v>2705</v>
      </c>
      <c r="B242" s="35" t="s">
        <v>2706</v>
      </c>
      <c r="C242" s="35" t="s">
        <v>818</v>
      </c>
      <c r="D242" s="30" t="s">
        <v>3817</v>
      </c>
      <c r="E242" s="30" t="s">
        <v>233</v>
      </c>
      <c r="F242" s="84">
        <v>0</v>
      </c>
      <c r="G242" s="84" t="s">
        <v>194</v>
      </c>
      <c r="H242" s="30" t="s">
        <v>193</v>
      </c>
      <c r="I242" s="30" t="s">
        <v>3818</v>
      </c>
      <c r="J242" s="30" t="s">
        <v>3857</v>
      </c>
      <c r="K242" s="30">
        <v>18</v>
      </c>
      <c r="L242" s="30" t="s">
        <v>819</v>
      </c>
      <c r="M242" s="30" t="str">
        <f t="shared" si="3"/>
        <v>722313</v>
      </c>
      <c r="N242" s="84">
        <v>1</v>
      </c>
    </row>
    <row r="243" spans="1:14" x14ac:dyDescent="0.25">
      <c r="A243" s="35" t="s">
        <v>3858</v>
      </c>
      <c r="B243" s="35" t="s">
        <v>3859</v>
      </c>
      <c r="C243" s="158" t="s">
        <v>17</v>
      </c>
      <c r="D243" s="30" t="s">
        <v>3817</v>
      </c>
      <c r="E243" s="30" t="s">
        <v>233</v>
      </c>
      <c r="F243" s="30">
        <v>1</v>
      </c>
      <c r="G243" s="30" t="s">
        <v>193</v>
      </c>
      <c r="H243" s="30" t="s">
        <v>194</v>
      </c>
      <c r="I243" s="30" t="s">
        <v>3818</v>
      </c>
      <c r="J243" s="30" t="s">
        <v>210</v>
      </c>
      <c r="K243" s="30">
        <v>18</v>
      </c>
      <c r="L243" s="30" t="s">
        <v>624</v>
      </c>
      <c r="M243" s="30" t="str">
        <f t="shared" si="3"/>
        <v>332203</v>
      </c>
      <c r="N243" s="30">
        <v>1</v>
      </c>
    </row>
    <row r="244" spans="1:14" x14ac:dyDescent="0.25">
      <c r="A244" s="35" t="s">
        <v>3860</v>
      </c>
      <c r="B244" s="35" t="s">
        <v>3861</v>
      </c>
      <c r="C244" s="35" t="s">
        <v>1215</v>
      </c>
      <c r="D244" s="30" t="s">
        <v>3817</v>
      </c>
      <c r="E244" s="30" t="s">
        <v>217</v>
      </c>
      <c r="F244" s="30">
        <v>1</v>
      </c>
      <c r="G244" s="30" t="s">
        <v>193</v>
      </c>
      <c r="H244" s="30" t="s">
        <v>194</v>
      </c>
      <c r="I244" s="30" t="s">
        <v>3818</v>
      </c>
      <c r="J244" s="30" t="s">
        <v>253</v>
      </c>
      <c r="K244" s="30">
        <v>18</v>
      </c>
      <c r="L244" s="30" t="s">
        <v>1216</v>
      </c>
      <c r="M244" s="30" t="str">
        <f t="shared" si="3"/>
        <v>933304</v>
      </c>
      <c r="N244" s="30">
        <v>1</v>
      </c>
    </row>
    <row r="245" spans="1:14" x14ac:dyDescent="0.25">
      <c r="A245" s="35" t="s">
        <v>1340</v>
      </c>
      <c r="B245" s="35" t="s">
        <v>3862</v>
      </c>
      <c r="C245" s="35" t="s">
        <v>74</v>
      </c>
      <c r="D245" s="30" t="s">
        <v>3817</v>
      </c>
      <c r="E245" s="30" t="s">
        <v>217</v>
      </c>
      <c r="F245" s="30">
        <v>1</v>
      </c>
      <c r="G245" s="30" t="s">
        <v>193</v>
      </c>
      <c r="H245" s="30" t="s">
        <v>194</v>
      </c>
      <c r="I245" s="30" t="s">
        <v>3818</v>
      </c>
      <c r="J245" s="30" t="s">
        <v>305</v>
      </c>
      <c r="K245" s="30">
        <v>18</v>
      </c>
      <c r="L245" s="30" t="s">
        <v>246</v>
      </c>
      <c r="M245" s="30" t="str">
        <f t="shared" si="3"/>
        <v>142004</v>
      </c>
      <c r="N245" s="30">
        <v>1</v>
      </c>
    </row>
    <row r="246" spans="1:14" x14ac:dyDescent="0.25">
      <c r="A246" s="35" t="s">
        <v>1340</v>
      </c>
      <c r="B246" s="35" t="s">
        <v>8</v>
      </c>
      <c r="C246" s="35" t="s">
        <v>740</v>
      </c>
      <c r="D246" s="30" t="s">
        <v>3817</v>
      </c>
      <c r="E246" s="30" t="s">
        <v>217</v>
      </c>
      <c r="F246" s="30">
        <v>1</v>
      </c>
      <c r="G246" s="30" t="s">
        <v>193</v>
      </c>
      <c r="H246" s="30" t="s">
        <v>194</v>
      </c>
      <c r="I246" s="30" t="s">
        <v>3818</v>
      </c>
      <c r="J246" s="30" t="s">
        <v>408</v>
      </c>
      <c r="K246" s="30">
        <v>18</v>
      </c>
      <c r="L246" s="30" t="s">
        <v>741</v>
      </c>
      <c r="M246" s="30" t="str">
        <f t="shared" si="3"/>
        <v>522301</v>
      </c>
      <c r="N246" s="30">
        <v>1</v>
      </c>
    </row>
    <row r="247" spans="1:14" x14ac:dyDescent="0.25">
      <c r="A247" s="35" t="s">
        <v>3863</v>
      </c>
      <c r="B247" s="35" t="s">
        <v>3864</v>
      </c>
      <c r="C247" s="35" t="s">
        <v>875</v>
      </c>
      <c r="D247" s="30" t="s">
        <v>3817</v>
      </c>
      <c r="E247" s="30" t="s">
        <v>233</v>
      </c>
      <c r="F247" s="30">
        <v>1</v>
      </c>
      <c r="G247" s="30" t="s">
        <v>193</v>
      </c>
      <c r="H247" s="30" t="s">
        <v>194</v>
      </c>
      <c r="I247" s="30" t="s">
        <v>3818</v>
      </c>
      <c r="J247" s="30" t="s">
        <v>1256</v>
      </c>
      <c r="K247" s="30">
        <v>18</v>
      </c>
      <c r="L247" s="30" t="s">
        <v>876</v>
      </c>
      <c r="M247" s="30" t="str">
        <f t="shared" si="3"/>
        <v>833203</v>
      </c>
      <c r="N247" s="30">
        <v>1</v>
      </c>
    </row>
    <row r="248" spans="1:14" x14ac:dyDescent="0.25">
      <c r="A248" s="35" t="s">
        <v>835</v>
      </c>
      <c r="B248" s="35" t="s">
        <v>885</v>
      </c>
      <c r="C248" s="35" t="s">
        <v>886</v>
      </c>
      <c r="D248" s="30" t="s">
        <v>3817</v>
      </c>
      <c r="E248" s="30" t="s">
        <v>252</v>
      </c>
      <c r="F248" s="30">
        <v>1</v>
      </c>
      <c r="G248" s="30" t="s">
        <v>193</v>
      </c>
      <c r="H248" s="30" t="s">
        <v>194</v>
      </c>
      <c r="I248" s="30" t="s">
        <v>3818</v>
      </c>
      <c r="J248" s="30" t="s">
        <v>276</v>
      </c>
      <c r="K248" s="30">
        <v>18</v>
      </c>
      <c r="L248" s="30" t="s">
        <v>887</v>
      </c>
      <c r="M248" s="30" t="str">
        <f t="shared" si="3"/>
        <v>834401</v>
      </c>
      <c r="N248" s="30">
        <v>1</v>
      </c>
    </row>
    <row r="249" spans="1:14" x14ac:dyDescent="0.25">
      <c r="A249" s="35" t="s">
        <v>2259</v>
      </c>
      <c r="B249" s="35" t="s">
        <v>129</v>
      </c>
      <c r="C249" s="35" t="s">
        <v>129</v>
      </c>
      <c r="D249" s="30" t="s">
        <v>3817</v>
      </c>
      <c r="E249" s="30" t="s">
        <v>233</v>
      </c>
      <c r="F249" s="30">
        <v>1</v>
      </c>
      <c r="G249" s="30" t="s">
        <v>193</v>
      </c>
      <c r="H249" s="30" t="s">
        <v>194</v>
      </c>
      <c r="I249" s="30" t="s">
        <v>3818</v>
      </c>
      <c r="J249" s="30" t="s">
        <v>210</v>
      </c>
      <c r="K249" s="30">
        <v>18</v>
      </c>
      <c r="L249" s="30" t="s">
        <v>203</v>
      </c>
      <c r="M249" s="30" t="str">
        <f t="shared" si="3"/>
        <v>121904</v>
      </c>
      <c r="N249" s="30">
        <v>1</v>
      </c>
    </row>
    <row r="250" spans="1:14" x14ac:dyDescent="0.25">
      <c r="A250" s="35" t="s">
        <v>1175</v>
      </c>
      <c r="B250" s="35" t="s">
        <v>1176</v>
      </c>
      <c r="C250" s="35" t="s">
        <v>69</v>
      </c>
      <c r="D250" s="30" t="s">
        <v>3817</v>
      </c>
      <c r="E250" s="30" t="s">
        <v>233</v>
      </c>
      <c r="F250" s="30">
        <v>1</v>
      </c>
      <c r="G250" s="30" t="s">
        <v>193</v>
      </c>
      <c r="H250" s="30" t="s">
        <v>194</v>
      </c>
      <c r="I250" s="30" t="s">
        <v>3818</v>
      </c>
      <c r="J250" s="30" t="s">
        <v>210</v>
      </c>
      <c r="K250" s="30">
        <v>18</v>
      </c>
      <c r="L250" s="30" t="s">
        <v>375</v>
      </c>
      <c r="M250" s="30" t="str">
        <f t="shared" si="3"/>
        <v>215301</v>
      </c>
      <c r="N250" s="30">
        <v>1</v>
      </c>
    </row>
    <row r="251" spans="1:14" x14ac:dyDescent="0.25">
      <c r="A251" s="35" t="s">
        <v>1175</v>
      </c>
      <c r="B251" s="35" t="s">
        <v>129</v>
      </c>
      <c r="C251" s="35" t="s">
        <v>129</v>
      </c>
      <c r="D251" s="30" t="s">
        <v>3817</v>
      </c>
      <c r="E251" s="30" t="s">
        <v>233</v>
      </c>
      <c r="F251" s="30">
        <v>1</v>
      </c>
      <c r="G251" s="30" t="s">
        <v>193</v>
      </c>
      <c r="H251" s="30" t="s">
        <v>194</v>
      </c>
      <c r="I251" s="30" t="s">
        <v>3818</v>
      </c>
      <c r="J251" s="30" t="s">
        <v>210</v>
      </c>
      <c r="K251" s="30">
        <v>18</v>
      </c>
      <c r="L251" s="30" t="s">
        <v>203</v>
      </c>
      <c r="M251" s="30" t="str">
        <f t="shared" si="3"/>
        <v>121904</v>
      </c>
      <c r="N251" s="30">
        <v>1</v>
      </c>
    </row>
    <row r="252" spans="1:14" x14ac:dyDescent="0.25">
      <c r="A252" s="35" t="s">
        <v>1175</v>
      </c>
      <c r="B252" s="35" t="s">
        <v>1177</v>
      </c>
      <c r="C252" s="35" t="s">
        <v>3865</v>
      </c>
      <c r="D252" s="30" t="s">
        <v>3817</v>
      </c>
      <c r="E252" s="30" t="s">
        <v>233</v>
      </c>
      <c r="F252" s="30">
        <v>1</v>
      </c>
      <c r="G252" s="30" t="s">
        <v>193</v>
      </c>
      <c r="H252" s="30" t="s">
        <v>194</v>
      </c>
      <c r="I252" s="30" t="s">
        <v>3818</v>
      </c>
      <c r="J252" s="30" t="s">
        <v>210</v>
      </c>
      <c r="K252" s="30">
        <v>18</v>
      </c>
      <c r="L252" s="30" t="s">
        <v>3866</v>
      </c>
      <c r="M252" s="30" t="str">
        <f t="shared" si="3"/>
        <v>212004</v>
      </c>
      <c r="N252" s="30">
        <v>1</v>
      </c>
    </row>
    <row r="253" spans="1:14" x14ac:dyDescent="0.25">
      <c r="A253" s="35" t="s">
        <v>1175</v>
      </c>
      <c r="B253" s="35" t="s">
        <v>1178</v>
      </c>
      <c r="C253" s="35" t="s">
        <v>65</v>
      </c>
      <c r="D253" s="30" t="s">
        <v>3817</v>
      </c>
      <c r="E253" s="30" t="s">
        <v>233</v>
      </c>
      <c r="F253" s="30">
        <v>1</v>
      </c>
      <c r="G253" s="30" t="s">
        <v>193</v>
      </c>
      <c r="H253" s="30" t="s">
        <v>194</v>
      </c>
      <c r="I253" s="30" t="s">
        <v>3818</v>
      </c>
      <c r="J253" s="30" t="s">
        <v>210</v>
      </c>
      <c r="K253" s="30">
        <v>18</v>
      </c>
      <c r="L253" s="30" t="s">
        <v>1179</v>
      </c>
      <c r="M253" s="30" t="str">
        <f t="shared" si="3"/>
        <v>422701</v>
      </c>
      <c r="N253" s="30">
        <v>1</v>
      </c>
    </row>
    <row r="254" spans="1:14" x14ac:dyDescent="0.25">
      <c r="A254" s="35" t="s">
        <v>1175</v>
      </c>
      <c r="B254" s="35" t="s">
        <v>3867</v>
      </c>
      <c r="C254" s="158" t="s">
        <v>17</v>
      </c>
      <c r="D254" s="30" t="s">
        <v>3817</v>
      </c>
      <c r="E254" s="30" t="s">
        <v>233</v>
      </c>
      <c r="F254" s="30">
        <v>1</v>
      </c>
      <c r="G254" s="30" t="s">
        <v>193</v>
      </c>
      <c r="H254" s="30" t="s">
        <v>194</v>
      </c>
      <c r="I254" s="30" t="s">
        <v>3818</v>
      </c>
      <c r="J254" s="30" t="s">
        <v>210</v>
      </c>
      <c r="K254" s="30">
        <v>18</v>
      </c>
      <c r="L254" s="30" t="s">
        <v>624</v>
      </c>
      <c r="M254" s="30" t="str">
        <f t="shared" si="3"/>
        <v>332203</v>
      </c>
      <c r="N254" s="30">
        <v>1</v>
      </c>
    </row>
    <row r="255" spans="1:14" x14ac:dyDescent="0.25">
      <c r="A255" s="35" t="s">
        <v>995</v>
      </c>
      <c r="B255" s="35" t="s">
        <v>3868</v>
      </c>
      <c r="C255" s="35" t="s">
        <v>33</v>
      </c>
      <c r="D255" s="30" t="s">
        <v>3817</v>
      </c>
      <c r="E255" s="30" t="s">
        <v>233</v>
      </c>
      <c r="F255" s="30">
        <v>1</v>
      </c>
      <c r="G255" s="30" t="s">
        <v>193</v>
      </c>
      <c r="H255" s="30" t="s">
        <v>194</v>
      </c>
      <c r="I255" s="30" t="s">
        <v>3818</v>
      </c>
      <c r="J255" s="30" t="s">
        <v>3869</v>
      </c>
      <c r="K255" s="30">
        <v>18</v>
      </c>
      <c r="L255" s="30" t="s">
        <v>2414</v>
      </c>
      <c r="M255" s="30" t="str">
        <f t="shared" si="3"/>
        <v>515303</v>
      </c>
      <c r="N255" s="30">
        <v>1</v>
      </c>
    </row>
    <row r="256" spans="1:14" x14ac:dyDescent="0.25">
      <c r="A256" s="35" t="s">
        <v>995</v>
      </c>
      <c r="B256" s="35" t="s">
        <v>3868</v>
      </c>
      <c r="C256" s="35" t="s">
        <v>33</v>
      </c>
      <c r="D256" s="30" t="s">
        <v>3817</v>
      </c>
      <c r="E256" s="30" t="s">
        <v>233</v>
      </c>
      <c r="F256" s="30">
        <v>1</v>
      </c>
      <c r="G256" s="30" t="s">
        <v>193</v>
      </c>
      <c r="H256" s="30" t="s">
        <v>194</v>
      </c>
      <c r="I256" s="30" t="s">
        <v>3818</v>
      </c>
      <c r="J256" s="30" t="s">
        <v>3870</v>
      </c>
      <c r="K256" s="30">
        <v>18</v>
      </c>
      <c r="L256" s="30" t="s">
        <v>2414</v>
      </c>
      <c r="M256" s="30" t="str">
        <f t="shared" si="3"/>
        <v>515303</v>
      </c>
      <c r="N256" s="30">
        <v>1</v>
      </c>
    </row>
    <row r="257" spans="1:14" x14ac:dyDescent="0.25">
      <c r="A257" s="35" t="s">
        <v>3709</v>
      </c>
      <c r="B257" s="35" t="s">
        <v>3710</v>
      </c>
      <c r="C257" s="35" t="s">
        <v>67</v>
      </c>
      <c r="D257" s="30" t="s">
        <v>3817</v>
      </c>
      <c r="E257" s="30" t="s">
        <v>252</v>
      </c>
      <c r="F257" s="30">
        <v>1</v>
      </c>
      <c r="G257" s="30" t="s">
        <v>193</v>
      </c>
      <c r="H257" s="30" t="s">
        <v>194</v>
      </c>
      <c r="I257" s="30" t="s">
        <v>3818</v>
      </c>
      <c r="J257" s="30" t="s">
        <v>408</v>
      </c>
      <c r="K257" s="30">
        <v>18</v>
      </c>
      <c r="L257" s="30" t="s">
        <v>709</v>
      </c>
      <c r="M257" s="30" t="str">
        <f t="shared" si="3"/>
        <v>432103</v>
      </c>
      <c r="N257" s="30">
        <v>1</v>
      </c>
    </row>
    <row r="258" spans="1:14" x14ac:dyDescent="0.25">
      <c r="A258" s="35" t="s">
        <v>3709</v>
      </c>
      <c r="B258" s="35" t="s">
        <v>3871</v>
      </c>
      <c r="C258" s="35" t="s">
        <v>29</v>
      </c>
      <c r="D258" s="30" t="s">
        <v>3817</v>
      </c>
      <c r="E258" s="30" t="s">
        <v>252</v>
      </c>
      <c r="F258" s="30">
        <v>1</v>
      </c>
      <c r="G258" s="30" t="s">
        <v>193</v>
      </c>
      <c r="H258" s="30" t="s">
        <v>194</v>
      </c>
      <c r="I258" s="30" t="s">
        <v>3818</v>
      </c>
      <c r="J258" s="30" t="s">
        <v>253</v>
      </c>
      <c r="K258" s="30">
        <v>18</v>
      </c>
      <c r="L258" s="30" t="s">
        <v>808</v>
      </c>
      <c r="M258" s="30" t="str">
        <f t="shared" si="3"/>
        <v>722308</v>
      </c>
      <c r="N258" s="30">
        <v>1</v>
      </c>
    </row>
    <row r="259" spans="1:14" x14ac:dyDescent="0.25">
      <c r="A259" s="35" t="s">
        <v>3709</v>
      </c>
      <c r="B259" s="35" t="s">
        <v>3872</v>
      </c>
      <c r="C259" s="35" t="s">
        <v>798</v>
      </c>
      <c r="D259" s="30" t="s">
        <v>3817</v>
      </c>
      <c r="E259" s="30" t="s">
        <v>252</v>
      </c>
      <c r="F259" s="30">
        <v>1</v>
      </c>
      <c r="G259" s="30" t="s">
        <v>193</v>
      </c>
      <c r="H259" s="30" t="s">
        <v>194</v>
      </c>
      <c r="I259" s="30" t="s">
        <v>3818</v>
      </c>
      <c r="J259" s="30" t="s">
        <v>253</v>
      </c>
      <c r="K259" s="30">
        <v>18</v>
      </c>
      <c r="L259" s="30" t="s">
        <v>799</v>
      </c>
      <c r="M259" s="30" t="str">
        <f t="shared" ref="M259:M322" si="4">MID(L259,8,6)</f>
        <v>722204</v>
      </c>
      <c r="N259" s="30">
        <v>1</v>
      </c>
    </row>
    <row r="260" spans="1:14" x14ac:dyDescent="0.25">
      <c r="A260" s="35" t="s">
        <v>3761</v>
      </c>
      <c r="B260" s="35" t="s">
        <v>3794</v>
      </c>
      <c r="C260" s="35" t="s">
        <v>62</v>
      </c>
      <c r="D260" s="30" t="s">
        <v>3817</v>
      </c>
      <c r="E260" s="30" t="s">
        <v>233</v>
      </c>
      <c r="F260" s="30">
        <v>1</v>
      </c>
      <c r="G260" s="30" t="s">
        <v>193</v>
      </c>
      <c r="H260" s="30" t="s">
        <v>194</v>
      </c>
      <c r="I260" s="30" t="s">
        <v>3818</v>
      </c>
      <c r="J260" s="30" t="s">
        <v>253</v>
      </c>
      <c r="K260" s="30">
        <v>18</v>
      </c>
      <c r="L260" s="30" t="s">
        <v>601</v>
      </c>
      <c r="M260" s="30" t="str">
        <f t="shared" si="4"/>
        <v>313904</v>
      </c>
      <c r="N260" s="30">
        <v>1</v>
      </c>
    </row>
    <row r="261" spans="1:14" x14ac:dyDescent="0.25">
      <c r="A261" s="35" t="s">
        <v>3761</v>
      </c>
      <c r="B261" s="35" t="s">
        <v>3873</v>
      </c>
      <c r="C261" s="35" t="s">
        <v>62</v>
      </c>
      <c r="D261" s="30" t="s">
        <v>3817</v>
      </c>
      <c r="E261" s="30" t="s">
        <v>233</v>
      </c>
      <c r="F261" s="30">
        <v>1</v>
      </c>
      <c r="G261" s="30" t="s">
        <v>193</v>
      </c>
      <c r="H261" s="30" t="s">
        <v>194</v>
      </c>
      <c r="I261" s="30" t="s">
        <v>3818</v>
      </c>
      <c r="J261" s="30" t="s">
        <v>253</v>
      </c>
      <c r="K261" s="30">
        <v>18</v>
      </c>
      <c r="L261" s="30" t="s">
        <v>601</v>
      </c>
      <c r="M261" s="30" t="str">
        <f t="shared" si="4"/>
        <v>313904</v>
      </c>
      <c r="N261" s="30">
        <v>1</v>
      </c>
    </row>
    <row r="262" spans="1:14" x14ac:dyDescent="0.25">
      <c r="A262" s="35" t="s">
        <v>3874</v>
      </c>
      <c r="B262" s="35" t="s">
        <v>3875</v>
      </c>
      <c r="C262" s="35" t="s">
        <v>3876</v>
      </c>
      <c r="D262" s="30" t="s">
        <v>3817</v>
      </c>
      <c r="E262" s="30" t="s">
        <v>233</v>
      </c>
      <c r="F262" s="30">
        <v>1</v>
      </c>
      <c r="G262" s="30" t="s">
        <v>193</v>
      </c>
      <c r="H262" s="30" t="s">
        <v>194</v>
      </c>
      <c r="I262" s="30" t="s">
        <v>3818</v>
      </c>
      <c r="J262" s="30" t="s">
        <v>385</v>
      </c>
      <c r="K262" s="30">
        <v>18</v>
      </c>
      <c r="L262" s="30" t="s">
        <v>3877</v>
      </c>
      <c r="M262" s="30" t="str">
        <f t="shared" si="4"/>
        <v>324001</v>
      </c>
      <c r="N262" s="30">
        <v>1</v>
      </c>
    </row>
    <row r="263" spans="1:14" x14ac:dyDescent="0.25">
      <c r="A263" s="35" t="s">
        <v>1376</v>
      </c>
      <c r="B263" s="35" t="s">
        <v>3878</v>
      </c>
      <c r="C263" s="35" t="s">
        <v>27</v>
      </c>
      <c r="D263" s="30" t="s">
        <v>3879</v>
      </c>
      <c r="E263" s="30" t="s">
        <v>233</v>
      </c>
      <c r="F263" s="30">
        <v>1</v>
      </c>
      <c r="G263" s="30" t="s">
        <v>193</v>
      </c>
      <c r="H263" s="30" t="s">
        <v>194</v>
      </c>
      <c r="I263" s="30" t="s">
        <v>3880</v>
      </c>
      <c r="J263" s="30" t="s">
        <v>253</v>
      </c>
      <c r="K263" s="30">
        <v>18</v>
      </c>
      <c r="L263" s="30" t="s">
        <v>440</v>
      </c>
      <c r="M263" s="30" t="str">
        <f t="shared" si="4"/>
        <v>242307</v>
      </c>
      <c r="N263" s="30">
        <v>1</v>
      </c>
    </row>
    <row r="264" spans="1:14" x14ac:dyDescent="0.25">
      <c r="A264" s="35" t="s">
        <v>3602</v>
      </c>
      <c r="B264" s="35" t="s">
        <v>3881</v>
      </c>
      <c r="C264" s="35" t="s">
        <v>3882</v>
      </c>
      <c r="D264" s="30" t="s">
        <v>3879</v>
      </c>
      <c r="E264" s="30" t="s">
        <v>217</v>
      </c>
      <c r="F264" s="84">
        <v>0</v>
      </c>
      <c r="G264" s="84" t="s">
        <v>194</v>
      </c>
      <c r="H264" s="30" t="s">
        <v>193</v>
      </c>
      <c r="I264" s="30" t="s">
        <v>3880</v>
      </c>
      <c r="J264" s="30" t="s">
        <v>3883</v>
      </c>
      <c r="K264" s="30">
        <v>18</v>
      </c>
      <c r="L264" s="30" t="s">
        <v>3884</v>
      </c>
      <c r="M264" s="30" t="str">
        <f t="shared" si="4"/>
        <v>711204</v>
      </c>
      <c r="N264" s="84">
        <v>10</v>
      </c>
    </row>
    <row r="265" spans="1:14" x14ac:dyDescent="0.25">
      <c r="A265" s="35" t="s">
        <v>3885</v>
      </c>
      <c r="B265" s="35" t="s">
        <v>404</v>
      </c>
      <c r="C265" s="35" t="s">
        <v>778</v>
      </c>
      <c r="D265" s="30" t="s">
        <v>3879</v>
      </c>
      <c r="E265" s="30" t="s">
        <v>192</v>
      </c>
      <c r="F265" s="30">
        <v>1</v>
      </c>
      <c r="G265" s="30" t="s">
        <v>193</v>
      </c>
      <c r="H265" s="30" t="s">
        <v>194</v>
      </c>
      <c r="I265" s="30" t="s">
        <v>3880</v>
      </c>
      <c r="J265" s="30" t="s">
        <v>276</v>
      </c>
      <c r="K265" s="30">
        <v>18</v>
      </c>
      <c r="L265" s="30" t="s">
        <v>779</v>
      </c>
      <c r="M265" s="30" t="str">
        <f t="shared" si="4"/>
        <v>524902</v>
      </c>
      <c r="N265" s="30">
        <v>1</v>
      </c>
    </row>
    <row r="266" spans="1:14" x14ac:dyDescent="0.25">
      <c r="A266" s="35" t="s">
        <v>3885</v>
      </c>
      <c r="B266" s="35" t="s">
        <v>3068</v>
      </c>
      <c r="C266" s="35" t="s">
        <v>35</v>
      </c>
      <c r="D266" s="30" t="s">
        <v>3879</v>
      </c>
      <c r="E266" s="30" t="s">
        <v>192</v>
      </c>
      <c r="F266" s="30">
        <v>1</v>
      </c>
      <c r="G266" s="30" t="s">
        <v>193</v>
      </c>
      <c r="H266" s="30" t="s">
        <v>194</v>
      </c>
      <c r="I266" s="30" t="s">
        <v>3880</v>
      </c>
      <c r="J266" s="30" t="s">
        <v>196</v>
      </c>
      <c r="K266" s="30">
        <v>18</v>
      </c>
      <c r="L266" s="30" t="s">
        <v>207</v>
      </c>
      <c r="M266" s="30" t="str">
        <f t="shared" si="4"/>
        <v>122106</v>
      </c>
      <c r="N266" s="30">
        <v>1</v>
      </c>
    </row>
    <row r="267" spans="1:14" x14ac:dyDescent="0.25">
      <c r="A267" s="35" t="s">
        <v>890</v>
      </c>
      <c r="B267" s="35" t="s">
        <v>3886</v>
      </c>
      <c r="C267" s="35" t="s">
        <v>9</v>
      </c>
      <c r="D267" s="30" t="s">
        <v>3879</v>
      </c>
      <c r="E267" s="30" t="s">
        <v>233</v>
      </c>
      <c r="F267" s="30">
        <v>1</v>
      </c>
      <c r="G267" s="30" t="s">
        <v>193</v>
      </c>
      <c r="H267" s="30" t="s">
        <v>194</v>
      </c>
      <c r="I267" s="30" t="s">
        <v>3817</v>
      </c>
      <c r="J267" s="30" t="s">
        <v>210</v>
      </c>
      <c r="K267" s="30">
        <v>18</v>
      </c>
      <c r="L267" s="30" t="s">
        <v>405</v>
      </c>
      <c r="M267" s="30" t="str">
        <f t="shared" si="4"/>
        <v>241304</v>
      </c>
      <c r="N267" s="30">
        <v>1</v>
      </c>
    </row>
    <row r="268" spans="1:14" x14ac:dyDescent="0.25">
      <c r="A268" s="35" t="s">
        <v>1248</v>
      </c>
      <c r="B268" s="35" t="s">
        <v>3887</v>
      </c>
      <c r="C268" s="35" t="s">
        <v>1441</v>
      </c>
      <c r="D268" s="30" t="s">
        <v>3879</v>
      </c>
      <c r="E268" s="30" t="s">
        <v>192</v>
      </c>
      <c r="F268" s="30">
        <v>1</v>
      </c>
      <c r="G268" s="30" t="s">
        <v>193</v>
      </c>
      <c r="H268" s="30" t="s">
        <v>194</v>
      </c>
      <c r="I268" s="30" t="s">
        <v>3880</v>
      </c>
      <c r="J268" s="30" t="s">
        <v>276</v>
      </c>
      <c r="K268" s="30">
        <v>18</v>
      </c>
      <c r="L268" s="30" t="s">
        <v>1443</v>
      </c>
      <c r="M268" s="30" t="str">
        <f t="shared" si="4"/>
        <v>132103</v>
      </c>
      <c r="N268" s="30">
        <v>1</v>
      </c>
    </row>
    <row r="269" spans="1:14" x14ac:dyDescent="0.25">
      <c r="A269" s="35" t="s">
        <v>3888</v>
      </c>
      <c r="B269" s="35" t="s">
        <v>3889</v>
      </c>
      <c r="C269" s="35" t="s">
        <v>2933</v>
      </c>
      <c r="D269" s="30" t="s">
        <v>3879</v>
      </c>
      <c r="E269" s="30" t="s">
        <v>252</v>
      </c>
      <c r="F269" s="30">
        <v>1</v>
      </c>
      <c r="G269" s="30" t="s">
        <v>193</v>
      </c>
      <c r="H269" s="30" t="s">
        <v>194</v>
      </c>
      <c r="I269" s="30" t="s">
        <v>3880</v>
      </c>
      <c r="J269" s="30" t="s">
        <v>210</v>
      </c>
      <c r="K269" s="30">
        <v>18</v>
      </c>
      <c r="L269" s="30" t="s">
        <v>3890</v>
      </c>
      <c r="M269" s="30" t="str">
        <f t="shared" si="4"/>
        <v>962201</v>
      </c>
      <c r="N269" s="30">
        <v>1</v>
      </c>
    </row>
    <row r="270" spans="1:14" x14ac:dyDescent="0.25">
      <c r="A270" s="35" t="s">
        <v>1252</v>
      </c>
      <c r="B270" s="35" t="s">
        <v>1253</v>
      </c>
      <c r="C270" s="35" t="s">
        <v>1148</v>
      </c>
      <c r="D270" s="30" t="s">
        <v>3879</v>
      </c>
      <c r="E270" s="30" t="s">
        <v>252</v>
      </c>
      <c r="F270" s="30">
        <v>1</v>
      </c>
      <c r="G270" s="30" t="s">
        <v>193</v>
      </c>
      <c r="H270" s="30" t="s">
        <v>194</v>
      </c>
      <c r="I270" s="30" t="s">
        <v>3880</v>
      </c>
      <c r="J270" s="30" t="s">
        <v>1254</v>
      </c>
      <c r="K270" s="30">
        <v>18</v>
      </c>
      <c r="L270" s="30" t="s">
        <v>1150</v>
      </c>
      <c r="M270" s="30" t="str">
        <f t="shared" si="4"/>
        <v>244001</v>
      </c>
      <c r="N270" s="30">
        <v>1</v>
      </c>
    </row>
    <row r="271" spans="1:14" x14ac:dyDescent="0.25">
      <c r="A271" s="35" t="s">
        <v>2297</v>
      </c>
      <c r="B271" s="35" t="s">
        <v>2298</v>
      </c>
      <c r="C271" s="158" t="s">
        <v>17</v>
      </c>
      <c r="D271" s="30" t="s">
        <v>3879</v>
      </c>
      <c r="E271" s="30" t="s">
        <v>233</v>
      </c>
      <c r="F271" s="30">
        <v>1</v>
      </c>
      <c r="G271" s="30" t="s">
        <v>193</v>
      </c>
      <c r="H271" s="30" t="s">
        <v>194</v>
      </c>
      <c r="I271" s="30" t="s">
        <v>3880</v>
      </c>
      <c r="J271" s="30" t="s">
        <v>3891</v>
      </c>
      <c r="K271" s="30">
        <v>18</v>
      </c>
      <c r="L271" s="30" t="s">
        <v>624</v>
      </c>
      <c r="M271" s="30" t="str">
        <f t="shared" si="4"/>
        <v>332203</v>
      </c>
      <c r="N271" s="30">
        <v>1</v>
      </c>
    </row>
    <row r="272" spans="1:14" x14ac:dyDescent="0.25">
      <c r="A272" s="35" t="s">
        <v>2297</v>
      </c>
      <c r="B272" s="35" t="s">
        <v>2298</v>
      </c>
      <c r="C272" s="158" t="s">
        <v>17</v>
      </c>
      <c r="D272" s="30" t="s">
        <v>3879</v>
      </c>
      <c r="E272" s="30" t="s">
        <v>233</v>
      </c>
      <c r="F272" s="30">
        <v>1</v>
      </c>
      <c r="G272" s="30" t="s">
        <v>193</v>
      </c>
      <c r="H272" s="30" t="s">
        <v>194</v>
      </c>
      <c r="I272" s="30" t="s">
        <v>3880</v>
      </c>
      <c r="J272" s="30" t="s">
        <v>249</v>
      </c>
      <c r="K272" s="30">
        <v>18</v>
      </c>
      <c r="L272" s="30" t="s">
        <v>624</v>
      </c>
      <c r="M272" s="30" t="str">
        <f t="shared" si="4"/>
        <v>332203</v>
      </c>
      <c r="N272" s="30">
        <v>1</v>
      </c>
    </row>
    <row r="273" spans="1:14" x14ac:dyDescent="0.25">
      <c r="A273" s="35" t="s">
        <v>2297</v>
      </c>
      <c r="B273" s="35" t="s">
        <v>2298</v>
      </c>
      <c r="C273" s="158" t="s">
        <v>17</v>
      </c>
      <c r="D273" s="30" t="s">
        <v>3879</v>
      </c>
      <c r="E273" s="30" t="s">
        <v>233</v>
      </c>
      <c r="F273" s="30">
        <v>1</v>
      </c>
      <c r="G273" s="30" t="s">
        <v>193</v>
      </c>
      <c r="H273" s="30" t="s">
        <v>194</v>
      </c>
      <c r="I273" s="30" t="s">
        <v>3880</v>
      </c>
      <c r="J273" s="30" t="s">
        <v>309</v>
      </c>
      <c r="K273" s="30">
        <v>18</v>
      </c>
      <c r="L273" s="30" t="s">
        <v>624</v>
      </c>
      <c r="M273" s="30" t="str">
        <f t="shared" si="4"/>
        <v>332203</v>
      </c>
      <c r="N273" s="30">
        <v>1</v>
      </c>
    </row>
    <row r="274" spans="1:14" x14ac:dyDescent="0.25">
      <c r="A274" s="35" t="s">
        <v>2297</v>
      </c>
      <c r="B274" s="35" t="s">
        <v>2298</v>
      </c>
      <c r="C274" s="158" t="s">
        <v>17</v>
      </c>
      <c r="D274" s="30" t="s">
        <v>3879</v>
      </c>
      <c r="E274" s="30" t="s">
        <v>233</v>
      </c>
      <c r="F274" s="30">
        <v>1</v>
      </c>
      <c r="G274" s="30" t="s">
        <v>193</v>
      </c>
      <c r="H274" s="30" t="s">
        <v>194</v>
      </c>
      <c r="I274" s="30" t="s">
        <v>3880</v>
      </c>
      <c r="J274" s="30" t="s">
        <v>276</v>
      </c>
      <c r="K274" s="30">
        <v>18</v>
      </c>
      <c r="L274" s="30" t="s">
        <v>624</v>
      </c>
      <c r="M274" s="30" t="str">
        <f t="shared" si="4"/>
        <v>332203</v>
      </c>
      <c r="N274" s="30">
        <v>1</v>
      </c>
    </row>
    <row r="275" spans="1:14" x14ac:dyDescent="0.25">
      <c r="A275" s="35" t="s">
        <v>3644</v>
      </c>
      <c r="B275" s="35" t="s">
        <v>3892</v>
      </c>
      <c r="C275" s="35" t="s">
        <v>3893</v>
      </c>
      <c r="D275" s="30" t="s">
        <v>3879</v>
      </c>
      <c r="E275" s="30" t="s">
        <v>217</v>
      </c>
      <c r="F275" s="84">
        <v>0</v>
      </c>
      <c r="G275" s="84" t="s">
        <v>194</v>
      </c>
      <c r="H275" s="30" t="s">
        <v>193</v>
      </c>
      <c r="I275" s="30" t="s">
        <v>3880</v>
      </c>
      <c r="J275" s="30" t="s">
        <v>3894</v>
      </c>
      <c r="K275" s="30">
        <v>18</v>
      </c>
      <c r="L275" s="30" t="s">
        <v>3895</v>
      </c>
      <c r="M275" s="30" t="str">
        <f t="shared" si="4"/>
        <v>721301</v>
      </c>
      <c r="N275" s="84">
        <v>1</v>
      </c>
    </row>
    <row r="276" spans="1:14" x14ac:dyDescent="0.25">
      <c r="A276" s="35" t="s">
        <v>3644</v>
      </c>
      <c r="B276" s="35" t="s">
        <v>3896</v>
      </c>
      <c r="C276" s="35" t="s">
        <v>3774</v>
      </c>
      <c r="D276" s="30" t="s">
        <v>3879</v>
      </c>
      <c r="E276" s="30" t="s">
        <v>217</v>
      </c>
      <c r="F276" s="84">
        <v>0</v>
      </c>
      <c r="G276" s="84" t="s">
        <v>194</v>
      </c>
      <c r="H276" s="30" t="s">
        <v>193</v>
      </c>
      <c r="I276" s="30" t="s">
        <v>3880</v>
      </c>
      <c r="J276" s="30" t="s">
        <v>3775</v>
      </c>
      <c r="K276" s="30">
        <v>18</v>
      </c>
      <c r="L276" s="30" t="s">
        <v>3776</v>
      </c>
      <c r="M276" s="30" t="str">
        <f t="shared" si="4"/>
        <v>723190</v>
      </c>
      <c r="N276" s="84">
        <v>1</v>
      </c>
    </row>
    <row r="277" spans="1:14" x14ac:dyDescent="0.25">
      <c r="A277" s="35" t="s">
        <v>3644</v>
      </c>
      <c r="B277" s="35" t="s">
        <v>3897</v>
      </c>
      <c r="C277" s="35" t="s">
        <v>3898</v>
      </c>
      <c r="D277" s="30" t="s">
        <v>3879</v>
      </c>
      <c r="E277" s="30" t="s">
        <v>217</v>
      </c>
      <c r="F277" s="84">
        <v>0</v>
      </c>
      <c r="G277" s="84" t="s">
        <v>194</v>
      </c>
      <c r="H277" s="30" t="s">
        <v>193</v>
      </c>
      <c r="I277" s="30" t="s">
        <v>3880</v>
      </c>
      <c r="J277" s="30" t="s">
        <v>3899</v>
      </c>
      <c r="K277" s="30">
        <v>18</v>
      </c>
      <c r="L277" s="30" t="s">
        <v>3900</v>
      </c>
      <c r="M277" s="30" t="str">
        <f t="shared" si="4"/>
        <v>712304</v>
      </c>
      <c r="N277" s="84">
        <v>1</v>
      </c>
    </row>
    <row r="278" spans="1:14" x14ac:dyDescent="0.25">
      <c r="A278" s="35" t="s">
        <v>2106</v>
      </c>
      <c r="B278" s="35" t="s">
        <v>1000</v>
      </c>
      <c r="C278" s="35" t="s">
        <v>3901</v>
      </c>
      <c r="D278" s="30" t="s">
        <v>3879</v>
      </c>
      <c r="E278" s="30" t="s">
        <v>233</v>
      </c>
      <c r="F278" s="30">
        <v>1</v>
      </c>
      <c r="G278" s="30" t="s">
        <v>193</v>
      </c>
      <c r="H278" s="30" t="s">
        <v>194</v>
      </c>
      <c r="I278" s="30" t="s">
        <v>3880</v>
      </c>
      <c r="J278" s="30" t="s">
        <v>210</v>
      </c>
      <c r="K278" s="30">
        <v>18</v>
      </c>
      <c r="L278" s="30" t="s">
        <v>3902</v>
      </c>
      <c r="M278" s="30" t="str">
        <f t="shared" si="4"/>
        <v>235109</v>
      </c>
      <c r="N278" s="30">
        <v>1</v>
      </c>
    </row>
    <row r="279" spans="1:14" x14ac:dyDescent="0.25">
      <c r="A279" s="35" t="s">
        <v>3903</v>
      </c>
      <c r="B279" s="35" t="s">
        <v>3904</v>
      </c>
      <c r="C279" s="35" t="s">
        <v>36</v>
      </c>
      <c r="D279" s="30" t="s">
        <v>3879</v>
      </c>
      <c r="E279" s="30" t="s">
        <v>192</v>
      </c>
      <c r="F279" s="30">
        <v>1</v>
      </c>
      <c r="G279" s="30" t="s">
        <v>193</v>
      </c>
      <c r="H279" s="30" t="s">
        <v>194</v>
      </c>
      <c r="I279" s="30" t="s">
        <v>3880</v>
      </c>
      <c r="J279" s="30" t="s">
        <v>196</v>
      </c>
      <c r="K279" s="30">
        <v>18</v>
      </c>
      <c r="L279" s="30" t="s">
        <v>609</v>
      </c>
      <c r="M279" s="30" t="str">
        <f t="shared" si="4"/>
        <v>331301</v>
      </c>
      <c r="N279" s="30">
        <v>1</v>
      </c>
    </row>
    <row r="280" spans="1:14" x14ac:dyDescent="0.25">
      <c r="A280" s="35" t="s">
        <v>540</v>
      </c>
      <c r="B280" s="35" t="s">
        <v>1280</v>
      </c>
      <c r="C280" s="35" t="s">
        <v>62</v>
      </c>
      <c r="D280" s="30" t="s">
        <v>3879</v>
      </c>
      <c r="E280" s="30" t="s">
        <v>252</v>
      </c>
      <c r="F280" s="30">
        <v>1</v>
      </c>
      <c r="G280" s="30" t="s">
        <v>193</v>
      </c>
      <c r="H280" s="30" t="s">
        <v>194</v>
      </c>
      <c r="I280" s="30" t="s">
        <v>3880</v>
      </c>
      <c r="J280" s="30" t="s">
        <v>1281</v>
      </c>
      <c r="K280" s="30">
        <v>18</v>
      </c>
      <c r="L280" s="30" t="s">
        <v>601</v>
      </c>
      <c r="M280" s="30" t="str">
        <f t="shared" si="4"/>
        <v>313904</v>
      </c>
      <c r="N280" s="30">
        <v>1</v>
      </c>
    </row>
    <row r="281" spans="1:14" x14ac:dyDescent="0.25">
      <c r="A281" s="35" t="s">
        <v>540</v>
      </c>
      <c r="B281" s="35" t="s">
        <v>3905</v>
      </c>
      <c r="C281" s="35" t="s">
        <v>266</v>
      </c>
      <c r="D281" s="30" t="s">
        <v>3879</v>
      </c>
      <c r="E281" s="30" t="s">
        <v>252</v>
      </c>
      <c r="F281" s="30">
        <v>1</v>
      </c>
      <c r="G281" s="30" t="s">
        <v>193</v>
      </c>
      <c r="H281" s="30" t="s">
        <v>194</v>
      </c>
      <c r="I281" s="30" t="s">
        <v>3880</v>
      </c>
      <c r="J281" s="30" t="s">
        <v>210</v>
      </c>
      <c r="K281" s="30">
        <v>18</v>
      </c>
      <c r="L281" s="30" t="s">
        <v>268</v>
      </c>
      <c r="M281" s="30" t="str">
        <f t="shared" si="4"/>
        <v>143905</v>
      </c>
      <c r="N281" s="30">
        <v>1</v>
      </c>
    </row>
    <row r="282" spans="1:14" x14ac:dyDescent="0.25">
      <c r="A282" s="35" t="s">
        <v>3906</v>
      </c>
      <c r="B282" s="35" t="s">
        <v>3907</v>
      </c>
      <c r="C282" s="35" t="s">
        <v>83</v>
      </c>
      <c r="D282" s="30" t="s">
        <v>3879</v>
      </c>
      <c r="E282" s="30" t="s">
        <v>252</v>
      </c>
      <c r="F282" s="30">
        <v>1</v>
      </c>
      <c r="G282" s="30" t="s">
        <v>193</v>
      </c>
      <c r="H282" s="30" t="s">
        <v>194</v>
      </c>
      <c r="I282" s="30" t="s">
        <v>3880</v>
      </c>
      <c r="J282" s="30" t="s">
        <v>223</v>
      </c>
      <c r="K282" s="30">
        <v>18</v>
      </c>
      <c r="L282" s="30" t="s">
        <v>791</v>
      </c>
      <c r="M282" s="30" t="str">
        <f t="shared" si="4"/>
        <v>721204</v>
      </c>
      <c r="N282" s="30">
        <v>1</v>
      </c>
    </row>
    <row r="283" spans="1:14" x14ac:dyDescent="0.25">
      <c r="A283" s="35" t="s">
        <v>615</v>
      </c>
      <c r="B283" s="35" t="s">
        <v>965</v>
      </c>
      <c r="C283" s="35" t="s">
        <v>113</v>
      </c>
      <c r="D283" s="30" t="s">
        <v>3879</v>
      </c>
      <c r="E283" s="30" t="s">
        <v>233</v>
      </c>
      <c r="F283" s="30">
        <v>1</v>
      </c>
      <c r="G283" s="30" t="s">
        <v>193</v>
      </c>
      <c r="H283" s="30" t="s">
        <v>194</v>
      </c>
      <c r="I283" s="30" t="s">
        <v>3880</v>
      </c>
      <c r="J283" s="30" t="s">
        <v>210</v>
      </c>
      <c r="K283" s="30">
        <v>18</v>
      </c>
      <c r="L283" s="30" t="s">
        <v>465</v>
      </c>
      <c r="M283" s="30" t="str">
        <f t="shared" si="4"/>
        <v>243302</v>
      </c>
      <c r="N283" s="30">
        <v>1</v>
      </c>
    </row>
    <row r="284" spans="1:14" x14ac:dyDescent="0.25">
      <c r="A284" s="35" t="s">
        <v>615</v>
      </c>
      <c r="B284" s="35" t="s">
        <v>965</v>
      </c>
      <c r="C284" s="35" t="s">
        <v>113</v>
      </c>
      <c r="D284" s="30" t="s">
        <v>3879</v>
      </c>
      <c r="E284" s="30" t="s">
        <v>233</v>
      </c>
      <c r="F284" s="30">
        <v>1</v>
      </c>
      <c r="G284" s="30" t="s">
        <v>193</v>
      </c>
      <c r="H284" s="30" t="s">
        <v>194</v>
      </c>
      <c r="I284" s="30" t="s">
        <v>3880</v>
      </c>
      <c r="J284" s="30" t="s">
        <v>316</v>
      </c>
      <c r="K284" s="30">
        <v>18</v>
      </c>
      <c r="L284" s="30" t="s">
        <v>465</v>
      </c>
      <c r="M284" s="30" t="str">
        <f t="shared" si="4"/>
        <v>243302</v>
      </c>
      <c r="N284" s="30">
        <v>1</v>
      </c>
    </row>
    <row r="285" spans="1:14" x14ac:dyDescent="0.25">
      <c r="A285" s="35" t="s">
        <v>1624</v>
      </c>
      <c r="B285" s="35" t="s">
        <v>3908</v>
      </c>
      <c r="C285" s="35" t="s">
        <v>1626</v>
      </c>
      <c r="D285" s="30" t="s">
        <v>3879</v>
      </c>
      <c r="E285" s="30" t="s">
        <v>192</v>
      </c>
      <c r="F285" s="30">
        <v>1</v>
      </c>
      <c r="G285" s="30" t="s">
        <v>193</v>
      </c>
      <c r="H285" s="30" t="s">
        <v>194</v>
      </c>
      <c r="I285" s="30" t="s">
        <v>3880</v>
      </c>
      <c r="J285" s="30" t="s">
        <v>210</v>
      </c>
      <c r="K285" s="30">
        <v>18</v>
      </c>
      <c r="L285" s="30" t="s">
        <v>1627</v>
      </c>
      <c r="M285" s="30" t="str">
        <f t="shared" si="4"/>
        <v>833201</v>
      </c>
      <c r="N285" s="30">
        <v>1</v>
      </c>
    </row>
    <row r="286" spans="1:14" x14ac:dyDescent="0.25">
      <c r="A286" s="35" t="s">
        <v>3909</v>
      </c>
      <c r="B286" s="35" t="s">
        <v>3910</v>
      </c>
      <c r="C286" s="35" t="s">
        <v>521</v>
      </c>
      <c r="D286" s="30" t="s">
        <v>3879</v>
      </c>
      <c r="E286" s="30" t="s">
        <v>192</v>
      </c>
      <c r="F286" s="30">
        <v>1</v>
      </c>
      <c r="G286" s="30" t="s">
        <v>193</v>
      </c>
      <c r="H286" s="30" t="s">
        <v>194</v>
      </c>
      <c r="I286" s="30" t="s">
        <v>3880</v>
      </c>
      <c r="J286" s="30" t="s">
        <v>210</v>
      </c>
      <c r="K286" s="30">
        <v>18</v>
      </c>
      <c r="L286" s="30" t="s">
        <v>522</v>
      </c>
      <c r="M286" s="30" t="str">
        <f t="shared" si="4"/>
        <v>261901</v>
      </c>
      <c r="N286" s="30">
        <v>1</v>
      </c>
    </row>
    <row r="287" spans="1:14" x14ac:dyDescent="0.25">
      <c r="A287" s="35" t="s">
        <v>3911</v>
      </c>
      <c r="B287" s="35" t="s">
        <v>3912</v>
      </c>
      <c r="C287" s="35" t="s">
        <v>18</v>
      </c>
      <c r="D287" s="30" t="s">
        <v>3879</v>
      </c>
      <c r="E287" s="30" t="s">
        <v>192</v>
      </c>
      <c r="F287" s="30">
        <v>1</v>
      </c>
      <c r="G287" s="30" t="s">
        <v>193</v>
      </c>
      <c r="H287" s="30" t="s">
        <v>194</v>
      </c>
      <c r="I287" s="30" t="s">
        <v>3880</v>
      </c>
      <c r="J287" s="30" t="s">
        <v>210</v>
      </c>
      <c r="K287" s="30">
        <v>18</v>
      </c>
      <c r="L287" s="30" t="s">
        <v>1476</v>
      </c>
      <c r="M287" s="30" t="str">
        <f t="shared" si="4"/>
        <v>242309</v>
      </c>
      <c r="N287" s="30">
        <v>1</v>
      </c>
    </row>
    <row r="288" spans="1:14" x14ac:dyDescent="0.25">
      <c r="A288" s="35" t="s">
        <v>3913</v>
      </c>
      <c r="B288" s="35" t="s">
        <v>3914</v>
      </c>
      <c r="C288" s="35" t="s">
        <v>319</v>
      </c>
      <c r="D288" s="30" t="s">
        <v>3879</v>
      </c>
      <c r="E288" s="30" t="s">
        <v>192</v>
      </c>
      <c r="F288" s="30">
        <v>1</v>
      </c>
      <c r="G288" s="30" t="s">
        <v>193</v>
      </c>
      <c r="H288" s="30" t="s">
        <v>194</v>
      </c>
      <c r="I288" s="30" t="s">
        <v>3880</v>
      </c>
      <c r="J288" s="30" t="s">
        <v>210</v>
      </c>
      <c r="K288" s="30">
        <v>18</v>
      </c>
      <c r="L288" s="30" t="s">
        <v>320</v>
      </c>
      <c r="M288" s="30" t="str">
        <f t="shared" si="4"/>
        <v>214407</v>
      </c>
      <c r="N288" s="30">
        <v>1</v>
      </c>
    </row>
    <row r="289" spans="1:14" x14ac:dyDescent="0.25">
      <c r="A289" s="35" t="s">
        <v>3915</v>
      </c>
      <c r="B289" s="35" t="s">
        <v>3916</v>
      </c>
      <c r="C289" s="35" t="s">
        <v>319</v>
      </c>
      <c r="D289" s="30" t="s">
        <v>3879</v>
      </c>
      <c r="E289" s="30" t="s">
        <v>192</v>
      </c>
      <c r="F289" s="30">
        <v>1</v>
      </c>
      <c r="G289" s="30" t="s">
        <v>193</v>
      </c>
      <c r="H289" s="30" t="s">
        <v>194</v>
      </c>
      <c r="I289" s="30" t="s">
        <v>3880</v>
      </c>
      <c r="J289" s="30" t="s">
        <v>210</v>
      </c>
      <c r="K289" s="30">
        <v>18</v>
      </c>
      <c r="L289" s="30" t="s">
        <v>320</v>
      </c>
      <c r="M289" s="30" t="str">
        <f t="shared" si="4"/>
        <v>214407</v>
      </c>
      <c r="N289" s="30">
        <v>1</v>
      </c>
    </row>
    <row r="290" spans="1:14" x14ac:dyDescent="0.25">
      <c r="A290" s="35" t="s">
        <v>3915</v>
      </c>
      <c r="B290" s="35" t="s">
        <v>3917</v>
      </c>
      <c r="C290" s="35" t="s">
        <v>2502</v>
      </c>
      <c r="D290" s="30" t="s">
        <v>3879</v>
      </c>
      <c r="E290" s="30" t="s">
        <v>192</v>
      </c>
      <c r="F290" s="30">
        <v>1</v>
      </c>
      <c r="G290" s="30" t="s">
        <v>193</v>
      </c>
      <c r="H290" s="30" t="s">
        <v>194</v>
      </c>
      <c r="I290" s="30" t="s">
        <v>3880</v>
      </c>
      <c r="J290" s="30" t="s">
        <v>210</v>
      </c>
      <c r="K290" s="30">
        <v>18</v>
      </c>
      <c r="L290" s="30" t="s">
        <v>2503</v>
      </c>
      <c r="M290" s="30" t="str">
        <f t="shared" si="4"/>
        <v>241104</v>
      </c>
      <c r="N290" s="30">
        <v>1</v>
      </c>
    </row>
    <row r="291" spans="1:14" x14ac:dyDescent="0.25">
      <c r="A291" s="35" t="s">
        <v>3915</v>
      </c>
      <c r="B291" s="35" t="s">
        <v>3918</v>
      </c>
      <c r="C291" s="35" t="s">
        <v>362</v>
      </c>
      <c r="D291" s="30" t="s">
        <v>3879</v>
      </c>
      <c r="E291" s="30" t="s">
        <v>192</v>
      </c>
      <c r="F291" s="30">
        <v>1</v>
      </c>
      <c r="G291" s="30" t="s">
        <v>193</v>
      </c>
      <c r="H291" s="30" t="s">
        <v>194</v>
      </c>
      <c r="I291" s="30" t="s">
        <v>3880</v>
      </c>
      <c r="J291" s="30" t="s">
        <v>210</v>
      </c>
      <c r="K291" s="30">
        <v>18</v>
      </c>
      <c r="L291" s="30" t="s">
        <v>363</v>
      </c>
      <c r="M291" s="30" t="str">
        <f t="shared" si="4"/>
        <v>215104</v>
      </c>
      <c r="N291" s="30">
        <v>1</v>
      </c>
    </row>
    <row r="292" spans="1:14" x14ac:dyDescent="0.25">
      <c r="A292" s="35" t="s">
        <v>1340</v>
      </c>
      <c r="B292" s="35" t="s">
        <v>3919</v>
      </c>
      <c r="C292" s="35" t="s">
        <v>1554</v>
      </c>
      <c r="D292" s="30" t="s">
        <v>3879</v>
      </c>
      <c r="E292" s="30" t="s">
        <v>192</v>
      </c>
      <c r="F292" s="30">
        <v>1</v>
      </c>
      <c r="G292" s="30" t="s">
        <v>193</v>
      </c>
      <c r="H292" s="30" t="s">
        <v>194</v>
      </c>
      <c r="I292" s="30" t="s">
        <v>3880</v>
      </c>
      <c r="J292" s="30" t="s">
        <v>210</v>
      </c>
      <c r="K292" s="30">
        <v>18</v>
      </c>
      <c r="L292" s="30" t="s">
        <v>1555</v>
      </c>
      <c r="M292" s="30" t="str">
        <f t="shared" si="4"/>
        <v>112013</v>
      </c>
      <c r="N292" s="30">
        <v>1</v>
      </c>
    </row>
    <row r="293" spans="1:14" x14ac:dyDescent="0.25">
      <c r="A293" s="35" t="s">
        <v>3920</v>
      </c>
      <c r="B293" s="35" t="s">
        <v>3921</v>
      </c>
      <c r="C293" s="35" t="s">
        <v>67</v>
      </c>
      <c r="D293" s="30" t="s">
        <v>3879</v>
      </c>
      <c r="E293" s="30" t="s">
        <v>192</v>
      </c>
      <c r="F293" s="30">
        <v>1</v>
      </c>
      <c r="G293" s="30" t="s">
        <v>193</v>
      </c>
      <c r="H293" s="30" t="s">
        <v>194</v>
      </c>
      <c r="I293" s="30" t="s">
        <v>3880</v>
      </c>
      <c r="J293" s="30" t="s">
        <v>408</v>
      </c>
      <c r="K293" s="30">
        <v>18</v>
      </c>
      <c r="L293" s="30" t="s">
        <v>709</v>
      </c>
      <c r="M293" s="30" t="str">
        <f t="shared" si="4"/>
        <v>432103</v>
      </c>
      <c r="N293" s="30">
        <v>1</v>
      </c>
    </row>
    <row r="294" spans="1:14" x14ac:dyDescent="0.25">
      <c r="A294" s="35" t="s">
        <v>3922</v>
      </c>
      <c r="B294" s="35" t="s">
        <v>908</v>
      </c>
      <c r="C294" s="35" t="s">
        <v>119</v>
      </c>
      <c r="D294" s="30" t="s">
        <v>3879</v>
      </c>
      <c r="E294" s="30" t="s">
        <v>192</v>
      </c>
      <c r="F294" s="30">
        <v>1</v>
      </c>
      <c r="G294" s="30" t="s">
        <v>193</v>
      </c>
      <c r="H294" s="30" t="s">
        <v>194</v>
      </c>
      <c r="I294" s="30" t="s">
        <v>3880</v>
      </c>
      <c r="J294" s="30" t="s">
        <v>210</v>
      </c>
      <c r="K294" s="30">
        <v>18</v>
      </c>
      <c r="L294" s="30" t="s">
        <v>666</v>
      </c>
      <c r="M294" s="30" t="str">
        <f t="shared" si="4"/>
        <v>333105</v>
      </c>
      <c r="N294" s="30">
        <v>1</v>
      </c>
    </row>
    <row r="295" spans="1:14" x14ac:dyDescent="0.25">
      <c r="A295" s="35" t="s">
        <v>3922</v>
      </c>
      <c r="B295" s="35" t="s">
        <v>3923</v>
      </c>
      <c r="C295" s="35" t="s">
        <v>227</v>
      </c>
      <c r="D295" s="30" t="s">
        <v>3879</v>
      </c>
      <c r="E295" s="30" t="s">
        <v>192</v>
      </c>
      <c r="F295" s="30">
        <v>1</v>
      </c>
      <c r="G295" s="30" t="s">
        <v>193</v>
      </c>
      <c r="H295" s="30" t="s">
        <v>194</v>
      </c>
      <c r="I295" s="30" t="s">
        <v>3880</v>
      </c>
      <c r="J295" s="30" t="s">
        <v>210</v>
      </c>
      <c r="K295" s="30">
        <v>18</v>
      </c>
      <c r="L295" s="30" t="s">
        <v>229</v>
      </c>
      <c r="M295" s="30" t="str">
        <f t="shared" si="4"/>
        <v>132401</v>
      </c>
      <c r="N295" s="30">
        <v>1</v>
      </c>
    </row>
    <row r="296" spans="1:14" x14ac:dyDescent="0.25">
      <c r="A296" s="35" t="s">
        <v>3924</v>
      </c>
      <c r="B296" s="35" t="s">
        <v>3925</v>
      </c>
      <c r="C296" s="35" t="s">
        <v>43</v>
      </c>
      <c r="D296" s="30" t="s">
        <v>3879</v>
      </c>
      <c r="E296" s="30" t="s">
        <v>192</v>
      </c>
      <c r="F296" s="30">
        <v>1</v>
      </c>
      <c r="G296" s="30" t="s">
        <v>193</v>
      </c>
      <c r="H296" s="30" t="s">
        <v>194</v>
      </c>
      <c r="I296" s="30" t="s">
        <v>3880</v>
      </c>
      <c r="J296" s="30" t="s">
        <v>3926</v>
      </c>
      <c r="K296" s="30">
        <v>18</v>
      </c>
      <c r="L296" s="30" t="s">
        <v>452</v>
      </c>
      <c r="M296" s="30" t="str">
        <f t="shared" si="4"/>
        <v>243106</v>
      </c>
      <c r="N296" s="30">
        <v>1</v>
      </c>
    </row>
    <row r="297" spans="1:14" x14ac:dyDescent="0.25">
      <c r="A297" s="35" t="s">
        <v>3927</v>
      </c>
      <c r="B297" s="35" t="s">
        <v>3928</v>
      </c>
      <c r="C297" s="35" t="s">
        <v>554</v>
      </c>
      <c r="D297" s="30" t="s">
        <v>3879</v>
      </c>
      <c r="E297" s="30" t="s">
        <v>192</v>
      </c>
      <c r="F297" s="30">
        <v>1</v>
      </c>
      <c r="G297" s="30" t="s">
        <v>193</v>
      </c>
      <c r="H297" s="30" t="s">
        <v>194</v>
      </c>
      <c r="I297" s="30" t="s">
        <v>3880</v>
      </c>
      <c r="J297" s="30" t="s">
        <v>301</v>
      </c>
      <c r="K297" s="30">
        <v>18</v>
      </c>
      <c r="L297" s="30" t="s">
        <v>555</v>
      </c>
      <c r="M297" s="30" t="str">
        <f t="shared" si="4"/>
        <v>311303</v>
      </c>
      <c r="N297" s="30">
        <v>1</v>
      </c>
    </row>
    <row r="298" spans="1:14" x14ac:dyDescent="0.25">
      <c r="A298" s="35" t="s">
        <v>3927</v>
      </c>
      <c r="B298" s="35" t="s">
        <v>3929</v>
      </c>
      <c r="C298" s="35" t="s">
        <v>36</v>
      </c>
      <c r="D298" s="30" t="s">
        <v>3879</v>
      </c>
      <c r="E298" s="30" t="s">
        <v>192</v>
      </c>
      <c r="F298" s="30">
        <v>1</v>
      </c>
      <c r="G298" s="30" t="s">
        <v>193</v>
      </c>
      <c r="H298" s="30" t="s">
        <v>194</v>
      </c>
      <c r="I298" s="30" t="s">
        <v>3880</v>
      </c>
      <c r="J298" s="30" t="s">
        <v>301</v>
      </c>
      <c r="K298" s="30">
        <v>18</v>
      </c>
      <c r="L298" s="30" t="s">
        <v>609</v>
      </c>
      <c r="M298" s="30" t="str">
        <f t="shared" si="4"/>
        <v>331301</v>
      </c>
      <c r="N298" s="30">
        <v>1</v>
      </c>
    </row>
    <row r="299" spans="1:14" x14ac:dyDescent="0.25">
      <c r="A299" s="35" t="s">
        <v>3927</v>
      </c>
      <c r="B299" s="35" t="s">
        <v>1231</v>
      </c>
      <c r="C299" s="35" t="s">
        <v>85</v>
      </c>
      <c r="D299" s="30" t="s">
        <v>3879</v>
      </c>
      <c r="E299" s="30" t="s">
        <v>192</v>
      </c>
      <c r="F299" s="30">
        <v>1</v>
      </c>
      <c r="G299" s="30" t="s">
        <v>193</v>
      </c>
      <c r="H299" s="30" t="s">
        <v>194</v>
      </c>
      <c r="I299" s="30" t="s">
        <v>3880</v>
      </c>
      <c r="J299" s="30" t="s">
        <v>301</v>
      </c>
      <c r="K299" s="30">
        <v>18</v>
      </c>
      <c r="L299" s="30" t="s">
        <v>477</v>
      </c>
      <c r="M299" s="30" t="str">
        <f t="shared" si="4"/>
        <v>243305</v>
      </c>
      <c r="N299" s="30">
        <v>1</v>
      </c>
    </row>
    <row r="300" spans="1:14" x14ac:dyDescent="0.25">
      <c r="A300" s="35" t="s">
        <v>4252</v>
      </c>
      <c r="B300" s="35" t="s">
        <v>4253</v>
      </c>
      <c r="C300" s="35" t="s">
        <v>319</v>
      </c>
      <c r="D300" s="30" t="s">
        <v>3933</v>
      </c>
      <c r="E300" s="30" t="s">
        <v>192</v>
      </c>
      <c r="F300" s="30">
        <v>1</v>
      </c>
      <c r="G300" s="30" t="s">
        <v>193</v>
      </c>
      <c r="H300" s="30" t="s">
        <v>194</v>
      </c>
      <c r="I300" s="30" t="s">
        <v>4199</v>
      </c>
      <c r="J300" s="30" t="s">
        <v>210</v>
      </c>
      <c r="K300" s="30">
        <v>18</v>
      </c>
      <c r="L300" s="30" t="s">
        <v>320</v>
      </c>
      <c r="M300" s="30" t="str">
        <f t="shared" si="4"/>
        <v>214407</v>
      </c>
      <c r="N300" s="30">
        <v>1</v>
      </c>
    </row>
    <row r="301" spans="1:14" x14ac:dyDescent="0.25">
      <c r="A301" s="35" t="s">
        <v>4252</v>
      </c>
      <c r="B301" s="35" t="s">
        <v>313</v>
      </c>
      <c r="C301" s="35" t="s">
        <v>300</v>
      </c>
      <c r="D301" s="30" t="s">
        <v>3933</v>
      </c>
      <c r="E301" s="30" t="s">
        <v>192</v>
      </c>
      <c r="F301" s="30">
        <v>1</v>
      </c>
      <c r="G301" s="30" t="s">
        <v>193</v>
      </c>
      <c r="H301" s="30" t="s">
        <v>194</v>
      </c>
      <c r="I301" s="30" t="s">
        <v>4199</v>
      </c>
      <c r="J301" s="30" t="s">
        <v>210</v>
      </c>
      <c r="K301" s="30">
        <v>18</v>
      </c>
      <c r="L301" s="30" t="s">
        <v>302</v>
      </c>
      <c r="M301" s="30" t="str">
        <f t="shared" si="4"/>
        <v>214402</v>
      </c>
      <c r="N301" s="30">
        <v>1</v>
      </c>
    </row>
    <row r="302" spans="1:14" x14ac:dyDescent="0.25">
      <c r="A302" s="35" t="s">
        <v>3930</v>
      </c>
      <c r="B302" s="35" t="s">
        <v>3931</v>
      </c>
      <c r="C302" s="35" t="s">
        <v>10</v>
      </c>
      <c r="D302" s="30" t="s">
        <v>3932</v>
      </c>
      <c r="E302" s="30" t="s">
        <v>192</v>
      </c>
      <c r="F302" s="30">
        <v>1</v>
      </c>
      <c r="G302" s="30" t="s">
        <v>193</v>
      </c>
      <c r="H302" s="30" t="s">
        <v>194</v>
      </c>
      <c r="I302" s="30" t="s">
        <v>3933</v>
      </c>
      <c r="J302" s="30" t="s">
        <v>210</v>
      </c>
      <c r="K302" s="30">
        <v>18</v>
      </c>
      <c r="L302" s="30" t="s">
        <v>484</v>
      </c>
      <c r="M302" s="30" t="str">
        <f t="shared" si="4"/>
        <v>251401</v>
      </c>
      <c r="N302" s="30">
        <v>1</v>
      </c>
    </row>
    <row r="303" spans="1:14" x14ac:dyDescent="0.25">
      <c r="A303" s="35" t="s">
        <v>3934</v>
      </c>
      <c r="B303" s="35" t="s">
        <v>3935</v>
      </c>
      <c r="C303" s="35" t="s">
        <v>3936</v>
      </c>
      <c r="D303" s="30" t="s">
        <v>3932</v>
      </c>
      <c r="E303" s="30" t="s">
        <v>192</v>
      </c>
      <c r="F303" s="30">
        <v>1</v>
      </c>
      <c r="G303" s="30" t="s">
        <v>193</v>
      </c>
      <c r="H303" s="30" t="s">
        <v>194</v>
      </c>
      <c r="I303" s="30" t="s">
        <v>3933</v>
      </c>
      <c r="J303" s="30" t="s">
        <v>238</v>
      </c>
      <c r="K303" s="30">
        <v>18</v>
      </c>
      <c r="L303" s="30" t="s">
        <v>3937</v>
      </c>
      <c r="M303" s="30" t="str">
        <f t="shared" si="4"/>
        <v>311705</v>
      </c>
      <c r="N303" s="30">
        <v>1</v>
      </c>
    </row>
    <row r="304" spans="1:14" x14ac:dyDescent="0.25">
      <c r="A304" s="35" t="s">
        <v>1376</v>
      </c>
      <c r="B304" s="35" t="s">
        <v>3938</v>
      </c>
      <c r="C304" s="35" t="s">
        <v>153</v>
      </c>
      <c r="D304" s="30" t="s">
        <v>3932</v>
      </c>
      <c r="E304" s="30" t="s">
        <v>233</v>
      </c>
      <c r="F304" s="30">
        <v>1</v>
      </c>
      <c r="G304" s="30" t="s">
        <v>193</v>
      </c>
      <c r="H304" s="30" t="s">
        <v>194</v>
      </c>
      <c r="I304" s="30" t="s">
        <v>3933</v>
      </c>
      <c r="J304" s="30" t="s">
        <v>210</v>
      </c>
      <c r="K304" s="30">
        <v>18</v>
      </c>
      <c r="L304" s="30" t="s">
        <v>2293</v>
      </c>
      <c r="M304" s="30" t="str">
        <f t="shared" si="4"/>
        <v>333903</v>
      </c>
      <c r="N304" s="30">
        <v>1</v>
      </c>
    </row>
    <row r="305" spans="1:14" x14ac:dyDescent="0.25">
      <c r="A305" s="35" t="s">
        <v>638</v>
      </c>
      <c r="B305" s="35" t="s">
        <v>189</v>
      </c>
      <c r="C305" s="35" t="s">
        <v>190</v>
      </c>
      <c r="D305" s="30" t="s">
        <v>3932</v>
      </c>
      <c r="E305" s="30" t="s">
        <v>233</v>
      </c>
      <c r="F305" s="30">
        <v>1</v>
      </c>
      <c r="G305" s="30" t="s">
        <v>193</v>
      </c>
      <c r="H305" s="30" t="s">
        <v>194</v>
      </c>
      <c r="I305" s="30" t="s">
        <v>3933</v>
      </c>
      <c r="J305" s="30" t="s">
        <v>285</v>
      </c>
      <c r="K305" s="30">
        <v>18</v>
      </c>
      <c r="L305" s="30" t="s">
        <v>197</v>
      </c>
      <c r="M305" s="30" t="str">
        <f t="shared" si="4"/>
        <v>112012</v>
      </c>
      <c r="N305" s="30">
        <v>1</v>
      </c>
    </row>
    <row r="306" spans="1:14" x14ac:dyDescent="0.25">
      <c r="A306" s="35" t="s">
        <v>638</v>
      </c>
      <c r="B306" s="35" t="s">
        <v>2087</v>
      </c>
      <c r="C306" s="35" t="s">
        <v>66</v>
      </c>
      <c r="D306" s="30" t="s">
        <v>3932</v>
      </c>
      <c r="E306" s="30" t="s">
        <v>233</v>
      </c>
      <c r="F306" s="30">
        <v>1</v>
      </c>
      <c r="G306" s="30" t="s">
        <v>193</v>
      </c>
      <c r="H306" s="30" t="s">
        <v>194</v>
      </c>
      <c r="I306" s="30" t="s">
        <v>3933</v>
      </c>
      <c r="J306" s="30" t="s">
        <v>196</v>
      </c>
      <c r="K306" s="30">
        <v>18</v>
      </c>
      <c r="L306" s="30" t="s">
        <v>1503</v>
      </c>
      <c r="M306" s="30" t="str">
        <f t="shared" si="4"/>
        <v>241107</v>
      </c>
      <c r="N306" s="30">
        <v>1</v>
      </c>
    </row>
    <row r="307" spans="1:14" x14ac:dyDescent="0.25">
      <c r="A307" s="35" t="s">
        <v>3939</v>
      </c>
      <c r="B307" s="35" t="s">
        <v>3940</v>
      </c>
      <c r="C307" s="35" t="s">
        <v>617</v>
      </c>
      <c r="D307" s="30" t="s">
        <v>3932</v>
      </c>
      <c r="E307" s="30" t="s">
        <v>192</v>
      </c>
      <c r="F307" s="30">
        <v>1</v>
      </c>
      <c r="G307" s="30" t="s">
        <v>193</v>
      </c>
      <c r="H307" s="30" t="s">
        <v>194</v>
      </c>
      <c r="I307" s="30" t="s">
        <v>3852</v>
      </c>
      <c r="J307" s="30" t="s">
        <v>210</v>
      </c>
      <c r="K307" s="30">
        <v>18</v>
      </c>
      <c r="L307" s="30" t="s">
        <v>618</v>
      </c>
      <c r="M307" s="30" t="str">
        <f t="shared" si="4"/>
        <v>332104</v>
      </c>
      <c r="N307" s="30">
        <v>1</v>
      </c>
    </row>
    <row r="308" spans="1:14" x14ac:dyDescent="0.25">
      <c r="A308" s="35" t="s">
        <v>495</v>
      </c>
      <c r="B308" s="35" t="s">
        <v>3941</v>
      </c>
      <c r="C308" s="35" t="s">
        <v>10</v>
      </c>
      <c r="D308" s="30" t="s">
        <v>3932</v>
      </c>
      <c r="E308" s="30" t="s">
        <v>192</v>
      </c>
      <c r="F308" s="30">
        <v>1</v>
      </c>
      <c r="G308" s="30" t="s">
        <v>193</v>
      </c>
      <c r="H308" s="30" t="s">
        <v>194</v>
      </c>
      <c r="I308" s="30" t="s">
        <v>3933</v>
      </c>
      <c r="J308" s="30" t="s">
        <v>210</v>
      </c>
      <c r="K308" s="30">
        <v>18</v>
      </c>
      <c r="L308" s="30" t="s">
        <v>484</v>
      </c>
      <c r="M308" s="30" t="str">
        <f t="shared" si="4"/>
        <v>251401</v>
      </c>
      <c r="N308" s="30">
        <v>1</v>
      </c>
    </row>
    <row r="309" spans="1:14" x14ac:dyDescent="0.25">
      <c r="A309" s="35" t="s">
        <v>3942</v>
      </c>
      <c r="B309" s="35" t="s">
        <v>3943</v>
      </c>
      <c r="C309" s="35" t="s">
        <v>17</v>
      </c>
      <c r="D309" s="30" t="s">
        <v>3932</v>
      </c>
      <c r="E309" s="30" t="s">
        <v>233</v>
      </c>
      <c r="F309" s="30">
        <v>1</v>
      </c>
      <c r="G309" s="30" t="s">
        <v>193</v>
      </c>
      <c r="H309" s="30" t="s">
        <v>194</v>
      </c>
      <c r="I309" s="30" t="s">
        <v>3933</v>
      </c>
      <c r="J309" s="30" t="s">
        <v>3944</v>
      </c>
      <c r="K309" s="30">
        <v>18</v>
      </c>
      <c r="L309" s="30" t="s">
        <v>624</v>
      </c>
      <c r="M309" s="30" t="str">
        <f t="shared" si="4"/>
        <v>332203</v>
      </c>
      <c r="N309" s="30">
        <v>1</v>
      </c>
    </row>
    <row r="310" spans="1:14" x14ac:dyDescent="0.25">
      <c r="A310" s="35" t="s">
        <v>3945</v>
      </c>
      <c r="B310" s="35" t="s">
        <v>632</v>
      </c>
      <c r="C310" s="35" t="s">
        <v>17</v>
      </c>
      <c r="D310" s="30" t="s">
        <v>3932</v>
      </c>
      <c r="E310" s="30" t="s">
        <v>233</v>
      </c>
      <c r="F310" s="30">
        <v>1</v>
      </c>
      <c r="G310" s="30" t="s">
        <v>193</v>
      </c>
      <c r="H310" s="30" t="s">
        <v>194</v>
      </c>
      <c r="I310" s="30" t="s">
        <v>3933</v>
      </c>
      <c r="J310" s="30" t="s">
        <v>648</v>
      </c>
      <c r="K310" s="30">
        <v>18</v>
      </c>
      <c r="L310" s="30" t="s">
        <v>624</v>
      </c>
      <c r="M310" s="30" t="str">
        <f t="shared" si="4"/>
        <v>332203</v>
      </c>
      <c r="N310" s="30">
        <v>1</v>
      </c>
    </row>
    <row r="311" spans="1:14" x14ac:dyDescent="0.25">
      <c r="A311" s="35" t="s">
        <v>3946</v>
      </c>
      <c r="B311" s="35" t="s">
        <v>8</v>
      </c>
      <c r="C311" s="35" t="s">
        <v>740</v>
      </c>
      <c r="D311" s="30" t="s">
        <v>3932</v>
      </c>
      <c r="E311" s="30" t="s">
        <v>192</v>
      </c>
      <c r="F311" s="30">
        <v>1</v>
      </c>
      <c r="G311" s="30" t="s">
        <v>193</v>
      </c>
      <c r="H311" s="30" t="s">
        <v>194</v>
      </c>
      <c r="I311" s="30" t="s">
        <v>3933</v>
      </c>
      <c r="J311" s="30" t="s">
        <v>267</v>
      </c>
      <c r="K311" s="30">
        <v>18</v>
      </c>
      <c r="L311" s="30" t="s">
        <v>741</v>
      </c>
      <c r="M311" s="30" t="str">
        <f t="shared" si="4"/>
        <v>522301</v>
      </c>
      <c r="N311" s="30">
        <v>1</v>
      </c>
    </row>
    <row r="312" spans="1:14" x14ac:dyDescent="0.25">
      <c r="A312" s="35" t="s">
        <v>888</v>
      </c>
      <c r="B312" s="35" t="s">
        <v>3947</v>
      </c>
      <c r="C312" s="35" t="s">
        <v>119</v>
      </c>
      <c r="D312" s="30" t="s">
        <v>3932</v>
      </c>
      <c r="E312" s="30" t="s">
        <v>217</v>
      </c>
      <c r="F312" s="30">
        <v>1</v>
      </c>
      <c r="G312" s="30" t="s">
        <v>193</v>
      </c>
      <c r="H312" s="30" t="s">
        <v>194</v>
      </c>
      <c r="I312" s="30" t="s">
        <v>3879</v>
      </c>
      <c r="J312" s="30" t="s">
        <v>408</v>
      </c>
      <c r="K312" s="30">
        <v>18</v>
      </c>
      <c r="L312" s="30" t="s">
        <v>666</v>
      </c>
      <c r="M312" s="30" t="str">
        <f t="shared" si="4"/>
        <v>333105</v>
      </c>
      <c r="N312" s="30">
        <v>1</v>
      </c>
    </row>
    <row r="313" spans="1:14" x14ac:dyDescent="0.25">
      <c r="A313" s="35" t="s">
        <v>888</v>
      </c>
      <c r="B313" s="35" t="s">
        <v>2373</v>
      </c>
      <c r="C313" s="35" t="s">
        <v>1402</v>
      </c>
      <c r="D313" s="30" t="s">
        <v>3932</v>
      </c>
      <c r="E313" s="30" t="s">
        <v>192</v>
      </c>
      <c r="F313" s="30">
        <v>1</v>
      </c>
      <c r="G313" s="30" t="s">
        <v>193</v>
      </c>
      <c r="H313" s="30" t="s">
        <v>194</v>
      </c>
      <c r="I313" s="30" t="s">
        <v>3879</v>
      </c>
      <c r="J313" s="30" t="s">
        <v>276</v>
      </c>
      <c r="K313" s="30">
        <v>18</v>
      </c>
      <c r="L313" s="30" t="s">
        <v>1403</v>
      </c>
      <c r="M313" s="30" t="str">
        <f t="shared" si="4"/>
        <v>242228</v>
      </c>
      <c r="N313" s="30">
        <v>1</v>
      </c>
    </row>
    <row r="314" spans="1:14" x14ac:dyDescent="0.25">
      <c r="A314" s="35" t="s">
        <v>3948</v>
      </c>
      <c r="B314" s="35" t="s">
        <v>3949</v>
      </c>
      <c r="C314" s="35" t="s">
        <v>10</v>
      </c>
      <c r="D314" s="30" t="s">
        <v>3932</v>
      </c>
      <c r="E314" s="30" t="s">
        <v>192</v>
      </c>
      <c r="F314" s="30">
        <v>1</v>
      </c>
      <c r="G314" s="30" t="s">
        <v>193</v>
      </c>
      <c r="H314" s="30" t="s">
        <v>194</v>
      </c>
      <c r="I314" s="30" t="s">
        <v>3879</v>
      </c>
      <c r="J314" s="30" t="s">
        <v>210</v>
      </c>
      <c r="K314" s="30">
        <v>18</v>
      </c>
      <c r="L314" s="30" t="s">
        <v>484</v>
      </c>
      <c r="M314" s="30" t="str">
        <f t="shared" si="4"/>
        <v>251401</v>
      </c>
      <c r="N314" s="30">
        <v>1</v>
      </c>
    </row>
    <row r="315" spans="1:14" x14ac:dyDescent="0.25">
      <c r="A315" s="35" t="s">
        <v>1939</v>
      </c>
      <c r="B315" s="35" t="s">
        <v>2630</v>
      </c>
      <c r="C315" s="35" t="s">
        <v>3950</v>
      </c>
      <c r="D315" s="30" t="s">
        <v>3932</v>
      </c>
      <c r="E315" s="30" t="s">
        <v>192</v>
      </c>
      <c r="F315" s="30">
        <v>1</v>
      </c>
      <c r="G315" s="30" t="s">
        <v>193</v>
      </c>
      <c r="H315" s="30" t="s">
        <v>194</v>
      </c>
      <c r="I315" s="30" t="s">
        <v>3879</v>
      </c>
      <c r="J315" s="30" t="s">
        <v>385</v>
      </c>
      <c r="K315" s="30">
        <v>18</v>
      </c>
      <c r="L315" s="30" t="s">
        <v>3951</v>
      </c>
      <c r="M315" s="30" t="str">
        <f t="shared" si="4"/>
        <v>229103</v>
      </c>
      <c r="N315" s="30">
        <v>1</v>
      </c>
    </row>
    <row r="316" spans="1:14" x14ac:dyDescent="0.25">
      <c r="A316" s="35" t="s">
        <v>3952</v>
      </c>
      <c r="B316" s="35" t="s">
        <v>3953</v>
      </c>
      <c r="C316" s="35" t="s">
        <v>37</v>
      </c>
      <c r="D316" s="30" t="s">
        <v>3932</v>
      </c>
      <c r="E316" s="30" t="s">
        <v>192</v>
      </c>
      <c r="F316" s="30">
        <v>1</v>
      </c>
      <c r="G316" s="30" t="s">
        <v>193</v>
      </c>
      <c r="H316" s="30" t="s">
        <v>194</v>
      </c>
      <c r="I316" s="30" t="s">
        <v>3933</v>
      </c>
      <c r="J316" s="30" t="s">
        <v>210</v>
      </c>
      <c r="K316" s="30">
        <v>18</v>
      </c>
      <c r="L316" s="30" t="s">
        <v>516</v>
      </c>
      <c r="M316" s="30" t="str">
        <f t="shared" si="4"/>
        <v>252302</v>
      </c>
      <c r="N316" s="30">
        <v>1</v>
      </c>
    </row>
    <row r="317" spans="1:14" x14ac:dyDescent="0.25">
      <c r="A317" s="35" t="s">
        <v>3954</v>
      </c>
      <c r="B317" s="35" t="s">
        <v>3955</v>
      </c>
      <c r="C317" s="35" t="s">
        <v>3449</v>
      </c>
      <c r="D317" s="30" t="s">
        <v>3932</v>
      </c>
      <c r="E317" s="30" t="s">
        <v>192</v>
      </c>
      <c r="F317" s="30">
        <v>1</v>
      </c>
      <c r="G317" s="30" t="s">
        <v>193</v>
      </c>
      <c r="H317" s="30" t="s">
        <v>194</v>
      </c>
      <c r="I317" s="30" t="s">
        <v>3852</v>
      </c>
      <c r="J317" s="30" t="s">
        <v>210</v>
      </c>
      <c r="K317" s="30">
        <v>18</v>
      </c>
      <c r="L317" s="30" t="s">
        <v>3450</v>
      </c>
      <c r="M317" s="30" t="str">
        <f t="shared" si="4"/>
        <v>311930</v>
      </c>
      <c r="N317" s="30">
        <v>1</v>
      </c>
    </row>
    <row r="318" spans="1:14" x14ac:dyDescent="0.25">
      <c r="A318" s="35" t="s">
        <v>3956</v>
      </c>
      <c r="B318" s="35" t="s">
        <v>3068</v>
      </c>
      <c r="C318" s="35" t="s">
        <v>35</v>
      </c>
      <c r="D318" s="30" t="s">
        <v>3932</v>
      </c>
      <c r="E318" s="30" t="s">
        <v>192</v>
      </c>
      <c r="F318" s="30">
        <v>1</v>
      </c>
      <c r="G318" s="30" t="s">
        <v>193</v>
      </c>
      <c r="H318" s="30" t="s">
        <v>194</v>
      </c>
      <c r="I318" s="30" t="s">
        <v>3879</v>
      </c>
      <c r="J318" s="30" t="s">
        <v>210</v>
      </c>
      <c r="K318" s="30">
        <v>18</v>
      </c>
      <c r="L318" s="30" t="s">
        <v>207</v>
      </c>
      <c r="M318" s="30" t="str">
        <f t="shared" si="4"/>
        <v>122106</v>
      </c>
      <c r="N318" s="30">
        <v>1</v>
      </c>
    </row>
    <row r="319" spans="1:14" x14ac:dyDescent="0.25">
      <c r="A319" s="35" t="s">
        <v>3956</v>
      </c>
      <c r="B319" s="35" t="s">
        <v>3957</v>
      </c>
      <c r="C319" s="35" t="s">
        <v>17</v>
      </c>
      <c r="D319" s="30" t="s">
        <v>3932</v>
      </c>
      <c r="E319" s="30" t="s">
        <v>192</v>
      </c>
      <c r="F319" s="30">
        <v>1</v>
      </c>
      <c r="G319" s="30" t="s">
        <v>193</v>
      </c>
      <c r="H319" s="30" t="s">
        <v>194</v>
      </c>
      <c r="I319" s="30" t="s">
        <v>3879</v>
      </c>
      <c r="J319" s="30" t="s">
        <v>210</v>
      </c>
      <c r="K319" s="30">
        <v>18</v>
      </c>
      <c r="L319" s="30" t="s">
        <v>624</v>
      </c>
      <c r="M319" s="30" t="str">
        <f t="shared" si="4"/>
        <v>332203</v>
      </c>
      <c r="N319" s="30">
        <v>1</v>
      </c>
    </row>
    <row r="320" spans="1:14" x14ac:dyDescent="0.25">
      <c r="A320" s="35" t="s">
        <v>3958</v>
      </c>
      <c r="B320" s="35" t="s">
        <v>3959</v>
      </c>
      <c r="C320" s="35" t="s">
        <v>74</v>
      </c>
      <c r="D320" s="30" t="s">
        <v>3932</v>
      </c>
      <c r="E320" s="30" t="s">
        <v>192</v>
      </c>
      <c r="F320" s="30">
        <v>1</v>
      </c>
      <c r="G320" s="30" t="s">
        <v>193</v>
      </c>
      <c r="H320" s="30" t="s">
        <v>194</v>
      </c>
      <c r="I320" s="30" t="s">
        <v>3960</v>
      </c>
      <c r="J320" s="30" t="s">
        <v>267</v>
      </c>
      <c r="K320" s="30">
        <v>18</v>
      </c>
      <c r="L320" s="30" t="s">
        <v>246</v>
      </c>
      <c r="M320" s="30" t="str">
        <f t="shared" si="4"/>
        <v>142004</v>
      </c>
      <c r="N320" s="30">
        <v>1</v>
      </c>
    </row>
    <row r="321" spans="1:14" x14ac:dyDescent="0.25">
      <c r="A321" s="35" t="s">
        <v>2823</v>
      </c>
      <c r="B321" s="35" t="s">
        <v>2460</v>
      </c>
      <c r="C321" s="35" t="s">
        <v>27</v>
      </c>
      <c r="D321" s="30" t="s">
        <v>3932</v>
      </c>
      <c r="E321" s="30" t="s">
        <v>192</v>
      </c>
      <c r="F321" s="30">
        <v>1</v>
      </c>
      <c r="G321" s="30" t="s">
        <v>193</v>
      </c>
      <c r="H321" s="30" t="s">
        <v>194</v>
      </c>
      <c r="I321" s="30" t="s">
        <v>3879</v>
      </c>
      <c r="J321" s="30" t="s">
        <v>276</v>
      </c>
      <c r="K321" s="30">
        <v>18</v>
      </c>
      <c r="L321" s="30" t="s">
        <v>440</v>
      </c>
      <c r="M321" s="30" t="str">
        <f t="shared" si="4"/>
        <v>242307</v>
      </c>
      <c r="N321" s="30">
        <v>1</v>
      </c>
    </row>
    <row r="322" spans="1:14" x14ac:dyDescent="0.25">
      <c r="A322" s="35" t="s">
        <v>3961</v>
      </c>
      <c r="B322" s="35" t="s">
        <v>1681</v>
      </c>
      <c r="C322" s="35" t="s">
        <v>150</v>
      </c>
      <c r="D322" s="30" t="s">
        <v>3932</v>
      </c>
      <c r="E322" s="30" t="s">
        <v>233</v>
      </c>
      <c r="F322" s="30">
        <v>1</v>
      </c>
      <c r="G322" s="30" t="s">
        <v>193</v>
      </c>
      <c r="H322" s="30" t="s">
        <v>194</v>
      </c>
      <c r="I322" s="30" t="s">
        <v>3879</v>
      </c>
      <c r="J322" s="30" t="s">
        <v>323</v>
      </c>
      <c r="K322" s="30">
        <v>18</v>
      </c>
      <c r="L322" s="30" t="s">
        <v>1274</v>
      </c>
      <c r="M322" s="30" t="str">
        <f t="shared" si="4"/>
        <v>132105</v>
      </c>
      <c r="N322" s="30">
        <v>1</v>
      </c>
    </row>
    <row r="323" spans="1:14" x14ac:dyDescent="0.25">
      <c r="A323" s="35" t="s">
        <v>527</v>
      </c>
      <c r="B323" s="35" t="s">
        <v>2557</v>
      </c>
      <c r="C323" s="35" t="s">
        <v>122</v>
      </c>
      <c r="D323" s="30" t="s">
        <v>3932</v>
      </c>
      <c r="E323" s="30" t="s">
        <v>192</v>
      </c>
      <c r="F323" s="30">
        <v>1</v>
      </c>
      <c r="G323" s="30" t="s">
        <v>193</v>
      </c>
      <c r="H323" s="30" t="s">
        <v>194</v>
      </c>
      <c r="I323" s="30" t="s">
        <v>3879</v>
      </c>
      <c r="J323" s="30" t="s">
        <v>385</v>
      </c>
      <c r="K323" s="30">
        <v>18</v>
      </c>
      <c r="L323" s="30" t="s">
        <v>655</v>
      </c>
      <c r="M323" s="30" t="str">
        <f t="shared" ref="M323:M386" si="5">MID(L323,8,6)</f>
        <v>332301</v>
      </c>
      <c r="N323" s="30">
        <v>1</v>
      </c>
    </row>
    <row r="324" spans="1:14" x14ac:dyDescent="0.25">
      <c r="A324" s="35" t="s">
        <v>527</v>
      </c>
      <c r="B324" s="35" t="s">
        <v>313</v>
      </c>
      <c r="C324" s="35" t="s">
        <v>345</v>
      </c>
      <c r="D324" s="30" t="s">
        <v>3932</v>
      </c>
      <c r="E324" s="30" t="s">
        <v>192</v>
      </c>
      <c r="F324" s="30">
        <v>1</v>
      </c>
      <c r="G324" s="30" t="s">
        <v>193</v>
      </c>
      <c r="H324" s="30" t="s">
        <v>194</v>
      </c>
      <c r="I324" s="30" t="s">
        <v>3960</v>
      </c>
      <c r="J324" s="30" t="s">
        <v>367</v>
      </c>
      <c r="K324" s="30">
        <v>18</v>
      </c>
      <c r="L324" s="30" t="s">
        <v>346</v>
      </c>
      <c r="M324" s="30" t="str">
        <f t="shared" si="5"/>
        <v>214931</v>
      </c>
      <c r="N324" s="30">
        <v>1</v>
      </c>
    </row>
    <row r="325" spans="1:14" x14ac:dyDescent="0.25">
      <c r="A325" s="35" t="s">
        <v>751</v>
      </c>
      <c r="B325" s="35" t="s">
        <v>1135</v>
      </c>
      <c r="C325" s="35" t="s">
        <v>43</v>
      </c>
      <c r="D325" s="30" t="s">
        <v>3932</v>
      </c>
      <c r="E325" s="30" t="s">
        <v>233</v>
      </c>
      <c r="F325" s="30">
        <v>1</v>
      </c>
      <c r="G325" s="30" t="s">
        <v>193</v>
      </c>
      <c r="H325" s="30" t="s">
        <v>194</v>
      </c>
      <c r="I325" s="30" t="s">
        <v>3879</v>
      </c>
      <c r="J325" s="30" t="s">
        <v>253</v>
      </c>
      <c r="K325" s="30">
        <v>18</v>
      </c>
      <c r="L325" s="30" t="s">
        <v>452</v>
      </c>
      <c r="M325" s="30" t="str">
        <f t="shared" si="5"/>
        <v>243106</v>
      </c>
      <c r="N325" s="30">
        <v>1</v>
      </c>
    </row>
    <row r="326" spans="1:14" x14ac:dyDescent="0.25">
      <c r="A326" s="35" t="s">
        <v>2984</v>
      </c>
      <c r="B326" s="35" t="s">
        <v>2985</v>
      </c>
      <c r="C326" s="35" t="s">
        <v>17</v>
      </c>
      <c r="D326" s="30" t="s">
        <v>3932</v>
      </c>
      <c r="E326" s="30" t="s">
        <v>192</v>
      </c>
      <c r="F326" s="30">
        <v>1</v>
      </c>
      <c r="G326" s="30" t="s">
        <v>193</v>
      </c>
      <c r="H326" s="30" t="s">
        <v>194</v>
      </c>
      <c r="I326" s="30" t="s">
        <v>3879</v>
      </c>
      <c r="J326" s="30" t="s">
        <v>238</v>
      </c>
      <c r="K326" s="30">
        <v>18</v>
      </c>
      <c r="L326" s="30" t="s">
        <v>624</v>
      </c>
      <c r="M326" s="30" t="str">
        <f t="shared" si="5"/>
        <v>332203</v>
      </c>
      <c r="N326" s="30">
        <v>1</v>
      </c>
    </row>
    <row r="327" spans="1:14" x14ac:dyDescent="0.25">
      <c r="A327" s="35" t="s">
        <v>1147</v>
      </c>
      <c r="B327" s="35" t="s">
        <v>681</v>
      </c>
      <c r="C327" s="35" t="s">
        <v>678</v>
      </c>
      <c r="D327" s="30" t="s">
        <v>3932</v>
      </c>
      <c r="E327" s="30" t="s">
        <v>233</v>
      </c>
      <c r="F327" s="30">
        <v>1</v>
      </c>
      <c r="G327" s="30" t="s">
        <v>193</v>
      </c>
      <c r="H327" s="30" t="s">
        <v>194</v>
      </c>
      <c r="I327" s="30" t="s">
        <v>3879</v>
      </c>
      <c r="J327" s="30" t="s">
        <v>1149</v>
      </c>
      <c r="K327" s="30">
        <v>18</v>
      </c>
      <c r="L327" s="30" t="s">
        <v>679</v>
      </c>
      <c r="M327" s="30" t="str">
        <f t="shared" si="5"/>
        <v>333404</v>
      </c>
      <c r="N327" s="30">
        <v>1</v>
      </c>
    </row>
    <row r="328" spans="1:14" x14ac:dyDescent="0.25">
      <c r="A328" s="35" t="s">
        <v>3962</v>
      </c>
      <c r="B328" s="35" t="s">
        <v>2057</v>
      </c>
      <c r="C328" s="35" t="s">
        <v>688</v>
      </c>
      <c r="D328" s="30" t="s">
        <v>3932</v>
      </c>
      <c r="E328" s="30" t="s">
        <v>192</v>
      </c>
      <c r="F328" s="30">
        <v>1</v>
      </c>
      <c r="G328" s="30" t="s">
        <v>193</v>
      </c>
      <c r="H328" s="30" t="s">
        <v>194</v>
      </c>
      <c r="I328" s="30" t="s">
        <v>3879</v>
      </c>
      <c r="J328" s="30" t="s">
        <v>210</v>
      </c>
      <c r="K328" s="30">
        <v>18</v>
      </c>
      <c r="L328" s="30" t="s">
        <v>689</v>
      </c>
      <c r="M328" s="30" t="str">
        <f t="shared" si="5"/>
        <v>343402</v>
      </c>
      <c r="N328" s="30">
        <v>1</v>
      </c>
    </row>
    <row r="329" spans="1:14" x14ac:dyDescent="0.25">
      <c r="A329" s="35" t="s">
        <v>411</v>
      </c>
      <c r="B329" s="35" t="s">
        <v>948</v>
      </c>
      <c r="C329" s="35" t="s">
        <v>9</v>
      </c>
      <c r="D329" s="30" t="s">
        <v>3932</v>
      </c>
      <c r="E329" s="30" t="s">
        <v>192</v>
      </c>
      <c r="F329" s="30">
        <v>1</v>
      </c>
      <c r="G329" s="30" t="s">
        <v>193</v>
      </c>
      <c r="H329" s="30" t="s">
        <v>194</v>
      </c>
      <c r="I329" s="30" t="s">
        <v>3879</v>
      </c>
      <c r="J329" s="30" t="s">
        <v>276</v>
      </c>
      <c r="K329" s="30">
        <v>18</v>
      </c>
      <c r="L329" s="30" t="s">
        <v>405</v>
      </c>
      <c r="M329" s="30" t="str">
        <f t="shared" si="5"/>
        <v>241304</v>
      </c>
      <c r="N329" s="30">
        <v>1</v>
      </c>
    </row>
    <row r="330" spans="1:14" x14ac:dyDescent="0.25">
      <c r="A330" s="35" t="s">
        <v>3963</v>
      </c>
      <c r="B330" s="35" t="s">
        <v>3964</v>
      </c>
      <c r="C330" s="35" t="s">
        <v>17</v>
      </c>
      <c r="D330" s="30" t="s">
        <v>3932</v>
      </c>
      <c r="E330" s="30" t="s">
        <v>192</v>
      </c>
      <c r="F330" s="30">
        <v>1</v>
      </c>
      <c r="G330" s="30" t="s">
        <v>193</v>
      </c>
      <c r="H330" s="30" t="s">
        <v>194</v>
      </c>
      <c r="I330" s="30" t="s">
        <v>3879</v>
      </c>
      <c r="J330" s="30" t="s">
        <v>267</v>
      </c>
      <c r="K330" s="30">
        <v>18</v>
      </c>
      <c r="L330" s="30" t="s">
        <v>624</v>
      </c>
      <c r="M330" s="30" t="str">
        <f t="shared" si="5"/>
        <v>332203</v>
      </c>
      <c r="N330" s="30">
        <v>1</v>
      </c>
    </row>
    <row r="331" spans="1:14" x14ac:dyDescent="0.25">
      <c r="A331" s="35" t="s">
        <v>2093</v>
      </c>
      <c r="B331" s="35" t="s">
        <v>2697</v>
      </c>
      <c r="C331" s="35" t="s">
        <v>7</v>
      </c>
      <c r="D331" s="30" t="s">
        <v>3932</v>
      </c>
      <c r="E331" s="30" t="s">
        <v>233</v>
      </c>
      <c r="F331" s="30">
        <v>1</v>
      </c>
      <c r="G331" s="30" t="s">
        <v>193</v>
      </c>
      <c r="H331" s="30" t="s">
        <v>194</v>
      </c>
      <c r="I331" s="30" t="s">
        <v>3879</v>
      </c>
      <c r="J331" s="30" t="s">
        <v>385</v>
      </c>
      <c r="K331" s="30">
        <v>18</v>
      </c>
      <c r="L331" s="30" t="s">
        <v>2698</v>
      </c>
      <c r="M331" s="30" t="str">
        <f t="shared" si="5"/>
        <v>335203</v>
      </c>
      <c r="N331" s="30">
        <v>1</v>
      </c>
    </row>
    <row r="332" spans="1:14" x14ac:dyDescent="0.25">
      <c r="A332" s="35" t="s">
        <v>430</v>
      </c>
      <c r="B332" s="35" t="s">
        <v>1756</v>
      </c>
      <c r="C332" s="35" t="s">
        <v>50</v>
      </c>
      <c r="D332" s="30" t="s">
        <v>3932</v>
      </c>
      <c r="E332" s="30" t="s">
        <v>233</v>
      </c>
      <c r="F332" s="30">
        <v>1</v>
      </c>
      <c r="G332" s="30" t="s">
        <v>193</v>
      </c>
      <c r="H332" s="30" t="s">
        <v>194</v>
      </c>
      <c r="I332" s="30" t="s">
        <v>3960</v>
      </c>
      <c r="J332" s="30" t="s">
        <v>223</v>
      </c>
      <c r="K332" s="30">
        <v>18</v>
      </c>
      <c r="L332" s="30" t="s">
        <v>906</v>
      </c>
      <c r="M332" s="30" t="str">
        <f t="shared" si="5"/>
        <v>333101</v>
      </c>
      <c r="N332" s="30">
        <v>1</v>
      </c>
    </row>
    <row r="333" spans="1:14" x14ac:dyDescent="0.25">
      <c r="A333" s="35" t="s">
        <v>3965</v>
      </c>
      <c r="B333" s="35" t="s">
        <v>3966</v>
      </c>
      <c r="C333" s="35" t="s">
        <v>153</v>
      </c>
      <c r="D333" s="30" t="s">
        <v>3932</v>
      </c>
      <c r="E333" s="30" t="s">
        <v>192</v>
      </c>
      <c r="F333" s="30">
        <v>1</v>
      </c>
      <c r="G333" s="30" t="s">
        <v>193</v>
      </c>
      <c r="H333" s="30" t="s">
        <v>194</v>
      </c>
      <c r="I333" s="30" t="s">
        <v>3879</v>
      </c>
      <c r="J333" s="30" t="s">
        <v>253</v>
      </c>
      <c r="K333" s="30">
        <v>18</v>
      </c>
      <c r="L333" s="30" t="s">
        <v>2293</v>
      </c>
      <c r="M333" s="30" t="str">
        <f t="shared" si="5"/>
        <v>333903</v>
      </c>
      <c r="N333" s="30">
        <v>1</v>
      </c>
    </row>
    <row r="334" spans="1:14" x14ac:dyDescent="0.25">
      <c r="A334" s="35" t="s">
        <v>1787</v>
      </c>
      <c r="B334" s="35" t="s">
        <v>2523</v>
      </c>
      <c r="C334" s="35" t="s">
        <v>284</v>
      </c>
      <c r="D334" s="30" t="s">
        <v>3932</v>
      </c>
      <c r="E334" s="30" t="s">
        <v>192</v>
      </c>
      <c r="F334" s="30">
        <v>1</v>
      </c>
      <c r="G334" s="30" t="s">
        <v>193</v>
      </c>
      <c r="H334" s="30" t="s">
        <v>194</v>
      </c>
      <c r="I334" s="30" t="s">
        <v>3879</v>
      </c>
      <c r="J334" s="30" t="s">
        <v>253</v>
      </c>
      <c r="K334" s="30">
        <v>18</v>
      </c>
      <c r="L334" s="30" t="s">
        <v>286</v>
      </c>
      <c r="M334" s="30" t="str">
        <f t="shared" si="5"/>
        <v>214109</v>
      </c>
      <c r="N334" s="30">
        <v>1</v>
      </c>
    </row>
    <row r="335" spans="1:14" x14ac:dyDescent="0.25">
      <c r="A335" s="35" t="s">
        <v>1154</v>
      </c>
      <c r="B335" s="35" t="s">
        <v>3967</v>
      </c>
      <c r="C335" s="35" t="s">
        <v>3968</v>
      </c>
      <c r="D335" s="30" t="s">
        <v>3932</v>
      </c>
      <c r="E335" s="30" t="s">
        <v>252</v>
      </c>
      <c r="F335" s="30">
        <v>1</v>
      </c>
      <c r="G335" s="30" t="s">
        <v>193</v>
      </c>
      <c r="H335" s="30" t="s">
        <v>194</v>
      </c>
      <c r="I335" s="30" t="s">
        <v>3879</v>
      </c>
      <c r="J335" s="30" t="s">
        <v>210</v>
      </c>
      <c r="K335" s="30">
        <v>18</v>
      </c>
      <c r="L335" s="30" t="s">
        <v>3969</v>
      </c>
      <c r="M335" s="30" t="str">
        <f t="shared" si="5"/>
        <v>141103</v>
      </c>
      <c r="N335" s="30">
        <v>1</v>
      </c>
    </row>
    <row r="336" spans="1:14" x14ac:dyDescent="0.25">
      <c r="A336" s="35" t="s">
        <v>1040</v>
      </c>
      <c r="B336" s="35" t="s">
        <v>261</v>
      </c>
      <c r="C336" s="35" t="s">
        <v>74</v>
      </c>
      <c r="D336" s="30" t="s">
        <v>3932</v>
      </c>
      <c r="E336" s="30" t="s">
        <v>233</v>
      </c>
      <c r="F336" s="30">
        <v>1</v>
      </c>
      <c r="G336" s="30" t="s">
        <v>193</v>
      </c>
      <c r="H336" s="30" t="s">
        <v>194</v>
      </c>
      <c r="I336" s="30" t="s">
        <v>3879</v>
      </c>
      <c r="J336" s="30" t="s">
        <v>305</v>
      </c>
      <c r="K336" s="30">
        <v>18</v>
      </c>
      <c r="L336" s="30" t="s">
        <v>246</v>
      </c>
      <c r="M336" s="30" t="str">
        <f t="shared" si="5"/>
        <v>142004</v>
      </c>
      <c r="N336" s="30">
        <v>1</v>
      </c>
    </row>
    <row r="337" spans="1:14" x14ac:dyDescent="0.25">
      <c r="A337" s="35" t="s">
        <v>1040</v>
      </c>
      <c r="B337" s="35" t="s">
        <v>261</v>
      </c>
      <c r="C337" s="35" t="s">
        <v>74</v>
      </c>
      <c r="D337" s="30" t="s">
        <v>3932</v>
      </c>
      <c r="E337" s="30" t="s">
        <v>233</v>
      </c>
      <c r="F337" s="30">
        <v>1</v>
      </c>
      <c r="G337" s="30" t="s">
        <v>193</v>
      </c>
      <c r="H337" s="30" t="s">
        <v>194</v>
      </c>
      <c r="I337" s="30" t="s">
        <v>3879</v>
      </c>
      <c r="J337" s="30" t="s">
        <v>210</v>
      </c>
      <c r="K337" s="30">
        <v>18</v>
      </c>
      <c r="L337" s="30" t="s">
        <v>246</v>
      </c>
      <c r="M337" s="30" t="str">
        <f t="shared" si="5"/>
        <v>142004</v>
      </c>
      <c r="N337" s="30">
        <v>1</v>
      </c>
    </row>
    <row r="338" spans="1:14" x14ac:dyDescent="0.25">
      <c r="A338" s="35" t="s">
        <v>1040</v>
      </c>
      <c r="B338" s="35" t="s">
        <v>8</v>
      </c>
      <c r="C338" s="35" t="s">
        <v>740</v>
      </c>
      <c r="D338" s="30" t="s">
        <v>3932</v>
      </c>
      <c r="E338" s="30" t="s">
        <v>233</v>
      </c>
      <c r="F338" s="30">
        <v>1</v>
      </c>
      <c r="G338" s="30" t="s">
        <v>193</v>
      </c>
      <c r="H338" s="30" t="s">
        <v>194</v>
      </c>
      <c r="I338" s="30" t="s">
        <v>3879</v>
      </c>
      <c r="J338" s="30" t="s">
        <v>210</v>
      </c>
      <c r="K338" s="30">
        <v>18</v>
      </c>
      <c r="L338" s="30" t="s">
        <v>741</v>
      </c>
      <c r="M338" s="30" t="str">
        <f t="shared" si="5"/>
        <v>522301</v>
      </c>
      <c r="N338" s="30">
        <v>1</v>
      </c>
    </row>
    <row r="339" spans="1:14" x14ac:dyDescent="0.25">
      <c r="A339" s="35" t="s">
        <v>2297</v>
      </c>
      <c r="B339" s="35" t="s">
        <v>2298</v>
      </c>
      <c r="C339" s="35" t="s">
        <v>17</v>
      </c>
      <c r="D339" s="30" t="s">
        <v>3932</v>
      </c>
      <c r="E339" s="30" t="s">
        <v>233</v>
      </c>
      <c r="F339" s="30">
        <v>1</v>
      </c>
      <c r="G339" s="30" t="s">
        <v>193</v>
      </c>
      <c r="H339" s="30" t="s">
        <v>194</v>
      </c>
      <c r="I339" s="30" t="s">
        <v>3879</v>
      </c>
      <c r="J339" s="30" t="s">
        <v>962</v>
      </c>
      <c r="K339" s="30">
        <v>18</v>
      </c>
      <c r="L339" s="30" t="s">
        <v>624</v>
      </c>
      <c r="M339" s="30" t="str">
        <f t="shared" si="5"/>
        <v>332203</v>
      </c>
      <c r="N339" s="30">
        <v>1</v>
      </c>
    </row>
    <row r="340" spans="1:14" x14ac:dyDescent="0.25">
      <c r="A340" s="35" t="s">
        <v>2769</v>
      </c>
      <c r="B340" s="35" t="s">
        <v>3970</v>
      </c>
      <c r="C340" s="35" t="s">
        <v>21</v>
      </c>
      <c r="D340" s="30" t="s">
        <v>3932</v>
      </c>
      <c r="E340" s="30" t="s">
        <v>233</v>
      </c>
      <c r="F340" s="30">
        <v>1</v>
      </c>
      <c r="G340" s="30" t="s">
        <v>193</v>
      </c>
      <c r="H340" s="30" t="s">
        <v>194</v>
      </c>
      <c r="I340" s="30" t="s">
        <v>3879</v>
      </c>
      <c r="J340" s="30" t="s">
        <v>210</v>
      </c>
      <c r="K340" s="30">
        <v>18</v>
      </c>
      <c r="L340" s="30" t="s">
        <v>293</v>
      </c>
      <c r="M340" s="30" t="str">
        <f t="shared" si="5"/>
        <v>214202</v>
      </c>
      <c r="N340" s="30">
        <v>1</v>
      </c>
    </row>
    <row r="341" spans="1:14" x14ac:dyDescent="0.25">
      <c r="A341" s="35" t="s">
        <v>3644</v>
      </c>
      <c r="B341" s="35" t="s">
        <v>3971</v>
      </c>
      <c r="C341" s="35" t="s">
        <v>1451</v>
      </c>
      <c r="D341" s="30" t="s">
        <v>3932</v>
      </c>
      <c r="E341" s="30" t="s">
        <v>217</v>
      </c>
      <c r="F341" s="84">
        <v>0</v>
      </c>
      <c r="G341" s="84" t="s">
        <v>194</v>
      </c>
      <c r="H341" s="30" t="s">
        <v>193</v>
      </c>
      <c r="I341" s="30" t="s">
        <v>3879</v>
      </c>
      <c r="J341" s="30" t="s">
        <v>3609</v>
      </c>
      <c r="K341" s="30">
        <v>18</v>
      </c>
      <c r="L341" s="30" t="s">
        <v>1452</v>
      </c>
      <c r="M341" s="30" t="str">
        <f t="shared" si="5"/>
        <v>311410</v>
      </c>
      <c r="N341" s="84">
        <v>1</v>
      </c>
    </row>
    <row r="342" spans="1:14" x14ac:dyDescent="0.25">
      <c r="A342" s="35" t="s">
        <v>3644</v>
      </c>
      <c r="B342" s="35" t="s">
        <v>3972</v>
      </c>
      <c r="C342" s="35" t="s">
        <v>3972</v>
      </c>
      <c r="D342" s="30" t="s">
        <v>3932</v>
      </c>
      <c r="E342" s="30" t="s">
        <v>217</v>
      </c>
      <c r="F342" s="84">
        <v>0</v>
      </c>
      <c r="G342" s="84" t="s">
        <v>194</v>
      </c>
      <c r="H342" s="30" t="s">
        <v>193</v>
      </c>
      <c r="I342" s="30" t="s">
        <v>3879</v>
      </c>
      <c r="J342" s="30" t="s">
        <v>3973</v>
      </c>
      <c r="K342" s="30">
        <v>18</v>
      </c>
      <c r="L342" s="30" t="s">
        <v>3974</v>
      </c>
      <c r="M342" s="30" t="str">
        <f t="shared" si="5"/>
        <v>723104</v>
      </c>
      <c r="N342" s="84">
        <v>1</v>
      </c>
    </row>
    <row r="343" spans="1:14" x14ac:dyDescent="0.25">
      <c r="A343" s="35" t="s">
        <v>3644</v>
      </c>
      <c r="B343" s="35" t="s">
        <v>3975</v>
      </c>
      <c r="C343" s="35" t="s">
        <v>62</v>
      </c>
      <c r="D343" s="30" t="s">
        <v>3932</v>
      </c>
      <c r="E343" s="30" t="s">
        <v>217</v>
      </c>
      <c r="F343" s="84">
        <v>0</v>
      </c>
      <c r="G343" s="84" t="s">
        <v>194</v>
      </c>
      <c r="H343" s="30" t="s">
        <v>193</v>
      </c>
      <c r="I343" s="30" t="s">
        <v>3879</v>
      </c>
      <c r="J343" s="30" t="s">
        <v>3976</v>
      </c>
      <c r="K343" s="30">
        <v>18</v>
      </c>
      <c r="L343" s="30" t="s">
        <v>601</v>
      </c>
      <c r="M343" s="30" t="str">
        <f t="shared" si="5"/>
        <v>313904</v>
      </c>
      <c r="N343" s="84">
        <v>1</v>
      </c>
    </row>
    <row r="344" spans="1:14" x14ac:dyDescent="0.25">
      <c r="A344" s="35" t="s">
        <v>3644</v>
      </c>
      <c r="B344" s="35" t="s">
        <v>3977</v>
      </c>
      <c r="C344" s="35" t="s">
        <v>169</v>
      </c>
      <c r="D344" s="30" t="s">
        <v>3932</v>
      </c>
      <c r="E344" s="30" t="s">
        <v>217</v>
      </c>
      <c r="F344" s="84">
        <v>0</v>
      </c>
      <c r="G344" s="84" t="s">
        <v>194</v>
      </c>
      <c r="H344" s="30" t="s">
        <v>193</v>
      </c>
      <c r="I344" s="30" t="s">
        <v>3879</v>
      </c>
      <c r="J344" s="30" t="s">
        <v>3978</v>
      </c>
      <c r="K344" s="30">
        <v>18</v>
      </c>
      <c r="L344" s="30" t="s">
        <v>1370</v>
      </c>
      <c r="M344" s="30" t="str">
        <f t="shared" si="5"/>
        <v>752205</v>
      </c>
      <c r="N344" s="84">
        <v>1</v>
      </c>
    </row>
    <row r="345" spans="1:14" x14ac:dyDescent="0.25">
      <c r="A345" s="35" t="s">
        <v>413</v>
      </c>
      <c r="B345" s="35" t="s">
        <v>3979</v>
      </c>
      <c r="C345" s="35" t="s">
        <v>9</v>
      </c>
      <c r="D345" s="30" t="s">
        <v>3932</v>
      </c>
      <c r="E345" s="30" t="s">
        <v>192</v>
      </c>
      <c r="F345" s="30">
        <v>1</v>
      </c>
      <c r="G345" s="30" t="s">
        <v>193</v>
      </c>
      <c r="H345" s="30" t="s">
        <v>194</v>
      </c>
      <c r="I345" s="30" t="s">
        <v>3879</v>
      </c>
      <c r="J345" s="30" t="s">
        <v>253</v>
      </c>
      <c r="K345" s="30">
        <v>18</v>
      </c>
      <c r="L345" s="30" t="s">
        <v>405</v>
      </c>
      <c r="M345" s="30" t="str">
        <f t="shared" si="5"/>
        <v>241304</v>
      </c>
      <c r="N345" s="30">
        <v>1</v>
      </c>
    </row>
    <row r="346" spans="1:14" x14ac:dyDescent="0.25">
      <c r="A346" s="35" t="s">
        <v>3980</v>
      </c>
      <c r="B346" s="35" t="s">
        <v>3981</v>
      </c>
      <c r="C346" s="35" t="s">
        <v>308</v>
      </c>
      <c r="D346" s="30" t="s">
        <v>3932</v>
      </c>
      <c r="E346" s="30" t="s">
        <v>192</v>
      </c>
      <c r="F346" s="30">
        <v>1</v>
      </c>
      <c r="G346" s="30" t="s">
        <v>193</v>
      </c>
      <c r="H346" s="30" t="s">
        <v>194</v>
      </c>
      <c r="I346" s="30" t="s">
        <v>3879</v>
      </c>
      <c r="J346" s="30" t="s">
        <v>223</v>
      </c>
      <c r="K346" s="30">
        <v>18</v>
      </c>
      <c r="L346" s="30" t="s">
        <v>310</v>
      </c>
      <c r="M346" s="30" t="str">
        <f t="shared" si="5"/>
        <v>214404</v>
      </c>
      <c r="N346" s="30">
        <v>1</v>
      </c>
    </row>
    <row r="347" spans="1:14" x14ac:dyDescent="0.25">
      <c r="A347" s="35" t="s">
        <v>3982</v>
      </c>
      <c r="B347" s="35" t="s">
        <v>632</v>
      </c>
      <c r="C347" s="35" t="s">
        <v>17</v>
      </c>
      <c r="D347" s="30" t="s">
        <v>3932</v>
      </c>
      <c r="E347" s="30" t="s">
        <v>192</v>
      </c>
      <c r="F347" s="30">
        <v>1</v>
      </c>
      <c r="G347" s="30" t="s">
        <v>193</v>
      </c>
      <c r="H347" s="30" t="s">
        <v>194</v>
      </c>
      <c r="I347" s="30" t="s">
        <v>3879</v>
      </c>
      <c r="J347" s="30" t="s">
        <v>367</v>
      </c>
      <c r="K347" s="30">
        <v>18</v>
      </c>
      <c r="L347" s="30" t="s">
        <v>624</v>
      </c>
      <c r="M347" s="30" t="str">
        <f t="shared" si="5"/>
        <v>332203</v>
      </c>
      <c r="N347" s="30">
        <v>1</v>
      </c>
    </row>
    <row r="348" spans="1:14" x14ac:dyDescent="0.25">
      <c r="A348" s="35" t="s">
        <v>3843</v>
      </c>
      <c r="B348" s="35" t="s">
        <v>3844</v>
      </c>
      <c r="C348" s="35" t="s">
        <v>604</v>
      </c>
      <c r="D348" s="30" t="s">
        <v>3932</v>
      </c>
      <c r="E348" s="30" t="s">
        <v>217</v>
      </c>
      <c r="F348" s="30">
        <v>1</v>
      </c>
      <c r="G348" s="30" t="s">
        <v>193</v>
      </c>
      <c r="H348" s="30" t="s">
        <v>194</v>
      </c>
      <c r="I348" s="30" t="s">
        <v>3879</v>
      </c>
      <c r="J348" s="30" t="s">
        <v>285</v>
      </c>
      <c r="K348" s="30">
        <v>18</v>
      </c>
      <c r="L348" s="30" t="s">
        <v>605</v>
      </c>
      <c r="M348" s="30" t="str">
        <f t="shared" si="5"/>
        <v>322001</v>
      </c>
      <c r="N348" s="30">
        <v>1</v>
      </c>
    </row>
    <row r="349" spans="1:14" x14ac:dyDescent="0.25">
      <c r="A349" s="35" t="s">
        <v>3847</v>
      </c>
      <c r="B349" s="35" t="s">
        <v>261</v>
      </c>
      <c r="C349" s="35" t="s">
        <v>74</v>
      </c>
      <c r="D349" s="30" t="s">
        <v>3932</v>
      </c>
      <c r="E349" s="30" t="s">
        <v>233</v>
      </c>
      <c r="F349" s="30">
        <v>1</v>
      </c>
      <c r="G349" s="30" t="s">
        <v>193</v>
      </c>
      <c r="H349" s="30" t="s">
        <v>194</v>
      </c>
      <c r="I349" s="30" t="s">
        <v>3879</v>
      </c>
      <c r="J349" s="30" t="s">
        <v>305</v>
      </c>
      <c r="K349" s="30">
        <v>18</v>
      </c>
      <c r="L349" s="30" t="s">
        <v>246</v>
      </c>
      <c r="M349" s="30" t="str">
        <f t="shared" si="5"/>
        <v>142004</v>
      </c>
      <c r="N349" s="30">
        <v>1</v>
      </c>
    </row>
    <row r="350" spans="1:14" x14ac:dyDescent="0.25">
      <c r="A350" s="35" t="s">
        <v>3847</v>
      </c>
      <c r="B350" s="35" t="s">
        <v>1051</v>
      </c>
      <c r="C350" s="35" t="s">
        <v>740</v>
      </c>
      <c r="D350" s="30" t="s">
        <v>3932</v>
      </c>
      <c r="E350" s="30" t="s">
        <v>233</v>
      </c>
      <c r="F350" s="30">
        <v>1</v>
      </c>
      <c r="G350" s="30" t="s">
        <v>193</v>
      </c>
      <c r="H350" s="30" t="s">
        <v>194</v>
      </c>
      <c r="I350" s="30" t="s">
        <v>3879</v>
      </c>
      <c r="J350" s="30" t="s">
        <v>223</v>
      </c>
      <c r="K350" s="30">
        <v>18</v>
      </c>
      <c r="L350" s="30" t="s">
        <v>741</v>
      </c>
      <c r="M350" s="30" t="str">
        <f t="shared" si="5"/>
        <v>522301</v>
      </c>
      <c r="N350" s="30">
        <v>1</v>
      </c>
    </row>
    <row r="351" spans="1:14" x14ac:dyDescent="0.25">
      <c r="A351" s="35" t="s">
        <v>3673</v>
      </c>
      <c r="B351" s="35" t="s">
        <v>8</v>
      </c>
      <c r="C351" s="35" t="s">
        <v>740</v>
      </c>
      <c r="D351" s="30" t="s">
        <v>3932</v>
      </c>
      <c r="E351" s="30" t="s">
        <v>233</v>
      </c>
      <c r="F351" s="30">
        <v>1</v>
      </c>
      <c r="G351" s="30" t="s">
        <v>193</v>
      </c>
      <c r="H351" s="30" t="s">
        <v>194</v>
      </c>
      <c r="I351" s="30" t="s">
        <v>3879</v>
      </c>
      <c r="J351" s="30" t="s">
        <v>3674</v>
      </c>
      <c r="K351" s="30">
        <v>18</v>
      </c>
      <c r="L351" s="30" t="s">
        <v>741</v>
      </c>
      <c r="M351" s="30" t="str">
        <f t="shared" si="5"/>
        <v>522301</v>
      </c>
      <c r="N351" s="30">
        <v>1</v>
      </c>
    </row>
    <row r="352" spans="1:14" x14ac:dyDescent="0.25">
      <c r="A352" s="35" t="s">
        <v>499</v>
      </c>
      <c r="B352" s="35" t="s">
        <v>3983</v>
      </c>
      <c r="C352" s="35" t="s">
        <v>10</v>
      </c>
      <c r="D352" s="30" t="s">
        <v>3932</v>
      </c>
      <c r="E352" s="30" t="s">
        <v>233</v>
      </c>
      <c r="F352" s="30">
        <v>1</v>
      </c>
      <c r="G352" s="30" t="s">
        <v>193</v>
      </c>
      <c r="H352" s="30" t="s">
        <v>194</v>
      </c>
      <c r="I352" s="30" t="s">
        <v>3879</v>
      </c>
      <c r="J352" s="30" t="s">
        <v>210</v>
      </c>
      <c r="K352" s="30">
        <v>18</v>
      </c>
      <c r="L352" s="30" t="s">
        <v>484</v>
      </c>
      <c r="M352" s="30" t="str">
        <f t="shared" si="5"/>
        <v>251401</v>
      </c>
      <c r="N352" s="30">
        <v>1</v>
      </c>
    </row>
    <row r="353" spans="1:14" x14ac:dyDescent="0.25">
      <c r="A353" s="35" t="s">
        <v>1495</v>
      </c>
      <c r="B353" s="35" t="s">
        <v>3984</v>
      </c>
      <c r="C353" s="35" t="s">
        <v>778</v>
      </c>
      <c r="D353" s="30" t="s">
        <v>3932</v>
      </c>
      <c r="E353" s="30" t="s">
        <v>192</v>
      </c>
      <c r="F353" s="30">
        <v>1</v>
      </c>
      <c r="G353" s="30" t="s">
        <v>193</v>
      </c>
      <c r="H353" s="30" t="s">
        <v>194</v>
      </c>
      <c r="I353" s="30" t="s">
        <v>3879</v>
      </c>
      <c r="J353" s="30" t="s">
        <v>367</v>
      </c>
      <c r="K353" s="30">
        <v>18</v>
      </c>
      <c r="L353" s="30" t="s">
        <v>779</v>
      </c>
      <c r="M353" s="30" t="str">
        <f t="shared" si="5"/>
        <v>524902</v>
      </c>
      <c r="N353" s="30">
        <v>1</v>
      </c>
    </row>
    <row r="354" spans="1:14" x14ac:dyDescent="0.25">
      <c r="A354" s="35" t="s">
        <v>3985</v>
      </c>
      <c r="B354" s="35" t="s">
        <v>3986</v>
      </c>
      <c r="C354" s="35" t="s">
        <v>3987</v>
      </c>
      <c r="D354" s="30" t="s">
        <v>3932</v>
      </c>
      <c r="E354" s="30" t="s">
        <v>252</v>
      </c>
      <c r="F354" s="30">
        <v>10</v>
      </c>
      <c r="G354" s="30" t="s">
        <v>193</v>
      </c>
      <c r="H354" s="30" t="s">
        <v>194</v>
      </c>
      <c r="I354" s="30" t="s">
        <v>3879</v>
      </c>
      <c r="J354" s="30" t="s">
        <v>210</v>
      </c>
      <c r="K354" s="30">
        <v>18</v>
      </c>
      <c r="L354" s="30" t="s">
        <v>3988</v>
      </c>
      <c r="M354" s="30" t="str">
        <f t="shared" si="5"/>
        <v>712303</v>
      </c>
      <c r="N354" s="30">
        <v>10</v>
      </c>
    </row>
    <row r="355" spans="1:14" x14ac:dyDescent="0.25">
      <c r="A355" s="35" t="s">
        <v>3989</v>
      </c>
      <c r="B355" s="35" t="s">
        <v>3990</v>
      </c>
      <c r="C355" s="35" t="s">
        <v>3991</v>
      </c>
      <c r="D355" s="30" t="s">
        <v>3932</v>
      </c>
      <c r="E355" s="30" t="s">
        <v>217</v>
      </c>
      <c r="F355" s="84">
        <v>0</v>
      </c>
      <c r="G355" s="84" t="s">
        <v>194</v>
      </c>
      <c r="H355" s="30" t="s">
        <v>193</v>
      </c>
      <c r="I355" s="30" t="s">
        <v>3879</v>
      </c>
      <c r="J355" s="30" t="s">
        <v>3992</v>
      </c>
      <c r="K355" s="30">
        <v>18</v>
      </c>
      <c r="L355" s="30" t="s">
        <v>3993</v>
      </c>
      <c r="M355" s="30" t="str">
        <f t="shared" si="5"/>
        <v>222101</v>
      </c>
      <c r="N355" s="84">
        <v>1</v>
      </c>
    </row>
    <row r="356" spans="1:14" x14ac:dyDescent="0.25">
      <c r="A356" s="35" t="s">
        <v>3994</v>
      </c>
      <c r="B356" s="35" t="s">
        <v>3995</v>
      </c>
      <c r="C356" s="35" t="s">
        <v>17</v>
      </c>
      <c r="D356" s="30" t="s">
        <v>3932</v>
      </c>
      <c r="E356" s="30" t="s">
        <v>192</v>
      </c>
      <c r="F356" s="30">
        <v>1</v>
      </c>
      <c r="G356" s="30" t="s">
        <v>193</v>
      </c>
      <c r="H356" s="30" t="s">
        <v>194</v>
      </c>
      <c r="I356" s="30" t="s">
        <v>3879</v>
      </c>
      <c r="J356" s="30" t="s">
        <v>267</v>
      </c>
      <c r="K356" s="30">
        <v>18</v>
      </c>
      <c r="L356" s="30" t="s">
        <v>624</v>
      </c>
      <c r="M356" s="30" t="str">
        <f t="shared" si="5"/>
        <v>332203</v>
      </c>
      <c r="N356" s="30">
        <v>1</v>
      </c>
    </row>
    <row r="357" spans="1:14" x14ac:dyDescent="0.25">
      <c r="A357" s="35" t="s">
        <v>3850</v>
      </c>
      <c r="B357" s="35" t="s">
        <v>3851</v>
      </c>
      <c r="C357" s="35" t="s">
        <v>3996</v>
      </c>
      <c r="D357" s="30" t="s">
        <v>3932</v>
      </c>
      <c r="E357" s="30" t="s">
        <v>252</v>
      </c>
      <c r="F357" s="30">
        <v>4</v>
      </c>
      <c r="G357" s="30" t="s">
        <v>193</v>
      </c>
      <c r="H357" s="30" t="s">
        <v>194</v>
      </c>
      <c r="I357" s="30" t="s">
        <v>3879</v>
      </c>
      <c r="J357" s="30" t="s">
        <v>253</v>
      </c>
      <c r="K357" s="30">
        <v>18</v>
      </c>
      <c r="L357" s="30" t="s">
        <v>3997</v>
      </c>
      <c r="M357" s="30" t="str">
        <f t="shared" si="5"/>
        <v>711404</v>
      </c>
      <c r="N357" s="30">
        <v>4</v>
      </c>
    </row>
    <row r="358" spans="1:14" x14ac:dyDescent="0.25">
      <c r="A358" s="35" t="s">
        <v>3998</v>
      </c>
      <c r="B358" s="35" t="s">
        <v>3999</v>
      </c>
      <c r="C358" s="35" t="s">
        <v>156</v>
      </c>
      <c r="D358" s="30" t="s">
        <v>3932</v>
      </c>
      <c r="E358" s="30" t="s">
        <v>192</v>
      </c>
      <c r="F358" s="30">
        <v>1</v>
      </c>
      <c r="G358" s="30" t="s">
        <v>193</v>
      </c>
      <c r="H358" s="30" t="s">
        <v>194</v>
      </c>
      <c r="I358" s="30" t="s">
        <v>3879</v>
      </c>
      <c r="J358" s="30" t="s">
        <v>210</v>
      </c>
      <c r="K358" s="30">
        <v>18</v>
      </c>
      <c r="L358" s="30" t="s">
        <v>659</v>
      </c>
      <c r="M358" s="30" t="str">
        <f t="shared" si="5"/>
        <v>332302</v>
      </c>
      <c r="N358" s="30">
        <v>1</v>
      </c>
    </row>
    <row r="359" spans="1:14" x14ac:dyDescent="0.25">
      <c r="A359" s="35" t="s">
        <v>491</v>
      </c>
      <c r="B359" s="35" t="s">
        <v>4000</v>
      </c>
      <c r="C359" s="35" t="s">
        <v>4001</v>
      </c>
      <c r="D359" s="30" t="s">
        <v>3932</v>
      </c>
      <c r="E359" s="30" t="s">
        <v>233</v>
      </c>
      <c r="F359" s="30">
        <v>1</v>
      </c>
      <c r="G359" s="30" t="s">
        <v>193</v>
      </c>
      <c r="H359" s="30" t="s">
        <v>194</v>
      </c>
      <c r="I359" s="30" t="s">
        <v>3879</v>
      </c>
      <c r="J359" s="30" t="s">
        <v>210</v>
      </c>
      <c r="K359" s="30">
        <v>18</v>
      </c>
      <c r="L359" s="30" t="s">
        <v>4002</v>
      </c>
      <c r="M359" s="30" t="str">
        <f t="shared" si="5"/>
        <v>263409</v>
      </c>
      <c r="N359" s="30">
        <v>1</v>
      </c>
    </row>
    <row r="360" spans="1:14" x14ac:dyDescent="0.25">
      <c r="A360" s="35" t="s">
        <v>417</v>
      </c>
      <c r="B360" s="35" t="s">
        <v>3787</v>
      </c>
      <c r="C360" s="35" t="s">
        <v>1497</v>
      </c>
      <c r="D360" s="30" t="s">
        <v>3932</v>
      </c>
      <c r="E360" s="30" t="s">
        <v>217</v>
      </c>
      <c r="F360" s="30">
        <v>1</v>
      </c>
      <c r="G360" s="30" t="s">
        <v>193</v>
      </c>
      <c r="H360" s="30" t="s">
        <v>194</v>
      </c>
      <c r="I360" s="30" t="s">
        <v>3933</v>
      </c>
      <c r="J360" s="30" t="s">
        <v>1977</v>
      </c>
      <c r="K360" s="30">
        <v>18</v>
      </c>
      <c r="L360" s="30" t="s">
        <v>1498</v>
      </c>
      <c r="M360" s="30" t="str">
        <f t="shared" si="5"/>
        <v>134605</v>
      </c>
      <c r="N360" s="30">
        <v>1</v>
      </c>
    </row>
    <row r="361" spans="1:14" x14ac:dyDescent="0.25">
      <c r="A361" s="35" t="s">
        <v>4003</v>
      </c>
      <c r="B361" s="35" t="s">
        <v>4004</v>
      </c>
      <c r="C361" s="35" t="s">
        <v>43</v>
      </c>
      <c r="D361" s="30" t="s">
        <v>3932</v>
      </c>
      <c r="E361" s="30" t="s">
        <v>192</v>
      </c>
      <c r="F361" s="30">
        <v>1</v>
      </c>
      <c r="G361" s="30" t="s">
        <v>193</v>
      </c>
      <c r="H361" s="30" t="s">
        <v>194</v>
      </c>
      <c r="I361" s="30" t="s">
        <v>3879</v>
      </c>
      <c r="J361" s="30" t="s">
        <v>399</v>
      </c>
      <c r="K361" s="30">
        <v>18</v>
      </c>
      <c r="L361" s="30" t="s">
        <v>452</v>
      </c>
      <c r="M361" s="30" t="str">
        <f t="shared" si="5"/>
        <v>243106</v>
      </c>
      <c r="N361" s="30">
        <v>1</v>
      </c>
    </row>
    <row r="362" spans="1:14" x14ac:dyDescent="0.25">
      <c r="A362" s="35" t="s">
        <v>4005</v>
      </c>
      <c r="B362" s="35" t="s">
        <v>4006</v>
      </c>
      <c r="C362" s="35" t="s">
        <v>1518</v>
      </c>
      <c r="D362" s="30" t="s">
        <v>3932</v>
      </c>
      <c r="E362" s="30" t="s">
        <v>233</v>
      </c>
      <c r="F362" s="30">
        <v>1</v>
      </c>
      <c r="G362" s="30" t="s">
        <v>193</v>
      </c>
      <c r="H362" s="30" t="s">
        <v>194</v>
      </c>
      <c r="I362" s="30" t="s">
        <v>3879</v>
      </c>
      <c r="J362" s="30" t="s">
        <v>962</v>
      </c>
      <c r="K362" s="30">
        <v>18</v>
      </c>
      <c r="L362" s="30" t="s">
        <v>1519</v>
      </c>
      <c r="M362" s="30" t="str">
        <f t="shared" si="5"/>
        <v>242210</v>
      </c>
      <c r="N362" s="30">
        <v>1</v>
      </c>
    </row>
    <row r="363" spans="1:14" x14ac:dyDescent="0.25">
      <c r="A363" s="35" t="s">
        <v>4007</v>
      </c>
      <c r="B363" s="35" t="s">
        <v>2124</v>
      </c>
      <c r="C363" s="35" t="s">
        <v>4008</v>
      </c>
      <c r="D363" s="30" t="s">
        <v>3932</v>
      </c>
      <c r="E363" s="30" t="s">
        <v>233</v>
      </c>
      <c r="F363" s="30">
        <v>1</v>
      </c>
      <c r="G363" s="30" t="s">
        <v>193</v>
      </c>
      <c r="H363" s="30" t="s">
        <v>194</v>
      </c>
      <c r="I363" s="30" t="s">
        <v>3879</v>
      </c>
      <c r="J363" s="30" t="s">
        <v>276</v>
      </c>
      <c r="K363" s="30">
        <v>18</v>
      </c>
      <c r="L363" s="30" t="s">
        <v>4009</v>
      </c>
      <c r="M363" s="30" t="str">
        <f t="shared" si="5"/>
        <v>225290</v>
      </c>
      <c r="N363" s="30">
        <v>1</v>
      </c>
    </row>
    <row r="364" spans="1:14" x14ac:dyDescent="0.25">
      <c r="A364" s="35" t="s">
        <v>2683</v>
      </c>
      <c r="B364" s="35" t="s">
        <v>2124</v>
      </c>
      <c r="C364" s="35" t="s">
        <v>4010</v>
      </c>
      <c r="D364" s="30" t="s">
        <v>3932</v>
      </c>
      <c r="E364" s="30" t="s">
        <v>233</v>
      </c>
      <c r="F364" s="30">
        <v>1</v>
      </c>
      <c r="G364" s="30" t="s">
        <v>193</v>
      </c>
      <c r="H364" s="30" t="s">
        <v>194</v>
      </c>
      <c r="I364" s="30" t="s">
        <v>3879</v>
      </c>
      <c r="J364" s="30" t="s">
        <v>408</v>
      </c>
      <c r="K364" s="30">
        <v>18</v>
      </c>
      <c r="L364" s="30" t="s">
        <v>4011</v>
      </c>
      <c r="M364" s="30" t="str">
        <f t="shared" si="5"/>
        <v>325512</v>
      </c>
      <c r="N364" s="30">
        <v>1</v>
      </c>
    </row>
    <row r="365" spans="1:14" x14ac:dyDescent="0.25">
      <c r="A365" s="35" t="s">
        <v>1328</v>
      </c>
      <c r="B365" s="35" t="s">
        <v>4012</v>
      </c>
      <c r="C365" s="35" t="s">
        <v>18</v>
      </c>
      <c r="D365" s="30" t="s">
        <v>3932</v>
      </c>
      <c r="E365" s="30" t="s">
        <v>233</v>
      </c>
      <c r="F365" s="30">
        <v>1</v>
      </c>
      <c r="G365" s="30" t="s">
        <v>193</v>
      </c>
      <c r="H365" s="30" t="s">
        <v>194</v>
      </c>
      <c r="I365" s="30" t="s">
        <v>3879</v>
      </c>
      <c r="J365" s="30" t="s">
        <v>210</v>
      </c>
      <c r="K365" s="30">
        <v>18</v>
      </c>
      <c r="L365" s="30" t="s">
        <v>1476</v>
      </c>
      <c r="M365" s="30" t="str">
        <f t="shared" si="5"/>
        <v>242309</v>
      </c>
      <c r="N365" s="30">
        <v>1</v>
      </c>
    </row>
    <row r="366" spans="1:14" x14ac:dyDescent="0.25">
      <c r="A366" s="35" t="s">
        <v>2556</v>
      </c>
      <c r="B366" s="35" t="s">
        <v>1396</v>
      </c>
      <c r="C366" s="35" t="s">
        <v>85</v>
      </c>
      <c r="D366" s="30" t="s">
        <v>3932</v>
      </c>
      <c r="E366" s="30" t="s">
        <v>192</v>
      </c>
      <c r="F366" s="30">
        <v>1</v>
      </c>
      <c r="G366" s="30" t="s">
        <v>193</v>
      </c>
      <c r="H366" s="30" t="s">
        <v>194</v>
      </c>
      <c r="I366" s="30" t="s">
        <v>3817</v>
      </c>
      <c r="J366" s="30" t="s">
        <v>210</v>
      </c>
      <c r="K366" s="30">
        <v>18</v>
      </c>
      <c r="L366" s="30" t="s">
        <v>477</v>
      </c>
      <c r="M366" s="30" t="str">
        <f t="shared" si="5"/>
        <v>243305</v>
      </c>
      <c r="N366" s="30">
        <v>1</v>
      </c>
    </row>
    <row r="367" spans="1:14" x14ac:dyDescent="0.25">
      <c r="A367" s="35" t="s">
        <v>1523</v>
      </c>
      <c r="B367" s="35" t="s">
        <v>4013</v>
      </c>
      <c r="C367" s="35" t="s">
        <v>4014</v>
      </c>
      <c r="D367" s="30" t="s">
        <v>3932</v>
      </c>
      <c r="E367" s="30" t="s">
        <v>192</v>
      </c>
      <c r="F367" s="30">
        <v>1</v>
      </c>
      <c r="G367" s="30" t="s">
        <v>193</v>
      </c>
      <c r="H367" s="30" t="s">
        <v>194</v>
      </c>
      <c r="I367" s="30" t="s">
        <v>3960</v>
      </c>
      <c r="J367" s="30" t="s">
        <v>210</v>
      </c>
      <c r="K367" s="30">
        <v>18</v>
      </c>
      <c r="L367" s="30" t="s">
        <v>4015</v>
      </c>
      <c r="M367" s="30" t="str">
        <f t="shared" si="5"/>
        <v>333906</v>
      </c>
      <c r="N367" s="30">
        <v>1</v>
      </c>
    </row>
    <row r="368" spans="1:14" x14ac:dyDescent="0.25">
      <c r="A368" s="35" t="s">
        <v>1523</v>
      </c>
      <c r="B368" s="35" t="s">
        <v>4016</v>
      </c>
      <c r="C368" s="35" t="s">
        <v>1799</v>
      </c>
      <c r="D368" s="30" t="s">
        <v>3932</v>
      </c>
      <c r="E368" s="30" t="s">
        <v>192</v>
      </c>
      <c r="F368" s="30">
        <v>1</v>
      </c>
      <c r="G368" s="30" t="s">
        <v>193</v>
      </c>
      <c r="H368" s="30" t="s">
        <v>194</v>
      </c>
      <c r="I368" s="30" t="s">
        <v>3817</v>
      </c>
      <c r="J368" s="30" t="s">
        <v>210</v>
      </c>
      <c r="K368" s="30">
        <v>18</v>
      </c>
      <c r="L368" s="30" t="s">
        <v>1800</v>
      </c>
      <c r="M368" s="30" t="str">
        <f t="shared" si="5"/>
        <v>242204</v>
      </c>
      <c r="N368" s="30">
        <v>1</v>
      </c>
    </row>
    <row r="369" spans="1:14" x14ac:dyDescent="0.25">
      <c r="A369" s="35" t="s">
        <v>1523</v>
      </c>
      <c r="B369" s="35" t="s">
        <v>4017</v>
      </c>
      <c r="C369" s="35" t="s">
        <v>4018</v>
      </c>
      <c r="D369" s="30" t="s">
        <v>3932</v>
      </c>
      <c r="E369" s="30" t="s">
        <v>192</v>
      </c>
      <c r="F369" s="30">
        <v>1</v>
      </c>
      <c r="G369" s="30" t="s">
        <v>193</v>
      </c>
      <c r="H369" s="30" t="s">
        <v>194</v>
      </c>
      <c r="I369" s="30" t="s">
        <v>3817</v>
      </c>
      <c r="J369" s="30" t="s">
        <v>210</v>
      </c>
      <c r="K369" s="30">
        <v>18</v>
      </c>
      <c r="L369" s="30" t="s">
        <v>4019</v>
      </c>
      <c r="M369" s="30" t="str">
        <f t="shared" si="5"/>
        <v>241105</v>
      </c>
      <c r="N369" s="30">
        <v>1</v>
      </c>
    </row>
    <row r="370" spans="1:14" x14ac:dyDescent="0.25">
      <c r="A370" s="35" t="s">
        <v>1523</v>
      </c>
      <c r="B370" s="35" t="s">
        <v>4020</v>
      </c>
      <c r="C370" s="35" t="s">
        <v>3219</v>
      </c>
      <c r="D370" s="30" t="s">
        <v>3932</v>
      </c>
      <c r="E370" s="30" t="s">
        <v>217</v>
      </c>
      <c r="F370" s="30">
        <v>1</v>
      </c>
      <c r="G370" s="30" t="s">
        <v>193</v>
      </c>
      <c r="H370" s="30" t="s">
        <v>194</v>
      </c>
      <c r="I370" s="30" t="s">
        <v>3817</v>
      </c>
      <c r="J370" s="30" t="s">
        <v>210</v>
      </c>
      <c r="K370" s="30">
        <v>18</v>
      </c>
      <c r="L370" s="30" t="s">
        <v>3620</v>
      </c>
      <c r="M370" s="30" t="str">
        <f t="shared" si="5"/>
        <v>243109</v>
      </c>
      <c r="N370" s="30">
        <v>1</v>
      </c>
    </row>
    <row r="371" spans="1:14" x14ac:dyDescent="0.25">
      <c r="A371" s="35" t="s">
        <v>4021</v>
      </c>
      <c r="B371" s="35" t="s">
        <v>467</v>
      </c>
      <c r="C371" s="35" t="s">
        <v>468</v>
      </c>
      <c r="D371" s="30" t="s">
        <v>3932</v>
      </c>
      <c r="E371" s="30" t="s">
        <v>192</v>
      </c>
      <c r="F371" s="30">
        <v>1</v>
      </c>
      <c r="G371" s="30" t="s">
        <v>193</v>
      </c>
      <c r="H371" s="30" t="s">
        <v>194</v>
      </c>
      <c r="I371" s="30" t="s">
        <v>3817</v>
      </c>
      <c r="J371" s="30" t="s">
        <v>210</v>
      </c>
      <c r="K371" s="30">
        <v>18</v>
      </c>
      <c r="L371" s="30" t="s">
        <v>469</v>
      </c>
      <c r="M371" s="30" t="str">
        <f t="shared" si="5"/>
        <v>243303</v>
      </c>
      <c r="N371" s="30">
        <v>1</v>
      </c>
    </row>
    <row r="372" spans="1:14" x14ac:dyDescent="0.25">
      <c r="A372" s="35" t="s">
        <v>4022</v>
      </c>
      <c r="B372" s="35" t="s">
        <v>4023</v>
      </c>
      <c r="C372" s="35" t="s">
        <v>1136</v>
      </c>
      <c r="D372" s="30" t="s">
        <v>3932</v>
      </c>
      <c r="E372" s="30" t="s">
        <v>233</v>
      </c>
      <c r="F372" s="84">
        <v>0</v>
      </c>
      <c r="G372" s="84" t="s">
        <v>194</v>
      </c>
      <c r="H372" s="30" t="s">
        <v>193</v>
      </c>
      <c r="I372" s="30" t="s">
        <v>3817</v>
      </c>
      <c r="J372" s="30" t="s">
        <v>196</v>
      </c>
      <c r="K372" s="30">
        <v>18</v>
      </c>
      <c r="L372" s="30" t="s">
        <v>1137</v>
      </c>
      <c r="M372" s="30" t="str">
        <f t="shared" si="5"/>
        <v>121201</v>
      </c>
      <c r="N372" s="84">
        <v>1</v>
      </c>
    </row>
    <row r="373" spans="1:14" x14ac:dyDescent="0.25">
      <c r="A373" s="35" t="s">
        <v>1340</v>
      </c>
      <c r="B373" s="35" t="s">
        <v>1341</v>
      </c>
      <c r="C373" s="35" t="s">
        <v>128</v>
      </c>
      <c r="D373" s="30" t="s">
        <v>3932</v>
      </c>
      <c r="E373" s="30" t="s">
        <v>192</v>
      </c>
      <c r="F373" s="30">
        <v>1</v>
      </c>
      <c r="G373" s="30" t="s">
        <v>193</v>
      </c>
      <c r="H373" s="30" t="s">
        <v>194</v>
      </c>
      <c r="I373" s="30" t="s">
        <v>3817</v>
      </c>
      <c r="J373" s="30" t="s">
        <v>210</v>
      </c>
      <c r="K373" s="30">
        <v>18</v>
      </c>
      <c r="L373" s="30" t="s">
        <v>2084</v>
      </c>
      <c r="M373" s="30" t="str">
        <f t="shared" si="5"/>
        <v>524302</v>
      </c>
      <c r="N373" s="30">
        <v>1</v>
      </c>
    </row>
    <row r="374" spans="1:14" x14ac:dyDescent="0.25">
      <c r="A374" s="35" t="s">
        <v>1340</v>
      </c>
      <c r="B374" s="35" t="s">
        <v>4024</v>
      </c>
      <c r="C374" s="35" t="s">
        <v>688</v>
      </c>
      <c r="D374" s="30" t="s">
        <v>3932</v>
      </c>
      <c r="E374" s="30" t="s">
        <v>192</v>
      </c>
      <c r="F374" s="30">
        <v>1</v>
      </c>
      <c r="G374" s="30" t="s">
        <v>193</v>
      </c>
      <c r="H374" s="30" t="s">
        <v>194</v>
      </c>
      <c r="I374" s="30" t="s">
        <v>3817</v>
      </c>
      <c r="J374" s="30" t="s">
        <v>210</v>
      </c>
      <c r="K374" s="30">
        <v>18</v>
      </c>
      <c r="L374" s="30" t="s">
        <v>689</v>
      </c>
      <c r="M374" s="30" t="str">
        <f t="shared" si="5"/>
        <v>343402</v>
      </c>
      <c r="N374" s="30">
        <v>1</v>
      </c>
    </row>
    <row r="375" spans="1:14" x14ac:dyDescent="0.25">
      <c r="A375" s="35" t="s">
        <v>4025</v>
      </c>
      <c r="B375" s="35" t="s">
        <v>681</v>
      </c>
      <c r="C375" s="35" t="s">
        <v>1148</v>
      </c>
      <c r="D375" s="30" t="s">
        <v>3932</v>
      </c>
      <c r="E375" s="30" t="s">
        <v>192</v>
      </c>
      <c r="F375" s="30">
        <v>1</v>
      </c>
      <c r="G375" s="30" t="s">
        <v>193</v>
      </c>
      <c r="H375" s="30" t="s">
        <v>194</v>
      </c>
      <c r="I375" s="30" t="s">
        <v>3817</v>
      </c>
      <c r="J375" s="30" t="s">
        <v>210</v>
      </c>
      <c r="K375" s="30">
        <v>18</v>
      </c>
      <c r="L375" s="30" t="s">
        <v>1150</v>
      </c>
      <c r="M375" s="30" t="str">
        <f t="shared" si="5"/>
        <v>244001</v>
      </c>
      <c r="N375" s="30">
        <v>1</v>
      </c>
    </row>
    <row r="376" spans="1:14" x14ac:dyDescent="0.25">
      <c r="A376" s="35" t="s">
        <v>4026</v>
      </c>
      <c r="B376" s="35" t="s">
        <v>4027</v>
      </c>
      <c r="C376" s="35" t="s">
        <v>81</v>
      </c>
      <c r="D376" s="30" t="s">
        <v>3932</v>
      </c>
      <c r="E376" s="30" t="s">
        <v>192</v>
      </c>
      <c r="F376" s="30">
        <v>1</v>
      </c>
      <c r="G376" s="30" t="s">
        <v>193</v>
      </c>
      <c r="H376" s="30" t="s">
        <v>194</v>
      </c>
      <c r="I376" s="30" t="s">
        <v>3817</v>
      </c>
      <c r="J376" s="30" t="s">
        <v>210</v>
      </c>
      <c r="K376" s="30">
        <v>18</v>
      </c>
      <c r="L376" s="30" t="s">
        <v>402</v>
      </c>
      <c r="M376" s="30" t="str">
        <f t="shared" si="5"/>
        <v>241205</v>
      </c>
      <c r="N376" s="30">
        <v>1</v>
      </c>
    </row>
    <row r="377" spans="1:14" x14ac:dyDescent="0.25">
      <c r="A377" s="35" t="s">
        <v>4028</v>
      </c>
      <c r="B377" s="35" t="s">
        <v>4029</v>
      </c>
      <c r="C377" s="35" t="s">
        <v>554</v>
      </c>
      <c r="D377" s="30" t="s">
        <v>3932</v>
      </c>
      <c r="E377" s="30" t="s">
        <v>192</v>
      </c>
      <c r="F377" s="30">
        <v>1</v>
      </c>
      <c r="G377" s="30" t="s">
        <v>193</v>
      </c>
      <c r="H377" s="30" t="s">
        <v>194</v>
      </c>
      <c r="I377" s="30" t="s">
        <v>3960</v>
      </c>
      <c r="J377" s="30" t="s">
        <v>223</v>
      </c>
      <c r="K377" s="30">
        <v>18</v>
      </c>
      <c r="L377" s="30" t="s">
        <v>555</v>
      </c>
      <c r="M377" s="30" t="str">
        <f t="shared" si="5"/>
        <v>311303</v>
      </c>
      <c r="N377" s="30">
        <v>1</v>
      </c>
    </row>
    <row r="378" spans="1:14" x14ac:dyDescent="0.25">
      <c r="A378" s="35" t="s">
        <v>4028</v>
      </c>
      <c r="B378" s="35" t="s">
        <v>4030</v>
      </c>
      <c r="C378" s="35" t="s">
        <v>2912</v>
      </c>
      <c r="D378" s="30" t="s">
        <v>3932</v>
      </c>
      <c r="E378" s="30" t="s">
        <v>192</v>
      </c>
      <c r="F378" s="30">
        <v>1</v>
      </c>
      <c r="G378" s="30" t="s">
        <v>193</v>
      </c>
      <c r="H378" s="30" t="s">
        <v>194</v>
      </c>
      <c r="I378" s="30" t="s">
        <v>3933</v>
      </c>
      <c r="J378" s="30" t="s">
        <v>223</v>
      </c>
      <c r="K378" s="30">
        <v>18</v>
      </c>
      <c r="L378" s="30" t="s">
        <v>4031</v>
      </c>
      <c r="M378" s="30" t="str">
        <f t="shared" si="5"/>
        <v>325514</v>
      </c>
      <c r="N378" s="30">
        <v>1</v>
      </c>
    </row>
    <row r="379" spans="1:14" x14ac:dyDescent="0.25">
      <c r="A379" s="35" t="s">
        <v>4028</v>
      </c>
      <c r="B379" s="35" t="s">
        <v>4032</v>
      </c>
      <c r="C379" s="35" t="s">
        <v>721</v>
      </c>
      <c r="D379" s="30" t="s">
        <v>3932</v>
      </c>
      <c r="E379" s="30" t="s">
        <v>192</v>
      </c>
      <c r="F379" s="30">
        <v>1</v>
      </c>
      <c r="G379" s="30" t="s">
        <v>193</v>
      </c>
      <c r="H379" s="30" t="s">
        <v>194</v>
      </c>
      <c r="I379" s="30" t="s">
        <v>3933</v>
      </c>
      <c r="J379" s="30" t="s">
        <v>223</v>
      </c>
      <c r="K379" s="30">
        <v>18</v>
      </c>
      <c r="L379" s="30" t="s">
        <v>723</v>
      </c>
      <c r="M379" s="30" t="str">
        <f t="shared" si="5"/>
        <v>432201</v>
      </c>
      <c r="N379" s="30">
        <v>1</v>
      </c>
    </row>
    <row r="380" spans="1:14" x14ac:dyDescent="0.25">
      <c r="A380" s="35" t="s">
        <v>2871</v>
      </c>
      <c r="B380" s="35" t="s">
        <v>4033</v>
      </c>
      <c r="C380" s="35" t="s">
        <v>4034</v>
      </c>
      <c r="D380" s="30" t="s">
        <v>3932</v>
      </c>
      <c r="E380" s="30" t="s">
        <v>233</v>
      </c>
      <c r="F380" s="30">
        <v>1</v>
      </c>
      <c r="G380" s="30" t="s">
        <v>193</v>
      </c>
      <c r="H380" s="30" t="s">
        <v>194</v>
      </c>
      <c r="I380" s="30" t="s">
        <v>3933</v>
      </c>
      <c r="J380" s="30" t="s">
        <v>210</v>
      </c>
      <c r="K380" s="30">
        <v>18</v>
      </c>
      <c r="L380" s="30" t="s">
        <v>4035</v>
      </c>
      <c r="M380" s="30" t="str">
        <f t="shared" si="5"/>
        <v>422602</v>
      </c>
      <c r="N380" s="30">
        <v>1</v>
      </c>
    </row>
    <row r="381" spans="1:14" x14ac:dyDescent="0.25">
      <c r="A381" s="35" t="s">
        <v>4036</v>
      </c>
      <c r="B381" s="35" t="s">
        <v>4037</v>
      </c>
      <c r="C381" s="35" t="s">
        <v>4038</v>
      </c>
      <c r="D381" s="30" t="s">
        <v>3932</v>
      </c>
      <c r="E381" s="30" t="s">
        <v>192</v>
      </c>
      <c r="F381" s="30">
        <v>1</v>
      </c>
      <c r="G381" s="30" t="s">
        <v>193</v>
      </c>
      <c r="H381" s="30" t="s">
        <v>194</v>
      </c>
      <c r="I381" s="30" t="s">
        <v>3933</v>
      </c>
      <c r="J381" s="30" t="s">
        <v>253</v>
      </c>
      <c r="K381" s="30">
        <v>18</v>
      </c>
      <c r="L381" s="30" t="s">
        <v>4039</v>
      </c>
      <c r="M381" s="30" t="str">
        <f t="shared" si="5"/>
        <v>431101</v>
      </c>
      <c r="N381" s="30">
        <v>1</v>
      </c>
    </row>
    <row r="382" spans="1:14" x14ac:dyDescent="0.25">
      <c r="A382" s="35" t="s">
        <v>1920</v>
      </c>
      <c r="B382" s="35" t="s">
        <v>4040</v>
      </c>
      <c r="C382" s="35" t="s">
        <v>3191</v>
      </c>
      <c r="D382" s="30" t="s">
        <v>3932</v>
      </c>
      <c r="E382" s="30" t="s">
        <v>192</v>
      </c>
      <c r="F382" s="30">
        <v>1</v>
      </c>
      <c r="G382" s="30" t="s">
        <v>193</v>
      </c>
      <c r="H382" s="30" t="s">
        <v>194</v>
      </c>
      <c r="I382" s="30" t="s">
        <v>3933</v>
      </c>
      <c r="J382" s="30" t="s">
        <v>196</v>
      </c>
      <c r="K382" s="30">
        <v>18</v>
      </c>
      <c r="L382" s="30" t="s">
        <v>4041</v>
      </c>
      <c r="M382" s="30" t="str">
        <f t="shared" si="5"/>
        <v>112011</v>
      </c>
      <c r="N382" s="30">
        <v>1</v>
      </c>
    </row>
    <row r="383" spans="1:14" x14ac:dyDescent="0.25">
      <c r="A383" s="35" t="s">
        <v>3244</v>
      </c>
      <c r="B383" s="35" t="s">
        <v>488</v>
      </c>
      <c r="C383" s="35" t="s">
        <v>10</v>
      </c>
      <c r="D383" s="30" t="s">
        <v>3932</v>
      </c>
      <c r="E383" s="30" t="s">
        <v>192</v>
      </c>
      <c r="F383" s="30">
        <v>1</v>
      </c>
      <c r="G383" s="30" t="s">
        <v>193</v>
      </c>
      <c r="H383" s="30" t="s">
        <v>194</v>
      </c>
      <c r="I383" s="30" t="s">
        <v>3933</v>
      </c>
      <c r="J383" s="30" t="s">
        <v>608</v>
      </c>
      <c r="K383" s="30">
        <v>18</v>
      </c>
      <c r="L383" s="30" t="s">
        <v>484</v>
      </c>
      <c r="M383" s="30" t="str">
        <f t="shared" si="5"/>
        <v>251401</v>
      </c>
      <c r="N383" s="30">
        <v>1</v>
      </c>
    </row>
    <row r="384" spans="1:14" x14ac:dyDescent="0.25">
      <c r="A384" s="35" t="s">
        <v>4042</v>
      </c>
      <c r="B384" s="35" t="s">
        <v>4043</v>
      </c>
      <c r="C384" s="35" t="s">
        <v>42</v>
      </c>
      <c r="D384" s="30" t="s">
        <v>3932</v>
      </c>
      <c r="E384" s="30" t="s">
        <v>192</v>
      </c>
      <c r="F384" s="30">
        <v>1</v>
      </c>
      <c r="G384" s="30" t="s">
        <v>193</v>
      </c>
      <c r="H384" s="30" t="s">
        <v>194</v>
      </c>
      <c r="I384" s="30" t="s">
        <v>3933</v>
      </c>
      <c r="J384" s="30" t="s">
        <v>367</v>
      </c>
      <c r="K384" s="30">
        <v>18</v>
      </c>
      <c r="L384" s="30" t="s">
        <v>2628</v>
      </c>
      <c r="M384" s="30" t="str">
        <f t="shared" si="5"/>
        <v>325509</v>
      </c>
      <c r="N384" s="30">
        <v>1</v>
      </c>
    </row>
    <row r="385" spans="1:14" x14ac:dyDescent="0.25">
      <c r="A385" s="35" t="s">
        <v>2259</v>
      </c>
      <c r="B385" s="35" t="s">
        <v>4044</v>
      </c>
      <c r="C385" s="35" t="s">
        <v>10</v>
      </c>
      <c r="D385" s="30" t="s">
        <v>3932</v>
      </c>
      <c r="E385" s="30" t="s">
        <v>233</v>
      </c>
      <c r="F385" s="30">
        <v>1</v>
      </c>
      <c r="G385" s="30" t="s">
        <v>193</v>
      </c>
      <c r="H385" s="30" t="s">
        <v>194</v>
      </c>
      <c r="I385" s="30" t="s">
        <v>3933</v>
      </c>
      <c r="J385" s="30" t="s">
        <v>210</v>
      </c>
      <c r="K385" s="30">
        <v>18</v>
      </c>
      <c r="L385" s="30" t="s">
        <v>484</v>
      </c>
      <c r="M385" s="30" t="str">
        <f t="shared" si="5"/>
        <v>251401</v>
      </c>
      <c r="N385" s="30">
        <v>1</v>
      </c>
    </row>
    <row r="386" spans="1:14" x14ac:dyDescent="0.25">
      <c r="A386" s="35" t="s">
        <v>1574</v>
      </c>
      <c r="B386" s="35" t="s">
        <v>778</v>
      </c>
      <c r="C386" s="35" t="s">
        <v>778</v>
      </c>
      <c r="D386" s="30" t="s">
        <v>3932</v>
      </c>
      <c r="E386" s="30" t="s">
        <v>233</v>
      </c>
      <c r="F386" s="30">
        <v>1</v>
      </c>
      <c r="G386" s="30" t="s">
        <v>193</v>
      </c>
      <c r="H386" s="30" t="s">
        <v>194</v>
      </c>
      <c r="I386" s="30" t="s">
        <v>3817</v>
      </c>
      <c r="J386" s="30" t="s">
        <v>316</v>
      </c>
      <c r="K386" s="30">
        <v>18</v>
      </c>
      <c r="L386" s="30" t="s">
        <v>779</v>
      </c>
      <c r="M386" s="30" t="str">
        <f t="shared" si="5"/>
        <v>524902</v>
      </c>
      <c r="N386" s="30">
        <v>1</v>
      </c>
    </row>
    <row r="387" spans="1:14" x14ac:dyDescent="0.25">
      <c r="A387" s="35" t="s">
        <v>1574</v>
      </c>
      <c r="B387" s="35" t="s">
        <v>4045</v>
      </c>
      <c r="C387" s="35" t="s">
        <v>74</v>
      </c>
      <c r="D387" s="30" t="s">
        <v>3932</v>
      </c>
      <c r="E387" s="30" t="s">
        <v>233</v>
      </c>
      <c r="F387" s="30">
        <v>1</v>
      </c>
      <c r="G387" s="30" t="s">
        <v>193</v>
      </c>
      <c r="H387" s="30" t="s">
        <v>194</v>
      </c>
      <c r="I387" s="30" t="s">
        <v>3933</v>
      </c>
      <c r="J387" s="30" t="s">
        <v>202</v>
      </c>
      <c r="K387" s="30">
        <v>18</v>
      </c>
      <c r="L387" s="30" t="s">
        <v>246</v>
      </c>
      <c r="M387" s="30" t="str">
        <f t="shared" ref="M387:M450" si="6">MID(L387,8,6)</f>
        <v>142004</v>
      </c>
      <c r="N387" s="30">
        <v>1</v>
      </c>
    </row>
    <row r="388" spans="1:14" x14ac:dyDescent="0.25">
      <c r="A388" s="35" t="s">
        <v>3761</v>
      </c>
      <c r="B388" s="35" t="s">
        <v>4046</v>
      </c>
      <c r="C388" s="35" t="s">
        <v>2644</v>
      </c>
      <c r="D388" s="30" t="s">
        <v>3932</v>
      </c>
      <c r="E388" s="30" t="s">
        <v>233</v>
      </c>
      <c r="F388" s="30">
        <v>1</v>
      </c>
      <c r="G388" s="30" t="s">
        <v>193</v>
      </c>
      <c r="H388" s="30" t="s">
        <v>194</v>
      </c>
      <c r="I388" s="30" t="s">
        <v>3933</v>
      </c>
      <c r="J388" s="30" t="s">
        <v>253</v>
      </c>
      <c r="K388" s="30">
        <v>18</v>
      </c>
      <c r="L388" s="30" t="s">
        <v>2645</v>
      </c>
      <c r="M388" s="30" t="str">
        <f t="shared" si="6"/>
        <v>311307</v>
      </c>
      <c r="N388" s="30">
        <v>1</v>
      </c>
    </row>
    <row r="389" spans="1:14" x14ac:dyDescent="0.25">
      <c r="A389" s="35" t="s">
        <v>3761</v>
      </c>
      <c r="B389" s="35" t="s">
        <v>3871</v>
      </c>
      <c r="C389" s="35" t="s">
        <v>29</v>
      </c>
      <c r="D389" s="30" t="s">
        <v>3932</v>
      </c>
      <c r="E389" s="30" t="s">
        <v>233</v>
      </c>
      <c r="F389" s="30">
        <v>1</v>
      </c>
      <c r="G389" s="30" t="s">
        <v>193</v>
      </c>
      <c r="H389" s="30" t="s">
        <v>194</v>
      </c>
      <c r="I389" s="30" t="s">
        <v>3933</v>
      </c>
      <c r="J389" s="30" t="s">
        <v>253</v>
      </c>
      <c r="K389" s="30">
        <v>18</v>
      </c>
      <c r="L389" s="30" t="s">
        <v>808</v>
      </c>
      <c r="M389" s="30" t="str">
        <f t="shared" si="6"/>
        <v>722308</v>
      </c>
      <c r="N389" s="30">
        <v>1</v>
      </c>
    </row>
    <row r="390" spans="1:14" x14ac:dyDescent="0.25">
      <c r="A390" s="35" t="s">
        <v>3761</v>
      </c>
      <c r="B390" s="35" t="s">
        <v>4047</v>
      </c>
      <c r="C390" s="35" t="s">
        <v>35</v>
      </c>
      <c r="D390" s="30" t="s">
        <v>3932</v>
      </c>
      <c r="E390" s="30" t="s">
        <v>233</v>
      </c>
      <c r="F390" s="30">
        <v>1</v>
      </c>
      <c r="G390" s="30" t="s">
        <v>193</v>
      </c>
      <c r="H390" s="30" t="s">
        <v>194</v>
      </c>
      <c r="I390" s="30" t="s">
        <v>3933</v>
      </c>
      <c r="J390" s="30" t="s">
        <v>210</v>
      </c>
      <c r="K390" s="30">
        <v>18</v>
      </c>
      <c r="L390" s="30" t="s">
        <v>207</v>
      </c>
      <c r="M390" s="30" t="str">
        <f t="shared" si="6"/>
        <v>122106</v>
      </c>
      <c r="N390" s="30">
        <v>1</v>
      </c>
    </row>
    <row r="391" spans="1:14" x14ac:dyDescent="0.25">
      <c r="A391" s="35" t="s">
        <v>4048</v>
      </c>
      <c r="B391" s="35" t="s">
        <v>4049</v>
      </c>
      <c r="C391" s="35" t="s">
        <v>345</v>
      </c>
      <c r="D391" s="30" t="s">
        <v>3932</v>
      </c>
      <c r="E391" s="30" t="s">
        <v>192</v>
      </c>
      <c r="F391" s="30">
        <v>1</v>
      </c>
      <c r="G391" s="30" t="s">
        <v>193</v>
      </c>
      <c r="H391" s="30" t="s">
        <v>194</v>
      </c>
      <c r="I391" s="30" t="s">
        <v>3933</v>
      </c>
      <c r="J391" s="30" t="s">
        <v>253</v>
      </c>
      <c r="K391" s="30">
        <v>18</v>
      </c>
      <c r="L391" s="30" t="s">
        <v>346</v>
      </c>
      <c r="M391" s="30" t="str">
        <f t="shared" si="6"/>
        <v>214931</v>
      </c>
      <c r="N391" s="30">
        <v>1</v>
      </c>
    </row>
    <row r="392" spans="1:14" x14ac:dyDescent="0.25">
      <c r="A392" s="35" t="s">
        <v>4050</v>
      </c>
      <c r="B392" s="35" t="s">
        <v>3970</v>
      </c>
      <c r="C392" s="35" t="s">
        <v>10</v>
      </c>
      <c r="D392" s="30" t="s">
        <v>3932</v>
      </c>
      <c r="E392" s="30" t="s">
        <v>233</v>
      </c>
      <c r="F392" s="30">
        <v>1</v>
      </c>
      <c r="G392" s="30" t="s">
        <v>193</v>
      </c>
      <c r="H392" s="30" t="s">
        <v>194</v>
      </c>
      <c r="I392" s="30" t="s">
        <v>3933</v>
      </c>
      <c r="J392" s="30" t="s">
        <v>210</v>
      </c>
      <c r="K392" s="30">
        <v>18</v>
      </c>
      <c r="L392" s="30" t="s">
        <v>484</v>
      </c>
      <c r="M392" s="30" t="str">
        <f t="shared" si="6"/>
        <v>251401</v>
      </c>
      <c r="N392" s="30">
        <v>1</v>
      </c>
    </row>
    <row r="393" spans="1:14" x14ac:dyDescent="0.25">
      <c r="A393" s="35" t="s">
        <v>4051</v>
      </c>
      <c r="B393" s="35" t="s">
        <v>8</v>
      </c>
      <c r="C393" s="35" t="s">
        <v>740</v>
      </c>
      <c r="D393" s="30" t="s">
        <v>3932</v>
      </c>
      <c r="E393" s="30" t="s">
        <v>233</v>
      </c>
      <c r="F393" s="30">
        <v>1</v>
      </c>
      <c r="G393" s="30" t="s">
        <v>193</v>
      </c>
      <c r="H393" s="30" t="s">
        <v>194</v>
      </c>
      <c r="I393" s="30" t="s">
        <v>3933</v>
      </c>
      <c r="J393" s="30" t="s">
        <v>210</v>
      </c>
      <c r="K393" s="30">
        <v>18</v>
      </c>
      <c r="L393" s="30" t="s">
        <v>741</v>
      </c>
      <c r="M393" s="30" t="str">
        <f t="shared" si="6"/>
        <v>522301</v>
      </c>
      <c r="N393" s="30">
        <v>1</v>
      </c>
    </row>
    <row r="394" spans="1:14" x14ac:dyDescent="0.25">
      <c r="A394" s="35" t="s">
        <v>3766</v>
      </c>
      <c r="B394" s="35" t="s">
        <v>2697</v>
      </c>
      <c r="C394" s="35" t="s">
        <v>18</v>
      </c>
      <c r="D394" s="30" t="s">
        <v>3932</v>
      </c>
      <c r="E394" s="30" t="s">
        <v>233</v>
      </c>
      <c r="F394" s="30">
        <v>1</v>
      </c>
      <c r="G394" s="30" t="s">
        <v>193</v>
      </c>
      <c r="H394" s="30" t="s">
        <v>194</v>
      </c>
      <c r="I394" s="30" t="s">
        <v>3933</v>
      </c>
      <c r="J394" s="30" t="s">
        <v>210</v>
      </c>
      <c r="K394" s="30">
        <v>18</v>
      </c>
      <c r="L394" s="30" t="s">
        <v>1476</v>
      </c>
      <c r="M394" s="30" t="str">
        <f t="shared" si="6"/>
        <v>242309</v>
      </c>
      <c r="N394" s="30">
        <v>1</v>
      </c>
    </row>
    <row r="395" spans="1:14" x14ac:dyDescent="0.25">
      <c r="A395" s="35" t="s">
        <v>4052</v>
      </c>
      <c r="B395" s="35" t="s">
        <v>4053</v>
      </c>
      <c r="C395" s="35" t="s">
        <v>98</v>
      </c>
      <c r="D395" s="30" t="s">
        <v>3932</v>
      </c>
      <c r="E395" s="30" t="s">
        <v>192</v>
      </c>
      <c r="F395" s="30">
        <v>1</v>
      </c>
      <c r="G395" s="30" t="s">
        <v>193</v>
      </c>
      <c r="H395" s="30" t="s">
        <v>194</v>
      </c>
      <c r="I395" s="30" t="s">
        <v>3933</v>
      </c>
      <c r="J395" s="30" t="s">
        <v>196</v>
      </c>
      <c r="K395" s="30">
        <v>18</v>
      </c>
      <c r="L395" s="30" t="s">
        <v>1973</v>
      </c>
      <c r="M395" s="30" t="str">
        <f t="shared" si="6"/>
        <v>214502</v>
      </c>
      <c r="N395" s="30">
        <v>1</v>
      </c>
    </row>
    <row r="396" spans="1:14" x14ac:dyDescent="0.25">
      <c r="A396" s="35" t="s">
        <v>2106</v>
      </c>
      <c r="B396" s="35" t="s">
        <v>3901</v>
      </c>
      <c r="C396" s="35" t="s">
        <v>3901</v>
      </c>
      <c r="D396" s="30" t="s">
        <v>4057</v>
      </c>
      <c r="E396" s="30" t="s">
        <v>233</v>
      </c>
      <c r="F396" s="30">
        <v>1</v>
      </c>
      <c r="G396" s="30" t="s">
        <v>193</v>
      </c>
      <c r="H396" s="30" t="s">
        <v>194</v>
      </c>
      <c r="I396" s="30" t="s">
        <v>3768</v>
      </c>
      <c r="J396" s="30" t="s">
        <v>408</v>
      </c>
      <c r="K396" s="30">
        <v>18</v>
      </c>
      <c r="L396" s="30" t="s">
        <v>3902</v>
      </c>
      <c r="M396" s="30" t="str">
        <f t="shared" si="6"/>
        <v>235109</v>
      </c>
      <c r="N396" s="30">
        <v>1</v>
      </c>
    </row>
    <row r="397" spans="1:14" x14ac:dyDescent="0.25">
      <c r="A397" s="35" t="s">
        <v>4054</v>
      </c>
      <c r="B397" s="35" t="s">
        <v>4055</v>
      </c>
      <c r="C397" s="35" t="s">
        <v>10</v>
      </c>
      <c r="D397" s="30" t="s">
        <v>4056</v>
      </c>
      <c r="E397" s="30" t="s">
        <v>192</v>
      </c>
      <c r="F397" s="30">
        <v>1</v>
      </c>
      <c r="G397" s="30" t="s">
        <v>193</v>
      </c>
      <c r="H397" s="30" t="s">
        <v>194</v>
      </c>
      <c r="I397" s="30" t="s">
        <v>4057</v>
      </c>
      <c r="J397" s="30" t="s">
        <v>210</v>
      </c>
      <c r="K397" s="30">
        <v>18</v>
      </c>
      <c r="L397" s="30" t="s">
        <v>484</v>
      </c>
      <c r="M397" s="30" t="str">
        <f t="shared" si="6"/>
        <v>251401</v>
      </c>
      <c r="N397" s="30">
        <v>1</v>
      </c>
    </row>
    <row r="398" spans="1:14" x14ac:dyDescent="0.25">
      <c r="A398" s="35" t="s">
        <v>1376</v>
      </c>
      <c r="B398" s="35" t="s">
        <v>4058</v>
      </c>
      <c r="C398" s="35" t="s">
        <v>29</v>
      </c>
      <c r="D398" s="30" t="s">
        <v>4056</v>
      </c>
      <c r="E398" s="30" t="s">
        <v>233</v>
      </c>
      <c r="F398" s="30">
        <v>1</v>
      </c>
      <c r="G398" s="30" t="s">
        <v>193</v>
      </c>
      <c r="H398" s="30" t="s">
        <v>194</v>
      </c>
      <c r="I398" s="30" t="s">
        <v>4057</v>
      </c>
      <c r="J398" s="30" t="s">
        <v>253</v>
      </c>
      <c r="K398" s="30">
        <v>18</v>
      </c>
      <c r="L398" s="30" t="s">
        <v>808</v>
      </c>
      <c r="M398" s="30" t="str">
        <f t="shared" si="6"/>
        <v>722308</v>
      </c>
      <c r="N398" s="30">
        <v>1</v>
      </c>
    </row>
    <row r="399" spans="1:14" x14ac:dyDescent="0.25">
      <c r="A399" s="35" t="s">
        <v>1376</v>
      </c>
      <c r="B399" s="35" t="s">
        <v>3599</v>
      </c>
      <c r="C399" s="35" t="s">
        <v>17</v>
      </c>
      <c r="D399" s="30" t="s">
        <v>4056</v>
      </c>
      <c r="E399" s="30" t="s">
        <v>233</v>
      </c>
      <c r="F399" s="30">
        <v>1</v>
      </c>
      <c r="G399" s="30" t="s">
        <v>193</v>
      </c>
      <c r="H399" s="30" t="s">
        <v>194</v>
      </c>
      <c r="I399" s="30" t="s">
        <v>4057</v>
      </c>
      <c r="J399" s="30" t="s">
        <v>223</v>
      </c>
      <c r="K399" s="30">
        <v>18</v>
      </c>
      <c r="L399" s="30" t="s">
        <v>624</v>
      </c>
      <c r="M399" s="30" t="str">
        <f t="shared" si="6"/>
        <v>332203</v>
      </c>
      <c r="N399" s="30">
        <v>1</v>
      </c>
    </row>
    <row r="400" spans="1:14" x14ac:dyDescent="0.25">
      <c r="A400" s="35" t="s">
        <v>3602</v>
      </c>
      <c r="B400" s="35" t="s">
        <v>4059</v>
      </c>
      <c r="C400" s="35" t="s">
        <v>83</v>
      </c>
      <c r="D400" s="30" t="s">
        <v>4056</v>
      </c>
      <c r="E400" s="30" t="s">
        <v>217</v>
      </c>
      <c r="F400" s="84">
        <v>0</v>
      </c>
      <c r="G400" s="84" t="s">
        <v>194</v>
      </c>
      <c r="H400" s="30" t="s">
        <v>193</v>
      </c>
      <c r="I400" s="30" t="s">
        <v>4057</v>
      </c>
      <c r="J400" s="30" t="s">
        <v>3883</v>
      </c>
      <c r="K400" s="30">
        <v>18</v>
      </c>
      <c r="L400" s="30" t="s">
        <v>791</v>
      </c>
      <c r="M400" s="30" t="str">
        <f t="shared" si="6"/>
        <v>721204</v>
      </c>
      <c r="N400" s="84">
        <v>1</v>
      </c>
    </row>
    <row r="401" spans="1:14" x14ac:dyDescent="0.25">
      <c r="A401" s="35" t="s">
        <v>919</v>
      </c>
      <c r="B401" s="35" t="s">
        <v>1200</v>
      </c>
      <c r="C401" s="35" t="s">
        <v>9</v>
      </c>
      <c r="D401" s="30" t="s">
        <v>4056</v>
      </c>
      <c r="E401" s="30" t="s">
        <v>192</v>
      </c>
      <c r="F401" s="30">
        <v>1</v>
      </c>
      <c r="G401" s="30" t="s">
        <v>193</v>
      </c>
      <c r="H401" s="30" t="s">
        <v>194</v>
      </c>
      <c r="I401" s="30" t="s">
        <v>4057</v>
      </c>
      <c r="J401" s="30" t="s">
        <v>253</v>
      </c>
      <c r="K401" s="30">
        <v>18</v>
      </c>
      <c r="L401" s="30" t="s">
        <v>405</v>
      </c>
      <c r="M401" s="30" t="str">
        <f t="shared" si="6"/>
        <v>241304</v>
      </c>
      <c r="N401" s="30">
        <v>1</v>
      </c>
    </row>
    <row r="402" spans="1:14" x14ac:dyDescent="0.25">
      <c r="A402" s="35" t="s">
        <v>919</v>
      </c>
      <c r="B402" s="35" t="s">
        <v>4060</v>
      </c>
      <c r="C402" s="35" t="s">
        <v>9</v>
      </c>
      <c r="D402" s="30" t="s">
        <v>4056</v>
      </c>
      <c r="E402" s="30" t="s">
        <v>192</v>
      </c>
      <c r="F402" s="30">
        <v>1</v>
      </c>
      <c r="G402" s="30" t="s">
        <v>193</v>
      </c>
      <c r="H402" s="30" t="s">
        <v>194</v>
      </c>
      <c r="I402" s="30" t="s">
        <v>4057</v>
      </c>
      <c r="J402" s="30" t="s">
        <v>210</v>
      </c>
      <c r="K402" s="30">
        <v>18</v>
      </c>
      <c r="L402" s="30" t="s">
        <v>405</v>
      </c>
      <c r="M402" s="30" t="str">
        <f t="shared" si="6"/>
        <v>241304</v>
      </c>
      <c r="N402" s="30">
        <v>1</v>
      </c>
    </row>
    <row r="403" spans="1:14" x14ac:dyDescent="0.25">
      <c r="A403" s="35" t="s">
        <v>3939</v>
      </c>
      <c r="B403" s="35" t="s">
        <v>4061</v>
      </c>
      <c r="C403" s="35" t="s">
        <v>1240</v>
      </c>
      <c r="D403" s="30" t="s">
        <v>4056</v>
      </c>
      <c r="E403" s="30" t="s">
        <v>192</v>
      </c>
      <c r="F403" s="30">
        <v>1</v>
      </c>
      <c r="G403" s="30" t="s">
        <v>193</v>
      </c>
      <c r="H403" s="30" t="s">
        <v>194</v>
      </c>
      <c r="I403" s="30" t="s">
        <v>3817</v>
      </c>
      <c r="J403" s="30" t="s">
        <v>210</v>
      </c>
      <c r="K403" s="30">
        <v>18</v>
      </c>
      <c r="L403" s="30" t="s">
        <v>1242</v>
      </c>
      <c r="M403" s="30" t="str">
        <f t="shared" si="6"/>
        <v>242102</v>
      </c>
      <c r="N403" s="30">
        <v>1</v>
      </c>
    </row>
    <row r="404" spans="1:14" x14ac:dyDescent="0.25">
      <c r="A404" s="35" t="s">
        <v>796</v>
      </c>
      <c r="B404" s="35" t="s">
        <v>1462</v>
      </c>
      <c r="C404" s="35" t="s">
        <v>29</v>
      </c>
      <c r="D404" s="30" t="s">
        <v>4056</v>
      </c>
      <c r="E404" s="30" t="s">
        <v>233</v>
      </c>
      <c r="F404" s="30">
        <v>1</v>
      </c>
      <c r="G404" s="30" t="s">
        <v>193</v>
      </c>
      <c r="H404" s="30" t="s">
        <v>194</v>
      </c>
      <c r="I404" s="30" t="s">
        <v>4057</v>
      </c>
      <c r="J404" s="30" t="s">
        <v>210</v>
      </c>
      <c r="K404" s="30">
        <v>18</v>
      </c>
      <c r="L404" s="30" t="s">
        <v>808</v>
      </c>
      <c r="M404" s="30" t="str">
        <f t="shared" si="6"/>
        <v>722308</v>
      </c>
      <c r="N404" s="30">
        <v>1</v>
      </c>
    </row>
    <row r="405" spans="1:14" x14ac:dyDescent="0.25">
      <c r="A405" s="35" t="s">
        <v>4062</v>
      </c>
      <c r="B405" s="35" t="s">
        <v>4063</v>
      </c>
      <c r="C405" s="35" t="s">
        <v>139</v>
      </c>
      <c r="D405" s="30" t="s">
        <v>4056</v>
      </c>
      <c r="E405" s="30" t="s">
        <v>192</v>
      </c>
      <c r="F405" s="30">
        <v>1</v>
      </c>
      <c r="G405" s="30" t="s">
        <v>193</v>
      </c>
      <c r="H405" s="30" t="s">
        <v>194</v>
      </c>
      <c r="I405" s="30" t="s">
        <v>4057</v>
      </c>
      <c r="J405" s="30" t="s">
        <v>210</v>
      </c>
      <c r="K405" s="30">
        <v>18</v>
      </c>
      <c r="L405" s="30" t="s">
        <v>1999</v>
      </c>
      <c r="M405" s="30" t="str">
        <f t="shared" si="6"/>
        <v>523003</v>
      </c>
      <c r="N405" s="30">
        <v>1</v>
      </c>
    </row>
    <row r="406" spans="1:14" x14ac:dyDescent="0.25">
      <c r="A406" s="35" t="s">
        <v>4062</v>
      </c>
      <c r="B406" s="35" t="s">
        <v>4064</v>
      </c>
      <c r="C406" s="35" t="s">
        <v>4065</v>
      </c>
      <c r="D406" s="30" t="s">
        <v>4056</v>
      </c>
      <c r="E406" s="30" t="s">
        <v>192</v>
      </c>
      <c r="F406" s="30">
        <v>1</v>
      </c>
      <c r="G406" s="30" t="s">
        <v>193</v>
      </c>
      <c r="H406" s="30" t="s">
        <v>194</v>
      </c>
      <c r="I406" s="30" t="s">
        <v>4057</v>
      </c>
      <c r="J406" s="30" t="s">
        <v>267</v>
      </c>
      <c r="K406" s="30">
        <v>18</v>
      </c>
      <c r="L406" s="30" t="s">
        <v>4066</v>
      </c>
      <c r="M406" s="30" t="str">
        <f t="shared" si="6"/>
        <v>832203</v>
      </c>
      <c r="N406" s="30">
        <v>1</v>
      </c>
    </row>
    <row r="407" spans="1:14" x14ac:dyDescent="0.25">
      <c r="A407" s="35" t="s">
        <v>1945</v>
      </c>
      <c r="B407" s="35" t="s">
        <v>4067</v>
      </c>
      <c r="C407" s="35" t="s">
        <v>27</v>
      </c>
      <c r="D407" s="30" t="s">
        <v>4056</v>
      </c>
      <c r="E407" s="30" t="s">
        <v>192</v>
      </c>
      <c r="F407" s="30">
        <v>1</v>
      </c>
      <c r="G407" s="30" t="s">
        <v>193</v>
      </c>
      <c r="H407" s="30" t="s">
        <v>194</v>
      </c>
      <c r="I407" s="30" t="s">
        <v>4057</v>
      </c>
      <c r="J407" s="30" t="s">
        <v>316</v>
      </c>
      <c r="K407" s="30">
        <v>18</v>
      </c>
      <c r="L407" s="30" t="s">
        <v>440</v>
      </c>
      <c r="M407" s="30" t="str">
        <f t="shared" si="6"/>
        <v>242307</v>
      </c>
      <c r="N407" s="30">
        <v>1</v>
      </c>
    </row>
    <row r="408" spans="1:14" x14ac:dyDescent="0.25">
      <c r="A408" s="35" t="s">
        <v>1945</v>
      </c>
      <c r="B408" s="35" t="s">
        <v>4068</v>
      </c>
      <c r="C408" s="35" t="s">
        <v>45</v>
      </c>
      <c r="D408" s="30" t="s">
        <v>4056</v>
      </c>
      <c r="E408" s="30" t="s">
        <v>192</v>
      </c>
      <c r="F408" s="30">
        <v>1</v>
      </c>
      <c r="G408" s="30" t="s">
        <v>193</v>
      </c>
      <c r="H408" s="30" t="s">
        <v>194</v>
      </c>
      <c r="I408" s="30" t="s">
        <v>4057</v>
      </c>
      <c r="J408" s="30" t="s">
        <v>316</v>
      </c>
      <c r="K408" s="30">
        <v>18</v>
      </c>
      <c r="L408" s="30" t="s">
        <v>351</v>
      </c>
      <c r="M408" s="30" t="str">
        <f t="shared" si="6"/>
        <v>214932</v>
      </c>
      <c r="N408" s="30">
        <v>1</v>
      </c>
    </row>
    <row r="409" spans="1:14" x14ac:dyDescent="0.25">
      <c r="A409" s="35" t="s">
        <v>1204</v>
      </c>
      <c r="B409" s="35" t="s">
        <v>1014</v>
      </c>
      <c r="C409" s="35" t="s">
        <v>95</v>
      </c>
      <c r="D409" s="30" t="s">
        <v>4056</v>
      </c>
      <c r="E409" s="30" t="s">
        <v>192</v>
      </c>
      <c r="F409" s="30">
        <v>1</v>
      </c>
      <c r="G409" s="30" t="s">
        <v>193</v>
      </c>
      <c r="H409" s="30" t="s">
        <v>194</v>
      </c>
      <c r="I409" s="30" t="s">
        <v>4057</v>
      </c>
      <c r="J409" s="30" t="s">
        <v>276</v>
      </c>
      <c r="K409" s="30">
        <v>18</v>
      </c>
      <c r="L409" s="30" t="s">
        <v>1015</v>
      </c>
      <c r="M409" s="30" t="str">
        <f t="shared" si="6"/>
        <v>122102</v>
      </c>
      <c r="N409" s="30">
        <v>1</v>
      </c>
    </row>
    <row r="410" spans="1:14" x14ac:dyDescent="0.25">
      <c r="A410" s="35" t="s">
        <v>1204</v>
      </c>
      <c r="B410" s="35" t="s">
        <v>1205</v>
      </c>
      <c r="C410" s="35" t="s">
        <v>17</v>
      </c>
      <c r="D410" s="30" t="s">
        <v>4056</v>
      </c>
      <c r="E410" s="30" t="s">
        <v>192</v>
      </c>
      <c r="F410" s="30">
        <v>1</v>
      </c>
      <c r="G410" s="30" t="s">
        <v>193</v>
      </c>
      <c r="H410" s="30" t="s">
        <v>194</v>
      </c>
      <c r="I410" s="30" t="s">
        <v>4057</v>
      </c>
      <c r="J410" s="30" t="s">
        <v>210</v>
      </c>
      <c r="K410" s="30">
        <v>18</v>
      </c>
      <c r="L410" s="30" t="s">
        <v>624</v>
      </c>
      <c r="M410" s="30" t="str">
        <f t="shared" si="6"/>
        <v>332203</v>
      </c>
      <c r="N410" s="30">
        <v>1</v>
      </c>
    </row>
    <row r="411" spans="1:14" x14ac:dyDescent="0.25">
      <c r="A411" s="35" t="s">
        <v>1204</v>
      </c>
      <c r="B411" s="35" t="s">
        <v>1205</v>
      </c>
      <c r="C411" s="35" t="s">
        <v>111</v>
      </c>
      <c r="D411" s="30" t="s">
        <v>4056</v>
      </c>
      <c r="E411" s="30" t="s">
        <v>192</v>
      </c>
      <c r="F411" s="30">
        <v>1</v>
      </c>
      <c r="G411" s="30" t="s">
        <v>193</v>
      </c>
      <c r="H411" s="30" t="s">
        <v>194</v>
      </c>
      <c r="I411" s="30" t="s">
        <v>3932</v>
      </c>
      <c r="J411" s="30" t="s">
        <v>276</v>
      </c>
      <c r="K411" s="30">
        <v>18</v>
      </c>
      <c r="L411" s="30" t="s">
        <v>612</v>
      </c>
      <c r="M411" s="30" t="str">
        <f t="shared" si="6"/>
        <v>332101</v>
      </c>
      <c r="N411" s="30">
        <v>1</v>
      </c>
    </row>
    <row r="412" spans="1:14" x14ac:dyDescent="0.25">
      <c r="A412" s="35" t="s">
        <v>1390</v>
      </c>
      <c r="B412" s="35" t="s">
        <v>4069</v>
      </c>
      <c r="C412" s="35" t="s">
        <v>27</v>
      </c>
      <c r="D412" s="30" t="s">
        <v>4056</v>
      </c>
      <c r="E412" s="30" t="s">
        <v>192</v>
      </c>
      <c r="F412" s="30">
        <v>1</v>
      </c>
      <c r="G412" s="30" t="s">
        <v>193</v>
      </c>
      <c r="H412" s="30" t="s">
        <v>194</v>
      </c>
      <c r="I412" s="30" t="s">
        <v>3932</v>
      </c>
      <c r="J412" s="30" t="s">
        <v>1392</v>
      </c>
      <c r="K412" s="30">
        <v>18</v>
      </c>
      <c r="L412" s="30" t="s">
        <v>440</v>
      </c>
      <c r="M412" s="30" t="str">
        <f t="shared" si="6"/>
        <v>242307</v>
      </c>
      <c r="N412" s="30">
        <v>1</v>
      </c>
    </row>
    <row r="413" spans="1:14" x14ac:dyDescent="0.25">
      <c r="A413" s="35" t="s">
        <v>4070</v>
      </c>
      <c r="B413" s="35" t="s">
        <v>3928</v>
      </c>
      <c r="C413" s="35" t="s">
        <v>554</v>
      </c>
      <c r="D413" s="30" t="s">
        <v>4056</v>
      </c>
      <c r="E413" s="30" t="s">
        <v>192</v>
      </c>
      <c r="F413" s="30">
        <v>1</v>
      </c>
      <c r="G413" s="30" t="s">
        <v>193</v>
      </c>
      <c r="H413" s="30" t="s">
        <v>194</v>
      </c>
      <c r="I413" s="30" t="s">
        <v>3932</v>
      </c>
      <c r="J413" s="30" t="s">
        <v>316</v>
      </c>
      <c r="K413" s="30">
        <v>18</v>
      </c>
      <c r="L413" s="30" t="s">
        <v>555</v>
      </c>
      <c r="M413" s="30" t="str">
        <f t="shared" si="6"/>
        <v>311303</v>
      </c>
      <c r="N413" s="30">
        <v>1</v>
      </c>
    </row>
    <row r="414" spans="1:14" x14ac:dyDescent="0.25">
      <c r="A414" s="35" t="s">
        <v>4070</v>
      </c>
      <c r="B414" s="35" t="s">
        <v>4071</v>
      </c>
      <c r="C414" s="35" t="s">
        <v>4072</v>
      </c>
      <c r="D414" s="30" t="s">
        <v>4056</v>
      </c>
      <c r="E414" s="30" t="s">
        <v>192</v>
      </c>
      <c r="F414" s="30">
        <v>1</v>
      </c>
      <c r="G414" s="30" t="s">
        <v>193</v>
      </c>
      <c r="H414" s="30" t="s">
        <v>194</v>
      </c>
      <c r="I414" s="30" t="s">
        <v>3932</v>
      </c>
      <c r="J414" s="30" t="s">
        <v>316</v>
      </c>
      <c r="K414" s="30">
        <v>18</v>
      </c>
      <c r="L414" s="30" t="s">
        <v>4073</v>
      </c>
      <c r="M414" s="30" t="str">
        <f t="shared" si="6"/>
        <v>311603</v>
      </c>
      <c r="N414" s="30">
        <v>1</v>
      </c>
    </row>
    <row r="415" spans="1:14" x14ac:dyDescent="0.25">
      <c r="A415" s="35" t="s">
        <v>4070</v>
      </c>
      <c r="B415" s="35" t="s">
        <v>4074</v>
      </c>
      <c r="C415" s="35" t="s">
        <v>362</v>
      </c>
      <c r="D415" s="30" t="s">
        <v>4056</v>
      </c>
      <c r="E415" s="30" t="s">
        <v>192</v>
      </c>
      <c r="F415" s="30">
        <v>1</v>
      </c>
      <c r="G415" s="30" t="s">
        <v>193</v>
      </c>
      <c r="H415" s="30" t="s">
        <v>194</v>
      </c>
      <c r="I415" s="30" t="s">
        <v>3932</v>
      </c>
      <c r="J415" s="30" t="s">
        <v>316</v>
      </c>
      <c r="K415" s="30">
        <v>18</v>
      </c>
      <c r="L415" s="30" t="s">
        <v>363</v>
      </c>
      <c r="M415" s="30" t="str">
        <f t="shared" si="6"/>
        <v>215104</v>
      </c>
      <c r="N415" s="30">
        <v>1</v>
      </c>
    </row>
    <row r="416" spans="1:14" x14ac:dyDescent="0.25">
      <c r="A416" s="35" t="s">
        <v>1120</v>
      </c>
      <c r="B416" s="35" t="s">
        <v>1121</v>
      </c>
      <c r="C416" s="35" t="s">
        <v>17</v>
      </c>
      <c r="D416" s="30" t="s">
        <v>4056</v>
      </c>
      <c r="E416" s="30" t="s">
        <v>233</v>
      </c>
      <c r="F416" s="30">
        <v>1</v>
      </c>
      <c r="G416" s="30" t="s">
        <v>193</v>
      </c>
      <c r="H416" s="30" t="s">
        <v>194</v>
      </c>
      <c r="I416" s="30" t="s">
        <v>3932</v>
      </c>
      <c r="J416" s="30" t="s">
        <v>210</v>
      </c>
      <c r="K416" s="30">
        <v>18</v>
      </c>
      <c r="L416" s="30" t="s">
        <v>624</v>
      </c>
      <c r="M416" s="30" t="str">
        <f t="shared" si="6"/>
        <v>332203</v>
      </c>
      <c r="N416" s="30">
        <v>1</v>
      </c>
    </row>
    <row r="417" spans="1:14" x14ac:dyDescent="0.25">
      <c r="A417" s="35" t="s">
        <v>1211</v>
      </c>
      <c r="B417" s="35" t="s">
        <v>1397</v>
      </c>
      <c r="C417" s="35" t="s">
        <v>9</v>
      </c>
      <c r="D417" s="30" t="s">
        <v>4056</v>
      </c>
      <c r="E417" s="30" t="s">
        <v>192</v>
      </c>
      <c r="F417" s="30">
        <v>1</v>
      </c>
      <c r="G417" s="30" t="s">
        <v>193</v>
      </c>
      <c r="H417" s="30" t="s">
        <v>194</v>
      </c>
      <c r="I417" s="30" t="s">
        <v>3932</v>
      </c>
      <c r="J417" s="30" t="s">
        <v>367</v>
      </c>
      <c r="K417" s="30">
        <v>18</v>
      </c>
      <c r="L417" s="30" t="s">
        <v>405</v>
      </c>
      <c r="M417" s="30" t="str">
        <f t="shared" si="6"/>
        <v>241304</v>
      </c>
      <c r="N417" s="30">
        <v>1</v>
      </c>
    </row>
    <row r="418" spans="1:14" x14ac:dyDescent="0.25">
      <c r="A418" s="35" t="s">
        <v>1211</v>
      </c>
      <c r="B418" s="35" t="s">
        <v>1642</v>
      </c>
      <c r="C418" s="158" t="s">
        <v>525</v>
      </c>
      <c r="D418" s="30" t="s">
        <v>4056</v>
      </c>
      <c r="E418" s="30" t="s">
        <v>192</v>
      </c>
      <c r="F418" s="30">
        <v>1</v>
      </c>
      <c r="G418" s="30" t="s">
        <v>193</v>
      </c>
      <c r="H418" s="30" t="s">
        <v>194</v>
      </c>
      <c r="I418" s="30" t="s">
        <v>3932</v>
      </c>
      <c r="J418" s="30" t="s">
        <v>367</v>
      </c>
      <c r="K418" s="30">
        <v>18</v>
      </c>
      <c r="L418" s="30" t="s">
        <v>526</v>
      </c>
      <c r="M418" s="30" t="str">
        <f t="shared" si="6"/>
        <v>263102</v>
      </c>
      <c r="N418" s="30">
        <v>1</v>
      </c>
    </row>
    <row r="419" spans="1:14" x14ac:dyDescent="0.25">
      <c r="A419" s="35" t="s">
        <v>4075</v>
      </c>
      <c r="B419" s="35" t="s">
        <v>4076</v>
      </c>
      <c r="C419" s="35" t="s">
        <v>17</v>
      </c>
      <c r="D419" s="30" t="s">
        <v>4056</v>
      </c>
      <c r="E419" s="30" t="s">
        <v>192</v>
      </c>
      <c r="F419" s="30">
        <v>1</v>
      </c>
      <c r="G419" s="30" t="s">
        <v>193</v>
      </c>
      <c r="H419" s="30" t="s">
        <v>194</v>
      </c>
      <c r="I419" s="30" t="s">
        <v>3932</v>
      </c>
      <c r="J419" s="30" t="s">
        <v>276</v>
      </c>
      <c r="K419" s="30">
        <v>18</v>
      </c>
      <c r="L419" s="30" t="s">
        <v>624</v>
      </c>
      <c r="M419" s="30" t="str">
        <f t="shared" si="6"/>
        <v>332203</v>
      </c>
      <c r="N419" s="30">
        <v>1</v>
      </c>
    </row>
    <row r="420" spans="1:14" x14ac:dyDescent="0.25">
      <c r="A420" s="35" t="s">
        <v>1797</v>
      </c>
      <c r="B420" s="35" t="s">
        <v>1000</v>
      </c>
      <c r="C420" s="35" t="s">
        <v>163</v>
      </c>
      <c r="D420" s="30" t="s">
        <v>4056</v>
      </c>
      <c r="E420" s="30" t="s">
        <v>233</v>
      </c>
      <c r="F420" s="30">
        <v>1</v>
      </c>
      <c r="G420" s="30" t="s">
        <v>193</v>
      </c>
      <c r="H420" s="30" t="s">
        <v>194</v>
      </c>
      <c r="I420" s="30" t="s">
        <v>3932</v>
      </c>
      <c r="J420" s="30" t="s">
        <v>267</v>
      </c>
      <c r="K420" s="30">
        <v>18</v>
      </c>
      <c r="L420" s="30" t="s">
        <v>697</v>
      </c>
      <c r="M420" s="30" t="str">
        <f t="shared" si="6"/>
        <v>351203</v>
      </c>
      <c r="N420" s="30">
        <v>1</v>
      </c>
    </row>
    <row r="421" spans="1:14" x14ac:dyDescent="0.25">
      <c r="A421" s="35" t="s">
        <v>4077</v>
      </c>
      <c r="B421" s="35" t="s">
        <v>4078</v>
      </c>
      <c r="C421" s="35" t="s">
        <v>1799</v>
      </c>
      <c r="D421" s="30" t="s">
        <v>4056</v>
      </c>
      <c r="E421" s="30" t="s">
        <v>192</v>
      </c>
      <c r="F421" s="30">
        <v>1</v>
      </c>
      <c r="G421" s="30" t="s">
        <v>193</v>
      </c>
      <c r="H421" s="30" t="s">
        <v>194</v>
      </c>
      <c r="I421" s="30" t="s">
        <v>3932</v>
      </c>
      <c r="J421" s="30" t="s">
        <v>210</v>
      </c>
      <c r="K421" s="30">
        <v>18</v>
      </c>
      <c r="L421" s="30" t="s">
        <v>1800</v>
      </c>
      <c r="M421" s="30" t="str">
        <f t="shared" si="6"/>
        <v>242204</v>
      </c>
      <c r="N421" s="30">
        <v>1</v>
      </c>
    </row>
    <row r="422" spans="1:14" x14ac:dyDescent="0.25">
      <c r="A422" s="35" t="s">
        <v>4077</v>
      </c>
      <c r="B422" s="35" t="s">
        <v>4079</v>
      </c>
      <c r="C422" s="35" t="s">
        <v>10</v>
      </c>
      <c r="D422" s="30" t="s">
        <v>4056</v>
      </c>
      <c r="E422" s="30" t="s">
        <v>192</v>
      </c>
      <c r="F422" s="30">
        <v>1</v>
      </c>
      <c r="G422" s="30" t="s">
        <v>193</v>
      </c>
      <c r="H422" s="30" t="s">
        <v>194</v>
      </c>
      <c r="I422" s="30" t="s">
        <v>3932</v>
      </c>
      <c r="J422" s="30" t="s">
        <v>210</v>
      </c>
      <c r="K422" s="30">
        <v>18</v>
      </c>
      <c r="L422" s="30" t="s">
        <v>484</v>
      </c>
      <c r="M422" s="30" t="str">
        <f t="shared" si="6"/>
        <v>251401</v>
      </c>
      <c r="N422" s="30">
        <v>1</v>
      </c>
    </row>
    <row r="423" spans="1:14" x14ac:dyDescent="0.25">
      <c r="A423" s="35" t="s">
        <v>4077</v>
      </c>
      <c r="B423" s="35" t="s">
        <v>4080</v>
      </c>
      <c r="C423" s="35" t="s">
        <v>1661</v>
      </c>
      <c r="D423" s="30" t="s">
        <v>4056</v>
      </c>
      <c r="E423" s="30" t="s">
        <v>192</v>
      </c>
      <c r="F423" s="30">
        <v>1</v>
      </c>
      <c r="G423" s="30" t="s">
        <v>193</v>
      </c>
      <c r="H423" s="30" t="s">
        <v>194</v>
      </c>
      <c r="I423" s="30" t="s">
        <v>3932</v>
      </c>
      <c r="J423" s="30" t="s">
        <v>210</v>
      </c>
      <c r="K423" s="30">
        <v>18</v>
      </c>
      <c r="L423" s="30" t="s">
        <v>1662</v>
      </c>
      <c r="M423" s="30" t="str">
        <f t="shared" si="6"/>
        <v>241202</v>
      </c>
      <c r="N423" s="30">
        <v>1</v>
      </c>
    </row>
    <row r="424" spans="1:14" x14ac:dyDescent="0.25">
      <c r="A424" s="35" t="s">
        <v>4077</v>
      </c>
      <c r="B424" s="35" t="s">
        <v>4081</v>
      </c>
      <c r="C424" s="158" t="s">
        <v>525</v>
      </c>
      <c r="D424" s="30" t="s">
        <v>4056</v>
      </c>
      <c r="E424" s="30" t="s">
        <v>192</v>
      </c>
      <c r="F424" s="30">
        <v>1</v>
      </c>
      <c r="G424" s="30" t="s">
        <v>193</v>
      </c>
      <c r="H424" s="30" t="s">
        <v>194</v>
      </c>
      <c r="I424" s="30" t="s">
        <v>3932</v>
      </c>
      <c r="J424" s="30" t="s">
        <v>210</v>
      </c>
      <c r="K424" s="30">
        <v>18</v>
      </c>
      <c r="L424" s="30" t="s">
        <v>526</v>
      </c>
      <c r="M424" s="30" t="str">
        <f t="shared" si="6"/>
        <v>263102</v>
      </c>
      <c r="N424" s="30">
        <v>1</v>
      </c>
    </row>
    <row r="425" spans="1:14" x14ac:dyDescent="0.25">
      <c r="A425" s="35" t="s">
        <v>4082</v>
      </c>
      <c r="B425" s="35" t="s">
        <v>4083</v>
      </c>
      <c r="C425" s="35" t="s">
        <v>2993</v>
      </c>
      <c r="D425" s="30" t="s">
        <v>4056</v>
      </c>
      <c r="E425" s="30" t="s">
        <v>192</v>
      </c>
      <c r="F425" s="30">
        <v>1</v>
      </c>
      <c r="G425" s="30" t="s">
        <v>193</v>
      </c>
      <c r="H425" s="30" t="s">
        <v>194</v>
      </c>
      <c r="I425" s="30" t="s">
        <v>3932</v>
      </c>
      <c r="J425" s="30" t="s">
        <v>316</v>
      </c>
      <c r="K425" s="30">
        <v>18</v>
      </c>
      <c r="L425" s="30" t="s">
        <v>3793</v>
      </c>
      <c r="M425" s="30" t="str">
        <f t="shared" si="6"/>
        <v>251904</v>
      </c>
      <c r="N425" s="30">
        <v>1</v>
      </c>
    </row>
    <row r="426" spans="1:14" x14ac:dyDescent="0.25">
      <c r="A426" s="35" t="s">
        <v>3948</v>
      </c>
      <c r="B426" s="35" t="s">
        <v>4084</v>
      </c>
      <c r="C426" s="35" t="s">
        <v>10</v>
      </c>
      <c r="D426" s="30" t="s">
        <v>4056</v>
      </c>
      <c r="E426" s="30" t="s">
        <v>192</v>
      </c>
      <c r="F426" s="30">
        <v>1</v>
      </c>
      <c r="G426" s="30" t="s">
        <v>193</v>
      </c>
      <c r="H426" s="30" t="s">
        <v>194</v>
      </c>
      <c r="I426" s="30" t="s">
        <v>3817</v>
      </c>
      <c r="J426" s="30" t="s">
        <v>210</v>
      </c>
      <c r="K426" s="30">
        <v>18</v>
      </c>
      <c r="L426" s="30" t="s">
        <v>484</v>
      </c>
      <c r="M426" s="30" t="str">
        <f t="shared" si="6"/>
        <v>251401</v>
      </c>
      <c r="N426" s="30">
        <v>1</v>
      </c>
    </row>
    <row r="427" spans="1:14" x14ac:dyDescent="0.25">
      <c r="A427" s="35" t="s">
        <v>1023</v>
      </c>
      <c r="B427" s="35" t="s">
        <v>4085</v>
      </c>
      <c r="C427" s="35" t="s">
        <v>4086</v>
      </c>
      <c r="D427" s="30" t="s">
        <v>4056</v>
      </c>
      <c r="E427" s="30" t="s">
        <v>233</v>
      </c>
      <c r="F427" s="30">
        <v>1</v>
      </c>
      <c r="G427" s="30" t="s">
        <v>193</v>
      </c>
      <c r="H427" s="30" t="s">
        <v>194</v>
      </c>
      <c r="I427" s="30" t="s">
        <v>3817</v>
      </c>
      <c r="J427" s="30" t="s">
        <v>1995</v>
      </c>
      <c r="K427" s="30">
        <v>18</v>
      </c>
      <c r="L427" s="30" t="s">
        <v>4087</v>
      </c>
      <c r="M427" s="30" t="str">
        <f t="shared" si="6"/>
        <v>311213</v>
      </c>
      <c r="N427" s="30">
        <v>1</v>
      </c>
    </row>
    <row r="428" spans="1:14" x14ac:dyDescent="0.25">
      <c r="A428" s="35" t="s">
        <v>4088</v>
      </c>
      <c r="B428" s="35" t="s">
        <v>4089</v>
      </c>
      <c r="C428" s="35" t="s">
        <v>4090</v>
      </c>
      <c r="D428" s="30" t="s">
        <v>4056</v>
      </c>
      <c r="E428" s="30" t="s">
        <v>192</v>
      </c>
      <c r="F428" s="30">
        <v>1</v>
      </c>
      <c r="G428" s="30" t="s">
        <v>193</v>
      </c>
      <c r="H428" s="30" t="s">
        <v>194</v>
      </c>
      <c r="I428" s="30" t="s">
        <v>3817</v>
      </c>
      <c r="J428" s="30" t="s">
        <v>210</v>
      </c>
      <c r="K428" s="30">
        <v>18</v>
      </c>
      <c r="L428" s="30" t="s">
        <v>4091</v>
      </c>
      <c r="M428" s="30" t="str">
        <f t="shared" si="6"/>
        <v>421403</v>
      </c>
      <c r="N428" s="30">
        <v>1</v>
      </c>
    </row>
    <row r="429" spans="1:14" x14ac:dyDescent="0.25">
      <c r="A429" s="35" t="s">
        <v>2823</v>
      </c>
      <c r="B429" s="35" t="s">
        <v>4092</v>
      </c>
      <c r="C429" s="35" t="s">
        <v>4093</v>
      </c>
      <c r="D429" s="30" t="s">
        <v>4056</v>
      </c>
      <c r="E429" s="30" t="s">
        <v>192</v>
      </c>
      <c r="F429" s="30">
        <v>1</v>
      </c>
      <c r="G429" s="30" t="s">
        <v>193</v>
      </c>
      <c r="H429" s="30" t="s">
        <v>194</v>
      </c>
      <c r="I429" s="30" t="s">
        <v>3817</v>
      </c>
      <c r="J429" s="30" t="s">
        <v>276</v>
      </c>
      <c r="K429" s="30">
        <v>18</v>
      </c>
      <c r="L429" s="30" t="s">
        <v>4094</v>
      </c>
      <c r="M429" s="30" t="str">
        <f t="shared" si="6"/>
        <v>112002</v>
      </c>
      <c r="N429" s="30">
        <v>1</v>
      </c>
    </row>
    <row r="430" spans="1:14" x14ac:dyDescent="0.25">
      <c r="A430" s="35" t="s">
        <v>2823</v>
      </c>
      <c r="B430" s="35" t="s">
        <v>4095</v>
      </c>
      <c r="C430" s="35" t="s">
        <v>3427</v>
      </c>
      <c r="D430" s="30" t="s">
        <v>4056</v>
      </c>
      <c r="E430" s="30" t="s">
        <v>192</v>
      </c>
      <c r="F430" s="30">
        <v>1</v>
      </c>
      <c r="G430" s="30" t="s">
        <v>193</v>
      </c>
      <c r="H430" s="30" t="s">
        <v>194</v>
      </c>
      <c r="I430" s="30" t="s">
        <v>3817</v>
      </c>
      <c r="J430" s="30" t="s">
        <v>276</v>
      </c>
      <c r="K430" s="30">
        <v>18</v>
      </c>
      <c r="L430" s="30" t="s">
        <v>3428</v>
      </c>
      <c r="M430" s="30" t="str">
        <f t="shared" si="6"/>
        <v>251202</v>
      </c>
      <c r="N430" s="30">
        <v>1</v>
      </c>
    </row>
    <row r="431" spans="1:14" x14ac:dyDescent="0.25">
      <c r="A431" s="35" t="s">
        <v>890</v>
      </c>
      <c r="B431" s="35" t="s">
        <v>3740</v>
      </c>
      <c r="C431" s="35" t="s">
        <v>36</v>
      </c>
      <c r="D431" s="30" t="s">
        <v>4056</v>
      </c>
      <c r="E431" s="30" t="s">
        <v>233</v>
      </c>
      <c r="F431" s="84">
        <v>0</v>
      </c>
      <c r="G431" s="84" t="s">
        <v>194</v>
      </c>
      <c r="H431" s="30" t="s">
        <v>193</v>
      </c>
      <c r="I431" s="30" t="s">
        <v>3817</v>
      </c>
      <c r="J431" s="30" t="s">
        <v>3194</v>
      </c>
      <c r="K431" s="30">
        <v>18</v>
      </c>
      <c r="L431" s="30" t="s">
        <v>609</v>
      </c>
      <c r="M431" s="30" t="str">
        <f t="shared" si="6"/>
        <v>331301</v>
      </c>
      <c r="N431" s="84">
        <v>1</v>
      </c>
    </row>
    <row r="432" spans="1:14" x14ac:dyDescent="0.25">
      <c r="A432" s="35" t="s">
        <v>890</v>
      </c>
      <c r="B432" s="35" t="s">
        <v>4096</v>
      </c>
      <c r="C432" s="35" t="s">
        <v>17</v>
      </c>
      <c r="D432" s="30" t="s">
        <v>4056</v>
      </c>
      <c r="E432" s="30" t="s">
        <v>233</v>
      </c>
      <c r="F432" s="30">
        <v>1</v>
      </c>
      <c r="G432" s="30" t="s">
        <v>193</v>
      </c>
      <c r="H432" s="30" t="s">
        <v>194</v>
      </c>
      <c r="I432" s="30" t="s">
        <v>3818</v>
      </c>
      <c r="J432" s="30" t="s">
        <v>210</v>
      </c>
      <c r="K432" s="30">
        <v>18</v>
      </c>
      <c r="L432" s="30" t="s">
        <v>624</v>
      </c>
      <c r="M432" s="30" t="str">
        <f t="shared" si="6"/>
        <v>332203</v>
      </c>
      <c r="N432" s="30">
        <v>1</v>
      </c>
    </row>
    <row r="433" spans="1:14" x14ac:dyDescent="0.25">
      <c r="A433" s="35" t="s">
        <v>4097</v>
      </c>
      <c r="B433" s="35" t="s">
        <v>4098</v>
      </c>
      <c r="C433" s="35" t="s">
        <v>692</v>
      </c>
      <c r="D433" s="30" t="s">
        <v>4056</v>
      </c>
      <c r="E433" s="30" t="s">
        <v>192</v>
      </c>
      <c r="F433" s="30">
        <v>1</v>
      </c>
      <c r="G433" s="30" t="s">
        <v>193</v>
      </c>
      <c r="H433" s="30" t="s">
        <v>194</v>
      </c>
      <c r="I433" s="30" t="s">
        <v>3818</v>
      </c>
      <c r="J433" s="30" t="s">
        <v>210</v>
      </c>
      <c r="K433" s="30">
        <v>18</v>
      </c>
      <c r="L433" s="30" t="s">
        <v>693</v>
      </c>
      <c r="M433" s="30" t="str">
        <f t="shared" si="6"/>
        <v>351103</v>
      </c>
      <c r="N433" s="30">
        <v>1</v>
      </c>
    </row>
    <row r="434" spans="1:14" x14ac:dyDescent="0.25">
      <c r="A434" s="35" t="s">
        <v>2922</v>
      </c>
      <c r="B434" s="35" t="s">
        <v>537</v>
      </c>
      <c r="C434" s="35" t="s">
        <v>778</v>
      </c>
      <c r="D434" s="30" t="s">
        <v>4056</v>
      </c>
      <c r="E434" s="30" t="s">
        <v>192</v>
      </c>
      <c r="F434" s="30">
        <v>1</v>
      </c>
      <c r="G434" s="30" t="s">
        <v>193</v>
      </c>
      <c r="H434" s="30" t="s">
        <v>194</v>
      </c>
      <c r="I434" s="30" t="s">
        <v>3818</v>
      </c>
      <c r="J434" s="30" t="s">
        <v>210</v>
      </c>
      <c r="K434" s="30">
        <v>18</v>
      </c>
      <c r="L434" s="30" t="s">
        <v>779</v>
      </c>
      <c r="M434" s="30" t="str">
        <f t="shared" si="6"/>
        <v>524902</v>
      </c>
      <c r="N434" s="30">
        <v>1</v>
      </c>
    </row>
    <row r="435" spans="1:14" x14ac:dyDescent="0.25">
      <c r="A435" s="35" t="s">
        <v>360</v>
      </c>
      <c r="B435" s="35" t="s">
        <v>4099</v>
      </c>
      <c r="C435" s="35" t="s">
        <v>21</v>
      </c>
      <c r="D435" s="30" t="s">
        <v>4056</v>
      </c>
      <c r="E435" s="30" t="s">
        <v>192</v>
      </c>
      <c r="F435" s="30">
        <v>1</v>
      </c>
      <c r="G435" s="30" t="s">
        <v>193</v>
      </c>
      <c r="H435" s="30" t="s">
        <v>194</v>
      </c>
      <c r="I435" s="30" t="s">
        <v>3818</v>
      </c>
      <c r="J435" s="30" t="s">
        <v>210</v>
      </c>
      <c r="K435" s="30">
        <v>18</v>
      </c>
      <c r="L435" s="30" t="s">
        <v>293</v>
      </c>
      <c r="M435" s="30" t="str">
        <f t="shared" si="6"/>
        <v>214202</v>
      </c>
      <c r="N435" s="30">
        <v>1</v>
      </c>
    </row>
    <row r="436" spans="1:14" x14ac:dyDescent="0.25">
      <c r="A436" s="35" t="s">
        <v>2093</v>
      </c>
      <c r="B436" s="35" t="s">
        <v>1024</v>
      </c>
      <c r="C436" s="35" t="s">
        <v>4100</v>
      </c>
      <c r="D436" s="30" t="s">
        <v>4056</v>
      </c>
      <c r="E436" s="30" t="s">
        <v>233</v>
      </c>
      <c r="F436" s="30">
        <v>1</v>
      </c>
      <c r="G436" s="30" t="s">
        <v>193</v>
      </c>
      <c r="H436" s="30" t="s">
        <v>194</v>
      </c>
      <c r="I436" s="30" t="s">
        <v>3818</v>
      </c>
      <c r="J436" s="30" t="s">
        <v>399</v>
      </c>
      <c r="K436" s="30">
        <v>18</v>
      </c>
      <c r="L436" s="30" t="s">
        <v>4101</v>
      </c>
      <c r="M436" s="30" t="str">
        <f t="shared" si="6"/>
        <v>242209</v>
      </c>
      <c r="N436" s="30">
        <v>1</v>
      </c>
    </row>
    <row r="437" spans="1:14" x14ac:dyDescent="0.25">
      <c r="A437" s="35" t="s">
        <v>2093</v>
      </c>
      <c r="B437" s="35" t="s">
        <v>4102</v>
      </c>
      <c r="C437" s="35" t="s">
        <v>58</v>
      </c>
      <c r="D437" s="30" t="s">
        <v>4056</v>
      </c>
      <c r="E437" s="30" t="s">
        <v>233</v>
      </c>
      <c r="F437" s="30">
        <v>1</v>
      </c>
      <c r="G437" s="30" t="s">
        <v>193</v>
      </c>
      <c r="H437" s="30" t="s">
        <v>194</v>
      </c>
      <c r="I437" s="30" t="s">
        <v>3818</v>
      </c>
      <c r="J437" s="30" t="s">
        <v>223</v>
      </c>
      <c r="K437" s="30">
        <v>18</v>
      </c>
      <c r="L437" s="30" t="s">
        <v>2219</v>
      </c>
      <c r="M437" s="30" t="str">
        <f t="shared" si="6"/>
        <v>421402</v>
      </c>
      <c r="N437" s="30">
        <v>1</v>
      </c>
    </row>
    <row r="438" spans="1:14" x14ac:dyDescent="0.25">
      <c r="A438" s="35" t="s">
        <v>4103</v>
      </c>
      <c r="B438" s="35" t="s">
        <v>4104</v>
      </c>
      <c r="C438" s="35" t="s">
        <v>4100</v>
      </c>
      <c r="D438" s="30" t="s">
        <v>4056</v>
      </c>
      <c r="E438" s="30" t="s">
        <v>233</v>
      </c>
      <c r="F438" s="30">
        <v>1</v>
      </c>
      <c r="G438" s="30" t="s">
        <v>193</v>
      </c>
      <c r="H438" s="30" t="s">
        <v>194</v>
      </c>
      <c r="I438" s="30" t="s">
        <v>3817</v>
      </c>
      <c r="J438" s="30" t="s">
        <v>210</v>
      </c>
      <c r="K438" s="30">
        <v>18</v>
      </c>
      <c r="L438" s="30" t="s">
        <v>4101</v>
      </c>
      <c r="M438" s="30" t="str">
        <f t="shared" si="6"/>
        <v>242209</v>
      </c>
      <c r="N438" s="30">
        <v>1</v>
      </c>
    </row>
    <row r="439" spans="1:14" x14ac:dyDescent="0.25">
      <c r="A439" s="35" t="s">
        <v>4103</v>
      </c>
      <c r="B439" s="35" t="s">
        <v>1024</v>
      </c>
      <c r="C439" s="35" t="s">
        <v>7</v>
      </c>
      <c r="D439" s="30" t="s">
        <v>4056</v>
      </c>
      <c r="E439" s="30" t="s">
        <v>233</v>
      </c>
      <c r="F439" s="30">
        <v>1</v>
      </c>
      <c r="G439" s="30" t="s">
        <v>193</v>
      </c>
      <c r="H439" s="30" t="s">
        <v>194</v>
      </c>
      <c r="I439" s="30" t="s">
        <v>3818</v>
      </c>
      <c r="J439" s="30" t="s">
        <v>747</v>
      </c>
      <c r="K439" s="30">
        <v>18</v>
      </c>
      <c r="L439" s="30" t="s">
        <v>2698</v>
      </c>
      <c r="M439" s="30" t="str">
        <f t="shared" si="6"/>
        <v>335203</v>
      </c>
      <c r="N439" s="30">
        <v>1</v>
      </c>
    </row>
    <row r="440" spans="1:14" x14ac:dyDescent="0.25">
      <c r="A440" s="35" t="s">
        <v>4103</v>
      </c>
      <c r="B440" s="35" t="s">
        <v>1024</v>
      </c>
      <c r="C440" s="35" t="s">
        <v>39</v>
      </c>
      <c r="D440" s="30" t="s">
        <v>4056</v>
      </c>
      <c r="E440" s="30" t="s">
        <v>233</v>
      </c>
      <c r="F440" s="30">
        <v>1</v>
      </c>
      <c r="G440" s="30" t="s">
        <v>193</v>
      </c>
      <c r="H440" s="30" t="s">
        <v>194</v>
      </c>
      <c r="I440" s="30" t="s">
        <v>3818</v>
      </c>
      <c r="J440" s="30" t="s">
        <v>196</v>
      </c>
      <c r="K440" s="30">
        <v>18</v>
      </c>
      <c r="L440" s="30" t="s">
        <v>551</v>
      </c>
      <c r="M440" s="30" t="str">
        <f t="shared" si="6"/>
        <v>311204</v>
      </c>
      <c r="N440" s="30">
        <v>1</v>
      </c>
    </row>
    <row r="441" spans="1:14" x14ac:dyDescent="0.25">
      <c r="A441" s="35" t="s">
        <v>4103</v>
      </c>
      <c r="B441" s="35" t="s">
        <v>1024</v>
      </c>
      <c r="C441" s="35" t="s">
        <v>4105</v>
      </c>
      <c r="D441" s="30" t="s">
        <v>4056</v>
      </c>
      <c r="E441" s="30" t="s">
        <v>233</v>
      </c>
      <c r="F441" s="30">
        <v>1</v>
      </c>
      <c r="G441" s="30" t="s">
        <v>193</v>
      </c>
      <c r="H441" s="30" t="s">
        <v>194</v>
      </c>
      <c r="I441" s="30" t="s">
        <v>3818</v>
      </c>
      <c r="J441" s="30" t="s">
        <v>210</v>
      </c>
      <c r="K441" s="30">
        <v>18</v>
      </c>
      <c r="L441" s="30" t="s">
        <v>4106</v>
      </c>
      <c r="M441" s="30" t="str">
        <f t="shared" si="6"/>
        <v>325513</v>
      </c>
      <c r="N441" s="30">
        <v>1</v>
      </c>
    </row>
    <row r="442" spans="1:14" x14ac:dyDescent="0.25">
      <c r="A442" s="35" t="s">
        <v>446</v>
      </c>
      <c r="B442" s="35" t="s">
        <v>4107</v>
      </c>
      <c r="C442" s="35" t="s">
        <v>51</v>
      </c>
      <c r="D442" s="30" t="s">
        <v>4056</v>
      </c>
      <c r="E442" s="30" t="s">
        <v>192</v>
      </c>
      <c r="F442" s="30">
        <v>1</v>
      </c>
      <c r="G442" s="30" t="s">
        <v>193</v>
      </c>
      <c r="H442" s="30" t="s">
        <v>194</v>
      </c>
      <c r="I442" s="30" t="s">
        <v>3817</v>
      </c>
      <c r="J442" s="30" t="s">
        <v>1829</v>
      </c>
      <c r="K442" s="30">
        <v>18</v>
      </c>
      <c r="L442" s="30" t="s">
        <v>904</v>
      </c>
      <c r="M442" s="30" t="str">
        <f t="shared" si="6"/>
        <v>523002</v>
      </c>
      <c r="N442" s="30">
        <v>1</v>
      </c>
    </row>
    <row r="443" spans="1:14" x14ac:dyDescent="0.25">
      <c r="A443" s="35" t="s">
        <v>446</v>
      </c>
      <c r="B443" s="35" t="s">
        <v>4107</v>
      </c>
      <c r="C443" s="35" t="s">
        <v>51</v>
      </c>
      <c r="D443" s="30" t="s">
        <v>4056</v>
      </c>
      <c r="E443" s="30" t="s">
        <v>192</v>
      </c>
      <c r="F443" s="30">
        <v>1</v>
      </c>
      <c r="G443" s="30" t="s">
        <v>193</v>
      </c>
      <c r="H443" s="30" t="s">
        <v>194</v>
      </c>
      <c r="I443" s="30" t="s">
        <v>3817</v>
      </c>
      <c r="J443" s="30" t="s">
        <v>210</v>
      </c>
      <c r="K443" s="30">
        <v>18</v>
      </c>
      <c r="L443" s="30" t="s">
        <v>904</v>
      </c>
      <c r="M443" s="30" t="str">
        <f t="shared" si="6"/>
        <v>523002</v>
      </c>
      <c r="N443" s="30">
        <v>1</v>
      </c>
    </row>
    <row r="444" spans="1:14" x14ac:dyDescent="0.25">
      <c r="A444" s="35" t="s">
        <v>446</v>
      </c>
      <c r="B444" s="35" t="s">
        <v>4107</v>
      </c>
      <c r="C444" s="35" t="s">
        <v>51</v>
      </c>
      <c r="D444" s="30" t="s">
        <v>4056</v>
      </c>
      <c r="E444" s="30" t="s">
        <v>192</v>
      </c>
      <c r="F444" s="30">
        <v>1</v>
      </c>
      <c r="G444" s="30" t="s">
        <v>193</v>
      </c>
      <c r="H444" s="30" t="s">
        <v>194</v>
      </c>
      <c r="I444" s="30" t="s">
        <v>3817</v>
      </c>
      <c r="J444" s="30" t="s">
        <v>2439</v>
      </c>
      <c r="K444" s="30">
        <v>18</v>
      </c>
      <c r="L444" s="30" t="s">
        <v>904</v>
      </c>
      <c r="M444" s="30" t="str">
        <f t="shared" si="6"/>
        <v>523002</v>
      </c>
      <c r="N444" s="30">
        <v>1</v>
      </c>
    </row>
    <row r="445" spans="1:14" x14ac:dyDescent="0.25">
      <c r="A445" s="35" t="s">
        <v>446</v>
      </c>
      <c r="B445" s="35" t="s">
        <v>4107</v>
      </c>
      <c r="C445" s="35" t="s">
        <v>51</v>
      </c>
      <c r="D445" s="30" t="s">
        <v>4056</v>
      </c>
      <c r="E445" s="30" t="s">
        <v>192</v>
      </c>
      <c r="F445" s="30">
        <v>1</v>
      </c>
      <c r="G445" s="30" t="s">
        <v>193</v>
      </c>
      <c r="H445" s="30" t="s">
        <v>194</v>
      </c>
      <c r="I445" s="30" t="s">
        <v>3817</v>
      </c>
      <c r="J445" s="30" t="s">
        <v>223</v>
      </c>
      <c r="K445" s="30">
        <v>18</v>
      </c>
      <c r="L445" s="30" t="s">
        <v>904</v>
      </c>
      <c r="M445" s="30" t="str">
        <f t="shared" si="6"/>
        <v>523002</v>
      </c>
      <c r="N445" s="30">
        <v>1</v>
      </c>
    </row>
    <row r="446" spans="1:14" x14ac:dyDescent="0.25">
      <c r="A446" s="35" t="s">
        <v>1757</v>
      </c>
      <c r="B446" s="35" t="s">
        <v>4108</v>
      </c>
      <c r="C446" s="35" t="s">
        <v>74</v>
      </c>
      <c r="D446" s="30" t="s">
        <v>4056</v>
      </c>
      <c r="E446" s="30" t="s">
        <v>192</v>
      </c>
      <c r="F446" s="30">
        <v>1</v>
      </c>
      <c r="G446" s="30" t="s">
        <v>193</v>
      </c>
      <c r="H446" s="30" t="s">
        <v>194</v>
      </c>
      <c r="I446" s="30" t="s">
        <v>3817</v>
      </c>
      <c r="J446" s="30" t="s">
        <v>210</v>
      </c>
      <c r="K446" s="30">
        <v>18</v>
      </c>
      <c r="L446" s="30" t="s">
        <v>246</v>
      </c>
      <c r="M446" s="30" t="str">
        <f t="shared" si="6"/>
        <v>142004</v>
      </c>
      <c r="N446" s="30">
        <v>1</v>
      </c>
    </row>
    <row r="447" spans="1:14" x14ac:dyDescent="0.25">
      <c r="A447" s="35" t="s">
        <v>4109</v>
      </c>
      <c r="B447" s="35" t="s">
        <v>4110</v>
      </c>
      <c r="C447" s="35" t="s">
        <v>36</v>
      </c>
      <c r="D447" s="30" t="s">
        <v>4056</v>
      </c>
      <c r="E447" s="30" t="s">
        <v>233</v>
      </c>
      <c r="F447" s="84">
        <v>0</v>
      </c>
      <c r="G447" s="84" t="s">
        <v>194</v>
      </c>
      <c r="H447" s="30" t="s">
        <v>193</v>
      </c>
      <c r="I447" s="30" t="s">
        <v>3818</v>
      </c>
      <c r="J447" s="30" t="s">
        <v>210</v>
      </c>
      <c r="K447" s="30">
        <v>18</v>
      </c>
      <c r="L447" s="30" t="s">
        <v>609</v>
      </c>
      <c r="M447" s="30" t="str">
        <f t="shared" si="6"/>
        <v>331301</v>
      </c>
      <c r="N447" s="84">
        <v>1</v>
      </c>
    </row>
    <row r="448" spans="1:14" x14ac:dyDescent="0.25">
      <c r="A448" s="35" t="s">
        <v>4109</v>
      </c>
      <c r="B448" s="35" t="s">
        <v>4111</v>
      </c>
      <c r="C448" s="35" t="s">
        <v>35</v>
      </c>
      <c r="D448" s="30" t="s">
        <v>4056</v>
      </c>
      <c r="E448" s="30" t="s">
        <v>233</v>
      </c>
      <c r="F448" s="84">
        <v>0</v>
      </c>
      <c r="G448" s="84" t="s">
        <v>194</v>
      </c>
      <c r="H448" s="30" t="s">
        <v>193</v>
      </c>
      <c r="I448" s="30" t="s">
        <v>3818</v>
      </c>
      <c r="J448" s="30" t="s">
        <v>210</v>
      </c>
      <c r="K448" s="30">
        <v>18</v>
      </c>
      <c r="L448" s="30" t="s">
        <v>207</v>
      </c>
      <c r="M448" s="30" t="str">
        <f t="shared" si="6"/>
        <v>122106</v>
      </c>
      <c r="N448" s="84">
        <v>1</v>
      </c>
    </row>
    <row r="449" spans="1:14" x14ac:dyDescent="0.25">
      <c r="A449" s="35" t="s">
        <v>4109</v>
      </c>
      <c r="B449" s="35" t="s">
        <v>4112</v>
      </c>
      <c r="C449" s="35" t="s">
        <v>36</v>
      </c>
      <c r="D449" s="30" t="s">
        <v>4056</v>
      </c>
      <c r="E449" s="30" t="s">
        <v>233</v>
      </c>
      <c r="F449" s="84">
        <v>0</v>
      </c>
      <c r="G449" s="84" t="s">
        <v>194</v>
      </c>
      <c r="H449" s="30" t="s">
        <v>193</v>
      </c>
      <c r="I449" s="30" t="s">
        <v>3818</v>
      </c>
      <c r="J449" s="30" t="s">
        <v>210</v>
      </c>
      <c r="K449" s="30">
        <v>18</v>
      </c>
      <c r="L449" s="30" t="s">
        <v>609</v>
      </c>
      <c r="M449" s="30" t="str">
        <f t="shared" si="6"/>
        <v>331301</v>
      </c>
      <c r="N449" s="84">
        <v>1</v>
      </c>
    </row>
    <row r="450" spans="1:14" x14ac:dyDescent="0.25">
      <c r="A450" s="35" t="s">
        <v>1154</v>
      </c>
      <c r="B450" s="35" t="s">
        <v>4113</v>
      </c>
      <c r="C450" s="35" t="s">
        <v>989</v>
      </c>
      <c r="D450" s="30" t="s">
        <v>4056</v>
      </c>
      <c r="E450" s="30" t="s">
        <v>252</v>
      </c>
      <c r="F450" s="30">
        <v>1</v>
      </c>
      <c r="G450" s="30" t="s">
        <v>193</v>
      </c>
      <c r="H450" s="30" t="s">
        <v>194</v>
      </c>
      <c r="I450" s="30" t="s">
        <v>3817</v>
      </c>
      <c r="J450" s="30" t="s">
        <v>4114</v>
      </c>
      <c r="K450" s="30">
        <v>18</v>
      </c>
      <c r="L450" s="30" t="s">
        <v>990</v>
      </c>
      <c r="M450" s="30" t="str">
        <f t="shared" si="6"/>
        <v>833202</v>
      </c>
      <c r="N450" s="30">
        <v>1</v>
      </c>
    </row>
    <row r="451" spans="1:14" x14ac:dyDescent="0.25">
      <c r="A451" s="35" t="s">
        <v>4115</v>
      </c>
      <c r="B451" s="35" t="s">
        <v>2675</v>
      </c>
      <c r="C451" s="35" t="s">
        <v>521</v>
      </c>
      <c r="D451" s="30" t="s">
        <v>4056</v>
      </c>
      <c r="E451" s="30" t="s">
        <v>233</v>
      </c>
      <c r="F451" s="30">
        <v>1</v>
      </c>
      <c r="G451" s="30" t="s">
        <v>193</v>
      </c>
      <c r="H451" s="30" t="s">
        <v>194</v>
      </c>
      <c r="I451" s="30" t="s">
        <v>3817</v>
      </c>
      <c r="J451" s="30" t="s">
        <v>210</v>
      </c>
      <c r="K451" s="30">
        <v>18</v>
      </c>
      <c r="L451" s="30" t="s">
        <v>522</v>
      </c>
      <c r="M451" s="30" t="str">
        <f t="shared" ref="M451:M514" si="7">MID(L451,8,6)</f>
        <v>261901</v>
      </c>
      <c r="N451" s="30">
        <v>1</v>
      </c>
    </row>
    <row r="452" spans="1:14" x14ac:dyDescent="0.25">
      <c r="A452" s="35" t="s">
        <v>3644</v>
      </c>
      <c r="B452" s="35" t="s">
        <v>4116</v>
      </c>
      <c r="C452" s="35" t="s">
        <v>62</v>
      </c>
      <c r="D452" s="30" t="s">
        <v>4056</v>
      </c>
      <c r="E452" s="30" t="s">
        <v>217</v>
      </c>
      <c r="F452" s="84">
        <v>0</v>
      </c>
      <c r="G452" s="84" t="s">
        <v>194</v>
      </c>
      <c r="H452" s="30" t="s">
        <v>193</v>
      </c>
      <c r="I452" s="30" t="s">
        <v>3817</v>
      </c>
      <c r="J452" s="30" t="s">
        <v>4117</v>
      </c>
      <c r="K452" s="30">
        <v>18</v>
      </c>
      <c r="L452" s="30" t="s">
        <v>601</v>
      </c>
      <c r="M452" s="30" t="str">
        <f t="shared" si="7"/>
        <v>313904</v>
      </c>
      <c r="N452" s="84">
        <v>1</v>
      </c>
    </row>
    <row r="453" spans="1:14" x14ac:dyDescent="0.25">
      <c r="A453" s="35" t="s">
        <v>2106</v>
      </c>
      <c r="B453" s="35" t="s">
        <v>4118</v>
      </c>
      <c r="C453" s="35" t="s">
        <v>34</v>
      </c>
      <c r="D453" s="30" t="s">
        <v>4056</v>
      </c>
      <c r="E453" s="30" t="s">
        <v>233</v>
      </c>
      <c r="F453" s="30">
        <v>1</v>
      </c>
      <c r="G453" s="30" t="s">
        <v>193</v>
      </c>
      <c r="H453" s="30" t="s">
        <v>194</v>
      </c>
      <c r="I453" s="30" t="s">
        <v>3960</v>
      </c>
      <c r="J453" s="30" t="s">
        <v>210</v>
      </c>
      <c r="K453" s="30">
        <v>18</v>
      </c>
      <c r="L453" s="30" t="s">
        <v>2167</v>
      </c>
      <c r="M453" s="30" t="str">
        <f t="shared" si="7"/>
        <v>121303</v>
      </c>
      <c r="N453" s="30">
        <v>1</v>
      </c>
    </row>
    <row r="454" spans="1:14" x14ac:dyDescent="0.25">
      <c r="A454" s="35" t="s">
        <v>2106</v>
      </c>
      <c r="B454" s="35" t="s">
        <v>3116</v>
      </c>
      <c r="C454" s="35" t="s">
        <v>34</v>
      </c>
      <c r="D454" s="30" t="s">
        <v>4056</v>
      </c>
      <c r="E454" s="30" t="s">
        <v>233</v>
      </c>
      <c r="F454" s="30">
        <v>1</v>
      </c>
      <c r="G454" s="30" t="s">
        <v>193</v>
      </c>
      <c r="H454" s="30" t="s">
        <v>194</v>
      </c>
      <c r="I454" s="30" t="s">
        <v>3817</v>
      </c>
      <c r="J454" s="30" t="s">
        <v>385</v>
      </c>
      <c r="K454" s="30">
        <v>18</v>
      </c>
      <c r="L454" s="30" t="s">
        <v>2167</v>
      </c>
      <c r="M454" s="30" t="str">
        <f t="shared" si="7"/>
        <v>121303</v>
      </c>
      <c r="N454" s="30">
        <v>1</v>
      </c>
    </row>
    <row r="455" spans="1:14" x14ac:dyDescent="0.25">
      <c r="A455" s="35" t="s">
        <v>2106</v>
      </c>
      <c r="B455" s="35" t="s">
        <v>3116</v>
      </c>
      <c r="C455" s="35" t="s">
        <v>34</v>
      </c>
      <c r="D455" s="30" t="s">
        <v>4056</v>
      </c>
      <c r="E455" s="30" t="s">
        <v>233</v>
      </c>
      <c r="F455" s="30">
        <v>1</v>
      </c>
      <c r="G455" s="30" t="s">
        <v>193</v>
      </c>
      <c r="H455" s="30" t="s">
        <v>194</v>
      </c>
      <c r="I455" s="30" t="s">
        <v>3817</v>
      </c>
      <c r="J455" s="30" t="s">
        <v>267</v>
      </c>
      <c r="K455" s="30">
        <v>18</v>
      </c>
      <c r="L455" s="30" t="s">
        <v>2167</v>
      </c>
      <c r="M455" s="30" t="str">
        <f t="shared" si="7"/>
        <v>121303</v>
      </c>
      <c r="N455" s="30">
        <v>1</v>
      </c>
    </row>
    <row r="456" spans="1:14" x14ac:dyDescent="0.25">
      <c r="A456" s="35" t="s">
        <v>2106</v>
      </c>
      <c r="B456" s="35" t="s">
        <v>3116</v>
      </c>
      <c r="C456" s="35" t="s">
        <v>34</v>
      </c>
      <c r="D456" s="30" t="s">
        <v>4056</v>
      </c>
      <c r="E456" s="30" t="s">
        <v>233</v>
      </c>
      <c r="F456" s="30">
        <v>1</v>
      </c>
      <c r="G456" s="30" t="s">
        <v>193</v>
      </c>
      <c r="H456" s="30" t="s">
        <v>194</v>
      </c>
      <c r="I456" s="30" t="s">
        <v>3817</v>
      </c>
      <c r="J456" s="30" t="s">
        <v>408</v>
      </c>
      <c r="K456" s="30">
        <v>18</v>
      </c>
      <c r="L456" s="30" t="s">
        <v>2167</v>
      </c>
      <c r="M456" s="30" t="str">
        <f t="shared" si="7"/>
        <v>121303</v>
      </c>
      <c r="N456" s="30">
        <v>1</v>
      </c>
    </row>
    <row r="457" spans="1:14" x14ac:dyDescent="0.25">
      <c r="A457" s="35" t="s">
        <v>2106</v>
      </c>
      <c r="B457" s="35" t="s">
        <v>3116</v>
      </c>
      <c r="C457" s="35" t="s">
        <v>34</v>
      </c>
      <c r="D457" s="30" t="s">
        <v>4056</v>
      </c>
      <c r="E457" s="30" t="s">
        <v>233</v>
      </c>
      <c r="F457" s="30">
        <v>1</v>
      </c>
      <c r="G457" s="30" t="s">
        <v>193</v>
      </c>
      <c r="H457" s="30" t="s">
        <v>194</v>
      </c>
      <c r="I457" s="30" t="s">
        <v>3817</v>
      </c>
      <c r="J457" s="30" t="s">
        <v>210</v>
      </c>
      <c r="K457" s="30">
        <v>18</v>
      </c>
      <c r="L457" s="30" t="s">
        <v>2167</v>
      </c>
      <c r="M457" s="30" t="str">
        <f t="shared" si="7"/>
        <v>121303</v>
      </c>
      <c r="N457" s="30">
        <v>1</v>
      </c>
    </row>
    <row r="458" spans="1:14" x14ac:dyDescent="0.25">
      <c r="A458" s="35" t="s">
        <v>3270</v>
      </c>
      <c r="B458" s="35" t="s">
        <v>1261</v>
      </c>
      <c r="C458" s="35" t="s">
        <v>140</v>
      </c>
      <c r="D458" s="30" t="s">
        <v>4056</v>
      </c>
      <c r="E458" s="30" t="s">
        <v>192</v>
      </c>
      <c r="F458" s="30">
        <v>1</v>
      </c>
      <c r="G458" s="30" t="s">
        <v>193</v>
      </c>
      <c r="H458" s="30" t="s">
        <v>194</v>
      </c>
      <c r="I458" s="30" t="s">
        <v>3817</v>
      </c>
      <c r="J458" s="30" t="s">
        <v>210</v>
      </c>
      <c r="K458" s="30">
        <v>18</v>
      </c>
      <c r="L458" s="30" t="s">
        <v>1262</v>
      </c>
      <c r="M458" s="30" t="str">
        <f t="shared" si="7"/>
        <v>141202</v>
      </c>
      <c r="N458" s="30">
        <v>1</v>
      </c>
    </row>
    <row r="459" spans="1:14" x14ac:dyDescent="0.25">
      <c r="A459" s="35" t="s">
        <v>382</v>
      </c>
      <c r="B459" s="35" t="s">
        <v>2031</v>
      </c>
      <c r="C459" s="35" t="s">
        <v>2832</v>
      </c>
      <c r="D459" s="30" t="s">
        <v>4056</v>
      </c>
      <c r="E459" s="30" t="s">
        <v>192</v>
      </c>
      <c r="F459" s="30">
        <v>1</v>
      </c>
      <c r="G459" s="30" t="s">
        <v>193</v>
      </c>
      <c r="H459" s="30" t="s">
        <v>194</v>
      </c>
      <c r="I459" s="30" t="s">
        <v>3817</v>
      </c>
      <c r="J459" s="30" t="s">
        <v>253</v>
      </c>
      <c r="K459" s="30">
        <v>18</v>
      </c>
      <c r="L459" s="30" t="s">
        <v>4119</v>
      </c>
      <c r="M459" s="30" t="str">
        <f t="shared" si="7"/>
        <v>142001</v>
      </c>
      <c r="N459" s="30">
        <v>1</v>
      </c>
    </row>
    <row r="460" spans="1:14" x14ac:dyDescent="0.25">
      <c r="A460" s="35" t="s">
        <v>2535</v>
      </c>
      <c r="B460" s="35" t="s">
        <v>4120</v>
      </c>
      <c r="C460" s="35" t="s">
        <v>4121</v>
      </c>
      <c r="D460" s="30" t="s">
        <v>4056</v>
      </c>
      <c r="E460" s="30" t="s">
        <v>192</v>
      </c>
      <c r="F460" s="30">
        <v>1</v>
      </c>
      <c r="G460" s="30" t="s">
        <v>193</v>
      </c>
      <c r="H460" s="30" t="s">
        <v>194</v>
      </c>
      <c r="I460" s="30" t="s">
        <v>3817</v>
      </c>
      <c r="J460" s="30" t="s">
        <v>210</v>
      </c>
      <c r="K460" s="30">
        <v>18</v>
      </c>
      <c r="L460" s="30" t="s">
        <v>4122</v>
      </c>
      <c r="M460" s="30" t="str">
        <f t="shared" si="7"/>
        <v>132405</v>
      </c>
      <c r="N460" s="30">
        <v>1</v>
      </c>
    </row>
    <row r="461" spans="1:14" x14ac:dyDescent="0.25">
      <c r="A461" s="35" t="s">
        <v>2350</v>
      </c>
      <c r="B461" s="35" t="s">
        <v>647</v>
      </c>
      <c r="C461" s="35" t="s">
        <v>17</v>
      </c>
      <c r="D461" s="30" t="s">
        <v>4056</v>
      </c>
      <c r="E461" s="30" t="s">
        <v>192</v>
      </c>
      <c r="F461" s="30">
        <v>1</v>
      </c>
      <c r="G461" s="30" t="s">
        <v>193</v>
      </c>
      <c r="H461" s="30" t="s">
        <v>194</v>
      </c>
      <c r="I461" s="30" t="s">
        <v>3817</v>
      </c>
      <c r="J461" s="30" t="s">
        <v>210</v>
      </c>
      <c r="K461" s="30">
        <v>18</v>
      </c>
      <c r="L461" s="30" t="s">
        <v>624</v>
      </c>
      <c r="M461" s="30" t="str">
        <f t="shared" si="7"/>
        <v>332203</v>
      </c>
      <c r="N461" s="30">
        <v>1</v>
      </c>
    </row>
    <row r="462" spans="1:14" x14ac:dyDescent="0.25">
      <c r="A462" s="35" t="s">
        <v>763</v>
      </c>
      <c r="B462" s="35" t="s">
        <v>8</v>
      </c>
      <c r="C462" s="35" t="s">
        <v>740</v>
      </c>
      <c r="D462" s="30" t="s">
        <v>4056</v>
      </c>
      <c r="E462" s="30" t="s">
        <v>192</v>
      </c>
      <c r="F462" s="30">
        <v>1</v>
      </c>
      <c r="G462" s="30" t="s">
        <v>193</v>
      </c>
      <c r="H462" s="30" t="s">
        <v>194</v>
      </c>
      <c r="I462" s="30" t="s">
        <v>3817</v>
      </c>
      <c r="J462" s="30" t="s">
        <v>316</v>
      </c>
      <c r="K462" s="30">
        <v>18</v>
      </c>
      <c r="L462" s="30" t="s">
        <v>741</v>
      </c>
      <c r="M462" s="30" t="str">
        <f t="shared" si="7"/>
        <v>522301</v>
      </c>
      <c r="N462" s="30">
        <v>1</v>
      </c>
    </row>
    <row r="463" spans="1:14" x14ac:dyDescent="0.25">
      <c r="A463" s="35" t="s">
        <v>4123</v>
      </c>
      <c r="B463" s="35" t="s">
        <v>4124</v>
      </c>
      <c r="C463" s="35" t="s">
        <v>17</v>
      </c>
      <c r="D463" s="30" t="s">
        <v>4056</v>
      </c>
      <c r="E463" s="30" t="s">
        <v>192</v>
      </c>
      <c r="F463" s="30">
        <v>1</v>
      </c>
      <c r="G463" s="30" t="s">
        <v>193</v>
      </c>
      <c r="H463" s="30" t="s">
        <v>194</v>
      </c>
      <c r="I463" s="30" t="s">
        <v>3817</v>
      </c>
      <c r="J463" s="30" t="s">
        <v>210</v>
      </c>
      <c r="K463" s="30">
        <v>18</v>
      </c>
      <c r="L463" s="30" t="s">
        <v>624</v>
      </c>
      <c r="M463" s="30" t="str">
        <f t="shared" si="7"/>
        <v>332203</v>
      </c>
      <c r="N463" s="30">
        <v>1</v>
      </c>
    </row>
    <row r="464" spans="1:14" x14ac:dyDescent="0.25">
      <c r="A464" s="35" t="s">
        <v>4125</v>
      </c>
      <c r="B464" s="35" t="s">
        <v>4126</v>
      </c>
      <c r="C464" s="35" t="s">
        <v>1087</v>
      </c>
      <c r="D464" s="30" t="s">
        <v>4056</v>
      </c>
      <c r="E464" s="30" t="s">
        <v>252</v>
      </c>
      <c r="F464" s="30">
        <v>1</v>
      </c>
      <c r="G464" s="30" t="s">
        <v>193</v>
      </c>
      <c r="H464" s="30" t="s">
        <v>194</v>
      </c>
      <c r="I464" s="30" t="s">
        <v>3817</v>
      </c>
      <c r="J464" s="30" t="s">
        <v>4127</v>
      </c>
      <c r="K464" s="30">
        <v>18</v>
      </c>
      <c r="L464" s="30" t="s">
        <v>1088</v>
      </c>
      <c r="M464" s="30" t="str">
        <f t="shared" si="7"/>
        <v>261909</v>
      </c>
      <c r="N464" s="30">
        <v>1</v>
      </c>
    </row>
    <row r="465" spans="1:14" x14ac:dyDescent="0.25">
      <c r="A465" s="35" t="s">
        <v>4128</v>
      </c>
      <c r="B465" s="35" t="s">
        <v>4129</v>
      </c>
      <c r="C465" s="35" t="s">
        <v>85</v>
      </c>
      <c r="D465" s="30" t="s">
        <v>4056</v>
      </c>
      <c r="E465" s="30" t="s">
        <v>192</v>
      </c>
      <c r="F465" s="30">
        <v>1</v>
      </c>
      <c r="G465" s="30" t="s">
        <v>193</v>
      </c>
      <c r="H465" s="30" t="s">
        <v>194</v>
      </c>
      <c r="I465" s="30" t="s">
        <v>3817</v>
      </c>
      <c r="J465" s="30" t="s">
        <v>210</v>
      </c>
      <c r="K465" s="30">
        <v>18</v>
      </c>
      <c r="L465" s="30" t="s">
        <v>477</v>
      </c>
      <c r="M465" s="30" t="str">
        <f t="shared" si="7"/>
        <v>243305</v>
      </c>
      <c r="N465" s="30">
        <v>1</v>
      </c>
    </row>
    <row r="466" spans="1:14" x14ac:dyDescent="0.25">
      <c r="A466" s="35" t="s">
        <v>1050</v>
      </c>
      <c r="B466" s="35" t="s">
        <v>8</v>
      </c>
      <c r="C466" s="35" t="s">
        <v>740</v>
      </c>
      <c r="D466" s="30" t="s">
        <v>4056</v>
      </c>
      <c r="E466" s="30" t="s">
        <v>233</v>
      </c>
      <c r="F466" s="30">
        <v>1</v>
      </c>
      <c r="G466" s="30" t="s">
        <v>193</v>
      </c>
      <c r="H466" s="30" t="s">
        <v>194</v>
      </c>
      <c r="I466" s="30" t="s">
        <v>3817</v>
      </c>
      <c r="J466" s="30" t="s">
        <v>210</v>
      </c>
      <c r="K466" s="30">
        <v>18</v>
      </c>
      <c r="L466" s="30" t="s">
        <v>741</v>
      </c>
      <c r="M466" s="30" t="str">
        <f t="shared" si="7"/>
        <v>522301</v>
      </c>
      <c r="N466" s="30">
        <v>1</v>
      </c>
    </row>
    <row r="467" spans="1:14" x14ac:dyDescent="0.25">
      <c r="A467" s="35" t="s">
        <v>329</v>
      </c>
      <c r="B467" s="35" t="s">
        <v>4130</v>
      </c>
      <c r="C467" s="35" t="s">
        <v>121</v>
      </c>
      <c r="D467" s="30" t="s">
        <v>4056</v>
      </c>
      <c r="E467" s="30" t="s">
        <v>192</v>
      </c>
      <c r="F467" s="30">
        <v>1</v>
      </c>
      <c r="G467" s="30" t="s">
        <v>193</v>
      </c>
      <c r="H467" s="30" t="s">
        <v>194</v>
      </c>
      <c r="I467" s="30" t="s">
        <v>3817</v>
      </c>
      <c r="J467" s="30" t="s">
        <v>210</v>
      </c>
      <c r="K467" s="30">
        <v>18</v>
      </c>
      <c r="L467" s="30" t="s">
        <v>994</v>
      </c>
      <c r="M467" s="30" t="str">
        <f t="shared" si="7"/>
        <v>214102</v>
      </c>
      <c r="N467" s="30">
        <v>1</v>
      </c>
    </row>
    <row r="468" spans="1:14" x14ac:dyDescent="0.25">
      <c r="A468" s="35" t="s">
        <v>4131</v>
      </c>
      <c r="B468" s="35" t="s">
        <v>4132</v>
      </c>
      <c r="C468" s="35" t="s">
        <v>80</v>
      </c>
      <c r="D468" s="30" t="s">
        <v>4056</v>
      </c>
      <c r="E468" s="30" t="s">
        <v>192</v>
      </c>
      <c r="F468" s="30">
        <v>1</v>
      </c>
      <c r="G468" s="30" t="s">
        <v>193</v>
      </c>
      <c r="H468" s="30" t="s">
        <v>194</v>
      </c>
      <c r="I468" s="30" t="s">
        <v>3817</v>
      </c>
      <c r="J468" s="30" t="s">
        <v>210</v>
      </c>
      <c r="K468" s="30">
        <v>18</v>
      </c>
      <c r="L468" s="30" t="s">
        <v>474</v>
      </c>
      <c r="M468" s="30" t="str">
        <f t="shared" si="7"/>
        <v>243304</v>
      </c>
      <c r="N468" s="30">
        <v>1</v>
      </c>
    </row>
    <row r="469" spans="1:14" x14ac:dyDescent="0.25">
      <c r="A469" s="35" t="s">
        <v>4133</v>
      </c>
      <c r="B469" s="35" t="s">
        <v>4134</v>
      </c>
      <c r="C469" s="35" t="s">
        <v>4134</v>
      </c>
      <c r="D469" s="30" t="s">
        <v>4056</v>
      </c>
      <c r="E469" s="30" t="s">
        <v>233</v>
      </c>
      <c r="F469" s="30">
        <v>1</v>
      </c>
      <c r="G469" s="30" t="s">
        <v>193</v>
      </c>
      <c r="H469" s="30" t="s">
        <v>194</v>
      </c>
      <c r="I469" s="30" t="s">
        <v>3817</v>
      </c>
      <c r="J469" s="30" t="s">
        <v>267</v>
      </c>
      <c r="K469" s="30">
        <v>18</v>
      </c>
      <c r="L469" s="30" t="s">
        <v>4135</v>
      </c>
      <c r="M469" s="30" t="str">
        <f t="shared" si="7"/>
        <v>214921</v>
      </c>
      <c r="N469" s="30">
        <v>1</v>
      </c>
    </row>
    <row r="470" spans="1:14" x14ac:dyDescent="0.25">
      <c r="A470" s="35" t="s">
        <v>2777</v>
      </c>
      <c r="B470" s="35" t="s">
        <v>4136</v>
      </c>
      <c r="C470" s="35" t="s">
        <v>1775</v>
      </c>
      <c r="D470" s="30" t="s">
        <v>4056</v>
      </c>
      <c r="E470" s="30" t="s">
        <v>192</v>
      </c>
      <c r="F470" s="30">
        <v>1</v>
      </c>
      <c r="G470" s="30" t="s">
        <v>193</v>
      </c>
      <c r="H470" s="30" t="s">
        <v>194</v>
      </c>
      <c r="I470" s="30" t="s">
        <v>3817</v>
      </c>
      <c r="J470" s="30" t="s">
        <v>267</v>
      </c>
      <c r="K470" s="30">
        <v>18</v>
      </c>
      <c r="L470" s="30" t="s">
        <v>1777</v>
      </c>
      <c r="M470" s="30" t="str">
        <f t="shared" si="7"/>
        <v>241302</v>
      </c>
      <c r="N470" s="30">
        <v>1</v>
      </c>
    </row>
    <row r="471" spans="1:14" x14ac:dyDescent="0.25">
      <c r="A471" s="35" t="s">
        <v>2777</v>
      </c>
      <c r="B471" s="35" t="s">
        <v>4137</v>
      </c>
      <c r="C471" s="35" t="s">
        <v>4138</v>
      </c>
      <c r="D471" s="30" t="s">
        <v>4056</v>
      </c>
      <c r="E471" s="30" t="s">
        <v>192</v>
      </c>
      <c r="F471" s="30">
        <v>1</v>
      </c>
      <c r="G471" s="30" t="s">
        <v>193</v>
      </c>
      <c r="H471" s="30" t="s">
        <v>194</v>
      </c>
      <c r="I471" s="30" t="s">
        <v>3817</v>
      </c>
      <c r="J471" s="30" t="s">
        <v>210</v>
      </c>
      <c r="K471" s="30">
        <v>18</v>
      </c>
      <c r="L471" s="30" t="s">
        <v>4139</v>
      </c>
      <c r="M471" s="30" t="str">
        <f t="shared" si="7"/>
        <v>134601</v>
      </c>
      <c r="N471" s="30">
        <v>1</v>
      </c>
    </row>
    <row r="472" spans="1:14" x14ac:dyDescent="0.25">
      <c r="A472" s="35" t="s">
        <v>4140</v>
      </c>
      <c r="B472" s="35" t="s">
        <v>4141</v>
      </c>
      <c r="C472" s="35" t="s">
        <v>85</v>
      </c>
      <c r="D472" s="30" t="s">
        <v>4056</v>
      </c>
      <c r="E472" s="30" t="s">
        <v>192</v>
      </c>
      <c r="F472" s="30">
        <v>1</v>
      </c>
      <c r="G472" s="30" t="s">
        <v>193</v>
      </c>
      <c r="H472" s="30" t="s">
        <v>194</v>
      </c>
      <c r="I472" s="30" t="s">
        <v>3817</v>
      </c>
      <c r="J472" s="30" t="s">
        <v>210</v>
      </c>
      <c r="K472" s="30">
        <v>18</v>
      </c>
      <c r="L472" s="30" t="s">
        <v>477</v>
      </c>
      <c r="M472" s="30" t="str">
        <f t="shared" si="7"/>
        <v>243305</v>
      </c>
      <c r="N472" s="30">
        <v>1</v>
      </c>
    </row>
    <row r="473" spans="1:14" x14ac:dyDescent="0.25">
      <c r="A473" s="35" t="s">
        <v>2200</v>
      </c>
      <c r="B473" s="35" t="s">
        <v>4142</v>
      </c>
      <c r="C473" s="35" t="s">
        <v>308</v>
      </c>
      <c r="D473" s="30" t="s">
        <v>4056</v>
      </c>
      <c r="E473" s="30" t="s">
        <v>192</v>
      </c>
      <c r="F473" s="30">
        <v>1</v>
      </c>
      <c r="G473" s="30" t="s">
        <v>193</v>
      </c>
      <c r="H473" s="30" t="s">
        <v>194</v>
      </c>
      <c r="I473" s="30" t="s">
        <v>3817</v>
      </c>
      <c r="J473" s="30" t="s">
        <v>2201</v>
      </c>
      <c r="K473" s="30">
        <v>18</v>
      </c>
      <c r="L473" s="30" t="s">
        <v>310</v>
      </c>
      <c r="M473" s="30" t="str">
        <f t="shared" si="7"/>
        <v>214404</v>
      </c>
      <c r="N473" s="30">
        <v>1</v>
      </c>
    </row>
    <row r="474" spans="1:14" x14ac:dyDescent="0.25">
      <c r="A474" s="35" t="s">
        <v>1909</v>
      </c>
      <c r="B474" s="35" t="s">
        <v>4143</v>
      </c>
      <c r="C474" s="35" t="s">
        <v>37</v>
      </c>
      <c r="D474" s="30" t="s">
        <v>4056</v>
      </c>
      <c r="E474" s="30" t="s">
        <v>233</v>
      </c>
      <c r="F474" s="30">
        <v>1</v>
      </c>
      <c r="G474" s="30" t="s">
        <v>193</v>
      </c>
      <c r="H474" s="30" t="s">
        <v>194</v>
      </c>
      <c r="I474" s="30" t="s">
        <v>3817</v>
      </c>
      <c r="J474" s="30" t="s">
        <v>210</v>
      </c>
      <c r="K474" s="30">
        <v>18</v>
      </c>
      <c r="L474" s="30" t="s">
        <v>516</v>
      </c>
      <c r="M474" s="30" t="str">
        <f t="shared" si="7"/>
        <v>252302</v>
      </c>
      <c r="N474" s="30">
        <v>1</v>
      </c>
    </row>
    <row r="475" spans="1:14" x14ac:dyDescent="0.25">
      <c r="A475" s="35" t="s">
        <v>1909</v>
      </c>
      <c r="B475" s="35" t="s">
        <v>1520</v>
      </c>
      <c r="C475" s="158" t="s">
        <v>525</v>
      </c>
      <c r="D475" s="30" t="s">
        <v>4056</v>
      </c>
      <c r="E475" s="30" t="s">
        <v>233</v>
      </c>
      <c r="F475" s="30">
        <v>1</v>
      </c>
      <c r="G475" s="30" t="s">
        <v>193</v>
      </c>
      <c r="H475" s="30" t="s">
        <v>194</v>
      </c>
      <c r="I475" s="30" t="s">
        <v>3880</v>
      </c>
      <c r="J475" s="30" t="s">
        <v>210</v>
      </c>
      <c r="K475" s="30">
        <v>18</v>
      </c>
      <c r="L475" s="30" t="s">
        <v>526</v>
      </c>
      <c r="M475" s="30" t="str">
        <f t="shared" si="7"/>
        <v>263102</v>
      </c>
      <c r="N475" s="30">
        <v>1</v>
      </c>
    </row>
    <row r="476" spans="1:14" x14ac:dyDescent="0.25">
      <c r="A476" s="35" t="s">
        <v>4144</v>
      </c>
      <c r="B476" s="35" t="s">
        <v>4145</v>
      </c>
      <c r="C476" s="35" t="s">
        <v>85</v>
      </c>
      <c r="D476" s="30" t="s">
        <v>4056</v>
      </c>
      <c r="E476" s="30" t="s">
        <v>252</v>
      </c>
      <c r="F476" s="30">
        <v>1</v>
      </c>
      <c r="G476" s="30" t="s">
        <v>193</v>
      </c>
      <c r="H476" s="30" t="s">
        <v>194</v>
      </c>
      <c r="I476" s="30" t="s">
        <v>3880</v>
      </c>
      <c r="J476" s="30" t="s">
        <v>210</v>
      </c>
      <c r="K476" s="30">
        <v>18</v>
      </c>
      <c r="L476" s="30" t="s">
        <v>477</v>
      </c>
      <c r="M476" s="30" t="str">
        <f t="shared" si="7"/>
        <v>243305</v>
      </c>
      <c r="N476" s="30">
        <v>1</v>
      </c>
    </row>
    <row r="477" spans="1:14" x14ac:dyDescent="0.25">
      <c r="A477" s="35" t="s">
        <v>4146</v>
      </c>
      <c r="B477" s="35" t="s">
        <v>1000</v>
      </c>
      <c r="C477" s="35" t="s">
        <v>4147</v>
      </c>
      <c r="D477" s="30" t="s">
        <v>4056</v>
      </c>
      <c r="E477" s="30" t="s">
        <v>233</v>
      </c>
      <c r="F477" s="30">
        <v>1</v>
      </c>
      <c r="G477" s="30" t="s">
        <v>193</v>
      </c>
      <c r="H477" s="30" t="s">
        <v>194</v>
      </c>
      <c r="I477" s="30" t="s">
        <v>3880</v>
      </c>
      <c r="J477" s="30" t="s">
        <v>210</v>
      </c>
      <c r="K477" s="30">
        <v>18</v>
      </c>
      <c r="L477" s="30" t="s">
        <v>4148</v>
      </c>
      <c r="M477" s="30" t="str">
        <f t="shared" si="7"/>
        <v>311211</v>
      </c>
      <c r="N477" s="30">
        <v>1</v>
      </c>
    </row>
    <row r="478" spans="1:14" x14ac:dyDescent="0.25">
      <c r="A478" s="35" t="s">
        <v>2126</v>
      </c>
      <c r="B478" s="35" t="s">
        <v>2697</v>
      </c>
      <c r="C478" s="35" t="s">
        <v>521</v>
      </c>
      <c r="D478" s="30" t="s">
        <v>4056</v>
      </c>
      <c r="E478" s="30" t="s">
        <v>233</v>
      </c>
      <c r="F478" s="30">
        <v>1</v>
      </c>
      <c r="G478" s="30" t="s">
        <v>193</v>
      </c>
      <c r="H478" s="30" t="s">
        <v>194</v>
      </c>
      <c r="I478" s="30" t="s">
        <v>3880</v>
      </c>
      <c r="J478" s="30" t="s">
        <v>367</v>
      </c>
      <c r="K478" s="30">
        <v>18</v>
      </c>
      <c r="L478" s="30" t="s">
        <v>522</v>
      </c>
      <c r="M478" s="30" t="str">
        <f t="shared" si="7"/>
        <v>261901</v>
      </c>
      <c r="N478" s="30">
        <v>1</v>
      </c>
    </row>
    <row r="479" spans="1:14" x14ac:dyDescent="0.25">
      <c r="A479" s="35" t="s">
        <v>4149</v>
      </c>
      <c r="B479" s="35" t="s">
        <v>2770</v>
      </c>
      <c r="C479" s="35" t="s">
        <v>2127</v>
      </c>
      <c r="D479" s="30" t="s">
        <v>4056</v>
      </c>
      <c r="E479" s="30" t="s">
        <v>233</v>
      </c>
      <c r="F479" s="30">
        <v>1</v>
      </c>
      <c r="G479" s="30" t="s">
        <v>193</v>
      </c>
      <c r="H479" s="30" t="s">
        <v>194</v>
      </c>
      <c r="I479" s="30" t="s">
        <v>3880</v>
      </c>
      <c r="J479" s="30" t="s">
        <v>385</v>
      </c>
      <c r="K479" s="30">
        <v>18</v>
      </c>
      <c r="L479" s="30" t="s">
        <v>2128</v>
      </c>
      <c r="M479" s="30" t="str">
        <f t="shared" si="7"/>
        <v>225211</v>
      </c>
      <c r="N479" s="30">
        <v>1</v>
      </c>
    </row>
    <row r="480" spans="1:14" x14ac:dyDescent="0.25">
      <c r="A480" s="35" t="s">
        <v>4150</v>
      </c>
      <c r="B480" s="35" t="s">
        <v>2124</v>
      </c>
      <c r="C480" s="35" t="s">
        <v>2127</v>
      </c>
      <c r="D480" s="30" t="s">
        <v>4056</v>
      </c>
      <c r="E480" s="30" t="s">
        <v>233</v>
      </c>
      <c r="F480" s="30">
        <v>1</v>
      </c>
      <c r="G480" s="30" t="s">
        <v>193</v>
      </c>
      <c r="H480" s="30" t="s">
        <v>194</v>
      </c>
      <c r="I480" s="30" t="s">
        <v>3880</v>
      </c>
      <c r="J480" s="30" t="s">
        <v>196</v>
      </c>
      <c r="K480" s="30">
        <v>18</v>
      </c>
      <c r="L480" s="30" t="s">
        <v>2128</v>
      </c>
      <c r="M480" s="30" t="str">
        <f t="shared" si="7"/>
        <v>225211</v>
      </c>
      <c r="N480" s="30">
        <v>1</v>
      </c>
    </row>
    <row r="481" spans="1:14" x14ac:dyDescent="0.25">
      <c r="A481" s="35" t="s">
        <v>4151</v>
      </c>
      <c r="B481" s="35" t="s">
        <v>2130</v>
      </c>
      <c r="C481" s="35" t="s">
        <v>2127</v>
      </c>
      <c r="D481" s="30" t="s">
        <v>4056</v>
      </c>
      <c r="E481" s="30" t="s">
        <v>233</v>
      </c>
      <c r="F481" s="30">
        <v>1</v>
      </c>
      <c r="G481" s="30" t="s">
        <v>193</v>
      </c>
      <c r="H481" s="30" t="s">
        <v>194</v>
      </c>
      <c r="I481" s="30" t="s">
        <v>3880</v>
      </c>
      <c r="J481" s="30" t="s">
        <v>747</v>
      </c>
      <c r="K481" s="30">
        <v>18</v>
      </c>
      <c r="L481" s="30" t="s">
        <v>2128</v>
      </c>
      <c r="M481" s="30" t="str">
        <f t="shared" si="7"/>
        <v>225211</v>
      </c>
      <c r="N481" s="30">
        <v>1</v>
      </c>
    </row>
    <row r="482" spans="1:14" x14ac:dyDescent="0.25">
      <c r="A482" s="35" t="s">
        <v>4152</v>
      </c>
      <c r="B482" s="35" t="s">
        <v>2124</v>
      </c>
      <c r="C482" s="35" t="s">
        <v>2127</v>
      </c>
      <c r="D482" s="30" t="s">
        <v>4056</v>
      </c>
      <c r="E482" s="30" t="s">
        <v>233</v>
      </c>
      <c r="F482" s="30">
        <v>1</v>
      </c>
      <c r="G482" s="30" t="s">
        <v>193</v>
      </c>
      <c r="H482" s="30" t="s">
        <v>194</v>
      </c>
      <c r="I482" s="30" t="s">
        <v>3880</v>
      </c>
      <c r="J482" s="30" t="s">
        <v>316</v>
      </c>
      <c r="K482" s="30">
        <v>18</v>
      </c>
      <c r="L482" s="30" t="s">
        <v>2128</v>
      </c>
      <c r="M482" s="30" t="str">
        <f t="shared" si="7"/>
        <v>225211</v>
      </c>
      <c r="N482" s="30">
        <v>1</v>
      </c>
    </row>
    <row r="483" spans="1:14" x14ac:dyDescent="0.25">
      <c r="A483" s="35" t="s">
        <v>1340</v>
      </c>
      <c r="B483" s="35" t="s">
        <v>4153</v>
      </c>
      <c r="C483" s="35" t="s">
        <v>35</v>
      </c>
      <c r="D483" s="30" t="s">
        <v>4056</v>
      </c>
      <c r="E483" s="30" t="s">
        <v>192</v>
      </c>
      <c r="F483" s="30">
        <v>1</v>
      </c>
      <c r="G483" s="30" t="s">
        <v>193</v>
      </c>
      <c r="H483" s="30" t="s">
        <v>194</v>
      </c>
      <c r="I483" s="30" t="s">
        <v>3880</v>
      </c>
      <c r="J483" s="30" t="s">
        <v>210</v>
      </c>
      <c r="K483" s="30">
        <v>18</v>
      </c>
      <c r="L483" s="30" t="s">
        <v>207</v>
      </c>
      <c r="M483" s="30" t="str">
        <f t="shared" si="7"/>
        <v>122106</v>
      </c>
      <c r="N483" s="30">
        <v>1</v>
      </c>
    </row>
    <row r="484" spans="1:14" x14ac:dyDescent="0.25">
      <c r="A484" s="35" t="s">
        <v>1340</v>
      </c>
      <c r="B484" s="35" t="s">
        <v>1034</v>
      </c>
      <c r="C484" s="35" t="s">
        <v>3654</v>
      </c>
      <c r="D484" s="30" t="s">
        <v>4056</v>
      </c>
      <c r="E484" s="30" t="s">
        <v>192</v>
      </c>
      <c r="F484" s="30">
        <v>1</v>
      </c>
      <c r="G484" s="30" t="s">
        <v>193</v>
      </c>
      <c r="H484" s="30" t="s">
        <v>194</v>
      </c>
      <c r="I484" s="30" t="s">
        <v>3880</v>
      </c>
      <c r="J484" s="30" t="s">
        <v>276</v>
      </c>
      <c r="K484" s="30">
        <v>18</v>
      </c>
      <c r="L484" s="30" t="s">
        <v>3655</v>
      </c>
      <c r="M484" s="30" t="str">
        <f t="shared" si="7"/>
        <v>122101</v>
      </c>
      <c r="N484" s="30">
        <v>1</v>
      </c>
    </row>
    <row r="485" spans="1:14" x14ac:dyDescent="0.25">
      <c r="A485" s="35" t="s">
        <v>1340</v>
      </c>
      <c r="B485" s="35" t="s">
        <v>1396</v>
      </c>
      <c r="C485" s="35" t="s">
        <v>1402</v>
      </c>
      <c r="D485" s="30" t="s">
        <v>4056</v>
      </c>
      <c r="E485" s="30" t="s">
        <v>192</v>
      </c>
      <c r="F485" s="30">
        <v>1</v>
      </c>
      <c r="G485" s="30" t="s">
        <v>193</v>
      </c>
      <c r="H485" s="30" t="s">
        <v>194</v>
      </c>
      <c r="I485" s="30" t="s">
        <v>3880</v>
      </c>
      <c r="J485" s="30" t="s">
        <v>210</v>
      </c>
      <c r="K485" s="30">
        <v>18</v>
      </c>
      <c r="L485" s="30" t="s">
        <v>1403</v>
      </c>
      <c r="M485" s="30" t="str">
        <f t="shared" si="7"/>
        <v>242228</v>
      </c>
      <c r="N485" s="30">
        <v>1</v>
      </c>
    </row>
    <row r="486" spans="1:14" x14ac:dyDescent="0.25">
      <c r="A486" s="35" t="s">
        <v>4154</v>
      </c>
      <c r="B486" s="35" t="s">
        <v>537</v>
      </c>
      <c r="C486" s="35" t="s">
        <v>778</v>
      </c>
      <c r="D486" s="30" t="s">
        <v>4056</v>
      </c>
      <c r="E486" s="30" t="s">
        <v>192</v>
      </c>
      <c r="F486" s="30">
        <v>1</v>
      </c>
      <c r="G486" s="30" t="s">
        <v>193</v>
      </c>
      <c r="H486" s="30" t="s">
        <v>194</v>
      </c>
      <c r="I486" s="30" t="s">
        <v>3880</v>
      </c>
      <c r="J486" s="30" t="s">
        <v>253</v>
      </c>
      <c r="K486" s="30">
        <v>18</v>
      </c>
      <c r="L486" s="30" t="s">
        <v>779</v>
      </c>
      <c r="M486" s="30" t="str">
        <f t="shared" si="7"/>
        <v>524902</v>
      </c>
      <c r="N486" s="30">
        <v>1</v>
      </c>
    </row>
    <row r="487" spans="1:14" x14ac:dyDescent="0.25">
      <c r="A487" s="35" t="s">
        <v>1692</v>
      </c>
      <c r="B487" s="35" t="s">
        <v>4155</v>
      </c>
      <c r="C487" s="35" t="s">
        <v>17</v>
      </c>
      <c r="D487" s="30" t="s">
        <v>4056</v>
      </c>
      <c r="E487" s="30" t="s">
        <v>192</v>
      </c>
      <c r="F487" s="30">
        <v>1</v>
      </c>
      <c r="G487" s="30" t="s">
        <v>193</v>
      </c>
      <c r="H487" s="30" t="s">
        <v>194</v>
      </c>
      <c r="I487" s="30" t="s">
        <v>3880</v>
      </c>
      <c r="J487" s="30" t="s">
        <v>327</v>
      </c>
      <c r="K487" s="30">
        <v>18</v>
      </c>
      <c r="L487" s="30" t="s">
        <v>624</v>
      </c>
      <c r="M487" s="30" t="str">
        <f t="shared" si="7"/>
        <v>332203</v>
      </c>
      <c r="N487" s="30">
        <v>1</v>
      </c>
    </row>
    <row r="488" spans="1:14" x14ac:dyDescent="0.25">
      <c r="A488" s="35" t="s">
        <v>331</v>
      </c>
      <c r="B488" s="35" t="s">
        <v>304</v>
      </c>
      <c r="C488" s="35" t="s">
        <v>333</v>
      </c>
      <c r="D488" s="30" t="s">
        <v>4056</v>
      </c>
      <c r="E488" s="30" t="s">
        <v>192</v>
      </c>
      <c r="F488" s="30">
        <v>1</v>
      </c>
      <c r="G488" s="30" t="s">
        <v>193</v>
      </c>
      <c r="H488" s="30" t="s">
        <v>194</v>
      </c>
      <c r="I488" s="30" t="s">
        <v>3880</v>
      </c>
      <c r="J488" s="30" t="s">
        <v>309</v>
      </c>
      <c r="K488" s="30">
        <v>18</v>
      </c>
      <c r="L488" s="30" t="s">
        <v>334</v>
      </c>
      <c r="M488" s="30" t="str">
        <f t="shared" si="7"/>
        <v>214607</v>
      </c>
      <c r="N488" s="30">
        <v>1</v>
      </c>
    </row>
    <row r="489" spans="1:14" x14ac:dyDescent="0.25">
      <c r="A489" s="35" t="s">
        <v>4156</v>
      </c>
      <c r="B489" s="35" t="s">
        <v>4157</v>
      </c>
      <c r="C489" s="35" t="s">
        <v>19</v>
      </c>
      <c r="D489" s="30" t="s">
        <v>4056</v>
      </c>
      <c r="E489" s="30" t="s">
        <v>192</v>
      </c>
      <c r="F489" s="30">
        <v>1</v>
      </c>
      <c r="G489" s="30" t="s">
        <v>193</v>
      </c>
      <c r="H489" s="30" t="s">
        <v>194</v>
      </c>
      <c r="I489" s="30" t="s">
        <v>3880</v>
      </c>
      <c r="J489" s="30" t="s">
        <v>210</v>
      </c>
      <c r="K489" s="30">
        <v>18</v>
      </c>
      <c r="L489" s="30" t="s">
        <v>337</v>
      </c>
      <c r="M489" s="30" t="str">
        <f t="shared" si="7"/>
        <v>214903</v>
      </c>
      <c r="N489" s="30">
        <v>1</v>
      </c>
    </row>
    <row r="490" spans="1:14" x14ac:dyDescent="0.25">
      <c r="A490" s="35" t="s">
        <v>986</v>
      </c>
      <c r="B490" s="35" t="s">
        <v>653</v>
      </c>
      <c r="C490" s="35" t="s">
        <v>17</v>
      </c>
      <c r="D490" s="30" t="s">
        <v>4056</v>
      </c>
      <c r="E490" s="30" t="s">
        <v>192</v>
      </c>
      <c r="F490" s="30">
        <v>1</v>
      </c>
      <c r="G490" s="30" t="s">
        <v>193</v>
      </c>
      <c r="H490" s="30" t="s">
        <v>194</v>
      </c>
      <c r="I490" s="30" t="s">
        <v>3880</v>
      </c>
      <c r="J490" s="30" t="s">
        <v>276</v>
      </c>
      <c r="K490" s="30">
        <v>18</v>
      </c>
      <c r="L490" s="30" t="s">
        <v>624</v>
      </c>
      <c r="M490" s="30" t="str">
        <f t="shared" si="7"/>
        <v>332203</v>
      </c>
      <c r="N490" s="30">
        <v>1</v>
      </c>
    </row>
    <row r="491" spans="1:14" x14ac:dyDescent="0.25">
      <c r="A491" s="35" t="s">
        <v>4158</v>
      </c>
      <c r="B491" s="35" t="s">
        <v>647</v>
      </c>
      <c r="C491" s="35" t="s">
        <v>17</v>
      </c>
      <c r="D491" s="30" t="s">
        <v>4056</v>
      </c>
      <c r="E491" s="30" t="s">
        <v>192</v>
      </c>
      <c r="F491" s="30">
        <v>1</v>
      </c>
      <c r="G491" s="30" t="s">
        <v>193</v>
      </c>
      <c r="H491" s="30" t="s">
        <v>194</v>
      </c>
      <c r="I491" s="30" t="s">
        <v>3880</v>
      </c>
      <c r="J491" s="30" t="s">
        <v>196</v>
      </c>
      <c r="K491" s="30">
        <v>18</v>
      </c>
      <c r="L491" s="30" t="s">
        <v>624</v>
      </c>
      <c r="M491" s="30" t="str">
        <f t="shared" si="7"/>
        <v>332203</v>
      </c>
      <c r="N491" s="30">
        <v>1</v>
      </c>
    </row>
    <row r="492" spans="1:14" x14ac:dyDescent="0.25">
      <c r="A492" s="35" t="s">
        <v>4159</v>
      </c>
      <c r="B492" s="35" t="s">
        <v>2516</v>
      </c>
      <c r="C492" s="35" t="s">
        <v>85</v>
      </c>
      <c r="D492" s="30" t="s">
        <v>4056</v>
      </c>
      <c r="E492" s="30" t="s">
        <v>252</v>
      </c>
      <c r="F492" s="30">
        <v>1</v>
      </c>
      <c r="G492" s="30" t="s">
        <v>193</v>
      </c>
      <c r="H492" s="30" t="s">
        <v>194</v>
      </c>
      <c r="I492" s="30" t="s">
        <v>3880</v>
      </c>
      <c r="J492" s="30" t="s">
        <v>210</v>
      </c>
      <c r="K492" s="30">
        <v>18</v>
      </c>
      <c r="L492" s="30" t="s">
        <v>477</v>
      </c>
      <c r="M492" s="30" t="str">
        <f t="shared" si="7"/>
        <v>243305</v>
      </c>
      <c r="N492" s="30">
        <v>1</v>
      </c>
    </row>
    <row r="493" spans="1:14" x14ac:dyDescent="0.25">
      <c r="A493" s="35" t="s">
        <v>4160</v>
      </c>
      <c r="B493" s="35" t="s">
        <v>4161</v>
      </c>
      <c r="C493" s="35" t="s">
        <v>10</v>
      </c>
      <c r="D493" s="30" t="s">
        <v>4056</v>
      </c>
      <c r="E493" s="30" t="s">
        <v>252</v>
      </c>
      <c r="F493" s="30">
        <v>1</v>
      </c>
      <c r="G493" s="30" t="s">
        <v>193</v>
      </c>
      <c r="H493" s="30" t="s">
        <v>194</v>
      </c>
      <c r="I493" s="30" t="s">
        <v>3960</v>
      </c>
      <c r="J493" s="30" t="s">
        <v>210</v>
      </c>
      <c r="K493" s="30">
        <v>18</v>
      </c>
      <c r="L493" s="30" t="s">
        <v>484</v>
      </c>
      <c r="M493" s="30" t="str">
        <f t="shared" si="7"/>
        <v>251401</v>
      </c>
      <c r="N493" s="30">
        <v>1</v>
      </c>
    </row>
    <row r="494" spans="1:14" x14ac:dyDescent="0.25">
      <c r="A494" s="35" t="s">
        <v>3244</v>
      </c>
      <c r="B494" s="35" t="s">
        <v>1399</v>
      </c>
      <c r="C494" s="35" t="s">
        <v>27</v>
      </c>
      <c r="D494" s="30" t="s">
        <v>4056</v>
      </c>
      <c r="E494" s="30" t="s">
        <v>192</v>
      </c>
      <c r="F494" s="30">
        <v>1</v>
      </c>
      <c r="G494" s="30" t="s">
        <v>193</v>
      </c>
      <c r="H494" s="30" t="s">
        <v>194</v>
      </c>
      <c r="I494" s="30" t="s">
        <v>3880</v>
      </c>
      <c r="J494" s="30" t="s">
        <v>473</v>
      </c>
      <c r="K494" s="30">
        <v>18</v>
      </c>
      <c r="L494" s="30" t="s">
        <v>440</v>
      </c>
      <c r="M494" s="30" t="str">
        <f t="shared" si="7"/>
        <v>242307</v>
      </c>
      <c r="N494" s="30">
        <v>1</v>
      </c>
    </row>
    <row r="495" spans="1:14" x14ac:dyDescent="0.25">
      <c r="A495" s="35" t="s">
        <v>3290</v>
      </c>
      <c r="B495" s="35" t="s">
        <v>4162</v>
      </c>
      <c r="C495" s="35" t="s">
        <v>17</v>
      </c>
      <c r="D495" s="30" t="s">
        <v>4056</v>
      </c>
      <c r="E495" s="30" t="s">
        <v>192</v>
      </c>
      <c r="F495" s="30">
        <v>1</v>
      </c>
      <c r="G495" s="30" t="s">
        <v>193</v>
      </c>
      <c r="H495" s="30" t="s">
        <v>194</v>
      </c>
      <c r="I495" s="30" t="s">
        <v>3880</v>
      </c>
      <c r="J495" s="30" t="s">
        <v>367</v>
      </c>
      <c r="K495" s="30">
        <v>18</v>
      </c>
      <c r="L495" s="30" t="s">
        <v>624</v>
      </c>
      <c r="M495" s="30" t="str">
        <f t="shared" si="7"/>
        <v>332203</v>
      </c>
      <c r="N495" s="30">
        <v>1</v>
      </c>
    </row>
    <row r="496" spans="1:14" x14ac:dyDescent="0.25">
      <c r="A496" s="35" t="s">
        <v>2259</v>
      </c>
      <c r="B496" s="35" t="s">
        <v>4163</v>
      </c>
      <c r="C496" s="35" t="s">
        <v>27</v>
      </c>
      <c r="D496" s="30" t="s">
        <v>4056</v>
      </c>
      <c r="E496" s="30" t="s">
        <v>233</v>
      </c>
      <c r="F496" s="30">
        <v>1</v>
      </c>
      <c r="G496" s="30" t="s">
        <v>193</v>
      </c>
      <c r="H496" s="30" t="s">
        <v>194</v>
      </c>
      <c r="I496" s="30" t="s">
        <v>3880</v>
      </c>
      <c r="J496" s="30" t="s">
        <v>210</v>
      </c>
      <c r="K496" s="30">
        <v>18</v>
      </c>
      <c r="L496" s="30" t="s">
        <v>440</v>
      </c>
      <c r="M496" s="30" t="str">
        <f t="shared" si="7"/>
        <v>242307</v>
      </c>
      <c r="N496" s="30">
        <v>1</v>
      </c>
    </row>
    <row r="497" spans="1:14" x14ac:dyDescent="0.25">
      <c r="A497" s="35" t="s">
        <v>4164</v>
      </c>
      <c r="B497" s="35" t="s">
        <v>537</v>
      </c>
      <c r="C497" s="35" t="s">
        <v>778</v>
      </c>
      <c r="D497" s="30" t="s">
        <v>4056</v>
      </c>
      <c r="E497" s="30" t="s">
        <v>192</v>
      </c>
      <c r="F497" s="30">
        <v>1</v>
      </c>
      <c r="G497" s="30" t="s">
        <v>193</v>
      </c>
      <c r="H497" s="30" t="s">
        <v>194</v>
      </c>
      <c r="I497" s="30" t="s">
        <v>3880</v>
      </c>
      <c r="J497" s="30" t="s">
        <v>276</v>
      </c>
      <c r="K497" s="30">
        <v>18</v>
      </c>
      <c r="L497" s="30" t="s">
        <v>779</v>
      </c>
      <c r="M497" s="30" t="str">
        <f t="shared" si="7"/>
        <v>524902</v>
      </c>
      <c r="N497" s="30">
        <v>1</v>
      </c>
    </row>
    <row r="498" spans="1:14" x14ac:dyDescent="0.25">
      <c r="A498" s="35" t="s">
        <v>4165</v>
      </c>
      <c r="B498" s="35" t="s">
        <v>4166</v>
      </c>
      <c r="C498" s="158" t="s">
        <v>525</v>
      </c>
      <c r="D498" s="30" t="s">
        <v>4056</v>
      </c>
      <c r="E498" s="30" t="s">
        <v>192</v>
      </c>
      <c r="F498" s="30">
        <v>1</v>
      </c>
      <c r="G498" s="30" t="s">
        <v>193</v>
      </c>
      <c r="H498" s="30" t="s">
        <v>194</v>
      </c>
      <c r="I498" s="30" t="s">
        <v>3880</v>
      </c>
      <c r="J498" s="30" t="s">
        <v>408</v>
      </c>
      <c r="K498" s="30">
        <v>18</v>
      </c>
      <c r="L498" s="30" t="s">
        <v>526</v>
      </c>
      <c r="M498" s="30" t="str">
        <f t="shared" si="7"/>
        <v>263102</v>
      </c>
      <c r="N498" s="30">
        <v>1</v>
      </c>
    </row>
    <row r="499" spans="1:14" x14ac:dyDescent="0.25">
      <c r="A499" s="35" t="s">
        <v>1712</v>
      </c>
      <c r="B499" s="35" t="s">
        <v>1713</v>
      </c>
      <c r="C499" s="35" t="s">
        <v>17</v>
      </c>
      <c r="D499" s="30" t="s">
        <v>4056</v>
      </c>
      <c r="E499" s="30" t="s">
        <v>192</v>
      </c>
      <c r="F499" s="30">
        <v>1</v>
      </c>
      <c r="G499" s="30" t="s">
        <v>193</v>
      </c>
      <c r="H499" s="30" t="s">
        <v>194</v>
      </c>
      <c r="I499" s="30" t="s">
        <v>3880</v>
      </c>
      <c r="J499" s="30" t="s">
        <v>399</v>
      </c>
      <c r="K499" s="30">
        <v>18</v>
      </c>
      <c r="L499" s="30" t="s">
        <v>624</v>
      </c>
      <c r="M499" s="30" t="str">
        <f t="shared" si="7"/>
        <v>332203</v>
      </c>
      <c r="N499" s="30">
        <v>1</v>
      </c>
    </row>
    <row r="500" spans="1:14" x14ac:dyDescent="0.25">
      <c r="A500" s="35" t="s">
        <v>1714</v>
      </c>
      <c r="B500" s="35" t="s">
        <v>4167</v>
      </c>
      <c r="C500" s="35" t="s">
        <v>1148</v>
      </c>
      <c r="D500" s="30" t="s">
        <v>4056</v>
      </c>
      <c r="E500" s="30" t="s">
        <v>192</v>
      </c>
      <c r="F500" s="30">
        <v>1</v>
      </c>
      <c r="G500" s="30" t="s">
        <v>193</v>
      </c>
      <c r="H500" s="30" t="s">
        <v>194</v>
      </c>
      <c r="I500" s="30" t="s">
        <v>3880</v>
      </c>
      <c r="J500" s="30" t="s">
        <v>276</v>
      </c>
      <c r="K500" s="30">
        <v>18</v>
      </c>
      <c r="L500" s="30" t="s">
        <v>1150</v>
      </c>
      <c r="M500" s="30" t="str">
        <f t="shared" si="7"/>
        <v>244001</v>
      </c>
      <c r="N500" s="30">
        <v>1</v>
      </c>
    </row>
    <row r="501" spans="1:14" x14ac:dyDescent="0.25">
      <c r="A501" s="35" t="s">
        <v>4168</v>
      </c>
      <c r="B501" s="35" t="s">
        <v>1520</v>
      </c>
      <c r="C501" s="35" t="s">
        <v>4169</v>
      </c>
      <c r="D501" s="30" t="s">
        <v>4056</v>
      </c>
      <c r="E501" s="30" t="s">
        <v>233</v>
      </c>
      <c r="F501" s="30">
        <v>1</v>
      </c>
      <c r="G501" s="30" t="s">
        <v>193</v>
      </c>
      <c r="H501" s="30" t="s">
        <v>194</v>
      </c>
      <c r="I501" s="30" t="s">
        <v>3880</v>
      </c>
      <c r="J501" s="30" t="s">
        <v>210</v>
      </c>
      <c r="K501" s="30">
        <v>18</v>
      </c>
      <c r="L501" s="30" t="s">
        <v>4170</v>
      </c>
      <c r="M501" s="30" t="str">
        <f t="shared" si="7"/>
        <v>214210</v>
      </c>
      <c r="N501" s="30">
        <v>1</v>
      </c>
    </row>
    <row r="502" spans="1:14" x14ac:dyDescent="0.25">
      <c r="A502" s="35" t="s">
        <v>4171</v>
      </c>
      <c r="B502" s="35" t="s">
        <v>2770</v>
      </c>
      <c r="C502" s="35" t="s">
        <v>982</v>
      </c>
      <c r="D502" s="30" t="s">
        <v>4056</v>
      </c>
      <c r="E502" s="30" t="s">
        <v>233</v>
      </c>
      <c r="F502" s="30">
        <v>1</v>
      </c>
      <c r="G502" s="30" t="s">
        <v>193</v>
      </c>
      <c r="H502" s="30" t="s">
        <v>194</v>
      </c>
      <c r="I502" s="30" t="s">
        <v>3960</v>
      </c>
      <c r="J502" s="30" t="s">
        <v>367</v>
      </c>
      <c r="K502" s="30">
        <v>18</v>
      </c>
      <c r="L502" s="30" t="s">
        <v>983</v>
      </c>
      <c r="M502" s="30" t="str">
        <f t="shared" si="7"/>
        <v>213303</v>
      </c>
      <c r="N502" s="30">
        <v>1</v>
      </c>
    </row>
    <row r="503" spans="1:14" x14ac:dyDescent="0.25">
      <c r="A503" s="35" t="s">
        <v>4171</v>
      </c>
      <c r="B503" s="35" t="s">
        <v>4172</v>
      </c>
      <c r="C503" s="35" t="s">
        <v>34</v>
      </c>
      <c r="D503" s="30" t="s">
        <v>4056</v>
      </c>
      <c r="E503" s="30" t="s">
        <v>233</v>
      </c>
      <c r="F503" s="30">
        <v>1</v>
      </c>
      <c r="G503" s="30" t="s">
        <v>193</v>
      </c>
      <c r="H503" s="30" t="s">
        <v>194</v>
      </c>
      <c r="I503" s="30" t="s">
        <v>3880</v>
      </c>
      <c r="J503" s="30" t="s">
        <v>210</v>
      </c>
      <c r="K503" s="30">
        <v>18</v>
      </c>
      <c r="L503" s="30" t="s">
        <v>2167</v>
      </c>
      <c r="M503" s="30" t="str">
        <f t="shared" si="7"/>
        <v>121303</v>
      </c>
      <c r="N503" s="30">
        <v>1</v>
      </c>
    </row>
    <row r="504" spans="1:14" x14ac:dyDescent="0.25">
      <c r="A504" s="35" t="s">
        <v>4173</v>
      </c>
      <c r="B504" s="35" t="s">
        <v>4174</v>
      </c>
      <c r="C504" s="35" t="s">
        <v>4175</v>
      </c>
      <c r="D504" s="30" t="s">
        <v>4056</v>
      </c>
      <c r="E504" s="30" t="s">
        <v>233</v>
      </c>
      <c r="F504" s="30">
        <v>1</v>
      </c>
      <c r="G504" s="30" t="s">
        <v>193</v>
      </c>
      <c r="H504" s="30" t="s">
        <v>194</v>
      </c>
      <c r="I504" s="30" t="s">
        <v>3880</v>
      </c>
      <c r="J504" s="30" t="s">
        <v>223</v>
      </c>
      <c r="K504" s="30">
        <v>18</v>
      </c>
      <c r="L504" s="30" t="s">
        <v>4176</v>
      </c>
      <c r="M504" s="30" t="str">
        <f t="shared" si="7"/>
        <v>335909</v>
      </c>
      <c r="N504" s="30">
        <v>1</v>
      </c>
    </row>
    <row r="505" spans="1:14" x14ac:dyDescent="0.25">
      <c r="A505" s="35" t="s">
        <v>3874</v>
      </c>
      <c r="B505" s="35" t="s">
        <v>3875</v>
      </c>
      <c r="C505" s="35" t="s">
        <v>3876</v>
      </c>
      <c r="D505" s="30" t="s">
        <v>4056</v>
      </c>
      <c r="E505" s="30" t="s">
        <v>233</v>
      </c>
      <c r="F505" s="30">
        <v>1</v>
      </c>
      <c r="G505" s="30" t="s">
        <v>193</v>
      </c>
      <c r="H505" s="30" t="s">
        <v>194</v>
      </c>
      <c r="I505" s="30" t="s">
        <v>3880</v>
      </c>
      <c r="J505" s="30" t="s">
        <v>385</v>
      </c>
      <c r="K505" s="30">
        <v>18</v>
      </c>
      <c r="L505" s="30" t="s">
        <v>3877</v>
      </c>
      <c r="M505" s="30" t="str">
        <f t="shared" si="7"/>
        <v>324001</v>
      </c>
      <c r="N505" s="30">
        <v>1</v>
      </c>
    </row>
    <row r="506" spans="1:14" x14ac:dyDescent="0.25">
      <c r="A506" s="35" t="s">
        <v>4177</v>
      </c>
      <c r="B506" s="35" t="s">
        <v>4178</v>
      </c>
      <c r="C506" s="35" t="s">
        <v>1806</v>
      </c>
      <c r="D506" s="30" t="s">
        <v>4056</v>
      </c>
      <c r="E506" s="30" t="s">
        <v>252</v>
      </c>
      <c r="F506" s="30">
        <v>1</v>
      </c>
      <c r="G506" s="30" t="s">
        <v>193</v>
      </c>
      <c r="H506" s="30" t="s">
        <v>194</v>
      </c>
      <c r="I506" s="30" t="s">
        <v>3852</v>
      </c>
      <c r="J506" s="30" t="s">
        <v>4179</v>
      </c>
      <c r="K506" s="30">
        <v>18</v>
      </c>
      <c r="L506" s="30" t="s">
        <v>1808</v>
      </c>
      <c r="M506" s="30" t="str">
        <f t="shared" si="7"/>
        <v>711502</v>
      </c>
      <c r="N506" s="30">
        <v>1</v>
      </c>
    </row>
    <row r="507" spans="1:14" x14ac:dyDescent="0.25">
      <c r="A507" s="35" t="s">
        <v>4180</v>
      </c>
      <c r="B507" s="35" t="s">
        <v>4181</v>
      </c>
      <c r="C507" s="35" t="s">
        <v>989</v>
      </c>
      <c r="D507" s="30" t="s">
        <v>4056</v>
      </c>
      <c r="E507" s="30" t="s">
        <v>252</v>
      </c>
      <c r="F507" s="84">
        <v>0</v>
      </c>
      <c r="G507" s="84" t="s">
        <v>194</v>
      </c>
      <c r="H507" s="30" t="s">
        <v>193</v>
      </c>
      <c r="I507" s="30" t="s">
        <v>3933</v>
      </c>
      <c r="J507" s="30" t="s">
        <v>4182</v>
      </c>
      <c r="K507" s="30">
        <v>18</v>
      </c>
      <c r="L507" s="30" t="s">
        <v>990</v>
      </c>
      <c r="M507" s="30" t="str">
        <f t="shared" si="7"/>
        <v>833202</v>
      </c>
      <c r="N507" s="84">
        <v>1</v>
      </c>
    </row>
    <row r="508" spans="1:14" x14ac:dyDescent="0.25">
      <c r="A508" s="35" t="s">
        <v>1376</v>
      </c>
      <c r="B508" s="35" t="s">
        <v>4254</v>
      </c>
      <c r="C508" s="35" t="s">
        <v>778</v>
      </c>
      <c r="D508" s="30" t="s">
        <v>4255</v>
      </c>
      <c r="E508" s="30" t="s">
        <v>233</v>
      </c>
      <c r="F508" s="30">
        <v>1</v>
      </c>
      <c r="G508" s="30" t="s">
        <v>193</v>
      </c>
      <c r="H508" s="30" t="s">
        <v>194</v>
      </c>
      <c r="I508" s="30" t="s">
        <v>4056</v>
      </c>
      <c r="J508" s="30" t="s">
        <v>253</v>
      </c>
      <c r="K508" s="30">
        <v>18</v>
      </c>
      <c r="L508" s="30" t="s">
        <v>779</v>
      </c>
      <c r="M508" s="30" t="str">
        <f t="shared" si="7"/>
        <v>524902</v>
      </c>
      <c r="N508" s="30">
        <v>1</v>
      </c>
    </row>
    <row r="509" spans="1:14" x14ac:dyDescent="0.25">
      <c r="A509" s="35" t="s">
        <v>1376</v>
      </c>
      <c r="B509" s="35" t="s">
        <v>4256</v>
      </c>
      <c r="C509" s="35" t="s">
        <v>43</v>
      </c>
      <c r="D509" s="30" t="s">
        <v>4255</v>
      </c>
      <c r="E509" s="30" t="s">
        <v>233</v>
      </c>
      <c r="F509" s="30">
        <v>1</v>
      </c>
      <c r="G509" s="30" t="s">
        <v>193</v>
      </c>
      <c r="H509" s="30" t="s">
        <v>194</v>
      </c>
      <c r="I509" s="30" t="s">
        <v>4056</v>
      </c>
      <c r="J509" s="30" t="s">
        <v>210</v>
      </c>
      <c r="K509" s="30">
        <v>18</v>
      </c>
      <c r="L509" s="30" t="s">
        <v>452</v>
      </c>
      <c r="M509" s="30" t="str">
        <f t="shared" si="7"/>
        <v>243106</v>
      </c>
      <c r="N509" s="30">
        <v>1</v>
      </c>
    </row>
    <row r="510" spans="1:14" x14ac:dyDescent="0.25">
      <c r="A510" s="35" t="s">
        <v>1376</v>
      </c>
      <c r="B510" s="35" t="s">
        <v>984</v>
      </c>
      <c r="C510" s="35" t="s">
        <v>27</v>
      </c>
      <c r="D510" s="30" t="s">
        <v>4255</v>
      </c>
      <c r="E510" s="30" t="s">
        <v>233</v>
      </c>
      <c r="F510" s="30">
        <v>1</v>
      </c>
      <c r="G510" s="30" t="s">
        <v>193</v>
      </c>
      <c r="H510" s="30" t="s">
        <v>194</v>
      </c>
      <c r="I510" s="30" t="s">
        <v>4056</v>
      </c>
      <c r="J510" s="30" t="s">
        <v>210</v>
      </c>
      <c r="K510" s="30">
        <v>18</v>
      </c>
      <c r="L510" s="30" t="s">
        <v>440</v>
      </c>
      <c r="M510" s="30" t="str">
        <f t="shared" si="7"/>
        <v>242307</v>
      </c>
      <c r="N510" s="30">
        <v>1</v>
      </c>
    </row>
    <row r="511" spans="1:14" x14ac:dyDescent="0.25">
      <c r="A511" s="35" t="s">
        <v>919</v>
      </c>
      <c r="B511" s="35" t="s">
        <v>1009</v>
      </c>
      <c r="C511" s="35" t="s">
        <v>9</v>
      </c>
      <c r="D511" s="30" t="s">
        <v>4255</v>
      </c>
      <c r="E511" s="30" t="s">
        <v>192</v>
      </c>
      <c r="F511" s="30">
        <v>1</v>
      </c>
      <c r="G511" s="30" t="s">
        <v>193</v>
      </c>
      <c r="H511" s="30" t="s">
        <v>194</v>
      </c>
      <c r="I511" s="30" t="s">
        <v>4056</v>
      </c>
      <c r="J511" s="30" t="s">
        <v>253</v>
      </c>
      <c r="K511" s="30">
        <v>18</v>
      </c>
      <c r="L511" s="30" t="s">
        <v>405</v>
      </c>
      <c r="M511" s="30" t="str">
        <f t="shared" si="7"/>
        <v>241304</v>
      </c>
      <c r="N511" s="30">
        <v>1</v>
      </c>
    </row>
    <row r="512" spans="1:14" x14ac:dyDescent="0.25">
      <c r="A512" s="35" t="s">
        <v>1011</v>
      </c>
      <c r="B512" s="35" t="s">
        <v>1012</v>
      </c>
      <c r="C512" s="35" t="s">
        <v>4189</v>
      </c>
      <c r="D512" s="30" t="s">
        <v>4255</v>
      </c>
      <c r="E512" s="30" t="s">
        <v>233</v>
      </c>
      <c r="F512" s="30">
        <v>1</v>
      </c>
      <c r="G512" s="30" t="s">
        <v>193</v>
      </c>
      <c r="H512" s="30" t="s">
        <v>194</v>
      </c>
      <c r="I512" s="30" t="s">
        <v>4056</v>
      </c>
      <c r="J512" s="30" t="s">
        <v>276</v>
      </c>
      <c r="K512" s="30">
        <v>18</v>
      </c>
      <c r="L512" s="30" t="s">
        <v>4190</v>
      </c>
      <c r="M512" s="30" t="str">
        <f t="shared" si="7"/>
        <v>241203</v>
      </c>
      <c r="N512" s="30">
        <v>1</v>
      </c>
    </row>
    <row r="513" spans="1:14" x14ac:dyDescent="0.25">
      <c r="A513" s="35" t="s">
        <v>1011</v>
      </c>
      <c r="B513" s="35" t="s">
        <v>1014</v>
      </c>
      <c r="C513" s="35" t="s">
        <v>95</v>
      </c>
      <c r="D513" s="30" t="s">
        <v>4255</v>
      </c>
      <c r="E513" s="30" t="s">
        <v>233</v>
      </c>
      <c r="F513" s="30">
        <v>1</v>
      </c>
      <c r="G513" s="30" t="s">
        <v>193</v>
      </c>
      <c r="H513" s="30" t="s">
        <v>194</v>
      </c>
      <c r="I513" s="30" t="s">
        <v>4056</v>
      </c>
      <c r="J513" s="30" t="s">
        <v>276</v>
      </c>
      <c r="K513" s="30">
        <v>18</v>
      </c>
      <c r="L513" s="30" t="s">
        <v>1015</v>
      </c>
      <c r="M513" s="30" t="str">
        <f t="shared" si="7"/>
        <v>122102</v>
      </c>
      <c r="N513" s="30">
        <v>1</v>
      </c>
    </row>
    <row r="514" spans="1:14" x14ac:dyDescent="0.25">
      <c r="A514" s="35" t="s">
        <v>1797</v>
      </c>
      <c r="B514" s="35" t="s">
        <v>1798</v>
      </c>
      <c r="C514" s="35" t="s">
        <v>1799</v>
      </c>
      <c r="D514" s="30" t="s">
        <v>4255</v>
      </c>
      <c r="E514" s="30" t="s">
        <v>233</v>
      </c>
      <c r="F514" s="30">
        <v>1</v>
      </c>
      <c r="G514" s="30" t="s">
        <v>193</v>
      </c>
      <c r="H514" s="30" t="s">
        <v>194</v>
      </c>
      <c r="I514" s="30" t="s">
        <v>4056</v>
      </c>
      <c r="J514" s="30" t="s">
        <v>267</v>
      </c>
      <c r="K514" s="30">
        <v>18</v>
      </c>
      <c r="L514" s="30" t="s">
        <v>1800</v>
      </c>
      <c r="M514" s="30" t="str">
        <f t="shared" si="7"/>
        <v>242204</v>
      </c>
      <c r="N514" s="30">
        <v>1</v>
      </c>
    </row>
    <row r="515" spans="1:14" x14ac:dyDescent="0.25">
      <c r="A515" s="35" t="s">
        <v>3094</v>
      </c>
      <c r="B515" s="35" t="s">
        <v>1119</v>
      </c>
      <c r="C515" s="35" t="s">
        <v>19</v>
      </c>
      <c r="D515" s="30" t="s">
        <v>4255</v>
      </c>
      <c r="E515" s="30" t="s">
        <v>192</v>
      </c>
      <c r="F515" s="84">
        <v>0</v>
      </c>
      <c r="G515" s="84" t="s">
        <v>194</v>
      </c>
      <c r="H515" s="30" t="s">
        <v>193</v>
      </c>
      <c r="I515" s="30" t="s">
        <v>4056</v>
      </c>
      <c r="J515" s="30" t="s">
        <v>196</v>
      </c>
      <c r="K515" s="30">
        <v>18</v>
      </c>
      <c r="L515" s="30" t="s">
        <v>337</v>
      </c>
      <c r="M515" s="30" t="str">
        <f t="shared" ref="M515:M564" si="8">MID(L515,8,6)</f>
        <v>214903</v>
      </c>
      <c r="N515" s="84">
        <v>1</v>
      </c>
    </row>
    <row r="516" spans="1:14" x14ac:dyDescent="0.25">
      <c r="A516" s="35" t="s">
        <v>4257</v>
      </c>
      <c r="B516" s="35" t="s">
        <v>4258</v>
      </c>
      <c r="C516" s="35" t="s">
        <v>2658</v>
      </c>
      <c r="D516" s="30" t="s">
        <v>4255</v>
      </c>
      <c r="E516" s="30" t="s">
        <v>192</v>
      </c>
      <c r="F516" s="30">
        <v>1</v>
      </c>
      <c r="G516" s="30" t="s">
        <v>193</v>
      </c>
      <c r="H516" s="30" t="s">
        <v>194</v>
      </c>
      <c r="I516" s="30" t="s">
        <v>4056</v>
      </c>
      <c r="J516" s="30" t="s">
        <v>210</v>
      </c>
      <c r="K516" s="30">
        <v>18</v>
      </c>
      <c r="L516" s="30" t="s">
        <v>2659</v>
      </c>
      <c r="M516" s="30" t="str">
        <f t="shared" si="8"/>
        <v>311508</v>
      </c>
      <c r="N516" s="30">
        <v>1</v>
      </c>
    </row>
    <row r="517" spans="1:14" x14ac:dyDescent="0.25">
      <c r="A517" s="35" t="s">
        <v>2530</v>
      </c>
      <c r="B517" s="35" t="s">
        <v>2652</v>
      </c>
      <c r="C517" s="35" t="s">
        <v>4259</v>
      </c>
      <c r="D517" s="30" t="s">
        <v>4255</v>
      </c>
      <c r="E517" s="30" t="s">
        <v>192</v>
      </c>
      <c r="F517" s="30">
        <v>1</v>
      </c>
      <c r="G517" s="30" t="s">
        <v>193</v>
      </c>
      <c r="H517" s="30" t="s">
        <v>194</v>
      </c>
      <c r="I517" s="30" t="s">
        <v>4056</v>
      </c>
      <c r="J517" s="30" t="s">
        <v>2532</v>
      </c>
      <c r="K517" s="30">
        <v>18</v>
      </c>
      <c r="L517" s="30" t="s">
        <v>4260</v>
      </c>
      <c r="M517" s="30" t="str">
        <f t="shared" si="8"/>
        <v>251902</v>
      </c>
      <c r="N517" s="30">
        <v>1</v>
      </c>
    </row>
    <row r="518" spans="1:14" x14ac:dyDescent="0.25">
      <c r="A518" s="35" t="s">
        <v>3117</v>
      </c>
      <c r="B518" s="35" t="s">
        <v>3827</v>
      </c>
      <c r="C518" s="35" t="s">
        <v>80</v>
      </c>
      <c r="D518" s="30" t="s">
        <v>4255</v>
      </c>
      <c r="E518" s="30" t="s">
        <v>192</v>
      </c>
      <c r="F518" s="30">
        <v>1</v>
      </c>
      <c r="G518" s="30" t="s">
        <v>193</v>
      </c>
      <c r="H518" s="30" t="s">
        <v>194</v>
      </c>
      <c r="I518" s="30" t="s">
        <v>4056</v>
      </c>
      <c r="J518" s="30" t="s">
        <v>210</v>
      </c>
      <c r="K518" s="30">
        <v>18</v>
      </c>
      <c r="L518" s="30" t="s">
        <v>474</v>
      </c>
      <c r="M518" s="30" t="str">
        <f t="shared" si="8"/>
        <v>243304</v>
      </c>
      <c r="N518" s="30">
        <v>1</v>
      </c>
    </row>
    <row r="519" spans="1:14" x14ac:dyDescent="0.25">
      <c r="A519" s="35" t="s">
        <v>3117</v>
      </c>
      <c r="B519" s="35" t="s">
        <v>4261</v>
      </c>
      <c r="C519" s="35" t="s">
        <v>4189</v>
      </c>
      <c r="D519" s="30" t="s">
        <v>4255</v>
      </c>
      <c r="E519" s="30" t="s">
        <v>192</v>
      </c>
      <c r="F519" s="30">
        <v>1</v>
      </c>
      <c r="G519" s="30" t="s">
        <v>193</v>
      </c>
      <c r="H519" s="30" t="s">
        <v>194</v>
      </c>
      <c r="I519" s="30" t="s">
        <v>4056</v>
      </c>
      <c r="J519" s="30" t="s">
        <v>210</v>
      </c>
      <c r="K519" s="30">
        <v>18</v>
      </c>
      <c r="L519" s="30" t="s">
        <v>4190</v>
      </c>
      <c r="M519" s="30" t="str">
        <f t="shared" si="8"/>
        <v>241203</v>
      </c>
      <c r="N519" s="30">
        <v>1</v>
      </c>
    </row>
    <row r="520" spans="1:14" x14ac:dyDescent="0.25">
      <c r="A520" s="35" t="s">
        <v>2093</v>
      </c>
      <c r="B520" s="35" t="s">
        <v>4104</v>
      </c>
      <c r="C520" s="35" t="s">
        <v>4100</v>
      </c>
      <c r="D520" s="30" t="s">
        <v>4255</v>
      </c>
      <c r="E520" s="30" t="s">
        <v>233</v>
      </c>
      <c r="F520" s="30">
        <v>1</v>
      </c>
      <c r="G520" s="30" t="s">
        <v>193</v>
      </c>
      <c r="H520" s="30" t="s">
        <v>194</v>
      </c>
      <c r="I520" s="30" t="s">
        <v>4056</v>
      </c>
      <c r="J520" s="30" t="s">
        <v>327</v>
      </c>
      <c r="K520" s="30">
        <v>18</v>
      </c>
      <c r="L520" s="30" t="s">
        <v>4101</v>
      </c>
      <c r="M520" s="30" t="str">
        <f t="shared" si="8"/>
        <v>242209</v>
      </c>
      <c r="N520" s="30">
        <v>1</v>
      </c>
    </row>
    <row r="521" spans="1:14" x14ac:dyDescent="0.25">
      <c r="A521" s="35" t="s">
        <v>1154</v>
      </c>
      <c r="B521" s="35" t="s">
        <v>4262</v>
      </c>
      <c r="C521" s="35" t="s">
        <v>678</v>
      </c>
      <c r="D521" s="30" t="s">
        <v>4255</v>
      </c>
      <c r="E521" s="30" t="s">
        <v>252</v>
      </c>
      <c r="F521" s="30">
        <v>1</v>
      </c>
      <c r="G521" s="30" t="s">
        <v>193</v>
      </c>
      <c r="H521" s="30" t="s">
        <v>194</v>
      </c>
      <c r="I521" s="30" t="s">
        <v>4056</v>
      </c>
      <c r="J521" s="30" t="s">
        <v>223</v>
      </c>
      <c r="K521" s="30">
        <v>18</v>
      </c>
      <c r="L521" s="30" t="s">
        <v>679</v>
      </c>
      <c r="M521" s="30" t="str">
        <f t="shared" si="8"/>
        <v>333404</v>
      </c>
      <c r="N521" s="30">
        <v>1</v>
      </c>
    </row>
    <row r="522" spans="1:14" x14ac:dyDescent="0.25">
      <c r="A522" s="35" t="s">
        <v>3268</v>
      </c>
      <c r="B522" s="35" t="s">
        <v>4263</v>
      </c>
      <c r="C522" s="35" t="s">
        <v>17</v>
      </c>
      <c r="D522" s="30" t="s">
        <v>4255</v>
      </c>
      <c r="E522" s="30" t="s">
        <v>192</v>
      </c>
      <c r="F522" s="30">
        <v>1</v>
      </c>
      <c r="G522" s="30" t="s">
        <v>193</v>
      </c>
      <c r="H522" s="30" t="s">
        <v>194</v>
      </c>
      <c r="I522" s="30" t="s">
        <v>4056</v>
      </c>
      <c r="J522" s="30" t="s">
        <v>249</v>
      </c>
      <c r="K522" s="30">
        <v>18</v>
      </c>
      <c r="L522" s="30" t="s">
        <v>624</v>
      </c>
      <c r="M522" s="30" t="str">
        <f t="shared" si="8"/>
        <v>332203</v>
      </c>
      <c r="N522" s="30">
        <v>1</v>
      </c>
    </row>
    <row r="523" spans="1:14" x14ac:dyDescent="0.25">
      <c r="A523" s="35" t="s">
        <v>4264</v>
      </c>
      <c r="B523" s="35" t="s">
        <v>4265</v>
      </c>
      <c r="C523" s="35" t="s">
        <v>17</v>
      </c>
      <c r="D523" s="30" t="s">
        <v>4255</v>
      </c>
      <c r="E523" s="30" t="s">
        <v>192</v>
      </c>
      <c r="F523" s="30">
        <v>1</v>
      </c>
      <c r="G523" s="30" t="s">
        <v>193</v>
      </c>
      <c r="H523" s="30" t="s">
        <v>194</v>
      </c>
      <c r="I523" s="30" t="s">
        <v>4056</v>
      </c>
      <c r="J523" s="30" t="s">
        <v>276</v>
      </c>
      <c r="K523" s="30">
        <v>18</v>
      </c>
      <c r="L523" s="30" t="s">
        <v>624</v>
      </c>
      <c r="M523" s="30" t="str">
        <f t="shared" si="8"/>
        <v>332203</v>
      </c>
      <c r="N523" s="30">
        <v>1</v>
      </c>
    </row>
    <row r="524" spans="1:14" x14ac:dyDescent="0.25">
      <c r="A524" s="35" t="s">
        <v>3140</v>
      </c>
      <c r="B524" s="35" t="s">
        <v>3141</v>
      </c>
      <c r="C524" s="35" t="s">
        <v>17</v>
      </c>
      <c r="D524" s="30" t="s">
        <v>4255</v>
      </c>
      <c r="E524" s="30" t="s">
        <v>192</v>
      </c>
      <c r="F524" s="30">
        <v>1</v>
      </c>
      <c r="G524" s="30" t="s">
        <v>193</v>
      </c>
      <c r="H524" s="30" t="s">
        <v>194</v>
      </c>
      <c r="I524" s="30" t="s">
        <v>4056</v>
      </c>
      <c r="J524" s="30" t="s">
        <v>4266</v>
      </c>
      <c r="K524" s="30">
        <v>18</v>
      </c>
      <c r="L524" s="30" t="s">
        <v>624</v>
      </c>
      <c r="M524" s="30" t="str">
        <f t="shared" si="8"/>
        <v>332203</v>
      </c>
      <c r="N524" s="30">
        <v>1</v>
      </c>
    </row>
    <row r="525" spans="1:14" x14ac:dyDescent="0.25">
      <c r="A525" s="35" t="s">
        <v>4267</v>
      </c>
      <c r="B525" s="35" t="s">
        <v>4268</v>
      </c>
      <c r="C525" s="35" t="s">
        <v>10</v>
      </c>
      <c r="D525" s="30" t="s">
        <v>4255</v>
      </c>
      <c r="E525" s="30" t="s">
        <v>252</v>
      </c>
      <c r="F525" s="84">
        <v>0</v>
      </c>
      <c r="G525" s="84" t="s">
        <v>194</v>
      </c>
      <c r="H525" s="30" t="s">
        <v>193</v>
      </c>
      <c r="I525" s="30" t="s">
        <v>4056</v>
      </c>
      <c r="J525" s="30" t="s">
        <v>4269</v>
      </c>
      <c r="K525" s="30">
        <v>18</v>
      </c>
      <c r="L525" s="30" t="s">
        <v>484</v>
      </c>
      <c r="M525" s="30" t="str">
        <f t="shared" si="8"/>
        <v>251401</v>
      </c>
      <c r="N525" s="84">
        <v>1</v>
      </c>
    </row>
    <row r="526" spans="1:14" x14ac:dyDescent="0.25">
      <c r="A526" s="35" t="s">
        <v>3810</v>
      </c>
      <c r="B526" s="35" t="s">
        <v>4270</v>
      </c>
      <c r="C526" s="35" t="s">
        <v>10</v>
      </c>
      <c r="D526" s="30" t="s">
        <v>4255</v>
      </c>
      <c r="E526" s="30" t="s">
        <v>233</v>
      </c>
      <c r="F526" s="30">
        <v>1</v>
      </c>
      <c r="G526" s="30" t="s">
        <v>193</v>
      </c>
      <c r="H526" s="30" t="s">
        <v>194</v>
      </c>
      <c r="I526" s="30" t="s">
        <v>4056</v>
      </c>
      <c r="J526" s="30" t="s">
        <v>210</v>
      </c>
      <c r="K526" s="30">
        <v>18</v>
      </c>
      <c r="L526" s="30" t="s">
        <v>484</v>
      </c>
      <c r="M526" s="30" t="str">
        <f t="shared" si="8"/>
        <v>251401</v>
      </c>
      <c r="N526" s="30">
        <v>1</v>
      </c>
    </row>
    <row r="527" spans="1:14" x14ac:dyDescent="0.25">
      <c r="A527" s="35" t="s">
        <v>915</v>
      </c>
      <c r="B527" s="35" t="s">
        <v>4271</v>
      </c>
      <c r="C527" s="35" t="s">
        <v>46</v>
      </c>
      <c r="D527" s="30" t="s">
        <v>4255</v>
      </c>
      <c r="E527" s="30" t="s">
        <v>233</v>
      </c>
      <c r="F527" s="84">
        <v>0</v>
      </c>
      <c r="G527" s="84" t="s">
        <v>194</v>
      </c>
      <c r="H527" s="30" t="s">
        <v>193</v>
      </c>
      <c r="I527" s="30" t="s">
        <v>4056</v>
      </c>
      <c r="J527" s="30" t="s">
        <v>196</v>
      </c>
      <c r="K527" s="30">
        <v>18</v>
      </c>
      <c r="L527" s="30" t="s">
        <v>510</v>
      </c>
      <c r="M527" s="30" t="str">
        <f t="shared" si="8"/>
        <v>252201</v>
      </c>
      <c r="N527" s="84">
        <v>1</v>
      </c>
    </row>
    <row r="528" spans="1:14" x14ac:dyDescent="0.25">
      <c r="A528" s="35" t="s">
        <v>1835</v>
      </c>
      <c r="B528" s="35" t="s">
        <v>965</v>
      </c>
      <c r="C528" s="35" t="s">
        <v>113</v>
      </c>
      <c r="D528" s="30" t="s">
        <v>4255</v>
      </c>
      <c r="E528" s="30" t="s">
        <v>192</v>
      </c>
      <c r="F528" s="30">
        <v>3</v>
      </c>
      <c r="G528" s="30" t="s">
        <v>193</v>
      </c>
      <c r="H528" s="30" t="s">
        <v>194</v>
      </c>
      <c r="I528" s="30" t="s">
        <v>4056</v>
      </c>
      <c r="J528" s="30" t="s">
        <v>276</v>
      </c>
      <c r="K528" s="30">
        <v>18</v>
      </c>
      <c r="L528" s="30" t="s">
        <v>465</v>
      </c>
      <c r="M528" s="30" t="str">
        <f t="shared" si="8"/>
        <v>243302</v>
      </c>
      <c r="N528" s="30">
        <v>3</v>
      </c>
    </row>
    <row r="529" spans="1:14" x14ac:dyDescent="0.25">
      <c r="A529" s="35" t="s">
        <v>1909</v>
      </c>
      <c r="B529" s="35" t="s">
        <v>1520</v>
      </c>
      <c r="C529" s="35" t="s">
        <v>4272</v>
      </c>
      <c r="D529" s="30" t="s">
        <v>4255</v>
      </c>
      <c r="E529" s="30" t="s">
        <v>233</v>
      </c>
      <c r="F529" s="30">
        <v>1</v>
      </c>
      <c r="G529" s="30" t="s">
        <v>193</v>
      </c>
      <c r="H529" s="30" t="s">
        <v>194</v>
      </c>
      <c r="I529" s="30" t="s">
        <v>4056</v>
      </c>
      <c r="J529" s="30" t="s">
        <v>267</v>
      </c>
      <c r="K529" s="30">
        <v>18</v>
      </c>
      <c r="L529" s="30" t="s">
        <v>4273</v>
      </c>
      <c r="M529" s="30" t="str">
        <f t="shared" si="8"/>
        <v>216507</v>
      </c>
      <c r="N529" s="30">
        <v>1</v>
      </c>
    </row>
    <row r="530" spans="1:14" x14ac:dyDescent="0.25">
      <c r="A530" s="35" t="s">
        <v>4274</v>
      </c>
      <c r="B530" s="35" t="s">
        <v>1000</v>
      </c>
      <c r="C530" s="35" t="s">
        <v>21</v>
      </c>
      <c r="D530" s="30" t="s">
        <v>4255</v>
      </c>
      <c r="E530" s="30" t="s">
        <v>233</v>
      </c>
      <c r="F530" s="30">
        <v>1</v>
      </c>
      <c r="G530" s="30" t="s">
        <v>193</v>
      </c>
      <c r="H530" s="30" t="s">
        <v>194</v>
      </c>
      <c r="I530" s="30" t="s">
        <v>4056</v>
      </c>
      <c r="J530" s="30" t="s">
        <v>210</v>
      </c>
      <c r="K530" s="30">
        <v>18</v>
      </c>
      <c r="L530" s="30" t="s">
        <v>293</v>
      </c>
      <c r="M530" s="30" t="str">
        <f t="shared" si="8"/>
        <v>214202</v>
      </c>
      <c r="N530" s="30">
        <v>1</v>
      </c>
    </row>
    <row r="531" spans="1:14" x14ac:dyDescent="0.25">
      <c r="A531" s="35" t="s">
        <v>4007</v>
      </c>
      <c r="B531" s="35" t="s">
        <v>86</v>
      </c>
      <c r="C531" s="35" t="s">
        <v>86</v>
      </c>
      <c r="D531" s="30" t="s">
        <v>4255</v>
      </c>
      <c r="E531" s="30" t="s">
        <v>233</v>
      </c>
      <c r="F531" s="30">
        <v>1</v>
      </c>
      <c r="G531" s="30" t="s">
        <v>193</v>
      </c>
      <c r="H531" s="30" t="s">
        <v>194</v>
      </c>
      <c r="I531" s="30" t="s">
        <v>4056</v>
      </c>
      <c r="J531" s="30" t="s">
        <v>276</v>
      </c>
      <c r="K531" s="30">
        <v>18</v>
      </c>
      <c r="L531" s="30" t="s">
        <v>1107</v>
      </c>
      <c r="M531" s="30" t="str">
        <f t="shared" si="8"/>
        <v>121101</v>
      </c>
      <c r="N531" s="30">
        <v>1</v>
      </c>
    </row>
    <row r="532" spans="1:14" x14ac:dyDescent="0.25">
      <c r="A532" s="35" t="s">
        <v>3692</v>
      </c>
      <c r="B532" s="35" t="s">
        <v>2124</v>
      </c>
      <c r="C532" s="35" t="s">
        <v>2127</v>
      </c>
      <c r="D532" s="30" t="s">
        <v>4255</v>
      </c>
      <c r="E532" s="30" t="s">
        <v>233</v>
      </c>
      <c r="F532" s="30">
        <v>1</v>
      </c>
      <c r="G532" s="30" t="s">
        <v>193</v>
      </c>
      <c r="H532" s="30" t="s">
        <v>194</v>
      </c>
      <c r="I532" s="30" t="s">
        <v>4056</v>
      </c>
      <c r="J532" s="30" t="s">
        <v>259</v>
      </c>
      <c r="K532" s="30">
        <v>18</v>
      </c>
      <c r="L532" s="30" t="s">
        <v>2128</v>
      </c>
      <c r="M532" s="30" t="str">
        <f t="shared" si="8"/>
        <v>225211</v>
      </c>
      <c r="N532" s="30">
        <v>1</v>
      </c>
    </row>
    <row r="533" spans="1:14" x14ac:dyDescent="0.25">
      <c r="A533" s="35" t="s">
        <v>3913</v>
      </c>
      <c r="B533" s="35" t="s">
        <v>4275</v>
      </c>
      <c r="C533" s="35" t="s">
        <v>284</v>
      </c>
      <c r="D533" s="30" t="s">
        <v>4255</v>
      </c>
      <c r="E533" s="30" t="s">
        <v>192</v>
      </c>
      <c r="F533" s="30">
        <v>1</v>
      </c>
      <c r="G533" s="30" t="s">
        <v>193</v>
      </c>
      <c r="H533" s="30" t="s">
        <v>194</v>
      </c>
      <c r="I533" s="30" t="s">
        <v>4056</v>
      </c>
      <c r="J533" s="30" t="s">
        <v>210</v>
      </c>
      <c r="K533" s="30">
        <v>18</v>
      </c>
      <c r="L533" s="30" t="s">
        <v>286</v>
      </c>
      <c r="M533" s="30" t="str">
        <f t="shared" si="8"/>
        <v>214109</v>
      </c>
      <c r="N533" s="30">
        <v>1</v>
      </c>
    </row>
    <row r="534" spans="1:14" x14ac:dyDescent="0.25">
      <c r="A534" s="35" t="s">
        <v>3913</v>
      </c>
      <c r="B534" s="35" t="s">
        <v>4276</v>
      </c>
      <c r="C534" s="35" t="s">
        <v>1276</v>
      </c>
      <c r="D534" s="30" t="s">
        <v>4255</v>
      </c>
      <c r="E534" s="30" t="s">
        <v>192</v>
      </c>
      <c r="F534" s="30">
        <v>1</v>
      </c>
      <c r="G534" s="30" t="s">
        <v>193</v>
      </c>
      <c r="H534" s="30" t="s">
        <v>194</v>
      </c>
      <c r="I534" s="30" t="s">
        <v>4056</v>
      </c>
      <c r="J534" s="30" t="s">
        <v>210</v>
      </c>
      <c r="K534" s="30">
        <v>18</v>
      </c>
      <c r="L534" s="30" t="s">
        <v>1277</v>
      </c>
      <c r="M534" s="30" t="str">
        <f t="shared" si="8"/>
        <v>315317</v>
      </c>
      <c r="N534" s="30">
        <v>1</v>
      </c>
    </row>
    <row r="535" spans="1:14" x14ac:dyDescent="0.25">
      <c r="A535" s="35" t="s">
        <v>3913</v>
      </c>
      <c r="B535" s="35" t="s">
        <v>4277</v>
      </c>
      <c r="C535" s="35" t="s">
        <v>583</v>
      </c>
      <c r="D535" s="30" t="s">
        <v>4255</v>
      </c>
      <c r="E535" s="30" t="s">
        <v>192</v>
      </c>
      <c r="F535" s="30">
        <v>1</v>
      </c>
      <c r="G535" s="30" t="s">
        <v>193</v>
      </c>
      <c r="H535" s="30" t="s">
        <v>194</v>
      </c>
      <c r="I535" s="30" t="s">
        <v>4056</v>
      </c>
      <c r="J535" s="30" t="s">
        <v>210</v>
      </c>
      <c r="K535" s="30">
        <v>18</v>
      </c>
      <c r="L535" s="30" t="s">
        <v>584</v>
      </c>
      <c r="M535" s="30" t="str">
        <f t="shared" si="8"/>
        <v>311937</v>
      </c>
      <c r="N535" s="30">
        <v>1</v>
      </c>
    </row>
    <row r="536" spans="1:14" x14ac:dyDescent="0.25">
      <c r="A536" s="35" t="s">
        <v>4278</v>
      </c>
      <c r="B536" s="35" t="s">
        <v>4279</v>
      </c>
      <c r="C536" s="35" t="s">
        <v>4280</v>
      </c>
      <c r="D536" s="30" t="s">
        <v>4255</v>
      </c>
      <c r="E536" s="30" t="s">
        <v>192</v>
      </c>
      <c r="F536" s="30">
        <v>1</v>
      </c>
      <c r="G536" s="30" t="s">
        <v>193</v>
      </c>
      <c r="H536" s="30" t="s">
        <v>194</v>
      </c>
      <c r="I536" s="30" t="s">
        <v>4056</v>
      </c>
      <c r="J536" s="30" t="s">
        <v>1486</v>
      </c>
      <c r="K536" s="30">
        <v>18</v>
      </c>
      <c r="L536" s="30" t="s">
        <v>4281</v>
      </c>
      <c r="M536" s="30" t="str">
        <f t="shared" si="8"/>
        <v>214203</v>
      </c>
      <c r="N536" s="30">
        <v>1</v>
      </c>
    </row>
    <row r="537" spans="1:14" x14ac:dyDescent="0.25">
      <c r="A537" s="35" t="s">
        <v>4278</v>
      </c>
      <c r="B537" s="35" t="s">
        <v>4282</v>
      </c>
      <c r="C537" s="35" t="s">
        <v>4283</v>
      </c>
      <c r="D537" s="30" t="s">
        <v>4255</v>
      </c>
      <c r="E537" s="30" t="s">
        <v>192</v>
      </c>
      <c r="F537" s="30">
        <v>1</v>
      </c>
      <c r="G537" s="30" t="s">
        <v>193</v>
      </c>
      <c r="H537" s="30" t="s">
        <v>194</v>
      </c>
      <c r="I537" s="30" t="s">
        <v>4056</v>
      </c>
      <c r="J537" s="30" t="s">
        <v>210</v>
      </c>
      <c r="K537" s="30">
        <v>18</v>
      </c>
      <c r="L537" s="30" t="s">
        <v>4284</v>
      </c>
      <c r="M537" s="30" t="str">
        <f t="shared" si="8"/>
        <v>214924</v>
      </c>
      <c r="N537" s="30">
        <v>1</v>
      </c>
    </row>
    <row r="538" spans="1:14" x14ac:dyDescent="0.25">
      <c r="A538" s="35" t="s">
        <v>1337</v>
      </c>
      <c r="B538" s="35" t="s">
        <v>2770</v>
      </c>
      <c r="C538" s="35" t="s">
        <v>982</v>
      </c>
      <c r="D538" s="30" t="s">
        <v>4255</v>
      </c>
      <c r="E538" s="30" t="s">
        <v>233</v>
      </c>
      <c r="F538" s="30">
        <v>1</v>
      </c>
      <c r="G538" s="30" t="s">
        <v>193</v>
      </c>
      <c r="H538" s="30" t="s">
        <v>194</v>
      </c>
      <c r="I538" s="30" t="s">
        <v>4056</v>
      </c>
      <c r="J538" s="30" t="s">
        <v>210</v>
      </c>
      <c r="K538" s="30">
        <v>18</v>
      </c>
      <c r="L538" s="30" t="s">
        <v>983</v>
      </c>
      <c r="M538" s="30" t="str">
        <f t="shared" si="8"/>
        <v>213303</v>
      </c>
      <c r="N538" s="30">
        <v>1</v>
      </c>
    </row>
    <row r="539" spans="1:14" x14ac:dyDescent="0.25">
      <c r="A539" s="35" t="s">
        <v>331</v>
      </c>
      <c r="B539" s="35" t="s">
        <v>4285</v>
      </c>
      <c r="C539" s="35" t="s">
        <v>1957</v>
      </c>
      <c r="D539" s="30" t="s">
        <v>4255</v>
      </c>
      <c r="E539" s="30" t="s">
        <v>192</v>
      </c>
      <c r="F539" s="30">
        <v>1</v>
      </c>
      <c r="G539" s="30" t="s">
        <v>193</v>
      </c>
      <c r="H539" s="30" t="s">
        <v>194</v>
      </c>
      <c r="I539" s="30" t="s">
        <v>4056</v>
      </c>
      <c r="J539" s="30" t="s">
        <v>309</v>
      </c>
      <c r="K539" s="30">
        <v>18</v>
      </c>
      <c r="L539" s="30" t="s">
        <v>1958</v>
      </c>
      <c r="M539" s="30" t="str">
        <f t="shared" si="8"/>
        <v>214408</v>
      </c>
      <c r="N539" s="30">
        <v>1</v>
      </c>
    </row>
    <row r="540" spans="1:14" x14ac:dyDescent="0.25">
      <c r="A540" s="35" t="s">
        <v>331</v>
      </c>
      <c r="B540" s="35" t="s">
        <v>1543</v>
      </c>
      <c r="C540" s="35" t="s">
        <v>4286</v>
      </c>
      <c r="D540" s="30" t="s">
        <v>4255</v>
      </c>
      <c r="E540" s="30" t="s">
        <v>192</v>
      </c>
      <c r="F540" s="30">
        <v>1</v>
      </c>
      <c r="G540" s="30" t="s">
        <v>193</v>
      </c>
      <c r="H540" s="30" t="s">
        <v>194</v>
      </c>
      <c r="I540" s="30" t="s">
        <v>4056</v>
      </c>
      <c r="J540" s="30" t="s">
        <v>309</v>
      </c>
      <c r="K540" s="30">
        <v>18</v>
      </c>
      <c r="L540" s="30" t="s">
        <v>4287</v>
      </c>
      <c r="M540" s="30" t="str">
        <f t="shared" si="8"/>
        <v>312207</v>
      </c>
      <c r="N540" s="30">
        <v>1</v>
      </c>
    </row>
    <row r="541" spans="1:14" x14ac:dyDescent="0.25">
      <c r="A541" s="35" t="s">
        <v>331</v>
      </c>
      <c r="B541" s="35" t="s">
        <v>4288</v>
      </c>
      <c r="C541" s="35" t="s">
        <v>1957</v>
      </c>
      <c r="D541" s="30" t="s">
        <v>4255</v>
      </c>
      <c r="E541" s="30" t="s">
        <v>192</v>
      </c>
      <c r="F541" s="30">
        <v>1</v>
      </c>
      <c r="G541" s="30" t="s">
        <v>193</v>
      </c>
      <c r="H541" s="30" t="s">
        <v>194</v>
      </c>
      <c r="I541" s="30" t="s">
        <v>4056</v>
      </c>
      <c r="J541" s="30" t="s">
        <v>309</v>
      </c>
      <c r="K541" s="30">
        <v>18</v>
      </c>
      <c r="L541" s="30" t="s">
        <v>1958</v>
      </c>
      <c r="M541" s="30" t="str">
        <f t="shared" si="8"/>
        <v>214408</v>
      </c>
      <c r="N541" s="30">
        <v>1</v>
      </c>
    </row>
    <row r="542" spans="1:14" x14ac:dyDescent="0.25">
      <c r="A542" s="35" t="s">
        <v>331</v>
      </c>
      <c r="B542" s="35" t="s">
        <v>1760</v>
      </c>
      <c r="C542" s="35" t="s">
        <v>122</v>
      </c>
      <c r="D542" s="30" t="s">
        <v>4255</v>
      </c>
      <c r="E542" s="30" t="s">
        <v>192</v>
      </c>
      <c r="F542" s="30">
        <v>1</v>
      </c>
      <c r="G542" s="30" t="s">
        <v>193</v>
      </c>
      <c r="H542" s="30" t="s">
        <v>194</v>
      </c>
      <c r="I542" s="30" t="s">
        <v>4056</v>
      </c>
      <c r="J542" s="30" t="s">
        <v>309</v>
      </c>
      <c r="K542" s="30">
        <v>18</v>
      </c>
      <c r="L542" s="30" t="s">
        <v>655</v>
      </c>
      <c r="M542" s="30" t="str">
        <f t="shared" si="8"/>
        <v>332301</v>
      </c>
      <c r="N542" s="30">
        <v>1</v>
      </c>
    </row>
    <row r="543" spans="1:14" x14ac:dyDescent="0.25">
      <c r="A543" s="35" t="s">
        <v>331</v>
      </c>
      <c r="B543" s="35" t="s">
        <v>4289</v>
      </c>
      <c r="C543" s="35" t="s">
        <v>4290</v>
      </c>
      <c r="D543" s="30" t="s">
        <v>4255</v>
      </c>
      <c r="E543" s="30" t="s">
        <v>192</v>
      </c>
      <c r="F543" s="30">
        <v>1</v>
      </c>
      <c r="G543" s="30" t="s">
        <v>193</v>
      </c>
      <c r="H543" s="30" t="s">
        <v>194</v>
      </c>
      <c r="I543" s="30" t="s">
        <v>4056</v>
      </c>
      <c r="J543" s="30" t="s">
        <v>309</v>
      </c>
      <c r="K543" s="30">
        <v>18</v>
      </c>
      <c r="L543" s="30" t="s">
        <v>4291</v>
      </c>
      <c r="M543" s="30" t="str">
        <f t="shared" si="8"/>
        <v>214411</v>
      </c>
      <c r="N543" s="30">
        <v>1</v>
      </c>
    </row>
    <row r="544" spans="1:14" x14ac:dyDescent="0.25">
      <c r="A544" s="35" t="s">
        <v>4292</v>
      </c>
      <c r="B544" s="35" t="s">
        <v>4293</v>
      </c>
      <c r="C544" s="35" t="s">
        <v>4293</v>
      </c>
      <c r="D544" s="30" t="s">
        <v>4255</v>
      </c>
      <c r="E544" s="30" t="s">
        <v>252</v>
      </c>
      <c r="F544" s="84">
        <v>0</v>
      </c>
      <c r="G544" s="84" t="s">
        <v>194</v>
      </c>
      <c r="H544" s="30" t="s">
        <v>193</v>
      </c>
      <c r="I544" s="30" t="s">
        <v>4056</v>
      </c>
      <c r="J544" s="30" t="s">
        <v>4294</v>
      </c>
      <c r="K544" s="30">
        <v>18</v>
      </c>
      <c r="L544" s="30" t="s">
        <v>4295</v>
      </c>
      <c r="M544" s="30" t="str">
        <f t="shared" si="8"/>
        <v>834317</v>
      </c>
      <c r="N544" s="84">
        <v>1</v>
      </c>
    </row>
    <row r="545" spans="1:14" x14ac:dyDescent="0.25">
      <c r="A545" s="35" t="s">
        <v>2259</v>
      </c>
      <c r="B545" s="35" t="s">
        <v>3792</v>
      </c>
      <c r="C545" s="35" t="s">
        <v>2993</v>
      </c>
      <c r="D545" s="30" t="s">
        <v>4255</v>
      </c>
      <c r="E545" s="30" t="s">
        <v>233</v>
      </c>
      <c r="F545" s="30">
        <v>1</v>
      </c>
      <c r="G545" s="30" t="s">
        <v>193</v>
      </c>
      <c r="H545" s="30" t="s">
        <v>194</v>
      </c>
      <c r="I545" s="30" t="s">
        <v>4056</v>
      </c>
      <c r="J545" s="30" t="s">
        <v>210</v>
      </c>
      <c r="K545" s="30">
        <v>18</v>
      </c>
      <c r="L545" s="30" t="s">
        <v>3793</v>
      </c>
      <c r="M545" s="30" t="str">
        <f t="shared" si="8"/>
        <v>251904</v>
      </c>
      <c r="N545" s="30">
        <v>1</v>
      </c>
    </row>
    <row r="546" spans="1:14" x14ac:dyDescent="0.25">
      <c r="A546" s="35" t="s">
        <v>4050</v>
      </c>
      <c r="B546" s="35" t="s">
        <v>4296</v>
      </c>
      <c r="C546" s="35" t="s">
        <v>3865</v>
      </c>
      <c r="D546" s="30" t="s">
        <v>4255</v>
      </c>
      <c r="E546" s="30" t="s">
        <v>233</v>
      </c>
      <c r="F546" s="30">
        <v>1</v>
      </c>
      <c r="G546" s="30" t="s">
        <v>193</v>
      </c>
      <c r="H546" s="30" t="s">
        <v>194</v>
      </c>
      <c r="I546" s="30" t="s">
        <v>4056</v>
      </c>
      <c r="J546" s="30" t="s">
        <v>385</v>
      </c>
      <c r="K546" s="30">
        <v>18</v>
      </c>
      <c r="L546" s="30" t="s">
        <v>3866</v>
      </c>
      <c r="M546" s="30" t="str">
        <f t="shared" si="8"/>
        <v>212004</v>
      </c>
      <c r="N546" s="30">
        <v>1</v>
      </c>
    </row>
    <row r="547" spans="1:14" x14ac:dyDescent="0.25">
      <c r="A547" s="35" t="s">
        <v>4297</v>
      </c>
      <c r="B547" s="35" t="s">
        <v>4298</v>
      </c>
      <c r="C547" s="35" t="s">
        <v>121</v>
      </c>
      <c r="D547" s="30" t="s">
        <v>4255</v>
      </c>
      <c r="E547" s="30" t="s">
        <v>192</v>
      </c>
      <c r="F547" s="30">
        <v>1</v>
      </c>
      <c r="G547" s="30" t="s">
        <v>193</v>
      </c>
      <c r="H547" s="30" t="s">
        <v>194</v>
      </c>
      <c r="I547" s="30" t="s">
        <v>4056</v>
      </c>
      <c r="J547" s="30" t="s">
        <v>210</v>
      </c>
      <c r="K547" s="30">
        <v>18</v>
      </c>
      <c r="L547" s="30" t="s">
        <v>994</v>
      </c>
      <c r="M547" s="30" t="str">
        <f t="shared" si="8"/>
        <v>214102</v>
      </c>
      <c r="N547" s="30">
        <v>1</v>
      </c>
    </row>
    <row r="548" spans="1:14" x14ac:dyDescent="0.25">
      <c r="A548" s="35" t="s">
        <v>2294</v>
      </c>
      <c r="B548" s="35" t="s">
        <v>2295</v>
      </c>
      <c r="C548" s="35" t="s">
        <v>48</v>
      </c>
      <c r="D548" s="30" t="s">
        <v>4299</v>
      </c>
      <c r="E548" s="30" t="s">
        <v>192</v>
      </c>
      <c r="F548" s="30">
        <v>1</v>
      </c>
      <c r="G548" s="30" t="s">
        <v>193</v>
      </c>
      <c r="H548" s="30" t="s">
        <v>194</v>
      </c>
      <c r="I548" s="30" t="s">
        <v>4056</v>
      </c>
      <c r="J548" s="30" t="s">
        <v>276</v>
      </c>
      <c r="K548" s="30">
        <v>18</v>
      </c>
      <c r="L548" s="30" t="s">
        <v>2296</v>
      </c>
      <c r="M548" s="30" t="str">
        <f t="shared" si="8"/>
        <v>321401</v>
      </c>
      <c r="N548" s="30">
        <v>1</v>
      </c>
    </row>
    <row r="549" spans="1:14" x14ac:dyDescent="0.25">
      <c r="A549" s="35" t="s">
        <v>1376</v>
      </c>
      <c r="B549" s="35" t="s">
        <v>4226</v>
      </c>
      <c r="C549" s="35" t="s">
        <v>36</v>
      </c>
      <c r="D549" s="30" t="s">
        <v>4299</v>
      </c>
      <c r="E549" s="30" t="s">
        <v>192</v>
      </c>
      <c r="F549" s="30">
        <v>1</v>
      </c>
      <c r="G549" s="30" t="s">
        <v>193</v>
      </c>
      <c r="H549" s="30" t="s">
        <v>194</v>
      </c>
      <c r="I549" s="30" t="s">
        <v>4056</v>
      </c>
      <c r="J549" s="30" t="s">
        <v>253</v>
      </c>
      <c r="K549" s="30">
        <v>18</v>
      </c>
      <c r="L549" s="30" t="s">
        <v>609</v>
      </c>
      <c r="M549" s="30" t="str">
        <f t="shared" si="8"/>
        <v>331301</v>
      </c>
      <c r="N549" s="30">
        <v>1</v>
      </c>
    </row>
    <row r="550" spans="1:14" x14ac:dyDescent="0.25">
      <c r="A550" s="35" t="s">
        <v>1376</v>
      </c>
      <c r="B550" s="35" t="s">
        <v>1378</v>
      </c>
      <c r="C550" s="35" t="s">
        <v>1379</v>
      </c>
      <c r="D550" s="30" t="s">
        <v>4299</v>
      </c>
      <c r="E550" s="30" t="s">
        <v>233</v>
      </c>
      <c r="F550" s="30">
        <v>1</v>
      </c>
      <c r="G550" s="30" t="s">
        <v>193</v>
      </c>
      <c r="H550" s="30" t="s">
        <v>194</v>
      </c>
      <c r="I550" s="30" t="s">
        <v>4056</v>
      </c>
      <c r="J550" s="30" t="s">
        <v>976</v>
      </c>
      <c r="K550" s="30">
        <v>18</v>
      </c>
      <c r="L550" s="30" t="s">
        <v>1380</v>
      </c>
      <c r="M550" s="30" t="str">
        <f t="shared" si="8"/>
        <v>713201</v>
      </c>
      <c r="N550" s="30">
        <v>1</v>
      </c>
    </row>
    <row r="551" spans="1:14" x14ac:dyDescent="0.25">
      <c r="A551" s="35" t="s">
        <v>1376</v>
      </c>
      <c r="B551" s="35" t="s">
        <v>4231</v>
      </c>
      <c r="C551" s="35" t="s">
        <v>345</v>
      </c>
      <c r="D551" s="30" t="s">
        <v>4299</v>
      </c>
      <c r="E551" s="30" t="s">
        <v>233</v>
      </c>
      <c r="F551" s="30">
        <v>1</v>
      </c>
      <c r="G551" s="30" t="s">
        <v>193</v>
      </c>
      <c r="H551" s="30" t="s">
        <v>194</v>
      </c>
      <c r="I551" s="30" t="s">
        <v>4056</v>
      </c>
      <c r="J551" s="30" t="s">
        <v>253</v>
      </c>
      <c r="K551" s="30">
        <v>18</v>
      </c>
      <c r="L551" s="30" t="s">
        <v>346</v>
      </c>
      <c r="M551" s="30" t="str">
        <f t="shared" si="8"/>
        <v>214931</v>
      </c>
      <c r="N551" s="30">
        <v>1</v>
      </c>
    </row>
    <row r="552" spans="1:14" x14ac:dyDescent="0.25">
      <c r="A552" s="35" t="s">
        <v>1376</v>
      </c>
      <c r="B552" s="35" t="s">
        <v>647</v>
      </c>
      <c r="C552" s="35" t="s">
        <v>17</v>
      </c>
      <c r="D552" s="30" t="s">
        <v>4299</v>
      </c>
      <c r="E552" s="30" t="s">
        <v>233</v>
      </c>
      <c r="F552" s="30">
        <v>1</v>
      </c>
      <c r="G552" s="30" t="s">
        <v>193</v>
      </c>
      <c r="H552" s="30" t="s">
        <v>194</v>
      </c>
      <c r="I552" s="30" t="s">
        <v>4056</v>
      </c>
      <c r="J552" s="30" t="s">
        <v>223</v>
      </c>
      <c r="K552" s="30">
        <v>18</v>
      </c>
      <c r="L552" s="30" t="s">
        <v>624</v>
      </c>
      <c r="M552" s="30" t="str">
        <f t="shared" si="8"/>
        <v>332203</v>
      </c>
      <c r="N552" s="30">
        <v>1</v>
      </c>
    </row>
    <row r="553" spans="1:14" x14ac:dyDescent="0.25">
      <c r="A553" s="35" t="s">
        <v>712</v>
      </c>
      <c r="B553" s="35" t="s">
        <v>8</v>
      </c>
      <c r="C553" s="35" t="s">
        <v>740</v>
      </c>
      <c r="D553" s="30" t="s">
        <v>4299</v>
      </c>
      <c r="E553" s="30" t="s">
        <v>192</v>
      </c>
      <c r="F553" s="30">
        <v>1</v>
      </c>
      <c r="G553" s="30" t="s">
        <v>193</v>
      </c>
      <c r="H553" s="30" t="s">
        <v>194</v>
      </c>
      <c r="I553" s="30" t="s">
        <v>4056</v>
      </c>
      <c r="J553" s="30" t="s">
        <v>316</v>
      </c>
      <c r="K553" s="30">
        <v>18</v>
      </c>
      <c r="L553" s="30" t="s">
        <v>741</v>
      </c>
      <c r="M553" s="30" t="str">
        <f t="shared" si="8"/>
        <v>522301</v>
      </c>
      <c r="N553" s="30">
        <v>1</v>
      </c>
    </row>
    <row r="554" spans="1:14" x14ac:dyDescent="0.25">
      <c r="A554" s="35" t="s">
        <v>1857</v>
      </c>
      <c r="B554" s="35" t="s">
        <v>1858</v>
      </c>
      <c r="C554" s="35" t="s">
        <v>14</v>
      </c>
      <c r="D554" s="30" t="s">
        <v>4299</v>
      </c>
      <c r="E554" s="30" t="s">
        <v>217</v>
      </c>
      <c r="F554" s="30">
        <v>1</v>
      </c>
      <c r="G554" s="30" t="s">
        <v>193</v>
      </c>
      <c r="H554" s="30" t="s">
        <v>194</v>
      </c>
      <c r="I554" s="30" t="s">
        <v>4056</v>
      </c>
      <c r="J554" s="30" t="s">
        <v>210</v>
      </c>
      <c r="K554" s="30">
        <v>18</v>
      </c>
      <c r="L554" s="30" t="s">
        <v>1859</v>
      </c>
      <c r="M554" s="30" t="str">
        <f t="shared" si="8"/>
        <v>264201</v>
      </c>
      <c r="N554" s="30">
        <v>1</v>
      </c>
    </row>
    <row r="555" spans="1:14" x14ac:dyDescent="0.25">
      <c r="A555" s="35" t="s">
        <v>3630</v>
      </c>
      <c r="B555" s="35" t="s">
        <v>4300</v>
      </c>
      <c r="C555" s="35" t="s">
        <v>67</v>
      </c>
      <c r="D555" s="30" t="s">
        <v>4299</v>
      </c>
      <c r="E555" s="30" t="s">
        <v>192</v>
      </c>
      <c r="F555" s="30">
        <v>1</v>
      </c>
      <c r="G555" s="30" t="s">
        <v>193</v>
      </c>
      <c r="H555" s="30" t="s">
        <v>194</v>
      </c>
      <c r="I555" s="30" t="s">
        <v>4056</v>
      </c>
      <c r="J555" s="30" t="s">
        <v>210</v>
      </c>
      <c r="K555" s="30">
        <v>18</v>
      </c>
      <c r="L555" s="30" t="s">
        <v>709</v>
      </c>
      <c r="M555" s="30" t="str">
        <f t="shared" si="8"/>
        <v>432103</v>
      </c>
      <c r="N555" s="30">
        <v>1</v>
      </c>
    </row>
    <row r="556" spans="1:14" x14ac:dyDescent="0.25">
      <c r="A556" s="35" t="s">
        <v>4301</v>
      </c>
      <c r="B556" s="35" t="s">
        <v>778</v>
      </c>
      <c r="C556" s="35" t="s">
        <v>778</v>
      </c>
      <c r="D556" s="30" t="s">
        <v>4299</v>
      </c>
      <c r="E556" s="30" t="s">
        <v>233</v>
      </c>
      <c r="F556" s="30">
        <v>1</v>
      </c>
      <c r="G556" s="30" t="s">
        <v>193</v>
      </c>
      <c r="H556" s="30" t="s">
        <v>194</v>
      </c>
      <c r="I556" s="30" t="s">
        <v>4056</v>
      </c>
      <c r="J556" s="30" t="s">
        <v>4302</v>
      </c>
      <c r="K556" s="30">
        <v>18</v>
      </c>
      <c r="L556" s="30" t="s">
        <v>779</v>
      </c>
      <c r="M556" s="30" t="str">
        <f t="shared" si="8"/>
        <v>524902</v>
      </c>
      <c r="N556" s="30">
        <v>1</v>
      </c>
    </row>
    <row r="557" spans="1:14" x14ac:dyDescent="0.25">
      <c r="A557" s="35" t="s">
        <v>1126</v>
      </c>
      <c r="B557" s="35" t="s">
        <v>1377</v>
      </c>
      <c r="C557" s="35" t="s">
        <v>583</v>
      </c>
      <c r="D557" s="30" t="s">
        <v>4299</v>
      </c>
      <c r="E557" s="30" t="s">
        <v>217</v>
      </c>
      <c r="F557" s="30">
        <v>1</v>
      </c>
      <c r="G557" s="30" t="s">
        <v>193</v>
      </c>
      <c r="H557" s="30" t="s">
        <v>194</v>
      </c>
      <c r="I557" s="30" t="s">
        <v>4056</v>
      </c>
      <c r="J557" s="30" t="s">
        <v>976</v>
      </c>
      <c r="K557" s="30">
        <v>18</v>
      </c>
      <c r="L557" s="30" t="s">
        <v>584</v>
      </c>
      <c r="M557" s="30" t="str">
        <f t="shared" si="8"/>
        <v>311937</v>
      </c>
      <c r="N557" s="30">
        <v>1</v>
      </c>
    </row>
    <row r="558" spans="1:14" x14ac:dyDescent="0.25">
      <c r="A558" s="35" t="s">
        <v>1154</v>
      </c>
      <c r="B558" s="35" t="s">
        <v>632</v>
      </c>
      <c r="C558" s="35" t="s">
        <v>17</v>
      </c>
      <c r="D558" s="30" t="s">
        <v>4299</v>
      </c>
      <c r="E558" s="30" t="s">
        <v>252</v>
      </c>
      <c r="F558" s="30">
        <v>1</v>
      </c>
      <c r="G558" s="30" t="s">
        <v>193</v>
      </c>
      <c r="H558" s="30" t="s">
        <v>194</v>
      </c>
      <c r="I558" s="30" t="s">
        <v>4056</v>
      </c>
      <c r="J558" s="30" t="s">
        <v>1156</v>
      </c>
      <c r="K558" s="30">
        <v>18</v>
      </c>
      <c r="L558" s="30" t="s">
        <v>624</v>
      </c>
      <c r="M558" s="30" t="str">
        <f t="shared" si="8"/>
        <v>332203</v>
      </c>
      <c r="N558" s="30">
        <v>1</v>
      </c>
    </row>
    <row r="559" spans="1:14" x14ac:dyDescent="0.25">
      <c r="A559" s="35" t="s">
        <v>493</v>
      </c>
      <c r="B559" s="35" t="s">
        <v>4303</v>
      </c>
      <c r="C559" s="35" t="s">
        <v>4304</v>
      </c>
      <c r="D559" s="30" t="s">
        <v>4299</v>
      </c>
      <c r="E559" s="30" t="s">
        <v>192</v>
      </c>
      <c r="F559" s="30">
        <v>1</v>
      </c>
      <c r="G559" s="30" t="s">
        <v>193</v>
      </c>
      <c r="H559" s="30" t="s">
        <v>194</v>
      </c>
      <c r="I559" s="30" t="s">
        <v>4199</v>
      </c>
      <c r="J559" s="30" t="s">
        <v>210</v>
      </c>
      <c r="K559" s="30">
        <v>18</v>
      </c>
      <c r="L559" s="30" t="s">
        <v>4305</v>
      </c>
      <c r="M559" s="30" t="str">
        <f t="shared" si="8"/>
        <v>311890</v>
      </c>
      <c r="N559" s="30">
        <v>1</v>
      </c>
    </row>
    <row r="560" spans="1:14" x14ac:dyDescent="0.25">
      <c r="A560" s="35" t="s">
        <v>2972</v>
      </c>
      <c r="B560" s="35" t="s">
        <v>984</v>
      </c>
      <c r="C560" s="35" t="s">
        <v>1702</v>
      </c>
      <c r="D560" s="30" t="s">
        <v>4299</v>
      </c>
      <c r="E560" s="30" t="s">
        <v>192</v>
      </c>
      <c r="F560" s="30">
        <v>1</v>
      </c>
      <c r="G560" s="30" t="s">
        <v>193</v>
      </c>
      <c r="H560" s="30" t="s">
        <v>194</v>
      </c>
      <c r="I560" s="30" t="s">
        <v>4199</v>
      </c>
      <c r="J560" s="30" t="s">
        <v>316</v>
      </c>
      <c r="K560" s="30">
        <v>18</v>
      </c>
      <c r="L560" s="30" t="s">
        <v>1703</v>
      </c>
      <c r="M560" s="30" t="str">
        <f t="shared" si="8"/>
        <v>242303</v>
      </c>
      <c r="N560" s="30">
        <v>1</v>
      </c>
    </row>
    <row r="561" spans="1:14" x14ac:dyDescent="0.25">
      <c r="A561" s="35" t="s">
        <v>3927</v>
      </c>
      <c r="B561" s="35" t="s">
        <v>67</v>
      </c>
      <c r="C561" s="35" t="s">
        <v>67</v>
      </c>
      <c r="D561" s="30" t="s">
        <v>4299</v>
      </c>
      <c r="E561" s="30" t="s">
        <v>192</v>
      </c>
      <c r="F561" s="30">
        <v>1</v>
      </c>
      <c r="G561" s="30" t="s">
        <v>193</v>
      </c>
      <c r="H561" s="30" t="s">
        <v>194</v>
      </c>
      <c r="I561" s="30" t="s">
        <v>4201</v>
      </c>
      <c r="J561" s="30" t="s">
        <v>301</v>
      </c>
      <c r="K561" s="30">
        <v>18</v>
      </c>
      <c r="L561" s="30" t="s">
        <v>709</v>
      </c>
      <c r="M561" s="30" t="str">
        <f t="shared" si="8"/>
        <v>432103</v>
      </c>
      <c r="N561" s="30">
        <v>1</v>
      </c>
    </row>
    <row r="562" spans="1:14" x14ac:dyDescent="0.25">
      <c r="A562" s="35" t="s">
        <v>4306</v>
      </c>
      <c r="B562" s="35" t="s">
        <v>313</v>
      </c>
      <c r="C562" s="35" t="s">
        <v>345</v>
      </c>
      <c r="D562" s="30" t="s">
        <v>4299</v>
      </c>
      <c r="E562" s="30" t="s">
        <v>192</v>
      </c>
      <c r="F562" s="30">
        <v>1</v>
      </c>
      <c r="G562" s="30" t="s">
        <v>193</v>
      </c>
      <c r="H562" s="30" t="s">
        <v>194</v>
      </c>
      <c r="I562" s="30" t="s">
        <v>4199</v>
      </c>
      <c r="J562" s="30" t="s">
        <v>267</v>
      </c>
      <c r="K562" s="30">
        <v>18</v>
      </c>
      <c r="L562" s="30" t="s">
        <v>346</v>
      </c>
      <c r="M562" s="30" t="str">
        <f t="shared" si="8"/>
        <v>214931</v>
      </c>
      <c r="N562" s="30">
        <v>1</v>
      </c>
    </row>
    <row r="563" spans="1:14" x14ac:dyDescent="0.25">
      <c r="A563" s="35" t="s">
        <v>4307</v>
      </c>
      <c r="B563" s="35" t="s">
        <v>4308</v>
      </c>
      <c r="C563" s="35" t="s">
        <v>420</v>
      </c>
      <c r="D563" s="30" t="s">
        <v>4299</v>
      </c>
      <c r="E563" s="30" t="s">
        <v>192</v>
      </c>
      <c r="F563" s="30">
        <v>1</v>
      </c>
      <c r="G563" s="30" t="s">
        <v>193</v>
      </c>
      <c r="H563" s="30" t="s">
        <v>194</v>
      </c>
      <c r="I563" s="30" t="s">
        <v>4201</v>
      </c>
      <c r="J563" s="30" t="s">
        <v>253</v>
      </c>
      <c r="K563" s="30">
        <v>18</v>
      </c>
      <c r="L563" s="30" t="s">
        <v>421</v>
      </c>
      <c r="M563" s="30" t="str">
        <f t="shared" si="8"/>
        <v>241306</v>
      </c>
      <c r="N563" s="30">
        <v>1</v>
      </c>
    </row>
    <row r="564" spans="1:14" x14ac:dyDescent="0.25">
      <c r="A564" s="35" t="s">
        <v>4252</v>
      </c>
      <c r="B564" s="35" t="s">
        <v>4309</v>
      </c>
      <c r="C564" s="35" t="s">
        <v>115</v>
      </c>
      <c r="D564" s="30" t="s">
        <v>4299</v>
      </c>
      <c r="E564" s="30" t="s">
        <v>192</v>
      </c>
      <c r="F564" s="30">
        <v>1</v>
      </c>
      <c r="G564" s="30" t="s">
        <v>193</v>
      </c>
      <c r="H564" s="30" t="s">
        <v>194</v>
      </c>
      <c r="I564" s="30" t="s">
        <v>4056</v>
      </c>
      <c r="J564" s="30" t="s">
        <v>210</v>
      </c>
      <c r="K564" s="30">
        <v>18</v>
      </c>
      <c r="L564" s="30" t="s">
        <v>1183</v>
      </c>
      <c r="M564" s="30" t="str">
        <f t="shared" si="8"/>
        <v>311909</v>
      </c>
      <c r="N564" s="30">
        <v>1</v>
      </c>
    </row>
    <row r="565" spans="1:14" x14ac:dyDescent="0.25">
      <c r="F565" s="301">
        <f>SUM(F2:F564)</f>
        <v>523</v>
      </c>
      <c r="G565" s="76"/>
    </row>
  </sheetData>
  <autoFilter ref="A1:P565"/>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Q474"/>
  <sheetViews>
    <sheetView zoomScale="80" zoomScaleNormal="80" workbookViewId="0"/>
  </sheetViews>
  <sheetFormatPr defaultRowHeight="15" x14ac:dyDescent="0.25"/>
  <cols>
    <col min="1" max="1" width="76.5703125" customWidth="1"/>
    <col min="3" max="3" width="42.5703125" customWidth="1"/>
    <col min="4" max="4" width="13.5703125" customWidth="1"/>
    <col min="6" max="6" width="9.140625" style="28"/>
    <col min="8" max="8" width="9.140625" style="83"/>
    <col min="9" max="9" width="14.7109375" customWidth="1"/>
    <col min="12" max="12" width="17.42578125" customWidth="1"/>
    <col min="13" max="13" width="11.85546875" style="28" customWidth="1"/>
  </cols>
  <sheetData>
    <row r="1" spans="1:17" s="25" customFormat="1" x14ac:dyDescent="0.25">
      <c r="A1" s="25" t="s">
        <v>176</v>
      </c>
      <c r="B1" s="25" t="s">
        <v>177</v>
      </c>
      <c r="C1" s="25" t="s">
        <v>178</v>
      </c>
      <c r="D1" s="25" t="s">
        <v>179</v>
      </c>
      <c r="E1" s="25" t="s">
        <v>180</v>
      </c>
      <c r="F1" s="27" t="s">
        <v>181</v>
      </c>
      <c r="G1" s="25" t="s">
        <v>182</v>
      </c>
      <c r="H1" s="78" t="s">
        <v>183</v>
      </c>
      <c r="I1" s="25" t="s">
        <v>184</v>
      </c>
      <c r="J1" s="25" t="s">
        <v>185</v>
      </c>
      <c r="K1" s="25" t="s">
        <v>186</v>
      </c>
      <c r="L1" s="25" t="s">
        <v>187</v>
      </c>
      <c r="M1" s="27"/>
    </row>
    <row r="2" spans="1:17" x14ac:dyDescent="0.25">
      <c r="A2" s="23" t="s">
        <v>1154</v>
      </c>
      <c r="B2" s="23" t="s">
        <v>1159</v>
      </c>
      <c r="C2" s="14" t="s">
        <v>798</v>
      </c>
      <c r="D2" s="23" t="s">
        <v>1116</v>
      </c>
      <c r="E2" s="23" t="s">
        <v>252</v>
      </c>
      <c r="F2" s="30">
        <v>1</v>
      </c>
      <c r="G2" s="23" t="s">
        <v>193</v>
      </c>
      <c r="H2" s="79" t="s">
        <v>194</v>
      </c>
      <c r="I2" s="23" t="s">
        <v>1077</v>
      </c>
      <c r="J2" s="23" t="s">
        <v>1160</v>
      </c>
      <c r="K2" s="23">
        <v>18</v>
      </c>
      <c r="L2" s="87" t="s">
        <v>799</v>
      </c>
      <c r="M2" s="30" t="str">
        <f>MID(L2,8,6)</f>
        <v>722204</v>
      </c>
    </row>
    <row r="3" spans="1:17" x14ac:dyDescent="0.25">
      <c r="A3" s="23" t="s">
        <v>3292</v>
      </c>
      <c r="B3" s="23" t="s">
        <v>3293</v>
      </c>
      <c r="C3" s="57" t="s">
        <v>3293</v>
      </c>
      <c r="D3" s="23" t="s">
        <v>3294</v>
      </c>
      <c r="E3" s="23" t="s">
        <v>192</v>
      </c>
      <c r="F3" s="30">
        <v>1</v>
      </c>
      <c r="G3" s="23" t="s">
        <v>193</v>
      </c>
      <c r="H3" s="79" t="s">
        <v>194</v>
      </c>
      <c r="I3" s="23" t="s">
        <v>3295</v>
      </c>
      <c r="J3" s="23" t="s">
        <v>267</v>
      </c>
      <c r="K3" s="23">
        <v>18</v>
      </c>
      <c r="L3" s="23" t="s">
        <v>3296</v>
      </c>
      <c r="M3" s="30" t="str">
        <f t="shared" ref="M3:M66" si="0">MID(L3,8,6)</f>
        <v>333403</v>
      </c>
      <c r="O3" s="24"/>
      <c r="P3" t="s">
        <v>3297</v>
      </c>
    </row>
    <row r="4" spans="1:17" x14ac:dyDescent="0.25">
      <c r="A4" s="23" t="s">
        <v>1184</v>
      </c>
      <c r="B4" s="23" t="s">
        <v>1185</v>
      </c>
      <c r="C4" s="58" t="s">
        <v>46</v>
      </c>
      <c r="D4" s="23" t="s">
        <v>1116</v>
      </c>
      <c r="E4" s="23" t="s">
        <v>233</v>
      </c>
      <c r="F4" s="30">
        <v>1</v>
      </c>
      <c r="G4" s="23" t="s">
        <v>193</v>
      </c>
      <c r="H4" s="79" t="s">
        <v>194</v>
      </c>
      <c r="I4" s="23" t="s">
        <v>1077</v>
      </c>
      <c r="J4" s="23" t="s">
        <v>210</v>
      </c>
      <c r="K4" s="23">
        <v>18</v>
      </c>
      <c r="L4" s="23" t="s">
        <v>510</v>
      </c>
      <c r="M4" s="30" t="str">
        <f t="shared" si="0"/>
        <v>252201</v>
      </c>
      <c r="O4" s="59"/>
      <c r="P4" t="s">
        <v>3298</v>
      </c>
      <c r="Q4" t="s">
        <v>3299</v>
      </c>
    </row>
    <row r="5" spans="1:17" x14ac:dyDescent="0.25">
      <c r="A5" s="23" t="s">
        <v>1532</v>
      </c>
      <c r="B5" s="23" t="s">
        <v>1533</v>
      </c>
      <c r="C5" s="58" t="s">
        <v>46</v>
      </c>
      <c r="D5" s="23" t="s">
        <v>1374</v>
      </c>
      <c r="E5" s="23" t="s">
        <v>192</v>
      </c>
      <c r="F5" s="30">
        <v>1</v>
      </c>
      <c r="G5" s="23" t="s">
        <v>193</v>
      </c>
      <c r="H5" s="79" t="s">
        <v>194</v>
      </c>
      <c r="I5" s="23" t="s">
        <v>1197</v>
      </c>
      <c r="J5" s="23" t="s">
        <v>210</v>
      </c>
      <c r="K5" s="23">
        <v>18</v>
      </c>
      <c r="L5" s="23" t="s">
        <v>510</v>
      </c>
      <c r="M5" s="30" t="str">
        <f t="shared" si="0"/>
        <v>252201</v>
      </c>
      <c r="P5" t="s">
        <v>3300</v>
      </c>
    </row>
    <row r="6" spans="1:17" x14ac:dyDescent="0.25">
      <c r="A6" s="23" t="s">
        <v>3301</v>
      </c>
      <c r="B6" s="23" t="s">
        <v>3302</v>
      </c>
      <c r="C6" s="57" t="s">
        <v>50</v>
      </c>
      <c r="D6" s="23" t="s">
        <v>3303</v>
      </c>
      <c r="E6" s="23" t="s">
        <v>233</v>
      </c>
      <c r="F6" s="30">
        <v>1</v>
      </c>
      <c r="G6" s="23" t="s">
        <v>193</v>
      </c>
      <c r="H6" s="79" t="s">
        <v>194</v>
      </c>
      <c r="I6" s="23" t="s">
        <v>3304</v>
      </c>
      <c r="J6" s="23" t="s">
        <v>3305</v>
      </c>
      <c r="K6" s="23">
        <v>18</v>
      </c>
      <c r="L6" s="23" t="s">
        <v>906</v>
      </c>
      <c r="M6" s="30" t="str">
        <f t="shared" si="0"/>
        <v>333101</v>
      </c>
      <c r="P6" t="s">
        <v>3306</v>
      </c>
    </row>
    <row r="7" spans="1:17" x14ac:dyDescent="0.25">
      <c r="A7" s="23" t="s">
        <v>3307</v>
      </c>
      <c r="B7" s="23" t="s">
        <v>1760</v>
      </c>
      <c r="C7" s="60" t="s">
        <v>122</v>
      </c>
      <c r="D7" s="23" t="s">
        <v>3308</v>
      </c>
      <c r="E7" s="23" t="s">
        <v>192</v>
      </c>
      <c r="F7" s="30">
        <v>1</v>
      </c>
      <c r="G7" s="23" t="s">
        <v>193</v>
      </c>
      <c r="H7" s="79" t="s">
        <v>194</v>
      </c>
      <c r="I7" s="23" t="s">
        <v>3295</v>
      </c>
      <c r="J7" s="23" t="s">
        <v>210</v>
      </c>
      <c r="K7" s="23">
        <v>18</v>
      </c>
      <c r="L7" s="23" t="s">
        <v>655</v>
      </c>
      <c r="M7" s="30" t="str">
        <f t="shared" si="0"/>
        <v>332301</v>
      </c>
      <c r="O7" s="25"/>
      <c r="P7" t="s">
        <v>3309</v>
      </c>
    </row>
    <row r="8" spans="1:17" s="24" customFormat="1" x14ac:dyDescent="0.25">
      <c r="A8" s="23" t="s">
        <v>1449</v>
      </c>
      <c r="B8" s="23" t="s">
        <v>657</v>
      </c>
      <c r="C8" s="60" t="s">
        <v>122</v>
      </c>
      <c r="D8" s="23" t="s">
        <v>1374</v>
      </c>
      <c r="E8" s="23" t="s">
        <v>217</v>
      </c>
      <c r="F8" s="30">
        <v>1</v>
      </c>
      <c r="G8" s="23" t="s">
        <v>193</v>
      </c>
      <c r="H8" s="79" t="s">
        <v>194</v>
      </c>
      <c r="I8" s="23" t="s">
        <v>1375</v>
      </c>
      <c r="J8" s="23" t="s">
        <v>210</v>
      </c>
      <c r="K8" s="23">
        <v>18</v>
      </c>
      <c r="L8" s="23" t="s">
        <v>655</v>
      </c>
      <c r="M8" s="30" t="str">
        <f t="shared" si="0"/>
        <v>332301</v>
      </c>
      <c r="O8" s="61"/>
      <c r="P8" s="24" t="s">
        <v>3310</v>
      </c>
    </row>
    <row r="9" spans="1:17" x14ac:dyDescent="0.25">
      <c r="A9" s="23" t="s">
        <v>1457</v>
      </c>
      <c r="B9" s="23" t="s">
        <v>657</v>
      </c>
      <c r="C9" s="60" t="s">
        <v>122</v>
      </c>
      <c r="D9" s="23" t="s">
        <v>1374</v>
      </c>
      <c r="E9" s="23" t="s">
        <v>192</v>
      </c>
      <c r="F9" s="30">
        <v>1</v>
      </c>
      <c r="G9" s="23" t="s">
        <v>193</v>
      </c>
      <c r="H9" s="79" t="s">
        <v>194</v>
      </c>
      <c r="I9" s="23" t="s">
        <v>1375</v>
      </c>
      <c r="J9" s="23" t="s">
        <v>210</v>
      </c>
      <c r="K9" s="23">
        <v>18</v>
      </c>
      <c r="L9" s="23" t="s">
        <v>655</v>
      </c>
      <c r="M9" s="30" t="str">
        <f t="shared" si="0"/>
        <v>332301</v>
      </c>
    </row>
    <row r="10" spans="1:17" x14ac:dyDescent="0.25">
      <c r="A10" s="23" t="s">
        <v>1334</v>
      </c>
      <c r="B10" s="23" t="s">
        <v>614</v>
      </c>
      <c r="C10" s="57" t="s">
        <v>111</v>
      </c>
      <c r="D10" s="23" t="s">
        <v>3294</v>
      </c>
      <c r="E10" s="23" t="s">
        <v>252</v>
      </c>
      <c r="F10" s="30">
        <v>1</v>
      </c>
      <c r="G10" s="23" t="s">
        <v>193</v>
      </c>
      <c r="H10" s="79" t="s">
        <v>194</v>
      </c>
      <c r="I10" s="23" t="s">
        <v>3304</v>
      </c>
      <c r="J10" s="23" t="s">
        <v>1336</v>
      </c>
      <c r="K10" s="23">
        <v>18</v>
      </c>
      <c r="L10" s="23" t="s">
        <v>612</v>
      </c>
      <c r="M10" s="30" t="str">
        <f t="shared" si="0"/>
        <v>332101</v>
      </c>
    </row>
    <row r="11" spans="1:17" s="24" customFormat="1" x14ac:dyDescent="0.25">
      <c r="A11" s="23" t="s">
        <v>1334</v>
      </c>
      <c r="B11" s="23" t="s">
        <v>614</v>
      </c>
      <c r="C11" s="57" t="s">
        <v>111</v>
      </c>
      <c r="D11" s="23" t="s">
        <v>3294</v>
      </c>
      <c r="E11" s="23" t="s">
        <v>252</v>
      </c>
      <c r="F11" s="30">
        <v>1</v>
      </c>
      <c r="G11" s="23" t="s">
        <v>193</v>
      </c>
      <c r="H11" s="79" t="s">
        <v>194</v>
      </c>
      <c r="I11" s="23" t="s">
        <v>3304</v>
      </c>
      <c r="J11" s="23" t="s">
        <v>1335</v>
      </c>
      <c r="K11" s="23">
        <v>18</v>
      </c>
      <c r="L11" s="23" t="s">
        <v>612</v>
      </c>
      <c r="M11" s="30" t="str">
        <f t="shared" si="0"/>
        <v>332101</v>
      </c>
    </row>
    <row r="12" spans="1:17" x14ac:dyDescent="0.25">
      <c r="A12" s="23" t="s">
        <v>1102</v>
      </c>
      <c r="B12" s="23" t="s">
        <v>1103</v>
      </c>
      <c r="C12" s="57" t="s">
        <v>111</v>
      </c>
      <c r="D12" s="23" t="s">
        <v>1077</v>
      </c>
      <c r="E12" s="23" t="s">
        <v>192</v>
      </c>
      <c r="F12" s="30">
        <v>1</v>
      </c>
      <c r="G12" s="23" t="s">
        <v>193</v>
      </c>
      <c r="H12" s="79" t="s">
        <v>194</v>
      </c>
      <c r="I12" s="23" t="s">
        <v>1078</v>
      </c>
      <c r="J12" s="23" t="s">
        <v>267</v>
      </c>
      <c r="K12" s="23">
        <v>18</v>
      </c>
      <c r="L12" s="23" t="s">
        <v>612</v>
      </c>
      <c r="M12" s="30" t="str">
        <f t="shared" si="0"/>
        <v>332101</v>
      </c>
    </row>
    <row r="13" spans="1:17" x14ac:dyDescent="0.25">
      <c r="A13" s="23" t="s">
        <v>1111</v>
      </c>
      <c r="B13" s="23" t="s">
        <v>614</v>
      </c>
      <c r="C13" s="57" t="s">
        <v>111</v>
      </c>
      <c r="D13" s="23" t="s">
        <v>1077</v>
      </c>
      <c r="E13" s="23" t="s">
        <v>192</v>
      </c>
      <c r="F13" s="30">
        <v>5</v>
      </c>
      <c r="G13" s="23" t="s">
        <v>193</v>
      </c>
      <c r="H13" s="79" t="s">
        <v>194</v>
      </c>
      <c r="I13" s="23" t="s">
        <v>1078</v>
      </c>
      <c r="J13" s="23" t="s">
        <v>210</v>
      </c>
      <c r="K13" s="23">
        <v>18</v>
      </c>
      <c r="L13" s="23" t="s">
        <v>612</v>
      </c>
      <c r="M13" s="30" t="str">
        <f t="shared" si="0"/>
        <v>332101</v>
      </c>
    </row>
    <row r="14" spans="1:17" x14ac:dyDescent="0.25">
      <c r="A14" s="23" t="s">
        <v>1204</v>
      </c>
      <c r="B14" s="23" t="s">
        <v>1205</v>
      </c>
      <c r="C14" s="57" t="s">
        <v>111</v>
      </c>
      <c r="D14" s="23" t="s">
        <v>1197</v>
      </c>
      <c r="E14" s="23" t="s">
        <v>192</v>
      </c>
      <c r="F14" s="30">
        <v>1</v>
      </c>
      <c r="G14" s="23" t="s">
        <v>193</v>
      </c>
      <c r="H14" s="79" t="s">
        <v>194</v>
      </c>
      <c r="I14" s="23" t="s">
        <v>1077</v>
      </c>
      <c r="J14" s="23" t="s">
        <v>210</v>
      </c>
      <c r="K14" s="23">
        <v>18</v>
      </c>
      <c r="L14" s="23" t="s">
        <v>612</v>
      </c>
      <c r="M14" s="30" t="str">
        <f t="shared" si="0"/>
        <v>332101</v>
      </c>
    </row>
    <row r="15" spans="1:17" x14ac:dyDescent="0.25">
      <c r="A15" s="23" t="s">
        <v>1334</v>
      </c>
      <c r="B15" s="23" t="s">
        <v>614</v>
      </c>
      <c r="C15" s="57" t="s">
        <v>111</v>
      </c>
      <c r="D15" s="23" t="s">
        <v>1197</v>
      </c>
      <c r="E15" s="23" t="s">
        <v>252</v>
      </c>
      <c r="F15" s="30">
        <v>1</v>
      </c>
      <c r="G15" s="23" t="s">
        <v>193</v>
      </c>
      <c r="H15" s="79" t="s">
        <v>194</v>
      </c>
      <c r="I15" s="23" t="s">
        <v>1255</v>
      </c>
      <c r="J15" s="23" t="s">
        <v>1335</v>
      </c>
      <c r="K15" s="23">
        <v>18</v>
      </c>
      <c r="L15" s="23" t="s">
        <v>612</v>
      </c>
      <c r="M15" s="30" t="str">
        <f t="shared" si="0"/>
        <v>332101</v>
      </c>
    </row>
    <row r="16" spans="1:17" x14ac:dyDescent="0.25">
      <c r="A16" s="23" t="s">
        <v>1334</v>
      </c>
      <c r="B16" s="23" t="s">
        <v>614</v>
      </c>
      <c r="C16" s="57" t="s">
        <v>111</v>
      </c>
      <c r="D16" s="23" t="s">
        <v>1197</v>
      </c>
      <c r="E16" s="23" t="s">
        <v>252</v>
      </c>
      <c r="F16" s="30">
        <v>1</v>
      </c>
      <c r="G16" s="23" t="s">
        <v>193</v>
      </c>
      <c r="H16" s="79" t="s">
        <v>194</v>
      </c>
      <c r="I16" s="23" t="s">
        <v>1255</v>
      </c>
      <c r="J16" s="23" t="s">
        <v>1336</v>
      </c>
      <c r="K16" s="23">
        <v>18</v>
      </c>
      <c r="L16" s="23" t="s">
        <v>612</v>
      </c>
      <c r="M16" s="30" t="str">
        <f t="shared" si="0"/>
        <v>332101</v>
      </c>
    </row>
    <row r="17" spans="1:13" x14ac:dyDescent="0.25">
      <c r="A17" s="23" t="s">
        <v>1175</v>
      </c>
      <c r="B17" s="23" t="s">
        <v>1177</v>
      </c>
      <c r="C17" s="23" t="s">
        <v>507</v>
      </c>
      <c r="D17" s="23" t="s">
        <v>1116</v>
      </c>
      <c r="E17" s="23" t="s">
        <v>233</v>
      </c>
      <c r="F17" s="30">
        <v>1</v>
      </c>
      <c r="G17" s="23" t="s">
        <v>193</v>
      </c>
      <c r="H17" s="79" t="s">
        <v>194</v>
      </c>
      <c r="I17" s="23" t="s">
        <v>1077</v>
      </c>
      <c r="J17" s="23" t="s">
        <v>210</v>
      </c>
      <c r="K17" s="23">
        <v>18</v>
      </c>
      <c r="L17" s="23" t="s">
        <v>508</v>
      </c>
      <c r="M17" s="30" t="str">
        <f t="shared" si="0"/>
        <v>252102</v>
      </c>
    </row>
    <row r="18" spans="1:13" x14ac:dyDescent="0.25">
      <c r="A18" s="23" t="s">
        <v>1340</v>
      </c>
      <c r="B18" s="23" t="s">
        <v>1765</v>
      </c>
      <c r="C18" s="23" t="s">
        <v>1766</v>
      </c>
      <c r="D18" s="23" t="s">
        <v>3294</v>
      </c>
      <c r="E18" s="23" t="s">
        <v>192</v>
      </c>
      <c r="F18" s="30">
        <v>1</v>
      </c>
      <c r="G18" s="23" t="s">
        <v>193</v>
      </c>
      <c r="H18" s="79" t="s">
        <v>194</v>
      </c>
      <c r="I18" s="23" t="s">
        <v>3295</v>
      </c>
      <c r="J18" s="23" t="s">
        <v>210</v>
      </c>
      <c r="K18" s="23">
        <v>18</v>
      </c>
      <c r="L18" s="23" t="s">
        <v>1767</v>
      </c>
      <c r="M18" s="30" t="str">
        <f t="shared" si="0"/>
        <v>242112</v>
      </c>
    </row>
    <row r="19" spans="1:13" x14ac:dyDescent="0.25">
      <c r="A19" s="23" t="s">
        <v>540</v>
      </c>
      <c r="B19" s="23" t="s">
        <v>1282</v>
      </c>
      <c r="C19" s="23" t="s">
        <v>420</v>
      </c>
      <c r="D19" s="23" t="s">
        <v>1197</v>
      </c>
      <c r="E19" s="23" t="s">
        <v>252</v>
      </c>
      <c r="F19" s="30">
        <v>1</v>
      </c>
      <c r="G19" s="23" t="s">
        <v>193</v>
      </c>
      <c r="H19" s="79" t="s">
        <v>194</v>
      </c>
      <c r="I19" s="23" t="s">
        <v>1255</v>
      </c>
      <c r="J19" s="23" t="s">
        <v>210</v>
      </c>
      <c r="K19" s="23">
        <v>18</v>
      </c>
      <c r="L19" s="23" t="s">
        <v>421</v>
      </c>
      <c r="M19" s="30" t="str">
        <f t="shared" si="0"/>
        <v>241306</v>
      </c>
    </row>
    <row r="20" spans="1:13" x14ac:dyDescent="0.25">
      <c r="A20" s="23" t="s">
        <v>540</v>
      </c>
      <c r="B20" s="23" t="s">
        <v>1283</v>
      </c>
      <c r="C20" s="23" t="s">
        <v>420</v>
      </c>
      <c r="D20" s="23" t="s">
        <v>1197</v>
      </c>
      <c r="E20" s="23" t="s">
        <v>252</v>
      </c>
      <c r="F20" s="30">
        <v>1</v>
      </c>
      <c r="G20" s="23" t="s">
        <v>193</v>
      </c>
      <c r="H20" s="79" t="s">
        <v>194</v>
      </c>
      <c r="I20" s="23" t="s">
        <v>1255</v>
      </c>
      <c r="J20" s="23" t="s">
        <v>210</v>
      </c>
      <c r="K20" s="23">
        <v>18</v>
      </c>
      <c r="L20" s="23" t="s">
        <v>421</v>
      </c>
      <c r="M20" s="30" t="str">
        <f t="shared" si="0"/>
        <v>241306</v>
      </c>
    </row>
    <row r="21" spans="1:13" x14ac:dyDescent="0.25">
      <c r="A21" s="23" t="s">
        <v>540</v>
      </c>
      <c r="B21" s="23" t="s">
        <v>1284</v>
      </c>
      <c r="C21" s="23" t="s">
        <v>420</v>
      </c>
      <c r="D21" s="23" t="s">
        <v>1197</v>
      </c>
      <c r="E21" s="23" t="s">
        <v>252</v>
      </c>
      <c r="F21" s="30">
        <v>1</v>
      </c>
      <c r="G21" s="23" t="s">
        <v>193</v>
      </c>
      <c r="H21" s="79" t="s">
        <v>194</v>
      </c>
      <c r="I21" s="23" t="s">
        <v>1255</v>
      </c>
      <c r="J21" s="23" t="s">
        <v>210</v>
      </c>
      <c r="K21" s="23">
        <v>18</v>
      </c>
      <c r="L21" s="23" t="s">
        <v>421</v>
      </c>
      <c r="M21" s="30" t="str">
        <f t="shared" si="0"/>
        <v>241306</v>
      </c>
    </row>
    <row r="22" spans="1:13" x14ac:dyDescent="0.25">
      <c r="A22" s="23" t="s">
        <v>540</v>
      </c>
      <c r="B22" s="23" t="s">
        <v>1285</v>
      </c>
      <c r="C22" s="23" t="s">
        <v>420</v>
      </c>
      <c r="D22" s="23" t="s">
        <v>1197</v>
      </c>
      <c r="E22" s="23" t="s">
        <v>252</v>
      </c>
      <c r="F22" s="30">
        <v>1</v>
      </c>
      <c r="G22" s="23" t="s">
        <v>193</v>
      </c>
      <c r="H22" s="79" t="s">
        <v>194</v>
      </c>
      <c r="I22" s="23" t="s">
        <v>1255</v>
      </c>
      <c r="J22" s="23" t="s">
        <v>210</v>
      </c>
      <c r="K22" s="23">
        <v>18</v>
      </c>
      <c r="L22" s="23" t="s">
        <v>421</v>
      </c>
      <c r="M22" s="30" t="str">
        <f t="shared" si="0"/>
        <v>241306</v>
      </c>
    </row>
    <row r="23" spans="1:13" x14ac:dyDescent="0.25">
      <c r="A23" s="23" t="s">
        <v>3311</v>
      </c>
      <c r="B23" s="23" t="s">
        <v>3312</v>
      </c>
      <c r="C23" s="23" t="s">
        <v>1775</v>
      </c>
      <c r="D23" s="23" t="s">
        <v>3308</v>
      </c>
      <c r="E23" s="23" t="s">
        <v>192</v>
      </c>
      <c r="F23" s="30">
        <v>1</v>
      </c>
      <c r="G23" s="23" t="s">
        <v>193</v>
      </c>
      <c r="H23" s="79" t="s">
        <v>194</v>
      </c>
      <c r="I23" s="23" t="s">
        <v>3313</v>
      </c>
      <c r="J23" s="23" t="s">
        <v>210</v>
      </c>
      <c r="K23" s="23">
        <v>18</v>
      </c>
      <c r="L23" s="23" t="s">
        <v>1777</v>
      </c>
      <c r="M23" s="30" t="str">
        <f t="shared" si="0"/>
        <v>241302</v>
      </c>
    </row>
    <row r="24" spans="1:13" x14ac:dyDescent="0.25">
      <c r="A24" s="23" t="s">
        <v>1175</v>
      </c>
      <c r="B24" s="23" t="s">
        <v>1180</v>
      </c>
      <c r="C24" s="23" t="s">
        <v>513</v>
      </c>
      <c r="D24" s="23" t="s">
        <v>1116</v>
      </c>
      <c r="E24" s="23" t="s">
        <v>233</v>
      </c>
      <c r="F24" s="30">
        <v>1</v>
      </c>
      <c r="G24" s="23" t="s">
        <v>193</v>
      </c>
      <c r="H24" s="79" t="s">
        <v>194</v>
      </c>
      <c r="I24" s="23" t="s">
        <v>1077</v>
      </c>
      <c r="J24" s="23" t="s">
        <v>210</v>
      </c>
      <c r="K24" s="23">
        <v>18</v>
      </c>
      <c r="L24" s="23" t="s">
        <v>514</v>
      </c>
      <c r="M24" s="30" t="str">
        <f t="shared" si="0"/>
        <v>252301</v>
      </c>
    </row>
    <row r="25" spans="1:13" x14ac:dyDescent="0.25">
      <c r="A25" s="23" t="s">
        <v>1175</v>
      </c>
      <c r="B25" s="23" t="s">
        <v>1178</v>
      </c>
      <c r="C25" s="23" t="s">
        <v>65</v>
      </c>
      <c r="D25" s="23" t="s">
        <v>1116</v>
      </c>
      <c r="E25" s="23" t="s">
        <v>233</v>
      </c>
      <c r="F25" s="30">
        <v>1</v>
      </c>
      <c r="G25" s="23" t="s">
        <v>193</v>
      </c>
      <c r="H25" s="79" t="s">
        <v>194</v>
      </c>
      <c r="I25" s="23" t="s">
        <v>1077</v>
      </c>
      <c r="J25" s="23" t="s">
        <v>210</v>
      </c>
      <c r="K25" s="23">
        <v>18</v>
      </c>
      <c r="L25" s="23" t="s">
        <v>1179</v>
      </c>
      <c r="M25" s="30" t="str">
        <f t="shared" si="0"/>
        <v>422701</v>
      </c>
    </row>
    <row r="26" spans="1:13" x14ac:dyDescent="0.25">
      <c r="A26" s="23" t="s">
        <v>1175</v>
      </c>
      <c r="B26" s="23" t="s">
        <v>1706</v>
      </c>
      <c r="C26" s="23" t="s">
        <v>65</v>
      </c>
      <c r="D26" s="23" t="s">
        <v>1637</v>
      </c>
      <c r="E26" s="23" t="s">
        <v>192</v>
      </c>
      <c r="F26" s="30">
        <v>1</v>
      </c>
      <c r="G26" s="23" t="s">
        <v>193</v>
      </c>
      <c r="H26" s="79" t="s">
        <v>194</v>
      </c>
      <c r="I26" s="23" t="s">
        <v>1374</v>
      </c>
      <c r="J26" s="23" t="s">
        <v>210</v>
      </c>
      <c r="K26" s="23">
        <v>18</v>
      </c>
      <c r="L26" s="23" t="s">
        <v>1179</v>
      </c>
      <c r="M26" s="30" t="str">
        <f t="shared" si="0"/>
        <v>422701</v>
      </c>
    </row>
    <row r="27" spans="1:13" x14ac:dyDescent="0.25">
      <c r="A27" s="23" t="s">
        <v>1340</v>
      </c>
      <c r="B27" s="23" t="s">
        <v>3314</v>
      </c>
      <c r="C27" s="23" t="s">
        <v>3315</v>
      </c>
      <c r="D27" s="23" t="s">
        <v>3294</v>
      </c>
      <c r="E27" s="23" t="s">
        <v>192</v>
      </c>
      <c r="F27" s="30">
        <v>1</v>
      </c>
      <c r="G27" s="23" t="s">
        <v>193</v>
      </c>
      <c r="H27" s="79" t="s">
        <v>194</v>
      </c>
      <c r="I27" s="23" t="s">
        <v>3316</v>
      </c>
      <c r="J27" s="23" t="s">
        <v>210</v>
      </c>
      <c r="K27" s="23">
        <v>18</v>
      </c>
      <c r="L27" s="23" t="s">
        <v>3317</v>
      </c>
      <c r="M27" s="30" t="str">
        <f t="shared" si="0"/>
        <v>216101</v>
      </c>
    </row>
    <row r="28" spans="1:13" x14ac:dyDescent="0.25">
      <c r="A28" s="23" t="s">
        <v>517</v>
      </c>
      <c r="B28" s="23" t="s">
        <v>3318</v>
      </c>
      <c r="C28" s="23" t="s">
        <v>3319</v>
      </c>
      <c r="D28" s="23" t="s">
        <v>3294</v>
      </c>
      <c r="E28" s="23" t="s">
        <v>192</v>
      </c>
      <c r="F28" s="30">
        <v>1</v>
      </c>
      <c r="G28" s="23" t="s">
        <v>193</v>
      </c>
      <c r="H28" s="79" t="s">
        <v>194</v>
      </c>
      <c r="I28" s="23" t="s">
        <v>3313</v>
      </c>
      <c r="J28" s="23" t="s">
        <v>826</v>
      </c>
      <c r="K28" s="23">
        <v>18</v>
      </c>
      <c r="L28" s="23" t="s">
        <v>3320</v>
      </c>
      <c r="M28" s="30" t="str">
        <f t="shared" si="0"/>
        <v>265102</v>
      </c>
    </row>
    <row r="29" spans="1:13" x14ac:dyDescent="0.25">
      <c r="A29" s="23" t="s">
        <v>1523</v>
      </c>
      <c r="B29" s="23" t="s">
        <v>3321</v>
      </c>
      <c r="C29" s="23" t="s">
        <v>1799</v>
      </c>
      <c r="D29" s="23" t="s">
        <v>3294</v>
      </c>
      <c r="E29" s="23" t="s">
        <v>192</v>
      </c>
      <c r="F29" s="30">
        <v>1</v>
      </c>
      <c r="G29" s="23" t="s">
        <v>193</v>
      </c>
      <c r="H29" s="79" t="s">
        <v>194</v>
      </c>
      <c r="I29" s="23" t="s">
        <v>3304</v>
      </c>
      <c r="J29" s="23" t="s">
        <v>210</v>
      </c>
      <c r="K29" s="23">
        <v>18</v>
      </c>
      <c r="L29" s="23" t="s">
        <v>1800</v>
      </c>
      <c r="M29" s="30" t="str">
        <f t="shared" si="0"/>
        <v>242204</v>
      </c>
    </row>
    <row r="30" spans="1:13" x14ac:dyDescent="0.25">
      <c r="A30" s="23" t="s">
        <v>1523</v>
      </c>
      <c r="B30" s="23" t="s">
        <v>3322</v>
      </c>
      <c r="C30" s="23" t="s">
        <v>1799</v>
      </c>
      <c r="D30" s="23" t="s">
        <v>3294</v>
      </c>
      <c r="E30" s="23" t="s">
        <v>192</v>
      </c>
      <c r="F30" s="30">
        <v>1</v>
      </c>
      <c r="G30" s="23" t="s">
        <v>193</v>
      </c>
      <c r="H30" s="79" t="s">
        <v>194</v>
      </c>
      <c r="I30" s="23" t="s">
        <v>3304</v>
      </c>
      <c r="J30" s="23" t="s">
        <v>210</v>
      </c>
      <c r="K30" s="23">
        <v>18</v>
      </c>
      <c r="L30" s="23" t="s">
        <v>1800</v>
      </c>
      <c r="M30" s="30" t="str">
        <f t="shared" si="0"/>
        <v>242204</v>
      </c>
    </row>
    <row r="31" spans="1:13" x14ac:dyDescent="0.25">
      <c r="A31" s="23" t="s">
        <v>1138</v>
      </c>
      <c r="B31" s="23" t="s">
        <v>1142</v>
      </c>
      <c r="C31" s="23" t="s">
        <v>1143</v>
      </c>
      <c r="D31" s="23" t="s">
        <v>1116</v>
      </c>
      <c r="E31" s="23" t="s">
        <v>217</v>
      </c>
      <c r="F31" s="30">
        <v>1</v>
      </c>
      <c r="G31" s="23" t="s">
        <v>193</v>
      </c>
      <c r="H31" s="79" t="s">
        <v>194</v>
      </c>
      <c r="I31" s="23" t="s">
        <v>1077</v>
      </c>
      <c r="J31" s="23" t="s">
        <v>316</v>
      </c>
      <c r="K31" s="23">
        <v>18</v>
      </c>
      <c r="L31" s="23" t="s">
        <v>1144</v>
      </c>
      <c r="M31" s="30" t="str">
        <f t="shared" si="0"/>
        <v>962901</v>
      </c>
    </row>
    <row r="32" spans="1:13" x14ac:dyDescent="0.25">
      <c r="A32" s="23" t="s">
        <v>1085</v>
      </c>
      <c r="B32" s="23" t="s">
        <v>1422</v>
      </c>
      <c r="C32" s="23" t="s">
        <v>617</v>
      </c>
      <c r="D32" s="23" t="s">
        <v>1374</v>
      </c>
      <c r="E32" s="23" t="s">
        <v>192</v>
      </c>
      <c r="F32" s="30">
        <v>1</v>
      </c>
      <c r="G32" s="23" t="s">
        <v>193</v>
      </c>
      <c r="H32" s="79" t="s">
        <v>194</v>
      </c>
      <c r="I32" s="23" t="s">
        <v>1197</v>
      </c>
      <c r="J32" s="23" t="s">
        <v>276</v>
      </c>
      <c r="K32" s="23">
        <v>18</v>
      </c>
      <c r="L32" s="23" t="s">
        <v>618</v>
      </c>
      <c r="M32" s="30" t="str">
        <f t="shared" si="0"/>
        <v>332104</v>
      </c>
    </row>
    <row r="33" spans="1:13" x14ac:dyDescent="0.25">
      <c r="A33" s="23" t="s">
        <v>2622</v>
      </c>
      <c r="B33" s="23" t="s">
        <v>3323</v>
      </c>
      <c r="C33" s="23" t="s">
        <v>118</v>
      </c>
      <c r="D33" s="23" t="s">
        <v>3303</v>
      </c>
      <c r="E33" s="23" t="s">
        <v>192</v>
      </c>
      <c r="F33" s="30">
        <v>1</v>
      </c>
      <c r="G33" s="23" t="s">
        <v>193</v>
      </c>
      <c r="H33" s="79" t="s">
        <v>194</v>
      </c>
      <c r="I33" s="23" t="s">
        <v>3313</v>
      </c>
      <c r="J33" s="23" t="s">
        <v>2183</v>
      </c>
      <c r="K33" s="23">
        <v>18</v>
      </c>
      <c r="L33" s="23" t="s">
        <v>277</v>
      </c>
      <c r="M33" s="30" t="str">
        <f t="shared" si="0"/>
        <v>211302</v>
      </c>
    </row>
    <row r="34" spans="1:13" x14ac:dyDescent="0.25">
      <c r="A34" s="60" t="s">
        <v>3324</v>
      </c>
      <c r="B34" s="60" t="s">
        <v>3325</v>
      </c>
      <c r="C34" s="60" t="s">
        <v>81</v>
      </c>
      <c r="D34" s="60" t="s">
        <v>3308</v>
      </c>
      <c r="E34" s="60" t="s">
        <v>192</v>
      </c>
      <c r="F34" s="77">
        <v>1</v>
      </c>
      <c r="G34" s="60" t="s">
        <v>193</v>
      </c>
      <c r="H34" s="80" t="s">
        <v>194</v>
      </c>
      <c r="I34" s="60" t="s">
        <v>3313</v>
      </c>
      <c r="J34" s="60" t="s">
        <v>210</v>
      </c>
      <c r="K34" s="60">
        <v>18</v>
      </c>
      <c r="L34" s="60" t="s">
        <v>402</v>
      </c>
      <c r="M34" s="77" t="str">
        <f t="shared" si="0"/>
        <v>241205</v>
      </c>
    </row>
    <row r="35" spans="1:13" s="24" customFormat="1" x14ac:dyDescent="0.25">
      <c r="A35" s="60" t="s">
        <v>1085</v>
      </c>
      <c r="B35" s="60" t="s">
        <v>1086</v>
      </c>
      <c r="C35" s="60" t="s">
        <v>1087</v>
      </c>
      <c r="D35" s="60" t="s">
        <v>1077</v>
      </c>
      <c r="E35" s="60" t="s">
        <v>192</v>
      </c>
      <c r="F35" s="77">
        <v>1</v>
      </c>
      <c r="G35" s="60" t="s">
        <v>193</v>
      </c>
      <c r="H35" s="80" t="s">
        <v>194</v>
      </c>
      <c r="I35" s="60" t="s">
        <v>1078</v>
      </c>
      <c r="J35" s="60" t="s">
        <v>276</v>
      </c>
      <c r="K35" s="60">
        <v>18</v>
      </c>
      <c r="L35" s="60" t="s">
        <v>1088</v>
      </c>
      <c r="M35" s="77" t="str">
        <f t="shared" si="0"/>
        <v>261909</v>
      </c>
    </row>
    <row r="36" spans="1:13" s="24" customFormat="1" x14ac:dyDescent="0.25">
      <c r="A36" s="60" t="s">
        <v>1097</v>
      </c>
      <c r="B36" s="60" t="s">
        <v>1098</v>
      </c>
      <c r="C36" s="60" t="s">
        <v>1087</v>
      </c>
      <c r="D36" s="60" t="s">
        <v>1077</v>
      </c>
      <c r="E36" s="60" t="s">
        <v>233</v>
      </c>
      <c r="F36" s="77">
        <v>1</v>
      </c>
      <c r="G36" s="60" t="s">
        <v>193</v>
      </c>
      <c r="H36" s="80" t="s">
        <v>194</v>
      </c>
      <c r="I36" s="60" t="s">
        <v>1078</v>
      </c>
      <c r="J36" s="60" t="s">
        <v>1099</v>
      </c>
      <c r="K36" s="60">
        <v>18</v>
      </c>
      <c r="L36" s="60" t="s">
        <v>1088</v>
      </c>
      <c r="M36" s="77" t="str">
        <f t="shared" si="0"/>
        <v>261909</v>
      </c>
    </row>
    <row r="37" spans="1:13" s="24" customFormat="1" x14ac:dyDescent="0.25">
      <c r="A37" s="60" t="s">
        <v>1410</v>
      </c>
      <c r="B37" s="60" t="s">
        <v>1411</v>
      </c>
      <c r="C37" s="60" t="s">
        <v>1087</v>
      </c>
      <c r="D37" s="60" t="s">
        <v>1374</v>
      </c>
      <c r="E37" s="60" t="s">
        <v>217</v>
      </c>
      <c r="F37" s="77">
        <v>1</v>
      </c>
      <c r="G37" s="60" t="s">
        <v>193</v>
      </c>
      <c r="H37" s="80" t="s">
        <v>194</v>
      </c>
      <c r="I37" s="60" t="s">
        <v>1375</v>
      </c>
      <c r="J37" s="60" t="s">
        <v>210</v>
      </c>
      <c r="K37" s="60">
        <v>18</v>
      </c>
      <c r="L37" s="60" t="s">
        <v>1088</v>
      </c>
      <c r="M37" s="77" t="str">
        <f t="shared" si="0"/>
        <v>261909</v>
      </c>
    </row>
    <row r="38" spans="1:13" s="24" customFormat="1" x14ac:dyDescent="0.25">
      <c r="A38" s="60" t="s">
        <v>890</v>
      </c>
      <c r="B38" s="60" t="s">
        <v>1660</v>
      </c>
      <c r="C38" s="60" t="s">
        <v>1661</v>
      </c>
      <c r="D38" s="60" t="s">
        <v>1637</v>
      </c>
      <c r="E38" s="60" t="s">
        <v>233</v>
      </c>
      <c r="F38" s="77">
        <v>1</v>
      </c>
      <c r="G38" s="60" t="s">
        <v>193</v>
      </c>
      <c r="H38" s="80" t="s">
        <v>194</v>
      </c>
      <c r="I38" s="60" t="s">
        <v>1587</v>
      </c>
      <c r="J38" s="60" t="s">
        <v>210</v>
      </c>
      <c r="K38" s="60">
        <v>18</v>
      </c>
      <c r="L38" s="60" t="s">
        <v>1662</v>
      </c>
      <c r="M38" s="77" t="str">
        <f t="shared" si="0"/>
        <v>241202</v>
      </c>
    </row>
    <row r="39" spans="1:13" x14ac:dyDescent="0.25">
      <c r="A39" s="23" t="s">
        <v>3326</v>
      </c>
      <c r="B39" s="23" t="s">
        <v>1058</v>
      </c>
      <c r="C39" s="60" t="s">
        <v>778</v>
      </c>
      <c r="D39" s="23" t="s">
        <v>3308</v>
      </c>
      <c r="E39" s="23" t="s">
        <v>192</v>
      </c>
      <c r="F39" s="30">
        <v>1</v>
      </c>
      <c r="G39" s="23" t="s">
        <v>193</v>
      </c>
      <c r="H39" s="79" t="s">
        <v>194</v>
      </c>
      <c r="I39" s="23" t="s">
        <v>3313</v>
      </c>
      <c r="J39" s="23" t="s">
        <v>385</v>
      </c>
      <c r="K39" s="23">
        <v>18</v>
      </c>
      <c r="L39" s="23" t="s">
        <v>779</v>
      </c>
      <c r="M39" s="30" t="str">
        <f t="shared" si="0"/>
        <v>524902</v>
      </c>
    </row>
    <row r="40" spans="1:13" x14ac:dyDescent="0.25">
      <c r="A40" s="23" t="s">
        <v>3067</v>
      </c>
      <c r="B40" s="23" t="s">
        <v>404</v>
      </c>
      <c r="C40" s="60" t="s">
        <v>778</v>
      </c>
      <c r="D40" s="23" t="s">
        <v>3308</v>
      </c>
      <c r="E40" s="23" t="s">
        <v>192</v>
      </c>
      <c r="F40" s="30">
        <v>1</v>
      </c>
      <c r="G40" s="23" t="s">
        <v>193</v>
      </c>
      <c r="H40" s="79" t="s">
        <v>194</v>
      </c>
      <c r="I40" s="23" t="s">
        <v>3313</v>
      </c>
      <c r="J40" s="23" t="s">
        <v>276</v>
      </c>
      <c r="K40" s="23">
        <v>18</v>
      </c>
      <c r="L40" s="23" t="s">
        <v>779</v>
      </c>
      <c r="M40" s="30" t="str">
        <f t="shared" si="0"/>
        <v>524902</v>
      </c>
    </row>
    <row r="41" spans="1:13" x14ac:dyDescent="0.25">
      <c r="A41" s="23" t="s">
        <v>1574</v>
      </c>
      <c r="B41" s="23" t="s">
        <v>3327</v>
      </c>
      <c r="C41" s="60" t="s">
        <v>778</v>
      </c>
      <c r="D41" s="23" t="s">
        <v>3308</v>
      </c>
      <c r="E41" s="23" t="s">
        <v>233</v>
      </c>
      <c r="F41" s="30">
        <v>1</v>
      </c>
      <c r="G41" s="23" t="s">
        <v>193</v>
      </c>
      <c r="H41" s="79" t="s">
        <v>194</v>
      </c>
      <c r="I41" s="23" t="s">
        <v>3313</v>
      </c>
      <c r="J41" s="23" t="s">
        <v>210</v>
      </c>
      <c r="K41" s="23">
        <v>18</v>
      </c>
      <c r="L41" s="23" t="s">
        <v>779</v>
      </c>
      <c r="M41" s="30" t="str">
        <f t="shared" si="0"/>
        <v>524902</v>
      </c>
    </row>
    <row r="42" spans="1:13" x14ac:dyDescent="0.25">
      <c r="A42" s="23" t="s">
        <v>2034</v>
      </c>
      <c r="B42" s="23" t="s">
        <v>3328</v>
      </c>
      <c r="C42" s="60" t="s">
        <v>778</v>
      </c>
      <c r="D42" s="23" t="s">
        <v>3294</v>
      </c>
      <c r="E42" s="23" t="s">
        <v>192</v>
      </c>
      <c r="F42" s="30">
        <v>1</v>
      </c>
      <c r="G42" s="23" t="s">
        <v>193</v>
      </c>
      <c r="H42" s="79" t="s">
        <v>194</v>
      </c>
      <c r="I42" s="23" t="s">
        <v>3313</v>
      </c>
      <c r="J42" s="23" t="s">
        <v>367</v>
      </c>
      <c r="K42" s="23">
        <v>18</v>
      </c>
      <c r="L42" s="23" t="s">
        <v>779</v>
      </c>
      <c r="M42" s="30" t="str">
        <f t="shared" si="0"/>
        <v>524902</v>
      </c>
    </row>
    <row r="43" spans="1:13" x14ac:dyDescent="0.25">
      <c r="A43" s="23" t="s">
        <v>2896</v>
      </c>
      <c r="B43" s="23" t="s">
        <v>537</v>
      </c>
      <c r="C43" s="60" t="s">
        <v>778</v>
      </c>
      <c r="D43" s="23" t="s">
        <v>3294</v>
      </c>
      <c r="E43" s="23" t="s">
        <v>192</v>
      </c>
      <c r="F43" s="30">
        <v>1</v>
      </c>
      <c r="G43" s="23" t="s">
        <v>193</v>
      </c>
      <c r="H43" s="79" t="s">
        <v>194</v>
      </c>
      <c r="I43" s="23" t="s">
        <v>3313</v>
      </c>
      <c r="J43" s="23" t="s">
        <v>301</v>
      </c>
      <c r="K43" s="23">
        <v>18</v>
      </c>
      <c r="L43" s="23" t="s">
        <v>779</v>
      </c>
      <c r="M43" s="30" t="str">
        <f t="shared" si="0"/>
        <v>524902</v>
      </c>
    </row>
    <row r="44" spans="1:13" x14ac:dyDescent="0.25">
      <c r="A44" s="23" t="s">
        <v>2896</v>
      </c>
      <c r="B44" s="23" t="s">
        <v>537</v>
      </c>
      <c r="C44" s="60" t="s">
        <v>778</v>
      </c>
      <c r="D44" s="23" t="s">
        <v>3294</v>
      </c>
      <c r="E44" s="23" t="s">
        <v>192</v>
      </c>
      <c r="F44" s="30">
        <v>1</v>
      </c>
      <c r="G44" s="23" t="s">
        <v>193</v>
      </c>
      <c r="H44" s="79" t="s">
        <v>194</v>
      </c>
      <c r="I44" s="23" t="s">
        <v>3313</v>
      </c>
      <c r="J44" s="23" t="s">
        <v>253</v>
      </c>
      <c r="K44" s="23">
        <v>18</v>
      </c>
      <c r="L44" s="23" t="s">
        <v>779</v>
      </c>
      <c r="M44" s="30" t="str">
        <f t="shared" si="0"/>
        <v>524902</v>
      </c>
    </row>
    <row r="45" spans="1:13" x14ac:dyDescent="0.25">
      <c r="A45" s="23" t="s">
        <v>3329</v>
      </c>
      <c r="B45" s="23" t="s">
        <v>537</v>
      </c>
      <c r="C45" s="60" t="s">
        <v>778</v>
      </c>
      <c r="D45" s="23" t="s">
        <v>3294</v>
      </c>
      <c r="E45" s="23" t="s">
        <v>192</v>
      </c>
      <c r="F45" s="30">
        <v>1</v>
      </c>
      <c r="G45" s="23" t="s">
        <v>193</v>
      </c>
      <c r="H45" s="79" t="s">
        <v>194</v>
      </c>
      <c r="I45" s="23" t="s">
        <v>3313</v>
      </c>
      <c r="J45" s="23" t="s">
        <v>276</v>
      </c>
      <c r="K45" s="23">
        <v>18</v>
      </c>
      <c r="L45" s="23" t="s">
        <v>779</v>
      </c>
      <c r="M45" s="30" t="str">
        <f t="shared" si="0"/>
        <v>524902</v>
      </c>
    </row>
    <row r="46" spans="1:13" x14ac:dyDescent="0.25">
      <c r="A46" s="23" t="s">
        <v>937</v>
      </c>
      <c r="B46" s="23" t="s">
        <v>537</v>
      </c>
      <c r="C46" s="60" t="s">
        <v>778</v>
      </c>
      <c r="D46" s="23" t="s">
        <v>3294</v>
      </c>
      <c r="E46" s="23" t="s">
        <v>192</v>
      </c>
      <c r="F46" s="30">
        <v>1</v>
      </c>
      <c r="G46" s="23" t="s">
        <v>193</v>
      </c>
      <c r="H46" s="79" t="s">
        <v>194</v>
      </c>
      <c r="I46" s="23" t="s">
        <v>3313</v>
      </c>
      <c r="J46" s="23" t="s">
        <v>253</v>
      </c>
      <c r="K46" s="23">
        <v>18</v>
      </c>
      <c r="L46" s="23" t="s">
        <v>779</v>
      </c>
      <c r="M46" s="30" t="str">
        <f t="shared" si="0"/>
        <v>524902</v>
      </c>
    </row>
    <row r="47" spans="1:13" x14ac:dyDescent="0.25">
      <c r="A47" s="23" t="s">
        <v>940</v>
      </c>
      <c r="B47" s="23" t="s">
        <v>537</v>
      </c>
      <c r="C47" s="60" t="s">
        <v>778</v>
      </c>
      <c r="D47" s="23" t="s">
        <v>3294</v>
      </c>
      <c r="E47" s="23" t="s">
        <v>192</v>
      </c>
      <c r="F47" s="30">
        <v>1</v>
      </c>
      <c r="G47" s="23" t="s">
        <v>193</v>
      </c>
      <c r="H47" s="79" t="s">
        <v>194</v>
      </c>
      <c r="I47" s="23" t="s">
        <v>3313</v>
      </c>
      <c r="J47" s="23" t="s">
        <v>408</v>
      </c>
      <c r="K47" s="23">
        <v>18</v>
      </c>
      <c r="L47" s="23" t="s">
        <v>779</v>
      </c>
      <c r="M47" s="30" t="str">
        <f t="shared" si="0"/>
        <v>524902</v>
      </c>
    </row>
    <row r="48" spans="1:13" x14ac:dyDescent="0.25">
      <c r="A48" s="23" t="s">
        <v>940</v>
      </c>
      <c r="B48" s="23" t="s">
        <v>3119</v>
      </c>
      <c r="C48" s="60" t="s">
        <v>778</v>
      </c>
      <c r="D48" s="23" t="s">
        <v>3294</v>
      </c>
      <c r="E48" s="23" t="s">
        <v>233</v>
      </c>
      <c r="F48" s="30">
        <v>1</v>
      </c>
      <c r="G48" s="23" t="s">
        <v>193</v>
      </c>
      <c r="H48" s="79" t="s">
        <v>194</v>
      </c>
      <c r="I48" s="23" t="s">
        <v>3313</v>
      </c>
      <c r="J48" s="23" t="s">
        <v>408</v>
      </c>
      <c r="K48" s="23">
        <v>18</v>
      </c>
      <c r="L48" s="23" t="s">
        <v>779</v>
      </c>
      <c r="M48" s="30" t="str">
        <f t="shared" si="0"/>
        <v>524902</v>
      </c>
    </row>
    <row r="49" spans="1:13" x14ac:dyDescent="0.25">
      <c r="A49" s="23" t="s">
        <v>3330</v>
      </c>
      <c r="B49" s="23" t="s">
        <v>3331</v>
      </c>
      <c r="C49" s="60" t="s">
        <v>778</v>
      </c>
      <c r="D49" s="23" t="s">
        <v>3294</v>
      </c>
      <c r="E49" s="23" t="s">
        <v>192</v>
      </c>
      <c r="F49" s="30">
        <v>1</v>
      </c>
      <c r="G49" s="23" t="s">
        <v>193</v>
      </c>
      <c r="H49" s="79" t="s">
        <v>194</v>
      </c>
      <c r="I49" s="23" t="s">
        <v>3304</v>
      </c>
      <c r="J49" s="23" t="s">
        <v>210</v>
      </c>
      <c r="K49" s="23">
        <v>18</v>
      </c>
      <c r="L49" s="23" t="s">
        <v>779</v>
      </c>
      <c r="M49" s="30" t="str">
        <f t="shared" si="0"/>
        <v>524902</v>
      </c>
    </row>
    <row r="50" spans="1:13" x14ac:dyDescent="0.25">
      <c r="A50" s="23" t="s">
        <v>1168</v>
      </c>
      <c r="B50" s="23" t="s">
        <v>3332</v>
      </c>
      <c r="C50" s="60" t="s">
        <v>778</v>
      </c>
      <c r="D50" s="23" t="s">
        <v>3294</v>
      </c>
      <c r="E50" s="23" t="s">
        <v>217</v>
      </c>
      <c r="F50" s="30">
        <v>1</v>
      </c>
      <c r="G50" s="23" t="s">
        <v>193</v>
      </c>
      <c r="H50" s="79" t="s">
        <v>194</v>
      </c>
      <c r="I50" s="23" t="s">
        <v>3304</v>
      </c>
      <c r="J50" s="23" t="s">
        <v>276</v>
      </c>
      <c r="K50" s="23">
        <v>18</v>
      </c>
      <c r="L50" s="23" t="s">
        <v>779</v>
      </c>
      <c r="M50" s="30" t="str">
        <f t="shared" si="0"/>
        <v>524902</v>
      </c>
    </row>
    <row r="51" spans="1:13" x14ac:dyDescent="0.25">
      <c r="A51" s="23" t="s">
        <v>1826</v>
      </c>
      <c r="B51" s="23" t="s">
        <v>537</v>
      </c>
      <c r="C51" s="60" t="s">
        <v>778</v>
      </c>
      <c r="D51" s="23" t="s">
        <v>3294</v>
      </c>
      <c r="E51" s="23" t="s">
        <v>233</v>
      </c>
      <c r="F51" s="30">
        <v>1</v>
      </c>
      <c r="G51" s="23" t="s">
        <v>193</v>
      </c>
      <c r="H51" s="79" t="s">
        <v>194</v>
      </c>
      <c r="I51" s="23" t="s">
        <v>3313</v>
      </c>
      <c r="J51" s="23" t="s">
        <v>3333</v>
      </c>
      <c r="K51" s="23">
        <v>18</v>
      </c>
      <c r="L51" s="23" t="s">
        <v>779</v>
      </c>
      <c r="M51" s="30" t="str">
        <f t="shared" si="0"/>
        <v>524902</v>
      </c>
    </row>
    <row r="52" spans="1:13" x14ac:dyDescent="0.25">
      <c r="A52" s="23" t="s">
        <v>1825</v>
      </c>
      <c r="B52" s="23" t="s">
        <v>537</v>
      </c>
      <c r="C52" s="60" t="s">
        <v>778</v>
      </c>
      <c r="D52" s="23" t="s">
        <v>3294</v>
      </c>
      <c r="E52" s="23" t="s">
        <v>192</v>
      </c>
      <c r="F52" s="30">
        <v>1</v>
      </c>
      <c r="G52" s="23" t="s">
        <v>193</v>
      </c>
      <c r="H52" s="79" t="s">
        <v>194</v>
      </c>
      <c r="I52" s="23" t="s">
        <v>3313</v>
      </c>
      <c r="J52" s="23" t="s">
        <v>210</v>
      </c>
      <c r="K52" s="23">
        <v>18</v>
      </c>
      <c r="L52" s="23" t="s">
        <v>779</v>
      </c>
      <c r="M52" s="30" t="str">
        <f t="shared" si="0"/>
        <v>524902</v>
      </c>
    </row>
    <row r="53" spans="1:13" x14ac:dyDescent="0.25">
      <c r="A53" s="23" t="s">
        <v>1825</v>
      </c>
      <c r="B53" s="23" t="s">
        <v>537</v>
      </c>
      <c r="C53" s="60" t="s">
        <v>778</v>
      </c>
      <c r="D53" s="23" t="s">
        <v>3294</v>
      </c>
      <c r="E53" s="23" t="s">
        <v>192</v>
      </c>
      <c r="F53" s="30">
        <v>1</v>
      </c>
      <c r="G53" s="23" t="s">
        <v>193</v>
      </c>
      <c r="H53" s="79" t="s">
        <v>194</v>
      </c>
      <c r="I53" s="23" t="s">
        <v>3295</v>
      </c>
      <c r="J53" s="23" t="s">
        <v>267</v>
      </c>
      <c r="K53" s="23">
        <v>18</v>
      </c>
      <c r="L53" s="23" t="s">
        <v>779</v>
      </c>
      <c r="M53" s="30" t="str">
        <f t="shared" si="0"/>
        <v>524902</v>
      </c>
    </row>
    <row r="54" spans="1:13" x14ac:dyDescent="0.25">
      <c r="A54" s="23" t="s">
        <v>1340</v>
      </c>
      <c r="B54" s="23" t="s">
        <v>537</v>
      </c>
      <c r="C54" s="60" t="s">
        <v>778</v>
      </c>
      <c r="D54" s="23" t="s">
        <v>3294</v>
      </c>
      <c r="E54" s="23" t="s">
        <v>192</v>
      </c>
      <c r="F54" s="30">
        <v>1</v>
      </c>
      <c r="G54" s="23" t="s">
        <v>193</v>
      </c>
      <c r="H54" s="79" t="s">
        <v>194</v>
      </c>
      <c r="I54" s="23" t="s">
        <v>3295</v>
      </c>
      <c r="J54" s="23" t="s">
        <v>276</v>
      </c>
      <c r="K54" s="23">
        <v>18</v>
      </c>
      <c r="L54" s="23" t="s">
        <v>779</v>
      </c>
      <c r="M54" s="30" t="str">
        <f t="shared" si="0"/>
        <v>524902</v>
      </c>
    </row>
    <row r="55" spans="1:13" x14ac:dyDescent="0.25">
      <c r="A55" s="23" t="s">
        <v>263</v>
      </c>
      <c r="B55" s="23" t="s">
        <v>537</v>
      </c>
      <c r="C55" s="60" t="s">
        <v>778</v>
      </c>
      <c r="D55" s="23" t="s">
        <v>3294</v>
      </c>
      <c r="E55" s="23" t="s">
        <v>217</v>
      </c>
      <c r="F55" s="30">
        <v>1</v>
      </c>
      <c r="G55" s="23" t="s">
        <v>193</v>
      </c>
      <c r="H55" s="79" t="s">
        <v>194</v>
      </c>
      <c r="I55" s="23" t="s">
        <v>3295</v>
      </c>
      <c r="J55" s="23" t="s">
        <v>962</v>
      </c>
      <c r="K55" s="23">
        <v>18</v>
      </c>
      <c r="L55" s="23" t="s">
        <v>779</v>
      </c>
      <c r="M55" s="30" t="str">
        <f t="shared" si="0"/>
        <v>524902</v>
      </c>
    </row>
    <row r="56" spans="1:13" x14ac:dyDescent="0.25">
      <c r="A56" s="23" t="s">
        <v>2975</v>
      </c>
      <c r="B56" s="23" t="s">
        <v>3334</v>
      </c>
      <c r="C56" s="60" t="s">
        <v>778</v>
      </c>
      <c r="D56" s="23" t="s">
        <v>3294</v>
      </c>
      <c r="E56" s="23" t="s">
        <v>192</v>
      </c>
      <c r="F56" s="30">
        <v>1</v>
      </c>
      <c r="G56" s="23" t="s">
        <v>193</v>
      </c>
      <c r="H56" s="79" t="s">
        <v>194</v>
      </c>
      <c r="I56" s="23" t="s">
        <v>3316</v>
      </c>
      <c r="J56" s="23" t="s">
        <v>210</v>
      </c>
      <c r="K56" s="23">
        <v>18</v>
      </c>
      <c r="L56" s="23" t="s">
        <v>779</v>
      </c>
      <c r="M56" s="30" t="str">
        <f t="shared" si="0"/>
        <v>524902</v>
      </c>
    </row>
    <row r="57" spans="1:13" x14ac:dyDescent="0.25">
      <c r="A57" s="23" t="s">
        <v>1635</v>
      </c>
      <c r="B57" s="23" t="s">
        <v>1636</v>
      </c>
      <c r="C57" s="60" t="s">
        <v>778</v>
      </c>
      <c r="D57" s="23" t="s">
        <v>3303</v>
      </c>
      <c r="E57" s="23" t="s">
        <v>192</v>
      </c>
      <c r="F57" s="30">
        <v>1</v>
      </c>
      <c r="G57" s="23" t="s">
        <v>193</v>
      </c>
      <c r="H57" s="79" t="s">
        <v>194</v>
      </c>
      <c r="I57" s="23" t="s">
        <v>3304</v>
      </c>
      <c r="J57" s="23" t="s">
        <v>276</v>
      </c>
      <c r="K57" s="23">
        <v>18</v>
      </c>
      <c r="L57" s="23" t="s">
        <v>779</v>
      </c>
      <c r="M57" s="30" t="str">
        <f t="shared" si="0"/>
        <v>524902</v>
      </c>
    </row>
    <row r="58" spans="1:13" x14ac:dyDescent="0.25">
      <c r="A58" s="23" t="s">
        <v>1675</v>
      </c>
      <c r="B58" s="23" t="s">
        <v>418</v>
      </c>
      <c r="C58" s="60" t="s">
        <v>778</v>
      </c>
      <c r="D58" s="23" t="s">
        <v>3303</v>
      </c>
      <c r="E58" s="23" t="s">
        <v>192</v>
      </c>
      <c r="F58" s="30">
        <v>1</v>
      </c>
      <c r="G58" s="23" t="s">
        <v>193</v>
      </c>
      <c r="H58" s="79" t="s">
        <v>194</v>
      </c>
      <c r="I58" s="23" t="s">
        <v>3304</v>
      </c>
      <c r="J58" s="23" t="s">
        <v>210</v>
      </c>
      <c r="K58" s="23">
        <v>18</v>
      </c>
      <c r="L58" s="23" t="s">
        <v>779</v>
      </c>
      <c r="M58" s="30" t="str">
        <f t="shared" si="0"/>
        <v>524902</v>
      </c>
    </row>
    <row r="59" spans="1:13" x14ac:dyDescent="0.25">
      <c r="A59" s="23" t="s">
        <v>1168</v>
      </c>
      <c r="B59" s="23" t="s">
        <v>3332</v>
      </c>
      <c r="C59" s="60" t="s">
        <v>778</v>
      </c>
      <c r="D59" s="23" t="s">
        <v>3303</v>
      </c>
      <c r="E59" s="23" t="s">
        <v>217</v>
      </c>
      <c r="F59" s="30">
        <v>1</v>
      </c>
      <c r="G59" s="23" t="s">
        <v>193</v>
      </c>
      <c r="H59" s="79" t="s">
        <v>194</v>
      </c>
      <c r="I59" s="23" t="s">
        <v>3316</v>
      </c>
      <c r="J59" s="23" t="s">
        <v>323</v>
      </c>
      <c r="K59" s="23">
        <v>18</v>
      </c>
      <c r="L59" s="23" t="s">
        <v>779</v>
      </c>
      <c r="M59" s="30" t="str">
        <f t="shared" si="0"/>
        <v>524902</v>
      </c>
    </row>
    <row r="60" spans="1:13" x14ac:dyDescent="0.25">
      <c r="A60" s="23" t="s">
        <v>1168</v>
      </c>
      <c r="B60" s="23" t="s">
        <v>3332</v>
      </c>
      <c r="C60" s="60" t="s">
        <v>778</v>
      </c>
      <c r="D60" s="23" t="s">
        <v>3303</v>
      </c>
      <c r="E60" s="23" t="s">
        <v>217</v>
      </c>
      <c r="F60" s="30">
        <v>1</v>
      </c>
      <c r="G60" s="23" t="s">
        <v>193</v>
      </c>
      <c r="H60" s="79" t="s">
        <v>194</v>
      </c>
      <c r="I60" s="23" t="s">
        <v>3316</v>
      </c>
      <c r="J60" s="23" t="s">
        <v>408</v>
      </c>
      <c r="K60" s="23">
        <v>18</v>
      </c>
      <c r="L60" s="23" t="s">
        <v>779</v>
      </c>
      <c r="M60" s="30" t="str">
        <f t="shared" si="0"/>
        <v>524902</v>
      </c>
    </row>
    <row r="61" spans="1:13" x14ac:dyDescent="0.25">
      <c r="A61" s="23" t="s">
        <v>1112</v>
      </c>
      <c r="B61" s="23" t="s">
        <v>537</v>
      </c>
      <c r="C61" s="60" t="s">
        <v>778</v>
      </c>
      <c r="D61" s="23" t="s">
        <v>1077</v>
      </c>
      <c r="E61" s="23" t="s">
        <v>192</v>
      </c>
      <c r="F61" s="30">
        <v>1</v>
      </c>
      <c r="G61" s="23" t="s">
        <v>193</v>
      </c>
      <c r="H61" s="79" t="s">
        <v>194</v>
      </c>
      <c r="I61" s="23" t="s">
        <v>1078</v>
      </c>
      <c r="J61" s="23" t="s">
        <v>210</v>
      </c>
      <c r="K61" s="23">
        <v>18</v>
      </c>
      <c r="L61" s="23" t="s">
        <v>779</v>
      </c>
      <c r="M61" s="30" t="str">
        <f t="shared" si="0"/>
        <v>524902</v>
      </c>
    </row>
    <row r="62" spans="1:13" x14ac:dyDescent="0.25">
      <c r="A62" s="23" t="s">
        <v>1167</v>
      </c>
      <c r="B62" s="23" t="s">
        <v>537</v>
      </c>
      <c r="C62" s="60" t="s">
        <v>778</v>
      </c>
      <c r="D62" s="23" t="s">
        <v>1116</v>
      </c>
      <c r="E62" s="23" t="s">
        <v>217</v>
      </c>
      <c r="F62" s="30">
        <v>1</v>
      </c>
      <c r="G62" s="23" t="s">
        <v>193</v>
      </c>
      <c r="H62" s="79" t="s">
        <v>194</v>
      </c>
      <c r="I62" s="23" t="s">
        <v>1117</v>
      </c>
      <c r="J62" s="23" t="s">
        <v>276</v>
      </c>
      <c r="K62" s="23">
        <v>18</v>
      </c>
      <c r="L62" s="23" t="s">
        <v>779</v>
      </c>
      <c r="M62" s="30" t="str">
        <f t="shared" si="0"/>
        <v>524902</v>
      </c>
    </row>
    <row r="63" spans="1:13" x14ac:dyDescent="0.25">
      <c r="A63" s="23" t="s">
        <v>244</v>
      </c>
      <c r="B63" s="23" t="s">
        <v>537</v>
      </c>
      <c r="C63" s="60" t="s">
        <v>778</v>
      </c>
      <c r="D63" s="23" t="s">
        <v>1197</v>
      </c>
      <c r="E63" s="23" t="s">
        <v>252</v>
      </c>
      <c r="F63" s="30">
        <v>1</v>
      </c>
      <c r="G63" s="23" t="s">
        <v>193</v>
      </c>
      <c r="H63" s="79" t="s">
        <v>194</v>
      </c>
      <c r="I63" s="23" t="s">
        <v>1117</v>
      </c>
      <c r="J63" s="23" t="s">
        <v>1291</v>
      </c>
      <c r="K63" s="23">
        <v>18</v>
      </c>
      <c r="L63" s="23" t="s">
        <v>779</v>
      </c>
      <c r="M63" s="30" t="str">
        <f t="shared" si="0"/>
        <v>524902</v>
      </c>
    </row>
    <row r="64" spans="1:13" x14ac:dyDescent="0.25">
      <c r="A64" s="23" t="s">
        <v>1303</v>
      </c>
      <c r="B64" s="23" t="s">
        <v>1304</v>
      </c>
      <c r="C64" s="60" t="s">
        <v>778</v>
      </c>
      <c r="D64" s="23" t="s">
        <v>1197</v>
      </c>
      <c r="E64" s="23" t="s">
        <v>252</v>
      </c>
      <c r="F64" s="30">
        <v>1</v>
      </c>
      <c r="G64" s="23" t="s">
        <v>193</v>
      </c>
      <c r="H64" s="79" t="s">
        <v>194</v>
      </c>
      <c r="I64" s="23" t="s">
        <v>1255</v>
      </c>
      <c r="J64" s="23" t="s">
        <v>1305</v>
      </c>
      <c r="K64" s="23">
        <v>18</v>
      </c>
      <c r="L64" s="23" t="s">
        <v>779</v>
      </c>
      <c r="M64" s="30" t="str">
        <f t="shared" si="0"/>
        <v>524902</v>
      </c>
    </row>
    <row r="65" spans="1:13" x14ac:dyDescent="0.25">
      <c r="A65" s="23" t="s">
        <v>1331</v>
      </c>
      <c r="B65" s="23" t="s">
        <v>537</v>
      </c>
      <c r="C65" s="60" t="s">
        <v>778</v>
      </c>
      <c r="D65" s="23" t="s">
        <v>1197</v>
      </c>
      <c r="E65" s="23" t="s">
        <v>252</v>
      </c>
      <c r="F65" s="30">
        <v>1</v>
      </c>
      <c r="G65" s="23" t="s">
        <v>193</v>
      </c>
      <c r="H65" s="79" t="s">
        <v>194</v>
      </c>
      <c r="I65" s="23" t="s">
        <v>1255</v>
      </c>
      <c r="J65" s="23" t="s">
        <v>210</v>
      </c>
      <c r="K65" s="23">
        <v>18</v>
      </c>
      <c r="L65" s="23" t="s">
        <v>779</v>
      </c>
      <c r="M65" s="30" t="str">
        <f t="shared" si="0"/>
        <v>524902</v>
      </c>
    </row>
    <row r="66" spans="1:13" x14ac:dyDescent="0.25">
      <c r="A66" s="23" t="s">
        <v>258</v>
      </c>
      <c r="B66" s="23" t="s">
        <v>537</v>
      </c>
      <c r="C66" s="60" t="s">
        <v>778</v>
      </c>
      <c r="D66" s="23" t="s">
        <v>1374</v>
      </c>
      <c r="E66" s="23" t="s">
        <v>192</v>
      </c>
      <c r="F66" s="30">
        <v>1</v>
      </c>
      <c r="G66" s="23" t="s">
        <v>193</v>
      </c>
      <c r="H66" s="79" t="s">
        <v>194</v>
      </c>
      <c r="I66" s="23" t="s">
        <v>1375</v>
      </c>
      <c r="J66" s="23" t="s">
        <v>962</v>
      </c>
      <c r="K66" s="23">
        <v>18</v>
      </c>
      <c r="L66" s="23" t="s">
        <v>779</v>
      </c>
      <c r="M66" s="30" t="str">
        <f t="shared" si="0"/>
        <v>524902</v>
      </c>
    </row>
    <row r="67" spans="1:13" x14ac:dyDescent="0.25">
      <c r="A67" s="23" t="s">
        <v>1340</v>
      </c>
      <c r="B67" s="23" t="s">
        <v>537</v>
      </c>
      <c r="C67" s="60" t="s">
        <v>778</v>
      </c>
      <c r="D67" s="23" t="s">
        <v>1374</v>
      </c>
      <c r="E67" s="23" t="s">
        <v>192</v>
      </c>
      <c r="F67" s="30">
        <v>1</v>
      </c>
      <c r="G67" s="23" t="s">
        <v>193</v>
      </c>
      <c r="H67" s="79" t="s">
        <v>194</v>
      </c>
      <c r="I67" s="23" t="s">
        <v>1375</v>
      </c>
      <c r="J67" s="23" t="s">
        <v>223</v>
      </c>
      <c r="K67" s="23">
        <v>18</v>
      </c>
      <c r="L67" s="23" t="s">
        <v>779</v>
      </c>
      <c r="M67" s="30" t="str">
        <f t="shared" ref="M67:M130" si="1">MID(L67,8,6)</f>
        <v>524902</v>
      </c>
    </row>
    <row r="68" spans="1:13" x14ac:dyDescent="0.25">
      <c r="A68" s="23" t="s">
        <v>1340</v>
      </c>
      <c r="B68" s="23" t="s">
        <v>1529</v>
      </c>
      <c r="C68" s="60" t="s">
        <v>778</v>
      </c>
      <c r="D68" s="23" t="s">
        <v>1374</v>
      </c>
      <c r="E68" s="23" t="s">
        <v>192</v>
      </c>
      <c r="F68" s="30">
        <v>1</v>
      </c>
      <c r="G68" s="23" t="s">
        <v>193</v>
      </c>
      <c r="H68" s="79" t="s">
        <v>194</v>
      </c>
      <c r="I68" s="23" t="s">
        <v>1197</v>
      </c>
      <c r="J68" s="23" t="s">
        <v>367</v>
      </c>
      <c r="K68" s="23">
        <v>18</v>
      </c>
      <c r="L68" s="23" t="s">
        <v>779</v>
      </c>
      <c r="M68" s="30" t="str">
        <f t="shared" si="1"/>
        <v>524902</v>
      </c>
    </row>
    <row r="69" spans="1:13" x14ac:dyDescent="0.25">
      <c r="A69" s="23" t="s">
        <v>1560</v>
      </c>
      <c r="B69" s="23" t="s">
        <v>1561</v>
      </c>
      <c r="C69" s="60" t="s">
        <v>778</v>
      </c>
      <c r="D69" s="23" t="s">
        <v>1374</v>
      </c>
      <c r="E69" s="23" t="s">
        <v>233</v>
      </c>
      <c r="F69" s="30">
        <v>1</v>
      </c>
      <c r="G69" s="23" t="s">
        <v>193</v>
      </c>
      <c r="H69" s="79" t="s">
        <v>194</v>
      </c>
      <c r="I69" s="23" t="s">
        <v>1197</v>
      </c>
      <c r="J69" s="23" t="s">
        <v>1562</v>
      </c>
      <c r="K69" s="23">
        <v>18</v>
      </c>
      <c r="L69" s="23" t="s">
        <v>779</v>
      </c>
      <c r="M69" s="30" t="str">
        <f t="shared" si="1"/>
        <v>524902</v>
      </c>
    </row>
    <row r="70" spans="1:13" x14ac:dyDescent="0.25">
      <c r="A70" s="23" t="s">
        <v>1563</v>
      </c>
      <c r="B70" s="23" t="s">
        <v>1564</v>
      </c>
      <c r="C70" s="60" t="s">
        <v>778</v>
      </c>
      <c r="D70" s="23" t="s">
        <v>1374</v>
      </c>
      <c r="E70" s="23" t="s">
        <v>233</v>
      </c>
      <c r="F70" s="30">
        <v>1</v>
      </c>
      <c r="G70" s="23" t="s">
        <v>193</v>
      </c>
      <c r="H70" s="79" t="s">
        <v>194</v>
      </c>
      <c r="I70" s="23" t="s">
        <v>1197</v>
      </c>
      <c r="J70" s="23" t="s">
        <v>1565</v>
      </c>
      <c r="K70" s="23">
        <v>18</v>
      </c>
      <c r="L70" s="23" t="s">
        <v>779</v>
      </c>
      <c r="M70" s="30" t="str">
        <f t="shared" si="1"/>
        <v>524902</v>
      </c>
    </row>
    <row r="71" spans="1:13" x14ac:dyDescent="0.25">
      <c r="A71" s="23" t="s">
        <v>1566</v>
      </c>
      <c r="B71" s="23" t="s">
        <v>1567</v>
      </c>
      <c r="C71" s="60" t="s">
        <v>778</v>
      </c>
      <c r="D71" s="23" t="s">
        <v>1374</v>
      </c>
      <c r="E71" s="23" t="s">
        <v>192</v>
      </c>
      <c r="F71" s="30">
        <v>1</v>
      </c>
      <c r="G71" s="23" t="s">
        <v>193</v>
      </c>
      <c r="H71" s="79" t="s">
        <v>194</v>
      </c>
      <c r="I71" s="23" t="s">
        <v>1197</v>
      </c>
      <c r="J71" s="23" t="s">
        <v>238</v>
      </c>
      <c r="K71" s="23">
        <v>18</v>
      </c>
      <c r="L71" s="23" t="s">
        <v>779</v>
      </c>
      <c r="M71" s="30" t="str">
        <f t="shared" si="1"/>
        <v>524902</v>
      </c>
    </row>
    <row r="72" spans="1:13" x14ac:dyDescent="0.25">
      <c r="A72" s="23" t="s">
        <v>263</v>
      </c>
      <c r="B72" s="23" t="s">
        <v>537</v>
      </c>
      <c r="C72" s="60" t="s">
        <v>778</v>
      </c>
      <c r="D72" s="23" t="s">
        <v>1374</v>
      </c>
      <c r="E72" s="23" t="s">
        <v>217</v>
      </c>
      <c r="F72" s="30">
        <v>1</v>
      </c>
      <c r="G72" s="23" t="s">
        <v>193</v>
      </c>
      <c r="H72" s="79" t="s">
        <v>194</v>
      </c>
      <c r="I72" s="23" t="s">
        <v>1375</v>
      </c>
      <c r="J72" s="23" t="s">
        <v>408</v>
      </c>
      <c r="K72" s="23">
        <v>18</v>
      </c>
      <c r="L72" s="23" t="s">
        <v>779</v>
      </c>
      <c r="M72" s="30" t="str">
        <f t="shared" si="1"/>
        <v>524902</v>
      </c>
    </row>
    <row r="73" spans="1:13" x14ac:dyDescent="0.25">
      <c r="A73" s="23" t="s">
        <v>1574</v>
      </c>
      <c r="B73" s="23" t="s">
        <v>778</v>
      </c>
      <c r="C73" s="60" t="s">
        <v>778</v>
      </c>
      <c r="D73" s="23" t="s">
        <v>1374</v>
      </c>
      <c r="E73" s="23" t="s">
        <v>233</v>
      </c>
      <c r="F73" s="30">
        <v>1</v>
      </c>
      <c r="G73" s="23" t="s">
        <v>193</v>
      </c>
      <c r="H73" s="79" t="s">
        <v>194</v>
      </c>
      <c r="I73" s="23" t="s">
        <v>1375</v>
      </c>
      <c r="J73" s="23" t="s">
        <v>399</v>
      </c>
      <c r="K73" s="23">
        <v>18</v>
      </c>
      <c r="L73" s="23" t="s">
        <v>779</v>
      </c>
      <c r="M73" s="30" t="str">
        <f t="shared" si="1"/>
        <v>524902</v>
      </c>
    </row>
    <row r="74" spans="1:13" x14ac:dyDescent="0.25">
      <c r="A74" s="23" t="s">
        <v>1641</v>
      </c>
      <c r="B74" s="23" t="s">
        <v>404</v>
      </c>
      <c r="C74" s="60" t="s">
        <v>778</v>
      </c>
      <c r="D74" s="23" t="s">
        <v>1637</v>
      </c>
      <c r="E74" s="23" t="s">
        <v>192</v>
      </c>
      <c r="F74" s="30">
        <v>1</v>
      </c>
      <c r="G74" s="23" t="s">
        <v>193</v>
      </c>
      <c r="H74" s="79" t="s">
        <v>194</v>
      </c>
      <c r="I74" s="23" t="s">
        <v>1587</v>
      </c>
      <c r="J74" s="23" t="s">
        <v>253</v>
      </c>
      <c r="K74" s="23">
        <v>18</v>
      </c>
      <c r="L74" s="23" t="s">
        <v>779</v>
      </c>
      <c r="M74" s="30" t="str">
        <f t="shared" si="1"/>
        <v>524902</v>
      </c>
    </row>
    <row r="75" spans="1:13" x14ac:dyDescent="0.25">
      <c r="A75" s="23" t="s">
        <v>1695</v>
      </c>
      <c r="B75" s="23" t="s">
        <v>1696</v>
      </c>
      <c r="C75" s="60" t="s">
        <v>778</v>
      </c>
      <c r="D75" s="23" t="s">
        <v>1637</v>
      </c>
      <c r="E75" s="23" t="s">
        <v>192</v>
      </c>
      <c r="F75" s="30">
        <v>1</v>
      </c>
      <c r="G75" s="23" t="s">
        <v>193</v>
      </c>
      <c r="H75" s="79" t="s">
        <v>194</v>
      </c>
      <c r="I75" s="23" t="s">
        <v>1374</v>
      </c>
      <c r="J75" s="23" t="s">
        <v>267</v>
      </c>
      <c r="K75" s="23">
        <v>18</v>
      </c>
      <c r="L75" s="23" t="s">
        <v>779</v>
      </c>
      <c r="M75" s="30" t="str">
        <f t="shared" si="1"/>
        <v>524902</v>
      </c>
    </row>
    <row r="76" spans="1:13" x14ac:dyDescent="0.25">
      <c r="A76" s="23" t="s">
        <v>1716</v>
      </c>
      <c r="B76" s="23" t="s">
        <v>537</v>
      </c>
      <c r="C76" s="60" t="s">
        <v>778</v>
      </c>
      <c r="D76" s="23" t="s">
        <v>1637</v>
      </c>
      <c r="E76" s="23" t="s">
        <v>192</v>
      </c>
      <c r="F76" s="30">
        <v>1</v>
      </c>
      <c r="G76" s="23" t="s">
        <v>193</v>
      </c>
      <c r="H76" s="79" t="s">
        <v>194</v>
      </c>
      <c r="I76" s="23" t="s">
        <v>1587</v>
      </c>
      <c r="J76" s="23" t="s">
        <v>385</v>
      </c>
      <c r="K76" s="23">
        <v>18</v>
      </c>
      <c r="L76" s="23" t="s">
        <v>779</v>
      </c>
      <c r="M76" s="30" t="str">
        <f t="shared" si="1"/>
        <v>524902</v>
      </c>
    </row>
    <row r="77" spans="1:13" x14ac:dyDescent="0.25">
      <c r="A77" s="23" t="s">
        <v>1568</v>
      </c>
      <c r="B77" s="23" t="s">
        <v>1701</v>
      </c>
      <c r="C77" s="23" t="s">
        <v>1702</v>
      </c>
      <c r="D77" s="23" t="s">
        <v>1637</v>
      </c>
      <c r="E77" s="23" t="s">
        <v>192</v>
      </c>
      <c r="F77" s="30">
        <v>1</v>
      </c>
      <c r="G77" s="23" t="s">
        <v>193</v>
      </c>
      <c r="H77" s="79" t="s">
        <v>194</v>
      </c>
      <c r="I77" s="23" t="s">
        <v>1374</v>
      </c>
      <c r="J77" s="23" t="s">
        <v>276</v>
      </c>
      <c r="K77" s="23">
        <v>18</v>
      </c>
      <c r="L77" s="23" t="s">
        <v>1703</v>
      </c>
      <c r="M77" s="30" t="str">
        <f t="shared" si="1"/>
        <v>242303</v>
      </c>
    </row>
    <row r="78" spans="1:13" x14ac:dyDescent="0.25">
      <c r="A78" s="23" t="s">
        <v>3335</v>
      </c>
      <c r="B78" s="23" t="s">
        <v>3336</v>
      </c>
      <c r="C78" s="23" t="s">
        <v>1133</v>
      </c>
      <c r="D78" s="23" t="s">
        <v>3294</v>
      </c>
      <c r="E78" s="23" t="s">
        <v>233</v>
      </c>
      <c r="F78" s="30">
        <v>1</v>
      </c>
      <c r="G78" s="23" t="s">
        <v>193</v>
      </c>
      <c r="H78" s="79" t="s">
        <v>194</v>
      </c>
      <c r="I78" s="23" t="s">
        <v>3304</v>
      </c>
      <c r="J78" s="23" t="s">
        <v>210</v>
      </c>
      <c r="K78" s="23">
        <v>18</v>
      </c>
      <c r="L78" s="23" t="s">
        <v>1134</v>
      </c>
      <c r="M78" s="30" t="str">
        <f t="shared" si="1"/>
        <v>112008</v>
      </c>
    </row>
    <row r="79" spans="1:13" x14ac:dyDescent="0.25">
      <c r="A79" s="23" t="s">
        <v>1131</v>
      </c>
      <c r="B79" s="23" t="s">
        <v>1132</v>
      </c>
      <c r="C79" s="23" t="s">
        <v>1133</v>
      </c>
      <c r="D79" s="23" t="s">
        <v>1116</v>
      </c>
      <c r="E79" s="23" t="s">
        <v>233</v>
      </c>
      <c r="F79" s="30">
        <v>1</v>
      </c>
      <c r="G79" s="23" t="s">
        <v>193</v>
      </c>
      <c r="H79" s="79" t="s">
        <v>194</v>
      </c>
      <c r="I79" s="23" t="s">
        <v>1117</v>
      </c>
      <c r="J79" s="23" t="s">
        <v>196</v>
      </c>
      <c r="K79" s="23">
        <v>18</v>
      </c>
      <c r="L79" s="23" t="s">
        <v>1134</v>
      </c>
      <c r="M79" s="30" t="str">
        <f t="shared" si="1"/>
        <v>112008</v>
      </c>
    </row>
    <row r="80" spans="1:13" x14ac:dyDescent="0.25">
      <c r="A80" s="23" t="s">
        <v>1471</v>
      </c>
      <c r="B80" s="23" t="s">
        <v>1472</v>
      </c>
      <c r="C80" s="23" t="s">
        <v>1133</v>
      </c>
      <c r="D80" s="23" t="s">
        <v>1374</v>
      </c>
      <c r="E80" s="23" t="s">
        <v>192</v>
      </c>
      <c r="F80" s="30">
        <v>1</v>
      </c>
      <c r="G80" s="23" t="s">
        <v>193</v>
      </c>
      <c r="H80" s="79" t="s">
        <v>194</v>
      </c>
      <c r="I80" s="23" t="s">
        <v>1375</v>
      </c>
      <c r="J80" s="23" t="s">
        <v>1473</v>
      </c>
      <c r="K80" s="23">
        <v>18</v>
      </c>
      <c r="L80" s="23" t="s">
        <v>1134</v>
      </c>
      <c r="M80" s="30" t="str">
        <f t="shared" si="1"/>
        <v>112008</v>
      </c>
    </row>
    <row r="81" spans="1:13" x14ac:dyDescent="0.25">
      <c r="A81" s="23" t="s">
        <v>1340</v>
      </c>
      <c r="B81" s="23" t="s">
        <v>1527</v>
      </c>
      <c r="C81" s="23" t="s">
        <v>1133</v>
      </c>
      <c r="D81" s="23" t="s">
        <v>1374</v>
      </c>
      <c r="E81" s="23" t="s">
        <v>192</v>
      </c>
      <c r="F81" s="30">
        <v>1</v>
      </c>
      <c r="G81" s="23" t="s">
        <v>193</v>
      </c>
      <c r="H81" s="79" t="s">
        <v>194</v>
      </c>
      <c r="I81" s="23" t="s">
        <v>1375</v>
      </c>
      <c r="J81" s="23" t="s">
        <v>196</v>
      </c>
      <c r="K81" s="23">
        <v>18</v>
      </c>
      <c r="L81" s="23" t="s">
        <v>1134</v>
      </c>
      <c r="M81" s="30" t="str">
        <f t="shared" si="1"/>
        <v>112008</v>
      </c>
    </row>
    <row r="82" spans="1:13" x14ac:dyDescent="0.25">
      <c r="A82" s="23" t="s">
        <v>2914</v>
      </c>
      <c r="B82" s="23" t="s">
        <v>1847</v>
      </c>
      <c r="C82" s="23" t="s">
        <v>1848</v>
      </c>
      <c r="D82" s="23" t="s">
        <v>3294</v>
      </c>
      <c r="E82" s="23" t="s">
        <v>192</v>
      </c>
      <c r="F82" s="30">
        <v>1</v>
      </c>
      <c r="G82" s="23" t="s">
        <v>193</v>
      </c>
      <c r="H82" s="79" t="s">
        <v>194</v>
      </c>
      <c r="I82" s="23" t="s">
        <v>3313</v>
      </c>
      <c r="J82" s="23" t="s">
        <v>196</v>
      </c>
      <c r="K82" s="23">
        <v>18</v>
      </c>
      <c r="L82" s="23" t="s">
        <v>1849</v>
      </c>
      <c r="M82" s="30" t="str">
        <f t="shared" si="1"/>
        <v>112009</v>
      </c>
    </row>
    <row r="83" spans="1:13" x14ac:dyDescent="0.25">
      <c r="A83" s="23" t="s">
        <v>3337</v>
      </c>
      <c r="B83" s="23" t="s">
        <v>189</v>
      </c>
      <c r="C83" s="23" t="s">
        <v>190</v>
      </c>
      <c r="D83" s="23" t="s">
        <v>3294</v>
      </c>
      <c r="E83" s="23" t="s">
        <v>192</v>
      </c>
      <c r="F83" s="30">
        <v>1</v>
      </c>
      <c r="G83" s="23" t="s">
        <v>193</v>
      </c>
      <c r="H83" s="79" t="s">
        <v>194</v>
      </c>
      <c r="I83" s="23" t="s">
        <v>3313</v>
      </c>
      <c r="J83" s="23" t="s">
        <v>367</v>
      </c>
      <c r="K83" s="23">
        <v>18</v>
      </c>
      <c r="L83" s="23" t="s">
        <v>197</v>
      </c>
      <c r="M83" s="30" t="str">
        <f t="shared" si="1"/>
        <v>112012</v>
      </c>
    </row>
    <row r="84" spans="1:13" x14ac:dyDescent="0.25">
      <c r="A84" s="23" t="s">
        <v>2914</v>
      </c>
      <c r="B84" s="23" t="s">
        <v>189</v>
      </c>
      <c r="C84" s="23" t="s">
        <v>190</v>
      </c>
      <c r="D84" s="23" t="s">
        <v>3294</v>
      </c>
      <c r="E84" s="23" t="s">
        <v>192</v>
      </c>
      <c r="F84" s="30">
        <v>1</v>
      </c>
      <c r="G84" s="23" t="s">
        <v>193</v>
      </c>
      <c r="H84" s="79" t="s">
        <v>194</v>
      </c>
      <c r="I84" s="23" t="s">
        <v>3313</v>
      </c>
      <c r="J84" s="23" t="s">
        <v>253</v>
      </c>
      <c r="K84" s="23">
        <v>18</v>
      </c>
      <c r="L84" s="23" t="s">
        <v>197</v>
      </c>
      <c r="M84" s="30" t="str">
        <f t="shared" si="1"/>
        <v>112012</v>
      </c>
    </row>
    <row r="85" spans="1:13" x14ac:dyDescent="0.25">
      <c r="A85" s="23" t="s">
        <v>1191</v>
      </c>
      <c r="B85" s="23" t="s">
        <v>1192</v>
      </c>
      <c r="C85" s="23" t="s">
        <v>190</v>
      </c>
      <c r="D85" s="23" t="s">
        <v>1116</v>
      </c>
      <c r="E85" s="23" t="s">
        <v>233</v>
      </c>
      <c r="F85" s="84">
        <v>0</v>
      </c>
      <c r="G85" s="64" t="s">
        <v>194</v>
      </c>
      <c r="H85" s="79" t="s">
        <v>193</v>
      </c>
      <c r="I85" s="23" t="s">
        <v>1077</v>
      </c>
      <c r="J85" s="23" t="s">
        <v>1193</v>
      </c>
      <c r="K85" s="23">
        <v>18</v>
      </c>
      <c r="L85" s="23" t="s">
        <v>197</v>
      </c>
      <c r="M85" s="30" t="str">
        <f t="shared" si="1"/>
        <v>112012</v>
      </c>
    </row>
    <row r="86" spans="1:13" x14ac:dyDescent="0.25">
      <c r="A86" s="23" t="s">
        <v>1203</v>
      </c>
      <c r="B86" s="23" t="s">
        <v>190</v>
      </c>
      <c r="C86" s="23" t="s">
        <v>190</v>
      </c>
      <c r="D86" s="23" t="s">
        <v>1197</v>
      </c>
      <c r="E86" s="23" t="s">
        <v>233</v>
      </c>
      <c r="F86" s="30">
        <v>1</v>
      </c>
      <c r="G86" s="23" t="s">
        <v>193</v>
      </c>
      <c r="H86" s="79" t="s">
        <v>194</v>
      </c>
      <c r="I86" s="23" t="s">
        <v>1117</v>
      </c>
      <c r="J86" s="23" t="s">
        <v>210</v>
      </c>
      <c r="K86" s="23">
        <v>18</v>
      </c>
      <c r="L86" s="23" t="s">
        <v>197</v>
      </c>
      <c r="M86" s="30" t="str">
        <f t="shared" si="1"/>
        <v>112012</v>
      </c>
    </row>
    <row r="87" spans="1:13" x14ac:dyDescent="0.25">
      <c r="A87" s="23" t="s">
        <v>1552</v>
      </c>
      <c r="B87" s="23" t="s">
        <v>1553</v>
      </c>
      <c r="C87" s="23" t="s">
        <v>1554</v>
      </c>
      <c r="D87" s="23" t="s">
        <v>1374</v>
      </c>
      <c r="E87" s="23" t="s">
        <v>192</v>
      </c>
      <c r="F87" s="30">
        <v>1</v>
      </c>
      <c r="G87" s="23" t="s">
        <v>193</v>
      </c>
      <c r="H87" s="79" t="s">
        <v>194</v>
      </c>
      <c r="I87" s="23" t="s">
        <v>1375</v>
      </c>
      <c r="J87" s="23" t="s">
        <v>210</v>
      </c>
      <c r="K87" s="23">
        <v>18</v>
      </c>
      <c r="L87" s="23" t="s">
        <v>1555</v>
      </c>
      <c r="M87" s="30" t="str">
        <f t="shared" si="1"/>
        <v>112013</v>
      </c>
    </row>
    <row r="88" spans="1:13" x14ac:dyDescent="0.25">
      <c r="A88" s="23" t="s">
        <v>1483</v>
      </c>
      <c r="B88" s="23" t="s">
        <v>1484</v>
      </c>
      <c r="C88" s="23" t="s">
        <v>1485</v>
      </c>
      <c r="D88" s="23" t="s">
        <v>1374</v>
      </c>
      <c r="E88" s="23" t="s">
        <v>217</v>
      </c>
      <c r="F88" s="30">
        <v>1</v>
      </c>
      <c r="G88" s="23" t="s">
        <v>193</v>
      </c>
      <c r="H88" s="79" t="s">
        <v>194</v>
      </c>
      <c r="I88" s="23" t="s">
        <v>1197</v>
      </c>
      <c r="J88" s="23" t="s">
        <v>1486</v>
      </c>
      <c r="K88" s="23">
        <v>18</v>
      </c>
      <c r="L88" s="23" t="s">
        <v>1487</v>
      </c>
      <c r="M88" s="30" t="str">
        <f t="shared" si="1"/>
        <v>112015</v>
      </c>
    </row>
    <row r="89" spans="1:13" x14ac:dyDescent="0.25">
      <c r="A89" s="23" t="s">
        <v>3338</v>
      </c>
      <c r="B89" s="23" t="s">
        <v>3339</v>
      </c>
      <c r="C89" s="23" t="s">
        <v>3340</v>
      </c>
      <c r="D89" s="23" t="s">
        <v>3303</v>
      </c>
      <c r="E89" s="23" t="s">
        <v>217</v>
      </c>
      <c r="F89" s="84">
        <v>0</v>
      </c>
      <c r="G89" s="64" t="s">
        <v>194</v>
      </c>
      <c r="H89" s="79" t="s">
        <v>193</v>
      </c>
      <c r="I89" s="23" t="s">
        <v>3316</v>
      </c>
      <c r="J89" s="23" t="s">
        <v>196</v>
      </c>
      <c r="K89" s="23">
        <v>18</v>
      </c>
      <c r="L89" s="23" t="s">
        <v>3341</v>
      </c>
      <c r="M89" s="30" t="str">
        <f t="shared" si="1"/>
        <v>112016</v>
      </c>
    </row>
    <row r="90" spans="1:13" x14ac:dyDescent="0.25">
      <c r="A90" s="23" t="s">
        <v>1122</v>
      </c>
      <c r="B90" s="23" t="s">
        <v>1123</v>
      </c>
      <c r="C90" s="23" t="s">
        <v>1124</v>
      </c>
      <c r="D90" s="23" t="s">
        <v>1116</v>
      </c>
      <c r="E90" s="23" t="s">
        <v>233</v>
      </c>
      <c r="F90" s="30">
        <v>1</v>
      </c>
      <c r="G90" s="23" t="s">
        <v>193</v>
      </c>
      <c r="H90" s="79" t="s">
        <v>194</v>
      </c>
      <c r="I90" s="23" t="s">
        <v>1117</v>
      </c>
      <c r="J90" s="23" t="s">
        <v>210</v>
      </c>
      <c r="K90" s="23">
        <v>18</v>
      </c>
      <c r="L90" s="23" t="s">
        <v>1125</v>
      </c>
      <c r="M90" s="30" t="str">
        <f t="shared" si="1"/>
        <v>432302</v>
      </c>
    </row>
    <row r="91" spans="1:13" x14ac:dyDescent="0.25">
      <c r="A91" s="23" t="s">
        <v>1909</v>
      </c>
      <c r="B91" s="23" t="s">
        <v>1520</v>
      </c>
      <c r="C91" s="23" t="s">
        <v>525</v>
      </c>
      <c r="D91" s="23" t="s">
        <v>3303</v>
      </c>
      <c r="E91" s="23" t="s">
        <v>233</v>
      </c>
      <c r="F91" s="30">
        <v>1</v>
      </c>
      <c r="G91" s="23" t="s">
        <v>193</v>
      </c>
      <c r="H91" s="79" t="s">
        <v>194</v>
      </c>
      <c r="I91" s="23" t="s">
        <v>3304</v>
      </c>
      <c r="J91" s="23" t="s">
        <v>210</v>
      </c>
      <c r="K91" s="23">
        <v>18</v>
      </c>
      <c r="L91" s="23" t="s">
        <v>526</v>
      </c>
      <c r="M91" s="30" t="str">
        <f t="shared" si="1"/>
        <v>263102</v>
      </c>
    </row>
    <row r="92" spans="1:13" x14ac:dyDescent="0.25">
      <c r="A92" s="23" t="s">
        <v>1358</v>
      </c>
      <c r="B92" s="23" t="s">
        <v>1359</v>
      </c>
      <c r="C92" s="23" t="s">
        <v>525</v>
      </c>
      <c r="D92" s="23" t="s">
        <v>1197</v>
      </c>
      <c r="E92" s="23" t="s">
        <v>192</v>
      </c>
      <c r="F92" s="30">
        <v>1</v>
      </c>
      <c r="G92" s="23" t="s">
        <v>193</v>
      </c>
      <c r="H92" s="79" t="s">
        <v>194</v>
      </c>
      <c r="I92" s="23" t="s">
        <v>1255</v>
      </c>
      <c r="J92" s="23" t="s">
        <v>408</v>
      </c>
      <c r="K92" s="23">
        <v>18</v>
      </c>
      <c r="L92" s="23" t="s">
        <v>526</v>
      </c>
      <c r="M92" s="30" t="str">
        <f t="shared" si="1"/>
        <v>263102</v>
      </c>
    </row>
    <row r="93" spans="1:13" x14ac:dyDescent="0.25">
      <c r="A93" s="23" t="s">
        <v>1209</v>
      </c>
      <c r="B93" s="23" t="s">
        <v>1395</v>
      </c>
      <c r="C93" s="23" t="s">
        <v>525</v>
      </c>
      <c r="D93" s="23" t="s">
        <v>1374</v>
      </c>
      <c r="E93" s="23" t="s">
        <v>192</v>
      </c>
      <c r="F93" s="30">
        <v>1</v>
      </c>
      <c r="G93" s="23" t="s">
        <v>193</v>
      </c>
      <c r="H93" s="79" t="s">
        <v>194</v>
      </c>
      <c r="I93" s="23" t="s">
        <v>1375</v>
      </c>
      <c r="J93" s="23" t="s">
        <v>1059</v>
      </c>
      <c r="K93" s="23">
        <v>18</v>
      </c>
      <c r="L93" s="23" t="s">
        <v>526</v>
      </c>
      <c r="M93" s="30" t="str">
        <f t="shared" si="1"/>
        <v>263102</v>
      </c>
    </row>
    <row r="94" spans="1:13" x14ac:dyDescent="0.25">
      <c r="A94" s="23" t="s">
        <v>1574</v>
      </c>
      <c r="B94" s="23" t="s">
        <v>1704</v>
      </c>
      <c r="C94" s="23" t="s">
        <v>110</v>
      </c>
      <c r="D94" s="23" t="s">
        <v>1637</v>
      </c>
      <c r="E94" s="23" t="s">
        <v>233</v>
      </c>
      <c r="F94" s="30">
        <v>1</v>
      </c>
      <c r="G94" s="23" t="s">
        <v>193</v>
      </c>
      <c r="H94" s="79" t="s">
        <v>194</v>
      </c>
      <c r="I94" s="23" t="s">
        <v>1374</v>
      </c>
      <c r="J94" s="23" t="s">
        <v>1705</v>
      </c>
      <c r="K94" s="23">
        <v>18</v>
      </c>
      <c r="L94" s="23" t="s">
        <v>621</v>
      </c>
      <c r="M94" s="30" t="str">
        <f t="shared" si="1"/>
        <v>332201</v>
      </c>
    </row>
    <row r="95" spans="1:13" x14ac:dyDescent="0.25">
      <c r="A95" s="23" t="s">
        <v>1319</v>
      </c>
      <c r="B95" s="23" t="s">
        <v>1320</v>
      </c>
      <c r="C95" s="23" t="s">
        <v>829</v>
      </c>
      <c r="D95" s="23" t="s">
        <v>1197</v>
      </c>
      <c r="E95" s="23" t="s">
        <v>192</v>
      </c>
      <c r="F95" s="30">
        <v>1</v>
      </c>
      <c r="G95" s="23" t="s">
        <v>193</v>
      </c>
      <c r="H95" s="79" t="s">
        <v>194</v>
      </c>
      <c r="I95" s="23" t="s">
        <v>1255</v>
      </c>
      <c r="J95" s="23" t="s">
        <v>301</v>
      </c>
      <c r="K95" s="23">
        <v>18</v>
      </c>
      <c r="L95" s="23" t="s">
        <v>830</v>
      </c>
      <c r="M95" s="30" t="str">
        <f t="shared" si="1"/>
        <v>741201</v>
      </c>
    </row>
    <row r="96" spans="1:13" x14ac:dyDescent="0.25">
      <c r="A96" s="23" t="s">
        <v>1415</v>
      </c>
      <c r="B96" s="23" t="s">
        <v>831</v>
      </c>
      <c r="C96" s="23" t="s">
        <v>829</v>
      </c>
      <c r="D96" s="23" t="s">
        <v>1374</v>
      </c>
      <c r="E96" s="23" t="s">
        <v>233</v>
      </c>
      <c r="F96" s="30">
        <v>1</v>
      </c>
      <c r="G96" s="23" t="s">
        <v>193</v>
      </c>
      <c r="H96" s="79" t="s">
        <v>194</v>
      </c>
      <c r="I96" s="23" t="s">
        <v>1375</v>
      </c>
      <c r="J96" s="23" t="s">
        <v>1416</v>
      </c>
      <c r="K96" s="23">
        <v>18</v>
      </c>
      <c r="L96" s="23" t="s">
        <v>830</v>
      </c>
      <c r="M96" s="30" t="str">
        <f t="shared" si="1"/>
        <v>741201</v>
      </c>
    </row>
    <row r="97" spans="1:13" x14ac:dyDescent="0.25">
      <c r="A97" s="23" t="s">
        <v>656</v>
      </c>
      <c r="B97" s="23" t="s">
        <v>836</v>
      </c>
      <c r="C97" s="23" t="s">
        <v>3342</v>
      </c>
      <c r="D97" s="23" t="s">
        <v>3308</v>
      </c>
      <c r="E97" s="23" t="s">
        <v>192</v>
      </c>
      <c r="F97" s="30">
        <v>1</v>
      </c>
      <c r="G97" s="23" t="s">
        <v>193</v>
      </c>
      <c r="H97" s="79" t="s">
        <v>194</v>
      </c>
      <c r="I97" s="23" t="s">
        <v>3313</v>
      </c>
      <c r="J97" s="23" t="s">
        <v>196</v>
      </c>
      <c r="K97" s="23">
        <v>18</v>
      </c>
      <c r="L97" s="23" t="s">
        <v>3343</v>
      </c>
      <c r="M97" s="30" t="str">
        <f t="shared" si="1"/>
        <v>741101</v>
      </c>
    </row>
    <row r="98" spans="1:13" x14ac:dyDescent="0.25">
      <c r="A98" s="23" t="s">
        <v>3172</v>
      </c>
      <c r="B98" s="23" t="s">
        <v>1606</v>
      </c>
      <c r="C98" s="23" t="s">
        <v>389</v>
      </c>
      <c r="D98" s="23" t="s">
        <v>3308</v>
      </c>
      <c r="E98" s="23" t="s">
        <v>192</v>
      </c>
      <c r="F98" s="30">
        <v>1</v>
      </c>
      <c r="G98" s="23" t="s">
        <v>193</v>
      </c>
      <c r="H98" s="79" t="s">
        <v>194</v>
      </c>
      <c r="I98" s="23" t="s">
        <v>3295</v>
      </c>
      <c r="J98" s="23" t="s">
        <v>305</v>
      </c>
      <c r="K98" s="23">
        <v>18</v>
      </c>
      <c r="L98" s="23" t="s">
        <v>390</v>
      </c>
      <c r="M98" s="30" t="str">
        <f t="shared" si="1"/>
        <v>228203</v>
      </c>
    </row>
    <row r="99" spans="1:13" x14ac:dyDescent="0.25">
      <c r="A99" s="23" t="s">
        <v>1449</v>
      </c>
      <c r="B99" s="23" t="s">
        <v>1453</v>
      </c>
      <c r="C99" s="23" t="s">
        <v>1454</v>
      </c>
      <c r="D99" s="23" t="s">
        <v>1374</v>
      </c>
      <c r="E99" s="23" t="s">
        <v>217</v>
      </c>
      <c r="F99" s="30">
        <v>1</v>
      </c>
      <c r="G99" s="23" t="s">
        <v>193</v>
      </c>
      <c r="H99" s="79" t="s">
        <v>194</v>
      </c>
      <c r="I99" s="23" t="s">
        <v>1375</v>
      </c>
      <c r="J99" s="23" t="s">
        <v>210</v>
      </c>
      <c r="K99" s="23">
        <v>18</v>
      </c>
      <c r="L99" s="23" t="s">
        <v>1455</v>
      </c>
      <c r="M99" s="30" t="str">
        <f t="shared" si="1"/>
        <v>722301</v>
      </c>
    </row>
    <row r="100" spans="1:13" x14ac:dyDescent="0.25">
      <c r="A100" s="23" t="s">
        <v>1345</v>
      </c>
      <c r="B100" s="23" t="s">
        <v>1346</v>
      </c>
      <c r="C100" s="23" t="s">
        <v>1347</v>
      </c>
      <c r="D100" s="23" t="s">
        <v>1197</v>
      </c>
      <c r="E100" s="23" t="s">
        <v>252</v>
      </c>
      <c r="F100" s="30">
        <v>1</v>
      </c>
      <c r="G100" s="23" t="s">
        <v>193</v>
      </c>
      <c r="H100" s="79" t="s">
        <v>194</v>
      </c>
      <c r="I100" s="23" t="s">
        <v>1255</v>
      </c>
      <c r="J100" s="23" t="s">
        <v>1348</v>
      </c>
      <c r="K100" s="23">
        <v>18</v>
      </c>
      <c r="L100" s="23" t="s">
        <v>1349</v>
      </c>
      <c r="M100" s="30" t="str">
        <f t="shared" si="1"/>
        <v>514101</v>
      </c>
    </row>
    <row r="101" spans="1:13" x14ac:dyDescent="0.25">
      <c r="A101" s="23" t="s">
        <v>1426</v>
      </c>
      <c r="B101" s="23" t="s">
        <v>1427</v>
      </c>
      <c r="C101" s="23" t="s">
        <v>1427</v>
      </c>
      <c r="D101" s="23" t="s">
        <v>1374</v>
      </c>
      <c r="E101" s="23" t="s">
        <v>192</v>
      </c>
      <c r="F101" s="30">
        <v>1</v>
      </c>
      <c r="G101" s="23" t="s">
        <v>193</v>
      </c>
      <c r="H101" s="79" t="s">
        <v>194</v>
      </c>
      <c r="I101" s="23" t="s">
        <v>1375</v>
      </c>
      <c r="J101" s="23" t="s">
        <v>253</v>
      </c>
      <c r="K101" s="23">
        <v>18</v>
      </c>
      <c r="L101" s="23" t="s">
        <v>1428</v>
      </c>
      <c r="M101" s="30" t="str">
        <f t="shared" si="1"/>
        <v>731602</v>
      </c>
    </row>
    <row r="102" spans="1:13" x14ac:dyDescent="0.25">
      <c r="A102" s="23" t="s">
        <v>1106</v>
      </c>
      <c r="B102" s="23" t="s">
        <v>86</v>
      </c>
      <c r="C102" s="23" t="s">
        <v>86</v>
      </c>
      <c r="D102" s="23" t="s">
        <v>1077</v>
      </c>
      <c r="E102" s="23" t="s">
        <v>233</v>
      </c>
      <c r="F102" s="30">
        <v>1</v>
      </c>
      <c r="G102" s="23" t="s">
        <v>193</v>
      </c>
      <c r="H102" s="79" t="s">
        <v>194</v>
      </c>
      <c r="I102" s="23" t="s">
        <v>1078</v>
      </c>
      <c r="J102" s="23" t="s">
        <v>385</v>
      </c>
      <c r="K102" s="23">
        <v>18</v>
      </c>
      <c r="L102" s="23" t="s">
        <v>1107</v>
      </c>
      <c r="M102" s="30" t="str">
        <f t="shared" si="1"/>
        <v>121101</v>
      </c>
    </row>
    <row r="103" spans="1:13" x14ac:dyDescent="0.25">
      <c r="A103" s="23" t="s">
        <v>629</v>
      </c>
      <c r="B103" s="23" t="s">
        <v>1301</v>
      </c>
      <c r="C103" s="23" t="s">
        <v>86</v>
      </c>
      <c r="D103" s="23" t="s">
        <v>1197</v>
      </c>
      <c r="E103" s="23" t="s">
        <v>192</v>
      </c>
      <c r="F103" s="30">
        <v>1</v>
      </c>
      <c r="G103" s="23" t="s">
        <v>193</v>
      </c>
      <c r="H103" s="79" t="s">
        <v>194</v>
      </c>
      <c r="I103" s="23" t="s">
        <v>1255</v>
      </c>
      <c r="J103" s="23" t="s">
        <v>1302</v>
      </c>
      <c r="K103" s="23">
        <v>18</v>
      </c>
      <c r="L103" s="23" t="s">
        <v>1107</v>
      </c>
      <c r="M103" s="30" t="str">
        <f t="shared" si="1"/>
        <v>121101</v>
      </c>
    </row>
    <row r="104" spans="1:13" x14ac:dyDescent="0.25">
      <c r="A104" s="23" t="s">
        <v>1523</v>
      </c>
      <c r="B104" s="23" t="s">
        <v>1524</v>
      </c>
      <c r="C104" s="23" t="s">
        <v>86</v>
      </c>
      <c r="D104" s="23" t="s">
        <v>1374</v>
      </c>
      <c r="E104" s="23" t="s">
        <v>192</v>
      </c>
      <c r="F104" s="30">
        <v>1</v>
      </c>
      <c r="G104" s="23" t="s">
        <v>193</v>
      </c>
      <c r="H104" s="79" t="s">
        <v>194</v>
      </c>
      <c r="I104" s="23" t="s">
        <v>1375</v>
      </c>
      <c r="J104" s="23" t="s">
        <v>210</v>
      </c>
      <c r="K104" s="23">
        <v>18</v>
      </c>
      <c r="L104" s="23" t="s">
        <v>1107</v>
      </c>
      <c r="M104" s="30" t="str">
        <f t="shared" si="1"/>
        <v>121101</v>
      </c>
    </row>
    <row r="105" spans="1:13" x14ac:dyDescent="0.25">
      <c r="A105" s="23" t="s">
        <v>1468</v>
      </c>
      <c r="B105" s="23" t="s">
        <v>1469</v>
      </c>
      <c r="C105" s="23" t="s">
        <v>141</v>
      </c>
      <c r="D105" s="23" t="s">
        <v>1374</v>
      </c>
      <c r="E105" s="23" t="s">
        <v>192</v>
      </c>
      <c r="F105" s="30">
        <v>1</v>
      </c>
      <c r="G105" s="23" t="s">
        <v>193</v>
      </c>
      <c r="H105" s="79" t="s">
        <v>194</v>
      </c>
      <c r="I105" s="23" t="s">
        <v>1375</v>
      </c>
      <c r="J105" s="23" t="s">
        <v>301</v>
      </c>
      <c r="K105" s="23">
        <v>18</v>
      </c>
      <c r="L105" s="23" t="s">
        <v>1470</v>
      </c>
      <c r="M105" s="30" t="str">
        <f t="shared" si="1"/>
        <v>812102</v>
      </c>
    </row>
    <row r="106" spans="1:13" x14ac:dyDescent="0.25">
      <c r="A106" s="23" t="s">
        <v>1248</v>
      </c>
      <c r="B106" s="23" t="s">
        <v>1249</v>
      </c>
      <c r="C106" s="23" t="s">
        <v>1250</v>
      </c>
      <c r="D106" s="23" t="s">
        <v>1197</v>
      </c>
      <c r="E106" s="23" t="s">
        <v>252</v>
      </c>
      <c r="F106" s="30">
        <v>1</v>
      </c>
      <c r="G106" s="23" t="s">
        <v>193</v>
      </c>
      <c r="H106" s="79" t="s">
        <v>194</v>
      </c>
      <c r="I106" s="23" t="s">
        <v>1078</v>
      </c>
      <c r="J106" s="23" t="s">
        <v>367</v>
      </c>
      <c r="K106" s="23">
        <v>18</v>
      </c>
      <c r="L106" s="23" t="s">
        <v>1251</v>
      </c>
      <c r="M106" s="30" t="str">
        <f t="shared" si="1"/>
        <v>731502</v>
      </c>
    </row>
    <row r="107" spans="1:13" x14ac:dyDescent="0.25">
      <c r="A107" s="23" t="s">
        <v>1235</v>
      </c>
      <c r="B107" s="23" t="s">
        <v>1236</v>
      </c>
      <c r="C107" s="23" t="s">
        <v>1236</v>
      </c>
      <c r="D107" s="23" t="s">
        <v>1197</v>
      </c>
      <c r="E107" s="23" t="s">
        <v>192</v>
      </c>
      <c r="F107" s="30">
        <v>1</v>
      </c>
      <c r="G107" s="23" t="s">
        <v>193</v>
      </c>
      <c r="H107" s="79" t="s">
        <v>194</v>
      </c>
      <c r="I107" s="23" t="s">
        <v>1117</v>
      </c>
      <c r="J107" s="23" t="s">
        <v>196</v>
      </c>
      <c r="K107" s="23">
        <v>18</v>
      </c>
      <c r="L107" s="23" t="s">
        <v>1237</v>
      </c>
      <c r="M107" s="30" t="str">
        <f t="shared" si="1"/>
        <v>712601</v>
      </c>
    </row>
    <row r="108" spans="1:13" x14ac:dyDescent="0.25">
      <c r="A108" s="23" t="s">
        <v>1371</v>
      </c>
      <c r="B108" s="23" t="s">
        <v>1372</v>
      </c>
      <c r="C108" s="23" t="s">
        <v>1236</v>
      </c>
      <c r="D108" s="23" t="s">
        <v>1197</v>
      </c>
      <c r="E108" s="23" t="s">
        <v>252</v>
      </c>
      <c r="F108" s="30">
        <v>1</v>
      </c>
      <c r="G108" s="23" t="s">
        <v>193</v>
      </c>
      <c r="H108" s="79" t="s">
        <v>194</v>
      </c>
      <c r="I108" s="23" t="s">
        <v>1255</v>
      </c>
      <c r="J108" s="23" t="s">
        <v>253</v>
      </c>
      <c r="K108" s="23">
        <v>18</v>
      </c>
      <c r="L108" s="23" t="s">
        <v>1237</v>
      </c>
      <c r="M108" s="30" t="str">
        <f t="shared" si="1"/>
        <v>712601</v>
      </c>
    </row>
    <row r="109" spans="1:13" x14ac:dyDescent="0.25">
      <c r="A109" s="23" t="s">
        <v>1516</v>
      </c>
      <c r="B109" s="23" t="s">
        <v>1517</v>
      </c>
      <c r="C109" s="23" t="s">
        <v>1518</v>
      </c>
      <c r="D109" s="23" t="s">
        <v>1374</v>
      </c>
      <c r="E109" s="23" t="s">
        <v>233</v>
      </c>
      <c r="F109" s="30">
        <v>1</v>
      </c>
      <c r="G109" s="23" t="s">
        <v>193</v>
      </c>
      <c r="H109" s="79" t="s">
        <v>194</v>
      </c>
      <c r="I109" s="23" t="s">
        <v>1375</v>
      </c>
      <c r="J109" s="23" t="s">
        <v>267</v>
      </c>
      <c r="K109" s="23">
        <v>18</v>
      </c>
      <c r="L109" s="23" t="s">
        <v>1519</v>
      </c>
      <c r="M109" s="30" t="str">
        <f t="shared" si="1"/>
        <v>242210</v>
      </c>
    </row>
    <row r="110" spans="1:13" x14ac:dyDescent="0.25">
      <c r="A110" s="23" t="s">
        <v>1516</v>
      </c>
      <c r="B110" s="23" t="s">
        <v>1520</v>
      </c>
      <c r="C110" s="23" t="s">
        <v>1518</v>
      </c>
      <c r="D110" s="23" t="s">
        <v>1374</v>
      </c>
      <c r="E110" s="23" t="s">
        <v>233</v>
      </c>
      <c r="F110" s="30">
        <v>1</v>
      </c>
      <c r="G110" s="23" t="s">
        <v>193</v>
      </c>
      <c r="H110" s="79" t="s">
        <v>194</v>
      </c>
      <c r="I110" s="23" t="s">
        <v>1375</v>
      </c>
      <c r="J110" s="23" t="s">
        <v>267</v>
      </c>
      <c r="K110" s="23">
        <v>18</v>
      </c>
      <c r="L110" s="23" t="s">
        <v>1519</v>
      </c>
      <c r="M110" s="30" t="str">
        <f t="shared" si="1"/>
        <v>242210</v>
      </c>
    </row>
    <row r="111" spans="1:13" x14ac:dyDescent="0.25">
      <c r="A111" s="23" t="s">
        <v>1172</v>
      </c>
      <c r="B111" s="23" t="s">
        <v>1173</v>
      </c>
      <c r="C111" s="23" t="s">
        <v>1173</v>
      </c>
      <c r="D111" s="23" t="s">
        <v>1116</v>
      </c>
      <c r="E111" s="23" t="s">
        <v>233</v>
      </c>
      <c r="F111" s="30">
        <v>1</v>
      </c>
      <c r="G111" s="23" t="s">
        <v>193</v>
      </c>
      <c r="H111" s="79" t="s">
        <v>194</v>
      </c>
      <c r="I111" s="23" t="s">
        <v>1117</v>
      </c>
      <c r="J111" s="23" t="s">
        <v>323</v>
      </c>
      <c r="K111" s="23">
        <v>18</v>
      </c>
      <c r="L111" s="23" t="s">
        <v>1174</v>
      </c>
      <c r="M111" s="30" t="str">
        <f t="shared" si="1"/>
        <v>242211</v>
      </c>
    </row>
    <row r="112" spans="1:13" x14ac:dyDescent="0.25">
      <c r="A112" s="23" t="s">
        <v>1175</v>
      </c>
      <c r="B112" s="23" t="s">
        <v>1176</v>
      </c>
      <c r="C112" s="23" t="s">
        <v>1173</v>
      </c>
      <c r="D112" s="23" t="s">
        <v>1116</v>
      </c>
      <c r="E112" s="23" t="s">
        <v>233</v>
      </c>
      <c r="F112" s="30">
        <v>1</v>
      </c>
      <c r="G112" s="23" t="s">
        <v>193</v>
      </c>
      <c r="H112" s="79" t="s">
        <v>194</v>
      </c>
      <c r="I112" s="23" t="s">
        <v>1077</v>
      </c>
      <c r="J112" s="23" t="s">
        <v>210</v>
      </c>
      <c r="K112" s="23">
        <v>18</v>
      </c>
      <c r="L112" s="23" t="s">
        <v>1174</v>
      </c>
      <c r="M112" s="30" t="str">
        <f t="shared" si="1"/>
        <v>242211</v>
      </c>
    </row>
    <row r="113" spans="1:13" x14ac:dyDescent="0.25">
      <c r="A113" s="23" t="s">
        <v>349</v>
      </c>
      <c r="B113" s="23" t="s">
        <v>1489</v>
      </c>
      <c r="C113" s="23" t="s">
        <v>1173</v>
      </c>
      <c r="D113" s="23" t="s">
        <v>1374</v>
      </c>
      <c r="E113" s="23" t="s">
        <v>192</v>
      </c>
      <c r="F113" s="30">
        <v>1</v>
      </c>
      <c r="G113" s="23" t="s">
        <v>193</v>
      </c>
      <c r="H113" s="79" t="s">
        <v>194</v>
      </c>
      <c r="I113" s="23" t="s">
        <v>1197</v>
      </c>
      <c r="J113" s="23" t="s">
        <v>210</v>
      </c>
      <c r="K113" s="23">
        <v>18</v>
      </c>
      <c r="L113" s="23" t="s">
        <v>1174</v>
      </c>
      <c r="M113" s="30" t="str">
        <f t="shared" si="1"/>
        <v>242211</v>
      </c>
    </row>
    <row r="114" spans="1:13" x14ac:dyDescent="0.25">
      <c r="A114" s="23" t="s">
        <v>1164</v>
      </c>
      <c r="B114" s="23" t="s">
        <v>1165</v>
      </c>
      <c r="C114" s="23" t="s">
        <v>114</v>
      </c>
      <c r="D114" s="23" t="s">
        <v>1116</v>
      </c>
      <c r="E114" s="23" t="s">
        <v>217</v>
      </c>
      <c r="F114" s="84">
        <v>0</v>
      </c>
      <c r="G114" s="64" t="s">
        <v>194</v>
      </c>
      <c r="H114" s="79" t="s">
        <v>193</v>
      </c>
      <c r="I114" s="23" t="s">
        <v>1077</v>
      </c>
      <c r="J114" s="23" t="s">
        <v>196</v>
      </c>
      <c r="K114" s="23">
        <v>18</v>
      </c>
      <c r="L114" s="23" t="s">
        <v>1166</v>
      </c>
      <c r="M114" s="30" t="str">
        <f t="shared" si="1"/>
        <v>432102</v>
      </c>
    </row>
    <row r="115" spans="1:13" x14ac:dyDescent="0.25">
      <c r="A115" s="23" t="s">
        <v>1164</v>
      </c>
      <c r="B115" s="23" t="s">
        <v>1165</v>
      </c>
      <c r="C115" s="23" t="s">
        <v>114</v>
      </c>
      <c r="D115" s="23" t="s">
        <v>1374</v>
      </c>
      <c r="E115" s="23" t="s">
        <v>217</v>
      </c>
      <c r="F115" s="84">
        <v>0</v>
      </c>
      <c r="G115" s="64" t="s">
        <v>194</v>
      </c>
      <c r="H115" s="79" t="s">
        <v>193</v>
      </c>
      <c r="I115" s="23" t="s">
        <v>1197</v>
      </c>
      <c r="J115" s="23" t="s">
        <v>196</v>
      </c>
      <c r="K115" s="23">
        <v>18</v>
      </c>
      <c r="L115" s="23" t="s">
        <v>1166</v>
      </c>
      <c r="M115" s="30" t="str">
        <f t="shared" si="1"/>
        <v>432102</v>
      </c>
    </row>
    <row r="116" spans="1:13" x14ac:dyDescent="0.25">
      <c r="A116" s="23" t="s">
        <v>638</v>
      </c>
      <c r="B116" s="23" t="s">
        <v>3344</v>
      </c>
      <c r="C116" s="23" t="s">
        <v>19</v>
      </c>
      <c r="D116" s="23" t="s">
        <v>3294</v>
      </c>
      <c r="E116" s="23" t="s">
        <v>233</v>
      </c>
      <c r="F116" s="30">
        <v>1</v>
      </c>
      <c r="G116" s="23" t="s">
        <v>193</v>
      </c>
      <c r="H116" s="79" t="s">
        <v>194</v>
      </c>
      <c r="I116" s="23" t="s">
        <v>3313</v>
      </c>
      <c r="J116" s="23" t="s">
        <v>1392</v>
      </c>
      <c r="K116" s="23">
        <v>18</v>
      </c>
      <c r="L116" s="23" t="s">
        <v>337</v>
      </c>
      <c r="M116" s="30" t="str">
        <f t="shared" si="1"/>
        <v>214903</v>
      </c>
    </row>
    <row r="117" spans="1:13" x14ac:dyDescent="0.25">
      <c r="A117" s="23" t="s">
        <v>638</v>
      </c>
      <c r="B117" s="23" t="s">
        <v>1119</v>
      </c>
      <c r="C117" s="23" t="s">
        <v>19</v>
      </c>
      <c r="D117" s="23" t="s">
        <v>1116</v>
      </c>
      <c r="E117" s="23" t="s">
        <v>233</v>
      </c>
      <c r="F117" s="30">
        <v>1</v>
      </c>
      <c r="G117" s="23" t="s">
        <v>193</v>
      </c>
      <c r="H117" s="79" t="s">
        <v>194</v>
      </c>
      <c r="I117" s="23" t="s">
        <v>1117</v>
      </c>
      <c r="J117" s="23" t="s">
        <v>253</v>
      </c>
      <c r="K117" s="23">
        <v>18</v>
      </c>
      <c r="L117" s="23" t="s">
        <v>337</v>
      </c>
      <c r="M117" s="30" t="str">
        <f t="shared" si="1"/>
        <v>214903</v>
      </c>
    </row>
    <row r="118" spans="1:13" x14ac:dyDescent="0.25">
      <c r="A118" s="23" t="s">
        <v>1129</v>
      </c>
      <c r="B118" s="23" t="s">
        <v>460</v>
      </c>
      <c r="C118" s="23" t="s">
        <v>19</v>
      </c>
      <c r="D118" s="23" t="s">
        <v>1116</v>
      </c>
      <c r="E118" s="23" t="s">
        <v>217</v>
      </c>
      <c r="F118" s="30">
        <v>1</v>
      </c>
      <c r="G118" s="23" t="s">
        <v>193</v>
      </c>
      <c r="H118" s="79" t="s">
        <v>194</v>
      </c>
      <c r="I118" s="23" t="s">
        <v>1117</v>
      </c>
      <c r="J118" s="23" t="s">
        <v>196</v>
      </c>
      <c r="K118" s="23">
        <v>18</v>
      </c>
      <c r="L118" s="23" t="s">
        <v>337</v>
      </c>
      <c r="M118" s="30" t="str">
        <f t="shared" si="1"/>
        <v>214903</v>
      </c>
    </row>
    <row r="119" spans="1:13" x14ac:dyDescent="0.25">
      <c r="A119" s="23" t="s">
        <v>1423</v>
      </c>
      <c r="B119" s="23" t="s">
        <v>460</v>
      </c>
      <c r="C119" s="23" t="s">
        <v>19</v>
      </c>
      <c r="D119" s="23" t="s">
        <v>1374</v>
      </c>
      <c r="E119" s="23" t="s">
        <v>192</v>
      </c>
      <c r="F119" s="30">
        <v>1</v>
      </c>
      <c r="G119" s="23" t="s">
        <v>193</v>
      </c>
      <c r="H119" s="79" t="s">
        <v>194</v>
      </c>
      <c r="I119" s="23" t="s">
        <v>1375</v>
      </c>
      <c r="J119" s="23" t="s">
        <v>196</v>
      </c>
      <c r="K119" s="23">
        <v>18</v>
      </c>
      <c r="L119" s="23" t="s">
        <v>337</v>
      </c>
      <c r="M119" s="30" t="str">
        <f t="shared" si="1"/>
        <v>214903</v>
      </c>
    </row>
    <row r="120" spans="1:13" x14ac:dyDescent="0.25">
      <c r="A120" s="23" t="s">
        <v>1514</v>
      </c>
      <c r="B120" s="23" t="s">
        <v>1515</v>
      </c>
      <c r="C120" s="23" t="s">
        <v>19</v>
      </c>
      <c r="D120" s="23" t="s">
        <v>1374</v>
      </c>
      <c r="E120" s="23" t="s">
        <v>192</v>
      </c>
      <c r="F120" s="30">
        <v>1</v>
      </c>
      <c r="G120" s="23" t="s">
        <v>193</v>
      </c>
      <c r="H120" s="79" t="s">
        <v>194</v>
      </c>
      <c r="I120" s="23" t="s">
        <v>1375</v>
      </c>
      <c r="J120" s="23" t="s">
        <v>747</v>
      </c>
      <c r="K120" s="23">
        <v>18</v>
      </c>
      <c r="L120" s="23" t="s">
        <v>337</v>
      </c>
      <c r="M120" s="30" t="str">
        <f t="shared" si="1"/>
        <v>214903</v>
      </c>
    </row>
    <row r="121" spans="1:13" x14ac:dyDescent="0.25">
      <c r="A121" s="23" t="s">
        <v>1113</v>
      </c>
      <c r="B121" s="23" t="s">
        <v>1114</v>
      </c>
      <c r="C121" s="23" t="s">
        <v>1115</v>
      </c>
      <c r="D121" s="23" t="s">
        <v>1116</v>
      </c>
      <c r="E121" s="23" t="s">
        <v>217</v>
      </c>
      <c r="F121" s="30">
        <v>1</v>
      </c>
      <c r="G121" s="23" t="s">
        <v>193</v>
      </c>
      <c r="H121" s="79" t="s">
        <v>194</v>
      </c>
      <c r="I121" s="23" t="s">
        <v>1117</v>
      </c>
      <c r="J121" s="23" t="s">
        <v>210</v>
      </c>
      <c r="K121" s="23">
        <v>18</v>
      </c>
      <c r="L121" s="23" t="s">
        <v>1118</v>
      </c>
      <c r="M121" s="30" t="str">
        <f t="shared" si="1"/>
        <v>214205</v>
      </c>
    </row>
    <row r="122" spans="1:13" x14ac:dyDescent="0.25">
      <c r="A122" s="23" t="s">
        <v>1154</v>
      </c>
      <c r="B122" s="23" t="s">
        <v>3345</v>
      </c>
      <c r="C122" s="23" t="s">
        <v>354</v>
      </c>
      <c r="D122" s="23" t="s">
        <v>3303</v>
      </c>
      <c r="E122" s="23" t="s">
        <v>252</v>
      </c>
      <c r="F122" s="30">
        <v>1</v>
      </c>
      <c r="G122" s="23" t="s">
        <v>193</v>
      </c>
      <c r="H122" s="79" t="s">
        <v>194</v>
      </c>
      <c r="I122" s="23" t="s">
        <v>3304</v>
      </c>
      <c r="J122" s="23" t="s">
        <v>3346</v>
      </c>
      <c r="K122" s="23">
        <v>18</v>
      </c>
      <c r="L122" s="23" t="s">
        <v>355</v>
      </c>
      <c r="M122" s="30" t="str">
        <f t="shared" si="1"/>
        <v>215103</v>
      </c>
    </row>
    <row r="123" spans="1:13" x14ac:dyDescent="0.25">
      <c r="A123" s="23" t="s">
        <v>1501</v>
      </c>
      <c r="B123" s="23" t="s">
        <v>1504</v>
      </c>
      <c r="C123" s="23" t="s">
        <v>341</v>
      </c>
      <c r="D123" s="23" t="s">
        <v>1374</v>
      </c>
      <c r="E123" s="23" t="s">
        <v>192</v>
      </c>
      <c r="F123" s="30">
        <v>1</v>
      </c>
      <c r="G123" s="23" t="s">
        <v>193</v>
      </c>
      <c r="H123" s="79" t="s">
        <v>194</v>
      </c>
      <c r="I123" s="23" t="s">
        <v>1197</v>
      </c>
      <c r="J123" s="23" t="s">
        <v>223</v>
      </c>
      <c r="K123" s="23">
        <v>18</v>
      </c>
      <c r="L123" s="23" t="s">
        <v>342</v>
      </c>
      <c r="M123" s="30" t="str">
        <f t="shared" si="1"/>
        <v>214906</v>
      </c>
    </row>
    <row r="124" spans="1:13" x14ac:dyDescent="0.25">
      <c r="A124" s="23" t="s">
        <v>1909</v>
      </c>
      <c r="B124" s="23" t="s">
        <v>3347</v>
      </c>
      <c r="C124" s="23" t="s">
        <v>3348</v>
      </c>
      <c r="D124" s="23" t="s">
        <v>3294</v>
      </c>
      <c r="E124" s="23" t="s">
        <v>233</v>
      </c>
      <c r="F124" s="30">
        <v>1</v>
      </c>
      <c r="G124" s="23" t="s">
        <v>193</v>
      </c>
      <c r="H124" s="79" t="s">
        <v>194</v>
      </c>
      <c r="I124" s="23" t="s">
        <v>3304</v>
      </c>
      <c r="J124" s="23" t="s">
        <v>210</v>
      </c>
      <c r="K124" s="23">
        <v>18</v>
      </c>
      <c r="L124" s="23" t="s">
        <v>3349</v>
      </c>
      <c r="M124" s="30" t="str">
        <f t="shared" si="1"/>
        <v>216503</v>
      </c>
    </row>
    <row r="125" spans="1:13" x14ac:dyDescent="0.25">
      <c r="A125" s="23" t="s">
        <v>1568</v>
      </c>
      <c r="B125" s="23" t="s">
        <v>1569</v>
      </c>
      <c r="C125" s="23" t="s">
        <v>1570</v>
      </c>
      <c r="D125" s="23" t="s">
        <v>1374</v>
      </c>
      <c r="E125" s="23" t="s">
        <v>192</v>
      </c>
      <c r="F125" s="30">
        <v>1</v>
      </c>
      <c r="G125" s="23" t="s">
        <v>193</v>
      </c>
      <c r="H125" s="79" t="s">
        <v>194</v>
      </c>
      <c r="I125" s="23" t="s">
        <v>1197</v>
      </c>
      <c r="J125" s="23" t="s">
        <v>276</v>
      </c>
      <c r="K125" s="23">
        <v>18</v>
      </c>
      <c r="L125" s="23" t="s">
        <v>1571</v>
      </c>
      <c r="M125" s="30" t="str">
        <f t="shared" si="1"/>
        <v>214303</v>
      </c>
    </row>
    <row r="126" spans="1:13" x14ac:dyDescent="0.25">
      <c r="A126" s="23" t="s">
        <v>1104</v>
      </c>
      <c r="B126" s="23" t="s">
        <v>1318</v>
      </c>
      <c r="C126" s="23" t="s">
        <v>308</v>
      </c>
      <c r="D126" s="23" t="s">
        <v>1197</v>
      </c>
      <c r="E126" s="23" t="s">
        <v>252</v>
      </c>
      <c r="F126" s="30">
        <v>1</v>
      </c>
      <c r="G126" s="23" t="s">
        <v>193</v>
      </c>
      <c r="H126" s="79" t="s">
        <v>194</v>
      </c>
      <c r="I126" s="23" t="s">
        <v>1255</v>
      </c>
      <c r="J126" s="23" t="s">
        <v>276</v>
      </c>
      <c r="K126" s="23">
        <v>18</v>
      </c>
      <c r="L126" s="23" t="s">
        <v>310</v>
      </c>
      <c r="M126" s="30" t="str">
        <f t="shared" si="1"/>
        <v>214404</v>
      </c>
    </row>
    <row r="127" spans="1:13" x14ac:dyDescent="0.25">
      <c r="A127" s="23" t="s">
        <v>3069</v>
      </c>
      <c r="B127" s="23" t="s">
        <v>3350</v>
      </c>
      <c r="C127" s="23" t="s">
        <v>1957</v>
      </c>
      <c r="D127" s="23" t="s">
        <v>3294</v>
      </c>
      <c r="E127" s="23" t="s">
        <v>192</v>
      </c>
      <c r="F127" s="30">
        <v>1</v>
      </c>
      <c r="G127" s="23" t="s">
        <v>193</v>
      </c>
      <c r="H127" s="79" t="s">
        <v>194</v>
      </c>
      <c r="I127" s="23" t="s">
        <v>3304</v>
      </c>
      <c r="J127" s="23" t="s">
        <v>253</v>
      </c>
      <c r="K127" s="23">
        <v>18</v>
      </c>
      <c r="L127" s="23" t="s">
        <v>1958</v>
      </c>
      <c r="M127" s="30" t="str">
        <f t="shared" si="1"/>
        <v>214408</v>
      </c>
    </row>
    <row r="128" spans="1:13" x14ac:dyDescent="0.25">
      <c r="A128" s="23" t="s">
        <v>427</v>
      </c>
      <c r="B128" s="23" t="s">
        <v>1398</v>
      </c>
      <c r="C128" s="23" t="s">
        <v>371</v>
      </c>
      <c r="D128" s="23" t="s">
        <v>1374</v>
      </c>
      <c r="E128" s="23" t="s">
        <v>192</v>
      </c>
      <c r="F128" s="30">
        <v>1</v>
      </c>
      <c r="G128" s="23" t="s">
        <v>193</v>
      </c>
      <c r="H128" s="79" t="s">
        <v>194</v>
      </c>
      <c r="I128" s="23" t="s">
        <v>1197</v>
      </c>
      <c r="J128" s="23" t="s">
        <v>238</v>
      </c>
      <c r="K128" s="23">
        <v>18</v>
      </c>
      <c r="L128" s="23" t="s">
        <v>372</v>
      </c>
      <c r="M128" s="30" t="str">
        <f t="shared" si="1"/>
        <v>215202</v>
      </c>
    </row>
    <row r="129" spans="1:13" x14ac:dyDescent="0.25">
      <c r="A129" s="23" t="s">
        <v>638</v>
      </c>
      <c r="B129" s="23" t="s">
        <v>3351</v>
      </c>
      <c r="C129" s="23" t="s">
        <v>121</v>
      </c>
      <c r="D129" s="23" t="s">
        <v>3294</v>
      </c>
      <c r="E129" s="23" t="s">
        <v>233</v>
      </c>
      <c r="F129" s="30">
        <v>1</v>
      </c>
      <c r="G129" s="23" t="s">
        <v>193</v>
      </c>
      <c r="H129" s="79" t="s">
        <v>194</v>
      </c>
      <c r="I129" s="23" t="s">
        <v>3313</v>
      </c>
      <c r="J129" s="23" t="s">
        <v>253</v>
      </c>
      <c r="K129" s="23">
        <v>18</v>
      </c>
      <c r="L129" s="23" t="s">
        <v>994</v>
      </c>
      <c r="M129" s="30" t="str">
        <f t="shared" si="1"/>
        <v>214102</v>
      </c>
    </row>
    <row r="130" spans="1:13" x14ac:dyDescent="0.25">
      <c r="A130" s="23" t="s">
        <v>1386</v>
      </c>
      <c r="B130" s="23" t="s">
        <v>1387</v>
      </c>
      <c r="C130" s="23" t="s">
        <v>121</v>
      </c>
      <c r="D130" s="23" t="s">
        <v>1374</v>
      </c>
      <c r="E130" s="23" t="s">
        <v>192</v>
      </c>
      <c r="F130" s="30">
        <v>1</v>
      </c>
      <c r="G130" s="23" t="s">
        <v>193</v>
      </c>
      <c r="H130" s="79" t="s">
        <v>194</v>
      </c>
      <c r="I130" s="23" t="s">
        <v>1197</v>
      </c>
      <c r="J130" s="23" t="s">
        <v>1388</v>
      </c>
      <c r="K130" s="23">
        <v>18</v>
      </c>
      <c r="L130" s="23" t="s">
        <v>994</v>
      </c>
      <c r="M130" s="30" t="str">
        <f t="shared" si="1"/>
        <v>214102</v>
      </c>
    </row>
    <row r="131" spans="1:13" x14ac:dyDescent="0.25">
      <c r="A131" s="23" t="s">
        <v>3352</v>
      </c>
      <c r="B131" s="23" t="s">
        <v>304</v>
      </c>
      <c r="C131" s="23" t="s">
        <v>3353</v>
      </c>
      <c r="D131" s="23" t="s">
        <v>3294</v>
      </c>
      <c r="E131" s="23" t="s">
        <v>233</v>
      </c>
      <c r="F131" s="30">
        <v>1</v>
      </c>
      <c r="G131" s="23" t="s">
        <v>193</v>
      </c>
      <c r="H131" s="79" t="s">
        <v>194</v>
      </c>
      <c r="I131" s="23" t="s">
        <v>3304</v>
      </c>
      <c r="J131" s="23" t="s">
        <v>210</v>
      </c>
      <c r="K131" s="23">
        <v>18</v>
      </c>
      <c r="L131" s="23" t="s">
        <v>3354</v>
      </c>
      <c r="M131" s="30" t="str">
        <f t="shared" ref="M131:M194" si="2">MID(L131,8,6)</f>
        <v>216402</v>
      </c>
    </row>
    <row r="132" spans="1:13" s="24" customFormat="1" x14ac:dyDescent="0.25">
      <c r="A132" s="60" t="s">
        <v>1194</v>
      </c>
      <c r="B132" s="60" t="s">
        <v>1199</v>
      </c>
      <c r="C132" s="60" t="s">
        <v>37</v>
      </c>
      <c r="D132" s="60" t="s">
        <v>1197</v>
      </c>
      <c r="E132" s="60" t="s">
        <v>192</v>
      </c>
      <c r="F132" s="77">
        <v>1</v>
      </c>
      <c r="G132" s="60" t="s">
        <v>193</v>
      </c>
      <c r="H132" s="81" t="s">
        <v>194</v>
      </c>
      <c r="I132" s="60" t="s">
        <v>1077</v>
      </c>
      <c r="J132" s="60" t="s">
        <v>210</v>
      </c>
      <c r="K132" s="60">
        <v>18</v>
      </c>
      <c r="L132" s="60" t="s">
        <v>516</v>
      </c>
      <c r="M132" s="77" t="str">
        <f t="shared" si="2"/>
        <v>252302</v>
      </c>
    </row>
    <row r="133" spans="1:13" x14ac:dyDescent="0.25">
      <c r="A133" s="23" t="s">
        <v>1639</v>
      </c>
      <c r="B133" s="23" t="s">
        <v>1640</v>
      </c>
      <c r="C133" s="23" t="s">
        <v>37</v>
      </c>
      <c r="D133" s="23" t="s">
        <v>1637</v>
      </c>
      <c r="E133" s="23" t="s">
        <v>192</v>
      </c>
      <c r="F133" s="30">
        <v>1</v>
      </c>
      <c r="G133" s="23" t="s">
        <v>193</v>
      </c>
      <c r="H133" s="79" t="s">
        <v>194</v>
      </c>
      <c r="I133" s="23" t="s">
        <v>1587</v>
      </c>
      <c r="J133" s="23" t="s">
        <v>210</v>
      </c>
      <c r="K133" s="23">
        <v>18</v>
      </c>
      <c r="L133" s="23" t="s">
        <v>516</v>
      </c>
      <c r="M133" s="30" t="str">
        <f t="shared" si="2"/>
        <v>252302</v>
      </c>
    </row>
    <row r="134" spans="1:13" x14ac:dyDescent="0.25">
      <c r="A134" s="23" t="s">
        <v>1645</v>
      </c>
      <c r="B134" s="23" t="s">
        <v>1646</v>
      </c>
      <c r="C134" s="23" t="s">
        <v>37</v>
      </c>
      <c r="D134" s="23" t="s">
        <v>1637</v>
      </c>
      <c r="E134" s="23" t="s">
        <v>192</v>
      </c>
      <c r="F134" s="30">
        <v>1</v>
      </c>
      <c r="G134" s="23" t="s">
        <v>193</v>
      </c>
      <c r="H134" s="79" t="s">
        <v>194</v>
      </c>
      <c r="I134" s="23" t="s">
        <v>1587</v>
      </c>
      <c r="J134" s="23" t="s">
        <v>210</v>
      </c>
      <c r="K134" s="23">
        <v>18</v>
      </c>
      <c r="L134" s="23" t="s">
        <v>516</v>
      </c>
      <c r="M134" s="30" t="str">
        <f t="shared" si="2"/>
        <v>252302</v>
      </c>
    </row>
    <row r="135" spans="1:13" x14ac:dyDescent="0.25">
      <c r="A135" s="23" t="s">
        <v>1340</v>
      </c>
      <c r="B135" s="23" t="s">
        <v>1531</v>
      </c>
      <c r="C135" s="23" t="s">
        <v>326</v>
      </c>
      <c r="D135" s="23" t="s">
        <v>1374</v>
      </c>
      <c r="E135" s="23" t="s">
        <v>192</v>
      </c>
      <c r="F135" s="30">
        <v>1</v>
      </c>
      <c r="G135" s="23" t="s">
        <v>193</v>
      </c>
      <c r="H135" s="79" t="s">
        <v>194</v>
      </c>
      <c r="I135" s="23" t="s">
        <v>1197</v>
      </c>
      <c r="J135" s="23" t="s">
        <v>196</v>
      </c>
      <c r="K135" s="23">
        <v>18</v>
      </c>
      <c r="L135" s="23" t="s">
        <v>328</v>
      </c>
      <c r="M135" s="30" t="str">
        <f t="shared" si="2"/>
        <v>214503</v>
      </c>
    </row>
    <row r="136" spans="1:13" x14ac:dyDescent="0.25">
      <c r="A136" s="23" t="s">
        <v>800</v>
      </c>
      <c r="B136" s="23" t="s">
        <v>1096</v>
      </c>
      <c r="C136" s="23" t="s">
        <v>378</v>
      </c>
      <c r="D136" s="23" t="s">
        <v>1077</v>
      </c>
      <c r="E136" s="23" t="s">
        <v>192</v>
      </c>
      <c r="F136" s="30">
        <v>1</v>
      </c>
      <c r="G136" s="23" t="s">
        <v>193</v>
      </c>
      <c r="H136" s="79" t="s">
        <v>194</v>
      </c>
      <c r="I136" s="23" t="s">
        <v>1078</v>
      </c>
      <c r="J136" s="23" t="s">
        <v>276</v>
      </c>
      <c r="K136" s="23">
        <v>18</v>
      </c>
      <c r="L136" s="23" t="s">
        <v>379</v>
      </c>
      <c r="M136" s="30" t="str">
        <f t="shared" si="2"/>
        <v>215303</v>
      </c>
    </row>
    <row r="137" spans="1:13" x14ac:dyDescent="0.25">
      <c r="A137" s="23" t="s">
        <v>1138</v>
      </c>
      <c r="B137" s="23" t="s">
        <v>1146</v>
      </c>
      <c r="C137" s="23" t="s">
        <v>378</v>
      </c>
      <c r="D137" s="23" t="s">
        <v>1116</v>
      </c>
      <c r="E137" s="23" t="s">
        <v>217</v>
      </c>
      <c r="F137" s="30">
        <v>1</v>
      </c>
      <c r="G137" s="23" t="s">
        <v>193</v>
      </c>
      <c r="H137" s="79" t="s">
        <v>194</v>
      </c>
      <c r="I137" s="23" t="s">
        <v>1077</v>
      </c>
      <c r="J137" s="23" t="s">
        <v>316</v>
      </c>
      <c r="K137" s="23">
        <v>18</v>
      </c>
      <c r="L137" s="23" t="s">
        <v>379</v>
      </c>
      <c r="M137" s="30" t="str">
        <f t="shared" si="2"/>
        <v>215303</v>
      </c>
    </row>
    <row r="138" spans="1:13" x14ac:dyDescent="0.25">
      <c r="A138" s="23" t="s">
        <v>1583</v>
      </c>
      <c r="B138" s="23" t="s">
        <v>1584</v>
      </c>
      <c r="C138" s="23" t="s">
        <v>378</v>
      </c>
      <c r="D138" s="23" t="s">
        <v>1374</v>
      </c>
      <c r="E138" s="23" t="s">
        <v>192</v>
      </c>
      <c r="F138" s="30">
        <v>1</v>
      </c>
      <c r="G138" s="23" t="s">
        <v>193</v>
      </c>
      <c r="H138" s="79" t="s">
        <v>194</v>
      </c>
      <c r="I138" s="23" t="s">
        <v>1375</v>
      </c>
      <c r="J138" s="23" t="s">
        <v>210</v>
      </c>
      <c r="K138" s="23">
        <v>18</v>
      </c>
      <c r="L138" s="23" t="s">
        <v>379</v>
      </c>
      <c r="M138" s="30" t="str">
        <f t="shared" si="2"/>
        <v>215303</v>
      </c>
    </row>
    <row r="139" spans="1:13" x14ac:dyDescent="0.25">
      <c r="A139" s="23" t="s">
        <v>1224</v>
      </c>
      <c r="B139" s="23" t="s">
        <v>1225</v>
      </c>
      <c r="C139" s="23" t="s">
        <v>1226</v>
      </c>
      <c r="D139" s="23" t="s">
        <v>1197</v>
      </c>
      <c r="E139" s="23" t="s">
        <v>252</v>
      </c>
      <c r="F139" s="30">
        <v>1</v>
      </c>
      <c r="G139" s="23" t="s">
        <v>193</v>
      </c>
      <c r="H139" s="79" t="s">
        <v>194</v>
      </c>
      <c r="I139" s="23" t="s">
        <v>1078</v>
      </c>
      <c r="J139" s="23" t="s">
        <v>962</v>
      </c>
      <c r="K139" s="23">
        <v>18</v>
      </c>
      <c r="L139" s="23" t="s">
        <v>1227</v>
      </c>
      <c r="M139" s="30" t="str">
        <f t="shared" si="2"/>
        <v>215106</v>
      </c>
    </row>
    <row r="140" spans="1:13" x14ac:dyDescent="0.25">
      <c r="A140" s="23" t="s">
        <v>1490</v>
      </c>
      <c r="B140" s="23" t="s">
        <v>1491</v>
      </c>
      <c r="C140" s="23" t="s">
        <v>1492</v>
      </c>
      <c r="D140" s="23" t="s">
        <v>1374</v>
      </c>
      <c r="E140" s="23" t="s">
        <v>192</v>
      </c>
      <c r="F140" s="30">
        <v>1</v>
      </c>
      <c r="G140" s="23" t="s">
        <v>193</v>
      </c>
      <c r="H140" s="79" t="s">
        <v>194</v>
      </c>
      <c r="I140" s="23" t="s">
        <v>1197</v>
      </c>
      <c r="J140" s="23" t="s">
        <v>575</v>
      </c>
      <c r="K140" s="23">
        <v>18</v>
      </c>
      <c r="L140" s="23" t="s">
        <v>1493</v>
      </c>
      <c r="M140" s="30" t="str">
        <f t="shared" si="2"/>
        <v>214104</v>
      </c>
    </row>
    <row r="141" spans="1:13" x14ac:dyDescent="0.25">
      <c r="A141" s="23" t="s">
        <v>1154</v>
      </c>
      <c r="B141" s="23" t="s">
        <v>1155</v>
      </c>
      <c r="C141" s="23" t="s">
        <v>989</v>
      </c>
      <c r="D141" s="23" t="s">
        <v>1116</v>
      </c>
      <c r="E141" s="23" t="s">
        <v>252</v>
      </c>
      <c r="F141" s="30">
        <v>1</v>
      </c>
      <c r="G141" s="23" t="s">
        <v>193</v>
      </c>
      <c r="H141" s="79" t="s">
        <v>194</v>
      </c>
      <c r="I141" s="23" t="s">
        <v>1077</v>
      </c>
      <c r="J141" s="23" t="s">
        <v>1156</v>
      </c>
      <c r="K141" s="23">
        <v>18</v>
      </c>
      <c r="L141" s="23" t="s">
        <v>990</v>
      </c>
      <c r="M141" s="30" t="str">
        <f t="shared" si="2"/>
        <v>833202</v>
      </c>
    </row>
    <row r="142" spans="1:13" x14ac:dyDescent="0.25">
      <c r="A142" s="23" t="s">
        <v>1364</v>
      </c>
      <c r="B142" s="23" t="s">
        <v>1365</v>
      </c>
      <c r="C142" s="23" t="s">
        <v>989</v>
      </c>
      <c r="D142" s="23" t="s">
        <v>1197</v>
      </c>
      <c r="E142" s="23" t="s">
        <v>252</v>
      </c>
      <c r="F142" s="84">
        <v>0</v>
      </c>
      <c r="G142" s="64" t="s">
        <v>194</v>
      </c>
      <c r="H142" s="79" t="s">
        <v>193</v>
      </c>
      <c r="I142" s="23" t="s">
        <v>1255</v>
      </c>
      <c r="J142" s="23" t="s">
        <v>1366</v>
      </c>
      <c r="K142" s="23">
        <v>18</v>
      </c>
      <c r="L142" s="23" t="s">
        <v>990</v>
      </c>
      <c r="M142" s="30" t="str">
        <f t="shared" si="2"/>
        <v>833202</v>
      </c>
    </row>
    <row r="143" spans="1:13" x14ac:dyDescent="0.25">
      <c r="A143" s="23" t="s">
        <v>1663</v>
      </c>
      <c r="B143" s="23" t="s">
        <v>1664</v>
      </c>
      <c r="C143" s="23" t="s">
        <v>989</v>
      </c>
      <c r="D143" s="23" t="s">
        <v>1637</v>
      </c>
      <c r="E143" s="23" t="s">
        <v>233</v>
      </c>
      <c r="F143" s="30">
        <v>1</v>
      </c>
      <c r="G143" s="23" t="s">
        <v>193</v>
      </c>
      <c r="H143" s="79" t="s">
        <v>194</v>
      </c>
      <c r="I143" s="23" t="s">
        <v>1587</v>
      </c>
      <c r="J143" s="23" t="s">
        <v>1665</v>
      </c>
      <c r="K143" s="23">
        <v>18</v>
      </c>
      <c r="L143" s="23" t="s">
        <v>990</v>
      </c>
      <c r="M143" s="30" t="str">
        <f t="shared" si="2"/>
        <v>833202</v>
      </c>
    </row>
    <row r="144" spans="1:13" x14ac:dyDescent="0.25">
      <c r="A144" s="23" t="s">
        <v>1306</v>
      </c>
      <c r="B144" s="23" t="s">
        <v>885</v>
      </c>
      <c r="C144" s="23" t="s">
        <v>886</v>
      </c>
      <c r="D144" s="23" t="s">
        <v>1197</v>
      </c>
      <c r="E144" s="23" t="s">
        <v>252</v>
      </c>
      <c r="F144" s="30">
        <v>1</v>
      </c>
      <c r="G144" s="23" t="s">
        <v>193</v>
      </c>
      <c r="H144" s="79" t="s">
        <v>194</v>
      </c>
      <c r="I144" s="23" t="s">
        <v>1255</v>
      </c>
      <c r="J144" s="23" t="s">
        <v>253</v>
      </c>
      <c r="K144" s="23">
        <v>18</v>
      </c>
      <c r="L144" s="23" t="s">
        <v>887</v>
      </c>
      <c r="M144" s="30" t="str">
        <f t="shared" si="2"/>
        <v>834401</v>
      </c>
    </row>
    <row r="145" spans="1:13" x14ac:dyDescent="0.25">
      <c r="A145" s="23" t="s">
        <v>1546</v>
      </c>
      <c r="B145" s="23" t="s">
        <v>1547</v>
      </c>
      <c r="C145" s="23" t="s">
        <v>886</v>
      </c>
      <c r="D145" s="23" t="s">
        <v>1374</v>
      </c>
      <c r="E145" s="23" t="s">
        <v>192</v>
      </c>
      <c r="F145" s="30">
        <v>1</v>
      </c>
      <c r="G145" s="23" t="s">
        <v>193</v>
      </c>
      <c r="H145" s="79" t="s">
        <v>194</v>
      </c>
      <c r="I145" s="23" t="s">
        <v>1375</v>
      </c>
      <c r="J145" s="23" t="s">
        <v>276</v>
      </c>
      <c r="K145" s="23">
        <v>18</v>
      </c>
      <c r="L145" s="23" t="s">
        <v>887</v>
      </c>
      <c r="M145" s="30" t="str">
        <f t="shared" si="2"/>
        <v>834401</v>
      </c>
    </row>
    <row r="146" spans="1:13" x14ac:dyDescent="0.25">
      <c r="A146" s="23" t="s">
        <v>1340</v>
      </c>
      <c r="B146" s="23" t="s">
        <v>885</v>
      </c>
      <c r="C146" s="23" t="s">
        <v>886</v>
      </c>
      <c r="D146" s="23" t="s">
        <v>1637</v>
      </c>
      <c r="E146" s="23" t="s">
        <v>192</v>
      </c>
      <c r="F146" s="30">
        <v>1</v>
      </c>
      <c r="G146" s="23" t="s">
        <v>193</v>
      </c>
      <c r="H146" s="79" t="s">
        <v>194</v>
      </c>
      <c r="I146" s="23" t="s">
        <v>1374</v>
      </c>
      <c r="J146" s="23" t="s">
        <v>210</v>
      </c>
      <c r="K146" s="23">
        <v>18</v>
      </c>
      <c r="L146" s="23" t="s">
        <v>887</v>
      </c>
      <c r="M146" s="30" t="str">
        <f t="shared" si="2"/>
        <v>834401</v>
      </c>
    </row>
    <row r="147" spans="1:13" x14ac:dyDescent="0.25">
      <c r="A147" s="23" t="s">
        <v>3355</v>
      </c>
      <c r="B147" s="23" t="s">
        <v>3356</v>
      </c>
      <c r="C147" s="23" t="s">
        <v>875</v>
      </c>
      <c r="D147" s="23" t="s">
        <v>3303</v>
      </c>
      <c r="E147" s="23" t="s">
        <v>217</v>
      </c>
      <c r="F147" s="84">
        <v>0</v>
      </c>
      <c r="G147" s="64" t="s">
        <v>194</v>
      </c>
      <c r="H147" s="79" t="s">
        <v>193</v>
      </c>
      <c r="I147" s="23" t="s">
        <v>3316</v>
      </c>
      <c r="J147" s="23" t="s">
        <v>3357</v>
      </c>
      <c r="K147" s="23">
        <v>18</v>
      </c>
      <c r="L147" s="23" t="s">
        <v>876</v>
      </c>
      <c r="M147" s="30" t="str">
        <f t="shared" si="2"/>
        <v>833203</v>
      </c>
    </row>
    <row r="148" spans="1:13" x14ac:dyDescent="0.25">
      <c r="A148" s="23" t="s">
        <v>1154</v>
      </c>
      <c r="B148" s="23" t="s">
        <v>875</v>
      </c>
      <c r="C148" s="23" t="s">
        <v>875</v>
      </c>
      <c r="D148" s="23" t="s">
        <v>1197</v>
      </c>
      <c r="E148" s="23" t="s">
        <v>252</v>
      </c>
      <c r="F148" s="30">
        <v>1</v>
      </c>
      <c r="G148" s="23" t="s">
        <v>193</v>
      </c>
      <c r="H148" s="79" t="s">
        <v>194</v>
      </c>
      <c r="I148" s="23" t="s">
        <v>1255</v>
      </c>
      <c r="J148" s="23" t="s">
        <v>1256</v>
      </c>
      <c r="K148" s="23">
        <v>18</v>
      </c>
      <c r="L148" s="23" t="s">
        <v>876</v>
      </c>
      <c r="M148" s="30" t="str">
        <f t="shared" si="2"/>
        <v>833203</v>
      </c>
    </row>
    <row r="149" spans="1:13" x14ac:dyDescent="0.25">
      <c r="A149" s="23" t="s">
        <v>3172</v>
      </c>
      <c r="B149" s="23" t="s">
        <v>3358</v>
      </c>
      <c r="C149" s="23" t="s">
        <v>3359</v>
      </c>
      <c r="D149" s="23" t="s">
        <v>3294</v>
      </c>
      <c r="E149" s="23" t="s">
        <v>252</v>
      </c>
      <c r="F149" s="30">
        <v>1</v>
      </c>
      <c r="G149" s="23" t="s">
        <v>193</v>
      </c>
      <c r="H149" s="79" t="s">
        <v>194</v>
      </c>
      <c r="I149" s="23" t="s">
        <v>3313</v>
      </c>
      <c r="J149" s="23" t="s">
        <v>3360</v>
      </c>
      <c r="K149" s="23">
        <v>18</v>
      </c>
      <c r="L149" s="23" t="s">
        <v>3361</v>
      </c>
      <c r="M149" s="30" t="str">
        <f t="shared" si="2"/>
        <v>142005</v>
      </c>
    </row>
    <row r="150" spans="1:13" x14ac:dyDescent="0.25">
      <c r="A150" s="23" t="s">
        <v>3362</v>
      </c>
      <c r="B150" s="23" t="s">
        <v>3363</v>
      </c>
      <c r="C150" s="23" t="s">
        <v>12</v>
      </c>
      <c r="D150" s="23" t="s">
        <v>3294</v>
      </c>
      <c r="E150" s="23" t="s">
        <v>192</v>
      </c>
      <c r="F150" s="30">
        <v>1</v>
      </c>
      <c r="G150" s="23" t="s">
        <v>193</v>
      </c>
      <c r="H150" s="79" t="s">
        <v>194</v>
      </c>
      <c r="I150" s="23" t="s">
        <v>3304</v>
      </c>
      <c r="J150" s="23" t="s">
        <v>223</v>
      </c>
      <c r="K150" s="23">
        <v>18</v>
      </c>
      <c r="L150" s="23" t="s">
        <v>220</v>
      </c>
      <c r="M150" s="30" t="str">
        <f t="shared" si="2"/>
        <v>132301</v>
      </c>
    </row>
    <row r="151" spans="1:13" x14ac:dyDescent="0.25">
      <c r="A151" s="23" t="s">
        <v>3364</v>
      </c>
      <c r="B151" s="23" t="s">
        <v>3365</v>
      </c>
      <c r="C151" s="23" t="s">
        <v>12</v>
      </c>
      <c r="D151" s="23" t="s">
        <v>3294</v>
      </c>
      <c r="E151" s="23" t="s">
        <v>192</v>
      </c>
      <c r="F151" s="30">
        <v>1</v>
      </c>
      <c r="G151" s="23" t="s">
        <v>193</v>
      </c>
      <c r="H151" s="79" t="s">
        <v>194</v>
      </c>
      <c r="I151" s="23" t="s">
        <v>3304</v>
      </c>
      <c r="J151" s="23" t="s">
        <v>210</v>
      </c>
      <c r="K151" s="23">
        <v>18</v>
      </c>
      <c r="L151" s="23" t="s">
        <v>220</v>
      </c>
      <c r="M151" s="30" t="str">
        <f t="shared" si="2"/>
        <v>132301</v>
      </c>
    </row>
    <row r="152" spans="1:13" x14ac:dyDescent="0.25">
      <c r="A152" s="23" t="s">
        <v>218</v>
      </c>
      <c r="B152" s="23" t="s">
        <v>1404</v>
      </c>
      <c r="C152" s="23" t="s">
        <v>12</v>
      </c>
      <c r="D152" s="23" t="s">
        <v>1374</v>
      </c>
      <c r="E152" s="23" t="s">
        <v>192</v>
      </c>
      <c r="F152" s="30">
        <v>1</v>
      </c>
      <c r="G152" s="23" t="s">
        <v>193</v>
      </c>
      <c r="H152" s="79" t="s">
        <v>194</v>
      </c>
      <c r="I152" s="23" t="s">
        <v>1375</v>
      </c>
      <c r="J152" s="23" t="s">
        <v>210</v>
      </c>
      <c r="K152" s="23">
        <v>18</v>
      </c>
      <c r="L152" s="23" t="s">
        <v>220</v>
      </c>
      <c r="M152" s="30" t="str">
        <f t="shared" si="2"/>
        <v>132301</v>
      </c>
    </row>
    <row r="153" spans="1:13" x14ac:dyDescent="0.25">
      <c r="A153" s="23" t="s">
        <v>349</v>
      </c>
      <c r="B153" s="23" t="s">
        <v>1488</v>
      </c>
      <c r="C153" s="23" t="s">
        <v>12</v>
      </c>
      <c r="D153" s="23" t="s">
        <v>1374</v>
      </c>
      <c r="E153" s="23" t="s">
        <v>217</v>
      </c>
      <c r="F153" s="30">
        <v>1</v>
      </c>
      <c r="G153" s="23" t="s">
        <v>193</v>
      </c>
      <c r="H153" s="79" t="s">
        <v>194</v>
      </c>
      <c r="I153" s="23" t="s">
        <v>1375</v>
      </c>
      <c r="J153" s="23" t="s">
        <v>385</v>
      </c>
      <c r="K153" s="23">
        <v>18</v>
      </c>
      <c r="L153" s="23" t="s">
        <v>220</v>
      </c>
      <c r="M153" s="30" t="str">
        <f t="shared" si="2"/>
        <v>132301</v>
      </c>
    </row>
    <row r="154" spans="1:13" x14ac:dyDescent="0.25">
      <c r="A154" s="23" t="s">
        <v>1577</v>
      </c>
      <c r="B154" s="23" t="s">
        <v>1709</v>
      </c>
      <c r="C154" s="23" t="s">
        <v>1710</v>
      </c>
      <c r="D154" s="23" t="s">
        <v>1637</v>
      </c>
      <c r="E154" s="23" t="s">
        <v>192</v>
      </c>
      <c r="F154" s="30">
        <v>1</v>
      </c>
      <c r="G154" s="23" t="s">
        <v>193</v>
      </c>
      <c r="H154" s="79" t="s">
        <v>194</v>
      </c>
      <c r="I154" s="23" t="s">
        <v>1374</v>
      </c>
      <c r="J154" s="23" t="s">
        <v>747</v>
      </c>
      <c r="K154" s="23">
        <v>18</v>
      </c>
      <c r="L154" s="23" t="s">
        <v>1711</v>
      </c>
      <c r="M154" s="30" t="str">
        <f t="shared" si="2"/>
        <v>143903</v>
      </c>
    </row>
    <row r="155" spans="1:13" x14ac:dyDescent="0.25">
      <c r="A155" s="23" t="s">
        <v>3067</v>
      </c>
      <c r="B155" s="23" t="s">
        <v>3068</v>
      </c>
      <c r="C155" s="60" t="s">
        <v>95</v>
      </c>
      <c r="D155" s="23" t="s">
        <v>3308</v>
      </c>
      <c r="E155" s="23" t="s">
        <v>192</v>
      </c>
      <c r="F155" s="30">
        <v>1</v>
      </c>
      <c r="G155" s="23" t="s">
        <v>193</v>
      </c>
      <c r="H155" s="79" t="s">
        <v>194</v>
      </c>
      <c r="I155" s="23" t="s">
        <v>3313</v>
      </c>
      <c r="J155" s="23" t="s">
        <v>276</v>
      </c>
      <c r="K155" s="23">
        <v>18</v>
      </c>
      <c r="L155" s="23" t="s">
        <v>1015</v>
      </c>
      <c r="M155" s="30" t="str">
        <f t="shared" si="2"/>
        <v>122102</v>
      </c>
    </row>
    <row r="156" spans="1:13" x14ac:dyDescent="0.25">
      <c r="A156" s="23" t="s">
        <v>1204</v>
      </c>
      <c r="B156" s="23" t="s">
        <v>2794</v>
      </c>
      <c r="C156" s="60" t="s">
        <v>95</v>
      </c>
      <c r="D156" s="23" t="s">
        <v>3294</v>
      </c>
      <c r="E156" s="23" t="s">
        <v>192</v>
      </c>
      <c r="F156" s="30">
        <v>1</v>
      </c>
      <c r="G156" s="23" t="s">
        <v>193</v>
      </c>
      <c r="H156" s="79" t="s">
        <v>194</v>
      </c>
      <c r="I156" s="23" t="s">
        <v>3313</v>
      </c>
      <c r="J156" s="23" t="s">
        <v>276</v>
      </c>
      <c r="K156" s="23">
        <v>18</v>
      </c>
      <c r="L156" s="23" t="s">
        <v>1015</v>
      </c>
      <c r="M156" s="30" t="str">
        <f t="shared" si="2"/>
        <v>122102</v>
      </c>
    </row>
    <row r="157" spans="1:13" x14ac:dyDescent="0.25">
      <c r="A157" s="23" t="s">
        <v>1204</v>
      </c>
      <c r="B157" s="23" t="s">
        <v>1396</v>
      </c>
      <c r="C157" s="60" t="s">
        <v>95</v>
      </c>
      <c r="D157" s="23" t="s">
        <v>3294</v>
      </c>
      <c r="E157" s="23" t="s">
        <v>192</v>
      </c>
      <c r="F157" s="30">
        <v>1</v>
      </c>
      <c r="G157" s="23" t="s">
        <v>193</v>
      </c>
      <c r="H157" s="79" t="s">
        <v>194</v>
      </c>
      <c r="I157" s="23" t="s">
        <v>3313</v>
      </c>
      <c r="J157" s="23" t="s">
        <v>276</v>
      </c>
      <c r="K157" s="23">
        <v>18</v>
      </c>
      <c r="L157" s="23" t="s">
        <v>1015</v>
      </c>
      <c r="M157" s="30" t="str">
        <f t="shared" si="2"/>
        <v>122102</v>
      </c>
    </row>
    <row r="158" spans="1:13" x14ac:dyDescent="0.25">
      <c r="A158" s="23" t="s">
        <v>1340</v>
      </c>
      <c r="B158" s="23" t="s">
        <v>736</v>
      </c>
      <c r="C158" s="60" t="s">
        <v>95</v>
      </c>
      <c r="D158" s="23" t="s">
        <v>3294</v>
      </c>
      <c r="E158" s="23" t="s">
        <v>192</v>
      </c>
      <c r="F158" s="30">
        <v>1</v>
      </c>
      <c r="G158" s="23" t="s">
        <v>193</v>
      </c>
      <c r="H158" s="79" t="s">
        <v>194</v>
      </c>
      <c r="I158" s="23" t="s">
        <v>3316</v>
      </c>
      <c r="J158" s="23" t="s">
        <v>210</v>
      </c>
      <c r="K158" s="23">
        <v>18</v>
      </c>
      <c r="L158" s="23" t="s">
        <v>1015</v>
      </c>
      <c r="M158" s="30" t="str">
        <f t="shared" si="2"/>
        <v>122102</v>
      </c>
    </row>
    <row r="159" spans="1:13" x14ac:dyDescent="0.25">
      <c r="A159" s="23" t="s">
        <v>1109</v>
      </c>
      <c r="B159" s="23" t="s">
        <v>1110</v>
      </c>
      <c r="C159" s="60" t="s">
        <v>95</v>
      </c>
      <c r="D159" s="23" t="s">
        <v>1077</v>
      </c>
      <c r="E159" s="23" t="s">
        <v>192</v>
      </c>
      <c r="F159" s="30">
        <v>1</v>
      </c>
      <c r="G159" s="23" t="s">
        <v>193</v>
      </c>
      <c r="H159" s="79" t="s">
        <v>194</v>
      </c>
      <c r="I159" s="23" t="s">
        <v>1078</v>
      </c>
      <c r="J159" s="23" t="s">
        <v>210</v>
      </c>
      <c r="K159" s="23">
        <v>18</v>
      </c>
      <c r="L159" s="23" t="s">
        <v>1015</v>
      </c>
      <c r="M159" s="30" t="str">
        <f t="shared" si="2"/>
        <v>122102</v>
      </c>
    </row>
    <row r="160" spans="1:13" x14ac:dyDescent="0.25">
      <c r="A160" s="23" t="s">
        <v>1228</v>
      </c>
      <c r="B160" s="23" t="s">
        <v>1229</v>
      </c>
      <c r="C160" s="60" t="s">
        <v>95</v>
      </c>
      <c r="D160" s="23" t="s">
        <v>1197</v>
      </c>
      <c r="E160" s="23" t="s">
        <v>192</v>
      </c>
      <c r="F160" s="30">
        <v>1</v>
      </c>
      <c r="G160" s="23" t="s">
        <v>193</v>
      </c>
      <c r="H160" s="79" t="s">
        <v>194</v>
      </c>
      <c r="I160" s="23" t="s">
        <v>1078</v>
      </c>
      <c r="J160" s="23" t="s">
        <v>210</v>
      </c>
      <c r="K160" s="23">
        <v>18</v>
      </c>
      <c r="L160" s="23" t="s">
        <v>1015</v>
      </c>
      <c r="M160" s="30" t="str">
        <f t="shared" si="2"/>
        <v>122102</v>
      </c>
    </row>
    <row r="161" spans="1:13" x14ac:dyDescent="0.25">
      <c r="A161" s="23" t="s">
        <v>1340</v>
      </c>
      <c r="B161" s="23" t="s">
        <v>1342</v>
      </c>
      <c r="C161" s="60" t="s">
        <v>95</v>
      </c>
      <c r="D161" s="23" t="s">
        <v>1197</v>
      </c>
      <c r="E161" s="23" t="s">
        <v>192</v>
      </c>
      <c r="F161" s="30">
        <v>1</v>
      </c>
      <c r="G161" s="23" t="s">
        <v>193</v>
      </c>
      <c r="H161" s="79" t="s">
        <v>194</v>
      </c>
      <c r="I161" s="23" t="s">
        <v>1255</v>
      </c>
      <c r="J161" s="23" t="s">
        <v>210</v>
      </c>
      <c r="K161" s="23">
        <v>18</v>
      </c>
      <c r="L161" s="23" t="s">
        <v>1015</v>
      </c>
      <c r="M161" s="30" t="str">
        <f t="shared" si="2"/>
        <v>122102</v>
      </c>
    </row>
    <row r="162" spans="1:13" x14ac:dyDescent="0.25">
      <c r="A162" s="23" t="s">
        <v>1373</v>
      </c>
      <c r="B162" s="23" t="s">
        <v>1342</v>
      </c>
      <c r="C162" s="60" t="s">
        <v>95</v>
      </c>
      <c r="D162" s="23" t="s">
        <v>1374</v>
      </c>
      <c r="E162" s="23" t="s">
        <v>192</v>
      </c>
      <c r="F162" s="30">
        <v>1</v>
      </c>
      <c r="G162" s="23" t="s">
        <v>193</v>
      </c>
      <c r="H162" s="79" t="s">
        <v>194</v>
      </c>
      <c r="I162" s="23" t="s">
        <v>1375</v>
      </c>
      <c r="J162" s="23" t="s">
        <v>223</v>
      </c>
      <c r="K162" s="23">
        <v>18</v>
      </c>
      <c r="L162" s="23" t="s">
        <v>1015</v>
      </c>
      <c r="M162" s="30" t="str">
        <f t="shared" si="2"/>
        <v>122102</v>
      </c>
    </row>
    <row r="163" spans="1:13" x14ac:dyDescent="0.25">
      <c r="A163" s="23" t="s">
        <v>1381</v>
      </c>
      <c r="B163" s="23" t="s">
        <v>1382</v>
      </c>
      <c r="C163" s="60" t="s">
        <v>95</v>
      </c>
      <c r="D163" s="23" t="s">
        <v>1374</v>
      </c>
      <c r="E163" s="23" t="s">
        <v>192</v>
      </c>
      <c r="F163" s="30">
        <v>1</v>
      </c>
      <c r="G163" s="23" t="s">
        <v>193</v>
      </c>
      <c r="H163" s="79" t="s">
        <v>194</v>
      </c>
      <c r="I163" s="23" t="s">
        <v>1375</v>
      </c>
      <c r="J163" s="23" t="s">
        <v>210</v>
      </c>
      <c r="K163" s="23">
        <v>18</v>
      </c>
      <c r="L163" s="23" t="s">
        <v>1015</v>
      </c>
      <c r="M163" s="30" t="str">
        <f t="shared" si="2"/>
        <v>122102</v>
      </c>
    </row>
    <row r="164" spans="1:13" x14ac:dyDescent="0.25">
      <c r="A164" s="23" t="s">
        <v>1340</v>
      </c>
      <c r="B164" s="23" t="s">
        <v>1528</v>
      </c>
      <c r="C164" s="60" t="s">
        <v>95</v>
      </c>
      <c r="D164" s="23" t="s">
        <v>1374</v>
      </c>
      <c r="E164" s="23" t="s">
        <v>192</v>
      </c>
      <c r="F164" s="30">
        <v>1</v>
      </c>
      <c r="G164" s="23" t="s">
        <v>193</v>
      </c>
      <c r="H164" s="79" t="s">
        <v>194</v>
      </c>
      <c r="I164" s="23" t="s">
        <v>1375</v>
      </c>
      <c r="J164" s="23" t="s">
        <v>223</v>
      </c>
      <c r="K164" s="23">
        <v>18</v>
      </c>
      <c r="L164" s="23" t="s">
        <v>1015</v>
      </c>
      <c r="M164" s="30" t="str">
        <f t="shared" si="2"/>
        <v>122102</v>
      </c>
    </row>
    <row r="165" spans="1:13" x14ac:dyDescent="0.25">
      <c r="A165" s="23" t="s">
        <v>1579</v>
      </c>
      <c r="B165" s="23" t="s">
        <v>1580</v>
      </c>
      <c r="C165" s="60" t="s">
        <v>95</v>
      </c>
      <c r="D165" s="23" t="s">
        <v>1374</v>
      </c>
      <c r="E165" s="23" t="s">
        <v>192</v>
      </c>
      <c r="F165" s="30">
        <v>1</v>
      </c>
      <c r="G165" s="23" t="s">
        <v>193</v>
      </c>
      <c r="H165" s="79" t="s">
        <v>194</v>
      </c>
      <c r="I165" s="23" t="s">
        <v>1375</v>
      </c>
      <c r="J165" s="23" t="s">
        <v>210</v>
      </c>
      <c r="K165" s="23">
        <v>18</v>
      </c>
      <c r="L165" s="23" t="s">
        <v>1015</v>
      </c>
      <c r="M165" s="30" t="str">
        <f t="shared" si="2"/>
        <v>122102</v>
      </c>
    </row>
    <row r="166" spans="1:13" x14ac:dyDescent="0.25">
      <c r="A166" s="23" t="s">
        <v>1204</v>
      </c>
      <c r="B166" s="23" t="s">
        <v>1014</v>
      </c>
      <c r="C166" s="60" t="s">
        <v>95</v>
      </c>
      <c r="D166" s="23" t="s">
        <v>1637</v>
      </c>
      <c r="E166" s="23" t="s">
        <v>192</v>
      </c>
      <c r="F166" s="30">
        <v>1</v>
      </c>
      <c r="G166" s="23" t="s">
        <v>193</v>
      </c>
      <c r="H166" s="79" t="s">
        <v>194</v>
      </c>
      <c r="I166" s="23" t="s">
        <v>1587</v>
      </c>
      <c r="J166" s="23" t="s">
        <v>276</v>
      </c>
      <c r="K166" s="23">
        <v>18</v>
      </c>
      <c r="L166" s="23" t="s">
        <v>1015</v>
      </c>
      <c r="M166" s="30" t="str">
        <f t="shared" si="2"/>
        <v>122102</v>
      </c>
    </row>
    <row r="167" spans="1:13" x14ac:dyDescent="0.25">
      <c r="A167" s="23" t="s">
        <v>1340</v>
      </c>
      <c r="B167" s="23" t="s">
        <v>1689</v>
      </c>
      <c r="C167" s="60" t="s">
        <v>95</v>
      </c>
      <c r="D167" s="23" t="s">
        <v>1637</v>
      </c>
      <c r="E167" s="23" t="s">
        <v>192</v>
      </c>
      <c r="F167" s="30">
        <v>1</v>
      </c>
      <c r="G167" s="23" t="s">
        <v>193</v>
      </c>
      <c r="H167" s="79" t="s">
        <v>194</v>
      </c>
      <c r="I167" s="23" t="s">
        <v>1374</v>
      </c>
      <c r="J167" s="23" t="s">
        <v>196</v>
      </c>
      <c r="K167" s="23">
        <v>18</v>
      </c>
      <c r="L167" s="23" t="s">
        <v>1015</v>
      </c>
      <c r="M167" s="30" t="str">
        <f t="shared" si="2"/>
        <v>122102</v>
      </c>
    </row>
    <row r="168" spans="1:13" x14ac:dyDescent="0.25">
      <c r="A168" s="23" t="s">
        <v>3338</v>
      </c>
      <c r="B168" s="23" t="s">
        <v>3366</v>
      </c>
      <c r="C168" s="23" t="s">
        <v>3367</v>
      </c>
      <c r="D168" s="23" t="s">
        <v>3303</v>
      </c>
      <c r="E168" s="23" t="s">
        <v>217</v>
      </c>
      <c r="F168" s="84">
        <v>0</v>
      </c>
      <c r="G168" s="64" t="s">
        <v>194</v>
      </c>
      <c r="H168" s="79" t="s">
        <v>193</v>
      </c>
      <c r="I168" s="23" t="s">
        <v>3316</v>
      </c>
      <c r="J168" s="23" t="s">
        <v>196</v>
      </c>
      <c r="K168" s="23">
        <v>18</v>
      </c>
      <c r="L168" s="23" t="s">
        <v>3368</v>
      </c>
      <c r="M168" s="30" t="str">
        <f t="shared" si="2"/>
        <v>133001</v>
      </c>
    </row>
    <row r="169" spans="1:13" x14ac:dyDescent="0.25">
      <c r="A169" s="23" t="s">
        <v>1091</v>
      </c>
      <c r="B169" s="23" t="s">
        <v>1092</v>
      </c>
      <c r="C169" s="23" t="s">
        <v>1136</v>
      </c>
      <c r="D169" s="23" t="s">
        <v>1116</v>
      </c>
      <c r="E169" s="23" t="s">
        <v>217</v>
      </c>
      <c r="F169" s="30">
        <v>1</v>
      </c>
      <c r="G169" s="23" t="s">
        <v>193</v>
      </c>
      <c r="H169" s="79" t="s">
        <v>194</v>
      </c>
      <c r="I169" s="23" t="s">
        <v>1117</v>
      </c>
      <c r="J169" s="23" t="s">
        <v>210</v>
      </c>
      <c r="K169" s="23">
        <v>18</v>
      </c>
      <c r="L169" s="23" t="s">
        <v>1137</v>
      </c>
      <c r="M169" s="30" t="str">
        <f t="shared" si="2"/>
        <v>121201</v>
      </c>
    </row>
    <row r="170" spans="1:13" x14ac:dyDescent="0.25">
      <c r="A170" s="23" t="s">
        <v>1647</v>
      </c>
      <c r="B170" s="23" t="s">
        <v>1648</v>
      </c>
      <c r="C170" s="23" t="s">
        <v>1649</v>
      </c>
      <c r="D170" s="23" t="s">
        <v>1637</v>
      </c>
      <c r="E170" s="23" t="s">
        <v>192</v>
      </c>
      <c r="F170" s="30">
        <v>1</v>
      </c>
      <c r="G170" s="23" t="s">
        <v>193</v>
      </c>
      <c r="H170" s="79" t="s">
        <v>194</v>
      </c>
      <c r="I170" s="23" t="s">
        <v>1587</v>
      </c>
      <c r="J170" s="23" t="s">
        <v>249</v>
      </c>
      <c r="K170" s="23">
        <v>18</v>
      </c>
      <c r="L170" s="23" t="s">
        <v>1650</v>
      </c>
      <c r="M170" s="30" t="str">
        <f t="shared" si="2"/>
        <v>134603</v>
      </c>
    </row>
    <row r="171" spans="1:13" x14ac:dyDescent="0.25">
      <c r="A171" s="23" t="s">
        <v>3301</v>
      </c>
      <c r="B171" s="23" t="s">
        <v>3369</v>
      </c>
      <c r="C171" s="23" t="s">
        <v>2050</v>
      </c>
      <c r="D171" s="23" t="s">
        <v>3294</v>
      </c>
      <c r="E171" s="23" t="s">
        <v>233</v>
      </c>
      <c r="F171" s="30">
        <v>1</v>
      </c>
      <c r="G171" s="23" t="s">
        <v>193</v>
      </c>
      <c r="H171" s="79" t="s">
        <v>194</v>
      </c>
      <c r="I171" s="23" t="s">
        <v>3295</v>
      </c>
      <c r="J171" s="23" t="s">
        <v>2819</v>
      </c>
      <c r="K171" s="23">
        <v>18</v>
      </c>
      <c r="L171" s="23" t="s">
        <v>2051</v>
      </c>
      <c r="M171" s="30" t="str">
        <f t="shared" si="2"/>
        <v>132402</v>
      </c>
    </row>
    <row r="172" spans="1:13" x14ac:dyDescent="0.25">
      <c r="A172" s="23" t="s">
        <v>1138</v>
      </c>
      <c r="B172" s="23" t="s">
        <v>1139</v>
      </c>
      <c r="C172" s="23" t="s">
        <v>1140</v>
      </c>
      <c r="D172" s="23" t="s">
        <v>1116</v>
      </c>
      <c r="E172" s="23" t="s">
        <v>217</v>
      </c>
      <c r="F172" s="30">
        <v>1</v>
      </c>
      <c r="G172" s="23" t="s">
        <v>193</v>
      </c>
      <c r="H172" s="79" t="s">
        <v>194</v>
      </c>
      <c r="I172" s="23" t="s">
        <v>1117</v>
      </c>
      <c r="J172" s="23" t="s">
        <v>316</v>
      </c>
      <c r="K172" s="23">
        <v>18</v>
      </c>
      <c r="L172" s="23" t="s">
        <v>1141</v>
      </c>
      <c r="M172" s="30" t="str">
        <f t="shared" si="2"/>
        <v>143108</v>
      </c>
    </row>
    <row r="173" spans="1:13" x14ac:dyDescent="0.25">
      <c r="A173" s="23" t="s">
        <v>1260</v>
      </c>
      <c r="B173" s="23" t="s">
        <v>1261</v>
      </c>
      <c r="C173" s="23" t="s">
        <v>140</v>
      </c>
      <c r="D173" s="23" t="s">
        <v>1197</v>
      </c>
      <c r="E173" s="23" t="s">
        <v>192</v>
      </c>
      <c r="F173" s="30">
        <v>1</v>
      </c>
      <c r="G173" s="23" t="s">
        <v>193</v>
      </c>
      <c r="H173" s="79" t="s">
        <v>194</v>
      </c>
      <c r="I173" s="23" t="s">
        <v>1255</v>
      </c>
      <c r="J173" s="23" t="s">
        <v>210</v>
      </c>
      <c r="K173" s="23">
        <v>18</v>
      </c>
      <c r="L173" s="23" t="s">
        <v>1262</v>
      </c>
      <c r="M173" s="30" t="str">
        <f t="shared" si="2"/>
        <v>141202</v>
      </c>
    </row>
    <row r="174" spans="1:13" x14ac:dyDescent="0.25">
      <c r="A174" s="23" t="s">
        <v>638</v>
      </c>
      <c r="B174" s="23" t="s">
        <v>236</v>
      </c>
      <c r="C174" s="23" t="s">
        <v>237</v>
      </c>
      <c r="D174" s="23" t="s">
        <v>1116</v>
      </c>
      <c r="E174" s="23" t="s">
        <v>233</v>
      </c>
      <c r="F174" s="30">
        <v>1</v>
      </c>
      <c r="G174" s="23" t="s">
        <v>193</v>
      </c>
      <c r="H174" s="79" t="s">
        <v>194</v>
      </c>
      <c r="I174" s="23" t="s">
        <v>1117</v>
      </c>
      <c r="J174" s="23" t="s">
        <v>276</v>
      </c>
      <c r="K174" s="23">
        <v>18</v>
      </c>
      <c r="L174" s="23" t="s">
        <v>239</v>
      </c>
      <c r="M174" s="30" t="str">
        <f t="shared" si="2"/>
        <v>132404</v>
      </c>
    </row>
    <row r="175" spans="1:13" x14ac:dyDescent="0.25">
      <c r="A175" s="23" t="s">
        <v>324</v>
      </c>
      <c r="B175" s="23" t="s">
        <v>1680</v>
      </c>
      <c r="C175" s="23" t="s">
        <v>237</v>
      </c>
      <c r="D175" s="23" t="s">
        <v>1637</v>
      </c>
      <c r="E175" s="23" t="s">
        <v>192</v>
      </c>
      <c r="F175" s="30">
        <v>1</v>
      </c>
      <c r="G175" s="23" t="s">
        <v>193</v>
      </c>
      <c r="H175" s="79" t="s">
        <v>194</v>
      </c>
      <c r="I175" s="23" t="s">
        <v>1587</v>
      </c>
      <c r="J175" s="23" t="s">
        <v>285</v>
      </c>
      <c r="K175" s="23">
        <v>18</v>
      </c>
      <c r="L175" s="23" t="s">
        <v>239</v>
      </c>
      <c r="M175" s="30" t="str">
        <f t="shared" si="2"/>
        <v>132404</v>
      </c>
    </row>
    <row r="176" spans="1:13" x14ac:dyDescent="0.25">
      <c r="A176" s="23" t="s">
        <v>1495</v>
      </c>
      <c r="B176" s="23" t="s">
        <v>1496</v>
      </c>
      <c r="C176" s="23" t="s">
        <v>1497</v>
      </c>
      <c r="D176" s="23" t="s">
        <v>1374</v>
      </c>
      <c r="E176" s="23" t="s">
        <v>192</v>
      </c>
      <c r="F176" s="30">
        <v>1</v>
      </c>
      <c r="G176" s="23" t="s">
        <v>193</v>
      </c>
      <c r="H176" s="79" t="s">
        <v>194</v>
      </c>
      <c r="I176" s="23" t="s">
        <v>1375</v>
      </c>
      <c r="J176" s="23" t="s">
        <v>367</v>
      </c>
      <c r="K176" s="23">
        <v>18</v>
      </c>
      <c r="L176" s="23" t="s">
        <v>1498</v>
      </c>
      <c r="M176" s="30" t="str">
        <f t="shared" si="2"/>
        <v>134605</v>
      </c>
    </row>
    <row r="177" spans="1:13" x14ac:dyDescent="0.25">
      <c r="A177" s="23" t="s">
        <v>1340</v>
      </c>
      <c r="B177" s="23" t="s">
        <v>1688</v>
      </c>
      <c r="C177" s="23" t="s">
        <v>1497</v>
      </c>
      <c r="D177" s="23" t="s">
        <v>1637</v>
      </c>
      <c r="E177" s="23" t="s">
        <v>192</v>
      </c>
      <c r="F177" s="30">
        <v>1</v>
      </c>
      <c r="G177" s="23" t="s">
        <v>193</v>
      </c>
      <c r="H177" s="79" t="s">
        <v>194</v>
      </c>
      <c r="I177" s="23" t="s">
        <v>1374</v>
      </c>
      <c r="J177" s="23" t="s">
        <v>210</v>
      </c>
      <c r="K177" s="23">
        <v>18</v>
      </c>
      <c r="L177" s="23" t="s">
        <v>1498</v>
      </c>
      <c r="M177" s="30" t="str">
        <f t="shared" si="2"/>
        <v>134605</v>
      </c>
    </row>
    <row r="178" spans="1:13" x14ac:dyDescent="0.25">
      <c r="A178" s="23" t="s">
        <v>3370</v>
      </c>
      <c r="B178" s="23" t="s">
        <v>3371</v>
      </c>
      <c r="C178" s="23" t="s">
        <v>1441</v>
      </c>
      <c r="D178" s="23" t="s">
        <v>3294</v>
      </c>
      <c r="E178" s="23" t="s">
        <v>192</v>
      </c>
      <c r="F178" s="30">
        <v>1</v>
      </c>
      <c r="G178" s="23" t="s">
        <v>193</v>
      </c>
      <c r="H178" s="79" t="s">
        <v>194</v>
      </c>
      <c r="I178" s="23" t="s">
        <v>3313</v>
      </c>
      <c r="J178" s="23" t="s">
        <v>316</v>
      </c>
      <c r="K178" s="23">
        <v>18</v>
      </c>
      <c r="L178" s="23" t="s">
        <v>1443</v>
      </c>
      <c r="M178" s="30" t="str">
        <f t="shared" si="2"/>
        <v>132103</v>
      </c>
    </row>
    <row r="179" spans="1:13" x14ac:dyDescent="0.25">
      <c r="A179" s="23" t="s">
        <v>1091</v>
      </c>
      <c r="B179" s="23" t="s">
        <v>1440</v>
      </c>
      <c r="C179" s="23" t="s">
        <v>1441</v>
      </c>
      <c r="D179" s="23" t="s">
        <v>1374</v>
      </c>
      <c r="E179" s="23" t="s">
        <v>217</v>
      </c>
      <c r="F179" s="30">
        <v>1</v>
      </c>
      <c r="G179" s="23" t="s">
        <v>193</v>
      </c>
      <c r="H179" s="79" t="s">
        <v>194</v>
      </c>
      <c r="I179" s="23" t="s">
        <v>1197</v>
      </c>
      <c r="J179" s="23" t="s">
        <v>1442</v>
      </c>
      <c r="K179" s="23">
        <v>18</v>
      </c>
      <c r="L179" s="23" t="s">
        <v>1443</v>
      </c>
      <c r="M179" s="30" t="str">
        <f t="shared" si="2"/>
        <v>132103</v>
      </c>
    </row>
    <row r="180" spans="1:13" x14ac:dyDescent="0.25">
      <c r="A180" s="23" t="s">
        <v>1738</v>
      </c>
      <c r="B180" s="23" t="s">
        <v>381</v>
      </c>
      <c r="C180" s="23" t="s">
        <v>129</v>
      </c>
      <c r="D180" s="23" t="s">
        <v>3294</v>
      </c>
      <c r="E180" s="23" t="s">
        <v>192</v>
      </c>
      <c r="F180" s="30">
        <v>1</v>
      </c>
      <c r="G180" s="23" t="s">
        <v>193</v>
      </c>
      <c r="H180" s="79" t="s">
        <v>194</v>
      </c>
      <c r="I180" s="23" t="s">
        <v>3313</v>
      </c>
      <c r="J180" s="23" t="s">
        <v>285</v>
      </c>
      <c r="K180" s="23">
        <v>18</v>
      </c>
      <c r="L180" s="23" t="s">
        <v>203</v>
      </c>
      <c r="M180" s="30" t="str">
        <f t="shared" si="2"/>
        <v>121904</v>
      </c>
    </row>
    <row r="181" spans="1:13" x14ac:dyDescent="0.25">
      <c r="A181" s="23" t="s">
        <v>1175</v>
      </c>
      <c r="B181" s="23" t="s">
        <v>129</v>
      </c>
      <c r="C181" s="23" t="s">
        <v>129</v>
      </c>
      <c r="D181" s="23" t="s">
        <v>1116</v>
      </c>
      <c r="E181" s="23" t="s">
        <v>233</v>
      </c>
      <c r="F181" s="30">
        <v>1</v>
      </c>
      <c r="G181" s="23" t="s">
        <v>193</v>
      </c>
      <c r="H181" s="79" t="s">
        <v>194</v>
      </c>
      <c r="I181" s="23" t="s">
        <v>1117</v>
      </c>
      <c r="J181" s="23" t="s">
        <v>210</v>
      </c>
      <c r="K181" s="23">
        <v>18</v>
      </c>
      <c r="L181" s="23" t="s">
        <v>203</v>
      </c>
      <c r="M181" s="30" t="str">
        <f t="shared" si="2"/>
        <v>121904</v>
      </c>
    </row>
    <row r="182" spans="1:13" x14ac:dyDescent="0.25">
      <c r="A182" s="23" t="s">
        <v>1340</v>
      </c>
      <c r="B182" s="23" t="s">
        <v>1526</v>
      </c>
      <c r="C182" s="23" t="s">
        <v>129</v>
      </c>
      <c r="D182" s="23" t="s">
        <v>1374</v>
      </c>
      <c r="E182" s="23" t="s">
        <v>192</v>
      </c>
      <c r="F182" s="30">
        <v>1</v>
      </c>
      <c r="G182" s="23" t="s">
        <v>193</v>
      </c>
      <c r="H182" s="79" t="s">
        <v>194</v>
      </c>
      <c r="I182" s="23" t="s">
        <v>1375</v>
      </c>
      <c r="J182" s="23" t="s">
        <v>210</v>
      </c>
      <c r="K182" s="23">
        <v>18</v>
      </c>
      <c r="L182" s="23" t="s">
        <v>203</v>
      </c>
      <c r="M182" s="30" t="str">
        <f t="shared" si="2"/>
        <v>121904</v>
      </c>
    </row>
    <row r="183" spans="1:13" x14ac:dyDescent="0.25">
      <c r="A183" s="23" t="s">
        <v>331</v>
      </c>
      <c r="B183" s="23" t="s">
        <v>1540</v>
      </c>
      <c r="C183" s="23" t="s">
        <v>1541</v>
      </c>
      <c r="D183" s="23" t="s">
        <v>1374</v>
      </c>
      <c r="E183" s="23" t="s">
        <v>192</v>
      </c>
      <c r="F183" s="30">
        <v>1</v>
      </c>
      <c r="G183" s="23" t="s">
        <v>193</v>
      </c>
      <c r="H183" s="79" t="s">
        <v>194</v>
      </c>
      <c r="I183" s="23" t="s">
        <v>1375</v>
      </c>
      <c r="J183" s="23" t="s">
        <v>309</v>
      </c>
      <c r="K183" s="23">
        <v>18</v>
      </c>
      <c r="L183" s="23" t="s">
        <v>1542</v>
      </c>
      <c r="M183" s="30" t="str">
        <f t="shared" si="2"/>
        <v>133007</v>
      </c>
    </row>
    <row r="184" spans="1:13" x14ac:dyDescent="0.25">
      <c r="A184" s="23" t="s">
        <v>446</v>
      </c>
      <c r="B184" s="23" t="s">
        <v>1057</v>
      </c>
      <c r="C184" s="60" t="s">
        <v>74</v>
      </c>
      <c r="D184" s="23" t="s">
        <v>3294</v>
      </c>
      <c r="E184" s="23" t="s">
        <v>192</v>
      </c>
      <c r="F184" s="30">
        <v>1</v>
      </c>
      <c r="G184" s="23" t="s">
        <v>193</v>
      </c>
      <c r="H184" s="79" t="s">
        <v>194</v>
      </c>
      <c r="I184" s="23" t="s">
        <v>3313</v>
      </c>
      <c r="J184" s="23" t="s">
        <v>408</v>
      </c>
      <c r="K184" s="23">
        <v>18</v>
      </c>
      <c r="L184" s="23" t="s">
        <v>246</v>
      </c>
      <c r="M184" s="30" t="str">
        <f t="shared" si="2"/>
        <v>142004</v>
      </c>
    </row>
    <row r="185" spans="1:13" x14ac:dyDescent="0.25">
      <c r="A185" s="23" t="s">
        <v>1050</v>
      </c>
      <c r="B185" s="23" t="s">
        <v>3372</v>
      </c>
      <c r="C185" s="60" t="s">
        <v>74</v>
      </c>
      <c r="D185" s="23" t="s">
        <v>3294</v>
      </c>
      <c r="E185" s="23" t="s">
        <v>233</v>
      </c>
      <c r="F185" s="30">
        <v>1</v>
      </c>
      <c r="G185" s="23" t="s">
        <v>193</v>
      </c>
      <c r="H185" s="79" t="s">
        <v>194</v>
      </c>
      <c r="I185" s="23" t="s">
        <v>3313</v>
      </c>
      <c r="J185" s="23" t="s">
        <v>276</v>
      </c>
      <c r="K185" s="23">
        <v>18</v>
      </c>
      <c r="L185" s="23" t="s">
        <v>246</v>
      </c>
      <c r="M185" s="30" t="str">
        <f t="shared" si="2"/>
        <v>142004</v>
      </c>
    </row>
    <row r="186" spans="1:13" x14ac:dyDescent="0.25">
      <c r="A186" s="23" t="s">
        <v>3373</v>
      </c>
      <c r="B186" s="23" t="s">
        <v>1259</v>
      </c>
      <c r="C186" s="60" t="s">
        <v>74</v>
      </c>
      <c r="D186" s="23" t="s">
        <v>3303</v>
      </c>
      <c r="E186" s="23" t="s">
        <v>252</v>
      </c>
      <c r="F186" s="30">
        <v>1</v>
      </c>
      <c r="G186" s="23" t="s">
        <v>193</v>
      </c>
      <c r="H186" s="79" t="s">
        <v>194</v>
      </c>
      <c r="I186" s="23" t="s">
        <v>3304</v>
      </c>
      <c r="J186" s="23" t="s">
        <v>385</v>
      </c>
      <c r="K186" s="23">
        <v>18</v>
      </c>
      <c r="L186" s="23" t="s">
        <v>246</v>
      </c>
      <c r="M186" s="30" t="str">
        <f t="shared" si="2"/>
        <v>142004</v>
      </c>
    </row>
    <row r="187" spans="1:13" x14ac:dyDescent="0.25">
      <c r="A187" s="23" t="s">
        <v>1084</v>
      </c>
      <c r="B187" s="23" t="s">
        <v>261</v>
      </c>
      <c r="C187" s="60" t="s">
        <v>74</v>
      </c>
      <c r="D187" s="23" t="s">
        <v>1077</v>
      </c>
      <c r="E187" s="23" t="s">
        <v>192</v>
      </c>
      <c r="F187" s="30">
        <v>1</v>
      </c>
      <c r="G187" s="23" t="s">
        <v>193</v>
      </c>
      <c r="H187" s="79" t="s">
        <v>194</v>
      </c>
      <c r="I187" s="23" t="s">
        <v>1078</v>
      </c>
      <c r="J187" s="23" t="s">
        <v>210</v>
      </c>
      <c r="K187" s="23">
        <v>18</v>
      </c>
      <c r="L187" s="23" t="s">
        <v>246</v>
      </c>
      <c r="M187" s="30" t="str">
        <f t="shared" si="2"/>
        <v>142004</v>
      </c>
    </row>
    <row r="188" spans="1:13" x14ac:dyDescent="0.25">
      <c r="A188" s="23" t="s">
        <v>1108</v>
      </c>
      <c r="B188" s="23" t="s">
        <v>1057</v>
      </c>
      <c r="C188" s="60" t="s">
        <v>74</v>
      </c>
      <c r="D188" s="23" t="s">
        <v>1077</v>
      </c>
      <c r="E188" s="23" t="s">
        <v>233</v>
      </c>
      <c r="F188" s="30">
        <v>1</v>
      </c>
      <c r="G188" s="23" t="s">
        <v>193</v>
      </c>
      <c r="H188" s="79" t="s">
        <v>194</v>
      </c>
      <c r="I188" s="23" t="s">
        <v>1078</v>
      </c>
      <c r="J188" s="23" t="s">
        <v>276</v>
      </c>
      <c r="K188" s="23">
        <v>18</v>
      </c>
      <c r="L188" s="23" t="s">
        <v>246</v>
      </c>
      <c r="M188" s="30" t="str">
        <f t="shared" si="2"/>
        <v>142004</v>
      </c>
    </row>
    <row r="189" spans="1:13" x14ac:dyDescent="0.25">
      <c r="A189" s="23" t="s">
        <v>1331</v>
      </c>
      <c r="B189" s="23" t="s">
        <v>245</v>
      </c>
      <c r="C189" s="60" t="s">
        <v>74</v>
      </c>
      <c r="D189" s="23" t="s">
        <v>1197</v>
      </c>
      <c r="E189" s="23" t="s">
        <v>252</v>
      </c>
      <c r="F189" s="30">
        <v>1</v>
      </c>
      <c r="G189" s="23" t="s">
        <v>193</v>
      </c>
      <c r="H189" s="79" t="s">
        <v>194</v>
      </c>
      <c r="I189" s="23" t="s">
        <v>1255</v>
      </c>
      <c r="J189" s="23" t="s">
        <v>210</v>
      </c>
      <c r="K189" s="23">
        <v>18</v>
      </c>
      <c r="L189" s="23" t="s">
        <v>246</v>
      </c>
      <c r="M189" s="30" t="str">
        <f t="shared" si="2"/>
        <v>142004</v>
      </c>
    </row>
    <row r="190" spans="1:13" x14ac:dyDescent="0.25">
      <c r="A190" s="23" t="s">
        <v>247</v>
      </c>
      <c r="B190" s="23" t="s">
        <v>261</v>
      </c>
      <c r="C190" s="60" t="s">
        <v>74</v>
      </c>
      <c r="D190" s="23" t="s">
        <v>1197</v>
      </c>
      <c r="E190" s="23" t="s">
        <v>192</v>
      </c>
      <c r="F190" s="30">
        <v>1</v>
      </c>
      <c r="G190" s="23" t="s">
        <v>193</v>
      </c>
      <c r="H190" s="79" t="s">
        <v>194</v>
      </c>
      <c r="I190" s="23" t="s">
        <v>1255</v>
      </c>
      <c r="J190" s="23" t="s">
        <v>367</v>
      </c>
      <c r="K190" s="23">
        <v>18</v>
      </c>
      <c r="L190" s="23" t="s">
        <v>246</v>
      </c>
      <c r="M190" s="30" t="str">
        <f t="shared" si="2"/>
        <v>142004</v>
      </c>
    </row>
    <row r="191" spans="1:13" x14ac:dyDescent="0.25">
      <c r="A191" s="23" t="s">
        <v>247</v>
      </c>
      <c r="B191" s="23" t="s">
        <v>1057</v>
      </c>
      <c r="C191" s="60" t="s">
        <v>74</v>
      </c>
      <c r="D191" s="23" t="s">
        <v>1197</v>
      </c>
      <c r="E191" s="23" t="s">
        <v>192</v>
      </c>
      <c r="F191" s="30">
        <v>1</v>
      </c>
      <c r="G191" s="23" t="s">
        <v>193</v>
      </c>
      <c r="H191" s="79" t="s">
        <v>194</v>
      </c>
      <c r="I191" s="23" t="s">
        <v>1255</v>
      </c>
      <c r="J191" s="23" t="s">
        <v>408</v>
      </c>
      <c r="K191" s="23">
        <v>18</v>
      </c>
      <c r="L191" s="23" t="s">
        <v>246</v>
      </c>
      <c r="M191" s="30" t="str">
        <f t="shared" si="2"/>
        <v>142004</v>
      </c>
    </row>
    <row r="192" spans="1:13" x14ac:dyDescent="0.25">
      <c r="A192" s="23" t="s">
        <v>247</v>
      </c>
      <c r="B192" s="23" t="s">
        <v>248</v>
      </c>
      <c r="C192" s="60" t="s">
        <v>74</v>
      </c>
      <c r="D192" s="23" t="s">
        <v>1637</v>
      </c>
      <c r="E192" s="23" t="s">
        <v>192</v>
      </c>
      <c r="F192" s="30">
        <v>1</v>
      </c>
      <c r="G192" s="23" t="s">
        <v>193</v>
      </c>
      <c r="H192" s="79" t="s">
        <v>194</v>
      </c>
      <c r="I192" s="23" t="s">
        <v>1587</v>
      </c>
      <c r="J192" s="23" t="s">
        <v>309</v>
      </c>
      <c r="K192" s="23">
        <v>18</v>
      </c>
      <c r="L192" s="23" t="s">
        <v>246</v>
      </c>
      <c r="M192" s="30" t="str">
        <f t="shared" si="2"/>
        <v>142004</v>
      </c>
    </row>
    <row r="193" spans="1:13" x14ac:dyDescent="0.25">
      <c r="A193" s="23" t="s">
        <v>540</v>
      </c>
      <c r="B193" s="23" t="s">
        <v>1273</v>
      </c>
      <c r="C193" s="23" t="s">
        <v>150</v>
      </c>
      <c r="D193" s="23" t="s">
        <v>1197</v>
      </c>
      <c r="E193" s="23" t="s">
        <v>252</v>
      </c>
      <c r="F193" s="30">
        <v>1</v>
      </c>
      <c r="G193" s="23" t="s">
        <v>193</v>
      </c>
      <c r="H193" s="79" t="s">
        <v>194</v>
      </c>
      <c r="I193" s="23" t="s">
        <v>1255</v>
      </c>
      <c r="J193" s="23" t="s">
        <v>316</v>
      </c>
      <c r="K193" s="23">
        <v>18</v>
      </c>
      <c r="L193" s="23" t="s">
        <v>1274</v>
      </c>
      <c r="M193" s="30" t="str">
        <f t="shared" si="2"/>
        <v>132105</v>
      </c>
    </row>
    <row r="194" spans="1:13" x14ac:dyDescent="0.25">
      <c r="A194" s="23" t="s">
        <v>324</v>
      </c>
      <c r="B194" s="23" t="s">
        <v>1681</v>
      </c>
      <c r="C194" s="23" t="s">
        <v>150</v>
      </c>
      <c r="D194" s="23" t="s">
        <v>1637</v>
      </c>
      <c r="E194" s="23" t="s">
        <v>192</v>
      </c>
      <c r="F194" s="30">
        <v>1</v>
      </c>
      <c r="G194" s="23" t="s">
        <v>193</v>
      </c>
      <c r="H194" s="79" t="s">
        <v>194</v>
      </c>
      <c r="I194" s="23" t="s">
        <v>1587</v>
      </c>
      <c r="J194" s="23" t="s">
        <v>285</v>
      </c>
      <c r="K194" s="23">
        <v>18</v>
      </c>
      <c r="L194" s="23" t="s">
        <v>1274</v>
      </c>
      <c r="M194" s="30" t="str">
        <f t="shared" si="2"/>
        <v>132105</v>
      </c>
    </row>
    <row r="195" spans="1:13" x14ac:dyDescent="0.25">
      <c r="A195" s="23" t="s">
        <v>1830</v>
      </c>
      <c r="B195" s="23" t="s">
        <v>3374</v>
      </c>
      <c r="C195" s="23" t="s">
        <v>128</v>
      </c>
      <c r="D195" s="23" t="s">
        <v>3294</v>
      </c>
      <c r="E195" s="23" t="s">
        <v>192</v>
      </c>
      <c r="F195" s="30">
        <v>1</v>
      </c>
      <c r="G195" s="23" t="s">
        <v>193</v>
      </c>
      <c r="H195" s="79" t="s">
        <v>194</v>
      </c>
      <c r="I195" s="23" t="s">
        <v>3313</v>
      </c>
      <c r="J195" s="23" t="s">
        <v>385</v>
      </c>
      <c r="K195" s="23">
        <v>18</v>
      </c>
      <c r="L195" s="23" t="s">
        <v>2084</v>
      </c>
      <c r="M195" s="30" t="str">
        <f t="shared" ref="M195:M258" si="3">MID(L195,8,6)</f>
        <v>524302</v>
      </c>
    </row>
    <row r="196" spans="1:13" x14ac:dyDescent="0.25">
      <c r="A196" s="23" t="s">
        <v>1501</v>
      </c>
      <c r="B196" s="23" t="s">
        <v>1502</v>
      </c>
      <c r="C196" s="23" t="s">
        <v>66</v>
      </c>
      <c r="D196" s="23" t="s">
        <v>1374</v>
      </c>
      <c r="E196" s="23" t="s">
        <v>192</v>
      </c>
      <c r="F196" s="30">
        <v>1</v>
      </c>
      <c r="G196" s="23" t="s">
        <v>193</v>
      </c>
      <c r="H196" s="79" t="s">
        <v>194</v>
      </c>
      <c r="I196" s="23" t="s">
        <v>1375</v>
      </c>
      <c r="J196" s="23" t="s">
        <v>223</v>
      </c>
      <c r="K196" s="23">
        <v>18</v>
      </c>
      <c r="L196" s="23" t="s">
        <v>1503</v>
      </c>
      <c r="M196" s="30" t="str">
        <f t="shared" si="3"/>
        <v>241107</v>
      </c>
    </row>
    <row r="197" spans="1:13" x14ac:dyDescent="0.25">
      <c r="A197" s="23" t="s">
        <v>1534</v>
      </c>
      <c r="B197" s="23" t="s">
        <v>1377</v>
      </c>
      <c r="C197" s="23" t="s">
        <v>1535</v>
      </c>
      <c r="D197" s="23" t="s">
        <v>3308</v>
      </c>
      <c r="E197" s="23" t="s">
        <v>192</v>
      </c>
      <c r="F197" s="30">
        <v>1</v>
      </c>
      <c r="G197" s="23" t="s">
        <v>193</v>
      </c>
      <c r="H197" s="79" t="s">
        <v>194</v>
      </c>
      <c r="I197" s="23" t="s">
        <v>3313</v>
      </c>
      <c r="J197" s="23" t="s">
        <v>210</v>
      </c>
      <c r="K197" s="23">
        <v>18</v>
      </c>
      <c r="L197" s="23" t="s">
        <v>1536</v>
      </c>
      <c r="M197" s="30" t="str">
        <f t="shared" si="3"/>
        <v>314401</v>
      </c>
    </row>
    <row r="198" spans="1:13" x14ac:dyDescent="0.25">
      <c r="A198" s="23" t="s">
        <v>1534</v>
      </c>
      <c r="B198" s="23" t="s">
        <v>1377</v>
      </c>
      <c r="C198" s="23" t="s">
        <v>1535</v>
      </c>
      <c r="D198" s="23" t="s">
        <v>1374</v>
      </c>
      <c r="E198" s="23" t="s">
        <v>192</v>
      </c>
      <c r="F198" s="30">
        <v>1</v>
      </c>
      <c r="G198" s="23" t="s">
        <v>193</v>
      </c>
      <c r="H198" s="79" t="s">
        <v>194</v>
      </c>
      <c r="I198" s="23" t="s">
        <v>1375</v>
      </c>
      <c r="J198" s="23" t="s">
        <v>210</v>
      </c>
      <c r="K198" s="23">
        <v>18</v>
      </c>
      <c r="L198" s="23" t="s">
        <v>1536</v>
      </c>
      <c r="M198" s="30" t="str">
        <f t="shared" si="3"/>
        <v>314401</v>
      </c>
    </row>
    <row r="199" spans="1:13" x14ac:dyDescent="0.25">
      <c r="A199" s="23" t="s">
        <v>1126</v>
      </c>
      <c r="B199" s="23" t="s">
        <v>1127</v>
      </c>
      <c r="C199" s="23" t="s">
        <v>583</v>
      </c>
      <c r="D199" s="23" t="s">
        <v>1116</v>
      </c>
      <c r="E199" s="23" t="s">
        <v>252</v>
      </c>
      <c r="F199" s="30">
        <v>1</v>
      </c>
      <c r="G199" s="23" t="s">
        <v>193</v>
      </c>
      <c r="H199" s="79" t="s">
        <v>194</v>
      </c>
      <c r="I199" s="23" t="s">
        <v>1117</v>
      </c>
      <c r="J199" s="23" t="s">
        <v>1128</v>
      </c>
      <c r="K199" s="23">
        <v>18</v>
      </c>
      <c r="L199" s="23" t="s">
        <v>584</v>
      </c>
      <c r="M199" s="30" t="str">
        <f t="shared" si="3"/>
        <v>311937</v>
      </c>
    </row>
    <row r="200" spans="1:13" x14ac:dyDescent="0.25">
      <c r="A200" s="23" t="s">
        <v>1376</v>
      </c>
      <c r="B200" s="23" t="s">
        <v>1377</v>
      </c>
      <c r="C200" s="23" t="s">
        <v>583</v>
      </c>
      <c r="D200" s="23" t="s">
        <v>1374</v>
      </c>
      <c r="E200" s="23" t="s">
        <v>192</v>
      </c>
      <c r="F200" s="30">
        <v>1</v>
      </c>
      <c r="G200" s="23" t="s">
        <v>193</v>
      </c>
      <c r="H200" s="79" t="s">
        <v>194</v>
      </c>
      <c r="I200" s="23" t="s">
        <v>1375</v>
      </c>
      <c r="J200" s="23" t="s">
        <v>253</v>
      </c>
      <c r="K200" s="23">
        <v>18</v>
      </c>
      <c r="L200" s="23" t="s">
        <v>584</v>
      </c>
      <c r="M200" s="30" t="str">
        <f t="shared" si="3"/>
        <v>311937</v>
      </c>
    </row>
    <row r="201" spans="1:13" x14ac:dyDescent="0.25">
      <c r="A201" s="23" t="s">
        <v>1238</v>
      </c>
      <c r="B201" s="23" t="s">
        <v>1239</v>
      </c>
      <c r="C201" s="23" t="s">
        <v>1240</v>
      </c>
      <c r="D201" s="23" t="s">
        <v>1197</v>
      </c>
      <c r="E201" s="23" t="s">
        <v>252</v>
      </c>
      <c r="F201" s="30">
        <v>1</v>
      </c>
      <c r="G201" s="23" t="s">
        <v>193</v>
      </c>
      <c r="H201" s="79" t="s">
        <v>194</v>
      </c>
      <c r="I201" s="23" t="s">
        <v>1078</v>
      </c>
      <c r="J201" s="23" t="s">
        <v>1241</v>
      </c>
      <c r="K201" s="23">
        <v>18</v>
      </c>
      <c r="L201" s="23" t="s">
        <v>1242</v>
      </c>
      <c r="M201" s="30" t="str">
        <f t="shared" si="3"/>
        <v>242102</v>
      </c>
    </row>
    <row r="202" spans="1:13" x14ac:dyDescent="0.25">
      <c r="A202" s="23" t="s">
        <v>1154</v>
      </c>
      <c r="B202" s="23" t="s">
        <v>1157</v>
      </c>
      <c r="C202" s="23" t="s">
        <v>1157</v>
      </c>
      <c r="D202" s="23" t="s">
        <v>1116</v>
      </c>
      <c r="E202" s="23" t="s">
        <v>252</v>
      </c>
      <c r="F202" s="30">
        <v>1</v>
      </c>
      <c r="G202" s="23" t="s">
        <v>193</v>
      </c>
      <c r="H202" s="79" t="s">
        <v>194</v>
      </c>
      <c r="I202" s="23" t="s">
        <v>1077</v>
      </c>
      <c r="J202" s="23" t="s">
        <v>223</v>
      </c>
      <c r="K202" s="23">
        <v>18</v>
      </c>
      <c r="L202" s="23" t="s">
        <v>1158</v>
      </c>
      <c r="M202" s="30" t="str">
        <f t="shared" si="3"/>
        <v>235917</v>
      </c>
    </row>
    <row r="203" spans="1:13" x14ac:dyDescent="0.25">
      <c r="A203" s="23" t="s">
        <v>1233</v>
      </c>
      <c r="B203" s="23" t="s">
        <v>1234</v>
      </c>
      <c r="C203" s="23" t="s">
        <v>36</v>
      </c>
      <c r="D203" s="23" t="s">
        <v>1197</v>
      </c>
      <c r="E203" s="23" t="s">
        <v>252</v>
      </c>
      <c r="F203" s="30">
        <v>1</v>
      </c>
      <c r="G203" s="23" t="s">
        <v>193</v>
      </c>
      <c r="H203" s="79" t="s">
        <v>194</v>
      </c>
      <c r="I203" s="23" t="s">
        <v>1078</v>
      </c>
      <c r="J203" s="23" t="s">
        <v>210</v>
      </c>
      <c r="K203" s="23">
        <v>18</v>
      </c>
      <c r="L203" s="23" t="s">
        <v>609</v>
      </c>
      <c r="M203" s="30" t="str">
        <f t="shared" si="3"/>
        <v>331301</v>
      </c>
    </row>
    <row r="204" spans="1:13" x14ac:dyDescent="0.25">
      <c r="A204" s="23" t="s">
        <v>540</v>
      </c>
      <c r="B204" s="23" t="s">
        <v>1267</v>
      </c>
      <c r="C204" s="23" t="s">
        <v>36</v>
      </c>
      <c r="D204" s="23" t="s">
        <v>1197</v>
      </c>
      <c r="E204" s="23" t="s">
        <v>252</v>
      </c>
      <c r="F204" s="30">
        <v>1</v>
      </c>
      <c r="G204" s="23" t="s">
        <v>193</v>
      </c>
      <c r="H204" s="79" t="s">
        <v>194</v>
      </c>
      <c r="I204" s="23" t="s">
        <v>1255</v>
      </c>
      <c r="J204" s="23" t="s">
        <v>210</v>
      </c>
      <c r="K204" s="23">
        <v>18</v>
      </c>
      <c r="L204" s="23" t="s">
        <v>609</v>
      </c>
      <c r="M204" s="30" t="str">
        <f t="shared" si="3"/>
        <v>331301</v>
      </c>
    </row>
    <row r="205" spans="1:13" x14ac:dyDescent="0.25">
      <c r="A205" s="23" t="s">
        <v>540</v>
      </c>
      <c r="B205" s="23" t="s">
        <v>1268</v>
      </c>
      <c r="C205" s="23" t="s">
        <v>36</v>
      </c>
      <c r="D205" s="23" t="s">
        <v>1197</v>
      </c>
      <c r="E205" s="23" t="s">
        <v>252</v>
      </c>
      <c r="F205" s="30">
        <v>1</v>
      </c>
      <c r="G205" s="23" t="s">
        <v>193</v>
      </c>
      <c r="H205" s="79" t="s">
        <v>194</v>
      </c>
      <c r="I205" s="23" t="s">
        <v>1255</v>
      </c>
      <c r="J205" s="23" t="s">
        <v>210</v>
      </c>
      <c r="K205" s="23">
        <v>18</v>
      </c>
      <c r="L205" s="23" t="s">
        <v>609</v>
      </c>
      <c r="M205" s="30" t="str">
        <f t="shared" si="3"/>
        <v>331301</v>
      </c>
    </row>
    <row r="206" spans="1:13" x14ac:dyDescent="0.25">
      <c r="A206" s="23" t="s">
        <v>540</v>
      </c>
      <c r="B206" s="23" t="s">
        <v>1269</v>
      </c>
      <c r="C206" s="23" t="s">
        <v>36</v>
      </c>
      <c r="D206" s="23" t="s">
        <v>1197</v>
      </c>
      <c r="E206" s="23" t="s">
        <v>252</v>
      </c>
      <c r="F206" s="30">
        <v>1</v>
      </c>
      <c r="G206" s="23" t="s">
        <v>193</v>
      </c>
      <c r="H206" s="79" t="s">
        <v>194</v>
      </c>
      <c r="I206" s="23" t="s">
        <v>1255</v>
      </c>
      <c r="J206" s="23" t="s">
        <v>210</v>
      </c>
      <c r="K206" s="23">
        <v>18</v>
      </c>
      <c r="L206" s="23" t="s">
        <v>609</v>
      </c>
      <c r="M206" s="30" t="str">
        <f t="shared" si="3"/>
        <v>331301</v>
      </c>
    </row>
    <row r="207" spans="1:13" x14ac:dyDescent="0.25">
      <c r="A207" s="23" t="s">
        <v>540</v>
      </c>
      <c r="B207" s="23" t="s">
        <v>1270</v>
      </c>
      <c r="C207" s="23" t="s">
        <v>36</v>
      </c>
      <c r="D207" s="23" t="s">
        <v>1197</v>
      </c>
      <c r="E207" s="23" t="s">
        <v>252</v>
      </c>
      <c r="F207" s="30">
        <v>1</v>
      </c>
      <c r="G207" s="23" t="s">
        <v>193</v>
      </c>
      <c r="H207" s="79" t="s">
        <v>194</v>
      </c>
      <c r="I207" s="23" t="s">
        <v>1255</v>
      </c>
      <c r="J207" s="23" t="s">
        <v>210</v>
      </c>
      <c r="K207" s="23">
        <v>18</v>
      </c>
      <c r="L207" s="23" t="s">
        <v>609</v>
      </c>
      <c r="M207" s="30" t="str">
        <f t="shared" si="3"/>
        <v>331301</v>
      </c>
    </row>
    <row r="208" spans="1:13" x14ac:dyDescent="0.25">
      <c r="A208" s="23" t="s">
        <v>1651</v>
      </c>
      <c r="B208" s="23" t="s">
        <v>1652</v>
      </c>
      <c r="C208" s="23" t="s">
        <v>1652</v>
      </c>
      <c r="D208" s="23" t="s">
        <v>1637</v>
      </c>
      <c r="E208" s="23" t="s">
        <v>192</v>
      </c>
      <c r="F208" s="30">
        <v>1</v>
      </c>
      <c r="G208" s="23" t="s">
        <v>193</v>
      </c>
      <c r="H208" s="79" t="s">
        <v>194</v>
      </c>
      <c r="I208" s="23" t="s">
        <v>1587</v>
      </c>
      <c r="J208" s="23" t="s">
        <v>210</v>
      </c>
      <c r="K208" s="23">
        <v>18</v>
      </c>
      <c r="L208" s="23" t="s">
        <v>1653</v>
      </c>
      <c r="M208" s="30" t="str">
        <f t="shared" si="3"/>
        <v>441202</v>
      </c>
    </row>
    <row r="209" spans="1:13" x14ac:dyDescent="0.25">
      <c r="A209" s="23" t="s">
        <v>1376</v>
      </c>
      <c r="B209" s="23" t="s">
        <v>1378</v>
      </c>
      <c r="C209" s="23" t="s">
        <v>1379</v>
      </c>
      <c r="D209" s="23" t="s">
        <v>1374</v>
      </c>
      <c r="E209" s="23" t="s">
        <v>233</v>
      </c>
      <c r="F209" s="30">
        <v>1</v>
      </c>
      <c r="G209" s="23" t="s">
        <v>193</v>
      </c>
      <c r="H209" s="79" t="s">
        <v>194</v>
      </c>
      <c r="I209" s="23" t="s">
        <v>1375</v>
      </c>
      <c r="J209" s="23" t="s">
        <v>976</v>
      </c>
      <c r="K209" s="23">
        <v>18</v>
      </c>
      <c r="L209" s="23" t="s">
        <v>1380</v>
      </c>
      <c r="M209" s="30" t="str">
        <f t="shared" si="3"/>
        <v>713201</v>
      </c>
    </row>
    <row r="210" spans="1:13" x14ac:dyDescent="0.25">
      <c r="A210" s="23" t="s">
        <v>3375</v>
      </c>
      <c r="B210" s="23" t="s">
        <v>3376</v>
      </c>
      <c r="C210" s="23" t="s">
        <v>3377</v>
      </c>
      <c r="D210" s="23" t="s">
        <v>3303</v>
      </c>
      <c r="E210" s="23" t="s">
        <v>252</v>
      </c>
      <c r="F210" s="30">
        <v>1</v>
      </c>
      <c r="G210" s="23" t="s">
        <v>193</v>
      </c>
      <c r="H210" s="79" t="s">
        <v>194</v>
      </c>
      <c r="I210" s="23" t="s">
        <v>3313</v>
      </c>
      <c r="J210" s="23" t="s">
        <v>747</v>
      </c>
      <c r="K210" s="23">
        <v>18</v>
      </c>
      <c r="L210" s="23" t="s">
        <v>3378</v>
      </c>
      <c r="M210" s="30" t="str">
        <f t="shared" si="3"/>
        <v>221256</v>
      </c>
    </row>
    <row r="211" spans="1:13" x14ac:dyDescent="0.25">
      <c r="A211" s="23" t="s">
        <v>1328</v>
      </c>
      <c r="B211" s="23" t="s">
        <v>1329</v>
      </c>
      <c r="C211" s="23" t="s">
        <v>396</v>
      </c>
      <c r="D211" s="23" t="s">
        <v>1197</v>
      </c>
      <c r="E211" s="23" t="s">
        <v>233</v>
      </c>
      <c r="F211" s="30">
        <v>1</v>
      </c>
      <c r="G211" s="23" t="s">
        <v>193</v>
      </c>
      <c r="H211" s="79" t="s">
        <v>194</v>
      </c>
      <c r="I211" s="23" t="s">
        <v>1255</v>
      </c>
      <c r="J211" s="23" t="s">
        <v>1330</v>
      </c>
      <c r="K211" s="23">
        <v>18</v>
      </c>
      <c r="L211" s="23" t="s">
        <v>397</v>
      </c>
      <c r="M211" s="30" t="str">
        <f t="shared" si="3"/>
        <v>235301</v>
      </c>
    </row>
    <row r="212" spans="1:13" s="24" customFormat="1" x14ac:dyDescent="0.25">
      <c r="A212" s="60" t="s">
        <v>1085</v>
      </c>
      <c r="B212" s="60" t="s">
        <v>1656</v>
      </c>
      <c r="C212" s="60" t="s">
        <v>1657</v>
      </c>
      <c r="D212" s="60" t="s">
        <v>1637</v>
      </c>
      <c r="E212" s="60" t="s">
        <v>192</v>
      </c>
      <c r="F212" s="77">
        <v>1</v>
      </c>
      <c r="G212" s="60" t="s">
        <v>193</v>
      </c>
      <c r="H212" s="81" t="s">
        <v>194</v>
      </c>
      <c r="I212" s="60" t="s">
        <v>1587</v>
      </c>
      <c r="J212" s="60" t="s">
        <v>276</v>
      </c>
      <c r="K212" s="60">
        <v>18</v>
      </c>
      <c r="L212" s="60" t="s">
        <v>1658</v>
      </c>
      <c r="M212" s="77" t="str">
        <f t="shared" si="3"/>
        <v>331502</v>
      </c>
    </row>
    <row r="213" spans="1:13" x14ac:dyDescent="0.25">
      <c r="A213" s="23" t="s">
        <v>1622</v>
      </c>
      <c r="B213" s="23" t="s">
        <v>67</v>
      </c>
      <c r="C213" s="60" t="s">
        <v>67</v>
      </c>
      <c r="D213" s="23" t="s">
        <v>3294</v>
      </c>
      <c r="E213" s="23" t="s">
        <v>233</v>
      </c>
      <c r="F213" s="30">
        <v>1</v>
      </c>
      <c r="G213" s="23" t="s">
        <v>193</v>
      </c>
      <c r="H213" s="79" t="s">
        <v>194</v>
      </c>
      <c r="I213" s="23" t="s">
        <v>3295</v>
      </c>
      <c r="J213" s="23" t="s">
        <v>210</v>
      </c>
      <c r="K213" s="23">
        <v>18</v>
      </c>
      <c r="L213" s="23" t="s">
        <v>709</v>
      </c>
      <c r="M213" s="30" t="str">
        <f t="shared" si="3"/>
        <v>432103</v>
      </c>
    </row>
    <row r="214" spans="1:13" x14ac:dyDescent="0.25">
      <c r="A214" s="23" t="s">
        <v>1721</v>
      </c>
      <c r="B214" s="23" t="s">
        <v>67</v>
      </c>
      <c r="C214" s="60" t="s">
        <v>67</v>
      </c>
      <c r="D214" s="23" t="s">
        <v>3294</v>
      </c>
      <c r="E214" s="23" t="s">
        <v>192</v>
      </c>
      <c r="F214" s="30">
        <v>1</v>
      </c>
      <c r="G214" s="23" t="s">
        <v>193</v>
      </c>
      <c r="H214" s="79" t="s">
        <v>194</v>
      </c>
      <c r="I214" s="23" t="s">
        <v>3295</v>
      </c>
      <c r="J214" s="23" t="s">
        <v>276</v>
      </c>
      <c r="K214" s="23">
        <v>18</v>
      </c>
      <c r="L214" s="23" t="s">
        <v>709</v>
      </c>
      <c r="M214" s="30" t="str">
        <f t="shared" si="3"/>
        <v>432103</v>
      </c>
    </row>
    <row r="215" spans="1:13" x14ac:dyDescent="0.25">
      <c r="A215" s="23" t="s">
        <v>1246</v>
      </c>
      <c r="B215" s="23" t="s">
        <v>1247</v>
      </c>
      <c r="C215" s="60" t="s">
        <v>67</v>
      </c>
      <c r="D215" s="23" t="s">
        <v>1197</v>
      </c>
      <c r="E215" s="23" t="s">
        <v>192</v>
      </c>
      <c r="F215" s="30">
        <v>1</v>
      </c>
      <c r="G215" s="23" t="s">
        <v>193</v>
      </c>
      <c r="H215" s="79" t="s">
        <v>194</v>
      </c>
      <c r="I215" s="23" t="s">
        <v>1078</v>
      </c>
      <c r="J215" s="23" t="s">
        <v>323</v>
      </c>
      <c r="K215" s="23">
        <v>18</v>
      </c>
      <c r="L215" s="23" t="s">
        <v>709</v>
      </c>
      <c r="M215" s="30" t="str">
        <f t="shared" si="3"/>
        <v>432103</v>
      </c>
    </row>
    <row r="216" spans="1:13" x14ac:dyDescent="0.25">
      <c r="A216" s="23" t="s">
        <v>1360</v>
      </c>
      <c r="B216" s="23" t="s">
        <v>1363</v>
      </c>
      <c r="C216" s="60" t="s">
        <v>67</v>
      </c>
      <c r="D216" s="23" t="s">
        <v>1197</v>
      </c>
      <c r="E216" s="23" t="s">
        <v>252</v>
      </c>
      <c r="F216" s="30">
        <v>1</v>
      </c>
      <c r="G216" s="23" t="s">
        <v>193</v>
      </c>
      <c r="H216" s="79" t="s">
        <v>194</v>
      </c>
      <c r="I216" s="23" t="s">
        <v>1255</v>
      </c>
      <c r="J216" s="23" t="s">
        <v>1362</v>
      </c>
      <c r="K216" s="23">
        <v>18</v>
      </c>
      <c r="L216" s="23" t="s">
        <v>709</v>
      </c>
      <c r="M216" s="30" t="str">
        <f t="shared" si="3"/>
        <v>432103</v>
      </c>
    </row>
    <row r="217" spans="1:13" x14ac:dyDescent="0.25">
      <c r="A217" s="23" t="s">
        <v>1556</v>
      </c>
      <c r="B217" s="23" t="s">
        <v>1557</v>
      </c>
      <c r="C217" s="60" t="s">
        <v>67</v>
      </c>
      <c r="D217" s="23" t="s">
        <v>1374</v>
      </c>
      <c r="E217" s="23" t="s">
        <v>233</v>
      </c>
      <c r="F217" s="30">
        <v>1</v>
      </c>
      <c r="G217" s="23" t="s">
        <v>193</v>
      </c>
      <c r="H217" s="79" t="s">
        <v>194</v>
      </c>
      <c r="I217" s="23" t="s">
        <v>1375</v>
      </c>
      <c r="J217" s="23" t="s">
        <v>1558</v>
      </c>
      <c r="K217" s="23">
        <v>18</v>
      </c>
      <c r="L217" s="23" t="s">
        <v>709</v>
      </c>
      <c r="M217" s="30" t="str">
        <f t="shared" si="3"/>
        <v>432103</v>
      </c>
    </row>
    <row r="218" spans="1:13" x14ac:dyDescent="0.25">
      <c r="A218" s="23" t="s">
        <v>1670</v>
      </c>
      <c r="B218" s="23" t="s">
        <v>1671</v>
      </c>
      <c r="C218" s="60" t="s">
        <v>67</v>
      </c>
      <c r="D218" s="23" t="s">
        <v>1637</v>
      </c>
      <c r="E218" s="23" t="s">
        <v>192</v>
      </c>
      <c r="F218" s="30">
        <v>1</v>
      </c>
      <c r="G218" s="23" t="s">
        <v>193</v>
      </c>
      <c r="H218" s="79" t="s">
        <v>194</v>
      </c>
      <c r="I218" s="23" t="s">
        <v>1587</v>
      </c>
      <c r="J218" s="23" t="s">
        <v>301</v>
      </c>
      <c r="K218" s="23">
        <v>18</v>
      </c>
      <c r="L218" s="23" t="s">
        <v>709</v>
      </c>
      <c r="M218" s="30" t="str">
        <f t="shared" si="3"/>
        <v>432103</v>
      </c>
    </row>
    <row r="219" spans="1:13" x14ac:dyDescent="0.25">
      <c r="A219" s="23" t="s">
        <v>1426</v>
      </c>
      <c r="B219" s="23" t="s">
        <v>1429</v>
      </c>
      <c r="C219" s="23" t="s">
        <v>1430</v>
      </c>
      <c r="D219" s="23" t="s">
        <v>1374</v>
      </c>
      <c r="E219" s="23" t="s">
        <v>192</v>
      </c>
      <c r="F219" s="30">
        <v>1</v>
      </c>
      <c r="G219" s="23" t="s">
        <v>193</v>
      </c>
      <c r="H219" s="79" t="s">
        <v>194</v>
      </c>
      <c r="I219" s="23" t="s">
        <v>1375</v>
      </c>
      <c r="J219" s="23" t="s">
        <v>253</v>
      </c>
      <c r="K219" s="23">
        <v>18</v>
      </c>
      <c r="L219" s="23" t="s">
        <v>1431</v>
      </c>
      <c r="M219" s="30" t="str">
        <f t="shared" si="3"/>
        <v>713101</v>
      </c>
    </row>
    <row r="220" spans="1:13" x14ac:dyDescent="0.25">
      <c r="A220" s="23" t="s">
        <v>1235</v>
      </c>
      <c r="B220" s="23" t="s">
        <v>1424</v>
      </c>
      <c r="C220" s="23" t="s">
        <v>155</v>
      </c>
      <c r="D220" s="23" t="s">
        <v>1374</v>
      </c>
      <c r="E220" s="23" t="s">
        <v>192</v>
      </c>
      <c r="F220" s="30">
        <v>1</v>
      </c>
      <c r="G220" s="23" t="s">
        <v>193</v>
      </c>
      <c r="H220" s="79" t="s">
        <v>194</v>
      </c>
      <c r="I220" s="23" t="s">
        <v>1375</v>
      </c>
      <c r="J220" s="23" t="s">
        <v>210</v>
      </c>
      <c r="K220" s="23">
        <v>18</v>
      </c>
      <c r="L220" s="23" t="s">
        <v>1425</v>
      </c>
      <c r="M220" s="30" t="str">
        <f t="shared" si="3"/>
        <v>723310</v>
      </c>
    </row>
    <row r="221" spans="1:13" x14ac:dyDescent="0.25">
      <c r="A221" s="23" t="s">
        <v>331</v>
      </c>
      <c r="B221" s="23" t="s">
        <v>1543</v>
      </c>
      <c r="C221" s="23" t="s">
        <v>590</v>
      </c>
      <c r="D221" s="23" t="s">
        <v>1374</v>
      </c>
      <c r="E221" s="23" t="s">
        <v>192</v>
      </c>
      <c r="F221" s="30">
        <v>1</v>
      </c>
      <c r="G221" s="23" t="s">
        <v>193</v>
      </c>
      <c r="H221" s="79" t="s">
        <v>194</v>
      </c>
      <c r="I221" s="23" t="s">
        <v>1375</v>
      </c>
      <c r="J221" s="23" t="s">
        <v>309</v>
      </c>
      <c r="K221" s="23">
        <v>18</v>
      </c>
      <c r="L221" s="23" t="s">
        <v>591</v>
      </c>
      <c r="M221" s="30" t="str">
        <f t="shared" si="3"/>
        <v>312203</v>
      </c>
    </row>
    <row r="222" spans="1:13" x14ac:dyDescent="0.25">
      <c r="A222" s="23" t="s">
        <v>1544</v>
      </c>
      <c r="B222" s="23" t="s">
        <v>1543</v>
      </c>
      <c r="C222" s="23" t="s">
        <v>590</v>
      </c>
      <c r="D222" s="23" t="s">
        <v>1374</v>
      </c>
      <c r="E222" s="23" t="s">
        <v>192</v>
      </c>
      <c r="F222" s="30">
        <v>1</v>
      </c>
      <c r="G222" s="23" t="s">
        <v>193</v>
      </c>
      <c r="H222" s="79" t="s">
        <v>194</v>
      </c>
      <c r="I222" s="23" t="s">
        <v>1375</v>
      </c>
      <c r="J222" s="23" t="s">
        <v>309</v>
      </c>
      <c r="K222" s="23">
        <v>18</v>
      </c>
      <c r="L222" s="23" t="s">
        <v>591</v>
      </c>
      <c r="M222" s="30" t="str">
        <f t="shared" si="3"/>
        <v>312203</v>
      </c>
    </row>
    <row r="223" spans="1:13" x14ac:dyDescent="0.25">
      <c r="A223" s="23" t="s">
        <v>1670</v>
      </c>
      <c r="B223" s="23" t="s">
        <v>1672</v>
      </c>
      <c r="C223" s="23" t="s">
        <v>1673</v>
      </c>
      <c r="D223" s="23" t="s">
        <v>1637</v>
      </c>
      <c r="E223" s="23" t="s">
        <v>192</v>
      </c>
      <c r="F223" s="30">
        <v>1</v>
      </c>
      <c r="G223" s="23" t="s">
        <v>193</v>
      </c>
      <c r="H223" s="79" t="s">
        <v>194</v>
      </c>
      <c r="I223" s="23" t="s">
        <v>1587</v>
      </c>
      <c r="J223" s="23" t="s">
        <v>301</v>
      </c>
      <c r="K223" s="23">
        <v>18</v>
      </c>
      <c r="L223" s="23" t="s">
        <v>1674</v>
      </c>
      <c r="M223" s="30" t="str">
        <f t="shared" si="3"/>
        <v>312208</v>
      </c>
    </row>
    <row r="224" spans="1:13" x14ac:dyDescent="0.25">
      <c r="A224" s="23" t="s">
        <v>1457</v>
      </c>
      <c r="B224" s="23" t="s">
        <v>1458</v>
      </c>
      <c r="C224" s="23" t="s">
        <v>1459</v>
      </c>
      <c r="D224" s="23" t="s">
        <v>1374</v>
      </c>
      <c r="E224" s="23" t="s">
        <v>192</v>
      </c>
      <c r="F224" s="30">
        <v>1</v>
      </c>
      <c r="G224" s="23" t="s">
        <v>193</v>
      </c>
      <c r="H224" s="79" t="s">
        <v>194</v>
      </c>
      <c r="I224" s="23" t="s">
        <v>1375</v>
      </c>
      <c r="J224" s="23" t="s">
        <v>210</v>
      </c>
      <c r="K224" s="23">
        <v>18</v>
      </c>
      <c r="L224" s="23" t="s">
        <v>1460</v>
      </c>
      <c r="M224" s="30" t="str">
        <f t="shared" si="3"/>
        <v>742114</v>
      </c>
    </row>
    <row r="225" spans="1:13" x14ac:dyDescent="0.25">
      <c r="A225" s="23" t="s">
        <v>1666</v>
      </c>
      <c r="B225" s="23" t="s">
        <v>1667</v>
      </c>
      <c r="C225" s="23" t="s">
        <v>1668</v>
      </c>
      <c r="D225" s="23" t="s">
        <v>1637</v>
      </c>
      <c r="E225" s="23" t="s">
        <v>192</v>
      </c>
      <c r="F225" s="30">
        <v>1</v>
      </c>
      <c r="G225" s="23" t="s">
        <v>193</v>
      </c>
      <c r="H225" s="79" t="s">
        <v>194</v>
      </c>
      <c r="I225" s="23" t="s">
        <v>1587</v>
      </c>
      <c r="J225" s="23" t="s">
        <v>276</v>
      </c>
      <c r="K225" s="23">
        <v>18</v>
      </c>
      <c r="L225" s="23" t="s">
        <v>1669</v>
      </c>
      <c r="M225" s="30" t="str">
        <f t="shared" si="3"/>
        <v>233008</v>
      </c>
    </row>
    <row r="226" spans="1:13" x14ac:dyDescent="0.25">
      <c r="A226" s="23" t="s">
        <v>1306</v>
      </c>
      <c r="B226" s="23" t="s">
        <v>1308</v>
      </c>
      <c r="C226" s="23" t="s">
        <v>1309</v>
      </c>
      <c r="D226" s="23" t="s">
        <v>1197</v>
      </c>
      <c r="E226" s="23" t="s">
        <v>252</v>
      </c>
      <c r="F226" s="30">
        <v>1</v>
      </c>
      <c r="G226" s="23" t="s">
        <v>193</v>
      </c>
      <c r="H226" s="79" t="s">
        <v>194</v>
      </c>
      <c r="I226" s="23" t="s">
        <v>1255</v>
      </c>
      <c r="J226" s="23" t="s">
        <v>253</v>
      </c>
      <c r="K226" s="23">
        <v>18</v>
      </c>
      <c r="L226" s="23" t="s">
        <v>1310</v>
      </c>
      <c r="M226" s="30" t="str">
        <f t="shared" si="3"/>
        <v>912904</v>
      </c>
    </row>
    <row r="227" spans="1:13" x14ac:dyDescent="0.25">
      <c r="A227" s="23" t="s">
        <v>1306</v>
      </c>
      <c r="B227" s="23" t="s">
        <v>1307</v>
      </c>
      <c r="C227" s="23" t="s">
        <v>806</v>
      </c>
      <c r="D227" s="23" t="s">
        <v>1197</v>
      </c>
      <c r="E227" s="23" t="s">
        <v>252</v>
      </c>
      <c r="F227" s="30">
        <v>1</v>
      </c>
      <c r="G227" s="23" t="s">
        <v>193</v>
      </c>
      <c r="H227" s="79" t="s">
        <v>194</v>
      </c>
      <c r="I227" s="23" t="s">
        <v>1255</v>
      </c>
      <c r="J227" s="23" t="s">
        <v>253</v>
      </c>
      <c r="K227" s="23">
        <v>18</v>
      </c>
      <c r="L227" s="23" t="s">
        <v>807</v>
      </c>
      <c r="M227" s="30" t="str">
        <f t="shared" si="3"/>
        <v>722303</v>
      </c>
    </row>
    <row r="228" spans="1:13" x14ac:dyDescent="0.25">
      <c r="A228" s="23" t="s">
        <v>1319</v>
      </c>
      <c r="B228" s="23" t="s">
        <v>1683</v>
      </c>
      <c r="C228" s="23" t="s">
        <v>1684</v>
      </c>
      <c r="D228" s="23" t="s">
        <v>1637</v>
      </c>
      <c r="E228" s="23" t="s">
        <v>192</v>
      </c>
      <c r="F228" s="30">
        <v>1</v>
      </c>
      <c r="G228" s="23" t="s">
        <v>193</v>
      </c>
      <c r="H228" s="79" t="s">
        <v>194</v>
      </c>
      <c r="I228" s="23" t="s">
        <v>1587</v>
      </c>
      <c r="J228" s="23" t="s">
        <v>301</v>
      </c>
      <c r="K228" s="23">
        <v>18</v>
      </c>
      <c r="L228" s="23" t="s">
        <v>1685</v>
      </c>
      <c r="M228" s="30" t="str">
        <f t="shared" si="3"/>
        <v>812108</v>
      </c>
    </row>
    <row r="229" spans="1:13" x14ac:dyDescent="0.25">
      <c r="A229" s="23" t="s">
        <v>1306</v>
      </c>
      <c r="B229" s="23" t="s">
        <v>1314</v>
      </c>
      <c r="C229" s="23" t="s">
        <v>1315</v>
      </c>
      <c r="D229" s="23" t="s">
        <v>1197</v>
      </c>
      <c r="E229" s="23" t="s">
        <v>252</v>
      </c>
      <c r="F229" s="30">
        <v>1</v>
      </c>
      <c r="G229" s="23" t="s">
        <v>193</v>
      </c>
      <c r="H229" s="79" t="s">
        <v>194</v>
      </c>
      <c r="I229" s="23" t="s">
        <v>1255</v>
      </c>
      <c r="J229" s="23" t="s">
        <v>253</v>
      </c>
      <c r="K229" s="23">
        <v>18</v>
      </c>
      <c r="L229" s="23" t="s">
        <v>1316</v>
      </c>
      <c r="M229" s="30" t="str">
        <f t="shared" si="3"/>
        <v>722307</v>
      </c>
    </row>
    <row r="230" spans="1:13" x14ac:dyDescent="0.25">
      <c r="A230" s="23" t="s">
        <v>1904</v>
      </c>
      <c r="B230" s="23" t="s">
        <v>3379</v>
      </c>
      <c r="C230" s="23" t="s">
        <v>29</v>
      </c>
      <c r="D230" s="23" t="s">
        <v>3294</v>
      </c>
      <c r="E230" s="23" t="s">
        <v>192</v>
      </c>
      <c r="F230" s="30">
        <v>1</v>
      </c>
      <c r="G230" s="23" t="s">
        <v>193</v>
      </c>
      <c r="H230" s="79" t="s">
        <v>194</v>
      </c>
      <c r="I230" s="23" t="s">
        <v>3304</v>
      </c>
      <c r="J230" s="23" t="s">
        <v>210</v>
      </c>
      <c r="K230" s="23">
        <v>18</v>
      </c>
      <c r="L230" s="23" t="s">
        <v>808</v>
      </c>
      <c r="M230" s="30" t="str">
        <f t="shared" si="3"/>
        <v>722308</v>
      </c>
    </row>
    <row r="231" spans="1:13" x14ac:dyDescent="0.25">
      <c r="A231" s="23" t="s">
        <v>540</v>
      </c>
      <c r="B231" s="23" t="s">
        <v>1279</v>
      </c>
      <c r="C231" s="23" t="s">
        <v>29</v>
      </c>
      <c r="D231" s="23" t="s">
        <v>1197</v>
      </c>
      <c r="E231" s="23" t="s">
        <v>252</v>
      </c>
      <c r="F231" s="30">
        <v>1</v>
      </c>
      <c r="G231" s="23" t="s">
        <v>193</v>
      </c>
      <c r="H231" s="79" t="s">
        <v>194</v>
      </c>
      <c r="I231" s="23" t="s">
        <v>1255</v>
      </c>
      <c r="J231" s="23" t="s">
        <v>210</v>
      </c>
      <c r="K231" s="23">
        <v>18</v>
      </c>
      <c r="L231" s="23" t="s">
        <v>808</v>
      </c>
      <c r="M231" s="30" t="str">
        <f t="shared" si="3"/>
        <v>722308</v>
      </c>
    </row>
    <row r="232" spans="1:13" x14ac:dyDescent="0.25">
      <c r="A232" s="23" t="s">
        <v>1449</v>
      </c>
      <c r="B232" s="23" t="s">
        <v>1456</v>
      </c>
      <c r="C232" s="23" t="s">
        <v>29</v>
      </c>
      <c r="D232" s="23" t="s">
        <v>1374</v>
      </c>
      <c r="E232" s="23" t="s">
        <v>217</v>
      </c>
      <c r="F232" s="30">
        <v>1</v>
      </c>
      <c r="G232" s="23" t="s">
        <v>193</v>
      </c>
      <c r="H232" s="79" t="s">
        <v>194</v>
      </c>
      <c r="I232" s="23" t="s">
        <v>1375</v>
      </c>
      <c r="J232" s="23" t="s">
        <v>210</v>
      </c>
      <c r="K232" s="23">
        <v>18</v>
      </c>
      <c r="L232" s="23" t="s">
        <v>808</v>
      </c>
      <c r="M232" s="30" t="str">
        <f t="shared" si="3"/>
        <v>722308</v>
      </c>
    </row>
    <row r="233" spans="1:13" x14ac:dyDescent="0.25">
      <c r="A233" s="23" t="s">
        <v>1457</v>
      </c>
      <c r="B233" s="23" t="s">
        <v>1461</v>
      </c>
      <c r="C233" s="23" t="s">
        <v>29</v>
      </c>
      <c r="D233" s="23" t="s">
        <v>1374</v>
      </c>
      <c r="E233" s="23" t="s">
        <v>192</v>
      </c>
      <c r="F233" s="30">
        <v>1</v>
      </c>
      <c r="G233" s="23" t="s">
        <v>193</v>
      </c>
      <c r="H233" s="79" t="s">
        <v>194</v>
      </c>
      <c r="I233" s="23" t="s">
        <v>1375</v>
      </c>
      <c r="J233" s="23" t="s">
        <v>210</v>
      </c>
      <c r="K233" s="23">
        <v>18</v>
      </c>
      <c r="L233" s="23" t="s">
        <v>808</v>
      </c>
      <c r="M233" s="30" t="str">
        <f t="shared" si="3"/>
        <v>722308</v>
      </c>
    </row>
    <row r="234" spans="1:13" x14ac:dyDescent="0.25">
      <c r="A234" s="23" t="s">
        <v>1457</v>
      </c>
      <c r="B234" s="23" t="s">
        <v>1462</v>
      </c>
      <c r="C234" s="23" t="s">
        <v>29</v>
      </c>
      <c r="D234" s="23" t="s">
        <v>1374</v>
      </c>
      <c r="E234" s="23" t="s">
        <v>192</v>
      </c>
      <c r="F234" s="30">
        <v>1</v>
      </c>
      <c r="G234" s="23" t="s">
        <v>193</v>
      </c>
      <c r="H234" s="79" t="s">
        <v>194</v>
      </c>
      <c r="I234" s="23" t="s">
        <v>1375</v>
      </c>
      <c r="J234" s="23" t="s">
        <v>210</v>
      </c>
      <c r="K234" s="23">
        <v>18</v>
      </c>
      <c r="L234" s="23" t="s">
        <v>808</v>
      </c>
      <c r="M234" s="30" t="str">
        <f t="shared" si="3"/>
        <v>722308</v>
      </c>
    </row>
    <row r="235" spans="1:13" x14ac:dyDescent="0.25">
      <c r="A235" s="23" t="s">
        <v>843</v>
      </c>
      <c r="B235" s="23" t="s">
        <v>1676</v>
      </c>
      <c r="C235" s="23" t="s">
        <v>880</v>
      </c>
      <c r="D235" s="23" t="s">
        <v>1637</v>
      </c>
      <c r="E235" s="23" t="s">
        <v>192</v>
      </c>
      <c r="F235" s="84">
        <v>0</v>
      </c>
      <c r="G235" s="64" t="s">
        <v>194</v>
      </c>
      <c r="H235" s="79" t="s">
        <v>193</v>
      </c>
      <c r="I235" s="23" t="s">
        <v>1587</v>
      </c>
      <c r="J235" s="23" t="s">
        <v>210</v>
      </c>
      <c r="K235" s="23">
        <v>18</v>
      </c>
      <c r="L235" s="23" t="s">
        <v>881</v>
      </c>
      <c r="M235" s="30" t="str">
        <f t="shared" si="3"/>
        <v>834204</v>
      </c>
    </row>
    <row r="236" spans="1:13" x14ac:dyDescent="0.25">
      <c r="A236" s="23" t="s">
        <v>1479</v>
      </c>
      <c r="B236" s="23" t="s">
        <v>1480</v>
      </c>
      <c r="C236" s="23" t="s">
        <v>1481</v>
      </c>
      <c r="D236" s="23" t="s">
        <v>1374</v>
      </c>
      <c r="E236" s="23" t="s">
        <v>192</v>
      </c>
      <c r="F236" s="30">
        <v>1</v>
      </c>
      <c r="G236" s="23" t="s">
        <v>193</v>
      </c>
      <c r="H236" s="79" t="s">
        <v>194</v>
      </c>
      <c r="I236" s="23" t="s">
        <v>1375</v>
      </c>
      <c r="J236" s="23" t="s">
        <v>385</v>
      </c>
      <c r="K236" s="23">
        <v>18</v>
      </c>
      <c r="L236" s="23" t="s">
        <v>1482</v>
      </c>
      <c r="M236" s="30" t="str">
        <f t="shared" si="3"/>
        <v>413201</v>
      </c>
    </row>
    <row r="237" spans="1:13" x14ac:dyDescent="0.25">
      <c r="A237" s="23" t="s">
        <v>1360</v>
      </c>
      <c r="B237" s="23" t="s">
        <v>1361</v>
      </c>
      <c r="C237" s="23" t="s">
        <v>863</v>
      </c>
      <c r="D237" s="23" t="s">
        <v>1197</v>
      </c>
      <c r="E237" s="23" t="s">
        <v>252</v>
      </c>
      <c r="F237" s="30">
        <v>1</v>
      </c>
      <c r="G237" s="23" t="s">
        <v>193</v>
      </c>
      <c r="H237" s="79" t="s">
        <v>194</v>
      </c>
      <c r="I237" s="23" t="s">
        <v>1255</v>
      </c>
      <c r="J237" s="23" t="s">
        <v>1362</v>
      </c>
      <c r="K237" s="23">
        <v>18</v>
      </c>
      <c r="L237" s="23" t="s">
        <v>864</v>
      </c>
      <c r="M237" s="30" t="str">
        <f t="shared" si="3"/>
        <v>814208</v>
      </c>
    </row>
    <row r="238" spans="1:13" x14ac:dyDescent="0.25">
      <c r="A238" s="23" t="s">
        <v>3380</v>
      </c>
      <c r="B238" s="23" t="s">
        <v>3381</v>
      </c>
      <c r="C238" s="23" t="s">
        <v>62</v>
      </c>
      <c r="D238" s="23" t="s">
        <v>3294</v>
      </c>
      <c r="E238" s="23" t="s">
        <v>192</v>
      </c>
      <c r="F238" s="30">
        <v>1</v>
      </c>
      <c r="G238" s="23" t="s">
        <v>193</v>
      </c>
      <c r="H238" s="79" t="s">
        <v>194</v>
      </c>
      <c r="I238" s="23" t="s">
        <v>3313</v>
      </c>
      <c r="J238" s="23" t="s">
        <v>316</v>
      </c>
      <c r="K238" s="23">
        <v>18</v>
      </c>
      <c r="L238" s="23" t="s">
        <v>601</v>
      </c>
      <c r="M238" s="30" t="str">
        <f t="shared" si="3"/>
        <v>313904</v>
      </c>
    </row>
    <row r="239" spans="1:13" x14ac:dyDescent="0.25">
      <c r="A239" s="23" t="s">
        <v>1306</v>
      </c>
      <c r="B239" s="23" t="s">
        <v>3382</v>
      </c>
      <c r="C239" s="23" t="s">
        <v>62</v>
      </c>
      <c r="D239" s="23" t="s">
        <v>3294</v>
      </c>
      <c r="E239" s="23" t="s">
        <v>252</v>
      </c>
      <c r="F239" s="30">
        <v>1</v>
      </c>
      <c r="G239" s="23" t="s">
        <v>193</v>
      </c>
      <c r="H239" s="79" t="s">
        <v>194</v>
      </c>
      <c r="I239" s="23" t="s">
        <v>3304</v>
      </c>
      <c r="J239" s="23" t="s">
        <v>253</v>
      </c>
      <c r="K239" s="23">
        <v>18</v>
      </c>
      <c r="L239" s="23" t="s">
        <v>601</v>
      </c>
      <c r="M239" s="30" t="str">
        <f t="shared" si="3"/>
        <v>313904</v>
      </c>
    </row>
    <row r="240" spans="1:13" x14ac:dyDescent="0.25">
      <c r="A240" s="23" t="s">
        <v>540</v>
      </c>
      <c r="B240" s="23" t="s">
        <v>1162</v>
      </c>
      <c r="C240" s="23" t="s">
        <v>62</v>
      </c>
      <c r="D240" s="23" t="s">
        <v>3303</v>
      </c>
      <c r="E240" s="23" t="s">
        <v>217</v>
      </c>
      <c r="F240" s="30">
        <v>1</v>
      </c>
      <c r="G240" s="23" t="s">
        <v>193</v>
      </c>
      <c r="H240" s="79" t="s">
        <v>194</v>
      </c>
      <c r="I240" s="23" t="s">
        <v>3316</v>
      </c>
      <c r="J240" s="23" t="s">
        <v>1163</v>
      </c>
      <c r="K240" s="23">
        <v>18</v>
      </c>
      <c r="L240" s="23" t="s">
        <v>601</v>
      </c>
      <c r="M240" s="30" t="str">
        <f t="shared" si="3"/>
        <v>313904</v>
      </c>
    </row>
    <row r="241" spans="1:13" x14ac:dyDescent="0.25">
      <c r="A241" s="23" t="s">
        <v>540</v>
      </c>
      <c r="B241" s="23" t="s">
        <v>1162</v>
      </c>
      <c r="C241" s="23" t="s">
        <v>62</v>
      </c>
      <c r="D241" s="23" t="s">
        <v>1116</v>
      </c>
      <c r="E241" s="23" t="s">
        <v>217</v>
      </c>
      <c r="F241" s="30">
        <v>1</v>
      </c>
      <c r="G241" s="23" t="s">
        <v>193</v>
      </c>
      <c r="H241" s="79" t="s">
        <v>194</v>
      </c>
      <c r="I241" s="23" t="s">
        <v>1077</v>
      </c>
      <c r="J241" s="23" t="s">
        <v>1163</v>
      </c>
      <c r="K241" s="23">
        <v>18</v>
      </c>
      <c r="L241" s="23" t="s">
        <v>601</v>
      </c>
      <c r="M241" s="30" t="str">
        <f t="shared" si="3"/>
        <v>313904</v>
      </c>
    </row>
    <row r="242" spans="1:13" x14ac:dyDescent="0.25">
      <c r="A242" s="23" t="s">
        <v>796</v>
      </c>
      <c r="B242" s="23" t="s">
        <v>356</v>
      </c>
      <c r="C242" s="23" t="s">
        <v>62</v>
      </c>
      <c r="D242" s="23" t="s">
        <v>1197</v>
      </c>
      <c r="E242" s="23" t="s">
        <v>233</v>
      </c>
      <c r="F242" s="30">
        <v>1</v>
      </c>
      <c r="G242" s="23" t="s">
        <v>193</v>
      </c>
      <c r="H242" s="79" t="s">
        <v>194</v>
      </c>
      <c r="I242" s="23" t="s">
        <v>1077</v>
      </c>
      <c r="J242" s="23" t="s">
        <v>253</v>
      </c>
      <c r="K242" s="23">
        <v>18</v>
      </c>
      <c r="L242" s="23" t="s">
        <v>601</v>
      </c>
      <c r="M242" s="30" t="str">
        <f t="shared" si="3"/>
        <v>313904</v>
      </c>
    </row>
    <row r="243" spans="1:13" x14ac:dyDescent="0.25">
      <c r="A243" s="23" t="s">
        <v>540</v>
      </c>
      <c r="B243" s="23" t="s">
        <v>1280</v>
      </c>
      <c r="C243" s="23" t="s">
        <v>62</v>
      </c>
      <c r="D243" s="23" t="s">
        <v>1197</v>
      </c>
      <c r="E243" s="23" t="s">
        <v>252</v>
      </c>
      <c r="F243" s="30">
        <v>1</v>
      </c>
      <c r="G243" s="23" t="s">
        <v>193</v>
      </c>
      <c r="H243" s="79" t="s">
        <v>194</v>
      </c>
      <c r="I243" s="23" t="s">
        <v>1255</v>
      </c>
      <c r="J243" s="23" t="s">
        <v>1281</v>
      </c>
      <c r="K243" s="23">
        <v>18</v>
      </c>
      <c r="L243" s="23" t="s">
        <v>601</v>
      </c>
      <c r="M243" s="30" t="str">
        <f t="shared" si="3"/>
        <v>313904</v>
      </c>
    </row>
    <row r="244" spans="1:13" x14ac:dyDescent="0.25">
      <c r="A244" s="23" t="s">
        <v>540</v>
      </c>
      <c r="B244" s="23" t="s">
        <v>1162</v>
      </c>
      <c r="C244" s="23" t="s">
        <v>62</v>
      </c>
      <c r="D244" s="23" t="s">
        <v>1197</v>
      </c>
      <c r="E244" s="23" t="s">
        <v>252</v>
      </c>
      <c r="F244" s="30">
        <v>1</v>
      </c>
      <c r="G244" s="23" t="s">
        <v>193</v>
      </c>
      <c r="H244" s="79" t="s">
        <v>194</v>
      </c>
      <c r="I244" s="23" t="s">
        <v>1255</v>
      </c>
      <c r="J244" s="23" t="s">
        <v>1281</v>
      </c>
      <c r="K244" s="23">
        <v>18</v>
      </c>
      <c r="L244" s="23" t="s">
        <v>601</v>
      </c>
      <c r="M244" s="30" t="str">
        <f t="shared" si="3"/>
        <v>313904</v>
      </c>
    </row>
    <row r="245" spans="1:13" x14ac:dyDescent="0.25">
      <c r="A245" s="23" t="s">
        <v>540</v>
      </c>
      <c r="B245" s="23" t="s">
        <v>1162</v>
      </c>
      <c r="C245" s="23" t="s">
        <v>62</v>
      </c>
      <c r="D245" s="23" t="s">
        <v>1197</v>
      </c>
      <c r="E245" s="23" t="s">
        <v>252</v>
      </c>
      <c r="F245" s="30">
        <v>1</v>
      </c>
      <c r="G245" s="23" t="s">
        <v>193</v>
      </c>
      <c r="H245" s="79" t="s">
        <v>194</v>
      </c>
      <c r="I245" s="23" t="s">
        <v>1255</v>
      </c>
      <c r="J245" s="23" t="s">
        <v>210</v>
      </c>
      <c r="K245" s="23">
        <v>18</v>
      </c>
      <c r="L245" s="23" t="s">
        <v>601</v>
      </c>
      <c r="M245" s="30" t="str">
        <f t="shared" si="3"/>
        <v>313904</v>
      </c>
    </row>
    <row r="246" spans="1:13" x14ac:dyDescent="0.25">
      <c r="A246" s="23" t="s">
        <v>540</v>
      </c>
      <c r="B246" s="23" t="s">
        <v>356</v>
      </c>
      <c r="C246" s="23" t="s">
        <v>62</v>
      </c>
      <c r="D246" s="23" t="s">
        <v>1197</v>
      </c>
      <c r="E246" s="23" t="s">
        <v>252</v>
      </c>
      <c r="F246" s="30">
        <v>1</v>
      </c>
      <c r="G246" s="23" t="s">
        <v>193</v>
      </c>
      <c r="H246" s="79" t="s">
        <v>194</v>
      </c>
      <c r="I246" s="23" t="s">
        <v>1255</v>
      </c>
      <c r="J246" s="23" t="s">
        <v>747</v>
      </c>
      <c r="K246" s="23">
        <v>18</v>
      </c>
      <c r="L246" s="23" t="s">
        <v>601</v>
      </c>
      <c r="M246" s="30" t="str">
        <f t="shared" si="3"/>
        <v>313904</v>
      </c>
    </row>
    <row r="247" spans="1:13" x14ac:dyDescent="0.25">
      <c r="A247" s="23" t="s">
        <v>540</v>
      </c>
      <c r="B247" s="23" t="s">
        <v>356</v>
      </c>
      <c r="C247" s="23" t="s">
        <v>62</v>
      </c>
      <c r="D247" s="23" t="s">
        <v>1197</v>
      </c>
      <c r="E247" s="23" t="s">
        <v>252</v>
      </c>
      <c r="F247" s="30">
        <v>1</v>
      </c>
      <c r="G247" s="23" t="s">
        <v>193</v>
      </c>
      <c r="H247" s="79" t="s">
        <v>194</v>
      </c>
      <c r="I247" s="23" t="s">
        <v>1255</v>
      </c>
      <c r="J247" s="23" t="s">
        <v>367</v>
      </c>
      <c r="K247" s="23">
        <v>18</v>
      </c>
      <c r="L247" s="23" t="s">
        <v>601</v>
      </c>
      <c r="M247" s="30" t="str">
        <f t="shared" si="3"/>
        <v>313904</v>
      </c>
    </row>
    <row r="248" spans="1:13" x14ac:dyDescent="0.25">
      <c r="A248" s="23" t="s">
        <v>1306</v>
      </c>
      <c r="B248" s="23" t="s">
        <v>1280</v>
      </c>
      <c r="C248" s="23" t="s">
        <v>62</v>
      </c>
      <c r="D248" s="23" t="s">
        <v>1197</v>
      </c>
      <c r="E248" s="23" t="s">
        <v>252</v>
      </c>
      <c r="F248" s="30">
        <v>1</v>
      </c>
      <c r="G248" s="23" t="s">
        <v>193</v>
      </c>
      <c r="H248" s="79" t="s">
        <v>194</v>
      </c>
      <c r="I248" s="23" t="s">
        <v>1255</v>
      </c>
      <c r="J248" s="23" t="s">
        <v>253</v>
      </c>
      <c r="K248" s="23">
        <v>18</v>
      </c>
      <c r="L248" s="23" t="s">
        <v>601</v>
      </c>
      <c r="M248" s="30" t="str">
        <f t="shared" si="3"/>
        <v>313904</v>
      </c>
    </row>
    <row r="249" spans="1:13" x14ac:dyDescent="0.25">
      <c r="A249" s="23" t="s">
        <v>3383</v>
      </c>
      <c r="B249" s="23" t="s">
        <v>3384</v>
      </c>
      <c r="C249" s="23" t="s">
        <v>3385</v>
      </c>
      <c r="D249" s="23" t="s">
        <v>3303</v>
      </c>
      <c r="E249" s="23" t="s">
        <v>252</v>
      </c>
      <c r="F249" s="30">
        <v>1</v>
      </c>
      <c r="G249" s="23" t="s">
        <v>193</v>
      </c>
      <c r="H249" s="79" t="s">
        <v>194</v>
      </c>
      <c r="I249" s="23" t="s">
        <v>3313</v>
      </c>
      <c r="J249" s="23" t="s">
        <v>367</v>
      </c>
      <c r="K249" s="23">
        <v>18</v>
      </c>
      <c r="L249" s="23" t="s">
        <v>3386</v>
      </c>
      <c r="M249" s="30" t="str">
        <f t="shared" si="3"/>
        <v>834316</v>
      </c>
    </row>
    <row r="250" spans="1:13" x14ac:dyDescent="0.25">
      <c r="A250" s="23" t="s">
        <v>3387</v>
      </c>
      <c r="B250" s="23" t="s">
        <v>3388</v>
      </c>
      <c r="C250" s="23" t="s">
        <v>113</v>
      </c>
      <c r="D250" s="23" t="s">
        <v>3294</v>
      </c>
      <c r="E250" s="23" t="s">
        <v>192</v>
      </c>
      <c r="F250" s="30">
        <v>1</v>
      </c>
      <c r="G250" s="23" t="s">
        <v>193</v>
      </c>
      <c r="H250" s="79" t="s">
        <v>194</v>
      </c>
      <c r="I250" s="23" t="s">
        <v>3313</v>
      </c>
      <c r="J250" s="23" t="s">
        <v>1388</v>
      </c>
      <c r="K250" s="23">
        <v>18</v>
      </c>
      <c r="L250" s="23" t="s">
        <v>465</v>
      </c>
      <c r="M250" s="30" t="str">
        <f t="shared" si="3"/>
        <v>243302</v>
      </c>
    </row>
    <row r="251" spans="1:13" x14ac:dyDescent="0.25">
      <c r="A251" s="23" t="s">
        <v>2108</v>
      </c>
      <c r="B251" s="23" t="s">
        <v>3389</v>
      </c>
      <c r="C251" s="23" t="s">
        <v>113</v>
      </c>
      <c r="D251" s="23" t="s">
        <v>3294</v>
      </c>
      <c r="E251" s="23" t="s">
        <v>192</v>
      </c>
      <c r="F251" s="84">
        <v>0</v>
      </c>
      <c r="G251" s="64" t="s">
        <v>194</v>
      </c>
      <c r="H251" s="79" t="s">
        <v>193</v>
      </c>
      <c r="I251" s="23" t="s">
        <v>3313</v>
      </c>
      <c r="J251" s="23" t="s">
        <v>210</v>
      </c>
      <c r="K251" s="23">
        <v>18</v>
      </c>
      <c r="L251" s="23" t="s">
        <v>465</v>
      </c>
      <c r="M251" s="30" t="str">
        <f t="shared" si="3"/>
        <v>243302</v>
      </c>
    </row>
    <row r="252" spans="1:13" x14ac:dyDescent="0.25">
      <c r="A252" s="23" t="s">
        <v>3390</v>
      </c>
      <c r="B252" s="23" t="s">
        <v>965</v>
      </c>
      <c r="C252" s="23" t="s">
        <v>113</v>
      </c>
      <c r="D252" s="23" t="s">
        <v>3303</v>
      </c>
      <c r="E252" s="23" t="s">
        <v>192</v>
      </c>
      <c r="F252" s="30">
        <v>1</v>
      </c>
      <c r="G252" s="23" t="s">
        <v>193</v>
      </c>
      <c r="H252" s="79" t="s">
        <v>194</v>
      </c>
      <c r="I252" s="23" t="s">
        <v>3295</v>
      </c>
      <c r="J252" s="23" t="s">
        <v>267</v>
      </c>
      <c r="K252" s="23">
        <v>18</v>
      </c>
      <c r="L252" s="23" t="s">
        <v>465</v>
      </c>
      <c r="M252" s="30" t="str">
        <f t="shared" si="3"/>
        <v>243302</v>
      </c>
    </row>
    <row r="253" spans="1:13" x14ac:dyDescent="0.25">
      <c r="A253" s="23" t="s">
        <v>1138</v>
      </c>
      <c r="B253" s="23" t="s">
        <v>1145</v>
      </c>
      <c r="C253" s="23" t="s">
        <v>113</v>
      </c>
      <c r="D253" s="23" t="s">
        <v>1116</v>
      </c>
      <c r="E253" s="23" t="s">
        <v>217</v>
      </c>
      <c r="F253" s="30">
        <v>1</v>
      </c>
      <c r="G253" s="23" t="s">
        <v>193</v>
      </c>
      <c r="H253" s="79" t="s">
        <v>194</v>
      </c>
      <c r="I253" s="23" t="s">
        <v>1077</v>
      </c>
      <c r="J253" s="23" t="s">
        <v>316</v>
      </c>
      <c r="K253" s="23">
        <v>18</v>
      </c>
      <c r="L253" s="23" t="s">
        <v>465</v>
      </c>
      <c r="M253" s="30" t="str">
        <f t="shared" si="3"/>
        <v>243302</v>
      </c>
    </row>
    <row r="254" spans="1:13" x14ac:dyDescent="0.25">
      <c r="A254" s="23" t="s">
        <v>1207</v>
      </c>
      <c r="B254" s="23" t="s">
        <v>1208</v>
      </c>
      <c r="C254" s="23" t="s">
        <v>113</v>
      </c>
      <c r="D254" s="23" t="s">
        <v>1197</v>
      </c>
      <c r="E254" s="23" t="s">
        <v>217</v>
      </c>
      <c r="F254" s="30">
        <v>1</v>
      </c>
      <c r="G254" s="23" t="s">
        <v>193</v>
      </c>
      <c r="H254" s="79" t="s">
        <v>194</v>
      </c>
      <c r="I254" s="23" t="s">
        <v>1077</v>
      </c>
      <c r="J254" s="23" t="s">
        <v>210</v>
      </c>
      <c r="K254" s="23">
        <v>18</v>
      </c>
      <c r="L254" s="23" t="s">
        <v>465</v>
      </c>
      <c r="M254" s="30" t="str">
        <f t="shared" si="3"/>
        <v>243302</v>
      </c>
    </row>
    <row r="255" spans="1:13" x14ac:dyDescent="0.25">
      <c r="A255" s="23" t="s">
        <v>540</v>
      </c>
      <c r="B255" s="23" t="s">
        <v>1272</v>
      </c>
      <c r="C255" s="23" t="s">
        <v>113</v>
      </c>
      <c r="D255" s="23" t="s">
        <v>1197</v>
      </c>
      <c r="E255" s="23" t="s">
        <v>252</v>
      </c>
      <c r="F255" s="30">
        <v>1</v>
      </c>
      <c r="G255" s="23" t="s">
        <v>193</v>
      </c>
      <c r="H255" s="79" t="s">
        <v>194</v>
      </c>
      <c r="I255" s="23" t="s">
        <v>1255</v>
      </c>
      <c r="J255" s="23" t="s">
        <v>210</v>
      </c>
      <c r="K255" s="23">
        <v>18</v>
      </c>
      <c r="L255" s="23" t="s">
        <v>465</v>
      </c>
      <c r="M255" s="30" t="str">
        <f t="shared" si="3"/>
        <v>243302</v>
      </c>
    </row>
    <row r="256" spans="1:13" x14ac:dyDescent="0.25">
      <c r="A256" s="23" t="s">
        <v>1643</v>
      </c>
      <c r="B256" s="23" t="s">
        <v>1644</v>
      </c>
      <c r="C256" s="23" t="s">
        <v>113</v>
      </c>
      <c r="D256" s="23" t="s">
        <v>1637</v>
      </c>
      <c r="E256" s="23" t="s">
        <v>192</v>
      </c>
      <c r="F256" s="30">
        <v>1</v>
      </c>
      <c r="G256" s="23" t="s">
        <v>193</v>
      </c>
      <c r="H256" s="79" t="s">
        <v>194</v>
      </c>
      <c r="I256" s="23" t="s">
        <v>1587</v>
      </c>
      <c r="J256" s="23" t="s">
        <v>210</v>
      </c>
      <c r="K256" s="23">
        <v>18</v>
      </c>
      <c r="L256" s="23" t="s">
        <v>465</v>
      </c>
      <c r="M256" s="30" t="str">
        <f t="shared" si="3"/>
        <v>243302</v>
      </c>
    </row>
    <row r="257" spans="1:13" x14ac:dyDescent="0.25">
      <c r="A257" s="23" t="s">
        <v>1186</v>
      </c>
      <c r="B257" s="23" t="s">
        <v>1187</v>
      </c>
      <c r="C257" s="23" t="s">
        <v>1188</v>
      </c>
      <c r="D257" s="23" t="s">
        <v>1116</v>
      </c>
      <c r="E257" s="23" t="s">
        <v>217</v>
      </c>
      <c r="F257" s="30">
        <v>1</v>
      </c>
      <c r="G257" s="23" t="s">
        <v>193</v>
      </c>
      <c r="H257" s="79" t="s">
        <v>194</v>
      </c>
      <c r="I257" s="23" t="s">
        <v>1117</v>
      </c>
      <c r="J257" s="23" t="s">
        <v>1189</v>
      </c>
      <c r="K257" s="23">
        <v>18</v>
      </c>
      <c r="L257" s="23" t="s">
        <v>1190</v>
      </c>
      <c r="M257" s="30" t="str">
        <f t="shared" si="3"/>
        <v>532102</v>
      </c>
    </row>
    <row r="258" spans="1:13" x14ac:dyDescent="0.25">
      <c r="A258" s="23" t="s">
        <v>3391</v>
      </c>
      <c r="B258" s="23" t="s">
        <v>3392</v>
      </c>
      <c r="C258" s="23" t="s">
        <v>1352</v>
      </c>
      <c r="D258" s="23" t="s">
        <v>3294</v>
      </c>
      <c r="E258" s="23" t="s">
        <v>217</v>
      </c>
      <c r="F258" s="84">
        <v>0</v>
      </c>
      <c r="G258" s="64" t="s">
        <v>194</v>
      </c>
      <c r="H258" s="79" t="s">
        <v>193</v>
      </c>
      <c r="I258" s="23" t="s">
        <v>3313</v>
      </c>
      <c r="J258" s="23" t="s">
        <v>196</v>
      </c>
      <c r="K258" s="23">
        <v>18</v>
      </c>
      <c r="L258" s="23" t="s">
        <v>1354</v>
      </c>
      <c r="M258" s="30" t="str">
        <f t="shared" si="3"/>
        <v>341202</v>
      </c>
    </row>
    <row r="259" spans="1:13" x14ac:dyDescent="0.25">
      <c r="A259" s="23" t="s">
        <v>1350</v>
      </c>
      <c r="B259" s="23" t="s">
        <v>1351</v>
      </c>
      <c r="C259" s="23" t="s">
        <v>1352</v>
      </c>
      <c r="D259" s="23" t="s">
        <v>1197</v>
      </c>
      <c r="E259" s="23" t="s">
        <v>252</v>
      </c>
      <c r="F259" s="84">
        <v>0</v>
      </c>
      <c r="G259" s="64" t="s">
        <v>194</v>
      </c>
      <c r="H259" s="79" t="s">
        <v>193</v>
      </c>
      <c r="I259" s="23" t="s">
        <v>1255</v>
      </c>
      <c r="J259" s="23" t="s">
        <v>1353</v>
      </c>
      <c r="K259" s="23">
        <v>18</v>
      </c>
      <c r="L259" s="23" t="s">
        <v>1354</v>
      </c>
      <c r="M259" s="30" t="str">
        <f t="shared" ref="M259:M322" si="4">MID(L259,8,6)</f>
        <v>341202</v>
      </c>
    </row>
    <row r="260" spans="1:13" x14ac:dyDescent="0.25">
      <c r="A260" s="23" t="s">
        <v>1355</v>
      </c>
      <c r="B260" s="23" t="s">
        <v>1356</v>
      </c>
      <c r="C260" s="23" t="s">
        <v>1352</v>
      </c>
      <c r="D260" s="23" t="s">
        <v>1197</v>
      </c>
      <c r="E260" s="23" t="s">
        <v>252</v>
      </c>
      <c r="F260" s="30">
        <v>1</v>
      </c>
      <c r="G260" s="23" t="s">
        <v>193</v>
      </c>
      <c r="H260" s="79" t="s">
        <v>194</v>
      </c>
      <c r="I260" s="23" t="s">
        <v>1255</v>
      </c>
      <c r="J260" s="23" t="s">
        <v>1357</v>
      </c>
      <c r="K260" s="23">
        <v>18</v>
      </c>
      <c r="L260" s="23" t="s">
        <v>1354</v>
      </c>
      <c r="M260" s="30" t="str">
        <f t="shared" si="4"/>
        <v>341202</v>
      </c>
    </row>
    <row r="261" spans="1:13" x14ac:dyDescent="0.25">
      <c r="A261" s="23" t="s">
        <v>1213</v>
      </c>
      <c r="B261" s="23" t="s">
        <v>1217</v>
      </c>
      <c r="C261" s="23" t="s">
        <v>1218</v>
      </c>
      <c r="D261" s="23" t="s">
        <v>1197</v>
      </c>
      <c r="E261" s="23" t="s">
        <v>252</v>
      </c>
      <c r="F261" s="84">
        <v>0</v>
      </c>
      <c r="G261" s="64" t="s">
        <v>194</v>
      </c>
      <c r="H261" s="79" t="s">
        <v>193</v>
      </c>
      <c r="I261" s="23" t="s">
        <v>1078</v>
      </c>
      <c r="J261" s="23" t="s">
        <v>1219</v>
      </c>
      <c r="K261" s="23">
        <v>18</v>
      </c>
      <c r="L261" s="23" t="s">
        <v>1220</v>
      </c>
      <c r="M261" s="30" t="str">
        <f t="shared" si="4"/>
        <v>932101</v>
      </c>
    </row>
    <row r="262" spans="1:13" x14ac:dyDescent="0.25">
      <c r="A262" s="23" t="s">
        <v>1298</v>
      </c>
      <c r="B262" s="23" t="s">
        <v>1299</v>
      </c>
      <c r="C262" s="23" t="s">
        <v>1218</v>
      </c>
      <c r="D262" s="23" t="s">
        <v>1197</v>
      </c>
      <c r="E262" s="23" t="s">
        <v>252</v>
      </c>
      <c r="F262" s="30">
        <v>1</v>
      </c>
      <c r="G262" s="23" t="s">
        <v>193</v>
      </c>
      <c r="H262" s="79" t="s">
        <v>194</v>
      </c>
      <c r="I262" s="23" t="s">
        <v>1255</v>
      </c>
      <c r="J262" s="23" t="s">
        <v>1300</v>
      </c>
      <c r="K262" s="23">
        <v>18</v>
      </c>
      <c r="L262" s="23" t="s">
        <v>1220</v>
      </c>
      <c r="M262" s="30" t="str">
        <f t="shared" si="4"/>
        <v>932101</v>
      </c>
    </row>
    <row r="263" spans="1:13" x14ac:dyDescent="0.25">
      <c r="A263" s="23" t="s">
        <v>1426</v>
      </c>
      <c r="B263" s="23" t="s">
        <v>1432</v>
      </c>
      <c r="C263" s="23" t="s">
        <v>721</v>
      </c>
      <c r="D263" s="23" t="s">
        <v>1374</v>
      </c>
      <c r="E263" s="23" t="s">
        <v>192</v>
      </c>
      <c r="F263" s="30">
        <v>1</v>
      </c>
      <c r="G263" s="23" t="s">
        <v>193</v>
      </c>
      <c r="H263" s="79" t="s">
        <v>194</v>
      </c>
      <c r="I263" s="23" t="s">
        <v>1375</v>
      </c>
      <c r="J263" s="23" t="s">
        <v>253</v>
      </c>
      <c r="K263" s="23">
        <v>18</v>
      </c>
      <c r="L263" s="23" t="s">
        <v>723</v>
      </c>
      <c r="M263" s="30" t="str">
        <f t="shared" si="4"/>
        <v>432201</v>
      </c>
    </row>
    <row r="264" spans="1:13" x14ac:dyDescent="0.25">
      <c r="A264" s="23" t="s">
        <v>800</v>
      </c>
      <c r="B264" s="23" t="s">
        <v>1432</v>
      </c>
      <c r="C264" s="23" t="s">
        <v>721</v>
      </c>
      <c r="D264" s="23" t="s">
        <v>1374</v>
      </c>
      <c r="E264" s="23" t="s">
        <v>192</v>
      </c>
      <c r="F264" s="30">
        <v>1</v>
      </c>
      <c r="G264" s="23" t="s">
        <v>193</v>
      </c>
      <c r="H264" s="79" t="s">
        <v>194</v>
      </c>
      <c r="I264" s="23" t="s">
        <v>1375</v>
      </c>
      <c r="J264" s="23" t="s">
        <v>276</v>
      </c>
      <c r="K264" s="23">
        <v>18</v>
      </c>
      <c r="L264" s="23" t="s">
        <v>723</v>
      </c>
      <c r="M264" s="30" t="str">
        <f t="shared" si="4"/>
        <v>432201</v>
      </c>
    </row>
    <row r="265" spans="1:13" x14ac:dyDescent="0.25">
      <c r="A265" s="23" t="s">
        <v>946</v>
      </c>
      <c r="B265" s="23" t="s">
        <v>947</v>
      </c>
      <c r="C265" s="23" t="s">
        <v>1148</v>
      </c>
      <c r="D265" s="23" t="s">
        <v>3294</v>
      </c>
      <c r="E265" s="23" t="s">
        <v>192</v>
      </c>
      <c r="F265" s="30">
        <v>5</v>
      </c>
      <c r="G265" s="23" t="s">
        <v>193</v>
      </c>
      <c r="H265" s="79" t="s">
        <v>194</v>
      </c>
      <c r="I265" s="23" t="s">
        <v>3313</v>
      </c>
      <c r="J265" s="23" t="s">
        <v>210</v>
      </c>
      <c r="K265" s="23">
        <v>18</v>
      </c>
      <c r="L265" s="23" t="s">
        <v>1150</v>
      </c>
      <c r="M265" s="30" t="str">
        <f t="shared" si="4"/>
        <v>244001</v>
      </c>
    </row>
    <row r="266" spans="1:13" x14ac:dyDescent="0.25">
      <c r="A266" s="23" t="s">
        <v>1340</v>
      </c>
      <c r="B266" s="23" t="s">
        <v>3393</v>
      </c>
      <c r="C266" s="23" t="s">
        <v>1148</v>
      </c>
      <c r="D266" s="23" t="s">
        <v>3294</v>
      </c>
      <c r="E266" s="23" t="s">
        <v>192</v>
      </c>
      <c r="F266" s="30">
        <v>1</v>
      </c>
      <c r="G266" s="23" t="s">
        <v>193</v>
      </c>
      <c r="H266" s="79" t="s">
        <v>194</v>
      </c>
      <c r="I266" s="23" t="s">
        <v>3304</v>
      </c>
      <c r="J266" s="23" t="s">
        <v>267</v>
      </c>
      <c r="K266" s="23">
        <v>18</v>
      </c>
      <c r="L266" s="23" t="s">
        <v>1150</v>
      </c>
      <c r="M266" s="30" t="str">
        <f t="shared" si="4"/>
        <v>244001</v>
      </c>
    </row>
    <row r="267" spans="1:13" x14ac:dyDescent="0.25">
      <c r="A267" s="23" t="s">
        <v>1714</v>
      </c>
      <c r="B267" s="23" t="s">
        <v>1715</v>
      </c>
      <c r="C267" s="23" t="s">
        <v>1148</v>
      </c>
      <c r="D267" s="23" t="s">
        <v>3294</v>
      </c>
      <c r="E267" s="23" t="s">
        <v>192</v>
      </c>
      <c r="F267" s="30">
        <v>1</v>
      </c>
      <c r="G267" s="23" t="s">
        <v>193</v>
      </c>
      <c r="H267" s="79" t="s">
        <v>194</v>
      </c>
      <c r="I267" s="23" t="s">
        <v>3316</v>
      </c>
      <c r="J267" s="23" t="s">
        <v>253</v>
      </c>
      <c r="K267" s="23">
        <v>18</v>
      </c>
      <c r="L267" s="23" t="s">
        <v>1150</v>
      </c>
      <c r="M267" s="30" t="str">
        <f t="shared" si="4"/>
        <v>244001</v>
      </c>
    </row>
    <row r="268" spans="1:13" x14ac:dyDescent="0.25">
      <c r="A268" s="23" t="s">
        <v>1147</v>
      </c>
      <c r="B268" s="23" t="s">
        <v>681</v>
      </c>
      <c r="C268" s="23" t="s">
        <v>1148</v>
      </c>
      <c r="D268" s="23" t="s">
        <v>3303</v>
      </c>
      <c r="E268" s="23" t="s">
        <v>192</v>
      </c>
      <c r="F268" s="30">
        <v>1</v>
      </c>
      <c r="G268" s="23" t="s">
        <v>193</v>
      </c>
      <c r="H268" s="79" t="s">
        <v>194</v>
      </c>
      <c r="I268" s="23" t="s">
        <v>3304</v>
      </c>
      <c r="J268" s="23" t="s">
        <v>267</v>
      </c>
      <c r="K268" s="23">
        <v>18</v>
      </c>
      <c r="L268" s="23" t="s">
        <v>1150</v>
      </c>
      <c r="M268" s="30" t="str">
        <f t="shared" si="4"/>
        <v>244001</v>
      </c>
    </row>
    <row r="269" spans="1:13" x14ac:dyDescent="0.25">
      <c r="A269" s="23" t="s">
        <v>1816</v>
      </c>
      <c r="B269" s="23" t="s">
        <v>1715</v>
      </c>
      <c r="C269" s="23" t="s">
        <v>1148</v>
      </c>
      <c r="D269" s="23" t="s">
        <v>3303</v>
      </c>
      <c r="E269" s="23" t="s">
        <v>192</v>
      </c>
      <c r="F269" s="30">
        <v>1</v>
      </c>
      <c r="G269" s="23" t="s">
        <v>193</v>
      </c>
      <c r="H269" s="79" t="s">
        <v>194</v>
      </c>
      <c r="I269" s="23" t="s">
        <v>3304</v>
      </c>
      <c r="J269" s="23" t="s">
        <v>210</v>
      </c>
      <c r="K269" s="23">
        <v>18</v>
      </c>
      <c r="L269" s="23" t="s">
        <v>1150</v>
      </c>
      <c r="M269" s="30" t="str">
        <f t="shared" si="4"/>
        <v>244001</v>
      </c>
    </row>
    <row r="270" spans="1:13" x14ac:dyDescent="0.25">
      <c r="A270" s="23" t="s">
        <v>1147</v>
      </c>
      <c r="B270" s="23" t="s">
        <v>681</v>
      </c>
      <c r="C270" s="23" t="s">
        <v>1148</v>
      </c>
      <c r="D270" s="23" t="s">
        <v>1116</v>
      </c>
      <c r="E270" s="23" t="s">
        <v>233</v>
      </c>
      <c r="F270" s="30">
        <v>1</v>
      </c>
      <c r="G270" s="23" t="s">
        <v>193</v>
      </c>
      <c r="H270" s="79" t="s">
        <v>194</v>
      </c>
      <c r="I270" s="23" t="s">
        <v>1077</v>
      </c>
      <c r="J270" s="23" t="s">
        <v>1149</v>
      </c>
      <c r="K270" s="23">
        <v>18</v>
      </c>
      <c r="L270" s="23" t="s">
        <v>1150</v>
      </c>
      <c r="M270" s="30" t="str">
        <f t="shared" si="4"/>
        <v>244001</v>
      </c>
    </row>
    <row r="271" spans="1:13" x14ac:dyDescent="0.25">
      <c r="A271" s="23" t="s">
        <v>1252</v>
      </c>
      <c r="B271" s="23" t="s">
        <v>1253</v>
      </c>
      <c r="C271" s="23" t="s">
        <v>1148</v>
      </c>
      <c r="D271" s="23" t="s">
        <v>1197</v>
      </c>
      <c r="E271" s="23" t="s">
        <v>252</v>
      </c>
      <c r="F271" s="30">
        <v>1</v>
      </c>
      <c r="G271" s="23" t="s">
        <v>193</v>
      </c>
      <c r="H271" s="79" t="s">
        <v>194</v>
      </c>
      <c r="I271" s="23" t="s">
        <v>1078</v>
      </c>
      <c r="J271" s="23" t="s">
        <v>1254</v>
      </c>
      <c r="K271" s="23">
        <v>18</v>
      </c>
      <c r="L271" s="23" t="s">
        <v>1150</v>
      </c>
      <c r="M271" s="30" t="str">
        <f t="shared" si="4"/>
        <v>244001</v>
      </c>
    </row>
    <row r="272" spans="1:13" x14ac:dyDescent="0.25">
      <c r="A272" s="23" t="s">
        <v>680</v>
      </c>
      <c r="B272" s="23" t="s">
        <v>681</v>
      </c>
      <c r="C272" s="23" t="s">
        <v>1148</v>
      </c>
      <c r="D272" s="23" t="s">
        <v>1374</v>
      </c>
      <c r="E272" s="23" t="s">
        <v>192</v>
      </c>
      <c r="F272" s="30">
        <v>1</v>
      </c>
      <c r="G272" s="23" t="s">
        <v>193</v>
      </c>
      <c r="H272" s="79" t="s">
        <v>194</v>
      </c>
      <c r="I272" s="23" t="s">
        <v>1375</v>
      </c>
      <c r="J272" s="23" t="s">
        <v>210</v>
      </c>
      <c r="K272" s="23">
        <v>18</v>
      </c>
      <c r="L272" s="23" t="s">
        <v>1150</v>
      </c>
      <c r="M272" s="30" t="str">
        <f t="shared" si="4"/>
        <v>244001</v>
      </c>
    </row>
    <row r="273" spans="1:13" x14ac:dyDescent="0.25">
      <c r="A273" s="23" t="s">
        <v>1147</v>
      </c>
      <c r="B273" s="23" t="s">
        <v>681</v>
      </c>
      <c r="C273" s="23" t="s">
        <v>1148</v>
      </c>
      <c r="D273" s="23" t="s">
        <v>1637</v>
      </c>
      <c r="E273" s="23" t="s">
        <v>192</v>
      </c>
      <c r="F273" s="30">
        <v>1</v>
      </c>
      <c r="G273" s="23" t="s">
        <v>193</v>
      </c>
      <c r="H273" s="79" t="s">
        <v>194</v>
      </c>
      <c r="I273" s="23" t="s">
        <v>1587</v>
      </c>
      <c r="J273" s="23" t="s">
        <v>267</v>
      </c>
      <c r="K273" s="23">
        <v>18</v>
      </c>
      <c r="L273" s="23" t="s">
        <v>1150</v>
      </c>
      <c r="M273" s="30" t="str">
        <f t="shared" si="4"/>
        <v>244001</v>
      </c>
    </row>
    <row r="274" spans="1:13" x14ac:dyDescent="0.25">
      <c r="A274" s="23" t="s">
        <v>1714</v>
      </c>
      <c r="B274" s="23" t="s">
        <v>1715</v>
      </c>
      <c r="C274" s="23" t="s">
        <v>1148</v>
      </c>
      <c r="D274" s="23" t="s">
        <v>1637</v>
      </c>
      <c r="E274" s="23" t="s">
        <v>192</v>
      </c>
      <c r="F274" s="30">
        <v>1</v>
      </c>
      <c r="G274" s="23" t="s">
        <v>193</v>
      </c>
      <c r="H274" s="79" t="s">
        <v>194</v>
      </c>
      <c r="I274" s="23" t="s">
        <v>1587</v>
      </c>
      <c r="J274" s="23" t="s">
        <v>253</v>
      </c>
      <c r="K274" s="23">
        <v>18</v>
      </c>
      <c r="L274" s="23" t="s">
        <v>1150</v>
      </c>
      <c r="M274" s="30" t="str">
        <f t="shared" si="4"/>
        <v>244001</v>
      </c>
    </row>
    <row r="275" spans="1:13" x14ac:dyDescent="0.25">
      <c r="A275" s="23" t="s">
        <v>1323</v>
      </c>
      <c r="B275" s="23" t="s">
        <v>1324</v>
      </c>
      <c r="C275" s="23" t="s">
        <v>1325</v>
      </c>
      <c r="D275" s="23" t="s">
        <v>1197</v>
      </c>
      <c r="E275" s="23" t="s">
        <v>252</v>
      </c>
      <c r="F275" s="30">
        <v>1</v>
      </c>
      <c r="G275" s="23" t="s">
        <v>193</v>
      </c>
      <c r="H275" s="79" t="s">
        <v>194</v>
      </c>
      <c r="I275" s="23" t="s">
        <v>1255</v>
      </c>
      <c r="J275" s="23" t="s">
        <v>1326</v>
      </c>
      <c r="K275" s="23">
        <v>18</v>
      </c>
      <c r="L275" s="23" t="s">
        <v>1327</v>
      </c>
      <c r="M275" s="30" t="str">
        <f t="shared" si="4"/>
        <v>931301</v>
      </c>
    </row>
    <row r="276" spans="1:13" x14ac:dyDescent="0.25">
      <c r="A276" s="23" t="s">
        <v>1306</v>
      </c>
      <c r="B276" s="23" t="s">
        <v>1311</v>
      </c>
      <c r="C276" s="23" t="s">
        <v>1312</v>
      </c>
      <c r="D276" s="23" t="s">
        <v>1197</v>
      </c>
      <c r="E276" s="23" t="s">
        <v>252</v>
      </c>
      <c r="F276" s="30">
        <v>1</v>
      </c>
      <c r="G276" s="23" t="s">
        <v>193</v>
      </c>
      <c r="H276" s="79" t="s">
        <v>194</v>
      </c>
      <c r="I276" s="23" t="s">
        <v>1255</v>
      </c>
      <c r="J276" s="23" t="s">
        <v>253</v>
      </c>
      <c r="K276" s="23">
        <v>18</v>
      </c>
      <c r="L276" s="23" t="s">
        <v>1313</v>
      </c>
      <c r="M276" s="30" t="str">
        <f t="shared" si="4"/>
        <v>813190</v>
      </c>
    </row>
    <row r="277" spans="1:13" x14ac:dyDescent="0.25">
      <c r="A277" s="23" t="s">
        <v>1074</v>
      </c>
      <c r="B277" s="23" t="s">
        <v>1075</v>
      </c>
      <c r="C277" s="23" t="s">
        <v>1076</v>
      </c>
      <c r="D277" s="23" t="s">
        <v>1077</v>
      </c>
      <c r="E277" s="23" t="s">
        <v>252</v>
      </c>
      <c r="F277" s="84">
        <v>0</v>
      </c>
      <c r="G277" s="64" t="s">
        <v>194</v>
      </c>
      <c r="H277" s="79" t="s">
        <v>193</v>
      </c>
      <c r="I277" s="23" t="s">
        <v>1078</v>
      </c>
      <c r="J277" s="23" t="s">
        <v>1079</v>
      </c>
      <c r="K277" s="23">
        <v>18</v>
      </c>
      <c r="L277" s="23" t="s">
        <v>1080</v>
      </c>
      <c r="M277" s="30" t="str">
        <f t="shared" si="4"/>
        <v>532290</v>
      </c>
    </row>
    <row r="278" spans="1:13" x14ac:dyDescent="0.25">
      <c r="A278" s="23" t="s">
        <v>1168</v>
      </c>
      <c r="B278" s="23" t="s">
        <v>1169</v>
      </c>
      <c r="C278" s="23" t="s">
        <v>1170</v>
      </c>
      <c r="D278" s="23" t="s">
        <v>1116</v>
      </c>
      <c r="E278" s="23" t="s">
        <v>217</v>
      </c>
      <c r="F278" s="30">
        <v>1</v>
      </c>
      <c r="G278" s="23" t="s">
        <v>193</v>
      </c>
      <c r="H278" s="79" t="s">
        <v>194</v>
      </c>
      <c r="I278" s="23" t="s">
        <v>1077</v>
      </c>
      <c r="J278" s="23" t="s">
        <v>323</v>
      </c>
      <c r="K278" s="23">
        <v>18</v>
      </c>
      <c r="L278" s="23" t="s">
        <v>1171</v>
      </c>
      <c r="M278" s="30" t="str">
        <f t="shared" si="4"/>
        <v>522390</v>
      </c>
    </row>
    <row r="279" spans="1:13" x14ac:dyDescent="0.25">
      <c r="A279" s="23" t="s">
        <v>1168</v>
      </c>
      <c r="B279" s="23" t="s">
        <v>1169</v>
      </c>
      <c r="C279" s="23" t="s">
        <v>1170</v>
      </c>
      <c r="D279" s="23" t="s">
        <v>1116</v>
      </c>
      <c r="E279" s="23" t="s">
        <v>217</v>
      </c>
      <c r="F279" s="30">
        <v>1</v>
      </c>
      <c r="G279" s="23" t="s">
        <v>193</v>
      </c>
      <c r="H279" s="79" t="s">
        <v>194</v>
      </c>
      <c r="I279" s="23" t="s">
        <v>1077</v>
      </c>
      <c r="J279" s="23" t="s">
        <v>408</v>
      </c>
      <c r="K279" s="23">
        <v>18</v>
      </c>
      <c r="L279" s="23" t="s">
        <v>1171</v>
      </c>
      <c r="M279" s="30" t="str">
        <f t="shared" si="4"/>
        <v>522390</v>
      </c>
    </row>
    <row r="280" spans="1:13" x14ac:dyDescent="0.25">
      <c r="A280" s="23" t="s">
        <v>1168</v>
      </c>
      <c r="B280" s="23" t="s">
        <v>1169</v>
      </c>
      <c r="C280" s="23" t="s">
        <v>1170</v>
      </c>
      <c r="D280" s="23" t="s">
        <v>1116</v>
      </c>
      <c r="E280" s="23" t="s">
        <v>217</v>
      </c>
      <c r="F280" s="30">
        <v>1</v>
      </c>
      <c r="G280" s="23" t="s">
        <v>193</v>
      </c>
      <c r="H280" s="79" t="s">
        <v>194</v>
      </c>
      <c r="I280" s="23" t="s">
        <v>1077</v>
      </c>
      <c r="J280" s="23" t="s">
        <v>305</v>
      </c>
      <c r="K280" s="23">
        <v>18</v>
      </c>
      <c r="L280" s="23" t="s">
        <v>1171</v>
      </c>
      <c r="M280" s="30" t="str">
        <f t="shared" si="4"/>
        <v>522390</v>
      </c>
    </row>
    <row r="281" spans="1:13" x14ac:dyDescent="0.25">
      <c r="A281" s="23" t="s">
        <v>1168</v>
      </c>
      <c r="B281" s="23" t="s">
        <v>1169</v>
      </c>
      <c r="C281" s="23" t="s">
        <v>1170</v>
      </c>
      <c r="D281" s="23" t="s">
        <v>1116</v>
      </c>
      <c r="E281" s="23" t="s">
        <v>217</v>
      </c>
      <c r="F281" s="30">
        <v>1</v>
      </c>
      <c r="G281" s="23" t="s">
        <v>193</v>
      </c>
      <c r="H281" s="79" t="s">
        <v>194</v>
      </c>
      <c r="I281" s="23" t="s">
        <v>1077</v>
      </c>
      <c r="J281" s="23" t="s">
        <v>747</v>
      </c>
      <c r="K281" s="23">
        <v>18</v>
      </c>
      <c r="L281" s="23" t="s">
        <v>1171</v>
      </c>
      <c r="M281" s="30" t="str">
        <f t="shared" si="4"/>
        <v>522390</v>
      </c>
    </row>
    <row r="282" spans="1:13" x14ac:dyDescent="0.25">
      <c r="A282" s="23" t="s">
        <v>1168</v>
      </c>
      <c r="B282" s="23" t="s">
        <v>1169</v>
      </c>
      <c r="C282" s="23" t="s">
        <v>1170</v>
      </c>
      <c r="D282" s="23" t="s">
        <v>1116</v>
      </c>
      <c r="E282" s="23" t="s">
        <v>217</v>
      </c>
      <c r="F282" s="30">
        <v>1</v>
      </c>
      <c r="G282" s="23" t="s">
        <v>193</v>
      </c>
      <c r="H282" s="79" t="s">
        <v>194</v>
      </c>
      <c r="I282" s="23" t="s">
        <v>1077</v>
      </c>
      <c r="J282" s="23" t="s">
        <v>253</v>
      </c>
      <c r="K282" s="23">
        <v>18</v>
      </c>
      <c r="L282" s="23" t="s">
        <v>1171</v>
      </c>
      <c r="M282" s="30" t="str">
        <f t="shared" si="4"/>
        <v>522390</v>
      </c>
    </row>
    <row r="283" spans="1:13" x14ac:dyDescent="0.25">
      <c r="A283" s="23" t="s">
        <v>1168</v>
      </c>
      <c r="B283" s="23" t="s">
        <v>1169</v>
      </c>
      <c r="C283" s="23" t="s">
        <v>1170</v>
      </c>
      <c r="D283" s="23" t="s">
        <v>1116</v>
      </c>
      <c r="E283" s="23" t="s">
        <v>217</v>
      </c>
      <c r="F283" s="30">
        <v>1</v>
      </c>
      <c r="G283" s="23" t="s">
        <v>193</v>
      </c>
      <c r="H283" s="79" t="s">
        <v>194</v>
      </c>
      <c r="I283" s="23" t="s">
        <v>1077</v>
      </c>
      <c r="J283" s="23" t="s">
        <v>210</v>
      </c>
      <c r="K283" s="23">
        <v>18</v>
      </c>
      <c r="L283" s="23" t="s">
        <v>1171</v>
      </c>
      <c r="M283" s="30" t="str">
        <f t="shared" si="4"/>
        <v>522390</v>
      </c>
    </row>
    <row r="284" spans="1:13" x14ac:dyDescent="0.25">
      <c r="A284" s="23" t="s">
        <v>1168</v>
      </c>
      <c r="B284" s="23" t="s">
        <v>1169</v>
      </c>
      <c r="C284" s="23" t="s">
        <v>1170</v>
      </c>
      <c r="D284" s="23" t="s">
        <v>1116</v>
      </c>
      <c r="E284" s="23" t="s">
        <v>217</v>
      </c>
      <c r="F284" s="30">
        <v>1</v>
      </c>
      <c r="G284" s="23" t="s">
        <v>193</v>
      </c>
      <c r="H284" s="79" t="s">
        <v>194</v>
      </c>
      <c r="I284" s="23" t="s">
        <v>1077</v>
      </c>
      <c r="J284" s="23" t="s">
        <v>276</v>
      </c>
      <c r="K284" s="23">
        <v>18</v>
      </c>
      <c r="L284" s="23" t="s">
        <v>1171</v>
      </c>
      <c r="M284" s="30" t="str">
        <f t="shared" si="4"/>
        <v>522390</v>
      </c>
    </row>
    <row r="285" spans="1:13" x14ac:dyDescent="0.25">
      <c r="A285" s="23" t="s">
        <v>1168</v>
      </c>
      <c r="B285" s="23" t="s">
        <v>1169</v>
      </c>
      <c r="C285" s="23" t="s">
        <v>1170</v>
      </c>
      <c r="D285" s="23" t="s">
        <v>1116</v>
      </c>
      <c r="E285" s="23" t="s">
        <v>217</v>
      </c>
      <c r="F285" s="30">
        <v>1</v>
      </c>
      <c r="G285" s="23" t="s">
        <v>193</v>
      </c>
      <c r="H285" s="79" t="s">
        <v>194</v>
      </c>
      <c r="I285" s="23" t="s">
        <v>1077</v>
      </c>
      <c r="J285" s="23" t="s">
        <v>301</v>
      </c>
      <c r="K285" s="23">
        <v>18</v>
      </c>
      <c r="L285" s="23" t="s">
        <v>1171</v>
      </c>
      <c r="M285" s="30" t="str">
        <f t="shared" si="4"/>
        <v>522390</v>
      </c>
    </row>
    <row r="286" spans="1:13" x14ac:dyDescent="0.25">
      <c r="A286" s="23" t="s">
        <v>1581</v>
      </c>
      <c r="B286" s="23" t="s">
        <v>1582</v>
      </c>
      <c r="C286" s="23" t="s">
        <v>706</v>
      </c>
      <c r="D286" s="23" t="s">
        <v>1374</v>
      </c>
      <c r="E286" s="23" t="s">
        <v>233</v>
      </c>
      <c r="F286" s="30">
        <v>1</v>
      </c>
      <c r="G286" s="23" t="s">
        <v>193</v>
      </c>
      <c r="H286" s="79" t="s">
        <v>194</v>
      </c>
      <c r="I286" s="23" t="s">
        <v>1375</v>
      </c>
      <c r="J286" s="23" t="s">
        <v>210</v>
      </c>
      <c r="K286" s="23">
        <v>18</v>
      </c>
      <c r="L286" s="23" t="s">
        <v>707</v>
      </c>
      <c r="M286" s="30" t="str">
        <f t="shared" si="4"/>
        <v>422201</v>
      </c>
    </row>
    <row r="287" spans="1:13" x14ac:dyDescent="0.25">
      <c r="A287" s="23" t="s">
        <v>1446</v>
      </c>
      <c r="B287" s="23" t="s">
        <v>1447</v>
      </c>
      <c r="C287" s="23" t="s">
        <v>148</v>
      </c>
      <c r="D287" s="23" t="s">
        <v>1374</v>
      </c>
      <c r="E287" s="23" t="s">
        <v>192</v>
      </c>
      <c r="F287" s="30">
        <v>5</v>
      </c>
      <c r="G287" s="23" t="s">
        <v>193</v>
      </c>
      <c r="H287" s="79" t="s">
        <v>194</v>
      </c>
      <c r="I287" s="23" t="s">
        <v>1375</v>
      </c>
      <c r="J287" s="23" t="s">
        <v>672</v>
      </c>
      <c r="K287" s="23">
        <v>18</v>
      </c>
      <c r="L287" s="23" t="s">
        <v>661</v>
      </c>
      <c r="M287" s="30" t="str">
        <f t="shared" si="4"/>
        <v>333104</v>
      </c>
    </row>
    <row r="288" spans="1:13" x14ac:dyDescent="0.25">
      <c r="A288" s="23" t="s">
        <v>1572</v>
      </c>
      <c r="B288" s="23" t="s">
        <v>1573</v>
      </c>
      <c r="C288" s="23" t="s">
        <v>148</v>
      </c>
      <c r="D288" s="23" t="s">
        <v>1374</v>
      </c>
      <c r="E288" s="23" t="s">
        <v>192</v>
      </c>
      <c r="F288" s="30">
        <v>1</v>
      </c>
      <c r="G288" s="23" t="s">
        <v>193</v>
      </c>
      <c r="H288" s="79" t="s">
        <v>194</v>
      </c>
      <c r="I288" s="23" t="s">
        <v>1375</v>
      </c>
      <c r="J288" s="23" t="s">
        <v>253</v>
      </c>
      <c r="K288" s="23">
        <v>18</v>
      </c>
      <c r="L288" s="23" t="s">
        <v>661</v>
      </c>
      <c r="M288" s="30" t="str">
        <f t="shared" si="4"/>
        <v>333104</v>
      </c>
    </row>
    <row r="289" spans="1:13" x14ac:dyDescent="0.25">
      <c r="A289" s="23" t="s">
        <v>1340</v>
      </c>
      <c r="B289" s="23" t="s">
        <v>1690</v>
      </c>
      <c r="C289" s="23" t="s">
        <v>151</v>
      </c>
      <c r="D289" s="23" t="s">
        <v>1637</v>
      </c>
      <c r="E289" s="23" t="s">
        <v>192</v>
      </c>
      <c r="F289" s="30">
        <v>1</v>
      </c>
      <c r="G289" s="23" t="s">
        <v>193</v>
      </c>
      <c r="H289" s="79" t="s">
        <v>194</v>
      </c>
      <c r="I289" s="23" t="s">
        <v>1374</v>
      </c>
      <c r="J289" s="23" t="s">
        <v>210</v>
      </c>
      <c r="K289" s="23">
        <v>18</v>
      </c>
      <c r="L289" s="23" t="s">
        <v>1691</v>
      </c>
      <c r="M289" s="30" t="str">
        <f t="shared" si="4"/>
        <v>933401</v>
      </c>
    </row>
    <row r="290" spans="1:13" x14ac:dyDescent="0.25">
      <c r="A290" s="23" t="s">
        <v>3394</v>
      </c>
      <c r="B290" s="23" t="s">
        <v>3395</v>
      </c>
      <c r="C290" s="23" t="s">
        <v>10</v>
      </c>
      <c r="D290" s="23" t="s">
        <v>3294</v>
      </c>
      <c r="E290" s="23" t="s">
        <v>252</v>
      </c>
      <c r="F290" s="30">
        <v>1</v>
      </c>
      <c r="G290" s="23" t="s">
        <v>193</v>
      </c>
      <c r="H290" s="79" t="s">
        <v>194</v>
      </c>
      <c r="I290" s="23" t="s">
        <v>3313</v>
      </c>
      <c r="J290" s="23" t="s">
        <v>210</v>
      </c>
      <c r="K290" s="23">
        <v>18</v>
      </c>
      <c r="L290" s="23" t="s">
        <v>484</v>
      </c>
      <c r="M290" s="30" t="str">
        <f t="shared" si="4"/>
        <v>251401</v>
      </c>
    </row>
    <row r="291" spans="1:13" x14ac:dyDescent="0.25">
      <c r="A291" s="23" t="s">
        <v>3396</v>
      </c>
      <c r="B291" s="23" t="s">
        <v>3397</v>
      </c>
      <c r="C291" s="23" t="s">
        <v>10</v>
      </c>
      <c r="D291" s="23" t="s">
        <v>3294</v>
      </c>
      <c r="E291" s="23" t="s">
        <v>192</v>
      </c>
      <c r="F291" s="30">
        <v>1</v>
      </c>
      <c r="G291" s="23" t="s">
        <v>193</v>
      </c>
      <c r="H291" s="79" t="s">
        <v>194</v>
      </c>
      <c r="I291" s="23" t="s">
        <v>3313</v>
      </c>
      <c r="J291" s="23" t="s">
        <v>210</v>
      </c>
      <c r="K291" s="23">
        <v>18</v>
      </c>
      <c r="L291" s="23" t="s">
        <v>484</v>
      </c>
      <c r="M291" s="30" t="str">
        <f t="shared" si="4"/>
        <v>251401</v>
      </c>
    </row>
    <row r="292" spans="1:13" x14ac:dyDescent="0.25">
      <c r="A292" s="23" t="s">
        <v>335</v>
      </c>
      <c r="B292" s="23" t="s">
        <v>3398</v>
      </c>
      <c r="C292" s="23" t="s">
        <v>10</v>
      </c>
      <c r="D292" s="23" t="s">
        <v>3294</v>
      </c>
      <c r="E292" s="23" t="s">
        <v>192</v>
      </c>
      <c r="F292" s="30">
        <v>1</v>
      </c>
      <c r="G292" s="23" t="s">
        <v>193</v>
      </c>
      <c r="H292" s="79" t="s">
        <v>194</v>
      </c>
      <c r="I292" s="23" t="s">
        <v>3304</v>
      </c>
      <c r="J292" s="23" t="s">
        <v>210</v>
      </c>
      <c r="K292" s="23">
        <v>18</v>
      </c>
      <c r="L292" s="23" t="s">
        <v>484</v>
      </c>
      <c r="M292" s="30" t="str">
        <f t="shared" si="4"/>
        <v>251401</v>
      </c>
    </row>
    <row r="293" spans="1:13" x14ac:dyDescent="0.25">
      <c r="A293" s="23" t="s">
        <v>1321</v>
      </c>
      <c r="B293" s="23" t="s">
        <v>1322</v>
      </c>
      <c r="C293" s="23" t="s">
        <v>10</v>
      </c>
      <c r="D293" s="23" t="s">
        <v>1197</v>
      </c>
      <c r="E293" s="23" t="s">
        <v>233</v>
      </c>
      <c r="F293" s="30">
        <v>1</v>
      </c>
      <c r="G293" s="23" t="s">
        <v>193</v>
      </c>
      <c r="H293" s="79" t="s">
        <v>194</v>
      </c>
      <c r="I293" s="23" t="s">
        <v>1255</v>
      </c>
      <c r="J293" s="23" t="s">
        <v>210</v>
      </c>
      <c r="K293" s="23">
        <v>18</v>
      </c>
      <c r="L293" s="23" t="s">
        <v>484</v>
      </c>
      <c r="M293" s="30" t="str">
        <f t="shared" si="4"/>
        <v>251401</v>
      </c>
    </row>
    <row r="294" spans="1:13" x14ac:dyDescent="0.25">
      <c r="A294" s="23" t="s">
        <v>1405</v>
      </c>
      <c r="B294" s="23" t="s">
        <v>1406</v>
      </c>
      <c r="C294" s="23" t="s">
        <v>10</v>
      </c>
      <c r="D294" s="23" t="s">
        <v>1374</v>
      </c>
      <c r="E294" s="23" t="s">
        <v>233</v>
      </c>
      <c r="F294" s="30">
        <v>1</v>
      </c>
      <c r="G294" s="23" t="s">
        <v>193</v>
      </c>
      <c r="H294" s="79" t="s">
        <v>194</v>
      </c>
      <c r="I294" s="23" t="s">
        <v>1375</v>
      </c>
      <c r="J294" s="23" t="s">
        <v>210</v>
      </c>
      <c r="K294" s="23">
        <v>18</v>
      </c>
      <c r="L294" s="23" t="s">
        <v>484</v>
      </c>
      <c r="M294" s="30" t="str">
        <f t="shared" si="4"/>
        <v>251401</v>
      </c>
    </row>
    <row r="295" spans="1:13" x14ac:dyDescent="0.25">
      <c r="A295" s="23" t="s">
        <v>713</v>
      </c>
      <c r="B295" s="23" t="s">
        <v>1412</v>
      </c>
      <c r="C295" s="23" t="s">
        <v>10</v>
      </c>
      <c r="D295" s="23" t="s">
        <v>1374</v>
      </c>
      <c r="E295" s="23" t="s">
        <v>192</v>
      </c>
      <c r="F295" s="30">
        <v>1</v>
      </c>
      <c r="G295" s="23" t="s">
        <v>193</v>
      </c>
      <c r="H295" s="79" t="s">
        <v>194</v>
      </c>
      <c r="I295" s="23" t="s">
        <v>1375</v>
      </c>
      <c r="J295" s="23" t="s">
        <v>253</v>
      </c>
      <c r="K295" s="23">
        <v>18</v>
      </c>
      <c r="L295" s="23" t="s">
        <v>484</v>
      </c>
      <c r="M295" s="30" t="str">
        <f t="shared" si="4"/>
        <v>251401</v>
      </c>
    </row>
    <row r="296" spans="1:13" x14ac:dyDescent="0.25">
      <c r="A296" s="23" t="s">
        <v>1490</v>
      </c>
      <c r="B296" s="23" t="s">
        <v>1494</v>
      </c>
      <c r="C296" s="23" t="s">
        <v>10</v>
      </c>
      <c r="D296" s="23" t="s">
        <v>1374</v>
      </c>
      <c r="E296" s="23" t="s">
        <v>192</v>
      </c>
      <c r="F296" s="30">
        <v>1</v>
      </c>
      <c r="G296" s="23" t="s">
        <v>193</v>
      </c>
      <c r="H296" s="79" t="s">
        <v>194</v>
      </c>
      <c r="I296" s="23" t="s">
        <v>1375</v>
      </c>
      <c r="J296" s="23" t="s">
        <v>575</v>
      </c>
      <c r="K296" s="23">
        <v>18</v>
      </c>
      <c r="L296" s="23" t="s">
        <v>484</v>
      </c>
      <c r="M296" s="30" t="str">
        <f t="shared" si="4"/>
        <v>251401</v>
      </c>
    </row>
    <row r="297" spans="1:13" x14ac:dyDescent="0.25">
      <c r="A297" s="23" t="s">
        <v>1405</v>
      </c>
      <c r="B297" s="23" t="s">
        <v>1407</v>
      </c>
      <c r="C297" s="23" t="s">
        <v>1408</v>
      </c>
      <c r="D297" s="23" t="s">
        <v>1374</v>
      </c>
      <c r="E297" s="23" t="s">
        <v>233</v>
      </c>
      <c r="F297" s="30">
        <v>1</v>
      </c>
      <c r="G297" s="23" t="s">
        <v>193</v>
      </c>
      <c r="H297" s="79" t="s">
        <v>194</v>
      </c>
      <c r="I297" s="23" t="s">
        <v>1375</v>
      </c>
      <c r="J297" s="23" t="s">
        <v>210</v>
      </c>
      <c r="K297" s="23">
        <v>18</v>
      </c>
      <c r="L297" s="23" t="s">
        <v>1409</v>
      </c>
      <c r="M297" s="30" t="str">
        <f t="shared" si="4"/>
        <v>251402</v>
      </c>
    </row>
    <row r="298" spans="1:13" x14ac:dyDescent="0.25">
      <c r="A298" s="23" t="s">
        <v>629</v>
      </c>
      <c r="B298" s="23" t="s">
        <v>1505</v>
      </c>
      <c r="C298" s="23" t="s">
        <v>1506</v>
      </c>
      <c r="D298" s="23" t="s">
        <v>1374</v>
      </c>
      <c r="E298" s="23" t="s">
        <v>192</v>
      </c>
      <c r="F298" s="30">
        <v>1</v>
      </c>
      <c r="G298" s="23" t="s">
        <v>193</v>
      </c>
      <c r="H298" s="79" t="s">
        <v>194</v>
      </c>
      <c r="I298" s="23" t="s">
        <v>1375</v>
      </c>
      <c r="J298" s="23" t="s">
        <v>1302</v>
      </c>
      <c r="K298" s="23">
        <v>18</v>
      </c>
      <c r="L298" s="23" t="s">
        <v>1507</v>
      </c>
      <c r="M298" s="30" t="str">
        <f t="shared" si="4"/>
        <v>216604</v>
      </c>
    </row>
    <row r="299" spans="1:13" x14ac:dyDescent="0.25">
      <c r="A299" s="23" t="s">
        <v>527</v>
      </c>
      <c r="B299" s="23" t="s">
        <v>1434</v>
      </c>
      <c r="C299" s="23" t="s">
        <v>1435</v>
      </c>
      <c r="D299" s="23" t="s">
        <v>1374</v>
      </c>
      <c r="E299" s="23" t="s">
        <v>192</v>
      </c>
      <c r="F299" s="30">
        <v>1</v>
      </c>
      <c r="G299" s="23" t="s">
        <v>193</v>
      </c>
      <c r="H299" s="79" t="s">
        <v>194</v>
      </c>
      <c r="I299" s="23" t="s">
        <v>1375</v>
      </c>
      <c r="J299" s="23" t="s">
        <v>367</v>
      </c>
      <c r="K299" s="23">
        <v>18</v>
      </c>
      <c r="L299" s="23" t="s">
        <v>1436</v>
      </c>
      <c r="M299" s="30" t="str">
        <f t="shared" si="4"/>
        <v>216304</v>
      </c>
    </row>
    <row r="300" spans="1:13" x14ac:dyDescent="0.25">
      <c r="A300" s="23" t="s">
        <v>1654</v>
      </c>
      <c r="B300" s="23" t="s">
        <v>1655</v>
      </c>
      <c r="C300" s="60" t="s">
        <v>17</v>
      </c>
      <c r="D300" s="23" t="s">
        <v>3308</v>
      </c>
      <c r="E300" s="23" t="s">
        <v>192</v>
      </c>
      <c r="F300" s="30">
        <v>1</v>
      </c>
      <c r="G300" s="23" t="s">
        <v>193</v>
      </c>
      <c r="H300" s="79" t="s">
        <v>194</v>
      </c>
      <c r="I300" s="23" t="s">
        <v>3313</v>
      </c>
      <c r="J300" s="23" t="s">
        <v>210</v>
      </c>
      <c r="K300" s="23">
        <v>18</v>
      </c>
      <c r="L300" s="23" t="s">
        <v>624</v>
      </c>
      <c r="M300" s="30" t="str">
        <f t="shared" si="4"/>
        <v>332203</v>
      </c>
    </row>
    <row r="301" spans="1:13" x14ac:dyDescent="0.25">
      <c r="A301" s="23" t="s">
        <v>1692</v>
      </c>
      <c r="B301" s="23" t="s">
        <v>1693</v>
      </c>
      <c r="C301" s="60" t="s">
        <v>17</v>
      </c>
      <c r="D301" s="23" t="s">
        <v>3308</v>
      </c>
      <c r="E301" s="23" t="s">
        <v>192</v>
      </c>
      <c r="F301" s="30">
        <v>1</v>
      </c>
      <c r="G301" s="23" t="s">
        <v>193</v>
      </c>
      <c r="H301" s="79" t="s">
        <v>194</v>
      </c>
      <c r="I301" s="23" t="s">
        <v>3313</v>
      </c>
      <c r="J301" s="23" t="s">
        <v>399</v>
      </c>
      <c r="K301" s="23">
        <v>18</v>
      </c>
      <c r="L301" s="23" t="s">
        <v>624</v>
      </c>
      <c r="M301" s="30" t="str">
        <f t="shared" si="4"/>
        <v>332203</v>
      </c>
    </row>
    <row r="302" spans="1:13" x14ac:dyDescent="0.25">
      <c r="A302" s="23" t="s">
        <v>1120</v>
      </c>
      <c r="B302" s="23" t="s">
        <v>3399</v>
      </c>
      <c r="C302" s="60" t="s">
        <v>17</v>
      </c>
      <c r="D302" s="23" t="s">
        <v>3294</v>
      </c>
      <c r="E302" s="23" t="s">
        <v>233</v>
      </c>
      <c r="F302" s="30">
        <v>1</v>
      </c>
      <c r="G302" s="23" t="s">
        <v>193</v>
      </c>
      <c r="H302" s="79" t="s">
        <v>194</v>
      </c>
      <c r="I302" s="23" t="s">
        <v>3313</v>
      </c>
      <c r="J302" s="23" t="s">
        <v>210</v>
      </c>
      <c r="K302" s="23">
        <v>18</v>
      </c>
      <c r="L302" s="23" t="s">
        <v>624</v>
      </c>
      <c r="M302" s="30" t="str">
        <f t="shared" si="4"/>
        <v>332203</v>
      </c>
    </row>
    <row r="303" spans="1:13" x14ac:dyDescent="0.25">
      <c r="A303" s="23" t="s">
        <v>3400</v>
      </c>
      <c r="B303" s="23" t="s">
        <v>632</v>
      </c>
      <c r="C303" s="60" t="s">
        <v>17</v>
      </c>
      <c r="D303" s="23" t="s">
        <v>3294</v>
      </c>
      <c r="E303" s="23" t="s">
        <v>192</v>
      </c>
      <c r="F303" s="84">
        <v>0</v>
      </c>
      <c r="G303" s="64" t="s">
        <v>194</v>
      </c>
      <c r="H303" s="79" t="s">
        <v>193</v>
      </c>
      <c r="I303" s="23" t="s">
        <v>3313</v>
      </c>
      <c r="J303" s="23" t="s">
        <v>196</v>
      </c>
      <c r="K303" s="23">
        <v>18</v>
      </c>
      <c r="L303" s="23" t="s">
        <v>624</v>
      </c>
      <c r="M303" s="30" t="str">
        <f t="shared" si="4"/>
        <v>332203</v>
      </c>
    </row>
    <row r="304" spans="1:13" x14ac:dyDescent="0.25">
      <c r="A304" s="23" t="s">
        <v>3401</v>
      </c>
      <c r="B304" s="23" t="s">
        <v>632</v>
      </c>
      <c r="C304" s="60" t="s">
        <v>17</v>
      </c>
      <c r="D304" s="23" t="s">
        <v>3294</v>
      </c>
      <c r="E304" s="23" t="s">
        <v>192</v>
      </c>
      <c r="F304" s="30">
        <v>1</v>
      </c>
      <c r="G304" s="23" t="s">
        <v>193</v>
      </c>
      <c r="H304" s="79" t="s">
        <v>194</v>
      </c>
      <c r="I304" s="23" t="s">
        <v>3313</v>
      </c>
      <c r="J304" s="23" t="s">
        <v>3402</v>
      </c>
      <c r="K304" s="23">
        <v>18</v>
      </c>
      <c r="L304" s="23" t="s">
        <v>624</v>
      </c>
      <c r="M304" s="30" t="str">
        <f t="shared" si="4"/>
        <v>332203</v>
      </c>
    </row>
    <row r="305" spans="1:13" x14ac:dyDescent="0.25">
      <c r="A305" s="23" t="s">
        <v>3403</v>
      </c>
      <c r="B305" s="23" t="s">
        <v>632</v>
      </c>
      <c r="C305" s="60" t="s">
        <v>17</v>
      </c>
      <c r="D305" s="23" t="s">
        <v>3294</v>
      </c>
      <c r="E305" s="23" t="s">
        <v>192</v>
      </c>
      <c r="F305" s="30">
        <v>1</v>
      </c>
      <c r="G305" s="23" t="s">
        <v>193</v>
      </c>
      <c r="H305" s="79" t="s">
        <v>194</v>
      </c>
      <c r="I305" s="23" t="s">
        <v>3313</v>
      </c>
      <c r="J305" s="23" t="s">
        <v>276</v>
      </c>
      <c r="K305" s="23">
        <v>18</v>
      </c>
      <c r="L305" s="23" t="s">
        <v>624</v>
      </c>
      <c r="M305" s="30" t="str">
        <f t="shared" si="4"/>
        <v>332203</v>
      </c>
    </row>
    <row r="306" spans="1:13" x14ac:dyDescent="0.25">
      <c r="A306" s="23" t="s">
        <v>3404</v>
      </c>
      <c r="B306" s="23" t="s">
        <v>632</v>
      </c>
      <c r="C306" s="60" t="s">
        <v>17</v>
      </c>
      <c r="D306" s="23" t="s">
        <v>3294</v>
      </c>
      <c r="E306" s="23" t="s">
        <v>192</v>
      </c>
      <c r="F306" s="30">
        <v>1</v>
      </c>
      <c r="G306" s="23" t="s">
        <v>193</v>
      </c>
      <c r="H306" s="79" t="s">
        <v>194</v>
      </c>
      <c r="I306" s="23" t="s">
        <v>3295</v>
      </c>
      <c r="J306" s="23" t="s">
        <v>210</v>
      </c>
      <c r="K306" s="23">
        <v>18</v>
      </c>
      <c r="L306" s="23" t="s">
        <v>624</v>
      </c>
      <c r="M306" s="30" t="str">
        <f t="shared" si="4"/>
        <v>332203</v>
      </c>
    </row>
    <row r="307" spans="1:13" x14ac:dyDescent="0.25">
      <c r="A307" s="23" t="s">
        <v>3405</v>
      </c>
      <c r="B307" s="23" t="s">
        <v>3406</v>
      </c>
      <c r="C307" s="60" t="s">
        <v>17</v>
      </c>
      <c r="D307" s="23" t="s">
        <v>3294</v>
      </c>
      <c r="E307" s="23" t="s">
        <v>217</v>
      </c>
      <c r="F307" s="30">
        <v>1</v>
      </c>
      <c r="G307" s="23" t="s">
        <v>193</v>
      </c>
      <c r="H307" s="79" t="s">
        <v>194</v>
      </c>
      <c r="I307" s="23" t="s">
        <v>3313</v>
      </c>
      <c r="J307" s="23" t="s">
        <v>196</v>
      </c>
      <c r="K307" s="23">
        <v>18</v>
      </c>
      <c r="L307" s="23" t="s">
        <v>624</v>
      </c>
      <c r="M307" s="30" t="str">
        <f t="shared" si="4"/>
        <v>332203</v>
      </c>
    </row>
    <row r="308" spans="1:13" x14ac:dyDescent="0.25">
      <c r="A308" s="23" t="s">
        <v>3268</v>
      </c>
      <c r="B308" s="23" t="s">
        <v>3269</v>
      </c>
      <c r="C308" s="60" t="s">
        <v>17</v>
      </c>
      <c r="D308" s="23" t="s">
        <v>3294</v>
      </c>
      <c r="E308" s="23" t="s">
        <v>192</v>
      </c>
      <c r="F308" s="30">
        <v>1</v>
      </c>
      <c r="G308" s="23" t="s">
        <v>193</v>
      </c>
      <c r="H308" s="79" t="s">
        <v>194</v>
      </c>
      <c r="I308" s="23" t="s">
        <v>3313</v>
      </c>
      <c r="J308" s="23" t="s">
        <v>309</v>
      </c>
      <c r="K308" s="23">
        <v>18</v>
      </c>
      <c r="L308" s="23" t="s">
        <v>624</v>
      </c>
      <c r="M308" s="30" t="str">
        <f t="shared" si="4"/>
        <v>332203</v>
      </c>
    </row>
    <row r="309" spans="1:13" x14ac:dyDescent="0.25">
      <c r="A309" s="23" t="s">
        <v>3407</v>
      </c>
      <c r="B309" s="23" t="s">
        <v>632</v>
      </c>
      <c r="C309" s="60" t="s">
        <v>17</v>
      </c>
      <c r="D309" s="23" t="s">
        <v>3294</v>
      </c>
      <c r="E309" s="23" t="s">
        <v>192</v>
      </c>
      <c r="F309" s="30">
        <v>1</v>
      </c>
      <c r="G309" s="23" t="s">
        <v>193</v>
      </c>
      <c r="H309" s="79" t="s">
        <v>194</v>
      </c>
      <c r="I309" s="23" t="s">
        <v>3295</v>
      </c>
      <c r="J309" s="23" t="s">
        <v>3408</v>
      </c>
      <c r="K309" s="23">
        <v>18</v>
      </c>
      <c r="L309" s="23" t="s">
        <v>624</v>
      </c>
      <c r="M309" s="30" t="str">
        <f t="shared" si="4"/>
        <v>332203</v>
      </c>
    </row>
    <row r="310" spans="1:13" x14ac:dyDescent="0.25">
      <c r="A310" s="23" t="s">
        <v>3409</v>
      </c>
      <c r="B310" s="23" t="s">
        <v>3410</v>
      </c>
      <c r="C310" s="60" t="s">
        <v>17</v>
      </c>
      <c r="D310" s="23" t="s">
        <v>3303</v>
      </c>
      <c r="E310" s="23" t="s">
        <v>192</v>
      </c>
      <c r="F310" s="30">
        <v>1</v>
      </c>
      <c r="G310" s="23" t="s">
        <v>193</v>
      </c>
      <c r="H310" s="79" t="s">
        <v>194</v>
      </c>
      <c r="I310" s="23" t="s">
        <v>3304</v>
      </c>
      <c r="J310" s="23" t="s">
        <v>385</v>
      </c>
      <c r="K310" s="23">
        <v>18</v>
      </c>
      <c r="L310" s="23" t="s">
        <v>624</v>
      </c>
      <c r="M310" s="30" t="str">
        <f t="shared" si="4"/>
        <v>332203</v>
      </c>
    </row>
    <row r="311" spans="1:13" x14ac:dyDescent="0.25">
      <c r="A311" s="23" t="s">
        <v>3411</v>
      </c>
      <c r="B311" s="23" t="s">
        <v>647</v>
      </c>
      <c r="C311" s="60" t="s">
        <v>17</v>
      </c>
      <c r="D311" s="23" t="s">
        <v>3303</v>
      </c>
      <c r="E311" s="23" t="s">
        <v>192</v>
      </c>
      <c r="F311" s="30">
        <v>1</v>
      </c>
      <c r="G311" s="23" t="s">
        <v>193</v>
      </c>
      <c r="H311" s="79" t="s">
        <v>194</v>
      </c>
      <c r="I311" s="23" t="s">
        <v>3316</v>
      </c>
      <c r="J311" s="23" t="s">
        <v>210</v>
      </c>
      <c r="K311" s="23">
        <v>18</v>
      </c>
      <c r="L311" s="23" t="s">
        <v>624</v>
      </c>
      <c r="M311" s="30" t="str">
        <f t="shared" si="4"/>
        <v>332203</v>
      </c>
    </row>
    <row r="312" spans="1:13" x14ac:dyDescent="0.25">
      <c r="A312" s="23" t="s">
        <v>3412</v>
      </c>
      <c r="B312" s="23" t="s">
        <v>3413</v>
      </c>
      <c r="C312" s="60" t="s">
        <v>17</v>
      </c>
      <c r="D312" s="23" t="s">
        <v>3303</v>
      </c>
      <c r="E312" s="23" t="s">
        <v>252</v>
      </c>
      <c r="F312" s="30">
        <v>1</v>
      </c>
      <c r="G312" s="23" t="s">
        <v>193</v>
      </c>
      <c r="H312" s="79" t="s">
        <v>194</v>
      </c>
      <c r="I312" s="23" t="s">
        <v>3316</v>
      </c>
      <c r="J312" s="23" t="s">
        <v>210</v>
      </c>
      <c r="K312" s="23">
        <v>18</v>
      </c>
      <c r="L312" s="23" t="s">
        <v>624</v>
      </c>
      <c r="M312" s="30" t="str">
        <f t="shared" si="4"/>
        <v>332203</v>
      </c>
    </row>
    <row r="313" spans="1:13" x14ac:dyDescent="0.25">
      <c r="A313" s="23" t="s">
        <v>3414</v>
      </c>
      <c r="B313" s="23" t="s">
        <v>3415</v>
      </c>
      <c r="C313" s="60" t="s">
        <v>17</v>
      </c>
      <c r="D313" s="23" t="s">
        <v>3303</v>
      </c>
      <c r="E313" s="23" t="s">
        <v>192</v>
      </c>
      <c r="F313" s="30">
        <v>1</v>
      </c>
      <c r="G313" s="23" t="s">
        <v>193</v>
      </c>
      <c r="H313" s="79" t="s">
        <v>194</v>
      </c>
      <c r="I313" s="23" t="s">
        <v>3313</v>
      </c>
      <c r="J313" s="23" t="s">
        <v>210</v>
      </c>
      <c r="K313" s="23">
        <v>18</v>
      </c>
      <c r="L313" s="23" t="s">
        <v>624</v>
      </c>
      <c r="M313" s="30" t="str">
        <f t="shared" si="4"/>
        <v>332203</v>
      </c>
    </row>
    <row r="314" spans="1:13" x14ac:dyDescent="0.25">
      <c r="A314" s="23" t="s">
        <v>890</v>
      </c>
      <c r="B314" s="23" t="s">
        <v>1090</v>
      </c>
      <c r="C314" s="60" t="s">
        <v>17</v>
      </c>
      <c r="D314" s="23" t="s">
        <v>1077</v>
      </c>
      <c r="E314" s="23" t="s">
        <v>233</v>
      </c>
      <c r="F314" s="30">
        <v>1</v>
      </c>
      <c r="G314" s="23" t="s">
        <v>193</v>
      </c>
      <c r="H314" s="79" t="s">
        <v>194</v>
      </c>
      <c r="I314" s="23" t="s">
        <v>1078</v>
      </c>
      <c r="J314" s="23" t="s">
        <v>210</v>
      </c>
      <c r="K314" s="23">
        <v>18</v>
      </c>
      <c r="L314" s="23" t="s">
        <v>624</v>
      </c>
      <c r="M314" s="30" t="str">
        <f t="shared" si="4"/>
        <v>332203</v>
      </c>
    </row>
    <row r="315" spans="1:13" x14ac:dyDescent="0.25">
      <c r="A315" s="23" t="s">
        <v>1100</v>
      </c>
      <c r="B315" s="23" t="s">
        <v>1101</v>
      </c>
      <c r="C315" s="60" t="s">
        <v>17</v>
      </c>
      <c r="D315" s="23" t="s">
        <v>1077</v>
      </c>
      <c r="E315" s="23" t="s">
        <v>192</v>
      </c>
      <c r="F315" s="30">
        <v>1</v>
      </c>
      <c r="G315" s="23" t="s">
        <v>193</v>
      </c>
      <c r="H315" s="79" t="s">
        <v>194</v>
      </c>
      <c r="I315" s="23" t="s">
        <v>1078</v>
      </c>
      <c r="J315" s="23" t="s">
        <v>276</v>
      </c>
      <c r="K315" s="23">
        <v>18</v>
      </c>
      <c r="L315" s="23" t="s">
        <v>624</v>
      </c>
      <c r="M315" s="30" t="str">
        <f t="shared" si="4"/>
        <v>332203</v>
      </c>
    </row>
    <row r="316" spans="1:13" x14ac:dyDescent="0.25">
      <c r="A316" s="23" t="s">
        <v>1120</v>
      </c>
      <c r="B316" s="23" t="s">
        <v>1121</v>
      </c>
      <c r="C316" s="60" t="s">
        <v>17</v>
      </c>
      <c r="D316" s="23" t="s">
        <v>1116</v>
      </c>
      <c r="E316" s="23" t="s">
        <v>233</v>
      </c>
      <c r="F316" s="30">
        <v>1</v>
      </c>
      <c r="G316" s="23" t="s">
        <v>193</v>
      </c>
      <c r="H316" s="79" t="s">
        <v>194</v>
      </c>
      <c r="I316" s="23" t="s">
        <v>1117</v>
      </c>
      <c r="J316" s="23" t="s">
        <v>210</v>
      </c>
      <c r="K316" s="23">
        <v>18</v>
      </c>
      <c r="L316" s="23" t="s">
        <v>624</v>
      </c>
      <c r="M316" s="30" t="str">
        <f t="shared" si="4"/>
        <v>332203</v>
      </c>
    </row>
    <row r="317" spans="1:13" x14ac:dyDescent="0.25">
      <c r="A317" s="23" t="s">
        <v>1130</v>
      </c>
      <c r="B317" s="23" t="s">
        <v>632</v>
      </c>
      <c r="C317" s="60" t="s">
        <v>17</v>
      </c>
      <c r="D317" s="23" t="s">
        <v>1116</v>
      </c>
      <c r="E317" s="23" t="s">
        <v>192</v>
      </c>
      <c r="F317" s="30">
        <v>1</v>
      </c>
      <c r="G317" s="23" t="s">
        <v>193</v>
      </c>
      <c r="H317" s="79" t="s">
        <v>194</v>
      </c>
      <c r="I317" s="23" t="s">
        <v>1117</v>
      </c>
      <c r="J317" s="23" t="s">
        <v>210</v>
      </c>
      <c r="K317" s="23">
        <v>18</v>
      </c>
      <c r="L317" s="23" t="s">
        <v>624</v>
      </c>
      <c r="M317" s="30" t="str">
        <f t="shared" si="4"/>
        <v>332203</v>
      </c>
    </row>
    <row r="318" spans="1:13" x14ac:dyDescent="0.25">
      <c r="A318" s="23" t="s">
        <v>1151</v>
      </c>
      <c r="B318" s="23" t="s">
        <v>632</v>
      </c>
      <c r="C318" s="60" t="s">
        <v>17</v>
      </c>
      <c r="D318" s="23" t="s">
        <v>1116</v>
      </c>
      <c r="E318" s="23" t="s">
        <v>192</v>
      </c>
      <c r="F318" s="30">
        <v>1</v>
      </c>
      <c r="G318" s="23" t="s">
        <v>193</v>
      </c>
      <c r="H318" s="79" t="s">
        <v>194</v>
      </c>
      <c r="I318" s="23" t="s">
        <v>1117</v>
      </c>
      <c r="J318" s="23" t="s">
        <v>238</v>
      </c>
      <c r="K318" s="23">
        <v>18</v>
      </c>
      <c r="L318" s="23" t="s">
        <v>624</v>
      </c>
      <c r="M318" s="30" t="str">
        <f t="shared" si="4"/>
        <v>332203</v>
      </c>
    </row>
    <row r="319" spans="1:13" x14ac:dyDescent="0.25">
      <c r="A319" s="23" t="s">
        <v>1154</v>
      </c>
      <c r="B319" s="23" t="s">
        <v>17</v>
      </c>
      <c r="C319" s="60" t="s">
        <v>17</v>
      </c>
      <c r="D319" s="23" t="s">
        <v>1197</v>
      </c>
      <c r="E319" s="23" t="s">
        <v>252</v>
      </c>
      <c r="F319" s="30">
        <v>1</v>
      </c>
      <c r="G319" s="23" t="s">
        <v>193</v>
      </c>
      <c r="H319" s="79" t="s">
        <v>194</v>
      </c>
      <c r="I319" s="23" t="s">
        <v>1255</v>
      </c>
      <c r="J319" s="23" t="s">
        <v>1257</v>
      </c>
      <c r="K319" s="23">
        <v>18</v>
      </c>
      <c r="L319" s="23" t="s">
        <v>624</v>
      </c>
      <c r="M319" s="30" t="str">
        <f t="shared" si="4"/>
        <v>332203</v>
      </c>
    </row>
    <row r="320" spans="1:13" x14ac:dyDescent="0.25">
      <c r="A320" s="23" t="s">
        <v>540</v>
      </c>
      <c r="B320" s="23" t="s">
        <v>1266</v>
      </c>
      <c r="C320" s="60" t="s">
        <v>17</v>
      </c>
      <c r="D320" s="23" t="s">
        <v>1197</v>
      </c>
      <c r="E320" s="23" t="s">
        <v>252</v>
      </c>
      <c r="F320" s="30">
        <v>1</v>
      </c>
      <c r="G320" s="23" t="s">
        <v>193</v>
      </c>
      <c r="H320" s="79" t="s">
        <v>194</v>
      </c>
      <c r="I320" s="23" t="s">
        <v>1255</v>
      </c>
      <c r="J320" s="23" t="s">
        <v>210</v>
      </c>
      <c r="K320" s="23">
        <v>18</v>
      </c>
      <c r="L320" s="23" t="s">
        <v>624</v>
      </c>
      <c r="M320" s="30" t="str">
        <f t="shared" si="4"/>
        <v>332203</v>
      </c>
    </row>
    <row r="321" spans="1:13" x14ac:dyDescent="0.25">
      <c r="A321" s="23" t="s">
        <v>1289</v>
      </c>
      <c r="B321" s="23" t="s">
        <v>1290</v>
      </c>
      <c r="C321" s="60" t="s">
        <v>17</v>
      </c>
      <c r="D321" s="23" t="s">
        <v>1197</v>
      </c>
      <c r="E321" s="23" t="s">
        <v>192</v>
      </c>
      <c r="F321" s="30">
        <v>1</v>
      </c>
      <c r="G321" s="23" t="s">
        <v>193</v>
      </c>
      <c r="H321" s="79" t="s">
        <v>194</v>
      </c>
      <c r="I321" s="23" t="s">
        <v>1255</v>
      </c>
      <c r="J321" s="23" t="s">
        <v>276</v>
      </c>
      <c r="K321" s="23">
        <v>18</v>
      </c>
      <c r="L321" s="23" t="s">
        <v>624</v>
      </c>
      <c r="M321" s="30" t="str">
        <f t="shared" si="4"/>
        <v>332203</v>
      </c>
    </row>
    <row r="322" spans="1:13" x14ac:dyDescent="0.25">
      <c r="A322" s="23" t="s">
        <v>1331</v>
      </c>
      <c r="B322" s="23" t="s">
        <v>1332</v>
      </c>
      <c r="C322" s="60" t="s">
        <v>17</v>
      </c>
      <c r="D322" s="23" t="s">
        <v>1197</v>
      </c>
      <c r="E322" s="23" t="s">
        <v>252</v>
      </c>
      <c r="F322" s="30">
        <v>1</v>
      </c>
      <c r="G322" s="23" t="s">
        <v>193</v>
      </c>
      <c r="H322" s="79" t="s">
        <v>194</v>
      </c>
      <c r="I322" s="23" t="s">
        <v>1117</v>
      </c>
      <c r="J322" s="23" t="s">
        <v>648</v>
      </c>
      <c r="K322" s="23">
        <v>18</v>
      </c>
      <c r="L322" s="23" t="s">
        <v>624</v>
      </c>
      <c r="M322" s="30" t="str">
        <f t="shared" si="4"/>
        <v>332203</v>
      </c>
    </row>
    <row r="323" spans="1:13" x14ac:dyDescent="0.25">
      <c r="A323" s="23" t="s">
        <v>1331</v>
      </c>
      <c r="B323" s="23" t="s">
        <v>1333</v>
      </c>
      <c r="C323" s="60" t="s">
        <v>17</v>
      </c>
      <c r="D323" s="23" t="s">
        <v>1197</v>
      </c>
      <c r="E323" s="23" t="s">
        <v>252</v>
      </c>
      <c r="F323" s="30">
        <v>1</v>
      </c>
      <c r="G323" s="23" t="s">
        <v>193</v>
      </c>
      <c r="H323" s="79" t="s">
        <v>194</v>
      </c>
      <c r="I323" s="23" t="s">
        <v>1255</v>
      </c>
      <c r="J323" s="23" t="s">
        <v>210</v>
      </c>
      <c r="K323" s="23">
        <v>18</v>
      </c>
      <c r="L323" s="23" t="s">
        <v>624</v>
      </c>
      <c r="M323" s="30" t="str">
        <f t="shared" ref="M323:M386" si="5">MID(L323,8,6)</f>
        <v>332203</v>
      </c>
    </row>
    <row r="324" spans="1:13" x14ac:dyDescent="0.25">
      <c r="A324" s="23" t="s">
        <v>1340</v>
      </c>
      <c r="B324" s="23" t="s">
        <v>1341</v>
      </c>
      <c r="C324" s="60" t="s">
        <v>17</v>
      </c>
      <c r="D324" s="23" t="s">
        <v>1197</v>
      </c>
      <c r="E324" s="23" t="s">
        <v>192</v>
      </c>
      <c r="F324" s="30">
        <v>1</v>
      </c>
      <c r="G324" s="23" t="s">
        <v>193</v>
      </c>
      <c r="H324" s="79" t="s">
        <v>194</v>
      </c>
      <c r="I324" s="23" t="s">
        <v>1255</v>
      </c>
      <c r="J324" s="23" t="s">
        <v>210</v>
      </c>
      <c r="K324" s="23">
        <v>18</v>
      </c>
      <c r="L324" s="23" t="s">
        <v>624</v>
      </c>
      <c r="M324" s="30" t="str">
        <f t="shared" si="5"/>
        <v>332203</v>
      </c>
    </row>
    <row r="325" spans="1:13" x14ac:dyDescent="0.25">
      <c r="A325" s="23" t="s">
        <v>1340</v>
      </c>
      <c r="B325" s="23" t="s">
        <v>1343</v>
      </c>
      <c r="C325" s="60" t="s">
        <v>17</v>
      </c>
      <c r="D325" s="23" t="s">
        <v>1197</v>
      </c>
      <c r="E325" s="23" t="s">
        <v>192</v>
      </c>
      <c r="F325" s="30">
        <v>1</v>
      </c>
      <c r="G325" s="23" t="s">
        <v>193</v>
      </c>
      <c r="H325" s="79" t="s">
        <v>194</v>
      </c>
      <c r="I325" s="23" t="s">
        <v>1255</v>
      </c>
      <c r="J325" s="23" t="s">
        <v>399</v>
      </c>
      <c r="K325" s="23">
        <v>18</v>
      </c>
      <c r="L325" s="23" t="s">
        <v>624</v>
      </c>
      <c r="M325" s="30" t="str">
        <f t="shared" si="5"/>
        <v>332203</v>
      </c>
    </row>
    <row r="326" spans="1:13" x14ac:dyDescent="0.25">
      <c r="A326" s="23" t="s">
        <v>986</v>
      </c>
      <c r="B326" s="23" t="s">
        <v>653</v>
      </c>
      <c r="C326" s="60" t="s">
        <v>17</v>
      </c>
      <c r="D326" s="23" t="s">
        <v>1197</v>
      </c>
      <c r="E326" s="23" t="s">
        <v>192</v>
      </c>
      <c r="F326" s="30">
        <v>1</v>
      </c>
      <c r="G326" s="23" t="s">
        <v>193</v>
      </c>
      <c r="H326" s="79" t="s">
        <v>194</v>
      </c>
      <c r="I326" s="23" t="s">
        <v>1255</v>
      </c>
      <c r="J326" s="23" t="s">
        <v>276</v>
      </c>
      <c r="K326" s="23">
        <v>18</v>
      </c>
      <c r="L326" s="23" t="s">
        <v>624</v>
      </c>
      <c r="M326" s="30" t="str">
        <f t="shared" si="5"/>
        <v>332203</v>
      </c>
    </row>
    <row r="327" spans="1:13" x14ac:dyDescent="0.25">
      <c r="A327" s="23" t="s">
        <v>1011</v>
      </c>
      <c r="B327" s="23" t="s">
        <v>17</v>
      </c>
      <c r="C327" s="60" t="s">
        <v>17</v>
      </c>
      <c r="D327" s="23" t="s">
        <v>1374</v>
      </c>
      <c r="E327" s="23" t="s">
        <v>233</v>
      </c>
      <c r="F327" s="30">
        <v>1</v>
      </c>
      <c r="G327" s="23" t="s">
        <v>193</v>
      </c>
      <c r="H327" s="79" t="s">
        <v>194</v>
      </c>
      <c r="I327" s="23" t="s">
        <v>1375</v>
      </c>
      <c r="J327" s="23" t="s">
        <v>1389</v>
      </c>
      <c r="K327" s="23">
        <v>18</v>
      </c>
      <c r="L327" s="23" t="s">
        <v>624</v>
      </c>
      <c r="M327" s="30" t="str">
        <f t="shared" si="5"/>
        <v>332203</v>
      </c>
    </row>
    <row r="328" spans="1:13" x14ac:dyDescent="0.25">
      <c r="A328" s="23" t="s">
        <v>1393</v>
      </c>
      <c r="B328" s="23" t="s">
        <v>632</v>
      </c>
      <c r="C328" s="60" t="s">
        <v>17</v>
      </c>
      <c r="D328" s="23" t="s">
        <v>1374</v>
      </c>
      <c r="E328" s="23" t="s">
        <v>192</v>
      </c>
      <c r="F328" s="30">
        <v>1</v>
      </c>
      <c r="G328" s="23" t="s">
        <v>193</v>
      </c>
      <c r="H328" s="79" t="s">
        <v>194</v>
      </c>
      <c r="I328" s="23" t="s">
        <v>1375</v>
      </c>
      <c r="J328" s="23" t="s">
        <v>210</v>
      </c>
      <c r="K328" s="23">
        <v>18</v>
      </c>
      <c r="L328" s="23" t="s">
        <v>624</v>
      </c>
      <c r="M328" s="30" t="str">
        <f t="shared" si="5"/>
        <v>332203</v>
      </c>
    </row>
    <row r="329" spans="1:13" x14ac:dyDescent="0.25">
      <c r="A329" s="23" t="s">
        <v>1413</v>
      </c>
      <c r="B329" s="23" t="s">
        <v>1414</v>
      </c>
      <c r="C329" s="60" t="s">
        <v>17</v>
      </c>
      <c r="D329" s="23" t="s">
        <v>1374</v>
      </c>
      <c r="E329" s="23" t="s">
        <v>192</v>
      </c>
      <c r="F329" s="30">
        <v>1</v>
      </c>
      <c r="G329" s="23" t="s">
        <v>193</v>
      </c>
      <c r="H329" s="79" t="s">
        <v>194</v>
      </c>
      <c r="I329" s="23" t="s">
        <v>1197</v>
      </c>
      <c r="J329" s="23" t="s">
        <v>267</v>
      </c>
      <c r="K329" s="23">
        <v>18</v>
      </c>
      <c r="L329" s="23" t="s">
        <v>624</v>
      </c>
      <c r="M329" s="30" t="str">
        <f t="shared" si="5"/>
        <v>332203</v>
      </c>
    </row>
    <row r="330" spans="1:13" x14ac:dyDescent="0.25">
      <c r="A330" s="23" t="s">
        <v>1415</v>
      </c>
      <c r="B330" s="23" t="s">
        <v>632</v>
      </c>
      <c r="C330" s="60" t="s">
        <v>17</v>
      </c>
      <c r="D330" s="23" t="s">
        <v>1374</v>
      </c>
      <c r="E330" s="23" t="s">
        <v>233</v>
      </c>
      <c r="F330" s="30">
        <v>1</v>
      </c>
      <c r="G330" s="23" t="s">
        <v>193</v>
      </c>
      <c r="H330" s="79" t="s">
        <v>194</v>
      </c>
      <c r="I330" s="23" t="s">
        <v>1375</v>
      </c>
      <c r="J330" s="23" t="s">
        <v>1417</v>
      </c>
      <c r="K330" s="23">
        <v>18</v>
      </c>
      <c r="L330" s="23" t="s">
        <v>624</v>
      </c>
      <c r="M330" s="30" t="str">
        <f t="shared" si="5"/>
        <v>332203</v>
      </c>
    </row>
    <row r="331" spans="1:13" x14ac:dyDescent="0.25">
      <c r="A331" s="23" t="s">
        <v>1437</v>
      </c>
      <c r="B331" s="23" t="s">
        <v>1438</v>
      </c>
      <c r="C331" s="60" t="s">
        <v>17</v>
      </c>
      <c r="D331" s="23" t="s">
        <v>1374</v>
      </c>
      <c r="E331" s="23" t="s">
        <v>192</v>
      </c>
      <c r="F331" s="30">
        <v>1</v>
      </c>
      <c r="G331" s="23" t="s">
        <v>193</v>
      </c>
      <c r="H331" s="79" t="s">
        <v>194</v>
      </c>
      <c r="I331" s="23" t="s">
        <v>1375</v>
      </c>
      <c r="J331" s="23" t="s">
        <v>210</v>
      </c>
      <c r="K331" s="23">
        <v>18</v>
      </c>
      <c r="L331" s="23" t="s">
        <v>624</v>
      </c>
      <c r="M331" s="30" t="str">
        <f t="shared" si="5"/>
        <v>332203</v>
      </c>
    </row>
    <row r="332" spans="1:13" x14ac:dyDescent="0.25">
      <c r="A332" s="23" t="s">
        <v>1439</v>
      </c>
      <c r="B332" s="23" t="s">
        <v>632</v>
      </c>
      <c r="C332" s="60" t="s">
        <v>17</v>
      </c>
      <c r="D332" s="23" t="s">
        <v>1374</v>
      </c>
      <c r="E332" s="23" t="s">
        <v>192</v>
      </c>
      <c r="F332" s="30">
        <v>1</v>
      </c>
      <c r="G332" s="23" t="s">
        <v>193</v>
      </c>
      <c r="H332" s="79" t="s">
        <v>194</v>
      </c>
      <c r="I332" s="23" t="s">
        <v>1375</v>
      </c>
      <c r="J332" s="23" t="s">
        <v>196</v>
      </c>
      <c r="K332" s="23">
        <v>18</v>
      </c>
      <c r="L332" s="23" t="s">
        <v>624</v>
      </c>
      <c r="M332" s="30" t="str">
        <f t="shared" si="5"/>
        <v>332203</v>
      </c>
    </row>
    <row r="333" spans="1:13" x14ac:dyDescent="0.25">
      <c r="A333" s="23" t="s">
        <v>1463</v>
      </c>
      <c r="B333" s="23" t="s">
        <v>1464</v>
      </c>
      <c r="C333" s="60" t="s">
        <v>17</v>
      </c>
      <c r="D333" s="23" t="s">
        <v>1374</v>
      </c>
      <c r="E333" s="23" t="s">
        <v>192</v>
      </c>
      <c r="F333" s="30">
        <v>1</v>
      </c>
      <c r="G333" s="23" t="s">
        <v>193</v>
      </c>
      <c r="H333" s="79" t="s">
        <v>194</v>
      </c>
      <c r="I333" s="23" t="s">
        <v>1375</v>
      </c>
      <c r="J333" s="23" t="s">
        <v>210</v>
      </c>
      <c r="K333" s="23">
        <v>18</v>
      </c>
      <c r="L333" s="23" t="s">
        <v>624</v>
      </c>
      <c r="M333" s="30" t="str">
        <f t="shared" si="5"/>
        <v>332203</v>
      </c>
    </row>
    <row r="334" spans="1:13" x14ac:dyDescent="0.25">
      <c r="A334" s="23" t="s">
        <v>1466</v>
      </c>
      <c r="B334" s="23" t="s">
        <v>1467</v>
      </c>
      <c r="C334" s="60" t="s">
        <v>17</v>
      </c>
      <c r="D334" s="23" t="s">
        <v>1374</v>
      </c>
      <c r="E334" s="23" t="s">
        <v>192</v>
      </c>
      <c r="F334" s="30">
        <v>1</v>
      </c>
      <c r="G334" s="23" t="s">
        <v>193</v>
      </c>
      <c r="H334" s="79" t="s">
        <v>194</v>
      </c>
      <c r="I334" s="23" t="s">
        <v>1197</v>
      </c>
      <c r="J334" s="23" t="s">
        <v>210</v>
      </c>
      <c r="K334" s="23">
        <v>18</v>
      </c>
      <c r="L334" s="23" t="s">
        <v>624</v>
      </c>
      <c r="M334" s="30" t="str">
        <f t="shared" si="5"/>
        <v>332203</v>
      </c>
    </row>
    <row r="335" spans="1:13" x14ac:dyDescent="0.25">
      <c r="A335" s="23" t="s">
        <v>329</v>
      </c>
      <c r="B335" s="23" t="s">
        <v>632</v>
      </c>
      <c r="C335" s="60" t="s">
        <v>17</v>
      </c>
      <c r="D335" s="23" t="s">
        <v>1374</v>
      </c>
      <c r="E335" s="23" t="s">
        <v>192</v>
      </c>
      <c r="F335" s="30">
        <v>1</v>
      </c>
      <c r="G335" s="23" t="s">
        <v>193</v>
      </c>
      <c r="H335" s="79" t="s">
        <v>194</v>
      </c>
      <c r="I335" s="23" t="s">
        <v>1375</v>
      </c>
      <c r="J335" s="23" t="s">
        <v>210</v>
      </c>
      <c r="K335" s="23">
        <v>18</v>
      </c>
      <c r="L335" s="23" t="s">
        <v>624</v>
      </c>
      <c r="M335" s="30" t="str">
        <f t="shared" si="5"/>
        <v>332203</v>
      </c>
    </row>
    <row r="336" spans="1:13" x14ac:dyDescent="0.25">
      <c r="A336" s="23" t="s">
        <v>1521</v>
      </c>
      <c r="B336" s="23" t="s">
        <v>1522</v>
      </c>
      <c r="C336" s="60" t="s">
        <v>17</v>
      </c>
      <c r="D336" s="23" t="s">
        <v>1374</v>
      </c>
      <c r="E336" s="23" t="s">
        <v>192</v>
      </c>
      <c r="F336" s="30">
        <v>1</v>
      </c>
      <c r="G336" s="23" t="s">
        <v>193</v>
      </c>
      <c r="H336" s="79" t="s">
        <v>194</v>
      </c>
      <c r="I336" s="23" t="s">
        <v>1375</v>
      </c>
      <c r="J336" s="23" t="s">
        <v>642</v>
      </c>
      <c r="K336" s="23">
        <v>18</v>
      </c>
      <c r="L336" s="23" t="s">
        <v>624</v>
      </c>
      <c r="M336" s="30" t="str">
        <f t="shared" si="5"/>
        <v>332203</v>
      </c>
    </row>
    <row r="337" spans="1:13" x14ac:dyDescent="0.25">
      <c r="A337" s="23" t="s">
        <v>1548</v>
      </c>
      <c r="B337" s="23" t="s">
        <v>1549</v>
      </c>
      <c r="C337" s="60" t="s">
        <v>17</v>
      </c>
      <c r="D337" s="23" t="s">
        <v>1374</v>
      </c>
      <c r="E337" s="23" t="s">
        <v>192</v>
      </c>
      <c r="F337" s="30">
        <v>1</v>
      </c>
      <c r="G337" s="23" t="s">
        <v>193</v>
      </c>
      <c r="H337" s="79" t="s">
        <v>194</v>
      </c>
      <c r="I337" s="23" t="s">
        <v>1375</v>
      </c>
      <c r="J337" s="23" t="s">
        <v>196</v>
      </c>
      <c r="K337" s="23">
        <v>18</v>
      </c>
      <c r="L337" s="23" t="s">
        <v>624</v>
      </c>
      <c r="M337" s="30" t="str">
        <f t="shared" si="5"/>
        <v>332203</v>
      </c>
    </row>
    <row r="338" spans="1:13" x14ac:dyDescent="0.25">
      <c r="A338" s="23" t="s">
        <v>1550</v>
      </c>
      <c r="B338" s="23" t="s">
        <v>632</v>
      </c>
      <c r="C338" s="60" t="s">
        <v>17</v>
      </c>
      <c r="D338" s="23" t="s">
        <v>1374</v>
      </c>
      <c r="E338" s="23" t="s">
        <v>192</v>
      </c>
      <c r="F338" s="30">
        <v>1</v>
      </c>
      <c r="G338" s="23" t="s">
        <v>193</v>
      </c>
      <c r="H338" s="79" t="s">
        <v>194</v>
      </c>
      <c r="I338" s="23" t="s">
        <v>1375</v>
      </c>
      <c r="J338" s="23" t="s">
        <v>210</v>
      </c>
      <c r="K338" s="23">
        <v>18</v>
      </c>
      <c r="L338" s="23" t="s">
        <v>624</v>
      </c>
      <c r="M338" s="30" t="str">
        <f t="shared" si="5"/>
        <v>332203</v>
      </c>
    </row>
    <row r="339" spans="1:13" x14ac:dyDescent="0.25">
      <c r="A339" s="23" t="s">
        <v>1575</v>
      </c>
      <c r="B339" s="23" t="s">
        <v>1576</v>
      </c>
      <c r="C339" s="60" t="s">
        <v>17</v>
      </c>
      <c r="D339" s="23" t="s">
        <v>1374</v>
      </c>
      <c r="E339" s="23" t="s">
        <v>192</v>
      </c>
      <c r="F339" s="30">
        <v>1</v>
      </c>
      <c r="G339" s="23" t="s">
        <v>193</v>
      </c>
      <c r="H339" s="79" t="s">
        <v>194</v>
      </c>
      <c r="I339" s="23" t="s">
        <v>1197</v>
      </c>
      <c r="J339" s="23" t="s">
        <v>210</v>
      </c>
      <c r="K339" s="23">
        <v>18</v>
      </c>
      <c r="L339" s="23" t="s">
        <v>624</v>
      </c>
      <c r="M339" s="30" t="str">
        <f t="shared" si="5"/>
        <v>332203</v>
      </c>
    </row>
    <row r="340" spans="1:13" x14ac:dyDescent="0.25">
      <c r="A340" s="23" t="s">
        <v>1577</v>
      </c>
      <c r="B340" s="23" t="s">
        <v>1578</v>
      </c>
      <c r="C340" s="60" t="s">
        <v>17</v>
      </c>
      <c r="D340" s="23" t="s">
        <v>1374</v>
      </c>
      <c r="E340" s="23" t="s">
        <v>192</v>
      </c>
      <c r="F340" s="30">
        <v>1</v>
      </c>
      <c r="G340" s="23" t="s">
        <v>193</v>
      </c>
      <c r="H340" s="79" t="s">
        <v>194</v>
      </c>
      <c r="I340" s="23" t="s">
        <v>1375</v>
      </c>
      <c r="J340" s="23" t="s">
        <v>276</v>
      </c>
      <c r="K340" s="23">
        <v>18</v>
      </c>
      <c r="L340" s="23" t="s">
        <v>624</v>
      </c>
      <c r="M340" s="30" t="str">
        <f t="shared" si="5"/>
        <v>332203</v>
      </c>
    </row>
    <row r="341" spans="1:13" x14ac:dyDescent="0.25">
      <c r="A341" s="23" t="s">
        <v>636</v>
      </c>
      <c r="B341" s="23" t="s">
        <v>1638</v>
      </c>
      <c r="C341" s="60" t="s">
        <v>17</v>
      </c>
      <c r="D341" s="23" t="s">
        <v>1637</v>
      </c>
      <c r="E341" s="23" t="s">
        <v>192</v>
      </c>
      <c r="F341" s="30">
        <v>1</v>
      </c>
      <c r="G341" s="23" t="s">
        <v>193</v>
      </c>
      <c r="H341" s="79" t="s">
        <v>194</v>
      </c>
      <c r="I341" s="23" t="s">
        <v>1587</v>
      </c>
      <c r="J341" s="23" t="s">
        <v>385</v>
      </c>
      <c r="K341" s="23">
        <v>18</v>
      </c>
      <c r="L341" s="23" t="s">
        <v>624</v>
      </c>
      <c r="M341" s="30" t="str">
        <f t="shared" si="5"/>
        <v>332203</v>
      </c>
    </row>
    <row r="342" spans="1:13" x14ac:dyDescent="0.25">
      <c r="A342" s="23" t="s">
        <v>1204</v>
      </c>
      <c r="B342" s="23" t="s">
        <v>1205</v>
      </c>
      <c r="C342" s="60" t="s">
        <v>17</v>
      </c>
      <c r="D342" s="23" t="s">
        <v>1637</v>
      </c>
      <c r="E342" s="23" t="s">
        <v>192</v>
      </c>
      <c r="F342" s="30">
        <v>1</v>
      </c>
      <c r="G342" s="23" t="s">
        <v>193</v>
      </c>
      <c r="H342" s="79" t="s">
        <v>194</v>
      </c>
      <c r="I342" s="23" t="s">
        <v>1587</v>
      </c>
      <c r="J342" s="23" t="s">
        <v>276</v>
      </c>
      <c r="K342" s="23">
        <v>18</v>
      </c>
      <c r="L342" s="23" t="s">
        <v>624</v>
      </c>
      <c r="M342" s="30" t="str">
        <f t="shared" si="5"/>
        <v>332203</v>
      </c>
    </row>
    <row r="343" spans="1:13" x14ac:dyDescent="0.25">
      <c r="A343" s="23" t="s">
        <v>1120</v>
      </c>
      <c r="B343" s="23" t="s">
        <v>1121</v>
      </c>
      <c r="C343" s="60" t="s">
        <v>17</v>
      </c>
      <c r="D343" s="23" t="s">
        <v>1637</v>
      </c>
      <c r="E343" s="23" t="s">
        <v>233</v>
      </c>
      <c r="F343" s="30">
        <v>1</v>
      </c>
      <c r="G343" s="23" t="s">
        <v>193</v>
      </c>
      <c r="H343" s="79" t="s">
        <v>194</v>
      </c>
      <c r="I343" s="23" t="s">
        <v>1587</v>
      </c>
      <c r="J343" s="23" t="s">
        <v>210</v>
      </c>
      <c r="K343" s="23">
        <v>18</v>
      </c>
      <c r="L343" s="23" t="s">
        <v>624</v>
      </c>
      <c r="M343" s="30" t="str">
        <f t="shared" si="5"/>
        <v>332203</v>
      </c>
    </row>
    <row r="344" spans="1:13" x14ac:dyDescent="0.25">
      <c r="A344" s="23" t="s">
        <v>1654</v>
      </c>
      <c r="B344" s="23" t="s">
        <v>1655</v>
      </c>
      <c r="C344" s="60" t="s">
        <v>17</v>
      </c>
      <c r="D344" s="23" t="s">
        <v>1637</v>
      </c>
      <c r="E344" s="23" t="s">
        <v>192</v>
      </c>
      <c r="F344" s="30">
        <v>1</v>
      </c>
      <c r="G344" s="23" t="s">
        <v>193</v>
      </c>
      <c r="H344" s="79" t="s">
        <v>194</v>
      </c>
      <c r="I344" s="23" t="s">
        <v>1587</v>
      </c>
      <c r="J344" s="23" t="s">
        <v>210</v>
      </c>
      <c r="K344" s="23">
        <v>18</v>
      </c>
      <c r="L344" s="23" t="s">
        <v>624</v>
      </c>
      <c r="M344" s="30" t="str">
        <f t="shared" si="5"/>
        <v>332203</v>
      </c>
    </row>
    <row r="345" spans="1:13" x14ac:dyDescent="0.25">
      <c r="A345" s="23" t="s">
        <v>615</v>
      </c>
      <c r="B345" s="23" t="s">
        <v>616</v>
      </c>
      <c r="C345" s="60" t="s">
        <v>17</v>
      </c>
      <c r="D345" s="23" t="s">
        <v>1637</v>
      </c>
      <c r="E345" s="23" t="s">
        <v>192</v>
      </c>
      <c r="F345" s="84">
        <v>0</v>
      </c>
      <c r="G345" s="64" t="s">
        <v>194</v>
      </c>
      <c r="H345" s="79" t="s">
        <v>193</v>
      </c>
      <c r="I345" s="23" t="s">
        <v>1587</v>
      </c>
      <c r="J345" s="23" t="s">
        <v>385</v>
      </c>
      <c r="K345" s="23">
        <v>18</v>
      </c>
      <c r="L345" s="23" t="s">
        <v>624</v>
      </c>
      <c r="M345" s="30" t="str">
        <f t="shared" si="5"/>
        <v>332203</v>
      </c>
    </row>
    <row r="346" spans="1:13" x14ac:dyDescent="0.25">
      <c r="A346" s="23" t="s">
        <v>1677</v>
      </c>
      <c r="B346" s="23" t="s">
        <v>1678</v>
      </c>
      <c r="C346" s="60" t="s">
        <v>17</v>
      </c>
      <c r="D346" s="23" t="s">
        <v>1637</v>
      </c>
      <c r="E346" s="23" t="s">
        <v>192</v>
      </c>
      <c r="F346" s="30">
        <v>17</v>
      </c>
      <c r="G346" s="23" t="s">
        <v>193</v>
      </c>
      <c r="H346" s="79" t="s">
        <v>194</v>
      </c>
      <c r="I346" s="23" t="s">
        <v>1587</v>
      </c>
      <c r="J346" s="23" t="s">
        <v>276</v>
      </c>
      <c r="K346" s="23">
        <v>18</v>
      </c>
      <c r="L346" s="23" t="s">
        <v>624</v>
      </c>
      <c r="M346" s="30" t="str">
        <f t="shared" si="5"/>
        <v>332203</v>
      </c>
    </row>
    <row r="347" spans="1:13" x14ac:dyDescent="0.25">
      <c r="A347" s="23" t="s">
        <v>1679</v>
      </c>
      <c r="B347" s="23" t="s">
        <v>1396</v>
      </c>
      <c r="C347" s="60" t="s">
        <v>17</v>
      </c>
      <c r="D347" s="23" t="s">
        <v>1637</v>
      </c>
      <c r="E347" s="23" t="s">
        <v>192</v>
      </c>
      <c r="F347" s="30">
        <v>1</v>
      </c>
      <c r="G347" s="23" t="s">
        <v>193</v>
      </c>
      <c r="H347" s="79" t="s">
        <v>194</v>
      </c>
      <c r="I347" s="23" t="s">
        <v>1587</v>
      </c>
      <c r="J347" s="23" t="s">
        <v>962</v>
      </c>
      <c r="K347" s="23">
        <v>18</v>
      </c>
      <c r="L347" s="23" t="s">
        <v>624</v>
      </c>
      <c r="M347" s="30" t="str">
        <f t="shared" si="5"/>
        <v>332203</v>
      </c>
    </row>
    <row r="348" spans="1:13" x14ac:dyDescent="0.25">
      <c r="A348" s="23" t="s">
        <v>1686</v>
      </c>
      <c r="B348" s="23" t="s">
        <v>1687</v>
      </c>
      <c r="C348" s="60" t="s">
        <v>17</v>
      </c>
      <c r="D348" s="23" t="s">
        <v>1637</v>
      </c>
      <c r="E348" s="23" t="s">
        <v>192</v>
      </c>
      <c r="F348" s="30">
        <v>1</v>
      </c>
      <c r="G348" s="23" t="s">
        <v>193</v>
      </c>
      <c r="H348" s="79" t="s">
        <v>194</v>
      </c>
      <c r="I348" s="23" t="s">
        <v>1587</v>
      </c>
      <c r="J348" s="23" t="s">
        <v>962</v>
      </c>
      <c r="K348" s="23">
        <v>18</v>
      </c>
      <c r="L348" s="23" t="s">
        <v>624</v>
      </c>
      <c r="M348" s="30" t="str">
        <f t="shared" si="5"/>
        <v>332203</v>
      </c>
    </row>
    <row r="349" spans="1:13" x14ac:dyDescent="0.25">
      <c r="A349" s="23" t="s">
        <v>1340</v>
      </c>
      <c r="B349" s="23" t="s">
        <v>537</v>
      </c>
      <c r="C349" s="60" t="s">
        <v>17</v>
      </c>
      <c r="D349" s="23" t="s">
        <v>1637</v>
      </c>
      <c r="E349" s="23" t="s">
        <v>192</v>
      </c>
      <c r="F349" s="30">
        <v>1</v>
      </c>
      <c r="G349" s="23" t="s">
        <v>193</v>
      </c>
      <c r="H349" s="79" t="s">
        <v>194</v>
      </c>
      <c r="I349" s="23" t="s">
        <v>1587</v>
      </c>
      <c r="J349" s="23" t="s">
        <v>276</v>
      </c>
      <c r="K349" s="23">
        <v>18</v>
      </c>
      <c r="L349" s="23" t="s">
        <v>624</v>
      </c>
      <c r="M349" s="30" t="str">
        <f t="shared" si="5"/>
        <v>332203</v>
      </c>
    </row>
    <row r="350" spans="1:13" x14ac:dyDescent="0.25">
      <c r="A350" s="23" t="s">
        <v>1692</v>
      </c>
      <c r="B350" s="23" t="s">
        <v>1693</v>
      </c>
      <c r="C350" s="60" t="s">
        <v>17</v>
      </c>
      <c r="D350" s="23" t="s">
        <v>1637</v>
      </c>
      <c r="E350" s="23" t="s">
        <v>192</v>
      </c>
      <c r="F350" s="30">
        <v>1</v>
      </c>
      <c r="G350" s="23" t="s">
        <v>193</v>
      </c>
      <c r="H350" s="79" t="s">
        <v>194</v>
      </c>
      <c r="I350" s="23" t="s">
        <v>1587</v>
      </c>
      <c r="J350" s="23" t="s">
        <v>399</v>
      </c>
      <c r="K350" s="23">
        <v>18</v>
      </c>
      <c r="L350" s="23" t="s">
        <v>624</v>
      </c>
      <c r="M350" s="30" t="str">
        <f t="shared" si="5"/>
        <v>332203</v>
      </c>
    </row>
    <row r="351" spans="1:13" x14ac:dyDescent="0.25">
      <c r="A351" s="23" t="s">
        <v>1697</v>
      </c>
      <c r="B351" s="23" t="s">
        <v>1698</v>
      </c>
      <c r="C351" s="60" t="s">
        <v>17</v>
      </c>
      <c r="D351" s="23" t="s">
        <v>1637</v>
      </c>
      <c r="E351" s="23" t="s">
        <v>192</v>
      </c>
      <c r="F351" s="30">
        <v>1</v>
      </c>
      <c r="G351" s="23" t="s">
        <v>193</v>
      </c>
      <c r="H351" s="79" t="s">
        <v>194</v>
      </c>
      <c r="I351" s="23" t="s">
        <v>1374</v>
      </c>
      <c r="J351" s="23" t="s">
        <v>276</v>
      </c>
      <c r="K351" s="23">
        <v>18</v>
      </c>
      <c r="L351" s="23" t="s">
        <v>624</v>
      </c>
      <c r="M351" s="30" t="str">
        <f t="shared" si="5"/>
        <v>332203</v>
      </c>
    </row>
    <row r="352" spans="1:13" x14ac:dyDescent="0.25">
      <c r="A352" s="23" t="s">
        <v>1712</v>
      </c>
      <c r="B352" s="23" t="s">
        <v>1713</v>
      </c>
      <c r="C352" s="60" t="s">
        <v>17</v>
      </c>
      <c r="D352" s="23" t="s">
        <v>1637</v>
      </c>
      <c r="E352" s="23" t="s">
        <v>192</v>
      </c>
      <c r="F352" s="30">
        <v>1</v>
      </c>
      <c r="G352" s="23" t="s">
        <v>193</v>
      </c>
      <c r="H352" s="79" t="s">
        <v>194</v>
      </c>
      <c r="I352" s="23" t="s">
        <v>1587</v>
      </c>
      <c r="J352" s="23" t="s">
        <v>399</v>
      </c>
      <c r="K352" s="23">
        <v>18</v>
      </c>
      <c r="L352" s="23" t="s">
        <v>624</v>
      </c>
      <c r="M352" s="30" t="str">
        <f t="shared" si="5"/>
        <v>332203</v>
      </c>
    </row>
    <row r="353" spans="1:13" x14ac:dyDescent="0.25">
      <c r="A353" s="23" t="s">
        <v>1081</v>
      </c>
      <c r="B353" s="23" t="s">
        <v>1082</v>
      </c>
      <c r="C353" s="60" t="s">
        <v>468</v>
      </c>
      <c r="D353" s="23" t="s">
        <v>1077</v>
      </c>
      <c r="E353" s="23" t="s">
        <v>192</v>
      </c>
      <c r="F353" s="30">
        <v>1</v>
      </c>
      <c r="G353" s="23" t="s">
        <v>193</v>
      </c>
      <c r="H353" s="79" t="s">
        <v>194</v>
      </c>
      <c r="I353" s="23" t="s">
        <v>1078</v>
      </c>
      <c r="J353" s="23" t="s">
        <v>223</v>
      </c>
      <c r="K353" s="23">
        <v>18</v>
      </c>
      <c r="L353" s="23" t="s">
        <v>469</v>
      </c>
      <c r="M353" s="30" t="str">
        <f t="shared" si="5"/>
        <v>243303</v>
      </c>
    </row>
    <row r="354" spans="1:13" x14ac:dyDescent="0.25">
      <c r="A354" s="23" t="s">
        <v>1094</v>
      </c>
      <c r="B354" s="23" t="s">
        <v>1095</v>
      </c>
      <c r="C354" s="60" t="s">
        <v>35</v>
      </c>
      <c r="D354" s="23" t="s">
        <v>1077</v>
      </c>
      <c r="E354" s="23" t="s">
        <v>192</v>
      </c>
      <c r="F354" s="30">
        <v>1</v>
      </c>
      <c r="G354" s="23" t="s">
        <v>193</v>
      </c>
      <c r="H354" s="79" t="s">
        <v>194</v>
      </c>
      <c r="I354" s="23" t="s">
        <v>1078</v>
      </c>
      <c r="J354" s="23" t="s">
        <v>196</v>
      </c>
      <c r="K354" s="23">
        <v>18</v>
      </c>
      <c r="L354" s="23" t="s">
        <v>207</v>
      </c>
      <c r="M354" s="30" t="str">
        <f t="shared" si="5"/>
        <v>122106</v>
      </c>
    </row>
    <row r="355" spans="1:13" x14ac:dyDescent="0.25">
      <c r="A355" s="23" t="s">
        <v>1213</v>
      </c>
      <c r="B355" s="23" t="s">
        <v>1214</v>
      </c>
      <c r="C355" s="23" t="s">
        <v>1215</v>
      </c>
      <c r="D355" s="23" t="s">
        <v>1197</v>
      </c>
      <c r="E355" s="23" t="s">
        <v>252</v>
      </c>
      <c r="F355" s="84">
        <v>0</v>
      </c>
      <c r="G355" s="64" t="s">
        <v>194</v>
      </c>
      <c r="H355" s="79" t="s">
        <v>193</v>
      </c>
      <c r="I355" s="23" t="s">
        <v>1078</v>
      </c>
      <c r="J355" s="23" t="s">
        <v>747</v>
      </c>
      <c r="K355" s="23">
        <v>18</v>
      </c>
      <c r="L355" s="23" t="s">
        <v>1216</v>
      </c>
      <c r="M355" s="30" t="str">
        <f t="shared" si="5"/>
        <v>933304</v>
      </c>
    </row>
    <row r="356" spans="1:13" x14ac:dyDescent="0.25">
      <c r="A356" s="23" t="s">
        <v>1213</v>
      </c>
      <c r="B356" s="23" t="s">
        <v>1221</v>
      </c>
      <c r="C356" s="23" t="s">
        <v>1222</v>
      </c>
      <c r="D356" s="23" t="s">
        <v>1197</v>
      </c>
      <c r="E356" s="23" t="s">
        <v>252</v>
      </c>
      <c r="F356" s="84">
        <v>0</v>
      </c>
      <c r="G356" s="64" t="s">
        <v>194</v>
      </c>
      <c r="H356" s="79" t="s">
        <v>193</v>
      </c>
      <c r="I356" s="23" t="s">
        <v>1078</v>
      </c>
      <c r="J356" s="23" t="s">
        <v>210</v>
      </c>
      <c r="K356" s="23">
        <v>18</v>
      </c>
      <c r="L356" s="23" t="s">
        <v>1223</v>
      </c>
      <c r="M356" s="30" t="str">
        <f t="shared" si="5"/>
        <v>932913</v>
      </c>
    </row>
    <row r="357" spans="1:13" x14ac:dyDescent="0.25">
      <c r="A357" s="23" t="s">
        <v>1152</v>
      </c>
      <c r="B357" s="23" t="s">
        <v>1153</v>
      </c>
      <c r="C357" s="23" t="s">
        <v>83</v>
      </c>
      <c r="D357" s="23" t="s">
        <v>1116</v>
      </c>
      <c r="E357" s="23" t="s">
        <v>233</v>
      </c>
      <c r="F357" s="30">
        <v>1</v>
      </c>
      <c r="G357" s="23" t="s">
        <v>193</v>
      </c>
      <c r="H357" s="79" t="s">
        <v>194</v>
      </c>
      <c r="I357" s="23" t="s">
        <v>1077</v>
      </c>
      <c r="J357" s="23" t="s">
        <v>210</v>
      </c>
      <c r="K357" s="23">
        <v>18</v>
      </c>
      <c r="L357" s="23" t="s">
        <v>791</v>
      </c>
      <c r="M357" s="30" t="str">
        <f t="shared" si="5"/>
        <v>721204</v>
      </c>
    </row>
    <row r="358" spans="1:13" x14ac:dyDescent="0.25">
      <c r="A358" s="23" t="s">
        <v>1306</v>
      </c>
      <c r="B358" s="23" t="s">
        <v>83</v>
      </c>
      <c r="C358" s="23" t="s">
        <v>83</v>
      </c>
      <c r="D358" s="23" t="s">
        <v>1197</v>
      </c>
      <c r="E358" s="23" t="s">
        <v>252</v>
      </c>
      <c r="F358" s="30">
        <v>1</v>
      </c>
      <c r="G358" s="23" t="s">
        <v>193</v>
      </c>
      <c r="H358" s="79" t="s">
        <v>194</v>
      </c>
      <c r="I358" s="23" t="s">
        <v>1255</v>
      </c>
      <c r="J358" s="23" t="s">
        <v>253</v>
      </c>
      <c r="K358" s="23">
        <v>18</v>
      </c>
      <c r="L358" s="23" t="s">
        <v>791</v>
      </c>
      <c r="M358" s="30" t="str">
        <f t="shared" si="5"/>
        <v>721204</v>
      </c>
    </row>
    <row r="359" spans="1:13" x14ac:dyDescent="0.25">
      <c r="A359" s="23" t="s">
        <v>1306</v>
      </c>
      <c r="B359" s="23" t="s">
        <v>1317</v>
      </c>
      <c r="C359" s="23" t="s">
        <v>83</v>
      </c>
      <c r="D359" s="23" t="s">
        <v>1197</v>
      </c>
      <c r="E359" s="23" t="s">
        <v>252</v>
      </c>
      <c r="F359" s="30">
        <v>1</v>
      </c>
      <c r="G359" s="23" t="s">
        <v>193</v>
      </c>
      <c r="H359" s="79" t="s">
        <v>194</v>
      </c>
      <c r="I359" s="23" t="s">
        <v>1255</v>
      </c>
      <c r="J359" s="23" t="s">
        <v>253</v>
      </c>
      <c r="K359" s="23">
        <v>18</v>
      </c>
      <c r="L359" s="23" t="s">
        <v>791</v>
      </c>
      <c r="M359" s="30" t="str">
        <f t="shared" si="5"/>
        <v>721204</v>
      </c>
    </row>
    <row r="360" spans="1:13" x14ac:dyDescent="0.25">
      <c r="A360" s="23" t="s">
        <v>1340</v>
      </c>
      <c r="B360" s="23" t="s">
        <v>83</v>
      </c>
      <c r="C360" s="23" t="s">
        <v>83</v>
      </c>
      <c r="D360" s="23" t="s">
        <v>1637</v>
      </c>
      <c r="E360" s="23" t="s">
        <v>192</v>
      </c>
      <c r="F360" s="30">
        <v>1</v>
      </c>
      <c r="G360" s="23" t="s">
        <v>193</v>
      </c>
      <c r="H360" s="79" t="s">
        <v>194</v>
      </c>
      <c r="I360" s="23" t="s">
        <v>1587</v>
      </c>
      <c r="J360" s="23" t="s">
        <v>210</v>
      </c>
      <c r="K360" s="23">
        <v>18</v>
      </c>
      <c r="L360" s="23" t="s">
        <v>791</v>
      </c>
      <c r="M360" s="30" t="str">
        <f t="shared" si="5"/>
        <v>721204</v>
      </c>
    </row>
    <row r="361" spans="1:13" x14ac:dyDescent="0.25">
      <c r="A361" s="23" t="s">
        <v>1340</v>
      </c>
      <c r="B361" s="23" t="s">
        <v>1553</v>
      </c>
      <c r="C361" s="23" t="s">
        <v>3416</v>
      </c>
      <c r="D361" s="23" t="s">
        <v>3294</v>
      </c>
      <c r="E361" s="23" t="s">
        <v>192</v>
      </c>
      <c r="F361" s="30">
        <v>1</v>
      </c>
      <c r="G361" s="23" t="s">
        <v>193</v>
      </c>
      <c r="H361" s="79" t="s">
        <v>194</v>
      </c>
      <c r="I361" s="23" t="s">
        <v>3316</v>
      </c>
      <c r="J361" s="23" t="s">
        <v>210</v>
      </c>
      <c r="K361" s="23">
        <v>18</v>
      </c>
      <c r="L361" s="23" t="s">
        <v>3417</v>
      </c>
      <c r="M361" s="30" t="str">
        <f t="shared" si="5"/>
        <v>243105</v>
      </c>
    </row>
    <row r="362" spans="1:13" x14ac:dyDescent="0.25">
      <c r="A362" s="23" t="s">
        <v>2435</v>
      </c>
      <c r="B362" s="23" t="s">
        <v>404</v>
      </c>
      <c r="C362" s="23" t="s">
        <v>9</v>
      </c>
      <c r="D362" s="23" t="s">
        <v>3294</v>
      </c>
      <c r="E362" s="23" t="s">
        <v>192</v>
      </c>
      <c r="F362" s="30">
        <v>1</v>
      </c>
      <c r="G362" s="23" t="s">
        <v>193</v>
      </c>
      <c r="H362" s="79" t="s">
        <v>194</v>
      </c>
      <c r="I362" s="23" t="s">
        <v>3313</v>
      </c>
      <c r="J362" s="23" t="s">
        <v>276</v>
      </c>
      <c r="K362" s="23">
        <v>18</v>
      </c>
      <c r="L362" s="23" t="s">
        <v>405</v>
      </c>
      <c r="M362" s="30" t="str">
        <f t="shared" si="5"/>
        <v>241304</v>
      </c>
    </row>
    <row r="363" spans="1:13" x14ac:dyDescent="0.25">
      <c r="A363" s="23" t="s">
        <v>1697</v>
      </c>
      <c r="B363" s="23" t="s">
        <v>2748</v>
      </c>
      <c r="C363" s="23" t="s">
        <v>9</v>
      </c>
      <c r="D363" s="23" t="s">
        <v>3294</v>
      </c>
      <c r="E363" s="23" t="s">
        <v>192</v>
      </c>
      <c r="F363" s="30">
        <v>1</v>
      </c>
      <c r="G363" s="23" t="s">
        <v>193</v>
      </c>
      <c r="H363" s="79" t="s">
        <v>194</v>
      </c>
      <c r="I363" s="23" t="s">
        <v>3316</v>
      </c>
      <c r="J363" s="23" t="s">
        <v>210</v>
      </c>
      <c r="K363" s="23">
        <v>18</v>
      </c>
      <c r="L363" s="23" t="s">
        <v>405</v>
      </c>
      <c r="M363" s="30" t="str">
        <f t="shared" si="5"/>
        <v>241304</v>
      </c>
    </row>
    <row r="364" spans="1:13" x14ac:dyDescent="0.25">
      <c r="A364" s="23" t="s">
        <v>1211</v>
      </c>
      <c r="B364" s="23" t="s">
        <v>1642</v>
      </c>
      <c r="C364" s="23" t="s">
        <v>9</v>
      </c>
      <c r="D364" s="23" t="s">
        <v>3303</v>
      </c>
      <c r="E364" s="23" t="s">
        <v>192</v>
      </c>
      <c r="F364" s="30">
        <v>1</v>
      </c>
      <c r="G364" s="23" t="s">
        <v>193</v>
      </c>
      <c r="H364" s="79" t="s">
        <v>194</v>
      </c>
      <c r="I364" s="23" t="s">
        <v>3316</v>
      </c>
      <c r="J364" s="23" t="s">
        <v>210</v>
      </c>
      <c r="K364" s="23">
        <v>18</v>
      </c>
      <c r="L364" s="23" t="s">
        <v>405</v>
      </c>
      <c r="M364" s="30" t="str">
        <f t="shared" si="5"/>
        <v>241304</v>
      </c>
    </row>
    <row r="365" spans="1:13" x14ac:dyDescent="0.25">
      <c r="A365" s="23" t="s">
        <v>919</v>
      </c>
      <c r="B365" s="23" t="s">
        <v>1200</v>
      </c>
      <c r="C365" s="23" t="s">
        <v>9</v>
      </c>
      <c r="D365" s="23" t="s">
        <v>1197</v>
      </c>
      <c r="E365" s="23" t="s">
        <v>192</v>
      </c>
      <c r="F365" s="30">
        <v>1</v>
      </c>
      <c r="G365" s="23" t="s">
        <v>193</v>
      </c>
      <c r="H365" s="79" t="s">
        <v>194</v>
      </c>
      <c r="I365" s="23" t="s">
        <v>1077</v>
      </c>
      <c r="J365" s="23" t="s">
        <v>253</v>
      </c>
      <c r="K365" s="23">
        <v>18</v>
      </c>
      <c r="L365" s="23" t="s">
        <v>405</v>
      </c>
      <c r="M365" s="30" t="str">
        <f t="shared" si="5"/>
        <v>241304</v>
      </c>
    </row>
    <row r="366" spans="1:13" x14ac:dyDescent="0.25">
      <c r="A366" s="23" t="s">
        <v>1209</v>
      </c>
      <c r="B366" s="23" t="s">
        <v>1210</v>
      </c>
      <c r="C366" s="23" t="s">
        <v>9</v>
      </c>
      <c r="D366" s="23" t="s">
        <v>1197</v>
      </c>
      <c r="E366" s="23" t="s">
        <v>192</v>
      </c>
      <c r="F366" s="30">
        <v>1</v>
      </c>
      <c r="G366" s="23" t="s">
        <v>193</v>
      </c>
      <c r="H366" s="79" t="s">
        <v>194</v>
      </c>
      <c r="I366" s="23" t="s">
        <v>1078</v>
      </c>
      <c r="J366" s="23" t="s">
        <v>210</v>
      </c>
      <c r="K366" s="23">
        <v>18</v>
      </c>
      <c r="L366" s="23" t="s">
        <v>405</v>
      </c>
      <c r="M366" s="30" t="str">
        <f t="shared" si="5"/>
        <v>241304</v>
      </c>
    </row>
    <row r="367" spans="1:13" x14ac:dyDescent="0.25">
      <c r="A367" s="23" t="s">
        <v>1211</v>
      </c>
      <c r="B367" s="23" t="s">
        <v>1212</v>
      </c>
      <c r="C367" s="23" t="s">
        <v>9</v>
      </c>
      <c r="D367" s="23" t="s">
        <v>1197</v>
      </c>
      <c r="E367" s="23" t="s">
        <v>192</v>
      </c>
      <c r="F367" s="30">
        <v>1</v>
      </c>
      <c r="G367" s="23" t="s">
        <v>193</v>
      </c>
      <c r="H367" s="79" t="s">
        <v>194</v>
      </c>
      <c r="I367" s="23" t="s">
        <v>1078</v>
      </c>
      <c r="J367" s="23" t="s">
        <v>367</v>
      </c>
      <c r="K367" s="23">
        <v>18</v>
      </c>
      <c r="L367" s="23" t="s">
        <v>405</v>
      </c>
      <c r="M367" s="30" t="str">
        <f t="shared" si="5"/>
        <v>241304</v>
      </c>
    </row>
    <row r="368" spans="1:13" x14ac:dyDescent="0.25">
      <c r="A368" s="23" t="s">
        <v>1207</v>
      </c>
      <c r="B368" s="23" t="s">
        <v>1394</v>
      </c>
      <c r="C368" s="23" t="s">
        <v>9</v>
      </c>
      <c r="D368" s="23" t="s">
        <v>1374</v>
      </c>
      <c r="E368" s="23" t="s">
        <v>192</v>
      </c>
      <c r="F368" s="30">
        <v>1</v>
      </c>
      <c r="G368" s="23" t="s">
        <v>193</v>
      </c>
      <c r="H368" s="79" t="s">
        <v>194</v>
      </c>
      <c r="I368" s="23" t="s">
        <v>1375</v>
      </c>
      <c r="J368" s="23" t="s">
        <v>210</v>
      </c>
      <c r="K368" s="23">
        <v>18</v>
      </c>
      <c r="L368" s="23" t="s">
        <v>405</v>
      </c>
      <c r="M368" s="30" t="str">
        <f t="shared" si="5"/>
        <v>241304</v>
      </c>
    </row>
    <row r="369" spans="1:13" x14ac:dyDescent="0.25">
      <c r="A369" s="23" t="s">
        <v>1209</v>
      </c>
      <c r="B369" s="23" t="s">
        <v>1396</v>
      </c>
      <c r="C369" s="23" t="s">
        <v>9</v>
      </c>
      <c r="D369" s="23" t="s">
        <v>1374</v>
      </c>
      <c r="E369" s="23" t="s">
        <v>192</v>
      </c>
      <c r="F369" s="30">
        <v>1</v>
      </c>
      <c r="G369" s="23" t="s">
        <v>193</v>
      </c>
      <c r="H369" s="79" t="s">
        <v>194</v>
      </c>
      <c r="I369" s="23" t="s">
        <v>1375</v>
      </c>
      <c r="J369" s="23" t="s">
        <v>316</v>
      </c>
      <c r="K369" s="23">
        <v>18</v>
      </c>
      <c r="L369" s="23" t="s">
        <v>405</v>
      </c>
      <c r="M369" s="30" t="str">
        <f t="shared" si="5"/>
        <v>241304</v>
      </c>
    </row>
    <row r="370" spans="1:13" x14ac:dyDescent="0.25">
      <c r="A370" s="23" t="s">
        <v>1499</v>
      </c>
      <c r="B370" s="23" t="s">
        <v>1500</v>
      </c>
      <c r="C370" s="23" t="s">
        <v>9</v>
      </c>
      <c r="D370" s="23" t="s">
        <v>1374</v>
      </c>
      <c r="E370" s="23" t="s">
        <v>192</v>
      </c>
      <c r="F370" s="30">
        <v>1</v>
      </c>
      <c r="G370" s="23" t="s">
        <v>193</v>
      </c>
      <c r="H370" s="79" t="s">
        <v>194</v>
      </c>
      <c r="I370" s="23" t="s">
        <v>1197</v>
      </c>
      <c r="J370" s="23" t="s">
        <v>210</v>
      </c>
      <c r="K370" s="23">
        <v>18</v>
      </c>
      <c r="L370" s="23" t="s">
        <v>405</v>
      </c>
      <c r="M370" s="30" t="str">
        <f t="shared" si="5"/>
        <v>241304</v>
      </c>
    </row>
    <row r="371" spans="1:13" x14ac:dyDescent="0.25">
      <c r="A371" s="23" t="s">
        <v>1211</v>
      </c>
      <c r="B371" s="23" t="s">
        <v>1642</v>
      </c>
      <c r="C371" s="23" t="s">
        <v>9</v>
      </c>
      <c r="D371" s="23" t="s">
        <v>1637</v>
      </c>
      <c r="E371" s="23" t="s">
        <v>192</v>
      </c>
      <c r="F371" s="30">
        <v>1</v>
      </c>
      <c r="G371" s="23" t="s">
        <v>193</v>
      </c>
      <c r="H371" s="79" t="s">
        <v>194</v>
      </c>
      <c r="I371" s="23" t="s">
        <v>1587</v>
      </c>
      <c r="J371" s="23" t="s">
        <v>210</v>
      </c>
      <c r="K371" s="23">
        <v>18</v>
      </c>
      <c r="L371" s="23" t="s">
        <v>405</v>
      </c>
      <c r="M371" s="30" t="str">
        <f t="shared" si="5"/>
        <v>241304</v>
      </c>
    </row>
    <row r="372" spans="1:13" x14ac:dyDescent="0.25">
      <c r="A372" s="23" t="s">
        <v>1675</v>
      </c>
      <c r="B372" s="23" t="s">
        <v>418</v>
      </c>
      <c r="C372" s="23" t="s">
        <v>9</v>
      </c>
      <c r="D372" s="23" t="s">
        <v>1637</v>
      </c>
      <c r="E372" s="23" t="s">
        <v>192</v>
      </c>
      <c r="F372" s="30">
        <v>1</v>
      </c>
      <c r="G372" s="23" t="s">
        <v>193</v>
      </c>
      <c r="H372" s="79" t="s">
        <v>194</v>
      </c>
      <c r="I372" s="23" t="s">
        <v>1587</v>
      </c>
      <c r="J372" s="23" t="s">
        <v>210</v>
      </c>
      <c r="K372" s="23">
        <v>18</v>
      </c>
      <c r="L372" s="23" t="s">
        <v>405</v>
      </c>
      <c r="M372" s="30" t="str">
        <f t="shared" si="5"/>
        <v>241304</v>
      </c>
    </row>
    <row r="373" spans="1:13" x14ac:dyDescent="0.25">
      <c r="A373" s="23" t="s">
        <v>1194</v>
      </c>
      <c r="B373" s="23" t="s">
        <v>1195</v>
      </c>
      <c r="C373" s="23" t="s">
        <v>1196</v>
      </c>
      <c r="D373" s="23" t="s">
        <v>1197</v>
      </c>
      <c r="E373" s="23" t="s">
        <v>192</v>
      </c>
      <c r="F373" s="30">
        <v>1</v>
      </c>
      <c r="G373" s="23" t="s">
        <v>193</v>
      </c>
      <c r="H373" s="79" t="s">
        <v>194</v>
      </c>
      <c r="I373" s="23" t="s">
        <v>1077</v>
      </c>
      <c r="J373" s="23" t="s">
        <v>210</v>
      </c>
      <c r="K373" s="23">
        <v>18</v>
      </c>
      <c r="L373" s="23" t="s">
        <v>1198</v>
      </c>
      <c r="M373" s="30" t="str">
        <f t="shared" si="5"/>
        <v>252901</v>
      </c>
    </row>
    <row r="374" spans="1:13" x14ac:dyDescent="0.25">
      <c r="A374" s="23" t="s">
        <v>278</v>
      </c>
      <c r="B374" s="23" t="s">
        <v>1551</v>
      </c>
      <c r="C374" s="23" t="s">
        <v>480</v>
      </c>
      <c r="D374" s="23" t="s">
        <v>1374</v>
      </c>
      <c r="E374" s="23" t="s">
        <v>233</v>
      </c>
      <c r="F374" s="30">
        <v>1</v>
      </c>
      <c r="G374" s="23" t="s">
        <v>193</v>
      </c>
      <c r="H374" s="79" t="s">
        <v>194</v>
      </c>
      <c r="I374" s="23" t="s">
        <v>1375</v>
      </c>
      <c r="J374" s="23" t="s">
        <v>210</v>
      </c>
      <c r="K374" s="23">
        <v>18</v>
      </c>
      <c r="L374" s="23" t="s">
        <v>481</v>
      </c>
      <c r="M374" s="30" t="str">
        <f t="shared" si="5"/>
        <v>251201</v>
      </c>
    </row>
    <row r="375" spans="1:13" x14ac:dyDescent="0.25">
      <c r="A375" s="23" t="s">
        <v>1697</v>
      </c>
      <c r="B375" s="23" t="s">
        <v>3418</v>
      </c>
      <c r="C375" s="23" t="s">
        <v>27</v>
      </c>
      <c r="D375" s="23" t="s">
        <v>3294</v>
      </c>
      <c r="E375" s="23" t="s">
        <v>192</v>
      </c>
      <c r="F375" s="30">
        <v>1</v>
      </c>
      <c r="G375" s="23" t="s">
        <v>193</v>
      </c>
      <c r="H375" s="79" t="s">
        <v>194</v>
      </c>
      <c r="I375" s="23" t="s">
        <v>3316</v>
      </c>
      <c r="J375" s="23" t="s">
        <v>210</v>
      </c>
      <c r="K375" s="23">
        <v>18</v>
      </c>
      <c r="L375" s="23" t="s">
        <v>440</v>
      </c>
      <c r="M375" s="30" t="str">
        <f t="shared" si="5"/>
        <v>242307</v>
      </c>
    </row>
    <row r="376" spans="1:13" x14ac:dyDescent="0.25">
      <c r="A376" s="23" t="s">
        <v>890</v>
      </c>
      <c r="B376" s="23" t="s">
        <v>1089</v>
      </c>
      <c r="C376" s="23" t="s">
        <v>27</v>
      </c>
      <c r="D376" s="23" t="s">
        <v>1077</v>
      </c>
      <c r="E376" s="23" t="s">
        <v>233</v>
      </c>
      <c r="F376" s="30">
        <v>1</v>
      </c>
      <c r="G376" s="23" t="s">
        <v>193</v>
      </c>
      <c r="H376" s="79" t="s">
        <v>194</v>
      </c>
      <c r="I376" s="23" t="s">
        <v>1078</v>
      </c>
      <c r="J376" s="23" t="s">
        <v>210</v>
      </c>
      <c r="K376" s="23">
        <v>18</v>
      </c>
      <c r="L376" s="23" t="s">
        <v>440</v>
      </c>
      <c r="M376" s="30" t="str">
        <f t="shared" si="5"/>
        <v>242307</v>
      </c>
    </row>
    <row r="377" spans="1:13" x14ac:dyDescent="0.25">
      <c r="A377" s="23" t="s">
        <v>1091</v>
      </c>
      <c r="B377" s="23" t="s">
        <v>1092</v>
      </c>
      <c r="C377" s="23" t="s">
        <v>27</v>
      </c>
      <c r="D377" s="23" t="s">
        <v>1077</v>
      </c>
      <c r="E377" s="23" t="s">
        <v>217</v>
      </c>
      <c r="F377" s="30">
        <v>1</v>
      </c>
      <c r="G377" s="23" t="s">
        <v>193</v>
      </c>
      <c r="H377" s="79" t="s">
        <v>194</v>
      </c>
      <c r="I377" s="23" t="s">
        <v>1078</v>
      </c>
      <c r="J377" s="23" t="s">
        <v>210</v>
      </c>
      <c r="K377" s="23">
        <v>18</v>
      </c>
      <c r="L377" s="23" t="s">
        <v>440</v>
      </c>
      <c r="M377" s="30" t="str">
        <f t="shared" si="5"/>
        <v>242307</v>
      </c>
    </row>
    <row r="378" spans="1:13" x14ac:dyDescent="0.25">
      <c r="A378" s="23" t="s">
        <v>1091</v>
      </c>
      <c r="B378" s="23" t="s">
        <v>1092</v>
      </c>
      <c r="C378" s="23" t="s">
        <v>27</v>
      </c>
      <c r="D378" s="23" t="s">
        <v>1197</v>
      </c>
      <c r="E378" s="23" t="s">
        <v>217</v>
      </c>
      <c r="F378" s="30">
        <v>1</v>
      </c>
      <c r="G378" s="23" t="s">
        <v>193</v>
      </c>
      <c r="H378" s="79" t="s">
        <v>194</v>
      </c>
      <c r="I378" s="23" t="s">
        <v>1078</v>
      </c>
      <c r="J378" s="23" t="s">
        <v>210</v>
      </c>
      <c r="K378" s="23">
        <v>18</v>
      </c>
      <c r="L378" s="23" t="s">
        <v>440</v>
      </c>
      <c r="M378" s="30" t="str">
        <f t="shared" si="5"/>
        <v>242307</v>
      </c>
    </row>
    <row r="379" spans="1:13" x14ac:dyDescent="0.25">
      <c r="A379" s="23" t="s">
        <v>540</v>
      </c>
      <c r="B379" s="23" t="s">
        <v>1286</v>
      </c>
      <c r="C379" s="23" t="s">
        <v>27</v>
      </c>
      <c r="D379" s="23" t="s">
        <v>1197</v>
      </c>
      <c r="E379" s="23" t="s">
        <v>252</v>
      </c>
      <c r="F379" s="30">
        <v>1</v>
      </c>
      <c r="G379" s="23" t="s">
        <v>193</v>
      </c>
      <c r="H379" s="79" t="s">
        <v>194</v>
      </c>
      <c r="I379" s="23" t="s">
        <v>1255</v>
      </c>
      <c r="J379" s="23" t="s">
        <v>210</v>
      </c>
      <c r="K379" s="23">
        <v>18</v>
      </c>
      <c r="L379" s="23" t="s">
        <v>440</v>
      </c>
      <c r="M379" s="30" t="str">
        <f t="shared" si="5"/>
        <v>242307</v>
      </c>
    </row>
    <row r="380" spans="1:13" x14ac:dyDescent="0.25">
      <c r="A380" s="23" t="s">
        <v>540</v>
      </c>
      <c r="B380" s="23" t="s">
        <v>1287</v>
      </c>
      <c r="C380" s="23" t="s">
        <v>27</v>
      </c>
      <c r="D380" s="23" t="s">
        <v>1197</v>
      </c>
      <c r="E380" s="23" t="s">
        <v>252</v>
      </c>
      <c r="F380" s="30">
        <v>1</v>
      </c>
      <c r="G380" s="23" t="s">
        <v>193</v>
      </c>
      <c r="H380" s="79" t="s">
        <v>194</v>
      </c>
      <c r="I380" s="23" t="s">
        <v>1255</v>
      </c>
      <c r="J380" s="23" t="s">
        <v>210</v>
      </c>
      <c r="K380" s="23">
        <v>18</v>
      </c>
      <c r="L380" s="23" t="s">
        <v>440</v>
      </c>
      <c r="M380" s="30" t="str">
        <f t="shared" si="5"/>
        <v>242307</v>
      </c>
    </row>
    <row r="381" spans="1:13" x14ac:dyDescent="0.25">
      <c r="A381" s="23" t="s">
        <v>427</v>
      </c>
      <c r="B381" s="23" t="s">
        <v>1399</v>
      </c>
      <c r="C381" s="23" t="s">
        <v>27</v>
      </c>
      <c r="D381" s="23" t="s">
        <v>1374</v>
      </c>
      <c r="E381" s="23" t="s">
        <v>192</v>
      </c>
      <c r="F381" s="30">
        <v>1</v>
      </c>
      <c r="G381" s="23" t="s">
        <v>193</v>
      </c>
      <c r="H381" s="79" t="s">
        <v>194</v>
      </c>
      <c r="I381" s="23" t="s">
        <v>1375</v>
      </c>
      <c r="J381" s="23" t="s">
        <v>672</v>
      </c>
      <c r="K381" s="23">
        <v>18</v>
      </c>
      <c r="L381" s="23" t="s">
        <v>440</v>
      </c>
      <c r="M381" s="30" t="str">
        <f t="shared" si="5"/>
        <v>242307</v>
      </c>
    </row>
    <row r="382" spans="1:13" x14ac:dyDescent="0.25">
      <c r="A382" s="23" t="s">
        <v>1091</v>
      </c>
      <c r="B382" s="23" t="s">
        <v>1092</v>
      </c>
      <c r="C382" s="23" t="s">
        <v>27</v>
      </c>
      <c r="D382" s="23" t="s">
        <v>1374</v>
      </c>
      <c r="E382" s="23" t="s">
        <v>217</v>
      </c>
      <c r="F382" s="30">
        <v>1</v>
      </c>
      <c r="G382" s="23" t="s">
        <v>193</v>
      </c>
      <c r="H382" s="79" t="s">
        <v>194</v>
      </c>
      <c r="I382" s="23" t="s">
        <v>1375</v>
      </c>
      <c r="J382" s="23" t="s">
        <v>210</v>
      </c>
      <c r="K382" s="23">
        <v>18</v>
      </c>
      <c r="L382" s="23" t="s">
        <v>440</v>
      </c>
      <c r="M382" s="30" t="str">
        <f t="shared" si="5"/>
        <v>242307</v>
      </c>
    </row>
    <row r="383" spans="1:13" x14ac:dyDescent="0.25">
      <c r="A383" s="23" t="s">
        <v>711</v>
      </c>
      <c r="B383" s="23" t="s">
        <v>1474</v>
      </c>
      <c r="C383" s="23" t="s">
        <v>27</v>
      </c>
      <c r="D383" s="23" t="s">
        <v>1374</v>
      </c>
      <c r="E383" s="23" t="s">
        <v>192</v>
      </c>
      <c r="F383" s="30">
        <v>2</v>
      </c>
      <c r="G383" s="23" t="s">
        <v>193</v>
      </c>
      <c r="H383" s="79" t="s">
        <v>194</v>
      </c>
      <c r="I383" s="23" t="s">
        <v>1375</v>
      </c>
      <c r="J383" s="23" t="s">
        <v>196</v>
      </c>
      <c r="K383" s="23">
        <v>18</v>
      </c>
      <c r="L383" s="23" t="s">
        <v>440</v>
      </c>
      <c r="M383" s="30" t="str">
        <f t="shared" si="5"/>
        <v>242307</v>
      </c>
    </row>
    <row r="384" spans="1:13" x14ac:dyDescent="0.25">
      <c r="A384" s="23" t="s">
        <v>1544</v>
      </c>
      <c r="B384" s="23" t="s">
        <v>1545</v>
      </c>
      <c r="C384" s="23" t="s">
        <v>27</v>
      </c>
      <c r="D384" s="23" t="s">
        <v>1374</v>
      </c>
      <c r="E384" s="23" t="s">
        <v>192</v>
      </c>
      <c r="F384" s="30">
        <v>1</v>
      </c>
      <c r="G384" s="23" t="s">
        <v>193</v>
      </c>
      <c r="H384" s="79" t="s">
        <v>194</v>
      </c>
      <c r="I384" s="23" t="s">
        <v>1375</v>
      </c>
      <c r="J384" s="23" t="s">
        <v>309</v>
      </c>
      <c r="K384" s="23">
        <v>18</v>
      </c>
      <c r="L384" s="23" t="s">
        <v>440</v>
      </c>
      <c r="M384" s="30" t="str">
        <f t="shared" si="5"/>
        <v>242307</v>
      </c>
    </row>
    <row r="385" spans="1:13" x14ac:dyDescent="0.25">
      <c r="A385" s="23" t="s">
        <v>890</v>
      </c>
      <c r="B385" s="23" t="s">
        <v>1659</v>
      </c>
      <c r="C385" s="23" t="s">
        <v>27</v>
      </c>
      <c r="D385" s="23" t="s">
        <v>1637</v>
      </c>
      <c r="E385" s="23" t="s">
        <v>233</v>
      </c>
      <c r="F385" s="30">
        <v>1</v>
      </c>
      <c r="G385" s="23" t="s">
        <v>193</v>
      </c>
      <c r="H385" s="79" t="s">
        <v>194</v>
      </c>
      <c r="I385" s="23" t="s">
        <v>1587</v>
      </c>
      <c r="J385" s="23" t="s">
        <v>210</v>
      </c>
      <c r="K385" s="23">
        <v>18</v>
      </c>
      <c r="L385" s="23" t="s">
        <v>440</v>
      </c>
      <c r="M385" s="30" t="str">
        <f t="shared" si="5"/>
        <v>242307</v>
      </c>
    </row>
    <row r="386" spans="1:13" x14ac:dyDescent="0.25">
      <c r="A386" s="23" t="s">
        <v>2777</v>
      </c>
      <c r="B386" s="23" t="s">
        <v>3419</v>
      </c>
      <c r="C386" s="23" t="s">
        <v>80</v>
      </c>
      <c r="D386" s="23" t="s">
        <v>3303</v>
      </c>
      <c r="E386" s="23" t="s">
        <v>192</v>
      </c>
      <c r="F386" s="30">
        <v>1</v>
      </c>
      <c r="G386" s="23" t="s">
        <v>193</v>
      </c>
      <c r="H386" s="79" t="s">
        <v>194</v>
      </c>
      <c r="I386" s="23" t="s">
        <v>3304</v>
      </c>
      <c r="J386" s="23" t="s">
        <v>267</v>
      </c>
      <c r="K386" s="23">
        <v>18</v>
      </c>
      <c r="L386" s="23" t="s">
        <v>474</v>
      </c>
      <c r="M386" s="30" t="str">
        <f t="shared" si="5"/>
        <v>243304</v>
      </c>
    </row>
    <row r="387" spans="1:13" x14ac:dyDescent="0.25">
      <c r="A387" s="23" t="s">
        <v>3420</v>
      </c>
      <c r="B387" s="23" t="s">
        <v>3421</v>
      </c>
      <c r="C387" s="23" t="s">
        <v>100</v>
      </c>
      <c r="D387" s="23" t="s">
        <v>3294</v>
      </c>
      <c r="E387" s="23" t="s">
        <v>192</v>
      </c>
      <c r="F387" s="30">
        <v>1</v>
      </c>
      <c r="G387" s="23" t="s">
        <v>193</v>
      </c>
      <c r="H387" s="79" t="s">
        <v>194</v>
      </c>
      <c r="I387" s="23" t="s">
        <v>3313</v>
      </c>
      <c r="J387" s="23" t="s">
        <v>196</v>
      </c>
      <c r="K387" s="23">
        <v>18</v>
      </c>
      <c r="L387" s="23" t="s">
        <v>429</v>
      </c>
      <c r="M387" s="30" t="str">
        <f t="shared" ref="M387:M450" si="6">MID(L387,8,6)</f>
        <v>242108</v>
      </c>
    </row>
    <row r="388" spans="1:13" x14ac:dyDescent="0.25">
      <c r="A388" s="23" t="s">
        <v>1446</v>
      </c>
      <c r="B388" s="23" t="s">
        <v>1448</v>
      </c>
      <c r="C388" s="23" t="s">
        <v>100</v>
      </c>
      <c r="D388" s="23" t="s">
        <v>1374</v>
      </c>
      <c r="E388" s="23" t="s">
        <v>192</v>
      </c>
      <c r="F388" s="30">
        <v>1</v>
      </c>
      <c r="G388" s="23" t="s">
        <v>193</v>
      </c>
      <c r="H388" s="79" t="s">
        <v>194</v>
      </c>
      <c r="I388" s="23" t="s">
        <v>1197</v>
      </c>
      <c r="J388" s="23" t="s">
        <v>672</v>
      </c>
      <c r="K388" s="23">
        <v>18</v>
      </c>
      <c r="L388" s="23" t="s">
        <v>429</v>
      </c>
      <c r="M388" s="30" t="str">
        <f t="shared" si="6"/>
        <v>242108</v>
      </c>
    </row>
    <row r="389" spans="1:13" x14ac:dyDescent="0.25">
      <c r="A389" s="23" t="s">
        <v>800</v>
      </c>
      <c r="B389" s="23" t="s">
        <v>1465</v>
      </c>
      <c r="C389" s="23" t="s">
        <v>100</v>
      </c>
      <c r="D389" s="23" t="s">
        <v>1374</v>
      </c>
      <c r="E389" s="23" t="s">
        <v>192</v>
      </c>
      <c r="F389" s="30">
        <v>1</v>
      </c>
      <c r="G389" s="23" t="s">
        <v>193</v>
      </c>
      <c r="H389" s="79" t="s">
        <v>194</v>
      </c>
      <c r="I389" s="23" t="s">
        <v>1375</v>
      </c>
      <c r="J389" s="23" t="s">
        <v>276</v>
      </c>
      <c r="K389" s="23">
        <v>18</v>
      </c>
      <c r="L389" s="23" t="s">
        <v>429</v>
      </c>
      <c r="M389" s="30" t="str">
        <f t="shared" si="6"/>
        <v>242108</v>
      </c>
    </row>
    <row r="390" spans="1:13" x14ac:dyDescent="0.25">
      <c r="A390" s="23" t="s">
        <v>638</v>
      </c>
      <c r="B390" s="23" t="s">
        <v>428</v>
      </c>
      <c r="C390" s="23" t="s">
        <v>100</v>
      </c>
      <c r="D390" s="23" t="s">
        <v>1637</v>
      </c>
      <c r="E390" s="23" t="s">
        <v>233</v>
      </c>
      <c r="F390" s="30">
        <v>1</v>
      </c>
      <c r="G390" s="23" t="s">
        <v>193</v>
      </c>
      <c r="H390" s="79" t="s">
        <v>194</v>
      </c>
      <c r="I390" s="23" t="s">
        <v>1587</v>
      </c>
      <c r="J390" s="23" t="s">
        <v>276</v>
      </c>
      <c r="K390" s="23">
        <v>18</v>
      </c>
      <c r="L390" s="23" t="s">
        <v>429</v>
      </c>
      <c r="M390" s="30" t="str">
        <f t="shared" si="6"/>
        <v>242108</v>
      </c>
    </row>
    <row r="391" spans="1:13" x14ac:dyDescent="0.25">
      <c r="A391" s="23" t="s">
        <v>890</v>
      </c>
      <c r="B391" s="23" t="s">
        <v>3422</v>
      </c>
      <c r="C391" s="23" t="s">
        <v>43</v>
      </c>
      <c r="D391" s="23" t="s">
        <v>3294</v>
      </c>
      <c r="E391" s="23" t="s">
        <v>192</v>
      </c>
      <c r="F391" s="30">
        <v>1</v>
      </c>
      <c r="G391" s="23" t="s">
        <v>193</v>
      </c>
      <c r="H391" s="79" t="s">
        <v>194</v>
      </c>
      <c r="I391" s="23" t="s">
        <v>3313</v>
      </c>
      <c r="J391" s="23" t="s">
        <v>210</v>
      </c>
      <c r="K391" s="23">
        <v>18</v>
      </c>
      <c r="L391" s="23" t="s">
        <v>452</v>
      </c>
      <c r="M391" s="30" t="str">
        <f t="shared" si="6"/>
        <v>243106</v>
      </c>
    </row>
    <row r="392" spans="1:13" x14ac:dyDescent="0.25">
      <c r="A392" s="23" t="s">
        <v>751</v>
      </c>
      <c r="B392" s="23" t="s">
        <v>1135</v>
      </c>
      <c r="C392" s="23" t="s">
        <v>43</v>
      </c>
      <c r="D392" s="23" t="s">
        <v>1116</v>
      </c>
      <c r="E392" s="23" t="s">
        <v>233</v>
      </c>
      <c r="F392" s="30">
        <v>1</v>
      </c>
      <c r="G392" s="23" t="s">
        <v>193</v>
      </c>
      <c r="H392" s="79" t="s">
        <v>194</v>
      </c>
      <c r="I392" s="23" t="s">
        <v>1117</v>
      </c>
      <c r="J392" s="23" t="s">
        <v>210</v>
      </c>
      <c r="K392" s="23">
        <v>18</v>
      </c>
      <c r="L392" s="23" t="s">
        <v>452</v>
      </c>
      <c r="M392" s="30" t="str">
        <f t="shared" si="6"/>
        <v>243106</v>
      </c>
    </row>
    <row r="393" spans="1:13" x14ac:dyDescent="0.25">
      <c r="A393" s="23" t="s">
        <v>1211</v>
      </c>
      <c r="B393" s="23" t="s">
        <v>1397</v>
      </c>
      <c r="C393" s="23" t="s">
        <v>43</v>
      </c>
      <c r="D393" s="23" t="s">
        <v>1374</v>
      </c>
      <c r="E393" s="23" t="s">
        <v>192</v>
      </c>
      <c r="F393" s="30">
        <v>1</v>
      </c>
      <c r="G393" s="23" t="s">
        <v>193</v>
      </c>
      <c r="H393" s="79" t="s">
        <v>194</v>
      </c>
      <c r="I393" s="23" t="s">
        <v>1197</v>
      </c>
      <c r="J393" s="23" t="s">
        <v>316</v>
      </c>
      <c r="K393" s="23">
        <v>18</v>
      </c>
      <c r="L393" s="23" t="s">
        <v>452</v>
      </c>
      <c r="M393" s="30" t="str">
        <f t="shared" si="6"/>
        <v>243106</v>
      </c>
    </row>
    <row r="394" spans="1:13" x14ac:dyDescent="0.25">
      <c r="A394" s="23" t="s">
        <v>1537</v>
      </c>
      <c r="B394" s="23" t="s">
        <v>1538</v>
      </c>
      <c r="C394" s="23" t="s">
        <v>43</v>
      </c>
      <c r="D394" s="23" t="s">
        <v>1374</v>
      </c>
      <c r="E394" s="23" t="s">
        <v>192</v>
      </c>
      <c r="F394" s="30">
        <v>1</v>
      </c>
      <c r="G394" s="23" t="s">
        <v>193</v>
      </c>
      <c r="H394" s="79" t="s">
        <v>194</v>
      </c>
      <c r="I394" s="23" t="s">
        <v>1197</v>
      </c>
      <c r="J394" s="23" t="s">
        <v>301</v>
      </c>
      <c r="K394" s="23">
        <v>18</v>
      </c>
      <c r="L394" s="23" t="s">
        <v>452</v>
      </c>
      <c r="M394" s="30" t="str">
        <f t="shared" si="6"/>
        <v>243106</v>
      </c>
    </row>
    <row r="395" spans="1:13" x14ac:dyDescent="0.25">
      <c r="A395" s="23" t="s">
        <v>1635</v>
      </c>
      <c r="B395" s="23" t="s">
        <v>1636</v>
      </c>
      <c r="C395" s="23" t="s">
        <v>43</v>
      </c>
      <c r="D395" s="23" t="s">
        <v>1637</v>
      </c>
      <c r="E395" s="23" t="s">
        <v>192</v>
      </c>
      <c r="F395" s="30">
        <v>1</v>
      </c>
      <c r="G395" s="23" t="s">
        <v>193</v>
      </c>
      <c r="H395" s="79" t="s">
        <v>194</v>
      </c>
      <c r="I395" s="23" t="s">
        <v>1587</v>
      </c>
      <c r="J395" s="23" t="s">
        <v>276</v>
      </c>
      <c r="K395" s="23">
        <v>18</v>
      </c>
      <c r="L395" s="23" t="s">
        <v>452</v>
      </c>
      <c r="M395" s="30" t="str">
        <f t="shared" si="6"/>
        <v>243106</v>
      </c>
    </row>
    <row r="396" spans="1:13" x14ac:dyDescent="0.25">
      <c r="A396" s="23" t="s">
        <v>1340</v>
      </c>
      <c r="B396" s="23" t="s">
        <v>3423</v>
      </c>
      <c r="C396" s="23" t="s">
        <v>3424</v>
      </c>
      <c r="D396" s="23" t="s">
        <v>3294</v>
      </c>
      <c r="E396" s="23" t="s">
        <v>192</v>
      </c>
      <c r="F396" s="30">
        <v>1</v>
      </c>
      <c r="G396" s="23" t="s">
        <v>193</v>
      </c>
      <c r="H396" s="79" t="s">
        <v>194</v>
      </c>
      <c r="I396" s="23" t="s">
        <v>3316</v>
      </c>
      <c r="J396" s="23" t="s">
        <v>267</v>
      </c>
      <c r="K396" s="23">
        <v>18</v>
      </c>
      <c r="L396" s="23" t="s">
        <v>3425</v>
      </c>
      <c r="M396" s="30" t="str">
        <f t="shared" si="6"/>
        <v>243307</v>
      </c>
    </row>
    <row r="397" spans="1:13" x14ac:dyDescent="0.25">
      <c r="A397" s="23" t="s">
        <v>1400</v>
      </c>
      <c r="B397" s="23" t="s">
        <v>1401</v>
      </c>
      <c r="C397" s="23" t="s">
        <v>1402</v>
      </c>
      <c r="D397" s="23" t="s">
        <v>1374</v>
      </c>
      <c r="E397" s="23" t="s">
        <v>192</v>
      </c>
      <c r="F397" s="30">
        <v>1</v>
      </c>
      <c r="G397" s="23" t="s">
        <v>193</v>
      </c>
      <c r="H397" s="79" t="s">
        <v>194</v>
      </c>
      <c r="I397" s="23" t="s">
        <v>1197</v>
      </c>
      <c r="J397" s="23" t="s">
        <v>196</v>
      </c>
      <c r="K397" s="23">
        <v>18</v>
      </c>
      <c r="L397" s="23" t="s">
        <v>1403</v>
      </c>
      <c r="M397" s="30" t="str">
        <f t="shared" si="6"/>
        <v>242228</v>
      </c>
    </row>
    <row r="398" spans="1:13" x14ac:dyDescent="0.25">
      <c r="A398" s="23" t="s">
        <v>711</v>
      </c>
      <c r="B398" s="23" t="s">
        <v>1475</v>
      </c>
      <c r="C398" s="23" t="s">
        <v>18</v>
      </c>
      <c r="D398" s="23" t="s">
        <v>1374</v>
      </c>
      <c r="E398" s="23" t="s">
        <v>192</v>
      </c>
      <c r="F398" s="30">
        <v>1</v>
      </c>
      <c r="G398" s="23" t="s">
        <v>193</v>
      </c>
      <c r="H398" s="79" t="s">
        <v>194</v>
      </c>
      <c r="I398" s="23" t="s">
        <v>1375</v>
      </c>
      <c r="J398" s="23" t="s">
        <v>196</v>
      </c>
      <c r="K398" s="23">
        <v>18</v>
      </c>
      <c r="L398" s="23" t="s">
        <v>1476</v>
      </c>
      <c r="M398" s="30" t="str">
        <f t="shared" si="6"/>
        <v>242309</v>
      </c>
    </row>
    <row r="399" spans="1:13" x14ac:dyDescent="0.25">
      <c r="A399" s="23" t="s">
        <v>1512</v>
      </c>
      <c r="B399" s="23" t="s">
        <v>1513</v>
      </c>
      <c r="C399" s="23" t="s">
        <v>18</v>
      </c>
      <c r="D399" s="23" t="s">
        <v>1374</v>
      </c>
      <c r="E399" s="23" t="s">
        <v>192</v>
      </c>
      <c r="F399" s="30">
        <v>1</v>
      </c>
      <c r="G399" s="23" t="s">
        <v>193</v>
      </c>
      <c r="H399" s="79" t="s">
        <v>194</v>
      </c>
      <c r="I399" s="23" t="s">
        <v>1197</v>
      </c>
      <c r="J399" s="23" t="s">
        <v>210</v>
      </c>
      <c r="K399" s="23">
        <v>18</v>
      </c>
      <c r="L399" s="23" t="s">
        <v>1476</v>
      </c>
      <c r="M399" s="30" t="str">
        <f t="shared" si="6"/>
        <v>242309</v>
      </c>
    </row>
    <row r="400" spans="1:13" x14ac:dyDescent="0.25">
      <c r="A400" s="23" t="s">
        <v>1748</v>
      </c>
      <c r="B400" s="23" t="s">
        <v>3426</v>
      </c>
      <c r="C400" s="23" t="s">
        <v>3427</v>
      </c>
      <c r="D400" s="23" t="s">
        <v>3294</v>
      </c>
      <c r="E400" s="23" t="s">
        <v>192</v>
      </c>
      <c r="F400" s="30">
        <v>1</v>
      </c>
      <c r="G400" s="23" t="s">
        <v>193</v>
      </c>
      <c r="H400" s="79" t="s">
        <v>194</v>
      </c>
      <c r="I400" s="23" t="s">
        <v>3313</v>
      </c>
      <c r="J400" s="23" t="s">
        <v>210</v>
      </c>
      <c r="K400" s="23">
        <v>18</v>
      </c>
      <c r="L400" s="23" t="s">
        <v>3428</v>
      </c>
      <c r="M400" s="30" t="str">
        <f t="shared" si="6"/>
        <v>251202</v>
      </c>
    </row>
    <row r="401" spans="1:13" x14ac:dyDescent="0.25">
      <c r="A401" s="23" t="s">
        <v>1418</v>
      </c>
      <c r="B401" s="23" t="s">
        <v>1419</v>
      </c>
      <c r="C401" s="23" t="s">
        <v>1420</v>
      </c>
      <c r="D401" s="23" t="s">
        <v>1374</v>
      </c>
      <c r="E401" s="23" t="s">
        <v>192</v>
      </c>
      <c r="F401" s="30">
        <v>1</v>
      </c>
      <c r="G401" s="23" t="s">
        <v>193</v>
      </c>
      <c r="H401" s="79" t="s">
        <v>194</v>
      </c>
      <c r="I401" s="23" t="s">
        <v>1375</v>
      </c>
      <c r="J401" s="23" t="s">
        <v>276</v>
      </c>
      <c r="K401" s="23">
        <v>18</v>
      </c>
      <c r="L401" s="23" t="s">
        <v>1421</v>
      </c>
      <c r="M401" s="30" t="str">
        <f t="shared" si="6"/>
        <v>251303</v>
      </c>
    </row>
    <row r="402" spans="1:13" x14ac:dyDescent="0.25">
      <c r="A402" s="23" t="s">
        <v>1537</v>
      </c>
      <c r="B402" s="23" t="s">
        <v>3429</v>
      </c>
      <c r="C402" s="60" t="s">
        <v>85</v>
      </c>
      <c r="D402" s="23" t="s">
        <v>3294</v>
      </c>
      <c r="E402" s="23" t="s">
        <v>192</v>
      </c>
      <c r="F402" s="30">
        <v>1</v>
      </c>
      <c r="G402" s="23" t="s">
        <v>193</v>
      </c>
      <c r="H402" s="79" t="s">
        <v>194</v>
      </c>
      <c r="I402" s="23" t="s">
        <v>3304</v>
      </c>
      <c r="J402" s="23" t="s">
        <v>301</v>
      </c>
      <c r="K402" s="23">
        <v>18</v>
      </c>
      <c r="L402" s="23" t="s">
        <v>477</v>
      </c>
      <c r="M402" s="30" t="str">
        <f t="shared" si="6"/>
        <v>243305</v>
      </c>
    </row>
    <row r="403" spans="1:13" x14ac:dyDescent="0.25">
      <c r="A403" s="23" t="s">
        <v>2451</v>
      </c>
      <c r="B403" s="23" t="s">
        <v>410</v>
      </c>
      <c r="C403" s="60" t="s">
        <v>85</v>
      </c>
      <c r="D403" s="23" t="s">
        <v>3303</v>
      </c>
      <c r="E403" s="23" t="s">
        <v>192</v>
      </c>
      <c r="F403" s="30">
        <v>1</v>
      </c>
      <c r="G403" s="23" t="s">
        <v>193</v>
      </c>
      <c r="H403" s="79" t="s">
        <v>194</v>
      </c>
      <c r="I403" s="23" t="s">
        <v>3316</v>
      </c>
      <c r="J403" s="23" t="s">
        <v>210</v>
      </c>
      <c r="K403" s="23">
        <v>18</v>
      </c>
      <c r="L403" s="23" t="s">
        <v>477</v>
      </c>
      <c r="M403" s="30" t="str">
        <f t="shared" si="6"/>
        <v>243305</v>
      </c>
    </row>
    <row r="404" spans="1:13" x14ac:dyDescent="0.25">
      <c r="A404" s="23" t="s">
        <v>1204</v>
      </c>
      <c r="B404" s="23" t="s">
        <v>1206</v>
      </c>
      <c r="C404" s="60" t="s">
        <v>85</v>
      </c>
      <c r="D404" s="23" t="s">
        <v>1197</v>
      </c>
      <c r="E404" s="23" t="s">
        <v>192</v>
      </c>
      <c r="F404" s="30">
        <v>1</v>
      </c>
      <c r="G404" s="23" t="s">
        <v>193</v>
      </c>
      <c r="H404" s="79" t="s">
        <v>194</v>
      </c>
      <c r="I404" s="23" t="s">
        <v>1077</v>
      </c>
      <c r="J404" s="23" t="s">
        <v>253</v>
      </c>
      <c r="K404" s="23">
        <v>18</v>
      </c>
      <c r="L404" s="23" t="s">
        <v>477</v>
      </c>
      <c r="M404" s="30" t="str">
        <f t="shared" si="6"/>
        <v>243305</v>
      </c>
    </row>
    <row r="405" spans="1:13" x14ac:dyDescent="0.25">
      <c r="A405" s="23" t="s">
        <v>540</v>
      </c>
      <c r="B405" s="23" t="s">
        <v>1288</v>
      </c>
      <c r="C405" s="60" t="s">
        <v>85</v>
      </c>
      <c r="D405" s="23" t="s">
        <v>1197</v>
      </c>
      <c r="E405" s="23" t="s">
        <v>252</v>
      </c>
      <c r="F405" s="30">
        <v>1</v>
      </c>
      <c r="G405" s="23" t="s">
        <v>193</v>
      </c>
      <c r="H405" s="79" t="s">
        <v>194</v>
      </c>
      <c r="I405" s="23" t="s">
        <v>1255</v>
      </c>
      <c r="J405" s="23" t="s">
        <v>316</v>
      </c>
      <c r="K405" s="23">
        <v>18</v>
      </c>
      <c r="L405" s="23" t="s">
        <v>477</v>
      </c>
      <c r="M405" s="30" t="str">
        <f t="shared" si="6"/>
        <v>243305</v>
      </c>
    </row>
    <row r="406" spans="1:13" x14ac:dyDescent="0.25">
      <c r="A406" s="23" t="s">
        <v>615</v>
      </c>
      <c r="B406" s="23" t="s">
        <v>85</v>
      </c>
      <c r="C406" s="60" t="s">
        <v>85</v>
      </c>
      <c r="D406" s="23" t="s">
        <v>1197</v>
      </c>
      <c r="E406" s="23" t="s">
        <v>252</v>
      </c>
      <c r="F406" s="30">
        <v>1</v>
      </c>
      <c r="G406" s="23" t="s">
        <v>193</v>
      </c>
      <c r="H406" s="79" t="s">
        <v>194</v>
      </c>
      <c r="I406" s="23" t="s">
        <v>1255</v>
      </c>
      <c r="J406" s="23" t="s">
        <v>1297</v>
      </c>
      <c r="K406" s="23">
        <v>18</v>
      </c>
      <c r="L406" s="23" t="s">
        <v>477</v>
      </c>
      <c r="M406" s="30" t="str">
        <f t="shared" si="6"/>
        <v>243305</v>
      </c>
    </row>
    <row r="407" spans="1:13" x14ac:dyDescent="0.25">
      <c r="A407" s="23" t="s">
        <v>1390</v>
      </c>
      <c r="B407" s="23" t="s">
        <v>1391</v>
      </c>
      <c r="C407" s="60" t="s">
        <v>85</v>
      </c>
      <c r="D407" s="23" t="s">
        <v>1374</v>
      </c>
      <c r="E407" s="23" t="s">
        <v>192</v>
      </c>
      <c r="F407" s="30">
        <v>1</v>
      </c>
      <c r="G407" s="23" t="s">
        <v>193</v>
      </c>
      <c r="H407" s="79" t="s">
        <v>194</v>
      </c>
      <c r="I407" s="23" t="s">
        <v>1197</v>
      </c>
      <c r="J407" s="23" t="s">
        <v>1392</v>
      </c>
      <c r="K407" s="23">
        <v>18</v>
      </c>
      <c r="L407" s="23" t="s">
        <v>477</v>
      </c>
      <c r="M407" s="30" t="str">
        <f t="shared" si="6"/>
        <v>243305</v>
      </c>
    </row>
    <row r="408" spans="1:13" x14ac:dyDescent="0.25">
      <c r="A408" s="23" t="s">
        <v>1694</v>
      </c>
      <c r="B408" s="23" t="s">
        <v>1396</v>
      </c>
      <c r="C408" s="60" t="s">
        <v>85</v>
      </c>
      <c r="D408" s="23" t="s">
        <v>1637</v>
      </c>
      <c r="E408" s="23" t="s">
        <v>192</v>
      </c>
      <c r="F408" s="30">
        <v>1</v>
      </c>
      <c r="G408" s="23" t="s">
        <v>193</v>
      </c>
      <c r="H408" s="79" t="s">
        <v>194</v>
      </c>
      <c r="I408" s="23" t="s">
        <v>1374</v>
      </c>
      <c r="J408" s="23" t="s">
        <v>210</v>
      </c>
      <c r="K408" s="23">
        <v>18</v>
      </c>
      <c r="L408" s="23" t="s">
        <v>477</v>
      </c>
      <c r="M408" s="30" t="str">
        <f t="shared" si="6"/>
        <v>243305</v>
      </c>
    </row>
    <row r="409" spans="1:13" x14ac:dyDescent="0.25">
      <c r="A409" s="60" t="s">
        <v>3430</v>
      </c>
      <c r="B409" s="60" t="s">
        <v>3431</v>
      </c>
      <c r="C409" s="60" t="s">
        <v>423</v>
      </c>
      <c r="D409" s="60" t="s">
        <v>3308</v>
      </c>
      <c r="E409" s="60" t="s">
        <v>192</v>
      </c>
      <c r="F409" s="77">
        <v>1</v>
      </c>
      <c r="G409" s="60" t="s">
        <v>193</v>
      </c>
      <c r="H409" s="81" t="s">
        <v>194</v>
      </c>
      <c r="I409" s="60" t="s">
        <v>3313</v>
      </c>
      <c r="J409" s="60" t="s">
        <v>276</v>
      </c>
      <c r="K409" s="60">
        <v>18</v>
      </c>
      <c r="L409" s="60" t="s">
        <v>424</v>
      </c>
      <c r="M409" s="77" t="str">
        <f t="shared" si="6"/>
        <v>241307</v>
      </c>
    </row>
    <row r="410" spans="1:13" x14ac:dyDescent="0.25">
      <c r="A410" s="23" t="s">
        <v>3301</v>
      </c>
      <c r="B410" s="23" t="s">
        <v>3432</v>
      </c>
      <c r="C410" s="23" t="s">
        <v>423</v>
      </c>
      <c r="D410" s="23" t="s">
        <v>3294</v>
      </c>
      <c r="E410" s="23" t="s">
        <v>233</v>
      </c>
      <c r="F410" s="30">
        <v>1</v>
      </c>
      <c r="G410" s="23" t="s">
        <v>193</v>
      </c>
      <c r="H410" s="79" t="s">
        <v>194</v>
      </c>
      <c r="I410" s="23" t="s">
        <v>3304</v>
      </c>
      <c r="J410" s="23" t="s">
        <v>2819</v>
      </c>
      <c r="K410" s="23">
        <v>18</v>
      </c>
      <c r="L410" s="23" t="s">
        <v>424</v>
      </c>
      <c r="M410" s="30" t="str">
        <f t="shared" si="6"/>
        <v>241307</v>
      </c>
    </row>
    <row r="411" spans="1:13" x14ac:dyDescent="0.25">
      <c r="A411" s="23" t="s">
        <v>1292</v>
      </c>
      <c r="B411" s="23" t="s">
        <v>1293</v>
      </c>
      <c r="C411" s="23" t="s">
        <v>1294</v>
      </c>
      <c r="D411" s="23" t="s">
        <v>1197</v>
      </c>
      <c r="E411" s="23" t="s">
        <v>252</v>
      </c>
      <c r="F411" s="30">
        <v>1</v>
      </c>
      <c r="G411" s="23" t="s">
        <v>193</v>
      </c>
      <c r="H411" s="79" t="s">
        <v>194</v>
      </c>
      <c r="I411" s="23" t="s">
        <v>1255</v>
      </c>
      <c r="J411" s="23" t="s">
        <v>1295</v>
      </c>
      <c r="K411" s="23">
        <v>18</v>
      </c>
      <c r="L411" s="23" t="s">
        <v>1296</v>
      </c>
      <c r="M411" s="30" t="str">
        <f t="shared" si="6"/>
        <v>242312</v>
      </c>
    </row>
    <row r="412" spans="1:13" x14ac:dyDescent="0.25">
      <c r="A412" s="23" t="s">
        <v>3433</v>
      </c>
      <c r="B412" s="23" t="s">
        <v>1127</v>
      </c>
      <c r="C412" s="23" t="s">
        <v>284</v>
      </c>
      <c r="D412" s="23" t="s">
        <v>3303</v>
      </c>
      <c r="E412" s="23" t="s">
        <v>192</v>
      </c>
      <c r="F412" s="30">
        <v>1</v>
      </c>
      <c r="G412" s="23" t="s">
        <v>193</v>
      </c>
      <c r="H412" s="79" t="s">
        <v>194</v>
      </c>
      <c r="I412" s="23" t="s">
        <v>3304</v>
      </c>
      <c r="J412" s="23" t="s">
        <v>223</v>
      </c>
      <c r="K412" s="23">
        <v>18</v>
      </c>
      <c r="L412" s="23" t="s">
        <v>286</v>
      </c>
      <c r="M412" s="30" t="str">
        <f t="shared" si="6"/>
        <v>214109</v>
      </c>
    </row>
    <row r="413" spans="1:13" x14ac:dyDescent="0.25">
      <c r="A413" s="23" t="s">
        <v>1091</v>
      </c>
      <c r="B413" s="23" t="s">
        <v>1444</v>
      </c>
      <c r="C413" s="23" t="s">
        <v>284</v>
      </c>
      <c r="D413" s="23" t="s">
        <v>1374</v>
      </c>
      <c r="E413" s="23" t="s">
        <v>217</v>
      </c>
      <c r="F413" s="30">
        <v>1</v>
      </c>
      <c r="G413" s="23" t="s">
        <v>193</v>
      </c>
      <c r="H413" s="79" t="s">
        <v>194</v>
      </c>
      <c r="I413" s="23" t="s">
        <v>1197</v>
      </c>
      <c r="J413" s="23" t="s">
        <v>1445</v>
      </c>
      <c r="K413" s="23">
        <v>18</v>
      </c>
      <c r="L413" s="23" t="s">
        <v>286</v>
      </c>
      <c r="M413" s="30" t="str">
        <f t="shared" si="6"/>
        <v>214109</v>
      </c>
    </row>
    <row r="414" spans="1:13" x14ac:dyDescent="0.25">
      <c r="A414" s="23" t="s">
        <v>324</v>
      </c>
      <c r="B414" s="23" t="s">
        <v>1682</v>
      </c>
      <c r="C414" s="23" t="s">
        <v>284</v>
      </c>
      <c r="D414" s="23" t="s">
        <v>1637</v>
      </c>
      <c r="E414" s="23" t="s">
        <v>192</v>
      </c>
      <c r="F414" s="30">
        <v>1</v>
      </c>
      <c r="G414" s="23" t="s">
        <v>193</v>
      </c>
      <c r="H414" s="79" t="s">
        <v>194</v>
      </c>
      <c r="I414" s="23" t="s">
        <v>1587</v>
      </c>
      <c r="J414" s="23" t="s">
        <v>285</v>
      </c>
      <c r="K414" s="23">
        <v>18</v>
      </c>
      <c r="L414" s="23" t="s">
        <v>286</v>
      </c>
      <c r="M414" s="30" t="str">
        <f t="shared" si="6"/>
        <v>214109</v>
      </c>
    </row>
    <row r="415" spans="1:13" x14ac:dyDescent="0.25">
      <c r="A415" s="23" t="s">
        <v>2535</v>
      </c>
      <c r="B415" s="23" t="s">
        <v>3434</v>
      </c>
      <c r="C415" s="23" t="s">
        <v>119</v>
      </c>
      <c r="D415" s="23" t="s">
        <v>3308</v>
      </c>
      <c r="E415" s="23" t="s">
        <v>192</v>
      </c>
      <c r="F415" s="30">
        <v>1</v>
      </c>
      <c r="G415" s="23" t="s">
        <v>193</v>
      </c>
      <c r="H415" s="79" t="s">
        <v>194</v>
      </c>
      <c r="I415" s="23" t="s">
        <v>3313</v>
      </c>
      <c r="J415" s="23" t="s">
        <v>276</v>
      </c>
      <c r="K415" s="23">
        <v>18</v>
      </c>
      <c r="L415" s="23" t="s">
        <v>666</v>
      </c>
      <c r="M415" s="30" t="str">
        <f t="shared" si="6"/>
        <v>333105</v>
      </c>
    </row>
    <row r="416" spans="1:13" x14ac:dyDescent="0.25">
      <c r="A416" s="23" t="s">
        <v>3435</v>
      </c>
      <c r="B416" s="23" t="s">
        <v>119</v>
      </c>
      <c r="C416" s="23" t="s">
        <v>119</v>
      </c>
      <c r="D416" s="23" t="s">
        <v>3294</v>
      </c>
      <c r="E416" s="23" t="s">
        <v>233</v>
      </c>
      <c r="F416" s="30">
        <v>1</v>
      </c>
      <c r="G416" s="23" t="s">
        <v>193</v>
      </c>
      <c r="H416" s="79" t="s">
        <v>194</v>
      </c>
      <c r="I416" s="23" t="s">
        <v>3295</v>
      </c>
      <c r="J416" s="23" t="s">
        <v>210</v>
      </c>
      <c r="K416" s="23">
        <v>18</v>
      </c>
      <c r="L416" s="23" t="s">
        <v>666</v>
      </c>
      <c r="M416" s="30" t="str">
        <f t="shared" si="6"/>
        <v>333105</v>
      </c>
    </row>
    <row r="417" spans="1:13" x14ac:dyDescent="0.25">
      <c r="A417" s="23" t="s">
        <v>1433</v>
      </c>
      <c r="B417" s="23" t="s">
        <v>119</v>
      </c>
      <c r="C417" s="23" t="s">
        <v>119</v>
      </c>
      <c r="D417" s="23" t="s">
        <v>1374</v>
      </c>
      <c r="E417" s="23" t="s">
        <v>233</v>
      </c>
      <c r="F417" s="30">
        <v>1</v>
      </c>
      <c r="G417" s="23" t="s">
        <v>193</v>
      </c>
      <c r="H417" s="79" t="s">
        <v>194</v>
      </c>
      <c r="I417" s="23" t="s">
        <v>1375</v>
      </c>
      <c r="J417" s="23" t="s">
        <v>253</v>
      </c>
      <c r="K417" s="23">
        <v>18</v>
      </c>
      <c r="L417" s="23" t="s">
        <v>666</v>
      </c>
      <c r="M417" s="30" t="str">
        <f t="shared" si="6"/>
        <v>333105</v>
      </c>
    </row>
    <row r="418" spans="1:13" x14ac:dyDescent="0.25">
      <c r="A418" s="23" t="s">
        <v>1340</v>
      </c>
      <c r="B418" s="23" t="s">
        <v>1530</v>
      </c>
      <c r="C418" s="23" t="s">
        <v>119</v>
      </c>
      <c r="D418" s="23" t="s">
        <v>1374</v>
      </c>
      <c r="E418" s="23" t="s">
        <v>192</v>
      </c>
      <c r="F418" s="30">
        <v>1</v>
      </c>
      <c r="G418" s="23" t="s">
        <v>193</v>
      </c>
      <c r="H418" s="79" t="s">
        <v>194</v>
      </c>
      <c r="I418" s="23" t="s">
        <v>1375</v>
      </c>
      <c r="J418" s="23" t="s">
        <v>210</v>
      </c>
      <c r="K418" s="23">
        <v>18</v>
      </c>
      <c r="L418" s="23" t="s">
        <v>666</v>
      </c>
      <c r="M418" s="30" t="str">
        <f t="shared" si="6"/>
        <v>333105</v>
      </c>
    </row>
    <row r="419" spans="1:13" x14ac:dyDescent="0.25">
      <c r="A419" s="23" t="s">
        <v>1556</v>
      </c>
      <c r="B419" s="23" t="s">
        <v>1559</v>
      </c>
      <c r="C419" s="23" t="s">
        <v>119</v>
      </c>
      <c r="D419" s="23" t="s">
        <v>1374</v>
      </c>
      <c r="E419" s="23" t="s">
        <v>192</v>
      </c>
      <c r="F419" s="30">
        <v>1</v>
      </c>
      <c r="G419" s="23" t="s">
        <v>193</v>
      </c>
      <c r="H419" s="79" t="s">
        <v>194</v>
      </c>
      <c r="I419" s="23" t="s">
        <v>1375</v>
      </c>
      <c r="J419" s="23" t="s">
        <v>672</v>
      </c>
      <c r="K419" s="23">
        <v>18</v>
      </c>
      <c r="L419" s="23" t="s">
        <v>666</v>
      </c>
      <c r="M419" s="30" t="str">
        <f t="shared" si="6"/>
        <v>333105</v>
      </c>
    </row>
    <row r="420" spans="1:13" x14ac:dyDescent="0.25">
      <c r="A420" s="23" t="s">
        <v>1699</v>
      </c>
      <c r="B420" s="23" t="s">
        <v>1700</v>
      </c>
      <c r="C420" s="23" t="s">
        <v>119</v>
      </c>
      <c r="D420" s="23" t="s">
        <v>1637</v>
      </c>
      <c r="E420" s="23" t="s">
        <v>192</v>
      </c>
      <c r="F420" s="30">
        <v>3</v>
      </c>
      <c r="G420" s="23" t="s">
        <v>193</v>
      </c>
      <c r="H420" s="79" t="s">
        <v>194</v>
      </c>
      <c r="I420" s="23" t="s">
        <v>1374</v>
      </c>
      <c r="J420" s="23" t="s">
        <v>223</v>
      </c>
      <c r="K420" s="23">
        <v>18</v>
      </c>
      <c r="L420" s="23" t="s">
        <v>666</v>
      </c>
      <c r="M420" s="30" t="str">
        <f t="shared" si="6"/>
        <v>333105</v>
      </c>
    </row>
    <row r="421" spans="1:13" x14ac:dyDescent="0.25">
      <c r="A421" s="23" t="s">
        <v>540</v>
      </c>
      <c r="B421" s="23" t="s">
        <v>1161</v>
      </c>
      <c r="C421" s="23" t="s">
        <v>776</v>
      </c>
      <c r="D421" s="23" t="s">
        <v>1116</v>
      </c>
      <c r="E421" s="23" t="s">
        <v>217</v>
      </c>
      <c r="F421" s="30">
        <v>1</v>
      </c>
      <c r="G421" s="23" t="s">
        <v>193</v>
      </c>
      <c r="H421" s="79" t="s">
        <v>194</v>
      </c>
      <c r="I421" s="23" t="s">
        <v>1077</v>
      </c>
      <c r="J421" s="23" t="s">
        <v>210</v>
      </c>
      <c r="K421" s="23">
        <v>18</v>
      </c>
      <c r="L421" s="23" t="s">
        <v>777</v>
      </c>
      <c r="M421" s="30" t="str">
        <f t="shared" si="6"/>
        <v>524403</v>
      </c>
    </row>
    <row r="422" spans="1:13" x14ac:dyDescent="0.25">
      <c r="A422" s="23" t="s">
        <v>1167</v>
      </c>
      <c r="B422" s="23" t="s">
        <v>537</v>
      </c>
      <c r="C422" s="60" t="s">
        <v>740</v>
      </c>
      <c r="D422" s="23" t="s">
        <v>3294</v>
      </c>
      <c r="E422" s="23" t="s">
        <v>217</v>
      </c>
      <c r="F422" s="30">
        <v>1</v>
      </c>
      <c r="G422" s="23" t="s">
        <v>193</v>
      </c>
      <c r="H422" s="79" t="s">
        <v>194</v>
      </c>
      <c r="I422" s="23" t="s">
        <v>3304</v>
      </c>
      <c r="J422" s="23" t="s">
        <v>276</v>
      </c>
      <c r="K422" s="23">
        <v>18</v>
      </c>
      <c r="L422" s="23" t="s">
        <v>741</v>
      </c>
      <c r="M422" s="30" t="str">
        <f t="shared" si="6"/>
        <v>522301</v>
      </c>
    </row>
    <row r="423" spans="1:13" x14ac:dyDescent="0.25">
      <c r="A423" s="23" t="s">
        <v>1168</v>
      </c>
      <c r="B423" s="23" t="s">
        <v>1051</v>
      </c>
      <c r="C423" s="60" t="s">
        <v>740</v>
      </c>
      <c r="D423" s="23" t="s">
        <v>3294</v>
      </c>
      <c r="E423" s="23" t="s">
        <v>192</v>
      </c>
      <c r="F423" s="30">
        <v>1</v>
      </c>
      <c r="G423" s="23" t="s">
        <v>193</v>
      </c>
      <c r="H423" s="79" t="s">
        <v>194</v>
      </c>
      <c r="I423" s="23" t="s">
        <v>3304</v>
      </c>
      <c r="J423" s="23" t="s">
        <v>276</v>
      </c>
      <c r="K423" s="23">
        <v>18</v>
      </c>
      <c r="L423" s="23" t="s">
        <v>741</v>
      </c>
      <c r="M423" s="30" t="str">
        <f t="shared" si="6"/>
        <v>522301</v>
      </c>
    </row>
    <row r="424" spans="1:13" x14ac:dyDescent="0.25">
      <c r="A424" s="23" t="s">
        <v>1168</v>
      </c>
      <c r="B424" s="23" t="s">
        <v>1169</v>
      </c>
      <c r="C424" s="60" t="s">
        <v>740</v>
      </c>
      <c r="D424" s="23" t="s">
        <v>3294</v>
      </c>
      <c r="E424" s="23" t="s">
        <v>217</v>
      </c>
      <c r="F424" s="30">
        <v>1</v>
      </c>
      <c r="G424" s="23" t="s">
        <v>193</v>
      </c>
      <c r="H424" s="79" t="s">
        <v>194</v>
      </c>
      <c r="I424" s="23" t="s">
        <v>3304</v>
      </c>
      <c r="J424" s="23" t="s">
        <v>223</v>
      </c>
      <c r="K424" s="23">
        <v>18</v>
      </c>
      <c r="L424" s="23" t="s">
        <v>741</v>
      </c>
      <c r="M424" s="30" t="str">
        <f t="shared" si="6"/>
        <v>522301</v>
      </c>
    </row>
    <row r="425" spans="1:13" x14ac:dyDescent="0.25">
      <c r="A425" s="23" t="s">
        <v>1560</v>
      </c>
      <c r="B425" s="23" t="s">
        <v>1561</v>
      </c>
      <c r="C425" s="60" t="s">
        <v>740</v>
      </c>
      <c r="D425" s="23" t="s">
        <v>3294</v>
      </c>
      <c r="E425" s="23" t="s">
        <v>233</v>
      </c>
      <c r="F425" s="30">
        <v>1</v>
      </c>
      <c r="G425" s="23" t="s">
        <v>193</v>
      </c>
      <c r="H425" s="79" t="s">
        <v>194</v>
      </c>
      <c r="I425" s="23" t="s">
        <v>3316</v>
      </c>
      <c r="J425" s="23" t="s">
        <v>1562</v>
      </c>
      <c r="K425" s="23">
        <v>18</v>
      </c>
      <c r="L425" s="23" t="s">
        <v>741</v>
      </c>
      <c r="M425" s="30" t="str">
        <f t="shared" si="6"/>
        <v>522301</v>
      </c>
    </row>
    <row r="426" spans="1:13" x14ac:dyDescent="0.25">
      <c r="A426" s="23" t="s">
        <v>1083</v>
      </c>
      <c r="B426" s="23" t="s">
        <v>8</v>
      </c>
      <c r="C426" s="60" t="s">
        <v>740</v>
      </c>
      <c r="D426" s="23" t="s">
        <v>1077</v>
      </c>
      <c r="E426" s="23" t="s">
        <v>192</v>
      </c>
      <c r="F426" s="30">
        <v>1</v>
      </c>
      <c r="G426" s="23" t="s">
        <v>193</v>
      </c>
      <c r="H426" s="79" t="s">
        <v>194</v>
      </c>
      <c r="I426" s="23" t="s">
        <v>1078</v>
      </c>
      <c r="J426" s="23" t="s">
        <v>210</v>
      </c>
      <c r="K426" s="23">
        <v>18</v>
      </c>
      <c r="L426" s="23" t="s">
        <v>741</v>
      </c>
      <c r="M426" s="30" t="str">
        <f t="shared" si="6"/>
        <v>522301</v>
      </c>
    </row>
    <row r="427" spans="1:13" x14ac:dyDescent="0.25">
      <c r="A427" s="23" t="s">
        <v>1084</v>
      </c>
      <c r="B427" s="23" t="s">
        <v>8</v>
      </c>
      <c r="C427" s="60" t="s">
        <v>740</v>
      </c>
      <c r="D427" s="23" t="s">
        <v>1077</v>
      </c>
      <c r="E427" s="23" t="s">
        <v>192</v>
      </c>
      <c r="F427" s="30">
        <v>1</v>
      </c>
      <c r="G427" s="23" t="s">
        <v>193</v>
      </c>
      <c r="H427" s="79" t="s">
        <v>194</v>
      </c>
      <c r="I427" s="23" t="s">
        <v>1078</v>
      </c>
      <c r="J427" s="23" t="s">
        <v>210</v>
      </c>
      <c r="K427" s="23">
        <v>18</v>
      </c>
      <c r="L427" s="23" t="s">
        <v>741</v>
      </c>
      <c r="M427" s="30" t="str">
        <f t="shared" si="6"/>
        <v>522301</v>
      </c>
    </row>
    <row r="428" spans="1:13" x14ac:dyDescent="0.25">
      <c r="A428" s="23" t="s">
        <v>1093</v>
      </c>
      <c r="B428" s="23" t="s">
        <v>739</v>
      </c>
      <c r="C428" s="60" t="s">
        <v>740</v>
      </c>
      <c r="D428" s="23" t="s">
        <v>1077</v>
      </c>
      <c r="E428" s="23" t="s">
        <v>233</v>
      </c>
      <c r="F428" s="30">
        <v>1</v>
      </c>
      <c r="G428" s="23" t="s">
        <v>193</v>
      </c>
      <c r="H428" s="79" t="s">
        <v>194</v>
      </c>
      <c r="I428" s="23" t="s">
        <v>1078</v>
      </c>
      <c r="J428" s="23" t="s">
        <v>267</v>
      </c>
      <c r="K428" s="23">
        <v>18</v>
      </c>
      <c r="L428" s="23" t="s">
        <v>741</v>
      </c>
      <c r="M428" s="30" t="str">
        <f t="shared" si="6"/>
        <v>522301</v>
      </c>
    </row>
    <row r="429" spans="1:13" x14ac:dyDescent="0.25">
      <c r="A429" s="23" t="s">
        <v>1093</v>
      </c>
      <c r="B429" s="23" t="s">
        <v>739</v>
      </c>
      <c r="C429" s="60" t="s">
        <v>740</v>
      </c>
      <c r="D429" s="23" t="s">
        <v>1077</v>
      </c>
      <c r="E429" s="23" t="s">
        <v>233</v>
      </c>
      <c r="F429" s="30">
        <v>1</v>
      </c>
      <c r="G429" s="23" t="s">
        <v>193</v>
      </c>
      <c r="H429" s="79" t="s">
        <v>194</v>
      </c>
      <c r="I429" s="23" t="s">
        <v>1078</v>
      </c>
      <c r="J429" s="23" t="s">
        <v>253</v>
      </c>
      <c r="K429" s="23">
        <v>18</v>
      </c>
      <c r="L429" s="23" t="s">
        <v>741</v>
      </c>
      <c r="M429" s="30" t="str">
        <f t="shared" si="6"/>
        <v>522301</v>
      </c>
    </row>
    <row r="430" spans="1:13" x14ac:dyDescent="0.25">
      <c r="A430" s="23" t="s">
        <v>247</v>
      </c>
      <c r="B430" s="23" t="s">
        <v>1344</v>
      </c>
      <c r="C430" s="60" t="s">
        <v>740</v>
      </c>
      <c r="D430" s="23" t="s">
        <v>1197</v>
      </c>
      <c r="E430" s="23" t="s">
        <v>192</v>
      </c>
      <c r="F430" s="30">
        <v>1</v>
      </c>
      <c r="G430" s="23" t="s">
        <v>193</v>
      </c>
      <c r="H430" s="79" t="s">
        <v>194</v>
      </c>
      <c r="I430" s="23" t="s">
        <v>1255</v>
      </c>
      <c r="J430" s="23" t="s">
        <v>385</v>
      </c>
      <c r="K430" s="23">
        <v>18</v>
      </c>
      <c r="L430" s="23" t="s">
        <v>741</v>
      </c>
      <c r="M430" s="30" t="str">
        <f t="shared" si="6"/>
        <v>522301</v>
      </c>
    </row>
    <row r="431" spans="1:13" x14ac:dyDescent="0.25">
      <c r="A431" s="23" t="s">
        <v>751</v>
      </c>
      <c r="B431" s="23" t="s">
        <v>1135</v>
      </c>
      <c r="C431" s="60" t="s">
        <v>740</v>
      </c>
      <c r="D431" s="23" t="s">
        <v>1374</v>
      </c>
      <c r="E431" s="23" t="s">
        <v>233</v>
      </c>
      <c r="F431" s="30">
        <v>1</v>
      </c>
      <c r="G431" s="23" t="s">
        <v>193</v>
      </c>
      <c r="H431" s="79" t="s">
        <v>194</v>
      </c>
      <c r="I431" s="23" t="s">
        <v>1197</v>
      </c>
      <c r="J431" s="23" t="s">
        <v>267</v>
      </c>
      <c r="K431" s="23">
        <v>18</v>
      </c>
      <c r="L431" s="23" t="s">
        <v>741</v>
      </c>
      <c r="M431" s="30" t="str">
        <f t="shared" si="6"/>
        <v>522301</v>
      </c>
    </row>
    <row r="432" spans="1:13" x14ac:dyDescent="0.25">
      <c r="A432" s="23" t="s">
        <v>1539</v>
      </c>
      <c r="B432" s="23" t="s">
        <v>1341</v>
      </c>
      <c r="C432" s="60" t="s">
        <v>740</v>
      </c>
      <c r="D432" s="23" t="s">
        <v>1374</v>
      </c>
      <c r="E432" s="23" t="s">
        <v>192</v>
      </c>
      <c r="F432" s="30">
        <v>1</v>
      </c>
      <c r="G432" s="23" t="s">
        <v>193</v>
      </c>
      <c r="H432" s="79" t="s">
        <v>194</v>
      </c>
      <c r="I432" s="23" t="s">
        <v>1375</v>
      </c>
      <c r="J432" s="23" t="s">
        <v>210</v>
      </c>
      <c r="K432" s="23">
        <v>18</v>
      </c>
      <c r="L432" s="23" t="s">
        <v>741</v>
      </c>
      <c r="M432" s="30" t="str">
        <f t="shared" si="6"/>
        <v>522301</v>
      </c>
    </row>
    <row r="433" spans="1:13" x14ac:dyDescent="0.25">
      <c r="A433" s="23" t="s">
        <v>1108</v>
      </c>
      <c r="B433" s="23" t="s">
        <v>8</v>
      </c>
      <c r="C433" s="60" t="s">
        <v>740</v>
      </c>
      <c r="D433" s="23" t="s">
        <v>1374</v>
      </c>
      <c r="E433" s="23" t="s">
        <v>192</v>
      </c>
      <c r="F433" s="30">
        <v>1</v>
      </c>
      <c r="G433" s="23" t="s">
        <v>193</v>
      </c>
      <c r="H433" s="79" t="s">
        <v>194</v>
      </c>
      <c r="I433" s="23" t="s">
        <v>1375</v>
      </c>
      <c r="J433" s="23" t="s">
        <v>276</v>
      </c>
      <c r="K433" s="23">
        <v>18</v>
      </c>
      <c r="L433" s="23" t="s">
        <v>741</v>
      </c>
      <c r="M433" s="30" t="str">
        <f t="shared" si="6"/>
        <v>522301</v>
      </c>
    </row>
    <row r="434" spans="1:13" x14ac:dyDescent="0.25">
      <c r="A434" s="23" t="s">
        <v>1707</v>
      </c>
      <c r="B434" s="23" t="s">
        <v>1708</v>
      </c>
      <c r="C434" s="60" t="s">
        <v>740</v>
      </c>
      <c r="D434" s="23" t="s">
        <v>1637</v>
      </c>
      <c r="E434" s="23" t="s">
        <v>192</v>
      </c>
      <c r="F434" s="30">
        <v>1</v>
      </c>
      <c r="G434" s="23" t="s">
        <v>193</v>
      </c>
      <c r="H434" s="79" t="s">
        <v>194</v>
      </c>
      <c r="I434" s="23" t="s">
        <v>1374</v>
      </c>
      <c r="J434" s="23" t="s">
        <v>276</v>
      </c>
      <c r="K434" s="23">
        <v>18</v>
      </c>
      <c r="L434" s="23" t="s">
        <v>741</v>
      </c>
      <c r="M434" s="30" t="str">
        <f t="shared" si="6"/>
        <v>522301</v>
      </c>
    </row>
    <row r="435" spans="1:13" s="25" customFormat="1" x14ac:dyDescent="0.25">
      <c r="A435" s="14" t="s">
        <v>1367</v>
      </c>
      <c r="B435" s="14" t="s">
        <v>1368</v>
      </c>
      <c r="C435" s="14" t="s">
        <v>169</v>
      </c>
      <c r="D435" s="14" t="s">
        <v>1197</v>
      </c>
      <c r="E435" s="14" t="s">
        <v>252</v>
      </c>
      <c r="F435" s="86">
        <v>0</v>
      </c>
      <c r="G435" s="85" t="s">
        <v>194</v>
      </c>
      <c r="H435" s="82" t="s">
        <v>193</v>
      </c>
      <c r="I435" s="14" t="s">
        <v>1255</v>
      </c>
      <c r="J435" s="14" t="s">
        <v>1369</v>
      </c>
      <c r="K435" s="14">
        <v>18</v>
      </c>
      <c r="L435" s="14" t="s">
        <v>1370</v>
      </c>
      <c r="M435" s="62" t="str">
        <f t="shared" si="6"/>
        <v>752205</v>
      </c>
    </row>
    <row r="436" spans="1:13" x14ac:dyDescent="0.25">
      <c r="A436" s="23" t="s">
        <v>3436</v>
      </c>
      <c r="B436" s="23" t="s">
        <v>3437</v>
      </c>
      <c r="C436" s="23" t="s">
        <v>3438</v>
      </c>
      <c r="D436" s="23" t="s">
        <v>3303</v>
      </c>
      <c r="E436" s="23" t="s">
        <v>233</v>
      </c>
      <c r="F436" s="30">
        <v>1</v>
      </c>
      <c r="G436" s="23" t="s">
        <v>193</v>
      </c>
      <c r="H436" s="79" t="s">
        <v>194</v>
      </c>
      <c r="I436" s="23" t="s">
        <v>3304</v>
      </c>
      <c r="J436" s="23" t="s">
        <v>210</v>
      </c>
      <c r="K436" s="23">
        <v>18</v>
      </c>
      <c r="L436" s="23" t="s">
        <v>3439</v>
      </c>
      <c r="M436" s="30" t="str">
        <f t="shared" si="6"/>
        <v>334306</v>
      </c>
    </row>
    <row r="437" spans="1:13" x14ac:dyDescent="0.25">
      <c r="A437" s="23" t="s">
        <v>581</v>
      </c>
      <c r="B437" s="23" t="s">
        <v>1181</v>
      </c>
      <c r="C437" s="23" t="s">
        <v>115</v>
      </c>
      <c r="D437" s="23" t="s">
        <v>1116</v>
      </c>
      <c r="E437" s="23" t="s">
        <v>217</v>
      </c>
      <c r="F437" s="30">
        <v>1</v>
      </c>
      <c r="G437" s="23" t="s">
        <v>193</v>
      </c>
      <c r="H437" s="79" t="s">
        <v>194</v>
      </c>
      <c r="I437" s="23" t="s">
        <v>1077</v>
      </c>
      <c r="J437" s="23" t="s">
        <v>1182</v>
      </c>
      <c r="K437" s="23">
        <v>18</v>
      </c>
      <c r="L437" s="23" t="s">
        <v>1183</v>
      </c>
      <c r="M437" s="30" t="str">
        <f t="shared" si="6"/>
        <v>311909</v>
      </c>
    </row>
    <row r="438" spans="1:13" x14ac:dyDescent="0.25">
      <c r="A438" s="23" t="s">
        <v>427</v>
      </c>
      <c r="B438" s="23" t="s">
        <v>2630</v>
      </c>
      <c r="C438" s="23" t="s">
        <v>42</v>
      </c>
      <c r="D438" s="23" t="s">
        <v>3308</v>
      </c>
      <c r="E438" s="23" t="s">
        <v>192</v>
      </c>
      <c r="F438" s="30">
        <v>1</v>
      </c>
      <c r="G438" s="23" t="s">
        <v>193</v>
      </c>
      <c r="H438" s="79" t="s">
        <v>194</v>
      </c>
      <c r="I438" s="23" t="s">
        <v>3295</v>
      </c>
      <c r="J438" s="23" t="s">
        <v>672</v>
      </c>
      <c r="K438" s="23">
        <v>18</v>
      </c>
      <c r="L438" s="23" t="s">
        <v>2628</v>
      </c>
      <c r="M438" s="30" t="str">
        <f t="shared" si="6"/>
        <v>325509</v>
      </c>
    </row>
    <row r="439" spans="1:13" x14ac:dyDescent="0.25">
      <c r="A439" s="23" t="s">
        <v>3440</v>
      </c>
      <c r="B439" s="23" t="s">
        <v>2621</v>
      </c>
      <c r="C439" s="23" t="s">
        <v>554</v>
      </c>
      <c r="D439" s="23" t="s">
        <v>3308</v>
      </c>
      <c r="E439" s="23" t="s">
        <v>192</v>
      </c>
      <c r="F439" s="30">
        <v>1</v>
      </c>
      <c r="G439" s="23" t="s">
        <v>193</v>
      </c>
      <c r="H439" s="79" t="s">
        <v>194</v>
      </c>
      <c r="I439" s="23" t="s">
        <v>3295</v>
      </c>
      <c r="J439" s="23" t="s">
        <v>385</v>
      </c>
      <c r="K439" s="23">
        <v>18</v>
      </c>
      <c r="L439" s="23" t="s">
        <v>555</v>
      </c>
      <c r="M439" s="30" t="str">
        <f t="shared" si="6"/>
        <v>311303</v>
      </c>
    </row>
    <row r="440" spans="1:13" x14ac:dyDescent="0.25">
      <c r="A440" s="23" t="s">
        <v>3440</v>
      </c>
      <c r="B440" s="23" t="s">
        <v>3441</v>
      </c>
      <c r="C440" s="23" t="s">
        <v>554</v>
      </c>
      <c r="D440" s="23" t="s">
        <v>3308</v>
      </c>
      <c r="E440" s="23" t="s">
        <v>192</v>
      </c>
      <c r="F440" s="30">
        <v>1</v>
      </c>
      <c r="G440" s="23" t="s">
        <v>193</v>
      </c>
      <c r="H440" s="79" t="s">
        <v>194</v>
      </c>
      <c r="I440" s="23" t="s">
        <v>3295</v>
      </c>
      <c r="J440" s="23" t="s">
        <v>385</v>
      </c>
      <c r="K440" s="23">
        <v>18</v>
      </c>
      <c r="L440" s="23" t="s">
        <v>555</v>
      </c>
      <c r="M440" s="30" t="str">
        <f t="shared" si="6"/>
        <v>311303</v>
      </c>
    </row>
    <row r="441" spans="1:13" x14ac:dyDescent="0.25">
      <c r="A441" s="23" t="s">
        <v>3442</v>
      </c>
      <c r="B441" s="23" t="s">
        <v>3443</v>
      </c>
      <c r="C441" s="23" t="s">
        <v>554</v>
      </c>
      <c r="D441" s="23" t="s">
        <v>3294</v>
      </c>
      <c r="E441" s="23" t="s">
        <v>192</v>
      </c>
      <c r="F441" s="30">
        <v>1</v>
      </c>
      <c r="G441" s="23" t="s">
        <v>193</v>
      </c>
      <c r="H441" s="79" t="s">
        <v>194</v>
      </c>
      <c r="I441" s="23" t="s">
        <v>3316</v>
      </c>
      <c r="J441" s="23" t="s">
        <v>210</v>
      </c>
      <c r="K441" s="23">
        <v>18</v>
      </c>
      <c r="L441" s="23" t="s">
        <v>555</v>
      </c>
      <c r="M441" s="30" t="str">
        <f t="shared" si="6"/>
        <v>311303</v>
      </c>
    </row>
    <row r="442" spans="1:13" x14ac:dyDescent="0.25">
      <c r="A442" s="23" t="s">
        <v>2772</v>
      </c>
      <c r="B442" s="23" t="s">
        <v>2635</v>
      </c>
      <c r="C442" s="23" t="s">
        <v>554</v>
      </c>
      <c r="D442" s="23" t="s">
        <v>3303</v>
      </c>
      <c r="E442" s="23" t="s">
        <v>192</v>
      </c>
      <c r="F442" s="30">
        <v>1</v>
      </c>
      <c r="G442" s="23" t="s">
        <v>193</v>
      </c>
      <c r="H442" s="79" t="s">
        <v>194</v>
      </c>
      <c r="I442" s="23" t="s">
        <v>3316</v>
      </c>
      <c r="J442" s="23" t="s">
        <v>210</v>
      </c>
      <c r="K442" s="23">
        <v>18</v>
      </c>
      <c r="L442" s="23" t="s">
        <v>555</v>
      </c>
      <c r="M442" s="30" t="str">
        <f t="shared" si="6"/>
        <v>311303</v>
      </c>
    </row>
    <row r="443" spans="1:13" x14ac:dyDescent="0.25">
      <c r="A443" s="23" t="s">
        <v>1201</v>
      </c>
      <c r="B443" s="23" t="s">
        <v>1202</v>
      </c>
      <c r="C443" s="23" t="s">
        <v>554</v>
      </c>
      <c r="D443" s="23" t="s">
        <v>1197</v>
      </c>
      <c r="E443" s="23" t="s">
        <v>192</v>
      </c>
      <c r="F443" s="30">
        <v>1</v>
      </c>
      <c r="G443" s="23" t="s">
        <v>193</v>
      </c>
      <c r="H443" s="79" t="s">
        <v>194</v>
      </c>
      <c r="I443" s="23" t="s">
        <v>1077</v>
      </c>
      <c r="J443" s="23" t="s">
        <v>385</v>
      </c>
      <c r="K443" s="23">
        <v>18</v>
      </c>
      <c r="L443" s="23" t="s">
        <v>555</v>
      </c>
      <c r="M443" s="30" t="str">
        <f t="shared" si="6"/>
        <v>311303</v>
      </c>
    </row>
    <row r="444" spans="1:13" x14ac:dyDescent="0.25">
      <c r="A444" s="23" t="s">
        <v>3172</v>
      </c>
      <c r="B444" s="23" t="s">
        <v>1609</v>
      </c>
      <c r="C444" s="23" t="s">
        <v>944</v>
      </c>
      <c r="D444" s="23" t="s">
        <v>3308</v>
      </c>
      <c r="E444" s="23" t="s">
        <v>192</v>
      </c>
      <c r="F444" s="30">
        <v>1</v>
      </c>
      <c r="G444" s="23" t="s">
        <v>193</v>
      </c>
      <c r="H444" s="79" t="s">
        <v>194</v>
      </c>
      <c r="I444" s="23" t="s">
        <v>3295</v>
      </c>
      <c r="J444" s="23" t="s">
        <v>276</v>
      </c>
      <c r="K444" s="23">
        <v>18</v>
      </c>
      <c r="L444" s="23" t="s">
        <v>945</v>
      </c>
      <c r="M444" s="30" t="str">
        <f t="shared" si="6"/>
        <v>321301</v>
      </c>
    </row>
    <row r="445" spans="1:13" x14ac:dyDescent="0.25">
      <c r="A445" s="23" t="s">
        <v>540</v>
      </c>
      <c r="B445" s="23" t="s">
        <v>1271</v>
      </c>
      <c r="C445" s="23" t="s">
        <v>770</v>
      </c>
      <c r="D445" s="23" t="s">
        <v>1197</v>
      </c>
      <c r="E445" s="23" t="s">
        <v>252</v>
      </c>
      <c r="F445" s="30">
        <v>1</v>
      </c>
      <c r="G445" s="23" t="s">
        <v>193</v>
      </c>
      <c r="H445" s="79" t="s">
        <v>194</v>
      </c>
      <c r="I445" s="23" t="s">
        <v>1255</v>
      </c>
      <c r="J445" s="23" t="s">
        <v>210</v>
      </c>
      <c r="K445" s="23">
        <v>18</v>
      </c>
      <c r="L445" s="23" t="s">
        <v>772</v>
      </c>
      <c r="M445" s="30" t="str">
        <f t="shared" si="6"/>
        <v>522305</v>
      </c>
    </row>
    <row r="446" spans="1:13" x14ac:dyDescent="0.25">
      <c r="A446" s="23" t="s">
        <v>1194</v>
      </c>
      <c r="B446" s="23" t="s">
        <v>3444</v>
      </c>
      <c r="C446" s="23" t="s">
        <v>163</v>
      </c>
      <c r="D446" s="23" t="s">
        <v>3294</v>
      </c>
      <c r="E446" s="23" t="s">
        <v>192</v>
      </c>
      <c r="F446" s="30">
        <v>1</v>
      </c>
      <c r="G446" s="23" t="s">
        <v>193</v>
      </c>
      <c r="H446" s="79" t="s">
        <v>194</v>
      </c>
      <c r="I446" s="23" t="s">
        <v>3313</v>
      </c>
      <c r="J446" s="23" t="s">
        <v>210</v>
      </c>
      <c r="K446" s="23">
        <v>18</v>
      </c>
      <c r="L446" s="23" t="s">
        <v>697</v>
      </c>
      <c r="M446" s="30" t="str">
        <f t="shared" si="6"/>
        <v>351203</v>
      </c>
    </row>
    <row r="447" spans="1:13" x14ac:dyDescent="0.25">
      <c r="A447" s="23" t="s">
        <v>1258</v>
      </c>
      <c r="B447" s="23" t="s">
        <v>1259</v>
      </c>
      <c r="C447" s="23" t="s">
        <v>163</v>
      </c>
      <c r="D447" s="23" t="s">
        <v>1197</v>
      </c>
      <c r="E447" s="23" t="s">
        <v>252</v>
      </c>
      <c r="F447" s="30">
        <v>1</v>
      </c>
      <c r="G447" s="23" t="s">
        <v>193</v>
      </c>
      <c r="H447" s="79" t="s">
        <v>194</v>
      </c>
      <c r="I447" s="23" t="s">
        <v>1255</v>
      </c>
      <c r="J447" s="23" t="s">
        <v>385</v>
      </c>
      <c r="K447" s="23">
        <v>18</v>
      </c>
      <c r="L447" s="23" t="s">
        <v>697</v>
      </c>
      <c r="M447" s="30" t="str">
        <f t="shared" si="6"/>
        <v>351203</v>
      </c>
    </row>
    <row r="448" spans="1:13" x14ac:dyDescent="0.25">
      <c r="A448" s="23" t="s">
        <v>3445</v>
      </c>
      <c r="B448" s="23" t="s">
        <v>3446</v>
      </c>
      <c r="C448" s="23" t="s">
        <v>133</v>
      </c>
      <c r="D448" s="23" t="s">
        <v>3294</v>
      </c>
      <c r="E448" s="23" t="s">
        <v>192</v>
      </c>
      <c r="F448" s="30">
        <v>1</v>
      </c>
      <c r="G448" s="23" t="s">
        <v>193</v>
      </c>
      <c r="H448" s="79" t="s">
        <v>194</v>
      </c>
      <c r="I448" s="23" t="s">
        <v>3304</v>
      </c>
      <c r="J448" s="23" t="s">
        <v>210</v>
      </c>
      <c r="K448" s="23">
        <v>18</v>
      </c>
      <c r="L448" s="23" t="s">
        <v>673</v>
      </c>
      <c r="M448" s="30" t="str">
        <f t="shared" si="6"/>
        <v>333107</v>
      </c>
    </row>
    <row r="449" spans="1:13" x14ac:dyDescent="0.25">
      <c r="A449" s="23" t="s">
        <v>540</v>
      </c>
      <c r="B449" s="23" t="s">
        <v>1275</v>
      </c>
      <c r="C449" s="23" t="s">
        <v>1276</v>
      </c>
      <c r="D449" s="23" t="s">
        <v>1197</v>
      </c>
      <c r="E449" s="23" t="s">
        <v>252</v>
      </c>
      <c r="F449" s="30">
        <v>1</v>
      </c>
      <c r="G449" s="23" t="s">
        <v>193</v>
      </c>
      <c r="H449" s="79" t="s">
        <v>194</v>
      </c>
      <c r="I449" s="23" t="s">
        <v>1255</v>
      </c>
      <c r="J449" s="23" t="s">
        <v>210</v>
      </c>
      <c r="K449" s="23">
        <v>18</v>
      </c>
      <c r="L449" s="23" t="s">
        <v>1277</v>
      </c>
      <c r="M449" s="30" t="str">
        <f t="shared" si="6"/>
        <v>315317</v>
      </c>
    </row>
    <row r="450" spans="1:13" x14ac:dyDescent="0.25">
      <c r="A450" s="23" t="s">
        <v>540</v>
      </c>
      <c r="B450" s="23" t="s">
        <v>1278</v>
      </c>
      <c r="C450" s="23" t="s">
        <v>1276</v>
      </c>
      <c r="D450" s="23" t="s">
        <v>1197</v>
      </c>
      <c r="E450" s="23" t="s">
        <v>252</v>
      </c>
      <c r="F450" s="30">
        <v>1</v>
      </c>
      <c r="G450" s="23" t="s">
        <v>193</v>
      </c>
      <c r="H450" s="79" t="s">
        <v>194</v>
      </c>
      <c r="I450" s="23" t="s">
        <v>1255</v>
      </c>
      <c r="J450" s="23" t="s">
        <v>210</v>
      </c>
      <c r="K450" s="23">
        <v>18</v>
      </c>
      <c r="L450" s="23" t="s">
        <v>1277</v>
      </c>
      <c r="M450" s="30" t="str">
        <f t="shared" si="6"/>
        <v>315317</v>
      </c>
    </row>
    <row r="451" spans="1:13" x14ac:dyDescent="0.25">
      <c r="A451" s="23" t="s">
        <v>1104</v>
      </c>
      <c r="B451" s="23" t="s">
        <v>1105</v>
      </c>
      <c r="C451" s="23" t="s">
        <v>574</v>
      </c>
      <c r="D451" s="23" t="s">
        <v>1077</v>
      </c>
      <c r="E451" s="23" t="s">
        <v>252</v>
      </c>
      <c r="F451" s="30">
        <v>1</v>
      </c>
      <c r="G451" s="23" t="s">
        <v>193</v>
      </c>
      <c r="H451" s="79" t="s">
        <v>194</v>
      </c>
      <c r="I451" s="23" t="s">
        <v>1078</v>
      </c>
      <c r="J451" s="23" t="s">
        <v>276</v>
      </c>
      <c r="K451" s="23">
        <v>18</v>
      </c>
      <c r="L451" s="23" t="s">
        <v>576</v>
      </c>
      <c r="M451" s="30" t="str">
        <f t="shared" ref="M451:M467" si="7">MID(L451,8,6)</f>
        <v>311509</v>
      </c>
    </row>
    <row r="452" spans="1:13" x14ac:dyDescent="0.25">
      <c r="A452" s="23" t="s">
        <v>1477</v>
      </c>
      <c r="B452" s="23" t="s">
        <v>1478</v>
      </c>
      <c r="C452" s="23" t="s">
        <v>566</v>
      </c>
      <c r="D452" s="23" t="s">
        <v>1374</v>
      </c>
      <c r="E452" s="23" t="s">
        <v>233</v>
      </c>
      <c r="F452" s="84">
        <v>0</v>
      </c>
      <c r="G452" s="64" t="s">
        <v>194</v>
      </c>
      <c r="H452" s="79" t="s">
        <v>193</v>
      </c>
      <c r="I452" s="23" t="s">
        <v>1197</v>
      </c>
      <c r="J452" s="23" t="s">
        <v>196</v>
      </c>
      <c r="K452" s="23">
        <v>18</v>
      </c>
      <c r="L452" s="23" t="s">
        <v>567</v>
      </c>
      <c r="M452" s="30" t="str">
        <f t="shared" si="7"/>
        <v>311504</v>
      </c>
    </row>
    <row r="453" spans="1:13" x14ac:dyDescent="0.25">
      <c r="A453" s="23" t="s">
        <v>1449</v>
      </c>
      <c r="B453" s="23" t="s">
        <v>1450</v>
      </c>
      <c r="C453" s="23" t="s">
        <v>1451</v>
      </c>
      <c r="D453" s="23" t="s">
        <v>1374</v>
      </c>
      <c r="E453" s="23" t="s">
        <v>217</v>
      </c>
      <c r="F453" s="30">
        <v>1</v>
      </c>
      <c r="G453" s="23" t="s">
        <v>193</v>
      </c>
      <c r="H453" s="79" t="s">
        <v>194</v>
      </c>
      <c r="I453" s="23" t="s">
        <v>1197</v>
      </c>
      <c r="J453" s="23" t="s">
        <v>210</v>
      </c>
      <c r="K453" s="23">
        <v>18</v>
      </c>
      <c r="L453" s="23" t="s">
        <v>1452</v>
      </c>
      <c r="M453" s="30" t="str">
        <f t="shared" si="7"/>
        <v>311410</v>
      </c>
    </row>
    <row r="454" spans="1:13" x14ac:dyDescent="0.25">
      <c r="A454" s="23" t="s">
        <v>1337</v>
      </c>
      <c r="B454" s="23" t="s">
        <v>1024</v>
      </c>
      <c r="C454" s="23" t="s">
        <v>1338</v>
      </c>
      <c r="D454" s="23" t="s">
        <v>1197</v>
      </c>
      <c r="E454" s="23" t="s">
        <v>233</v>
      </c>
      <c r="F454" s="30">
        <v>1</v>
      </c>
      <c r="G454" s="23" t="s">
        <v>193</v>
      </c>
      <c r="H454" s="79" t="s">
        <v>194</v>
      </c>
      <c r="I454" s="23" t="s">
        <v>1255</v>
      </c>
      <c r="J454" s="23" t="s">
        <v>210</v>
      </c>
      <c r="K454" s="23">
        <v>18</v>
      </c>
      <c r="L454" s="23" t="s">
        <v>1339</v>
      </c>
      <c r="M454" s="30" t="str">
        <f t="shared" si="7"/>
        <v>325511</v>
      </c>
    </row>
    <row r="455" spans="1:13" x14ac:dyDescent="0.25">
      <c r="A455" s="23" t="s">
        <v>540</v>
      </c>
      <c r="B455" s="23" t="s">
        <v>353</v>
      </c>
      <c r="C455" s="23" t="s">
        <v>1264</v>
      </c>
      <c r="D455" s="23" t="s">
        <v>1197</v>
      </c>
      <c r="E455" s="23" t="s">
        <v>252</v>
      </c>
      <c r="F455" s="30">
        <v>1</v>
      </c>
      <c r="G455" s="23" t="s">
        <v>193</v>
      </c>
      <c r="H455" s="79" t="s">
        <v>194</v>
      </c>
      <c r="I455" s="23" t="s">
        <v>1255</v>
      </c>
      <c r="J455" s="23" t="s">
        <v>276</v>
      </c>
      <c r="K455" s="23">
        <v>18</v>
      </c>
      <c r="L455" s="23" t="s">
        <v>1265</v>
      </c>
      <c r="M455" s="30" t="str">
        <f t="shared" si="7"/>
        <v>311917</v>
      </c>
    </row>
    <row r="456" spans="1:13" x14ac:dyDescent="0.25">
      <c r="A456" s="23" t="s">
        <v>1508</v>
      </c>
      <c r="B456" s="23" t="s">
        <v>1509</v>
      </c>
      <c r="C456" s="23" t="s">
        <v>1510</v>
      </c>
      <c r="D456" s="23" t="s">
        <v>1374</v>
      </c>
      <c r="E456" s="23" t="s">
        <v>192</v>
      </c>
      <c r="F456" s="30">
        <v>1</v>
      </c>
      <c r="G456" s="23" t="s">
        <v>193</v>
      </c>
      <c r="H456" s="79" t="s">
        <v>194</v>
      </c>
      <c r="I456" s="23" t="s">
        <v>1197</v>
      </c>
      <c r="J456" s="23" t="s">
        <v>202</v>
      </c>
      <c r="K456" s="23">
        <v>18</v>
      </c>
      <c r="L456" s="23" t="s">
        <v>1511</v>
      </c>
      <c r="M456" s="30" t="str">
        <f t="shared" si="7"/>
        <v>311919</v>
      </c>
    </row>
    <row r="457" spans="1:13" x14ac:dyDescent="0.25">
      <c r="A457" s="23" t="s">
        <v>1243</v>
      </c>
      <c r="B457" s="23" t="s">
        <v>1244</v>
      </c>
      <c r="C457" s="23" t="s">
        <v>104</v>
      </c>
      <c r="D457" s="23" t="s">
        <v>1197</v>
      </c>
      <c r="E457" s="23" t="s">
        <v>252</v>
      </c>
      <c r="F457" s="30">
        <v>1</v>
      </c>
      <c r="G457" s="23" t="s">
        <v>193</v>
      </c>
      <c r="H457" s="79" t="s">
        <v>194</v>
      </c>
      <c r="I457" s="23" t="s">
        <v>1078</v>
      </c>
      <c r="J457" s="23" t="s">
        <v>1245</v>
      </c>
      <c r="K457" s="23">
        <v>18</v>
      </c>
      <c r="L457" s="23" t="s">
        <v>703</v>
      </c>
      <c r="M457" s="30" t="str">
        <f t="shared" si="7"/>
        <v>411004</v>
      </c>
    </row>
    <row r="458" spans="1:13" x14ac:dyDescent="0.25">
      <c r="A458" s="23" t="s">
        <v>3447</v>
      </c>
      <c r="B458" s="23" t="s">
        <v>3448</v>
      </c>
      <c r="C458" s="23" t="s">
        <v>3449</v>
      </c>
      <c r="D458" s="23" t="s">
        <v>3294</v>
      </c>
      <c r="E458" s="23" t="s">
        <v>192</v>
      </c>
      <c r="F458" s="30">
        <v>1</v>
      </c>
      <c r="G458" s="23" t="s">
        <v>193</v>
      </c>
      <c r="H458" s="79" t="s">
        <v>194</v>
      </c>
      <c r="I458" s="23" t="s">
        <v>3304</v>
      </c>
      <c r="J458" s="23" t="s">
        <v>210</v>
      </c>
      <c r="K458" s="23">
        <v>18</v>
      </c>
      <c r="L458" s="23" t="s">
        <v>3450</v>
      </c>
      <c r="M458" s="30" t="str">
        <f t="shared" si="7"/>
        <v>311930</v>
      </c>
    </row>
    <row r="459" spans="1:13" x14ac:dyDescent="0.25">
      <c r="A459" s="23" t="s">
        <v>3451</v>
      </c>
      <c r="B459" s="23" t="s">
        <v>3452</v>
      </c>
      <c r="C459" s="23" t="s">
        <v>345</v>
      </c>
      <c r="D459" s="23" t="s">
        <v>3303</v>
      </c>
      <c r="E459" s="23" t="s">
        <v>252</v>
      </c>
      <c r="F459" s="30">
        <v>1</v>
      </c>
      <c r="G459" s="23" t="s">
        <v>193</v>
      </c>
      <c r="H459" s="79" t="s">
        <v>194</v>
      </c>
      <c r="I459" s="23" t="s">
        <v>3304</v>
      </c>
      <c r="J459" s="23" t="s">
        <v>3453</v>
      </c>
      <c r="K459" s="23">
        <v>18</v>
      </c>
      <c r="L459" s="23" t="s">
        <v>346</v>
      </c>
      <c r="M459" s="30" t="str">
        <f t="shared" si="7"/>
        <v>214931</v>
      </c>
    </row>
    <row r="460" spans="1:13" x14ac:dyDescent="0.25">
      <c r="A460" s="23" t="s">
        <v>1340</v>
      </c>
      <c r="B460" s="23" t="s">
        <v>1525</v>
      </c>
      <c r="C460" s="23" t="s">
        <v>345</v>
      </c>
      <c r="D460" s="23" t="s">
        <v>1374</v>
      </c>
      <c r="E460" s="23" t="s">
        <v>192</v>
      </c>
      <c r="F460" s="30">
        <v>1</v>
      </c>
      <c r="G460" s="23" t="s">
        <v>193</v>
      </c>
      <c r="H460" s="79" t="s">
        <v>194</v>
      </c>
      <c r="I460" s="23" t="s">
        <v>1375</v>
      </c>
      <c r="J460" s="23" t="s">
        <v>196</v>
      </c>
      <c r="K460" s="23">
        <v>18</v>
      </c>
      <c r="L460" s="23" t="s">
        <v>346</v>
      </c>
      <c r="M460" s="30" t="str">
        <f t="shared" si="7"/>
        <v>214931</v>
      </c>
    </row>
    <row r="461" spans="1:13" x14ac:dyDescent="0.25">
      <c r="A461" s="23" t="s">
        <v>540</v>
      </c>
      <c r="B461" s="23" t="s">
        <v>1263</v>
      </c>
      <c r="C461" s="23" t="s">
        <v>542</v>
      </c>
      <c r="D461" s="23" t="s">
        <v>1197</v>
      </c>
      <c r="E461" s="23" t="s">
        <v>252</v>
      </c>
      <c r="F461" s="30">
        <v>1</v>
      </c>
      <c r="G461" s="23" t="s">
        <v>193</v>
      </c>
      <c r="H461" s="79" t="s">
        <v>194</v>
      </c>
      <c r="I461" s="23" t="s">
        <v>1255</v>
      </c>
      <c r="J461" s="23" t="s">
        <v>253</v>
      </c>
      <c r="K461" s="23">
        <v>18</v>
      </c>
      <c r="L461" s="23" t="s">
        <v>543</v>
      </c>
      <c r="M461" s="30" t="str">
        <f t="shared" si="7"/>
        <v>264304</v>
      </c>
    </row>
    <row r="462" spans="1:13" x14ac:dyDescent="0.25">
      <c r="A462" s="23" t="s">
        <v>540</v>
      </c>
      <c r="B462" s="23" t="s">
        <v>1263</v>
      </c>
      <c r="C462" s="23" t="s">
        <v>542</v>
      </c>
      <c r="D462" s="23" t="s">
        <v>1197</v>
      </c>
      <c r="E462" s="23" t="s">
        <v>252</v>
      </c>
      <c r="F462" s="30">
        <v>1</v>
      </c>
      <c r="G462" s="23" t="s">
        <v>193</v>
      </c>
      <c r="H462" s="79" t="s">
        <v>194</v>
      </c>
      <c r="I462" s="23" t="s">
        <v>1255</v>
      </c>
      <c r="J462" s="23" t="s">
        <v>267</v>
      </c>
      <c r="K462" s="23">
        <v>18</v>
      </c>
      <c r="L462" s="23" t="s">
        <v>543</v>
      </c>
      <c r="M462" s="30" t="str">
        <f t="shared" si="7"/>
        <v>264304</v>
      </c>
    </row>
    <row r="463" spans="1:13" x14ac:dyDescent="0.25">
      <c r="A463" s="23" t="s">
        <v>540</v>
      </c>
      <c r="B463" s="23" t="s">
        <v>1263</v>
      </c>
      <c r="C463" s="23" t="s">
        <v>542</v>
      </c>
      <c r="D463" s="23" t="s">
        <v>1197</v>
      </c>
      <c r="E463" s="23" t="s">
        <v>252</v>
      </c>
      <c r="F463" s="30">
        <v>1</v>
      </c>
      <c r="G463" s="23" t="s">
        <v>193</v>
      </c>
      <c r="H463" s="79" t="s">
        <v>194</v>
      </c>
      <c r="I463" s="23" t="s">
        <v>1255</v>
      </c>
      <c r="J463" s="23" t="s">
        <v>210</v>
      </c>
      <c r="K463" s="23">
        <v>18</v>
      </c>
      <c r="L463" s="23" t="s">
        <v>543</v>
      </c>
      <c r="M463" s="30" t="str">
        <f t="shared" si="7"/>
        <v>264304</v>
      </c>
    </row>
    <row r="464" spans="1:13" x14ac:dyDescent="0.25">
      <c r="A464" s="23" t="s">
        <v>919</v>
      </c>
      <c r="B464" s="23" t="s">
        <v>1383</v>
      </c>
      <c r="C464" s="23" t="s">
        <v>1384</v>
      </c>
      <c r="D464" s="23" t="s">
        <v>1374</v>
      </c>
      <c r="E464" s="23" t="s">
        <v>192</v>
      </c>
      <c r="F464" s="30">
        <v>1</v>
      </c>
      <c r="G464" s="23" t="s">
        <v>193</v>
      </c>
      <c r="H464" s="79" t="s">
        <v>194</v>
      </c>
      <c r="I464" s="23" t="s">
        <v>1197</v>
      </c>
      <c r="J464" s="23" t="s">
        <v>238</v>
      </c>
      <c r="K464" s="23">
        <v>18</v>
      </c>
      <c r="L464" s="23" t="s">
        <v>1385</v>
      </c>
      <c r="M464" s="30" t="str">
        <f t="shared" si="7"/>
        <v>235915</v>
      </c>
    </row>
    <row r="465" spans="1:13" x14ac:dyDescent="0.25">
      <c r="A465" s="23" t="s">
        <v>517</v>
      </c>
      <c r="B465" s="23" t="s">
        <v>3454</v>
      </c>
      <c r="C465" s="23" t="s">
        <v>156</v>
      </c>
      <c r="D465" s="23" t="s">
        <v>3294</v>
      </c>
      <c r="E465" s="23" t="s">
        <v>192</v>
      </c>
      <c r="F465" s="30">
        <v>1</v>
      </c>
      <c r="G465" s="23" t="s">
        <v>193</v>
      </c>
      <c r="H465" s="79" t="s">
        <v>194</v>
      </c>
      <c r="I465" s="23" t="s">
        <v>3304</v>
      </c>
      <c r="J465" s="23" t="s">
        <v>826</v>
      </c>
      <c r="K465" s="23">
        <v>18</v>
      </c>
      <c r="L465" s="23" t="s">
        <v>659</v>
      </c>
      <c r="M465" s="30" t="str">
        <f t="shared" si="7"/>
        <v>332302</v>
      </c>
    </row>
    <row r="466" spans="1:13" x14ac:dyDescent="0.25">
      <c r="A466" s="23" t="s">
        <v>1230</v>
      </c>
      <c r="B466" s="23" t="s">
        <v>1231</v>
      </c>
      <c r="C466" s="23" t="s">
        <v>156</v>
      </c>
      <c r="D466" s="23" t="s">
        <v>1197</v>
      </c>
      <c r="E466" s="23" t="s">
        <v>192</v>
      </c>
      <c r="F466" s="30">
        <v>1</v>
      </c>
      <c r="G466" s="23" t="s">
        <v>193</v>
      </c>
      <c r="H466" s="79" t="s">
        <v>194</v>
      </c>
      <c r="I466" s="23" t="s">
        <v>1078</v>
      </c>
      <c r="J466" s="23" t="s">
        <v>1232</v>
      </c>
      <c r="K466" s="23">
        <v>18</v>
      </c>
      <c r="L466" s="23" t="s">
        <v>659</v>
      </c>
      <c r="M466" s="30" t="str">
        <f t="shared" si="7"/>
        <v>332302</v>
      </c>
    </row>
    <row r="467" spans="1:13" s="25" customFormat="1" x14ac:dyDescent="0.25">
      <c r="A467" s="14" t="s">
        <v>2669</v>
      </c>
      <c r="B467" s="14" t="s">
        <v>3455</v>
      </c>
      <c r="C467" s="14"/>
      <c r="D467" s="14" t="s">
        <v>3303</v>
      </c>
      <c r="E467" s="14" t="s">
        <v>217</v>
      </c>
      <c r="F467" s="86">
        <v>0</v>
      </c>
      <c r="G467" s="85" t="s">
        <v>194</v>
      </c>
      <c r="H467" s="82" t="s">
        <v>193</v>
      </c>
      <c r="I467" s="14" t="s">
        <v>3313</v>
      </c>
      <c r="J467" s="14" t="s">
        <v>3456</v>
      </c>
      <c r="K467" s="14">
        <v>18</v>
      </c>
      <c r="L467" s="14"/>
      <c r="M467" s="62" t="str">
        <f t="shared" si="7"/>
        <v/>
      </c>
    </row>
    <row r="468" spans="1:13" x14ac:dyDescent="0.25">
      <c r="A468" s="24">
        <f>ROWS(A2:A467)</f>
        <v>466</v>
      </c>
      <c r="F468" s="28">
        <f>SUM(F2:F467)</f>
        <v>477</v>
      </c>
    </row>
    <row r="470" spans="1:13" x14ac:dyDescent="0.25">
      <c r="D470" s="23" t="s">
        <v>3490</v>
      </c>
      <c r="E470" s="73">
        <f>COUNTIF(G2:G467,"niezaznaczone")</f>
        <v>20</v>
      </c>
    </row>
    <row r="471" spans="1:13" ht="15.75" thickBot="1" x14ac:dyDescent="0.3">
      <c r="D471" s="31" t="s">
        <v>3489</v>
      </c>
      <c r="E471" s="73">
        <f>COUNTIF(G2:G467,"zaznaczone")</f>
        <v>446</v>
      </c>
    </row>
    <row r="472" spans="1:13" ht="15.75" thickBot="1" x14ac:dyDescent="0.3">
      <c r="D472" s="33" t="s">
        <v>1072</v>
      </c>
      <c r="E472" s="73">
        <f>SUM(E470:E471)</f>
        <v>466</v>
      </c>
    </row>
    <row r="474" spans="1:13" x14ac:dyDescent="0.25">
      <c r="D474" s="35" t="s">
        <v>1073</v>
      </c>
      <c r="E474" s="30">
        <f>SUM(F2:F467)</f>
        <v>477</v>
      </c>
    </row>
  </sheetData>
  <autoFilter ref="A1:M468"/>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M372"/>
  <sheetViews>
    <sheetView zoomScale="80" zoomScaleNormal="80" workbookViewId="0"/>
  </sheetViews>
  <sheetFormatPr defaultRowHeight="15" x14ac:dyDescent="0.25"/>
  <cols>
    <col min="3" max="3" width="26.85546875" customWidth="1"/>
    <col min="4" max="4" width="13.28515625" customWidth="1"/>
    <col min="6" max="6" width="9.140625" style="28"/>
    <col min="9" max="9" width="12.85546875" customWidth="1"/>
    <col min="12" max="12" width="20.28515625" customWidth="1"/>
    <col min="13" max="13" width="12.42578125" customWidth="1"/>
  </cols>
  <sheetData>
    <row r="1" spans="1:13" s="161" customFormat="1" x14ac:dyDescent="0.25">
      <c r="A1" s="161" t="s">
        <v>176</v>
      </c>
      <c r="B1" s="161" t="s">
        <v>177</v>
      </c>
      <c r="C1" s="161" t="s">
        <v>178</v>
      </c>
      <c r="D1" s="161" t="s">
        <v>179</v>
      </c>
      <c r="E1" s="161" t="s">
        <v>180</v>
      </c>
      <c r="F1" s="162" t="s">
        <v>181</v>
      </c>
      <c r="G1" s="161" t="s">
        <v>182</v>
      </c>
      <c r="H1" s="161" t="s">
        <v>183</v>
      </c>
      <c r="I1" s="161" t="s">
        <v>184</v>
      </c>
      <c r="J1" s="161" t="s">
        <v>185</v>
      </c>
      <c r="K1" s="161" t="s">
        <v>186</v>
      </c>
      <c r="L1" s="161" t="s">
        <v>187</v>
      </c>
    </row>
    <row r="2" spans="1:13" x14ac:dyDescent="0.25">
      <c r="A2" t="s">
        <v>1074</v>
      </c>
      <c r="B2" t="s">
        <v>1075</v>
      </c>
      <c r="C2" t="s">
        <v>1076</v>
      </c>
      <c r="D2" t="s">
        <v>1077</v>
      </c>
      <c r="E2" t="s">
        <v>252</v>
      </c>
      <c r="F2" s="76">
        <v>0</v>
      </c>
      <c r="G2" s="75" t="s">
        <v>194</v>
      </c>
      <c r="H2" t="s">
        <v>193</v>
      </c>
      <c r="I2" t="s">
        <v>1078</v>
      </c>
      <c r="J2" t="s">
        <v>1079</v>
      </c>
      <c r="K2">
        <v>18</v>
      </c>
      <c r="L2" t="s">
        <v>1080</v>
      </c>
      <c r="M2" t="str">
        <f>MID(L2,8,6)</f>
        <v>532290</v>
      </c>
    </row>
    <row r="3" spans="1:13" x14ac:dyDescent="0.25">
      <c r="A3" t="s">
        <v>1081</v>
      </c>
      <c r="B3" t="s">
        <v>1082</v>
      </c>
      <c r="C3" t="s">
        <v>468</v>
      </c>
      <c r="D3" t="s">
        <v>1077</v>
      </c>
      <c r="E3" t="s">
        <v>192</v>
      </c>
      <c r="F3" s="28">
        <v>1</v>
      </c>
      <c r="G3" t="s">
        <v>193</v>
      </c>
      <c r="H3" t="s">
        <v>194</v>
      </c>
      <c r="I3" t="s">
        <v>1078</v>
      </c>
      <c r="J3" t="s">
        <v>223</v>
      </c>
      <c r="K3">
        <v>18</v>
      </c>
      <c r="L3" t="s">
        <v>469</v>
      </c>
      <c r="M3" t="str">
        <f t="shared" ref="M3:M65" si="0">MID(L3,8,6)</f>
        <v>243303</v>
      </c>
    </row>
    <row r="4" spans="1:13" x14ac:dyDescent="0.25">
      <c r="A4" t="s">
        <v>1083</v>
      </c>
      <c r="B4" t="s">
        <v>8</v>
      </c>
      <c r="C4" t="s">
        <v>740</v>
      </c>
      <c r="D4" t="s">
        <v>1077</v>
      </c>
      <c r="E4" t="s">
        <v>192</v>
      </c>
      <c r="F4" s="28">
        <v>1</v>
      </c>
      <c r="G4" t="s">
        <v>193</v>
      </c>
      <c r="H4" t="s">
        <v>194</v>
      </c>
      <c r="I4" t="s">
        <v>1078</v>
      </c>
      <c r="J4" t="s">
        <v>210</v>
      </c>
      <c r="K4">
        <v>18</v>
      </c>
      <c r="L4" t="s">
        <v>741</v>
      </c>
      <c r="M4" t="str">
        <f t="shared" si="0"/>
        <v>522301</v>
      </c>
    </row>
    <row r="5" spans="1:13" x14ac:dyDescent="0.25">
      <c r="A5" t="s">
        <v>1084</v>
      </c>
      <c r="B5" t="s">
        <v>261</v>
      </c>
      <c r="C5" t="s">
        <v>74</v>
      </c>
      <c r="D5" t="s">
        <v>1077</v>
      </c>
      <c r="E5" t="s">
        <v>192</v>
      </c>
      <c r="F5" s="28">
        <v>1</v>
      </c>
      <c r="G5" t="s">
        <v>193</v>
      </c>
      <c r="H5" t="s">
        <v>194</v>
      </c>
      <c r="I5" t="s">
        <v>1078</v>
      </c>
      <c r="J5" t="s">
        <v>210</v>
      </c>
      <c r="K5">
        <v>18</v>
      </c>
      <c r="L5" t="s">
        <v>246</v>
      </c>
      <c r="M5" t="str">
        <f t="shared" si="0"/>
        <v>142004</v>
      </c>
    </row>
    <row r="6" spans="1:13" x14ac:dyDescent="0.25">
      <c r="A6" t="s">
        <v>1084</v>
      </c>
      <c r="B6" t="s">
        <v>8</v>
      </c>
      <c r="C6" t="s">
        <v>740</v>
      </c>
      <c r="D6" t="s">
        <v>1077</v>
      </c>
      <c r="E6" t="s">
        <v>192</v>
      </c>
      <c r="F6" s="28">
        <v>1</v>
      </c>
      <c r="G6" t="s">
        <v>193</v>
      </c>
      <c r="H6" t="s">
        <v>194</v>
      </c>
      <c r="I6" t="s">
        <v>1078</v>
      </c>
      <c r="J6" t="s">
        <v>210</v>
      </c>
      <c r="K6">
        <v>18</v>
      </c>
      <c r="L6" t="s">
        <v>741</v>
      </c>
      <c r="M6" t="str">
        <f t="shared" si="0"/>
        <v>522301</v>
      </c>
    </row>
    <row r="7" spans="1:13" x14ac:dyDescent="0.25">
      <c r="A7" t="s">
        <v>1085</v>
      </c>
      <c r="B7" t="s">
        <v>1086</v>
      </c>
      <c r="C7" t="s">
        <v>1087</v>
      </c>
      <c r="D7" t="s">
        <v>1077</v>
      </c>
      <c r="E7" t="s">
        <v>192</v>
      </c>
      <c r="F7" s="28">
        <v>1</v>
      </c>
      <c r="G7" t="s">
        <v>193</v>
      </c>
      <c r="H7" t="s">
        <v>194</v>
      </c>
      <c r="I7" t="s">
        <v>1078</v>
      </c>
      <c r="J7" t="s">
        <v>276</v>
      </c>
      <c r="K7">
        <v>18</v>
      </c>
      <c r="L7" t="s">
        <v>1088</v>
      </c>
      <c r="M7" t="str">
        <f t="shared" si="0"/>
        <v>261909</v>
      </c>
    </row>
    <row r="8" spans="1:13" x14ac:dyDescent="0.25">
      <c r="A8" t="s">
        <v>890</v>
      </c>
      <c r="B8" t="s">
        <v>1089</v>
      </c>
      <c r="C8" t="s">
        <v>27</v>
      </c>
      <c r="D8" t="s">
        <v>1077</v>
      </c>
      <c r="E8" t="s">
        <v>233</v>
      </c>
      <c r="F8" s="28">
        <v>1</v>
      </c>
      <c r="G8" t="s">
        <v>193</v>
      </c>
      <c r="H8" t="s">
        <v>194</v>
      </c>
      <c r="I8" t="s">
        <v>1078</v>
      </c>
      <c r="J8" t="s">
        <v>210</v>
      </c>
      <c r="K8">
        <v>18</v>
      </c>
      <c r="L8" t="s">
        <v>440</v>
      </c>
      <c r="M8" t="str">
        <f t="shared" si="0"/>
        <v>242307</v>
      </c>
    </row>
    <row r="9" spans="1:13" x14ac:dyDescent="0.25">
      <c r="A9" t="s">
        <v>890</v>
      </c>
      <c r="B9" t="s">
        <v>1090</v>
      </c>
      <c r="C9" t="s">
        <v>17</v>
      </c>
      <c r="D9" t="s">
        <v>1077</v>
      </c>
      <c r="E9" t="s">
        <v>233</v>
      </c>
      <c r="F9" s="28">
        <v>1</v>
      </c>
      <c r="G9" t="s">
        <v>193</v>
      </c>
      <c r="H9" t="s">
        <v>194</v>
      </c>
      <c r="I9" t="s">
        <v>1078</v>
      </c>
      <c r="J9" t="s">
        <v>210</v>
      </c>
      <c r="K9">
        <v>18</v>
      </c>
      <c r="L9" t="s">
        <v>624</v>
      </c>
      <c r="M9" t="str">
        <f t="shared" si="0"/>
        <v>332203</v>
      </c>
    </row>
    <row r="10" spans="1:13" x14ac:dyDescent="0.25">
      <c r="A10" t="s">
        <v>1091</v>
      </c>
      <c r="B10" t="s">
        <v>1092</v>
      </c>
      <c r="C10" t="s">
        <v>27</v>
      </c>
      <c r="D10" t="s">
        <v>1077</v>
      </c>
      <c r="E10" t="s">
        <v>217</v>
      </c>
      <c r="F10" s="28">
        <v>1</v>
      </c>
      <c r="G10" t="s">
        <v>193</v>
      </c>
      <c r="H10" t="s">
        <v>194</v>
      </c>
      <c r="I10" t="s">
        <v>1078</v>
      </c>
      <c r="J10" t="s">
        <v>210</v>
      </c>
      <c r="K10">
        <v>18</v>
      </c>
      <c r="L10" t="s">
        <v>440</v>
      </c>
      <c r="M10" t="str">
        <f t="shared" si="0"/>
        <v>242307</v>
      </c>
    </row>
    <row r="11" spans="1:13" x14ac:dyDescent="0.25">
      <c r="A11" t="s">
        <v>1093</v>
      </c>
      <c r="B11" t="s">
        <v>739</v>
      </c>
      <c r="C11" t="s">
        <v>740</v>
      </c>
      <c r="D11" t="s">
        <v>1077</v>
      </c>
      <c r="E11" t="s">
        <v>233</v>
      </c>
      <c r="F11" s="28">
        <v>1</v>
      </c>
      <c r="G11" t="s">
        <v>193</v>
      </c>
      <c r="H11" t="s">
        <v>194</v>
      </c>
      <c r="I11" t="s">
        <v>1078</v>
      </c>
      <c r="J11" t="s">
        <v>267</v>
      </c>
      <c r="K11">
        <v>18</v>
      </c>
      <c r="L11" t="s">
        <v>741</v>
      </c>
      <c r="M11" t="str">
        <f t="shared" si="0"/>
        <v>522301</v>
      </c>
    </row>
    <row r="12" spans="1:13" x14ac:dyDescent="0.25">
      <c r="A12" t="s">
        <v>1093</v>
      </c>
      <c r="B12" t="s">
        <v>739</v>
      </c>
      <c r="C12" t="s">
        <v>740</v>
      </c>
      <c r="D12" t="s">
        <v>1077</v>
      </c>
      <c r="E12" t="s">
        <v>233</v>
      </c>
      <c r="F12" s="28">
        <v>1</v>
      </c>
      <c r="G12" t="s">
        <v>193</v>
      </c>
      <c r="H12" t="s">
        <v>194</v>
      </c>
      <c r="I12" t="s">
        <v>1078</v>
      </c>
      <c r="J12" t="s">
        <v>253</v>
      </c>
      <c r="K12">
        <v>18</v>
      </c>
      <c r="L12" t="s">
        <v>741</v>
      </c>
      <c r="M12" t="str">
        <f t="shared" si="0"/>
        <v>522301</v>
      </c>
    </row>
    <row r="13" spans="1:13" x14ac:dyDescent="0.25">
      <c r="A13" t="s">
        <v>1094</v>
      </c>
      <c r="B13" t="s">
        <v>1095</v>
      </c>
      <c r="C13" t="s">
        <v>35</v>
      </c>
      <c r="D13" t="s">
        <v>1077</v>
      </c>
      <c r="E13" t="s">
        <v>192</v>
      </c>
      <c r="F13" s="28">
        <v>1</v>
      </c>
      <c r="G13" t="s">
        <v>193</v>
      </c>
      <c r="H13" t="s">
        <v>194</v>
      </c>
      <c r="I13" t="s">
        <v>1078</v>
      </c>
      <c r="J13" t="s">
        <v>196</v>
      </c>
      <c r="K13">
        <v>18</v>
      </c>
      <c r="L13" t="s">
        <v>207</v>
      </c>
      <c r="M13" t="str">
        <f t="shared" si="0"/>
        <v>122106</v>
      </c>
    </row>
    <row r="14" spans="1:13" x14ac:dyDescent="0.25">
      <c r="A14" t="s">
        <v>800</v>
      </c>
      <c r="B14" t="s">
        <v>1096</v>
      </c>
      <c r="C14" t="s">
        <v>378</v>
      </c>
      <c r="D14" t="s">
        <v>1077</v>
      </c>
      <c r="E14" t="s">
        <v>192</v>
      </c>
      <c r="F14" s="28">
        <v>1</v>
      </c>
      <c r="G14" t="s">
        <v>193</v>
      </c>
      <c r="H14" t="s">
        <v>194</v>
      </c>
      <c r="I14" t="s">
        <v>1078</v>
      </c>
      <c r="J14" t="s">
        <v>276</v>
      </c>
      <c r="K14">
        <v>18</v>
      </c>
      <c r="L14" t="s">
        <v>379</v>
      </c>
      <c r="M14" t="str">
        <f t="shared" si="0"/>
        <v>215303</v>
      </c>
    </row>
    <row r="15" spans="1:13" x14ac:dyDescent="0.25">
      <c r="A15" t="s">
        <v>1097</v>
      </c>
      <c r="B15" t="s">
        <v>1098</v>
      </c>
      <c r="C15" t="s">
        <v>1087</v>
      </c>
      <c r="D15" t="s">
        <v>1077</v>
      </c>
      <c r="E15" t="s">
        <v>233</v>
      </c>
      <c r="F15" s="28">
        <v>1</v>
      </c>
      <c r="G15" t="s">
        <v>193</v>
      </c>
      <c r="H15" t="s">
        <v>194</v>
      </c>
      <c r="I15" t="s">
        <v>1078</v>
      </c>
      <c r="J15" t="s">
        <v>1099</v>
      </c>
      <c r="K15">
        <v>18</v>
      </c>
      <c r="L15" t="s">
        <v>1088</v>
      </c>
      <c r="M15" t="str">
        <f t="shared" si="0"/>
        <v>261909</v>
      </c>
    </row>
    <row r="16" spans="1:13" x14ac:dyDescent="0.25">
      <c r="A16" t="s">
        <v>1100</v>
      </c>
      <c r="B16" t="s">
        <v>1101</v>
      </c>
      <c r="C16" t="s">
        <v>17</v>
      </c>
      <c r="D16" t="s">
        <v>1077</v>
      </c>
      <c r="E16" t="s">
        <v>192</v>
      </c>
      <c r="F16" s="28">
        <v>1</v>
      </c>
      <c r="G16" t="s">
        <v>193</v>
      </c>
      <c r="H16" t="s">
        <v>194</v>
      </c>
      <c r="I16" t="s">
        <v>1078</v>
      </c>
      <c r="J16" t="s">
        <v>276</v>
      </c>
      <c r="K16">
        <v>18</v>
      </c>
      <c r="L16" t="s">
        <v>624</v>
      </c>
      <c r="M16" t="str">
        <f t="shared" si="0"/>
        <v>332203</v>
      </c>
    </row>
    <row r="17" spans="1:13" x14ac:dyDescent="0.25">
      <c r="A17" t="s">
        <v>1102</v>
      </c>
      <c r="B17" t="s">
        <v>1103</v>
      </c>
      <c r="C17" t="s">
        <v>111</v>
      </c>
      <c r="D17" t="s">
        <v>1077</v>
      </c>
      <c r="E17" t="s">
        <v>192</v>
      </c>
      <c r="F17" s="28">
        <v>1</v>
      </c>
      <c r="G17" t="s">
        <v>193</v>
      </c>
      <c r="H17" t="s">
        <v>194</v>
      </c>
      <c r="I17" t="s">
        <v>1078</v>
      </c>
      <c r="J17" t="s">
        <v>267</v>
      </c>
      <c r="K17">
        <v>18</v>
      </c>
      <c r="L17" t="s">
        <v>612</v>
      </c>
      <c r="M17" t="str">
        <f t="shared" si="0"/>
        <v>332101</v>
      </c>
    </row>
    <row r="18" spans="1:13" x14ac:dyDescent="0.25">
      <c r="A18" t="s">
        <v>1104</v>
      </c>
      <c r="B18" t="s">
        <v>1105</v>
      </c>
      <c r="C18" t="s">
        <v>574</v>
      </c>
      <c r="D18" t="s">
        <v>1077</v>
      </c>
      <c r="E18" t="s">
        <v>252</v>
      </c>
      <c r="F18" s="28">
        <v>1</v>
      </c>
      <c r="G18" t="s">
        <v>193</v>
      </c>
      <c r="H18" t="s">
        <v>194</v>
      </c>
      <c r="I18" t="s">
        <v>1078</v>
      </c>
      <c r="J18" t="s">
        <v>276</v>
      </c>
      <c r="K18">
        <v>18</v>
      </c>
      <c r="L18" t="s">
        <v>576</v>
      </c>
      <c r="M18" t="str">
        <f t="shared" si="0"/>
        <v>311509</v>
      </c>
    </row>
    <row r="19" spans="1:13" x14ac:dyDescent="0.25">
      <c r="A19" t="s">
        <v>1106</v>
      </c>
      <c r="B19" t="s">
        <v>86</v>
      </c>
      <c r="C19" t="s">
        <v>86</v>
      </c>
      <c r="D19" t="s">
        <v>1077</v>
      </c>
      <c r="E19" t="s">
        <v>233</v>
      </c>
      <c r="F19" s="28">
        <v>1</v>
      </c>
      <c r="G19" t="s">
        <v>193</v>
      </c>
      <c r="H19" t="s">
        <v>194</v>
      </c>
      <c r="I19" t="s">
        <v>1078</v>
      </c>
      <c r="J19" t="s">
        <v>385</v>
      </c>
      <c r="K19">
        <v>18</v>
      </c>
      <c r="L19" t="s">
        <v>1107</v>
      </c>
      <c r="M19" t="str">
        <f t="shared" si="0"/>
        <v>121101</v>
      </c>
    </row>
    <row r="20" spans="1:13" x14ac:dyDescent="0.25">
      <c r="A20" t="s">
        <v>1108</v>
      </c>
      <c r="B20" t="s">
        <v>1057</v>
      </c>
      <c r="C20" t="s">
        <v>74</v>
      </c>
      <c r="D20" t="s">
        <v>1077</v>
      </c>
      <c r="E20" t="s">
        <v>233</v>
      </c>
      <c r="F20" s="28">
        <v>1</v>
      </c>
      <c r="G20" t="s">
        <v>193</v>
      </c>
      <c r="H20" t="s">
        <v>194</v>
      </c>
      <c r="I20" t="s">
        <v>1078</v>
      </c>
      <c r="J20" t="s">
        <v>276</v>
      </c>
      <c r="K20">
        <v>18</v>
      </c>
      <c r="L20" t="s">
        <v>246</v>
      </c>
      <c r="M20" t="str">
        <f t="shared" si="0"/>
        <v>142004</v>
      </c>
    </row>
    <row r="21" spans="1:13" x14ac:dyDescent="0.25">
      <c r="A21" t="s">
        <v>1109</v>
      </c>
      <c r="B21" t="s">
        <v>1110</v>
      </c>
      <c r="C21" t="s">
        <v>95</v>
      </c>
      <c r="D21" t="s">
        <v>1077</v>
      </c>
      <c r="E21" t="s">
        <v>192</v>
      </c>
      <c r="F21" s="28">
        <v>1</v>
      </c>
      <c r="G21" t="s">
        <v>193</v>
      </c>
      <c r="H21" t="s">
        <v>194</v>
      </c>
      <c r="I21" t="s">
        <v>1078</v>
      </c>
      <c r="J21" t="s">
        <v>210</v>
      </c>
      <c r="K21">
        <v>18</v>
      </c>
      <c r="L21" t="s">
        <v>1015</v>
      </c>
      <c r="M21" t="str">
        <f t="shared" si="0"/>
        <v>122102</v>
      </c>
    </row>
    <row r="22" spans="1:13" x14ac:dyDescent="0.25">
      <c r="A22" t="s">
        <v>1111</v>
      </c>
      <c r="B22" t="s">
        <v>614</v>
      </c>
      <c r="C22" t="s">
        <v>111</v>
      </c>
      <c r="D22" t="s">
        <v>1077</v>
      </c>
      <c r="E22" t="s">
        <v>192</v>
      </c>
      <c r="F22" s="28">
        <v>5</v>
      </c>
      <c r="G22" t="s">
        <v>193</v>
      </c>
      <c r="H22" t="s">
        <v>194</v>
      </c>
      <c r="I22" t="s">
        <v>1078</v>
      </c>
      <c r="J22" t="s">
        <v>210</v>
      </c>
      <c r="K22">
        <v>18</v>
      </c>
      <c r="L22" t="s">
        <v>612</v>
      </c>
      <c r="M22" t="str">
        <f t="shared" si="0"/>
        <v>332101</v>
      </c>
    </row>
    <row r="23" spans="1:13" x14ac:dyDescent="0.25">
      <c r="A23" t="s">
        <v>1112</v>
      </c>
      <c r="B23" t="s">
        <v>537</v>
      </c>
      <c r="C23" t="s">
        <v>778</v>
      </c>
      <c r="D23" t="s">
        <v>1077</v>
      </c>
      <c r="E23" t="s">
        <v>192</v>
      </c>
      <c r="F23" s="28">
        <v>1</v>
      </c>
      <c r="G23" t="s">
        <v>193</v>
      </c>
      <c r="H23" t="s">
        <v>194</v>
      </c>
      <c r="I23" t="s">
        <v>1078</v>
      </c>
      <c r="J23" t="s">
        <v>210</v>
      </c>
      <c r="K23">
        <v>18</v>
      </c>
      <c r="L23" t="s">
        <v>779</v>
      </c>
      <c r="M23" t="str">
        <f t="shared" si="0"/>
        <v>524902</v>
      </c>
    </row>
    <row r="24" spans="1:13" x14ac:dyDescent="0.25">
      <c r="A24" t="s">
        <v>1113</v>
      </c>
      <c r="B24" t="s">
        <v>1114</v>
      </c>
      <c r="C24" t="s">
        <v>1115</v>
      </c>
      <c r="D24" t="s">
        <v>1116</v>
      </c>
      <c r="E24" t="s">
        <v>217</v>
      </c>
      <c r="F24" s="28">
        <v>1</v>
      </c>
      <c r="G24" t="s">
        <v>193</v>
      </c>
      <c r="H24" t="s">
        <v>194</v>
      </c>
      <c r="I24" t="s">
        <v>1117</v>
      </c>
      <c r="J24" t="s">
        <v>210</v>
      </c>
      <c r="K24">
        <v>18</v>
      </c>
      <c r="L24" t="s">
        <v>1118</v>
      </c>
      <c r="M24" t="str">
        <f t="shared" si="0"/>
        <v>214205</v>
      </c>
    </row>
    <row r="25" spans="1:13" x14ac:dyDescent="0.25">
      <c r="A25" t="s">
        <v>638</v>
      </c>
      <c r="B25" t="s">
        <v>1119</v>
      </c>
      <c r="C25" t="s">
        <v>19</v>
      </c>
      <c r="D25" t="s">
        <v>1116</v>
      </c>
      <c r="E25" t="s">
        <v>233</v>
      </c>
      <c r="F25" s="28">
        <v>1</v>
      </c>
      <c r="G25" t="s">
        <v>193</v>
      </c>
      <c r="H25" t="s">
        <v>194</v>
      </c>
      <c r="I25" t="s">
        <v>1117</v>
      </c>
      <c r="J25" t="s">
        <v>253</v>
      </c>
      <c r="K25">
        <v>18</v>
      </c>
      <c r="L25" t="s">
        <v>337</v>
      </c>
      <c r="M25" t="str">
        <f t="shared" si="0"/>
        <v>214903</v>
      </c>
    </row>
    <row r="26" spans="1:13" x14ac:dyDescent="0.25">
      <c r="A26" t="s">
        <v>638</v>
      </c>
      <c r="B26" t="s">
        <v>236</v>
      </c>
      <c r="C26" t="s">
        <v>237</v>
      </c>
      <c r="D26" t="s">
        <v>1116</v>
      </c>
      <c r="E26" t="s">
        <v>233</v>
      </c>
      <c r="F26" s="28">
        <v>1</v>
      </c>
      <c r="G26" t="s">
        <v>193</v>
      </c>
      <c r="H26" t="s">
        <v>194</v>
      </c>
      <c r="I26" t="s">
        <v>1117</v>
      </c>
      <c r="J26" t="s">
        <v>276</v>
      </c>
      <c r="K26">
        <v>18</v>
      </c>
      <c r="L26" t="s">
        <v>239</v>
      </c>
      <c r="M26" t="str">
        <f t="shared" si="0"/>
        <v>132404</v>
      </c>
    </row>
    <row r="27" spans="1:13" x14ac:dyDescent="0.25">
      <c r="A27" t="s">
        <v>1120</v>
      </c>
      <c r="B27" t="s">
        <v>1121</v>
      </c>
      <c r="C27" t="s">
        <v>17</v>
      </c>
      <c r="D27" t="s">
        <v>1116</v>
      </c>
      <c r="E27" t="s">
        <v>233</v>
      </c>
      <c r="F27" s="28">
        <v>1</v>
      </c>
      <c r="G27" t="s">
        <v>193</v>
      </c>
      <c r="H27" t="s">
        <v>194</v>
      </c>
      <c r="I27" t="s">
        <v>1117</v>
      </c>
      <c r="J27" t="s">
        <v>210</v>
      </c>
      <c r="K27">
        <v>18</v>
      </c>
      <c r="L27" t="s">
        <v>624</v>
      </c>
      <c r="M27" t="str">
        <f t="shared" si="0"/>
        <v>332203</v>
      </c>
    </row>
    <row r="28" spans="1:13" x14ac:dyDescent="0.25">
      <c r="A28" t="s">
        <v>1122</v>
      </c>
      <c r="B28" t="s">
        <v>1123</v>
      </c>
      <c r="C28" t="s">
        <v>1124</v>
      </c>
      <c r="D28" t="s">
        <v>1116</v>
      </c>
      <c r="E28" t="s">
        <v>233</v>
      </c>
      <c r="F28" s="28">
        <v>1</v>
      </c>
      <c r="G28" t="s">
        <v>193</v>
      </c>
      <c r="H28" t="s">
        <v>194</v>
      </c>
      <c r="I28" t="s">
        <v>1117</v>
      </c>
      <c r="J28" t="s">
        <v>210</v>
      </c>
      <c r="K28">
        <v>18</v>
      </c>
      <c r="L28" t="s">
        <v>1125</v>
      </c>
      <c r="M28" t="str">
        <f t="shared" si="0"/>
        <v>432302</v>
      </c>
    </row>
    <row r="29" spans="1:13" x14ac:dyDescent="0.25">
      <c r="A29" t="s">
        <v>1126</v>
      </c>
      <c r="B29" t="s">
        <v>1127</v>
      </c>
      <c r="C29" t="s">
        <v>583</v>
      </c>
      <c r="D29" t="s">
        <v>1116</v>
      </c>
      <c r="E29" t="s">
        <v>252</v>
      </c>
      <c r="F29" s="28">
        <v>1</v>
      </c>
      <c r="G29" t="s">
        <v>193</v>
      </c>
      <c r="H29" t="s">
        <v>194</v>
      </c>
      <c r="I29" t="s">
        <v>1117</v>
      </c>
      <c r="J29" t="s">
        <v>1128</v>
      </c>
      <c r="K29">
        <v>18</v>
      </c>
      <c r="L29" t="s">
        <v>584</v>
      </c>
      <c r="M29" t="str">
        <f t="shared" si="0"/>
        <v>311937</v>
      </c>
    </row>
    <row r="30" spans="1:13" x14ac:dyDescent="0.25">
      <c r="A30" t="s">
        <v>1129</v>
      </c>
      <c r="B30" t="s">
        <v>460</v>
      </c>
      <c r="C30" t="s">
        <v>19</v>
      </c>
      <c r="D30" t="s">
        <v>1116</v>
      </c>
      <c r="E30" t="s">
        <v>217</v>
      </c>
      <c r="F30" s="28">
        <v>1</v>
      </c>
      <c r="G30" t="s">
        <v>193</v>
      </c>
      <c r="H30" t="s">
        <v>194</v>
      </c>
      <c r="I30" t="s">
        <v>1117</v>
      </c>
      <c r="J30" t="s">
        <v>196</v>
      </c>
      <c r="K30">
        <v>18</v>
      </c>
      <c r="L30" t="s">
        <v>337</v>
      </c>
      <c r="M30" t="str">
        <f t="shared" si="0"/>
        <v>214903</v>
      </c>
    </row>
    <row r="31" spans="1:13" x14ac:dyDescent="0.25">
      <c r="A31" t="s">
        <v>1130</v>
      </c>
      <c r="B31" t="s">
        <v>632</v>
      </c>
      <c r="C31" t="s">
        <v>17</v>
      </c>
      <c r="D31" t="s">
        <v>1116</v>
      </c>
      <c r="E31" t="s">
        <v>192</v>
      </c>
      <c r="F31" s="28">
        <v>1</v>
      </c>
      <c r="G31" t="s">
        <v>193</v>
      </c>
      <c r="H31" t="s">
        <v>194</v>
      </c>
      <c r="I31" t="s">
        <v>1117</v>
      </c>
      <c r="J31" t="s">
        <v>210</v>
      </c>
      <c r="K31">
        <v>18</v>
      </c>
      <c r="L31" t="s">
        <v>624</v>
      </c>
      <c r="M31" t="str">
        <f t="shared" si="0"/>
        <v>332203</v>
      </c>
    </row>
    <row r="32" spans="1:13" x14ac:dyDescent="0.25">
      <c r="A32" t="s">
        <v>1131</v>
      </c>
      <c r="B32" t="s">
        <v>1132</v>
      </c>
      <c r="C32" t="s">
        <v>1133</v>
      </c>
      <c r="D32" t="s">
        <v>1116</v>
      </c>
      <c r="E32" t="s">
        <v>233</v>
      </c>
      <c r="F32" s="28">
        <v>1</v>
      </c>
      <c r="G32" t="s">
        <v>193</v>
      </c>
      <c r="H32" t="s">
        <v>194</v>
      </c>
      <c r="I32" t="s">
        <v>1117</v>
      </c>
      <c r="J32" t="s">
        <v>196</v>
      </c>
      <c r="K32">
        <v>18</v>
      </c>
      <c r="L32" t="s">
        <v>1134</v>
      </c>
      <c r="M32" t="str">
        <f t="shared" si="0"/>
        <v>112008</v>
      </c>
    </row>
    <row r="33" spans="1:13" x14ac:dyDescent="0.25">
      <c r="A33" t="s">
        <v>751</v>
      </c>
      <c r="B33" t="s">
        <v>1135</v>
      </c>
      <c r="C33" t="s">
        <v>43</v>
      </c>
      <c r="D33" t="s">
        <v>1116</v>
      </c>
      <c r="E33" t="s">
        <v>233</v>
      </c>
      <c r="F33" s="28">
        <v>1</v>
      </c>
      <c r="G33" t="s">
        <v>193</v>
      </c>
      <c r="H33" t="s">
        <v>194</v>
      </c>
      <c r="I33" t="s">
        <v>1117</v>
      </c>
      <c r="J33" t="s">
        <v>210</v>
      </c>
      <c r="K33">
        <v>18</v>
      </c>
      <c r="L33" t="s">
        <v>452</v>
      </c>
      <c r="M33" t="str">
        <f t="shared" si="0"/>
        <v>243106</v>
      </c>
    </row>
    <row r="34" spans="1:13" x14ac:dyDescent="0.25">
      <c r="A34" t="s">
        <v>1091</v>
      </c>
      <c r="B34" t="s">
        <v>1092</v>
      </c>
      <c r="C34" t="s">
        <v>1136</v>
      </c>
      <c r="D34" t="s">
        <v>1116</v>
      </c>
      <c r="E34" t="s">
        <v>217</v>
      </c>
      <c r="F34" s="28">
        <v>1</v>
      </c>
      <c r="G34" t="s">
        <v>193</v>
      </c>
      <c r="H34" t="s">
        <v>194</v>
      </c>
      <c r="I34" t="s">
        <v>1117</v>
      </c>
      <c r="J34" t="s">
        <v>210</v>
      </c>
      <c r="K34">
        <v>18</v>
      </c>
      <c r="L34" t="s">
        <v>1137</v>
      </c>
      <c r="M34" t="str">
        <f t="shared" si="0"/>
        <v>121201</v>
      </c>
    </row>
    <row r="35" spans="1:13" x14ac:dyDescent="0.25">
      <c r="A35" t="s">
        <v>1138</v>
      </c>
      <c r="B35" t="s">
        <v>1139</v>
      </c>
      <c r="C35" t="s">
        <v>1140</v>
      </c>
      <c r="D35" t="s">
        <v>1116</v>
      </c>
      <c r="E35" t="s">
        <v>217</v>
      </c>
      <c r="F35" s="28">
        <v>1</v>
      </c>
      <c r="G35" t="s">
        <v>193</v>
      </c>
      <c r="H35" t="s">
        <v>194</v>
      </c>
      <c r="I35" t="s">
        <v>1117</v>
      </c>
      <c r="J35" t="s">
        <v>316</v>
      </c>
      <c r="K35">
        <v>18</v>
      </c>
      <c r="L35" t="s">
        <v>1141</v>
      </c>
      <c r="M35" t="str">
        <f t="shared" si="0"/>
        <v>143108</v>
      </c>
    </row>
    <row r="36" spans="1:13" x14ac:dyDescent="0.25">
      <c r="A36" t="s">
        <v>1138</v>
      </c>
      <c r="B36" t="s">
        <v>1142</v>
      </c>
      <c r="C36" t="s">
        <v>1143</v>
      </c>
      <c r="D36" t="s">
        <v>1116</v>
      </c>
      <c r="E36" t="s">
        <v>217</v>
      </c>
      <c r="F36" s="28">
        <v>1</v>
      </c>
      <c r="G36" t="s">
        <v>193</v>
      </c>
      <c r="H36" t="s">
        <v>194</v>
      </c>
      <c r="I36" t="s">
        <v>1077</v>
      </c>
      <c r="J36" t="s">
        <v>316</v>
      </c>
      <c r="K36">
        <v>18</v>
      </c>
      <c r="L36" t="s">
        <v>1144</v>
      </c>
      <c r="M36" t="str">
        <f t="shared" si="0"/>
        <v>962901</v>
      </c>
    </row>
    <row r="37" spans="1:13" x14ac:dyDescent="0.25">
      <c r="A37" t="s">
        <v>1138</v>
      </c>
      <c r="B37" t="s">
        <v>1145</v>
      </c>
      <c r="C37" t="s">
        <v>113</v>
      </c>
      <c r="D37" t="s">
        <v>1116</v>
      </c>
      <c r="E37" t="s">
        <v>217</v>
      </c>
      <c r="F37" s="28">
        <v>1</v>
      </c>
      <c r="G37" t="s">
        <v>193</v>
      </c>
      <c r="H37" t="s">
        <v>194</v>
      </c>
      <c r="I37" t="s">
        <v>1077</v>
      </c>
      <c r="J37" t="s">
        <v>316</v>
      </c>
      <c r="K37">
        <v>18</v>
      </c>
      <c r="L37" t="s">
        <v>465</v>
      </c>
      <c r="M37" t="str">
        <f t="shared" si="0"/>
        <v>243302</v>
      </c>
    </row>
    <row r="38" spans="1:13" x14ac:dyDescent="0.25">
      <c r="A38" t="s">
        <v>1138</v>
      </c>
      <c r="B38" t="s">
        <v>1146</v>
      </c>
      <c r="C38" t="s">
        <v>378</v>
      </c>
      <c r="D38" t="s">
        <v>1116</v>
      </c>
      <c r="E38" t="s">
        <v>217</v>
      </c>
      <c r="F38" s="28">
        <v>1</v>
      </c>
      <c r="G38" t="s">
        <v>193</v>
      </c>
      <c r="H38" t="s">
        <v>194</v>
      </c>
      <c r="I38" t="s">
        <v>1077</v>
      </c>
      <c r="J38" t="s">
        <v>316</v>
      </c>
      <c r="K38">
        <v>18</v>
      </c>
      <c r="L38" t="s">
        <v>379</v>
      </c>
      <c r="M38" t="str">
        <f t="shared" si="0"/>
        <v>215303</v>
      </c>
    </row>
    <row r="39" spans="1:13" x14ac:dyDescent="0.25">
      <c r="A39" t="s">
        <v>1147</v>
      </c>
      <c r="B39" t="s">
        <v>681</v>
      </c>
      <c r="C39" t="s">
        <v>1148</v>
      </c>
      <c r="D39" t="s">
        <v>1116</v>
      </c>
      <c r="E39" t="s">
        <v>233</v>
      </c>
      <c r="F39" s="28">
        <v>1</v>
      </c>
      <c r="G39" t="s">
        <v>193</v>
      </c>
      <c r="H39" t="s">
        <v>194</v>
      </c>
      <c r="I39" t="s">
        <v>1077</v>
      </c>
      <c r="J39" t="s">
        <v>1149</v>
      </c>
      <c r="K39">
        <v>18</v>
      </c>
      <c r="L39" t="s">
        <v>1150</v>
      </c>
      <c r="M39" t="str">
        <f t="shared" si="0"/>
        <v>244001</v>
      </c>
    </row>
    <row r="40" spans="1:13" x14ac:dyDescent="0.25">
      <c r="A40" t="s">
        <v>1151</v>
      </c>
      <c r="B40" t="s">
        <v>632</v>
      </c>
      <c r="C40" t="s">
        <v>17</v>
      </c>
      <c r="D40" t="s">
        <v>1116</v>
      </c>
      <c r="E40" t="s">
        <v>192</v>
      </c>
      <c r="F40" s="28">
        <v>1</v>
      </c>
      <c r="G40" t="s">
        <v>193</v>
      </c>
      <c r="H40" t="s">
        <v>194</v>
      </c>
      <c r="I40" t="s">
        <v>1117</v>
      </c>
      <c r="J40" t="s">
        <v>238</v>
      </c>
      <c r="K40">
        <v>18</v>
      </c>
      <c r="L40" t="s">
        <v>624</v>
      </c>
      <c r="M40" t="str">
        <f t="shared" si="0"/>
        <v>332203</v>
      </c>
    </row>
    <row r="41" spans="1:13" x14ac:dyDescent="0.25">
      <c r="A41" t="s">
        <v>1152</v>
      </c>
      <c r="B41" t="s">
        <v>1153</v>
      </c>
      <c r="C41" t="s">
        <v>83</v>
      </c>
      <c r="D41" t="s">
        <v>1116</v>
      </c>
      <c r="E41" t="s">
        <v>233</v>
      </c>
      <c r="F41" s="28">
        <v>1</v>
      </c>
      <c r="G41" t="s">
        <v>193</v>
      </c>
      <c r="H41" t="s">
        <v>194</v>
      </c>
      <c r="I41" t="s">
        <v>1077</v>
      </c>
      <c r="J41" t="s">
        <v>210</v>
      </c>
      <c r="K41">
        <v>18</v>
      </c>
      <c r="L41" t="s">
        <v>791</v>
      </c>
      <c r="M41" t="str">
        <f t="shared" si="0"/>
        <v>721204</v>
      </c>
    </row>
    <row r="42" spans="1:13" x14ac:dyDescent="0.25">
      <c r="A42" t="s">
        <v>1154</v>
      </c>
      <c r="B42" t="s">
        <v>1155</v>
      </c>
      <c r="C42" t="s">
        <v>989</v>
      </c>
      <c r="D42" t="s">
        <v>1116</v>
      </c>
      <c r="E42" t="s">
        <v>252</v>
      </c>
      <c r="F42" s="28">
        <v>1</v>
      </c>
      <c r="G42" t="s">
        <v>193</v>
      </c>
      <c r="H42" t="s">
        <v>194</v>
      </c>
      <c r="I42" t="s">
        <v>1077</v>
      </c>
      <c r="J42" t="s">
        <v>1156</v>
      </c>
      <c r="K42">
        <v>18</v>
      </c>
      <c r="L42" t="s">
        <v>990</v>
      </c>
      <c r="M42" t="str">
        <f t="shared" si="0"/>
        <v>833202</v>
      </c>
    </row>
    <row r="43" spans="1:13" x14ac:dyDescent="0.25">
      <c r="A43" t="s">
        <v>1154</v>
      </c>
      <c r="B43" t="s">
        <v>1157</v>
      </c>
      <c r="C43" t="s">
        <v>1157</v>
      </c>
      <c r="D43" t="s">
        <v>1116</v>
      </c>
      <c r="E43" t="s">
        <v>252</v>
      </c>
      <c r="F43" s="28">
        <v>1</v>
      </c>
      <c r="G43" t="s">
        <v>193</v>
      </c>
      <c r="H43" t="s">
        <v>194</v>
      </c>
      <c r="I43" t="s">
        <v>1077</v>
      </c>
      <c r="J43" t="s">
        <v>223</v>
      </c>
      <c r="K43">
        <v>18</v>
      </c>
      <c r="L43" t="s">
        <v>1158</v>
      </c>
      <c r="M43" t="str">
        <f t="shared" si="0"/>
        <v>235917</v>
      </c>
    </row>
    <row r="44" spans="1:13" x14ac:dyDescent="0.25">
      <c r="A44" t="s">
        <v>1154</v>
      </c>
      <c r="B44" t="s">
        <v>1159</v>
      </c>
      <c r="C44" t="s">
        <v>798</v>
      </c>
      <c r="D44" t="s">
        <v>1116</v>
      </c>
      <c r="E44" t="s">
        <v>252</v>
      </c>
      <c r="F44" s="28">
        <v>1</v>
      </c>
      <c r="G44" t="s">
        <v>193</v>
      </c>
      <c r="H44" t="s">
        <v>194</v>
      </c>
      <c r="I44" t="s">
        <v>1077</v>
      </c>
      <c r="J44" t="s">
        <v>1160</v>
      </c>
      <c r="K44">
        <v>18</v>
      </c>
      <c r="L44" t="s">
        <v>799</v>
      </c>
      <c r="M44" t="str">
        <f t="shared" si="0"/>
        <v>722204</v>
      </c>
    </row>
    <row r="45" spans="1:13" x14ac:dyDescent="0.25">
      <c r="A45" t="s">
        <v>540</v>
      </c>
      <c r="B45" t="s">
        <v>1161</v>
      </c>
      <c r="C45" t="s">
        <v>776</v>
      </c>
      <c r="D45" t="s">
        <v>1116</v>
      </c>
      <c r="E45" t="s">
        <v>217</v>
      </c>
      <c r="F45" s="28">
        <v>1</v>
      </c>
      <c r="G45" t="s">
        <v>193</v>
      </c>
      <c r="H45" t="s">
        <v>194</v>
      </c>
      <c r="I45" t="s">
        <v>1077</v>
      </c>
      <c r="J45" t="s">
        <v>210</v>
      </c>
      <c r="K45">
        <v>18</v>
      </c>
      <c r="L45" t="s">
        <v>777</v>
      </c>
      <c r="M45" t="str">
        <f t="shared" si="0"/>
        <v>524403</v>
      </c>
    </row>
    <row r="46" spans="1:13" x14ac:dyDescent="0.25">
      <c r="A46" t="s">
        <v>540</v>
      </c>
      <c r="B46" t="s">
        <v>1162</v>
      </c>
      <c r="C46" t="s">
        <v>62</v>
      </c>
      <c r="D46" t="s">
        <v>1116</v>
      </c>
      <c r="E46" t="s">
        <v>217</v>
      </c>
      <c r="F46" s="28">
        <v>1</v>
      </c>
      <c r="G46" t="s">
        <v>193</v>
      </c>
      <c r="H46" t="s">
        <v>194</v>
      </c>
      <c r="I46" t="s">
        <v>1077</v>
      </c>
      <c r="J46" t="s">
        <v>1163</v>
      </c>
      <c r="K46">
        <v>18</v>
      </c>
      <c r="L46" t="s">
        <v>601</v>
      </c>
      <c r="M46" t="str">
        <f t="shared" si="0"/>
        <v>313904</v>
      </c>
    </row>
    <row r="47" spans="1:13" x14ac:dyDescent="0.25">
      <c r="A47" t="s">
        <v>1164</v>
      </c>
      <c r="B47" t="s">
        <v>1165</v>
      </c>
      <c r="C47" t="s">
        <v>114</v>
      </c>
      <c r="D47" t="s">
        <v>1116</v>
      </c>
      <c r="E47" t="s">
        <v>217</v>
      </c>
      <c r="F47" s="76">
        <v>0</v>
      </c>
      <c r="G47" s="75" t="s">
        <v>194</v>
      </c>
      <c r="H47" t="s">
        <v>193</v>
      </c>
      <c r="I47" t="s">
        <v>1077</v>
      </c>
      <c r="J47" t="s">
        <v>196</v>
      </c>
      <c r="K47">
        <v>18</v>
      </c>
      <c r="L47" t="s">
        <v>1166</v>
      </c>
      <c r="M47" t="str">
        <f t="shared" si="0"/>
        <v>432102</v>
      </c>
    </row>
    <row r="48" spans="1:13" x14ac:dyDescent="0.25">
      <c r="A48" t="s">
        <v>1167</v>
      </c>
      <c r="B48" t="s">
        <v>537</v>
      </c>
      <c r="C48" t="s">
        <v>778</v>
      </c>
      <c r="D48" t="s">
        <v>1116</v>
      </c>
      <c r="E48" t="s">
        <v>217</v>
      </c>
      <c r="F48" s="28">
        <v>1</v>
      </c>
      <c r="G48" t="s">
        <v>193</v>
      </c>
      <c r="H48" t="s">
        <v>194</v>
      </c>
      <c r="I48" t="s">
        <v>1117</v>
      </c>
      <c r="J48" t="s">
        <v>276</v>
      </c>
      <c r="K48">
        <v>18</v>
      </c>
      <c r="L48" t="s">
        <v>779</v>
      </c>
      <c r="M48" t="str">
        <f t="shared" si="0"/>
        <v>524902</v>
      </c>
    </row>
    <row r="49" spans="1:13" x14ac:dyDescent="0.25">
      <c r="A49" t="s">
        <v>1168</v>
      </c>
      <c r="B49" t="s">
        <v>1169</v>
      </c>
      <c r="C49" t="s">
        <v>1170</v>
      </c>
      <c r="D49" t="s">
        <v>1116</v>
      </c>
      <c r="E49" t="s">
        <v>217</v>
      </c>
      <c r="F49" s="28">
        <v>1</v>
      </c>
      <c r="G49" t="s">
        <v>193</v>
      </c>
      <c r="H49" t="s">
        <v>194</v>
      </c>
      <c r="I49" t="s">
        <v>1077</v>
      </c>
      <c r="J49" t="s">
        <v>323</v>
      </c>
      <c r="K49">
        <v>18</v>
      </c>
      <c r="L49" t="s">
        <v>1171</v>
      </c>
      <c r="M49" t="str">
        <f t="shared" si="0"/>
        <v>522390</v>
      </c>
    </row>
    <row r="50" spans="1:13" x14ac:dyDescent="0.25">
      <c r="A50" t="s">
        <v>1168</v>
      </c>
      <c r="B50" t="s">
        <v>1169</v>
      </c>
      <c r="C50" t="s">
        <v>1170</v>
      </c>
      <c r="D50" t="s">
        <v>1116</v>
      </c>
      <c r="E50" t="s">
        <v>217</v>
      </c>
      <c r="F50" s="28">
        <v>1</v>
      </c>
      <c r="G50" t="s">
        <v>193</v>
      </c>
      <c r="H50" t="s">
        <v>194</v>
      </c>
      <c r="I50" t="s">
        <v>1077</v>
      </c>
      <c r="J50" t="s">
        <v>408</v>
      </c>
      <c r="K50">
        <v>18</v>
      </c>
      <c r="L50" t="s">
        <v>1171</v>
      </c>
      <c r="M50" t="str">
        <f t="shared" si="0"/>
        <v>522390</v>
      </c>
    </row>
    <row r="51" spans="1:13" x14ac:dyDescent="0.25">
      <c r="A51" t="s">
        <v>1168</v>
      </c>
      <c r="B51" t="s">
        <v>1169</v>
      </c>
      <c r="C51" t="s">
        <v>1170</v>
      </c>
      <c r="D51" t="s">
        <v>1116</v>
      </c>
      <c r="E51" t="s">
        <v>217</v>
      </c>
      <c r="F51" s="28">
        <v>1</v>
      </c>
      <c r="G51" t="s">
        <v>193</v>
      </c>
      <c r="H51" t="s">
        <v>194</v>
      </c>
      <c r="I51" t="s">
        <v>1077</v>
      </c>
      <c r="J51" t="s">
        <v>305</v>
      </c>
      <c r="K51">
        <v>18</v>
      </c>
      <c r="L51" t="s">
        <v>1171</v>
      </c>
      <c r="M51" t="str">
        <f t="shared" si="0"/>
        <v>522390</v>
      </c>
    </row>
    <row r="52" spans="1:13" x14ac:dyDescent="0.25">
      <c r="A52" t="s">
        <v>1168</v>
      </c>
      <c r="B52" t="s">
        <v>1169</v>
      </c>
      <c r="C52" t="s">
        <v>1170</v>
      </c>
      <c r="D52" t="s">
        <v>1116</v>
      </c>
      <c r="E52" t="s">
        <v>217</v>
      </c>
      <c r="F52" s="28">
        <v>1</v>
      </c>
      <c r="G52" t="s">
        <v>193</v>
      </c>
      <c r="H52" t="s">
        <v>194</v>
      </c>
      <c r="I52" t="s">
        <v>1077</v>
      </c>
      <c r="J52" t="s">
        <v>747</v>
      </c>
      <c r="K52">
        <v>18</v>
      </c>
      <c r="L52" t="s">
        <v>1171</v>
      </c>
      <c r="M52" t="str">
        <f t="shared" si="0"/>
        <v>522390</v>
      </c>
    </row>
    <row r="53" spans="1:13" x14ac:dyDescent="0.25">
      <c r="A53" t="s">
        <v>1168</v>
      </c>
      <c r="B53" t="s">
        <v>1169</v>
      </c>
      <c r="C53" t="s">
        <v>1170</v>
      </c>
      <c r="D53" t="s">
        <v>1116</v>
      </c>
      <c r="E53" t="s">
        <v>217</v>
      </c>
      <c r="F53" s="28">
        <v>1</v>
      </c>
      <c r="G53" t="s">
        <v>193</v>
      </c>
      <c r="H53" t="s">
        <v>194</v>
      </c>
      <c r="I53" t="s">
        <v>1077</v>
      </c>
      <c r="J53" t="s">
        <v>253</v>
      </c>
      <c r="K53">
        <v>18</v>
      </c>
      <c r="L53" t="s">
        <v>1171</v>
      </c>
      <c r="M53" t="str">
        <f t="shared" si="0"/>
        <v>522390</v>
      </c>
    </row>
    <row r="54" spans="1:13" x14ac:dyDescent="0.25">
      <c r="A54" t="s">
        <v>1168</v>
      </c>
      <c r="B54" t="s">
        <v>1169</v>
      </c>
      <c r="C54" t="s">
        <v>1170</v>
      </c>
      <c r="D54" t="s">
        <v>1116</v>
      </c>
      <c r="E54" t="s">
        <v>217</v>
      </c>
      <c r="F54" s="28">
        <v>1</v>
      </c>
      <c r="G54" t="s">
        <v>193</v>
      </c>
      <c r="H54" t="s">
        <v>194</v>
      </c>
      <c r="I54" t="s">
        <v>1077</v>
      </c>
      <c r="J54" t="s">
        <v>210</v>
      </c>
      <c r="K54">
        <v>18</v>
      </c>
      <c r="L54" t="s">
        <v>1171</v>
      </c>
      <c r="M54" t="str">
        <f t="shared" si="0"/>
        <v>522390</v>
      </c>
    </row>
    <row r="55" spans="1:13" x14ac:dyDescent="0.25">
      <c r="A55" t="s">
        <v>1168</v>
      </c>
      <c r="B55" t="s">
        <v>1169</v>
      </c>
      <c r="C55" t="s">
        <v>1170</v>
      </c>
      <c r="D55" t="s">
        <v>1116</v>
      </c>
      <c r="E55" t="s">
        <v>217</v>
      </c>
      <c r="F55" s="28">
        <v>1</v>
      </c>
      <c r="G55" t="s">
        <v>193</v>
      </c>
      <c r="H55" t="s">
        <v>194</v>
      </c>
      <c r="I55" t="s">
        <v>1077</v>
      </c>
      <c r="J55" t="s">
        <v>276</v>
      </c>
      <c r="K55">
        <v>18</v>
      </c>
      <c r="L55" t="s">
        <v>1171</v>
      </c>
      <c r="M55" t="str">
        <f t="shared" si="0"/>
        <v>522390</v>
      </c>
    </row>
    <row r="56" spans="1:13" x14ac:dyDescent="0.25">
      <c r="A56" t="s">
        <v>1168</v>
      </c>
      <c r="B56" t="s">
        <v>1169</v>
      </c>
      <c r="C56" t="s">
        <v>1170</v>
      </c>
      <c r="D56" t="s">
        <v>1116</v>
      </c>
      <c r="E56" t="s">
        <v>217</v>
      </c>
      <c r="F56" s="28">
        <v>1</v>
      </c>
      <c r="G56" t="s">
        <v>193</v>
      </c>
      <c r="H56" t="s">
        <v>194</v>
      </c>
      <c r="I56" t="s">
        <v>1077</v>
      </c>
      <c r="J56" t="s">
        <v>301</v>
      </c>
      <c r="K56">
        <v>18</v>
      </c>
      <c r="L56" t="s">
        <v>1171</v>
      </c>
      <c r="M56" t="str">
        <f t="shared" si="0"/>
        <v>522390</v>
      </c>
    </row>
    <row r="57" spans="1:13" x14ac:dyDescent="0.25">
      <c r="A57" t="s">
        <v>1172</v>
      </c>
      <c r="B57" t="s">
        <v>1173</v>
      </c>
      <c r="C57" t="s">
        <v>1173</v>
      </c>
      <c r="D57" t="s">
        <v>1116</v>
      </c>
      <c r="E57" t="s">
        <v>233</v>
      </c>
      <c r="F57" s="28">
        <v>1</v>
      </c>
      <c r="G57" t="s">
        <v>193</v>
      </c>
      <c r="H57" t="s">
        <v>194</v>
      </c>
      <c r="I57" t="s">
        <v>1117</v>
      </c>
      <c r="J57" t="s">
        <v>323</v>
      </c>
      <c r="K57">
        <v>18</v>
      </c>
      <c r="L57" t="s">
        <v>1174</v>
      </c>
      <c r="M57" t="str">
        <f t="shared" si="0"/>
        <v>242211</v>
      </c>
    </row>
    <row r="58" spans="1:13" x14ac:dyDescent="0.25">
      <c r="A58" t="s">
        <v>1175</v>
      </c>
      <c r="B58" t="s">
        <v>1176</v>
      </c>
      <c r="C58" t="s">
        <v>1173</v>
      </c>
      <c r="D58" t="s">
        <v>1116</v>
      </c>
      <c r="E58" t="s">
        <v>233</v>
      </c>
      <c r="F58" s="28">
        <v>1</v>
      </c>
      <c r="G58" t="s">
        <v>193</v>
      </c>
      <c r="H58" t="s">
        <v>194</v>
      </c>
      <c r="I58" t="s">
        <v>1077</v>
      </c>
      <c r="J58" t="s">
        <v>210</v>
      </c>
      <c r="K58">
        <v>18</v>
      </c>
      <c r="L58" t="s">
        <v>1174</v>
      </c>
      <c r="M58" t="str">
        <f t="shared" si="0"/>
        <v>242211</v>
      </c>
    </row>
    <row r="59" spans="1:13" x14ac:dyDescent="0.25">
      <c r="A59" t="s">
        <v>1175</v>
      </c>
      <c r="B59" t="s">
        <v>129</v>
      </c>
      <c r="C59" t="s">
        <v>129</v>
      </c>
      <c r="D59" t="s">
        <v>1116</v>
      </c>
      <c r="E59" t="s">
        <v>233</v>
      </c>
      <c r="F59" s="28">
        <v>1</v>
      </c>
      <c r="G59" t="s">
        <v>193</v>
      </c>
      <c r="H59" t="s">
        <v>194</v>
      </c>
      <c r="I59" t="s">
        <v>1117</v>
      </c>
      <c r="J59" t="s">
        <v>210</v>
      </c>
      <c r="K59">
        <v>18</v>
      </c>
      <c r="L59" t="s">
        <v>203</v>
      </c>
      <c r="M59" t="str">
        <f t="shared" si="0"/>
        <v>121904</v>
      </c>
    </row>
    <row r="60" spans="1:13" x14ac:dyDescent="0.25">
      <c r="A60" t="s">
        <v>1175</v>
      </c>
      <c r="B60" t="s">
        <v>1177</v>
      </c>
      <c r="C60" t="s">
        <v>507</v>
      </c>
      <c r="D60" t="s">
        <v>1116</v>
      </c>
      <c r="E60" t="s">
        <v>233</v>
      </c>
      <c r="F60" s="28">
        <v>1</v>
      </c>
      <c r="G60" t="s">
        <v>193</v>
      </c>
      <c r="H60" t="s">
        <v>194</v>
      </c>
      <c r="I60" t="s">
        <v>1077</v>
      </c>
      <c r="J60" t="s">
        <v>210</v>
      </c>
      <c r="K60">
        <v>18</v>
      </c>
      <c r="L60" t="s">
        <v>508</v>
      </c>
      <c r="M60" t="str">
        <f t="shared" si="0"/>
        <v>252102</v>
      </c>
    </row>
    <row r="61" spans="1:13" x14ac:dyDescent="0.25">
      <c r="A61" t="s">
        <v>1175</v>
      </c>
      <c r="B61" t="s">
        <v>1178</v>
      </c>
      <c r="C61" t="s">
        <v>65</v>
      </c>
      <c r="D61" t="s">
        <v>1116</v>
      </c>
      <c r="E61" t="s">
        <v>233</v>
      </c>
      <c r="F61" s="28">
        <v>1</v>
      </c>
      <c r="G61" t="s">
        <v>193</v>
      </c>
      <c r="H61" t="s">
        <v>194</v>
      </c>
      <c r="I61" t="s">
        <v>1077</v>
      </c>
      <c r="J61" t="s">
        <v>210</v>
      </c>
      <c r="K61">
        <v>18</v>
      </c>
      <c r="L61" t="s">
        <v>1179</v>
      </c>
      <c r="M61" t="str">
        <f t="shared" si="0"/>
        <v>422701</v>
      </c>
    </row>
    <row r="62" spans="1:13" x14ac:dyDescent="0.25">
      <c r="A62" t="s">
        <v>1175</v>
      </c>
      <c r="B62" t="s">
        <v>1180</v>
      </c>
      <c r="C62" t="s">
        <v>513</v>
      </c>
      <c r="D62" t="s">
        <v>1116</v>
      </c>
      <c r="E62" t="s">
        <v>233</v>
      </c>
      <c r="F62" s="28">
        <v>1</v>
      </c>
      <c r="G62" t="s">
        <v>193</v>
      </c>
      <c r="H62" t="s">
        <v>194</v>
      </c>
      <c r="I62" t="s">
        <v>1077</v>
      </c>
      <c r="J62" t="s">
        <v>210</v>
      </c>
      <c r="K62">
        <v>18</v>
      </c>
      <c r="L62" t="s">
        <v>514</v>
      </c>
      <c r="M62" t="str">
        <f t="shared" si="0"/>
        <v>252301</v>
      </c>
    </row>
    <row r="63" spans="1:13" x14ac:dyDescent="0.25">
      <c r="A63" t="s">
        <v>581</v>
      </c>
      <c r="B63" t="s">
        <v>1181</v>
      </c>
      <c r="C63" t="s">
        <v>115</v>
      </c>
      <c r="D63" t="s">
        <v>1116</v>
      </c>
      <c r="E63" t="s">
        <v>217</v>
      </c>
      <c r="F63" s="28">
        <v>1</v>
      </c>
      <c r="G63" t="s">
        <v>193</v>
      </c>
      <c r="H63" t="s">
        <v>194</v>
      </c>
      <c r="I63" t="s">
        <v>1077</v>
      </c>
      <c r="J63" t="s">
        <v>1182</v>
      </c>
      <c r="K63">
        <v>18</v>
      </c>
      <c r="L63" t="s">
        <v>1183</v>
      </c>
      <c r="M63" t="str">
        <f t="shared" si="0"/>
        <v>311909</v>
      </c>
    </row>
    <row r="64" spans="1:13" x14ac:dyDescent="0.25">
      <c r="A64" t="s">
        <v>1184</v>
      </c>
      <c r="B64" t="s">
        <v>1185</v>
      </c>
      <c r="C64" t="s">
        <v>46</v>
      </c>
      <c r="D64" t="s">
        <v>1116</v>
      </c>
      <c r="E64" t="s">
        <v>233</v>
      </c>
      <c r="F64" s="28">
        <v>1</v>
      </c>
      <c r="G64" t="s">
        <v>193</v>
      </c>
      <c r="H64" t="s">
        <v>194</v>
      </c>
      <c r="I64" t="s">
        <v>1077</v>
      </c>
      <c r="J64" t="s">
        <v>210</v>
      </c>
      <c r="K64">
        <v>18</v>
      </c>
      <c r="L64" t="s">
        <v>510</v>
      </c>
      <c r="M64" t="str">
        <f t="shared" si="0"/>
        <v>252201</v>
      </c>
    </row>
    <row r="65" spans="1:13" x14ac:dyDescent="0.25">
      <c r="A65" t="s">
        <v>1186</v>
      </c>
      <c r="B65" t="s">
        <v>1187</v>
      </c>
      <c r="C65" t="s">
        <v>1188</v>
      </c>
      <c r="D65" t="s">
        <v>1116</v>
      </c>
      <c r="E65" t="s">
        <v>217</v>
      </c>
      <c r="F65" s="28">
        <v>1</v>
      </c>
      <c r="G65" t="s">
        <v>193</v>
      </c>
      <c r="H65" t="s">
        <v>194</v>
      </c>
      <c r="I65" t="s">
        <v>1117</v>
      </c>
      <c r="J65" t="s">
        <v>1189</v>
      </c>
      <c r="K65">
        <v>18</v>
      </c>
      <c r="L65" t="s">
        <v>1190</v>
      </c>
      <c r="M65" t="str">
        <f t="shared" si="0"/>
        <v>532102</v>
      </c>
    </row>
    <row r="66" spans="1:13" x14ac:dyDescent="0.25">
      <c r="A66" t="s">
        <v>1191</v>
      </c>
      <c r="B66" t="s">
        <v>1192</v>
      </c>
      <c r="C66" t="s">
        <v>190</v>
      </c>
      <c r="D66" t="s">
        <v>1116</v>
      </c>
      <c r="E66" t="s">
        <v>233</v>
      </c>
      <c r="F66" s="28">
        <v>1</v>
      </c>
      <c r="G66" t="s">
        <v>194</v>
      </c>
      <c r="H66" t="s">
        <v>193</v>
      </c>
      <c r="I66" t="s">
        <v>1077</v>
      </c>
      <c r="J66" t="s">
        <v>1193</v>
      </c>
      <c r="K66">
        <v>18</v>
      </c>
      <c r="L66" t="s">
        <v>197</v>
      </c>
      <c r="M66" t="str">
        <f t="shared" ref="M66:M129" si="1">MID(L66,8,6)</f>
        <v>112012</v>
      </c>
    </row>
    <row r="67" spans="1:13" x14ac:dyDescent="0.25">
      <c r="A67" t="s">
        <v>1194</v>
      </c>
      <c r="B67" t="s">
        <v>1195</v>
      </c>
      <c r="C67" t="s">
        <v>1196</v>
      </c>
      <c r="D67" t="s">
        <v>1197</v>
      </c>
      <c r="E67" t="s">
        <v>192</v>
      </c>
      <c r="F67" s="28">
        <v>1</v>
      </c>
      <c r="G67" t="s">
        <v>193</v>
      </c>
      <c r="H67" t="s">
        <v>194</v>
      </c>
      <c r="I67" t="s">
        <v>1077</v>
      </c>
      <c r="J67" t="s">
        <v>210</v>
      </c>
      <c r="K67">
        <v>18</v>
      </c>
      <c r="L67" t="s">
        <v>1198</v>
      </c>
      <c r="M67" t="str">
        <f t="shared" si="1"/>
        <v>252901</v>
      </c>
    </row>
    <row r="68" spans="1:13" x14ac:dyDescent="0.25">
      <c r="A68" t="s">
        <v>1194</v>
      </c>
      <c r="B68" t="s">
        <v>1199</v>
      </c>
      <c r="C68" t="s">
        <v>37</v>
      </c>
      <c r="D68" t="s">
        <v>1197</v>
      </c>
      <c r="E68" t="s">
        <v>192</v>
      </c>
      <c r="F68" s="28">
        <v>1</v>
      </c>
      <c r="G68" t="s">
        <v>193</v>
      </c>
      <c r="H68" t="s">
        <v>194</v>
      </c>
      <c r="I68" t="s">
        <v>1077</v>
      </c>
      <c r="J68" t="s">
        <v>210</v>
      </c>
      <c r="K68">
        <v>18</v>
      </c>
      <c r="L68" t="s">
        <v>516</v>
      </c>
      <c r="M68" t="str">
        <f t="shared" si="1"/>
        <v>252302</v>
      </c>
    </row>
    <row r="69" spans="1:13" x14ac:dyDescent="0.25">
      <c r="A69" t="s">
        <v>919</v>
      </c>
      <c r="B69" t="s">
        <v>1200</v>
      </c>
      <c r="C69" t="s">
        <v>9</v>
      </c>
      <c r="D69" t="s">
        <v>1197</v>
      </c>
      <c r="E69" t="s">
        <v>192</v>
      </c>
      <c r="F69" s="28">
        <v>1</v>
      </c>
      <c r="G69" t="s">
        <v>193</v>
      </c>
      <c r="H69" t="s">
        <v>194</v>
      </c>
      <c r="I69" t="s">
        <v>1077</v>
      </c>
      <c r="J69" t="s">
        <v>253</v>
      </c>
      <c r="K69">
        <v>18</v>
      </c>
      <c r="L69" t="s">
        <v>405</v>
      </c>
      <c r="M69" t="str">
        <f t="shared" si="1"/>
        <v>241304</v>
      </c>
    </row>
    <row r="70" spans="1:13" x14ac:dyDescent="0.25">
      <c r="A70" t="s">
        <v>1201</v>
      </c>
      <c r="B70" t="s">
        <v>1202</v>
      </c>
      <c r="C70" t="s">
        <v>554</v>
      </c>
      <c r="D70" t="s">
        <v>1197</v>
      </c>
      <c r="E70" t="s">
        <v>192</v>
      </c>
      <c r="F70" s="28">
        <v>1</v>
      </c>
      <c r="G70" t="s">
        <v>193</v>
      </c>
      <c r="H70" t="s">
        <v>194</v>
      </c>
      <c r="I70" t="s">
        <v>1077</v>
      </c>
      <c r="J70" t="s">
        <v>385</v>
      </c>
      <c r="K70">
        <v>18</v>
      </c>
      <c r="L70" t="s">
        <v>555</v>
      </c>
      <c r="M70" t="str">
        <f t="shared" si="1"/>
        <v>311303</v>
      </c>
    </row>
    <row r="71" spans="1:13" x14ac:dyDescent="0.25">
      <c r="A71" t="s">
        <v>796</v>
      </c>
      <c r="B71" t="s">
        <v>356</v>
      </c>
      <c r="C71" t="s">
        <v>62</v>
      </c>
      <c r="D71" t="s">
        <v>1197</v>
      </c>
      <c r="E71" t="s">
        <v>233</v>
      </c>
      <c r="F71" s="28">
        <v>1</v>
      </c>
      <c r="G71" t="s">
        <v>193</v>
      </c>
      <c r="H71" t="s">
        <v>194</v>
      </c>
      <c r="I71" t="s">
        <v>1077</v>
      </c>
      <c r="J71" t="s">
        <v>253</v>
      </c>
      <c r="K71">
        <v>18</v>
      </c>
      <c r="L71" t="s">
        <v>601</v>
      </c>
      <c r="M71" t="str">
        <f t="shared" si="1"/>
        <v>313904</v>
      </c>
    </row>
    <row r="72" spans="1:13" x14ac:dyDescent="0.25">
      <c r="A72" t="s">
        <v>1203</v>
      </c>
      <c r="B72" t="s">
        <v>190</v>
      </c>
      <c r="C72" t="s">
        <v>190</v>
      </c>
      <c r="D72" t="s">
        <v>1197</v>
      </c>
      <c r="E72" t="s">
        <v>233</v>
      </c>
      <c r="F72" s="28">
        <v>1</v>
      </c>
      <c r="G72" t="s">
        <v>193</v>
      </c>
      <c r="H72" t="s">
        <v>194</v>
      </c>
      <c r="I72" t="s">
        <v>1117</v>
      </c>
      <c r="J72" t="s">
        <v>210</v>
      </c>
      <c r="K72">
        <v>18</v>
      </c>
      <c r="L72" t="s">
        <v>197</v>
      </c>
      <c r="M72" t="str">
        <f t="shared" si="1"/>
        <v>112012</v>
      </c>
    </row>
    <row r="73" spans="1:13" x14ac:dyDescent="0.25">
      <c r="A73" t="s">
        <v>1204</v>
      </c>
      <c r="B73" t="s">
        <v>1205</v>
      </c>
      <c r="C73" t="s">
        <v>111</v>
      </c>
      <c r="D73" t="s">
        <v>1197</v>
      </c>
      <c r="E73" t="s">
        <v>192</v>
      </c>
      <c r="F73" s="28">
        <v>1</v>
      </c>
      <c r="G73" t="s">
        <v>193</v>
      </c>
      <c r="H73" t="s">
        <v>194</v>
      </c>
      <c r="I73" t="s">
        <v>1077</v>
      </c>
      <c r="J73" t="s">
        <v>210</v>
      </c>
      <c r="K73">
        <v>18</v>
      </c>
      <c r="L73" t="s">
        <v>612</v>
      </c>
      <c r="M73" t="str">
        <f t="shared" si="1"/>
        <v>332101</v>
      </c>
    </row>
    <row r="74" spans="1:13" x14ac:dyDescent="0.25">
      <c r="A74" t="s">
        <v>1204</v>
      </c>
      <c r="B74" t="s">
        <v>1206</v>
      </c>
      <c r="C74" t="s">
        <v>85</v>
      </c>
      <c r="D74" t="s">
        <v>1197</v>
      </c>
      <c r="E74" t="s">
        <v>192</v>
      </c>
      <c r="F74" s="28">
        <v>1</v>
      </c>
      <c r="G74" t="s">
        <v>193</v>
      </c>
      <c r="H74" t="s">
        <v>194</v>
      </c>
      <c r="I74" t="s">
        <v>1077</v>
      </c>
      <c r="J74" t="s">
        <v>253</v>
      </c>
      <c r="K74">
        <v>18</v>
      </c>
      <c r="L74" t="s">
        <v>477</v>
      </c>
      <c r="M74" t="str">
        <f t="shared" si="1"/>
        <v>243305</v>
      </c>
    </row>
    <row r="75" spans="1:13" x14ac:dyDescent="0.25">
      <c r="A75" t="s">
        <v>1207</v>
      </c>
      <c r="B75" t="s">
        <v>1208</v>
      </c>
      <c r="C75" t="s">
        <v>113</v>
      </c>
      <c r="D75" t="s">
        <v>1197</v>
      </c>
      <c r="E75" t="s">
        <v>217</v>
      </c>
      <c r="F75" s="28">
        <v>1</v>
      </c>
      <c r="G75" t="s">
        <v>193</v>
      </c>
      <c r="H75" t="s">
        <v>194</v>
      </c>
      <c r="I75" t="s">
        <v>1077</v>
      </c>
      <c r="J75" t="s">
        <v>210</v>
      </c>
      <c r="K75">
        <v>18</v>
      </c>
      <c r="L75" t="s">
        <v>465</v>
      </c>
      <c r="M75" t="str">
        <f t="shared" si="1"/>
        <v>243302</v>
      </c>
    </row>
    <row r="76" spans="1:13" x14ac:dyDescent="0.25">
      <c r="A76" t="s">
        <v>1209</v>
      </c>
      <c r="B76" t="s">
        <v>1210</v>
      </c>
      <c r="C76" t="s">
        <v>9</v>
      </c>
      <c r="D76" t="s">
        <v>1197</v>
      </c>
      <c r="E76" t="s">
        <v>192</v>
      </c>
      <c r="F76" s="28">
        <v>1</v>
      </c>
      <c r="G76" t="s">
        <v>193</v>
      </c>
      <c r="H76" t="s">
        <v>194</v>
      </c>
      <c r="I76" t="s">
        <v>1078</v>
      </c>
      <c r="J76" t="s">
        <v>210</v>
      </c>
      <c r="K76">
        <v>18</v>
      </c>
      <c r="L76" t="s">
        <v>405</v>
      </c>
      <c r="M76" t="str">
        <f t="shared" si="1"/>
        <v>241304</v>
      </c>
    </row>
    <row r="77" spans="1:13" x14ac:dyDescent="0.25">
      <c r="A77" t="s">
        <v>1211</v>
      </c>
      <c r="B77" t="s">
        <v>1212</v>
      </c>
      <c r="C77" t="s">
        <v>9</v>
      </c>
      <c r="D77" t="s">
        <v>1197</v>
      </c>
      <c r="E77" t="s">
        <v>192</v>
      </c>
      <c r="F77" s="28">
        <v>1</v>
      </c>
      <c r="G77" t="s">
        <v>193</v>
      </c>
      <c r="H77" t="s">
        <v>194</v>
      </c>
      <c r="I77" t="s">
        <v>1078</v>
      </c>
      <c r="J77" t="s">
        <v>367</v>
      </c>
      <c r="K77">
        <v>18</v>
      </c>
      <c r="L77" t="s">
        <v>405</v>
      </c>
      <c r="M77" t="str">
        <f t="shared" si="1"/>
        <v>241304</v>
      </c>
    </row>
    <row r="78" spans="1:13" x14ac:dyDescent="0.25">
      <c r="A78" t="s">
        <v>1213</v>
      </c>
      <c r="B78" t="s">
        <v>1214</v>
      </c>
      <c r="C78" t="s">
        <v>1215</v>
      </c>
      <c r="D78" t="s">
        <v>1197</v>
      </c>
      <c r="E78" t="s">
        <v>252</v>
      </c>
      <c r="F78" s="76">
        <v>0</v>
      </c>
      <c r="G78" s="75" t="s">
        <v>194</v>
      </c>
      <c r="H78" t="s">
        <v>193</v>
      </c>
      <c r="I78" t="s">
        <v>1078</v>
      </c>
      <c r="J78" t="s">
        <v>747</v>
      </c>
      <c r="K78">
        <v>18</v>
      </c>
      <c r="L78" t="s">
        <v>1216</v>
      </c>
      <c r="M78" t="str">
        <f t="shared" si="1"/>
        <v>933304</v>
      </c>
    </row>
    <row r="79" spans="1:13" x14ac:dyDescent="0.25">
      <c r="A79" t="s">
        <v>1213</v>
      </c>
      <c r="B79" t="s">
        <v>1217</v>
      </c>
      <c r="C79" t="s">
        <v>1218</v>
      </c>
      <c r="D79" t="s">
        <v>1197</v>
      </c>
      <c r="E79" t="s">
        <v>252</v>
      </c>
      <c r="F79" s="76">
        <v>0</v>
      </c>
      <c r="G79" s="75" t="s">
        <v>194</v>
      </c>
      <c r="H79" t="s">
        <v>193</v>
      </c>
      <c r="I79" t="s">
        <v>1078</v>
      </c>
      <c r="J79" t="s">
        <v>1219</v>
      </c>
      <c r="K79">
        <v>18</v>
      </c>
      <c r="L79" t="s">
        <v>1220</v>
      </c>
      <c r="M79" t="str">
        <f t="shared" si="1"/>
        <v>932101</v>
      </c>
    </row>
    <row r="80" spans="1:13" x14ac:dyDescent="0.25">
      <c r="A80" t="s">
        <v>1213</v>
      </c>
      <c r="B80" t="s">
        <v>1221</v>
      </c>
      <c r="C80" t="s">
        <v>1222</v>
      </c>
      <c r="D80" t="s">
        <v>1197</v>
      </c>
      <c r="E80" t="s">
        <v>252</v>
      </c>
      <c r="F80" s="76">
        <v>0</v>
      </c>
      <c r="G80" s="75" t="s">
        <v>194</v>
      </c>
      <c r="H80" t="s">
        <v>193</v>
      </c>
      <c r="I80" t="s">
        <v>1078</v>
      </c>
      <c r="J80" t="s">
        <v>210</v>
      </c>
      <c r="K80">
        <v>18</v>
      </c>
      <c r="L80" t="s">
        <v>1223</v>
      </c>
      <c r="M80" t="str">
        <f t="shared" si="1"/>
        <v>932913</v>
      </c>
    </row>
    <row r="81" spans="1:13" x14ac:dyDescent="0.25">
      <c r="A81" t="s">
        <v>1224</v>
      </c>
      <c r="B81" t="s">
        <v>1225</v>
      </c>
      <c r="C81" t="s">
        <v>1226</v>
      </c>
      <c r="D81" t="s">
        <v>1197</v>
      </c>
      <c r="E81" t="s">
        <v>252</v>
      </c>
      <c r="F81" s="28">
        <v>1</v>
      </c>
      <c r="G81" t="s">
        <v>193</v>
      </c>
      <c r="H81" t="s">
        <v>194</v>
      </c>
      <c r="I81" t="s">
        <v>1078</v>
      </c>
      <c r="J81" t="s">
        <v>962</v>
      </c>
      <c r="K81">
        <v>18</v>
      </c>
      <c r="L81" t="s">
        <v>1227</v>
      </c>
      <c r="M81" t="str">
        <f t="shared" si="1"/>
        <v>215106</v>
      </c>
    </row>
    <row r="82" spans="1:13" x14ac:dyDescent="0.25">
      <c r="A82" t="s">
        <v>1228</v>
      </c>
      <c r="B82" t="s">
        <v>1229</v>
      </c>
      <c r="C82" t="s">
        <v>95</v>
      </c>
      <c r="D82" t="s">
        <v>1197</v>
      </c>
      <c r="E82" t="s">
        <v>192</v>
      </c>
      <c r="F82" s="28">
        <v>1</v>
      </c>
      <c r="G82" t="s">
        <v>193</v>
      </c>
      <c r="H82" t="s">
        <v>194</v>
      </c>
      <c r="I82" t="s">
        <v>1078</v>
      </c>
      <c r="J82" t="s">
        <v>210</v>
      </c>
      <c r="K82">
        <v>18</v>
      </c>
      <c r="L82" t="s">
        <v>1015</v>
      </c>
      <c r="M82" t="str">
        <f t="shared" si="1"/>
        <v>122102</v>
      </c>
    </row>
    <row r="83" spans="1:13" x14ac:dyDescent="0.25">
      <c r="A83" t="s">
        <v>1230</v>
      </c>
      <c r="B83" t="s">
        <v>1231</v>
      </c>
      <c r="C83" t="s">
        <v>156</v>
      </c>
      <c r="D83" t="s">
        <v>1197</v>
      </c>
      <c r="E83" t="s">
        <v>192</v>
      </c>
      <c r="F83" s="28">
        <v>1</v>
      </c>
      <c r="G83" t="s">
        <v>193</v>
      </c>
      <c r="H83" t="s">
        <v>194</v>
      </c>
      <c r="I83" t="s">
        <v>1078</v>
      </c>
      <c r="J83" t="s">
        <v>1232</v>
      </c>
      <c r="K83">
        <v>18</v>
      </c>
      <c r="L83" t="s">
        <v>659</v>
      </c>
      <c r="M83" t="str">
        <f t="shared" si="1"/>
        <v>332302</v>
      </c>
    </row>
    <row r="84" spans="1:13" x14ac:dyDescent="0.25">
      <c r="A84" t="s">
        <v>1233</v>
      </c>
      <c r="B84" t="s">
        <v>1234</v>
      </c>
      <c r="C84" t="s">
        <v>36</v>
      </c>
      <c r="D84" t="s">
        <v>1197</v>
      </c>
      <c r="E84" t="s">
        <v>252</v>
      </c>
      <c r="F84" s="28">
        <v>1</v>
      </c>
      <c r="G84" t="s">
        <v>193</v>
      </c>
      <c r="H84" t="s">
        <v>194</v>
      </c>
      <c r="I84" t="s">
        <v>1078</v>
      </c>
      <c r="J84" t="s">
        <v>210</v>
      </c>
      <c r="K84">
        <v>18</v>
      </c>
      <c r="L84" t="s">
        <v>609</v>
      </c>
      <c r="M84" t="str">
        <f t="shared" si="1"/>
        <v>331301</v>
      </c>
    </row>
    <row r="85" spans="1:13" x14ac:dyDescent="0.25">
      <c r="A85" t="s">
        <v>1235</v>
      </c>
      <c r="B85" t="s">
        <v>1236</v>
      </c>
      <c r="C85" t="s">
        <v>1236</v>
      </c>
      <c r="D85" t="s">
        <v>1197</v>
      </c>
      <c r="E85" t="s">
        <v>192</v>
      </c>
      <c r="F85" s="28">
        <v>1</v>
      </c>
      <c r="G85" t="s">
        <v>193</v>
      </c>
      <c r="H85" t="s">
        <v>194</v>
      </c>
      <c r="I85" t="s">
        <v>1117</v>
      </c>
      <c r="J85" t="s">
        <v>196</v>
      </c>
      <c r="K85">
        <v>18</v>
      </c>
      <c r="L85" t="s">
        <v>1237</v>
      </c>
      <c r="M85" t="str">
        <f t="shared" si="1"/>
        <v>712601</v>
      </c>
    </row>
    <row r="86" spans="1:13" x14ac:dyDescent="0.25">
      <c r="A86" t="s">
        <v>1238</v>
      </c>
      <c r="B86" t="s">
        <v>1239</v>
      </c>
      <c r="C86" t="s">
        <v>1240</v>
      </c>
      <c r="D86" t="s">
        <v>1197</v>
      </c>
      <c r="E86" t="s">
        <v>252</v>
      </c>
      <c r="F86" s="28">
        <v>1</v>
      </c>
      <c r="G86" t="s">
        <v>193</v>
      </c>
      <c r="H86" t="s">
        <v>194</v>
      </c>
      <c r="I86" t="s">
        <v>1078</v>
      </c>
      <c r="J86" t="s">
        <v>1241</v>
      </c>
      <c r="K86">
        <v>18</v>
      </c>
      <c r="L86" t="s">
        <v>1242</v>
      </c>
      <c r="M86" t="str">
        <f t="shared" si="1"/>
        <v>242102</v>
      </c>
    </row>
    <row r="87" spans="1:13" x14ac:dyDescent="0.25">
      <c r="A87" t="s">
        <v>1243</v>
      </c>
      <c r="B87" t="s">
        <v>1244</v>
      </c>
      <c r="C87" t="s">
        <v>104</v>
      </c>
      <c r="D87" t="s">
        <v>1197</v>
      </c>
      <c r="E87" t="s">
        <v>252</v>
      </c>
      <c r="F87" s="28">
        <v>1</v>
      </c>
      <c r="G87" t="s">
        <v>193</v>
      </c>
      <c r="H87" t="s">
        <v>194</v>
      </c>
      <c r="I87" t="s">
        <v>1078</v>
      </c>
      <c r="J87" t="s">
        <v>1245</v>
      </c>
      <c r="K87">
        <v>18</v>
      </c>
      <c r="L87" t="s">
        <v>703</v>
      </c>
      <c r="M87" t="str">
        <f t="shared" si="1"/>
        <v>411004</v>
      </c>
    </row>
    <row r="88" spans="1:13" x14ac:dyDescent="0.25">
      <c r="A88" t="s">
        <v>1246</v>
      </c>
      <c r="B88" t="s">
        <v>1247</v>
      </c>
      <c r="C88" t="s">
        <v>67</v>
      </c>
      <c r="D88" t="s">
        <v>1197</v>
      </c>
      <c r="E88" t="s">
        <v>192</v>
      </c>
      <c r="F88" s="28">
        <v>1</v>
      </c>
      <c r="G88" t="s">
        <v>193</v>
      </c>
      <c r="H88" t="s">
        <v>194</v>
      </c>
      <c r="I88" t="s">
        <v>1078</v>
      </c>
      <c r="J88" t="s">
        <v>323</v>
      </c>
      <c r="K88">
        <v>18</v>
      </c>
      <c r="L88" t="s">
        <v>709</v>
      </c>
      <c r="M88" t="str">
        <f t="shared" si="1"/>
        <v>432103</v>
      </c>
    </row>
    <row r="89" spans="1:13" x14ac:dyDescent="0.25">
      <c r="A89" t="s">
        <v>1248</v>
      </c>
      <c r="B89" t="s">
        <v>1249</v>
      </c>
      <c r="C89" t="s">
        <v>1250</v>
      </c>
      <c r="D89" t="s">
        <v>1197</v>
      </c>
      <c r="E89" t="s">
        <v>252</v>
      </c>
      <c r="F89" s="28">
        <v>1</v>
      </c>
      <c r="G89" t="s">
        <v>193</v>
      </c>
      <c r="H89" t="s">
        <v>194</v>
      </c>
      <c r="I89" t="s">
        <v>1078</v>
      </c>
      <c r="J89" t="s">
        <v>367</v>
      </c>
      <c r="K89">
        <v>18</v>
      </c>
      <c r="L89" t="s">
        <v>1251</v>
      </c>
      <c r="M89" t="str">
        <f t="shared" si="1"/>
        <v>731502</v>
      </c>
    </row>
    <row r="90" spans="1:13" x14ac:dyDescent="0.25">
      <c r="A90" t="s">
        <v>1091</v>
      </c>
      <c r="B90" t="s">
        <v>1092</v>
      </c>
      <c r="C90" t="s">
        <v>27</v>
      </c>
      <c r="D90" t="s">
        <v>1197</v>
      </c>
      <c r="E90" t="s">
        <v>217</v>
      </c>
      <c r="F90" s="28">
        <v>1</v>
      </c>
      <c r="G90" t="s">
        <v>193</v>
      </c>
      <c r="H90" t="s">
        <v>194</v>
      </c>
      <c r="I90" t="s">
        <v>1078</v>
      </c>
      <c r="J90" t="s">
        <v>210</v>
      </c>
      <c r="K90">
        <v>18</v>
      </c>
      <c r="L90" t="s">
        <v>440</v>
      </c>
      <c r="M90" t="str">
        <f t="shared" si="1"/>
        <v>242307</v>
      </c>
    </row>
    <row r="91" spans="1:13" x14ac:dyDescent="0.25">
      <c r="A91" t="s">
        <v>1252</v>
      </c>
      <c r="B91" t="s">
        <v>1253</v>
      </c>
      <c r="C91" t="s">
        <v>1148</v>
      </c>
      <c r="D91" t="s">
        <v>1197</v>
      </c>
      <c r="E91" t="s">
        <v>252</v>
      </c>
      <c r="F91" s="28">
        <v>1</v>
      </c>
      <c r="G91" t="s">
        <v>193</v>
      </c>
      <c r="H91" t="s">
        <v>194</v>
      </c>
      <c r="I91" t="s">
        <v>1078</v>
      </c>
      <c r="J91" t="s">
        <v>1254</v>
      </c>
      <c r="K91">
        <v>18</v>
      </c>
      <c r="L91" t="s">
        <v>1150</v>
      </c>
      <c r="M91" t="str">
        <f t="shared" si="1"/>
        <v>244001</v>
      </c>
    </row>
    <row r="92" spans="1:13" x14ac:dyDescent="0.25">
      <c r="A92" t="s">
        <v>1154</v>
      </c>
      <c r="B92" t="s">
        <v>875</v>
      </c>
      <c r="C92" t="s">
        <v>875</v>
      </c>
      <c r="D92" t="s">
        <v>1197</v>
      </c>
      <c r="E92" t="s">
        <v>252</v>
      </c>
      <c r="F92" s="28">
        <v>1</v>
      </c>
      <c r="G92" t="s">
        <v>193</v>
      </c>
      <c r="H92" t="s">
        <v>194</v>
      </c>
      <c r="I92" t="s">
        <v>1255</v>
      </c>
      <c r="J92" t="s">
        <v>1256</v>
      </c>
      <c r="K92">
        <v>18</v>
      </c>
      <c r="L92" t="s">
        <v>876</v>
      </c>
      <c r="M92" t="str">
        <f t="shared" si="1"/>
        <v>833203</v>
      </c>
    </row>
    <row r="93" spans="1:13" x14ac:dyDescent="0.25">
      <c r="A93" t="s">
        <v>1154</v>
      </c>
      <c r="B93" t="s">
        <v>17</v>
      </c>
      <c r="C93" t="s">
        <v>17</v>
      </c>
      <c r="D93" t="s">
        <v>1197</v>
      </c>
      <c r="E93" t="s">
        <v>252</v>
      </c>
      <c r="F93" s="28">
        <v>1</v>
      </c>
      <c r="G93" t="s">
        <v>193</v>
      </c>
      <c r="H93" t="s">
        <v>194</v>
      </c>
      <c r="I93" t="s">
        <v>1255</v>
      </c>
      <c r="J93" t="s">
        <v>1257</v>
      </c>
      <c r="K93">
        <v>18</v>
      </c>
      <c r="L93" t="s">
        <v>624</v>
      </c>
      <c r="M93" t="str">
        <f t="shared" si="1"/>
        <v>332203</v>
      </c>
    </row>
    <row r="94" spans="1:13" x14ac:dyDescent="0.25">
      <c r="A94" t="s">
        <v>1258</v>
      </c>
      <c r="B94" t="s">
        <v>1259</v>
      </c>
      <c r="C94" t="s">
        <v>163</v>
      </c>
      <c r="D94" t="s">
        <v>1197</v>
      </c>
      <c r="E94" t="s">
        <v>252</v>
      </c>
      <c r="F94" s="28">
        <v>1</v>
      </c>
      <c r="G94" t="s">
        <v>193</v>
      </c>
      <c r="H94" t="s">
        <v>194</v>
      </c>
      <c r="I94" t="s">
        <v>1255</v>
      </c>
      <c r="J94" t="s">
        <v>385</v>
      </c>
      <c r="K94">
        <v>18</v>
      </c>
      <c r="L94" t="s">
        <v>697</v>
      </c>
      <c r="M94" t="str">
        <f t="shared" si="1"/>
        <v>351203</v>
      </c>
    </row>
    <row r="95" spans="1:13" x14ac:dyDescent="0.25">
      <c r="A95" t="s">
        <v>1260</v>
      </c>
      <c r="B95" t="s">
        <v>1261</v>
      </c>
      <c r="C95" t="s">
        <v>140</v>
      </c>
      <c r="D95" t="s">
        <v>1197</v>
      </c>
      <c r="E95" t="s">
        <v>192</v>
      </c>
      <c r="F95" s="28">
        <v>1</v>
      </c>
      <c r="G95" t="s">
        <v>193</v>
      </c>
      <c r="H95" t="s">
        <v>194</v>
      </c>
      <c r="I95" t="s">
        <v>1255</v>
      </c>
      <c r="J95" t="s">
        <v>210</v>
      </c>
      <c r="K95">
        <v>18</v>
      </c>
      <c r="L95" t="s">
        <v>1262</v>
      </c>
      <c r="M95" t="str">
        <f t="shared" si="1"/>
        <v>141202</v>
      </c>
    </row>
    <row r="96" spans="1:13" x14ac:dyDescent="0.25">
      <c r="A96" t="s">
        <v>540</v>
      </c>
      <c r="B96" t="s">
        <v>1263</v>
      </c>
      <c r="C96" s="165" t="s">
        <v>542</v>
      </c>
      <c r="D96" t="s">
        <v>1197</v>
      </c>
      <c r="E96" t="s">
        <v>252</v>
      </c>
      <c r="F96" s="28">
        <v>1</v>
      </c>
      <c r="G96" t="s">
        <v>193</v>
      </c>
      <c r="H96" t="s">
        <v>194</v>
      </c>
      <c r="I96" t="s">
        <v>1255</v>
      </c>
      <c r="J96" t="s">
        <v>253</v>
      </c>
      <c r="K96">
        <v>18</v>
      </c>
      <c r="L96" t="s">
        <v>543</v>
      </c>
      <c r="M96" t="str">
        <f t="shared" si="1"/>
        <v>264304</v>
      </c>
    </row>
    <row r="97" spans="1:13" x14ac:dyDescent="0.25">
      <c r="A97" t="s">
        <v>540</v>
      </c>
      <c r="B97" t="s">
        <v>1263</v>
      </c>
      <c r="C97" s="165" t="s">
        <v>542</v>
      </c>
      <c r="D97" t="s">
        <v>1197</v>
      </c>
      <c r="E97" t="s">
        <v>252</v>
      </c>
      <c r="F97" s="28">
        <v>1</v>
      </c>
      <c r="G97" t="s">
        <v>193</v>
      </c>
      <c r="H97" t="s">
        <v>194</v>
      </c>
      <c r="I97" t="s">
        <v>1255</v>
      </c>
      <c r="J97" t="s">
        <v>267</v>
      </c>
      <c r="K97">
        <v>18</v>
      </c>
      <c r="L97" t="s">
        <v>543</v>
      </c>
      <c r="M97" t="str">
        <f t="shared" si="1"/>
        <v>264304</v>
      </c>
    </row>
    <row r="98" spans="1:13" x14ac:dyDescent="0.25">
      <c r="A98" t="s">
        <v>540</v>
      </c>
      <c r="B98" t="s">
        <v>1263</v>
      </c>
      <c r="C98" s="165" t="s">
        <v>542</v>
      </c>
      <c r="D98" t="s">
        <v>1197</v>
      </c>
      <c r="E98" t="s">
        <v>252</v>
      </c>
      <c r="F98" s="28">
        <v>1</v>
      </c>
      <c r="G98" t="s">
        <v>193</v>
      </c>
      <c r="H98" t="s">
        <v>194</v>
      </c>
      <c r="I98" t="s">
        <v>1255</v>
      </c>
      <c r="J98" t="s">
        <v>210</v>
      </c>
      <c r="K98">
        <v>18</v>
      </c>
      <c r="L98" t="s">
        <v>543</v>
      </c>
      <c r="M98" t="str">
        <f t="shared" si="1"/>
        <v>264304</v>
      </c>
    </row>
    <row r="99" spans="1:13" x14ac:dyDescent="0.25">
      <c r="A99" t="s">
        <v>540</v>
      </c>
      <c r="B99" t="s">
        <v>353</v>
      </c>
      <c r="C99" t="s">
        <v>1264</v>
      </c>
      <c r="D99" t="s">
        <v>1197</v>
      </c>
      <c r="E99" t="s">
        <v>252</v>
      </c>
      <c r="F99" s="28">
        <v>1</v>
      </c>
      <c r="G99" t="s">
        <v>193</v>
      </c>
      <c r="H99" t="s">
        <v>194</v>
      </c>
      <c r="I99" t="s">
        <v>1255</v>
      </c>
      <c r="J99" t="s">
        <v>276</v>
      </c>
      <c r="K99">
        <v>18</v>
      </c>
      <c r="L99" t="s">
        <v>1265</v>
      </c>
      <c r="M99" t="str">
        <f t="shared" si="1"/>
        <v>311917</v>
      </c>
    </row>
    <row r="100" spans="1:13" x14ac:dyDescent="0.25">
      <c r="A100" t="s">
        <v>540</v>
      </c>
      <c r="B100" t="s">
        <v>1266</v>
      </c>
      <c r="C100" t="s">
        <v>17</v>
      </c>
      <c r="D100" t="s">
        <v>1197</v>
      </c>
      <c r="E100" t="s">
        <v>252</v>
      </c>
      <c r="F100" s="28">
        <v>1</v>
      </c>
      <c r="G100" t="s">
        <v>193</v>
      </c>
      <c r="H100" t="s">
        <v>194</v>
      </c>
      <c r="I100" t="s">
        <v>1255</v>
      </c>
      <c r="J100" t="s">
        <v>210</v>
      </c>
      <c r="K100">
        <v>18</v>
      </c>
      <c r="L100" t="s">
        <v>624</v>
      </c>
      <c r="M100" t="str">
        <f t="shared" si="1"/>
        <v>332203</v>
      </c>
    </row>
    <row r="101" spans="1:13" x14ac:dyDescent="0.25">
      <c r="A101" t="s">
        <v>540</v>
      </c>
      <c r="B101" t="s">
        <v>1267</v>
      </c>
      <c r="C101" t="s">
        <v>36</v>
      </c>
      <c r="D101" t="s">
        <v>1197</v>
      </c>
      <c r="E101" t="s">
        <v>252</v>
      </c>
      <c r="F101" s="28">
        <v>1</v>
      </c>
      <c r="G101" t="s">
        <v>193</v>
      </c>
      <c r="H101" t="s">
        <v>194</v>
      </c>
      <c r="I101" t="s">
        <v>1255</v>
      </c>
      <c r="J101" t="s">
        <v>210</v>
      </c>
      <c r="K101">
        <v>18</v>
      </c>
      <c r="L101" t="s">
        <v>609</v>
      </c>
      <c r="M101" t="str">
        <f t="shared" si="1"/>
        <v>331301</v>
      </c>
    </row>
    <row r="102" spans="1:13" x14ac:dyDescent="0.25">
      <c r="A102" t="s">
        <v>540</v>
      </c>
      <c r="B102" t="s">
        <v>1268</v>
      </c>
      <c r="C102" t="s">
        <v>36</v>
      </c>
      <c r="D102" t="s">
        <v>1197</v>
      </c>
      <c r="E102" t="s">
        <v>252</v>
      </c>
      <c r="F102" s="28">
        <v>1</v>
      </c>
      <c r="G102" t="s">
        <v>193</v>
      </c>
      <c r="H102" t="s">
        <v>194</v>
      </c>
      <c r="I102" t="s">
        <v>1255</v>
      </c>
      <c r="J102" t="s">
        <v>210</v>
      </c>
      <c r="K102">
        <v>18</v>
      </c>
      <c r="L102" t="s">
        <v>609</v>
      </c>
      <c r="M102" t="str">
        <f t="shared" si="1"/>
        <v>331301</v>
      </c>
    </row>
    <row r="103" spans="1:13" x14ac:dyDescent="0.25">
      <c r="A103" t="s">
        <v>540</v>
      </c>
      <c r="B103" t="s">
        <v>1269</v>
      </c>
      <c r="C103" t="s">
        <v>36</v>
      </c>
      <c r="D103" t="s">
        <v>1197</v>
      </c>
      <c r="E103" t="s">
        <v>252</v>
      </c>
      <c r="F103" s="28">
        <v>1</v>
      </c>
      <c r="G103" t="s">
        <v>193</v>
      </c>
      <c r="H103" t="s">
        <v>194</v>
      </c>
      <c r="I103" t="s">
        <v>1255</v>
      </c>
      <c r="J103" t="s">
        <v>210</v>
      </c>
      <c r="K103">
        <v>18</v>
      </c>
      <c r="L103" t="s">
        <v>609</v>
      </c>
      <c r="M103" t="str">
        <f t="shared" si="1"/>
        <v>331301</v>
      </c>
    </row>
    <row r="104" spans="1:13" x14ac:dyDescent="0.25">
      <c r="A104" t="s">
        <v>540</v>
      </c>
      <c r="B104" t="s">
        <v>1270</v>
      </c>
      <c r="C104" t="s">
        <v>36</v>
      </c>
      <c r="D104" t="s">
        <v>1197</v>
      </c>
      <c r="E104" t="s">
        <v>252</v>
      </c>
      <c r="F104" s="28">
        <v>1</v>
      </c>
      <c r="G104" t="s">
        <v>193</v>
      </c>
      <c r="H104" t="s">
        <v>194</v>
      </c>
      <c r="I104" t="s">
        <v>1255</v>
      </c>
      <c r="J104" t="s">
        <v>210</v>
      </c>
      <c r="K104">
        <v>18</v>
      </c>
      <c r="L104" t="s">
        <v>609</v>
      </c>
      <c r="M104" t="str">
        <f t="shared" si="1"/>
        <v>331301</v>
      </c>
    </row>
    <row r="105" spans="1:13" x14ac:dyDescent="0.25">
      <c r="A105" t="s">
        <v>540</v>
      </c>
      <c r="B105" t="s">
        <v>1271</v>
      </c>
      <c r="C105" t="s">
        <v>770</v>
      </c>
      <c r="D105" t="s">
        <v>1197</v>
      </c>
      <c r="E105" t="s">
        <v>252</v>
      </c>
      <c r="F105" s="28">
        <v>1</v>
      </c>
      <c r="G105" t="s">
        <v>193</v>
      </c>
      <c r="H105" t="s">
        <v>194</v>
      </c>
      <c r="I105" t="s">
        <v>1255</v>
      </c>
      <c r="J105" t="s">
        <v>210</v>
      </c>
      <c r="K105">
        <v>18</v>
      </c>
      <c r="L105" t="s">
        <v>772</v>
      </c>
      <c r="M105" t="str">
        <f t="shared" si="1"/>
        <v>522305</v>
      </c>
    </row>
    <row r="106" spans="1:13" x14ac:dyDescent="0.25">
      <c r="A106" t="s">
        <v>540</v>
      </c>
      <c r="B106" t="s">
        <v>1272</v>
      </c>
      <c r="C106" t="s">
        <v>113</v>
      </c>
      <c r="D106" t="s">
        <v>1197</v>
      </c>
      <c r="E106" t="s">
        <v>252</v>
      </c>
      <c r="F106" s="28">
        <v>1</v>
      </c>
      <c r="G106" t="s">
        <v>193</v>
      </c>
      <c r="H106" t="s">
        <v>194</v>
      </c>
      <c r="I106" t="s">
        <v>1255</v>
      </c>
      <c r="J106" t="s">
        <v>210</v>
      </c>
      <c r="K106">
        <v>18</v>
      </c>
      <c r="L106" t="s">
        <v>465</v>
      </c>
      <c r="M106" t="str">
        <f t="shared" si="1"/>
        <v>243302</v>
      </c>
    </row>
    <row r="107" spans="1:13" x14ac:dyDescent="0.25">
      <c r="A107" t="s">
        <v>540</v>
      </c>
      <c r="B107" t="s">
        <v>1273</v>
      </c>
      <c r="C107" t="s">
        <v>150</v>
      </c>
      <c r="D107" t="s">
        <v>1197</v>
      </c>
      <c r="E107" t="s">
        <v>252</v>
      </c>
      <c r="F107" s="28">
        <v>1</v>
      </c>
      <c r="G107" t="s">
        <v>193</v>
      </c>
      <c r="H107" t="s">
        <v>194</v>
      </c>
      <c r="I107" t="s">
        <v>1255</v>
      </c>
      <c r="J107" t="s">
        <v>316</v>
      </c>
      <c r="K107">
        <v>18</v>
      </c>
      <c r="L107" t="s">
        <v>1274</v>
      </c>
      <c r="M107" t="str">
        <f t="shared" si="1"/>
        <v>132105</v>
      </c>
    </row>
    <row r="108" spans="1:13" x14ac:dyDescent="0.25">
      <c r="A108" t="s">
        <v>540</v>
      </c>
      <c r="B108" t="s">
        <v>1275</v>
      </c>
      <c r="C108" t="s">
        <v>1276</v>
      </c>
      <c r="D108" t="s">
        <v>1197</v>
      </c>
      <c r="E108" t="s">
        <v>252</v>
      </c>
      <c r="F108" s="28">
        <v>1</v>
      </c>
      <c r="G108" t="s">
        <v>193</v>
      </c>
      <c r="H108" t="s">
        <v>194</v>
      </c>
      <c r="I108" t="s">
        <v>1255</v>
      </c>
      <c r="J108" t="s">
        <v>210</v>
      </c>
      <c r="K108">
        <v>18</v>
      </c>
      <c r="L108" t="s">
        <v>1277</v>
      </c>
      <c r="M108" t="str">
        <f t="shared" si="1"/>
        <v>315317</v>
      </c>
    </row>
    <row r="109" spans="1:13" x14ac:dyDescent="0.25">
      <c r="A109" t="s">
        <v>540</v>
      </c>
      <c r="B109" t="s">
        <v>1278</v>
      </c>
      <c r="C109" t="s">
        <v>1276</v>
      </c>
      <c r="D109" t="s">
        <v>1197</v>
      </c>
      <c r="E109" t="s">
        <v>252</v>
      </c>
      <c r="F109" s="28">
        <v>1</v>
      </c>
      <c r="G109" t="s">
        <v>193</v>
      </c>
      <c r="H109" t="s">
        <v>194</v>
      </c>
      <c r="I109" t="s">
        <v>1255</v>
      </c>
      <c r="J109" t="s">
        <v>210</v>
      </c>
      <c r="K109">
        <v>18</v>
      </c>
      <c r="L109" t="s">
        <v>1277</v>
      </c>
      <c r="M109" t="str">
        <f t="shared" si="1"/>
        <v>315317</v>
      </c>
    </row>
    <row r="110" spans="1:13" x14ac:dyDescent="0.25">
      <c r="A110" t="s">
        <v>540</v>
      </c>
      <c r="B110" t="s">
        <v>1279</v>
      </c>
      <c r="C110" t="s">
        <v>29</v>
      </c>
      <c r="D110" t="s">
        <v>1197</v>
      </c>
      <c r="E110" t="s">
        <v>252</v>
      </c>
      <c r="F110" s="28">
        <v>1</v>
      </c>
      <c r="G110" t="s">
        <v>193</v>
      </c>
      <c r="H110" t="s">
        <v>194</v>
      </c>
      <c r="I110" t="s">
        <v>1255</v>
      </c>
      <c r="J110" t="s">
        <v>210</v>
      </c>
      <c r="K110">
        <v>18</v>
      </c>
      <c r="L110" t="s">
        <v>808</v>
      </c>
      <c r="M110" t="str">
        <f t="shared" si="1"/>
        <v>722308</v>
      </c>
    </row>
    <row r="111" spans="1:13" x14ac:dyDescent="0.25">
      <c r="A111" t="s">
        <v>540</v>
      </c>
      <c r="B111" t="s">
        <v>1280</v>
      </c>
      <c r="C111" t="s">
        <v>62</v>
      </c>
      <c r="D111" t="s">
        <v>1197</v>
      </c>
      <c r="E111" t="s">
        <v>252</v>
      </c>
      <c r="F111" s="28">
        <v>1</v>
      </c>
      <c r="G111" t="s">
        <v>193</v>
      </c>
      <c r="H111" t="s">
        <v>194</v>
      </c>
      <c r="I111" t="s">
        <v>1255</v>
      </c>
      <c r="J111" t="s">
        <v>1281</v>
      </c>
      <c r="K111">
        <v>18</v>
      </c>
      <c r="L111" t="s">
        <v>601</v>
      </c>
      <c r="M111" t="str">
        <f t="shared" si="1"/>
        <v>313904</v>
      </c>
    </row>
    <row r="112" spans="1:13" x14ac:dyDescent="0.25">
      <c r="A112" t="s">
        <v>540</v>
      </c>
      <c r="B112" t="s">
        <v>1162</v>
      </c>
      <c r="C112" t="s">
        <v>62</v>
      </c>
      <c r="D112" t="s">
        <v>1197</v>
      </c>
      <c r="E112" t="s">
        <v>252</v>
      </c>
      <c r="F112" s="28">
        <v>1</v>
      </c>
      <c r="G112" t="s">
        <v>193</v>
      </c>
      <c r="H112" t="s">
        <v>194</v>
      </c>
      <c r="I112" t="s">
        <v>1255</v>
      </c>
      <c r="J112" t="s">
        <v>1281</v>
      </c>
      <c r="K112">
        <v>18</v>
      </c>
      <c r="L112" t="s">
        <v>601</v>
      </c>
      <c r="M112" t="str">
        <f t="shared" si="1"/>
        <v>313904</v>
      </c>
    </row>
    <row r="113" spans="1:13" x14ac:dyDescent="0.25">
      <c r="A113" t="s">
        <v>540</v>
      </c>
      <c r="B113" t="s">
        <v>1162</v>
      </c>
      <c r="C113" t="s">
        <v>62</v>
      </c>
      <c r="D113" t="s">
        <v>1197</v>
      </c>
      <c r="E113" t="s">
        <v>252</v>
      </c>
      <c r="F113" s="28">
        <v>1</v>
      </c>
      <c r="G113" t="s">
        <v>193</v>
      </c>
      <c r="H113" t="s">
        <v>194</v>
      </c>
      <c r="I113" t="s">
        <v>1255</v>
      </c>
      <c r="J113" t="s">
        <v>210</v>
      </c>
      <c r="K113">
        <v>18</v>
      </c>
      <c r="L113" t="s">
        <v>601</v>
      </c>
      <c r="M113" t="str">
        <f t="shared" si="1"/>
        <v>313904</v>
      </c>
    </row>
    <row r="114" spans="1:13" x14ac:dyDescent="0.25">
      <c r="A114" t="s">
        <v>540</v>
      </c>
      <c r="B114" t="s">
        <v>356</v>
      </c>
      <c r="C114" t="s">
        <v>62</v>
      </c>
      <c r="D114" t="s">
        <v>1197</v>
      </c>
      <c r="E114" t="s">
        <v>252</v>
      </c>
      <c r="F114" s="28">
        <v>1</v>
      </c>
      <c r="G114" t="s">
        <v>193</v>
      </c>
      <c r="H114" t="s">
        <v>194</v>
      </c>
      <c r="I114" t="s">
        <v>1255</v>
      </c>
      <c r="J114" t="s">
        <v>747</v>
      </c>
      <c r="K114">
        <v>18</v>
      </c>
      <c r="L114" t="s">
        <v>601</v>
      </c>
      <c r="M114" t="str">
        <f t="shared" si="1"/>
        <v>313904</v>
      </c>
    </row>
    <row r="115" spans="1:13" x14ac:dyDescent="0.25">
      <c r="A115" t="s">
        <v>540</v>
      </c>
      <c r="B115" t="s">
        <v>356</v>
      </c>
      <c r="C115" t="s">
        <v>62</v>
      </c>
      <c r="D115" t="s">
        <v>1197</v>
      </c>
      <c r="E115" t="s">
        <v>252</v>
      </c>
      <c r="F115" s="28">
        <v>1</v>
      </c>
      <c r="G115" t="s">
        <v>193</v>
      </c>
      <c r="H115" t="s">
        <v>194</v>
      </c>
      <c r="I115" t="s">
        <v>1255</v>
      </c>
      <c r="J115" t="s">
        <v>367</v>
      </c>
      <c r="K115">
        <v>18</v>
      </c>
      <c r="L115" t="s">
        <v>601</v>
      </c>
      <c r="M115" t="str">
        <f t="shared" si="1"/>
        <v>313904</v>
      </c>
    </row>
    <row r="116" spans="1:13" x14ac:dyDescent="0.25">
      <c r="A116" t="s">
        <v>540</v>
      </c>
      <c r="B116" t="s">
        <v>1282</v>
      </c>
      <c r="C116" t="s">
        <v>420</v>
      </c>
      <c r="D116" t="s">
        <v>1197</v>
      </c>
      <c r="E116" t="s">
        <v>252</v>
      </c>
      <c r="F116" s="28">
        <v>1</v>
      </c>
      <c r="G116" t="s">
        <v>193</v>
      </c>
      <c r="H116" t="s">
        <v>194</v>
      </c>
      <c r="I116" t="s">
        <v>1255</v>
      </c>
      <c r="J116" t="s">
        <v>210</v>
      </c>
      <c r="K116">
        <v>18</v>
      </c>
      <c r="L116" t="s">
        <v>421</v>
      </c>
      <c r="M116" t="str">
        <f t="shared" si="1"/>
        <v>241306</v>
      </c>
    </row>
    <row r="117" spans="1:13" x14ac:dyDescent="0.25">
      <c r="A117" t="s">
        <v>540</v>
      </c>
      <c r="B117" t="s">
        <v>1283</v>
      </c>
      <c r="C117" t="s">
        <v>420</v>
      </c>
      <c r="D117" t="s">
        <v>1197</v>
      </c>
      <c r="E117" t="s">
        <v>252</v>
      </c>
      <c r="F117" s="28">
        <v>1</v>
      </c>
      <c r="G117" t="s">
        <v>193</v>
      </c>
      <c r="H117" t="s">
        <v>194</v>
      </c>
      <c r="I117" t="s">
        <v>1255</v>
      </c>
      <c r="J117" t="s">
        <v>210</v>
      </c>
      <c r="K117">
        <v>18</v>
      </c>
      <c r="L117" t="s">
        <v>421</v>
      </c>
      <c r="M117" t="str">
        <f t="shared" si="1"/>
        <v>241306</v>
      </c>
    </row>
    <row r="118" spans="1:13" x14ac:dyDescent="0.25">
      <c r="A118" t="s">
        <v>540</v>
      </c>
      <c r="B118" t="s">
        <v>1284</v>
      </c>
      <c r="C118" t="s">
        <v>420</v>
      </c>
      <c r="D118" t="s">
        <v>1197</v>
      </c>
      <c r="E118" t="s">
        <v>252</v>
      </c>
      <c r="F118" s="28">
        <v>1</v>
      </c>
      <c r="G118" t="s">
        <v>193</v>
      </c>
      <c r="H118" t="s">
        <v>194</v>
      </c>
      <c r="I118" t="s">
        <v>1255</v>
      </c>
      <c r="J118" t="s">
        <v>210</v>
      </c>
      <c r="K118">
        <v>18</v>
      </c>
      <c r="L118" t="s">
        <v>421</v>
      </c>
      <c r="M118" t="str">
        <f t="shared" si="1"/>
        <v>241306</v>
      </c>
    </row>
    <row r="119" spans="1:13" x14ac:dyDescent="0.25">
      <c r="A119" t="s">
        <v>540</v>
      </c>
      <c r="B119" t="s">
        <v>1285</v>
      </c>
      <c r="C119" t="s">
        <v>420</v>
      </c>
      <c r="D119" t="s">
        <v>1197</v>
      </c>
      <c r="E119" t="s">
        <v>252</v>
      </c>
      <c r="F119" s="28">
        <v>1</v>
      </c>
      <c r="G119" t="s">
        <v>193</v>
      </c>
      <c r="H119" t="s">
        <v>194</v>
      </c>
      <c r="I119" t="s">
        <v>1255</v>
      </c>
      <c r="J119" t="s">
        <v>210</v>
      </c>
      <c r="K119">
        <v>18</v>
      </c>
      <c r="L119" t="s">
        <v>421</v>
      </c>
      <c r="M119" t="str">
        <f t="shared" si="1"/>
        <v>241306</v>
      </c>
    </row>
    <row r="120" spans="1:13" x14ac:dyDescent="0.25">
      <c r="A120" t="s">
        <v>540</v>
      </c>
      <c r="B120" t="s">
        <v>1286</v>
      </c>
      <c r="C120" t="s">
        <v>27</v>
      </c>
      <c r="D120" t="s">
        <v>1197</v>
      </c>
      <c r="E120" t="s">
        <v>252</v>
      </c>
      <c r="F120" s="28">
        <v>1</v>
      </c>
      <c r="G120" t="s">
        <v>193</v>
      </c>
      <c r="H120" t="s">
        <v>194</v>
      </c>
      <c r="I120" t="s">
        <v>1255</v>
      </c>
      <c r="J120" t="s">
        <v>210</v>
      </c>
      <c r="K120">
        <v>18</v>
      </c>
      <c r="L120" t="s">
        <v>440</v>
      </c>
      <c r="M120" t="str">
        <f t="shared" si="1"/>
        <v>242307</v>
      </c>
    </row>
    <row r="121" spans="1:13" x14ac:dyDescent="0.25">
      <c r="A121" t="s">
        <v>540</v>
      </c>
      <c r="B121" t="s">
        <v>1287</v>
      </c>
      <c r="C121" t="s">
        <v>27</v>
      </c>
      <c r="D121" t="s">
        <v>1197</v>
      </c>
      <c r="E121" t="s">
        <v>252</v>
      </c>
      <c r="F121" s="28">
        <v>1</v>
      </c>
      <c r="G121" t="s">
        <v>193</v>
      </c>
      <c r="H121" t="s">
        <v>194</v>
      </c>
      <c r="I121" t="s">
        <v>1255</v>
      </c>
      <c r="J121" t="s">
        <v>210</v>
      </c>
      <c r="K121">
        <v>18</v>
      </c>
      <c r="L121" t="s">
        <v>440</v>
      </c>
      <c r="M121" t="str">
        <f t="shared" si="1"/>
        <v>242307</v>
      </c>
    </row>
    <row r="122" spans="1:13" x14ac:dyDescent="0.25">
      <c r="A122" t="s">
        <v>540</v>
      </c>
      <c r="B122" t="s">
        <v>1288</v>
      </c>
      <c r="C122" t="s">
        <v>85</v>
      </c>
      <c r="D122" t="s">
        <v>1197</v>
      </c>
      <c r="E122" t="s">
        <v>252</v>
      </c>
      <c r="F122" s="28">
        <v>1</v>
      </c>
      <c r="G122" t="s">
        <v>193</v>
      </c>
      <c r="H122" t="s">
        <v>194</v>
      </c>
      <c r="I122" t="s">
        <v>1255</v>
      </c>
      <c r="J122" t="s">
        <v>316</v>
      </c>
      <c r="K122">
        <v>18</v>
      </c>
      <c r="L122" t="s">
        <v>477</v>
      </c>
      <c r="M122" t="str">
        <f t="shared" si="1"/>
        <v>243305</v>
      </c>
    </row>
    <row r="123" spans="1:13" x14ac:dyDescent="0.25">
      <c r="A123" t="s">
        <v>1289</v>
      </c>
      <c r="B123" t="s">
        <v>1290</v>
      </c>
      <c r="C123" t="s">
        <v>17</v>
      </c>
      <c r="D123" t="s">
        <v>1197</v>
      </c>
      <c r="E123" t="s">
        <v>192</v>
      </c>
      <c r="F123" s="28">
        <v>1</v>
      </c>
      <c r="G123" t="s">
        <v>193</v>
      </c>
      <c r="H123" t="s">
        <v>194</v>
      </c>
      <c r="I123" t="s">
        <v>1255</v>
      </c>
      <c r="J123" t="s">
        <v>276</v>
      </c>
      <c r="K123">
        <v>18</v>
      </c>
      <c r="L123" t="s">
        <v>624</v>
      </c>
      <c r="M123" t="str">
        <f t="shared" si="1"/>
        <v>332203</v>
      </c>
    </row>
    <row r="124" spans="1:13" x14ac:dyDescent="0.25">
      <c r="A124" t="s">
        <v>244</v>
      </c>
      <c r="B124" t="s">
        <v>537</v>
      </c>
      <c r="C124" t="s">
        <v>778</v>
      </c>
      <c r="D124" t="s">
        <v>1197</v>
      </c>
      <c r="E124" t="s">
        <v>252</v>
      </c>
      <c r="F124" s="28">
        <v>1</v>
      </c>
      <c r="G124" t="s">
        <v>193</v>
      </c>
      <c r="H124" t="s">
        <v>194</v>
      </c>
      <c r="I124" t="s">
        <v>1117</v>
      </c>
      <c r="J124" t="s">
        <v>1291</v>
      </c>
      <c r="K124">
        <v>18</v>
      </c>
      <c r="L124" t="s">
        <v>779</v>
      </c>
      <c r="M124" t="str">
        <f t="shared" si="1"/>
        <v>524902</v>
      </c>
    </row>
    <row r="125" spans="1:13" x14ac:dyDescent="0.25">
      <c r="A125" t="s">
        <v>1292</v>
      </c>
      <c r="B125" t="s">
        <v>1293</v>
      </c>
      <c r="C125" t="s">
        <v>1294</v>
      </c>
      <c r="D125" t="s">
        <v>1197</v>
      </c>
      <c r="E125" t="s">
        <v>252</v>
      </c>
      <c r="F125" s="28">
        <v>1</v>
      </c>
      <c r="G125" t="s">
        <v>193</v>
      </c>
      <c r="H125" t="s">
        <v>194</v>
      </c>
      <c r="I125" t="s">
        <v>1255</v>
      </c>
      <c r="J125" t="s">
        <v>1295</v>
      </c>
      <c r="K125">
        <v>18</v>
      </c>
      <c r="L125" t="s">
        <v>1296</v>
      </c>
      <c r="M125" t="str">
        <f t="shared" si="1"/>
        <v>242312</v>
      </c>
    </row>
    <row r="126" spans="1:13" x14ac:dyDescent="0.25">
      <c r="A126" t="s">
        <v>615</v>
      </c>
      <c r="B126" t="s">
        <v>85</v>
      </c>
      <c r="C126" t="s">
        <v>85</v>
      </c>
      <c r="D126" t="s">
        <v>1197</v>
      </c>
      <c r="E126" t="s">
        <v>252</v>
      </c>
      <c r="F126" s="28">
        <v>1</v>
      </c>
      <c r="G126" t="s">
        <v>193</v>
      </c>
      <c r="H126" t="s">
        <v>194</v>
      </c>
      <c r="I126" t="s">
        <v>1255</v>
      </c>
      <c r="J126" t="s">
        <v>1297</v>
      </c>
      <c r="K126">
        <v>18</v>
      </c>
      <c r="L126" t="s">
        <v>477</v>
      </c>
      <c r="M126" t="str">
        <f t="shared" si="1"/>
        <v>243305</v>
      </c>
    </row>
    <row r="127" spans="1:13" x14ac:dyDescent="0.25">
      <c r="A127" t="s">
        <v>1298</v>
      </c>
      <c r="B127" t="s">
        <v>1299</v>
      </c>
      <c r="C127" t="s">
        <v>1218</v>
      </c>
      <c r="D127" t="s">
        <v>1197</v>
      </c>
      <c r="E127" t="s">
        <v>252</v>
      </c>
      <c r="F127" s="28">
        <v>1</v>
      </c>
      <c r="G127" t="s">
        <v>193</v>
      </c>
      <c r="H127" t="s">
        <v>194</v>
      </c>
      <c r="I127" t="s">
        <v>1255</v>
      </c>
      <c r="J127" t="s">
        <v>1300</v>
      </c>
      <c r="K127">
        <v>18</v>
      </c>
      <c r="L127" t="s">
        <v>1220</v>
      </c>
      <c r="M127" t="str">
        <f t="shared" si="1"/>
        <v>932101</v>
      </c>
    </row>
    <row r="128" spans="1:13" x14ac:dyDescent="0.25">
      <c r="A128" t="s">
        <v>629</v>
      </c>
      <c r="B128" t="s">
        <v>1301</v>
      </c>
      <c r="C128" t="s">
        <v>86</v>
      </c>
      <c r="D128" t="s">
        <v>1197</v>
      </c>
      <c r="E128" t="s">
        <v>192</v>
      </c>
      <c r="F128" s="28">
        <v>1</v>
      </c>
      <c r="G128" t="s">
        <v>193</v>
      </c>
      <c r="H128" t="s">
        <v>194</v>
      </c>
      <c r="I128" t="s">
        <v>1255</v>
      </c>
      <c r="J128" t="s">
        <v>1302</v>
      </c>
      <c r="K128">
        <v>18</v>
      </c>
      <c r="L128" t="s">
        <v>1107</v>
      </c>
      <c r="M128" t="str">
        <f t="shared" si="1"/>
        <v>121101</v>
      </c>
    </row>
    <row r="129" spans="1:13" x14ac:dyDescent="0.25">
      <c r="A129" t="s">
        <v>1303</v>
      </c>
      <c r="B129" t="s">
        <v>1304</v>
      </c>
      <c r="C129" t="s">
        <v>778</v>
      </c>
      <c r="D129" t="s">
        <v>1197</v>
      </c>
      <c r="E129" t="s">
        <v>252</v>
      </c>
      <c r="F129" s="28">
        <v>1</v>
      </c>
      <c r="G129" t="s">
        <v>193</v>
      </c>
      <c r="H129" t="s">
        <v>194</v>
      </c>
      <c r="I129" t="s">
        <v>1255</v>
      </c>
      <c r="J129" t="s">
        <v>1305</v>
      </c>
      <c r="K129">
        <v>18</v>
      </c>
      <c r="L129" t="s">
        <v>779</v>
      </c>
      <c r="M129" t="str">
        <f t="shared" si="1"/>
        <v>524902</v>
      </c>
    </row>
    <row r="130" spans="1:13" x14ac:dyDescent="0.25">
      <c r="A130" t="s">
        <v>1306</v>
      </c>
      <c r="B130" t="s">
        <v>1280</v>
      </c>
      <c r="C130" t="s">
        <v>62</v>
      </c>
      <c r="D130" t="s">
        <v>1197</v>
      </c>
      <c r="E130" t="s">
        <v>252</v>
      </c>
      <c r="F130" s="28">
        <v>1</v>
      </c>
      <c r="G130" t="s">
        <v>193</v>
      </c>
      <c r="H130" t="s">
        <v>194</v>
      </c>
      <c r="I130" t="s">
        <v>1255</v>
      </c>
      <c r="J130" t="s">
        <v>253</v>
      </c>
      <c r="K130">
        <v>18</v>
      </c>
      <c r="L130" t="s">
        <v>601</v>
      </c>
      <c r="M130" t="str">
        <f t="shared" ref="M130:M193" si="2">MID(L130,8,6)</f>
        <v>313904</v>
      </c>
    </row>
    <row r="131" spans="1:13" x14ac:dyDescent="0.25">
      <c r="A131" t="s">
        <v>1306</v>
      </c>
      <c r="B131" t="s">
        <v>1307</v>
      </c>
      <c r="C131" t="s">
        <v>806</v>
      </c>
      <c r="D131" t="s">
        <v>1197</v>
      </c>
      <c r="E131" t="s">
        <v>252</v>
      </c>
      <c r="F131" s="28">
        <v>1</v>
      </c>
      <c r="G131" t="s">
        <v>193</v>
      </c>
      <c r="H131" t="s">
        <v>194</v>
      </c>
      <c r="I131" t="s">
        <v>1255</v>
      </c>
      <c r="J131" t="s">
        <v>253</v>
      </c>
      <c r="K131">
        <v>18</v>
      </c>
      <c r="L131" t="s">
        <v>807</v>
      </c>
      <c r="M131" t="str">
        <f t="shared" si="2"/>
        <v>722303</v>
      </c>
    </row>
    <row r="132" spans="1:13" x14ac:dyDescent="0.25">
      <c r="A132" t="s">
        <v>1306</v>
      </c>
      <c r="B132" t="s">
        <v>1308</v>
      </c>
      <c r="C132" t="s">
        <v>1309</v>
      </c>
      <c r="D132" t="s">
        <v>1197</v>
      </c>
      <c r="E132" t="s">
        <v>252</v>
      </c>
      <c r="F132" s="28">
        <v>1</v>
      </c>
      <c r="G132" t="s">
        <v>193</v>
      </c>
      <c r="H132" t="s">
        <v>194</v>
      </c>
      <c r="I132" t="s">
        <v>1255</v>
      </c>
      <c r="J132" t="s">
        <v>253</v>
      </c>
      <c r="K132">
        <v>18</v>
      </c>
      <c r="L132" t="s">
        <v>1310</v>
      </c>
      <c r="M132" t="str">
        <f t="shared" si="2"/>
        <v>912904</v>
      </c>
    </row>
    <row r="133" spans="1:13" x14ac:dyDescent="0.25">
      <c r="A133" t="s">
        <v>1306</v>
      </c>
      <c r="B133" t="s">
        <v>1311</v>
      </c>
      <c r="C133" t="s">
        <v>1312</v>
      </c>
      <c r="D133" t="s">
        <v>1197</v>
      </c>
      <c r="E133" t="s">
        <v>252</v>
      </c>
      <c r="F133" s="28">
        <v>1</v>
      </c>
      <c r="G133" t="s">
        <v>193</v>
      </c>
      <c r="H133" t="s">
        <v>194</v>
      </c>
      <c r="I133" t="s">
        <v>1255</v>
      </c>
      <c r="J133" t="s">
        <v>253</v>
      </c>
      <c r="K133">
        <v>18</v>
      </c>
      <c r="L133" t="s">
        <v>1313</v>
      </c>
      <c r="M133" t="str">
        <f t="shared" si="2"/>
        <v>813190</v>
      </c>
    </row>
    <row r="134" spans="1:13" x14ac:dyDescent="0.25">
      <c r="A134" t="s">
        <v>1306</v>
      </c>
      <c r="B134" t="s">
        <v>885</v>
      </c>
      <c r="C134" t="s">
        <v>886</v>
      </c>
      <c r="D134" t="s">
        <v>1197</v>
      </c>
      <c r="E134" t="s">
        <v>252</v>
      </c>
      <c r="F134" s="28">
        <v>1</v>
      </c>
      <c r="G134" t="s">
        <v>193</v>
      </c>
      <c r="H134" t="s">
        <v>194</v>
      </c>
      <c r="I134" t="s">
        <v>1255</v>
      </c>
      <c r="J134" t="s">
        <v>253</v>
      </c>
      <c r="K134">
        <v>18</v>
      </c>
      <c r="L134" t="s">
        <v>887</v>
      </c>
      <c r="M134" t="str">
        <f t="shared" si="2"/>
        <v>834401</v>
      </c>
    </row>
    <row r="135" spans="1:13" x14ac:dyDescent="0.25">
      <c r="A135" t="s">
        <v>1306</v>
      </c>
      <c r="B135" t="s">
        <v>1314</v>
      </c>
      <c r="C135" t="s">
        <v>1315</v>
      </c>
      <c r="D135" t="s">
        <v>1197</v>
      </c>
      <c r="E135" t="s">
        <v>252</v>
      </c>
      <c r="F135" s="28">
        <v>1</v>
      </c>
      <c r="G135" t="s">
        <v>193</v>
      </c>
      <c r="H135" t="s">
        <v>194</v>
      </c>
      <c r="I135" t="s">
        <v>1255</v>
      </c>
      <c r="J135" t="s">
        <v>253</v>
      </c>
      <c r="K135">
        <v>18</v>
      </c>
      <c r="L135" t="s">
        <v>1316</v>
      </c>
      <c r="M135" t="str">
        <f t="shared" si="2"/>
        <v>722307</v>
      </c>
    </row>
    <row r="136" spans="1:13" x14ac:dyDescent="0.25">
      <c r="A136" t="s">
        <v>1306</v>
      </c>
      <c r="B136" t="s">
        <v>83</v>
      </c>
      <c r="C136" t="s">
        <v>83</v>
      </c>
      <c r="D136" t="s">
        <v>1197</v>
      </c>
      <c r="E136" t="s">
        <v>252</v>
      </c>
      <c r="F136" s="28">
        <v>1</v>
      </c>
      <c r="G136" t="s">
        <v>193</v>
      </c>
      <c r="H136" t="s">
        <v>194</v>
      </c>
      <c r="I136" t="s">
        <v>1255</v>
      </c>
      <c r="J136" t="s">
        <v>253</v>
      </c>
      <c r="K136">
        <v>18</v>
      </c>
      <c r="L136" t="s">
        <v>791</v>
      </c>
      <c r="M136" t="str">
        <f t="shared" si="2"/>
        <v>721204</v>
      </c>
    </row>
    <row r="137" spans="1:13" x14ac:dyDescent="0.25">
      <c r="A137" t="s">
        <v>1306</v>
      </c>
      <c r="B137" t="s">
        <v>1317</v>
      </c>
      <c r="C137" t="s">
        <v>83</v>
      </c>
      <c r="D137" t="s">
        <v>1197</v>
      </c>
      <c r="E137" t="s">
        <v>252</v>
      </c>
      <c r="F137" s="28">
        <v>1</v>
      </c>
      <c r="G137" t="s">
        <v>193</v>
      </c>
      <c r="H137" t="s">
        <v>194</v>
      </c>
      <c r="I137" t="s">
        <v>1255</v>
      </c>
      <c r="J137" t="s">
        <v>253</v>
      </c>
      <c r="K137">
        <v>18</v>
      </c>
      <c r="L137" t="s">
        <v>791</v>
      </c>
      <c r="M137" t="str">
        <f t="shared" si="2"/>
        <v>721204</v>
      </c>
    </row>
    <row r="138" spans="1:13" x14ac:dyDescent="0.25">
      <c r="A138" t="s">
        <v>1104</v>
      </c>
      <c r="B138" t="s">
        <v>1318</v>
      </c>
      <c r="C138" t="s">
        <v>308</v>
      </c>
      <c r="D138" t="s">
        <v>1197</v>
      </c>
      <c r="E138" t="s">
        <v>252</v>
      </c>
      <c r="F138" s="28">
        <v>1</v>
      </c>
      <c r="G138" t="s">
        <v>193</v>
      </c>
      <c r="H138" t="s">
        <v>194</v>
      </c>
      <c r="I138" t="s">
        <v>1255</v>
      </c>
      <c r="J138" t="s">
        <v>276</v>
      </c>
      <c r="K138">
        <v>18</v>
      </c>
      <c r="L138" t="s">
        <v>310</v>
      </c>
      <c r="M138" t="str">
        <f t="shared" si="2"/>
        <v>214404</v>
      </c>
    </row>
    <row r="139" spans="1:13" x14ac:dyDescent="0.25">
      <c r="A139" t="s">
        <v>1319</v>
      </c>
      <c r="B139" t="s">
        <v>1320</v>
      </c>
      <c r="C139" t="s">
        <v>829</v>
      </c>
      <c r="D139" t="s">
        <v>1197</v>
      </c>
      <c r="E139" t="s">
        <v>192</v>
      </c>
      <c r="F139" s="28">
        <v>1</v>
      </c>
      <c r="G139" t="s">
        <v>193</v>
      </c>
      <c r="H139" t="s">
        <v>194</v>
      </c>
      <c r="I139" t="s">
        <v>1255</v>
      </c>
      <c r="J139" t="s">
        <v>301</v>
      </c>
      <c r="K139">
        <v>18</v>
      </c>
      <c r="L139" t="s">
        <v>830</v>
      </c>
      <c r="M139" t="str">
        <f t="shared" si="2"/>
        <v>741201</v>
      </c>
    </row>
    <row r="140" spans="1:13" x14ac:dyDescent="0.25">
      <c r="A140" t="s">
        <v>1321</v>
      </c>
      <c r="B140" t="s">
        <v>1322</v>
      </c>
      <c r="C140" t="s">
        <v>10</v>
      </c>
      <c r="D140" t="s">
        <v>1197</v>
      </c>
      <c r="E140" t="s">
        <v>233</v>
      </c>
      <c r="F140" s="28">
        <v>1</v>
      </c>
      <c r="G140" t="s">
        <v>193</v>
      </c>
      <c r="H140" t="s">
        <v>194</v>
      </c>
      <c r="I140" t="s">
        <v>1255</v>
      </c>
      <c r="J140" t="s">
        <v>210</v>
      </c>
      <c r="K140">
        <v>18</v>
      </c>
      <c r="L140" t="s">
        <v>484</v>
      </c>
      <c r="M140" t="str">
        <f t="shared" si="2"/>
        <v>251401</v>
      </c>
    </row>
    <row r="141" spans="1:13" x14ac:dyDescent="0.25">
      <c r="A141" t="s">
        <v>1323</v>
      </c>
      <c r="B141" t="s">
        <v>1324</v>
      </c>
      <c r="C141" t="s">
        <v>1325</v>
      </c>
      <c r="D141" t="s">
        <v>1197</v>
      </c>
      <c r="E141" t="s">
        <v>252</v>
      </c>
      <c r="F141" s="28">
        <v>1</v>
      </c>
      <c r="G141" t="s">
        <v>193</v>
      </c>
      <c r="H141" t="s">
        <v>194</v>
      </c>
      <c r="I141" t="s">
        <v>1255</v>
      </c>
      <c r="J141" t="s">
        <v>1326</v>
      </c>
      <c r="K141">
        <v>18</v>
      </c>
      <c r="L141" t="s">
        <v>1327</v>
      </c>
      <c r="M141" t="str">
        <f t="shared" si="2"/>
        <v>931301</v>
      </c>
    </row>
    <row r="142" spans="1:13" x14ac:dyDescent="0.25">
      <c r="A142" t="s">
        <v>1328</v>
      </c>
      <c r="B142" t="s">
        <v>1329</v>
      </c>
      <c r="C142" t="s">
        <v>396</v>
      </c>
      <c r="D142" t="s">
        <v>1197</v>
      </c>
      <c r="E142" t="s">
        <v>233</v>
      </c>
      <c r="F142" s="28">
        <v>1</v>
      </c>
      <c r="G142" t="s">
        <v>193</v>
      </c>
      <c r="H142" t="s">
        <v>194</v>
      </c>
      <c r="I142" t="s">
        <v>1255</v>
      </c>
      <c r="J142" t="s">
        <v>1330</v>
      </c>
      <c r="K142">
        <v>18</v>
      </c>
      <c r="L142" t="s">
        <v>397</v>
      </c>
      <c r="M142" t="str">
        <f t="shared" si="2"/>
        <v>235301</v>
      </c>
    </row>
    <row r="143" spans="1:13" x14ac:dyDescent="0.25">
      <c r="A143" t="s">
        <v>1331</v>
      </c>
      <c r="B143" t="s">
        <v>537</v>
      </c>
      <c r="C143" t="s">
        <v>778</v>
      </c>
      <c r="D143" t="s">
        <v>1197</v>
      </c>
      <c r="E143" t="s">
        <v>252</v>
      </c>
      <c r="F143" s="28">
        <v>1</v>
      </c>
      <c r="G143" t="s">
        <v>193</v>
      </c>
      <c r="H143" t="s">
        <v>194</v>
      </c>
      <c r="I143" t="s">
        <v>1255</v>
      </c>
      <c r="J143" t="s">
        <v>210</v>
      </c>
      <c r="K143">
        <v>18</v>
      </c>
      <c r="L143" t="s">
        <v>779</v>
      </c>
      <c r="M143" t="str">
        <f t="shared" si="2"/>
        <v>524902</v>
      </c>
    </row>
    <row r="144" spans="1:13" x14ac:dyDescent="0.25">
      <c r="A144" t="s">
        <v>1331</v>
      </c>
      <c r="B144" t="s">
        <v>245</v>
      </c>
      <c r="C144" t="s">
        <v>74</v>
      </c>
      <c r="D144" t="s">
        <v>1197</v>
      </c>
      <c r="E144" t="s">
        <v>252</v>
      </c>
      <c r="F144" s="28">
        <v>1</v>
      </c>
      <c r="G144" t="s">
        <v>193</v>
      </c>
      <c r="H144" t="s">
        <v>194</v>
      </c>
      <c r="I144" t="s">
        <v>1255</v>
      </c>
      <c r="J144" t="s">
        <v>210</v>
      </c>
      <c r="K144">
        <v>18</v>
      </c>
      <c r="L144" t="s">
        <v>246</v>
      </c>
      <c r="M144" t="str">
        <f t="shared" si="2"/>
        <v>142004</v>
      </c>
    </row>
    <row r="145" spans="1:13" x14ac:dyDescent="0.25">
      <c r="A145" t="s">
        <v>1331</v>
      </c>
      <c r="B145" t="s">
        <v>1332</v>
      </c>
      <c r="C145" t="s">
        <v>17</v>
      </c>
      <c r="D145" t="s">
        <v>1197</v>
      </c>
      <c r="E145" t="s">
        <v>252</v>
      </c>
      <c r="F145" s="28">
        <v>1</v>
      </c>
      <c r="G145" t="s">
        <v>193</v>
      </c>
      <c r="H145" t="s">
        <v>194</v>
      </c>
      <c r="I145" t="s">
        <v>1117</v>
      </c>
      <c r="J145" t="s">
        <v>648</v>
      </c>
      <c r="K145">
        <v>18</v>
      </c>
      <c r="L145" t="s">
        <v>624</v>
      </c>
      <c r="M145" t="str">
        <f t="shared" si="2"/>
        <v>332203</v>
      </c>
    </row>
    <row r="146" spans="1:13" x14ac:dyDescent="0.25">
      <c r="A146" t="s">
        <v>1331</v>
      </c>
      <c r="B146" t="s">
        <v>1333</v>
      </c>
      <c r="C146" t="s">
        <v>17</v>
      </c>
      <c r="D146" t="s">
        <v>1197</v>
      </c>
      <c r="E146" t="s">
        <v>252</v>
      </c>
      <c r="F146" s="28">
        <v>1</v>
      </c>
      <c r="G146" t="s">
        <v>193</v>
      </c>
      <c r="H146" t="s">
        <v>194</v>
      </c>
      <c r="I146" t="s">
        <v>1255</v>
      </c>
      <c r="J146" t="s">
        <v>210</v>
      </c>
      <c r="K146">
        <v>18</v>
      </c>
      <c r="L146" t="s">
        <v>624</v>
      </c>
      <c r="M146" t="str">
        <f t="shared" si="2"/>
        <v>332203</v>
      </c>
    </row>
    <row r="147" spans="1:13" x14ac:dyDescent="0.25">
      <c r="A147" t="s">
        <v>1334</v>
      </c>
      <c r="B147" t="s">
        <v>614</v>
      </c>
      <c r="C147" t="s">
        <v>111</v>
      </c>
      <c r="D147" t="s">
        <v>1197</v>
      </c>
      <c r="E147" t="s">
        <v>252</v>
      </c>
      <c r="F147" s="28">
        <v>1</v>
      </c>
      <c r="G147" t="s">
        <v>193</v>
      </c>
      <c r="H147" t="s">
        <v>194</v>
      </c>
      <c r="I147" t="s">
        <v>1255</v>
      </c>
      <c r="J147" t="s">
        <v>1335</v>
      </c>
      <c r="K147">
        <v>18</v>
      </c>
      <c r="L147" t="s">
        <v>612</v>
      </c>
      <c r="M147" t="str">
        <f t="shared" si="2"/>
        <v>332101</v>
      </c>
    </row>
    <row r="148" spans="1:13" x14ac:dyDescent="0.25">
      <c r="A148" t="s">
        <v>1334</v>
      </c>
      <c r="B148" t="s">
        <v>614</v>
      </c>
      <c r="C148" t="s">
        <v>111</v>
      </c>
      <c r="D148" t="s">
        <v>1197</v>
      </c>
      <c r="E148" t="s">
        <v>252</v>
      </c>
      <c r="F148" s="28">
        <v>1</v>
      </c>
      <c r="G148" t="s">
        <v>193</v>
      </c>
      <c r="H148" t="s">
        <v>194</v>
      </c>
      <c r="I148" t="s">
        <v>1255</v>
      </c>
      <c r="J148" t="s">
        <v>1336</v>
      </c>
      <c r="K148">
        <v>18</v>
      </c>
      <c r="L148" t="s">
        <v>612</v>
      </c>
      <c r="M148" t="str">
        <f t="shared" si="2"/>
        <v>332101</v>
      </c>
    </row>
    <row r="149" spans="1:13" x14ac:dyDescent="0.25">
      <c r="A149" t="s">
        <v>1337</v>
      </c>
      <c r="B149" t="s">
        <v>1024</v>
      </c>
      <c r="C149" t="s">
        <v>1338</v>
      </c>
      <c r="D149" t="s">
        <v>1197</v>
      </c>
      <c r="E149" t="s">
        <v>233</v>
      </c>
      <c r="F149" s="28">
        <v>1</v>
      </c>
      <c r="G149" t="s">
        <v>193</v>
      </c>
      <c r="H149" t="s">
        <v>194</v>
      </c>
      <c r="I149" t="s">
        <v>1255</v>
      </c>
      <c r="J149" t="s">
        <v>210</v>
      </c>
      <c r="K149">
        <v>18</v>
      </c>
      <c r="L149" t="s">
        <v>1339</v>
      </c>
      <c r="M149" t="str">
        <f t="shared" si="2"/>
        <v>325511</v>
      </c>
    </row>
    <row r="150" spans="1:13" x14ac:dyDescent="0.25">
      <c r="A150" t="s">
        <v>1340</v>
      </c>
      <c r="B150" t="s">
        <v>1341</v>
      </c>
      <c r="C150" t="s">
        <v>17</v>
      </c>
      <c r="D150" t="s">
        <v>1197</v>
      </c>
      <c r="E150" t="s">
        <v>192</v>
      </c>
      <c r="F150" s="28">
        <v>1</v>
      </c>
      <c r="G150" t="s">
        <v>193</v>
      </c>
      <c r="H150" t="s">
        <v>194</v>
      </c>
      <c r="I150" t="s">
        <v>1255</v>
      </c>
      <c r="J150" t="s">
        <v>210</v>
      </c>
      <c r="K150">
        <v>18</v>
      </c>
      <c r="L150" t="s">
        <v>624</v>
      </c>
      <c r="M150" t="str">
        <f t="shared" si="2"/>
        <v>332203</v>
      </c>
    </row>
    <row r="151" spans="1:13" x14ac:dyDescent="0.25">
      <c r="A151" t="s">
        <v>1340</v>
      </c>
      <c r="B151" t="s">
        <v>1342</v>
      </c>
      <c r="C151" t="s">
        <v>95</v>
      </c>
      <c r="D151" t="s">
        <v>1197</v>
      </c>
      <c r="E151" t="s">
        <v>192</v>
      </c>
      <c r="F151" s="28">
        <v>1</v>
      </c>
      <c r="G151" t="s">
        <v>193</v>
      </c>
      <c r="H151" t="s">
        <v>194</v>
      </c>
      <c r="I151" t="s">
        <v>1255</v>
      </c>
      <c r="J151" t="s">
        <v>210</v>
      </c>
      <c r="K151">
        <v>18</v>
      </c>
      <c r="L151" t="s">
        <v>1015</v>
      </c>
      <c r="M151" t="str">
        <f t="shared" si="2"/>
        <v>122102</v>
      </c>
    </row>
    <row r="152" spans="1:13" x14ac:dyDescent="0.25">
      <c r="A152" t="s">
        <v>1340</v>
      </c>
      <c r="B152" t="s">
        <v>1343</v>
      </c>
      <c r="C152" t="s">
        <v>17</v>
      </c>
      <c r="D152" t="s">
        <v>1197</v>
      </c>
      <c r="E152" t="s">
        <v>192</v>
      </c>
      <c r="F152" s="28">
        <v>1</v>
      </c>
      <c r="G152" t="s">
        <v>193</v>
      </c>
      <c r="H152" t="s">
        <v>194</v>
      </c>
      <c r="I152" t="s">
        <v>1255</v>
      </c>
      <c r="J152" t="s">
        <v>399</v>
      </c>
      <c r="K152">
        <v>18</v>
      </c>
      <c r="L152" t="s">
        <v>624</v>
      </c>
      <c r="M152" t="str">
        <f t="shared" si="2"/>
        <v>332203</v>
      </c>
    </row>
    <row r="153" spans="1:13" x14ac:dyDescent="0.25">
      <c r="A153" t="s">
        <v>247</v>
      </c>
      <c r="B153" t="s">
        <v>1344</v>
      </c>
      <c r="C153" t="s">
        <v>740</v>
      </c>
      <c r="D153" t="s">
        <v>1197</v>
      </c>
      <c r="E153" t="s">
        <v>192</v>
      </c>
      <c r="F153" s="28">
        <v>1</v>
      </c>
      <c r="G153" t="s">
        <v>193</v>
      </c>
      <c r="H153" t="s">
        <v>194</v>
      </c>
      <c r="I153" t="s">
        <v>1255</v>
      </c>
      <c r="J153" t="s">
        <v>385</v>
      </c>
      <c r="K153">
        <v>18</v>
      </c>
      <c r="L153" t="s">
        <v>741</v>
      </c>
      <c r="M153" t="str">
        <f t="shared" si="2"/>
        <v>522301</v>
      </c>
    </row>
    <row r="154" spans="1:13" x14ac:dyDescent="0.25">
      <c r="A154" t="s">
        <v>247</v>
      </c>
      <c r="B154" t="s">
        <v>261</v>
      </c>
      <c r="C154" t="s">
        <v>74</v>
      </c>
      <c r="D154" t="s">
        <v>1197</v>
      </c>
      <c r="E154" t="s">
        <v>192</v>
      </c>
      <c r="F154" s="28">
        <v>1</v>
      </c>
      <c r="G154" t="s">
        <v>193</v>
      </c>
      <c r="H154" t="s">
        <v>194</v>
      </c>
      <c r="I154" t="s">
        <v>1255</v>
      </c>
      <c r="J154" t="s">
        <v>367</v>
      </c>
      <c r="K154">
        <v>18</v>
      </c>
      <c r="L154" t="s">
        <v>246</v>
      </c>
      <c r="M154" t="str">
        <f t="shared" si="2"/>
        <v>142004</v>
      </c>
    </row>
    <row r="155" spans="1:13" x14ac:dyDescent="0.25">
      <c r="A155" t="s">
        <v>247</v>
      </c>
      <c r="B155" t="s">
        <v>1057</v>
      </c>
      <c r="C155" t="s">
        <v>74</v>
      </c>
      <c r="D155" t="s">
        <v>1197</v>
      </c>
      <c r="E155" t="s">
        <v>192</v>
      </c>
      <c r="F155" s="28">
        <v>1</v>
      </c>
      <c r="G155" t="s">
        <v>193</v>
      </c>
      <c r="H155" t="s">
        <v>194</v>
      </c>
      <c r="I155" t="s">
        <v>1255</v>
      </c>
      <c r="J155" t="s">
        <v>408</v>
      </c>
      <c r="K155">
        <v>18</v>
      </c>
      <c r="L155" t="s">
        <v>246</v>
      </c>
      <c r="M155" t="str">
        <f t="shared" si="2"/>
        <v>142004</v>
      </c>
    </row>
    <row r="156" spans="1:13" x14ac:dyDescent="0.25">
      <c r="A156" t="s">
        <v>1345</v>
      </c>
      <c r="B156" t="s">
        <v>1346</v>
      </c>
      <c r="C156" t="s">
        <v>1347</v>
      </c>
      <c r="D156" t="s">
        <v>1197</v>
      </c>
      <c r="E156" t="s">
        <v>252</v>
      </c>
      <c r="F156" s="28">
        <v>1</v>
      </c>
      <c r="G156" t="s">
        <v>193</v>
      </c>
      <c r="H156" t="s">
        <v>194</v>
      </c>
      <c r="I156" t="s">
        <v>1255</v>
      </c>
      <c r="J156" t="s">
        <v>1348</v>
      </c>
      <c r="K156">
        <v>18</v>
      </c>
      <c r="L156" t="s">
        <v>1349</v>
      </c>
      <c r="M156" t="str">
        <f t="shared" si="2"/>
        <v>514101</v>
      </c>
    </row>
    <row r="157" spans="1:13" x14ac:dyDescent="0.25">
      <c r="A157" t="s">
        <v>986</v>
      </c>
      <c r="B157" t="s">
        <v>653</v>
      </c>
      <c r="C157" t="s">
        <v>17</v>
      </c>
      <c r="D157" t="s">
        <v>1197</v>
      </c>
      <c r="E157" t="s">
        <v>192</v>
      </c>
      <c r="F157" s="28">
        <v>1</v>
      </c>
      <c r="G157" t="s">
        <v>193</v>
      </c>
      <c r="H157" t="s">
        <v>194</v>
      </c>
      <c r="I157" t="s">
        <v>1255</v>
      </c>
      <c r="J157" t="s">
        <v>276</v>
      </c>
      <c r="K157">
        <v>18</v>
      </c>
      <c r="L157" t="s">
        <v>624</v>
      </c>
      <c r="M157" t="str">
        <f t="shared" si="2"/>
        <v>332203</v>
      </c>
    </row>
    <row r="158" spans="1:13" x14ac:dyDescent="0.25">
      <c r="A158" t="s">
        <v>1350</v>
      </c>
      <c r="B158" t="s">
        <v>1351</v>
      </c>
      <c r="C158" t="s">
        <v>1352</v>
      </c>
      <c r="D158" t="s">
        <v>1197</v>
      </c>
      <c r="E158" t="s">
        <v>252</v>
      </c>
      <c r="F158" s="76">
        <v>0</v>
      </c>
      <c r="G158" s="75" t="s">
        <v>194</v>
      </c>
      <c r="H158" t="s">
        <v>193</v>
      </c>
      <c r="I158" t="s">
        <v>1255</v>
      </c>
      <c r="J158" t="s">
        <v>1353</v>
      </c>
      <c r="K158">
        <v>18</v>
      </c>
      <c r="L158" t="s">
        <v>1354</v>
      </c>
      <c r="M158" t="str">
        <f t="shared" si="2"/>
        <v>341202</v>
      </c>
    </row>
    <row r="159" spans="1:13" x14ac:dyDescent="0.25">
      <c r="A159" t="s">
        <v>1355</v>
      </c>
      <c r="B159" t="s">
        <v>1356</v>
      </c>
      <c r="C159" t="s">
        <v>1352</v>
      </c>
      <c r="D159" t="s">
        <v>1197</v>
      </c>
      <c r="E159" t="s">
        <v>252</v>
      </c>
      <c r="F159" s="28">
        <v>1</v>
      </c>
      <c r="G159" t="s">
        <v>193</v>
      </c>
      <c r="H159" t="s">
        <v>194</v>
      </c>
      <c r="I159" t="s">
        <v>1255</v>
      </c>
      <c r="J159" t="s">
        <v>1357</v>
      </c>
      <c r="K159">
        <v>18</v>
      </c>
      <c r="L159" t="s">
        <v>1354</v>
      </c>
      <c r="M159" t="str">
        <f t="shared" si="2"/>
        <v>341202</v>
      </c>
    </row>
    <row r="160" spans="1:13" x14ac:dyDescent="0.25">
      <c r="A160" t="s">
        <v>1358</v>
      </c>
      <c r="B160" t="s">
        <v>1359</v>
      </c>
      <c r="C160" s="164" t="s">
        <v>525</v>
      </c>
      <c r="D160" t="s">
        <v>1197</v>
      </c>
      <c r="E160" t="s">
        <v>192</v>
      </c>
      <c r="F160" s="28">
        <v>1</v>
      </c>
      <c r="G160" t="s">
        <v>193</v>
      </c>
      <c r="H160" t="s">
        <v>194</v>
      </c>
      <c r="I160" t="s">
        <v>1255</v>
      </c>
      <c r="J160" t="s">
        <v>408</v>
      </c>
      <c r="K160">
        <v>18</v>
      </c>
      <c r="L160" t="s">
        <v>526</v>
      </c>
      <c r="M160" t="str">
        <f t="shared" si="2"/>
        <v>263102</v>
      </c>
    </row>
    <row r="161" spans="1:13" x14ac:dyDescent="0.25">
      <c r="A161" t="s">
        <v>1360</v>
      </c>
      <c r="B161" t="s">
        <v>1361</v>
      </c>
      <c r="C161" t="s">
        <v>863</v>
      </c>
      <c r="D161" t="s">
        <v>1197</v>
      </c>
      <c r="E161" t="s">
        <v>252</v>
      </c>
      <c r="F161" s="28">
        <v>1</v>
      </c>
      <c r="G161" t="s">
        <v>193</v>
      </c>
      <c r="H161" t="s">
        <v>194</v>
      </c>
      <c r="I161" t="s">
        <v>1255</v>
      </c>
      <c r="J161" t="s">
        <v>1362</v>
      </c>
      <c r="K161">
        <v>18</v>
      </c>
      <c r="L161" t="s">
        <v>864</v>
      </c>
      <c r="M161" t="str">
        <f t="shared" si="2"/>
        <v>814208</v>
      </c>
    </row>
    <row r="162" spans="1:13" x14ac:dyDescent="0.25">
      <c r="A162" t="s">
        <v>1360</v>
      </c>
      <c r="B162" t="s">
        <v>1363</v>
      </c>
      <c r="C162" t="s">
        <v>67</v>
      </c>
      <c r="D162" t="s">
        <v>1197</v>
      </c>
      <c r="E162" t="s">
        <v>252</v>
      </c>
      <c r="F162" s="28">
        <v>1</v>
      </c>
      <c r="G162" t="s">
        <v>193</v>
      </c>
      <c r="H162" t="s">
        <v>194</v>
      </c>
      <c r="I162" t="s">
        <v>1255</v>
      </c>
      <c r="J162" t="s">
        <v>1362</v>
      </c>
      <c r="K162">
        <v>18</v>
      </c>
      <c r="L162" t="s">
        <v>709</v>
      </c>
      <c r="M162" t="str">
        <f t="shared" si="2"/>
        <v>432103</v>
      </c>
    </row>
    <row r="163" spans="1:13" x14ac:dyDescent="0.25">
      <c r="A163" t="s">
        <v>1364</v>
      </c>
      <c r="B163" t="s">
        <v>1365</v>
      </c>
      <c r="C163" t="s">
        <v>989</v>
      </c>
      <c r="D163" t="s">
        <v>1197</v>
      </c>
      <c r="E163" t="s">
        <v>252</v>
      </c>
      <c r="F163" s="76">
        <v>0</v>
      </c>
      <c r="G163" s="75" t="s">
        <v>194</v>
      </c>
      <c r="H163" t="s">
        <v>193</v>
      </c>
      <c r="I163" t="s">
        <v>1255</v>
      </c>
      <c r="J163" t="s">
        <v>1366</v>
      </c>
      <c r="K163">
        <v>18</v>
      </c>
      <c r="L163" t="s">
        <v>990</v>
      </c>
      <c r="M163" t="str">
        <f t="shared" si="2"/>
        <v>833202</v>
      </c>
    </row>
    <row r="164" spans="1:13" x14ac:dyDescent="0.25">
      <c r="A164" t="s">
        <v>1367</v>
      </c>
      <c r="B164" t="s">
        <v>1368</v>
      </c>
      <c r="C164" t="s">
        <v>169</v>
      </c>
      <c r="D164" t="s">
        <v>1197</v>
      </c>
      <c r="E164" t="s">
        <v>252</v>
      </c>
      <c r="F164" s="76">
        <v>0</v>
      </c>
      <c r="G164" s="75" t="s">
        <v>194</v>
      </c>
      <c r="H164" t="s">
        <v>193</v>
      </c>
      <c r="I164" t="s">
        <v>1255</v>
      </c>
      <c r="J164" t="s">
        <v>1369</v>
      </c>
      <c r="K164">
        <v>18</v>
      </c>
      <c r="L164" t="s">
        <v>1370</v>
      </c>
      <c r="M164" t="str">
        <f t="shared" si="2"/>
        <v>752205</v>
      </c>
    </row>
    <row r="165" spans="1:13" x14ac:dyDescent="0.25">
      <c r="A165" t="s">
        <v>1371</v>
      </c>
      <c r="B165" t="s">
        <v>1372</v>
      </c>
      <c r="C165" t="s">
        <v>1236</v>
      </c>
      <c r="D165" t="s">
        <v>1197</v>
      </c>
      <c r="E165" t="s">
        <v>252</v>
      </c>
      <c r="F165" s="28">
        <v>1</v>
      </c>
      <c r="G165" t="s">
        <v>193</v>
      </c>
      <c r="H165" t="s">
        <v>194</v>
      </c>
      <c r="I165" t="s">
        <v>1255</v>
      </c>
      <c r="J165" t="s">
        <v>253</v>
      </c>
      <c r="K165">
        <v>18</v>
      </c>
      <c r="L165" t="s">
        <v>1237</v>
      </c>
      <c r="M165" t="str">
        <f t="shared" si="2"/>
        <v>712601</v>
      </c>
    </row>
    <row r="166" spans="1:13" x14ac:dyDescent="0.25">
      <c r="A166" t="s">
        <v>1373</v>
      </c>
      <c r="B166" t="s">
        <v>1342</v>
      </c>
      <c r="C166" t="s">
        <v>95</v>
      </c>
      <c r="D166" t="s">
        <v>1374</v>
      </c>
      <c r="E166" t="s">
        <v>192</v>
      </c>
      <c r="F166" s="28">
        <v>1</v>
      </c>
      <c r="G166" t="s">
        <v>193</v>
      </c>
      <c r="H166" t="s">
        <v>194</v>
      </c>
      <c r="I166" t="s">
        <v>1375</v>
      </c>
      <c r="J166" t="s">
        <v>223</v>
      </c>
      <c r="K166">
        <v>18</v>
      </c>
      <c r="L166" t="s">
        <v>1015</v>
      </c>
      <c r="M166" t="str">
        <f t="shared" si="2"/>
        <v>122102</v>
      </c>
    </row>
    <row r="167" spans="1:13" x14ac:dyDescent="0.25">
      <c r="A167" t="s">
        <v>1376</v>
      </c>
      <c r="B167" t="s">
        <v>1377</v>
      </c>
      <c r="C167" t="s">
        <v>583</v>
      </c>
      <c r="D167" t="s">
        <v>1374</v>
      </c>
      <c r="E167" t="s">
        <v>192</v>
      </c>
      <c r="F167" s="28">
        <v>1</v>
      </c>
      <c r="G167" t="s">
        <v>193</v>
      </c>
      <c r="H167" t="s">
        <v>194</v>
      </c>
      <c r="I167" t="s">
        <v>1375</v>
      </c>
      <c r="J167" t="s">
        <v>253</v>
      </c>
      <c r="K167">
        <v>18</v>
      </c>
      <c r="L167" t="s">
        <v>584</v>
      </c>
      <c r="M167" t="str">
        <f t="shared" si="2"/>
        <v>311937</v>
      </c>
    </row>
    <row r="168" spans="1:13" x14ac:dyDescent="0.25">
      <c r="A168" t="s">
        <v>1376</v>
      </c>
      <c r="B168" t="s">
        <v>1378</v>
      </c>
      <c r="C168" t="s">
        <v>1379</v>
      </c>
      <c r="D168" t="s">
        <v>1374</v>
      </c>
      <c r="E168" t="s">
        <v>233</v>
      </c>
      <c r="F168" s="28">
        <v>1</v>
      </c>
      <c r="G168" t="s">
        <v>193</v>
      </c>
      <c r="H168" t="s">
        <v>194</v>
      </c>
      <c r="I168" t="s">
        <v>1375</v>
      </c>
      <c r="J168" t="s">
        <v>976</v>
      </c>
      <c r="K168">
        <v>18</v>
      </c>
      <c r="L168" t="s">
        <v>1380</v>
      </c>
      <c r="M168" t="str">
        <f t="shared" si="2"/>
        <v>713201</v>
      </c>
    </row>
    <row r="169" spans="1:13" x14ac:dyDescent="0.25">
      <c r="A169" t="s">
        <v>258</v>
      </c>
      <c r="B169" t="s">
        <v>537</v>
      </c>
      <c r="C169" t="s">
        <v>778</v>
      </c>
      <c r="D169" t="s">
        <v>1374</v>
      </c>
      <c r="E169" t="s">
        <v>192</v>
      </c>
      <c r="F169" s="28">
        <v>1</v>
      </c>
      <c r="G169" t="s">
        <v>193</v>
      </c>
      <c r="H169" t="s">
        <v>194</v>
      </c>
      <c r="I169" t="s">
        <v>1375</v>
      </c>
      <c r="J169" t="s">
        <v>962</v>
      </c>
      <c r="K169">
        <v>18</v>
      </c>
      <c r="L169" t="s">
        <v>779</v>
      </c>
      <c r="M169" t="str">
        <f t="shared" si="2"/>
        <v>524902</v>
      </c>
    </row>
    <row r="170" spans="1:13" x14ac:dyDescent="0.25">
      <c r="A170" t="s">
        <v>1381</v>
      </c>
      <c r="B170" t="s">
        <v>1382</v>
      </c>
      <c r="C170" t="s">
        <v>95</v>
      </c>
      <c r="D170" t="s">
        <v>1374</v>
      </c>
      <c r="E170" t="s">
        <v>192</v>
      </c>
      <c r="F170" s="28">
        <v>1</v>
      </c>
      <c r="G170" t="s">
        <v>193</v>
      </c>
      <c r="H170" t="s">
        <v>194</v>
      </c>
      <c r="I170" t="s">
        <v>1375</v>
      </c>
      <c r="J170" t="s">
        <v>210</v>
      </c>
      <c r="K170">
        <v>18</v>
      </c>
      <c r="L170" t="s">
        <v>1015</v>
      </c>
      <c r="M170" t="str">
        <f t="shared" si="2"/>
        <v>122102</v>
      </c>
    </row>
    <row r="171" spans="1:13" x14ac:dyDescent="0.25">
      <c r="A171" t="s">
        <v>919</v>
      </c>
      <c r="B171" t="s">
        <v>1383</v>
      </c>
      <c r="C171" t="s">
        <v>1384</v>
      </c>
      <c r="D171" t="s">
        <v>1374</v>
      </c>
      <c r="E171" t="s">
        <v>192</v>
      </c>
      <c r="F171" s="28">
        <v>1</v>
      </c>
      <c r="G171" t="s">
        <v>193</v>
      </c>
      <c r="H171" t="s">
        <v>194</v>
      </c>
      <c r="I171" t="s">
        <v>1197</v>
      </c>
      <c r="J171" t="s">
        <v>238</v>
      </c>
      <c r="K171">
        <v>18</v>
      </c>
      <c r="L171" t="s">
        <v>1385</v>
      </c>
      <c r="M171" t="str">
        <f t="shared" si="2"/>
        <v>235915</v>
      </c>
    </row>
    <row r="172" spans="1:13" x14ac:dyDescent="0.25">
      <c r="A172" t="s">
        <v>1386</v>
      </c>
      <c r="B172" t="s">
        <v>1387</v>
      </c>
      <c r="C172" t="s">
        <v>121</v>
      </c>
      <c r="D172" t="s">
        <v>1374</v>
      </c>
      <c r="E172" t="s">
        <v>192</v>
      </c>
      <c r="F172" s="28">
        <v>1</v>
      </c>
      <c r="G172" t="s">
        <v>193</v>
      </c>
      <c r="H172" t="s">
        <v>194</v>
      </c>
      <c r="I172" t="s">
        <v>1197</v>
      </c>
      <c r="J172" t="s">
        <v>1388</v>
      </c>
      <c r="K172">
        <v>18</v>
      </c>
      <c r="L172" t="s">
        <v>994</v>
      </c>
      <c r="M172" t="str">
        <f t="shared" si="2"/>
        <v>214102</v>
      </c>
    </row>
    <row r="173" spans="1:13" x14ac:dyDescent="0.25">
      <c r="A173" t="s">
        <v>1011</v>
      </c>
      <c r="B173" t="s">
        <v>17</v>
      </c>
      <c r="C173" t="s">
        <v>17</v>
      </c>
      <c r="D173" t="s">
        <v>1374</v>
      </c>
      <c r="E173" t="s">
        <v>233</v>
      </c>
      <c r="F173" s="28">
        <v>1</v>
      </c>
      <c r="G173" t="s">
        <v>193</v>
      </c>
      <c r="H173" t="s">
        <v>194</v>
      </c>
      <c r="I173" t="s">
        <v>1375</v>
      </c>
      <c r="J173" t="s">
        <v>1389</v>
      </c>
      <c r="K173">
        <v>18</v>
      </c>
      <c r="L173" t="s">
        <v>624</v>
      </c>
      <c r="M173" t="str">
        <f t="shared" si="2"/>
        <v>332203</v>
      </c>
    </row>
    <row r="174" spans="1:13" x14ac:dyDescent="0.25">
      <c r="A174" t="s">
        <v>1390</v>
      </c>
      <c r="B174" t="s">
        <v>1391</v>
      </c>
      <c r="C174" t="s">
        <v>85</v>
      </c>
      <c r="D174" t="s">
        <v>1374</v>
      </c>
      <c r="E174" t="s">
        <v>192</v>
      </c>
      <c r="F174" s="28">
        <v>1</v>
      </c>
      <c r="G174" t="s">
        <v>193</v>
      </c>
      <c r="H174" t="s">
        <v>194</v>
      </c>
      <c r="I174" t="s">
        <v>1197</v>
      </c>
      <c r="J174" t="s">
        <v>1392</v>
      </c>
      <c r="K174">
        <v>18</v>
      </c>
      <c r="L174" t="s">
        <v>477</v>
      </c>
      <c r="M174" t="str">
        <f t="shared" si="2"/>
        <v>243305</v>
      </c>
    </row>
    <row r="175" spans="1:13" x14ac:dyDescent="0.25">
      <c r="A175" t="s">
        <v>1393</v>
      </c>
      <c r="B175" t="s">
        <v>632</v>
      </c>
      <c r="C175" t="s">
        <v>17</v>
      </c>
      <c r="D175" t="s">
        <v>1374</v>
      </c>
      <c r="E175" t="s">
        <v>192</v>
      </c>
      <c r="F175" s="28">
        <v>1</v>
      </c>
      <c r="G175" t="s">
        <v>193</v>
      </c>
      <c r="H175" t="s">
        <v>194</v>
      </c>
      <c r="I175" t="s">
        <v>1375</v>
      </c>
      <c r="J175" t="s">
        <v>210</v>
      </c>
      <c r="K175">
        <v>18</v>
      </c>
      <c r="L175" t="s">
        <v>624</v>
      </c>
      <c r="M175" t="str">
        <f t="shared" si="2"/>
        <v>332203</v>
      </c>
    </row>
    <row r="176" spans="1:13" x14ac:dyDescent="0.25">
      <c r="A176" t="s">
        <v>1207</v>
      </c>
      <c r="B176" t="s">
        <v>1394</v>
      </c>
      <c r="C176" t="s">
        <v>9</v>
      </c>
      <c r="D176" t="s">
        <v>1374</v>
      </c>
      <c r="E176" t="s">
        <v>192</v>
      </c>
      <c r="F176" s="28">
        <v>1</v>
      </c>
      <c r="G176" t="s">
        <v>193</v>
      </c>
      <c r="H176" t="s">
        <v>194</v>
      </c>
      <c r="I176" t="s">
        <v>1375</v>
      </c>
      <c r="J176" t="s">
        <v>210</v>
      </c>
      <c r="K176">
        <v>18</v>
      </c>
      <c r="L176" t="s">
        <v>405</v>
      </c>
      <c r="M176" t="str">
        <f t="shared" si="2"/>
        <v>241304</v>
      </c>
    </row>
    <row r="177" spans="1:13" x14ac:dyDescent="0.25">
      <c r="A177" t="s">
        <v>1209</v>
      </c>
      <c r="B177" t="s">
        <v>1395</v>
      </c>
      <c r="C177" s="164" t="s">
        <v>525</v>
      </c>
      <c r="D177" t="s">
        <v>1374</v>
      </c>
      <c r="E177" t="s">
        <v>192</v>
      </c>
      <c r="F177" s="28">
        <v>1</v>
      </c>
      <c r="G177" t="s">
        <v>193</v>
      </c>
      <c r="H177" t="s">
        <v>194</v>
      </c>
      <c r="I177" t="s">
        <v>1375</v>
      </c>
      <c r="J177" t="s">
        <v>1059</v>
      </c>
      <c r="K177">
        <v>18</v>
      </c>
      <c r="L177" t="s">
        <v>526</v>
      </c>
      <c r="M177" t="str">
        <f t="shared" si="2"/>
        <v>263102</v>
      </c>
    </row>
    <row r="178" spans="1:13" x14ac:dyDescent="0.25">
      <c r="A178" t="s">
        <v>1209</v>
      </c>
      <c r="B178" t="s">
        <v>1396</v>
      </c>
      <c r="C178" t="s">
        <v>9</v>
      </c>
      <c r="D178" t="s">
        <v>1374</v>
      </c>
      <c r="E178" t="s">
        <v>192</v>
      </c>
      <c r="F178" s="28">
        <v>1</v>
      </c>
      <c r="G178" t="s">
        <v>193</v>
      </c>
      <c r="H178" t="s">
        <v>194</v>
      </c>
      <c r="I178" t="s">
        <v>1375</v>
      </c>
      <c r="J178" t="s">
        <v>316</v>
      </c>
      <c r="K178">
        <v>18</v>
      </c>
      <c r="L178" t="s">
        <v>405</v>
      </c>
      <c r="M178" t="str">
        <f t="shared" si="2"/>
        <v>241304</v>
      </c>
    </row>
    <row r="179" spans="1:13" x14ac:dyDescent="0.25">
      <c r="A179" t="s">
        <v>1211</v>
      </c>
      <c r="B179" t="s">
        <v>1397</v>
      </c>
      <c r="C179" t="s">
        <v>43</v>
      </c>
      <c r="D179" t="s">
        <v>1374</v>
      </c>
      <c r="E179" t="s">
        <v>192</v>
      </c>
      <c r="F179" s="28">
        <v>1</v>
      </c>
      <c r="G179" t="s">
        <v>193</v>
      </c>
      <c r="H179" t="s">
        <v>194</v>
      </c>
      <c r="I179" t="s">
        <v>1197</v>
      </c>
      <c r="J179" t="s">
        <v>316</v>
      </c>
      <c r="K179">
        <v>18</v>
      </c>
      <c r="L179" t="s">
        <v>452</v>
      </c>
      <c r="M179" t="str">
        <f t="shared" si="2"/>
        <v>243106</v>
      </c>
    </row>
    <row r="180" spans="1:13" x14ac:dyDescent="0.25">
      <c r="A180" t="s">
        <v>427</v>
      </c>
      <c r="B180" t="s">
        <v>1398</v>
      </c>
      <c r="C180" t="s">
        <v>371</v>
      </c>
      <c r="D180" t="s">
        <v>1374</v>
      </c>
      <c r="E180" t="s">
        <v>192</v>
      </c>
      <c r="F180" s="28">
        <v>1</v>
      </c>
      <c r="G180" t="s">
        <v>193</v>
      </c>
      <c r="H180" t="s">
        <v>194</v>
      </c>
      <c r="I180" t="s">
        <v>1197</v>
      </c>
      <c r="J180" t="s">
        <v>238</v>
      </c>
      <c r="K180">
        <v>18</v>
      </c>
      <c r="L180" t="s">
        <v>372</v>
      </c>
      <c r="M180" t="str">
        <f t="shared" si="2"/>
        <v>215202</v>
      </c>
    </row>
    <row r="181" spans="1:13" x14ac:dyDescent="0.25">
      <c r="A181" t="s">
        <v>427</v>
      </c>
      <c r="B181" t="s">
        <v>1399</v>
      </c>
      <c r="C181" t="s">
        <v>27</v>
      </c>
      <c r="D181" t="s">
        <v>1374</v>
      </c>
      <c r="E181" t="s">
        <v>192</v>
      </c>
      <c r="F181" s="28">
        <v>1</v>
      </c>
      <c r="G181" t="s">
        <v>193</v>
      </c>
      <c r="H181" t="s">
        <v>194</v>
      </c>
      <c r="I181" t="s">
        <v>1375</v>
      </c>
      <c r="J181" t="s">
        <v>672</v>
      </c>
      <c r="K181">
        <v>18</v>
      </c>
      <c r="L181" t="s">
        <v>440</v>
      </c>
      <c r="M181" t="str">
        <f t="shared" si="2"/>
        <v>242307</v>
      </c>
    </row>
    <row r="182" spans="1:13" x14ac:dyDescent="0.25">
      <c r="A182" t="s">
        <v>1400</v>
      </c>
      <c r="B182" t="s">
        <v>1401</v>
      </c>
      <c r="C182" t="s">
        <v>1402</v>
      </c>
      <c r="D182" t="s">
        <v>1374</v>
      </c>
      <c r="E182" t="s">
        <v>192</v>
      </c>
      <c r="F182" s="28">
        <v>1</v>
      </c>
      <c r="G182" t="s">
        <v>193</v>
      </c>
      <c r="H182" t="s">
        <v>194</v>
      </c>
      <c r="I182" t="s">
        <v>1197</v>
      </c>
      <c r="J182" t="s">
        <v>196</v>
      </c>
      <c r="K182">
        <v>18</v>
      </c>
      <c r="L182" t="s">
        <v>1403</v>
      </c>
      <c r="M182" t="str">
        <f t="shared" si="2"/>
        <v>242228</v>
      </c>
    </row>
    <row r="183" spans="1:13" x14ac:dyDescent="0.25">
      <c r="A183" t="s">
        <v>218</v>
      </c>
      <c r="B183" t="s">
        <v>1404</v>
      </c>
      <c r="C183" t="s">
        <v>12</v>
      </c>
      <c r="D183" t="s">
        <v>1374</v>
      </c>
      <c r="E183" t="s">
        <v>192</v>
      </c>
      <c r="F183" s="28">
        <v>1</v>
      </c>
      <c r="G183" t="s">
        <v>193</v>
      </c>
      <c r="H183" t="s">
        <v>194</v>
      </c>
      <c r="I183" t="s">
        <v>1375</v>
      </c>
      <c r="J183" t="s">
        <v>210</v>
      </c>
      <c r="K183">
        <v>18</v>
      </c>
      <c r="L183" t="s">
        <v>220</v>
      </c>
      <c r="M183" t="str">
        <f t="shared" si="2"/>
        <v>132301</v>
      </c>
    </row>
    <row r="184" spans="1:13" x14ac:dyDescent="0.25">
      <c r="A184" t="s">
        <v>1405</v>
      </c>
      <c r="B184" t="s">
        <v>1406</v>
      </c>
      <c r="C184" t="s">
        <v>10</v>
      </c>
      <c r="D184" t="s">
        <v>1374</v>
      </c>
      <c r="E184" t="s">
        <v>233</v>
      </c>
      <c r="F184" s="28">
        <v>1</v>
      </c>
      <c r="G184" t="s">
        <v>193</v>
      </c>
      <c r="H184" t="s">
        <v>194</v>
      </c>
      <c r="I184" t="s">
        <v>1375</v>
      </c>
      <c r="J184" t="s">
        <v>210</v>
      </c>
      <c r="K184">
        <v>18</v>
      </c>
      <c r="L184" t="s">
        <v>484</v>
      </c>
      <c r="M184" t="str">
        <f t="shared" si="2"/>
        <v>251401</v>
      </c>
    </row>
    <row r="185" spans="1:13" x14ac:dyDescent="0.25">
      <c r="A185" t="s">
        <v>1405</v>
      </c>
      <c r="B185" t="s">
        <v>1407</v>
      </c>
      <c r="C185" t="s">
        <v>1408</v>
      </c>
      <c r="D185" t="s">
        <v>1374</v>
      </c>
      <c r="E185" t="s">
        <v>233</v>
      </c>
      <c r="F185" s="28">
        <v>1</v>
      </c>
      <c r="G185" t="s">
        <v>193</v>
      </c>
      <c r="H185" t="s">
        <v>194</v>
      </c>
      <c r="I185" t="s">
        <v>1375</v>
      </c>
      <c r="J185" t="s">
        <v>210</v>
      </c>
      <c r="K185">
        <v>18</v>
      </c>
      <c r="L185" t="s">
        <v>1409</v>
      </c>
      <c r="M185" t="str">
        <f t="shared" si="2"/>
        <v>251402</v>
      </c>
    </row>
    <row r="186" spans="1:13" x14ac:dyDescent="0.25">
      <c r="A186" t="s">
        <v>1410</v>
      </c>
      <c r="B186" t="s">
        <v>1411</v>
      </c>
      <c r="C186" t="s">
        <v>1087</v>
      </c>
      <c r="D186" t="s">
        <v>1374</v>
      </c>
      <c r="E186" t="s">
        <v>217</v>
      </c>
      <c r="F186" s="28">
        <v>1</v>
      </c>
      <c r="G186" t="s">
        <v>193</v>
      </c>
      <c r="H186" t="s">
        <v>194</v>
      </c>
      <c r="I186" t="s">
        <v>1375</v>
      </c>
      <c r="J186" t="s">
        <v>210</v>
      </c>
      <c r="K186">
        <v>18</v>
      </c>
      <c r="L186" t="s">
        <v>1088</v>
      </c>
      <c r="M186" t="str">
        <f t="shared" si="2"/>
        <v>261909</v>
      </c>
    </row>
    <row r="187" spans="1:13" x14ac:dyDescent="0.25">
      <c r="A187" t="s">
        <v>713</v>
      </c>
      <c r="B187" t="s">
        <v>1412</v>
      </c>
      <c r="C187" t="s">
        <v>10</v>
      </c>
      <c r="D187" t="s">
        <v>1374</v>
      </c>
      <c r="E187" t="s">
        <v>192</v>
      </c>
      <c r="F187" s="28">
        <v>1</v>
      </c>
      <c r="G187" t="s">
        <v>193</v>
      </c>
      <c r="H187" t="s">
        <v>194</v>
      </c>
      <c r="I187" t="s">
        <v>1375</v>
      </c>
      <c r="J187" t="s">
        <v>253</v>
      </c>
      <c r="K187">
        <v>18</v>
      </c>
      <c r="L187" t="s">
        <v>484</v>
      </c>
      <c r="M187" t="str">
        <f t="shared" si="2"/>
        <v>251401</v>
      </c>
    </row>
    <row r="188" spans="1:13" x14ac:dyDescent="0.25">
      <c r="A188" t="s">
        <v>1413</v>
      </c>
      <c r="B188" t="s">
        <v>1414</v>
      </c>
      <c r="C188" t="s">
        <v>17</v>
      </c>
      <c r="D188" t="s">
        <v>1374</v>
      </c>
      <c r="E188" t="s">
        <v>192</v>
      </c>
      <c r="F188" s="28">
        <v>1</v>
      </c>
      <c r="G188" t="s">
        <v>193</v>
      </c>
      <c r="H188" t="s">
        <v>194</v>
      </c>
      <c r="I188" t="s">
        <v>1197</v>
      </c>
      <c r="J188" t="s">
        <v>267</v>
      </c>
      <c r="K188">
        <v>18</v>
      </c>
      <c r="L188" t="s">
        <v>624</v>
      </c>
      <c r="M188" t="str">
        <f t="shared" si="2"/>
        <v>332203</v>
      </c>
    </row>
    <row r="189" spans="1:13" x14ac:dyDescent="0.25">
      <c r="A189" t="s">
        <v>1415</v>
      </c>
      <c r="B189" t="s">
        <v>831</v>
      </c>
      <c r="C189" t="s">
        <v>829</v>
      </c>
      <c r="D189" t="s">
        <v>1374</v>
      </c>
      <c r="E189" t="s">
        <v>233</v>
      </c>
      <c r="F189" s="28">
        <v>1</v>
      </c>
      <c r="G189" t="s">
        <v>193</v>
      </c>
      <c r="H189" t="s">
        <v>194</v>
      </c>
      <c r="I189" t="s">
        <v>1375</v>
      </c>
      <c r="J189" t="s">
        <v>1416</v>
      </c>
      <c r="K189">
        <v>18</v>
      </c>
      <c r="L189" t="s">
        <v>830</v>
      </c>
      <c r="M189" t="str">
        <f t="shared" si="2"/>
        <v>741201</v>
      </c>
    </row>
    <row r="190" spans="1:13" x14ac:dyDescent="0.25">
      <c r="A190" t="s">
        <v>1415</v>
      </c>
      <c r="B190" t="s">
        <v>632</v>
      </c>
      <c r="C190" t="s">
        <v>17</v>
      </c>
      <c r="D190" t="s">
        <v>1374</v>
      </c>
      <c r="E190" t="s">
        <v>233</v>
      </c>
      <c r="F190" s="28">
        <v>1</v>
      </c>
      <c r="G190" t="s">
        <v>193</v>
      </c>
      <c r="H190" t="s">
        <v>194</v>
      </c>
      <c r="I190" t="s">
        <v>1375</v>
      </c>
      <c r="J190" t="s">
        <v>1417</v>
      </c>
      <c r="K190">
        <v>18</v>
      </c>
      <c r="L190" t="s">
        <v>624</v>
      </c>
      <c r="M190" t="str">
        <f t="shared" si="2"/>
        <v>332203</v>
      </c>
    </row>
    <row r="191" spans="1:13" x14ac:dyDescent="0.25">
      <c r="A191" t="s">
        <v>1418</v>
      </c>
      <c r="B191" t="s">
        <v>1419</v>
      </c>
      <c r="C191" t="s">
        <v>1420</v>
      </c>
      <c r="D191" t="s">
        <v>1374</v>
      </c>
      <c r="E191" t="s">
        <v>192</v>
      </c>
      <c r="F191" s="28">
        <v>1</v>
      </c>
      <c r="G191" t="s">
        <v>193</v>
      </c>
      <c r="H191" t="s">
        <v>194</v>
      </c>
      <c r="I191" t="s">
        <v>1375</v>
      </c>
      <c r="J191" t="s">
        <v>276</v>
      </c>
      <c r="K191">
        <v>18</v>
      </c>
      <c r="L191" t="s">
        <v>1421</v>
      </c>
      <c r="M191" t="str">
        <f t="shared" si="2"/>
        <v>251303</v>
      </c>
    </row>
    <row r="192" spans="1:13" x14ac:dyDescent="0.25">
      <c r="A192" t="s">
        <v>1085</v>
      </c>
      <c r="B192" t="s">
        <v>1422</v>
      </c>
      <c r="C192" t="s">
        <v>617</v>
      </c>
      <c r="D192" t="s">
        <v>1374</v>
      </c>
      <c r="E192" t="s">
        <v>192</v>
      </c>
      <c r="F192" s="28">
        <v>1</v>
      </c>
      <c r="G192" t="s">
        <v>193</v>
      </c>
      <c r="H192" t="s">
        <v>194</v>
      </c>
      <c r="I192" t="s">
        <v>1197</v>
      </c>
      <c r="J192" t="s">
        <v>276</v>
      </c>
      <c r="K192">
        <v>18</v>
      </c>
      <c r="L192" t="s">
        <v>618</v>
      </c>
      <c r="M192" t="str">
        <f t="shared" si="2"/>
        <v>332104</v>
      </c>
    </row>
    <row r="193" spans="1:13" x14ac:dyDescent="0.25">
      <c r="A193" t="s">
        <v>1423</v>
      </c>
      <c r="B193" t="s">
        <v>460</v>
      </c>
      <c r="C193" t="s">
        <v>19</v>
      </c>
      <c r="D193" t="s">
        <v>1374</v>
      </c>
      <c r="E193" t="s">
        <v>192</v>
      </c>
      <c r="F193" s="28">
        <v>1</v>
      </c>
      <c r="G193" t="s">
        <v>193</v>
      </c>
      <c r="H193" t="s">
        <v>194</v>
      </c>
      <c r="I193" t="s">
        <v>1375</v>
      </c>
      <c r="J193" t="s">
        <v>196</v>
      </c>
      <c r="K193">
        <v>18</v>
      </c>
      <c r="L193" t="s">
        <v>337</v>
      </c>
      <c r="M193" t="str">
        <f t="shared" si="2"/>
        <v>214903</v>
      </c>
    </row>
    <row r="194" spans="1:13" x14ac:dyDescent="0.25">
      <c r="A194" t="s">
        <v>680</v>
      </c>
      <c r="B194" t="s">
        <v>681</v>
      </c>
      <c r="C194" t="s">
        <v>1148</v>
      </c>
      <c r="D194" t="s">
        <v>1374</v>
      </c>
      <c r="E194" t="s">
        <v>192</v>
      </c>
      <c r="F194" s="28">
        <v>1</v>
      </c>
      <c r="G194" t="s">
        <v>193</v>
      </c>
      <c r="H194" t="s">
        <v>194</v>
      </c>
      <c r="I194" t="s">
        <v>1375</v>
      </c>
      <c r="J194" t="s">
        <v>210</v>
      </c>
      <c r="K194">
        <v>18</v>
      </c>
      <c r="L194" t="s">
        <v>1150</v>
      </c>
      <c r="M194" t="str">
        <f t="shared" ref="M194:M257" si="3">MID(L194,8,6)</f>
        <v>244001</v>
      </c>
    </row>
    <row r="195" spans="1:13" x14ac:dyDescent="0.25">
      <c r="A195" t="s">
        <v>1235</v>
      </c>
      <c r="B195" t="s">
        <v>1424</v>
      </c>
      <c r="C195" t="s">
        <v>155</v>
      </c>
      <c r="D195" t="s">
        <v>1374</v>
      </c>
      <c r="E195" t="s">
        <v>192</v>
      </c>
      <c r="F195" s="28">
        <v>1</v>
      </c>
      <c r="G195" t="s">
        <v>193</v>
      </c>
      <c r="H195" t="s">
        <v>194</v>
      </c>
      <c r="I195" t="s">
        <v>1375</v>
      </c>
      <c r="J195" t="s">
        <v>210</v>
      </c>
      <c r="K195">
        <v>18</v>
      </c>
      <c r="L195" t="s">
        <v>1425</v>
      </c>
      <c r="M195" t="str">
        <f t="shared" si="3"/>
        <v>723310</v>
      </c>
    </row>
    <row r="196" spans="1:13" x14ac:dyDescent="0.25">
      <c r="A196" t="s">
        <v>1426</v>
      </c>
      <c r="B196" t="s">
        <v>1427</v>
      </c>
      <c r="C196" t="s">
        <v>1427</v>
      </c>
      <c r="D196" t="s">
        <v>1374</v>
      </c>
      <c r="E196" t="s">
        <v>192</v>
      </c>
      <c r="F196" s="28">
        <v>1</v>
      </c>
      <c r="G196" t="s">
        <v>193</v>
      </c>
      <c r="H196" t="s">
        <v>194</v>
      </c>
      <c r="I196" t="s">
        <v>1375</v>
      </c>
      <c r="J196" t="s">
        <v>253</v>
      </c>
      <c r="K196">
        <v>18</v>
      </c>
      <c r="L196" t="s">
        <v>1428</v>
      </c>
      <c r="M196" t="str">
        <f t="shared" si="3"/>
        <v>731602</v>
      </c>
    </row>
    <row r="197" spans="1:13" x14ac:dyDescent="0.25">
      <c r="A197" t="s">
        <v>1426</v>
      </c>
      <c r="B197" t="s">
        <v>1429</v>
      </c>
      <c r="C197" t="s">
        <v>1430</v>
      </c>
      <c r="D197" t="s">
        <v>1374</v>
      </c>
      <c r="E197" t="s">
        <v>192</v>
      </c>
      <c r="F197" s="28">
        <v>1</v>
      </c>
      <c r="G197" t="s">
        <v>193</v>
      </c>
      <c r="H197" t="s">
        <v>194</v>
      </c>
      <c r="I197" t="s">
        <v>1375</v>
      </c>
      <c r="J197" t="s">
        <v>253</v>
      </c>
      <c r="K197">
        <v>18</v>
      </c>
      <c r="L197" t="s">
        <v>1431</v>
      </c>
      <c r="M197" t="str">
        <f t="shared" si="3"/>
        <v>713101</v>
      </c>
    </row>
    <row r="198" spans="1:13" x14ac:dyDescent="0.25">
      <c r="A198" t="s">
        <v>1426</v>
      </c>
      <c r="B198" t="s">
        <v>1432</v>
      </c>
      <c r="C198" t="s">
        <v>721</v>
      </c>
      <c r="D198" t="s">
        <v>1374</v>
      </c>
      <c r="E198" t="s">
        <v>192</v>
      </c>
      <c r="F198" s="28">
        <v>1</v>
      </c>
      <c r="G198" t="s">
        <v>193</v>
      </c>
      <c r="H198" t="s">
        <v>194</v>
      </c>
      <c r="I198" t="s">
        <v>1375</v>
      </c>
      <c r="J198" t="s">
        <v>253</v>
      </c>
      <c r="K198">
        <v>18</v>
      </c>
      <c r="L198" t="s">
        <v>723</v>
      </c>
      <c r="M198" t="str">
        <f t="shared" si="3"/>
        <v>432201</v>
      </c>
    </row>
    <row r="199" spans="1:13" x14ac:dyDescent="0.25">
      <c r="A199" t="s">
        <v>1433</v>
      </c>
      <c r="B199" t="s">
        <v>119</v>
      </c>
      <c r="C199" t="s">
        <v>119</v>
      </c>
      <c r="D199" t="s">
        <v>1374</v>
      </c>
      <c r="E199" t="s">
        <v>233</v>
      </c>
      <c r="F199" s="28">
        <v>1</v>
      </c>
      <c r="G199" t="s">
        <v>193</v>
      </c>
      <c r="H199" t="s">
        <v>194</v>
      </c>
      <c r="I199" t="s">
        <v>1375</v>
      </c>
      <c r="J199" t="s">
        <v>253</v>
      </c>
      <c r="K199">
        <v>18</v>
      </c>
      <c r="L199" t="s">
        <v>666</v>
      </c>
      <c r="M199" t="str">
        <f t="shared" si="3"/>
        <v>333105</v>
      </c>
    </row>
    <row r="200" spans="1:13" x14ac:dyDescent="0.25">
      <c r="A200" t="s">
        <v>527</v>
      </c>
      <c r="B200" t="s">
        <v>1434</v>
      </c>
      <c r="C200" t="s">
        <v>1435</v>
      </c>
      <c r="D200" t="s">
        <v>1374</v>
      </c>
      <c r="E200" t="s">
        <v>192</v>
      </c>
      <c r="F200" s="28">
        <v>1</v>
      </c>
      <c r="G200" t="s">
        <v>193</v>
      </c>
      <c r="H200" t="s">
        <v>194</v>
      </c>
      <c r="I200" t="s">
        <v>1375</v>
      </c>
      <c r="J200" t="s">
        <v>367</v>
      </c>
      <c r="K200">
        <v>18</v>
      </c>
      <c r="L200" t="s">
        <v>1436</v>
      </c>
      <c r="M200" t="str">
        <f t="shared" si="3"/>
        <v>216304</v>
      </c>
    </row>
    <row r="201" spans="1:13" x14ac:dyDescent="0.25">
      <c r="A201" t="s">
        <v>1437</v>
      </c>
      <c r="B201" t="s">
        <v>1438</v>
      </c>
      <c r="C201" t="s">
        <v>17</v>
      </c>
      <c r="D201" t="s">
        <v>1374</v>
      </c>
      <c r="E201" t="s">
        <v>192</v>
      </c>
      <c r="F201" s="28">
        <v>1</v>
      </c>
      <c r="G201" t="s">
        <v>193</v>
      </c>
      <c r="H201" t="s">
        <v>194</v>
      </c>
      <c r="I201" t="s">
        <v>1375</v>
      </c>
      <c r="J201" t="s">
        <v>210</v>
      </c>
      <c r="K201">
        <v>18</v>
      </c>
      <c r="L201" t="s">
        <v>624</v>
      </c>
      <c r="M201" t="str">
        <f t="shared" si="3"/>
        <v>332203</v>
      </c>
    </row>
    <row r="202" spans="1:13" x14ac:dyDescent="0.25">
      <c r="A202" t="s">
        <v>1439</v>
      </c>
      <c r="B202" t="s">
        <v>632</v>
      </c>
      <c r="C202" t="s">
        <v>17</v>
      </c>
      <c r="D202" t="s">
        <v>1374</v>
      </c>
      <c r="E202" t="s">
        <v>192</v>
      </c>
      <c r="F202" s="28">
        <v>1</v>
      </c>
      <c r="G202" t="s">
        <v>193</v>
      </c>
      <c r="H202" t="s">
        <v>194</v>
      </c>
      <c r="I202" t="s">
        <v>1375</v>
      </c>
      <c r="J202" t="s">
        <v>196</v>
      </c>
      <c r="K202">
        <v>18</v>
      </c>
      <c r="L202" t="s">
        <v>624</v>
      </c>
      <c r="M202" t="str">
        <f t="shared" si="3"/>
        <v>332203</v>
      </c>
    </row>
    <row r="203" spans="1:13" x14ac:dyDescent="0.25">
      <c r="A203" t="s">
        <v>751</v>
      </c>
      <c r="B203" t="s">
        <v>1135</v>
      </c>
      <c r="C203" t="s">
        <v>740</v>
      </c>
      <c r="D203" t="s">
        <v>1374</v>
      </c>
      <c r="E203" t="s">
        <v>233</v>
      </c>
      <c r="F203" s="28">
        <v>1</v>
      </c>
      <c r="G203" t="s">
        <v>193</v>
      </c>
      <c r="H203" t="s">
        <v>194</v>
      </c>
      <c r="I203" t="s">
        <v>1197</v>
      </c>
      <c r="J203" t="s">
        <v>267</v>
      </c>
      <c r="K203">
        <v>18</v>
      </c>
      <c r="L203" t="s">
        <v>741</v>
      </c>
      <c r="M203" t="str">
        <f t="shared" si="3"/>
        <v>522301</v>
      </c>
    </row>
    <row r="204" spans="1:13" x14ac:dyDescent="0.25">
      <c r="A204" t="s">
        <v>1091</v>
      </c>
      <c r="B204" t="s">
        <v>1092</v>
      </c>
      <c r="C204" t="s">
        <v>27</v>
      </c>
      <c r="D204" t="s">
        <v>1374</v>
      </c>
      <c r="E204" t="s">
        <v>217</v>
      </c>
      <c r="F204" s="28">
        <v>1</v>
      </c>
      <c r="G204" t="s">
        <v>193</v>
      </c>
      <c r="H204" t="s">
        <v>194</v>
      </c>
      <c r="I204" t="s">
        <v>1375</v>
      </c>
      <c r="J204" t="s">
        <v>210</v>
      </c>
      <c r="K204">
        <v>18</v>
      </c>
      <c r="L204" t="s">
        <v>440</v>
      </c>
      <c r="M204" t="str">
        <f t="shared" si="3"/>
        <v>242307</v>
      </c>
    </row>
    <row r="205" spans="1:13" x14ac:dyDescent="0.25">
      <c r="A205" t="s">
        <v>1091</v>
      </c>
      <c r="B205" t="s">
        <v>1440</v>
      </c>
      <c r="C205" t="s">
        <v>1441</v>
      </c>
      <c r="D205" t="s">
        <v>1374</v>
      </c>
      <c r="E205" t="s">
        <v>217</v>
      </c>
      <c r="F205" s="28">
        <v>1</v>
      </c>
      <c r="G205" t="s">
        <v>193</v>
      </c>
      <c r="H205" t="s">
        <v>194</v>
      </c>
      <c r="I205" t="s">
        <v>1197</v>
      </c>
      <c r="J205" t="s">
        <v>1442</v>
      </c>
      <c r="K205">
        <v>18</v>
      </c>
      <c r="L205" t="s">
        <v>1443</v>
      </c>
      <c r="M205" t="str">
        <f t="shared" si="3"/>
        <v>132103</v>
      </c>
    </row>
    <row r="206" spans="1:13" x14ac:dyDescent="0.25">
      <c r="A206" t="s">
        <v>1091</v>
      </c>
      <c r="B206" t="s">
        <v>1444</v>
      </c>
      <c r="C206" t="s">
        <v>284</v>
      </c>
      <c r="D206" t="s">
        <v>1374</v>
      </c>
      <c r="E206" t="s">
        <v>217</v>
      </c>
      <c r="F206" s="28">
        <v>1</v>
      </c>
      <c r="G206" t="s">
        <v>193</v>
      </c>
      <c r="H206" t="s">
        <v>194</v>
      </c>
      <c r="I206" t="s">
        <v>1197</v>
      </c>
      <c r="J206" t="s">
        <v>1445</v>
      </c>
      <c r="K206">
        <v>18</v>
      </c>
      <c r="L206" t="s">
        <v>286</v>
      </c>
      <c r="M206" t="str">
        <f t="shared" si="3"/>
        <v>214109</v>
      </c>
    </row>
    <row r="207" spans="1:13" x14ac:dyDescent="0.25">
      <c r="A207" t="s">
        <v>1446</v>
      </c>
      <c r="B207" t="s">
        <v>1447</v>
      </c>
      <c r="C207" t="s">
        <v>148</v>
      </c>
      <c r="D207" t="s">
        <v>1374</v>
      </c>
      <c r="E207" t="s">
        <v>192</v>
      </c>
      <c r="F207" s="28">
        <v>5</v>
      </c>
      <c r="G207" t="s">
        <v>193</v>
      </c>
      <c r="H207" t="s">
        <v>194</v>
      </c>
      <c r="I207" t="s">
        <v>1375</v>
      </c>
      <c r="J207" t="s">
        <v>672</v>
      </c>
      <c r="K207">
        <v>18</v>
      </c>
      <c r="L207" t="s">
        <v>661</v>
      </c>
      <c r="M207" t="str">
        <f t="shared" si="3"/>
        <v>333104</v>
      </c>
    </row>
    <row r="208" spans="1:13" x14ac:dyDescent="0.25">
      <c r="A208" t="s">
        <v>1446</v>
      </c>
      <c r="B208" t="s">
        <v>1448</v>
      </c>
      <c r="C208" t="s">
        <v>100</v>
      </c>
      <c r="D208" t="s">
        <v>1374</v>
      </c>
      <c r="E208" t="s">
        <v>192</v>
      </c>
      <c r="F208" s="28">
        <v>1</v>
      </c>
      <c r="G208" t="s">
        <v>193</v>
      </c>
      <c r="H208" t="s">
        <v>194</v>
      </c>
      <c r="I208" t="s">
        <v>1197</v>
      </c>
      <c r="J208" t="s">
        <v>672</v>
      </c>
      <c r="K208">
        <v>18</v>
      </c>
      <c r="L208" t="s">
        <v>429</v>
      </c>
      <c r="M208" t="str">
        <f t="shared" si="3"/>
        <v>242108</v>
      </c>
    </row>
    <row r="209" spans="1:13" x14ac:dyDescent="0.25">
      <c r="A209" t="s">
        <v>1449</v>
      </c>
      <c r="B209" t="s">
        <v>1450</v>
      </c>
      <c r="C209" t="s">
        <v>1451</v>
      </c>
      <c r="D209" t="s">
        <v>1374</v>
      </c>
      <c r="E209" t="s">
        <v>217</v>
      </c>
      <c r="F209" s="28">
        <v>1</v>
      </c>
      <c r="G209" t="s">
        <v>193</v>
      </c>
      <c r="H209" t="s">
        <v>194</v>
      </c>
      <c r="I209" t="s">
        <v>1197</v>
      </c>
      <c r="J209" t="s">
        <v>210</v>
      </c>
      <c r="K209">
        <v>18</v>
      </c>
      <c r="L209" t="s">
        <v>1452</v>
      </c>
      <c r="M209" t="str">
        <f t="shared" si="3"/>
        <v>311410</v>
      </c>
    </row>
    <row r="210" spans="1:13" x14ac:dyDescent="0.25">
      <c r="A210" t="s">
        <v>1449</v>
      </c>
      <c r="B210" t="s">
        <v>1453</v>
      </c>
      <c r="C210" t="s">
        <v>1454</v>
      </c>
      <c r="D210" t="s">
        <v>1374</v>
      </c>
      <c r="E210" t="s">
        <v>217</v>
      </c>
      <c r="F210" s="28">
        <v>1</v>
      </c>
      <c r="G210" t="s">
        <v>193</v>
      </c>
      <c r="H210" t="s">
        <v>194</v>
      </c>
      <c r="I210" t="s">
        <v>1375</v>
      </c>
      <c r="J210" t="s">
        <v>210</v>
      </c>
      <c r="K210">
        <v>18</v>
      </c>
      <c r="L210" t="s">
        <v>1455</v>
      </c>
      <c r="M210" t="str">
        <f t="shared" si="3"/>
        <v>722301</v>
      </c>
    </row>
    <row r="211" spans="1:13" x14ac:dyDescent="0.25">
      <c r="A211" t="s">
        <v>1449</v>
      </c>
      <c r="B211" t="s">
        <v>1456</v>
      </c>
      <c r="C211" t="s">
        <v>29</v>
      </c>
      <c r="D211" t="s">
        <v>1374</v>
      </c>
      <c r="E211" t="s">
        <v>217</v>
      </c>
      <c r="F211" s="28">
        <v>1</v>
      </c>
      <c r="G211" t="s">
        <v>193</v>
      </c>
      <c r="H211" t="s">
        <v>194</v>
      </c>
      <c r="I211" t="s">
        <v>1375</v>
      </c>
      <c r="J211" t="s">
        <v>210</v>
      </c>
      <c r="K211">
        <v>18</v>
      </c>
      <c r="L211" t="s">
        <v>808</v>
      </c>
      <c r="M211" t="str">
        <f t="shared" si="3"/>
        <v>722308</v>
      </c>
    </row>
    <row r="212" spans="1:13" x14ac:dyDescent="0.25">
      <c r="A212" t="s">
        <v>1449</v>
      </c>
      <c r="B212" t="s">
        <v>657</v>
      </c>
      <c r="C212" t="s">
        <v>122</v>
      </c>
      <c r="D212" t="s">
        <v>1374</v>
      </c>
      <c r="E212" t="s">
        <v>217</v>
      </c>
      <c r="F212" s="28">
        <v>1</v>
      </c>
      <c r="G212" t="s">
        <v>193</v>
      </c>
      <c r="H212" t="s">
        <v>194</v>
      </c>
      <c r="I212" t="s">
        <v>1375</v>
      </c>
      <c r="J212" t="s">
        <v>210</v>
      </c>
      <c r="K212">
        <v>18</v>
      </c>
      <c r="L212" t="s">
        <v>655</v>
      </c>
      <c r="M212" t="str">
        <f t="shared" si="3"/>
        <v>332301</v>
      </c>
    </row>
    <row r="213" spans="1:13" x14ac:dyDescent="0.25">
      <c r="A213" t="s">
        <v>1457</v>
      </c>
      <c r="B213" t="s">
        <v>1458</v>
      </c>
      <c r="C213" t="s">
        <v>1459</v>
      </c>
      <c r="D213" t="s">
        <v>1374</v>
      </c>
      <c r="E213" t="s">
        <v>192</v>
      </c>
      <c r="F213" s="28">
        <v>1</v>
      </c>
      <c r="G213" t="s">
        <v>193</v>
      </c>
      <c r="H213" t="s">
        <v>194</v>
      </c>
      <c r="I213" t="s">
        <v>1375</v>
      </c>
      <c r="J213" t="s">
        <v>210</v>
      </c>
      <c r="K213">
        <v>18</v>
      </c>
      <c r="L213" t="s">
        <v>1460</v>
      </c>
      <c r="M213" t="str">
        <f t="shared" si="3"/>
        <v>742114</v>
      </c>
    </row>
    <row r="214" spans="1:13" x14ac:dyDescent="0.25">
      <c r="A214" t="s">
        <v>1457</v>
      </c>
      <c r="B214" t="s">
        <v>1461</v>
      </c>
      <c r="C214" t="s">
        <v>29</v>
      </c>
      <c r="D214" t="s">
        <v>1374</v>
      </c>
      <c r="E214" t="s">
        <v>192</v>
      </c>
      <c r="F214" s="28">
        <v>1</v>
      </c>
      <c r="G214" t="s">
        <v>193</v>
      </c>
      <c r="H214" t="s">
        <v>194</v>
      </c>
      <c r="I214" t="s">
        <v>1375</v>
      </c>
      <c r="J214" t="s">
        <v>210</v>
      </c>
      <c r="K214">
        <v>18</v>
      </c>
      <c r="L214" t="s">
        <v>808</v>
      </c>
      <c r="M214" t="str">
        <f t="shared" si="3"/>
        <v>722308</v>
      </c>
    </row>
    <row r="215" spans="1:13" x14ac:dyDescent="0.25">
      <c r="A215" t="s">
        <v>1457</v>
      </c>
      <c r="B215" t="s">
        <v>1462</v>
      </c>
      <c r="C215" t="s">
        <v>29</v>
      </c>
      <c r="D215" t="s">
        <v>1374</v>
      </c>
      <c r="E215" t="s">
        <v>192</v>
      </c>
      <c r="F215" s="28">
        <v>1</v>
      </c>
      <c r="G215" t="s">
        <v>193</v>
      </c>
      <c r="H215" t="s">
        <v>194</v>
      </c>
      <c r="I215" t="s">
        <v>1375</v>
      </c>
      <c r="J215" t="s">
        <v>210</v>
      </c>
      <c r="K215">
        <v>18</v>
      </c>
      <c r="L215" t="s">
        <v>808</v>
      </c>
      <c r="M215" t="str">
        <f t="shared" si="3"/>
        <v>722308</v>
      </c>
    </row>
    <row r="216" spans="1:13" x14ac:dyDescent="0.25">
      <c r="A216" t="s">
        <v>1457</v>
      </c>
      <c r="B216" t="s">
        <v>657</v>
      </c>
      <c r="C216" t="s">
        <v>122</v>
      </c>
      <c r="D216" t="s">
        <v>1374</v>
      </c>
      <c r="E216" t="s">
        <v>192</v>
      </c>
      <c r="F216" s="28">
        <v>1</v>
      </c>
      <c r="G216" t="s">
        <v>193</v>
      </c>
      <c r="H216" t="s">
        <v>194</v>
      </c>
      <c r="I216" t="s">
        <v>1375</v>
      </c>
      <c r="J216" t="s">
        <v>210</v>
      </c>
      <c r="K216">
        <v>18</v>
      </c>
      <c r="L216" t="s">
        <v>655</v>
      </c>
      <c r="M216" t="str">
        <f t="shared" si="3"/>
        <v>332301</v>
      </c>
    </row>
    <row r="217" spans="1:13" x14ac:dyDescent="0.25">
      <c r="A217" t="s">
        <v>1463</v>
      </c>
      <c r="B217" t="s">
        <v>1464</v>
      </c>
      <c r="C217" t="s">
        <v>17</v>
      </c>
      <c r="D217" t="s">
        <v>1374</v>
      </c>
      <c r="E217" t="s">
        <v>192</v>
      </c>
      <c r="F217" s="28">
        <v>1</v>
      </c>
      <c r="G217" t="s">
        <v>193</v>
      </c>
      <c r="H217" t="s">
        <v>194</v>
      </c>
      <c r="I217" t="s">
        <v>1375</v>
      </c>
      <c r="J217" t="s">
        <v>210</v>
      </c>
      <c r="K217">
        <v>18</v>
      </c>
      <c r="L217" t="s">
        <v>624</v>
      </c>
      <c r="M217" t="str">
        <f t="shared" si="3"/>
        <v>332203</v>
      </c>
    </row>
    <row r="218" spans="1:13" x14ac:dyDescent="0.25">
      <c r="A218" t="s">
        <v>800</v>
      </c>
      <c r="B218" t="s">
        <v>1432</v>
      </c>
      <c r="C218" t="s">
        <v>721</v>
      </c>
      <c r="D218" t="s">
        <v>1374</v>
      </c>
      <c r="E218" t="s">
        <v>192</v>
      </c>
      <c r="F218" s="28">
        <v>1</v>
      </c>
      <c r="G218" t="s">
        <v>193</v>
      </c>
      <c r="H218" t="s">
        <v>194</v>
      </c>
      <c r="I218" t="s">
        <v>1375</v>
      </c>
      <c r="J218" t="s">
        <v>276</v>
      </c>
      <c r="K218">
        <v>18</v>
      </c>
      <c r="L218" t="s">
        <v>723</v>
      </c>
      <c r="M218" t="str">
        <f t="shared" si="3"/>
        <v>432201</v>
      </c>
    </row>
    <row r="219" spans="1:13" x14ac:dyDescent="0.25">
      <c r="A219" t="s">
        <v>800</v>
      </c>
      <c r="B219" t="s">
        <v>1465</v>
      </c>
      <c r="C219" t="s">
        <v>100</v>
      </c>
      <c r="D219" t="s">
        <v>1374</v>
      </c>
      <c r="E219" t="s">
        <v>192</v>
      </c>
      <c r="F219" s="28">
        <v>1</v>
      </c>
      <c r="G219" t="s">
        <v>193</v>
      </c>
      <c r="H219" t="s">
        <v>194</v>
      </c>
      <c r="I219" t="s">
        <v>1375</v>
      </c>
      <c r="J219" t="s">
        <v>276</v>
      </c>
      <c r="K219">
        <v>18</v>
      </c>
      <c r="L219" t="s">
        <v>429</v>
      </c>
      <c r="M219" t="str">
        <f t="shared" si="3"/>
        <v>242108</v>
      </c>
    </row>
    <row r="220" spans="1:13" x14ac:dyDescent="0.25">
      <c r="A220" t="s">
        <v>1466</v>
      </c>
      <c r="B220" t="s">
        <v>1467</v>
      </c>
      <c r="C220" t="s">
        <v>17</v>
      </c>
      <c r="D220" t="s">
        <v>1374</v>
      </c>
      <c r="E220" t="s">
        <v>192</v>
      </c>
      <c r="F220" s="28">
        <v>1</v>
      </c>
      <c r="G220" t="s">
        <v>193</v>
      </c>
      <c r="H220" t="s">
        <v>194</v>
      </c>
      <c r="I220" t="s">
        <v>1197</v>
      </c>
      <c r="J220" t="s">
        <v>210</v>
      </c>
      <c r="K220">
        <v>18</v>
      </c>
      <c r="L220" t="s">
        <v>624</v>
      </c>
      <c r="M220" t="str">
        <f t="shared" si="3"/>
        <v>332203</v>
      </c>
    </row>
    <row r="221" spans="1:13" x14ac:dyDescent="0.25">
      <c r="A221" t="s">
        <v>1468</v>
      </c>
      <c r="B221" t="s">
        <v>1469</v>
      </c>
      <c r="C221" t="s">
        <v>141</v>
      </c>
      <c r="D221" t="s">
        <v>1374</v>
      </c>
      <c r="E221" t="s">
        <v>192</v>
      </c>
      <c r="F221" s="28">
        <v>1</v>
      </c>
      <c r="G221" t="s">
        <v>193</v>
      </c>
      <c r="H221" t="s">
        <v>194</v>
      </c>
      <c r="I221" t="s">
        <v>1375</v>
      </c>
      <c r="J221" t="s">
        <v>301</v>
      </c>
      <c r="K221">
        <v>18</v>
      </c>
      <c r="L221" t="s">
        <v>1470</v>
      </c>
      <c r="M221" t="str">
        <f t="shared" si="3"/>
        <v>812102</v>
      </c>
    </row>
    <row r="222" spans="1:13" x14ac:dyDescent="0.25">
      <c r="A222" t="s">
        <v>1471</v>
      </c>
      <c r="B222" t="s">
        <v>1472</v>
      </c>
      <c r="C222" t="s">
        <v>1133</v>
      </c>
      <c r="D222" t="s">
        <v>1374</v>
      </c>
      <c r="E222" t="s">
        <v>192</v>
      </c>
      <c r="F222" s="28">
        <v>1</v>
      </c>
      <c r="G222" t="s">
        <v>193</v>
      </c>
      <c r="H222" t="s">
        <v>194</v>
      </c>
      <c r="I222" t="s">
        <v>1375</v>
      </c>
      <c r="J222" t="s">
        <v>1473</v>
      </c>
      <c r="K222">
        <v>18</v>
      </c>
      <c r="L222" t="s">
        <v>1134</v>
      </c>
      <c r="M222" t="str">
        <f t="shared" si="3"/>
        <v>112008</v>
      </c>
    </row>
    <row r="223" spans="1:13" x14ac:dyDescent="0.25">
      <c r="A223" t="s">
        <v>711</v>
      </c>
      <c r="B223" t="s">
        <v>1474</v>
      </c>
      <c r="C223" t="s">
        <v>27</v>
      </c>
      <c r="D223" t="s">
        <v>1374</v>
      </c>
      <c r="E223" t="s">
        <v>192</v>
      </c>
      <c r="F223" s="28">
        <v>2</v>
      </c>
      <c r="G223" t="s">
        <v>193</v>
      </c>
      <c r="H223" t="s">
        <v>194</v>
      </c>
      <c r="I223" t="s">
        <v>1375</v>
      </c>
      <c r="J223" t="s">
        <v>196</v>
      </c>
      <c r="K223">
        <v>18</v>
      </c>
      <c r="L223" t="s">
        <v>440</v>
      </c>
      <c r="M223" t="str">
        <f t="shared" si="3"/>
        <v>242307</v>
      </c>
    </row>
    <row r="224" spans="1:13" x14ac:dyDescent="0.25">
      <c r="A224" t="s">
        <v>711</v>
      </c>
      <c r="B224" t="s">
        <v>1475</v>
      </c>
      <c r="C224" t="s">
        <v>18</v>
      </c>
      <c r="D224" t="s">
        <v>1374</v>
      </c>
      <c r="E224" t="s">
        <v>192</v>
      </c>
      <c r="F224" s="28">
        <v>1</v>
      </c>
      <c r="G224" t="s">
        <v>193</v>
      </c>
      <c r="H224" t="s">
        <v>194</v>
      </c>
      <c r="I224" t="s">
        <v>1375</v>
      </c>
      <c r="J224" t="s">
        <v>196</v>
      </c>
      <c r="K224">
        <v>18</v>
      </c>
      <c r="L224" t="s">
        <v>1476</v>
      </c>
      <c r="M224" t="str">
        <f t="shared" si="3"/>
        <v>242309</v>
      </c>
    </row>
    <row r="225" spans="1:13" x14ac:dyDescent="0.25">
      <c r="A225" t="s">
        <v>1477</v>
      </c>
      <c r="B225" t="s">
        <v>1478</v>
      </c>
      <c r="C225" t="s">
        <v>566</v>
      </c>
      <c r="D225" t="s">
        <v>1374</v>
      </c>
      <c r="E225" t="s">
        <v>233</v>
      </c>
      <c r="F225" s="76">
        <v>0</v>
      </c>
      <c r="G225" s="75" t="s">
        <v>194</v>
      </c>
      <c r="H225" t="s">
        <v>193</v>
      </c>
      <c r="I225" t="s">
        <v>1197</v>
      </c>
      <c r="J225" t="s">
        <v>196</v>
      </c>
      <c r="K225">
        <v>18</v>
      </c>
      <c r="L225" t="s">
        <v>567</v>
      </c>
      <c r="M225" t="str">
        <f t="shared" si="3"/>
        <v>311504</v>
      </c>
    </row>
    <row r="226" spans="1:13" x14ac:dyDescent="0.25">
      <c r="A226" t="s">
        <v>1479</v>
      </c>
      <c r="B226" t="s">
        <v>1480</v>
      </c>
      <c r="C226" t="s">
        <v>1481</v>
      </c>
      <c r="D226" t="s">
        <v>1374</v>
      </c>
      <c r="E226" t="s">
        <v>192</v>
      </c>
      <c r="F226" s="28">
        <v>1</v>
      </c>
      <c r="G226" t="s">
        <v>193</v>
      </c>
      <c r="H226" t="s">
        <v>194</v>
      </c>
      <c r="I226" t="s">
        <v>1375</v>
      </c>
      <c r="J226" t="s">
        <v>385</v>
      </c>
      <c r="K226">
        <v>18</v>
      </c>
      <c r="L226" t="s">
        <v>1482</v>
      </c>
      <c r="M226" t="str">
        <f t="shared" si="3"/>
        <v>413201</v>
      </c>
    </row>
    <row r="227" spans="1:13" x14ac:dyDescent="0.25">
      <c r="A227" t="s">
        <v>1164</v>
      </c>
      <c r="B227" t="s">
        <v>1165</v>
      </c>
      <c r="C227" t="s">
        <v>114</v>
      </c>
      <c r="D227" t="s">
        <v>1374</v>
      </c>
      <c r="E227" t="s">
        <v>217</v>
      </c>
      <c r="F227" s="76">
        <v>0</v>
      </c>
      <c r="G227" s="75" t="s">
        <v>194</v>
      </c>
      <c r="H227" t="s">
        <v>193</v>
      </c>
      <c r="I227" t="s">
        <v>1197</v>
      </c>
      <c r="J227" t="s">
        <v>196</v>
      </c>
      <c r="K227">
        <v>18</v>
      </c>
      <c r="L227" t="s">
        <v>1166</v>
      </c>
      <c r="M227" t="str">
        <f t="shared" si="3"/>
        <v>432102</v>
      </c>
    </row>
    <row r="228" spans="1:13" x14ac:dyDescent="0.25">
      <c r="A228" t="s">
        <v>1483</v>
      </c>
      <c r="B228" t="s">
        <v>1484</v>
      </c>
      <c r="C228" t="s">
        <v>1485</v>
      </c>
      <c r="D228" t="s">
        <v>1374</v>
      </c>
      <c r="E228" t="s">
        <v>217</v>
      </c>
      <c r="F228" s="28">
        <v>1</v>
      </c>
      <c r="G228" t="s">
        <v>193</v>
      </c>
      <c r="H228" t="s">
        <v>194</v>
      </c>
      <c r="I228" t="s">
        <v>1197</v>
      </c>
      <c r="J228" t="s">
        <v>1486</v>
      </c>
      <c r="K228">
        <v>18</v>
      </c>
      <c r="L228" t="s">
        <v>1487</v>
      </c>
      <c r="M228" t="str">
        <f t="shared" si="3"/>
        <v>112015</v>
      </c>
    </row>
    <row r="229" spans="1:13" x14ac:dyDescent="0.25">
      <c r="A229" t="s">
        <v>349</v>
      </c>
      <c r="B229" t="s">
        <v>1488</v>
      </c>
      <c r="C229" t="s">
        <v>12</v>
      </c>
      <c r="D229" t="s">
        <v>1374</v>
      </c>
      <c r="E229" t="s">
        <v>217</v>
      </c>
      <c r="F229" s="28">
        <v>1</v>
      </c>
      <c r="G229" t="s">
        <v>193</v>
      </c>
      <c r="H229" t="s">
        <v>194</v>
      </c>
      <c r="I229" t="s">
        <v>1375</v>
      </c>
      <c r="J229" t="s">
        <v>385</v>
      </c>
      <c r="K229">
        <v>18</v>
      </c>
      <c r="L229" t="s">
        <v>220</v>
      </c>
      <c r="M229" t="str">
        <f t="shared" si="3"/>
        <v>132301</v>
      </c>
    </row>
    <row r="230" spans="1:13" x14ac:dyDescent="0.25">
      <c r="A230" t="s">
        <v>349</v>
      </c>
      <c r="B230" t="s">
        <v>1489</v>
      </c>
      <c r="C230" t="s">
        <v>1173</v>
      </c>
      <c r="D230" t="s">
        <v>1374</v>
      </c>
      <c r="E230" t="s">
        <v>192</v>
      </c>
      <c r="F230" s="28">
        <v>1</v>
      </c>
      <c r="G230" t="s">
        <v>193</v>
      </c>
      <c r="H230" t="s">
        <v>194</v>
      </c>
      <c r="I230" t="s">
        <v>1197</v>
      </c>
      <c r="J230" t="s">
        <v>210</v>
      </c>
      <c r="K230">
        <v>18</v>
      </c>
      <c r="L230" t="s">
        <v>1174</v>
      </c>
      <c r="M230" t="str">
        <f t="shared" si="3"/>
        <v>242211</v>
      </c>
    </row>
    <row r="231" spans="1:13" x14ac:dyDescent="0.25">
      <c r="A231" t="s">
        <v>1490</v>
      </c>
      <c r="B231" t="s">
        <v>1491</v>
      </c>
      <c r="C231" t="s">
        <v>1492</v>
      </c>
      <c r="D231" t="s">
        <v>1374</v>
      </c>
      <c r="E231" t="s">
        <v>192</v>
      </c>
      <c r="F231" s="28">
        <v>1</v>
      </c>
      <c r="G231" t="s">
        <v>193</v>
      </c>
      <c r="H231" t="s">
        <v>194</v>
      </c>
      <c r="I231" t="s">
        <v>1197</v>
      </c>
      <c r="J231" t="s">
        <v>575</v>
      </c>
      <c r="K231">
        <v>18</v>
      </c>
      <c r="L231" t="s">
        <v>1493</v>
      </c>
      <c r="M231" t="str">
        <f t="shared" si="3"/>
        <v>214104</v>
      </c>
    </row>
    <row r="232" spans="1:13" x14ac:dyDescent="0.25">
      <c r="A232" t="s">
        <v>1490</v>
      </c>
      <c r="B232" t="s">
        <v>1494</v>
      </c>
      <c r="C232" t="s">
        <v>10</v>
      </c>
      <c r="D232" t="s">
        <v>1374</v>
      </c>
      <c r="E232" t="s">
        <v>192</v>
      </c>
      <c r="F232" s="28">
        <v>1</v>
      </c>
      <c r="G232" t="s">
        <v>193</v>
      </c>
      <c r="H232" t="s">
        <v>194</v>
      </c>
      <c r="I232" t="s">
        <v>1375</v>
      </c>
      <c r="J232" t="s">
        <v>575</v>
      </c>
      <c r="K232">
        <v>18</v>
      </c>
      <c r="L232" t="s">
        <v>484</v>
      </c>
      <c r="M232" t="str">
        <f t="shared" si="3"/>
        <v>251401</v>
      </c>
    </row>
    <row r="233" spans="1:13" x14ac:dyDescent="0.25">
      <c r="A233" t="s">
        <v>329</v>
      </c>
      <c r="B233" t="s">
        <v>632</v>
      </c>
      <c r="C233" t="s">
        <v>17</v>
      </c>
      <c r="D233" t="s">
        <v>1374</v>
      </c>
      <c r="E233" t="s">
        <v>192</v>
      </c>
      <c r="F233" s="28">
        <v>1</v>
      </c>
      <c r="G233" t="s">
        <v>193</v>
      </c>
      <c r="H233" t="s">
        <v>194</v>
      </c>
      <c r="I233" t="s">
        <v>1375</v>
      </c>
      <c r="J233" t="s">
        <v>210</v>
      </c>
      <c r="K233">
        <v>18</v>
      </c>
      <c r="L233" t="s">
        <v>624</v>
      </c>
      <c r="M233" t="str">
        <f t="shared" si="3"/>
        <v>332203</v>
      </c>
    </row>
    <row r="234" spans="1:13" x14ac:dyDescent="0.25">
      <c r="A234" t="s">
        <v>1495</v>
      </c>
      <c r="B234" t="s">
        <v>1496</v>
      </c>
      <c r="C234" t="s">
        <v>1497</v>
      </c>
      <c r="D234" t="s">
        <v>1374</v>
      </c>
      <c r="E234" t="s">
        <v>192</v>
      </c>
      <c r="F234" s="28">
        <v>1</v>
      </c>
      <c r="G234" t="s">
        <v>193</v>
      </c>
      <c r="H234" t="s">
        <v>194</v>
      </c>
      <c r="I234" t="s">
        <v>1375</v>
      </c>
      <c r="J234" t="s">
        <v>367</v>
      </c>
      <c r="K234">
        <v>18</v>
      </c>
      <c r="L234" t="s">
        <v>1498</v>
      </c>
      <c r="M234" t="str">
        <f t="shared" si="3"/>
        <v>134605</v>
      </c>
    </row>
    <row r="235" spans="1:13" x14ac:dyDescent="0.25">
      <c r="A235" t="s">
        <v>1499</v>
      </c>
      <c r="B235" t="s">
        <v>1500</v>
      </c>
      <c r="C235" t="s">
        <v>9</v>
      </c>
      <c r="D235" t="s">
        <v>1374</v>
      </c>
      <c r="E235" t="s">
        <v>192</v>
      </c>
      <c r="F235" s="28">
        <v>1</v>
      </c>
      <c r="G235" t="s">
        <v>193</v>
      </c>
      <c r="H235" t="s">
        <v>194</v>
      </c>
      <c r="I235" t="s">
        <v>1197</v>
      </c>
      <c r="J235" t="s">
        <v>210</v>
      </c>
      <c r="K235">
        <v>18</v>
      </c>
      <c r="L235" t="s">
        <v>405</v>
      </c>
      <c r="M235" t="str">
        <f t="shared" si="3"/>
        <v>241304</v>
      </c>
    </row>
    <row r="236" spans="1:13" x14ac:dyDescent="0.25">
      <c r="A236" t="s">
        <v>1501</v>
      </c>
      <c r="B236" t="s">
        <v>1502</v>
      </c>
      <c r="C236" t="s">
        <v>66</v>
      </c>
      <c r="D236" t="s">
        <v>1374</v>
      </c>
      <c r="E236" t="s">
        <v>192</v>
      </c>
      <c r="F236" s="28">
        <v>1</v>
      </c>
      <c r="G236" t="s">
        <v>193</v>
      </c>
      <c r="H236" t="s">
        <v>194</v>
      </c>
      <c r="I236" t="s">
        <v>1375</v>
      </c>
      <c r="J236" t="s">
        <v>223</v>
      </c>
      <c r="K236">
        <v>18</v>
      </c>
      <c r="L236" t="s">
        <v>1503</v>
      </c>
      <c r="M236" t="str">
        <f t="shared" si="3"/>
        <v>241107</v>
      </c>
    </row>
    <row r="237" spans="1:13" x14ac:dyDescent="0.25">
      <c r="A237" t="s">
        <v>1501</v>
      </c>
      <c r="B237" t="s">
        <v>1504</v>
      </c>
      <c r="C237" t="s">
        <v>341</v>
      </c>
      <c r="D237" t="s">
        <v>1374</v>
      </c>
      <c r="E237" t="s">
        <v>192</v>
      </c>
      <c r="F237" s="28">
        <v>1</v>
      </c>
      <c r="G237" t="s">
        <v>193</v>
      </c>
      <c r="H237" t="s">
        <v>194</v>
      </c>
      <c r="I237" t="s">
        <v>1197</v>
      </c>
      <c r="J237" t="s">
        <v>223</v>
      </c>
      <c r="K237">
        <v>18</v>
      </c>
      <c r="L237" t="s">
        <v>342</v>
      </c>
      <c r="M237" t="str">
        <f t="shared" si="3"/>
        <v>214906</v>
      </c>
    </row>
    <row r="238" spans="1:13" x14ac:dyDescent="0.25">
      <c r="A238" t="s">
        <v>629</v>
      </c>
      <c r="B238" t="s">
        <v>1505</v>
      </c>
      <c r="C238" t="s">
        <v>1506</v>
      </c>
      <c r="D238" t="s">
        <v>1374</v>
      </c>
      <c r="E238" t="s">
        <v>192</v>
      </c>
      <c r="F238" s="28">
        <v>1</v>
      </c>
      <c r="G238" t="s">
        <v>193</v>
      </c>
      <c r="H238" t="s">
        <v>194</v>
      </c>
      <c r="I238" t="s">
        <v>1375</v>
      </c>
      <c r="J238" t="s">
        <v>1302</v>
      </c>
      <c r="K238">
        <v>18</v>
      </c>
      <c r="L238" t="s">
        <v>1507</v>
      </c>
      <c r="M238" t="str">
        <f t="shared" si="3"/>
        <v>216604</v>
      </c>
    </row>
    <row r="239" spans="1:13" x14ac:dyDescent="0.25">
      <c r="A239" t="s">
        <v>1508</v>
      </c>
      <c r="B239" t="s">
        <v>1509</v>
      </c>
      <c r="C239" t="s">
        <v>1510</v>
      </c>
      <c r="D239" t="s">
        <v>1374</v>
      </c>
      <c r="E239" t="s">
        <v>192</v>
      </c>
      <c r="F239" s="28">
        <v>1</v>
      </c>
      <c r="G239" t="s">
        <v>193</v>
      </c>
      <c r="H239" t="s">
        <v>194</v>
      </c>
      <c r="I239" t="s">
        <v>1197</v>
      </c>
      <c r="J239" t="s">
        <v>202</v>
      </c>
      <c r="K239">
        <v>18</v>
      </c>
      <c r="L239" t="s">
        <v>1511</v>
      </c>
      <c r="M239" t="str">
        <f t="shared" si="3"/>
        <v>311919</v>
      </c>
    </row>
    <row r="240" spans="1:13" x14ac:dyDescent="0.25">
      <c r="A240" t="s">
        <v>1512</v>
      </c>
      <c r="B240" t="s">
        <v>1513</v>
      </c>
      <c r="C240" t="s">
        <v>18</v>
      </c>
      <c r="D240" t="s">
        <v>1374</v>
      </c>
      <c r="E240" t="s">
        <v>192</v>
      </c>
      <c r="F240" s="28">
        <v>1</v>
      </c>
      <c r="G240" t="s">
        <v>193</v>
      </c>
      <c r="H240" t="s">
        <v>194</v>
      </c>
      <c r="I240" t="s">
        <v>1197</v>
      </c>
      <c r="J240" t="s">
        <v>210</v>
      </c>
      <c r="K240">
        <v>18</v>
      </c>
      <c r="L240" t="s">
        <v>1476</v>
      </c>
      <c r="M240" t="str">
        <f t="shared" si="3"/>
        <v>242309</v>
      </c>
    </row>
    <row r="241" spans="1:13" x14ac:dyDescent="0.25">
      <c r="A241" t="s">
        <v>1514</v>
      </c>
      <c r="B241" t="s">
        <v>1515</v>
      </c>
      <c r="C241" t="s">
        <v>19</v>
      </c>
      <c r="D241" t="s">
        <v>1374</v>
      </c>
      <c r="E241" t="s">
        <v>192</v>
      </c>
      <c r="F241" s="28">
        <v>1</v>
      </c>
      <c r="G241" t="s">
        <v>193</v>
      </c>
      <c r="H241" t="s">
        <v>194</v>
      </c>
      <c r="I241" t="s">
        <v>1375</v>
      </c>
      <c r="J241" t="s">
        <v>747</v>
      </c>
      <c r="K241">
        <v>18</v>
      </c>
      <c r="L241" t="s">
        <v>337</v>
      </c>
      <c r="M241" t="str">
        <f t="shared" si="3"/>
        <v>214903</v>
      </c>
    </row>
    <row r="242" spans="1:13" x14ac:dyDescent="0.25">
      <c r="A242" t="s">
        <v>1516</v>
      </c>
      <c r="B242" t="s">
        <v>1517</v>
      </c>
      <c r="C242" t="s">
        <v>1518</v>
      </c>
      <c r="D242" t="s">
        <v>1374</v>
      </c>
      <c r="E242" t="s">
        <v>233</v>
      </c>
      <c r="F242" s="28">
        <v>1</v>
      </c>
      <c r="G242" t="s">
        <v>193</v>
      </c>
      <c r="H242" t="s">
        <v>194</v>
      </c>
      <c r="I242" t="s">
        <v>1375</v>
      </c>
      <c r="J242" t="s">
        <v>267</v>
      </c>
      <c r="K242">
        <v>18</v>
      </c>
      <c r="L242" t="s">
        <v>1519</v>
      </c>
      <c r="M242" t="str">
        <f t="shared" si="3"/>
        <v>242210</v>
      </c>
    </row>
    <row r="243" spans="1:13" x14ac:dyDescent="0.25">
      <c r="A243" t="s">
        <v>1516</v>
      </c>
      <c r="B243" t="s">
        <v>1520</v>
      </c>
      <c r="C243" t="s">
        <v>1518</v>
      </c>
      <c r="D243" t="s">
        <v>1374</v>
      </c>
      <c r="E243" t="s">
        <v>233</v>
      </c>
      <c r="F243" s="28">
        <v>1</v>
      </c>
      <c r="G243" t="s">
        <v>193</v>
      </c>
      <c r="H243" t="s">
        <v>194</v>
      </c>
      <c r="I243" t="s">
        <v>1375</v>
      </c>
      <c r="J243" t="s">
        <v>267</v>
      </c>
      <c r="K243">
        <v>18</v>
      </c>
      <c r="L243" t="s">
        <v>1519</v>
      </c>
      <c r="M243" t="str">
        <f t="shared" si="3"/>
        <v>242210</v>
      </c>
    </row>
    <row r="244" spans="1:13" x14ac:dyDescent="0.25">
      <c r="A244" t="s">
        <v>1521</v>
      </c>
      <c r="B244" t="s">
        <v>1522</v>
      </c>
      <c r="C244" t="s">
        <v>17</v>
      </c>
      <c r="D244" t="s">
        <v>1374</v>
      </c>
      <c r="E244" t="s">
        <v>192</v>
      </c>
      <c r="F244" s="28">
        <v>1</v>
      </c>
      <c r="G244" t="s">
        <v>193</v>
      </c>
      <c r="H244" t="s">
        <v>194</v>
      </c>
      <c r="I244" t="s">
        <v>1375</v>
      </c>
      <c r="J244" t="s">
        <v>642</v>
      </c>
      <c r="K244">
        <v>18</v>
      </c>
      <c r="L244" t="s">
        <v>624</v>
      </c>
      <c r="M244" t="str">
        <f t="shared" si="3"/>
        <v>332203</v>
      </c>
    </row>
    <row r="245" spans="1:13" x14ac:dyDescent="0.25">
      <c r="A245" t="s">
        <v>1523</v>
      </c>
      <c r="B245" t="s">
        <v>1524</v>
      </c>
      <c r="C245" t="s">
        <v>86</v>
      </c>
      <c r="D245" t="s">
        <v>1374</v>
      </c>
      <c r="E245" t="s">
        <v>192</v>
      </c>
      <c r="F245" s="28">
        <v>1</v>
      </c>
      <c r="G245" t="s">
        <v>193</v>
      </c>
      <c r="H245" t="s">
        <v>194</v>
      </c>
      <c r="I245" t="s">
        <v>1375</v>
      </c>
      <c r="J245" t="s">
        <v>210</v>
      </c>
      <c r="K245">
        <v>18</v>
      </c>
      <c r="L245" t="s">
        <v>1107</v>
      </c>
      <c r="M245" t="str">
        <f t="shared" si="3"/>
        <v>121101</v>
      </c>
    </row>
    <row r="246" spans="1:13" x14ac:dyDescent="0.25">
      <c r="A246" t="s">
        <v>1340</v>
      </c>
      <c r="B246" t="s">
        <v>537</v>
      </c>
      <c r="C246" t="s">
        <v>778</v>
      </c>
      <c r="D246" t="s">
        <v>1374</v>
      </c>
      <c r="E246" t="s">
        <v>192</v>
      </c>
      <c r="F246" s="28">
        <v>1</v>
      </c>
      <c r="G246" t="s">
        <v>193</v>
      </c>
      <c r="H246" t="s">
        <v>194</v>
      </c>
      <c r="I246" t="s">
        <v>1375</v>
      </c>
      <c r="J246" t="s">
        <v>223</v>
      </c>
      <c r="K246">
        <v>18</v>
      </c>
      <c r="L246" t="s">
        <v>779</v>
      </c>
      <c r="M246" t="str">
        <f t="shared" si="3"/>
        <v>524902</v>
      </c>
    </row>
    <row r="247" spans="1:13" x14ac:dyDescent="0.25">
      <c r="A247" t="s">
        <v>1340</v>
      </c>
      <c r="B247" t="s">
        <v>1525</v>
      </c>
      <c r="C247" t="s">
        <v>345</v>
      </c>
      <c r="D247" t="s">
        <v>1374</v>
      </c>
      <c r="E247" t="s">
        <v>192</v>
      </c>
      <c r="F247" s="28">
        <v>1</v>
      </c>
      <c r="G247" t="s">
        <v>193</v>
      </c>
      <c r="H247" t="s">
        <v>194</v>
      </c>
      <c r="I247" t="s">
        <v>1375</v>
      </c>
      <c r="J247" t="s">
        <v>196</v>
      </c>
      <c r="K247">
        <v>18</v>
      </c>
      <c r="L247" t="s">
        <v>346</v>
      </c>
      <c r="M247" t="str">
        <f t="shared" si="3"/>
        <v>214931</v>
      </c>
    </row>
    <row r="248" spans="1:13" x14ac:dyDescent="0.25">
      <c r="A248" t="s">
        <v>1340</v>
      </c>
      <c r="B248" t="s">
        <v>1526</v>
      </c>
      <c r="C248" t="s">
        <v>129</v>
      </c>
      <c r="D248" t="s">
        <v>1374</v>
      </c>
      <c r="E248" t="s">
        <v>192</v>
      </c>
      <c r="F248" s="28">
        <v>1</v>
      </c>
      <c r="G248" t="s">
        <v>193</v>
      </c>
      <c r="H248" t="s">
        <v>194</v>
      </c>
      <c r="I248" t="s">
        <v>1375</v>
      </c>
      <c r="J248" t="s">
        <v>210</v>
      </c>
      <c r="K248">
        <v>18</v>
      </c>
      <c r="L248" t="s">
        <v>203</v>
      </c>
      <c r="M248" t="str">
        <f t="shared" si="3"/>
        <v>121904</v>
      </c>
    </row>
    <row r="249" spans="1:13" x14ac:dyDescent="0.25">
      <c r="A249" t="s">
        <v>1340</v>
      </c>
      <c r="B249" t="s">
        <v>1527</v>
      </c>
      <c r="C249" t="s">
        <v>1133</v>
      </c>
      <c r="D249" t="s">
        <v>1374</v>
      </c>
      <c r="E249" t="s">
        <v>192</v>
      </c>
      <c r="F249" s="28">
        <v>1</v>
      </c>
      <c r="G249" t="s">
        <v>193</v>
      </c>
      <c r="H249" t="s">
        <v>194</v>
      </c>
      <c r="I249" t="s">
        <v>1375</v>
      </c>
      <c r="J249" t="s">
        <v>196</v>
      </c>
      <c r="K249">
        <v>18</v>
      </c>
      <c r="L249" t="s">
        <v>1134</v>
      </c>
      <c r="M249" t="str">
        <f t="shared" si="3"/>
        <v>112008</v>
      </c>
    </row>
    <row r="250" spans="1:13" x14ac:dyDescent="0.25">
      <c r="A250" t="s">
        <v>1340</v>
      </c>
      <c r="B250" t="s">
        <v>1528</v>
      </c>
      <c r="C250" t="s">
        <v>95</v>
      </c>
      <c r="D250" t="s">
        <v>1374</v>
      </c>
      <c r="E250" t="s">
        <v>192</v>
      </c>
      <c r="F250" s="28">
        <v>1</v>
      </c>
      <c r="G250" t="s">
        <v>193</v>
      </c>
      <c r="H250" t="s">
        <v>194</v>
      </c>
      <c r="I250" t="s">
        <v>1375</v>
      </c>
      <c r="J250" t="s">
        <v>223</v>
      </c>
      <c r="K250">
        <v>18</v>
      </c>
      <c r="L250" t="s">
        <v>1015</v>
      </c>
      <c r="M250" t="str">
        <f t="shared" si="3"/>
        <v>122102</v>
      </c>
    </row>
    <row r="251" spans="1:13" x14ac:dyDescent="0.25">
      <c r="A251" t="s">
        <v>1340</v>
      </c>
      <c r="B251" t="s">
        <v>1529</v>
      </c>
      <c r="C251" t="s">
        <v>778</v>
      </c>
      <c r="D251" t="s">
        <v>1374</v>
      </c>
      <c r="E251" t="s">
        <v>192</v>
      </c>
      <c r="F251" s="28">
        <v>1</v>
      </c>
      <c r="G251" t="s">
        <v>193</v>
      </c>
      <c r="H251" t="s">
        <v>194</v>
      </c>
      <c r="I251" t="s">
        <v>1197</v>
      </c>
      <c r="J251" t="s">
        <v>367</v>
      </c>
      <c r="K251">
        <v>18</v>
      </c>
      <c r="L251" t="s">
        <v>779</v>
      </c>
      <c r="M251" t="str">
        <f t="shared" si="3"/>
        <v>524902</v>
      </c>
    </row>
    <row r="252" spans="1:13" x14ac:dyDescent="0.25">
      <c r="A252" t="s">
        <v>1340</v>
      </c>
      <c r="B252" t="s">
        <v>1530</v>
      </c>
      <c r="C252" t="s">
        <v>119</v>
      </c>
      <c r="D252" t="s">
        <v>1374</v>
      </c>
      <c r="E252" t="s">
        <v>192</v>
      </c>
      <c r="F252" s="28">
        <v>1</v>
      </c>
      <c r="G252" t="s">
        <v>193</v>
      </c>
      <c r="H252" t="s">
        <v>194</v>
      </c>
      <c r="I252" t="s">
        <v>1375</v>
      </c>
      <c r="J252" t="s">
        <v>210</v>
      </c>
      <c r="K252">
        <v>18</v>
      </c>
      <c r="L252" t="s">
        <v>666</v>
      </c>
      <c r="M252" t="str">
        <f t="shared" si="3"/>
        <v>333105</v>
      </c>
    </row>
    <row r="253" spans="1:13" x14ac:dyDescent="0.25">
      <c r="A253" t="s">
        <v>1340</v>
      </c>
      <c r="B253" t="s">
        <v>1531</v>
      </c>
      <c r="C253" t="s">
        <v>326</v>
      </c>
      <c r="D253" t="s">
        <v>1374</v>
      </c>
      <c r="E253" t="s">
        <v>192</v>
      </c>
      <c r="F253" s="28">
        <v>1</v>
      </c>
      <c r="G253" t="s">
        <v>193</v>
      </c>
      <c r="H253" t="s">
        <v>194</v>
      </c>
      <c r="I253" t="s">
        <v>1197</v>
      </c>
      <c r="J253" t="s">
        <v>196</v>
      </c>
      <c r="K253">
        <v>18</v>
      </c>
      <c r="L253" t="s">
        <v>328</v>
      </c>
      <c r="M253" t="str">
        <f t="shared" si="3"/>
        <v>214503</v>
      </c>
    </row>
    <row r="254" spans="1:13" x14ac:dyDescent="0.25">
      <c r="A254" t="s">
        <v>1532</v>
      </c>
      <c r="B254" t="s">
        <v>1533</v>
      </c>
      <c r="C254" t="s">
        <v>46</v>
      </c>
      <c r="D254" t="s">
        <v>1374</v>
      </c>
      <c r="E254" t="s">
        <v>192</v>
      </c>
      <c r="F254" s="28">
        <v>1</v>
      </c>
      <c r="G254" t="s">
        <v>193</v>
      </c>
      <c r="H254" t="s">
        <v>194</v>
      </c>
      <c r="I254" t="s">
        <v>1197</v>
      </c>
      <c r="J254" t="s">
        <v>210</v>
      </c>
      <c r="K254">
        <v>18</v>
      </c>
      <c r="L254" t="s">
        <v>510</v>
      </c>
      <c r="M254" t="str">
        <f t="shared" si="3"/>
        <v>252201</v>
      </c>
    </row>
    <row r="255" spans="1:13" x14ac:dyDescent="0.25">
      <c r="A255" t="s">
        <v>1534</v>
      </c>
      <c r="B255" t="s">
        <v>1377</v>
      </c>
      <c r="C255" t="s">
        <v>1535</v>
      </c>
      <c r="D255" t="s">
        <v>1374</v>
      </c>
      <c r="E255" t="s">
        <v>192</v>
      </c>
      <c r="F255" s="28">
        <v>1</v>
      </c>
      <c r="G255" t="s">
        <v>193</v>
      </c>
      <c r="H255" t="s">
        <v>194</v>
      </c>
      <c r="I255" t="s">
        <v>1375</v>
      </c>
      <c r="J255" t="s">
        <v>210</v>
      </c>
      <c r="K255">
        <v>18</v>
      </c>
      <c r="L255" t="s">
        <v>1536</v>
      </c>
      <c r="M255" t="str">
        <f t="shared" si="3"/>
        <v>314401</v>
      </c>
    </row>
    <row r="256" spans="1:13" x14ac:dyDescent="0.25">
      <c r="A256" t="s">
        <v>1537</v>
      </c>
      <c r="B256" t="s">
        <v>1538</v>
      </c>
      <c r="C256" t="s">
        <v>43</v>
      </c>
      <c r="D256" t="s">
        <v>1374</v>
      </c>
      <c r="E256" t="s">
        <v>192</v>
      </c>
      <c r="F256" s="28">
        <v>1</v>
      </c>
      <c r="G256" t="s">
        <v>193</v>
      </c>
      <c r="H256" t="s">
        <v>194</v>
      </c>
      <c r="I256" t="s">
        <v>1197</v>
      </c>
      <c r="J256" t="s">
        <v>301</v>
      </c>
      <c r="K256">
        <v>18</v>
      </c>
      <c r="L256" t="s">
        <v>452</v>
      </c>
      <c r="M256" t="str">
        <f t="shared" si="3"/>
        <v>243106</v>
      </c>
    </row>
    <row r="257" spans="1:13" x14ac:dyDescent="0.25">
      <c r="A257" t="s">
        <v>1539</v>
      </c>
      <c r="B257" t="s">
        <v>1341</v>
      </c>
      <c r="C257" t="s">
        <v>740</v>
      </c>
      <c r="D257" t="s">
        <v>1374</v>
      </c>
      <c r="E257" t="s">
        <v>192</v>
      </c>
      <c r="F257" s="28">
        <v>1</v>
      </c>
      <c r="G257" t="s">
        <v>193</v>
      </c>
      <c r="H257" t="s">
        <v>194</v>
      </c>
      <c r="I257" t="s">
        <v>1375</v>
      </c>
      <c r="J257" t="s">
        <v>210</v>
      </c>
      <c r="K257">
        <v>18</v>
      </c>
      <c r="L257" t="s">
        <v>741</v>
      </c>
      <c r="M257" t="str">
        <f t="shared" si="3"/>
        <v>522301</v>
      </c>
    </row>
    <row r="258" spans="1:13" x14ac:dyDescent="0.25">
      <c r="A258" t="s">
        <v>331</v>
      </c>
      <c r="B258" t="s">
        <v>1540</v>
      </c>
      <c r="C258" t="s">
        <v>1541</v>
      </c>
      <c r="D258" t="s">
        <v>1374</v>
      </c>
      <c r="E258" t="s">
        <v>192</v>
      </c>
      <c r="F258" s="28">
        <v>1</v>
      </c>
      <c r="G258" t="s">
        <v>193</v>
      </c>
      <c r="H258" t="s">
        <v>194</v>
      </c>
      <c r="I258" t="s">
        <v>1375</v>
      </c>
      <c r="J258" t="s">
        <v>309</v>
      </c>
      <c r="K258">
        <v>18</v>
      </c>
      <c r="L258" t="s">
        <v>1542</v>
      </c>
      <c r="M258" t="str">
        <f t="shared" ref="M258:M321" si="4">MID(L258,8,6)</f>
        <v>133007</v>
      </c>
    </row>
    <row r="259" spans="1:13" x14ac:dyDescent="0.25">
      <c r="A259" t="s">
        <v>331</v>
      </c>
      <c r="B259" t="s">
        <v>1543</v>
      </c>
      <c r="C259" t="s">
        <v>590</v>
      </c>
      <c r="D259" t="s">
        <v>1374</v>
      </c>
      <c r="E259" t="s">
        <v>192</v>
      </c>
      <c r="F259" s="28">
        <v>1</v>
      </c>
      <c r="G259" t="s">
        <v>193</v>
      </c>
      <c r="H259" t="s">
        <v>194</v>
      </c>
      <c r="I259" t="s">
        <v>1375</v>
      </c>
      <c r="J259" t="s">
        <v>309</v>
      </c>
      <c r="K259">
        <v>18</v>
      </c>
      <c r="L259" t="s">
        <v>591</v>
      </c>
      <c r="M259" t="str">
        <f t="shared" si="4"/>
        <v>312203</v>
      </c>
    </row>
    <row r="260" spans="1:13" x14ac:dyDescent="0.25">
      <c r="A260" t="s">
        <v>1544</v>
      </c>
      <c r="B260" t="s">
        <v>1543</v>
      </c>
      <c r="C260" t="s">
        <v>590</v>
      </c>
      <c r="D260" t="s">
        <v>1374</v>
      </c>
      <c r="E260" t="s">
        <v>192</v>
      </c>
      <c r="F260" s="28">
        <v>1</v>
      </c>
      <c r="G260" t="s">
        <v>193</v>
      </c>
      <c r="H260" t="s">
        <v>194</v>
      </c>
      <c r="I260" t="s">
        <v>1375</v>
      </c>
      <c r="J260" t="s">
        <v>309</v>
      </c>
      <c r="K260">
        <v>18</v>
      </c>
      <c r="L260" t="s">
        <v>591</v>
      </c>
      <c r="M260" t="str">
        <f t="shared" si="4"/>
        <v>312203</v>
      </c>
    </row>
    <row r="261" spans="1:13" x14ac:dyDescent="0.25">
      <c r="A261" t="s">
        <v>1544</v>
      </c>
      <c r="B261" t="s">
        <v>1545</v>
      </c>
      <c r="C261" t="s">
        <v>27</v>
      </c>
      <c r="D261" t="s">
        <v>1374</v>
      </c>
      <c r="E261" t="s">
        <v>192</v>
      </c>
      <c r="F261" s="28">
        <v>1</v>
      </c>
      <c r="G261" t="s">
        <v>193</v>
      </c>
      <c r="H261" t="s">
        <v>194</v>
      </c>
      <c r="I261" t="s">
        <v>1375</v>
      </c>
      <c r="J261" t="s">
        <v>309</v>
      </c>
      <c r="K261">
        <v>18</v>
      </c>
      <c r="L261" t="s">
        <v>440</v>
      </c>
      <c r="M261" t="str">
        <f t="shared" si="4"/>
        <v>242307</v>
      </c>
    </row>
    <row r="262" spans="1:13" x14ac:dyDescent="0.25">
      <c r="A262" t="s">
        <v>1546</v>
      </c>
      <c r="B262" t="s">
        <v>1547</v>
      </c>
      <c r="C262" t="s">
        <v>886</v>
      </c>
      <c r="D262" t="s">
        <v>1374</v>
      </c>
      <c r="E262" t="s">
        <v>192</v>
      </c>
      <c r="F262" s="28">
        <v>1</v>
      </c>
      <c r="G262" t="s">
        <v>193</v>
      </c>
      <c r="H262" t="s">
        <v>194</v>
      </c>
      <c r="I262" t="s">
        <v>1375</v>
      </c>
      <c r="J262" t="s">
        <v>276</v>
      </c>
      <c r="K262">
        <v>18</v>
      </c>
      <c r="L262" t="s">
        <v>887</v>
      </c>
      <c r="M262" t="str">
        <f t="shared" si="4"/>
        <v>834401</v>
      </c>
    </row>
    <row r="263" spans="1:13" x14ac:dyDescent="0.25">
      <c r="A263" t="s">
        <v>1548</v>
      </c>
      <c r="B263" t="s">
        <v>1549</v>
      </c>
      <c r="C263" t="s">
        <v>17</v>
      </c>
      <c r="D263" t="s">
        <v>1374</v>
      </c>
      <c r="E263" t="s">
        <v>192</v>
      </c>
      <c r="F263" s="28">
        <v>1</v>
      </c>
      <c r="G263" t="s">
        <v>193</v>
      </c>
      <c r="H263" t="s">
        <v>194</v>
      </c>
      <c r="I263" t="s">
        <v>1375</v>
      </c>
      <c r="J263" t="s">
        <v>196</v>
      </c>
      <c r="K263">
        <v>18</v>
      </c>
      <c r="L263" t="s">
        <v>624</v>
      </c>
      <c r="M263" t="str">
        <f t="shared" si="4"/>
        <v>332203</v>
      </c>
    </row>
    <row r="264" spans="1:13" x14ac:dyDescent="0.25">
      <c r="A264" t="s">
        <v>1550</v>
      </c>
      <c r="B264" t="s">
        <v>632</v>
      </c>
      <c r="C264" t="s">
        <v>17</v>
      </c>
      <c r="D264" t="s">
        <v>1374</v>
      </c>
      <c r="E264" t="s">
        <v>192</v>
      </c>
      <c r="F264" s="28">
        <v>1</v>
      </c>
      <c r="G264" t="s">
        <v>193</v>
      </c>
      <c r="H264" t="s">
        <v>194</v>
      </c>
      <c r="I264" t="s">
        <v>1375</v>
      </c>
      <c r="J264" t="s">
        <v>210</v>
      </c>
      <c r="K264">
        <v>18</v>
      </c>
      <c r="L264" t="s">
        <v>624</v>
      </c>
      <c r="M264" t="str">
        <f t="shared" si="4"/>
        <v>332203</v>
      </c>
    </row>
    <row r="265" spans="1:13" x14ac:dyDescent="0.25">
      <c r="A265" t="s">
        <v>1108</v>
      </c>
      <c r="B265" t="s">
        <v>8</v>
      </c>
      <c r="C265" t="s">
        <v>740</v>
      </c>
      <c r="D265" t="s">
        <v>1374</v>
      </c>
      <c r="E265" t="s">
        <v>192</v>
      </c>
      <c r="F265" s="28">
        <v>1</v>
      </c>
      <c r="G265" t="s">
        <v>193</v>
      </c>
      <c r="H265" t="s">
        <v>194</v>
      </c>
      <c r="I265" t="s">
        <v>1375</v>
      </c>
      <c r="J265" t="s">
        <v>276</v>
      </c>
      <c r="K265">
        <v>18</v>
      </c>
      <c r="L265" t="s">
        <v>741</v>
      </c>
      <c r="M265" t="str">
        <f t="shared" si="4"/>
        <v>522301</v>
      </c>
    </row>
    <row r="266" spans="1:13" x14ac:dyDescent="0.25">
      <c r="A266" t="s">
        <v>278</v>
      </c>
      <c r="B266" t="s">
        <v>1551</v>
      </c>
      <c r="C266" t="s">
        <v>480</v>
      </c>
      <c r="D266" t="s">
        <v>1374</v>
      </c>
      <c r="E266" t="s">
        <v>233</v>
      </c>
      <c r="F266" s="28">
        <v>1</v>
      </c>
      <c r="G266" t="s">
        <v>193</v>
      </c>
      <c r="H266" t="s">
        <v>194</v>
      </c>
      <c r="I266" t="s">
        <v>1375</v>
      </c>
      <c r="J266" t="s">
        <v>210</v>
      </c>
      <c r="K266">
        <v>18</v>
      </c>
      <c r="L266" t="s">
        <v>481</v>
      </c>
      <c r="M266" t="str">
        <f t="shared" si="4"/>
        <v>251201</v>
      </c>
    </row>
    <row r="267" spans="1:13" x14ac:dyDescent="0.25">
      <c r="A267" t="s">
        <v>1552</v>
      </c>
      <c r="B267" t="s">
        <v>1553</v>
      </c>
      <c r="C267" t="s">
        <v>1554</v>
      </c>
      <c r="D267" t="s">
        <v>1374</v>
      </c>
      <c r="E267" t="s">
        <v>192</v>
      </c>
      <c r="F267" s="28">
        <v>1</v>
      </c>
      <c r="G267" t="s">
        <v>193</v>
      </c>
      <c r="H267" t="s">
        <v>194</v>
      </c>
      <c r="I267" t="s">
        <v>1375</v>
      </c>
      <c r="J267" t="s">
        <v>210</v>
      </c>
      <c r="K267">
        <v>18</v>
      </c>
      <c r="L267" t="s">
        <v>1555</v>
      </c>
      <c r="M267" t="str">
        <f t="shared" si="4"/>
        <v>112013</v>
      </c>
    </row>
    <row r="268" spans="1:13" x14ac:dyDescent="0.25">
      <c r="A268" t="s">
        <v>1556</v>
      </c>
      <c r="B268" t="s">
        <v>1557</v>
      </c>
      <c r="C268" t="s">
        <v>67</v>
      </c>
      <c r="D268" t="s">
        <v>1374</v>
      </c>
      <c r="E268" t="s">
        <v>233</v>
      </c>
      <c r="F268" s="28">
        <v>1</v>
      </c>
      <c r="G268" t="s">
        <v>193</v>
      </c>
      <c r="H268" t="s">
        <v>194</v>
      </c>
      <c r="I268" t="s">
        <v>1375</v>
      </c>
      <c r="J268" t="s">
        <v>1558</v>
      </c>
      <c r="K268">
        <v>18</v>
      </c>
      <c r="L268" t="s">
        <v>709</v>
      </c>
      <c r="M268" t="str">
        <f t="shared" si="4"/>
        <v>432103</v>
      </c>
    </row>
    <row r="269" spans="1:13" x14ac:dyDescent="0.25">
      <c r="A269" t="s">
        <v>1556</v>
      </c>
      <c r="B269" t="s">
        <v>1559</v>
      </c>
      <c r="C269" t="s">
        <v>119</v>
      </c>
      <c r="D269" t="s">
        <v>1374</v>
      </c>
      <c r="E269" t="s">
        <v>192</v>
      </c>
      <c r="F269" s="28">
        <v>1</v>
      </c>
      <c r="G269" t="s">
        <v>193</v>
      </c>
      <c r="H269" t="s">
        <v>194</v>
      </c>
      <c r="I269" t="s">
        <v>1375</v>
      </c>
      <c r="J269" t="s">
        <v>672</v>
      </c>
      <c r="K269">
        <v>18</v>
      </c>
      <c r="L269" t="s">
        <v>666</v>
      </c>
      <c r="M269" t="str">
        <f t="shared" si="4"/>
        <v>333105</v>
      </c>
    </row>
    <row r="270" spans="1:13" x14ac:dyDescent="0.25">
      <c r="A270" t="s">
        <v>1560</v>
      </c>
      <c r="B270" t="s">
        <v>1561</v>
      </c>
      <c r="C270" t="s">
        <v>778</v>
      </c>
      <c r="D270" t="s">
        <v>1374</v>
      </c>
      <c r="E270" t="s">
        <v>233</v>
      </c>
      <c r="F270" s="28">
        <v>1</v>
      </c>
      <c r="G270" t="s">
        <v>193</v>
      </c>
      <c r="H270" t="s">
        <v>194</v>
      </c>
      <c r="I270" t="s">
        <v>1197</v>
      </c>
      <c r="J270" t="s">
        <v>1562</v>
      </c>
      <c r="K270">
        <v>18</v>
      </c>
      <c r="L270" t="s">
        <v>779</v>
      </c>
      <c r="M270" t="str">
        <f t="shared" si="4"/>
        <v>524902</v>
      </c>
    </row>
    <row r="271" spans="1:13" x14ac:dyDescent="0.25">
      <c r="A271" t="s">
        <v>1563</v>
      </c>
      <c r="B271" t="s">
        <v>1564</v>
      </c>
      <c r="C271" t="s">
        <v>778</v>
      </c>
      <c r="D271" t="s">
        <v>1374</v>
      </c>
      <c r="E271" t="s">
        <v>233</v>
      </c>
      <c r="F271" s="28">
        <v>1</v>
      </c>
      <c r="G271" t="s">
        <v>193</v>
      </c>
      <c r="H271" t="s">
        <v>194</v>
      </c>
      <c r="I271" t="s">
        <v>1197</v>
      </c>
      <c r="J271" t="s">
        <v>1565</v>
      </c>
      <c r="K271">
        <v>18</v>
      </c>
      <c r="L271" t="s">
        <v>779</v>
      </c>
      <c r="M271" t="str">
        <f t="shared" si="4"/>
        <v>524902</v>
      </c>
    </row>
    <row r="272" spans="1:13" x14ac:dyDescent="0.25">
      <c r="A272" t="s">
        <v>1566</v>
      </c>
      <c r="B272" t="s">
        <v>1567</v>
      </c>
      <c r="C272" t="s">
        <v>778</v>
      </c>
      <c r="D272" t="s">
        <v>1374</v>
      </c>
      <c r="E272" t="s">
        <v>192</v>
      </c>
      <c r="F272" s="28">
        <v>1</v>
      </c>
      <c r="G272" t="s">
        <v>193</v>
      </c>
      <c r="H272" t="s">
        <v>194</v>
      </c>
      <c r="I272" t="s">
        <v>1197</v>
      </c>
      <c r="J272" t="s">
        <v>238</v>
      </c>
      <c r="K272">
        <v>18</v>
      </c>
      <c r="L272" t="s">
        <v>779</v>
      </c>
      <c r="M272" t="str">
        <f t="shared" si="4"/>
        <v>524902</v>
      </c>
    </row>
    <row r="273" spans="1:13" x14ac:dyDescent="0.25">
      <c r="A273" t="s">
        <v>1568</v>
      </c>
      <c r="B273" t="s">
        <v>1569</v>
      </c>
      <c r="C273" t="s">
        <v>1570</v>
      </c>
      <c r="D273" t="s">
        <v>1374</v>
      </c>
      <c r="E273" t="s">
        <v>192</v>
      </c>
      <c r="F273" s="28">
        <v>1</v>
      </c>
      <c r="G273" t="s">
        <v>193</v>
      </c>
      <c r="H273" t="s">
        <v>194</v>
      </c>
      <c r="I273" t="s">
        <v>1197</v>
      </c>
      <c r="J273" t="s">
        <v>276</v>
      </c>
      <c r="K273">
        <v>18</v>
      </c>
      <c r="L273" t="s">
        <v>1571</v>
      </c>
      <c r="M273" t="str">
        <f t="shared" si="4"/>
        <v>214303</v>
      </c>
    </row>
    <row r="274" spans="1:13" x14ac:dyDescent="0.25">
      <c r="A274" t="s">
        <v>263</v>
      </c>
      <c r="B274" t="s">
        <v>537</v>
      </c>
      <c r="C274" t="s">
        <v>778</v>
      </c>
      <c r="D274" t="s">
        <v>1374</v>
      </c>
      <c r="E274" t="s">
        <v>217</v>
      </c>
      <c r="F274" s="28">
        <v>1</v>
      </c>
      <c r="G274" t="s">
        <v>193</v>
      </c>
      <c r="H274" t="s">
        <v>194</v>
      </c>
      <c r="I274" t="s">
        <v>1375</v>
      </c>
      <c r="J274" t="s">
        <v>408</v>
      </c>
      <c r="K274">
        <v>18</v>
      </c>
      <c r="L274" t="s">
        <v>779</v>
      </c>
      <c r="M274" t="str">
        <f t="shared" si="4"/>
        <v>524902</v>
      </c>
    </row>
    <row r="275" spans="1:13" x14ac:dyDescent="0.25">
      <c r="A275" t="s">
        <v>1572</v>
      </c>
      <c r="B275" t="s">
        <v>1573</v>
      </c>
      <c r="C275" t="s">
        <v>148</v>
      </c>
      <c r="D275" t="s">
        <v>1374</v>
      </c>
      <c r="E275" t="s">
        <v>192</v>
      </c>
      <c r="F275" s="28">
        <v>1</v>
      </c>
      <c r="G275" t="s">
        <v>193</v>
      </c>
      <c r="H275" t="s">
        <v>194</v>
      </c>
      <c r="I275" t="s">
        <v>1375</v>
      </c>
      <c r="J275" t="s">
        <v>253</v>
      </c>
      <c r="K275">
        <v>18</v>
      </c>
      <c r="L275" t="s">
        <v>661</v>
      </c>
      <c r="M275" t="str">
        <f t="shared" si="4"/>
        <v>333104</v>
      </c>
    </row>
    <row r="276" spans="1:13" x14ac:dyDescent="0.25">
      <c r="A276" t="s">
        <v>1574</v>
      </c>
      <c r="B276" t="s">
        <v>778</v>
      </c>
      <c r="C276" t="s">
        <v>778</v>
      </c>
      <c r="D276" t="s">
        <v>1374</v>
      </c>
      <c r="E276" t="s">
        <v>233</v>
      </c>
      <c r="F276" s="28">
        <v>1</v>
      </c>
      <c r="G276" t="s">
        <v>193</v>
      </c>
      <c r="H276" t="s">
        <v>194</v>
      </c>
      <c r="I276" t="s">
        <v>1375</v>
      </c>
      <c r="J276" t="s">
        <v>399</v>
      </c>
      <c r="K276">
        <v>18</v>
      </c>
      <c r="L276" t="s">
        <v>779</v>
      </c>
      <c r="M276" t="str">
        <f t="shared" si="4"/>
        <v>524902</v>
      </c>
    </row>
    <row r="277" spans="1:13" x14ac:dyDescent="0.25">
      <c r="A277" t="s">
        <v>1575</v>
      </c>
      <c r="B277" t="s">
        <v>1576</v>
      </c>
      <c r="C277" t="s">
        <v>17</v>
      </c>
      <c r="D277" t="s">
        <v>1374</v>
      </c>
      <c r="E277" t="s">
        <v>192</v>
      </c>
      <c r="F277" s="28">
        <v>1</v>
      </c>
      <c r="G277" t="s">
        <v>193</v>
      </c>
      <c r="H277" t="s">
        <v>194</v>
      </c>
      <c r="I277" t="s">
        <v>1197</v>
      </c>
      <c r="J277" t="s">
        <v>210</v>
      </c>
      <c r="K277">
        <v>18</v>
      </c>
      <c r="L277" t="s">
        <v>624</v>
      </c>
      <c r="M277" t="str">
        <f t="shared" si="4"/>
        <v>332203</v>
      </c>
    </row>
    <row r="278" spans="1:13" x14ac:dyDescent="0.25">
      <c r="A278" t="s">
        <v>1577</v>
      </c>
      <c r="B278" t="s">
        <v>1578</v>
      </c>
      <c r="C278" t="s">
        <v>17</v>
      </c>
      <c r="D278" t="s">
        <v>1374</v>
      </c>
      <c r="E278" t="s">
        <v>192</v>
      </c>
      <c r="F278" s="28">
        <v>1</v>
      </c>
      <c r="G278" t="s">
        <v>193</v>
      </c>
      <c r="H278" t="s">
        <v>194</v>
      </c>
      <c r="I278" t="s">
        <v>1375</v>
      </c>
      <c r="J278" t="s">
        <v>276</v>
      </c>
      <c r="K278">
        <v>18</v>
      </c>
      <c r="L278" t="s">
        <v>624</v>
      </c>
      <c r="M278" t="str">
        <f t="shared" si="4"/>
        <v>332203</v>
      </c>
    </row>
    <row r="279" spans="1:13" x14ac:dyDescent="0.25">
      <c r="A279" t="s">
        <v>1579</v>
      </c>
      <c r="B279" t="s">
        <v>1580</v>
      </c>
      <c r="C279" t="s">
        <v>95</v>
      </c>
      <c r="D279" t="s">
        <v>1374</v>
      </c>
      <c r="E279" t="s">
        <v>192</v>
      </c>
      <c r="F279" s="28">
        <v>1</v>
      </c>
      <c r="G279" t="s">
        <v>193</v>
      </c>
      <c r="H279" t="s">
        <v>194</v>
      </c>
      <c r="I279" t="s">
        <v>1375</v>
      </c>
      <c r="J279" t="s">
        <v>210</v>
      </c>
      <c r="K279">
        <v>18</v>
      </c>
      <c r="L279" t="s">
        <v>1015</v>
      </c>
      <c r="M279" t="str">
        <f t="shared" si="4"/>
        <v>122102</v>
      </c>
    </row>
    <row r="280" spans="1:13" x14ac:dyDescent="0.25">
      <c r="A280" t="s">
        <v>1581</v>
      </c>
      <c r="B280" t="s">
        <v>1582</v>
      </c>
      <c r="C280" t="s">
        <v>706</v>
      </c>
      <c r="D280" t="s">
        <v>1374</v>
      </c>
      <c r="E280" t="s">
        <v>233</v>
      </c>
      <c r="F280" s="28">
        <v>1</v>
      </c>
      <c r="G280" t="s">
        <v>193</v>
      </c>
      <c r="H280" t="s">
        <v>194</v>
      </c>
      <c r="I280" t="s">
        <v>1375</v>
      </c>
      <c r="J280" t="s">
        <v>210</v>
      </c>
      <c r="K280">
        <v>18</v>
      </c>
      <c r="L280" t="s">
        <v>707</v>
      </c>
      <c r="M280" t="str">
        <f t="shared" si="4"/>
        <v>422201</v>
      </c>
    </row>
    <row r="281" spans="1:13" x14ac:dyDescent="0.25">
      <c r="A281" t="s">
        <v>1583</v>
      </c>
      <c r="B281" t="s">
        <v>1584</v>
      </c>
      <c r="C281" t="s">
        <v>378</v>
      </c>
      <c r="D281" t="s">
        <v>1374</v>
      </c>
      <c r="E281" t="s">
        <v>192</v>
      </c>
      <c r="F281" s="28">
        <v>1</v>
      </c>
      <c r="G281" t="s">
        <v>193</v>
      </c>
      <c r="H281" t="s">
        <v>194</v>
      </c>
      <c r="I281" t="s">
        <v>1375</v>
      </c>
      <c r="J281" t="s">
        <v>210</v>
      </c>
      <c r="K281">
        <v>18</v>
      </c>
      <c r="L281" t="s">
        <v>379</v>
      </c>
      <c r="M281" t="str">
        <f t="shared" si="4"/>
        <v>215303</v>
      </c>
    </row>
    <row r="282" spans="1:13" x14ac:dyDescent="0.25">
      <c r="A282" t="s">
        <v>1585</v>
      </c>
      <c r="B282" t="s">
        <v>1586</v>
      </c>
      <c r="C282" t="s">
        <v>113</v>
      </c>
      <c r="D282" t="s">
        <v>1587</v>
      </c>
      <c r="E282" t="s">
        <v>233</v>
      </c>
      <c r="F282" s="28">
        <v>1</v>
      </c>
      <c r="G282" t="s">
        <v>193</v>
      </c>
      <c r="H282" t="s">
        <v>194</v>
      </c>
      <c r="I282" t="s">
        <v>1374</v>
      </c>
      <c r="J282" t="s">
        <v>1588</v>
      </c>
      <c r="K282">
        <v>18</v>
      </c>
      <c r="L282" t="s">
        <v>465</v>
      </c>
      <c r="M282" t="str">
        <f t="shared" si="4"/>
        <v>243302</v>
      </c>
    </row>
    <row r="283" spans="1:13" x14ac:dyDescent="0.25">
      <c r="A283" t="s">
        <v>1585</v>
      </c>
      <c r="B283" t="s">
        <v>1589</v>
      </c>
      <c r="C283" t="s">
        <v>521</v>
      </c>
      <c r="D283" t="s">
        <v>1587</v>
      </c>
      <c r="E283" t="s">
        <v>233</v>
      </c>
      <c r="F283" s="28">
        <v>1</v>
      </c>
      <c r="G283" t="s">
        <v>193</v>
      </c>
      <c r="H283" t="s">
        <v>194</v>
      </c>
      <c r="I283" t="s">
        <v>1374</v>
      </c>
      <c r="J283" t="s">
        <v>1588</v>
      </c>
      <c r="K283">
        <v>18</v>
      </c>
      <c r="L283" t="s">
        <v>522</v>
      </c>
      <c r="M283" t="str">
        <f t="shared" si="4"/>
        <v>261901</v>
      </c>
    </row>
    <row r="284" spans="1:13" x14ac:dyDescent="0.25">
      <c r="A284" t="s">
        <v>1373</v>
      </c>
      <c r="B284" t="s">
        <v>1590</v>
      </c>
      <c r="C284" t="s">
        <v>104</v>
      </c>
      <c r="D284" t="s">
        <v>1587</v>
      </c>
      <c r="E284" t="s">
        <v>192</v>
      </c>
      <c r="F284" s="28">
        <v>1</v>
      </c>
      <c r="G284" t="s">
        <v>193</v>
      </c>
      <c r="H284" t="s">
        <v>194</v>
      </c>
      <c r="I284" t="s">
        <v>1374</v>
      </c>
      <c r="J284" t="s">
        <v>223</v>
      </c>
      <c r="K284">
        <v>18</v>
      </c>
      <c r="L284" t="s">
        <v>703</v>
      </c>
      <c r="M284" t="str">
        <f t="shared" si="4"/>
        <v>411004</v>
      </c>
    </row>
    <row r="285" spans="1:13" x14ac:dyDescent="0.25">
      <c r="A285" t="s">
        <v>282</v>
      </c>
      <c r="B285" t="s">
        <v>1591</v>
      </c>
      <c r="C285" t="s">
        <v>91</v>
      </c>
      <c r="D285" t="s">
        <v>1587</v>
      </c>
      <c r="E285" t="s">
        <v>192</v>
      </c>
      <c r="F285" s="28">
        <v>1</v>
      </c>
      <c r="G285" t="s">
        <v>193</v>
      </c>
      <c r="H285" t="s">
        <v>194</v>
      </c>
      <c r="I285" t="s">
        <v>1374</v>
      </c>
      <c r="J285" t="s">
        <v>285</v>
      </c>
      <c r="K285">
        <v>18</v>
      </c>
      <c r="L285" t="s">
        <v>1592</v>
      </c>
      <c r="M285" t="str">
        <f t="shared" si="4"/>
        <v>241103</v>
      </c>
    </row>
    <row r="286" spans="1:13" x14ac:dyDescent="0.25">
      <c r="A286" t="s">
        <v>1593</v>
      </c>
      <c r="B286" t="s">
        <v>1594</v>
      </c>
      <c r="C286" t="s">
        <v>778</v>
      </c>
      <c r="D286" t="s">
        <v>1587</v>
      </c>
      <c r="E286" t="s">
        <v>233</v>
      </c>
      <c r="F286" s="28">
        <v>1</v>
      </c>
      <c r="G286" t="s">
        <v>193</v>
      </c>
      <c r="H286" t="s">
        <v>194</v>
      </c>
      <c r="I286" t="s">
        <v>1374</v>
      </c>
      <c r="J286" t="s">
        <v>385</v>
      </c>
      <c r="K286">
        <v>18</v>
      </c>
      <c r="L286" t="s">
        <v>779</v>
      </c>
      <c r="M286" t="str">
        <f t="shared" si="4"/>
        <v>524902</v>
      </c>
    </row>
    <row r="287" spans="1:13" x14ac:dyDescent="0.25">
      <c r="A287" t="s">
        <v>638</v>
      </c>
      <c r="B287" t="s">
        <v>1454</v>
      </c>
      <c r="C287" t="s">
        <v>1454</v>
      </c>
      <c r="D287" t="s">
        <v>1587</v>
      </c>
      <c r="E287" t="s">
        <v>233</v>
      </c>
      <c r="F287" s="28">
        <v>1</v>
      </c>
      <c r="G287" t="s">
        <v>193</v>
      </c>
      <c r="H287" t="s">
        <v>194</v>
      </c>
      <c r="I287" t="s">
        <v>1374</v>
      </c>
      <c r="J287" t="s">
        <v>316</v>
      </c>
      <c r="K287">
        <v>18</v>
      </c>
      <c r="L287" t="s">
        <v>1455</v>
      </c>
      <c r="M287" t="str">
        <f t="shared" si="4"/>
        <v>722301</v>
      </c>
    </row>
    <row r="288" spans="1:13" x14ac:dyDescent="0.25">
      <c r="A288" t="s">
        <v>1595</v>
      </c>
      <c r="B288" t="s">
        <v>1596</v>
      </c>
      <c r="C288" t="s">
        <v>17</v>
      </c>
      <c r="D288" t="s">
        <v>1587</v>
      </c>
      <c r="E288" t="s">
        <v>192</v>
      </c>
      <c r="F288" s="76">
        <v>0</v>
      </c>
      <c r="G288" s="75" t="s">
        <v>194</v>
      </c>
      <c r="H288" t="s">
        <v>193</v>
      </c>
      <c r="I288" t="s">
        <v>1374</v>
      </c>
      <c r="J288" t="s">
        <v>196</v>
      </c>
      <c r="K288">
        <v>18</v>
      </c>
      <c r="L288" t="s">
        <v>624</v>
      </c>
      <c r="M288" t="str">
        <f t="shared" si="4"/>
        <v>332203</v>
      </c>
    </row>
    <row r="289" spans="1:13" x14ac:dyDescent="0.25">
      <c r="A289" t="s">
        <v>1597</v>
      </c>
      <c r="B289" t="s">
        <v>1598</v>
      </c>
      <c r="C289" t="s">
        <v>444</v>
      </c>
      <c r="D289" t="s">
        <v>1587</v>
      </c>
      <c r="E289" t="s">
        <v>192</v>
      </c>
      <c r="F289" s="28">
        <v>1</v>
      </c>
      <c r="G289" t="s">
        <v>193</v>
      </c>
      <c r="H289" t="s">
        <v>194</v>
      </c>
      <c r="I289" t="s">
        <v>1374</v>
      </c>
      <c r="J289" t="s">
        <v>1599</v>
      </c>
      <c r="K289">
        <v>18</v>
      </c>
      <c r="L289" t="s">
        <v>445</v>
      </c>
      <c r="M289" t="str">
        <f t="shared" si="4"/>
        <v>243103</v>
      </c>
    </row>
    <row r="290" spans="1:13" x14ac:dyDescent="0.25">
      <c r="A290" t="s">
        <v>1600</v>
      </c>
      <c r="B290" t="s">
        <v>1601</v>
      </c>
      <c r="C290" t="s">
        <v>125</v>
      </c>
      <c r="D290" t="s">
        <v>1587</v>
      </c>
      <c r="E290" t="s">
        <v>192</v>
      </c>
      <c r="F290" s="28">
        <v>1</v>
      </c>
      <c r="G290" t="s">
        <v>193</v>
      </c>
      <c r="H290" t="s">
        <v>194</v>
      </c>
      <c r="I290" t="s">
        <v>1374</v>
      </c>
      <c r="J290" t="s">
        <v>210</v>
      </c>
      <c r="K290">
        <v>18</v>
      </c>
      <c r="L290" t="s">
        <v>1602</v>
      </c>
      <c r="M290" t="str">
        <f t="shared" si="4"/>
        <v>343201</v>
      </c>
    </row>
    <row r="291" spans="1:13" x14ac:dyDescent="0.25">
      <c r="A291" t="s">
        <v>387</v>
      </c>
      <c r="B291" t="s">
        <v>1603</v>
      </c>
      <c r="C291" t="s">
        <v>1133</v>
      </c>
      <c r="D291" t="s">
        <v>1587</v>
      </c>
      <c r="E291" t="s">
        <v>233</v>
      </c>
      <c r="F291" s="28">
        <v>1</v>
      </c>
      <c r="G291" t="s">
        <v>193</v>
      </c>
      <c r="H291" t="s">
        <v>194</v>
      </c>
      <c r="I291" t="s">
        <v>1374</v>
      </c>
      <c r="J291" t="s">
        <v>1604</v>
      </c>
      <c r="K291">
        <v>18</v>
      </c>
      <c r="L291" t="s">
        <v>1134</v>
      </c>
      <c r="M291" t="str">
        <f t="shared" si="4"/>
        <v>112008</v>
      </c>
    </row>
    <row r="292" spans="1:13" x14ac:dyDescent="0.25">
      <c r="A292" t="s">
        <v>1605</v>
      </c>
      <c r="B292" t="s">
        <v>1606</v>
      </c>
      <c r="C292" t="s">
        <v>22</v>
      </c>
      <c r="D292" t="s">
        <v>1587</v>
      </c>
      <c r="E292" t="s">
        <v>233</v>
      </c>
      <c r="F292" s="28">
        <v>2</v>
      </c>
      <c r="G292" t="s">
        <v>193</v>
      </c>
      <c r="H292" t="s">
        <v>194</v>
      </c>
      <c r="I292" t="s">
        <v>1374</v>
      </c>
      <c r="J292" t="s">
        <v>1607</v>
      </c>
      <c r="K292">
        <v>18</v>
      </c>
      <c r="L292" t="s">
        <v>1608</v>
      </c>
      <c r="M292" t="str">
        <f t="shared" si="4"/>
        <v>228101</v>
      </c>
    </row>
    <row r="293" spans="1:13" x14ac:dyDescent="0.25">
      <c r="A293" t="s">
        <v>1605</v>
      </c>
      <c r="B293" t="s">
        <v>1609</v>
      </c>
      <c r="C293" t="s">
        <v>944</v>
      </c>
      <c r="D293" t="s">
        <v>1587</v>
      </c>
      <c r="E293" t="s">
        <v>233</v>
      </c>
      <c r="F293" s="28">
        <v>2</v>
      </c>
      <c r="G293" t="s">
        <v>193</v>
      </c>
      <c r="H293" t="s">
        <v>194</v>
      </c>
      <c r="I293" t="s">
        <v>1374</v>
      </c>
      <c r="J293" t="s">
        <v>1607</v>
      </c>
      <c r="K293">
        <v>18</v>
      </c>
      <c r="L293" t="s">
        <v>945</v>
      </c>
      <c r="M293" t="str">
        <f t="shared" si="4"/>
        <v>321301</v>
      </c>
    </row>
    <row r="294" spans="1:13" x14ac:dyDescent="0.25">
      <c r="A294" t="s">
        <v>1610</v>
      </c>
      <c r="B294" t="s">
        <v>1611</v>
      </c>
      <c r="C294" t="s">
        <v>83</v>
      </c>
      <c r="D294" t="s">
        <v>1587</v>
      </c>
      <c r="E294" t="s">
        <v>233</v>
      </c>
      <c r="F294" s="28">
        <v>1</v>
      </c>
      <c r="G294" t="s">
        <v>193</v>
      </c>
      <c r="H294" t="s">
        <v>194</v>
      </c>
      <c r="I294" t="s">
        <v>1374</v>
      </c>
      <c r="J294" t="s">
        <v>267</v>
      </c>
      <c r="K294">
        <v>18</v>
      </c>
      <c r="L294" t="s">
        <v>791</v>
      </c>
      <c r="M294" t="str">
        <f t="shared" si="4"/>
        <v>721204</v>
      </c>
    </row>
    <row r="295" spans="1:13" x14ac:dyDescent="0.25">
      <c r="A295" t="s">
        <v>1612</v>
      </c>
      <c r="B295" t="s">
        <v>1613</v>
      </c>
      <c r="C295" t="s">
        <v>776</v>
      </c>
      <c r="D295" t="s">
        <v>1587</v>
      </c>
      <c r="E295" t="s">
        <v>192</v>
      </c>
      <c r="F295" s="28">
        <v>1</v>
      </c>
      <c r="G295" t="s">
        <v>193</v>
      </c>
      <c r="H295" t="s">
        <v>194</v>
      </c>
      <c r="I295" t="s">
        <v>1374</v>
      </c>
      <c r="J295" t="s">
        <v>210</v>
      </c>
      <c r="K295">
        <v>18</v>
      </c>
      <c r="L295" t="s">
        <v>777</v>
      </c>
      <c r="M295" t="str">
        <f t="shared" si="4"/>
        <v>524403</v>
      </c>
    </row>
    <row r="296" spans="1:13" x14ac:dyDescent="0.25">
      <c r="A296" t="s">
        <v>411</v>
      </c>
      <c r="B296" t="s">
        <v>1614</v>
      </c>
      <c r="C296" t="s">
        <v>778</v>
      </c>
      <c r="D296" t="s">
        <v>1587</v>
      </c>
      <c r="E296" t="s">
        <v>233</v>
      </c>
      <c r="F296" s="28">
        <v>1</v>
      </c>
      <c r="G296" t="s">
        <v>193</v>
      </c>
      <c r="H296" t="s">
        <v>194</v>
      </c>
      <c r="I296" t="s">
        <v>1374</v>
      </c>
      <c r="J296" t="s">
        <v>1297</v>
      </c>
      <c r="K296">
        <v>18</v>
      </c>
      <c r="L296" t="s">
        <v>779</v>
      </c>
      <c r="M296" t="str">
        <f t="shared" si="4"/>
        <v>524902</v>
      </c>
    </row>
    <row r="297" spans="1:13" x14ac:dyDescent="0.25">
      <c r="A297" t="s">
        <v>1615</v>
      </c>
      <c r="B297" t="s">
        <v>1616</v>
      </c>
      <c r="C297" t="s">
        <v>740</v>
      </c>
      <c r="D297" t="s">
        <v>1587</v>
      </c>
      <c r="E297" t="s">
        <v>192</v>
      </c>
      <c r="F297" s="28">
        <v>1</v>
      </c>
      <c r="G297" t="s">
        <v>193</v>
      </c>
      <c r="H297" t="s">
        <v>194</v>
      </c>
      <c r="I297" t="s">
        <v>1374</v>
      </c>
      <c r="J297" t="s">
        <v>327</v>
      </c>
      <c r="K297">
        <v>18</v>
      </c>
      <c r="L297" t="s">
        <v>741</v>
      </c>
      <c r="M297" t="str">
        <f t="shared" si="4"/>
        <v>522301</v>
      </c>
    </row>
    <row r="298" spans="1:13" x14ac:dyDescent="0.25">
      <c r="A298" t="s">
        <v>540</v>
      </c>
      <c r="B298" t="s">
        <v>1162</v>
      </c>
      <c r="C298" t="s">
        <v>1617</v>
      </c>
      <c r="D298" t="s">
        <v>1587</v>
      </c>
      <c r="E298" t="s">
        <v>217</v>
      </c>
      <c r="F298" s="28">
        <v>1</v>
      </c>
      <c r="G298" t="s">
        <v>193</v>
      </c>
      <c r="H298" t="s">
        <v>194</v>
      </c>
      <c r="I298" t="s">
        <v>1374</v>
      </c>
      <c r="J298" t="s">
        <v>1163</v>
      </c>
      <c r="K298">
        <v>18</v>
      </c>
      <c r="L298" t="s">
        <v>1618</v>
      </c>
      <c r="M298" t="str">
        <f t="shared" si="4"/>
        <v>814209</v>
      </c>
    </row>
    <row r="299" spans="1:13" x14ac:dyDescent="0.25">
      <c r="A299" t="s">
        <v>1619</v>
      </c>
      <c r="B299" t="s">
        <v>632</v>
      </c>
      <c r="C299" t="s">
        <v>17</v>
      </c>
      <c r="D299" t="s">
        <v>1587</v>
      </c>
      <c r="E299" t="s">
        <v>192</v>
      </c>
      <c r="F299" s="28">
        <v>1</v>
      </c>
      <c r="G299" t="s">
        <v>193</v>
      </c>
      <c r="H299" t="s">
        <v>194</v>
      </c>
      <c r="I299" t="s">
        <v>1374</v>
      </c>
      <c r="J299" t="s">
        <v>276</v>
      </c>
      <c r="K299">
        <v>18</v>
      </c>
      <c r="L299" t="s">
        <v>624</v>
      </c>
      <c r="M299" t="str">
        <f t="shared" si="4"/>
        <v>332203</v>
      </c>
    </row>
    <row r="300" spans="1:13" x14ac:dyDescent="0.25">
      <c r="A300" t="s">
        <v>1620</v>
      </c>
      <c r="B300" t="s">
        <v>261</v>
      </c>
      <c r="C300" t="s">
        <v>74</v>
      </c>
      <c r="D300" t="s">
        <v>1587</v>
      </c>
      <c r="E300" t="s">
        <v>192</v>
      </c>
      <c r="F300" s="28">
        <v>1</v>
      </c>
      <c r="G300" t="s">
        <v>193</v>
      </c>
      <c r="H300" t="s">
        <v>194</v>
      </c>
      <c r="I300" t="s">
        <v>1374</v>
      </c>
      <c r="J300" t="s">
        <v>210</v>
      </c>
      <c r="K300">
        <v>18</v>
      </c>
      <c r="L300" t="s">
        <v>246</v>
      </c>
      <c r="M300" t="str">
        <f t="shared" si="4"/>
        <v>142004</v>
      </c>
    </row>
    <row r="301" spans="1:13" x14ac:dyDescent="0.25">
      <c r="A301" t="s">
        <v>1621</v>
      </c>
      <c r="B301" t="s">
        <v>129</v>
      </c>
      <c r="C301" t="s">
        <v>129</v>
      </c>
      <c r="D301" t="s">
        <v>1587</v>
      </c>
      <c r="E301" t="s">
        <v>192</v>
      </c>
      <c r="F301" s="28">
        <v>1</v>
      </c>
      <c r="G301" t="s">
        <v>193</v>
      </c>
      <c r="H301" t="s">
        <v>194</v>
      </c>
      <c r="I301" t="s">
        <v>1374</v>
      </c>
      <c r="J301" t="s">
        <v>285</v>
      </c>
      <c r="K301">
        <v>18</v>
      </c>
      <c r="L301" t="s">
        <v>203</v>
      </c>
      <c r="M301" t="str">
        <f t="shared" si="4"/>
        <v>121904</v>
      </c>
    </row>
    <row r="302" spans="1:13" x14ac:dyDescent="0.25">
      <c r="A302" t="s">
        <v>1622</v>
      </c>
      <c r="B302" t="s">
        <v>1623</v>
      </c>
      <c r="C302" t="s">
        <v>566</v>
      </c>
      <c r="D302" t="s">
        <v>1587</v>
      </c>
      <c r="E302" t="s">
        <v>233</v>
      </c>
      <c r="F302" s="28">
        <v>1</v>
      </c>
      <c r="G302" t="s">
        <v>193</v>
      </c>
      <c r="H302" t="s">
        <v>194</v>
      </c>
      <c r="I302" t="s">
        <v>1374</v>
      </c>
      <c r="J302" t="s">
        <v>210</v>
      </c>
      <c r="K302">
        <v>18</v>
      </c>
      <c r="L302" t="s">
        <v>567</v>
      </c>
      <c r="M302" t="str">
        <f t="shared" si="4"/>
        <v>311504</v>
      </c>
    </row>
    <row r="303" spans="1:13" x14ac:dyDescent="0.25">
      <c r="A303" t="s">
        <v>1624</v>
      </c>
      <c r="B303" t="s">
        <v>1625</v>
      </c>
      <c r="C303" t="s">
        <v>1626</v>
      </c>
      <c r="D303" t="s">
        <v>1587</v>
      </c>
      <c r="E303" t="s">
        <v>192</v>
      </c>
      <c r="F303" s="28">
        <v>1</v>
      </c>
      <c r="G303" t="s">
        <v>193</v>
      </c>
      <c r="H303" t="s">
        <v>194</v>
      </c>
      <c r="I303" t="s">
        <v>1374</v>
      </c>
      <c r="J303" t="s">
        <v>210</v>
      </c>
      <c r="K303">
        <v>18</v>
      </c>
      <c r="L303" t="s">
        <v>1627</v>
      </c>
      <c r="M303" t="str">
        <f t="shared" si="4"/>
        <v>833201</v>
      </c>
    </row>
    <row r="304" spans="1:13" x14ac:dyDescent="0.25">
      <c r="A304" t="s">
        <v>1628</v>
      </c>
      <c r="B304" t="s">
        <v>537</v>
      </c>
      <c r="C304" t="s">
        <v>778</v>
      </c>
      <c r="D304" t="s">
        <v>1587</v>
      </c>
      <c r="E304" t="s">
        <v>192</v>
      </c>
      <c r="F304" s="28">
        <v>1</v>
      </c>
      <c r="G304" t="s">
        <v>193</v>
      </c>
      <c r="H304" t="s">
        <v>194</v>
      </c>
      <c r="I304" t="s">
        <v>1374</v>
      </c>
      <c r="J304" t="s">
        <v>747</v>
      </c>
      <c r="K304">
        <v>18</v>
      </c>
      <c r="L304" t="s">
        <v>779</v>
      </c>
      <c r="M304" t="str">
        <f t="shared" si="4"/>
        <v>524902</v>
      </c>
    </row>
    <row r="305" spans="1:13" x14ac:dyDescent="0.25">
      <c r="A305" t="s">
        <v>1629</v>
      </c>
      <c r="B305" t="s">
        <v>1630</v>
      </c>
      <c r="C305" t="s">
        <v>237</v>
      </c>
      <c r="D305" t="s">
        <v>1587</v>
      </c>
      <c r="E305" t="s">
        <v>192</v>
      </c>
      <c r="F305" s="28">
        <v>1</v>
      </c>
      <c r="G305" t="s">
        <v>193</v>
      </c>
      <c r="H305" t="s">
        <v>194</v>
      </c>
      <c r="I305" t="s">
        <v>1374</v>
      </c>
      <c r="J305" t="s">
        <v>1631</v>
      </c>
      <c r="K305">
        <v>18</v>
      </c>
      <c r="L305" t="s">
        <v>239</v>
      </c>
      <c r="M305" t="str">
        <f t="shared" si="4"/>
        <v>132404</v>
      </c>
    </row>
    <row r="306" spans="1:13" x14ac:dyDescent="0.25">
      <c r="A306" t="s">
        <v>1537</v>
      </c>
      <c r="B306" t="s">
        <v>1632</v>
      </c>
      <c r="C306" t="s">
        <v>113</v>
      </c>
      <c r="D306" t="s">
        <v>1587</v>
      </c>
      <c r="E306" t="s">
        <v>192</v>
      </c>
      <c r="F306" s="28">
        <v>1</v>
      </c>
      <c r="G306" t="s">
        <v>193</v>
      </c>
      <c r="H306" t="s">
        <v>194</v>
      </c>
      <c r="I306" t="s">
        <v>1374</v>
      </c>
      <c r="J306" t="s">
        <v>301</v>
      </c>
      <c r="K306">
        <v>18</v>
      </c>
      <c r="L306" t="s">
        <v>465</v>
      </c>
      <c r="M306" t="str">
        <f t="shared" si="4"/>
        <v>243302</v>
      </c>
    </row>
    <row r="307" spans="1:13" x14ac:dyDescent="0.25">
      <c r="A307" t="s">
        <v>1633</v>
      </c>
      <c r="B307" t="s">
        <v>1634</v>
      </c>
      <c r="C307" t="s">
        <v>284</v>
      </c>
      <c r="D307" t="s">
        <v>1587</v>
      </c>
      <c r="E307" t="s">
        <v>192</v>
      </c>
      <c r="F307" s="28">
        <v>1</v>
      </c>
      <c r="G307" t="s">
        <v>193</v>
      </c>
      <c r="H307" t="s">
        <v>194</v>
      </c>
      <c r="I307" t="s">
        <v>1374</v>
      </c>
      <c r="J307" t="s">
        <v>309</v>
      </c>
      <c r="K307">
        <v>18</v>
      </c>
      <c r="L307" t="s">
        <v>286</v>
      </c>
      <c r="M307" t="str">
        <f t="shared" si="4"/>
        <v>214109</v>
      </c>
    </row>
    <row r="308" spans="1:13" x14ac:dyDescent="0.25">
      <c r="A308" t="s">
        <v>1635</v>
      </c>
      <c r="B308" t="s">
        <v>1636</v>
      </c>
      <c r="C308" t="s">
        <v>43</v>
      </c>
      <c r="D308" t="s">
        <v>1637</v>
      </c>
      <c r="E308" t="s">
        <v>192</v>
      </c>
      <c r="F308" s="28">
        <v>1</v>
      </c>
      <c r="G308" t="s">
        <v>193</v>
      </c>
      <c r="H308" t="s">
        <v>194</v>
      </c>
      <c r="I308" t="s">
        <v>1587</v>
      </c>
      <c r="J308" t="s">
        <v>276</v>
      </c>
      <c r="K308">
        <v>18</v>
      </c>
      <c r="L308" t="s">
        <v>452</v>
      </c>
      <c r="M308" t="str">
        <f t="shared" si="4"/>
        <v>243106</v>
      </c>
    </row>
    <row r="309" spans="1:13" x14ac:dyDescent="0.25">
      <c r="A309" t="s">
        <v>636</v>
      </c>
      <c r="B309" t="s">
        <v>1638</v>
      </c>
      <c r="C309" t="s">
        <v>17</v>
      </c>
      <c r="D309" t="s">
        <v>1637</v>
      </c>
      <c r="E309" t="s">
        <v>192</v>
      </c>
      <c r="F309" s="28">
        <v>1</v>
      </c>
      <c r="G309" t="s">
        <v>193</v>
      </c>
      <c r="H309" t="s">
        <v>194</v>
      </c>
      <c r="I309" t="s">
        <v>1587</v>
      </c>
      <c r="J309" t="s">
        <v>385</v>
      </c>
      <c r="K309">
        <v>18</v>
      </c>
      <c r="L309" t="s">
        <v>624</v>
      </c>
      <c r="M309" t="str">
        <f t="shared" si="4"/>
        <v>332203</v>
      </c>
    </row>
    <row r="310" spans="1:13" x14ac:dyDescent="0.25">
      <c r="A310" t="s">
        <v>638</v>
      </c>
      <c r="B310" t="s">
        <v>428</v>
      </c>
      <c r="C310" t="s">
        <v>100</v>
      </c>
      <c r="D310" t="s">
        <v>1637</v>
      </c>
      <c r="E310" t="s">
        <v>233</v>
      </c>
      <c r="F310" s="28">
        <v>1</v>
      </c>
      <c r="G310" t="s">
        <v>193</v>
      </c>
      <c r="H310" t="s">
        <v>194</v>
      </c>
      <c r="I310" t="s">
        <v>1587</v>
      </c>
      <c r="J310" t="s">
        <v>276</v>
      </c>
      <c r="K310">
        <v>18</v>
      </c>
      <c r="L310" t="s">
        <v>429</v>
      </c>
      <c r="M310" t="str">
        <f t="shared" si="4"/>
        <v>242108</v>
      </c>
    </row>
    <row r="311" spans="1:13" x14ac:dyDescent="0.25">
      <c r="A311" t="s">
        <v>1639</v>
      </c>
      <c r="B311" t="s">
        <v>1640</v>
      </c>
      <c r="C311" t="s">
        <v>37</v>
      </c>
      <c r="D311" t="s">
        <v>1637</v>
      </c>
      <c r="E311" t="s">
        <v>192</v>
      </c>
      <c r="F311" s="28">
        <v>1</v>
      </c>
      <c r="G311" t="s">
        <v>193</v>
      </c>
      <c r="H311" t="s">
        <v>194</v>
      </c>
      <c r="I311" t="s">
        <v>1587</v>
      </c>
      <c r="J311" t="s">
        <v>210</v>
      </c>
      <c r="K311">
        <v>18</v>
      </c>
      <c r="L311" t="s">
        <v>516</v>
      </c>
      <c r="M311" t="str">
        <f t="shared" si="4"/>
        <v>252302</v>
      </c>
    </row>
    <row r="312" spans="1:13" x14ac:dyDescent="0.25">
      <c r="A312" t="s">
        <v>1641</v>
      </c>
      <c r="B312" t="s">
        <v>404</v>
      </c>
      <c r="C312" t="s">
        <v>778</v>
      </c>
      <c r="D312" t="s">
        <v>1637</v>
      </c>
      <c r="E312" t="s">
        <v>192</v>
      </c>
      <c r="F312" s="28">
        <v>1</v>
      </c>
      <c r="G312" t="s">
        <v>193</v>
      </c>
      <c r="H312" t="s">
        <v>194</v>
      </c>
      <c r="I312" t="s">
        <v>1587</v>
      </c>
      <c r="J312" t="s">
        <v>253</v>
      </c>
      <c r="K312">
        <v>18</v>
      </c>
      <c r="L312" t="s">
        <v>779</v>
      </c>
      <c r="M312" t="str">
        <f t="shared" si="4"/>
        <v>524902</v>
      </c>
    </row>
    <row r="313" spans="1:13" x14ac:dyDescent="0.25">
      <c r="A313" t="s">
        <v>1204</v>
      </c>
      <c r="B313" t="s">
        <v>1014</v>
      </c>
      <c r="C313" t="s">
        <v>95</v>
      </c>
      <c r="D313" t="s">
        <v>1637</v>
      </c>
      <c r="E313" t="s">
        <v>192</v>
      </c>
      <c r="F313" s="28">
        <v>1</v>
      </c>
      <c r="G313" t="s">
        <v>193</v>
      </c>
      <c r="H313" t="s">
        <v>194</v>
      </c>
      <c r="I313" t="s">
        <v>1587</v>
      </c>
      <c r="J313" t="s">
        <v>276</v>
      </c>
      <c r="K313">
        <v>18</v>
      </c>
      <c r="L313" t="s">
        <v>1015</v>
      </c>
      <c r="M313" t="str">
        <f t="shared" si="4"/>
        <v>122102</v>
      </c>
    </row>
    <row r="314" spans="1:13" x14ac:dyDescent="0.25">
      <c r="A314" t="s">
        <v>1204</v>
      </c>
      <c r="B314" t="s">
        <v>1205</v>
      </c>
      <c r="C314" t="s">
        <v>17</v>
      </c>
      <c r="D314" t="s">
        <v>1637</v>
      </c>
      <c r="E314" t="s">
        <v>192</v>
      </c>
      <c r="F314" s="28">
        <v>1</v>
      </c>
      <c r="G314" t="s">
        <v>193</v>
      </c>
      <c r="H314" t="s">
        <v>194</v>
      </c>
      <c r="I314" t="s">
        <v>1587</v>
      </c>
      <c r="J314" t="s">
        <v>276</v>
      </c>
      <c r="K314">
        <v>18</v>
      </c>
      <c r="L314" t="s">
        <v>624</v>
      </c>
      <c r="M314" t="str">
        <f t="shared" si="4"/>
        <v>332203</v>
      </c>
    </row>
    <row r="315" spans="1:13" x14ac:dyDescent="0.25">
      <c r="A315" t="s">
        <v>1120</v>
      </c>
      <c r="B315" t="s">
        <v>1121</v>
      </c>
      <c r="C315" t="s">
        <v>17</v>
      </c>
      <c r="D315" t="s">
        <v>1637</v>
      </c>
      <c r="E315" t="s">
        <v>233</v>
      </c>
      <c r="F315" s="28">
        <v>1</v>
      </c>
      <c r="G315" t="s">
        <v>193</v>
      </c>
      <c r="H315" t="s">
        <v>194</v>
      </c>
      <c r="I315" t="s">
        <v>1587</v>
      </c>
      <c r="J315" t="s">
        <v>210</v>
      </c>
      <c r="K315">
        <v>18</v>
      </c>
      <c r="L315" t="s">
        <v>624</v>
      </c>
      <c r="M315" t="str">
        <f t="shared" si="4"/>
        <v>332203</v>
      </c>
    </row>
    <row r="316" spans="1:13" x14ac:dyDescent="0.25">
      <c r="A316" t="s">
        <v>1211</v>
      </c>
      <c r="B316" t="s">
        <v>1642</v>
      </c>
      <c r="C316" t="s">
        <v>9</v>
      </c>
      <c r="D316" t="s">
        <v>1637</v>
      </c>
      <c r="E316" t="s">
        <v>192</v>
      </c>
      <c r="F316" s="28">
        <v>1</v>
      </c>
      <c r="G316" t="s">
        <v>193</v>
      </c>
      <c r="H316" t="s">
        <v>194</v>
      </c>
      <c r="I316" t="s">
        <v>1587</v>
      </c>
      <c r="J316" t="s">
        <v>210</v>
      </c>
      <c r="K316">
        <v>18</v>
      </c>
      <c r="L316" t="s">
        <v>405</v>
      </c>
      <c r="M316" t="str">
        <f t="shared" si="4"/>
        <v>241304</v>
      </c>
    </row>
    <row r="317" spans="1:13" x14ac:dyDescent="0.25">
      <c r="A317" t="s">
        <v>1643</v>
      </c>
      <c r="B317" t="s">
        <v>1644</v>
      </c>
      <c r="C317" t="s">
        <v>113</v>
      </c>
      <c r="D317" t="s">
        <v>1637</v>
      </c>
      <c r="E317" t="s">
        <v>192</v>
      </c>
      <c r="F317" s="28">
        <v>1</v>
      </c>
      <c r="G317" t="s">
        <v>193</v>
      </c>
      <c r="H317" t="s">
        <v>194</v>
      </c>
      <c r="I317" t="s">
        <v>1587</v>
      </c>
      <c r="J317" t="s">
        <v>210</v>
      </c>
      <c r="K317">
        <v>18</v>
      </c>
      <c r="L317" t="s">
        <v>465</v>
      </c>
      <c r="M317" t="str">
        <f t="shared" si="4"/>
        <v>243302</v>
      </c>
    </row>
    <row r="318" spans="1:13" x14ac:dyDescent="0.25">
      <c r="A318" t="s">
        <v>1645</v>
      </c>
      <c r="B318" t="s">
        <v>1646</v>
      </c>
      <c r="C318" t="s">
        <v>37</v>
      </c>
      <c r="D318" t="s">
        <v>1637</v>
      </c>
      <c r="E318" t="s">
        <v>192</v>
      </c>
      <c r="F318" s="28">
        <v>1</v>
      </c>
      <c r="G318" t="s">
        <v>193</v>
      </c>
      <c r="H318" t="s">
        <v>194</v>
      </c>
      <c r="I318" t="s">
        <v>1587</v>
      </c>
      <c r="J318" t="s">
        <v>210</v>
      </c>
      <c r="K318">
        <v>18</v>
      </c>
      <c r="L318" t="s">
        <v>516</v>
      </c>
      <c r="M318" t="str">
        <f t="shared" si="4"/>
        <v>252302</v>
      </c>
    </row>
    <row r="319" spans="1:13" x14ac:dyDescent="0.25">
      <c r="A319" t="s">
        <v>1647</v>
      </c>
      <c r="B319" t="s">
        <v>1648</v>
      </c>
      <c r="C319" t="s">
        <v>1649</v>
      </c>
      <c r="D319" t="s">
        <v>1637</v>
      </c>
      <c r="E319" t="s">
        <v>192</v>
      </c>
      <c r="F319" s="28">
        <v>1</v>
      </c>
      <c r="G319" t="s">
        <v>193</v>
      </c>
      <c r="H319" t="s">
        <v>194</v>
      </c>
      <c r="I319" t="s">
        <v>1587</v>
      </c>
      <c r="J319" t="s">
        <v>249</v>
      </c>
      <c r="K319">
        <v>18</v>
      </c>
      <c r="L319" t="s">
        <v>1650</v>
      </c>
      <c r="M319" t="str">
        <f t="shared" si="4"/>
        <v>134603</v>
      </c>
    </row>
    <row r="320" spans="1:13" x14ac:dyDescent="0.25">
      <c r="A320" t="s">
        <v>1651</v>
      </c>
      <c r="B320" t="s">
        <v>1652</v>
      </c>
      <c r="C320" t="s">
        <v>1652</v>
      </c>
      <c r="D320" t="s">
        <v>1637</v>
      </c>
      <c r="E320" t="s">
        <v>192</v>
      </c>
      <c r="F320" s="28">
        <v>1</v>
      </c>
      <c r="G320" t="s">
        <v>193</v>
      </c>
      <c r="H320" t="s">
        <v>194</v>
      </c>
      <c r="I320" t="s">
        <v>1587</v>
      </c>
      <c r="J320" t="s">
        <v>210</v>
      </c>
      <c r="K320">
        <v>18</v>
      </c>
      <c r="L320" t="s">
        <v>1653</v>
      </c>
      <c r="M320" t="str">
        <f t="shared" si="4"/>
        <v>441202</v>
      </c>
    </row>
    <row r="321" spans="1:13" x14ac:dyDescent="0.25">
      <c r="A321" t="s">
        <v>1654</v>
      </c>
      <c r="B321" t="s">
        <v>1655</v>
      </c>
      <c r="C321" t="s">
        <v>17</v>
      </c>
      <c r="D321" t="s">
        <v>1637</v>
      </c>
      <c r="E321" t="s">
        <v>192</v>
      </c>
      <c r="F321" s="28">
        <v>1</v>
      </c>
      <c r="G321" t="s">
        <v>193</v>
      </c>
      <c r="H321" t="s">
        <v>194</v>
      </c>
      <c r="I321" t="s">
        <v>1587</v>
      </c>
      <c r="J321" t="s">
        <v>210</v>
      </c>
      <c r="K321">
        <v>18</v>
      </c>
      <c r="L321" t="s">
        <v>624</v>
      </c>
      <c r="M321" t="str">
        <f t="shared" si="4"/>
        <v>332203</v>
      </c>
    </row>
    <row r="322" spans="1:13" x14ac:dyDescent="0.25">
      <c r="A322" t="s">
        <v>1085</v>
      </c>
      <c r="B322" t="s">
        <v>1656</v>
      </c>
      <c r="C322" t="s">
        <v>1657</v>
      </c>
      <c r="D322" t="s">
        <v>1637</v>
      </c>
      <c r="E322" t="s">
        <v>192</v>
      </c>
      <c r="F322" s="28">
        <v>1</v>
      </c>
      <c r="G322" t="s">
        <v>193</v>
      </c>
      <c r="H322" t="s">
        <v>194</v>
      </c>
      <c r="I322" t="s">
        <v>1587</v>
      </c>
      <c r="J322" t="s">
        <v>276</v>
      </c>
      <c r="K322">
        <v>18</v>
      </c>
      <c r="L322" t="s">
        <v>1658</v>
      </c>
      <c r="M322" t="str">
        <f t="shared" ref="M322:M366" si="5">MID(L322,8,6)</f>
        <v>331502</v>
      </c>
    </row>
    <row r="323" spans="1:13" x14ac:dyDescent="0.25">
      <c r="A323" t="s">
        <v>890</v>
      </c>
      <c r="B323" t="s">
        <v>1659</v>
      </c>
      <c r="C323" t="s">
        <v>27</v>
      </c>
      <c r="D323" t="s">
        <v>1637</v>
      </c>
      <c r="E323" t="s">
        <v>233</v>
      </c>
      <c r="F323" s="28">
        <v>1</v>
      </c>
      <c r="G323" t="s">
        <v>193</v>
      </c>
      <c r="H323" t="s">
        <v>194</v>
      </c>
      <c r="I323" t="s">
        <v>1587</v>
      </c>
      <c r="J323" t="s">
        <v>210</v>
      </c>
      <c r="K323">
        <v>18</v>
      </c>
      <c r="L323" t="s">
        <v>440</v>
      </c>
      <c r="M323" t="str">
        <f t="shared" si="5"/>
        <v>242307</v>
      </c>
    </row>
    <row r="324" spans="1:13" x14ac:dyDescent="0.25">
      <c r="A324" t="s">
        <v>890</v>
      </c>
      <c r="B324" t="s">
        <v>1660</v>
      </c>
      <c r="C324" t="s">
        <v>1661</v>
      </c>
      <c r="D324" t="s">
        <v>1637</v>
      </c>
      <c r="E324" t="s">
        <v>233</v>
      </c>
      <c r="F324" s="28">
        <v>1</v>
      </c>
      <c r="G324" t="s">
        <v>193</v>
      </c>
      <c r="H324" t="s">
        <v>194</v>
      </c>
      <c r="I324" t="s">
        <v>1587</v>
      </c>
      <c r="J324" t="s">
        <v>210</v>
      </c>
      <c r="K324">
        <v>18</v>
      </c>
      <c r="L324" t="s">
        <v>1662</v>
      </c>
      <c r="M324" t="str">
        <f t="shared" si="5"/>
        <v>241202</v>
      </c>
    </row>
    <row r="325" spans="1:13" x14ac:dyDescent="0.25">
      <c r="A325" t="s">
        <v>1663</v>
      </c>
      <c r="B325" t="s">
        <v>1664</v>
      </c>
      <c r="C325" t="s">
        <v>989</v>
      </c>
      <c r="D325" t="s">
        <v>1637</v>
      </c>
      <c r="E325" t="s">
        <v>233</v>
      </c>
      <c r="F325" s="28">
        <v>1</v>
      </c>
      <c r="G325" t="s">
        <v>193</v>
      </c>
      <c r="H325" t="s">
        <v>194</v>
      </c>
      <c r="I325" t="s">
        <v>1587</v>
      </c>
      <c r="J325" t="s">
        <v>1665</v>
      </c>
      <c r="K325">
        <v>18</v>
      </c>
      <c r="L325" t="s">
        <v>990</v>
      </c>
      <c r="M325" t="str">
        <f t="shared" si="5"/>
        <v>833202</v>
      </c>
    </row>
    <row r="326" spans="1:13" x14ac:dyDescent="0.25">
      <c r="A326" t="s">
        <v>1147</v>
      </c>
      <c r="B326" t="s">
        <v>681</v>
      </c>
      <c r="C326" t="s">
        <v>1148</v>
      </c>
      <c r="D326" t="s">
        <v>1637</v>
      </c>
      <c r="E326" t="s">
        <v>192</v>
      </c>
      <c r="F326" s="28">
        <v>1</v>
      </c>
      <c r="G326" t="s">
        <v>193</v>
      </c>
      <c r="H326" t="s">
        <v>194</v>
      </c>
      <c r="I326" t="s">
        <v>1587</v>
      </c>
      <c r="J326" t="s">
        <v>267</v>
      </c>
      <c r="K326">
        <v>18</v>
      </c>
      <c r="L326" t="s">
        <v>1150</v>
      </c>
      <c r="M326" t="str">
        <f t="shared" si="5"/>
        <v>244001</v>
      </c>
    </row>
    <row r="327" spans="1:13" x14ac:dyDescent="0.25">
      <c r="A327" t="s">
        <v>1666</v>
      </c>
      <c r="B327" t="s">
        <v>1667</v>
      </c>
      <c r="C327" t="s">
        <v>1668</v>
      </c>
      <c r="D327" t="s">
        <v>1637</v>
      </c>
      <c r="E327" t="s">
        <v>192</v>
      </c>
      <c r="F327" s="28">
        <v>1</v>
      </c>
      <c r="G327" t="s">
        <v>193</v>
      </c>
      <c r="H327" t="s">
        <v>194</v>
      </c>
      <c r="I327" t="s">
        <v>1587</v>
      </c>
      <c r="J327" t="s">
        <v>276</v>
      </c>
      <c r="K327">
        <v>18</v>
      </c>
      <c r="L327" t="s">
        <v>1669</v>
      </c>
      <c r="M327" t="str">
        <f t="shared" si="5"/>
        <v>233008</v>
      </c>
    </row>
    <row r="328" spans="1:13" x14ac:dyDescent="0.25">
      <c r="A328" t="s">
        <v>1670</v>
      </c>
      <c r="B328" t="s">
        <v>1671</v>
      </c>
      <c r="C328" t="s">
        <v>67</v>
      </c>
      <c r="D328" t="s">
        <v>1637</v>
      </c>
      <c r="E328" t="s">
        <v>192</v>
      </c>
      <c r="F328" s="28">
        <v>1</v>
      </c>
      <c r="G328" t="s">
        <v>193</v>
      </c>
      <c r="H328" t="s">
        <v>194</v>
      </c>
      <c r="I328" t="s">
        <v>1587</v>
      </c>
      <c r="J328" t="s">
        <v>301</v>
      </c>
      <c r="K328">
        <v>18</v>
      </c>
      <c r="L328" t="s">
        <v>709</v>
      </c>
      <c r="M328" t="str">
        <f t="shared" si="5"/>
        <v>432103</v>
      </c>
    </row>
    <row r="329" spans="1:13" x14ac:dyDescent="0.25">
      <c r="A329" t="s">
        <v>1670</v>
      </c>
      <c r="B329" t="s">
        <v>1672</v>
      </c>
      <c r="C329" t="s">
        <v>1673</v>
      </c>
      <c r="D329" t="s">
        <v>1637</v>
      </c>
      <c r="E329" t="s">
        <v>192</v>
      </c>
      <c r="F329" s="28">
        <v>1</v>
      </c>
      <c r="G329" t="s">
        <v>193</v>
      </c>
      <c r="H329" t="s">
        <v>194</v>
      </c>
      <c r="I329" t="s">
        <v>1587</v>
      </c>
      <c r="J329" t="s">
        <v>301</v>
      </c>
      <c r="K329">
        <v>18</v>
      </c>
      <c r="L329" t="s">
        <v>1674</v>
      </c>
      <c r="M329" t="str">
        <f t="shared" si="5"/>
        <v>312208</v>
      </c>
    </row>
    <row r="330" spans="1:13" x14ac:dyDescent="0.25">
      <c r="A330" t="s">
        <v>1675</v>
      </c>
      <c r="B330" t="s">
        <v>418</v>
      </c>
      <c r="C330" t="s">
        <v>9</v>
      </c>
      <c r="D330" t="s">
        <v>1637</v>
      </c>
      <c r="E330" t="s">
        <v>192</v>
      </c>
      <c r="F330" s="28">
        <v>1</v>
      </c>
      <c r="G330" t="s">
        <v>193</v>
      </c>
      <c r="H330" t="s">
        <v>194</v>
      </c>
      <c r="I330" t="s">
        <v>1587</v>
      </c>
      <c r="J330" t="s">
        <v>210</v>
      </c>
      <c r="K330">
        <v>18</v>
      </c>
      <c r="L330" t="s">
        <v>405</v>
      </c>
      <c r="M330" t="str">
        <f t="shared" si="5"/>
        <v>241304</v>
      </c>
    </row>
    <row r="331" spans="1:13" x14ac:dyDescent="0.25">
      <c r="A331" t="s">
        <v>843</v>
      </c>
      <c r="B331" t="s">
        <v>1676</v>
      </c>
      <c r="C331" t="s">
        <v>880</v>
      </c>
      <c r="D331" t="s">
        <v>1637</v>
      </c>
      <c r="E331" t="s">
        <v>192</v>
      </c>
      <c r="F331" s="76">
        <v>0</v>
      </c>
      <c r="G331" s="75" t="s">
        <v>194</v>
      </c>
      <c r="H331" t="s">
        <v>193</v>
      </c>
      <c r="I331" t="s">
        <v>1587</v>
      </c>
      <c r="J331" t="s">
        <v>210</v>
      </c>
      <c r="K331">
        <v>18</v>
      </c>
      <c r="L331" t="s">
        <v>881</v>
      </c>
      <c r="M331" t="str">
        <f t="shared" si="5"/>
        <v>834204</v>
      </c>
    </row>
    <row r="332" spans="1:13" x14ac:dyDescent="0.25">
      <c r="A332" t="s">
        <v>615</v>
      </c>
      <c r="B332" t="s">
        <v>616</v>
      </c>
      <c r="C332" t="s">
        <v>17</v>
      </c>
      <c r="D332" t="s">
        <v>1637</v>
      </c>
      <c r="E332" t="s">
        <v>192</v>
      </c>
      <c r="F332" s="76">
        <v>0</v>
      </c>
      <c r="G332" s="75" t="s">
        <v>194</v>
      </c>
      <c r="H332" t="s">
        <v>193</v>
      </c>
      <c r="I332" t="s">
        <v>1587</v>
      </c>
      <c r="J332" t="s">
        <v>385</v>
      </c>
      <c r="K332">
        <v>18</v>
      </c>
      <c r="L332" t="s">
        <v>624</v>
      </c>
      <c r="M332" t="str">
        <f t="shared" si="5"/>
        <v>332203</v>
      </c>
    </row>
    <row r="333" spans="1:13" x14ac:dyDescent="0.25">
      <c r="A333" t="s">
        <v>1677</v>
      </c>
      <c r="B333" t="s">
        <v>1678</v>
      </c>
      <c r="C333" t="s">
        <v>17</v>
      </c>
      <c r="D333" t="s">
        <v>1637</v>
      </c>
      <c r="E333" t="s">
        <v>192</v>
      </c>
      <c r="F333" s="28">
        <v>17</v>
      </c>
      <c r="G333" t="s">
        <v>193</v>
      </c>
      <c r="H333" t="s">
        <v>194</v>
      </c>
      <c r="I333" t="s">
        <v>1587</v>
      </c>
      <c r="J333" t="s">
        <v>276</v>
      </c>
      <c r="K333">
        <v>18</v>
      </c>
      <c r="L333" t="s">
        <v>624</v>
      </c>
      <c r="M333" t="str">
        <f t="shared" si="5"/>
        <v>332203</v>
      </c>
    </row>
    <row r="334" spans="1:13" x14ac:dyDescent="0.25">
      <c r="A334" t="s">
        <v>1679</v>
      </c>
      <c r="B334" t="s">
        <v>1396</v>
      </c>
      <c r="C334" t="s">
        <v>17</v>
      </c>
      <c r="D334" t="s">
        <v>1637</v>
      </c>
      <c r="E334" t="s">
        <v>192</v>
      </c>
      <c r="F334" s="28">
        <v>1</v>
      </c>
      <c r="G334" t="s">
        <v>193</v>
      </c>
      <c r="H334" t="s">
        <v>194</v>
      </c>
      <c r="I334" t="s">
        <v>1587</v>
      </c>
      <c r="J334" t="s">
        <v>962</v>
      </c>
      <c r="K334">
        <v>18</v>
      </c>
      <c r="L334" t="s">
        <v>624</v>
      </c>
      <c r="M334" t="str">
        <f t="shared" si="5"/>
        <v>332203</v>
      </c>
    </row>
    <row r="335" spans="1:13" x14ac:dyDescent="0.25">
      <c r="A335" t="s">
        <v>324</v>
      </c>
      <c r="B335" t="s">
        <v>1680</v>
      </c>
      <c r="C335" t="s">
        <v>237</v>
      </c>
      <c r="D335" t="s">
        <v>1637</v>
      </c>
      <c r="E335" t="s">
        <v>192</v>
      </c>
      <c r="F335" s="28">
        <v>1</v>
      </c>
      <c r="G335" t="s">
        <v>193</v>
      </c>
      <c r="H335" t="s">
        <v>194</v>
      </c>
      <c r="I335" t="s">
        <v>1587</v>
      </c>
      <c r="J335" t="s">
        <v>285</v>
      </c>
      <c r="K335">
        <v>18</v>
      </c>
      <c r="L335" t="s">
        <v>239</v>
      </c>
      <c r="M335" t="str">
        <f t="shared" si="5"/>
        <v>132404</v>
      </c>
    </row>
    <row r="336" spans="1:13" x14ac:dyDescent="0.25">
      <c r="A336" t="s">
        <v>324</v>
      </c>
      <c r="B336" t="s">
        <v>1681</v>
      </c>
      <c r="C336" t="s">
        <v>150</v>
      </c>
      <c r="D336" t="s">
        <v>1637</v>
      </c>
      <c r="E336" t="s">
        <v>192</v>
      </c>
      <c r="F336" s="28">
        <v>1</v>
      </c>
      <c r="G336" t="s">
        <v>193</v>
      </c>
      <c r="H336" t="s">
        <v>194</v>
      </c>
      <c r="I336" t="s">
        <v>1587</v>
      </c>
      <c r="J336" t="s">
        <v>285</v>
      </c>
      <c r="K336">
        <v>18</v>
      </c>
      <c r="L336" t="s">
        <v>1274</v>
      </c>
      <c r="M336" t="str">
        <f t="shared" si="5"/>
        <v>132105</v>
      </c>
    </row>
    <row r="337" spans="1:13" x14ac:dyDescent="0.25">
      <c r="A337" t="s">
        <v>324</v>
      </c>
      <c r="B337" t="s">
        <v>1682</v>
      </c>
      <c r="C337" t="s">
        <v>284</v>
      </c>
      <c r="D337" t="s">
        <v>1637</v>
      </c>
      <c r="E337" t="s">
        <v>192</v>
      </c>
      <c r="F337" s="28">
        <v>1</v>
      </c>
      <c r="G337" t="s">
        <v>193</v>
      </c>
      <c r="H337" t="s">
        <v>194</v>
      </c>
      <c r="I337" t="s">
        <v>1587</v>
      </c>
      <c r="J337" t="s">
        <v>285</v>
      </c>
      <c r="K337">
        <v>18</v>
      </c>
      <c r="L337" t="s">
        <v>286</v>
      </c>
      <c r="M337" t="str">
        <f t="shared" si="5"/>
        <v>214109</v>
      </c>
    </row>
    <row r="338" spans="1:13" x14ac:dyDescent="0.25">
      <c r="A338" t="s">
        <v>1319</v>
      </c>
      <c r="B338" t="s">
        <v>1683</v>
      </c>
      <c r="C338" t="s">
        <v>1684</v>
      </c>
      <c r="D338" t="s">
        <v>1637</v>
      </c>
      <c r="E338" t="s">
        <v>192</v>
      </c>
      <c r="F338" s="28">
        <v>1</v>
      </c>
      <c r="G338" t="s">
        <v>193</v>
      </c>
      <c r="H338" t="s">
        <v>194</v>
      </c>
      <c r="I338" t="s">
        <v>1587</v>
      </c>
      <c r="J338" t="s">
        <v>301</v>
      </c>
      <c r="K338">
        <v>18</v>
      </c>
      <c r="L338" t="s">
        <v>1685</v>
      </c>
      <c r="M338" t="str">
        <f t="shared" si="5"/>
        <v>812108</v>
      </c>
    </row>
    <row r="339" spans="1:13" x14ac:dyDescent="0.25">
      <c r="A339" t="s">
        <v>1686</v>
      </c>
      <c r="B339" t="s">
        <v>1687</v>
      </c>
      <c r="C339" t="s">
        <v>17</v>
      </c>
      <c r="D339" t="s">
        <v>1637</v>
      </c>
      <c r="E339" t="s">
        <v>192</v>
      </c>
      <c r="F339" s="28">
        <v>1</v>
      </c>
      <c r="G339" t="s">
        <v>193</v>
      </c>
      <c r="H339" t="s">
        <v>194</v>
      </c>
      <c r="I339" t="s">
        <v>1587</v>
      </c>
      <c r="J339" t="s">
        <v>962</v>
      </c>
      <c r="K339">
        <v>18</v>
      </c>
      <c r="L339" t="s">
        <v>624</v>
      </c>
      <c r="M339" t="str">
        <f t="shared" si="5"/>
        <v>332203</v>
      </c>
    </row>
    <row r="340" spans="1:13" x14ac:dyDescent="0.25">
      <c r="A340" t="s">
        <v>1340</v>
      </c>
      <c r="B340" t="s">
        <v>537</v>
      </c>
      <c r="C340" t="s">
        <v>17</v>
      </c>
      <c r="D340" t="s">
        <v>1637</v>
      </c>
      <c r="E340" t="s">
        <v>192</v>
      </c>
      <c r="F340" s="28">
        <v>1</v>
      </c>
      <c r="G340" t="s">
        <v>193</v>
      </c>
      <c r="H340" t="s">
        <v>194</v>
      </c>
      <c r="I340" t="s">
        <v>1587</v>
      </c>
      <c r="J340" t="s">
        <v>276</v>
      </c>
      <c r="K340">
        <v>18</v>
      </c>
      <c r="L340" t="s">
        <v>624</v>
      </c>
      <c r="M340" t="str">
        <f t="shared" si="5"/>
        <v>332203</v>
      </c>
    </row>
    <row r="341" spans="1:13" x14ac:dyDescent="0.25">
      <c r="A341" t="s">
        <v>1340</v>
      </c>
      <c r="B341" t="s">
        <v>1688</v>
      </c>
      <c r="C341" t="s">
        <v>1497</v>
      </c>
      <c r="D341" t="s">
        <v>1637</v>
      </c>
      <c r="E341" t="s">
        <v>192</v>
      </c>
      <c r="F341" s="28">
        <v>1</v>
      </c>
      <c r="G341" t="s">
        <v>193</v>
      </c>
      <c r="H341" t="s">
        <v>194</v>
      </c>
      <c r="I341" t="s">
        <v>1374</v>
      </c>
      <c r="J341" t="s">
        <v>210</v>
      </c>
      <c r="K341">
        <v>18</v>
      </c>
      <c r="L341" t="s">
        <v>1498</v>
      </c>
      <c r="M341" t="str">
        <f t="shared" si="5"/>
        <v>134605</v>
      </c>
    </row>
    <row r="342" spans="1:13" x14ac:dyDescent="0.25">
      <c r="A342" t="s">
        <v>1340</v>
      </c>
      <c r="B342" t="s">
        <v>1689</v>
      </c>
      <c r="C342" t="s">
        <v>95</v>
      </c>
      <c r="D342" t="s">
        <v>1637</v>
      </c>
      <c r="E342" t="s">
        <v>192</v>
      </c>
      <c r="F342" s="28">
        <v>1</v>
      </c>
      <c r="G342" t="s">
        <v>193</v>
      </c>
      <c r="H342" t="s">
        <v>194</v>
      </c>
      <c r="I342" t="s">
        <v>1374</v>
      </c>
      <c r="J342" t="s">
        <v>196</v>
      </c>
      <c r="K342">
        <v>18</v>
      </c>
      <c r="L342" t="s">
        <v>1015</v>
      </c>
      <c r="M342" t="str">
        <f t="shared" si="5"/>
        <v>122102</v>
      </c>
    </row>
    <row r="343" spans="1:13" x14ac:dyDescent="0.25">
      <c r="A343" t="s">
        <v>1340</v>
      </c>
      <c r="B343" t="s">
        <v>885</v>
      </c>
      <c r="C343" t="s">
        <v>886</v>
      </c>
      <c r="D343" t="s">
        <v>1637</v>
      </c>
      <c r="E343" t="s">
        <v>192</v>
      </c>
      <c r="F343" s="28">
        <v>1</v>
      </c>
      <c r="G343" t="s">
        <v>193</v>
      </c>
      <c r="H343" t="s">
        <v>194</v>
      </c>
      <c r="I343" t="s">
        <v>1374</v>
      </c>
      <c r="J343" t="s">
        <v>210</v>
      </c>
      <c r="K343">
        <v>18</v>
      </c>
      <c r="L343" t="s">
        <v>887</v>
      </c>
      <c r="M343" t="str">
        <f t="shared" si="5"/>
        <v>834401</v>
      </c>
    </row>
    <row r="344" spans="1:13" x14ac:dyDescent="0.25">
      <c r="A344" t="s">
        <v>1340</v>
      </c>
      <c r="B344" t="s">
        <v>1690</v>
      </c>
      <c r="C344" t="s">
        <v>151</v>
      </c>
      <c r="D344" t="s">
        <v>1637</v>
      </c>
      <c r="E344" t="s">
        <v>192</v>
      </c>
      <c r="F344" s="28">
        <v>1</v>
      </c>
      <c r="G344" t="s">
        <v>193</v>
      </c>
      <c r="H344" t="s">
        <v>194</v>
      </c>
      <c r="I344" t="s">
        <v>1374</v>
      </c>
      <c r="J344" t="s">
        <v>210</v>
      </c>
      <c r="K344">
        <v>18</v>
      </c>
      <c r="L344" t="s">
        <v>1691</v>
      </c>
      <c r="M344" t="str">
        <f t="shared" si="5"/>
        <v>933401</v>
      </c>
    </row>
    <row r="345" spans="1:13" x14ac:dyDescent="0.25">
      <c r="A345" t="s">
        <v>1340</v>
      </c>
      <c r="B345" t="s">
        <v>83</v>
      </c>
      <c r="C345" t="s">
        <v>83</v>
      </c>
      <c r="D345" t="s">
        <v>1637</v>
      </c>
      <c r="E345" t="s">
        <v>192</v>
      </c>
      <c r="F345" s="28">
        <v>1</v>
      </c>
      <c r="G345" t="s">
        <v>193</v>
      </c>
      <c r="H345" t="s">
        <v>194</v>
      </c>
      <c r="I345" t="s">
        <v>1587</v>
      </c>
      <c r="J345" t="s">
        <v>210</v>
      </c>
      <c r="K345">
        <v>18</v>
      </c>
      <c r="L345" t="s">
        <v>791</v>
      </c>
      <c r="M345" t="str">
        <f t="shared" si="5"/>
        <v>721204</v>
      </c>
    </row>
    <row r="346" spans="1:13" x14ac:dyDescent="0.25">
      <c r="A346" t="s">
        <v>247</v>
      </c>
      <c r="B346" t="s">
        <v>248</v>
      </c>
      <c r="C346" t="s">
        <v>74</v>
      </c>
      <c r="D346" t="s">
        <v>1637</v>
      </c>
      <c r="E346" t="s">
        <v>192</v>
      </c>
      <c r="F346" s="28">
        <v>1</v>
      </c>
      <c r="G346" t="s">
        <v>193</v>
      </c>
      <c r="H346" t="s">
        <v>194</v>
      </c>
      <c r="I346" t="s">
        <v>1587</v>
      </c>
      <c r="J346" t="s">
        <v>309</v>
      </c>
      <c r="K346">
        <v>18</v>
      </c>
      <c r="L346" t="s">
        <v>246</v>
      </c>
      <c r="M346" t="str">
        <f t="shared" si="5"/>
        <v>142004</v>
      </c>
    </row>
    <row r="347" spans="1:13" x14ac:dyDescent="0.25">
      <c r="A347" t="s">
        <v>1692</v>
      </c>
      <c r="B347" t="s">
        <v>1693</v>
      </c>
      <c r="C347" t="s">
        <v>17</v>
      </c>
      <c r="D347" t="s">
        <v>1637</v>
      </c>
      <c r="E347" t="s">
        <v>192</v>
      </c>
      <c r="F347" s="28">
        <v>1</v>
      </c>
      <c r="G347" t="s">
        <v>193</v>
      </c>
      <c r="H347" t="s">
        <v>194</v>
      </c>
      <c r="I347" t="s">
        <v>1587</v>
      </c>
      <c r="J347" t="s">
        <v>399</v>
      </c>
      <c r="K347">
        <v>18</v>
      </c>
      <c r="L347" t="s">
        <v>624</v>
      </c>
      <c r="M347" t="str">
        <f t="shared" si="5"/>
        <v>332203</v>
      </c>
    </row>
    <row r="348" spans="1:13" x14ac:dyDescent="0.25">
      <c r="A348" t="s">
        <v>1694</v>
      </c>
      <c r="B348" t="s">
        <v>1396</v>
      </c>
      <c r="C348" t="s">
        <v>85</v>
      </c>
      <c r="D348" t="s">
        <v>1637</v>
      </c>
      <c r="E348" t="s">
        <v>192</v>
      </c>
      <c r="F348" s="28">
        <v>1</v>
      </c>
      <c r="G348" t="s">
        <v>193</v>
      </c>
      <c r="H348" t="s">
        <v>194</v>
      </c>
      <c r="I348" t="s">
        <v>1374</v>
      </c>
      <c r="J348" t="s">
        <v>210</v>
      </c>
      <c r="K348">
        <v>18</v>
      </c>
      <c r="L348" t="s">
        <v>477</v>
      </c>
      <c r="M348" t="str">
        <f t="shared" si="5"/>
        <v>243305</v>
      </c>
    </row>
    <row r="349" spans="1:13" x14ac:dyDescent="0.25">
      <c r="A349" t="s">
        <v>1695</v>
      </c>
      <c r="B349" t="s">
        <v>1696</v>
      </c>
      <c r="C349" t="s">
        <v>778</v>
      </c>
      <c r="D349" t="s">
        <v>1637</v>
      </c>
      <c r="E349" t="s">
        <v>192</v>
      </c>
      <c r="F349" s="28">
        <v>1</v>
      </c>
      <c r="G349" t="s">
        <v>193</v>
      </c>
      <c r="H349" t="s">
        <v>194</v>
      </c>
      <c r="I349" t="s">
        <v>1374</v>
      </c>
      <c r="J349" t="s">
        <v>267</v>
      </c>
      <c r="K349">
        <v>18</v>
      </c>
      <c r="L349" t="s">
        <v>779</v>
      </c>
      <c r="M349" t="str">
        <f t="shared" si="5"/>
        <v>524902</v>
      </c>
    </row>
    <row r="350" spans="1:13" x14ac:dyDescent="0.25">
      <c r="A350" t="s">
        <v>1697</v>
      </c>
      <c r="B350" t="s">
        <v>1698</v>
      </c>
      <c r="C350" t="s">
        <v>17</v>
      </c>
      <c r="D350" t="s">
        <v>1637</v>
      </c>
      <c r="E350" t="s">
        <v>192</v>
      </c>
      <c r="F350" s="28">
        <v>1</v>
      </c>
      <c r="G350" t="s">
        <v>193</v>
      </c>
      <c r="H350" t="s">
        <v>194</v>
      </c>
      <c r="I350" t="s">
        <v>1374</v>
      </c>
      <c r="J350" t="s">
        <v>276</v>
      </c>
      <c r="K350">
        <v>18</v>
      </c>
      <c r="L350" t="s">
        <v>624</v>
      </c>
      <c r="M350" t="str">
        <f t="shared" si="5"/>
        <v>332203</v>
      </c>
    </row>
    <row r="351" spans="1:13" x14ac:dyDescent="0.25">
      <c r="A351" t="s">
        <v>1699</v>
      </c>
      <c r="B351" t="s">
        <v>1700</v>
      </c>
      <c r="C351" t="s">
        <v>119</v>
      </c>
      <c r="D351" t="s">
        <v>1637</v>
      </c>
      <c r="E351" t="s">
        <v>192</v>
      </c>
      <c r="F351" s="28">
        <v>3</v>
      </c>
      <c r="G351" t="s">
        <v>193</v>
      </c>
      <c r="H351" t="s">
        <v>194</v>
      </c>
      <c r="I351" t="s">
        <v>1374</v>
      </c>
      <c r="J351" t="s">
        <v>223</v>
      </c>
      <c r="K351">
        <v>18</v>
      </c>
      <c r="L351" t="s">
        <v>666</v>
      </c>
      <c r="M351" t="str">
        <f t="shared" si="5"/>
        <v>333105</v>
      </c>
    </row>
    <row r="352" spans="1:13" x14ac:dyDescent="0.25">
      <c r="A352" t="s">
        <v>1568</v>
      </c>
      <c r="B352" t="s">
        <v>1701</v>
      </c>
      <c r="C352" t="s">
        <v>1702</v>
      </c>
      <c r="D352" t="s">
        <v>1637</v>
      </c>
      <c r="E352" t="s">
        <v>192</v>
      </c>
      <c r="F352" s="28">
        <v>1</v>
      </c>
      <c r="G352" t="s">
        <v>193</v>
      </c>
      <c r="H352" t="s">
        <v>194</v>
      </c>
      <c r="I352" t="s">
        <v>1374</v>
      </c>
      <c r="J352" t="s">
        <v>276</v>
      </c>
      <c r="K352">
        <v>18</v>
      </c>
      <c r="L352" t="s">
        <v>1703</v>
      </c>
      <c r="M352" t="str">
        <f t="shared" si="5"/>
        <v>242303</v>
      </c>
    </row>
    <row r="353" spans="1:13" x14ac:dyDescent="0.25">
      <c r="A353" t="s">
        <v>1574</v>
      </c>
      <c r="B353" t="s">
        <v>1704</v>
      </c>
      <c r="C353" t="s">
        <v>110</v>
      </c>
      <c r="D353" t="s">
        <v>1637</v>
      </c>
      <c r="E353" t="s">
        <v>233</v>
      </c>
      <c r="F353" s="28">
        <v>1</v>
      </c>
      <c r="G353" t="s">
        <v>193</v>
      </c>
      <c r="H353" t="s">
        <v>194</v>
      </c>
      <c r="I353" t="s">
        <v>1374</v>
      </c>
      <c r="J353" t="s">
        <v>1705</v>
      </c>
      <c r="K353">
        <v>18</v>
      </c>
      <c r="L353" t="s">
        <v>621</v>
      </c>
      <c r="M353" t="str">
        <f t="shared" si="5"/>
        <v>332201</v>
      </c>
    </row>
    <row r="354" spans="1:13" x14ac:dyDescent="0.25">
      <c r="A354" t="s">
        <v>1175</v>
      </c>
      <c r="B354" t="s">
        <v>1706</v>
      </c>
      <c r="C354" t="s">
        <v>65</v>
      </c>
      <c r="D354" t="s">
        <v>1637</v>
      </c>
      <c r="E354" t="s">
        <v>192</v>
      </c>
      <c r="F354" s="28">
        <v>1</v>
      </c>
      <c r="G354" t="s">
        <v>193</v>
      </c>
      <c r="H354" t="s">
        <v>194</v>
      </c>
      <c r="I354" t="s">
        <v>1374</v>
      </c>
      <c r="J354" t="s">
        <v>210</v>
      </c>
      <c r="K354">
        <v>18</v>
      </c>
      <c r="L354" t="s">
        <v>1179</v>
      </c>
      <c r="M354" t="str">
        <f t="shared" si="5"/>
        <v>422701</v>
      </c>
    </row>
    <row r="355" spans="1:13" x14ac:dyDescent="0.25">
      <c r="A355" t="s">
        <v>1707</v>
      </c>
      <c r="B355" t="s">
        <v>1708</v>
      </c>
      <c r="C355" t="s">
        <v>740</v>
      </c>
      <c r="D355" t="s">
        <v>1637</v>
      </c>
      <c r="E355" t="s">
        <v>192</v>
      </c>
      <c r="F355" s="28">
        <v>1</v>
      </c>
      <c r="G355" t="s">
        <v>193</v>
      </c>
      <c r="H355" t="s">
        <v>194</v>
      </c>
      <c r="I355" t="s">
        <v>1374</v>
      </c>
      <c r="J355" t="s">
        <v>276</v>
      </c>
      <c r="K355">
        <v>18</v>
      </c>
      <c r="L355" t="s">
        <v>741</v>
      </c>
      <c r="M355" t="str">
        <f t="shared" si="5"/>
        <v>522301</v>
      </c>
    </row>
    <row r="356" spans="1:13" x14ac:dyDescent="0.25">
      <c r="A356" t="s">
        <v>1577</v>
      </c>
      <c r="B356" t="s">
        <v>1709</v>
      </c>
      <c r="C356" t="s">
        <v>1710</v>
      </c>
      <c r="D356" t="s">
        <v>1637</v>
      </c>
      <c r="E356" t="s">
        <v>192</v>
      </c>
      <c r="F356" s="28">
        <v>1</v>
      </c>
      <c r="G356" t="s">
        <v>193</v>
      </c>
      <c r="H356" t="s">
        <v>194</v>
      </c>
      <c r="I356" t="s">
        <v>1374</v>
      </c>
      <c r="J356" t="s">
        <v>747</v>
      </c>
      <c r="K356">
        <v>18</v>
      </c>
      <c r="L356" t="s">
        <v>1711</v>
      </c>
      <c r="M356" t="str">
        <f t="shared" si="5"/>
        <v>143903</v>
      </c>
    </row>
    <row r="357" spans="1:13" x14ac:dyDescent="0.25">
      <c r="A357" t="s">
        <v>1712</v>
      </c>
      <c r="B357" t="s">
        <v>1713</v>
      </c>
      <c r="C357" t="s">
        <v>17</v>
      </c>
      <c r="D357" t="s">
        <v>1637</v>
      </c>
      <c r="E357" t="s">
        <v>192</v>
      </c>
      <c r="F357" s="28">
        <v>1</v>
      </c>
      <c r="G357" t="s">
        <v>193</v>
      </c>
      <c r="H357" t="s">
        <v>194</v>
      </c>
      <c r="I357" t="s">
        <v>1587</v>
      </c>
      <c r="J357" t="s">
        <v>399</v>
      </c>
      <c r="K357">
        <v>18</v>
      </c>
      <c r="L357" t="s">
        <v>624</v>
      </c>
      <c r="M357" t="str">
        <f t="shared" si="5"/>
        <v>332203</v>
      </c>
    </row>
    <row r="358" spans="1:13" x14ac:dyDescent="0.25">
      <c r="A358" t="s">
        <v>1714</v>
      </c>
      <c r="B358" t="s">
        <v>1715</v>
      </c>
      <c r="C358" t="s">
        <v>1148</v>
      </c>
      <c r="D358" t="s">
        <v>1637</v>
      </c>
      <c r="E358" t="s">
        <v>192</v>
      </c>
      <c r="F358" s="28">
        <v>1</v>
      </c>
      <c r="G358" t="s">
        <v>193</v>
      </c>
      <c r="H358" t="s">
        <v>194</v>
      </c>
      <c r="I358" t="s">
        <v>1587</v>
      </c>
      <c r="J358" t="s">
        <v>253</v>
      </c>
      <c r="K358">
        <v>18</v>
      </c>
      <c r="L358" t="s">
        <v>1150</v>
      </c>
      <c r="M358" t="str">
        <f t="shared" si="5"/>
        <v>244001</v>
      </c>
    </row>
    <row r="359" spans="1:13" x14ac:dyDescent="0.25">
      <c r="A359" t="s">
        <v>1716</v>
      </c>
      <c r="B359" t="s">
        <v>537</v>
      </c>
      <c r="C359" t="s">
        <v>778</v>
      </c>
      <c r="D359" t="s">
        <v>1637</v>
      </c>
      <c r="E359" t="s">
        <v>192</v>
      </c>
      <c r="F359" s="28">
        <v>1</v>
      </c>
      <c r="G359" t="s">
        <v>193</v>
      </c>
      <c r="H359" t="s">
        <v>194</v>
      </c>
      <c r="I359" t="s">
        <v>1587</v>
      </c>
      <c r="J359" t="s">
        <v>385</v>
      </c>
      <c r="K359">
        <v>18</v>
      </c>
      <c r="L359" t="s">
        <v>779</v>
      </c>
      <c r="M359" t="str">
        <f t="shared" si="5"/>
        <v>524902</v>
      </c>
    </row>
    <row r="360" spans="1:13" x14ac:dyDescent="0.25">
      <c r="A360" t="s">
        <v>1717</v>
      </c>
      <c r="B360" t="s">
        <v>1718</v>
      </c>
      <c r="C360" t="s">
        <v>778</v>
      </c>
      <c r="D360" t="s">
        <v>1719</v>
      </c>
      <c r="E360" t="s">
        <v>217</v>
      </c>
      <c r="F360" s="28">
        <v>1</v>
      </c>
      <c r="G360" t="s">
        <v>193</v>
      </c>
      <c r="H360" t="s">
        <v>194</v>
      </c>
      <c r="I360" t="s">
        <v>1374</v>
      </c>
      <c r="J360" t="s">
        <v>210</v>
      </c>
      <c r="K360">
        <v>18</v>
      </c>
      <c r="L360" t="s">
        <v>779</v>
      </c>
      <c r="M360" t="str">
        <f t="shared" si="5"/>
        <v>524902</v>
      </c>
    </row>
    <row r="361" spans="1:13" x14ac:dyDescent="0.25">
      <c r="A361" t="s">
        <v>1720</v>
      </c>
      <c r="B361" t="s">
        <v>8</v>
      </c>
      <c r="C361" t="s">
        <v>740</v>
      </c>
      <c r="D361" t="s">
        <v>1719</v>
      </c>
      <c r="E361" t="s">
        <v>192</v>
      </c>
      <c r="F361" s="28">
        <v>1</v>
      </c>
      <c r="G361" t="s">
        <v>193</v>
      </c>
      <c r="H361" t="s">
        <v>194</v>
      </c>
      <c r="I361" t="s">
        <v>1374</v>
      </c>
      <c r="J361" t="s">
        <v>253</v>
      </c>
      <c r="K361">
        <v>18</v>
      </c>
      <c r="L361" t="s">
        <v>741</v>
      </c>
      <c r="M361" t="str">
        <f t="shared" si="5"/>
        <v>522301</v>
      </c>
    </row>
    <row r="362" spans="1:13" x14ac:dyDescent="0.25">
      <c r="A362" t="s">
        <v>615</v>
      </c>
      <c r="B362" t="s">
        <v>537</v>
      </c>
      <c r="C362" t="s">
        <v>778</v>
      </c>
      <c r="D362" t="s">
        <v>1719</v>
      </c>
      <c r="E362" t="s">
        <v>233</v>
      </c>
      <c r="F362" s="28">
        <v>1</v>
      </c>
      <c r="G362" t="s">
        <v>193</v>
      </c>
      <c r="H362" t="s">
        <v>194</v>
      </c>
      <c r="I362" t="s">
        <v>1374</v>
      </c>
      <c r="J362" t="s">
        <v>323</v>
      </c>
      <c r="K362">
        <v>18</v>
      </c>
      <c r="L362" t="s">
        <v>779</v>
      </c>
      <c r="M362" t="str">
        <f t="shared" si="5"/>
        <v>524902</v>
      </c>
    </row>
    <row r="363" spans="1:13" x14ac:dyDescent="0.25">
      <c r="A363" t="s">
        <v>1721</v>
      </c>
      <c r="B363" t="s">
        <v>537</v>
      </c>
      <c r="C363" t="s">
        <v>778</v>
      </c>
      <c r="D363" t="s">
        <v>1719</v>
      </c>
      <c r="E363" t="s">
        <v>192</v>
      </c>
      <c r="F363" s="28">
        <v>6</v>
      </c>
      <c r="G363" t="s">
        <v>193</v>
      </c>
      <c r="H363" t="s">
        <v>194</v>
      </c>
      <c r="I363" t="s">
        <v>1374</v>
      </c>
      <c r="J363" t="s">
        <v>276</v>
      </c>
      <c r="K363">
        <v>18</v>
      </c>
      <c r="L363" t="s">
        <v>779</v>
      </c>
      <c r="M363" t="str">
        <f t="shared" si="5"/>
        <v>524902</v>
      </c>
    </row>
    <row r="364" spans="1:13" x14ac:dyDescent="0.25">
      <c r="A364" t="s">
        <v>263</v>
      </c>
      <c r="B364" t="s">
        <v>245</v>
      </c>
      <c r="C364" t="s">
        <v>74</v>
      </c>
      <c r="D364" t="s">
        <v>1719</v>
      </c>
      <c r="E364" t="s">
        <v>217</v>
      </c>
      <c r="F364" s="28">
        <v>1</v>
      </c>
      <c r="G364" t="s">
        <v>193</v>
      </c>
      <c r="H364" t="s">
        <v>194</v>
      </c>
      <c r="I364" t="s">
        <v>1374</v>
      </c>
      <c r="J364" t="s">
        <v>962</v>
      </c>
      <c r="K364">
        <v>18</v>
      </c>
      <c r="L364" t="s">
        <v>246</v>
      </c>
      <c r="M364" t="str">
        <f t="shared" si="5"/>
        <v>142004</v>
      </c>
    </row>
    <row r="365" spans="1:13" x14ac:dyDescent="0.25">
      <c r="A365" t="s">
        <v>1722</v>
      </c>
      <c r="B365" t="s">
        <v>1488</v>
      </c>
      <c r="C365" t="s">
        <v>12</v>
      </c>
      <c r="D365" t="s">
        <v>1719</v>
      </c>
      <c r="E365" t="s">
        <v>233</v>
      </c>
      <c r="F365" s="28">
        <v>1</v>
      </c>
      <c r="G365" t="s">
        <v>193</v>
      </c>
      <c r="H365" t="s">
        <v>194</v>
      </c>
      <c r="I365" t="s">
        <v>1374</v>
      </c>
      <c r="J365" t="s">
        <v>210</v>
      </c>
      <c r="K365">
        <v>18</v>
      </c>
      <c r="L365" t="s">
        <v>220</v>
      </c>
      <c r="M365" t="str">
        <f t="shared" si="5"/>
        <v>132301</v>
      </c>
    </row>
    <row r="366" spans="1:13" x14ac:dyDescent="0.25">
      <c r="A366" t="s">
        <v>1723</v>
      </c>
      <c r="B366" t="s">
        <v>1724</v>
      </c>
      <c r="C366" t="s">
        <v>95</v>
      </c>
      <c r="D366" t="s">
        <v>1719</v>
      </c>
      <c r="E366" t="s">
        <v>192</v>
      </c>
      <c r="F366" s="28">
        <v>1</v>
      </c>
      <c r="G366" t="s">
        <v>193</v>
      </c>
      <c r="H366" t="s">
        <v>194</v>
      </c>
      <c r="I366" t="s">
        <v>1374</v>
      </c>
      <c r="J366" t="s">
        <v>210</v>
      </c>
      <c r="K366">
        <v>18</v>
      </c>
      <c r="L366" t="s">
        <v>1015</v>
      </c>
      <c r="M366" t="str">
        <f t="shared" si="5"/>
        <v>122102</v>
      </c>
    </row>
    <row r="367" spans="1:13" x14ac:dyDescent="0.25">
      <c r="F367" s="28">
        <f>SUBTOTAL(9,F2:F366)</f>
        <v>386</v>
      </c>
    </row>
    <row r="368" spans="1:13" x14ac:dyDescent="0.25">
      <c r="G368" s="31" t="s">
        <v>1071</v>
      </c>
      <c r="H368" s="73">
        <f>COUNTIF(G2:G366,"niezaznaczone")</f>
        <v>14</v>
      </c>
    </row>
    <row r="369" spans="7:8" ht="15.75" thickBot="1" x14ac:dyDescent="0.3">
      <c r="G369" s="31" t="s">
        <v>1070</v>
      </c>
      <c r="H369" s="73">
        <f>COUNTIF(G2:G366,"zaznaczone")</f>
        <v>351</v>
      </c>
    </row>
    <row r="370" spans="7:8" ht="15.75" thickBot="1" x14ac:dyDescent="0.3">
      <c r="G370" s="33" t="s">
        <v>1072</v>
      </c>
      <c r="H370" s="73">
        <f>SUM(H368:H369)</f>
        <v>365</v>
      </c>
    </row>
    <row r="372" spans="7:8" x14ac:dyDescent="0.25">
      <c r="G372" s="35" t="s">
        <v>1073</v>
      </c>
      <c r="H372" s="30">
        <f>SUM(F2:F366)</f>
        <v>386</v>
      </c>
    </row>
  </sheetData>
  <autoFilter ref="A1:M37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EXACT(E5,P15)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COUNTIF(IIp.17!E2:E700,"praca")</f>
        <v>63</v>
      </c>
      <c r="J3" s="12" t="s">
        <v>3515</v>
      </c>
      <c r="N3" s="12">
        <v>1</v>
      </c>
      <c r="O3" s="11" t="s">
        <v>170</v>
      </c>
      <c r="P3" s="12">
        <f>SUM(D47)</f>
        <v>63</v>
      </c>
    </row>
    <row r="4" spans="2:24" x14ac:dyDescent="0.25">
      <c r="B4" s="12" t="s">
        <v>3516</v>
      </c>
      <c r="C4" s="17" t="s">
        <v>3459</v>
      </c>
      <c r="D4" s="26">
        <v>466</v>
      </c>
      <c r="E4" s="26">
        <v>477</v>
      </c>
      <c r="F4" s="12"/>
      <c r="H4" s="11" t="s">
        <v>192</v>
      </c>
      <c r="I4" s="12">
        <f>COUNTIF(IIp.17!E2:E700,"pracuj.pl")</f>
        <v>189</v>
      </c>
      <c r="J4" s="12" t="s">
        <v>3516</v>
      </c>
      <c r="N4" s="12">
        <v>2</v>
      </c>
      <c r="O4" s="11" t="s">
        <v>2</v>
      </c>
      <c r="P4" s="12">
        <f>SUM(G33)</f>
        <v>31</v>
      </c>
    </row>
    <row r="5" spans="2:24" x14ac:dyDescent="0.25">
      <c r="B5" s="107" t="s">
        <v>3517</v>
      </c>
      <c r="C5" s="106" t="s">
        <v>3458</v>
      </c>
      <c r="D5" s="105">
        <v>365</v>
      </c>
      <c r="E5" s="105">
        <v>386</v>
      </c>
      <c r="F5" s="107" t="s">
        <v>13061</v>
      </c>
      <c r="H5" s="11" t="s">
        <v>217</v>
      </c>
      <c r="I5" s="12">
        <f>COUNTIF(IIp.17!E2:E700,"agora")</f>
        <v>39</v>
      </c>
      <c r="J5" s="12" t="s">
        <v>3517</v>
      </c>
      <c r="N5" s="12">
        <v>3</v>
      </c>
      <c r="O5" s="11" t="s">
        <v>3</v>
      </c>
      <c r="P5" s="12">
        <f>SUM(J31)</f>
        <v>6</v>
      </c>
    </row>
    <row r="6" spans="2:24" x14ac:dyDescent="0.25">
      <c r="B6" s="12" t="s">
        <v>3518</v>
      </c>
      <c r="C6" s="17" t="s">
        <v>3457</v>
      </c>
      <c r="D6" s="26">
        <v>461</v>
      </c>
      <c r="E6" s="26">
        <v>444</v>
      </c>
      <c r="F6" s="12"/>
      <c r="H6" s="11" t="s">
        <v>3464</v>
      </c>
      <c r="I6" s="12">
        <f>COUNTIF(IIp.17!E2:E700,"gratka")</f>
        <v>74</v>
      </c>
      <c r="J6" s="12" t="s">
        <v>3518</v>
      </c>
      <c r="N6" s="12">
        <v>4</v>
      </c>
      <c r="O6" s="11" t="s">
        <v>3589</v>
      </c>
      <c r="P6" s="12">
        <f>SUM(M24)</f>
        <v>86</v>
      </c>
    </row>
    <row r="7" spans="2:24" x14ac:dyDescent="0.25">
      <c r="B7" s="12" t="s">
        <v>13071</v>
      </c>
      <c r="C7" s="17" t="s">
        <v>173</v>
      </c>
      <c r="D7" s="26">
        <v>720</v>
      </c>
      <c r="E7" s="26">
        <v>704</v>
      </c>
      <c r="F7" s="12"/>
      <c r="H7" s="184"/>
      <c r="I7" s="183">
        <f>SUM(I3:I6)</f>
        <v>365</v>
      </c>
      <c r="J7" s="184"/>
      <c r="N7" s="12">
        <v>5</v>
      </c>
      <c r="O7" s="11" t="s">
        <v>13096</v>
      </c>
      <c r="P7" s="12">
        <f>SUM(P23)</f>
        <v>162</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100</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254</v>
      </c>
      <c r="N10" s="12">
        <v>8</v>
      </c>
      <c r="O10" s="11" t="s">
        <v>4</v>
      </c>
      <c r="P10" s="12">
        <f>SUM(S21)</f>
        <v>6</v>
      </c>
    </row>
    <row r="11" spans="2:24" x14ac:dyDescent="0.25">
      <c r="B11" s="12">
        <v>3</v>
      </c>
      <c r="C11" s="17" t="s">
        <v>3481</v>
      </c>
      <c r="D11" s="12">
        <v>180</v>
      </c>
      <c r="E11" s="12">
        <v>231</v>
      </c>
      <c r="F11" s="12"/>
      <c r="H11" s="11" t="s">
        <v>3471</v>
      </c>
      <c r="I11" s="11" t="s">
        <v>3567</v>
      </c>
      <c r="J11" s="12">
        <f>SUM(V21,V27)</f>
        <v>19</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4</v>
      </c>
    </row>
    <row r="13" spans="2:24" x14ac:dyDescent="0.25">
      <c r="B13" s="12" t="s">
        <v>13073</v>
      </c>
      <c r="C13" s="17" t="s">
        <v>3487</v>
      </c>
      <c r="D13" s="26">
        <f>SUM(D11:D12)</f>
        <v>541</v>
      </c>
      <c r="E13" s="26">
        <f>SUM(E11:E12)</f>
        <v>609</v>
      </c>
      <c r="F13" s="12"/>
      <c r="H13" s="11" t="s">
        <v>3473</v>
      </c>
      <c r="I13" s="11" t="s">
        <v>3574</v>
      </c>
      <c r="J13" s="12">
        <f>SUM(Y30)</f>
        <v>8</v>
      </c>
      <c r="N13" s="12">
        <v>11</v>
      </c>
      <c r="O13" s="11" t="s">
        <v>6</v>
      </c>
      <c r="P13" s="12">
        <f>SUM(Y20)</f>
        <v>5</v>
      </c>
    </row>
    <row r="14" spans="2:24" x14ac:dyDescent="0.25">
      <c r="B14" s="90"/>
      <c r="C14" s="140"/>
      <c r="D14" s="141"/>
      <c r="E14" s="141"/>
      <c r="F14" s="142"/>
      <c r="H14" s="184"/>
      <c r="I14" s="184"/>
      <c r="J14" s="183">
        <f>SUM(J9:J13)</f>
        <v>386</v>
      </c>
      <c r="N14" s="12">
        <v>12</v>
      </c>
      <c r="O14" s="17" t="s">
        <v>3574</v>
      </c>
      <c r="P14" s="12">
        <f>SUM(Y30)</f>
        <v>8</v>
      </c>
    </row>
    <row r="15" spans="2:24" x14ac:dyDescent="0.25">
      <c r="B15" s="18"/>
      <c r="C15" s="89"/>
      <c r="D15" s="135"/>
      <c r="E15" s="135"/>
      <c r="F15" s="20"/>
      <c r="P15" s="2">
        <f>SUM(P3:P14)</f>
        <v>386</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SUMIF(IIp.17!M2:M500,"2141*",IIp.17!F2:F500)</f>
        <v>5</v>
      </c>
      <c r="E18" s="108">
        <v>2113</v>
      </c>
      <c r="F18" s="11" t="s">
        <v>3491</v>
      </c>
      <c r="G18" s="16">
        <f>SUMIF(IIp.17!M2:M467,"2113*",IIp.17!F2:F467)</f>
        <v>0</v>
      </c>
      <c r="H18" s="122">
        <v>2142</v>
      </c>
      <c r="I18" s="11" t="s">
        <v>3494</v>
      </c>
      <c r="J18" s="16">
        <f>SUMIF(IIp.17!M2:M500,"2142*",IIp.17!F2:F500)</f>
        <v>1</v>
      </c>
      <c r="K18" s="123">
        <v>315</v>
      </c>
      <c r="L18" s="11" t="s">
        <v>3532</v>
      </c>
      <c r="M18" s="112">
        <f>SUMIF(IIp.17!M2:M500,"315*",IIp.17!F2:F500)</f>
        <v>2</v>
      </c>
      <c r="N18" s="108">
        <v>2166</v>
      </c>
      <c r="O18" s="11" t="s">
        <v>3510</v>
      </c>
      <c r="P18" s="95">
        <f>SUMIF(IIp.17!M2:M500,"2166*",IIp.17!F2:F500)</f>
        <v>1</v>
      </c>
      <c r="Q18" s="118">
        <v>22</v>
      </c>
      <c r="R18" s="11" t="s">
        <v>3511</v>
      </c>
      <c r="S18" s="96">
        <f>SUMIF(IIp.17!M2:M500,"22*",IIp.17!F2:F500)</f>
        <v>2</v>
      </c>
      <c r="T18" s="118">
        <v>23</v>
      </c>
      <c r="U18" s="11" t="s">
        <v>3512</v>
      </c>
      <c r="V18" s="91">
        <f>SUMIF(IIp.17!M2:M500,"23*",IIp.17!F2:F500)</f>
        <v>4</v>
      </c>
      <c r="W18" s="131">
        <v>7549</v>
      </c>
      <c r="X18" s="11" t="s">
        <v>3561</v>
      </c>
      <c r="Y18" s="97">
        <f>SUMIF(IIp.17!M2:M500,"7549*",IIp.17!F2:F500)</f>
        <v>0</v>
      </c>
    </row>
    <row r="19" spans="2:25" x14ac:dyDescent="0.25">
      <c r="B19" s="108">
        <v>2132</v>
      </c>
      <c r="C19" s="11" t="s">
        <v>3493</v>
      </c>
      <c r="D19" s="16">
        <f>SUMIF(IIp.17!M2:M500,"2132*",IIp.17!F2:F500)</f>
        <v>0</v>
      </c>
      <c r="E19" s="108">
        <v>2145</v>
      </c>
      <c r="F19" s="11" t="s">
        <v>3496</v>
      </c>
      <c r="G19" s="16">
        <f>SUMIF(IIp.17!M2:M467,"2145*",IIp.17!F2:F467)</f>
        <v>1</v>
      </c>
      <c r="H19" s="122">
        <v>2143</v>
      </c>
      <c r="I19" s="11" t="s">
        <v>93</v>
      </c>
      <c r="J19" s="16">
        <f>SUMIF(IIp.17!M2:M500,"2143*",IIp.17!F2:F500)</f>
        <v>1</v>
      </c>
      <c r="K19" s="117">
        <v>42</v>
      </c>
      <c r="L19" s="11" t="s">
        <v>3537</v>
      </c>
      <c r="M19" s="112">
        <f>SUMIF(IIp.17!M2:M500,"42*",IIp.17!F2:F500)</f>
        <v>3</v>
      </c>
      <c r="N19" s="118">
        <v>24</v>
      </c>
      <c r="O19" s="11" t="s">
        <v>3571</v>
      </c>
      <c r="P19" s="95">
        <f>SUMIF(IIp.17!M2:M500,"24*",IIp.17!F2:F500)</f>
        <v>62</v>
      </c>
      <c r="Q19" s="125">
        <v>32</v>
      </c>
      <c r="R19" s="11" t="s">
        <v>3533</v>
      </c>
      <c r="S19" s="96">
        <f>SUMIF(IIp.17!M2:M500,"32*",IIp.17!F2:F500)</f>
        <v>3</v>
      </c>
      <c r="T19" s="118">
        <v>26</v>
      </c>
      <c r="U19" s="11" t="s">
        <v>3572</v>
      </c>
      <c r="V19" s="91">
        <f>SUMIF(IIp.17!M2:M500,"26*",IIp.17!F2:F500)</f>
        <v>9</v>
      </c>
      <c r="W19" s="119">
        <v>9</v>
      </c>
      <c r="X19" s="11" t="s">
        <v>3565</v>
      </c>
      <c r="Y19" s="97">
        <f>SUMIF(IIp.17!M2:M500,"9*",IIp.17!F2:F500)</f>
        <v>5</v>
      </c>
    </row>
    <row r="20" spans="2:25" x14ac:dyDescent="0.25">
      <c r="B20" s="108">
        <v>2146</v>
      </c>
      <c r="C20" s="11" t="s">
        <v>3497</v>
      </c>
      <c r="D20" s="16">
        <f>SUMIF(IIp.17!M2:M500,"2146*",IIp.17!F2:F500)</f>
        <v>0</v>
      </c>
      <c r="E20" s="108">
        <v>2131</v>
      </c>
      <c r="F20" s="11" t="s">
        <v>3492</v>
      </c>
      <c r="G20" s="16">
        <f>SUMIF(IIp.17!M2:M467,"2131*",IIp.17!F2:F467)</f>
        <v>0</v>
      </c>
      <c r="H20" s="122">
        <v>2161</v>
      </c>
      <c r="I20" s="11" t="s">
        <v>3507</v>
      </c>
      <c r="J20" s="16">
        <f>SUMIF(IIp.17!M2:M500,"2161*",IIp.17!F2:F500)</f>
        <v>0</v>
      </c>
      <c r="K20" s="117">
        <v>43</v>
      </c>
      <c r="L20" s="11" t="s">
        <v>3538</v>
      </c>
      <c r="M20" s="112">
        <f>SUMIF(IIp.17!M2:M500,"43*",IIp.17!F2:F500)</f>
        <v>7</v>
      </c>
      <c r="N20" s="125">
        <v>33</v>
      </c>
      <c r="O20" s="11" t="s">
        <v>3534</v>
      </c>
      <c r="P20" s="95">
        <f>SUMIF(IIp.17!M2:M500,"33*",IIp.17!F2:F500)</f>
        <v>87</v>
      </c>
      <c r="Q20" s="127">
        <v>53</v>
      </c>
      <c r="R20" s="11" t="s">
        <v>3542</v>
      </c>
      <c r="S20" s="96">
        <f>SUMIF(IIp.17!M2:M500,"53*",IIp.17!F2:F500)</f>
        <v>1</v>
      </c>
      <c r="T20" s="125">
        <v>34</v>
      </c>
      <c r="U20" s="11" t="s">
        <v>3535</v>
      </c>
      <c r="V20" s="91">
        <f>SUMIF(IIp.17!M2:M500,"34*",IIp.17!F2:F500)</f>
        <v>2</v>
      </c>
      <c r="W20" s="37"/>
      <c r="Y20" s="2">
        <f>SUM(Y18:Y19)</f>
        <v>5</v>
      </c>
    </row>
    <row r="21" spans="2:25" x14ac:dyDescent="0.25">
      <c r="B21" s="121">
        <v>3113</v>
      </c>
      <c r="C21" s="11" t="s">
        <v>3520</v>
      </c>
      <c r="D21" s="16">
        <f>SUMIF(IIp.17!M2:M500,"3113*",IIp.17!F2:F500)</f>
        <v>1</v>
      </c>
      <c r="E21" s="108">
        <v>2144</v>
      </c>
      <c r="F21" s="11" t="s">
        <v>3495</v>
      </c>
      <c r="G21" s="16">
        <f>SUMIF(IIp.17!M2:M467,"2144*",IIp.17!F2:F467)</f>
        <v>1</v>
      </c>
      <c r="H21" s="122">
        <v>2162</v>
      </c>
      <c r="I21" s="11" t="s">
        <v>3508</v>
      </c>
      <c r="J21" s="16">
        <f>SUMIF(IIp.17!M2:M500,"2162*",IIp.17!F2:F500)</f>
        <v>0</v>
      </c>
      <c r="K21" s="128">
        <v>52</v>
      </c>
      <c r="L21" s="11" t="s">
        <v>3541</v>
      </c>
      <c r="M21" s="112">
        <f>SUMIF(IIp.17!M2:M500,"52*",IIp.17!F2:F500)</f>
        <v>49</v>
      </c>
      <c r="N21" s="127">
        <v>51</v>
      </c>
      <c r="O21" s="11" t="s">
        <v>3540</v>
      </c>
      <c r="P21" s="95">
        <f>SUMIF(IIp.17!M2:M500,"51*",IIp.17!F2:F500)</f>
        <v>1</v>
      </c>
      <c r="Q21" s="37"/>
      <c r="S21" s="2">
        <f>SUM(S18:S20)</f>
        <v>6</v>
      </c>
      <c r="V21" s="2">
        <f>SUM(V18:V20)</f>
        <v>15</v>
      </c>
      <c r="W21" s="37"/>
    </row>
    <row r="22" spans="2:25" x14ac:dyDescent="0.25">
      <c r="B22" s="121">
        <v>3114</v>
      </c>
      <c r="C22" s="11" t="s">
        <v>3521</v>
      </c>
      <c r="D22" s="16">
        <f>SUMIF(IIp.17!M2:M500,"3114*",IIp.17!F2:F500)</f>
        <v>1</v>
      </c>
      <c r="E22" s="108">
        <v>2149</v>
      </c>
      <c r="F22" s="11" t="s">
        <v>3498</v>
      </c>
      <c r="G22" s="16">
        <f>SUMIF(IIp.17!M2:M467,"2149*",IIp.17!F2:F467)</f>
        <v>6</v>
      </c>
      <c r="H22" s="108">
        <v>2164</v>
      </c>
      <c r="I22" s="11" t="s">
        <v>3585</v>
      </c>
      <c r="J22" s="16">
        <f>SUMIF(IIp.17!M2:M500,"2164*",IIp.17!F2:F500)</f>
        <v>0</v>
      </c>
      <c r="K22" s="133">
        <v>83</v>
      </c>
      <c r="L22" s="11" t="s">
        <v>3564</v>
      </c>
      <c r="M22" s="112">
        <f>SUMIF(IIp.17!M2:M500,"83*",IIp.17!F2:F500)</f>
        <v>7</v>
      </c>
      <c r="N22" s="120">
        <v>14</v>
      </c>
      <c r="O22" s="11" t="s">
        <v>3578</v>
      </c>
      <c r="P22" s="95">
        <f>SUMIF(IIp.17!M2:M500,"14*",IIp.17!F2:F500)</f>
        <v>11</v>
      </c>
      <c r="Q22" s="37"/>
      <c r="T22" s="1" t="s">
        <v>0</v>
      </c>
      <c r="U22" s="94"/>
      <c r="V22" s="20"/>
      <c r="W22" s="37" t="s">
        <v>3574</v>
      </c>
    </row>
    <row r="23" spans="2:25" x14ac:dyDescent="0.25">
      <c r="B23" s="121">
        <v>3115</v>
      </c>
      <c r="C23" s="11" t="s">
        <v>3522</v>
      </c>
      <c r="D23" s="16">
        <f>SUMIF(IIp.17!M2:M500,"3115*",IIp.17!F2:F500)</f>
        <v>2</v>
      </c>
      <c r="E23" s="109">
        <v>2149</v>
      </c>
      <c r="F23" s="11" t="s">
        <v>3499</v>
      </c>
      <c r="G23" s="104" t="s">
        <v>3573</v>
      </c>
      <c r="H23" s="122">
        <v>2165</v>
      </c>
      <c r="I23" s="11" t="s">
        <v>3509</v>
      </c>
      <c r="J23" s="16">
        <f>SUMIF(IIp.17!M2:M500,"2165*",IIp.17!F2:F500)</f>
        <v>0</v>
      </c>
      <c r="K23" s="120">
        <v>12</v>
      </c>
      <c r="L23" s="11" t="s">
        <v>3576</v>
      </c>
      <c r="M23" s="112">
        <f>SUMIF(IIp.17!M2:M500,"12*",IIp.17!F2:F500)</f>
        <v>18</v>
      </c>
      <c r="P23" s="18">
        <f>SUM(P18:P22)</f>
        <v>162</v>
      </c>
      <c r="Q23" s="37"/>
      <c r="T23" s="98"/>
      <c r="U23" s="99"/>
      <c r="V23" s="92"/>
      <c r="W23" s="110"/>
      <c r="X23" s="111"/>
    </row>
    <row r="24" spans="2:25" x14ac:dyDescent="0.25">
      <c r="B24" s="121">
        <v>3116</v>
      </c>
      <c r="C24" s="11" t="s">
        <v>3523</v>
      </c>
      <c r="D24" s="16">
        <f>SUMIF(IIp.17!M2:M500,"3116*",IIp.17!F2:F500)</f>
        <v>0</v>
      </c>
      <c r="E24" s="109">
        <v>2149</v>
      </c>
      <c r="F24" s="11" t="s">
        <v>3500</v>
      </c>
      <c r="G24" s="104" t="s">
        <v>3573</v>
      </c>
      <c r="H24" s="126">
        <v>3111</v>
      </c>
      <c r="I24" s="11" t="s">
        <v>3587</v>
      </c>
      <c r="J24" s="16">
        <f>SUMIF(IIp.17!M2:M500,"3111*",IIp.17!F2:F500)</f>
        <v>0</v>
      </c>
      <c r="K24" s="89"/>
      <c r="L24" s="20"/>
      <c r="M24" s="90">
        <f>SUM(M18:M23)</f>
        <v>86</v>
      </c>
      <c r="Q24" s="37"/>
      <c r="T24" s="116">
        <v>41</v>
      </c>
      <c r="U24" s="11" t="s">
        <v>3592</v>
      </c>
      <c r="V24" s="91">
        <f>SUMIF(IIp.17!M2:M500,"41*",IIp.17!F2:F500)</f>
        <v>3</v>
      </c>
      <c r="W24" s="120">
        <v>11</v>
      </c>
      <c r="X24" s="11" t="s">
        <v>3575</v>
      </c>
      <c r="Y24" s="115">
        <f>SUMIF(IIp.17!M2:M500,"11*",IIp.17!F2:F500)</f>
        <v>8</v>
      </c>
    </row>
    <row r="25" spans="2:25" x14ac:dyDescent="0.25">
      <c r="B25" s="121">
        <v>3117</v>
      </c>
      <c r="C25" s="11" t="s">
        <v>3524</v>
      </c>
      <c r="D25" s="16">
        <f>SUMIF(IIp.17!M2:M500,"3117*",IIp.17!F2:F500)</f>
        <v>0</v>
      </c>
      <c r="E25" s="109">
        <v>2149</v>
      </c>
      <c r="F25" s="11" t="s">
        <v>3501</v>
      </c>
      <c r="G25" s="104" t="s">
        <v>3573</v>
      </c>
      <c r="H25" s="126">
        <v>3112</v>
      </c>
      <c r="I25" s="11" t="s">
        <v>3519</v>
      </c>
      <c r="J25" s="16">
        <f>SUMIF(IIp.17!M2:M500,"3112*",IIp.17!F2:F500)</f>
        <v>0</v>
      </c>
      <c r="K25" s="89"/>
      <c r="L25" s="20"/>
      <c r="M25" s="20"/>
      <c r="N25" s="100" t="s">
        <v>134</v>
      </c>
      <c r="O25" s="93"/>
      <c r="Q25" s="37"/>
      <c r="T25" s="116">
        <v>44</v>
      </c>
      <c r="U25" s="11" t="s">
        <v>3539</v>
      </c>
      <c r="V25" s="91">
        <f>SUMIF(IIp.17!M2:M500,"44*",IIp.17!F2:F500)</f>
        <v>1</v>
      </c>
      <c r="W25" s="108">
        <v>2111</v>
      </c>
      <c r="X25" s="11" t="s">
        <v>3580</v>
      </c>
      <c r="Y25" s="115">
        <f>SUMIF(IIp.17!M2:M500,"2111*",IIp.17!F2:F500)</f>
        <v>0</v>
      </c>
    </row>
    <row r="26" spans="2:25" x14ac:dyDescent="0.25">
      <c r="B26" s="121">
        <v>3119</v>
      </c>
      <c r="C26" s="11" t="s">
        <v>3526</v>
      </c>
      <c r="D26" s="16">
        <f>SUMIF(IIp.17!M2:M500,"3119*",IIp.17!F2:F500)</f>
        <v>5</v>
      </c>
      <c r="E26" s="109">
        <v>2149</v>
      </c>
      <c r="F26" s="11" t="s">
        <v>3502</v>
      </c>
      <c r="G26" s="104" t="s">
        <v>3573</v>
      </c>
      <c r="H26" s="126">
        <v>3118</v>
      </c>
      <c r="I26" s="11" t="s">
        <v>3525</v>
      </c>
      <c r="J26" s="16">
        <f>SUMIF(IIp.17!M2:M500,"3118*",IIp.17!F2:F500)</f>
        <v>0</v>
      </c>
      <c r="K26" s="89"/>
      <c r="L26" s="20"/>
      <c r="M26" s="20"/>
      <c r="N26" s="6"/>
      <c r="O26" s="7"/>
      <c r="Q26" s="37"/>
      <c r="T26" s="131">
        <v>7515</v>
      </c>
      <c r="U26" s="11" t="s">
        <v>3552</v>
      </c>
      <c r="V26" s="91">
        <f>SUMIF(IIp.17!M2:M500,"7515*",IIp.17!F2:F500)</f>
        <v>0</v>
      </c>
      <c r="W26" s="108">
        <v>2112</v>
      </c>
      <c r="X26" s="11" t="s">
        <v>3581</v>
      </c>
      <c r="Y26" s="115">
        <f>SUMIF(IIp.17!M2:M500,"2112*",IIp.17!F2:F500)</f>
        <v>0</v>
      </c>
    </row>
    <row r="27" spans="2:25" x14ac:dyDescent="0.25">
      <c r="B27" s="121">
        <v>3121</v>
      </c>
      <c r="C27" s="11" t="s">
        <v>3527</v>
      </c>
      <c r="D27" s="16">
        <f>SUMIF(IIp.17!M2:M500,"3121*",IIp.17!F2:F500)</f>
        <v>0</v>
      </c>
      <c r="E27" s="109">
        <v>2149</v>
      </c>
      <c r="F27" s="11" t="s">
        <v>3503</v>
      </c>
      <c r="G27" s="104" t="s">
        <v>3573</v>
      </c>
      <c r="H27" s="126">
        <v>3123</v>
      </c>
      <c r="I27" s="11" t="s">
        <v>3529</v>
      </c>
      <c r="J27" s="16">
        <f>SUMIF(IIp.17!M2:M500,"3123*",IIp.17!F2:F500)</f>
        <v>0</v>
      </c>
      <c r="K27" s="89"/>
      <c r="L27" s="20"/>
      <c r="N27" s="131">
        <v>7512</v>
      </c>
      <c r="O27" s="11" t="s">
        <v>3549</v>
      </c>
      <c r="P27" s="95">
        <f>SUMIF(IIp.17!M2:M500,"7512*",IIp.17!F2:F500)</f>
        <v>0</v>
      </c>
      <c r="Q27" s="37"/>
      <c r="T27" s="37"/>
      <c r="V27" s="2">
        <f>SUM(V24:V26)</f>
        <v>4</v>
      </c>
      <c r="W27" s="108">
        <v>2114</v>
      </c>
      <c r="X27" s="11" t="s">
        <v>3582</v>
      </c>
      <c r="Y27" s="115">
        <f>SUMIF(IIp.17!M2:M500,"2114*",IIp.17!F2:F500)</f>
        <v>0</v>
      </c>
    </row>
    <row r="28" spans="2:25" x14ac:dyDescent="0.25">
      <c r="B28" s="121">
        <v>3122</v>
      </c>
      <c r="C28" s="11" t="s">
        <v>3528</v>
      </c>
      <c r="D28" s="16">
        <f>SUMIF(IIp.17!M2:M500,"3122*",IIp.17!F2:F500)</f>
        <v>3</v>
      </c>
      <c r="E28" s="108">
        <v>2151</v>
      </c>
      <c r="F28" s="11" t="s">
        <v>3504</v>
      </c>
      <c r="G28" s="16">
        <f>SUMIF(IIp.17!M2:M467,"2151*",IIp.17!F2:F467)</f>
        <v>1</v>
      </c>
      <c r="H28" s="129">
        <v>71</v>
      </c>
      <c r="I28" s="11" t="s">
        <v>3544</v>
      </c>
      <c r="J28" s="16">
        <f>SUMIF(IIp.17!M2:M500,"71*",IIp.17!F2:F500)</f>
        <v>4</v>
      </c>
      <c r="K28" s="89"/>
      <c r="L28" s="20"/>
      <c r="M28" s="20"/>
      <c r="P28" s="18">
        <f>SUM(P27)</f>
        <v>0</v>
      </c>
      <c r="Q28" s="37"/>
      <c r="T28" s="37"/>
      <c r="W28" s="108">
        <v>2120</v>
      </c>
      <c r="X28" s="11" t="s">
        <v>3583</v>
      </c>
      <c r="Y28" s="115">
        <f>SUMIF(IIp.17!M2:M500,"2120*",IIp.17!F2:F500)</f>
        <v>0</v>
      </c>
    </row>
    <row r="29" spans="2:25" x14ac:dyDescent="0.25">
      <c r="B29" s="124">
        <v>313</v>
      </c>
      <c r="C29" s="11" t="s">
        <v>3530</v>
      </c>
      <c r="D29" s="16">
        <f>SUMIF(IIp.17!M2:M500,"313*",IIp.17!F2:F500)</f>
        <v>8</v>
      </c>
      <c r="E29" s="108">
        <v>2152</v>
      </c>
      <c r="F29" s="11" t="s">
        <v>3505</v>
      </c>
      <c r="G29" s="16">
        <f>SUMIF(IIp.17!M2:M467,"2152*",IIp.17!F2:F467)</f>
        <v>1</v>
      </c>
      <c r="H29" s="132">
        <v>7521</v>
      </c>
      <c r="I29" s="11" t="s">
        <v>3553</v>
      </c>
      <c r="J29" s="16">
        <f>SUMIF(IIp.17!M2:M500,"7521*",IIp.17!F2:F500)</f>
        <v>0</v>
      </c>
      <c r="K29" s="89"/>
      <c r="L29" s="20"/>
      <c r="M29" s="20"/>
      <c r="N29" s="94" t="s">
        <v>154</v>
      </c>
      <c r="O29" s="94"/>
      <c r="P29" s="18"/>
      <c r="T29" s="37"/>
      <c r="W29" s="119">
        <v>0</v>
      </c>
      <c r="X29" s="11" t="s">
        <v>3586</v>
      </c>
      <c r="Y29" s="115">
        <f>SUMIF(IIp.17!M2:M500,"0*",IIp.17!F2:F500)</f>
        <v>0</v>
      </c>
    </row>
    <row r="30" spans="2:25" x14ac:dyDescent="0.25">
      <c r="B30" s="124">
        <v>314</v>
      </c>
      <c r="C30" s="11" t="s">
        <v>3531</v>
      </c>
      <c r="D30" s="16">
        <f>SUMIF(IIp.17!M2:M500,"314*",IIp.17!F2:F500)</f>
        <v>1</v>
      </c>
      <c r="E30" s="108">
        <v>2153</v>
      </c>
      <c r="F30" s="11" t="s">
        <v>3506</v>
      </c>
      <c r="G30" s="16">
        <f>SUMIF(IIp.17!M2:M467,"2153*",IIp.17!F2:F467)</f>
        <v>3</v>
      </c>
      <c r="H30" s="132">
        <v>7522</v>
      </c>
      <c r="I30" s="11" t="s">
        <v>3554</v>
      </c>
      <c r="J30" s="16">
        <f>SUMIF(IIp.17!M2:M500,"7522*",IIp.17!F2:F500)</f>
        <v>0</v>
      </c>
      <c r="K30" s="89"/>
      <c r="L30" s="20"/>
      <c r="M30" s="20"/>
      <c r="N30" s="6"/>
      <c r="O30" s="7"/>
      <c r="P30" s="92"/>
      <c r="Y30" s="2">
        <f>SUM(Y24:Y29)</f>
        <v>8</v>
      </c>
    </row>
    <row r="31" spans="2:25" x14ac:dyDescent="0.25">
      <c r="B31" s="125">
        <v>35</v>
      </c>
      <c r="C31" s="11" t="s">
        <v>3536</v>
      </c>
      <c r="D31" s="16">
        <f>SUMIF(IIp.17!M2:M500,"35*",IIp.17!F2:F500)</f>
        <v>1</v>
      </c>
      <c r="E31" s="118">
        <v>25</v>
      </c>
      <c r="F31" s="11" t="s">
        <v>3513</v>
      </c>
      <c r="G31" s="16">
        <f>SUMIF(IIp.17!M2:M467,"25*",IIp.17!F2:F467)</f>
        <v>15</v>
      </c>
      <c r="J31" s="18">
        <f>SUM(J18:J30)</f>
        <v>6</v>
      </c>
      <c r="K31" s="89"/>
      <c r="L31" s="20"/>
      <c r="M31" s="20"/>
      <c r="N31" s="131">
        <v>753</v>
      </c>
      <c r="O31" s="11" t="s">
        <v>3556</v>
      </c>
      <c r="P31" s="95">
        <f>SUMIF(IIp.17!M2:M500,"753*",IIp.17!F2:F500)</f>
        <v>0</v>
      </c>
    </row>
    <row r="32" spans="2:25" x14ac:dyDescent="0.25">
      <c r="B32" s="119">
        <v>6</v>
      </c>
      <c r="C32" s="11" t="s">
        <v>3543</v>
      </c>
      <c r="D32" s="16">
        <f>SUMIF(IIp.17!M2:M500,"6*",IIp.17!F2:F500)</f>
        <v>0</v>
      </c>
      <c r="E32" s="130">
        <v>74</v>
      </c>
      <c r="F32" s="11" t="s">
        <v>3547</v>
      </c>
      <c r="G32" s="16">
        <f>SUMIF(IIp.17!M2:M467,"74*",IIp.17!F2:F467)</f>
        <v>3</v>
      </c>
      <c r="H32" s="89"/>
      <c r="I32" s="20"/>
      <c r="K32" s="20"/>
      <c r="L32" s="20"/>
      <c r="M32" s="20"/>
      <c r="N32" s="131">
        <v>7541</v>
      </c>
      <c r="O32" s="11" t="s">
        <v>3557</v>
      </c>
      <c r="P32" s="95">
        <f>SUMIF(IIp.17!M2:M500,"7541*",IIp.17!F2:F500)</f>
        <v>0</v>
      </c>
    </row>
    <row r="33" spans="2:20" x14ac:dyDescent="0.25">
      <c r="B33" s="130">
        <v>72</v>
      </c>
      <c r="C33" s="11" t="s">
        <v>3545</v>
      </c>
      <c r="D33" s="16">
        <f>SUMIF(IIp.17!M2:M500,"72*",IIp.17!F2:F500)</f>
        <v>15</v>
      </c>
      <c r="G33" s="2">
        <f>SUM(G18:G32)</f>
        <v>31</v>
      </c>
      <c r="N33" s="127">
        <v>54</v>
      </c>
      <c r="O33" s="11" t="s">
        <v>3588</v>
      </c>
      <c r="P33" s="95">
        <f>SUMIF(IIp.17!M2:M500,"54*",IIp.17!F2:F500)</f>
        <v>0</v>
      </c>
    </row>
    <row r="34" spans="2:20" x14ac:dyDescent="0.25">
      <c r="B34" s="130">
        <v>73</v>
      </c>
      <c r="C34" s="11" t="s">
        <v>3546</v>
      </c>
      <c r="D34" s="16">
        <f>SUMIF(IIp.17!M2:M500,"73*",IIp.17!F2:F500)</f>
        <v>2</v>
      </c>
      <c r="P34" s="2">
        <f>SUM(P31:P33)</f>
        <v>0</v>
      </c>
    </row>
    <row r="35" spans="2:20" x14ac:dyDescent="0.25">
      <c r="B35" s="131">
        <v>7511</v>
      </c>
      <c r="C35" s="11" t="s">
        <v>3548</v>
      </c>
      <c r="D35" s="16">
        <f>SUMIF(IIp.17!M2:M500,"7511*",IIp.17!F2:F500)</f>
        <v>0</v>
      </c>
      <c r="T35" s="37"/>
    </row>
    <row r="36" spans="2:20" x14ac:dyDescent="0.25">
      <c r="B36" s="131">
        <v>7513</v>
      </c>
      <c r="C36" s="11" t="s">
        <v>3550</v>
      </c>
      <c r="D36" s="16">
        <f>SUMIF(IIp.17!M2:M500,"7513*",IIp.17!F2:F500)</f>
        <v>0</v>
      </c>
      <c r="T36" s="37"/>
    </row>
    <row r="37" spans="2:20" x14ac:dyDescent="0.25">
      <c r="B37" s="131">
        <v>7514</v>
      </c>
      <c r="C37" s="11" t="s">
        <v>3551</v>
      </c>
      <c r="D37" s="16">
        <f>SUMIF(IIp.17!M2:M500,"7514*",IIp.17!F2:F500)</f>
        <v>0</v>
      </c>
      <c r="T37" s="37"/>
    </row>
    <row r="38" spans="2:20" x14ac:dyDescent="0.25">
      <c r="B38" s="131">
        <v>7523</v>
      </c>
      <c r="C38" s="11" t="s">
        <v>3555</v>
      </c>
      <c r="D38" s="16">
        <f>SUMIF(IIp.17!M2:M500,"7523*",IIp.17!F2:F500)</f>
        <v>0</v>
      </c>
      <c r="T38" s="37"/>
    </row>
    <row r="39" spans="2:20" x14ac:dyDescent="0.25">
      <c r="B39" s="131">
        <v>7542</v>
      </c>
      <c r="C39" s="11" t="s">
        <v>3558</v>
      </c>
      <c r="D39" s="16">
        <f>SUMIF(IIp.17!M2:M500,"7542*",IIp.17!F2:F500)</f>
        <v>0</v>
      </c>
      <c r="T39" s="37"/>
    </row>
    <row r="40" spans="2:20" x14ac:dyDescent="0.25">
      <c r="B40" s="131">
        <v>7543</v>
      </c>
      <c r="C40" s="11" t="s">
        <v>3559</v>
      </c>
      <c r="D40" s="16">
        <f>SUMIF(IIp.17!M2:M500,"7543*",IIp.17!F2:F500)</f>
        <v>0</v>
      </c>
    </row>
    <row r="41" spans="2:20" x14ac:dyDescent="0.25">
      <c r="B41" s="131">
        <v>7544</v>
      </c>
      <c r="C41" s="11" t="s">
        <v>3560</v>
      </c>
      <c r="D41" s="16">
        <f>SUMIF(IIp.17!M2:M500,"7544*",IIp.17!F2:F500)</f>
        <v>0</v>
      </c>
    </row>
    <row r="42" spans="2:20" x14ac:dyDescent="0.25">
      <c r="B42" s="134">
        <v>81</v>
      </c>
      <c r="C42" s="11" t="s">
        <v>3562</v>
      </c>
      <c r="D42" s="16">
        <f>SUMIF(IIp.17!M2:M500,"81*",IIp.17!F2:F500)</f>
        <v>5</v>
      </c>
    </row>
    <row r="43" spans="2:20" x14ac:dyDescent="0.25">
      <c r="B43" s="134">
        <v>82</v>
      </c>
      <c r="C43" s="11" t="s">
        <v>3563</v>
      </c>
      <c r="D43" s="16">
        <f>SUMIF(IIp.17!M2:M500,"82*",IIp.17!F2:F500)</f>
        <v>0</v>
      </c>
    </row>
    <row r="44" spans="2:20" x14ac:dyDescent="0.25">
      <c r="B44" s="120">
        <v>13</v>
      </c>
      <c r="C44" s="11" t="s">
        <v>3577</v>
      </c>
      <c r="D44" s="16">
        <f>SUMIF(IIp.17!M2:M500,"13*",IIp.17!F2:F500)</f>
        <v>13</v>
      </c>
    </row>
    <row r="45" spans="2:20" x14ac:dyDescent="0.25">
      <c r="B45" s="108">
        <v>2163</v>
      </c>
      <c r="C45" s="11" t="s">
        <v>3579</v>
      </c>
      <c r="D45" s="16">
        <f>SUMIF(IIp.17!M2:M500,"2163*",IIp.17!F2:F500)</f>
        <v>1</v>
      </c>
    </row>
    <row r="46" spans="2:20" x14ac:dyDescent="0.25">
      <c r="B46" s="108">
        <v>2133</v>
      </c>
      <c r="C46" s="11" t="s">
        <v>3584</v>
      </c>
      <c r="D46" s="16">
        <f>SUMIF(IIp.17!M2:M500,"2133*",IIp.17!F2:F500)</f>
        <v>0</v>
      </c>
    </row>
    <row r="47" spans="2:20" x14ac:dyDescent="0.25">
      <c r="B47" s="37"/>
      <c r="D47" s="2">
        <f>SUM(D18:D46)</f>
        <v>63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R463"/>
  <sheetViews>
    <sheetView zoomScale="80" zoomScaleNormal="80" workbookViewId="0"/>
  </sheetViews>
  <sheetFormatPr defaultRowHeight="15" x14ac:dyDescent="0.25"/>
  <cols>
    <col min="6" max="6" width="9.140625" style="28"/>
    <col min="12" max="12" width="9.42578125" style="28" customWidth="1"/>
    <col min="13" max="13" width="9.28515625" style="28" customWidth="1"/>
    <col min="14" max="14" width="9.140625" style="28"/>
    <col min="15" max="15" width="5.7109375" style="28" customWidth="1"/>
    <col min="16" max="16" width="4.5703125" customWidth="1"/>
    <col min="17" max="17" width="19.7109375" customWidth="1"/>
    <col min="18" max="18" width="11.42578125" customWidth="1"/>
  </cols>
  <sheetData>
    <row r="1" spans="1:18" s="25" customFormat="1" x14ac:dyDescent="0.25">
      <c r="A1" s="25" t="s">
        <v>176</v>
      </c>
      <c r="B1" s="25" t="s">
        <v>177</v>
      </c>
      <c r="C1" s="25" t="s">
        <v>178</v>
      </c>
      <c r="D1" s="25" t="s">
        <v>179</v>
      </c>
      <c r="E1" s="25" t="s">
        <v>180</v>
      </c>
      <c r="F1" s="27" t="s">
        <v>181</v>
      </c>
      <c r="G1" s="25" t="s">
        <v>182</v>
      </c>
      <c r="H1" s="25" t="s">
        <v>183</v>
      </c>
      <c r="I1" s="25" t="s">
        <v>184</v>
      </c>
      <c r="J1" s="25" t="s">
        <v>185</v>
      </c>
      <c r="K1" s="25" t="s">
        <v>186</v>
      </c>
      <c r="L1" s="27"/>
      <c r="M1" s="27"/>
      <c r="N1" s="27"/>
      <c r="O1" s="27"/>
    </row>
    <row r="2" spans="1:18" x14ac:dyDescent="0.25">
      <c r="A2" t="s">
        <v>2854</v>
      </c>
      <c r="B2" t="s">
        <v>2855</v>
      </c>
      <c r="C2" t="s">
        <v>46</v>
      </c>
      <c r="D2" t="s">
        <v>2790</v>
      </c>
      <c r="E2" t="s">
        <v>217</v>
      </c>
      <c r="F2" s="76">
        <v>0</v>
      </c>
      <c r="G2" s="75" t="s">
        <v>194</v>
      </c>
      <c r="H2" t="s">
        <v>193</v>
      </c>
      <c r="I2" t="s">
        <v>2749</v>
      </c>
      <c r="J2" t="s">
        <v>2856</v>
      </c>
      <c r="K2">
        <v>18</v>
      </c>
      <c r="L2" s="28">
        <v>252201</v>
      </c>
      <c r="M2" s="148" t="str">
        <f>MID(L2,1,6)</f>
        <v>252201</v>
      </c>
      <c r="N2" s="28">
        <v>1</v>
      </c>
      <c r="Q2" s="144" t="s">
        <v>1071</v>
      </c>
      <c r="R2" s="147">
        <f>COUNTIF(G2:G500,"niezaznaczone")</f>
        <v>43</v>
      </c>
    </row>
    <row r="3" spans="1:18" x14ac:dyDescent="0.25">
      <c r="A3" t="s">
        <v>2902</v>
      </c>
      <c r="B3" t="s">
        <v>2903</v>
      </c>
      <c r="C3" t="s">
        <v>46</v>
      </c>
      <c r="D3" t="s">
        <v>2891</v>
      </c>
      <c r="E3" t="s">
        <v>192</v>
      </c>
      <c r="F3" s="28">
        <v>1</v>
      </c>
      <c r="G3" t="s">
        <v>193</v>
      </c>
      <c r="H3" t="s">
        <v>194</v>
      </c>
      <c r="I3" t="s">
        <v>2880</v>
      </c>
      <c r="J3" t="s">
        <v>210</v>
      </c>
      <c r="K3">
        <v>18</v>
      </c>
      <c r="L3" s="28">
        <v>252201</v>
      </c>
      <c r="M3" s="28" t="str">
        <f t="shared" ref="M3:M66" si="0">MID(L3,1,6)</f>
        <v>252201</v>
      </c>
      <c r="N3"/>
      <c r="O3"/>
      <c r="Q3" s="144" t="s">
        <v>3488</v>
      </c>
      <c r="R3" s="147">
        <f>COUNTIF(G2:G500,"zaznaczone")</f>
        <v>418</v>
      </c>
    </row>
    <row r="4" spans="1:18" x14ac:dyDescent="0.25">
      <c r="A4" t="s">
        <v>3044</v>
      </c>
      <c r="B4" t="s">
        <v>1739</v>
      </c>
      <c r="C4" t="s">
        <v>46</v>
      </c>
      <c r="D4" t="s">
        <v>2989</v>
      </c>
      <c r="E4" t="s">
        <v>192</v>
      </c>
      <c r="F4" s="28">
        <v>1</v>
      </c>
      <c r="G4" t="s">
        <v>193</v>
      </c>
      <c r="H4" t="s">
        <v>194</v>
      </c>
      <c r="I4" t="s">
        <v>2892</v>
      </c>
      <c r="J4" t="s">
        <v>210</v>
      </c>
      <c r="K4">
        <v>18</v>
      </c>
      <c r="L4" s="28">
        <v>252201</v>
      </c>
      <c r="M4" s="28" t="str">
        <f t="shared" si="0"/>
        <v>252201</v>
      </c>
      <c r="N4"/>
      <c r="O4"/>
      <c r="Q4" s="149" t="s">
        <v>1072</v>
      </c>
      <c r="R4" s="147">
        <f>SUM(R2:R3)</f>
        <v>461</v>
      </c>
    </row>
    <row r="5" spans="1:18" x14ac:dyDescent="0.25">
      <c r="A5" t="s">
        <v>1741</v>
      </c>
      <c r="B5" t="s">
        <v>1742</v>
      </c>
      <c r="C5" t="s">
        <v>46</v>
      </c>
      <c r="D5" t="s">
        <v>3167</v>
      </c>
      <c r="E5" t="s">
        <v>192</v>
      </c>
      <c r="F5" s="28">
        <v>1</v>
      </c>
      <c r="G5" t="s">
        <v>193</v>
      </c>
      <c r="H5" t="s">
        <v>194</v>
      </c>
      <c r="I5" t="s">
        <v>2892</v>
      </c>
      <c r="J5" t="s">
        <v>210</v>
      </c>
      <c r="K5">
        <v>18</v>
      </c>
      <c r="L5" s="28">
        <v>252201</v>
      </c>
      <c r="M5" s="28" t="str">
        <f t="shared" si="0"/>
        <v>252201</v>
      </c>
      <c r="N5"/>
      <c r="O5"/>
      <c r="Q5" s="150"/>
      <c r="R5" s="143"/>
    </row>
    <row r="6" spans="1:18" x14ac:dyDescent="0.25">
      <c r="A6" t="s">
        <v>1741</v>
      </c>
      <c r="B6" t="s">
        <v>3211</v>
      </c>
      <c r="C6" t="s">
        <v>46</v>
      </c>
      <c r="D6" t="s">
        <v>3167</v>
      </c>
      <c r="E6" t="s">
        <v>192</v>
      </c>
      <c r="F6" s="28">
        <v>1</v>
      </c>
      <c r="G6" t="s">
        <v>193</v>
      </c>
      <c r="H6" t="s">
        <v>194</v>
      </c>
      <c r="I6" t="s">
        <v>3131</v>
      </c>
      <c r="J6" t="s">
        <v>210</v>
      </c>
      <c r="K6">
        <v>18</v>
      </c>
      <c r="L6" s="28">
        <v>252201</v>
      </c>
      <c r="M6" s="28" t="str">
        <f t="shared" si="0"/>
        <v>252201</v>
      </c>
      <c r="N6"/>
      <c r="O6"/>
      <c r="Q6" s="144" t="s">
        <v>1073</v>
      </c>
      <c r="R6" s="145">
        <f>SUM(F2:F462)</f>
        <v>444</v>
      </c>
    </row>
    <row r="7" spans="1:18" x14ac:dyDescent="0.25">
      <c r="A7" t="s">
        <v>1091</v>
      </c>
      <c r="B7" t="s">
        <v>3265</v>
      </c>
      <c r="C7" t="s">
        <v>46</v>
      </c>
      <c r="D7" t="s">
        <v>3252</v>
      </c>
      <c r="E7" t="s">
        <v>217</v>
      </c>
      <c r="F7" s="28">
        <v>1</v>
      </c>
      <c r="G7" t="s">
        <v>193</v>
      </c>
      <c r="H7" t="s">
        <v>194</v>
      </c>
      <c r="I7" t="s">
        <v>2749</v>
      </c>
      <c r="J7" t="s">
        <v>210</v>
      </c>
      <c r="K7">
        <v>18</v>
      </c>
      <c r="L7" s="28">
        <v>252201</v>
      </c>
      <c r="M7" s="28" t="str">
        <f t="shared" si="0"/>
        <v>252201</v>
      </c>
      <c r="N7"/>
      <c r="O7"/>
    </row>
    <row r="8" spans="1:18" x14ac:dyDescent="0.25">
      <c r="A8" t="s">
        <v>1091</v>
      </c>
      <c r="B8" t="s">
        <v>3265</v>
      </c>
      <c r="C8" t="s">
        <v>46</v>
      </c>
      <c r="D8" t="s">
        <v>3252</v>
      </c>
      <c r="E8" t="s">
        <v>217</v>
      </c>
      <c r="F8" s="28">
        <v>10</v>
      </c>
      <c r="G8" t="s">
        <v>193</v>
      </c>
      <c r="H8" t="s">
        <v>194</v>
      </c>
      <c r="I8" t="s">
        <v>2749</v>
      </c>
      <c r="J8" t="s">
        <v>210</v>
      </c>
      <c r="K8">
        <v>18</v>
      </c>
      <c r="L8" s="28">
        <v>252201</v>
      </c>
      <c r="M8" s="28" t="str">
        <f t="shared" si="0"/>
        <v>252201</v>
      </c>
      <c r="N8"/>
      <c r="O8"/>
    </row>
    <row r="9" spans="1:18" x14ac:dyDescent="0.25">
      <c r="A9" t="s">
        <v>188</v>
      </c>
      <c r="B9" t="s">
        <v>1760</v>
      </c>
      <c r="C9" t="s">
        <v>122</v>
      </c>
      <c r="D9" t="s">
        <v>2989</v>
      </c>
      <c r="E9" t="s">
        <v>192</v>
      </c>
      <c r="F9" s="28">
        <v>1</v>
      </c>
      <c r="G9" t="s">
        <v>193</v>
      </c>
      <c r="H9" t="s">
        <v>194</v>
      </c>
      <c r="I9" t="s">
        <v>2749</v>
      </c>
      <c r="J9" t="s">
        <v>210</v>
      </c>
      <c r="K9">
        <v>18</v>
      </c>
      <c r="L9" s="28">
        <v>332301</v>
      </c>
      <c r="M9" s="28" t="str">
        <f t="shared" si="0"/>
        <v>332301</v>
      </c>
      <c r="N9"/>
      <c r="O9"/>
    </row>
    <row r="10" spans="1:18" x14ac:dyDescent="0.25">
      <c r="A10" t="s">
        <v>1446</v>
      </c>
      <c r="B10" t="s">
        <v>3135</v>
      </c>
      <c r="C10" t="s">
        <v>122</v>
      </c>
      <c r="D10" t="s">
        <v>3089</v>
      </c>
      <c r="E10" t="s">
        <v>192</v>
      </c>
      <c r="F10" s="28">
        <v>1</v>
      </c>
      <c r="G10" t="s">
        <v>193</v>
      </c>
      <c r="H10" t="s">
        <v>194</v>
      </c>
      <c r="I10" t="s">
        <v>3131</v>
      </c>
      <c r="J10" t="s">
        <v>672</v>
      </c>
      <c r="K10">
        <v>18</v>
      </c>
      <c r="L10" s="28">
        <v>332301</v>
      </c>
      <c r="M10" s="28" t="str">
        <f t="shared" si="0"/>
        <v>332301</v>
      </c>
      <c r="N10"/>
      <c r="O10"/>
    </row>
    <row r="11" spans="1:18" x14ac:dyDescent="0.25">
      <c r="A11" t="s">
        <v>1204</v>
      </c>
      <c r="B11" t="s">
        <v>1396</v>
      </c>
      <c r="C11" t="s">
        <v>111</v>
      </c>
      <c r="D11" t="s">
        <v>2790</v>
      </c>
      <c r="E11" t="s">
        <v>192</v>
      </c>
      <c r="F11" s="28">
        <v>1</v>
      </c>
      <c r="G11" t="s">
        <v>193</v>
      </c>
      <c r="H11" t="s">
        <v>194</v>
      </c>
      <c r="I11" t="s">
        <v>2749</v>
      </c>
      <c r="J11" t="s">
        <v>276</v>
      </c>
      <c r="K11">
        <v>18</v>
      </c>
      <c r="L11" s="28">
        <v>332101</v>
      </c>
      <c r="M11" s="28" t="str">
        <f t="shared" si="0"/>
        <v>332101</v>
      </c>
      <c r="N11"/>
      <c r="O11"/>
    </row>
    <row r="12" spans="1:18" x14ac:dyDescent="0.25">
      <c r="A12" t="s">
        <v>615</v>
      </c>
      <c r="B12" t="s">
        <v>1396</v>
      </c>
      <c r="C12" t="s">
        <v>111</v>
      </c>
      <c r="D12" t="s">
        <v>2880</v>
      </c>
      <c r="E12" t="s">
        <v>192</v>
      </c>
      <c r="F12" s="28">
        <v>1</v>
      </c>
      <c r="G12" t="s">
        <v>193</v>
      </c>
      <c r="H12" t="s">
        <v>194</v>
      </c>
      <c r="I12" t="s">
        <v>2774</v>
      </c>
      <c r="J12" t="s">
        <v>210</v>
      </c>
      <c r="K12">
        <v>18</v>
      </c>
      <c r="L12" s="28">
        <v>332101</v>
      </c>
      <c r="M12" s="28" t="str">
        <f t="shared" si="0"/>
        <v>332101</v>
      </c>
      <c r="N12"/>
      <c r="O12"/>
    </row>
    <row r="13" spans="1:18" x14ac:dyDescent="0.25">
      <c r="A13" t="s">
        <v>3069</v>
      </c>
      <c r="B13" t="s">
        <v>1765</v>
      </c>
      <c r="C13" t="s">
        <v>1766</v>
      </c>
      <c r="D13" t="s">
        <v>2989</v>
      </c>
      <c r="E13" t="s">
        <v>192</v>
      </c>
      <c r="F13" s="28">
        <v>1</v>
      </c>
      <c r="G13" t="s">
        <v>193</v>
      </c>
      <c r="H13" t="s">
        <v>194</v>
      </c>
      <c r="I13" t="s">
        <v>2990</v>
      </c>
      <c r="J13" t="s">
        <v>253</v>
      </c>
      <c r="K13">
        <v>18</v>
      </c>
      <c r="L13" s="28">
        <v>242112</v>
      </c>
      <c r="M13" s="28" t="str">
        <f t="shared" si="0"/>
        <v>242112</v>
      </c>
      <c r="N13"/>
      <c r="O13"/>
    </row>
    <row r="14" spans="1:18" x14ac:dyDescent="0.25">
      <c r="A14" t="s">
        <v>369</v>
      </c>
      <c r="B14" t="s">
        <v>420</v>
      </c>
      <c r="C14" t="s">
        <v>420</v>
      </c>
      <c r="D14" t="s">
        <v>2749</v>
      </c>
      <c r="E14" t="s">
        <v>192</v>
      </c>
      <c r="F14" s="28">
        <v>1</v>
      </c>
      <c r="G14" t="s">
        <v>193</v>
      </c>
      <c r="H14" t="s">
        <v>194</v>
      </c>
      <c r="I14" t="s">
        <v>2750</v>
      </c>
      <c r="J14" t="s">
        <v>210</v>
      </c>
      <c r="K14">
        <v>18</v>
      </c>
      <c r="L14" s="28">
        <v>241306</v>
      </c>
      <c r="M14" s="28" t="str">
        <f t="shared" si="0"/>
        <v>241306</v>
      </c>
      <c r="N14"/>
      <c r="O14"/>
    </row>
    <row r="15" spans="1:18" x14ac:dyDescent="0.25">
      <c r="A15" t="s">
        <v>264</v>
      </c>
      <c r="B15" t="s">
        <v>2815</v>
      </c>
      <c r="C15" t="s">
        <v>420</v>
      </c>
      <c r="D15" t="s">
        <v>2790</v>
      </c>
      <c r="E15" t="s">
        <v>192</v>
      </c>
      <c r="F15" s="28">
        <v>1</v>
      </c>
      <c r="G15" t="s">
        <v>193</v>
      </c>
      <c r="H15" t="s">
        <v>194</v>
      </c>
      <c r="I15" t="s">
        <v>2749</v>
      </c>
      <c r="J15" t="s">
        <v>210</v>
      </c>
      <c r="K15">
        <v>18</v>
      </c>
      <c r="L15" s="28">
        <v>241306</v>
      </c>
      <c r="M15" s="28" t="str">
        <f t="shared" si="0"/>
        <v>241306</v>
      </c>
      <c r="N15"/>
      <c r="O15"/>
    </row>
    <row r="16" spans="1:18" x14ac:dyDescent="0.25">
      <c r="A16" t="s">
        <v>264</v>
      </c>
      <c r="B16" t="s">
        <v>2815</v>
      </c>
      <c r="C16" t="s">
        <v>420</v>
      </c>
      <c r="D16" t="s">
        <v>2989</v>
      </c>
      <c r="E16" t="s">
        <v>192</v>
      </c>
      <c r="F16" s="28">
        <v>1</v>
      </c>
      <c r="G16" t="s">
        <v>193</v>
      </c>
      <c r="H16" t="s">
        <v>194</v>
      </c>
      <c r="I16" t="s">
        <v>2750</v>
      </c>
      <c r="J16" t="s">
        <v>210</v>
      </c>
      <c r="K16">
        <v>18</v>
      </c>
      <c r="L16" s="28">
        <v>241306</v>
      </c>
      <c r="M16" s="28" t="str">
        <f t="shared" si="0"/>
        <v>241306</v>
      </c>
      <c r="N16"/>
      <c r="O16"/>
    </row>
    <row r="17" spans="1:15" x14ac:dyDescent="0.25">
      <c r="A17" t="s">
        <v>1610</v>
      </c>
      <c r="B17" t="s">
        <v>3109</v>
      </c>
      <c r="C17" t="s">
        <v>420</v>
      </c>
      <c r="D17" t="s">
        <v>3089</v>
      </c>
      <c r="E17" t="s">
        <v>192</v>
      </c>
      <c r="F17" s="28">
        <v>1</v>
      </c>
      <c r="G17" t="s">
        <v>193</v>
      </c>
      <c r="H17" t="s">
        <v>194</v>
      </c>
      <c r="I17" t="s">
        <v>2892</v>
      </c>
      <c r="J17" t="s">
        <v>267</v>
      </c>
      <c r="K17">
        <v>18</v>
      </c>
      <c r="L17" s="28">
        <v>241306</v>
      </c>
      <c r="M17" s="28" t="str">
        <f t="shared" si="0"/>
        <v>241306</v>
      </c>
      <c r="N17"/>
      <c r="O17"/>
    </row>
    <row r="18" spans="1:15" x14ac:dyDescent="0.25">
      <c r="A18" t="s">
        <v>2777</v>
      </c>
      <c r="B18" t="s">
        <v>2815</v>
      </c>
      <c r="C18" t="s">
        <v>420</v>
      </c>
      <c r="D18" t="s">
        <v>3089</v>
      </c>
      <c r="E18" t="s">
        <v>192</v>
      </c>
      <c r="F18" s="28">
        <v>1</v>
      </c>
      <c r="G18" t="s">
        <v>193</v>
      </c>
      <c r="H18" t="s">
        <v>194</v>
      </c>
      <c r="I18" t="s">
        <v>3131</v>
      </c>
      <c r="J18" t="s">
        <v>210</v>
      </c>
      <c r="K18">
        <v>18</v>
      </c>
      <c r="L18" s="28">
        <v>241306</v>
      </c>
      <c r="M18" s="28" t="str">
        <f t="shared" si="0"/>
        <v>241306</v>
      </c>
      <c r="N18"/>
      <c r="O18"/>
    </row>
    <row r="19" spans="1:15" x14ac:dyDescent="0.25">
      <c r="A19" t="s">
        <v>919</v>
      </c>
      <c r="B19" t="s">
        <v>2792</v>
      </c>
      <c r="C19" t="s">
        <v>1775</v>
      </c>
      <c r="D19" t="s">
        <v>2790</v>
      </c>
      <c r="E19" t="s">
        <v>192</v>
      </c>
      <c r="F19" s="28">
        <v>1</v>
      </c>
      <c r="G19" t="s">
        <v>193</v>
      </c>
      <c r="H19" t="s">
        <v>194</v>
      </c>
      <c r="I19" t="s">
        <v>2749</v>
      </c>
      <c r="J19" t="s">
        <v>210</v>
      </c>
      <c r="K19">
        <v>18</v>
      </c>
      <c r="L19" s="28">
        <v>241302</v>
      </c>
      <c r="M19" s="28" t="str">
        <f t="shared" si="0"/>
        <v>241302</v>
      </c>
      <c r="N19"/>
      <c r="O19"/>
    </row>
    <row r="20" spans="1:15" x14ac:dyDescent="0.25">
      <c r="A20" t="s">
        <v>2854</v>
      </c>
      <c r="B20" t="s">
        <v>2857</v>
      </c>
      <c r="C20" t="s">
        <v>513</v>
      </c>
      <c r="D20" t="s">
        <v>2790</v>
      </c>
      <c r="E20" t="s">
        <v>217</v>
      </c>
      <c r="F20" s="76">
        <v>0</v>
      </c>
      <c r="G20" s="75" t="s">
        <v>194</v>
      </c>
      <c r="H20" t="s">
        <v>193</v>
      </c>
      <c r="I20" t="s">
        <v>2749</v>
      </c>
      <c r="J20" t="s">
        <v>2856</v>
      </c>
      <c r="K20">
        <v>18</v>
      </c>
      <c r="L20" s="28">
        <v>252301</v>
      </c>
      <c r="M20" s="28" t="str">
        <f t="shared" si="0"/>
        <v>252301</v>
      </c>
      <c r="N20" s="28">
        <v>1</v>
      </c>
    </row>
    <row r="21" spans="1:15" x14ac:dyDescent="0.25">
      <c r="A21" t="s">
        <v>2834</v>
      </c>
      <c r="B21" t="s">
        <v>2835</v>
      </c>
      <c r="C21" t="s">
        <v>2836</v>
      </c>
      <c r="D21" t="s">
        <v>2790</v>
      </c>
      <c r="E21" t="s">
        <v>192</v>
      </c>
      <c r="F21" s="28">
        <v>1</v>
      </c>
      <c r="G21" t="s">
        <v>193</v>
      </c>
      <c r="H21" t="s">
        <v>194</v>
      </c>
      <c r="I21" t="s">
        <v>2749</v>
      </c>
      <c r="J21" t="s">
        <v>253</v>
      </c>
      <c r="K21">
        <v>18</v>
      </c>
      <c r="L21" s="28">
        <v>813101</v>
      </c>
      <c r="M21" s="28" t="str">
        <f t="shared" si="0"/>
        <v>813101</v>
      </c>
      <c r="N21"/>
      <c r="O21"/>
    </row>
    <row r="22" spans="1:15" x14ac:dyDescent="0.25">
      <c r="A22" t="s">
        <v>2106</v>
      </c>
      <c r="B22" t="s">
        <v>2675</v>
      </c>
      <c r="C22" t="s">
        <v>521</v>
      </c>
      <c r="D22" t="s">
        <v>2749</v>
      </c>
      <c r="E22" t="s">
        <v>233</v>
      </c>
      <c r="F22" s="28">
        <v>1</v>
      </c>
      <c r="G22" t="s">
        <v>193</v>
      </c>
      <c r="H22" t="s">
        <v>194</v>
      </c>
      <c r="I22" t="s">
        <v>2750</v>
      </c>
      <c r="J22" t="s">
        <v>210</v>
      </c>
      <c r="K22">
        <v>18</v>
      </c>
      <c r="L22" s="28">
        <v>261901</v>
      </c>
      <c r="M22" s="28" t="str">
        <f t="shared" si="0"/>
        <v>261901</v>
      </c>
      <c r="N22"/>
      <c r="O22"/>
    </row>
    <row r="23" spans="1:15" x14ac:dyDescent="0.25">
      <c r="A23" t="s">
        <v>218</v>
      </c>
      <c r="B23" t="s">
        <v>2806</v>
      </c>
      <c r="C23" t="s">
        <v>521</v>
      </c>
      <c r="D23" t="s">
        <v>2790</v>
      </c>
      <c r="E23" t="s">
        <v>233</v>
      </c>
      <c r="F23" s="28">
        <v>1</v>
      </c>
      <c r="G23" t="s">
        <v>193</v>
      </c>
      <c r="H23" t="s">
        <v>194</v>
      </c>
      <c r="I23" t="s">
        <v>2749</v>
      </c>
      <c r="J23" t="s">
        <v>210</v>
      </c>
      <c r="K23">
        <v>18</v>
      </c>
      <c r="L23" s="28">
        <v>261901</v>
      </c>
      <c r="M23" s="28" t="str">
        <f t="shared" si="0"/>
        <v>261901</v>
      </c>
      <c r="N23"/>
      <c r="O23"/>
    </row>
    <row r="24" spans="1:15" x14ac:dyDescent="0.25">
      <c r="A24" t="s">
        <v>2807</v>
      </c>
      <c r="B24" t="s">
        <v>2808</v>
      </c>
      <c r="C24" t="s">
        <v>521</v>
      </c>
      <c r="D24" t="s">
        <v>2790</v>
      </c>
      <c r="E24" t="s">
        <v>217</v>
      </c>
      <c r="F24" s="28">
        <v>1</v>
      </c>
      <c r="G24" t="s">
        <v>193</v>
      </c>
      <c r="H24" t="s">
        <v>194</v>
      </c>
      <c r="I24" t="s">
        <v>2749</v>
      </c>
      <c r="J24" t="s">
        <v>210</v>
      </c>
      <c r="K24">
        <v>18</v>
      </c>
      <c r="L24" s="28">
        <v>261901</v>
      </c>
      <c r="M24" s="28" t="str">
        <f t="shared" si="0"/>
        <v>261901</v>
      </c>
      <c r="N24"/>
      <c r="O24"/>
    </row>
    <row r="25" spans="1:15" x14ac:dyDescent="0.25">
      <c r="A25" t="s">
        <v>3272</v>
      </c>
      <c r="B25" t="s">
        <v>3273</v>
      </c>
      <c r="C25" t="s">
        <v>521</v>
      </c>
      <c r="D25" t="s">
        <v>3252</v>
      </c>
      <c r="E25" t="s">
        <v>217</v>
      </c>
      <c r="F25" s="28">
        <v>1</v>
      </c>
      <c r="G25" t="s">
        <v>193</v>
      </c>
      <c r="H25" t="s">
        <v>194</v>
      </c>
      <c r="I25" t="s">
        <v>2749</v>
      </c>
      <c r="J25" t="s">
        <v>210</v>
      </c>
      <c r="K25">
        <v>18</v>
      </c>
      <c r="L25" s="28">
        <v>261901</v>
      </c>
      <c r="M25" s="28" t="str">
        <f t="shared" si="0"/>
        <v>261901</v>
      </c>
      <c r="N25"/>
      <c r="O25"/>
    </row>
    <row r="26" spans="1:15" x14ac:dyDescent="0.25">
      <c r="A26" t="s">
        <v>3008</v>
      </c>
      <c r="B26" t="s">
        <v>3009</v>
      </c>
      <c r="C26" t="s">
        <v>3010</v>
      </c>
      <c r="D26" t="s">
        <v>2989</v>
      </c>
      <c r="E26" t="s">
        <v>192</v>
      </c>
      <c r="F26" s="28">
        <v>1</v>
      </c>
      <c r="G26" t="s">
        <v>193</v>
      </c>
      <c r="H26" t="s">
        <v>194</v>
      </c>
      <c r="I26" t="s">
        <v>2892</v>
      </c>
      <c r="J26" t="s">
        <v>210</v>
      </c>
      <c r="K26">
        <v>18</v>
      </c>
      <c r="L26" s="28">
        <v>513201</v>
      </c>
      <c r="M26" s="28" t="str">
        <f t="shared" si="0"/>
        <v>513201</v>
      </c>
      <c r="N26"/>
      <c r="O26"/>
    </row>
    <row r="27" spans="1:15" x14ac:dyDescent="0.25">
      <c r="A27" t="s">
        <v>3012</v>
      </c>
      <c r="B27" t="s">
        <v>3013</v>
      </c>
      <c r="C27" t="s">
        <v>3014</v>
      </c>
      <c r="D27" t="s">
        <v>2989</v>
      </c>
      <c r="E27" t="s">
        <v>252</v>
      </c>
      <c r="F27" s="28">
        <v>1</v>
      </c>
      <c r="G27" t="s">
        <v>193</v>
      </c>
      <c r="H27" t="s">
        <v>194</v>
      </c>
      <c r="I27" t="s">
        <v>2892</v>
      </c>
      <c r="J27" t="s">
        <v>3015</v>
      </c>
      <c r="K27">
        <v>18</v>
      </c>
      <c r="L27" s="28">
        <v>711401</v>
      </c>
      <c r="M27" s="28" t="str">
        <f t="shared" si="0"/>
        <v>711401</v>
      </c>
      <c r="N27"/>
      <c r="O27"/>
    </row>
    <row r="28" spans="1:15" x14ac:dyDescent="0.25">
      <c r="A28" t="s">
        <v>3117</v>
      </c>
      <c r="B28" t="s">
        <v>3118</v>
      </c>
      <c r="C28" t="s">
        <v>617</v>
      </c>
      <c r="D28" t="s">
        <v>3089</v>
      </c>
      <c r="E28" t="s">
        <v>192</v>
      </c>
      <c r="F28" s="28">
        <v>1</v>
      </c>
      <c r="G28" t="s">
        <v>193</v>
      </c>
      <c r="H28" t="s">
        <v>194</v>
      </c>
      <c r="I28" t="s">
        <v>2892</v>
      </c>
      <c r="J28" t="s">
        <v>210</v>
      </c>
      <c r="K28">
        <v>18</v>
      </c>
      <c r="L28" s="28">
        <v>332104</v>
      </c>
      <c r="M28" s="28" t="str">
        <f t="shared" si="0"/>
        <v>332104</v>
      </c>
      <c r="N28"/>
      <c r="O28"/>
    </row>
    <row r="29" spans="1:15" x14ac:dyDescent="0.25">
      <c r="A29" t="s">
        <v>271</v>
      </c>
      <c r="B29" t="s">
        <v>313</v>
      </c>
      <c r="C29" t="s">
        <v>273</v>
      </c>
      <c r="D29" t="s">
        <v>2790</v>
      </c>
      <c r="E29" t="s">
        <v>192</v>
      </c>
      <c r="F29" s="28">
        <v>1</v>
      </c>
      <c r="G29" t="s">
        <v>193</v>
      </c>
      <c r="H29" t="s">
        <v>194</v>
      </c>
      <c r="I29" t="s">
        <v>2750</v>
      </c>
      <c r="J29" t="s">
        <v>276</v>
      </c>
      <c r="K29">
        <v>18</v>
      </c>
      <c r="L29" s="28">
        <v>211301</v>
      </c>
      <c r="M29" s="28" t="str">
        <f t="shared" si="0"/>
        <v>211301</v>
      </c>
      <c r="N29"/>
      <c r="O29"/>
    </row>
    <row r="30" spans="1:15" x14ac:dyDescent="0.25">
      <c r="A30" t="s">
        <v>1471</v>
      </c>
      <c r="B30" t="s">
        <v>3038</v>
      </c>
      <c r="C30" t="s">
        <v>118</v>
      </c>
      <c r="D30" t="s">
        <v>2989</v>
      </c>
      <c r="E30" t="s">
        <v>192</v>
      </c>
      <c r="F30" s="28">
        <v>1</v>
      </c>
      <c r="G30" t="s">
        <v>193</v>
      </c>
      <c r="H30" t="s">
        <v>194</v>
      </c>
      <c r="I30" t="s">
        <v>2774</v>
      </c>
      <c r="J30" t="s">
        <v>1473</v>
      </c>
      <c r="K30">
        <v>18</v>
      </c>
      <c r="L30" s="28">
        <v>211302</v>
      </c>
      <c r="M30" s="28" t="str">
        <f t="shared" si="0"/>
        <v>211302</v>
      </c>
      <c r="N30"/>
      <c r="O30"/>
    </row>
    <row r="31" spans="1:15" x14ac:dyDescent="0.25">
      <c r="A31" t="s">
        <v>2882</v>
      </c>
      <c r="B31" t="s">
        <v>2883</v>
      </c>
      <c r="C31" t="s">
        <v>2884</v>
      </c>
      <c r="D31" t="s">
        <v>2880</v>
      </c>
      <c r="E31" t="s">
        <v>217</v>
      </c>
      <c r="F31" s="76">
        <v>0</v>
      </c>
      <c r="G31" s="75" t="s">
        <v>194</v>
      </c>
      <c r="H31" t="s">
        <v>193</v>
      </c>
      <c r="I31" t="s">
        <v>2774</v>
      </c>
      <c r="J31" t="s">
        <v>2885</v>
      </c>
      <c r="K31">
        <v>18</v>
      </c>
      <c r="L31" s="28">
        <v>712101</v>
      </c>
      <c r="M31" s="28" t="str">
        <f t="shared" si="0"/>
        <v>712101</v>
      </c>
      <c r="N31" s="28">
        <v>1</v>
      </c>
    </row>
    <row r="32" spans="1:15" x14ac:dyDescent="0.25">
      <c r="A32" t="s">
        <v>1812</v>
      </c>
      <c r="B32" t="s">
        <v>1813</v>
      </c>
      <c r="C32" t="s">
        <v>81</v>
      </c>
      <c r="D32" t="s">
        <v>3089</v>
      </c>
      <c r="E32" t="s">
        <v>192</v>
      </c>
      <c r="F32" s="28">
        <v>1</v>
      </c>
      <c r="G32" t="s">
        <v>193</v>
      </c>
      <c r="H32" t="s">
        <v>194</v>
      </c>
      <c r="I32" t="s">
        <v>3081</v>
      </c>
      <c r="J32" t="s">
        <v>210</v>
      </c>
      <c r="K32">
        <v>18</v>
      </c>
      <c r="L32" s="28">
        <v>242105</v>
      </c>
      <c r="M32" s="28" t="str">
        <f t="shared" si="0"/>
        <v>242105</v>
      </c>
      <c r="N32"/>
      <c r="O32"/>
    </row>
    <row r="33" spans="1:15" x14ac:dyDescent="0.25">
      <c r="A33" t="s">
        <v>940</v>
      </c>
      <c r="B33" t="s">
        <v>3119</v>
      </c>
      <c r="C33" t="s">
        <v>1661</v>
      </c>
      <c r="D33" t="s">
        <v>3089</v>
      </c>
      <c r="E33" t="s">
        <v>192</v>
      </c>
      <c r="F33" s="28">
        <v>1</v>
      </c>
      <c r="G33" t="s">
        <v>193</v>
      </c>
      <c r="H33" t="s">
        <v>194</v>
      </c>
      <c r="I33" t="s">
        <v>3081</v>
      </c>
      <c r="J33" t="s">
        <v>267</v>
      </c>
      <c r="K33">
        <v>18</v>
      </c>
      <c r="L33" s="28">
        <v>241202</v>
      </c>
      <c r="M33" s="28" t="str">
        <f t="shared" si="0"/>
        <v>241202</v>
      </c>
      <c r="N33"/>
      <c r="O33"/>
    </row>
    <row r="34" spans="1:15" x14ac:dyDescent="0.25">
      <c r="A34" t="s">
        <v>1211</v>
      </c>
      <c r="B34" t="s">
        <v>537</v>
      </c>
      <c r="C34" t="s">
        <v>778</v>
      </c>
      <c r="D34" t="s">
        <v>2790</v>
      </c>
      <c r="E34" t="s">
        <v>192</v>
      </c>
      <c r="F34" s="28">
        <v>1</v>
      </c>
      <c r="G34" t="s">
        <v>193</v>
      </c>
      <c r="H34" t="s">
        <v>194</v>
      </c>
      <c r="I34" t="s">
        <v>2749</v>
      </c>
      <c r="J34" t="s">
        <v>367</v>
      </c>
      <c r="K34">
        <v>18</v>
      </c>
      <c r="L34" s="28">
        <v>524902</v>
      </c>
      <c r="M34" s="28" t="str">
        <f t="shared" si="0"/>
        <v>524902</v>
      </c>
      <c r="N34"/>
      <c r="O34"/>
    </row>
    <row r="35" spans="1:15" x14ac:dyDescent="0.25">
      <c r="A35" t="s">
        <v>1168</v>
      </c>
      <c r="B35" t="s">
        <v>2841</v>
      </c>
      <c r="C35" t="s">
        <v>778</v>
      </c>
      <c r="D35" t="s">
        <v>2790</v>
      </c>
      <c r="E35" t="s">
        <v>217</v>
      </c>
      <c r="F35" s="28">
        <v>1</v>
      </c>
      <c r="G35" t="s">
        <v>193</v>
      </c>
      <c r="H35" t="s">
        <v>194</v>
      </c>
      <c r="I35" t="s">
        <v>2749</v>
      </c>
      <c r="J35" t="s">
        <v>253</v>
      </c>
      <c r="K35">
        <v>18</v>
      </c>
      <c r="L35" s="28">
        <v>524902</v>
      </c>
      <c r="M35" s="28" t="str">
        <f t="shared" si="0"/>
        <v>524902</v>
      </c>
      <c r="N35"/>
      <c r="O35"/>
    </row>
    <row r="36" spans="1:15" x14ac:dyDescent="0.25">
      <c r="A36" t="s">
        <v>1340</v>
      </c>
      <c r="B36" t="s">
        <v>778</v>
      </c>
      <c r="C36" t="s">
        <v>778</v>
      </c>
      <c r="D36" t="s">
        <v>2790</v>
      </c>
      <c r="E36" t="s">
        <v>192</v>
      </c>
      <c r="F36" s="28">
        <v>1</v>
      </c>
      <c r="G36" t="s">
        <v>193</v>
      </c>
      <c r="H36" t="s">
        <v>194</v>
      </c>
      <c r="I36" t="s">
        <v>2749</v>
      </c>
      <c r="J36" t="s">
        <v>253</v>
      </c>
      <c r="K36">
        <v>18</v>
      </c>
      <c r="L36" s="28">
        <v>524902</v>
      </c>
      <c r="M36" s="28" t="str">
        <f t="shared" si="0"/>
        <v>524902</v>
      </c>
      <c r="N36"/>
      <c r="O36"/>
    </row>
    <row r="37" spans="1:15" x14ac:dyDescent="0.25">
      <c r="A37" t="s">
        <v>258</v>
      </c>
      <c r="B37" t="s">
        <v>537</v>
      </c>
      <c r="C37" t="s">
        <v>778</v>
      </c>
      <c r="D37" t="s">
        <v>2891</v>
      </c>
      <c r="E37" t="s">
        <v>192</v>
      </c>
      <c r="F37" s="28">
        <v>1</v>
      </c>
      <c r="G37" t="s">
        <v>193</v>
      </c>
      <c r="H37" t="s">
        <v>194</v>
      </c>
      <c r="I37" t="s">
        <v>2892</v>
      </c>
      <c r="J37" t="s">
        <v>408</v>
      </c>
      <c r="K37">
        <v>18</v>
      </c>
      <c r="L37" s="28">
        <v>524902</v>
      </c>
      <c r="M37" s="28" t="str">
        <f t="shared" si="0"/>
        <v>524902</v>
      </c>
      <c r="N37"/>
      <c r="O37"/>
    </row>
    <row r="38" spans="1:15" x14ac:dyDescent="0.25">
      <c r="A38" t="s">
        <v>2922</v>
      </c>
      <c r="B38" t="s">
        <v>537</v>
      </c>
      <c r="C38" t="s">
        <v>778</v>
      </c>
      <c r="D38" t="s">
        <v>2891</v>
      </c>
      <c r="E38" t="s">
        <v>192</v>
      </c>
      <c r="F38" s="28">
        <v>1</v>
      </c>
      <c r="G38" t="s">
        <v>193</v>
      </c>
      <c r="H38" t="s">
        <v>194</v>
      </c>
      <c r="I38" t="s">
        <v>2892</v>
      </c>
      <c r="J38" t="s">
        <v>210</v>
      </c>
      <c r="K38">
        <v>18</v>
      </c>
      <c r="L38" s="28">
        <v>524902</v>
      </c>
      <c r="M38" s="28" t="str">
        <f t="shared" si="0"/>
        <v>524902</v>
      </c>
      <c r="N38"/>
      <c r="O38"/>
    </row>
    <row r="39" spans="1:15" x14ac:dyDescent="0.25">
      <c r="A39" t="s">
        <v>2936</v>
      </c>
      <c r="B39" t="s">
        <v>2937</v>
      </c>
      <c r="C39" t="s">
        <v>778</v>
      </c>
      <c r="D39" t="s">
        <v>2891</v>
      </c>
      <c r="E39" t="s">
        <v>192</v>
      </c>
      <c r="F39" s="28">
        <v>1</v>
      </c>
      <c r="G39" t="s">
        <v>193</v>
      </c>
      <c r="H39" t="s">
        <v>194</v>
      </c>
      <c r="I39" t="s">
        <v>2934</v>
      </c>
      <c r="J39" t="s">
        <v>210</v>
      </c>
      <c r="K39">
        <v>18</v>
      </c>
      <c r="L39" s="28">
        <v>524902</v>
      </c>
      <c r="M39" s="28" t="str">
        <f t="shared" si="0"/>
        <v>524902</v>
      </c>
      <c r="N39"/>
      <c r="O39"/>
    </row>
    <row r="40" spans="1:15" x14ac:dyDescent="0.25">
      <c r="A40" t="s">
        <v>1168</v>
      </c>
      <c r="B40" t="s">
        <v>537</v>
      </c>
      <c r="C40" t="s">
        <v>778</v>
      </c>
      <c r="D40" t="s">
        <v>2891</v>
      </c>
      <c r="E40" t="s">
        <v>192</v>
      </c>
      <c r="F40" s="28">
        <v>1</v>
      </c>
      <c r="G40" t="s">
        <v>193</v>
      </c>
      <c r="H40" t="s">
        <v>194</v>
      </c>
      <c r="I40" t="s">
        <v>2892</v>
      </c>
      <c r="J40" t="s">
        <v>253</v>
      </c>
      <c r="K40">
        <v>18</v>
      </c>
      <c r="L40" s="28">
        <v>524902</v>
      </c>
      <c r="M40" s="28" t="str">
        <f t="shared" si="0"/>
        <v>524902</v>
      </c>
      <c r="N40"/>
      <c r="O40"/>
    </row>
    <row r="41" spans="1:15" x14ac:dyDescent="0.25">
      <c r="A41" t="s">
        <v>258</v>
      </c>
      <c r="B41" t="s">
        <v>537</v>
      </c>
      <c r="C41" t="s">
        <v>778</v>
      </c>
      <c r="D41" t="s">
        <v>3089</v>
      </c>
      <c r="E41" t="s">
        <v>192</v>
      </c>
      <c r="F41" s="28">
        <v>1</v>
      </c>
      <c r="G41" t="s">
        <v>193</v>
      </c>
      <c r="H41" t="s">
        <v>194</v>
      </c>
      <c r="I41" t="s">
        <v>2892</v>
      </c>
      <c r="J41" t="s">
        <v>747</v>
      </c>
      <c r="K41">
        <v>18</v>
      </c>
      <c r="L41" s="28">
        <v>524902</v>
      </c>
      <c r="M41" s="28" t="str">
        <f t="shared" si="0"/>
        <v>524902</v>
      </c>
      <c r="N41"/>
      <c r="O41"/>
    </row>
    <row r="42" spans="1:15" x14ac:dyDescent="0.25">
      <c r="A42" t="s">
        <v>3106</v>
      </c>
      <c r="B42" t="s">
        <v>537</v>
      </c>
      <c r="C42" t="s">
        <v>778</v>
      </c>
      <c r="D42" t="s">
        <v>3089</v>
      </c>
      <c r="E42" t="s">
        <v>192</v>
      </c>
      <c r="F42" s="28">
        <v>7</v>
      </c>
      <c r="G42" t="s">
        <v>193</v>
      </c>
      <c r="H42" t="s">
        <v>194</v>
      </c>
      <c r="I42" t="s">
        <v>2892</v>
      </c>
      <c r="J42" t="s">
        <v>276</v>
      </c>
      <c r="K42">
        <v>18</v>
      </c>
      <c r="L42" s="28">
        <v>524902</v>
      </c>
      <c r="M42" s="28" t="str">
        <f t="shared" si="0"/>
        <v>524902</v>
      </c>
      <c r="N42"/>
      <c r="O42"/>
    </row>
    <row r="43" spans="1:15" x14ac:dyDescent="0.25">
      <c r="A43" t="s">
        <v>3107</v>
      </c>
      <c r="B43" t="s">
        <v>537</v>
      </c>
      <c r="C43" t="s">
        <v>778</v>
      </c>
      <c r="D43" t="s">
        <v>3089</v>
      </c>
      <c r="E43" t="s">
        <v>233</v>
      </c>
      <c r="F43" s="28">
        <v>1</v>
      </c>
      <c r="G43" t="s">
        <v>193</v>
      </c>
      <c r="H43" t="s">
        <v>194</v>
      </c>
      <c r="I43" t="s">
        <v>2892</v>
      </c>
      <c r="J43" t="s">
        <v>3108</v>
      </c>
      <c r="K43">
        <v>18</v>
      </c>
      <c r="L43" s="28">
        <v>524902</v>
      </c>
      <c r="M43" s="28" t="str">
        <f t="shared" si="0"/>
        <v>524902</v>
      </c>
      <c r="N43"/>
      <c r="O43"/>
    </row>
    <row r="44" spans="1:15" x14ac:dyDescent="0.25">
      <c r="A44" t="s">
        <v>1721</v>
      </c>
      <c r="B44" t="s">
        <v>537</v>
      </c>
      <c r="C44" t="s">
        <v>778</v>
      </c>
      <c r="D44" t="s">
        <v>3089</v>
      </c>
      <c r="E44" t="s">
        <v>192</v>
      </c>
      <c r="F44" s="28">
        <v>1</v>
      </c>
      <c r="G44" t="s">
        <v>193</v>
      </c>
      <c r="H44" t="s">
        <v>194</v>
      </c>
      <c r="I44" t="s">
        <v>2892</v>
      </c>
      <c r="J44" t="s">
        <v>223</v>
      </c>
      <c r="K44">
        <v>18</v>
      </c>
      <c r="L44" s="28">
        <v>524902</v>
      </c>
      <c r="M44" s="28" t="str">
        <f t="shared" si="0"/>
        <v>524902</v>
      </c>
      <c r="N44"/>
      <c r="O44"/>
    </row>
    <row r="45" spans="1:15" x14ac:dyDescent="0.25">
      <c r="A45" t="s">
        <v>3165</v>
      </c>
      <c r="B45" t="s">
        <v>404</v>
      </c>
      <c r="C45" t="s">
        <v>778</v>
      </c>
      <c r="D45" t="s">
        <v>3089</v>
      </c>
      <c r="E45" t="s">
        <v>192</v>
      </c>
      <c r="F45" s="28">
        <v>1</v>
      </c>
      <c r="G45" t="s">
        <v>193</v>
      </c>
      <c r="H45" t="s">
        <v>194</v>
      </c>
      <c r="I45" t="s">
        <v>2749</v>
      </c>
      <c r="J45" t="s">
        <v>385</v>
      </c>
      <c r="K45">
        <v>18</v>
      </c>
      <c r="L45" s="28">
        <v>524902</v>
      </c>
      <c r="M45" s="28" t="str">
        <f t="shared" si="0"/>
        <v>524902</v>
      </c>
      <c r="N45"/>
      <c r="O45"/>
    </row>
    <row r="46" spans="1:15" x14ac:dyDescent="0.25">
      <c r="A46" t="s">
        <v>1112</v>
      </c>
      <c r="B46" t="s">
        <v>537</v>
      </c>
      <c r="C46" t="s">
        <v>778</v>
      </c>
      <c r="D46" t="s">
        <v>3167</v>
      </c>
      <c r="E46" t="s">
        <v>192</v>
      </c>
      <c r="F46" s="28">
        <v>1</v>
      </c>
      <c r="G46" t="s">
        <v>193</v>
      </c>
      <c r="H46" t="s">
        <v>194</v>
      </c>
      <c r="I46" t="s">
        <v>2892</v>
      </c>
      <c r="J46" t="s">
        <v>210</v>
      </c>
      <c r="K46">
        <v>18</v>
      </c>
      <c r="L46" s="28">
        <v>524902</v>
      </c>
      <c r="M46" s="28" t="str">
        <f t="shared" si="0"/>
        <v>524902</v>
      </c>
      <c r="N46"/>
      <c r="O46"/>
    </row>
    <row r="47" spans="1:15" x14ac:dyDescent="0.25">
      <c r="A47" t="s">
        <v>1211</v>
      </c>
      <c r="B47" t="s">
        <v>537</v>
      </c>
      <c r="C47" t="s">
        <v>778</v>
      </c>
      <c r="D47" t="s">
        <v>3252</v>
      </c>
      <c r="E47" t="s">
        <v>192</v>
      </c>
      <c r="F47" s="28">
        <v>1</v>
      </c>
      <c r="G47" t="s">
        <v>193</v>
      </c>
      <c r="H47" t="s">
        <v>194</v>
      </c>
      <c r="I47" t="s">
        <v>2990</v>
      </c>
      <c r="J47" t="s">
        <v>367</v>
      </c>
      <c r="K47">
        <v>18</v>
      </c>
      <c r="L47" s="28">
        <v>524902</v>
      </c>
      <c r="M47" s="28" t="str">
        <f t="shared" si="0"/>
        <v>524902</v>
      </c>
      <c r="N47"/>
      <c r="O47"/>
    </row>
    <row r="48" spans="1:15" x14ac:dyDescent="0.25">
      <c r="A48" t="s">
        <v>3107</v>
      </c>
      <c r="B48" t="s">
        <v>537</v>
      </c>
      <c r="C48" t="s">
        <v>778</v>
      </c>
      <c r="D48" t="s">
        <v>3252</v>
      </c>
      <c r="E48" t="s">
        <v>233</v>
      </c>
      <c r="F48" s="28">
        <v>1</v>
      </c>
      <c r="G48" t="s">
        <v>193</v>
      </c>
      <c r="H48" t="s">
        <v>194</v>
      </c>
      <c r="I48" t="s">
        <v>2990</v>
      </c>
      <c r="J48" t="s">
        <v>385</v>
      </c>
      <c r="K48">
        <v>18</v>
      </c>
      <c r="L48" s="28">
        <v>524902</v>
      </c>
      <c r="M48" s="28" t="str">
        <f t="shared" si="0"/>
        <v>524902</v>
      </c>
      <c r="N48"/>
      <c r="O48"/>
    </row>
    <row r="49" spans="1:15" x14ac:dyDescent="0.25">
      <c r="A49" t="s">
        <v>1823</v>
      </c>
      <c r="B49" t="s">
        <v>537</v>
      </c>
      <c r="C49" t="s">
        <v>778</v>
      </c>
      <c r="D49" t="s">
        <v>3252</v>
      </c>
      <c r="E49" t="s">
        <v>233</v>
      </c>
      <c r="F49" s="28">
        <v>1</v>
      </c>
      <c r="G49" t="s">
        <v>193</v>
      </c>
      <c r="H49" t="s">
        <v>194</v>
      </c>
      <c r="I49" t="s">
        <v>2990</v>
      </c>
      <c r="J49" t="s">
        <v>1291</v>
      </c>
      <c r="K49">
        <v>18</v>
      </c>
      <c r="L49" s="28">
        <v>524902</v>
      </c>
      <c r="M49" s="28" t="str">
        <f t="shared" si="0"/>
        <v>524902</v>
      </c>
      <c r="N49"/>
      <c r="O49"/>
    </row>
    <row r="50" spans="1:15" x14ac:dyDescent="0.25">
      <c r="A50" t="s">
        <v>263</v>
      </c>
      <c r="B50" t="s">
        <v>537</v>
      </c>
      <c r="C50" t="s">
        <v>778</v>
      </c>
      <c r="D50" t="s">
        <v>3252</v>
      </c>
      <c r="E50" t="s">
        <v>217</v>
      </c>
      <c r="F50" s="28">
        <v>1</v>
      </c>
      <c r="G50" t="s">
        <v>193</v>
      </c>
      <c r="H50" t="s">
        <v>194</v>
      </c>
      <c r="I50" t="s">
        <v>2990</v>
      </c>
      <c r="J50" t="s">
        <v>210</v>
      </c>
      <c r="K50">
        <v>18</v>
      </c>
      <c r="L50" s="28">
        <v>524902</v>
      </c>
      <c r="M50" s="28" t="str">
        <f t="shared" si="0"/>
        <v>524902</v>
      </c>
      <c r="N50"/>
      <c r="O50"/>
    </row>
    <row r="51" spans="1:15" x14ac:dyDescent="0.25">
      <c r="A51" t="s">
        <v>263</v>
      </c>
      <c r="B51" t="s">
        <v>537</v>
      </c>
      <c r="C51" t="s">
        <v>778</v>
      </c>
      <c r="D51" t="s">
        <v>3252</v>
      </c>
      <c r="E51" t="s">
        <v>217</v>
      </c>
      <c r="F51" s="28">
        <v>1</v>
      </c>
      <c r="G51" t="s">
        <v>193</v>
      </c>
      <c r="H51" t="s">
        <v>194</v>
      </c>
      <c r="I51" t="s">
        <v>2749</v>
      </c>
      <c r="J51" t="s">
        <v>210</v>
      </c>
      <c r="K51">
        <v>18</v>
      </c>
      <c r="L51" s="28">
        <v>524902</v>
      </c>
      <c r="M51" s="28" t="str">
        <f t="shared" si="0"/>
        <v>524902</v>
      </c>
      <c r="N51"/>
      <c r="O51"/>
    </row>
    <row r="52" spans="1:15" x14ac:dyDescent="0.25">
      <c r="A52" t="s">
        <v>2930</v>
      </c>
      <c r="B52" t="s">
        <v>2931</v>
      </c>
      <c r="C52" t="s">
        <v>167</v>
      </c>
      <c r="D52" t="s">
        <v>2891</v>
      </c>
      <c r="E52" t="s">
        <v>252</v>
      </c>
      <c r="F52" s="28">
        <v>1</v>
      </c>
      <c r="G52" t="s">
        <v>193</v>
      </c>
      <c r="H52" t="s">
        <v>194</v>
      </c>
      <c r="I52" t="s">
        <v>2880</v>
      </c>
      <c r="J52" t="s">
        <v>253</v>
      </c>
      <c r="K52">
        <v>18</v>
      </c>
      <c r="L52" s="28">
        <v>621001</v>
      </c>
      <c r="M52" s="28" t="str">
        <f t="shared" si="0"/>
        <v>621001</v>
      </c>
      <c r="N52"/>
      <c r="O52"/>
    </row>
    <row r="53" spans="1:15" x14ac:dyDescent="0.25">
      <c r="A53" t="s">
        <v>1340</v>
      </c>
      <c r="B53" t="s">
        <v>3230</v>
      </c>
      <c r="C53" t="s">
        <v>3231</v>
      </c>
      <c r="D53" t="s">
        <v>3167</v>
      </c>
      <c r="E53" t="s">
        <v>192</v>
      </c>
      <c r="F53" s="28">
        <v>1</v>
      </c>
      <c r="G53" t="s">
        <v>193</v>
      </c>
      <c r="H53" t="s">
        <v>194</v>
      </c>
      <c r="I53" t="s">
        <v>3131</v>
      </c>
      <c r="J53" t="s">
        <v>210</v>
      </c>
      <c r="K53">
        <v>18</v>
      </c>
      <c r="L53" s="28">
        <v>112001</v>
      </c>
      <c r="M53" s="28" t="str">
        <f t="shared" si="0"/>
        <v>112001</v>
      </c>
      <c r="N53"/>
      <c r="O53"/>
    </row>
    <row r="54" spans="1:15" x14ac:dyDescent="0.25">
      <c r="A54" t="s">
        <v>1610</v>
      </c>
      <c r="B54" t="s">
        <v>1846</v>
      </c>
      <c r="C54" t="s">
        <v>1133</v>
      </c>
      <c r="D54" t="s">
        <v>3089</v>
      </c>
      <c r="E54" t="s">
        <v>192</v>
      </c>
      <c r="F54" s="28">
        <v>1</v>
      </c>
      <c r="G54" t="s">
        <v>193</v>
      </c>
      <c r="H54" t="s">
        <v>194</v>
      </c>
      <c r="I54" t="s">
        <v>2990</v>
      </c>
      <c r="J54" t="s">
        <v>267</v>
      </c>
      <c r="K54">
        <v>18</v>
      </c>
      <c r="L54" s="28">
        <v>112008</v>
      </c>
      <c r="M54" s="28" t="str">
        <f t="shared" si="0"/>
        <v>112008</v>
      </c>
      <c r="N54"/>
      <c r="O54"/>
    </row>
    <row r="55" spans="1:15" x14ac:dyDescent="0.25">
      <c r="A55" t="s">
        <v>3189</v>
      </c>
      <c r="B55" t="s">
        <v>3190</v>
      </c>
      <c r="C55" t="s">
        <v>3191</v>
      </c>
      <c r="D55" t="s">
        <v>3167</v>
      </c>
      <c r="E55" t="s">
        <v>192</v>
      </c>
      <c r="F55" s="28">
        <v>1</v>
      </c>
      <c r="G55" t="s">
        <v>193</v>
      </c>
      <c r="H55" t="s">
        <v>194</v>
      </c>
      <c r="I55" t="s">
        <v>3131</v>
      </c>
      <c r="J55" t="s">
        <v>3148</v>
      </c>
      <c r="K55">
        <v>18</v>
      </c>
      <c r="L55" s="28">
        <v>112011</v>
      </c>
      <c r="M55" s="28" t="str">
        <f t="shared" si="0"/>
        <v>112011</v>
      </c>
      <c r="N55"/>
      <c r="O55"/>
    </row>
    <row r="56" spans="1:15" x14ac:dyDescent="0.25">
      <c r="A56" t="s">
        <v>1483</v>
      </c>
      <c r="B56" t="s">
        <v>3208</v>
      </c>
      <c r="C56" t="s">
        <v>190</v>
      </c>
      <c r="D56" t="s">
        <v>3167</v>
      </c>
      <c r="E56" t="s">
        <v>192</v>
      </c>
      <c r="F56" s="76">
        <v>0</v>
      </c>
      <c r="G56" s="75" t="s">
        <v>194</v>
      </c>
      <c r="H56" t="s">
        <v>193</v>
      </c>
      <c r="I56" t="s">
        <v>3131</v>
      </c>
      <c r="J56" t="s">
        <v>1486</v>
      </c>
      <c r="K56">
        <v>18</v>
      </c>
      <c r="L56" s="28">
        <v>112012</v>
      </c>
      <c r="M56" s="28" t="str">
        <f t="shared" si="0"/>
        <v>112012</v>
      </c>
      <c r="N56" s="28">
        <v>1</v>
      </c>
    </row>
    <row r="57" spans="1:15" x14ac:dyDescent="0.25">
      <c r="A57" t="s">
        <v>540</v>
      </c>
      <c r="B57" t="s">
        <v>2390</v>
      </c>
      <c r="C57" t="s">
        <v>1851</v>
      </c>
      <c r="D57" t="s">
        <v>2749</v>
      </c>
      <c r="E57" t="s">
        <v>217</v>
      </c>
      <c r="F57" s="28">
        <v>1</v>
      </c>
      <c r="G57" t="s">
        <v>193</v>
      </c>
      <c r="H57" t="s">
        <v>194</v>
      </c>
      <c r="I57" t="s">
        <v>2750</v>
      </c>
      <c r="J57" t="s">
        <v>210</v>
      </c>
      <c r="K57">
        <v>18</v>
      </c>
      <c r="L57" s="28">
        <v>112014</v>
      </c>
      <c r="M57" s="28" t="str">
        <f t="shared" si="0"/>
        <v>112014</v>
      </c>
      <c r="N57"/>
      <c r="O57"/>
    </row>
    <row r="58" spans="1:15" x14ac:dyDescent="0.25">
      <c r="A58" t="s">
        <v>2825</v>
      </c>
      <c r="B58" t="s">
        <v>209</v>
      </c>
      <c r="C58" t="s">
        <v>1851</v>
      </c>
      <c r="D58" t="s">
        <v>2790</v>
      </c>
      <c r="E58" t="s">
        <v>192</v>
      </c>
      <c r="F58" s="28">
        <v>1</v>
      </c>
      <c r="G58" t="s">
        <v>193</v>
      </c>
      <c r="H58" t="s">
        <v>194</v>
      </c>
      <c r="I58" t="s">
        <v>2749</v>
      </c>
      <c r="J58" t="s">
        <v>210</v>
      </c>
      <c r="K58">
        <v>18</v>
      </c>
      <c r="L58" s="28">
        <v>112014</v>
      </c>
      <c r="M58" s="28" t="str">
        <f t="shared" si="0"/>
        <v>112014</v>
      </c>
      <c r="N58"/>
      <c r="O58"/>
    </row>
    <row r="59" spans="1:15" x14ac:dyDescent="0.25">
      <c r="A59" t="s">
        <v>1381</v>
      </c>
      <c r="B59" t="s">
        <v>1856</v>
      </c>
      <c r="C59" t="s">
        <v>1851</v>
      </c>
      <c r="D59" t="s">
        <v>2989</v>
      </c>
      <c r="E59" t="s">
        <v>192</v>
      </c>
      <c r="F59" s="28">
        <v>1</v>
      </c>
      <c r="G59" t="s">
        <v>193</v>
      </c>
      <c r="H59" t="s">
        <v>194</v>
      </c>
      <c r="I59" t="s">
        <v>2971</v>
      </c>
      <c r="J59" t="s">
        <v>210</v>
      </c>
      <c r="K59">
        <v>18</v>
      </c>
      <c r="L59" s="28">
        <v>112014</v>
      </c>
      <c r="M59" s="28" t="str">
        <f t="shared" si="0"/>
        <v>112014</v>
      </c>
      <c r="N59"/>
      <c r="O59"/>
    </row>
    <row r="60" spans="1:15" x14ac:dyDescent="0.25">
      <c r="A60" t="s">
        <v>1091</v>
      </c>
      <c r="B60" t="s">
        <v>2767</v>
      </c>
      <c r="C60" s="165" t="s">
        <v>525</v>
      </c>
      <c r="D60" t="s">
        <v>2749</v>
      </c>
      <c r="E60" t="s">
        <v>217</v>
      </c>
      <c r="F60" s="28">
        <v>1</v>
      </c>
      <c r="G60" t="s">
        <v>193</v>
      </c>
      <c r="H60" t="s">
        <v>194</v>
      </c>
      <c r="I60" t="s">
        <v>2750</v>
      </c>
      <c r="J60" t="s">
        <v>210</v>
      </c>
      <c r="K60">
        <v>18</v>
      </c>
      <c r="L60" s="28">
        <v>263102</v>
      </c>
      <c r="M60" s="28" t="str">
        <f t="shared" si="0"/>
        <v>263102</v>
      </c>
      <c r="N60"/>
      <c r="O60"/>
    </row>
    <row r="61" spans="1:15" x14ac:dyDescent="0.25">
      <c r="A61" t="s">
        <v>2823</v>
      </c>
      <c r="B61" t="s">
        <v>2824</v>
      </c>
      <c r="C61" s="165" t="s">
        <v>525</v>
      </c>
      <c r="D61" t="s">
        <v>2790</v>
      </c>
      <c r="E61" t="s">
        <v>192</v>
      </c>
      <c r="F61" s="28">
        <v>1</v>
      </c>
      <c r="G61" t="s">
        <v>193</v>
      </c>
      <c r="H61" t="s">
        <v>194</v>
      </c>
      <c r="I61" t="s">
        <v>2749</v>
      </c>
      <c r="J61" t="s">
        <v>276</v>
      </c>
      <c r="K61">
        <v>18</v>
      </c>
      <c r="L61" s="28">
        <v>263102</v>
      </c>
      <c r="M61" s="28" t="str">
        <f t="shared" si="0"/>
        <v>263102</v>
      </c>
      <c r="N61"/>
      <c r="O61"/>
    </row>
    <row r="62" spans="1:15" x14ac:dyDescent="0.25">
      <c r="A62" t="s">
        <v>349</v>
      </c>
      <c r="B62" t="s">
        <v>2840</v>
      </c>
      <c r="C62" s="165" t="s">
        <v>525</v>
      </c>
      <c r="D62" t="s">
        <v>2790</v>
      </c>
      <c r="E62" t="s">
        <v>192</v>
      </c>
      <c r="F62" s="28">
        <v>1</v>
      </c>
      <c r="G62" t="s">
        <v>193</v>
      </c>
      <c r="H62" t="s">
        <v>194</v>
      </c>
      <c r="I62" t="s">
        <v>2749</v>
      </c>
      <c r="J62" t="s">
        <v>2131</v>
      </c>
      <c r="K62">
        <v>18</v>
      </c>
      <c r="L62" s="28">
        <v>263102</v>
      </c>
      <c r="M62" s="28" t="str">
        <f t="shared" si="0"/>
        <v>263102</v>
      </c>
      <c r="N62"/>
      <c r="O62"/>
    </row>
    <row r="63" spans="1:15" x14ac:dyDescent="0.25">
      <c r="A63" t="s">
        <v>3096</v>
      </c>
      <c r="B63" t="s">
        <v>3097</v>
      </c>
      <c r="C63" s="165" t="s">
        <v>525</v>
      </c>
      <c r="D63" t="s">
        <v>3089</v>
      </c>
      <c r="E63" t="s">
        <v>192</v>
      </c>
      <c r="F63" s="28">
        <v>1</v>
      </c>
      <c r="G63" t="s">
        <v>193</v>
      </c>
      <c r="H63" t="s">
        <v>194</v>
      </c>
      <c r="I63" t="s">
        <v>3081</v>
      </c>
      <c r="J63" t="s">
        <v>962</v>
      </c>
      <c r="K63">
        <v>18</v>
      </c>
      <c r="L63" s="28">
        <v>263102</v>
      </c>
      <c r="M63" s="28" t="str">
        <f t="shared" si="0"/>
        <v>263102</v>
      </c>
      <c r="N63"/>
      <c r="O63"/>
    </row>
    <row r="64" spans="1:15" x14ac:dyDescent="0.25">
      <c r="A64" t="s">
        <v>2777</v>
      </c>
      <c r="B64" t="s">
        <v>419</v>
      </c>
      <c r="C64" s="165" t="s">
        <v>525</v>
      </c>
      <c r="D64" t="s">
        <v>3252</v>
      </c>
      <c r="E64" t="s">
        <v>192</v>
      </c>
      <c r="F64" s="28">
        <v>1</v>
      </c>
      <c r="G64" t="s">
        <v>193</v>
      </c>
      <c r="H64" t="s">
        <v>194</v>
      </c>
      <c r="I64" t="s">
        <v>2749</v>
      </c>
      <c r="J64" t="s">
        <v>267</v>
      </c>
      <c r="K64">
        <v>18</v>
      </c>
      <c r="L64" s="28">
        <v>263102</v>
      </c>
      <c r="M64" s="28" t="str">
        <f t="shared" si="0"/>
        <v>263102</v>
      </c>
      <c r="N64"/>
      <c r="O64"/>
    </row>
    <row r="65" spans="1:15" x14ac:dyDescent="0.25">
      <c r="A65" t="s">
        <v>1340</v>
      </c>
      <c r="B65" t="s">
        <v>1690</v>
      </c>
      <c r="C65" t="s">
        <v>110</v>
      </c>
      <c r="D65" t="s">
        <v>2982</v>
      </c>
      <c r="E65" t="s">
        <v>192</v>
      </c>
      <c r="F65" s="28">
        <v>1</v>
      </c>
      <c r="G65" t="s">
        <v>193</v>
      </c>
      <c r="H65" t="s">
        <v>194</v>
      </c>
      <c r="I65" t="s">
        <v>2971</v>
      </c>
      <c r="J65" t="s">
        <v>210</v>
      </c>
      <c r="K65">
        <v>18</v>
      </c>
      <c r="L65" s="28">
        <v>332201</v>
      </c>
      <c r="M65" s="28" t="str">
        <f t="shared" si="0"/>
        <v>332201</v>
      </c>
      <c r="N65"/>
      <c r="O65"/>
    </row>
    <row r="66" spans="1:15" x14ac:dyDescent="0.25">
      <c r="A66" t="s">
        <v>2939</v>
      </c>
      <c r="B66" t="s">
        <v>2940</v>
      </c>
      <c r="C66" t="s">
        <v>829</v>
      </c>
      <c r="D66" t="s">
        <v>2891</v>
      </c>
      <c r="E66" t="s">
        <v>252</v>
      </c>
      <c r="F66" s="28">
        <v>1</v>
      </c>
      <c r="G66" t="s">
        <v>193</v>
      </c>
      <c r="H66" t="s">
        <v>194</v>
      </c>
      <c r="I66" t="s">
        <v>2790</v>
      </c>
      <c r="J66" t="s">
        <v>210</v>
      </c>
      <c r="K66">
        <v>18</v>
      </c>
      <c r="L66" s="28">
        <v>741201</v>
      </c>
      <c r="M66" s="28" t="str">
        <f t="shared" si="0"/>
        <v>741201</v>
      </c>
      <c r="N66"/>
      <c r="O66"/>
    </row>
    <row r="67" spans="1:15" x14ac:dyDescent="0.25">
      <c r="A67" t="s">
        <v>1801</v>
      </c>
      <c r="B67" t="s">
        <v>831</v>
      </c>
      <c r="C67" t="s">
        <v>829</v>
      </c>
      <c r="D67" t="s">
        <v>2989</v>
      </c>
      <c r="E67" t="s">
        <v>192</v>
      </c>
      <c r="F67" s="28">
        <v>1</v>
      </c>
      <c r="G67" t="s">
        <v>193</v>
      </c>
      <c r="H67" t="s">
        <v>194</v>
      </c>
      <c r="I67" t="s">
        <v>2990</v>
      </c>
      <c r="J67" t="s">
        <v>575</v>
      </c>
      <c r="K67">
        <v>18</v>
      </c>
      <c r="L67" s="28">
        <v>741201</v>
      </c>
      <c r="M67" s="28" t="str">
        <f t="shared" ref="M67:M130" si="1">MID(L67,1,6)</f>
        <v>741201</v>
      </c>
      <c r="N67"/>
      <c r="O67"/>
    </row>
    <row r="68" spans="1:15" x14ac:dyDescent="0.25">
      <c r="A68" t="s">
        <v>3253</v>
      </c>
      <c r="B68" t="s">
        <v>836</v>
      </c>
      <c r="C68" t="s">
        <v>829</v>
      </c>
      <c r="D68" t="s">
        <v>3252</v>
      </c>
      <c r="E68" t="s">
        <v>192</v>
      </c>
      <c r="F68" s="28">
        <v>1</v>
      </c>
      <c r="G68" t="s">
        <v>193</v>
      </c>
      <c r="H68" t="s">
        <v>194</v>
      </c>
      <c r="I68" t="s">
        <v>3131</v>
      </c>
      <c r="J68" t="s">
        <v>2532</v>
      </c>
      <c r="K68">
        <v>18</v>
      </c>
      <c r="L68" s="28">
        <v>741201</v>
      </c>
      <c r="M68" s="28" t="str">
        <f t="shared" si="1"/>
        <v>741201</v>
      </c>
      <c r="N68"/>
      <c r="O68"/>
    </row>
    <row r="69" spans="1:15" x14ac:dyDescent="0.25">
      <c r="A69" t="s">
        <v>2758</v>
      </c>
      <c r="B69" t="s">
        <v>2759</v>
      </c>
      <c r="C69" t="s">
        <v>2760</v>
      </c>
      <c r="D69" t="s">
        <v>2749</v>
      </c>
      <c r="E69" t="s">
        <v>252</v>
      </c>
      <c r="F69" s="28">
        <v>1</v>
      </c>
      <c r="G69" t="s">
        <v>193</v>
      </c>
      <c r="H69" t="s">
        <v>194</v>
      </c>
      <c r="I69" t="s">
        <v>2750</v>
      </c>
      <c r="J69" t="s">
        <v>210</v>
      </c>
      <c r="K69">
        <v>18</v>
      </c>
      <c r="L69" s="28">
        <v>741301</v>
      </c>
      <c r="M69" s="28" t="str">
        <f t="shared" si="1"/>
        <v>741301</v>
      </c>
      <c r="N69"/>
      <c r="O69"/>
    </row>
    <row r="70" spans="1:15" x14ac:dyDescent="0.25">
      <c r="A70" t="s">
        <v>2957</v>
      </c>
      <c r="B70" t="s">
        <v>2958</v>
      </c>
      <c r="C70" t="s">
        <v>2760</v>
      </c>
      <c r="D70" t="s">
        <v>2891</v>
      </c>
      <c r="E70" t="s">
        <v>233</v>
      </c>
      <c r="F70" s="28">
        <v>1</v>
      </c>
      <c r="G70" t="s">
        <v>193</v>
      </c>
      <c r="H70" t="s">
        <v>194</v>
      </c>
      <c r="I70" t="s">
        <v>2790</v>
      </c>
      <c r="J70" t="s">
        <v>316</v>
      </c>
      <c r="K70">
        <v>18</v>
      </c>
      <c r="L70" s="28">
        <v>741301</v>
      </c>
      <c r="M70" s="28" t="str">
        <f t="shared" si="1"/>
        <v>741301</v>
      </c>
      <c r="N70"/>
      <c r="O70"/>
    </row>
    <row r="71" spans="1:15" x14ac:dyDescent="0.25">
      <c r="A71" t="s">
        <v>1230</v>
      </c>
      <c r="B71" t="s">
        <v>836</v>
      </c>
      <c r="C71" t="s">
        <v>2760</v>
      </c>
      <c r="D71" t="s">
        <v>3089</v>
      </c>
      <c r="E71" t="s">
        <v>192</v>
      </c>
      <c r="F71" s="28">
        <v>1</v>
      </c>
      <c r="G71" t="s">
        <v>193</v>
      </c>
      <c r="H71" t="s">
        <v>194</v>
      </c>
      <c r="I71" t="s">
        <v>2971</v>
      </c>
      <c r="J71" t="s">
        <v>196</v>
      </c>
      <c r="K71">
        <v>18</v>
      </c>
      <c r="L71" s="28">
        <v>741301</v>
      </c>
      <c r="M71" s="28" t="str">
        <f t="shared" si="1"/>
        <v>741301</v>
      </c>
      <c r="N71"/>
      <c r="O71"/>
    </row>
    <row r="72" spans="1:15" x14ac:dyDescent="0.25">
      <c r="A72" t="s">
        <v>3172</v>
      </c>
      <c r="B72" t="s">
        <v>1606</v>
      </c>
      <c r="C72" t="s">
        <v>22</v>
      </c>
      <c r="D72" t="s">
        <v>3167</v>
      </c>
      <c r="E72" t="s">
        <v>192</v>
      </c>
      <c r="F72" s="28">
        <v>1</v>
      </c>
      <c r="G72" t="s">
        <v>193</v>
      </c>
      <c r="H72" t="s">
        <v>194</v>
      </c>
      <c r="I72" t="s">
        <v>3131</v>
      </c>
      <c r="J72" t="s">
        <v>276</v>
      </c>
      <c r="K72">
        <v>18</v>
      </c>
      <c r="L72" s="28">
        <v>228101</v>
      </c>
      <c r="M72" s="28" t="str">
        <f t="shared" si="1"/>
        <v>228101</v>
      </c>
      <c r="N72"/>
      <c r="O72"/>
    </row>
    <row r="73" spans="1:15" x14ac:dyDescent="0.25">
      <c r="A73" t="s">
        <v>1468</v>
      </c>
      <c r="B73" t="s">
        <v>1454</v>
      </c>
      <c r="C73" t="s">
        <v>1454</v>
      </c>
      <c r="D73" t="s">
        <v>2891</v>
      </c>
      <c r="E73" t="s">
        <v>192</v>
      </c>
      <c r="F73" s="28">
        <v>1</v>
      </c>
      <c r="G73" t="s">
        <v>193</v>
      </c>
      <c r="H73" t="s">
        <v>194</v>
      </c>
      <c r="I73" t="s">
        <v>2892</v>
      </c>
      <c r="J73" t="s">
        <v>301</v>
      </c>
      <c r="K73">
        <v>18</v>
      </c>
      <c r="L73" s="28">
        <v>722301</v>
      </c>
      <c r="M73" s="28" t="str">
        <f t="shared" si="1"/>
        <v>722301</v>
      </c>
      <c r="N73"/>
      <c r="O73"/>
    </row>
    <row r="74" spans="1:15" x14ac:dyDescent="0.25">
      <c r="A74" t="s">
        <v>1091</v>
      </c>
      <c r="B74" t="s">
        <v>2765</v>
      </c>
      <c r="C74" t="s">
        <v>2766</v>
      </c>
      <c r="D74" t="s">
        <v>2749</v>
      </c>
      <c r="E74" t="s">
        <v>217</v>
      </c>
      <c r="F74" s="28">
        <v>1</v>
      </c>
      <c r="G74" t="s">
        <v>193</v>
      </c>
      <c r="H74" t="s">
        <v>194</v>
      </c>
      <c r="I74" t="s">
        <v>2750</v>
      </c>
      <c r="J74" t="s">
        <v>210</v>
      </c>
      <c r="K74">
        <v>18</v>
      </c>
      <c r="L74" s="28">
        <v>335101</v>
      </c>
      <c r="M74" s="28" t="str">
        <f t="shared" si="1"/>
        <v>335101</v>
      </c>
      <c r="N74"/>
      <c r="O74"/>
    </row>
    <row r="75" spans="1:15" x14ac:dyDescent="0.25">
      <c r="A75" t="s">
        <v>2914</v>
      </c>
      <c r="B75" t="s">
        <v>1524</v>
      </c>
      <c r="C75" t="s">
        <v>86</v>
      </c>
      <c r="D75" t="s">
        <v>2891</v>
      </c>
      <c r="E75" t="s">
        <v>192</v>
      </c>
      <c r="F75" s="28">
        <v>1</v>
      </c>
      <c r="G75" t="s">
        <v>193</v>
      </c>
      <c r="H75" t="s">
        <v>194</v>
      </c>
      <c r="I75" t="s">
        <v>2892</v>
      </c>
      <c r="J75" t="s">
        <v>210</v>
      </c>
      <c r="K75">
        <v>18</v>
      </c>
      <c r="L75" s="28">
        <v>121101</v>
      </c>
      <c r="M75" s="28" t="str">
        <f t="shared" si="1"/>
        <v>121101</v>
      </c>
      <c r="N75"/>
      <c r="O75"/>
    </row>
    <row r="76" spans="1:15" x14ac:dyDescent="0.25">
      <c r="A76" t="s">
        <v>478</v>
      </c>
      <c r="B76" t="s">
        <v>2964</v>
      </c>
      <c r="C76" t="s">
        <v>86</v>
      </c>
      <c r="D76" t="s">
        <v>2891</v>
      </c>
      <c r="E76" t="s">
        <v>192</v>
      </c>
      <c r="F76" s="28">
        <v>1</v>
      </c>
      <c r="G76" t="s">
        <v>193</v>
      </c>
      <c r="H76" t="s">
        <v>194</v>
      </c>
      <c r="I76" t="s">
        <v>2790</v>
      </c>
      <c r="J76" t="s">
        <v>210</v>
      </c>
      <c r="K76">
        <v>18</v>
      </c>
      <c r="L76" s="28">
        <v>121101</v>
      </c>
      <c r="M76" s="28" t="str">
        <f t="shared" si="1"/>
        <v>121101</v>
      </c>
      <c r="N76"/>
      <c r="O76"/>
    </row>
    <row r="77" spans="1:15" x14ac:dyDescent="0.25">
      <c r="A77" t="s">
        <v>562</v>
      </c>
      <c r="B77" t="s">
        <v>3005</v>
      </c>
      <c r="C77" t="s">
        <v>86</v>
      </c>
      <c r="D77" t="s">
        <v>2989</v>
      </c>
      <c r="E77" t="s">
        <v>192</v>
      </c>
      <c r="F77" s="28">
        <v>1</v>
      </c>
      <c r="G77" t="s">
        <v>193</v>
      </c>
      <c r="H77" t="s">
        <v>194</v>
      </c>
      <c r="I77" t="s">
        <v>2750</v>
      </c>
      <c r="J77" t="s">
        <v>253</v>
      </c>
      <c r="K77">
        <v>18</v>
      </c>
      <c r="L77" s="28">
        <v>121101</v>
      </c>
      <c r="M77" s="28" t="str">
        <f t="shared" si="1"/>
        <v>121101</v>
      </c>
      <c r="N77"/>
      <c r="O77"/>
    </row>
    <row r="78" spans="1:15" x14ac:dyDescent="0.25">
      <c r="A78" t="s">
        <v>3020</v>
      </c>
      <c r="B78" t="s">
        <v>3021</v>
      </c>
      <c r="C78" t="s">
        <v>86</v>
      </c>
      <c r="D78" t="s">
        <v>2989</v>
      </c>
      <c r="E78" t="s">
        <v>192</v>
      </c>
      <c r="F78" s="28">
        <v>1</v>
      </c>
      <c r="G78" t="s">
        <v>193</v>
      </c>
      <c r="H78" t="s">
        <v>194</v>
      </c>
      <c r="I78" t="s">
        <v>2774</v>
      </c>
      <c r="J78" t="s">
        <v>473</v>
      </c>
      <c r="K78">
        <v>18</v>
      </c>
      <c r="L78" s="28">
        <v>121101</v>
      </c>
      <c r="M78" s="28" t="str">
        <f t="shared" si="1"/>
        <v>121101</v>
      </c>
      <c r="N78"/>
      <c r="O78"/>
    </row>
    <row r="79" spans="1:15" x14ac:dyDescent="0.25">
      <c r="A79" t="s">
        <v>3286</v>
      </c>
      <c r="B79" t="s">
        <v>3287</v>
      </c>
      <c r="C79" t="s">
        <v>288</v>
      </c>
      <c r="D79" t="s">
        <v>3252</v>
      </c>
      <c r="E79" t="s">
        <v>217</v>
      </c>
      <c r="F79" s="28">
        <v>1</v>
      </c>
      <c r="G79" t="s">
        <v>193</v>
      </c>
      <c r="H79" t="s">
        <v>194</v>
      </c>
      <c r="I79" t="s">
        <v>2749</v>
      </c>
      <c r="J79" t="s">
        <v>253</v>
      </c>
      <c r="K79">
        <v>18</v>
      </c>
      <c r="L79" s="28">
        <v>214111</v>
      </c>
      <c r="M79" s="28" t="str">
        <f t="shared" si="1"/>
        <v>214111</v>
      </c>
      <c r="N79"/>
      <c r="O79"/>
    </row>
    <row r="80" spans="1:15" x14ac:dyDescent="0.25">
      <c r="A80" t="s">
        <v>3286</v>
      </c>
      <c r="B80" t="s">
        <v>3287</v>
      </c>
      <c r="C80" t="s">
        <v>288</v>
      </c>
      <c r="D80" t="s">
        <v>3252</v>
      </c>
      <c r="E80" t="s">
        <v>217</v>
      </c>
      <c r="F80" s="28">
        <v>1</v>
      </c>
      <c r="G80" t="s">
        <v>193</v>
      </c>
      <c r="H80" t="s">
        <v>194</v>
      </c>
      <c r="I80" t="s">
        <v>2749</v>
      </c>
      <c r="J80" t="s">
        <v>253</v>
      </c>
      <c r="K80">
        <v>18</v>
      </c>
      <c r="L80" s="28">
        <v>214111</v>
      </c>
      <c r="M80" s="28" t="str">
        <f t="shared" si="1"/>
        <v>214111</v>
      </c>
      <c r="N80"/>
      <c r="O80"/>
    </row>
    <row r="81" spans="1:15" x14ac:dyDescent="0.25">
      <c r="A81" t="s">
        <v>643</v>
      </c>
      <c r="B81" t="s">
        <v>2751</v>
      </c>
      <c r="C81" t="s">
        <v>2752</v>
      </c>
      <c r="D81" t="s">
        <v>2749</v>
      </c>
      <c r="E81" t="s">
        <v>252</v>
      </c>
      <c r="F81" s="28">
        <v>1</v>
      </c>
      <c r="G81" t="s">
        <v>193</v>
      </c>
      <c r="H81" t="s">
        <v>194</v>
      </c>
      <c r="I81" t="s">
        <v>2750</v>
      </c>
      <c r="J81" t="s">
        <v>253</v>
      </c>
      <c r="K81">
        <v>18</v>
      </c>
      <c r="L81" s="28">
        <v>811401</v>
      </c>
      <c r="M81" s="28" t="str">
        <f t="shared" si="1"/>
        <v>811401</v>
      </c>
      <c r="N81"/>
      <c r="O81"/>
    </row>
    <row r="82" spans="1:15" x14ac:dyDescent="0.25">
      <c r="A82" t="s">
        <v>3263</v>
      </c>
      <c r="B82" t="s">
        <v>3264</v>
      </c>
      <c r="C82" t="s">
        <v>1173</v>
      </c>
      <c r="D82" t="s">
        <v>3252</v>
      </c>
      <c r="E82" t="s">
        <v>192</v>
      </c>
      <c r="F82" s="28">
        <v>1</v>
      </c>
      <c r="G82" t="s">
        <v>193</v>
      </c>
      <c r="H82" t="s">
        <v>194</v>
      </c>
      <c r="I82" t="s">
        <v>3131</v>
      </c>
      <c r="J82" t="s">
        <v>196</v>
      </c>
      <c r="K82">
        <v>18</v>
      </c>
      <c r="L82" s="28">
        <v>112007</v>
      </c>
      <c r="M82" s="28" t="str">
        <f t="shared" si="1"/>
        <v>112007</v>
      </c>
      <c r="N82"/>
      <c r="O82"/>
    </row>
    <row r="83" spans="1:15" x14ac:dyDescent="0.25">
      <c r="A83" t="s">
        <v>2910</v>
      </c>
      <c r="B83" t="s">
        <v>2911</v>
      </c>
      <c r="C83" t="s">
        <v>2912</v>
      </c>
      <c r="D83" t="s">
        <v>2891</v>
      </c>
      <c r="E83" t="s">
        <v>233</v>
      </c>
      <c r="F83" s="28">
        <v>1</v>
      </c>
      <c r="G83" t="s">
        <v>193</v>
      </c>
      <c r="H83" t="s">
        <v>194</v>
      </c>
      <c r="I83" t="s">
        <v>2880</v>
      </c>
      <c r="J83" t="s">
        <v>210</v>
      </c>
      <c r="K83">
        <v>18</v>
      </c>
      <c r="L83" s="28">
        <v>325514</v>
      </c>
      <c r="M83" s="28" t="str">
        <f t="shared" si="1"/>
        <v>325514</v>
      </c>
      <c r="N83"/>
      <c r="O83"/>
    </row>
    <row r="84" spans="1:15" x14ac:dyDescent="0.25">
      <c r="A84" t="s">
        <v>3182</v>
      </c>
      <c r="B84" t="s">
        <v>3183</v>
      </c>
      <c r="C84" t="s">
        <v>3184</v>
      </c>
      <c r="D84" t="s">
        <v>3167</v>
      </c>
      <c r="E84" t="s">
        <v>192</v>
      </c>
      <c r="F84" s="28">
        <v>1</v>
      </c>
      <c r="G84" t="s">
        <v>193</v>
      </c>
      <c r="H84" t="s">
        <v>194</v>
      </c>
      <c r="I84" t="s">
        <v>3131</v>
      </c>
      <c r="J84" t="s">
        <v>210</v>
      </c>
      <c r="K84">
        <v>18</v>
      </c>
      <c r="L84" s="28">
        <v>242307</v>
      </c>
      <c r="M84" s="28" t="str">
        <f t="shared" si="1"/>
        <v>242307</v>
      </c>
      <c r="N84"/>
      <c r="O84"/>
    </row>
    <row r="85" spans="1:15" x14ac:dyDescent="0.25">
      <c r="A85" t="s">
        <v>796</v>
      </c>
      <c r="B85" t="s">
        <v>2793</v>
      </c>
      <c r="C85" t="s">
        <v>19</v>
      </c>
      <c r="D85" t="s">
        <v>2790</v>
      </c>
      <c r="E85" t="s">
        <v>233</v>
      </c>
      <c r="F85" s="28">
        <v>1</v>
      </c>
      <c r="G85" t="s">
        <v>193</v>
      </c>
      <c r="H85" t="s">
        <v>194</v>
      </c>
      <c r="I85" t="s">
        <v>2749</v>
      </c>
      <c r="J85" t="s">
        <v>210</v>
      </c>
      <c r="K85">
        <v>18</v>
      </c>
      <c r="L85" s="28">
        <v>214903</v>
      </c>
      <c r="M85" s="28" t="str">
        <f t="shared" si="1"/>
        <v>214903</v>
      </c>
      <c r="N85"/>
      <c r="O85"/>
    </row>
    <row r="86" spans="1:15" x14ac:dyDescent="0.25">
      <c r="A86" t="s">
        <v>1490</v>
      </c>
      <c r="B86" t="s">
        <v>2944</v>
      </c>
      <c r="C86" t="s">
        <v>19</v>
      </c>
      <c r="D86" t="s">
        <v>2891</v>
      </c>
      <c r="E86" t="s">
        <v>192</v>
      </c>
      <c r="F86" s="28">
        <v>1</v>
      </c>
      <c r="G86" t="s">
        <v>193</v>
      </c>
      <c r="H86" t="s">
        <v>194</v>
      </c>
      <c r="I86" t="s">
        <v>2892</v>
      </c>
      <c r="J86" t="s">
        <v>575</v>
      </c>
      <c r="K86">
        <v>18</v>
      </c>
      <c r="L86" s="28">
        <v>214903</v>
      </c>
      <c r="M86" s="28" t="str">
        <f t="shared" si="1"/>
        <v>214903</v>
      </c>
      <c r="N86"/>
      <c r="O86"/>
    </row>
    <row r="87" spans="1:15" x14ac:dyDescent="0.25">
      <c r="A87" t="s">
        <v>564</v>
      </c>
      <c r="B87" t="s">
        <v>2621</v>
      </c>
      <c r="C87" t="s">
        <v>19</v>
      </c>
      <c r="D87" t="s">
        <v>2982</v>
      </c>
      <c r="E87" t="s">
        <v>192</v>
      </c>
      <c r="F87" s="28">
        <v>1</v>
      </c>
      <c r="G87" t="s">
        <v>193</v>
      </c>
      <c r="H87" t="s">
        <v>194</v>
      </c>
      <c r="I87" t="s">
        <v>2892</v>
      </c>
      <c r="J87" t="s">
        <v>2983</v>
      </c>
      <c r="K87">
        <v>18</v>
      </c>
      <c r="L87" s="28">
        <v>214903</v>
      </c>
      <c r="M87" s="28" t="str">
        <f t="shared" si="1"/>
        <v>214903</v>
      </c>
      <c r="N87"/>
      <c r="O87"/>
    </row>
    <row r="88" spans="1:15" x14ac:dyDescent="0.25">
      <c r="A88" t="s">
        <v>427</v>
      </c>
      <c r="B88" t="s">
        <v>3001</v>
      </c>
      <c r="C88" t="s">
        <v>19</v>
      </c>
      <c r="D88" t="s">
        <v>2989</v>
      </c>
      <c r="E88" t="s">
        <v>192</v>
      </c>
      <c r="F88" s="28">
        <v>1</v>
      </c>
      <c r="G88" t="s">
        <v>193</v>
      </c>
      <c r="H88" t="s">
        <v>194</v>
      </c>
      <c r="I88" t="s">
        <v>2892</v>
      </c>
      <c r="J88" t="s">
        <v>238</v>
      </c>
      <c r="K88">
        <v>18</v>
      </c>
      <c r="L88" s="28">
        <v>214903</v>
      </c>
      <c r="M88" s="28" t="str">
        <f t="shared" si="1"/>
        <v>214903</v>
      </c>
      <c r="N88"/>
      <c r="O88"/>
    </row>
    <row r="89" spans="1:15" x14ac:dyDescent="0.25">
      <c r="A89" t="s">
        <v>347</v>
      </c>
      <c r="B89" t="s">
        <v>3083</v>
      </c>
      <c r="C89" t="s">
        <v>19</v>
      </c>
      <c r="D89" t="s">
        <v>2989</v>
      </c>
      <c r="E89" t="s">
        <v>192</v>
      </c>
      <c r="F89" s="28">
        <v>1</v>
      </c>
      <c r="G89" t="s">
        <v>193</v>
      </c>
      <c r="H89" t="s">
        <v>194</v>
      </c>
      <c r="I89" t="s">
        <v>2892</v>
      </c>
      <c r="J89" t="s">
        <v>316</v>
      </c>
      <c r="K89">
        <v>18</v>
      </c>
      <c r="L89" s="28">
        <v>214903</v>
      </c>
      <c r="M89" s="28" t="str">
        <f t="shared" si="1"/>
        <v>214903</v>
      </c>
      <c r="N89"/>
      <c r="O89"/>
    </row>
    <row r="90" spans="1:15" x14ac:dyDescent="0.25">
      <c r="A90" t="s">
        <v>347</v>
      </c>
      <c r="B90" t="s">
        <v>3084</v>
      </c>
      <c r="C90" t="s">
        <v>19</v>
      </c>
      <c r="D90" t="s">
        <v>2989</v>
      </c>
      <c r="E90" t="s">
        <v>192</v>
      </c>
      <c r="F90" s="28">
        <v>1</v>
      </c>
      <c r="G90" t="s">
        <v>193</v>
      </c>
      <c r="H90" t="s">
        <v>194</v>
      </c>
      <c r="I90" t="s">
        <v>3081</v>
      </c>
      <c r="J90" t="s">
        <v>316</v>
      </c>
      <c r="K90">
        <v>18</v>
      </c>
      <c r="L90" s="28">
        <v>214903</v>
      </c>
      <c r="M90" s="28" t="str">
        <f t="shared" si="1"/>
        <v>214903</v>
      </c>
      <c r="N90"/>
      <c r="O90"/>
    </row>
    <row r="91" spans="1:15" x14ac:dyDescent="0.25">
      <c r="A91" t="s">
        <v>1091</v>
      </c>
      <c r="B91" t="s">
        <v>3192</v>
      </c>
      <c r="C91" t="s">
        <v>19</v>
      </c>
      <c r="D91" t="s">
        <v>3167</v>
      </c>
      <c r="E91" t="s">
        <v>217</v>
      </c>
      <c r="F91" s="28">
        <v>1</v>
      </c>
      <c r="G91" t="s">
        <v>193</v>
      </c>
      <c r="H91" t="s">
        <v>194</v>
      </c>
      <c r="I91" t="s">
        <v>2892</v>
      </c>
      <c r="J91" t="s">
        <v>210</v>
      </c>
      <c r="K91">
        <v>18</v>
      </c>
      <c r="L91" s="28">
        <v>214903</v>
      </c>
      <c r="M91" s="28" t="str">
        <f t="shared" si="1"/>
        <v>214903</v>
      </c>
      <c r="N91"/>
      <c r="O91"/>
    </row>
    <row r="92" spans="1:15" x14ac:dyDescent="0.25">
      <c r="A92" t="s">
        <v>3197</v>
      </c>
      <c r="B92" t="s">
        <v>3198</v>
      </c>
      <c r="C92" t="s">
        <v>19</v>
      </c>
      <c r="D92" t="s">
        <v>3167</v>
      </c>
      <c r="E92" t="s">
        <v>192</v>
      </c>
      <c r="F92" s="28">
        <v>1</v>
      </c>
      <c r="G92" t="s">
        <v>193</v>
      </c>
      <c r="H92" t="s">
        <v>194</v>
      </c>
      <c r="I92" t="s">
        <v>3131</v>
      </c>
      <c r="J92" t="s">
        <v>276</v>
      </c>
      <c r="K92">
        <v>18</v>
      </c>
      <c r="L92" s="28">
        <v>214903</v>
      </c>
      <c r="M92" s="28" t="str">
        <f t="shared" si="1"/>
        <v>214903</v>
      </c>
      <c r="N92"/>
      <c r="O92"/>
    </row>
    <row r="93" spans="1:15" x14ac:dyDescent="0.25">
      <c r="A93" t="s">
        <v>1091</v>
      </c>
      <c r="B93" t="s">
        <v>3192</v>
      </c>
      <c r="C93" t="s">
        <v>19</v>
      </c>
      <c r="D93" t="s">
        <v>3252</v>
      </c>
      <c r="E93" t="s">
        <v>217</v>
      </c>
      <c r="F93" s="28">
        <v>1</v>
      </c>
      <c r="G93" t="s">
        <v>193</v>
      </c>
      <c r="H93" t="s">
        <v>194</v>
      </c>
      <c r="I93" t="s">
        <v>2892</v>
      </c>
      <c r="J93" t="s">
        <v>210</v>
      </c>
      <c r="K93">
        <v>18</v>
      </c>
      <c r="L93" s="28">
        <v>214903</v>
      </c>
      <c r="M93" s="28" t="str">
        <f t="shared" si="1"/>
        <v>214903</v>
      </c>
      <c r="N93"/>
      <c r="O93"/>
    </row>
    <row r="94" spans="1:15" x14ac:dyDescent="0.25">
      <c r="A94" t="s">
        <v>2798</v>
      </c>
      <c r="B94" t="s">
        <v>2799</v>
      </c>
      <c r="C94" t="s">
        <v>2800</v>
      </c>
      <c r="D94" t="s">
        <v>2790</v>
      </c>
      <c r="E94" t="s">
        <v>192</v>
      </c>
      <c r="F94" s="28">
        <v>1</v>
      </c>
      <c r="G94" t="s">
        <v>193</v>
      </c>
      <c r="H94" t="s">
        <v>194</v>
      </c>
      <c r="I94" t="s">
        <v>2749</v>
      </c>
      <c r="J94" t="s">
        <v>196</v>
      </c>
      <c r="K94">
        <v>18</v>
      </c>
      <c r="L94" s="28">
        <v>214201</v>
      </c>
      <c r="M94" s="28" t="str">
        <f t="shared" si="1"/>
        <v>214201</v>
      </c>
      <c r="N94"/>
      <c r="O94"/>
    </row>
    <row r="95" spans="1:15" x14ac:dyDescent="0.25">
      <c r="A95" t="s">
        <v>1040</v>
      </c>
      <c r="B95" t="s">
        <v>2925</v>
      </c>
      <c r="C95" t="s">
        <v>2926</v>
      </c>
      <c r="D95" t="s">
        <v>2891</v>
      </c>
      <c r="E95" t="s">
        <v>233</v>
      </c>
      <c r="F95" s="28">
        <v>1</v>
      </c>
      <c r="G95" t="s">
        <v>193</v>
      </c>
      <c r="H95" t="s">
        <v>194</v>
      </c>
      <c r="I95" t="s">
        <v>2892</v>
      </c>
      <c r="J95" t="s">
        <v>210</v>
      </c>
      <c r="K95">
        <v>18</v>
      </c>
      <c r="L95" s="28">
        <v>215101</v>
      </c>
      <c r="M95" s="28" t="str">
        <f t="shared" si="1"/>
        <v>215101</v>
      </c>
      <c r="N95"/>
      <c r="O95"/>
    </row>
    <row r="96" spans="1:15" x14ac:dyDescent="0.25">
      <c r="A96" t="s">
        <v>1501</v>
      </c>
      <c r="B96" t="s">
        <v>1504</v>
      </c>
      <c r="C96" t="s">
        <v>2926</v>
      </c>
      <c r="D96" t="s">
        <v>3167</v>
      </c>
      <c r="E96" t="s">
        <v>192</v>
      </c>
      <c r="F96" s="28">
        <v>1</v>
      </c>
      <c r="G96" t="s">
        <v>193</v>
      </c>
      <c r="H96" t="s">
        <v>194</v>
      </c>
      <c r="I96" t="s">
        <v>3131</v>
      </c>
      <c r="J96" t="s">
        <v>223</v>
      </c>
      <c r="K96">
        <v>18</v>
      </c>
      <c r="L96" s="28">
        <v>215101</v>
      </c>
      <c r="M96" s="28" t="str">
        <f t="shared" si="1"/>
        <v>215101</v>
      </c>
      <c r="N96"/>
      <c r="O96"/>
    </row>
    <row r="97" spans="1:15" x14ac:dyDescent="0.25">
      <c r="A97" t="s">
        <v>3099</v>
      </c>
      <c r="B97" t="s">
        <v>3100</v>
      </c>
      <c r="C97" t="s">
        <v>3101</v>
      </c>
      <c r="D97" t="s">
        <v>3089</v>
      </c>
      <c r="E97" t="s">
        <v>192</v>
      </c>
      <c r="F97" s="28">
        <v>1</v>
      </c>
      <c r="G97" t="s">
        <v>193</v>
      </c>
      <c r="H97" t="s">
        <v>194</v>
      </c>
      <c r="I97" t="s">
        <v>3081</v>
      </c>
      <c r="J97" t="s">
        <v>210</v>
      </c>
      <c r="K97">
        <v>18</v>
      </c>
      <c r="L97" s="28">
        <v>214209</v>
      </c>
      <c r="M97" s="28" t="str">
        <f t="shared" si="1"/>
        <v>214209</v>
      </c>
      <c r="N97"/>
      <c r="O97"/>
    </row>
    <row r="98" spans="1:15" x14ac:dyDescent="0.25">
      <c r="A98" t="s">
        <v>629</v>
      </c>
      <c r="B98" t="s">
        <v>3144</v>
      </c>
      <c r="C98" t="s">
        <v>3145</v>
      </c>
      <c r="D98" t="s">
        <v>3089</v>
      </c>
      <c r="E98" t="s">
        <v>192</v>
      </c>
      <c r="F98" s="28">
        <v>1</v>
      </c>
      <c r="G98" t="s">
        <v>193</v>
      </c>
      <c r="H98" t="s">
        <v>194</v>
      </c>
      <c r="I98" t="s">
        <v>3131</v>
      </c>
      <c r="J98" t="s">
        <v>1302</v>
      </c>
      <c r="K98">
        <v>18</v>
      </c>
      <c r="L98" s="28">
        <v>214501</v>
      </c>
      <c r="M98" s="28" t="str">
        <f t="shared" si="1"/>
        <v>214501</v>
      </c>
      <c r="N98"/>
      <c r="O98"/>
    </row>
    <row r="99" spans="1:15" x14ac:dyDescent="0.25">
      <c r="A99" t="s">
        <v>369</v>
      </c>
      <c r="B99" t="s">
        <v>2526</v>
      </c>
      <c r="C99" t="s">
        <v>45</v>
      </c>
      <c r="D99" t="s">
        <v>2749</v>
      </c>
      <c r="E99" t="s">
        <v>192</v>
      </c>
      <c r="F99" s="28">
        <v>1</v>
      </c>
      <c r="G99" t="s">
        <v>193</v>
      </c>
      <c r="H99" t="s">
        <v>194</v>
      </c>
      <c r="I99" t="s">
        <v>2774</v>
      </c>
      <c r="J99" t="s">
        <v>210</v>
      </c>
      <c r="K99">
        <v>18</v>
      </c>
      <c r="L99" s="28">
        <v>214932</v>
      </c>
      <c r="M99" s="28" t="str">
        <f t="shared" si="1"/>
        <v>214932</v>
      </c>
      <c r="N99"/>
      <c r="O99"/>
    </row>
    <row r="100" spans="1:15" x14ac:dyDescent="0.25">
      <c r="A100" t="s">
        <v>713</v>
      </c>
      <c r="B100" t="s">
        <v>304</v>
      </c>
      <c r="C100" t="s">
        <v>45</v>
      </c>
      <c r="D100" t="s">
        <v>2989</v>
      </c>
      <c r="E100" t="s">
        <v>192</v>
      </c>
      <c r="F100" s="28">
        <v>1</v>
      </c>
      <c r="G100" t="s">
        <v>193</v>
      </c>
      <c r="H100" t="s">
        <v>194</v>
      </c>
      <c r="I100" t="s">
        <v>2750</v>
      </c>
      <c r="J100" t="s">
        <v>210</v>
      </c>
      <c r="K100">
        <v>18</v>
      </c>
      <c r="L100" s="28">
        <v>214932</v>
      </c>
      <c r="M100" s="28" t="str">
        <f t="shared" si="1"/>
        <v>214932</v>
      </c>
      <c r="N100"/>
      <c r="O100"/>
    </row>
    <row r="101" spans="1:15" x14ac:dyDescent="0.25">
      <c r="A101" t="s">
        <v>2784</v>
      </c>
      <c r="B101" t="s">
        <v>2785</v>
      </c>
      <c r="C101" t="s">
        <v>308</v>
      </c>
      <c r="D101" t="s">
        <v>2749</v>
      </c>
      <c r="E101" t="s">
        <v>192</v>
      </c>
      <c r="F101" s="28">
        <v>1</v>
      </c>
      <c r="G101" t="s">
        <v>193</v>
      </c>
      <c r="H101" t="s">
        <v>194</v>
      </c>
      <c r="I101" t="s">
        <v>2774</v>
      </c>
      <c r="J101" t="s">
        <v>316</v>
      </c>
      <c r="K101">
        <v>18</v>
      </c>
      <c r="L101" s="28">
        <v>214404</v>
      </c>
      <c r="M101" s="28" t="str">
        <f t="shared" si="1"/>
        <v>214404</v>
      </c>
      <c r="N101"/>
      <c r="O101"/>
    </row>
    <row r="102" spans="1:15" x14ac:dyDescent="0.25">
      <c r="A102" t="s">
        <v>3040</v>
      </c>
      <c r="B102" t="s">
        <v>3041</v>
      </c>
      <c r="C102" t="s">
        <v>308</v>
      </c>
      <c r="D102" t="s">
        <v>2989</v>
      </c>
      <c r="E102" t="s">
        <v>192</v>
      </c>
      <c r="F102" s="28">
        <v>1</v>
      </c>
      <c r="G102" t="s">
        <v>193</v>
      </c>
      <c r="H102" t="s">
        <v>194</v>
      </c>
      <c r="I102" t="s">
        <v>2774</v>
      </c>
      <c r="J102" t="s">
        <v>1979</v>
      </c>
      <c r="K102">
        <v>18</v>
      </c>
      <c r="L102" s="28">
        <v>214404</v>
      </c>
      <c r="M102" s="28" t="str">
        <f t="shared" si="1"/>
        <v>214404</v>
      </c>
      <c r="N102"/>
      <c r="O102"/>
    </row>
    <row r="103" spans="1:15" x14ac:dyDescent="0.25">
      <c r="A103" t="s">
        <v>2200</v>
      </c>
      <c r="B103" t="s">
        <v>3064</v>
      </c>
      <c r="C103" t="s">
        <v>308</v>
      </c>
      <c r="D103" t="s">
        <v>2989</v>
      </c>
      <c r="E103" t="s">
        <v>192</v>
      </c>
      <c r="F103" s="28">
        <v>1</v>
      </c>
      <c r="G103" t="s">
        <v>193</v>
      </c>
      <c r="H103" t="s">
        <v>194</v>
      </c>
      <c r="I103" t="s">
        <v>2774</v>
      </c>
      <c r="J103" t="s">
        <v>2201</v>
      </c>
      <c r="K103">
        <v>18</v>
      </c>
      <c r="L103" s="28">
        <v>214404</v>
      </c>
      <c r="M103" s="28" t="str">
        <f t="shared" si="1"/>
        <v>214404</v>
      </c>
      <c r="N103"/>
      <c r="O103"/>
    </row>
    <row r="104" spans="1:15" x14ac:dyDescent="0.25">
      <c r="A104" t="s">
        <v>3223</v>
      </c>
      <c r="B104" t="s">
        <v>3224</v>
      </c>
      <c r="C104" t="s">
        <v>308</v>
      </c>
      <c r="D104" t="s">
        <v>3167</v>
      </c>
      <c r="E104" t="s">
        <v>192</v>
      </c>
      <c r="F104" s="28">
        <v>1</v>
      </c>
      <c r="G104" t="s">
        <v>193</v>
      </c>
      <c r="H104" t="s">
        <v>194</v>
      </c>
      <c r="I104" t="s">
        <v>3131</v>
      </c>
      <c r="J104" t="s">
        <v>367</v>
      </c>
      <c r="K104">
        <v>18</v>
      </c>
      <c r="L104" s="28">
        <v>214404</v>
      </c>
      <c r="M104" s="28" t="str">
        <f t="shared" si="1"/>
        <v>214404</v>
      </c>
      <c r="N104"/>
      <c r="O104"/>
    </row>
    <row r="105" spans="1:15" x14ac:dyDescent="0.25">
      <c r="A105" t="s">
        <v>427</v>
      </c>
      <c r="B105" t="s">
        <v>3002</v>
      </c>
      <c r="C105" t="s">
        <v>319</v>
      </c>
      <c r="D105" t="s">
        <v>2989</v>
      </c>
      <c r="E105" t="s">
        <v>192</v>
      </c>
      <c r="F105" s="28">
        <v>1</v>
      </c>
      <c r="G105" t="s">
        <v>193</v>
      </c>
      <c r="H105" t="s">
        <v>194</v>
      </c>
      <c r="I105" t="s">
        <v>2750</v>
      </c>
      <c r="J105" t="s">
        <v>238</v>
      </c>
      <c r="K105">
        <v>18</v>
      </c>
      <c r="L105" s="28">
        <v>214407</v>
      </c>
      <c r="M105" s="28" t="str">
        <f t="shared" si="1"/>
        <v>214407</v>
      </c>
      <c r="N105"/>
      <c r="O105"/>
    </row>
    <row r="106" spans="1:15" x14ac:dyDescent="0.25">
      <c r="A106" t="s">
        <v>1091</v>
      </c>
      <c r="B106" t="s">
        <v>2764</v>
      </c>
      <c r="C106" t="s">
        <v>1957</v>
      </c>
      <c r="D106" t="s">
        <v>2749</v>
      </c>
      <c r="E106" t="s">
        <v>217</v>
      </c>
      <c r="F106" s="28">
        <v>1</v>
      </c>
      <c r="G106" t="s">
        <v>193</v>
      </c>
      <c r="H106" t="s">
        <v>194</v>
      </c>
      <c r="I106" t="s">
        <v>2750</v>
      </c>
      <c r="J106" t="s">
        <v>210</v>
      </c>
      <c r="K106">
        <v>18</v>
      </c>
      <c r="L106" s="28">
        <v>214408</v>
      </c>
      <c r="M106" s="28" t="str">
        <f t="shared" si="1"/>
        <v>214408</v>
      </c>
      <c r="N106"/>
      <c r="O106"/>
    </row>
    <row r="107" spans="1:15" x14ac:dyDescent="0.25">
      <c r="A107" t="s">
        <v>1091</v>
      </c>
      <c r="B107" t="s">
        <v>3023</v>
      </c>
      <c r="C107" t="s">
        <v>1957</v>
      </c>
      <c r="D107" t="s">
        <v>2989</v>
      </c>
      <c r="E107" t="s">
        <v>217</v>
      </c>
      <c r="F107" s="28">
        <v>1</v>
      </c>
      <c r="G107" t="s">
        <v>193</v>
      </c>
      <c r="H107" t="s">
        <v>194</v>
      </c>
      <c r="I107" t="s">
        <v>2749</v>
      </c>
      <c r="J107" t="s">
        <v>210</v>
      </c>
      <c r="K107">
        <v>18</v>
      </c>
      <c r="L107" s="28">
        <v>214408</v>
      </c>
      <c r="M107" s="28" t="str">
        <f t="shared" si="1"/>
        <v>214408</v>
      </c>
      <c r="N107"/>
      <c r="O107"/>
    </row>
    <row r="108" spans="1:15" x14ac:dyDescent="0.25">
      <c r="A108" t="s">
        <v>1091</v>
      </c>
      <c r="B108" t="s">
        <v>3025</v>
      </c>
      <c r="C108" t="s">
        <v>1957</v>
      </c>
      <c r="D108" t="s">
        <v>2989</v>
      </c>
      <c r="E108" t="s">
        <v>217</v>
      </c>
      <c r="F108" s="28">
        <v>1</v>
      </c>
      <c r="G108" t="s">
        <v>193</v>
      </c>
      <c r="H108" t="s">
        <v>194</v>
      </c>
      <c r="I108" t="s">
        <v>2749</v>
      </c>
      <c r="J108" t="s">
        <v>210</v>
      </c>
      <c r="K108">
        <v>18</v>
      </c>
      <c r="L108" s="28">
        <v>214408</v>
      </c>
      <c r="M108" s="28" t="str">
        <f t="shared" si="1"/>
        <v>214408</v>
      </c>
      <c r="N108"/>
      <c r="O108"/>
    </row>
    <row r="109" spans="1:15" x14ac:dyDescent="0.25">
      <c r="A109" t="s">
        <v>1091</v>
      </c>
      <c r="B109" t="s">
        <v>3121</v>
      </c>
      <c r="C109" t="s">
        <v>1957</v>
      </c>
      <c r="D109" t="s">
        <v>3089</v>
      </c>
      <c r="E109" t="s">
        <v>217</v>
      </c>
      <c r="F109" s="28">
        <v>1</v>
      </c>
      <c r="G109" t="s">
        <v>193</v>
      </c>
      <c r="H109" t="s">
        <v>194</v>
      </c>
      <c r="I109" t="s">
        <v>2892</v>
      </c>
      <c r="J109" t="s">
        <v>210</v>
      </c>
      <c r="K109">
        <v>18</v>
      </c>
      <c r="L109" s="28">
        <v>214408</v>
      </c>
      <c r="M109" s="28" t="str">
        <f t="shared" si="1"/>
        <v>214408</v>
      </c>
      <c r="N109"/>
      <c r="O109"/>
    </row>
    <row r="110" spans="1:15" x14ac:dyDescent="0.25">
      <c r="A110" t="s">
        <v>1446</v>
      </c>
      <c r="B110" t="s">
        <v>3130</v>
      </c>
      <c r="C110" t="s">
        <v>1957</v>
      </c>
      <c r="D110" t="s">
        <v>3089</v>
      </c>
      <c r="E110" t="s">
        <v>192</v>
      </c>
      <c r="F110" s="28">
        <v>1</v>
      </c>
      <c r="G110" t="s">
        <v>193</v>
      </c>
      <c r="H110" t="s">
        <v>194</v>
      </c>
      <c r="I110" t="s">
        <v>3131</v>
      </c>
      <c r="J110" t="s">
        <v>672</v>
      </c>
      <c r="K110">
        <v>18</v>
      </c>
      <c r="L110" s="28">
        <v>214408</v>
      </c>
      <c r="M110" s="28" t="str">
        <f t="shared" si="1"/>
        <v>214408</v>
      </c>
      <c r="N110"/>
      <c r="O110"/>
    </row>
    <row r="111" spans="1:15" x14ac:dyDescent="0.25">
      <c r="A111" t="s">
        <v>1446</v>
      </c>
      <c r="B111" t="s">
        <v>3137</v>
      </c>
      <c r="C111" t="s">
        <v>1957</v>
      </c>
      <c r="D111" t="s">
        <v>3089</v>
      </c>
      <c r="E111" t="s">
        <v>192</v>
      </c>
      <c r="F111" s="28">
        <v>1</v>
      </c>
      <c r="G111" t="s">
        <v>193</v>
      </c>
      <c r="H111" t="s">
        <v>194</v>
      </c>
      <c r="I111" t="s">
        <v>3131</v>
      </c>
      <c r="J111" t="s">
        <v>672</v>
      </c>
      <c r="K111">
        <v>18</v>
      </c>
      <c r="L111" s="28">
        <v>214408</v>
      </c>
      <c r="M111" s="28" t="str">
        <f t="shared" si="1"/>
        <v>214408</v>
      </c>
      <c r="N111"/>
      <c r="O111"/>
    </row>
    <row r="112" spans="1:15" x14ac:dyDescent="0.25">
      <c r="A112" t="s">
        <v>1091</v>
      </c>
      <c r="B112" t="s">
        <v>3024</v>
      </c>
      <c r="C112" t="s">
        <v>371</v>
      </c>
      <c r="D112" t="s">
        <v>2989</v>
      </c>
      <c r="E112" t="s">
        <v>217</v>
      </c>
      <c r="F112" s="28">
        <v>1</v>
      </c>
      <c r="G112" t="s">
        <v>193</v>
      </c>
      <c r="H112" t="s">
        <v>194</v>
      </c>
      <c r="I112" t="s">
        <v>2749</v>
      </c>
      <c r="J112" t="s">
        <v>210</v>
      </c>
      <c r="K112">
        <v>18</v>
      </c>
      <c r="L112" s="28">
        <v>215202</v>
      </c>
      <c r="M112" s="28" t="str">
        <f t="shared" si="1"/>
        <v>215202</v>
      </c>
      <c r="N112"/>
      <c r="O112"/>
    </row>
    <row r="113" spans="1:15" x14ac:dyDescent="0.25">
      <c r="A113" t="s">
        <v>1091</v>
      </c>
      <c r="B113" t="s">
        <v>3026</v>
      </c>
      <c r="C113" t="s">
        <v>371</v>
      </c>
      <c r="D113" t="s">
        <v>2989</v>
      </c>
      <c r="E113" t="s">
        <v>217</v>
      </c>
      <c r="F113" s="28">
        <v>1</v>
      </c>
      <c r="G113" t="s">
        <v>193</v>
      </c>
      <c r="H113" t="s">
        <v>194</v>
      </c>
      <c r="I113" t="s">
        <v>2749</v>
      </c>
      <c r="J113" t="s">
        <v>210</v>
      </c>
      <c r="K113">
        <v>18</v>
      </c>
      <c r="L113" s="28">
        <v>215202</v>
      </c>
      <c r="M113" s="28" t="str">
        <f t="shared" si="1"/>
        <v>215202</v>
      </c>
      <c r="N113"/>
      <c r="O113"/>
    </row>
    <row r="114" spans="1:15" x14ac:dyDescent="0.25">
      <c r="A114" t="s">
        <v>1091</v>
      </c>
      <c r="B114" t="s">
        <v>2919</v>
      </c>
      <c r="C114" t="s">
        <v>2920</v>
      </c>
      <c r="D114" t="s">
        <v>2891</v>
      </c>
      <c r="E114" t="s">
        <v>217</v>
      </c>
      <c r="F114" s="28">
        <v>1</v>
      </c>
      <c r="G114" t="s">
        <v>193</v>
      </c>
      <c r="H114" t="s">
        <v>194</v>
      </c>
      <c r="I114" t="s">
        <v>2880</v>
      </c>
      <c r="J114" t="s">
        <v>2921</v>
      </c>
      <c r="K114">
        <v>18</v>
      </c>
      <c r="L114" s="28">
        <v>214101</v>
      </c>
      <c r="M114" s="28" t="str">
        <f t="shared" si="1"/>
        <v>214101</v>
      </c>
      <c r="N114"/>
      <c r="O114"/>
    </row>
    <row r="115" spans="1:15" x14ac:dyDescent="0.25">
      <c r="A115" t="s">
        <v>3253</v>
      </c>
      <c r="B115" t="s">
        <v>313</v>
      </c>
      <c r="C115" t="s">
        <v>333</v>
      </c>
      <c r="D115" t="s">
        <v>3252</v>
      </c>
      <c r="E115" t="s">
        <v>192</v>
      </c>
      <c r="F115" s="28">
        <v>1</v>
      </c>
      <c r="G115" t="s">
        <v>193</v>
      </c>
      <c r="H115" t="s">
        <v>194</v>
      </c>
      <c r="I115" t="s">
        <v>3131</v>
      </c>
      <c r="J115" t="s">
        <v>2532</v>
      </c>
      <c r="K115">
        <v>18</v>
      </c>
      <c r="L115" s="28">
        <v>214607</v>
      </c>
      <c r="M115" s="28" t="str">
        <f t="shared" si="1"/>
        <v>214607</v>
      </c>
      <c r="N115"/>
      <c r="O115"/>
    </row>
    <row r="116" spans="1:15" x14ac:dyDescent="0.25">
      <c r="A116" t="s">
        <v>1869</v>
      </c>
      <c r="B116" t="s">
        <v>2881</v>
      </c>
      <c r="C116" t="s">
        <v>121</v>
      </c>
      <c r="D116" t="s">
        <v>2880</v>
      </c>
      <c r="E116" t="s">
        <v>192</v>
      </c>
      <c r="F116" s="28">
        <v>1</v>
      </c>
      <c r="G116" t="s">
        <v>193</v>
      </c>
      <c r="H116" t="s">
        <v>194</v>
      </c>
      <c r="I116" t="s">
        <v>2774</v>
      </c>
      <c r="J116" t="s">
        <v>238</v>
      </c>
      <c r="K116">
        <v>18</v>
      </c>
      <c r="L116" s="28">
        <v>214102</v>
      </c>
      <c r="M116" s="28" t="str">
        <f t="shared" si="1"/>
        <v>214102</v>
      </c>
      <c r="N116"/>
      <c r="O116"/>
    </row>
    <row r="117" spans="1:15" x14ac:dyDescent="0.25">
      <c r="A117" t="s">
        <v>303</v>
      </c>
      <c r="B117" t="s">
        <v>2804</v>
      </c>
      <c r="C117" t="s">
        <v>2805</v>
      </c>
      <c r="D117" t="s">
        <v>2790</v>
      </c>
      <c r="E117" t="s">
        <v>192</v>
      </c>
      <c r="F117" s="28">
        <v>1</v>
      </c>
      <c r="G117" t="s">
        <v>193</v>
      </c>
      <c r="H117" t="s">
        <v>194</v>
      </c>
      <c r="I117" t="s">
        <v>2749</v>
      </c>
      <c r="J117" t="s">
        <v>305</v>
      </c>
      <c r="K117">
        <v>18</v>
      </c>
      <c r="L117" s="28">
        <v>214410</v>
      </c>
      <c r="M117" s="28" t="str">
        <f t="shared" si="1"/>
        <v>214410</v>
      </c>
      <c r="N117"/>
      <c r="O117"/>
    </row>
    <row r="118" spans="1:15" x14ac:dyDescent="0.25">
      <c r="A118" t="s">
        <v>329</v>
      </c>
      <c r="B118" t="s">
        <v>3048</v>
      </c>
      <c r="C118" t="s">
        <v>326</v>
      </c>
      <c r="D118" t="s">
        <v>2989</v>
      </c>
      <c r="E118" t="s">
        <v>192</v>
      </c>
      <c r="F118" s="28">
        <v>6</v>
      </c>
      <c r="G118" t="s">
        <v>193</v>
      </c>
      <c r="H118" t="s">
        <v>194</v>
      </c>
      <c r="I118" t="s">
        <v>2774</v>
      </c>
      <c r="J118" t="s">
        <v>210</v>
      </c>
      <c r="K118">
        <v>18</v>
      </c>
      <c r="L118" s="28">
        <v>214503</v>
      </c>
      <c r="M118" s="28" t="str">
        <f t="shared" si="1"/>
        <v>214503</v>
      </c>
      <c r="N118"/>
      <c r="O118"/>
    </row>
    <row r="119" spans="1:15" x14ac:dyDescent="0.25">
      <c r="A119" t="s">
        <v>3080</v>
      </c>
      <c r="B119" t="s">
        <v>313</v>
      </c>
      <c r="C119" t="s">
        <v>326</v>
      </c>
      <c r="D119" t="s">
        <v>2989</v>
      </c>
      <c r="E119" t="s">
        <v>192</v>
      </c>
      <c r="F119" s="28">
        <v>1</v>
      </c>
      <c r="G119" t="s">
        <v>193</v>
      </c>
      <c r="H119" t="s">
        <v>194</v>
      </c>
      <c r="I119" t="s">
        <v>3081</v>
      </c>
      <c r="J119" t="s">
        <v>223</v>
      </c>
      <c r="K119">
        <v>18</v>
      </c>
      <c r="L119" s="28">
        <v>214503</v>
      </c>
      <c r="M119" s="28" t="str">
        <f t="shared" si="1"/>
        <v>214503</v>
      </c>
      <c r="N119"/>
      <c r="O119"/>
    </row>
    <row r="120" spans="1:15" x14ac:dyDescent="0.25">
      <c r="A120" t="s">
        <v>2811</v>
      </c>
      <c r="B120" t="s">
        <v>2812</v>
      </c>
      <c r="C120" t="s">
        <v>378</v>
      </c>
      <c r="D120" t="s">
        <v>2790</v>
      </c>
      <c r="E120" t="s">
        <v>233</v>
      </c>
      <c r="F120" s="28">
        <v>1</v>
      </c>
      <c r="G120" t="s">
        <v>193</v>
      </c>
      <c r="H120" t="s">
        <v>194</v>
      </c>
      <c r="I120" t="s">
        <v>2749</v>
      </c>
      <c r="J120" t="s">
        <v>210</v>
      </c>
      <c r="K120">
        <v>18</v>
      </c>
      <c r="L120" s="28">
        <v>215303</v>
      </c>
      <c r="M120" s="28" t="str">
        <f t="shared" si="1"/>
        <v>215303</v>
      </c>
      <c r="N120"/>
      <c r="O120"/>
    </row>
    <row r="121" spans="1:15" x14ac:dyDescent="0.25">
      <c r="A121" t="s">
        <v>1091</v>
      </c>
      <c r="B121" t="s">
        <v>2827</v>
      </c>
      <c r="C121" t="s">
        <v>378</v>
      </c>
      <c r="D121" t="s">
        <v>2790</v>
      </c>
      <c r="E121" t="s">
        <v>217</v>
      </c>
      <c r="F121" s="28">
        <v>1</v>
      </c>
      <c r="G121" t="s">
        <v>193</v>
      </c>
      <c r="H121" t="s">
        <v>194</v>
      </c>
      <c r="I121" t="s">
        <v>2749</v>
      </c>
      <c r="J121" t="s">
        <v>210</v>
      </c>
      <c r="K121">
        <v>18</v>
      </c>
      <c r="L121" s="28">
        <v>215303</v>
      </c>
      <c r="M121" s="28" t="str">
        <f t="shared" si="1"/>
        <v>215303</v>
      </c>
      <c r="N121"/>
      <c r="O121"/>
    </row>
    <row r="122" spans="1:15" x14ac:dyDescent="0.25">
      <c r="A122" t="s">
        <v>915</v>
      </c>
      <c r="B122" t="s">
        <v>2948</v>
      </c>
      <c r="C122" t="s">
        <v>378</v>
      </c>
      <c r="D122" t="s">
        <v>2891</v>
      </c>
      <c r="E122" t="s">
        <v>233</v>
      </c>
      <c r="F122" s="76">
        <v>0</v>
      </c>
      <c r="G122" s="75" t="s">
        <v>194</v>
      </c>
      <c r="H122" t="s">
        <v>193</v>
      </c>
      <c r="I122" t="s">
        <v>2892</v>
      </c>
      <c r="J122" t="s">
        <v>196</v>
      </c>
      <c r="K122">
        <v>18</v>
      </c>
      <c r="L122" s="28">
        <v>215303</v>
      </c>
      <c r="M122" s="28" t="str">
        <f t="shared" si="1"/>
        <v>215303</v>
      </c>
      <c r="N122" s="28">
        <v>1</v>
      </c>
    </row>
    <row r="123" spans="1:15" x14ac:dyDescent="0.25">
      <c r="A123" t="s">
        <v>511</v>
      </c>
      <c r="B123" t="s">
        <v>3057</v>
      </c>
      <c r="C123" t="s">
        <v>69</v>
      </c>
      <c r="D123" t="s">
        <v>2989</v>
      </c>
      <c r="E123" t="s">
        <v>192</v>
      </c>
      <c r="F123" s="28">
        <v>1</v>
      </c>
      <c r="G123" t="s">
        <v>193</v>
      </c>
      <c r="H123" t="s">
        <v>194</v>
      </c>
      <c r="I123" t="s">
        <v>2774</v>
      </c>
      <c r="J123" t="s">
        <v>575</v>
      </c>
      <c r="K123">
        <v>18</v>
      </c>
      <c r="L123" s="28">
        <v>215301</v>
      </c>
      <c r="M123" s="28" t="str">
        <f t="shared" si="1"/>
        <v>215301</v>
      </c>
      <c r="N123"/>
      <c r="O123"/>
    </row>
    <row r="124" spans="1:15" x14ac:dyDescent="0.25">
      <c r="A124" t="s">
        <v>1376</v>
      </c>
      <c r="B124" t="s">
        <v>2791</v>
      </c>
      <c r="C124" t="s">
        <v>54</v>
      </c>
      <c r="D124" t="s">
        <v>2790</v>
      </c>
      <c r="E124" t="s">
        <v>192</v>
      </c>
      <c r="F124" s="28">
        <v>1</v>
      </c>
      <c r="G124" t="s">
        <v>193</v>
      </c>
      <c r="H124" t="s">
        <v>194</v>
      </c>
      <c r="I124" t="s">
        <v>2749</v>
      </c>
      <c r="J124" t="s">
        <v>385</v>
      </c>
      <c r="K124">
        <v>18</v>
      </c>
      <c r="L124" s="28">
        <v>214103</v>
      </c>
      <c r="M124" s="28" t="str">
        <f t="shared" si="1"/>
        <v>214103</v>
      </c>
      <c r="N124"/>
      <c r="O124"/>
    </row>
    <row r="125" spans="1:15" x14ac:dyDescent="0.25">
      <c r="A125" t="s">
        <v>3248</v>
      </c>
      <c r="B125" t="s">
        <v>3249</v>
      </c>
      <c r="C125" t="s">
        <v>3250</v>
      </c>
      <c r="D125" t="s">
        <v>3167</v>
      </c>
      <c r="E125" t="s">
        <v>192</v>
      </c>
      <c r="F125" s="28">
        <v>1</v>
      </c>
      <c r="G125" t="s">
        <v>193</v>
      </c>
      <c r="H125" t="s">
        <v>194</v>
      </c>
      <c r="I125" t="s">
        <v>2749</v>
      </c>
      <c r="J125" t="s">
        <v>210</v>
      </c>
      <c r="K125">
        <v>18</v>
      </c>
      <c r="L125" s="28">
        <v>834101</v>
      </c>
      <c r="M125" s="28" t="str">
        <f t="shared" si="1"/>
        <v>834101</v>
      </c>
      <c r="N125"/>
      <c r="O125"/>
    </row>
    <row r="126" spans="1:15" x14ac:dyDescent="0.25">
      <c r="A126" t="s">
        <v>1340</v>
      </c>
      <c r="B126" t="s">
        <v>885</v>
      </c>
      <c r="C126" t="s">
        <v>886</v>
      </c>
      <c r="D126" t="s">
        <v>2982</v>
      </c>
      <c r="E126" t="s">
        <v>192</v>
      </c>
      <c r="F126" s="28">
        <v>1</v>
      </c>
      <c r="G126" t="s">
        <v>193</v>
      </c>
      <c r="H126" t="s">
        <v>194</v>
      </c>
      <c r="I126" t="s">
        <v>2971</v>
      </c>
      <c r="J126" t="s">
        <v>210</v>
      </c>
      <c r="K126">
        <v>18</v>
      </c>
      <c r="L126" s="28">
        <v>834401</v>
      </c>
      <c r="M126" s="28" t="str">
        <f t="shared" si="1"/>
        <v>834401</v>
      </c>
      <c r="N126"/>
      <c r="O126"/>
    </row>
    <row r="127" spans="1:15" x14ac:dyDescent="0.25">
      <c r="A127" t="s">
        <v>1878</v>
      </c>
      <c r="B127" t="s">
        <v>2019</v>
      </c>
      <c r="C127" t="s">
        <v>875</v>
      </c>
      <c r="D127" t="s">
        <v>2891</v>
      </c>
      <c r="E127" t="s">
        <v>192</v>
      </c>
      <c r="F127" s="28">
        <v>1</v>
      </c>
      <c r="G127" t="s">
        <v>193</v>
      </c>
      <c r="H127" t="s">
        <v>194</v>
      </c>
      <c r="I127" t="s">
        <v>2880</v>
      </c>
      <c r="J127" t="s">
        <v>253</v>
      </c>
      <c r="K127">
        <v>18</v>
      </c>
      <c r="L127" s="28">
        <v>833203</v>
      </c>
      <c r="M127" s="28" t="str">
        <f t="shared" si="1"/>
        <v>833203</v>
      </c>
      <c r="N127"/>
      <c r="O127"/>
    </row>
    <row r="128" spans="1:15" x14ac:dyDescent="0.25">
      <c r="A128" t="s">
        <v>2757</v>
      </c>
      <c r="B128" t="s">
        <v>1488</v>
      </c>
      <c r="C128" t="s">
        <v>12</v>
      </c>
      <c r="D128" t="s">
        <v>2749</v>
      </c>
      <c r="E128" t="s">
        <v>192</v>
      </c>
      <c r="F128" s="28">
        <v>1</v>
      </c>
      <c r="G128" t="s">
        <v>193</v>
      </c>
      <c r="H128" t="s">
        <v>194</v>
      </c>
      <c r="I128" t="s">
        <v>2750</v>
      </c>
      <c r="J128" t="s">
        <v>385</v>
      </c>
      <c r="K128">
        <v>18</v>
      </c>
      <c r="L128" s="28">
        <v>132301</v>
      </c>
      <c r="M128" s="28" t="str">
        <f t="shared" si="1"/>
        <v>132301</v>
      </c>
      <c r="N128"/>
      <c r="O128"/>
    </row>
    <row r="129" spans="1:15" x14ac:dyDescent="0.25">
      <c r="A129" t="s">
        <v>2816</v>
      </c>
      <c r="B129" t="s">
        <v>2024</v>
      </c>
      <c r="C129" t="s">
        <v>12</v>
      </c>
      <c r="D129" t="s">
        <v>2790</v>
      </c>
      <c r="E129" t="s">
        <v>192</v>
      </c>
      <c r="F129" s="28">
        <v>1</v>
      </c>
      <c r="G129" t="s">
        <v>193</v>
      </c>
      <c r="H129" t="s">
        <v>194</v>
      </c>
      <c r="I129" t="s">
        <v>2749</v>
      </c>
      <c r="J129" t="s">
        <v>196</v>
      </c>
      <c r="K129">
        <v>18</v>
      </c>
      <c r="L129" s="28">
        <v>132301</v>
      </c>
      <c r="M129" s="28" t="str">
        <f t="shared" si="1"/>
        <v>132301</v>
      </c>
      <c r="N129"/>
      <c r="O129"/>
    </row>
    <row r="130" spans="1:15" x14ac:dyDescent="0.25">
      <c r="A130" t="s">
        <v>2913</v>
      </c>
      <c r="B130" t="s">
        <v>12</v>
      </c>
      <c r="C130" t="s">
        <v>12</v>
      </c>
      <c r="D130" t="s">
        <v>2891</v>
      </c>
      <c r="E130" t="s">
        <v>192</v>
      </c>
      <c r="F130" s="28">
        <v>1</v>
      </c>
      <c r="G130" t="s">
        <v>193</v>
      </c>
      <c r="H130" t="s">
        <v>194</v>
      </c>
      <c r="I130" t="s">
        <v>2892</v>
      </c>
      <c r="J130" t="s">
        <v>196</v>
      </c>
      <c r="K130">
        <v>18</v>
      </c>
      <c r="L130" s="28">
        <v>132301</v>
      </c>
      <c r="M130" s="28" t="str">
        <f t="shared" si="1"/>
        <v>132301</v>
      </c>
      <c r="N130"/>
      <c r="O130"/>
    </row>
    <row r="131" spans="1:15" x14ac:dyDescent="0.25">
      <c r="A131" t="s">
        <v>1483</v>
      </c>
      <c r="B131" t="s">
        <v>3209</v>
      </c>
      <c r="C131" t="s">
        <v>3210</v>
      </c>
      <c r="D131" t="s">
        <v>3167</v>
      </c>
      <c r="E131" t="s">
        <v>192</v>
      </c>
      <c r="F131" s="28">
        <v>1</v>
      </c>
      <c r="G131" t="s">
        <v>193</v>
      </c>
      <c r="H131" t="s">
        <v>194</v>
      </c>
      <c r="I131" t="s">
        <v>3131</v>
      </c>
      <c r="J131" t="s">
        <v>1486</v>
      </c>
      <c r="K131">
        <v>18</v>
      </c>
      <c r="L131" s="28">
        <v>122301</v>
      </c>
      <c r="M131" s="28" t="str">
        <f t="shared" ref="M131:M194" si="2">MID(L131,1,6)</f>
        <v>122301</v>
      </c>
      <c r="N131"/>
      <c r="O131"/>
    </row>
    <row r="132" spans="1:15" x14ac:dyDescent="0.25">
      <c r="A132" t="s">
        <v>1340</v>
      </c>
      <c r="B132" t="s">
        <v>1034</v>
      </c>
      <c r="C132" t="s">
        <v>95</v>
      </c>
      <c r="D132" t="s">
        <v>2790</v>
      </c>
      <c r="E132" t="s">
        <v>192</v>
      </c>
      <c r="F132" s="28">
        <v>1</v>
      </c>
      <c r="G132" t="s">
        <v>193</v>
      </c>
      <c r="H132" t="s">
        <v>194</v>
      </c>
      <c r="I132" t="s">
        <v>2749</v>
      </c>
      <c r="J132" t="s">
        <v>276</v>
      </c>
      <c r="K132">
        <v>18</v>
      </c>
      <c r="L132" s="28">
        <v>122102</v>
      </c>
      <c r="M132" s="28" t="str">
        <f t="shared" si="2"/>
        <v>122102</v>
      </c>
      <c r="N132"/>
      <c r="O132"/>
    </row>
    <row r="133" spans="1:15" x14ac:dyDescent="0.25">
      <c r="A133" t="s">
        <v>1040</v>
      </c>
      <c r="B133" t="s">
        <v>209</v>
      </c>
      <c r="C133" t="s">
        <v>95</v>
      </c>
      <c r="D133" t="s">
        <v>2891</v>
      </c>
      <c r="E133" t="s">
        <v>233</v>
      </c>
      <c r="F133" s="28">
        <v>1</v>
      </c>
      <c r="G133" t="s">
        <v>193</v>
      </c>
      <c r="H133" t="s">
        <v>194</v>
      </c>
      <c r="I133" t="s">
        <v>2880</v>
      </c>
      <c r="J133" t="s">
        <v>210</v>
      </c>
      <c r="K133">
        <v>18</v>
      </c>
      <c r="L133" s="28">
        <v>122102</v>
      </c>
      <c r="M133" s="28" t="str">
        <f t="shared" si="2"/>
        <v>122102</v>
      </c>
      <c r="N133"/>
      <c r="O133"/>
    </row>
    <row r="134" spans="1:15" x14ac:dyDescent="0.25">
      <c r="A134" t="s">
        <v>2587</v>
      </c>
      <c r="B134" t="s">
        <v>3116</v>
      </c>
      <c r="C134" t="s">
        <v>95</v>
      </c>
      <c r="D134" t="s">
        <v>3089</v>
      </c>
      <c r="E134" t="s">
        <v>192</v>
      </c>
      <c r="F134" s="28">
        <v>1</v>
      </c>
      <c r="G134" t="s">
        <v>193</v>
      </c>
      <c r="H134" t="s">
        <v>194</v>
      </c>
      <c r="I134" t="s">
        <v>3081</v>
      </c>
      <c r="J134" t="s">
        <v>385</v>
      </c>
      <c r="K134">
        <v>18</v>
      </c>
      <c r="L134" s="28">
        <v>122102</v>
      </c>
      <c r="M134" s="28" t="str">
        <f t="shared" si="2"/>
        <v>122102</v>
      </c>
      <c r="N134"/>
      <c r="O134"/>
    </row>
    <row r="135" spans="1:15" x14ac:dyDescent="0.25">
      <c r="A135" t="s">
        <v>1340</v>
      </c>
      <c r="B135" t="s">
        <v>736</v>
      </c>
      <c r="C135" t="s">
        <v>95</v>
      </c>
      <c r="D135" t="s">
        <v>3089</v>
      </c>
      <c r="E135" t="s">
        <v>192</v>
      </c>
      <c r="F135" s="28">
        <v>1</v>
      </c>
      <c r="G135" t="s">
        <v>193</v>
      </c>
      <c r="H135" t="s">
        <v>194</v>
      </c>
      <c r="I135" t="s">
        <v>3131</v>
      </c>
      <c r="J135" t="s">
        <v>210</v>
      </c>
      <c r="K135">
        <v>18</v>
      </c>
      <c r="L135" s="28">
        <v>122102</v>
      </c>
      <c r="M135" s="28" t="str">
        <f t="shared" si="2"/>
        <v>122102</v>
      </c>
      <c r="N135"/>
      <c r="O135"/>
    </row>
    <row r="136" spans="1:15" x14ac:dyDescent="0.25">
      <c r="A136" t="s">
        <v>1904</v>
      </c>
      <c r="B136" t="s">
        <v>2773</v>
      </c>
      <c r="C136" t="s">
        <v>227</v>
      </c>
      <c r="D136" t="s">
        <v>2749</v>
      </c>
      <c r="E136" t="s">
        <v>192</v>
      </c>
      <c r="F136" s="28">
        <v>1</v>
      </c>
      <c r="G136" t="s">
        <v>193</v>
      </c>
      <c r="H136" t="s">
        <v>194</v>
      </c>
      <c r="I136" t="s">
        <v>2774</v>
      </c>
      <c r="J136" t="s">
        <v>210</v>
      </c>
      <c r="K136">
        <v>18</v>
      </c>
      <c r="L136" s="28">
        <v>132401</v>
      </c>
      <c r="M136" s="28" t="str">
        <f t="shared" si="2"/>
        <v>132401</v>
      </c>
      <c r="N136"/>
      <c r="O136"/>
    </row>
    <row r="137" spans="1:15" x14ac:dyDescent="0.25">
      <c r="A137" t="s">
        <v>1651</v>
      </c>
      <c r="B137" t="s">
        <v>2831</v>
      </c>
      <c r="C137" t="s">
        <v>2050</v>
      </c>
      <c r="D137" t="s">
        <v>2989</v>
      </c>
      <c r="E137" t="s">
        <v>192</v>
      </c>
      <c r="F137" s="28">
        <v>1</v>
      </c>
      <c r="G137" t="s">
        <v>193</v>
      </c>
      <c r="H137" t="s">
        <v>194</v>
      </c>
      <c r="I137" t="s">
        <v>2750</v>
      </c>
      <c r="J137" t="s">
        <v>316</v>
      </c>
      <c r="K137">
        <v>18</v>
      </c>
      <c r="L137" s="28">
        <v>132402</v>
      </c>
      <c r="M137" s="28" t="str">
        <f t="shared" si="2"/>
        <v>132402</v>
      </c>
      <c r="N137"/>
      <c r="O137"/>
    </row>
    <row r="138" spans="1:15" x14ac:dyDescent="0.25">
      <c r="A138" t="s">
        <v>2830</v>
      </c>
      <c r="B138" t="s">
        <v>2831</v>
      </c>
      <c r="C138" t="s">
        <v>2832</v>
      </c>
      <c r="D138" t="s">
        <v>2790</v>
      </c>
      <c r="E138" t="s">
        <v>192</v>
      </c>
      <c r="F138" s="28">
        <v>1</v>
      </c>
      <c r="G138" t="s">
        <v>193</v>
      </c>
      <c r="H138" t="s">
        <v>194</v>
      </c>
      <c r="I138" t="s">
        <v>2749</v>
      </c>
      <c r="J138" t="s">
        <v>408</v>
      </c>
      <c r="K138">
        <v>18</v>
      </c>
      <c r="L138" s="28">
        <v>142001</v>
      </c>
      <c r="M138" s="28" t="str">
        <f t="shared" si="2"/>
        <v>142001</v>
      </c>
      <c r="N138"/>
      <c r="O138"/>
    </row>
    <row r="139" spans="1:15" x14ac:dyDescent="0.25">
      <c r="A139" t="s">
        <v>3029</v>
      </c>
      <c r="B139" t="s">
        <v>3030</v>
      </c>
      <c r="C139" t="s">
        <v>3031</v>
      </c>
      <c r="D139" t="s">
        <v>2989</v>
      </c>
      <c r="E139" t="s">
        <v>192</v>
      </c>
      <c r="F139" s="28">
        <v>1</v>
      </c>
      <c r="G139" t="s">
        <v>193</v>
      </c>
      <c r="H139" t="s">
        <v>194</v>
      </c>
      <c r="I139" t="s">
        <v>2774</v>
      </c>
      <c r="J139" t="s">
        <v>3032</v>
      </c>
      <c r="K139">
        <v>18</v>
      </c>
      <c r="L139" s="28">
        <v>141101</v>
      </c>
      <c r="M139" s="28" t="str">
        <f t="shared" si="2"/>
        <v>141101</v>
      </c>
      <c r="N139"/>
      <c r="O139"/>
    </row>
    <row r="140" spans="1:15" x14ac:dyDescent="0.25">
      <c r="A140" t="s">
        <v>1870</v>
      </c>
      <c r="B140" t="s">
        <v>2132</v>
      </c>
      <c r="C140" t="s">
        <v>237</v>
      </c>
      <c r="D140" t="s">
        <v>2891</v>
      </c>
      <c r="E140" t="s">
        <v>192</v>
      </c>
      <c r="F140" s="28">
        <v>1</v>
      </c>
      <c r="G140" t="s">
        <v>193</v>
      </c>
      <c r="H140" t="s">
        <v>194</v>
      </c>
      <c r="I140" t="s">
        <v>2934</v>
      </c>
      <c r="J140" t="s">
        <v>210</v>
      </c>
      <c r="K140">
        <v>18</v>
      </c>
      <c r="L140" s="28">
        <v>132404</v>
      </c>
      <c r="M140" s="28" t="str">
        <f t="shared" si="2"/>
        <v>132404</v>
      </c>
      <c r="N140"/>
      <c r="O140"/>
    </row>
    <row r="141" spans="1:15" x14ac:dyDescent="0.25">
      <c r="A141" t="s">
        <v>2959</v>
      </c>
      <c r="B141" t="s">
        <v>2960</v>
      </c>
      <c r="C141" t="s">
        <v>237</v>
      </c>
      <c r="D141" t="s">
        <v>2891</v>
      </c>
      <c r="E141" t="s">
        <v>192</v>
      </c>
      <c r="F141" s="28">
        <v>1</v>
      </c>
      <c r="G141" t="s">
        <v>193</v>
      </c>
      <c r="H141" t="s">
        <v>194</v>
      </c>
      <c r="I141" t="s">
        <v>2790</v>
      </c>
      <c r="J141" t="s">
        <v>2183</v>
      </c>
      <c r="K141">
        <v>18</v>
      </c>
      <c r="L141" s="28">
        <v>132404</v>
      </c>
      <c r="M141" s="28" t="str">
        <f t="shared" si="2"/>
        <v>132404</v>
      </c>
      <c r="N141"/>
      <c r="O141"/>
    </row>
    <row r="142" spans="1:15" x14ac:dyDescent="0.25">
      <c r="A142" t="s">
        <v>1091</v>
      </c>
      <c r="B142" t="s">
        <v>3122</v>
      </c>
      <c r="C142" t="s">
        <v>237</v>
      </c>
      <c r="D142" t="s">
        <v>3089</v>
      </c>
      <c r="E142" t="s">
        <v>217</v>
      </c>
      <c r="F142" s="28">
        <v>1</v>
      </c>
      <c r="G142" t="s">
        <v>193</v>
      </c>
      <c r="H142" t="s">
        <v>194</v>
      </c>
      <c r="I142" t="s">
        <v>2749</v>
      </c>
      <c r="J142" t="s">
        <v>210</v>
      </c>
      <c r="K142">
        <v>18</v>
      </c>
      <c r="L142" s="28">
        <v>132404</v>
      </c>
      <c r="M142" s="28" t="str">
        <f t="shared" si="2"/>
        <v>132404</v>
      </c>
      <c r="N142"/>
      <c r="O142"/>
    </row>
    <row r="143" spans="1:15" x14ac:dyDescent="0.25">
      <c r="A143" t="s">
        <v>3049</v>
      </c>
      <c r="B143" t="s">
        <v>3050</v>
      </c>
      <c r="C143" t="s">
        <v>3051</v>
      </c>
      <c r="D143" t="s">
        <v>2989</v>
      </c>
      <c r="E143" t="s">
        <v>192</v>
      </c>
      <c r="F143" s="28">
        <v>1</v>
      </c>
      <c r="G143" t="s">
        <v>193</v>
      </c>
      <c r="H143" t="s">
        <v>194</v>
      </c>
      <c r="I143" t="s">
        <v>2774</v>
      </c>
      <c r="J143" t="s">
        <v>210</v>
      </c>
      <c r="K143">
        <v>18</v>
      </c>
      <c r="L143" s="28">
        <v>134204</v>
      </c>
      <c r="M143" s="28" t="str">
        <f t="shared" si="2"/>
        <v>134204</v>
      </c>
      <c r="N143"/>
      <c r="O143"/>
    </row>
    <row r="144" spans="1:15" x14ac:dyDescent="0.25">
      <c r="A144" t="s">
        <v>2820</v>
      </c>
      <c r="B144" t="s">
        <v>2821</v>
      </c>
      <c r="C144" t="s">
        <v>1441</v>
      </c>
      <c r="D144" t="s">
        <v>2790</v>
      </c>
      <c r="E144" t="s">
        <v>192</v>
      </c>
      <c r="F144" s="28">
        <v>1</v>
      </c>
      <c r="G144" t="s">
        <v>193</v>
      </c>
      <c r="H144" t="s">
        <v>194</v>
      </c>
      <c r="I144" t="s">
        <v>2749</v>
      </c>
      <c r="J144" t="s">
        <v>2822</v>
      </c>
      <c r="K144">
        <v>18</v>
      </c>
      <c r="L144" s="28">
        <v>132103</v>
      </c>
      <c r="M144" s="28" t="str">
        <f t="shared" si="2"/>
        <v>132103</v>
      </c>
      <c r="N144"/>
      <c r="O144"/>
    </row>
    <row r="145" spans="1:15" x14ac:dyDescent="0.25">
      <c r="A145" t="s">
        <v>1878</v>
      </c>
      <c r="B145" t="s">
        <v>2918</v>
      </c>
      <c r="C145" t="s">
        <v>1441</v>
      </c>
      <c r="D145" t="s">
        <v>2891</v>
      </c>
      <c r="E145" t="s">
        <v>192</v>
      </c>
      <c r="F145" s="28">
        <v>1</v>
      </c>
      <c r="G145" t="s">
        <v>193</v>
      </c>
      <c r="H145" t="s">
        <v>194</v>
      </c>
      <c r="I145" t="s">
        <v>2880</v>
      </c>
      <c r="J145" t="s">
        <v>747</v>
      </c>
      <c r="K145">
        <v>18</v>
      </c>
      <c r="L145" s="28">
        <v>132103</v>
      </c>
      <c r="M145" s="28" t="str">
        <f t="shared" si="2"/>
        <v>132103</v>
      </c>
      <c r="N145"/>
      <c r="O145"/>
    </row>
    <row r="146" spans="1:15" x14ac:dyDescent="0.25">
      <c r="A146" t="s">
        <v>2979</v>
      </c>
      <c r="B146" t="s">
        <v>2821</v>
      </c>
      <c r="C146" t="s">
        <v>1441</v>
      </c>
      <c r="D146" t="s">
        <v>2891</v>
      </c>
      <c r="E146" t="s">
        <v>192</v>
      </c>
      <c r="F146" s="28">
        <v>1</v>
      </c>
      <c r="G146" t="s">
        <v>193</v>
      </c>
      <c r="H146" t="s">
        <v>194</v>
      </c>
      <c r="I146" t="s">
        <v>2971</v>
      </c>
      <c r="J146" t="s">
        <v>210</v>
      </c>
      <c r="K146">
        <v>18</v>
      </c>
      <c r="L146" s="28">
        <v>132103</v>
      </c>
      <c r="M146" s="28" t="str">
        <f t="shared" si="2"/>
        <v>132103</v>
      </c>
      <c r="N146"/>
      <c r="O146"/>
    </row>
    <row r="147" spans="1:15" x14ac:dyDescent="0.25">
      <c r="A147" t="s">
        <v>562</v>
      </c>
      <c r="B147" t="s">
        <v>3004</v>
      </c>
      <c r="C147" t="s">
        <v>1441</v>
      </c>
      <c r="D147" t="s">
        <v>2989</v>
      </c>
      <c r="E147" t="s">
        <v>192</v>
      </c>
      <c r="F147" s="28">
        <v>1</v>
      </c>
      <c r="G147" t="s">
        <v>193</v>
      </c>
      <c r="H147" t="s">
        <v>194</v>
      </c>
      <c r="I147" t="s">
        <v>2750</v>
      </c>
      <c r="J147" t="s">
        <v>253</v>
      </c>
      <c r="K147">
        <v>18</v>
      </c>
      <c r="L147" s="28">
        <v>132103</v>
      </c>
      <c r="M147" s="28" t="str">
        <f t="shared" si="2"/>
        <v>132103</v>
      </c>
      <c r="N147"/>
      <c r="O147"/>
    </row>
    <row r="148" spans="1:15" x14ac:dyDescent="0.25">
      <c r="A148" t="s">
        <v>303</v>
      </c>
      <c r="B148" t="s">
        <v>2821</v>
      </c>
      <c r="C148" t="s">
        <v>1441</v>
      </c>
      <c r="D148" t="s">
        <v>3167</v>
      </c>
      <c r="E148" t="s">
        <v>192</v>
      </c>
      <c r="F148" s="28">
        <v>1</v>
      </c>
      <c r="G148" t="s">
        <v>193</v>
      </c>
      <c r="H148" t="s">
        <v>194</v>
      </c>
      <c r="I148" t="s">
        <v>3131</v>
      </c>
      <c r="J148" t="s">
        <v>305</v>
      </c>
      <c r="K148">
        <v>18</v>
      </c>
      <c r="L148" s="28">
        <v>132103</v>
      </c>
      <c r="M148" s="28" t="str">
        <f t="shared" si="2"/>
        <v>132103</v>
      </c>
      <c r="N148"/>
      <c r="O148"/>
    </row>
    <row r="149" spans="1:15" x14ac:dyDescent="0.25">
      <c r="A149" t="s">
        <v>3255</v>
      </c>
      <c r="B149" t="s">
        <v>3256</v>
      </c>
      <c r="C149" t="s">
        <v>1441</v>
      </c>
      <c r="D149" t="s">
        <v>3252</v>
      </c>
      <c r="E149" t="s">
        <v>192</v>
      </c>
      <c r="F149" s="28">
        <v>1</v>
      </c>
      <c r="G149" t="s">
        <v>193</v>
      </c>
      <c r="H149" t="s">
        <v>194</v>
      </c>
      <c r="I149" t="s">
        <v>3131</v>
      </c>
      <c r="J149" t="s">
        <v>323</v>
      </c>
      <c r="K149">
        <v>18</v>
      </c>
      <c r="L149" s="28">
        <v>132103</v>
      </c>
      <c r="M149" s="28" t="str">
        <f t="shared" si="2"/>
        <v>132103</v>
      </c>
      <c r="N149"/>
      <c r="O149"/>
    </row>
    <row r="150" spans="1:15" x14ac:dyDescent="0.25">
      <c r="A150" t="s">
        <v>2897</v>
      </c>
      <c r="B150" t="s">
        <v>2900</v>
      </c>
      <c r="C150" t="s">
        <v>129</v>
      </c>
      <c r="D150" t="s">
        <v>2891</v>
      </c>
      <c r="E150" t="s">
        <v>192</v>
      </c>
      <c r="F150" s="28">
        <v>1</v>
      </c>
      <c r="G150" t="s">
        <v>193</v>
      </c>
      <c r="H150" t="s">
        <v>194</v>
      </c>
      <c r="I150" t="s">
        <v>2880</v>
      </c>
      <c r="J150" t="s">
        <v>210</v>
      </c>
      <c r="K150">
        <v>18</v>
      </c>
      <c r="L150" s="28">
        <v>121904</v>
      </c>
      <c r="M150" s="28" t="str">
        <f t="shared" si="2"/>
        <v>121904</v>
      </c>
      <c r="N150"/>
      <c r="O150"/>
    </row>
    <row r="151" spans="1:15" x14ac:dyDescent="0.25">
      <c r="A151" t="s">
        <v>2951</v>
      </c>
      <c r="B151" t="s">
        <v>2952</v>
      </c>
      <c r="C151" t="s">
        <v>129</v>
      </c>
      <c r="D151" t="s">
        <v>2891</v>
      </c>
      <c r="E151" t="s">
        <v>233</v>
      </c>
      <c r="F151" s="76">
        <v>0</v>
      </c>
      <c r="G151" s="75" t="s">
        <v>194</v>
      </c>
      <c r="H151" t="s">
        <v>193</v>
      </c>
      <c r="I151" t="s">
        <v>2892</v>
      </c>
      <c r="J151" t="s">
        <v>196</v>
      </c>
      <c r="K151">
        <v>18</v>
      </c>
      <c r="L151" s="28">
        <v>121904</v>
      </c>
      <c r="M151" s="28" t="str">
        <f t="shared" si="2"/>
        <v>121904</v>
      </c>
      <c r="N151" s="28">
        <v>1</v>
      </c>
    </row>
    <row r="152" spans="1:15" x14ac:dyDescent="0.25">
      <c r="A152" t="s">
        <v>2961</v>
      </c>
      <c r="B152" t="s">
        <v>2952</v>
      </c>
      <c r="C152" t="s">
        <v>129</v>
      </c>
      <c r="D152" t="s">
        <v>2891</v>
      </c>
      <c r="E152" t="s">
        <v>192</v>
      </c>
      <c r="F152" s="28">
        <v>1</v>
      </c>
      <c r="G152" t="s">
        <v>193</v>
      </c>
      <c r="H152" t="s">
        <v>194</v>
      </c>
      <c r="I152" t="s">
        <v>2892</v>
      </c>
      <c r="J152" t="s">
        <v>210</v>
      </c>
      <c r="K152">
        <v>18</v>
      </c>
      <c r="L152" s="28">
        <v>121904</v>
      </c>
      <c r="M152" s="28" t="str">
        <f t="shared" si="2"/>
        <v>121904</v>
      </c>
      <c r="N152"/>
      <c r="O152"/>
    </row>
    <row r="153" spans="1:15" x14ac:dyDescent="0.25">
      <c r="A153" t="s">
        <v>1056</v>
      </c>
      <c r="B153" t="s">
        <v>1057</v>
      </c>
      <c r="C153" t="s">
        <v>74</v>
      </c>
      <c r="D153" t="s">
        <v>2749</v>
      </c>
      <c r="E153" t="s">
        <v>192</v>
      </c>
      <c r="F153" s="28">
        <v>1</v>
      </c>
      <c r="G153" t="s">
        <v>193</v>
      </c>
      <c r="H153" t="s">
        <v>194</v>
      </c>
      <c r="I153" t="s">
        <v>2750</v>
      </c>
      <c r="J153" t="s">
        <v>253</v>
      </c>
      <c r="K153">
        <v>18</v>
      </c>
      <c r="L153" s="28">
        <v>142004</v>
      </c>
      <c r="M153" s="28" t="str">
        <f t="shared" si="2"/>
        <v>142004</v>
      </c>
      <c r="N153"/>
      <c r="O153"/>
    </row>
    <row r="154" spans="1:15" x14ac:dyDescent="0.25">
      <c r="A154" t="s">
        <v>2932</v>
      </c>
      <c r="B154" t="s">
        <v>2935</v>
      </c>
      <c r="C154" t="s">
        <v>74</v>
      </c>
      <c r="D154" t="s">
        <v>2891</v>
      </c>
      <c r="E154" t="s">
        <v>192</v>
      </c>
      <c r="F154" s="28">
        <v>1</v>
      </c>
      <c r="G154" t="s">
        <v>193</v>
      </c>
      <c r="H154" t="s">
        <v>194</v>
      </c>
      <c r="I154" t="s">
        <v>2934</v>
      </c>
      <c r="J154" t="s">
        <v>747</v>
      </c>
      <c r="K154">
        <v>18</v>
      </c>
      <c r="L154" s="28">
        <v>142004</v>
      </c>
      <c r="M154" s="28" t="str">
        <f t="shared" si="2"/>
        <v>142004</v>
      </c>
      <c r="N154"/>
      <c r="O154"/>
    </row>
    <row r="155" spans="1:15" x14ac:dyDescent="0.25">
      <c r="A155" t="s">
        <v>763</v>
      </c>
      <c r="B155" t="s">
        <v>261</v>
      </c>
      <c r="C155" t="s">
        <v>74</v>
      </c>
      <c r="D155" t="s">
        <v>2891</v>
      </c>
      <c r="E155" t="s">
        <v>192</v>
      </c>
      <c r="F155" s="28">
        <v>1</v>
      </c>
      <c r="G155" t="s">
        <v>193</v>
      </c>
      <c r="H155" t="s">
        <v>194</v>
      </c>
      <c r="I155" t="s">
        <v>2790</v>
      </c>
      <c r="J155" t="s">
        <v>267</v>
      </c>
      <c r="K155">
        <v>18</v>
      </c>
      <c r="L155" s="28">
        <v>142004</v>
      </c>
      <c r="M155" s="28" t="str">
        <f t="shared" si="2"/>
        <v>142004</v>
      </c>
      <c r="N155"/>
      <c r="O155"/>
    </row>
    <row r="156" spans="1:15" x14ac:dyDescent="0.25">
      <c r="A156" t="s">
        <v>2943</v>
      </c>
      <c r="B156" t="s">
        <v>1057</v>
      </c>
      <c r="C156" t="s">
        <v>74</v>
      </c>
      <c r="D156" t="s">
        <v>2891</v>
      </c>
      <c r="E156" t="s">
        <v>233</v>
      </c>
      <c r="F156" s="28">
        <v>1</v>
      </c>
      <c r="G156" t="s">
        <v>193</v>
      </c>
      <c r="H156" t="s">
        <v>194</v>
      </c>
      <c r="I156" t="s">
        <v>2790</v>
      </c>
      <c r="J156" t="s">
        <v>210</v>
      </c>
      <c r="K156">
        <v>18</v>
      </c>
      <c r="L156" s="28">
        <v>142004</v>
      </c>
      <c r="M156" s="28" t="str">
        <f t="shared" si="2"/>
        <v>142004</v>
      </c>
      <c r="N156"/>
      <c r="O156"/>
    </row>
    <row r="157" spans="1:15" x14ac:dyDescent="0.25">
      <c r="A157" t="s">
        <v>1084</v>
      </c>
      <c r="B157" t="s">
        <v>261</v>
      </c>
      <c r="C157" t="s">
        <v>74</v>
      </c>
      <c r="D157" t="s">
        <v>2989</v>
      </c>
      <c r="E157" t="s">
        <v>192</v>
      </c>
      <c r="F157" s="28">
        <v>1</v>
      </c>
      <c r="G157" t="s">
        <v>193</v>
      </c>
      <c r="H157" t="s">
        <v>194</v>
      </c>
      <c r="I157" t="s">
        <v>2750</v>
      </c>
      <c r="J157" t="s">
        <v>210</v>
      </c>
      <c r="K157">
        <v>18</v>
      </c>
      <c r="L157" s="28">
        <v>142004</v>
      </c>
      <c r="M157" s="28" t="str">
        <f t="shared" si="2"/>
        <v>142004</v>
      </c>
      <c r="N157"/>
      <c r="O157"/>
    </row>
    <row r="158" spans="1:15" x14ac:dyDescent="0.25">
      <c r="A158" t="s">
        <v>364</v>
      </c>
      <c r="B158" t="s">
        <v>1377</v>
      </c>
      <c r="C158" t="s">
        <v>583</v>
      </c>
      <c r="D158" t="s">
        <v>2790</v>
      </c>
      <c r="E158" t="s">
        <v>192</v>
      </c>
      <c r="F158" s="28">
        <v>1</v>
      </c>
      <c r="G158" t="s">
        <v>193</v>
      </c>
      <c r="H158" t="s">
        <v>194</v>
      </c>
      <c r="I158" t="s">
        <v>2749</v>
      </c>
      <c r="J158" t="s">
        <v>210</v>
      </c>
      <c r="K158">
        <v>18</v>
      </c>
      <c r="L158" s="28">
        <v>311937</v>
      </c>
      <c r="M158" s="28" t="str">
        <f t="shared" si="2"/>
        <v>311937</v>
      </c>
      <c r="N158"/>
      <c r="O158"/>
    </row>
    <row r="159" spans="1:15" x14ac:dyDescent="0.25">
      <c r="A159" t="s">
        <v>2834</v>
      </c>
      <c r="B159" t="s">
        <v>2837</v>
      </c>
      <c r="C159" t="s">
        <v>583</v>
      </c>
      <c r="D159" t="s">
        <v>2790</v>
      </c>
      <c r="E159" t="s">
        <v>192</v>
      </c>
      <c r="F159" s="28">
        <v>1</v>
      </c>
      <c r="G159" t="s">
        <v>193</v>
      </c>
      <c r="H159" t="s">
        <v>194</v>
      </c>
      <c r="I159" t="s">
        <v>2749</v>
      </c>
      <c r="J159" t="s">
        <v>253</v>
      </c>
      <c r="K159">
        <v>18</v>
      </c>
      <c r="L159" s="28">
        <v>311937</v>
      </c>
      <c r="M159" s="28" t="str">
        <f t="shared" si="2"/>
        <v>311937</v>
      </c>
      <c r="N159"/>
      <c r="O159"/>
    </row>
    <row r="160" spans="1:15" x14ac:dyDescent="0.25">
      <c r="A160" t="s">
        <v>1340</v>
      </c>
      <c r="B160" t="s">
        <v>1127</v>
      </c>
      <c r="C160" t="s">
        <v>583</v>
      </c>
      <c r="D160" t="s">
        <v>2891</v>
      </c>
      <c r="E160" t="s">
        <v>192</v>
      </c>
      <c r="F160" s="28">
        <v>1</v>
      </c>
      <c r="G160" t="s">
        <v>193</v>
      </c>
      <c r="H160" t="s">
        <v>194</v>
      </c>
      <c r="I160" t="s">
        <v>2790</v>
      </c>
      <c r="J160" t="s">
        <v>385</v>
      </c>
      <c r="K160">
        <v>18</v>
      </c>
      <c r="L160" s="28">
        <v>311937</v>
      </c>
      <c r="M160" s="28" t="str">
        <f t="shared" si="2"/>
        <v>311937</v>
      </c>
      <c r="N160"/>
      <c r="O160"/>
    </row>
    <row r="161" spans="1:15" x14ac:dyDescent="0.25">
      <c r="A161" t="s">
        <v>1091</v>
      </c>
      <c r="B161" t="s">
        <v>2919</v>
      </c>
      <c r="C161" t="s">
        <v>583</v>
      </c>
      <c r="D161" t="s">
        <v>2982</v>
      </c>
      <c r="E161" t="s">
        <v>217</v>
      </c>
      <c r="F161" s="28">
        <v>1</v>
      </c>
      <c r="G161" t="s">
        <v>193</v>
      </c>
      <c r="H161" t="s">
        <v>194</v>
      </c>
      <c r="I161" t="s">
        <v>2971</v>
      </c>
      <c r="J161" t="s">
        <v>2921</v>
      </c>
      <c r="K161">
        <v>18</v>
      </c>
      <c r="L161" s="28">
        <v>311937</v>
      </c>
      <c r="M161" s="28" t="str">
        <f t="shared" si="2"/>
        <v>311937</v>
      </c>
      <c r="N161"/>
      <c r="O161"/>
    </row>
    <row r="162" spans="1:15" x14ac:dyDescent="0.25">
      <c r="A162" t="s">
        <v>1446</v>
      </c>
      <c r="B162" t="s">
        <v>3136</v>
      </c>
      <c r="C162" t="s">
        <v>583</v>
      </c>
      <c r="D162" t="s">
        <v>3089</v>
      </c>
      <c r="E162" t="s">
        <v>192</v>
      </c>
      <c r="F162" s="28">
        <v>1</v>
      </c>
      <c r="G162" t="s">
        <v>193</v>
      </c>
      <c r="H162" t="s">
        <v>194</v>
      </c>
      <c r="I162" t="s">
        <v>3131</v>
      </c>
      <c r="J162" t="s">
        <v>672</v>
      </c>
      <c r="K162">
        <v>18</v>
      </c>
      <c r="L162" s="28">
        <v>311937</v>
      </c>
      <c r="M162" s="28" t="str">
        <f t="shared" si="2"/>
        <v>311937</v>
      </c>
      <c r="N162"/>
      <c r="O162"/>
    </row>
    <row r="163" spans="1:15" x14ac:dyDescent="0.25">
      <c r="A163" t="s">
        <v>1340</v>
      </c>
      <c r="B163" t="s">
        <v>2870</v>
      </c>
      <c r="C163" s="24" t="s">
        <v>36</v>
      </c>
      <c r="D163" t="s">
        <v>2790</v>
      </c>
      <c r="E163" t="s">
        <v>192</v>
      </c>
      <c r="F163" s="28">
        <v>1</v>
      </c>
      <c r="G163" t="s">
        <v>193</v>
      </c>
      <c r="H163" t="s">
        <v>194</v>
      </c>
      <c r="I163" t="s">
        <v>2749</v>
      </c>
      <c r="J163" t="s">
        <v>210</v>
      </c>
      <c r="K163">
        <v>18</v>
      </c>
      <c r="L163" s="28">
        <v>331301</v>
      </c>
      <c r="M163" s="28" t="str">
        <f t="shared" si="2"/>
        <v>331301</v>
      </c>
      <c r="N163" s="28">
        <v>1</v>
      </c>
      <c r="O163"/>
    </row>
    <row r="164" spans="1:15" x14ac:dyDescent="0.25">
      <c r="A164" t="s">
        <v>1483</v>
      </c>
      <c r="B164" t="s">
        <v>3045</v>
      </c>
      <c r="C164" s="24" t="s">
        <v>36</v>
      </c>
      <c r="D164" t="s">
        <v>2989</v>
      </c>
      <c r="E164" t="s">
        <v>192</v>
      </c>
      <c r="F164" s="28">
        <v>1</v>
      </c>
      <c r="G164" t="s">
        <v>193</v>
      </c>
      <c r="H164" t="s">
        <v>194</v>
      </c>
      <c r="I164" t="s">
        <v>2774</v>
      </c>
      <c r="J164" t="s">
        <v>210</v>
      </c>
      <c r="K164">
        <v>18</v>
      </c>
      <c r="L164" s="28">
        <v>331301</v>
      </c>
      <c r="M164" s="28" t="str">
        <f t="shared" si="2"/>
        <v>331301</v>
      </c>
      <c r="N164" s="28">
        <v>2</v>
      </c>
      <c r="O164"/>
    </row>
    <row r="165" spans="1:15" x14ac:dyDescent="0.25">
      <c r="A165" t="s">
        <v>3076</v>
      </c>
      <c r="B165" t="s">
        <v>3077</v>
      </c>
      <c r="C165" s="24" t="s">
        <v>36</v>
      </c>
      <c r="D165" t="s">
        <v>2989</v>
      </c>
      <c r="E165" t="s">
        <v>192</v>
      </c>
      <c r="F165" s="28">
        <v>1</v>
      </c>
      <c r="G165" t="s">
        <v>193</v>
      </c>
      <c r="H165" t="s">
        <v>194</v>
      </c>
      <c r="I165" t="s">
        <v>2774</v>
      </c>
      <c r="J165" t="s">
        <v>210</v>
      </c>
      <c r="K165">
        <v>18</v>
      </c>
      <c r="L165" s="28">
        <v>331301</v>
      </c>
      <c r="M165" s="28" t="str">
        <f t="shared" si="2"/>
        <v>331301</v>
      </c>
      <c r="N165" s="28">
        <v>3</v>
      </c>
      <c r="O165"/>
    </row>
    <row r="166" spans="1:15" x14ac:dyDescent="0.25">
      <c r="A166" t="s">
        <v>1697</v>
      </c>
      <c r="B166" t="s">
        <v>3082</v>
      </c>
      <c r="C166" s="24" t="s">
        <v>36</v>
      </c>
      <c r="D166" t="s">
        <v>2989</v>
      </c>
      <c r="E166" t="s">
        <v>192</v>
      </c>
      <c r="F166" s="28">
        <v>1</v>
      </c>
      <c r="G166" t="s">
        <v>193</v>
      </c>
      <c r="H166" t="s">
        <v>194</v>
      </c>
      <c r="I166" t="s">
        <v>3081</v>
      </c>
      <c r="J166" t="s">
        <v>210</v>
      </c>
      <c r="K166">
        <v>18</v>
      </c>
      <c r="L166" s="28">
        <v>331301</v>
      </c>
      <c r="M166" s="28" t="str">
        <f t="shared" si="2"/>
        <v>331301</v>
      </c>
      <c r="N166" s="28">
        <v>4</v>
      </c>
      <c r="O166"/>
    </row>
    <row r="167" spans="1:15" x14ac:dyDescent="0.25">
      <c r="A167" t="s">
        <v>3085</v>
      </c>
      <c r="B167" t="s">
        <v>3086</v>
      </c>
      <c r="C167" s="24" t="s">
        <v>36</v>
      </c>
      <c r="D167" t="s">
        <v>2989</v>
      </c>
      <c r="E167" t="s">
        <v>192</v>
      </c>
      <c r="F167" s="28">
        <v>1</v>
      </c>
      <c r="G167" t="s">
        <v>193</v>
      </c>
      <c r="H167" t="s">
        <v>194</v>
      </c>
      <c r="I167" t="s">
        <v>2749</v>
      </c>
      <c r="J167" t="s">
        <v>223</v>
      </c>
      <c r="K167">
        <v>18</v>
      </c>
      <c r="L167" s="28">
        <v>331301</v>
      </c>
      <c r="M167" s="28" t="str">
        <f t="shared" si="2"/>
        <v>331301</v>
      </c>
      <c r="N167" s="28">
        <v>5</v>
      </c>
      <c r="O167"/>
    </row>
    <row r="168" spans="1:15" x14ac:dyDescent="0.25">
      <c r="A168" t="s">
        <v>974</v>
      </c>
      <c r="B168" t="s">
        <v>3157</v>
      </c>
      <c r="C168" s="24" t="s">
        <v>36</v>
      </c>
      <c r="D168" t="s">
        <v>3089</v>
      </c>
      <c r="E168" t="s">
        <v>192</v>
      </c>
      <c r="F168" s="28">
        <v>1</v>
      </c>
      <c r="G168" t="s">
        <v>193</v>
      </c>
      <c r="H168" t="s">
        <v>194</v>
      </c>
      <c r="I168" t="s">
        <v>3131</v>
      </c>
      <c r="J168" t="s">
        <v>253</v>
      </c>
      <c r="K168">
        <v>18</v>
      </c>
      <c r="L168" s="28">
        <v>331301</v>
      </c>
      <c r="M168" s="28" t="str">
        <f t="shared" si="2"/>
        <v>331301</v>
      </c>
      <c r="N168" s="28">
        <v>6</v>
      </c>
      <c r="O168"/>
    </row>
    <row r="169" spans="1:15" x14ac:dyDescent="0.25">
      <c r="A169" t="s">
        <v>1861</v>
      </c>
      <c r="B169" t="s">
        <v>3173</v>
      </c>
      <c r="C169" s="24" t="s">
        <v>36</v>
      </c>
      <c r="D169" t="s">
        <v>3167</v>
      </c>
      <c r="E169" t="s">
        <v>192</v>
      </c>
      <c r="F169" s="28">
        <v>1</v>
      </c>
      <c r="G169" t="s">
        <v>193</v>
      </c>
      <c r="H169" t="s">
        <v>194</v>
      </c>
      <c r="I169" t="s">
        <v>3131</v>
      </c>
      <c r="J169" t="s">
        <v>210</v>
      </c>
      <c r="K169">
        <v>18</v>
      </c>
      <c r="L169" s="28">
        <v>331301</v>
      </c>
      <c r="M169" s="28" t="str">
        <f t="shared" si="2"/>
        <v>331301</v>
      </c>
      <c r="N169" s="28">
        <v>7</v>
      </c>
      <c r="O169"/>
    </row>
    <row r="170" spans="1:15" x14ac:dyDescent="0.25">
      <c r="A170" t="s">
        <v>2862</v>
      </c>
      <c r="B170" t="s">
        <v>3228</v>
      </c>
      <c r="C170" s="24" t="s">
        <v>36</v>
      </c>
      <c r="D170" t="s">
        <v>3167</v>
      </c>
      <c r="E170" t="s">
        <v>192</v>
      </c>
      <c r="F170" s="28">
        <v>1</v>
      </c>
      <c r="G170" t="s">
        <v>193</v>
      </c>
      <c r="H170" t="s">
        <v>194</v>
      </c>
      <c r="I170" t="s">
        <v>3131</v>
      </c>
      <c r="J170" t="s">
        <v>575</v>
      </c>
      <c r="K170">
        <v>18</v>
      </c>
      <c r="L170" s="28">
        <v>331301</v>
      </c>
      <c r="M170" s="28" t="str">
        <f t="shared" si="2"/>
        <v>331301</v>
      </c>
      <c r="N170" s="28">
        <v>8</v>
      </c>
      <c r="O170"/>
    </row>
    <row r="171" spans="1:15" x14ac:dyDescent="0.25">
      <c r="A171" t="s">
        <v>2953</v>
      </c>
      <c r="B171" t="s">
        <v>2954</v>
      </c>
      <c r="C171" t="s">
        <v>2955</v>
      </c>
      <c r="D171" t="s">
        <v>2891</v>
      </c>
      <c r="E171" t="s">
        <v>192</v>
      </c>
      <c r="F171" s="28">
        <v>1</v>
      </c>
      <c r="G171" t="s">
        <v>193</v>
      </c>
      <c r="H171" t="s">
        <v>194</v>
      </c>
      <c r="I171" t="s">
        <v>2790</v>
      </c>
      <c r="J171" t="s">
        <v>2614</v>
      </c>
      <c r="K171">
        <v>18</v>
      </c>
      <c r="L171" s="28">
        <v>311202</v>
      </c>
      <c r="M171" s="28" t="str">
        <f t="shared" si="2"/>
        <v>311202</v>
      </c>
      <c r="N171"/>
      <c r="O171"/>
    </row>
    <row r="172" spans="1:15" x14ac:dyDescent="0.25">
      <c r="A172" t="s">
        <v>2953</v>
      </c>
      <c r="B172" t="s">
        <v>2954</v>
      </c>
      <c r="C172" t="s">
        <v>2955</v>
      </c>
      <c r="D172" t="s">
        <v>2891</v>
      </c>
      <c r="E172" t="s">
        <v>192</v>
      </c>
      <c r="F172" s="28">
        <v>1</v>
      </c>
      <c r="G172" t="s">
        <v>193</v>
      </c>
      <c r="H172" t="s">
        <v>194</v>
      </c>
      <c r="I172" t="s">
        <v>2790</v>
      </c>
      <c r="J172" t="s">
        <v>2956</v>
      </c>
      <c r="K172">
        <v>18</v>
      </c>
      <c r="L172" s="28">
        <v>311202</v>
      </c>
      <c r="M172" s="28" t="str">
        <f t="shared" si="2"/>
        <v>311202</v>
      </c>
      <c r="N172"/>
      <c r="O172"/>
    </row>
    <row r="173" spans="1:15" x14ac:dyDescent="0.25">
      <c r="A173" t="s">
        <v>1376</v>
      </c>
      <c r="B173" t="s">
        <v>1378</v>
      </c>
      <c r="C173" t="s">
        <v>1379</v>
      </c>
      <c r="D173" t="s">
        <v>3252</v>
      </c>
      <c r="E173" t="s">
        <v>233</v>
      </c>
      <c r="F173" s="28">
        <v>1</v>
      </c>
      <c r="G173" t="s">
        <v>193</v>
      </c>
      <c r="H173" t="s">
        <v>194</v>
      </c>
      <c r="I173" t="s">
        <v>2892</v>
      </c>
      <c r="J173" t="s">
        <v>976</v>
      </c>
      <c r="K173">
        <v>18</v>
      </c>
      <c r="L173" s="28">
        <v>713201</v>
      </c>
      <c r="M173" s="28" t="str">
        <f t="shared" si="2"/>
        <v>713201</v>
      </c>
      <c r="N173"/>
      <c r="O173"/>
    </row>
    <row r="174" spans="1:15" x14ac:dyDescent="0.25">
      <c r="A174" t="s">
        <v>1060</v>
      </c>
      <c r="B174" t="s">
        <v>2124</v>
      </c>
      <c r="C174" t="s">
        <v>13</v>
      </c>
      <c r="D174" t="s">
        <v>3089</v>
      </c>
      <c r="E174" t="s">
        <v>233</v>
      </c>
      <c r="F174" s="28">
        <v>1</v>
      </c>
      <c r="G174" t="s">
        <v>193</v>
      </c>
      <c r="H174" t="s">
        <v>194</v>
      </c>
      <c r="I174" t="s">
        <v>2749</v>
      </c>
      <c r="J174" t="s">
        <v>253</v>
      </c>
      <c r="K174">
        <v>18</v>
      </c>
      <c r="L174" s="28">
        <v>225101</v>
      </c>
      <c r="M174" s="28" t="str">
        <f t="shared" si="2"/>
        <v>225101</v>
      </c>
      <c r="N174"/>
      <c r="O174"/>
    </row>
    <row r="175" spans="1:15" x14ac:dyDescent="0.25">
      <c r="A175" t="s">
        <v>888</v>
      </c>
      <c r="B175" t="s">
        <v>67</v>
      </c>
      <c r="C175" t="s">
        <v>67</v>
      </c>
      <c r="D175" t="s">
        <v>2749</v>
      </c>
      <c r="E175" t="s">
        <v>217</v>
      </c>
      <c r="F175" s="28">
        <v>1</v>
      </c>
      <c r="G175" t="s">
        <v>193</v>
      </c>
      <c r="H175" t="s">
        <v>194</v>
      </c>
      <c r="I175" t="s">
        <v>2750</v>
      </c>
      <c r="J175" t="s">
        <v>316</v>
      </c>
      <c r="K175">
        <v>18</v>
      </c>
      <c r="L175" s="28">
        <v>432103</v>
      </c>
      <c r="M175" s="28" t="str">
        <f t="shared" si="2"/>
        <v>432103</v>
      </c>
      <c r="N175"/>
      <c r="O175"/>
    </row>
    <row r="176" spans="1:15" x14ac:dyDescent="0.25">
      <c r="A176" t="s">
        <v>2133</v>
      </c>
      <c r="B176" t="s">
        <v>67</v>
      </c>
      <c r="C176" t="s">
        <v>67</v>
      </c>
      <c r="D176" t="s">
        <v>2749</v>
      </c>
      <c r="E176" t="s">
        <v>192</v>
      </c>
      <c r="F176" s="28">
        <v>1</v>
      </c>
      <c r="G176" t="s">
        <v>193</v>
      </c>
      <c r="H176" t="s">
        <v>194</v>
      </c>
      <c r="I176" t="s">
        <v>2750</v>
      </c>
      <c r="J176" t="s">
        <v>253</v>
      </c>
      <c r="K176">
        <v>18</v>
      </c>
      <c r="L176" s="28">
        <v>432103</v>
      </c>
      <c r="M176" s="28" t="str">
        <f t="shared" si="2"/>
        <v>432103</v>
      </c>
      <c r="N176"/>
      <c r="O176"/>
    </row>
    <row r="177" spans="1:15" x14ac:dyDescent="0.25">
      <c r="A177" t="s">
        <v>1386</v>
      </c>
      <c r="B177" t="s">
        <v>67</v>
      </c>
      <c r="C177" t="s">
        <v>67</v>
      </c>
      <c r="D177" t="s">
        <v>2989</v>
      </c>
      <c r="E177" t="s">
        <v>192</v>
      </c>
      <c r="F177" s="28">
        <v>1</v>
      </c>
      <c r="G177" t="s">
        <v>193</v>
      </c>
      <c r="H177" t="s">
        <v>194</v>
      </c>
      <c r="I177" t="s">
        <v>2990</v>
      </c>
      <c r="J177" t="s">
        <v>253</v>
      </c>
      <c r="K177">
        <v>18</v>
      </c>
      <c r="L177" s="28">
        <v>432103</v>
      </c>
      <c r="M177" s="28" t="str">
        <f t="shared" si="2"/>
        <v>432103</v>
      </c>
      <c r="N177"/>
      <c r="O177"/>
    </row>
    <row r="178" spans="1:15" x14ac:dyDescent="0.25">
      <c r="A178" t="s">
        <v>2669</v>
      </c>
      <c r="B178" t="s">
        <v>3282</v>
      </c>
      <c r="C178" t="s">
        <v>3283</v>
      </c>
      <c r="D178" t="s">
        <v>3252</v>
      </c>
      <c r="E178" t="s">
        <v>217</v>
      </c>
      <c r="F178" s="28">
        <v>1</v>
      </c>
      <c r="G178" t="s">
        <v>193</v>
      </c>
      <c r="H178" t="s">
        <v>194</v>
      </c>
      <c r="I178" t="s">
        <v>2749</v>
      </c>
      <c r="J178" t="s">
        <v>253</v>
      </c>
      <c r="K178">
        <v>18</v>
      </c>
      <c r="L178" s="28">
        <v>432103</v>
      </c>
      <c r="M178" s="28" t="str">
        <f t="shared" si="2"/>
        <v>432103</v>
      </c>
      <c r="N178"/>
      <c r="O178"/>
    </row>
    <row r="179" spans="1:15" x14ac:dyDescent="0.25">
      <c r="A179" t="s">
        <v>2669</v>
      </c>
      <c r="B179" t="s">
        <v>2858</v>
      </c>
      <c r="C179" t="s">
        <v>2859</v>
      </c>
      <c r="D179" t="s">
        <v>2790</v>
      </c>
      <c r="E179" t="s">
        <v>217</v>
      </c>
      <c r="F179" s="28">
        <v>1</v>
      </c>
      <c r="G179" t="s">
        <v>193</v>
      </c>
      <c r="H179" t="s">
        <v>194</v>
      </c>
      <c r="I179" t="s">
        <v>2749</v>
      </c>
      <c r="J179" t="s">
        <v>253</v>
      </c>
      <c r="K179">
        <v>18</v>
      </c>
      <c r="L179" s="28">
        <v>723103</v>
      </c>
      <c r="M179" s="28" t="str">
        <f t="shared" si="2"/>
        <v>723103</v>
      </c>
      <c r="N179"/>
      <c r="O179"/>
    </row>
    <row r="180" spans="1:15" x14ac:dyDescent="0.25">
      <c r="A180" t="s">
        <v>2669</v>
      </c>
      <c r="B180" t="s">
        <v>2782</v>
      </c>
      <c r="C180" t="s">
        <v>2783</v>
      </c>
      <c r="D180" t="s">
        <v>2749</v>
      </c>
      <c r="E180" t="s">
        <v>217</v>
      </c>
      <c r="F180" s="76">
        <v>0</v>
      </c>
      <c r="G180" s="75" t="s">
        <v>194</v>
      </c>
      <c r="H180" t="s">
        <v>193</v>
      </c>
      <c r="I180" t="s">
        <v>2774</v>
      </c>
      <c r="J180" t="s">
        <v>196</v>
      </c>
      <c r="K180">
        <v>18</v>
      </c>
      <c r="L180" s="28">
        <v>712501</v>
      </c>
      <c r="M180" s="28" t="str">
        <f t="shared" si="2"/>
        <v>712501</v>
      </c>
      <c r="N180" s="28">
        <v>1</v>
      </c>
    </row>
    <row r="181" spans="1:15" x14ac:dyDescent="0.25">
      <c r="A181" t="s">
        <v>796</v>
      </c>
      <c r="B181" t="s">
        <v>2893</v>
      </c>
      <c r="C181" t="s">
        <v>2154</v>
      </c>
      <c r="D181" t="s">
        <v>2891</v>
      </c>
      <c r="E181" t="s">
        <v>233</v>
      </c>
      <c r="F181" s="28">
        <v>1</v>
      </c>
      <c r="G181" t="s">
        <v>193</v>
      </c>
      <c r="H181" t="s">
        <v>194</v>
      </c>
      <c r="I181" t="s">
        <v>2880</v>
      </c>
      <c r="J181" t="s">
        <v>253</v>
      </c>
      <c r="K181">
        <v>18</v>
      </c>
      <c r="L181" s="28">
        <v>821105</v>
      </c>
      <c r="M181" s="28" t="str">
        <f t="shared" si="2"/>
        <v>821105</v>
      </c>
      <c r="N181"/>
      <c r="O181"/>
    </row>
    <row r="182" spans="1:15" x14ac:dyDescent="0.25">
      <c r="A182" t="s">
        <v>517</v>
      </c>
      <c r="B182" t="s">
        <v>2941</v>
      </c>
      <c r="C182" t="s">
        <v>2942</v>
      </c>
      <c r="D182" t="s">
        <v>2891</v>
      </c>
      <c r="E182" t="s">
        <v>192</v>
      </c>
      <c r="F182" s="28">
        <v>1</v>
      </c>
      <c r="G182" t="s">
        <v>193</v>
      </c>
      <c r="H182" t="s">
        <v>194</v>
      </c>
      <c r="I182" t="s">
        <v>2790</v>
      </c>
      <c r="J182" t="s">
        <v>826</v>
      </c>
      <c r="K182">
        <v>18</v>
      </c>
      <c r="L182" s="28">
        <v>712614</v>
      </c>
      <c r="M182" s="28" t="str">
        <f t="shared" si="2"/>
        <v>712614</v>
      </c>
      <c r="N182"/>
      <c r="O182"/>
    </row>
    <row r="183" spans="1:15" x14ac:dyDescent="0.25">
      <c r="A183" t="s">
        <v>1546</v>
      </c>
      <c r="B183" t="s">
        <v>3233</v>
      </c>
      <c r="C183" t="s">
        <v>34</v>
      </c>
      <c r="D183" t="s">
        <v>3167</v>
      </c>
      <c r="E183" t="s">
        <v>233</v>
      </c>
      <c r="F183" s="28">
        <v>1</v>
      </c>
      <c r="G183" t="s">
        <v>193</v>
      </c>
      <c r="H183" t="s">
        <v>194</v>
      </c>
      <c r="I183" t="s">
        <v>2749</v>
      </c>
      <c r="J183" t="s">
        <v>276</v>
      </c>
      <c r="K183">
        <v>18</v>
      </c>
      <c r="L183" s="28">
        <v>121303</v>
      </c>
      <c r="M183" s="28" t="str">
        <f t="shared" si="2"/>
        <v>121303</v>
      </c>
      <c r="N183"/>
      <c r="O183"/>
    </row>
    <row r="184" spans="1:15" x14ac:dyDescent="0.25">
      <c r="A184" t="s">
        <v>1154</v>
      </c>
      <c r="B184" t="s">
        <v>2923</v>
      </c>
      <c r="C184" t="s">
        <v>2924</v>
      </c>
      <c r="D184" t="s">
        <v>2891</v>
      </c>
      <c r="E184" t="s">
        <v>252</v>
      </c>
      <c r="F184" s="28">
        <v>1</v>
      </c>
      <c r="G184" t="s">
        <v>193</v>
      </c>
      <c r="H184" t="s">
        <v>194</v>
      </c>
      <c r="I184" t="s">
        <v>2880</v>
      </c>
      <c r="J184" t="s">
        <v>316</v>
      </c>
      <c r="K184">
        <v>18</v>
      </c>
      <c r="L184" s="28">
        <v>234201</v>
      </c>
      <c r="M184" s="28" t="str">
        <f t="shared" si="2"/>
        <v>234201</v>
      </c>
      <c r="N184"/>
      <c r="O184"/>
    </row>
    <row r="185" spans="1:15" x14ac:dyDescent="0.25">
      <c r="A185" t="s">
        <v>1945</v>
      </c>
      <c r="B185" t="s">
        <v>2894</v>
      </c>
      <c r="C185" t="s">
        <v>2895</v>
      </c>
      <c r="D185" t="s">
        <v>2891</v>
      </c>
      <c r="E185" t="s">
        <v>192</v>
      </c>
      <c r="F185" s="28">
        <v>1</v>
      </c>
      <c r="G185" t="s">
        <v>193</v>
      </c>
      <c r="H185" t="s">
        <v>194</v>
      </c>
      <c r="I185" t="s">
        <v>2880</v>
      </c>
      <c r="J185" t="s">
        <v>316</v>
      </c>
      <c r="K185">
        <v>18</v>
      </c>
      <c r="L185" s="28">
        <v>311904</v>
      </c>
      <c r="M185" s="28" t="str">
        <f t="shared" si="2"/>
        <v>311904</v>
      </c>
      <c r="N185"/>
      <c r="O185"/>
    </row>
    <row r="186" spans="1:15" x14ac:dyDescent="0.25">
      <c r="A186" t="s">
        <v>3017</v>
      </c>
      <c r="B186" t="s">
        <v>304</v>
      </c>
      <c r="C186" t="s">
        <v>87</v>
      </c>
      <c r="D186" t="s">
        <v>2989</v>
      </c>
      <c r="E186" t="s">
        <v>192</v>
      </c>
      <c r="F186" s="28">
        <v>1</v>
      </c>
      <c r="G186" t="s">
        <v>193</v>
      </c>
      <c r="H186" t="s">
        <v>194</v>
      </c>
      <c r="I186" t="s">
        <v>2750</v>
      </c>
      <c r="J186" t="s">
        <v>210</v>
      </c>
      <c r="K186">
        <v>18</v>
      </c>
      <c r="L186" s="28">
        <v>311803</v>
      </c>
      <c r="M186" s="28" t="str">
        <f t="shared" si="2"/>
        <v>311803</v>
      </c>
      <c r="N186"/>
      <c r="O186"/>
    </row>
    <row r="187" spans="1:15" x14ac:dyDescent="0.25">
      <c r="A187" t="s">
        <v>1386</v>
      </c>
      <c r="B187" t="s">
        <v>2994</v>
      </c>
      <c r="C187" t="s">
        <v>848</v>
      </c>
      <c r="D187" t="s">
        <v>2989</v>
      </c>
      <c r="E187" t="s">
        <v>192</v>
      </c>
      <c r="F187" s="28">
        <v>1</v>
      </c>
      <c r="G187" t="s">
        <v>193</v>
      </c>
      <c r="H187" t="s">
        <v>194</v>
      </c>
      <c r="I187" t="s">
        <v>2971</v>
      </c>
      <c r="J187" t="s">
        <v>253</v>
      </c>
      <c r="K187">
        <v>18</v>
      </c>
      <c r="L187" s="28">
        <v>812107</v>
      </c>
      <c r="M187" s="28" t="str">
        <f t="shared" si="2"/>
        <v>812107</v>
      </c>
      <c r="N187"/>
      <c r="O187"/>
    </row>
    <row r="188" spans="1:15" x14ac:dyDescent="0.25">
      <c r="A188" t="s">
        <v>1457</v>
      </c>
      <c r="B188" t="s">
        <v>1462</v>
      </c>
      <c r="C188" t="s">
        <v>29</v>
      </c>
      <c r="D188" t="s">
        <v>2891</v>
      </c>
      <c r="E188" t="s">
        <v>192</v>
      </c>
      <c r="F188" s="28">
        <v>1</v>
      </c>
      <c r="G188" t="s">
        <v>193</v>
      </c>
      <c r="H188" t="s">
        <v>194</v>
      </c>
      <c r="I188" t="s">
        <v>2880</v>
      </c>
      <c r="J188" t="s">
        <v>196</v>
      </c>
      <c r="K188">
        <v>18</v>
      </c>
      <c r="L188" s="28">
        <v>722308</v>
      </c>
      <c r="M188" s="28" t="str">
        <f t="shared" si="2"/>
        <v>722308</v>
      </c>
      <c r="N188"/>
      <c r="O188"/>
    </row>
    <row r="189" spans="1:15" x14ac:dyDescent="0.25">
      <c r="A189" t="s">
        <v>562</v>
      </c>
      <c r="B189" t="s">
        <v>3003</v>
      </c>
      <c r="C189" t="s">
        <v>29</v>
      </c>
      <c r="D189" t="s">
        <v>2989</v>
      </c>
      <c r="E189" t="s">
        <v>192</v>
      </c>
      <c r="F189" s="28">
        <v>1</v>
      </c>
      <c r="G189" t="s">
        <v>193</v>
      </c>
      <c r="H189" t="s">
        <v>194</v>
      </c>
      <c r="I189" t="s">
        <v>2750</v>
      </c>
      <c r="J189" t="s">
        <v>253</v>
      </c>
      <c r="K189">
        <v>18</v>
      </c>
      <c r="L189" s="28">
        <v>722308</v>
      </c>
      <c r="M189" s="28" t="str">
        <f t="shared" si="2"/>
        <v>722308</v>
      </c>
      <c r="N189"/>
      <c r="O189"/>
    </row>
    <row r="190" spans="1:15" x14ac:dyDescent="0.25">
      <c r="A190" t="s">
        <v>3158</v>
      </c>
      <c r="B190" t="s">
        <v>3159</v>
      </c>
      <c r="C190" t="s">
        <v>29</v>
      </c>
      <c r="D190" t="s">
        <v>3089</v>
      </c>
      <c r="E190" t="s">
        <v>192</v>
      </c>
      <c r="F190" s="28">
        <v>1</v>
      </c>
      <c r="G190" t="s">
        <v>193</v>
      </c>
      <c r="H190" t="s">
        <v>194</v>
      </c>
      <c r="I190" t="s">
        <v>2892</v>
      </c>
      <c r="J190" t="s">
        <v>253</v>
      </c>
      <c r="K190">
        <v>18</v>
      </c>
      <c r="L190" s="28">
        <v>722308</v>
      </c>
      <c r="M190" s="28" t="str">
        <f t="shared" si="2"/>
        <v>722308</v>
      </c>
      <c r="N190"/>
      <c r="O190"/>
    </row>
    <row r="191" spans="1:15" x14ac:dyDescent="0.25">
      <c r="A191" t="s">
        <v>303</v>
      </c>
      <c r="B191" t="s">
        <v>553</v>
      </c>
      <c r="C191" t="s">
        <v>2901</v>
      </c>
      <c r="D191" t="s">
        <v>2891</v>
      </c>
      <c r="E191" t="s">
        <v>192</v>
      </c>
      <c r="F191" s="28">
        <v>1</v>
      </c>
      <c r="G191" t="s">
        <v>193</v>
      </c>
      <c r="H191" t="s">
        <v>194</v>
      </c>
      <c r="I191" t="s">
        <v>2880</v>
      </c>
      <c r="J191" t="s">
        <v>305</v>
      </c>
      <c r="K191">
        <v>18</v>
      </c>
      <c r="L191" s="28">
        <v>721202</v>
      </c>
      <c r="M191" s="28" t="str">
        <f t="shared" si="2"/>
        <v>721202</v>
      </c>
      <c r="N191"/>
      <c r="O191"/>
    </row>
    <row r="192" spans="1:15" x14ac:dyDescent="0.25">
      <c r="A192" t="s">
        <v>581</v>
      </c>
      <c r="B192" t="s">
        <v>2788</v>
      </c>
      <c r="C192" t="s">
        <v>2970</v>
      </c>
      <c r="D192" t="s">
        <v>2891</v>
      </c>
      <c r="E192" t="s">
        <v>217</v>
      </c>
      <c r="F192" s="28">
        <v>1</v>
      </c>
      <c r="G192" t="s">
        <v>193</v>
      </c>
      <c r="H192" t="s">
        <v>194</v>
      </c>
      <c r="I192" t="s">
        <v>2971</v>
      </c>
      <c r="J192" t="s">
        <v>253</v>
      </c>
      <c r="K192">
        <v>18</v>
      </c>
      <c r="L192" s="28">
        <v>834311</v>
      </c>
      <c r="M192" s="28" t="str">
        <f t="shared" si="2"/>
        <v>834311</v>
      </c>
      <c r="N192"/>
      <c r="O192"/>
    </row>
    <row r="193" spans="1:15" x14ac:dyDescent="0.25">
      <c r="A193" t="s">
        <v>2828</v>
      </c>
      <c r="B193" t="s">
        <v>1361</v>
      </c>
      <c r="C193" t="s">
        <v>2829</v>
      </c>
      <c r="D193" t="s">
        <v>2790</v>
      </c>
      <c r="E193" t="s">
        <v>252</v>
      </c>
      <c r="F193" s="28">
        <v>1</v>
      </c>
      <c r="G193" t="s">
        <v>193</v>
      </c>
      <c r="H193" t="s">
        <v>194</v>
      </c>
      <c r="I193" t="s">
        <v>2749</v>
      </c>
      <c r="J193" t="s">
        <v>210</v>
      </c>
      <c r="K193">
        <v>18</v>
      </c>
      <c r="L193" s="28">
        <v>814103</v>
      </c>
      <c r="M193" s="28" t="str">
        <f t="shared" si="2"/>
        <v>814103</v>
      </c>
      <c r="N193"/>
      <c r="O193"/>
    </row>
    <row r="194" spans="1:15" x14ac:dyDescent="0.25">
      <c r="A194" t="s">
        <v>643</v>
      </c>
      <c r="B194" t="s">
        <v>2753</v>
      </c>
      <c r="C194" t="s">
        <v>2754</v>
      </c>
      <c r="D194" t="s">
        <v>2749</v>
      </c>
      <c r="E194" t="s">
        <v>252</v>
      </c>
      <c r="F194" s="28">
        <v>1</v>
      </c>
      <c r="G194" t="s">
        <v>193</v>
      </c>
      <c r="H194" t="s">
        <v>194</v>
      </c>
      <c r="I194" t="s">
        <v>2750</v>
      </c>
      <c r="J194" t="s">
        <v>210</v>
      </c>
      <c r="K194">
        <v>18</v>
      </c>
      <c r="L194" s="28">
        <v>811407</v>
      </c>
      <c r="M194" s="28" t="str">
        <f t="shared" si="2"/>
        <v>811407</v>
      </c>
      <c r="N194"/>
      <c r="O194"/>
    </row>
    <row r="195" spans="1:15" x14ac:dyDescent="0.25">
      <c r="A195" t="s">
        <v>2187</v>
      </c>
      <c r="B195" t="s">
        <v>2188</v>
      </c>
      <c r="C195" t="s">
        <v>863</v>
      </c>
      <c r="D195" t="s">
        <v>2891</v>
      </c>
      <c r="E195" t="s">
        <v>192</v>
      </c>
      <c r="F195" s="28">
        <v>1</v>
      </c>
      <c r="G195" t="s">
        <v>193</v>
      </c>
      <c r="H195" t="s">
        <v>194</v>
      </c>
      <c r="I195" t="s">
        <v>2880</v>
      </c>
      <c r="J195" t="s">
        <v>253</v>
      </c>
      <c r="K195">
        <v>18</v>
      </c>
      <c r="L195" s="28">
        <v>814208</v>
      </c>
      <c r="M195" s="28" t="str">
        <f t="shared" ref="M195:M258" si="3">MID(L195,1,6)</f>
        <v>814208</v>
      </c>
      <c r="N195"/>
      <c r="O195"/>
    </row>
    <row r="196" spans="1:15" x14ac:dyDescent="0.25">
      <c r="A196" t="s">
        <v>581</v>
      </c>
      <c r="B196" t="s">
        <v>2788</v>
      </c>
      <c r="C196" t="s">
        <v>62</v>
      </c>
      <c r="D196" t="s">
        <v>2749</v>
      </c>
      <c r="E196" t="s">
        <v>217</v>
      </c>
      <c r="F196" s="28">
        <v>1</v>
      </c>
      <c r="G196" t="s">
        <v>193</v>
      </c>
      <c r="H196" t="s">
        <v>194</v>
      </c>
      <c r="I196" t="s">
        <v>2774</v>
      </c>
      <c r="J196" t="s">
        <v>253</v>
      </c>
      <c r="K196">
        <v>18</v>
      </c>
      <c r="L196" s="28">
        <v>313904</v>
      </c>
      <c r="M196" s="28" t="str">
        <f t="shared" si="3"/>
        <v>313904</v>
      </c>
      <c r="N196"/>
      <c r="O196"/>
    </row>
    <row r="197" spans="1:15" x14ac:dyDescent="0.25">
      <c r="A197" t="s">
        <v>2826</v>
      </c>
      <c r="B197" t="s">
        <v>356</v>
      </c>
      <c r="C197" t="s">
        <v>62</v>
      </c>
      <c r="D197" t="s">
        <v>2790</v>
      </c>
      <c r="E197" t="s">
        <v>233</v>
      </c>
      <c r="F197" s="28">
        <v>1</v>
      </c>
      <c r="G197" t="s">
        <v>193</v>
      </c>
      <c r="H197" t="s">
        <v>194</v>
      </c>
      <c r="I197" t="s">
        <v>2749</v>
      </c>
      <c r="J197" t="s">
        <v>210</v>
      </c>
      <c r="K197">
        <v>18</v>
      </c>
      <c r="L197" s="28">
        <v>313904</v>
      </c>
      <c r="M197" s="28" t="str">
        <f t="shared" si="3"/>
        <v>313904</v>
      </c>
      <c r="N197"/>
      <c r="O197"/>
    </row>
    <row r="198" spans="1:15" x14ac:dyDescent="0.25">
      <c r="A198" t="s">
        <v>711</v>
      </c>
      <c r="B198" t="s">
        <v>1280</v>
      </c>
      <c r="C198" t="s">
        <v>62</v>
      </c>
      <c r="D198" t="s">
        <v>2989</v>
      </c>
      <c r="E198" t="s">
        <v>192</v>
      </c>
      <c r="F198" s="28">
        <v>1</v>
      </c>
      <c r="G198" t="s">
        <v>193</v>
      </c>
      <c r="H198" t="s">
        <v>194</v>
      </c>
      <c r="I198" t="s">
        <v>2774</v>
      </c>
      <c r="J198" t="s">
        <v>253</v>
      </c>
      <c r="K198">
        <v>18</v>
      </c>
      <c r="L198" s="28">
        <v>313904</v>
      </c>
      <c r="M198" s="28" t="str">
        <f t="shared" si="3"/>
        <v>313904</v>
      </c>
      <c r="N198"/>
      <c r="O198"/>
    </row>
    <row r="199" spans="1:15" x14ac:dyDescent="0.25">
      <c r="A199" t="s">
        <v>1306</v>
      </c>
      <c r="B199" t="s">
        <v>1280</v>
      </c>
      <c r="C199" t="s">
        <v>62</v>
      </c>
      <c r="D199" t="s">
        <v>3089</v>
      </c>
      <c r="E199" t="s">
        <v>252</v>
      </c>
      <c r="F199" s="28">
        <v>1</v>
      </c>
      <c r="G199" t="s">
        <v>193</v>
      </c>
      <c r="H199" t="s">
        <v>194</v>
      </c>
      <c r="I199" t="s">
        <v>3131</v>
      </c>
      <c r="J199" t="s">
        <v>3148</v>
      </c>
      <c r="K199">
        <v>18</v>
      </c>
      <c r="L199" s="28">
        <v>313904</v>
      </c>
      <c r="M199" s="28" t="str">
        <f t="shared" si="3"/>
        <v>313904</v>
      </c>
      <c r="N199"/>
      <c r="O199"/>
    </row>
    <row r="200" spans="1:15" x14ac:dyDescent="0.25">
      <c r="A200" t="s">
        <v>1306</v>
      </c>
      <c r="B200" t="s">
        <v>1280</v>
      </c>
      <c r="C200" t="s">
        <v>62</v>
      </c>
      <c r="D200" t="s">
        <v>3089</v>
      </c>
      <c r="E200" t="s">
        <v>252</v>
      </c>
      <c r="F200" s="28">
        <v>1</v>
      </c>
      <c r="G200" t="s">
        <v>193</v>
      </c>
      <c r="H200" t="s">
        <v>194</v>
      </c>
      <c r="I200" t="s">
        <v>3131</v>
      </c>
      <c r="J200" t="s">
        <v>3149</v>
      </c>
      <c r="K200">
        <v>18</v>
      </c>
      <c r="L200" s="28">
        <v>313904</v>
      </c>
      <c r="M200" s="28" t="str">
        <f t="shared" si="3"/>
        <v>313904</v>
      </c>
      <c r="N200"/>
      <c r="O200"/>
    </row>
    <row r="201" spans="1:15" x14ac:dyDescent="0.25">
      <c r="A201" t="s">
        <v>796</v>
      </c>
      <c r="B201" t="s">
        <v>356</v>
      </c>
      <c r="C201" t="s">
        <v>62</v>
      </c>
      <c r="D201" t="s">
        <v>3167</v>
      </c>
      <c r="E201" t="s">
        <v>233</v>
      </c>
      <c r="F201" s="28">
        <v>1</v>
      </c>
      <c r="G201" t="s">
        <v>193</v>
      </c>
      <c r="H201" t="s">
        <v>194</v>
      </c>
      <c r="I201" t="s">
        <v>2749</v>
      </c>
      <c r="J201" t="s">
        <v>253</v>
      </c>
      <c r="K201">
        <v>18</v>
      </c>
      <c r="L201" s="28">
        <v>313904</v>
      </c>
      <c r="M201" s="28" t="str">
        <f t="shared" si="3"/>
        <v>313904</v>
      </c>
      <c r="N201"/>
      <c r="O201"/>
    </row>
    <row r="202" spans="1:15" x14ac:dyDescent="0.25">
      <c r="A202" t="s">
        <v>540</v>
      </c>
      <c r="B202" t="s">
        <v>1280</v>
      </c>
      <c r="C202" t="s">
        <v>62</v>
      </c>
      <c r="D202" t="s">
        <v>3252</v>
      </c>
      <c r="E202" t="s">
        <v>252</v>
      </c>
      <c r="F202" s="28">
        <v>1</v>
      </c>
      <c r="G202" t="s">
        <v>193</v>
      </c>
      <c r="H202" t="s">
        <v>194</v>
      </c>
      <c r="I202" t="s">
        <v>3131</v>
      </c>
      <c r="J202" t="s">
        <v>1281</v>
      </c>
      <c r="K202">
        <v>18</v>
      </c>
      <c r="L202" s="28">
        <v>313904</v>
      </c>
      <c r="M202" s="28" t="str">
        <f t="shared" si="3"/>
        <v>313904</v>
      </c>
      <c r="N202"/>
      <c r="O202"/>
    </row>
    <row r="203" spans="1:15" x14ac:dyDescent="0.25">
      <c r="A203" t="s">
        <v>271</v>
      </c>
      <c r="B203" t="s">
        <v>2875</v>
      </c>
      <c r="C203" t="s">
        <v>113</v>
      </c>
      <c r="D203" t="s">
        <v>2790</v>
      </c>
      <c r="E203" t="s">
        <v>192</v>
      </c>
      <c r="F203" s="28">
        <v>1</v>
      </c>
      <c r="G203" t="s">
        <v>193</v>
      </c>
      <c r="H203" t="s">
        <v>194</v>
      </c>
      <c r="I203" t="s">
        <v>2750</v>
      </c>
      <c r="J203" t="s">
        <v>276</v>
      </c>
      <c r="K203">
        <v>18</v>
      </c>
      <c r="L203" s="28">
        <v>243302</v>
      </c>
      <c r="M203" s="28" t="str">
        <f t="shared" si="3"/>
        <v>243302</v>
      </c>
      <c r="N203"/>
      <c r="O203"/>
    </row>
    <row r="204" spans="1:15" x14ac:dyDescent="0.25">
      <c r="A204" t="s">
        <v>2207</v>
      </c>
      <c r="B204" t="s">
        <v>2208</v>
      </c>
      <c r="C204" t="s">
        <v>113</v>
      </c>
      <c r="D204" t="s">
        <v>2989</v>
      </c>
      <c r="E204" t="s">
        <v>192</v>
      </c>
      <c r="F204" s="28">
        <v>1</v>
      </c>
      <c r="G204" t="s">
        <v>193</v>
      </c>
      <c r="H204" t="s">
        <v>194</v>
      </c>
      <c r="I204" t="s">
        <v>2750</v>
      </c>
      <c r="J204" t="s">
        <v>210</v>
      </c>
      <c r="K204">
        <v>18</v>
      </c>
      <c r="L204" s="28">
        <v>243302</v>
      </c>
      <c r="M204" s="28" t="str">
        <f t="shared" si="3"/>
        <v>243302</v>
      </c>
      <c r="N204"/>
      <c r="O204"/>
    </row>
    <row r="205" spans="1:15" x14ac:dyDescent="0.25">
      <c r="A205" t="s">
        <v>413</v>
      </c>
      <c r="B205" t="s">
        <v>3207</v>
      </c>
      <c r="C205" t="s">
        <v>113</v>
      </c>
      <c r="D205" t="s">
        <v>3167</v>
      </c>
      <c r="E205" t="s">
        <v>192</v>
      </c>
      <c r="F205" s="28">
        <v>6</v>
      </c>
      <c r="G205" t="s">
        <v>193</v>
      </c>
      <c r="H205" t="s">
        <v>194</v>
      </c>
      <c r="I205" t="s">
        <v>3131</v>
      </c>
      <c r="J205" t="s">
        <v>276</v>
      </c>
      <c r="K205">
        <v>18</v>
      </c>
      <c r="L205" s="28">
        <v>243302</v>
      </c>
      <c r="M205" s="28" t="str">
        <f t="shared" si="3"/>
        <v>243302</v>
      </c>
      <c r="N205"/>
      <c r="O205"/>
    </row>
    <row r="206" spans="1:15" x14ac:dyDescent="0.25">
      <c r="A206" t="s">
        <v>3027</v>
      </c>
      <c r="B206" t="s">
        <v>1146</v>
      </c>
      <c r="C206" t="s">
        <v>3028</v>
      </c>
      <c r="D206" t="s">
        <v>2989</v>
      </c>
      <c r="E206" t="s">
        <v>192</v>
      </c>
      <c r="F206" s="28">
        <v>1</v>
      </c>
      <c r="G206" t="s">
        <v>193</v>
      </c>
      <c r="H206" t="s">
        <v>194</v>
      </c>
      <c r="I206" t="s">
        <v>2749</v>
      </c>
      <c r="J206" t="s">
        <v>210</v>
      </c>
      <c r="K206">
        <v>18</v>
      </c>
      <c r="L206" s="28">
        <v>731104</v>
      </c>
      <c r="M206" s="28" t="str">
        <f t="shared" si="3"/>
        <v>731104</v>
      </c>
      <c r="N206"/>
      <c r="O206"/>
    </row>
    <row r="207" spans="1:15" x14ac:dyDescent="0.25">
      <c r="A207" t="s">
        <v>1138</v>
      </c>
      <c r="B207" t="s">
        <v>1146</v>
      </c>
      <c r="C207" t="s">
        <v>3028</v>
      </c>
      <c r="D207" t="s">
        <v>3252</v>
      </c>
      <c r="E207" t="s">
        <v>217</v>
      </c>
      <c r="F207" s="28">
        <v>1</v>
      </c>
      <c r="G207" t="s">
        <v>193</v>
      </c>
      <c r="H207" t="s">
        <v>194</v>
      </c>
      <c r="I207" t="s">
        <v>2749</v>
      </c>
      <c r="J207" t="s">
        <v>210</v>
      </c>
      <c r="K207">
        <v>18</v>
      </c>
      <c r="L207" s="28">
        <v>731104</v>
      </c>
      <c r="M207" s="28" t="str">
        <f t="shared" si="3"/>
        <v>731104</v>
      </c>
      <c r="N207"/>
      <c r="O207"/>
    </row>
    <row r="208" spans="1:15" x14ac:dyDescent="0.25">
      <c r="A208" t="s">
        <v>1091</v>
      </c>
      <c r="B208" t="s">
        <v>3123</v>
      </c>
      <c r="C208" t="s">
        <v>721</v>
      </c>
      <c r="D208" t="s">
        <v>3089</v>
      </c>
      <c r="E208" t="s">
        <v>217</v>
      </c>
      <c r="F208" s="28">
        <v>1</v>
      </c>
      <c r="G208" t="s">
        <v>193</v>
      </c>
      <c r="H208" t="s">
        <v>194</v>
      </c>
      <c r="I208" t="s">
        <v>2749</v>
      </c>
      <c r="J208" t="s">
        <v>210</v>
      </c>
      <c r="K208">
        <v>18</v>
      </c>
      <c r="L208" s="28">
        <v>432201</v>
      </c>
      <c r="M208" s="28" t="str">
        <f t="shared" si="3"/>
        <v>432201</v>
      </c>
      <c r="N208"/>
      <c r="O208"/>
    </row>
    <row r="209" spans="1:15" x14ac:dyDescent="0.25">
      <c r="A209" t="s">
        <v>1446</v>
      </c>
      <c r="B209" t="s">
        <v>3132</v>
      </c>
      <c r="C209" t="s">
        <v>721</v>
      </c>
      <c r="D209" t="s">
        <v>3089</v>
      </c>
      <c r="E209" t="s">
        <v>192</v>
      </c>
      <c r="F209" s="28">
        <v>1</v>
      </c>
      <c r="G209" t="s">
        <v>193</v>
      </c>
      <c r="H209" t="s">
        <v>194</v>
      </c>
      <c r="I209" t="s">
        <v>3131</v>
      </c>
      <c r="J209" t="s">
        <v>672</v>
      </c>
      <c r="K209">
        <v>18</v>
      </c>
      <c r="L209" s="28">
        <v>432201</v>
      </c>
      <c r="M209" s="28" t="str">
        <f t="shared" si="3"/>
        <v>432201</v>
      </c>
      <c r="N209"/>
      <c r="O209"/>
    </row>
    <row r="210" spans="1:15" x14ac:dyDescent="0.25">
      <c r="A210" t="s">
        <v>540</v>
      </c>
      <c r="B210" t="s">
        <v>2840</v>
      </c>
      <c r="C210" t="s">
        <v>2215</v>
      </c>
      <c r="D210" t="s">
        <v>3252</v>
      </c>
      <c r="E210" t="s">
        <v>252</v>
      </c>
      <c r="F210" s="28">
        <v>1</v>
      </c>
      <c r="G210" t="s">
        <v>193</v>
      </c>
      <c r="H210" t="s">
        <v>194</v>
      </c>
      <c r="I210" t="s">
        <v>3131</v>
      </c>
      <c r="J210" t="s">
        <v>210</v>
      </c>
      <c r="K210">
        <v>18</v>
      </c>
      <c r="L210" s="28">
        <v>331103</v>
      </c>
      <c r="M210" s="28" t="str">
        <f t="shared" si="3"/>
        <v>331103</v>
      </c>
      <c r="N210"/>
      <c r="O210"/>
    </row>
    <row r="211" spans="1:15" x14ac:dyDescent="0.25">
      <c r="A211" t="s">
        <v>946</v>
      </c>
      <c r="B211" t="s">
        <v>947</v>
      </c>
      <c r="C211" t="s">
        <v>1148</v>
      </c>
      <c r="D211" t="s">
        <v>3089</v>
      </c>
      <c r="E211" t="s">
        <v>192</v>
      </c>
      <c r="F211" s="28">
        <v>1</v>
      </c>
      <c r="G211" t="s">
        <v>193</v>
      </c>
      <c r="H211" t="s">
        <v>194</v>
      </c>
      <c r="I211" t="s">
        <v>2892</v>
      </c>
      <c r="J211" t="s">
        <v>385</v>
      </c>
      <c r="K211">
        <v>18</v>
      </c>
      <c r="L211" s="28">
        <v>244001</v>
      </c>
      <c r="M211" s="28" t="str">
        <f t="shared" si="3"/>
        <v>244001</v>
      </c>
      <c r="N211"/>
      <c r="O211"/>
    </row>
    <row r="212" spans="1:15" x14ac:dyDescent="0.25">
      <c r="A212" t="s">
        <v>1714</v>
      </c>
      <c r="B212" t="s">
        <v>1715</v>
      </c>
      <c r="C212" t="s">
        <v>1148</v>
      </c>
      <c r="D212" t="s">
        <v>3089</v>
      </c>
      <c r="E212" t="s">
        <v>192</v>
      </c>
      <c r="F212" s="28">
        <v>1</v>
      </c>
      <c r="G212" t="s">
        <v>193</v>
      </c>
      <c r="H212" t="s">
        <v>194</v>
      </c>
      <c r="I212" t="s">
        <v>2749</v>
      </c>
      <c r="J212" t="s">
        <v>253</v>
      </c>
      <c r="K212">
        <v>18</v>
      </c>
      <c r="L212" s="28">
        <v>244001</v>
      </c>
      <c r="M212" s="28" t="str">
        <f t="shared" si="3"/>
        <v>244001</v>
      </c>
      <c r="N212"/>
      <c r="O212"/>
    </row>
    <row r="213" spans="1:15" x14ac:dyDescent="0.25">
      <c r="A213" t="s">
        <v>1147</v>
      </c>
      <c r="B213" t="s">
        <v>681</v>
      </c>
      <c r="C213" t="s">
        <v>1148</v>
      </c>
      <c r="D213" t="s">
        <v>3252</v>
      </c>
      <c r="E213" t="s">
        <v>192</v>
      </c>
      <c r="F213" s="28">
        <v>1</v>
      </c>
      <c r="G213" t="s">
        <v>193</v>
      </c>
      <c r="H213" t="s">
        <v>194</v>
      </c>
      <c r="I213" t="s">
        <v>3131</v>
      </c>
      <c r="J213" t="s">
        <v>267</v>
      </c>
      <c r="K213">
        <v>18</v>
      </c>
      <c r="L213" s="28">
        <v>244001</v>
      </c>
      <c r="M213" s="28" t="str">
        <f t="shared" si="3"/>
        <v>244001</v>
      </c>
      <c r="N213"/>
      <c r="O213"/>
    </row>
    <row r="214" spans="1:15" x14ac:dyDescent="0.25">
      <c r="A214" t="s">
        <v>3112</v>
      </c>
      <c r="B214" t="s">
        <v>3113</v>
      </c>
      <c r="C214" t="s">
        <v>1325</v>
      </c>
      <c r="D214" t="s">
        <v>3089</v>
      </c>
      <c r="E214" t="s">
        <v>252</v>
      </c>
      <c r="F214" s="28">
        <v>1</v>
      </c>
      <c r="G214" t="s">
        <v>193</v>
      </c>
      <c r="H214" t="s">
        <v>194</v>
      </c>
      <c r="I214" t="s">
        <v>3081</v>
      </c>
      <c r="J214" t="s">
        <v>3114</v>
      </c>
      <c r="K214">
        <v>18</v>
      </c>
      <c r="L214" s="28">
        <v>931301</v>
      </c>
      <c r="M214" s="28" t="str">
        <f t="shared" si="3"/>
        <v>931301</v>
      </c>
      <c r="N214"/>
      <c r="O214"/>
    </row>
    <row r="215" spans="1:15" x14ac:dyDescent="0.25">
      <c r="A215" t="s">
        <v>2220</v>
      </c>
      <c r="B215" t="s">
        <v>2995</v>
      </c>
      <c r="C215" t="s">
        <v>2996</v>
      </c>
      <c r="D215" t="s">
        <v>2989</v>
      </c>
      <c r="E215" t="s">
        <v>192</v>
      </c>
      <c r="F215" s="28">
        <v>1</v>
      </c>
      <c r="G215" t="s">
        <v>193</v>
      </c>
      <c r="H215" t="s">
        <v>194</v>
      </c>
      <c r="I215" t="s">
        <v>2971</v>
      </c>
      <c r="J215" t="s">
        <v>473</v>
      </c>
      <c r="K215">
        <v>18</v>
      </c>
      <c r="L215" s="28">
        <v>921401</v>
      </c>
      <c r="M215" s="28" t="str">
        <f t="shared" si="3"/>
        <v>921401</v>
      </c>
      <c r="N215"/>
      <c r="O215"/>
    </row>
    <row r="216" spans="1:15" x14ac:dyDescent="0.25">
      <c r="A216" t="s">
        <v>2972</v>
      </c>
      <c r="B216" t="s">
        <v>2973</v>
      </c>
      <c r="C216" t="s">
        <v>2974</v>
      </c>
      <c r="D216" t="s">
        <v>2891</v>
      </c>
      <c r="E216" t="s">
        <v>192</v>
      </c>
      <c r="F216" s="28">
        <v>1</v>
      </c>
      <c r="G216" t="s">
        <v>193</v>
      </c>
      <c r="H216" t="s">
        <v>194</v>
      </c>
      <c r="I216" t="s">
        <v>2971</v>
      </c>
      <c r="J216" t="s">
        <v>316</v>
      </c>
      <c r="K216">
        <v>18</v>
      </c>
      <c r="L216" s="28">
        <v>214690</v>
      </c>
      <c r="M216" s="28" t="str">
        <f t="shared" si="3"/>
        <v>214690</v>
      </c>
      <c r="N216"/>
      <c r="O216"/>
    </row>
    <row r="217" spans="1:15" x14ac:dyDescent="0.25">
      <c r="A217" t="s">
        <v>1204</v>
      </c>
      <c r="B217" t="s">
        <v>2794</v>
      </c>
      <c r="C217" t="s">
        <v>2795</v>
      </c>
      <c r="D217" t="s">
        <v>2790</v>
      </c>
      <c r="E217" t="s">
        <v>192</v>
      </c>
      <c r="F217" s="28">
        <v>1</v>
      </c>
      <c r="G217" t="s">
        <v>193</v>
      </c>
      <c r="H217" t="s">
        <v>194</v>
      </c>
      <c r="I217" t="s">
        <v>2749</v>
      </c>
      <c r="J217" t="s">
        <v>276</v>
      </c>
      <c r="K217">
        <v>18</v>
      </c>
      <c r="L217" s="28">
        <v>134690</v>
      </c>
      <c r="M217" s="28" t="str">
        <f t="shared" si="3"/>
        <v>134690</v>
      </c>
      <c r="N217"/>
      <c r="O217"/>
    </row>
    <row r="218" spans="1:15" x14ac:dyDescent="0.25">
      <c r="A218" t="s">
        <v>1446</v>
      </c>
      <c r="B218" t="s">
        <v>3133</v>
      </c>
      <c r="C218" t="s">
        <v>3134</v>
      </c>
      <c r="D218" t="s">
        <v>3089</v>
      </c>
      <c r="E218" t="s">
        <v>192</v>
      </c>
      <c r="F218" s="28">
        <v>1</v>
      </c>
      <c r="G218" t="s">
        <v>193</v>
      </c>
      <c r="H218" t="s">
        <v>194</v>
      </c>
      <c r="I218" t="s">
        <v>3131</v>
      </c>
      <c r="J218" t="s">
        <v>672</v>
      </c>
      <c r="K218">
        <v>18</v>
      </c>
      <c r="L218" s="28">
        <v>441590</v>
      </c>
      <c r="M218" s="28" t="str">
        <f t="shared" si="3"/>
        <v>441590</v>
      </c>
      <c r="N218"/>
      <c r="O218"/>
    </row>
    <row r="219" spans="1:15" x14ac:dyDescent="0.25">
      <c r="A219" t="s">
        <v>2904</v>
      </c>
      <c r="B219" t="s">
        <v>2905</v>
      </c>
      <c r="C219" t="s">
        <v>2906</v>
      </c>
      <c r="D219" t="s">
        <v>2891</v>
      </c>
      <c r="E219" t="s">
        <v>217</v>
      </c>
      <c r="F219" s="28">
        <v>1</v>
      </c>
      <c r="G219" t="s">
        <v>193</v>
      </c>
      <c r="H219" t="s">
        <v>194</v>
      </c>
      <c r="I219" t="s">
        <v>2880</v>
      </c>
      <c r="J219" t="s">
        <v>210</v>
      </c>
      <c r="K219">
        <v>18</v>
      </c>
      <c r="L219" s="28">
        <v>331104</v>
      </c>
      <c r="M219" s="28" t="str">
        <f t="shared" si="3"/>
        <v>331104</v>
      </c>
      <c r="N219"/>
      <c r="O219"/>
    </row>
    <row r="220" spans="1:15" x14ac:dyDescent="0.25">
      <c r="A220" t="s">
        <v>2997</v>
      </c>
      <c r="B220" t="s">
        <v>2998</v>
      </c>
      <c r="C220" t="s">
        <v>2999</v>
      </c>
      <c r="D220" t="s">
        <v>2989</v>
      </c>
      <c r="E220" t="s">
        <v>192</v>
      </c>
      <c r="F220" s="28">
        <v>1</v>
      </c>
      <c r="G220" t="s">
        <v>193</v>
      </c>
      <c r="H220" t="s">
        <v>194</v>
      </c>
      <c r="I220" t="s">
        <v>2750</v>
      </c>
      <c r="J220" t="s">
        <v>367</v>
      </c>
      <c r="K220">
        <v>18</v>
      </c>
      <c r="L220" s="28">
        <v>351403</v>
      </c>
      <c r="M220" s="28" t="str">
        <f t="shared" si="3"/>
        <v>351403</v>
      </c>
      <c r="N220"/>
      <c r="O220"/>
    </row>
    <row r="221" spans="1:15" x14ac:dyDescent="0.25">
      <c r="A221" t="s">
        <v>2932</v>
      </c>
      <c r="B221" t="s">
        <v>1616</v>
      </c>
      <c r="C221" t="s">
        <v>2933</v>
      </c>
      <c r="D221" t="s">
        <v>2891</v>
      </c>
      <c r="E221" t="s">
        <v>192</v>
      </c>
      <c r="F221" s="28">
        <v>1</v>
      </c>
      <c r="G221" t="s">
        <v>193</v>
      </c>
      <c r="H221" t="s">
        <v>194</v>
      </c>
      <c r="I221" t="s">
        <v>2934</v>
      </c>
      <c r="J221" t="s">
        <v>223</v>
      </c>
      <c r="K221">
        <v>18</v>
      </c>
      <c r="L221" s="28">
        <v>962201</v>
      </c>
      <c r="M221" s="28" t="str">
        <f t="shared" si="3"/>
        <v>962201</v>
      </c>
      <c r="N221"/>
      <c r="O221"/>
    </row>
    <row r="222" spans="1:15" x14ac:dyDescent="0.25">
      <c r="A222" t="s">
        <v>527</v>
      </c>
      <c r="B222" t="s">
        <v>1951</v>
      </c>
      <c r="C222" t="s">
        <v>10</v>
      </c>
      <c r="D222" t="s">
        <v>2749</v>
      </c>
      <c r="E222" t="s">
        <v>192</v>
      </c>
      <c r="F222" s="28">
        <v>1</v>
      </c>
      <c r="G222" t="s">
        <v>193</v>
      </c>
      <c r="H222" t="s">
        <v>194</v>
      </c>
      <c r="I222" t="s">
        <v>2750</v>
      </c>
      <c r="J222" t="s">
        <v>367</v>
      </c>
      <c r="K222">
        <v>18</v>
      </c>
      <c r="L222" s="28">
        <v>251401</v>
      </c>
      <c r="M222" s="28" t="str">
        <f t="shared" si="3"/>
        <v>251401</v>
      </c>
      <c r="N222"/>
      <c r="O222"/>
    </row>
    <row r="223" spans="1:15" x14ac:dyDescent="0.25">
      <c r="A223" t="s">
        <v>335</v>
      </c>
      <c r="B223" t="s">
        <v>336</v>
      </c>
      <c r="C223" t="s">
        <v>10</v>
      </c>
      <c r="D223" t="s">
        <v>2749</v>
      </c>
      <c r="E223" t="s">
        <v>192</v>
      </c>
      <c r="F223" s="28">
        <v>1</v>
      </c>
      <c r="G223" t="s">
        <v>193</v>
      </c>
      <c r="H223" t="s">
        <v>194</v>
      </c>
      <c r="I223" t="s">
        <v>2774</v>
      </c>
      <c r="J223" t="s">
        <v>210</v>
      </c>
      <c r="K223">
        <v>18</v>
      </c>
      <c r="L223" s="28">
        <v>251401</v>
      </c>
      <c r="M223" s="28" t="str">
        <f t="shared" si="3"/>
        <v>251401</v>
      </c>
      <c r="N223"/>
      <c r="O223"/>
    </row>
    <row r="224" spans="1:15" x14ac:dyDescent="0.25">
      <c r="A224" t="s">
        <v>915</v>
      </c>
      <c r="B224" t="s">
        <v>2846</v>
      </c>
      <c r="C224" t="s">
        <v>10</v>
      </c>
      <c r="D224" t="s">
        <v>2790</v>
      </c>
      <c r="E224" t="s">
        <v>233</v>
      </c>
      <c r="F224" s="76">
        <v>0</v>
      </c>
      <c r="G224" s="75" t="s">
        <v>194</v>
      </c>
      <c r="H224" t="s">
        <v>193</v>
      </c>
      <c r="I224" t="s">
        <v>2749</v>
      </c>
      <c r="J224" t="s">
        <v>196</v>
      </c>
      <c r="K224">
        <v>18</v>
      </c>
      <c r="L224" s="28">
        <v>251401</v>
      </c>
      <c r="M224" s="28" t="str">
        <f t="shared" si="3"/>
        <v>251401</v>
      </c>
      <c r="N224" s="28">
        <v>1</v>
      </c>
    </row>
    <row r="225" spans="1:15" x14ac:dyDescent="0.25">
      <c r="A225" t="s">
        <v>2864</v>
      </c>
      <c r="B225" t="s">
        <v>2865</v>
      </c>
      <c r="C225" t="s">
        <v>10</v>
      </c>
      <c r="D225" t="s">
        <v>2790</v>
      </c>
      <c r="E225" t="s">
        <v>192</v>
      </c>
      <c r="F225" s="28">
        <v>1</v>
      </c>
      <c r="G225" t="s">
        <v>193</v>
      </c>
      <c r="H225" t="s">
        <v>194</v>
      </c>
      <c r="I225" t="s">
        <v>2749</v>
      </c>
      <c r="J225" t="s">
        <v>210</v>
      </c>
      <c r="K225">
        <v>18</v>
      </c>
      <c r="L225" s="28">
        <v>251401</v>
      </c>
      <c r="M225" s="28" t="str">
        <f t="shared" si="3"/>
        <v>251401</v>
      </c>
      <c r="N225"/>
      <c r="O225"/>
    </row>
    <row r="226" spans="1:15" x14ac:dyDescent="0.25">
      <c r="A226" t="s">
        <v>478</v>
      </c>
      <c r="B226" t="s">
        <v>2873</v>
      </c>
      <c r="C226" t="s">
        <v>10</v>
      </c>
      <c r="D226" t="s">
        <v>2790</v>
      </c>
      <c r="E226" t="s">
        <v>192</v>
      </c>
      <c r="F226" s="28">
        <v>1</v>
      </c>
      <c r="G226" t="s">
        <v>193</v>
      </c>
      <c r="H226" t="s">
        <v>194</v>
      </c>
      <c r="I226" t="s">
        <v>2750</v>
      </c>
      <c r="J226" t="s">
        <v>210</v>
      </c>
      <c r="K226">
        <v>18</v>
      </c>
      <c r="L226" s="28">
        <v>251401</v>
      </c>
      <c r="M226" s="28" t="str">
        <f t="shared" si="3"/>
        <v>251401</v>
      </c>
      <c r="N226"/>
      <c r="O226"/>
    </row>
    <row r="227" spans="1:15" x14ac:dyDescent="0.25">
      <c r="A227" t="s">
        <v>478</v>
      </c>
      <c r="B227" t="s">
        <v>2874</v>
      </c>
      <c r="C227" t="s">
        <v>10</v>
      </c>
      <c r="D227" t="s">
        <v>2790</v>
      </c>
      <c r="E227" t="s">
        <v>192</v>
      </c>
      <c r="F227" s="28">
        <v>1</v>
      </c>
      <c r="G227" t="s">
        <v>193</v>
      </c>
      <c r="H227" t="s">
        <v>194</v>
      </c>
      <c r="I227" t="s">
        <v>2750</v>
      </c>
      <c r="J227" t="s">
        <v>210</v>
      </c>
      <c r="K227">
        <v>18</v>
      </c>
      <c r="L227" s="28">
        <v>251401</v>
      </c>
      <c r="M227" s="28" t="str">
        <f t="shared" si="3"/>
        <v>251401</v>
      </c>
      <c r="N227"/>
      <c r="O227"/>
    </row>
    <row r="228" spans="1:15" x14ac:dyDescent="0.25">
      <c r="A228" t="s">
        <v>3016</v>
      </c>
      <c r="B228" t="s">
        <v>488</v>
      </c>
      <c r="C228" t="s">
        <v>10</v>
      </c>
      <c r="D228" t="s">
        <v>2989</v>
      </c>
      <c r="E228" t="s">
        <v>192</v>
      </c>
      <c r="F228" s="28">
        <v>1</v>
      </c>
      <c r="G228" t="s">
        <v>193</v>
      </c>
      <c r="H228" t="s">
        <v>194</v>
      </c>
      <c r="I228" t="s">
        <v>2750</v>
      </c>
      <c r="J228" t="s">
        <v>210</v>
      </c>
      <c r="K228">
        <v>18</v>
      </c>
      <c r="L228" s="28">
        <v>251401</v>
      </c>
      <c r="M228" s="28" t="str">
        <f t="shared" si="3"/>
        <v>251401</v>
      </c>
      <c r="N228"/>
      <c r="O228"/>
    </row>
    <row r="229" spans="1:15" x14ac:dyDescent="0.25">
      <c r="A229" t="s">
        <v>3060</v>
      </c>
      <c r="B229" t="s">
        <v>3061</v>
      </c>
      <c r="C229" t="s">
        <v>10</v>
      </c>
      <c r="D229" t="s">
        <v>2989</v>
      </c>
      <c r="E229" t="s">
        <v>192</v>
      </c>
      <c r="F229" s="28">
        <v>1</v>
      </c>
      <c r="G229" t="s">
        <v>193</v>
      </c>
      <c r="H229" t="s">
        <v>194</v>
      </c>
      <c r="I229" t="s">
        <v>2774</v>
      </c>
      <c r="J229" t="s">
        <v>210</v>
      </c>
      <c r="K229">
        <v>18</v>
      </c>
      <c r="L229" s="28">
        <v>251401</v>
      </c>
      <c r="M229" s="28" t="str">
        <f t="shared" si="3"/>
        <v>251401</v>
      </c>
      <c r="N229"/>
      <c r="O229"/>
    </row>
    <row r="230" spans="1:15" x14ac:dyDescent="0.25">
      <c r="A230" t="s">
        <v>3060</v>
      </c>
      <c r="B230" t="s">
        <v>3062</v>
      </c>
      <c r="C230" t="s">
        <v>10</v>
      </c>
      <c r="D230" t="s">
        <v>2989</v>
      </c>
      <c r="E230" t="s">
        <v>192</v>
      </c>
      <c r="F230" s="28">
        <v>1</v>
      </c>
      <c r="G230" t="s">
        <v>193</v>
      </c>
      <c r="H230" t="s">
        <v>194</v>
      </c>
      <c r="I230" t="s">
        <v>2774</v>
      </c>
      <c r="J230" t="s">
        <v>210</v>
      </c>
      <c r="K230">
        <v>18</v>
      </c>
      <c r="L230" s="28">
        <v>251401</v>
      </c>
      <c r="M230" s="28" t="str">
        <f t="shared" si="3"/>
        <v>251401</v>
      </c>
      <c r="N230"/>
      <c r="O230"/>
    </row>
    <row r="231" spans="1:15" x14ac:dyDescent="0.25">
      <c r="A231" t="s">
        <v>1091</v>
      </c>
      <c r="B231" t="s">
        <v>3124</v>
      </c>
      <c r="C231" t="s">
        <v>10</v>
      </c>
      <c r="D231" t="s">
        <v>3089</v>
      </c>
      <c r="E231" t="s">
        <v>217</v>
      </c>
      <c r="F231" s="28">
        <v>1</v>
      </c>
      <c r="G231" t="s">
        <v>193</v>
      </c>
      <c r="H231" t="s">
        <v>194</v>
      </c>
      <c r="I231" t="s">
        <v>2749</v>
      </c>
      <c r="J231" t="s">
        <v>210</v>
      </c>
      <c r="K231">
        <v>18</v>
      </c>
      <c r="L231" s="28">
        <v>251401</v>
      </c>
      <c r="M231" s="28" t="str">
        <f t="shared" si="3"/>
        <v>251401</v>
      </c>
      <c r="N231"/>
      <c r="O231"/>
    </row>
    <row r="232" spans="1:15" x14ac:dyDescent="0.25">
      <c r="A232" t="s">
        <v>3171</v>
      </c>
      <c r="B232" t="s">
        <v>487</v>
      </c>
      <c r="C232" t="s">
        <v>10</v>
      </c>
      <c r="D232" t="s">
        <v>3167</v>
      </c>
      <c r="E232" t="s">
        <v>192</v>
      </c>
      <c r="F232" s="28">
        <v>1</v>
      </c>
      <c r="G232" t="s">
        <v>193</v>
      </c>
      <c r="H232" t="s">
        <v>194</v>
      </c>
      <c r="I232" t="s">
        <v>3131</v>
      </c>
      <c r="J232" t="s">
        <v>210</v>
      </c>
      <c r="K232">
        <v>18</v>
      </c>
      <c r="L232" s="28">
        <v>251401</v>
      </c>
      <c r="M232" s="28" t="str">
        <f t="shared" si="3"/>
        <v>251401</v>
      </c>
      <c r="N232"/>
      <c r="O232"/>
    </row>
    <row r="233" spans="1:15" x14ac:dyDescent="0.25">
      <c r="A233" t="s">
        <v>3171</v>
      </c>
      <c r="B233" t="s">
        <v>494</v>
      </c>
      <c r="C233" t="s">
        <v>10</v>
      </c>
      <c r="D233" t="s">
        <v>3167</v>
      </c>
      <c r="E233" t="s">
        <v>192</v>
      </c>
      <c r="F233" s="28">
        <v>1</v>
      </c>
      <c r="G233" t="s">
        <v>193</v>
      </c>
      <c r="H233" t="s">
        <v>194</v>
      </c>
      <c r="I233" t="s">
        <v>3131</v>
      </c>
      <c r="J233" t="s">
        <v>210</v>
      </c>
      <c r="K233">
        <v>18</v>
      </c>
      <c r="L233" s="28">
        <v>251401</v>
      </c>
      <c r="M233" s="28" t="str">
        <f t="shared" si="3"/>
        <v>251401</v>
      </c>
      <c r="N233"/>
      <c r="O233"/>
    </row>
    <row r="234" spans="1:15" x14ac:dyDescent="0.25">
      <c r="A234" t="s">
        <v>3200</v>
      </c>
      <c r="B234" t="s">
        <v>1406</v>
      </c>
      <c r="C234" t="s">
        <v>10</v>
      </c>
      <c r="D234" t="s">
        <v>3167</v>
      </c>
      <c r="E234" t="s">
        <v>192</v>
      </c>
      <c r="F234" s="28">
        <v>1</v>
      </c>
      <c r="G234" t="s">
        <v>193</v>
      </c>
      <c r="H234" t="s">
        <v>194</v>
      </c>
      <c r="I234" t="s">
        <v>3131</v>
      </c>
      <c r="J234" t="s">
        <v>210</v>
      </c>
      <c r="K234">
        <v>18</v>
      </c>
      <c r="L234" s="28">
        <v>251401</v>
      </c>
      <c r="M234" s="28" t="str">
        <f t="shared" si="3"/>
        <v>251401</v>
      </c>
      <c r="N234"/>
      <c r="O234"/>
    </row>
    <row r="235" spans="1:15" x14ac:dyDescent="0.25">
      <c r="A235" t="s">
        <v>3220</v>
      </c>
      <c r="B235" t="s">
        <v>496</v>
      </c>
      <c r="C235" t="s">
        <v>10</v>
      </c>
      <c r="D235" t="s">
        <v>3167</v>
      </c>
      <c r="E235" t="s">
        <v>192</v>
      </c>
      <c r="F235" s="28">
        <v>1</v>
      </c>
      <c r="G235" t="s">
        <v>193</v>
      </c>
      <c r="H235" t="s">
        <v>194</v>
      </c>
      <c r="I235" t="s">
        <v>3131</v>
      </c>
      <c r="J235" t="s">
        <v>210</v>
      </c>
      <c r="K235">
        <v>18</v>
      </c>
      <c r="L235" s="28">
        <v>251401</v>
      </c>
      <c r="M235" s="28" t="str">
        <f t="shared" si="3"/>
        <v>251401</v>
      </c>
      <c r="N235"/>
      <c r="O235"/>
    </row>
    <row r="236" spans="1:15" x14ac:dyDescent="0.25">
      <c r="A236" t="s">
        <v>2864</v>
      </c>
      <c r="B236" t="s">
        <v>2865</v>
      </c>
      <c r="C236" t="s">
        <v>10</v>
      </c>
      <c r="D236" t="s">
        <v>3167</v>
      </c>
      <c r="E236" t="s">
        <v>192</v>
      </c>
      <c r="F236" s="28">
        <v>1</v>
      </c>
      <c r="G236" t="s">
        <v>193</v>
      </c>
      <c r="H236" t="s">
        <v>194</v>
      </c>
      <c r="I236" t="s">
        <v>3131</v>
      </c>
      <c r="J236" t="s">
        <v>210</v>
      </c>
      <c r="K236">
        <v>18</v>
      </c>
      <c r="L236" s="28">
        <v>251401</v>
      </c>
      <c r="M236" s="28" t="str">
        <f t="shared" si="3"/>
        <v>251401</v>
      </c>
      <c r="N236"/>
      <c r="O236"/>
    </row>
    <row r="237" spans="1:15" x14ac:dyDescent="0.25">
      <c r="A237" t="s">
        <v>3232</v>
      </c>
      <c r="B237" t="s">
        <v>488</v>
      </c>
      <c r="C237" t="s">
        <v>10</v>
      </c>
      <c r="D237" t="s">
        <v>3167</v>
      </c>
      <c r="E237" t="s">
        <v>192</v>
      </c>
      <c r="F237" s="28">
        <v>1</v>
      </c>
      <c r="G237" t="s">
        <v>193</v>
      </c>
      <c r="H237" t="s">
        <v>194</v>
      </c>
      <c r="I237" t="s">
        <v>3131</v>
      </c>
      <c r="J237" t="s">
        <v>210</v>
      </c>
      <c r="K237">
        <v>18</v>
      </c>
      <c r="L237" s="28">
        <v>251401</v>
      </c>
      <c r="M237" s="28" t="str">
        <f t="shared" si="3"/>
        <v>251401</v>
      </c>
      <c r="N237"/>
      <c r="O237"/>
    </row>
    <row r="238" spans="1:15" x14ac:dyDescent="0.25">
      <c r="A238" t="s">
        <v>485</v>
      </c>
      <c r="B238" t="s">
        <v>3166</v>
      </c>
      <c r="C238" t="s">
        <v>1408</v>
      </c>
      <c r="D238" t="s">
        <v>3167</v>
      </c>
      <c r="E238" t="s">
        <v>192</v>
      </c>
      <c r="F238" s="28">
        <v>1</v>
      </c>
      <c r="G238" t="s">
        <v>193</v>
      </c>
      <c r="H238" t="s">
        <v>194</v>
      </c>
      <c r="I238" t="s">
        <v>3131</v>
      </c>
      <c r="J238" t="s">
        <v>385</v>
      </c>
      <c r="K238">
        <v>18</v>
      </c>
      <c r="L238" s="28">
        <v>251402</v>
      </c>
      <c r="M238" s="28" t="str">
        <f t="shared" si="3"/>
        <v>251402</v>
      </c>
      <c r="N238"/>
      <c r="O238"/>
    </row>
    <row r="239" spans="1:15" x14ac:dyDescent="0.25">
      <c r="A239" t="s">
        <v>1639</v>
      </c>
      <c r="B239" t="s">
        <v>3257</v>
      </c>
      <c r="C239" t="s">
        <v>1408</v>
      </c>
      <c r="D239" t="s">
        <v>3252</v>
      </c>
      <c r="E239" t="s">
        <v>192</v>
      </c>
      <c r="F239" s="28">
        <v>1</v>
      </c>
      <c r="G239" t="s">
        <v>193</v>
      </c>
      <c r="H239" t="s">
        <v>194</v>
      </c>
      <c r="I239" t="s">
        <v>3131</v>
      </c>
      <c r="J239" t="s">
        <v>210</v>
      </c>
      <c r="K239">
        <v>18</v>
      </c>
      <c r="L239" s="28">
        <v>251402</v>
      </c>
      <c r="M239" s="28" t="str">
        <f t="shared" si="3"/>
        <v>251402</v>
      </c>
      <c r="N239"/>
      <c r="O239"/>
    </row>
    <row r="240" spans="1:15" x14ac:dyDescent="0.25">
      <c r="A240" t="s">
        <v>3055</v>
      </c>
      <c r="B240" t="s">
        <v>3056</v>
      </c>
      <c r="C240" t="s">
        <v>61</v>
      </c>
      <c r="D240" t="s">
        <v>2989</v>
      </c>
      <c r="E240" t="s">
        <v>192</v>
      </c>
      <c r="F240" s="28">
        <v>1</v>
      </c>
      <c r="G240" t="s">
        <v>193</v>
      </c>
      <c r="H240" t="s">
        <v>194</v>
      </c>
      <c r="I240" t="s">
        <v>2774</v>
      </c>
      <c r="J240" t="s">
        <v>253</v>
      </c>
      <c r="K240">
        <v>18</v>
      </c>
      <c r="L240" s="28">
        <v>251103</v>
      </c>
      <c r="M240" s="28" t="str">
        <f t="shared" si="3"/>
        <v>251103</v>
      </c>
      <c r="N240"/>
      <c r="O240"/>
    </row>
    <row r="241" spans="1:15" x14ac:dyDescent="0.25">
      <c r="A241" t="s">
        <v>1757</v>
      </c>
      <c r="B241" t="s">
        <v>3036</v>
      </c>
      <c r="C241" t="s">
        <v>3037</v>
      </c>
      <c r="D241" t="s">
        <v>2989</v>
      </c>
      <c r="E241" t="s">
        <v>192</v>
      </c>
      <c r="F241" s="28">
        <v>1</v>
      </c>
      <c r="G241" t="s">
        <v>193</v>
      </c>
      <c r="H241" t="s">
        <v>194</v>
      </c>
      <c r="I241" t="s">
        <v>2892</v>
      </c>
      <c r="J241" t="s">
        <v>267</v>
      </c>
      <c r="K241">
        <v>18</v>
      </c>
      <c r="L241" s="28">
        <v>216305</v>
      </c>
      <c r="M241" s="28" t="str">
        <f t="shared" si="3"/>
        <v>216305</v>
      </c>
      <c r="N241"/>
      <c r="O241"/>
    </row>
    <row r="242" spans="1:15" x14ac:dyDescent="0.25">
      <c r="A242" t="s">
        <v>491</v>
      </c>
      <c r="B242" t="s">
        <v>3146</v>
      </c>
      <c r="C242" t="s">
        <v>3037</v>
      </c>
      <c r="D242" t="s">
        <v>3089</v>
      </c>
      <c r="E242" t="s">
        <v>192</v>
      </c>
      <c r="F242" s="28">
        <v>1</v>
      </c>
      <c r="G242" t="s">
        <v>193</v>
      </c>
      <c r="H242" t="s">
        <v>194</v>
      </c>
      <c r="I242" t="s">
        <v>3131</v>
      </c>
      <c r="J242" t="s">
        <v>210</v>
      </c>
      <c r="K242">
        <v>18</v>
      </c>
      <c r="L242" s="28">
        <v>216305</v>
      </c>
      <c r="M242" s="28" t="str">
        <f t="shared" si="3"/>
        <v>216305</v>
      </c>
      <c r="N242"/>
      <c r="O242"/>
    </row>
    <row r="243" spans="1:15" x14ac:dyDescent="0.25">
      <c r="A243" t="s">
        <v>2962</v>
      </c>
      <c r="B243" t="s">
        <v>1505</v>
      </c>
      <c r="C243" t="s">
        <v>1506</v>
      </c>
      <c r="D243" t="s">
        <v>2891</v>
      </c>
      <c r="E243" t="s">
        <v>192</v>
      </c>
      <c r="F243" s="28">
        <v>1</v>
      </c>
      <c r="G243" t="s">
        <v>193</v>
      </c>
      <c r="H243" t="s">
        <v>194</v>
      </c>
      <c r="I243" t="s">
        <v>2790</v>
      </c>
      <c r="J243" t="s">
        <v>210</v>
      </c>
      <c r="K243">
        <v>18</v>
      </c>
      <c r="L243" s="28">
        <v>216604</v>
      </c>
      <c r="M243" s="28" t="str">
        <f t="shared" si="3"/>
        <v>216604</v>
      </c>
      <c r="N243"/>
      <c r="O243"/>
    </row>
    <row r="244" spans="1:15" x14ac:dyDescent="0.25">
      <c r="A244" t="s">
        <v>282</v>
      </c>
      <c r="B244" t="s">
        <v>3169</v>
      </c>
      <c r="C244" t="s">
        <v>3170</v>
      </c>
      <c r="D244" t="s">
        <v>3167</v>
      </c>
      <c r="E244" t="s">
        <v>192</v>
      </c>
      <c r="F244" s="28">
        <v>1</v>
      </c>
      <c r="G244" t="s">
        <v>193</v>
      </c>
      <c r="H244" t="s">
        <v>194</v>
      </c>
      <c r="I244" t="s">
        <v>3131</v>
      </c>
      <c r="J244" t="s">
        <v>285</v>
      </c>
      <c r="K244">
        <v>18</v>
      </c>
      <c r="L244" s="28">
        <v>351404</v>
      </c>
      <c r="M244" s="28" t="str">
        <f t="shared" si="3"/>
        <v>351404</v>
      </c>
      <c r="N244"/>
      <c r="O244"/>
    </row>
    <row r="245" spans="1:15" x14ac:dyDescent="0.25">
      <c r="A245" t="s">
        <v>3177</v>
      </c>
      <c r="B245" t="s">
        <v>2295</v>
      </c>
      <c r="C245" t="s">
        <v>48</v>
      </c>
      <c r="D245" t="s">
        <v>3167</v>
      </c>
      <c r="E245" t="s">
        <v>192</v>
      </c>
      <c r="F245" s="28">
        <v>1</v>
      </c>
      <c r="G245" t="s">
        <v>193</v>
      </c>
      <c r="H245" t="s">
        <v>194</v>
      </c>
      <c r="I245" t="s">
        <v>2892</v>
      </c>
      <c r="J245" t="s">
        <v>1995</v>
      </c>
      <c r="K245">
        <v>18</v>
      </c>
      <c r="L245" s="28">
        <v>321401</v>
      </c>
      <c r="M245" s="28" t="str">
        <f t="shared" si="3"/>
        <v>321401</v>
      </c>
      <c r="N245"/>
      <c r="O245"/>
    </row>
    <row r="246" spans="1:15" x14ac:dyDescent="0.25">
      <c r="A246" t="s">
        <v>2294</v>
      </c>
      <c r="B246" t="s">
        <v>3251</v>
      </c>
      <c r="C246" t="s">
        <v>48</v>
      </c>
      <c r="D246" t="s">
        <v>3252</v>
      </c>
      <c r="E246" t="s">
        <v>192</v>
      </c>
      <c r="F246" s="28">
        <v>1</v>
      </c>
      <c r="G246" t="s">
        <v>193</v>
      </c>
      <c r="H246" t="s">
        <v>194</v>
      </c>
      <c r="I246" t="s">
        <v>2892</v>
      </c>
      <c r="J246" t="s">
        <v>276</v>
      </c>
      <c r="K246">
        <v>18</v>
      </c>
      <c r="L246" s="28">
        <v>321401</v>
      </c>
      <c r="M246" s="28" t="str">
        <f t="shared" si="3"/>
        <v>321401</v>
      </c>
      <c r="N246"/>
      <c r="O246"/>
    </row>
    <row r="247" spans="1:15" x14ac:dyDescent="0.25">
      <c r="A247" t="s">
        <v>2294</v>
      </c>
      <c r="B247" t="s">
        <v>2295</v>
      </c>
      <c r="C247" t="s">
        <v>48</v>
      </c>
      <c r="D247" t="s">
        <v>3252</v>
      </c>
      <c r="E247" t="s">
        <v>192</v>
      </c>
      <c r="F247" s="28">
        <v>1</v>
      </c>
      <c r="G247" t="s">
        <v>193</v>
      </c>
      <c r="H247" t="s">
        <v>194</v>
      </c>
      <c r="I247" t="s">
        <v>2892</v>
      </c>
      <c r="J247" t="s">
        <v>276</v>
      </c>
      <c r="K247">
        <v>18</v>
      </c>
      <c r="L247" s="28">
        <v>321401</v>
      </c>
      <c r="M247" s="28" t="str">
        <f t="shared" si="3"/>
        <v>321401</v>
      </c>
      <c r="N247"/>
      <c r="O247"/>
    </row>
    <row r="248" spans="1:15" x14ac:dyDescent="0.25">
      <c r="A248" t="s">
        <v>2777</v>
      </c>
      <c r="B248" t="s">
        <v>2778</v>
      </c>
      <c r="C248" t="s">
        <v>17</v>
      </c>
      <c r="D248" t="s">
        <v>2749</v>
      </c>
      <c r="E248" t="s">
        <v>192</v>
      </c>
      <c r="F248" s="28">
        <v>1</v>
      </c>
      <c r="G248" t="s">
        <v>193</v>
      </c>
      <c r="H248" t="s">
        <v>194</v>
      </c>
      <c r="I248" t="s">
        <v>2774</v>
      </c>
      <c r="J248" t="s">
        <v>210</v>
      </c>
      <c r="K248">
        <v>18</v>
      </c>
      <c r="L248" s="28">
        <v>332203</v>
      </c>
      <c r="M248" s="28" t="str">
        <f t="shared" si="3"/>
        <v>332203</v>
      </c>
      <c r="N248"/>
      <c r="O248"/>
    </row>
    <row r="249" spans="1:15" x14ac:dyDescent="0.25">
      <c r="A249" t="s">
        <v>2786</v>
      </c>
      <c r="B249" t="s">
        <v>2787</v>
      </c>
      <c r="C249" t="s">
        <v>17</v>
      </c>
      <c r="D249" t="s">
        <v>2749</v>
      </c>
      <c r="E249" t="s">
        <v>192</v>
      </c>
      <c r="F249" s="28">
        <v>1</v>
      </c>
      <c r="G249" t="s">
        <v>193</v>
      </c>
      <c r="H249" t="s">
        <v>194</v>
      </c>
      <c r="I249" t="s">
        <v>2774</v>
      </c>
      <c r="J249" t="s">
        <v>253</v>
      </c>
      <c r="K249">
        <v>18</v>
      </c>
      <c r="L249" s="28">
        <v>332203</v>
      </c>
      <c r="M249" s="28" t="str">
        <f t="shared" si="3"/>
        <v>332203</v>
      </c>
      <c r="N249"/>
      <c r="O249"/>
    </row>
    <row r="250" spans="1:15" x14ac:dyDescent="0.25">
      <c r="A250" t="s">
        <v>2789</v>
      </c>
      <c r="B250" t="s">
        <v>1638</v>
      </c>
      <c r="C250" t="s">
        <v>17</v>
      </c>
      <c r="D250" t="s">
        <v>2790</v>
      </c>
      <c r="E250" t="s">
        <v>233</v>
      </c>
      <c r="F250" s="28">
        <v>1</v>
      </c>
      <c r="G250" t="s">
        <v>193</v>
      </c>
      <c r="H250" t="s">
        <v>194</v>
      </c>
      <c r="I250" t="s">
        <v>2749</v>
      </c>
      <c r="J250" t="s">
        <v>648</v>
      </c>
      <c r="K250">
        <v>18</v>
      </c>
      <c r="L250" s="28">
        <v>332203</v>
      </c>
      <c r="M250" s="28" t="str">
        <f t="shared" si="3"/>
        <v>332203</v>
      </c>
      <c r="N250"/>
      <c r="O250"/>
    </row>
    <row r="251" spans="1:15" x14ac:dyDescent="0.25">
      <c r="A251" t="s">
        <v>2789</v>
      </c>
      <c r="B251" t="s">
        <v>1638</v>
      </c>
      <c r="C251" t="s">
        <v>17</v>
      </c>
      <c r="D251" t="s">
        <v>2790</v>
      </c>
      <c r="E251" t="s">
        <v>192</v>
      </c>
      <c r="F251" s="28">
        <v>1</v>
      </c>
      <c r="G251" t="s">
        <v>193</v>
      </c>
      <c r="H251" t="s">
        <v>194</v>
      </c>
      <c r="I251" t="s">
        <v>2749</v>
      </c>
      <c r="J251" t="s">
        <v>210</v>
      </c>
      <c r="K251">
        <v>18</v>
      </c>
      <c r="L251" s="28">
        <v>332203</v>
      </c>
      <c r="M251" s="28" t="str">
        <f t="shared" si="3"/>
        <v>332203</v>
      </c>
      <c r="N251"/>
      <c r="O251"/>
    </row>
    <row r="252" spans="1:15" x14ac:dyDescent="0.25">
      <c r="A252" t="s">
        <v>2796</v>
      </c>
      <c r="B252" t="s">
        <v>2797</v>
      </c>
      <c r="C252" t="s">
        <v>17</v>
      </c>
      <c r="D252" t="s">
        <v>2790</v>
      </c>
      <c r="E252" t="s">
        <v>192</v>
      </c>
      <c r="F252" s="28">
        <v>1</v>
      </c>
      <c r="G252" t="s">
        <v>193</v>
      </c>
      <c r="H252" t="s">
        <v>194</v>
      </c>
      <c r="I252" t="s">
        <v>2749</v>
      </c>
      <c r="J252" t="s">
        <v>323</v>
      </c>
      <c r="K252">
        <v>18</v>
      </c>
      <c r="L252" s="28">
        <v>332203</v>
      </c>
      <c r="M252" s="28" t="str">
        <f t="shared" si="3"/>
        <v>332203</v>
      </c>
      <c r="N252"/>
      <c r="O252"/>
    </row>
    <row r="253" spans="1:15" x14ac:dyDescent="0.25">
      <c r="A253" t="s">
        <v>2833</v>
      </c>
      <c r="B253" t="s">
        <v>632</v>
      </c>
      <c r="C253" t="s">
        <v>17</v>
      </c>
      <c r="D253" t="s">
        <v>2790</v>
      </c>
      <c r="E253" t="s">
        <v>192</v>
      </c>
      <c r="F253" s="28">
        <v>1</v>
      </c>
      <c r="G253" t="s">
        <v>193</v>
      </c>
      <c r="H253" t="s">
        <v>194</v>
      </c>
      <c r="I253" t="s">
        <v>2749</v>
      </c>
      <c r="J253" t="s">
        <v>196</v>
      </c>
      <c r="K253">
        <v>18</v>
      </c>
      <c r="L253" s="28">
        <v>332203</v>
      </c>
      <c r="M253" s="28" t="str">
        <f t="shared" si="3"/>
        <v>332203</v>
      </c>
      <c r="N253"/>
      <c r="O253"/>
    </row>
    <row r="254" spans="1:15" x14ac:dyDescent="0.25">
      <c r="A254" t="s">
        <v>2867</v>
      </c>
      <c r="B254" t="s">
        <v>2868</v>
      </c>
      <c r="C254" t="s">
        <v>17</v>
      </c>
      <c r="D254" t="s">
        <v>2790</v>
      </c>
      <c r="E254" t="s">
        <v>192</v>
      </c>
      <c r="F254" s="28">
        <v>1</v>
      </c>
      <c r="G254" t="s">
        <v>193</v>
      </c>
      <c r="H254" t="s">
        <v>194</v>
      </c>
      <c r="I254" t="s">
        <v>2749</v>
      </c>
      <c r="J254" t="s">
        <v>210</v>
      </c>
      <c r="K254">
        <v>18</v>
      </c>
      <c r="L254" s="28">
        <v>332203</v>
      </c>
      <c r="M254" s="28" t="str">
        <f t="shared" si="3"/>
        <v>332203</v>
      </c>
      <c r="N254"/>
      <c r="O254"/>
    </row>
    <row r="255" spans="1:15" x14ac:dyDescent="0.25">
      <c r="A255" t="s">
        <v>2871</v>
      </c>
      <c r="B255" t="s">
        <v>2872</v>
      </c>
      <c r="C255" t="s">
        <v>17</v>
      </c>
      <c r="D255" t="s">
        <v>2790</v>
      </c>
      <c r="E255" t="s">
        <v>233</v>
      </c>
      <c r="F255" s="28">
        <v>1</v>
      </c>
      <c r="G255" t="s">
        <v>193</v>
      </c>
      <c r="H255" t="s">
        <v>194</v>
      </c>
      <c r="I255" t="s">
        <v>2749</v>
      </c>
      <c r="J255" t="s">
        <v>210</v>
      </c>
      <c r="K255">
        <v>18</v>
      </c>
      <c r="L255" s="28">
        <v>332203</v>
      </c>
      <c r="M255" s="28" t="str">
        <f t="shared" si="3"/>
        <v>332203</v>
      </c>
      <c r="N255"/>
      <c r="O255"/>
    </row>
    <row r="256" spans="1:15" x14ac:dyDescent="0.25">
      <c r="A256" t="s">
        <v>1204</v>
      </c>
      <c r="B256" t="s">
        <v>1205</v>
      </c>
      <c r="C256" t="s">
        <v>17</v>
      </c>
      <c r="D256" t="s">
        <v>2891</v>
      </c>
      <c r="E256" t="s">
        <v>192</v>
      </c>
      <c r="F256" s="28">
        <v>1</v>
      </c>
      <c r="G256" t="s">
        <v>193</v>
      </c>
      <c r="H256" t="s">
        <v>194</v>
      </c>
      <c r="I256" t="s">
        <v>2880</v>
      </c>
      <c r="J256" t="s">
        <v>210</v>
      </c>
      <c r="K256">
        <v>18</v>
      </c>
      <c r="L256" s="28">
        <v>332203</v>
      </c>
      <c r="M256" s="28" t="str">
        <f t="shared" si="3"/>
        <v>332203</v>
      </c>
      <c r="N256"/>
      <c r="O256"/>
    </row>
    <row r="257" spans="1:15" x14ac:dyDescent="0.25">
      <c r="A257" t="s">
        <v>2871</v>
      </c>
      <c r="B257" t="s">
        <v>2963</v>
      </c>
      <c r="C257" t="s">
        <v>17</v>
      </c>
      <c r="D257" t="s">
        <v>2891</v>
      </c>
      <c r="E257" t="s">
        <v>233</v>
      </c>
      <c r="F257" s="28">
        <v>1</v>
      </c>
      <c r="G257" t="s">
        <v>193</v>
      </c>
      <c r="H257" t="s">
        <v>194</v>
      </c>
      <c r="I257" t="s">
        <v>2790</v>
      </c>
      <c r="J257" t="s">
        <v>210</v>
      </c>
      <c r="K257">
        <v>18</v>
      </c>
      <c r="L257" s="28">
        <v>332203</v>
      </c>
      <c r="M257" s="28" t="str">
        <f t="shared" si="3"/>
        <v>332203</v>
      </c>
      <c r="N257"/>
      <c r="O257"/>
    </row>
    <row r="258" spans="1:15" x14ac:dyDescent="0.25">
      <c r="A258" t="s">
        <v>2975</v>
      </c>
      <c r="B258" t="s">
        <v>2976</v>
      </c>
      <c r="C258" t="s">
        <v>17</v>
      </c>
      <c r="D258" t="s">
        <v>2891</v>
      </c>
      <c r="E258" t="s">
        <v>192</v>
      </c>
      <c r="F258" s="28">
        <v>1</v>
      </c>
      <c r="G258" t="s">
        <v>193</v>
      </c>
      <c r="H258" t="s">
        <v>194</v>
      </c>
      <c r="I258" t="s">
        <v>2971</v>
      </c>
      <c r="J258" t="s">
        <v>210</v>
      </c>
      <c r="K258">
        <v>18</v>
      </c>
      <c r="L258" s="28">
        <v>332203</v>
      </c>
      <c r="M258" s="28" t="str">
        <f t="shared" si="3"/>
        <v>332203</v>
      </c>
      <c r="N258"/>
      <c r="O258"/>
    </row>
    <row r="259" spans="1:15" x14ac:dyDescent="0.25">
      <c r="A259" t="s">
        <v>2980</v>
      </c>
      <c r="B259" t="s">
        <v>460</v>
      </c>
      <c r="C259" t="s">
        <v>17</v>
      </c>
      <c r="D259" t="s">
        <v>2891</v>
      </c>
      <c r="E259" t="s">
        <v>192</v>
      </c>
      <c r="F259" s="28">
        <v>1</v>
      </c>
      <c r="G259" t="s">
        <v>193</v>
      </c>
      <c r="H259" t="s">
        <v>194</v>
      </c>
      <c r="I259" t="s">
        <v>2892</v>
      </c>
      <c r="J259" t="s">
        <v>210</v>
      </c>
      <c r="K259">
        <v>18</v>
      </c>
      <c r="L259" s="28">
        <v>332203</v>
      </c>
      <c r="M259" s="28" t="str">
        <f t="shared" ref="M259:M322" si="4">MID(L259,1,6)</f>
        <v>332203</v>
      </c>
      <c r="N259"/>
      <c r="O259"/>
    </row>
    <row r="260" spans="1:15" x14ac:dyDescent="0.25">
      <c r="A260" t="s">
        <v>2984</v>
      </c>
      <c r="B260" t="s">
        <v>2985</v>
      </c>
      <c r="C260" t="s">
        <v>17</v>
      </c>
      <c r="D260" t="s">
        <v>2982</v>
      </c>
      <c r="E260" t="s">
        <v>192</v>
      </c>
      <c r="F260" s="28">
        <v>1</v>
      </c>
      <c r="G260" t="s">
        <v>193</v>
      </c>
      <c r="H260" t="s">
        <v>194</v>
      </c>
      <c r="I260" t="s">
        <v>2971</v>
      </c>
      <c r="J260" t="s">
        <v>210</v>
      </c>
      <c r="K260">
        <v>18</v>
      </c>
      <c r="L260" s="28">
        <v>332203</v>
      </c>
      <c r="M260" s="28" t="str">
        <f t="shared" si="4"/>
        <v>332203</v>
      </c>
      <c r="N260"/>
      <c r="O260"/>
    </row>
    <row r="261" spans="1:15" x14ac:dyDescent="0.25">
      <c r="A261" t="s">
        <v>2986</v>
      </c>
      <c r="B261" t="s">
        <v>2987</v>
      </c>
      <c r="C261" t="s">
        <v>17</v>
      </c>
      <c r="D261" t="s">
        <v>2982</v>
      </c>
      <c r="E261" t="s">
        <v>217</v>
      </c>
      <c r="F261" s="28">
        <v>1</v>
      </c>
      <c r="G261" t="s">
        <v>193</v>
      </c>
      <c r="H261" t="s">
        <v>194</v>
      </c>
      <c r="I261" t="s">
        <v>2971</v>
      </c>
      <c r="J261" t="s">
        <v>276</v>
      </c>
      <c r="K261">
        <v>18</v>
      </c>
      <c r="L261" s="28">
        <v>332203</v>
      </c>
      <c r="M261" s="28" t="str">
        <f t="shared" si="4"/>
        <v>332203</v>
      </c>
      <c r="N261"/>
      <c r="O261"/>
    </row>
    <row r="262" spans="1:15" x14ac:dyDescent="0.25">
      <c r="A262" t="s">
        <v>622</v>
      </c>
      <c r="B262" t="s">
        <v>623</v>
      </c>
      <c r="C262" t="s">
        <v>17</v>
      </c>
      <c r="D262" t="s">
        <v>2989</v>
      </c>
      <c r="E262" t="s">
        <v>192</v>
      </c>
      <c r="F262" s="28">
        <v>1</v>
      </c>
      <c r="G262" t="s">
        <v>193</v>
      </c>
      <c r="H262" t="s">
        <v>194</v>
      </c>
      <c r="I262" t="s">
        <v>2774</v>
      </c>
      <c r="J262" t="s">
        <v>408</v>
      </c>
      <c r="K262">
        <v>18</v>
      </c>
      <c r="L262" s="28">
        <v>332203</v>
      </c>
      <c r="M262" s="28" t="str">
        <f t="shared" si="4"/>
        <v>332203</v>
      </c>
      <c r="N262"/>
      <c r="O262"/>
    </row>
    <row r="263" spans="1:15" x14ac:dyDescent="0.25">
      <c r="A263" t="s">
        <v>3042</v>
      </c>
      <c r="B263" t="s">
        <v>3043</v>
      </c>
      <c r="C263" t="s">
        <v>17</v>
      </c>
      <c r="D263" t="s">
        <v>2989</v>
      </c>
      <c r="E263" t="s">
        <v>192</v>
      </c>
      <c r="F263" s="28">
        <v>1</v>
      </c>
      <c r="G263" t="s">
        <v>193</v>
      </c>
      <c r="H263" t="s">
        <v>194</v>
      </c>
      <c r="I263" t="s">
        <v>2774</v>
      </c>
      <c r="J263" t="s">
        <v>196</v>
      </c>
      <c r="K263">
        <v>18</v>
      </c>
      <c r="L263" s="28">
        <v>332203</v>
      </c>
      <c r="M263" s="28" t="str">
        <f t="shared" si="4"/>
        <v>332203</v>
      </c>
      <c r="N263"/>
      <c r="O263"/>
    </row>
    <row r="264" spans="1:15" x14ac:dyDescent="0.25">
      <c r="A264" t="s">
        <v>3046</v>
      </c>
      <c r="B264" t="s">
        <v>3047</v>
      </c>
      <c r="C264" t="s">
        <v>17</v>
      </c>
      <c r="D264" t="s">
        <v>2989</v>
      </c>
      <c r="E264" t="s">
        <v>192</v>
      </c>
      <c r="F264" s="28">
        <v>1</v>
      </c>
      <c r="G264" t="s">
        <v>193</v>
      </c>
      <c r="H264" t="s">
        <v>194</v>
      </c>
      <c r="I264" t="s">
        <v>2774</v>
      </c>
      <c r="J264" t="s">
        <v>210</v>
      </c>
      <c r="K264">
        <v>18</v>
      </c>
      <c r="L264" s="28">
        <v>332203</v>
      </c>
      <c r="M264" s="28" t="str">
        <f t="shared" si="4"/>
        <v>332203</v>
      </c>
      <c r="N264"/>
      <c r="O264"/>
    </row>
    <row r="265" spans="1:15" x14ac:dyDescent="0.25">
      <c r="A265" t="s">
        <v>3053</v>
      </c>
      <c r="B265" t="s">
        <v>3054</v>
      </c>
      <c r="C265" t="s">
        <v>17</v>
      </c>
      <c r="D265" t="s">
        <v>2989</v>
      </c>
      <c r="E265" t="s">
        <v>192</v>
      </c>
      <c r="F265" s="28">
        <v>1</v>
      </c>
      <c r="G265" t="s">
        <v>193</v>
      </c>
      <c r="H265" t="s">
        <v>194</v>
      </c>
      <c r="I265" t="s">
        <v>2774</v>
      </c>
      <c r="J265" t="s">
        <v>196</v>
      </c>
      <c r="K265">
        <v>18</v>
      </c>
      <c r="L265" s="28">
        <v>332203</v>
      </c>
      <c r="M265" s="28" t="str">
        <f t="shared" si="4"/>
        <v>332203</v>
      </c>
      <c r="N265"/>
      <c r="O265"/>
    </row>
    <row r="266" spans="1:15" x14ac:dyDescent="0.25">
      <c r="A266" t="s">
        <v>3067</v>
      </c>
      <c r="B266" t="s">
        <v>3068</v>
      </c>
      <c r="C266" t="s">
        <v>17</v>
      </c>
      <c r="D266" t="s">
        <v>2989</v>
      </c>
      <c r="E266" t="s">
        <v>192</v>
      </c>
      <c r="F266" s="28">
        <v>1</v>
      </c>
      <c r="G266" t="s">
        <v>193</v>
      </c>
      <c r="H266" t="s">
        <v>194</v>
      </c>
      <c r="I266" t="s">
        <v>2774</v>
      </c>
      <c r="J266" t="s">
        <v>276</v>
      </c>
      <c r="K266">
        <v>18</v>
      </c>
      <c r="L266" s="28">
        <v>332203</v>
      </c>
      <c r="M266" s="28" t="str">
        <f t="shared" si="4"/>
        <v>332203</v>
      </c>
      <c r="N266"/>
      <c r="O266"/>
    </row>
    <row r="267" spans="1:15" x14ac:dyDescent="0.25">
      <c r="A267" t="s">
        <v>3070</v>
      </c>
      <c r="B267" t="s">
        <v>3071</v>
      </c>
      <c r="C267" t="s">
        <v>17</v>
      </c>
      <c r="D267" t="s">
        <v>2989</v>
      </c>
      <c r="E267" t="s">
        <v>192</v>
      </c>
      <c r="F267" s="28">
        <v>1</v>
      </c>
      <c r="G267" t="s">
        <v>193</v>
      </c>
      <c r="H267" t="s">
        <v>194</v>
      </c>
      <c r="I267" t="s">
        <v>2774</v>
      </c>
      <c r="J267" t="s">
        <v>196</v>
      </c>
      <c r="K267">
        <v>18</v>
      </c>
      <c r="L267" s="28">
        <v>332203</v>
      </c>
      <c r="M267" s="28" t="str">
        <f t="shared" si="4"/>
        <v>332203</v>
      </c>
      <c r="N267"/>
      <c r="O267"/>
    </row>
    <row r="268" spans="1:15" x14ac:dyDescent="0.25">
      <c r="A268" t="s">
        <v>3098</v>
      </c>
      <c r="B268" t="s">
        <v>647</v>
      </c>
      <c r="C268" t="s">
        <v>17</v>
      </c>
      <c r="D268" t="s">
        <v>3089</v>
      </c>
      <c r="E268" t="s">
        <v>192</v>
      </c>
      <c r="F268" s="28">
        <v>1</v>
      </c>
      <c r="G268" t="s">
        <v>193</v>
      </c>
      <c r="H268" t="s">
        <v>194</v>
      </c>
      <c r="I268" t="s">
        <v>3081</v>
      </c>
      <c r="J268" t="s">
        <v>210</v>
      </c>
      <c r="K268">
        <v>18</v>
      </c>
      <c r="L268" s="28">
        <v>332203</v>
      </c>
      <c r="M268" s="28" t="str">
        <f t="shared" si="4"/>
        <v>332203</v>
      </c>
      <c r="N268"/>
      <c r="O268"/>
    </row>
    <row r="269" spans="1:15" x14ac:dyDescent="0.25">
      <c r="A269" t="s">
        <v>3102</v>
      </c>
      <c r="B269" t="s">
        <v>632</v>
      </c>
      <c r="C269" t="s">
        <v>17</v>
      </c>
      <c r="D269" t="s">
        <v>3089</v>
      </c>
      <c r="E269" t="s">
        <v>233</v>
      </c>
      <c r="F269" s="28">
        <v>1</v>
      </c>
      <c r="G269" t="s">
        <v>193</v>
      </c>
      <c r="H269" t="s">
        <v>194</v>
      </c>
      <c r="I269" t="s">
        <v>2892</v>
      </c>
      <c r="J269" t="s">
        <v>1156</v>
      </c>
      <c r="K269">
        <v>18</v>
      </c>
      <c r="L269" s="28">
        <v>332203</v>
      </c>
      <c r="M269" s="28" t="str">
        <f t="shared" si="4"/>
        <v>332203</v>
      </c>
      <c r="N269"/>
      <c r="O269"/>
    </row>
    <row r="270" spans="1:15" x14ac:dyDescent="0.25">
      <c r="A270" t="s">
        <v>1654</v>
      </c>
      <c r="B270" t="s">
        <v>1655</v>
      </c>
      <c r="C270" t="s">
        <v>17</v>
      </c>
      <c r="D270" t="s">
        <v>3089</v>
      </c>
      <c r="E270" t="s">
        <v>192</v>
      </c>
      <c r="F270" s="28">
        <v>1</v>
      </c>
      <c r="G270" t="s">
        <v>193</v>
      </c>
      <c r="H270" t="s">
        <v>194</v>
      </c>
      <c r="I270" t="s">
        <v>2892</v>
      </c>
      <c r="J270" t="s">
        <v>210</v>
      </c>
      <c r="K270">
        <v>18</v>
      </c>
      <c r="L270" s="28">
        <v>332203</v>
      </c>
      <c r="M270" s="28" t="str">
        <f t="shared" si="4"/>
        <v>332203</v>
      </c>
      <c r="N270"/>
      <c r="O270"/>
    </row>
    <row r="271" spans="1:15" x14ac:dyDescent="0.25">
      <c r="A271" t="s">
        <v>3104</v>
      </c>
      <c r="B271" t="s">
        <v>3105</v>
      </c>
      <c r="C271" t="s">
        <v>17</v>
      </c>
      <c r="D271" t="s">
        <v>3089</v>
      </c>
      <c r="E271" t="s">
        <v>192</v>
      </c>
      <c r="F271" s="28">
        <v>1</v>
      </c>
      <c r="G271" t="s">
        <v>193</v>
      </c>
      <c r="H271" t="s">
        <v>194</v>
      </c>
      <c r="I271" t="s">
        <v>3081</v>
      </c>
      <c r="J271" t="s">
        <v>210</v>
      </c>
      <c r="K271">
        <v>18</v>
      </c>
      <c r="L271" s="28">
        <v>332203</v>
      </c>
      <c r="M271" s="28" t="str">
        <f t="shared" si="4"/>
        <v>332203</v>
      </c>
      <c r="N271"/>
      <c r="O271"/>
    </row>
    <row r="272" spans="1:15" x14ac:dyDescent="0.25">
      <c r="A272" t="s">
        <v>888</v>
      </c>
      <c r="B272" t="s">
        <v>632</v>
      </c>
      <c r="C272" t="s">
        <v>17</v>
      </c>
      <c r="D272" t="s">
        <v>3089</v>
      </c>
      <c r="E272" t="s">
        <v>192</v>
      </c>
      <c r="F272" s="28">
        <v>1</v>
      </c>
      <c r="G272" t="s">
        <v>193</v>
      </c>
      <c r="H272" t="s">
        <v>194</v>
      </c>
      <c r="I272" t="s">
        <v>2990</v>
      </c>
      <c r="J272" t="s">
        <v>238</v>
      </c>
      <c r="K272">
        <v>18</v>
      </c>
      <c r="L272" s="28">
        <v>332203</v>
      </c>
      <c r="M272" s="28" t="str">
        <f t="shared" si="4"/>
        <v>332203</v>
      </c>
      <c r="N272"/>
      <c r="O272"/>
    </row>
    <row r="273" spans="1:15" x14ac:dyDescent="0.25">
      <c r="A273" t="s">
        <v>2346</v>
      </c>
      <c r="B273" t="s">
        <v>632</v>
      </c>
      <c r="C273" t="s">
        <v>17</v>
      </c>
      <c r="D273" t="s">
        <v>3089</v>
      </c>
      <c r="E273" t="s">
        <v>192</v>
      </c>
      <c r="F273" s="28">
        <v>1</v>
      </c>
      <c r="G273" t="s">
        <v>193</v>
      </c>
      <c r="H273" t="s">
        <v>194</v>
      </c>
      <c r="I273" t="s">
        <v>2990</v>
      </c>
      <c r="J273" t="s">
        <v>367</v>
      </c>
      <c r="K273">
        <v>18</v>
      </c>
      <c r="L273" s="28">
        <v>332203</v>
      </c>
      <c r="M273" s="28" t="str">
        <f t="shared" si="4"/>
        <v>332203</v>
      </c>
      <c r="N273"/>
      <c r="O273"/>
    </row>
    <row r="274" spans="1:15" x14ac:dyDescent="0.25">
      <c r="A274" t="s">
        <v>3140</v>
      </c>
      <c r="B274" t="s">
        <v>3141</v>
      </c>
      <c r="C274" t="s">
        <v>17</v>
      </c>
      <c r="D274" t="s">
        <v>3089</v>
      </c>
      <c r="E274" t="s">
        <v>192</v>
      </c>
      <c r="F274" s="28">
        <v>1</v>
      </c>
      <c r="G274" t="s">
        <v>193</v>
      </c>
      <c r="H274" t="s">
        <v>194</v>
      </c>
      <c r="I274" t="s">
        <v>3131</v>
      </c>
      <c r="J274" t="s">
        <v>323</v>
      </c>
      <c r="K274">
        <v>18</v>
      </c>
      <c r="L274" s="28">
        <v>332203</v>
      </c>
      <c r="M274" s="28" t="str">
        <f t="shared" si="4"/>
        <v>332203</v>
      </c>
      <c r="N274"/>
      <c r="O274"/>
    </row>
    <row r="275" spans="1:15" x14ac:dyDescent="0.25">
      <c r="A275" t="s">
        <v>3154</v>
      </c>
      <c r="B275" t="s">
        <v>2327</v>
      </c>
      <c r="C275" t="s">
        <v>17</v>
      </c>
      <c r="D275" t="s">
        <v>3089</v>
      </c>
      <c r="E275" t="s">
        <v>192</v>
      </c>
      <c r="F275" s="28">
        <v>1</v>
      </c>
      <c r="G275" t="s">
        <v>193</v>
      </c>
      <c r="H275" t="s">
        <v>194</v>
      </c>
      <c r="I275" t="s">
        <v>3131</v>
      </c>
      <c r="J275" t="s">
        <v>276</v>
      </c>
      <c r="K275">
        <v>18</v>
      </c>
      <c r="L275" s="28">
        <v>332203</v>
      </c>
      <c r="M275" s="28" t="str">
        <f t="shared" si="4"/>
        <v>332203</v>
      </c>
      <c r="N275"/>
      <c r="O275"/>
    </row>
    <row r="276" spans="1:15" x14ac:dyDescent="0.25">
      <c r="A276" t="s">
        <v>1825</v>
      </c>
      <c r="B276" t="s">
        <v>3155</v>
      </c>
      <c r="C276" t="s">
        <v>17</v>
      </c>
      <c r="D276" t="s">
        <v>3089</v>
      </c>
      <c r="E276" t="s">
        <v>192</v>
      </c>
      <c r="F276" s="28">
        <v>1</v>
      </c>
      <c r="G276" t="s">
        <v>193</v>
      </c>
      <c r="H276" t="s">
        <v>194</v>
      </c>
      <c r="I276" t="s">
        <v>3131</v>
      </c>
      <c r="J276" t="s">
        <v>210</v>
      </c>
      <c r="K276">
        <v>18</v>
      </c>
      <c r="L276" s="28">
        <v>332203</v>
      </c>
      <c r="M276" s="28" t="str">
        <f t="shared" si="4"/>
        <v>332203</v>
      </c>
      <c r="N276"/>
      <c r="O276"/>
    </row>
    <row r="277" spans="1:15" x14ac:dyDescent="0.25">
      <c r="A277" t="s">
        <v>1692</v>
      </c>
      <c r="B277" t="s">
        <v>1693</v>
      </c>
      <c r="C277" t="s">
        <v>17</v>
      </c>
      <c r="D277" t="s">
        <v>3089</v>
      </c>
      <c r="E277" t="s">
        <v>192</v>
      </c>
      <c r="F277" s="28">
        <v>1</v>
      </c>
      <c r="G277" t="s">
        <v>193</v>
      </c>
      <c r="H277" t="s">
        <v>194</v>
      </c>
      <c r="I277" t="s">
        <v>3131</v>
      </c>
      <c r="J277" t="s">
        <v>399</v>
      </c>
      <c r="K277">
        <v>18</v>
      </c>
      <c r="L277" s="28">
        <v>332203</v>
      </c>
      <c r="M277" s="28" t="str">
        <f t="shared" si="4"/>
        <v>332203</v>
      </c>
      <c r="N277"/>
      <c r="O277"/>
    </row>
    <row r="278" spans="1:15" x14ac:dyDescent="0.25">
      <c r="A278" t="s">
        <v>2789</v>
      </c>
      <c r="B278" t="s">
        <v>2333</v>
      </c>
      <c r="C278" t="s">
        <v>17</v>
      </c>
      <c r="D278" t="s">
        <v>3167</v>
      </c>
      <c r="E278" t="s">
        <v>192</v>
      </c>
      <c r="F278" s="28">
        <v>1</v>
      </c>
      <c r="G278" t="s">
        <v>193</v>
      </c>
      <c r="H278" t="s">
        <v>194</v>
      </c>
      <c r="I278" t="s">
        <v>3131</v>
      </c>
      <c r="J278" t="s">
        <v>238</v>
      </c>
      <c r="K278">
        <v>18</v>
      </c>
      <c r="L278" s="28">
        <v>332203</v>
      </c>
      <c r="M278" s="28" t="str">
        <f t="shared" si="4"/>
        <v>332203</v>
      </c>
      <c r="N278"/>
      <c r="O278"/>
    </row>
    <row r="279" spans="1:15" x14ac:dyDescent="0.25">
      <c r="A279" t="s">
        <v>2572</v>
      </c>
      <c r="B279" t="s">
        <v>3178</v>
      </c>
      <c r="C279" t="s">
        <v>17</v>
      </c>
      <c r="D279" t="s">
        <v>3167</v>
      </c>
      <c r="E279" t="s">
        <v>192</v>
      </c>
      <c r="F279" s="28">
        <v>1</v>
      </c>
      <c r="G279" t="s">
        <v>193</v>
      </c>
      <c r="H279" t="s">
        <v>194</v>
      </c>
      <c r="I279" t="s">
        <v>3131</v>
      </c>
      <c r="J279" t="s">
        <v>196</v>
      </c>
      <c r="K279">
        <v>18</v>
      </c>
      <c r="L279" s="28">
        <v>332203</v>
      </c>
      <c r="M279" s="28" t="str">
        <f t="shared" si="4"/>
        <v>332203</v>
      </c>
      <c r="N279"/>
      <c r="O279"/>
    </row>
    <row r="280" spans="1:15" x14ac:dyDescent="0.25">
      <c r="A280" t="s">
        <v>3180</v>
      </c>
      <c r="B280" t="s">
        <v>3181</v>
      </c>
      <c r="C280" t="s">
        <v>17</v>
      </c>
      <c r="D280" t="s">
        <v>3167</v>
      </c>
      <c r="E280" t="s">
        <v>192</v>
      </c>
      <c r="F280" s="28">
        <v>1</v>
      </c>
      <c r="G280" t="s">
        <v>193</v>
      </c>
      <c r="H280" t="s">
        <v>194</v>
      </c>
      <c r="I280" t="s">
        <v>3131</v>
      </c>
      <c r="J280" t="s">
        <v>238</v>
      </c>
      <c r="K280">
        <v>18</v>
      </c>
      <c r="L280" s="28">
        <v>332203</v>
      </c>
      <c r="M280" s="28" t="str">
        <f t="shared" si="4"/>
        <v>332203</v>
      </c>
      <c r="N280"/>
      <c r="O280"/>
    </row>
    <row r="281" spans="1:15" x14ac:dyDescent="0.25">
      <c r="A281" t="s">
        <v>3185</v>
      </c>
      <c r="B281" t="s">
        <v>3186</v>
      </c>
      <c r="C281" t="s">
        <v>17</v>
      </c>
      <c r="D281" t="s">
        <v>3167</v>
      </c>
      <c r="E281" t="s">
        <v>192</v>
      </c>
      <c r="F281" s="28">
        <v>1</v>
      </c>
      <c r="G281" t="s">
        <v>193</v>
      </c>
      <c r="H281" t="s">
        <v>194</v>
      </c>
      <c r="I281" t="s">
        <v>2892</v>
      </c>
      <c r="J281" t="s">
        <v>196</v>
      </c>
      <c r="K281">
        <v>18</v>
      </c>
      <c r="L281" s="28">
        <v>332203</v>
      </c>
      <c r="M281" s="28" t="str">
        <f t="shared" si="4"/>
        <v>332203</v>
      </c>
      <c r="N281"/>
      <c r="O281"/>
    </row>
    <row r="282" spans="1:15" x14ac:dyDescent="0.25">
      <c r="A282" t="s">
        <v>3187</v>
      </c>
      <c r="B282" t="s">
        <v>3188</v>
      </c>
      <c r="C282" t="s">
        <v>17</v>
      </c>
      <c r="D282" t="s">
        <v>3167</v>
      </c>
      <c r="E282" t="s">
        <v>192</v>
      </c>
      <c r="F282" s="28">
        <v>1</v>
      </c>
      <c r="G282" t="s">
        <v>193</v>
      </c>
      <c r="H282" t="s">
        <v>194</v>
      </c>
      <c r="I282" t="s">
        <v>3131</v>
      </c>
      <c r="J282" t="s">
        <v>316</v>
      </c>
      <c r="K282">
        <v>18</v>
      </c>
      <c r="L282" s="28">
        <v>332203</v>
      </c>
      <c r="M282" s="28" t="str">
        <f t="shared" si="4"/>
        <v>332203</v>
      </c>
      <c r="N282"/>
      <c r="O282"/>
    </row>
    <row r="283" spans="1:15" x14ac:dyDescent="0.25">
      <c r="A283" t="s">
        <v>3195</v>
      </c>
      <c r="B283" t="s">
        <v>3196</v>
      </c>
      <c r="C283" t="s">
        <v>17</v>
      </c>
      <c r="D283" t="s">
        <v>3167</v>
      </c>
      <c r="E283" t="s">
        <v>192</v>
      </c>
      <c r="F283" s="28">
        <v>1</v>
      </c>
      <c r="G283" t="s">
        <v>193</v>
      </c>
      <c r="H283" t="s">
        <v>194</v>
      </c>
      <c r="I283" t="s">
        <v>3131</v>
      </c>
      <c r="J283" t="s">
        <v>210</v>
      </c>
      <c r="K283">
        <v>18</v>
      </c>
      <c r="L283" s="28">
        <v>332203</v>
      </c>
      <c r="M283" s="28" t="str">
        <f t="shared" si="4"/>
        <v>332203</v>
      </c>
      <c r="N283"/>
      <c r="O283"/>
    </row>
    <row r="284" spans="1:15" x14ac:dyDescent="0.25">
      <c r="A284" t="s">
        <v>622</v>
      </c>
      <c r="B284" t="s">
        <v>623</v>
      </c>
      <c r="C284" t="s">
        <v>17</v>
      </c>
      <c r="D284" t="s">
        <v>3167</v>
      </c>
      <c r="E284" t="s">
        <v>192</v>
      </c>
      <c r="F284" s="28">
        <v>1</v>
      </c>
      <c r="G284" t="s">
        <v>193</v>
      </c>
      <c r="H284" t="s">
        <v>194</v>
      </c>
      <c r="I284" t="s">
        <v>3131</v>
      </c>
      <c r="J284" t="s">
        <v>316</v>
      </c>
      <c r="K284">
        <v>18</v>
      </c>
      <c r="L284" s="28">
        <v>332203</v>
      </c>
      <c r="M284" s="28" t="str">
        <f t="shared" si="4"/>
        <v>332203</v>
      </c>
      <c r="N284"/>
      <c r="O284"/>
    </row>
    <row r="285" spans="1:15" x14ac:dyDescent="0.25">
      <c r="A285" t="s">
        <v>3234</v>
      </c>
      <c r="B285" t="s">
        <v>3235</v>
      </c>
      <c r="C285" t="s">
        <v>17</v>
      </c>
      <c r="D285" t="s">
        <v>3167</v>
      </c>
      <c r="E285" t="s">
        <v>192</v>
      </c>
      <c r="F285" s="28">
        <v>1</v>
      </c>
      <c r="G285" t="s">
        <v>193</v>
      </c>
      <c r="H285" t="s">
        <v>194</v>
      </c>
      <c r="I285" t="s">
        <v>2892</v>
      </c>
      <c r="J285" t="s">
        <v>210</v>
      </c>
      <c r="K285">
        <v>18</v>
      </c>
      <c r="L285" s="28">
        <v>332203</v>
      </c>
      <c r="M285" s="28" t="str">
        <f t="shared" si="4"/>
        <v>332203</v>
      </c>
      <c r="N285"/>
      <c r="O285"/>
    </row>
    <row r="286" spans="1:15" x14ac:dyDescent="0.25">
      <c r="A286" t="s">
        <v>3234</v>
      </c>
      <c r="B286" t="s">
        <v>3236</v>
      </c>
      <c r="C286" t="s">
        <v>17</v>
      </c>
      <c r="D286" t="s">
        <v>3167</v>
      </c>
      <c r="E286" t="s">
        <v>192</v>
      </c>
      <c r="F286" s="28">
        <v>1</v>
      </c>
      <c r="G286" t="s">
        <v>193</v>
      </c>
      <c r="H286" t="s">
        <v>194</v>
      </c>
      <c r="I286" t="s">
        <v>3131</v>
      </c>
      <c r="J286" t="s">
        <v>210</v>
      </c>
      <c r="K286">
        <v>18</v>
      </c>
      <c r="L286" s="28">
        <v>332203</v>
      </c>
      <c r="M286" s="28" t="str">
        <f t="shared" si="4"/>
        <v>332203</v>
      </c>
      <c r="N286"/>
      <c r="O286"/>
    </row>
    <row r="287" spans="1:15" x14ac:dyDescent="0.25">
      <c r="A287" t="s">
        <v>3268</v>
      </c>
      <c r="B287" t="s">
        <v>3269</v>
      </c>
      <c r="C287" t="s">
        <v>17</v>
      </c>
      <c r="D287" t="s">
        <v>3252</v>
      </c>
      <c r="E287" t="s">
        <v>192</v>
      </c>
      <c r="F287" s="28">
        <v>2</v>
      </c>
      <c r="G287" t="s">
        <v>193</v>
      </c>
      <c r="H287" t="s">
        <v>194</v>
      </c>
      <c r="I287" t="s">
        <v>3131</v>
      </c>
      <c r="J287" t="s">
        <v>249</v>
      </c>
      <c r="K287">
        <v>18</v>
      </c>
      <c r="L287" s="28">
        <v>332203</v>
      </c>
      <c r="M287" s="28" t="str">
        <f t="shared" si="4"/>
        <v>332203</v>
      </c>
      <c r="N287"/>
      <c r="O287"/>
    </row>
    <row r="288" spans="1:15" x14ac:dyDescent="0.25">
      <c r="A288" t="s">
        <v>3270</v>
      </c>
      <c r="B288" t="s">
        <v>3271</v>
      </c>
      <c r="C288" t="s">
        <v>17</v>
      </c>
      <c r="D288" t="s">
        <v>3252</v>
      </c>
      <c r="E288" t="s">
        <v>192</v>
      </c>
      <c r="F288" s="28">
        <v>1</v>
      </c>
      <c r="G288" t="s">
        <v>193</v>
      </c>
      <c r="H288" t="s">
        <v>194</v>
      </c>
      <c r="I288" t="s">
        <v>2892</v>
      </c>
      <c r="J288" t="s">
        <v>210</v>
      </c>
      <c r="K288">
        <v>18</v>
      </c>
      <c r="L288" s="28">
        <v>332203</v>
      </c>
      <c r="M288" s="28" t="str">
        <f t="shared" si="4"/>
        <v>332203</v>
      </c>
      <c r="N288"/>
      <c r="O288"/>
    </row>
    <row r="289" spans="1:15" x14ac:dyDescent="0.25">
      <c r="A289" t="s">
        <v>1289</v>
      </c>
      <c r="B289" t="s">
        <v>3275</v>
      </c>
      <c r="C289" t="s">
        <v>17</v>
      </c>
      <c r="D289" t="s">
        <v>3252</v>
      </c>
      <c r="E289" t="s">
        <v>192</v>
      </c>
      <c r="F289" s="28">
        <v>1</v>
      </c>
      <c r="G289" t="s">
        <v>193</v>
      </c>
      <c r="H289" t="s">
        <v>194</v>
      </c>
      <c r="I289" t="s">
        <v>3131</v>
      </c>
      <c r="J289" t="s">
        <v>276</v>
      </c>
      <c r="K289">
        <v>18</v>
      </c>
      <c r="L289" s="28">
        <v>332203</v>
      </c>
      <c r="M289" s="28" t="str">
        <f t="shared" si="4"/>
        <v>332203</v>
      </c>
      <c r="N289"/>
      <c r="O289"/>
    </row>
    <row r="290" spans="1:15" x14ac:dyDescent="0.25">
      <c r="A290" t="s">
        <v>1289</v>
      </c>
      <c r="B290" t="s">
        <v>2169</v>
      </c>
      <c r="C290" t="s">
        <v>17</v>
      </c>
      <c r="D290" t="s">
        <v>3252</v>
      </c>
      <c r="E290" t="s">
        <v>192</v>
      </c>
      <c r="F290" s="28">
        <v>1</v>
      </c>
      <c r="G290" t="s">
        <v>193</v>
      </c>
      <c r="H290" t="s">
        <v>194</v>
      </c>
      <c r="I290" t="s">
        <v>3131</v>
      </c>
      <c r="J290" t="s">
        <v>276</v>
      </c>
      <c r="K290">
        <v>18</v>
      </c>
      <c r="L290" s="28">
        <v>332203</v>
      </c>
      <c r="M290" s="28" t="str">
        <f t="shared" si="4"/>
        <v>332203</v>
      </c>
      <c r="N290"/>
      <c r="O290"/>
    </row>
    <row r="291" spans="1:15" x14ac:dyDescent="0.25">
      <c r="A291" t="s">
        <v>1100</v>
      </c>
      <c r="B291" t="s">
        <v>1101</v>
      </c>
      <c r="C291" t="s">
        <v>17</v>
      </c>
      <c r="D291" t="s">
        <v>3252</v>
      </c>
      <c r="E291" t="s">
        <v>192</v>
      </c>
      <c r="F291" s="28">
        <v>1</v>
      </c>
      <c r="G291" t="s">
        <v>193</v>
      </c>
      <c r="H291" t="s">
        <v>194</v>
      </c>
      <c r="I291" t="s">
        <v>3131</v>
      </c>
      <c r="J291" t="s">
        <v>276</v>
      </c>
      <c r="K291">
        <v>18</v>
      </c>
      <c r="L291" s="28">
        <v>332203</v>
      </c>
      <c r="M291" s="28" t="str">
        <f t="shared" si="4"/>
        <v>332203</v>
      </c>
      <c r="N291"/>
      <c r="O291"/>
    </row>
    <row r="292" spans="1:15" x14ac:dyDescent="0.25">
      <c r="A292" t="s">
        <v>3288</v>
      </c>
      <c r="B292" t="s">
        <v>632</v>
      </c>
      <c r="C292" t="s">
        <v>17</v>
      </c>
      <c r="D292" t="s">
        <v>3252</v>
      </c>
      <c r="E292" t="s">
        <v>192</v>
      </c>
      <c r="F292" s="28">
        <v>1</v>
      </c>
      <c r="G292" t="s">
        <v>193</v>
      </c>
      <c r="H292" t="s">
        <v>194</v>
      </c>
      <c r="I292" t="s">
        <v>2990</v>
      </c>
      <c r="J292" t="s">
        <v>196</v>
      </c>
      <c r="K292">
        <v>18</v>
      </c>
      <c r="L292" s="28">
        <v>332203</v>
      </c>
      <c r="M292" s="28" t="str">
        <f t="shared" si="4"/>
        <v>332203</v>
      </c>
      <c r="N292"/>
      <c r="O292"/>
    </row>
    <row r="293" spans="1:15" x14ac:dyDescent="0.25">
      <c r="A293" t="s">
        <v>3290</v>
      </c>
      <c r="B293" t="s">
        <v>3291</v>
      </c>
      <c r="C293" t="s">
        <v>17</v>
      </c>
      <c r="D293" t="s">
        <v>3252</v>
      </c>
      <c r="E293" t="s">
        <v>192</v>
      </c>
      <c r="F293" s="28">
        <v>1</v>
      </c>
      <c r="G293" t="s">
        <v>193</v>
      </c>
      <c r="H293" t="s">
        <v>194</v>
      </c>
      <c r="I293" t="s">
        <v>2749</v>
      </c>
      <c r="J293" t="s">
        <v>210</v>
      </c>
      <c r="K293">
        <v>18</v>
      </c>
      <c r="L293" s="28">
        <v>332203</v>
      </c>
      <c r="M293" s="28" t="str">
        <f t="shared" si="4"/>
        <v>332203</v>
      </c>
      <c r="N293"/>
      <c r="O293"/>
    </row>
    <row r="294" spans="1:15" x14ac:dyDescent="0.25">
      <c r="A294" t="s">
        <v>2975</v>
      </c>
      <c r="B294" t="s">
        <v>632</v>
      </c>
      <c r="C294" t="s">
        <v>17</v>
      </c>
      <c r="D294" t="s">
        <v>3252</v>
      </c>
      <c r="E294" t="s">
        <v>192</v>
      </c>
      <c r="F294" s="28">
        <v>1</v>
      </c>
      <c r="G294" t="s">
        <v>193</v>
      </c>
      <c r="H294" t="s">
        <v>194</v>
      </c>
      <c r="I294" t="s">
        <v>2990</v>
      </c>
      <c r="J294" t="s">
        <v>210</v>
      </c>
      <c r="K294">
        <v>18</v>
      </c>
      <c r="L294" s="28">
        <v>332203</v>
      </c>
      <c r="M294" s="28" t="str">
        <f t="shared" si="4"/>
        <v>332203</v>
      </c>
      <c r="N294"/>
      <c r="O294"/>
    </row>
    <row r="295" spans="1:15" x14ac:dyDescent="0.25">
      <c r="A295" t="s">
        <v>3160</v>
      </c>
      <c r="B295" t="s">
        <v>3161</v>
      </c>
      <c r="C295" t="s">
        <v>468</v>
      </c>
      <c r="D295" t="s">
        <v>3089</v>
      </c>
      <c r="E295" t="s">
        <v>192</v>
      </c>
      <c r="F295" s="28">
        <v>1</v>
      </c>
      <c r="G295" t="s">
        <v>193</v>
      </c>
      <c r="H295" t="s">
        <v>194</v>
      </c>
      <c r="I295" t="s">
        <v>3131</v>
      </c>
      <c r="J295" t="s">
        <v>210</v>
      </c>
      <c r="K295">
        <v>18</v>
      </c>
      <c r="L295" s="28">
        <v>243303</v>
      </c>
      <c r="M295" s="28" t="str">
        <f t="shared" si="4"/>
        <v>243303</v>
      </c>
      <c r="N295"/>
      <c r="O295"/>
    </row>
    <row r="296" spans="1:15" x14ac:dyDescent="0.25">
      <c r="A296" t="s">
        <v>1040</v>
      </c>
      <c r="B296" t="s">
        <v>209</v>
      </c>
      <c r="C296" t="s">
        <v>35</v>
      </c>
      <c r="D296" t="s">
        <v>2790</v>
      </c>
      <c r="E296" t="s">
        <v>233</v>
      </c>
      <c r="F296" s="28">
        <v>1</v>
      </c>
      <c r="G296" t="s">
        <v>193</v>
      </c>
      <c r="H296" t="s">
        <v>194</v>
      </c>
      <c r="I296" t="s">
        <v>2749</v>
      </c>
      <c r="J296" t="s">
        <v>210</v>
      </c>
      <c r="K296">
        <v>18</v>
      </c>
      <c r="L296" s="28">
        <v>122106</v>
      </c>
      <c r="M296" s="28" t="str">
        <f t="shared" si="4"/>
        <v>122106</v>
      </c>
      <c r="N296"/>
      <c r="O296"/>
    </row>
    <row r="297" spans="1:15" x14ac:dyDescent="0.25">
      <c r="A297" t="s">
        <v>321</v>
      </c>
      <c r="B297" t="s">
        <v>3254</v>
      </c>
      <c r="C297" t="s">
        <v>35</v>
      </c>
      <c r="D297" t="s">
        <v>3252</v>
      </c>
      <c r="E297" t="s">
        <v>192</v>
      </c>
      <c r="F297" s="28">
        <v>1</v>
      </c>
      <c r="G297" t="s">
        <v>193</v>
      </c>
      <c r="H297" t="s">
        <v>194</v>
      </c>
      <c r="I297" t="s">
        <v>3131</v>
      </c>
      <c r="J297" t="s">
        <v>323</v>
      </c>
      <c r="K297">
        <v>18</v>
      </c>
      <c r="L297" s="28">
        <v>122106</v>
      </c>
      <c r="M297" s="28" t="str">
        <f t="shared" si="4"/>
        <v>122106</v>
      </c>
      <c r="N297"/>
      <c r="O297"/>
    </row>
    <row r="298" spans="1:15" x14ac:dyDescent="0.25">
      <c r="A298" t="s">
        <v>3280</v>
      </c>
      <c r="B298" t="s">
        <v>3281</v>
      </c>
      <c r="C298" t="s">
        <v>35</v>
      </c>
      <c r="D298" t="s">
        <v>3252</v>
      </c>
      <c r="E298" t="s">
        <v>192</v>
      </c>
      <c r="F298" s="28">
        <v>1</v>
      </c>
      <c r="G298" t="s">
        <v>193</v>
      </c>
      <c r="H298" t="s">
        <v>194</v>
      </c>
      <c r="I298" t="s">
        <v>2774</v>
      </c>
      <c r="J298" t="s">
        <v>210</v>
      </c>
      <c r="K298">
        <v>18</v>
      </c>
      <c r="L298" s="28">
        <v>122106</v>
      </c>
      <c r="M298" s="28" t="str">
        <f t="shared" si="4"/>
        <v>122106</v>
      </c>
      <c r="N298"/>
      <c r="O298"/>
    </row>
    <row r="299" spans="1:15" x14ac:dyDescent="0.25">
      <c r="A299" t="s">
        <v>3011</v>
      </c>
      <c r="B299" t="s">
        <v>99</v>
      </c>
      <c r="C299" t="s">
        <v>99</v>
      </c>
      <c r="D299" t="s">
        <v>2989</v>
      </c>
      <c r="E299" t="s">
        <v>192</v>
      </c>
      <c r="F299" s="28">
        <v>1</v>
      </c>
      <c r="G299" t="s">
        <v>193</v>
      </c>
      <c r="H299" t="s">
        <v>194</v>
      </c>
      <c r="I299" t="s">
        <v>2990</v>
      </c>
      <c r="J299" t="s">
        <v>210</v>
      </c>
      <c r="K299">
        <v>18</v>
      </c>
      <c r="L299" s="28">
        <v>412001</v>
      </c>
      <c r="M299" s="28" t="str">
        <f t="shared" si="4"/>
        <v>412001</v>
      </c>
      <c r="N299"/>
      <c r="O299"/>
    </row>
    <row r="300" spans="1:15" x14ac:dyDescent="0.25">
      <c r="A300" t="s">
        <v>3065</v>
      </c>
      <c r="B300" t="s">
        <v>3066</v>
      </c>
      <c r="C300" t="s">
        <v>3066</v>
      </c>
      <c r="D300" t="s">
        <v>2989</v>
      </c>
      <c r="E300" t="s">
        <v>192</v>
      </c>
      <c r="F300" s="28">
        <v>1</v>
      </c>
      <c r="G300" t="s">
        <v>193</v>
      </c>
      <c r="H300" t="s">
        <v>194</v>
      </c>
      <c r="I300" t="s">
        <v>2990</v>
      </c>
      <c r="J300" t="s">
        <v>196</v>
      </c>
      <c r="K300">
        <v>18</v>
      </c>
      <c r="L300" s="28">
        <v>311907</v>
      </c>
      <c r="M300" s="28" t="str">
        <f t="shared" si="4"/>
        <v>311907</v>
      </c>
      <c r="N300"/>
      <c r="O300"/>
    </row>
    <row r="301" spans="1:15" x14ac:dyDescent="0.25">
      <c r="A301" t="s">
        <v>1340</v>
      </c>
      <c r="B301" t="s">
        <v>83</v>
      </c>
      <c r="C301" t="s">
        <v>83</v>
      </c>
      <c r="D301" t="s">
        <v>2982</v>
      </c>
      <c r="E301" t="s">
        <v>192</v>
      </c>
      <c r="F301" s="28">
        <v>1</v>
      </c>
      <c r="G301" t="s">
        <v>193</v>
      </c>
      <c r="H301" t="s">
        <v>194</v>
      </c>
      <c r="I301" t="s">
        <v>2971</v>
      </c>
      <c r="J301" t="s">
        <v>210</v>
      </c>
      <c r="K301">
        <v>18</v>
      </c>
      <c r="L301" s="28">
        <v>721204</v>
      </c>
      <c r="M301" s="28" t="str">
        <f t="shared" si="4"/>
        <v>721204</v>
      </c>
      <c r="N301"/>
      <c r="O301"/>
    </row>
    <row r="302" spans="1:15" x14ac:dyDescent="0.25">
      <c r="A302" t="s">
        <v>2801</v>
      </c>
      <c r="B302" t="s">
        <v>1396</v>
      </c>
      <c r="C302" t="s">
        <v>9</v>
      </c>
      <c r="D302" t="s">
        <v>2790</v>
      </c>
      <c r="E302" t="s">
        <v>233</v>
      </c>
      <c r="F302" s="28">
        <v>1</v>
      </c>
      <c r="G302" t="s">
        <v>193</v>
      </c>
      <c r="H302" t="s">
        <v>194</v>
      </c>
      <c r="I302" t="s">
        <v>2749</v>
      </c>
      <c r="J302" t="s">
        <v>962</v>
      </c>
      <c r="K302">
        <v>18</v>
      </c>
      <c r="L302" s="28">
        <v>241304</v>
      </c>
      <c r="M302" s="28" t="str">
        <f t="shared" si="4"/>
        <v>241304</v>
      </c>
      <c r="N302"/>
      <c r="O302"/>
    </row>
    <row r="303" spans="1:15" x14ac:dyDescent="0.25">
      <c r="A303" t="s">
        <v>2801</v>
      </c>
      <c r="B303" t="s">
        <v>1396</v>
      </c>
      <c r="C303" t="s">
        <v>9</v>
      </c>
      <c r="D303" t="s">
        <v>2790</v>
      </c>
      <c r="E303" t="s">
        <v>233</v>
      </c>
      <c r="F303" s="28">
        <v>1</v>
      </c>
      <c r="G303" t="s">
        <v>193</v>
      </c>
      <c r="H303" t="s">
        <v>194</v>
      </c>
      <c r="I303" t="s">
        <v>2749</v>
      </c>
      <c r="J303" t="s">
        <v>2802</v>
      </c>
      <c r="K303">
        <v>18</v>
      </c>
      <c r="L303" s="28">
        <v>241304</v>
      </c>
      <c r="M303" s="28" t="str">
        <f t="shared" si="4"/>
        <v>241304</v>
      </c>
      <c r="N303"/>
      <c r="O303"/>
    </row>
    <row r="304" spans="1:15" x14ac:dyDescent="0.25">
      <c r="A304" t="s">
        <v>2437</v>
      </c>
      <c r="B304" t="s">
        <v>2438</v>
      </c>
      <c r="C304" t="s">
        <v>9</v>
      </c>
      <c r="D304" t="s">
        <v>2790</v>
      </c>
      <c r="E304" t="s">
        <v>192</v>
      </c>
      <c r="F304" s="28">
        <v>1</v>
      </c>
      <c r="G304" t="s">
        <v>193</v>
      </c>
      <c r="H304" t="s">
        <v>194</v>
      </c>
      <c r="I304" t="s">
        <v>2749</v>
      </c>
      <c r="J304" t="s">
        <v>408</v>
      </c>
      <c r="K304">
        <v>18</v>
      </c>
      <c r="L304" s="28">
        <v>241304</v>
      </c>
      <c r="M304" s="28" t="str">
        <f t="shared" si="4"/>
        <v>241304</v>
      </c>
      <c r="N304"/>
      <c r="O304"/>
    </row>
    <row r="305" spans="1:15" x14ac:dyDescent="0.25">
      <c r="A305" t="s">
        <v>1825</v>
      </c>
      <c r="B305" t="s">
        <v>2869</v>
      </c>
      <c r="C305" t="s">
        <v>9</v>
      </c>
      <c r="D305" t="s">
        <v>2790</v>
      </c>
      <c r="E305" t="s">
        <v>192</v>
      </c>
      <c r="F305" s="28">
        <v>1</v>
      </c>
      <c r="G305" t="s">
        <v>193</v>
      </c>
      <c r="H305" t="s">
        <v>194</v>
      </c>
      <c r="I305" t="s">
        <v>2749</v>
      </c>
      <c r="J305" t="s">
        <v>316</v>
      </c>
      <c r="K305">
        <v>18</v>
      </c>
      <c r="L305" s="28">
        <v>241304</v>
      </c>
      <c r="M305" s="28" t="str">
        <f t="shared" si="4"/>
        <v>241304</v>
      </c>
      <c r="N305"/>
      <c r="O305"/>
    </row>
    <row r="306" spans="1:15" x14ac:dyDescent="0.25">
      <c r="A306" t="s">
        <v>2896</v>
      </c>
      <c r="B306" t="s">
        <v>404</v>
      </c>
      <c r="C306" t="s">
        <v>9</v>
      </c>
      <c r="D306" t="s">
        <v>2891</v>
      </c>
      <c r="E306" t="s">
        <v>192</v>
      </c>
      <c r="F306" s="28">
        <v>1</v>
      </c>
      <c r="G306" t="s">
        <v>193</v>
      </c>
      <c r="H306" t="s">
        <v>194</v>
      </c>
      <c r="I306" t="s">
        <v>2880</v>
      </c>
      <c r="J306" t="s">
        <v>408</v>
      </c>
      <c r="K306">
        <v>18</v>
      </c>
      <c r="L306" s="28">
        <v>241304</v>
      </c>
      <c r="M306" s="28" t="str">
        <f t="shared" si="4"/>
        <v>241304</v>
      </c>
      <c r="N306"/>
      <c r="O306"/>
    </row>
    <row r="307" spans="1:15" x14ac:dyDescent="0.25">
      <c r="A307" t="s">
        <v>2435</v>
      </c>
      <c r="B307" t="s">
        <v>404</v>
      </c>
      <c r="C307" t="s">
        <v>9</v>
      </c>
      <c r="D307" t="s">
        <v>2891</v>
      </c>
      <c r="E307" t="s">
        <v>192</v>
      </c>
      <c r="F307" s="28">
        <v>1</v>
      </c>
      <c r="G307" t="s">
        <v>193</v>
      </c>
      <c r="H307" t="s">
        <v>194</v>
      </c>
      <c r="I307" t="s">
        <v>2880</v>
      </c>
      <c r="J307" t="s">
        <v>276</v>
      </c>
      <c r="K307">
        <v>18</v>
      </c>
      <c r="L307" s="28">
        <v>241304</v>
      </c>
      <c r="M307" s="28" t="str">
        <f t="shared" si="4"/>
        <v>241304</v>
      </c>
      <c r="N307"/>
      <c r="O307"/>
    </row>
    <row r="308" spans="1:15" x14ac:dyDescent="0.25">
      <c r="A308" t="s">
        <v>2437</v>
      </c>
      <c r="B308" t="s">
        <v>1058</v>
      </c>
      <c r="C308" t="s">
        <v>9</v>
      </c>
      <c r="D308" t="s">
        <v>2891</v>
      </c>
      <c r="E308" t="s">
        <v>192</v>
      </c>
      <c r="F308" s="28">
        <v>1</v>
      </c>
      <c r="G308" t="s">
        <v>193</v>
      </c>
      <c r="H308" t="s">
        <v>194</v>
      </c>
      <c r="I308" t="s">
        <v>2790</v>
      </c>
      <c r="J308" t="s">
        <v>367</v>
      </c>
      <c r="K308">
        <v>18</v>
      </c>
      <c r="L308" s="28">
        <v>241304</v>
      </c>
      <c r="M308" s="28" t="str">
        <f t="shared" si="4"/>
        <v>241304</v>
      </c>
      <c r="N308"/>
      <c r="O308"/>
    </row>
    <row r="309" spans="1:15" x14ac:dyDescent="0.25">
      <c r="A309" t="s">
        <v>1211</v>
      </c>
      <c r="B309" t="s">
        <v>2981</v>
      </c>
      <c r="C309" t="s">
        <v>9</v>
      </c>
      <c r="D309" t="s">
        <v>2982</v>
      </c>
      <c r="E309" t="s">
        <v>192</v>
      </c>
      <c r="F309" s="28">
        <v>1</v>
      </c>
      <c r="G309" t="s">
        <v>193</v>
      </c>
      <c r="H309" t="s">
        <v>194</v>
      </c>
      <c r="I309" t="s">
        <v>2971</v>
      </c>
      <c r="J309" t="s">
        <v>210</v>
      </c>
      <c r="K309">
        <v>18</v>
      </c>
      <c r="L309" s="28">
        <v>241304</v>
      </c>
      <c r="M309" s="28" t="str">
        <f t="shared" si="4"/>
        <v>241304</v>
      </c>
      <c r="N309"/>
      <c r="O309"/>
    </row>
    <row r="310" spans="1:15" x14ac:dyDescent="0.25">
      <c r="A310" t="s">
        <v>2904</v>
      </c>
      <c r="B310" t="s">
        <v>2905</v>
      </c>
      <c r="C310" t="s">
        <v>9</v>
      </c>
      <c r="D310" t="s">
        <v>2982</v>
      </c>
      <c r="E310" t="s">
        <v>217</v>
      </c>
      <c r="F310" s="28">
        <v>1</v>
      </c>
      <c r="G310" t="s">
        <v>193</v>
      </c>
      <c r="H310" t="s">
        <v>194</v>
      </c>
      <c r="I310" t="s">
        <v>2971</v>
      </c>
      <c r="J310" t="s">
        <v>210</v>
      </c>
      <c r="K310">
        <v>18</v>
      </c>
      <c r="L310" s="28">
        <v>241304</v>
      </c>
      <c r="M310" s="28" t="str">
        <f t="shared" si="4"/>
        <v>241304</v>
      </c>
      <c r="N310"/>
      <c r="O310"/>
    </row>
    <row r="311" spans="1:15" x14ac:dyDescent="0.25">
      <c r="A311" t="s">
        <v>919</v>
      </c>
      <c r="B311" t="s">
        <v>404</v>
      </c>
      <c r="C311" t="s">
        <v>9</v>
      </c>
      <c r="D311" t="s">
        <v>2989</v>
      </c>
      <c r="E311" t="s">
        <v>192</v>
      </c>
      <c r="F311" s="28">
        <v>1</v>
      </c>
      <c r="G311" t="s">
        <v>193</v>
      </c>
      <c r="H311" t="s">
        <v>194</v>
      </c>
      <c r="I311" t="s">
        <v>2971</v>
      </c>
      <c r="J311" t="s">
        <v>385</v>
      </c>
      <c r="K311">
        <v>18</v>
      </c>
      <c r="L311" s="28">
        <v>241304</v>
      </c>
      <c r="M311" s="28" t="str">
        <f t="shared" si="4"/>
        <v>241304</v>
      </c>
      <c r="N311"/>
      <c r="O311"/>
    </row>
    <row r="312" spans="1:15" x14ac:dyDescent="0.25">
      <c r="A312" t="s">
        <v>2445</v>
      </c>
      <c r="B312" t="s">
        <v>2446</v>
      </c>
      <c r="C312" t="s">
        <v>9</v>
      </c>
      <c r="D312" t="s">
        <v>2989</v>
      </c>
      <c r="E312" t="s">
        <v>192</v>
      </c>
      <c r="F312" s="28">
        <v>1</v>
      </c>
      <c r="G312" t="s">
        <v>193</v>
      </c>
      <c r="H312" t="s">
        <v>194</v>
      </c>
      <c r="I312" t="s">
        <v>2971</v>
      </c>
      <c r="J312" t="s">
        <v>210</v>
      </c>
      <c r="K312">
        <v>18</v>
      </c>
      <c r="L312" s="28">
        <v>241304</v>
      </c>
      <c r="M312" s="28" t="str">
        <f t="shared" si="4"/>
        <v>241304</v>
      </c>
      <c r="N312"/>
      <c r="O312"/>
    </row>
    <row r="313" spans="1:15" x14ac:dyDescent="0.25">
      <c r="A313" t="s">
        <v>411</v>
      </c>
      <c r="B313" t="s">
        <v>3033</v>
      </c>
      <c r="C313" t="s">
        <v>9</v>
      </c>
      <c r="D313" t="s">
        <v>2989</v>
      </c>
      <c r="E313" t="s">
        <v>192</v>
      </c>
      <c r="F313" s="28">
        <v>1</v>
      </c>
      <c r="G313" t="s">
        <v>193</v>
      </c>
      <c r="H313" t="s">
        <v>194</v>
      </c>
      <c r="I313" t="s">
        <v>2774</v>
      </c>
      <c r="J313" t="s">
        <v>267</v>
      </c>
      <c r="K313">
        <v>18</v>
      </c>
      <c r="L313" s="28">
        <v>241304</v>
      </c>
      <c r="M313" s="28" t="str">
        <f t="shared" si="4"/>
        <v>241304</v>
      </c>
      <c r="N313"/>
      <c r="O313"/>
    </row>
    <row r="314" spans="1:15" x14ac:dyDescent="0.25">
      <c r="A314" t="s">
        <v>411</v>
      </c>
      <c r="B314" t="s">
        <v>948</v>
      </c>
      <c r="C314" t="s">
        <v>9</v>
      </c>
      <c r="D314" t="s">
        <v>2989</v>
      </c>
      <c r="E314" t="s">
        <v>192</v>
      </c>
      <c r="F314" s="28">
        <v>1</v>
      </c>
      <c r="G314" t="s">
        <v>193</v>
      </c>
      <c r="H314" t="s">
        <v>194</v>
      </c>
      <c r="I314" t="s">
        <v>2774</v>
      </c>
      <c r="J314" t="s">
        <v>276</v>
      </c>
      <c r="K314">
        <v>18</v>
      </c>
      <c r="L314" s="28">
        <v>241304</v>
      </c>
      <c r="M314" s="28" t="str">
        <f t="shared" si="4"/>
        <v>241304</v>
      </c>
      <c r="N314"/>
      <c r="O314"/>
    </row>
    <row r="315" spans="1:15" x14ac:dyDescent="0.25">
      <c r="A315" t="s">
        <v>3034</v>
      </c>
      <c r="B315" t="s">
        <v>3035</v>
      </c>
      <c r="C315" t="s">
        <v>9</v>
      </c>
      <c r="D315" t="s">
        <v>2989</v>
      </c>
      <c r="E315" t="s">
        <v>192</v>
      </c>
      <c r="F315" s="28">
        <v>1</v>
      </c>
      <c r="G315" t="s">
        <v>193</v>
      </c>
      <c r="H315" t="s">
        <v>194</v>
      </c>
      <c r="I315" t="s">
        <v>2774</v>
      </c>
      <c r="J315" t="s">
        <v>301</v>
      </c>
      <c r="K315">
        <v>18</v>
      </c>
      <c r="L315" s="28">
        <v>241304</v>
      </c>
      <c r="M315" s="28" t="str">
        <f t="shared" si="4"/>
        <v>241304</v>
      </c>
      <c r="N315"/>
      <c r="O315"/>
    </row>
    <row r="316" spans="1:15" x14ac:dyDescent="0.25">
      <c r="A316" t="s">
        <v>3067</v>
      </c>
      <c r="B316" t="s">
        <v>404</v>
      </c>
      <c r="C316" t="s">
        <v>9</v>
      </c>
      <c r="D316" t="s">
        <v>2989</v>
      </c>
      <c r="E316" t="s">
        <v>192</v>
      </c>
      <c r="F316" s="28">
        <v>1</v>
      </c>
      <c r="G316" t="s">
        <v>193</v>
      </c>
      <c r="H316" t="s">
        <v>194</v>
      </c>
      <c r="I316" t="s">
        <v>2774</v>
      </c>
      <c r="J316" t="s">
        <v>276</v>
      </c>
      <c r="K316">
        <v>18</v>
      </c>
      <c r="L316" s="28">
        <v>241304</v>
      </c>
      <c r="M316" s="28" t="str">
        <f t="shared" si="4"/>
        <v>241304</v>
      </c>
      <c r="N316"/>
      <c r="O316"/>
    </row>
    <row r="317" spans="1:15" x14ac:dyDescent="0.25">
      <c r="A317" t="s">
        <v>1211</v>
      </c>
      <c r="B317" t="s">
        <v>3091</v>
      </c>
      <c r="C317" t="s">
        <v>9</v>
      </c>
      <c r="D317" t="s">
        <v>3089</v>
      </c>
      <c r="E317" t="s">
        <v>192</v>
      </c>
      <c r="F317" s="28">
        <v>1</v>
      </c>
      <c r="G317" t="s">
        <v>193</v>
      </c>
      <c r="H317" t="s">
        <v>194</v>
      </c>
      <c r="I317" t="s">
        <v>3081</v>
      </c>
      <c r="J317" t="s">
        <v>316</v>
      </c>
      <c r="K317">
        <v>18</v>
      </c>
      <c r="L317" s="28">
        <v>241304</v>
      </c>
      <c r="M317" s="28" t="str">
        <f t="shared" si="4"/>
        <v>241304</v>
      </c>
      <c r="N317"/>
      <c r="O317"/>
    </row>
    <row r="318" spans="1:15" x14ac:dyDescent="0.25">
      <c r="A318" t="s">
        <v>3110</v>
      </c>
      <c r="B318" t="s">
        <v>3111</v>
      </c>
      <c r="C318" t="s">
        <v>9</v>
      </c>
      <c r="D318" t="s">
        <v>3089</v>
      </c>
      <c r="E318" t="s">
        <v>192</v>
      </c>
      <c r="F318" s="28">
        <v>1</v>
      </c>
      <c r="G318" t="s">
        <v>193</v>
      </c>
      <c r="H318" t="s">
        <v>194</v>
      </c>
      <c r="I318" t="s">
        <v>3081</v>
      </c>
      <c r="J318" t="s">
        <v>210</v>
      </c>
      <c r="K318">
        <v>18</v>
      </c>
      <c r="L318" s="28">
        <v>241304</v>
      </c>
      <c r="M318" s="28" t="str">
        <f t="shared" si="4"/>
        <v>241304</v>
      </c>
      <c r="N318"/>
      <c r="O318"/>
    </row>
    <row r="319" spans="1:15" x14ac:dyDescent="0.25">
      <c r="A319" t="s">
        <v>1675</v>
      </c>
      <c r="B319" t="s">
        <v>418</v>
      </c>
      <c r="C319" t="s">
        <v>9</v>
      </c>
      <c r="D319" t="s">
        <v>3089</v>
      </c>
      <c r="E319" t="s">
        <v>192</v>
      </c>
      <c r="F319" s="28">
        <v>1</v>
      </c>
      <c r="G319" t="s">
        <v>193</v>
      </c>
      <c r="H319" t="s">
        <v>194</v>
      </c>
      <c r="I319" t="s">
        <v>3131</v>
      </c>
      <c r="J319" t="s">
        <v>210</v>
      </c>
      <c r="K319">
        <v>18</v>
      </c>
      <c r="L319" s="28">
        <v>241304</v>
      </c>
      <c r="M319" s="28" t="str">
        <f t="shared" si="4"/>
        <v>241304</v>
      </c>
      <c r="N319"/>
      <c r="O319"/>
    </row>
    <row r="320" spans="1:15" x14ac:dyDescent="0.25">
      <c r="A320" t="s">
        <v>2451</v>
      </c>
      <c r="B320" t="s">
        <v>410</v>
      </c>
      <c r="C320" t="s">
        <v>9</v>
      </c>
      <c r="D320" t="s">
        <v>3089</v>
      </c>
      <c r="E320" t="s">
        <v>192</v>
      </c>
      <c r="F320" s="28">
        <v>1</v>
      </c>
      <c r="G320" t="s">
        <v>193</v>
      </c>
      <c r="H320" t="s">
        <v>194</v>
      </c>
      <c r="I320" t="s">
        <v>3131</v>
      </c>
      <c r="J320" t="s">
        <v>210</v>
      </c>
      <c r="K320">
        <v>18</v>
      </c>
      <c r="L320" s="28">
        <v>241304</v>
      </c>
      <c r="M320" s="28" t="str">
        <f t="shared" si="4"/>
        <v>241304</v>
      </c>
      <c r="N320"/>
      <c r="O320"/>
    </row>
    <row r="321" spans="1:15" x14ac:dyDescent="0.25">
      <c r="A321" t="s">
        <v>417</v>
      </c>
      <c r="B321" t="s">
        <v>3147</v>
      </c>
      <c r="C321" t="s">
        <v>9</v>
      </c>
      <c r="D321" t="s">
        <v>3089</v>
      </c>
      <c r="E321" t="s">
        <v>233</v>
      </c>
      <c r="F321" s="28">
        <v>1</v>
      </c>
      <c r="G321" t="s">
        <v>193</v>
      </c>
      <c r="H321" t="s">
        <v>194</v>
      </c>
      <c r="I321" t="s">
        <v>2749</v>
      </c>
      <c r="J321" t="s">
        <v>210</v>
      </c>
      <c r="K321">
        <v>18</v>
      </c>
      <c r="L321" s="28">
        <v>241304</v>
      </c>
      <c r="M321" s="28" t="str">
        <f t="shared" si="4"/>
        <v>241304</v>
      </c>
      <c r="N321"/>
      <c r="O321"/>
    </row>
    <row r="322" spans="1:15" x14ac:dyDescent="0.25">
      <c r="A322" t="s">
        <v>1825</v>
      </c>
      <c r="B322" t="s">
        <v>3156</v>
      </c>
      <c r="C322" t="s">
        <v>9</v>
      </c>
      <c r="D322" t="s">
        <v>3089</v>
      </c>
      <c r="E322" t="s">
        <v>192</v>
      </c>
      <c r="F322" s="28">
        <v>1</v>
      </c>
      <c r="G322" t="s">
        <v>193</v>
      </c>
      <c r="H322" t="s">
        <v>194</v>
      </c>
      <c r="I322" t="s">
        <v>3131</v>
      </c>
      <c r="J322" t="s">
        <v>210</v>
      </c>
      <c r="K322">
        <v>18</v>
      </c>
      <c r="L322" s="28">
        <v>241304</v>
      </c>
      <c r="M322" s="28" t="str">
        <f t="shared" si="4"/>
        <v>241304</v>
      </c>
      <c r="N322"/>
      <c r="O322"/>
    </row>
    <row r="323" spans="1:15" x14ac:dyDescent="0.25">
      <c r="A323" t="s">
        <v>919</v>
      </c>
      <c r="B323" t="s">
        <v>2692</v>
      </c>
      <c r="C323" t="s">
        <v>9</v>
      </c>
      <c r="D323" t="s">
        <v>3167</v>
      </c>
      <c r="E323" t="s">
        <v>192</v>
      </c>
      <c r="F323" s="28">
        <v>1</v>
      </c>
      <c r="G323" t="s">
        <v>193</v>
      </c>
      <c r="H323" t="s">
        <v>194</v>
      </c>
      <c r="I323" t="s">
        <v>3131</v>
      </c>
      <c r="J323" t="s">
        <v>210</v>
      </c>
      <c r="K323">
        <v>18</v>
      </c>
      <c r="L323" s="28">
        <v>241304</v>
      </c>
      <c r="M323" s="28" t="str">
        <f t="shared" ref="M323:M386" si="5">MID(L323,1,6)</f>
        <v>241304</v>
      </c>
      <c r="N323"/>
      <c r="O323"/>
    </row>
    <row r="324" spans="1:15" x14ac:dyDescent="0.25">
      <c r="A324" t="s">
        <v>919</v>
      </c>
      <c r="B324" t="s">
        <v>2792</v>
      </c>
      <c r="C324" t="s">
        <v>9</v>
      </c>
      <c r="D324" t="s">
        <v>3167</v>
      </c>
      <c r="E324" t="s">
        <v>192</v>
      </c>
      <c r="F324" s="28">
        <v>1</v>
      </c>
      <c r="G324" t="s">
        <v>193</v>
      </c>
      <c r="H324" t="s">
        <v>194</v>
      </c>
      <c r="I324" t="s">
        <v>3131</v>
      </c>
      <c r="J324" t="s">
        <v>210</v>
      </c>
      <c r="K324">
        <v>18</v>
      </c>
      <c r="L324" s="28">
        <v>241304</v>
      </c>
      <c r="M324" s="28" t="str">
        <f t="shared" si="5"/>
        <v>241304</v>
      </c>
      <c r="N324"/>
      <c r="O324"/>
    </row>
    <row r="325" spans="1:15" x14ac:dyDescent="0.25">
      <c r="A325" t="s">
        <v>1207</v>
      </c>
      <c r="B325" t="s">
        <v>1058</v>
      </c>
      <c r="C325" t="s">
        <v>9</v>
      </c>
      <c r="D325" t="s">
        <v>3167</v>
      </c>
      <c r="E325" t="s">
        <v>192</v>
      </c>
      <c r="F325" s="28">
        <v>1</v>
      </c>
      <c r="G325" t="s">
        <v>193</v>
      </c>
      <c r="H325" t="s">
        <v>194</v>
      </c>
      <c r="I325" t="s">
        <v>3131</v>
      </c>
      <c r="J325" t="s">
        <v>210</v>
      </c>
      <c r="K325">
        <v>18</v>
      </c>
      <c r="L325" s="28">
        <v>241304</v>
      </c>
      <c r="M325" s="28" t="str">
        <f t="shared" si="5"/>
        <v>241304</v>
      </c>
      <c r="N325"/>
      <c r="O325"/>
    </row>
    <row r="326" spans="1:15" x14ac:dyDescent="0.25">
      <c r="A326" t="s">
        <v>413</v>
      </c>
      <c r="B326" t="s">
        <v>3205</v>
      </c>
      <c r="C326" t="s">
        <v>9</v>
      </c>
      <c r="D326" t="s">
        <v>3167</v>
      </c>
      <c r="E326" t="s">
        <v>192</v>
      </c>
      <c r="F326" s="28">
        <v>1</v>
      </c>
      <c r="G326" t="s">
        <v>193</v>
      </c>
      <c r="H326" t="s">
        <v>194</v>
      </c>
      <c r="I326" t="s">
        <v>3131</v>
      </c>
      <c r="J326" t="s">
        <v>210</v>
      </c>
      <c r="K326">
        <v>18</v>
      </c>
      <c r="L326" s="28">
        <v>241304</v>
      </c>
      <c r="M326" s="28" t="str">
        <f t="shared" si="5"/>
        <v>241304</v>
      </c>
      <c r="N326"/>
      <c r="O326"/>
    </row>
    <row r="327" spans="1:15" x14ac:dyDescent="0.25">
      <c r="A327" t="s">
        <v>413</v>
      </c>
      <c r="B327" t="s">
        <v>3206</v>
      </c>
      <c r="C327" t="s">
        <v>9</v>
      </c>
      <c r="D327" t="s">
        <v>3167</v>
      </c>
      <c r="E327" t="s">
        <v>192</v>
      </c>
      <c r="F327" s="28">
        <v>1</v>
      </c>
      <c r="G327" t="s">
        <v>193</v>
      </c>
      <c r="H327" t="s">
        <v>194</v>
      </c>
      <c r="I327" t="s">
        <v>3131</v>
      </c>
      <c r="J327" t="s">
        <v>276</v>
      </c>
      <c r="K327">
        <v>18</v>
      </c>
      <c r="L327" s="28">
        <v>241304</v>
      </c>
      <c r="M327" s="28" t="str">
        <f t="shared" si="5"/>
        <v>241304</v>
      </c>
      <c r="N327"/>
      <c r="O327"/>
    </row>
    <row r="328" spans="1:15" x14ac:dyDescent="0.25">
      <c r="A328" t="s">
        <v>413</v>
      </c>
      <c r="B328" t="s">
        <v>414</v>
      </c>
      <c r="C328" t="s">
        <v>9</v>
      </c>
      <c r="D328" t="s">
        <v>3167</v>
      </c>
      <c r="E328" t="s">
        <v>192</v>
      </c>
      <c r="F328" s="28">
        <v>1</v>
      </c>
      <c r="G328" t="s">
        <v>193</v>
      </c>
      <c r="H328" t="s">
        <v>194</v>
      </c>
      <c r="I328" t="s">
        <v>3131</v>
      </c>
      <c r="J328" t="s">
        <v>276</v>
      </c>
      <c r="K328">
        <v>18</v>
      </c>
      <c r="L328" s="28">
        <v>241304</v>
      </c>
      <c r="M328" s="28" t="str">
        <f t="shared" si="5"/>
        <v>241304</v>
      </c>
      <c r="N328"/>
      <c r="O328"/>
    </row>
    <row r="329" spans="1:15" x14ac:dyDescent="0.25">
      <c r="A329" t="s">
        <v>1211</v>
      </c>
      <c r="B329" t="s">
        <v>3261</v>
      </c>
      <c r="C329" t="s">
        <v>9</v>
      </c>
      <c r="D329" t="s">
        <v>3252</v>
      </c>
      <c r="E329" t="s">
        <v>192</v>
      </c>
      <c r="F329" s="28">
        <v>1</v>
      </c>
      <c r="G329" t="s">
        <v>193</v>
      </c>
      <c r="H329" t="s">
        <v>194</v>
      </c>
      <c r="I329" t="s">
        <v>3131</v>
      </c>
      <c r="J329" t="s">
        <v>210</v>
      </c>
      <c r="K329">
        <v>18</v>
      </c>
      <c r="L329" s="28">
        <v>241304</v>
      </c>
      <c r="M329" s="28" t="str">
        <f t="shared" si="5"/>
        <v>241304</v>
      </c>
      <c r="N329"/>
      <c r="O329"/>
    </row>
    <row r="330" spans="1:15" x14ac:dyDescent="0.25">
      <c r="A330" t="s">
        <v>2755</v>
      </c>
      <c r="B330" t="s">
        <v>2756</v>
      </c>
      <c r="C330" t="s">
        <v>27</v>
      </c>
      <c r="D330" t="s">
        <v>2749</v>
      </c>
      <c r="E330" t="s">
        <v>192</v>
      </c>
      <c r="F330" s="28">
        <v>1</v>
      </c>
      <c r="G330" t="s">
        <v>193</v>
      </c>
      <c r="H330" t="s">
        <v>194</v>
      </c>
      <c r="I330" t="s">
        <v>2750</v>
      </c>
      <c r="J330" t="s">
        <v>210</v>
      </c>
      <c r="K330">
        <v>18</v>
      </c>
      <c r="L330" s="28">
        <v>242307</v>
      </c>
      <c r="M330" s="28" t="str">
        <f t="shared" si="5"/>
        <v>242307</v>
      </c>
      <c r="N330"/>
      <c r="O330"/>
    </row>
    <row r="331" spans="1:15" x14ac:dyDescent="0.25">
      <c r="A331" t="s">
        <v>1061</v>
      </c>
      <c r="B331" t="s">
        <v>2866</v>
      </c>
      <c r="C331" t="s">
        <v>27</v>
      </c>
      <c r="D331" t="s">
        <v>2790</v>
      </c>
      <c r="E331" t="s">
        <v>192</v>
      </c>
      <c r="F331" s="28">
        <v>1</v>
      </c>
      <c r="G331" t="s">
        <v>193</v>
      </c>
      <c r="H331" t="s">
        <v>194</v>
      </c>
      <c r="I331" t="s">
        <v>2749</v>
      </c>
      <c r="J331" t="s">
        <v>210</v>
      </c>
      <c r="K331">
        <v>18</v>
      </c>
      <c r="L331" s="28">
        <v>242307</v>
      </c>
      <c r="M331" s="28" t="str">
        <f t="shared" si="5"/>
        <v>242307</v>
      </c>
      <c r="N331"/>
      <c r="O331"/>
    </row>
    <row r="332" spans="1:15" x14ac:dyDescent="0.25">
      <c r="A332" t="s">
        <v>2977</v>
      </c>
      <c r="B332" t="s">
        <v>2978</v>
      </c>
      <c r="C332" t="s">
        <v>27</v>
      </c>
      <c r="D332" t="s">
        <v>2891</v>
      </c>
      <c r="E332" t="s">
        <v>192</v>
      </c>
      <c r="F332" s="28">
        <v>1</v>
      </c>
      <c r="G332" t="s">
        <v>193</v>
      </c>
      <c r="H332" t="s">
        <v>194</v>
      </c>
      <c r="I332" t="s">
        <v>2971</v>
      </c>
      <c r="J332" t="s">
        <v>210</v>
      </c>
      <c r="K332">
        <v>18</v>
      </c>
      <c r="L332" s="28">
        <v>242307</v>
      </c>
      <c r="M332" s="28" t="str">
        <f t="shared" si="5"/>
        <v>242307</v>
      </c>
      <c r="N332"/>
      <c r="O332"/>
    </row>
    <row r="333" spans="1:15" x14ac:dyDescent="0.25">
      <c r="A333" t="s">
        <v>1537</v>
      </c>
      <c r="B333" t="s">
        <v>2988</v>
      </c>
      <c r="C333" t="s">
        <v>27</v>
      </c>
      <c r="D333" t="s">
        <v>2982</v>
      </c>
      <c r="E333" t="s">
        <v>192</v>
      </c>
      <c r="F333" s="28">
        <v>1</v>
      </c>
      <c r="G333" t="s">
        <v>193</v>
      </c>
      <c r="H333" t="s">
        <v>194</v>
      </c>
      <c r="I333" t="s">
        <v>2971</v>
      </c>
      <c r="J333" t="s">
        <v>301</v>
      </c>
      <c r="K333">
        <v>18</v>
      </c>
      <c r="L333" s="28">
        <v>242307</v>
      </c>
      <c r="M333" s="28" t="str">
        <f t="shared" si="5"/>
        <v>242307</v>
      </c>
      <c r="N333"/>
      <c r="O333"/>
    </row>
    <row r="334" spans="1:15" x14ac:dyDescent="0.25">
      <c r="A334" t="s">
        <v>271</v>
      </c>
      <c r="B334" t="s">
        <v>3164</v>
      </c>
      <c r="C334" t="s">
        <v>27</v>
      </c>
      <c r="D334" t="s">
        <v>3089</v>
      </c>
      <c r="E334" t="s">
        <v>192</v>
      </c>
      <c r="F334" s="28">
        <v>1</v>
      </c>
      <c r="G334" t="s">
        <v>193</v>
      </c>
      <c r="H334" t="s">
        <v>194</v>
      </c>
      <c r="I334" t="s">
        <v>3131</v>
      </c>
      <c r="J334" t="s">
        <v>276</v>
      </c>
      <c r="K334">
        <v>18</v>
      </c>
      <c r="L334" s="28">
        <v>242307</v>
      </c>
      <c r="M334" s="28" t="str">
        <f t="shared" si="5"/>
        <v>242307</v>
      </c>
      <c r="N334"/>
      <c r="O334"/>
    </row>
    <row r="335" spans="1:15" x14ac:dyDescent="0.25">
      <c r="A335" t="s">
        <v>2862</v>
      </c>
      <c r="B335" t="s">
        <v>2863</v>
      </c>
      <c r="C335" t="s">
        <v>80</v>
      </c>
      <c r="D335" t="s">
        <v>2790</v>
      </c>
      <c r="E335" t="s">
        <v>192</v>
      </c>
      <c r="F335" s="28">
        <v>1</v>
      </c>
      <c r="G335" t="s">
        <v>193</v>
      </c>
      <c r="H335" t="s">
        <v>194</v>
      </c>
      <c r="I335" t="s">
        <v>2749</v>
      </c>
      <c r="J335" t="s">
        <v>196</v>
      </c>
      <c r="K335">
        <v>18</v>
      </c>
      <c r="L335" s="28">
        <v>243304</v>
      </c>
      <c r="M335" s="28" t="str">
        <f t="shared" si="5"/>
        <v>243304</v>
      </c>
      <c r="N335"/>
      <c r="O335"/>
    </row>
    <row r="336" spans="1:15" x14ac:dyDescent="0.25">
      <c r="A336" t="s">
        <v>1904</v>
      </c>
      <c r="B336" t="s">
        <v>3142</v>
      </c>
      <c r="C336" t="s">
        <v>80</v>
      </c>
      <c r="D336" t="s">
        <v>3089</v>
      </c>
      <c r="E336" t="s">
        <v>192</v>
      </c>
      <c r="F336" s="28">
        <v>1</v>
      </c>
      <c r="G336" t="s">
        <v>193</v>
      </c>
      <c r="H336" t="s">
        <v>194</v>
      </c>
      <c r="I336" t="s">
        <v>3131</v>
      </c>
      <c r="J336" t="s">
        <v>575</v>
      </c>
      <c r="K336">
        <v>18</v>
      </c>
      <c r="L336" s="28">
        <v>243304</v>
      </c>
      <c r="M336" s="28" t="str">
        <f t="shared" si="5"/>
        <v>243304</v>
      </c>
      <c r="N336"/>
      <c r="O336"/>
    </row>
    <row r="337" spans="1:15" x14ac:dyDescent="0.25">
      <c r="A337" t="s">
        <v>1537</v>
      </c>
      <c r="B337" t="s">
        <v>3162</v>
      </c>
      <c r="C337" t="s">
        <v>80</v>
      </c>
      <c r="D337" t="s">
        <v>3089</v>
      </c>
      <c r="E337" t="s">
        <v>192</v>
      </c>
      <c r="F337" s="28">
        <v>1</v>
      </c>
      <c r="G337" t="s">
        <v>193</v>
      </c>
      <c r="H337" t="s">
        <v>194</v>
      </c>
      <c r="I337" t="s">
        <v>3131</v>
      </c>
      <c r="J337" t="s">
        <v>301</v>
      </c>
      <c r="K337">
        <v>18</v>
      </c>
      <c r="L337" s="28">
        <v>243304</v>
      </c>
      <c r="M337" s="28" t="str">
        <f t="shared" si="5"/>
        <v>243304</v>
      </c>
      <c r="N337"/>
      <c r="O337"/>
    </row>
    <row r="338" spans="1:15" x14ac:dyDescent="0.25">
      <c r="A338" t="s">
        <v>3244</v>
      </c>
      <c r="B338" t="s">
        <v>3245</v>
      </c>
      <c r="C338" t="s">
        <v>80</v>
      </c>
      <c r="D338" t="s">
        <v>3167</v>
      </c>
      <c r="E338" t="s">
        <v>192</v>
      </c>
      <c r="F338" s="28">
        <v>1</v>
      </c>
      <c r="G338" t="s">
        <v>193</v>
      </c>
      <c r="H338" t="s">
        <v>194</v>
      </c>
      <c r="I338" t="s">
        <v>3131</v>
      </c>
      <c r="J338" t="s">
        <v>608</v>
      </c>
      <c r="K338">
        <v>18</v>
      </c>
      <c r="L338" s="28">
        <v>243304</v>
      </c>
      <c r="M338" s="28" t="str">
        <f t="shared" si="5"/>
        <v>243304</v>
      </c>
      <c r="N338"/>
      <c r="O338"/>
    </row>
    <row r="339" spans="1:15" x14ac:dyDescent="0.25">
      <c r="A339" t="s">
        <v>2817</v>
      </c>
      <c r="B339" t="s">
        <v>2818</v>
      </c>
      <c r="C339" t="s">
        <v>100</v>
      </c>
      <c r="D339" t="s">
        <v>2790</v>
      </c>
      <c r="E339" t="s">
        <v>192</v>
      </c>
      <c r="F339" s="28">
        <v>1</v>
      </c>
      <c r="G339" t="s">
        <v>193</v>
      </c>
      <c r="H339" t="s">
        <v>194</v>
      </c>
      <c r="I339" t="s">
        <v>2749</v>
      </c>
      <c r="J339" t="s">
        <v>2819</v>
      </c>
      <c r="K339">
        <v>18</v>
      </c>
      <c r="L339" s="28">
        <v>242108</v>
      </c>
      <c r="M339" s="28" t="str">
        <f t="shared" si="5"/>
        <v>242108</v>
      </c>
      <c r="N339"/>
      <c r="O339"/>
    </row>
    <row r="340" spans="1:15" x14ac:dyDescent="0.25">
      <c r="A340" t="s">
        <v>1471</v>
      </c>
      <c r="B340" t="s">
        <v>3039</v>
      </c>
      <c r="C340" t="s">
        <v>100</v>
      </c>
      <c r="D340" t="s">
        <v>2989</v>
      </c>
      <c r="E340" t="s">
        <v>192</v>
      </c>
      <c r="F340" s="28">
        <v>1</v>
      </c>
      <c r="G340" t="s">
        <v>193</v>
      </c>
      <c r="H340" t="s">
        <v>194</v>
      </c>
      <c r="I340" t="s">
        <v>2774</v>
      </c>
      <c r="J340" t="s">
        <v>253</v>
      </c>
      <c r="K340">
        <v>18</v>
      </c>
      <c r="L340" s="28">
        <v>242108</v>
      </c>
      <c r="M340" s="28" t="str">
        <f t="shared" si="5"/>
        <v>242108</v>
      </c>
      <c r="N340"/>
      <c r="O340"/>
    </row>
    <row r="341" spans="1:15" x14ac:dyDescent="0.25">
      <c r="A341" t="s">
        <v>1446</v>
      </c>
      <c r="B341" t="s">
        <v>3129</v>
      </c>
      <c r="C341" t="s">
        <v>100</v>
      </c>
      <c r="D341" t="s">
        <v>3089</v>
      </c>
      <c r="E341" t="s">
        <v>192</v>
      </c>
      <c r="F341" s="28">
        <v>1</v>
      </c>
      <c r="G341" t="s">
        <v>193</v>
      </c>
      <c r="H341" t="s">
        <v>194</v>
      </c>
      <c r="I341" t="s">
        <v>3081</v>
      </c>
      <c r="J341" t="s">
        <v>672</v>
      </c>
      <c r="K341">
        <v>18</v>
      </c>
      <c r="L341" s="28">
        <v>242108</v>
      </c>
      <c r="M341" s="28" t="str">
        <f t="shared" si="5"/>
        <v>242108</v>
      </c>
      <c r="N341"/>
      <c r="O341"/>
    </row>
    <row r="342" spans="1:15" x14ac:dyDescent="0.25">
      <c r="A342" t="s">
        <v>3237</v>
      </c>
      <c r="B342" t="s">
        <v>3238</v>
      </c>
      <c r="C342" t="s">
        <v>100</v>
      </c>
      <c r="D342" t="s">
        <v>3167</v>
      </c>
      <c r="E342" t="s">
        <v>192</v>
      </c>
      <c r="F342" s="28">
        <v>1</v>
      </c>
      <c r="G342" t="s">
        <v>193</v>
      </c>
      <c r="H342" t="s">
        <v>194</v>
      </c>
      <c r="I342" t="s">
        <v>3131</v>
      </c>
      <c r="J342" t="s">
        <v>210</v>
      </c>
      <c r="K342">
        <v>18</v>
      </c>
      <c r="L342" s="28">
        <v>242108</v>
      </c>
      <c r="M342" s="28" t="str">
        <f t="shared" si="5"/>
        <v>242108</v>
      </c>
      <c r="N342"/>
      <c r="O342"/>
    </row>
    <row r="343" spans="1:15" x14ac:dyDescent="0.25">
      <c r="A343" t="s">
        <v>1011</v>
      </c>
      <c r="B343" t="s">
        <v>2748</v>
      </c>
      <c r="C343" t="s">
        <v>43</v>
      </c>
      <c r="D343" t="s">
        <v>2749</v>
      </c>
      <c r="E343" t="s">
        <v>233</v>
      </c>
      <c r="F343" s="28">
        <v>1</v>
      </c>
      <c r="G343" t="s">
        <v>193</v>
      </c>
      <c r="H343" t="s">
        <v>194</v>
      </c>
      <c r="I343" t="s">
        <v>2750</v>
      </c>
      <c r="J343" t="s">
        <v>196</v>
      </c>
      <c r="K343">
        <v>18</v>
      </c>
      <c r="L343" s="28">
        <v>243106</v>
      </c>
      <c r="M343" s="28" t="str">
        <f t="shared" si="5"/>
        <v>243106</v>
      </c>
      <c r="N343"/>
      <c r="O343"/>
    </row>
    <row r="344" spans="1:15" x14ac:dyDescent="0.25">
      <c r="A344" t="s">
        <v>527</v>
      </c>
      <c r="B344" t="s">
        <v>2763</v>
      </c>
      <c r="C344" t="s">
        <v>43</v>
      </c>
      <c r="D344" t="s">
        <v>2749</v>
      </c>
      <c r="E344" t="s">
        <v>192</v>
      </c>
      <c r="F344" s="28">
        <v>1</v>
      </c>
      <c r="G344" t="s">
        <v>193</v>
      </c>
      <c r="H344" t="s">
        <v>194</v>
      </c>
      <c r="I344" t="s">
        <v>2750</v>
      </c>
      <c r="J344" t="s">
        <v>367</v>
      </c>
      <c r="K344">
        <v>18</v>
      </c>
      <c r="L344" s="28">
        <v>243106</v>
      </c>
      <c r="M344" s="28" t="str">
        <f t="shared" si="5"/>
        <v>243106</v>
      </c>
      <c r="N344"/>
      <c r="O344"/>
    </row>
    <row r="345" spans="1:15" x14ac:dyDescent="0.25">
      <c r="A345" t="s">
        <v>2813</v>
      </c>
      <c r="B345" t="s">
        <v>2814</v>
      </c>
      <c r="C345" t="s">
        <v>43</v>
      </c>
      <c r="D345" t="s">
        <v>2790</v>
      </c>
      <c r="E345" t="s">
        <v>192</v>
      </c>
      <c r="F345" s="28">
        <v>1</v>
      </c>
      <c r="G345" t="s">
        <v>193</v>
      </c>
      <c r="H345" t="s">
        <v>194</v>
      </c>
      <c r="I345" t="s">
        <v>2749</v>
      </c>
      <c r="J345" t="s">
        <v>210</v>
      </c>
      <c r="K345">
        <v>18</v>
      </c>
      <c r="L345" s="28">
        <v>243106</v>
      </c>
      <c r="M345" s="28" t="str">
        <f t="shared" si="5"/>
        <v>243106</v>
      </c>
      <c r="N345"/>
      <c r="O345"/>
    </row>
    <row r="346" spans="1:15" x14ac:dyDescent="0.25">
      <c r="A346" t="s">
        <v>2838</v>
      </c>
      <c r="B346" t="s">
        <v>2498</v>
      </c>
      <c r="C346" t="s">
        <v>43</v>
      </c>
      <c r="D346" t="s">
        <v>2790</v>
      </c>
      <c r="E346" t="s">
        <v>192</v>
      </c>
      <c r="F346" s="28">
        <v>1</v>
      </c>
      <c r="G346" t="s">
        <v>193</v>
      </c>
      <c r="H346" t="s">
        <v>194</v>
      </c>
      <c r="I346" t="s">
        <v>2749</v>
      </c>
      <c r="J346" t="s">
        <v>2839</v>
      </c>
      <c r="K346">
        <v>18</v>
      </c>
      <c r="L346" s="28">
        <v>243106</v>
      </c>
      <c r="M346" s="28" t="str">
        <f t="shared" si="5"/>
        <v>243106</v>
      </c>
      <c r="N346"/>
      <c r="O346"/>
    </row>
    <row r="347" spans="1:15" x14ac:dyDescent="0.25">
      <c r="A347" t="s">
        <v>629</v>
      </c>
      <c r="B347" t="s">
        <v>3052</v>
      </c>
      <c r="C347" t="s">
        <v>43</v>
      </c>
      <c r="D347" t="s">
        <v>2989</v>
      </c>
      <c r="E347" t="s">
        <v>192</v>
      </c>
      <c r="F347" s="28">
        <v>1</v>
      </c>
      <c r="G347" t="s">
        <v>193</v>
      </c>
      <c r="H347" t="s">
        <v>194</v>
      </c>
      <c r="I347" t="s">
        <v>2774</v>
      </c>
      <c r="J347" t="s">
        <v>1302</v>
      </c>
      <c r="K347">
        <v>18</v>
      </c>
      <c r="L347" s="28">
        <v>243106</v>
      </c>
      <c r="M347" s="28" t="str">
        <f t="shared" si="5"/>
        <v>243106</v>
      </c>
      <c r="N347"/>
      <c r="O347"/>
    </row>
    <row r="348" spans="1:15" x14ac:dyDescent="0.25">
      <c r="A348" t="s">
        <v>3058</v>
      </c>
      <c r="B348" t="s">
        <v>3059</v>
      </c>
      <c r="C348" t="s">
        <v>43</v>
      </c>
      <c r="D348" t="s">
        <v>2989</v>
      </c>
      <c r="E348" t="s">
        <v>192</v>
      </c>
      <c r="F348" s="28">
        <v>1</v>
      </c>
      <c r="G348" t="s">
        <v>193</v>
      </c>
      <c r="H348" t="s">
        <v>194</v>
      </c>
      <c r="I348" t="s">
        <v>2774</v>
      </c>
      <c r="J348" t="s">
        <v>1388</v>
      </c>
      <c r="K348">
        <v>18</v>
      </c>
      <c r="L348" s="28">
        <v>243106</v>
      </c>
      <c r="M348" s="28" t="str">
        <f t="shared" si="5"/>
        <v>243106</v>
      </c>
      <c r="N348"/>
      <c r="O348"/>
    </row>
    <row r="349" spans="1:15" x14ac:dyDescent="0.25">
      <c r="A349" t="s">
        <v>1340</v>
      </c>
      <c r="B349" t="s">
        <v>3073</v>
      </c>
      <c r="C349" t="s">
        <v>43</v>
      </c>
      <c r="D349" t="s">
        <v>2989</v>
      </c>
      <c r="E349" t="s">
        <v>192</v>
      </c>
      <c r="F349" s="28">
        <v>1</v>
      </c>
      <c r="G349" t="s">
        <v>193</v>
      </c>
      <c r="H349" t="s">
        <v>194</v>
      </c>
      <c r="I349" t="s">
        <v>2774</v>
      </c>
      <c r="J349" t="s">
        <v>367</v>
      </c>
      <c r="K349">
        <v>18</v>
      </c>
      <c r="L349" s="28">
        <v>243106</v>
      </c>
      <c r="M349" s="28" t="str">
        <f t="shared" si="5"/>
        <v>243106</v>
      </c>
      <c r="N349"/>
      <c r="O349"/>
    </row>
    <row r="350" spans="1:15" x14ac:dyDescent="0.25">
      <c r="A350" t="s">
        <v>1211</v>
      </c>
      <c r="B350" t="s">
        <v>2748</v>
      </c>
      <c r="C350" t="s">
        <v>43</v>
      </c>
      <c r="D350" t="s">
        <v>3089</v>
      </c>
      <c r="E350" t="s">
        <v>192</v>
      </c>
      <c r="F350" s="28">
        <v>1</v>
      </c>
      <c r="G350" t="s">
        <v>193</v>
      </c>
      <c r="H350" t="s">
        <v>194</v>
      </c>
      <c r="I350" t="s">
        <v>2790</v>
      </c>
      <c r="J350" t="s">
        <v>316</v>
      </c>
      <c r="K350">
        <v>18</v>
      </c>
      <c r="L350" s="28">
        <v>243106</v>
      </c>
      <c r="M350" s="28" t="str">
        <f t="shared" si="5"/>
        <v>243106</v>
      </c>
      <c r="N350"/>
      <c r="O350"/>
    </row>
    <row r="351" spans="1:15" x14ac:dyDescent="0.25">
      <c r="A351" t="s">
        <v>3221</v>
      </c>
      <c r="B351" t="s">
        <v>3222</v>
      </c>
      <c r="C351" t="s">
        <v>43</v>
      </c>
      <c r="D351" t="s">
        <v>3167</v>
      </c>
      <c r="E351" t="s">
        <v>192</v>
      </c>
      <c r="F351" s="28">
        <v>1</v>
      </c>
      <c r="G351" t="s">
        <v>193</v>
      </c>
      <c r="H351" t="s">
        <v>194</v>
      </c>
      <c r="I351" t="s">
        <v>3131</v>
      </c>
      <c r="J351" t="s">
        <v>276</v>
      </c>
      <c r="K351">
        <v>18</v>
      </c>
      <c r="L351" s="28">
        <v>243106</v>
      </c>
      <c r="M351" s="28" t="str">
        <f t="shared" si="5"/>
        <v>243106</v>
      </c>
      <c r="N351"/>
      <c r="O351"/>
    </row>
    <row r="352" spans="1:15" x14ac:dyDescent="0.25">
      <c r="A352" t="s">
        <v>3242</v>
      </c>
      <c r="B352" t="s">
        <v>3243</v>
      </c>
      <c r="C352" t="s">
        <v>43</v>
      </c>
      <c r="D352" t="s">
        <v>3167</v>
      </c>
      <c r="E352" t="s">
        <v>233</v>
      </c>
      <c r="F352" s="28">
        <v>1</v>
      </c>
      <c r="G352" t="s">
        <v>193</v>
      </c>
      <c r="H352" t="s">
        <v>194</v>
      </c>
      <c r="I352" t="s">
        <v>2749</v>
      </c>
      <c r="J352" t="s">
        <v>267</v>
      </c>
      <c r="K352">
        <v>18</v>
      </c>
      <c r="L352" s="28">
        <v>243106</v>
      </c>
      <c r="M352" s="28" t="str">
        <f t="shared" si="5"/>
        <v>243106</v>
      </c>
      <c r="N352"/>
      <c r="O352"/>
    </row>
    <row r="353" spans="1:15" x14ac:dyDescent="0.25">
      <c r="A353" t="s">
        <v>3069</v>
      </c>
      <c r="B353" t="s">
        <v>3289</v>
      </c>
      <c r="C353" t="s">
        <v>43</v>
      </c>
      <c r="D353" t="s">
        <v>3252</v>
      </c>
      <c r="E353" t="s">
        <v>192</v>
      </c>
      <c r="F353" s="28">
        <v>1</v>
      </c>
      <c r="G353" t="s">
        <v>193</v>
      </c>
      <c r="H353" t="s">
        <v>194</v>
      </c>
      <c r="I353" t="s">
        <v>2749</v>
      </c>
      <c r="J353" t="s">
        <v>253</v>
      </c>
      <c r="K353">
        <v>18</v>
      </c>
      <c r="L353" s="28">
        <v>243106</v>
      </c>
      <c r="M353" s="28" t="str">
        <f t="shared" si="5"/>
        <v>243106</v>
      </c>
      <c r="N353"/>
      <c r="O353"/>
    </row>
    <row r="354" spans="1:15" x14ac:dyDescent="0.25">
      <c r="A354" t="s">
        <v>2862</v>
      </c>
      <c r="B354" t="s">
        <v>3153</v>
      </c>
      <c r="C354" t="s">
        <v>1402</v>
      </c>
      <c r="D354" t="s">
        <v>3089</v>
      </c>
      <c r="E354" t="s">
        <v>192</v>
      </c>
      <c r="F354" s="28">
        <v>1</v>
      </c>
      <c r="G354" t="s">
        <v>193</v>
      </c>
      <c r="H354" t="s">
        <v>194</v>
      </c>
      <c r="I354" t="s">
        <v>3131</v>
      </c>
      <c r="J354" t="s">
        <v>210</v>
      </c>
      <c r="K354">
        <v>18</v>
      </c>
      <c r="L354" s="28">
        <v>242228</v>
      </c>
      <c r="M354" s="28" t="str">
        <f t="shared" si="5"/>
        <v>242228</v>
      </c>
      <c r="N354"/>
      <c r="O354"/>
    </row>
    <row r="355" spans="1:15" x14ac:dyDescent="0.25">
      <c r="A355" t="s">
        <v>1537</v>
      </c>
      <c r="B355" t="s">
        <v>3163</v>
      </c>
      <c r="C355" t="s">
        <v>436</v>
      </c>
      <c r="D355" t="s">
        <v>3089</v>
      </c>
      <c r="E355" t="s">
        <v>192</v>
      </c>
      <c r="F355" s="28">
        <v>1</v>
      </c>
      <c r="G355" t="s">
        <v>193</v>
      </c>
      <c r="H355" t="s">
        <v>194</v>
      </c>
      <c r="I355" t="s">
        <v>3131</v>
      </c>
      <c r="J355" t="s">
        <v>301</v>
      </c>
      <c r="K355">
        <v>18</v>
      </c>
      <c r="L355" s="28">
        <v>242221</v>
      </c>
      <c r="M355" s="28" t="str">
        <f t="shared" si="5"/>
        <v>242221</v>
      </c>
      <c r="N355"/>
      <c r="O355"/>
    </row>
    <row r="356" spans="1:15" x14ac:dyDescent="0.25">
      <c r="A356" t="s">
        <v>3174</v>
      </c>
      <c r="B356" t="s">
        <v>3175</v>
      </c>
      <c r="C356" t="s">
        <v>3176</v>
      </c>
      <c r="D356" t="s">
        <v>3167</v>
      </c>
      <c r="E356" t="s">
        <v>192</v>
      </c>
      <c r="F356" s="28">
        <v>1</v>
      </c>
      <c r="G356" t="s">
        <v>193</v>
      </c>
      <c r="H356" t="s">
        <v>194</v>
      </c>
      <c r="I356" t="s">
        <v>3131</v>
      </c>
      <c r="J356" t="s">
        <v>210</v>
      </c>
      <c r="K356">
        <v>18</v>
      </c>
      <c r="L356" s="28">
        <v>242109</v>
      </c>
      <c r="M356" s="28" t="str">
        <f t="shared" si="5"/>
        <v>242109</v>
      </c>
      <c r="N356"/>
      <c r="O356"/>
    </row>
    <row r="357" spans="1:15" x14ac:dyDescent="0.25">
      <c r="A357" t="s">
        <v>491</v>
      </c>
      <c r="B357" t="s">
        <v>3063</v>
      </c>
      <c r="C357" t="s">
        <v>18</v>
      </c>
      <c r="D357" t="s">
        <v>2989</v>
      </c>
      <c r="E357" t="s">
        <v>192</v>
      </c>
      <c r="F357" s="28">
        <v>1</v>
      </c>
      <c r="G357" t="s">
        <v>193</v>
      </c>
      <c r="H357" t="s">
        <v>194</v>
      </c>
      <c r="I357" t="s">
        <v>2774</v>
      </c>
      <c r="J357" t="s">
        <v>210</v>
      </c>
      <c r="K357">
        <v>18</v>
      </c>
      <c r="L357" s="28">
        <v>242309</v>
      </c>
      <c r="M357" s="28" t="str">
        <f t="shared" si="5"/>
        <v>242309</v>
      </c>
      <c r="N357"/>
      <c r="O357"/>
    </row>
    <row r="358" spans="1:15" x14ac:dyDescent="0.25">
      <c r="A358" t="s">
        <v>2809</v>
      </c>
      <c r="B358" t="s">
        <v>2810</v>
      </c>
      <c r="C358" t="s">
        <v>85</v>
      </c>
      <c r="D358" t="s">
        <v>2790</v>
      </c>
      <c r="E358" t="s">
        <v>192</v>
      </c>
      <c r="F358" s="28">
        <v>1</v>
      </c>
      <c r="G358" t="s">
        <v>193</v>
      </c>
      <c r="H358" t="s">
        <v>194</v>
      </c>
      <c r="I358" t="s">
        <v>2749</v>
      </c>
      <c r="J358" t="s">
        <v>210</v>
      </c>
      <c r="K358">
        <v>18</v>
      </c>
      <c r="L358" s="28">
        <v>243305</v>
      </c>
      <c r="M358" s="28" t="str">
        <f t="shared" si="5"/>
        <v>243305</v>
      </c>
      <c r="N358"/>
      <c r="O358"/>
    </row>
    <row r="359" spans="1:15" x14ac:dyDescent="0.25">
      <c r="A359" t="s">
        <v>1340</v>
      </c>
      <c r="B359" t="s">
        <v>1014</v>
      </c>
      <c r="C359" t="s">
        <v>85</v>
      </c>
      <c r="D359" t="s">
        <v>2790</v>
      </c>
      <c r="E359" t="s">
        <v>192</v>
      </c>
      <c r="F359" s="28">
        <v>1</v>
      </c>
      <c r="G359" t="s">
        <v>193</v>
      </c>
      <c r="H359" t="s">
        <v>194</v>
      </c>
      <c r="I359" t="s">
        <v>2749</v>
      </c>
      <c r="J359" t="s">
        <v>210</v>
      </c>
      <c r="K359">
        <v>18</v>
      </c>
      <c r="L359" s="28">
        <v>243305</v>
      </c>
      <c r="M359" s="28" t="str">
        <f t="shared" si="5"/>
        <v>243305</v>
      </c>
      <c r="N359"/>
      <c r="O359"/>
    </row>
    <row r="360" spans="1:15" x14ac:dyDescent="0.25">
      <c r="A360" t="s">
        <v>615</v>
      </c>
      <c r="B360" t="s">
        <v>2947</v>
      </c>
      <c r="C360" t="s">
        <v>85</v>
      </c>
      <c r="D360" t="s">
        <v>2891</v>
      </c>
      <c r="E360" t="s">
        <v>192</v>
      </c>
      <c r="F360" s="28">
        <v>1</v>
      </c>
      <c r="G360" t="s">
        <v>193</v>
      </c>
      <c r="H360" t="s">
        <v>194</v>
      </c>
      <c r="I360" t="s">
        <v>2790</v>
      </c>
      <c r="J360" t="s">
        <v>267</v>
      </c>
      <c r="K360">
        <v>18</v>
      </c>
      <c r="L360" s="28">
        <v>243305</v>
      </c>
      <c r="M360" s="28" t="str">
        <f t="shared" si="5"/>
        <v>243305</v>
      </c>
      <c r="N360"/>
      <c r="O360"/>
    </row>
    <row r="361" spans="1:15" x14ac:dyDescent="0.25">
      <c r="A361" t="s">
        <v>3006</v>
      </c>
      <c r="B361" t="s">
        <v>3007</v>
      </c>
      <c r="C361" t="s">
        <v>85</v>
      </c>
      <c r="D361" t="s">
        <v>2989</v>
      </c>
      <c r="E361" t="s">
        <v>192</v>
      </c>
      <c r="F361" s="28">
        <v>1</v>
      </c>
      <c r="G361" t="s">
        <v>193</v>
      </c>
      <c r="H361" t="s">
        <v>194</v>
      </c>
      <c r="I361" t="s">
        <v>2750</v>
      </c>
      <c r="J361" t="s">
        <v>210</v>
      </c>
      <c r="K361">
        <v>18</v>
      </c>
      <c r="L361" s="28">
        <v>243305</v>
      </c>
      <c r="M361" s="28" t="str">
        <f t="shared" si="5"/>
        <v>243305</v>
      </c>
      <c r="N361"/>
      <c r="O361"/>
    </row>
    <row r="362" spans="1:15" x14ac:dyDescent="0.25">
      <c r="A362" t="s">
        <v>1340</v>
      </c>
      <c r="B362" t="s">
        <v>1396</v>
      </c>
      <c r="C362" t="s">
        <v>85</v>
      </c>
      <c r="D362" t="s">
        <v>3252</v>
      </c>
      <c r="E362" t="s">
        <v>192</v>
      </c>
      <c r="F362" s="28">
        <v>1</v>
      </c>
      <c r="G362" t="s">
        <v>193</v>
      </c>
      <c r="H362" t="s">
        <v>194</v>
      </c>
      <c r="I362" t="s">
        <v>2749</v>
      </c>
      <c r="J362" t="s">
        <v>210</v>
      </c>
      <c r="K362">
        <v>18</v>
      </c>
      <c r="L362" s="28">
        <v>243305</v>
      </c>
      <c r="M362" s="28" t="str">
        <f t="shared" si="5"/>
        <v>243305</v>
      </c>
      <c r="N362"/>
      <c r="O362"/>
    </row>
    <row r="363" spans="1:15" x14ac:dyDescent="0.25">
      <c r="A363" t="s">
        <v>1091</v>
      </c>
      <c r="B363" t="s">
        <v>2768</v>
      </c>
      <c r="C363" t="s">
        <v>68</v>
      </c>
      <c r="D363" t="s">
        <v>2749</v>
      </c>
      <c r="E363" t="s">
        <v>217</v>
      </c>
      <c r="F363" s="28">
        <v>1</v>
      </c>
      <c r="G363" t="s">
        <v>193</v>
      </c>
      <c r="H363" t="s">
        <v>194</v>
      </c>
      <c r="I363" t="s">
        <v>2750</v>
      </c>
      <c r="J363" t="s">
        <v>210</v>
      </c>
      <c r="K363">
        <v>18</v>
      </c>
      <c r="L363" s="28">
        <v>242403</v>
      </c>
      <c r="M363" s="28" t="str">
        <f t="shared" si="5"/>
        <v>242403</v>
      </c>
      <c r="N363"/>
      <c r="O363"/>
    </row>
    <row r="364" spans="1:15" x14ac:dyDescent="0.25">
      <c r="A364" t="s">
        <v>615</v>
      </c>
      <c r="B364" t="s">
        <v>2945</v>
      </c>
      <c r="C364" t="s">
        <v>2946</v>
      </c>
      <c r="D364" t="s">
        <v>2891</v>
      </c>
      <c r="E364" t="s">
        <v>192</v>
      </c>
      <c r="F364" s="28">
        <v>1</v>
      </c>
      <c r="G364" t="s">
        <v>193</v>
      </c>
      <c r="H364" t="s">
        <v>194</v>
      </c>
      <c r="I364" t="s">
        <v>2790</v>
      </c>
      <c r="J364" t="s">
        <v>267</v>
      </c>
      <c r="K364">
        <v>18</v>
      </c>
      <c r="L364" s="28">
        <v>241308</v>
      </c>
      <c r="M364" s="28" t="str">
        <f t="shared" si="5"/>
        <v>241308</v>
      </c>
      <c r="N364"/>
      <c r="O364"/>
    </row>
    <row r="365" spans="1:15" x14ac:dyDescent="0.25">
      <c r="A365" t="s">
        <v>1801</v>
      </c>
      <c r="B365" t="s">
        <v>2915</v>
      </c>
      <c r="C365" t="s">
        <v>2916</v>
      </c>
      <c r="D365" t="s">
        <v>2891</v>
      </c>
      <c r="E365" t="s">
        <v>192</v>
      </c>
      <c r="F365" s="28">
        <v>1</v>
      </c>
      <c r="G365" t="s">
        <v>193</v>
      </c>
      <c r="H365" t="s">
        <v>194</v>
      </c>
      <c r="I365" t="s">
        <v>2880</v>
      </c>
      <c r="J365" t="s">
        <v>385</v>
      </c>
      <c r="K365">
        <v>18</v>
      </c>
      <c r="L365" s="28">
        <v>262206</v>
      </c>
      <c r="M365" s="28" t="str">
        <f t="shared" si="5"/>
        <v>262206</v>
      </c>
      <c r="N365"/>
      <c r="O365"/>
    </row>
    <row r="366" spans="1:15" x14ac:dyDescent="0.25">
      <c r="A366" t="s">
        <v>1126</v>
      </c>
      <c r="B366" t="s">
        <v>1127</v>
      </c>
      <c r="C366" t="s">
        <v>284</v>
      </c>
      <c r="D366" t="s">
        <v>2891</v>
      </c>
      <c r="E366" t="s">
        <v>192</v>
      </c>
      <c r="F366" s="28">
        <v>1</v>
      </c>
      <c r="G366" t="s">
        <v>193</v>
      </c>
      <c r="H366" t="s">
        <v>194</v>
      </c>
      <c r="I366" t="s">
        <v>2880</v>
      </c>
      <c r="J366" t="s">
        <v>253</v>
      </c>
      <c r="K366">
        <v>18</v>
      </c>
      <c r="L366" s="28">
        <v>214109</v>
      </c>
      <c r="M366" s="28" t="str">
        <f t="shared" si="5"/>
        <v>214109</v>
      </c>
      <c r="N366"/>
      <c r="O366"/>
    </row>
    <row r="367" spans="1:15" x14ac:dyDescent="0.25">
      <c r="A367" t="s">
        <v>1801</v>
      </c>
      <c r="B367" t="s">
        <v>2917</v>
      </c>
      <c r="C367" t="s">
        <v>284</v>
      </c>
      <c r="D367" t="s">
        <v>2891</v>
      </c>
      <c r="E367" t="s">
        <v>192</v>
      </c>
      <c r="F367" s="28">
        <v>1</v>
      </c>
      <c r="G367" t="s">
        <v>193</v>
      </c>
      <c r="H367" t="s">
        <v>194</v>
      </c>
      <c r="I367" t="s">
        <v>2880</v>
      </c>
      <c r="J367" t="s">
        <v>385</v>
      </c>
      <c r="K367">
        <v>18</v>
      </c>
      <c r="L367" s="28">
        <v>214109</v>
      </c>
      <c r="M367" s="28" t="str">
        <f t="shared" si="5"/>
        <v>214109</v>
      </c>
      <c r="N367"/>
      <c r="O367"/>
    </row>
    <row r="368" spans="1:15" x14ac:dyDescent="0.25">
      <c r="A368" t="s">
        <v>1091</v>
      </c>
      <c r="B368" t="s">
        <v>3120</v>
      </c>
      <c r="C368" t="s">
        <v>284</v>
      </c>
      <c r="D368" t="s">
        <v>3089</v>
      </c>
      <c r="E368" t="s">
        <v>217</v>
      </c>
      <c r="F368" s="28">
        <v>1</v>
      </c>
      <c r="G368" t="s">
        <v>193</v>
      </c>
      <c r="H368" t="s">
        <v>194</v>
      </c>
      <c r="I368" t="s">
        <v>2892</v>
      </c>
      <c r="J368" t="s">
        <v>210</v>
      </c>
      <c r="K368">
        <v>18</v>
      </c>
      <c r="L368" s="28">
        <v>214109</v>
      </c>
      <c r="M368" s="28" t="str">
        <f t="shared" si="5"/>
        <v>214109</v>
      </c>
      <c r="N368"/>
      <c r="O368"/>
    </row>
    <row r="369" spans="1:15" x14ac:dyDescent="0.25">
      <c r="A369" t="s">
        <v>629</v>
      </c>
      <c r="B369" t="s">
        <v>3143</v>
      </c>
      <c r="C369" t="s">
        <v>284</v>
      </c>
      <c r="D369" t="s">
        <v>3089</v>
      </c>
      <c r="E369" t="s">
        <v>192</v>
      </c>
      <c r="F369" s="28">
        <v>1</v>
      </c>
      <c r="G369" t="s">
        <v>193</v>
      </c>
      <c r="H369" t="s">
        <v>194</v>
      </c>
      <c r="I369" t="s">
        <v>3131</v>
      </c>
      <c r="J369" t="s">
        <v>1302</v>
      </c>
      <c r="K369">
        <v>18</v>
      </c>
      <c r="L369" s="28">
        <v>214109</v>
      </c>
      <c r="M369" s="28" t="str">
        <f t="shared" si="5"/>
        <v>214109</v>
      </c>
      <c r="N369"/>
      <c r="O369"/>
    </row>
    <row r="370" spans="1:15" x14ac:dyDescent="0.25">
      <c r="A370" t="s">
        <v>3253</v>
      </c>
      <c r="B370" t="s">
        <v>1127</v>
      </c>
      <c r="C370" t="s">
        <v>284</v>
      </c>
      <c r="D370" t="s">
        <v>3252</v>
      </c>
      <c r="E370" t="s">
        <v>192</v>
      </c>
      <c r="F370" s="28">
        <v>1</v>
      </c>
      <c r="G370" t="s">
        <v>193</v>
      </c>
      <c r="H370" t="s">
        <v>194</v>
      </c>
      <c r="I370" t="s">
        <v>3131</v>
      </c>
      <c r="J370" t="s">
        <v>2532</v>
      </c>
      <c r="K370">
        <v>18</v>
      </c>
      <c r="L370" s="28">
        <v>214109</v>
      </c>
      <c r="M370" s="28" t="str">
        <f t="shared" si="5"/>
        <v>214109</v>
      </c>
      <c r="N370"/>
      <c r="O370"/>
    </row>
    <row r="371" spans="1:15" x14ac:dyDescent="0.25">
      <c r="A371" t="s">
        <v>2897</v>
      </c>
      <c r="B371" t="s">
        <v>2898</v>
      </c>
      <c r="C371" t="s">
        <v>2899</v>
      </c>
      <c r="D371" t="s">
        <v>2891</v>
      </c>
      <c r="E371" t="s">
        <v>192</v>
      </c>
      <c r="F371" s="28">
        <v>1</v>
      </c>
      <c r="G371" t="s">
        <v>193</v>
      </c>
      <c r="H371" t="s">
        <v>194</v>
      </c>
      <c r="I371" t="s">
        <v>2892</v>
      </c>
      <c r="J371" t="s">
        <v>210</v>
      </c>
      <c r="K371">
        <v>18</v>
      </c>
      <c r="L371" s="28">
        <v>242206</v>
      </c>
      <c r="M371" s="28" t="str">
        <f t="shared" si="5"/>
        <v>242206</v>
      </c>
      <c r="N371"/>
      <c r="O371"/>
    </row>
    <row r="372" spans="1:15" x14ac:dyDescent="0.25">
      <c r="A372" t="s">
        <v>511</v>
      </c>
      <c r="B372" t="s">
        <v>3218</v>
      </c>
      <c r="C372" t="s">
        <v>3219</v>
      </c>
      <c r="D372" t="s">
        <v>3167</v>
      </c>
      <c r="E372" t="s">
        <v>192</v>
      </c>
      <c r="F372" s="28">
        <v>1</v>
      </c>
      <c r="G372" t="s">
        <v>193</v>
      </c>
      <c r="H372" t="s">
        <v>194</v>
      </c>
      <c r="I372" t="s">
        <v>3131</v>
      </c>
      <c r="J372" t="s">
        <v>575</v>
      </c>
      <c r="K372">
        <v>18</v>
      </c>
      <c r="L372" s="28">
        <v>243109</v>
      </c>
      <c r="M372" s="28" t="str">
        <f t="shared" si="5"/>
        <v>243109</v>
      </c>
      <c r="N372"/>
      <c r="O372"/>
    </row>
    <row r="373" spans="1:15" x14ac:dyDescent="0.25">
      <c r="A373" t="s">
        <v>3200</v>
      </c>
      <c r="B373" t="s">
        <v>3201</v>
      </c>
      <c r="C373" t="s">
        <v>3202</v>
      </c>
      <c r="D373" t="s">
        <v>3167</v>
      </c>
      <c r="E373" t="s">
        <v>192</v>
      </c>
      <c r="F373" s="28">
        <v>1</v>
      </c>
      <c r="G373" t="s">
        <v>193</v>
      </c>
      <c r="H373" t="s">
        <v>194</v>
      </c>
      <c r="I373" t="s">
        <v>2892</v>
      </c>
      <c r="J373" t="s">
        <v>210</v>
      </c>
      <c r="K373">
        <v>18</v>
      </c>
      <c r="L373" s="28">
        <v>243402</v>
      </c>
      <c r="M373" s="28" t="str">
        <f t="shared" si="5"/>
        <v>243402</v>
      </c>
      <c r="N373"/>
      <c r="O373"/>
    </row>
    <row r="374" spans="1:15" x14ac:dyDescent="0.25">
      <c r="A374" t="s">
        <v>2886</v>
      </c>
      <c r="B374" t="s">
        <v>2887</v>
      </c>
      <c r="C374" t="s">
        <v>119</v>
      </c>
      <c r="D374" t="s">
        <v>2880</v>
      </c>
      <c r="E374" t="s">
        <v>217</v>
      </c>
      <c r="F374" s="28">
        <v>1</v>
      </c>
      <c r="G374" t="s">
        <v>193</v>
      </c>
      <c r="H374" t="s">
        <v>194</v>
      </c>
      <c r="I374" t="s">
        <v>2774</v>
      </c>
      <c r="J374" t="s">
        <v>276</v>
      </c>
      <c r="K374">
        <v>18</v>
      </c>
      <c r="L374" s="28">
        <v>333105</v>
      </c>
      <c r="M374" s="28" t="str">
        <f t="shared" si="5"/>
        <v>333105</v>
      </c>
      <c r="N374"/>
      <c r="O374"/>
    </row>
    <row r="375" spans="1:15" x14ac:dyDescent="0.25">
      <c r="A375" t="s">
        <v>2886</v>
      </c>
      <c r="B375" t="s">
        <v>2887</v>
      </c>
      <c r="C375" t="s">
        <v>119</v>
      </c>
      <c r="D375" t="s">
        <v>2880</v>
      </c>
      <c r="E375" t="s">
        <v>217</v>
      </c>
      <c r="F375" s="28">
        <v>1</v>
      </c>
      <c r="G375" t="s">
        <v>193</v>
      </c>
      <c r="H375" t="s">
        <v>194</v>
      </c>
      <c r="I375" t="s">
        <v>2774</v>
      </c>
      <c r="J375" t="s">
        <v>210</v>
      </c>
      <c r="K375">
        <v>18</v>
      </c>
      <c r="L375" s="28">
        <v>333105</v>
      </c>
      <c r="M375" s="28" t="str">
        <f t="shared" si="5"/>
        <v>333105</v>
      </c>
      <c r="N375"/>
      <c r="O375"/>
    </row>
    <row r="376" spans="1:15" x14ac:dyDescent="0.25">
      <c r="A376" t="s">
        <v>3072</v>
      </c>
      <c r="B376" t="s">
        <v>908</v>
      </c>
      <c r="C376" t="s">
        <v>119</v>
      </c>
      <c r="D376" t="s">
        <v>2989</v>
      </c>
      <c r="E376" t="s">
        <v>192</v>
      </c>
      <c r="F376" s="28">
        <v>1</v>
      </c>
      <c r="G376" t="s">
        <v>193</v>
      </c>
      <c r="H376" t="s">
        <v>194</v>
      </c>
      <c r="I376" t="s">
        <v>2774</v>
      </c>
      <c r="J376" t="s">
        <v>253</v>
      </c>
      <c r="K376">
        <v>18</v>
      </c>
      <c r="L376" s="28">
        <v>333105</v>
      </c>
      <c r="M376" s="28" t="str">
        <f t="shared" si="5"/>
        <v>333105</v>
      </c>
      <c r="N376"/>
      <c r="O376"/>
    </row>
    <row r="377" spans="1:15" x14ac:dyDescent="0.25">
      <c r="A377" t="s">
        <v>3217</v>
      </c>
      <c r="B377" t="s">
        <v>908</v>
      </c>
      <c r="C377" t="s">
        <v>119</v>
      </c>
      <c r="D377" t="s">
        <v>3167</v>
      </c>
      <c r="E377" t="s">
        <v>192</v>
      </c>
      <c r="F377" s="28">
        <v>1</v>
      </c>
      <c r="G377" t="s">
        <v>193</v>
      </c>
      <c r="H377" t="s">
        <v>194</v>
      </c>
      <c r="I377" t="s">
        <v>3131</v>
      </c>
      <c r="J377" t="s">
        <v>2819</v>
      </c>
      <c r="K377">
        <v>18</v>
      </c>
      <c r="L377" s="28">
        <v>333105</v>
      </c>
      <c r="M377" s="28" t="str">
        <f t="shared" si="5"/>
        <v>333105</v>
      </c>
      <c r="N377"/>
      <c r="O377"/>
    </row>
    <row r="378" spans="1:15" x14ac:dyDescent="0.25">
      <c r="A378" t="s">
        <v>1699</v>
      </c>
      <c r="B378" t="s">
        <v>908</v>
      </c>
      <c r="C378" t="s">
        <v>119</v>
      </c>
      <c r="D378" t="s">
        <v>3167</v>
      </c>
      <c r="E378" t="s">
        <v>192</v>
      </c>
      <c r="F378" s="28">
        <v>1</v>
      </c>
      <c r="G378" t="s">
        <v>193</v>
      </c>
      <c r="H378" t="s">
        <v>194</v>
      </c>
      <c r="I378" t="s">
        <v>3131</v>
      </c>
      <c r="J378" t="s">
        <v>223</v>
      </c>
      <c r="K378">
        <v>18</v>
      </c>
      <c r="L378" s="28">
        <v>333105</v>
      </c>
      <c r="M378" s="28" t="str">
        <f t="shared" si="5"/>
        <v>333105</v>
      </c>
      <c r="N378"/>
      <c r="O378"/>
    </row>
    <row r="379" spans="1:15" x14ac:dyDescent="0.25">
      <c r="A379" t="s">
        <v>3092</v>
      </c>
      <c r="B379" t="s">
        <v>3093</v>
      </c>
      <c r="C379" t="s">
        <v>776</v>
      </c>
      <c r="D379" t="s">
        <v>3089</v>
      </c>
      <c r="E379" t="s">
        <v>192</v>
      </c>
      <c r="F379" s="28">
        <v>1</v>
      </c>
      <c r="G379" t="s">
        <v>193</v>
      </c>
      <c r="H379" t="s">
        <v>194</v>
      </c>
      <c r="I379" t="s">
        <v>3081</v>
      </c>
      <c r="J379" t="s">
        <v>210</v>
      </c>
      <c r="K379">
        <v>18</v>
      </c>
      <c r="L379" s="28">
        <v>524403</v>
      </c>
      <c r="M379" s="28" t="str">
        <f t="shared" si="5"/>
        <v>524403</v>
      </c>
      <c r="N379"/>
      <c r="O379"/>
    </row>
    <row r="380" spans="1:15" x14ac:dyDescent="0.25">
      <c r="A380" t="s">
        <v>1612</v>
      </c>
      <c r="B380" t="s">
        <v>1613</v>
      </c>
      <c r="C380" t="s">
        <v>776</v>
      </c>
      <c r="D380" t="s">
        <v>3089</v>
      </c>
      <c r="E380" t="s">
        <v>192</v>
      </c>
      <c r="F380" s="28">
        <v>1</v>
      </c>
      <c r="G380" t="s">
        <v>193</v>
      </c>
      <c r="H380" t="s">
        <v>194</v>
      </c>
      <c r="I380" t="s">
        <v>3081</v>
      </c>
      <c r="J380" t="s">
        <v>210</v>
      </c>
      <c r="K380">
        <v>18</v>
      </c>
      <c r="L380" s="28">
        <v>524403</v>
      </c>
      <c r="M380" s="28" t="str">
        <f t="shared" si="5"/>
        <v>524403</v>
      </c>
      <c r="N380"/>
      <c r="O380"/>
    </row>
    <row r="381" spans="1:15" x14ac:dyDescent="0.25">
      <c r="A381" t="s">
        <v>2567</v>
      </c>
      <c r="B381" t="s">
        <v>2965</v>
      </c>
      <c r="C381" t="s">
        <v>2966</v>
      </c>
      <c r="D381" t="s">
        <v>2891</v>
      </c>
      <c r="E381" t="s">
        <v>192</v>
      </c>
      <c r="F381" s="28">
        <v>1</v>
      </c>
      <c r="G381" t="s">
        <v>193</v>
      </c>
      <c r="H381" t="s">
        <v>194</v>
      </c>
      <c r="I381" t="s">
        <v>2790</v>
      </c>
      <c r="J381" t="s">
        <v>253</v>
      </c>
      <c r="K381">
        <v>18</v>
      </c>
      <c r="L381" s="28">
        <v>522304</v>
      </c>
      <c r="M381" s="28" t="str">
        <f t="shared" si="5"/>
        <v>522304</v>
      </c>
      <c r="N381"/>
      <c r="O381"/>
    </row>
    <row r="382" spans="1:15" x14ac:dyDescent="0.25">
      <c r="A382" t="s">
        <v>1056</v>
      </c>
      <c r="B382" t="s">
        <v>8</v>
      </c>
      <c r="C382" t="s">
        <v>740</v>
      </c>
      <c r="D382" t="s">
        <v>2749</v>
      </c>
      <c r="E382" t="s">
        <v>192</v>
      </c>
      <c r="F382" s="28">
        <v>1</v>
      </c>
      <c r="G382" t="s">
        <v>193</v>
      </c>
      <c r="H382" t="s">
        <v>194</v>
      </c>
      <c r="I382" t="s">
        <v>2750</v>
      </c>
      <c r="J382" t="s">
        <v>253</v>
      </c>
      <c r="K382">
        <v>18</v>
      </c>
      <c r="L382" s="28">
        <v>522301</v>
      </c>
      <c r="M382" s="28" t="str">
        <f t="shared" si="5"/>
        <v>522301</v>
      </c>
      <c r="N382"/>
      <c r="O382"/>
    </row>
    <row r="383" spans="1:15" x14ac:dyDescent="0.25">
      <c r="A383" t="s">
        <v>1720</v>
      </c>
      <c r="B383" t="s">
        <v>8</v>
      </c>
      <c r="C383" t="s">
        <v>740</v>
      </c>
      <c r="D383" t="s">
        <v>2891</v>
      </c>
      <c r="E383" t="s">
        <v>192</v>
      </c>
      <c r="F383" s="28">
        <v>1</v>
      </c>
      <c r="G383" t="s">
        <v>193</v>
      </c>
      <c r="H383" t="s">
        <v>194</v>
      </c>
      <c r="I383" t="s">
        <v>2880</v>
      </c>
      <c r="J383" t="s">
        <v>253</v>
      </c>
      <c r="K383">
        <v>18</v>
      </c>
      <c r="L383" s="28">
        <v>522301</v>
      </c>
      <c r="M383" s="28" t="str">
        <f t="shared" si="5"/>
        <v>522301</v>
      </c>
      <c r="N383"/>
      <c r="O383"/>
    </row>
    <row r="384" spans="1:15" x14ac:dyDescent="0.25">
      <c r="A384" t="s">
        <v>2936</v>
      </c>
      <c r="B384" t="s">
        <v>2938</v>
      </c>
      <c r="C384" t="s">
        <v>740</v>
      </c>
      <c r="D384" t="s">
        <v>2891</v>
      </c>
      <c r="E384" t="s">
        <v>192</v>
      </c>
      <c r="F384" s="28">
        <v>1</v>
      </c>
      <c r="G384" t="s">
        <v>193</v>
      </c>
      <c r="H384" t="s">
        <v>194</v>
      </c>
      <c r="I384" t="s">
        <v>2790</v>
      </c>
      <c r="J384" t="s">
        <v>210</v>
      </c>
      <c r="K384">
        <v>18</v>
      </c>
      <c r="L384" s="28">
        <v>522301</v>
      </c>
      <c r="M384" s="28" t="str">
        <f t="shared" si="5"/>
        <v>522301</v>
      </c>
      <c r="N384"/>
      <c r="O384"/>
    </row>
    <row r="385" spans="1:15" x14ac:dyDescent="0.25">
      <c r="A385" t="s">
        <v>763</v>
      </c>
      <c r="B385" t="s">
        <v>8</v>
      </c>
      <c r="C385" t="s">
        <v>740</v>
      </c>
      <c r="D385" t="s">
        <v>2891</v>
      </c>
      <c r="E385" t="s">
        <v>192</v>
      </c>
      <c r="F385" s="28">
        <v>1</v>
      </c>
      <c r="G385" t="s">
        <v>193</v>
      </c>
      <c r="H385" t="s">
        <v>194</v>
      </c>
      <c r="I385" t="s">
        <v>2892</v>
      </c>
      <c r="J385" t="s">
        <v>747</v>
      </c>
      <c r="K385">
        <v>18</v>
      </c>
      <c r="L385" s="28">
        <v>522301</v>
      </c>
      <c r="M385" s="28" t="str">
        <f t="shared" si="5"/>
        <v>522301</v>
      </c>
      <c r="N385"/>
      <c r="O385"/>
    </row>
    <row r="386" spans="1:15" x14ac:dyDescent="0.25">
      <c r="A386" t="s">
        <v>712</v>
      </c>
      <c r="B386" t="s">
        <v>8</v>
      </c>
      <c r="C386" t="s">
        <v>740</v>
      </c>
      <c r="D386" t="s">
        <v>2989</v>
      </c>
      <c r="E386" t="s">
        <v>192</v>
      </c>
      <c r="F386" s="28">
        <v>1</v>
      </c>
      <c r="G386" t="s">
        <v>193</v>
      </c>
      <c r="H386" t="s">
        <v>194</v>
      </c>
      <c r="I386" t="s">
        <v>2990</v>
      </c>
      <c r="J386" t="s">
        <v>316</v>
      </c>
      <c r="K386">
        <v>18</v>
      </c>
      <c r="L386" s="28">
        <v>522301</v>
      </c>
      <c r="M386" s="28" t="str">
        <f t="shared" si="5"/>
        <v>522301</v>
      </c>
      <c r="N386"/>
      <c r="O386"/>
    </row>
    <row r="387" spans="1:15" x14ac:dyDescent="0.25">
      <c r="A387" t="s">
        <v>1168</v>
      </c>
      <c r="B387" t="s">
        <v>2841</v>
      </c>
      <c r="C387" t="s">
        <v>740</v>
      </c>
      <c r="D387" t="s">
        <v>2989</v>
      </c>
      <c r="E387" t="s">
        <v>217</v>
      </c>
      <c r="F387" s="28">
        <v>1</v>
      </c>
      <c r="G387" t="s">
        <v>193</v>
      </c>
      <c r="H387" t="s">
        <v>194</v>
      </c>
      <c r="I387" t="s">
        <v>2749</v>
      </c>
      <c r="J387" t="s">
        <v>253</v>
      </c>
      <c r="K387">
        <v>18</v>
      </c>
      <c r="L387" s="28">
        <v>522301</v>
      </c>
      <c r="M387" s="28" t="str">
        <f t="shared" ref="M387:M450" si="6">MID(L387,1,6)</f>
        <v>522301</v>
      </c>
      <c r="N387"/>
      <c r="O387"/>
    </row>
    <row r="388" spans="1:15" x14ac:dyDescent="0.25">
      <c r="A388" t="s">
        <v>2587</v>
      </c>
      <c r="B388" t="s">
        <v>3115</v>
      </c>
      <c r="C388" t="s">
        <v>740</v>
      </c>
      <c r="D388" t="s">
        <v>3089</v>
      </c>
      <c r="E388" t="s">
        <v>192</v>
      </c>
      <c r="F388" s="28">
        <v>1</v>
      </c>
      <c r="G388" t="s">
        <v>193</v>
      </c>
      <c r="H388" t="s">
        <v>194</v>
      </c>
      <c r="I388" t="s">
        <v>2892</v>
      </c>
      <c r="J388" t="s">
        <v>385</v>
      </c>
      <c r="K388">
        <v>18</v>
      </c>
      <c r="L388" s="28">
        <v>522301</v>
      </c>
      <c r="M388" s="28" t="str">
        <f t="shared" si="6"/>
        <v>522301</v>
      </c>
      <c r="N388"/>
      <c r="O388"/>
    </row>
    <row r="389" spans="1:15" x14ac:dyDescent="0.25">
      <c r="A389" t="s">
        <v>3225</v>
      </c>
      <c r="B389" t="s">
        <v>3226</v>
      </c>
      <c r="C389" t="s">
        <v>740</v>
      </c>
      <c r="D389" t="s">
        <v>3167</v>
      </c>
      <c r="E389" t="s">
        <v>252</v>
      </c>
      <c r="F389" s="28">
        <v>1</v>
      </c>
      <c r="G389" t="s">
        <v>193</v>
      </c>
      <c r="H389" t="s">
        <v>194</v>
      </c>
      <c r="I389" t="s">
        <v>3131</v>
      </c>
      <c r="J389" t="s">
        <v>316</v>
      </c>
      <c r="K389">
        <v>18</v>
      </c>
      <c r="L389" s="28">
        <v>522301</v>
      </c>
      <c r="M389" s="28" t="str">
        <f t="shared" si="6"/>
        <v>522301</v>
      </c>
      <c r="N389"/>
      <c r="O389"/>
    </row>
    <row r="390" spans="1:15" x14ac:dyDescent="0.25">
      <c r="A390" t="s">
        <v>3227</v>
      </c>
      <c r="B390" t="s">
        <v>3226</v>
      </c>
      <c r="C390" t="s">
        <v>740</v>
      </c>
      <c r="D390" t="s">
        <v>3167</v>
      </c>
      <c r="E390" t="s">
        <v>252</v>
      </c>
      <c r="F390" s="28">
        <v>1</v>
      </c>
      <c r="G390" t="s">
        <v>193</v>
      </c>
      <c r="H390" t="s">
        <v>194</v>
      </c>
      <c r="I390" t="s">
        <v>3131</v>
      </c>
      <c r="J390" t="s">
        <v>316</v>
      </c>
      <c r="K390">
        <v>18</v>
      </c>
      <c r="L390" s="28">
        <v>522301</v>
      </c>
      <c r="M390" s="28" t="str">
        <f t="shared" si="6"/>
        <v>522301</v>
      </c>
      <c r="N390"/>
      <c r="O390"/>
    </row>
    <row r="391" spans="1:15" x14ac:dyDescent="0.25">
      <c r="A391" t="s">
        <v>3262</v>
      </c>
      <c r="B391" t="s">
        <v>8</v>
      </c>
      <c r="C391" t="s">
        <v>740</v>
      </c>
      <c r="D391" t="s">
        <v>3252</v>
      </c>
      <c r="E391" t="s">
        <v>192</v>
      </c>
      <c r="F391" s="28">
        <v>1</v>
      </c>
      <c r="G391" t="s">
        <v>193</v>
      </c>
      <c r="H391" t="s">
        <v>194</v>
      </c>
      <c r="I391" t="s">
        <v>2990</v>
      </c>
      <c r="J391" t="s">
        <v>210</v>
      </c>
      <c r="K391">
        <v>18</v>
      </c>
      <c r="L391" s="28">
        <v>522301</v>
      </c>
      <c r="M391" s="28" t="str">
        <f t="shared" si="6"/>
        <v>522301</v>
      </c>
      <c r="N391"/>
      <c r="O391"/>
    </row>
    <row r="392" spans="1:15" x14ac:dyDescent="0.25">
      <c r="A392" t="s">
        <v>1167</v>
      </c>
      <c r="B392" t="s">
        <v>3278</v>
      </c>
      <c r="C392" t="s">
        <v>740</v>
      </c>
      <c r="D392" t="s">
        <v>3252</v>
      </c>
      <c r="E392" t="s">
        <v>217</v>
      </c>
      <c r="F392" s="28">
        <v>1</v>
      </c>
      <c r="G392" t="s">
        <v>193</v>
      </c>
      <c r="H392" t="s">
        <v>194</v>
      </c>
      <c r="I392" t="s">
        <v>2749</v>
      </c>
      <c r="J392" t="s">
        <v>276</v>
      </c>
      <c r="K392">
        <v>18</v>
      </c>
      <c r="L392" s="28">
        <v>522301</v>
      </c>
      <c r="M392" s="28" t="str">
        <f t="shared" si="6"/>
        <v>522301</v>
      </c>
      <c r="N392"/>
      <c r="O392"/>
    </row>
    <row r="393" spans="1:15" x14ac:dyDescent="0.25">
      <c r="A393" t="s">
        <v>1167</v>
      </c>
      <c r="B393" t="s">
        <v>3279</v>
      </c>
      <c r="C393" t="s">
        <v>740</v>
      </c>
      <c r="D393" t="s">
        <v>3252</v>
      </c>
      <c r="E393" t="s">
        <v>217</v>
      </c>
      <c r="F393" s="28">
        <v>1</v>
      </c>
      <c r="G393" t="s">
        <v>193</v>
      </c>
      <c r="H393" t="s">
        <v>194</v>
      </c>
      <c r="I393" t="s">
        <v>2749</v>
      </c>
      <c r="J393" t="s">
        <v>408</v>
      </c>
      <c r="K393">
        <v>18</v>
      </c>
      <c r="L393" s="28">
        <v>522301</v>
      </c>
      <c r="M393" s="28" t="str">
        <f t="shared" si="6"/>
        <v>522301</v>
      </c>
      <c r="N393"/>
      <c r="O393"/>
    </row>
    <row r="394" spans="1:15" x14ac:dyDescent="0.25">
      <c r="A394" t="s">
        <v>3284</v>
      </c>
      <c r="B394" t="s">
        <v>3285</v>
      </c>
      <c r="C394" t="s">
        <v>740</v>
      </c>
      <c r="D394" t="s">
        <v>3252</v>
      </c>
      <c r="E394" t="s">
        <v>192</v>
      </c>
      <c r="F394" s="28">
        <v>1</v>
      </c>
      <c r="G394" t="s">
        <v>193</v>
      </c>
      <c r="H394" t="s">
        <v>194</v>
      </c>
      <c r="I394" t="s">
        <v>2749</v>
      </c>
      <c r="J394" t="s">
        <v>210</v>
      </c>
      <c r="K394">
        <v>18</v>
      </c>
      <c r="L394" s="28">
        <v>522301</v>
      </c>
      <c r="M394" s="28" t="str">
        <f t="shared" si="6"/>
        <v>522301</v>
      </c>
      <c r="N394"/>
      <c r="O394"/>
    </row>
    <row r="395" spans="1:15" x14ac:dyDescent="0.25">
      <c r="A395" t="s">
        <v>1707</v>
      </c>
      <c r="B395" t="s">
        <v>1708</v>
      </c>
      <c r="C395" t="s">
        <v>740</v>
      </c>
      <c r="D395" t="s">
        <v>3252</v>
      </c>
      <c r="E395" t="s">
        <v>192</v>
      </c>
      <c r="F395" s="28">
        <v>1</v>
      </c>
      <c r="G395" t="s">
        <v>193</v>
      </c>
      <c r="H395" t="s">
        <v>194</v>
      </c>
      <c r="I395" t="s">
        <v>2749</v>
      </c>
      <c r="J395" t="s">
        <v>210</v>
      </c>
      <c r="K395">
        <v>18</v>
      </c>
      <c r="L395" s="28">
        <v>522301</v>
      </c>
      <c r="M395" s="28" t="str">
        <f t="shared" si="6"/>
        <v>522301</v>
      </c>
      <c r="N395"/>
      <c r="O395"/>
    </row>
    <row r="396" spans="1:15" x14ac:dyDescent="0.25">
      <c r="A396" t="s">
        <v>1468</v>
      </c>
      <c r="B396" t="s">
        <v>2927</v>
      </c>
      <c r="C396" t="s">
        <v>814</v>
      </c>
      <c r="D396" t="s">
        <v>2891</v>
      </c>
      <c r="E396" t="s">
        <v>192</v>
      </c>
      <c r="F396" s="28">
        <v>1</v>
      </c>
      <c r="G396" t="s">
        <v>193</v>
      </c>
      <c r="H396" t="s">
        <v>194</v>
      </c>
      <c r="I396" t="s">
        <v>2880</v>
      </c>
      <c r="J396" t="s">
        <v>301</v>
      </c>
      <c r="K396">
        <v>18</v>
      </c>
      <c r="L396" s="28">
        <v>722312</v>
      </c>
      <c r="M396" s="28" t="str">
        <f t="shared" si="6"/>
        <v>722312</v>
      </c>
      <c r="N396"/>
      <c r="O396"/>
    </row>
    <row r="397" spans="1:15" x14ac:dyDescent="0.25">
      <c r="A397" t="s">
        <v>1597</v>
      </c>
      <c r="B397" t="s">
        <v>3000</v>
      </c>
      <c r="C397" t="s">
        <v>42</v>
      </c>
      <c r="D397" t="s">
        <v>2989</v>
      </c>
      <c r="E397" t="s">
        <v>192</v>
      </c>
      <c r="F397" s="28">
        <v>1</v>
      </c>
      <c r="G397" t="s">
        <v>193</v>
      </c>
      <c r="H397" t="s">
        <v>194</v>
      </c>
      <c r="I397" t="s">
        <v>2750</v>
      </c>
      <c r="J397" t="s">
        <v>1599</v>
      </c>
      <c r="K397">
        <v>18</v>
      </c>
      <c r="L397" s="28">
        <v>325509</v>
      </c>
      <c r="M397" s="28" t="str">
        <f t="shared" si="6"/>
        <v>325509</v>
      </c>
      <c r="N397"/>
      <c r="O397"/>
    </row>
    <row r="398" spans="1:15" x14ac:dyDescent="0.25">
      <c r="A398" t="s">
        <v>2842</v>
      </c>
      <c r="B398" t="s">
        <v>2843</v>
      </c>
      <c r="C398" t="s">
        <v>39</v>
      </c>
      <c r="D398" t="s">
        <v>2790</v>
      </c>
      <c r="E398" t="s">
        <v>192</v>
      </c>
      <c r="F398" s="28">
        <v>1</v>
      </c>
      <c r="G398" t="s">
        <v>193</v>
      </c>
      <c r="H398" t="s">
        <v>194</v>
      </c>
      <c r="I398" t="s">
        <v>2749</v>
      </c>
      <c r="J398" t="s">
        <v>210</v>
      </c>
      <c r="K398">
        <v>18</v>
      </c>
      <c r="L398" s="28">
        <v>311204</v>
      </c>
      <c r="M398" s="28" t="str">
        <f t="shared" si="6"/>
        <v>311204</v>
      </c>
      <c r="N398"/>
      <c r="O398"/>
    </row>
    <row r="399" spans="1:15" x14ac:dyDescent="0.25">
      <c r="A399" t="s">
        <v>1201</v>
      </c>
      <c r="B399" t="s">
        <v>3090</v>
      </c>
      <c r="C399" t="s">
        <v>39</v>
      </c>
      <c r="D399" t="s">
        <v>3089</v>
      </c>
      <c r="E399" t="s">
        <v>192</v>
      </c>
      <c r="F399" s="28">
        <v>1</v>
      </c>
      <c r="G399" t="s">
        <v>193</v>
      </c>
      <c r="H399" t="s">
        <v>194</v>
      </c>
      <c r="I399" t="s">
        <v>3081</v>
      </c>
      <c r="J399" t="s">
        <v>385</v>
      </c>
      <c r="K399">
        <v>18</v>
      </c>
      <c r="L399" s="28">
        <v>311204</v>
      </c>
      <c r="M399" s="28" t="str">
        <f t="shared" si="6"/>
        <v>311204</v>
      </c>
      <c r="N399"/>
      <c r="O399"/>
    </row>
    <row r="400" spans="1:15" x14ac:dyDescent="0.25">
      <c r="A400" t="s">
        <v>360</v>
      </c>
      <c r="B400" t="s">
        <v>3199</v>
      </c>
      <c r="C400" t="s">
        <v>39</v>
      </c>
      <c r="D400" t="s">
        <v>3167</v>
      </c>
      <c r="E400" t="s">
        <v>192</v>
      </c>
      <c r="F400" s="28">
        <v>1</v>
      </c>
      <c r="G400" t="s">
        <v>193</v>
      </c>
      <c r="H400" t="s">
        <v>194</v>
      </c>
      <c r="I400" t="s">
        <v>3131</v>
      </c>
      <c r="J400" t="s">
        <v>210</v>
      </c>
      <c r="K400">
        <v>18</v>
      </c>
      <c r="L400" s="28">
        <v>311204</v>
      </c>
      <c r="M400" s="28" t="str">
        <f t="shared" si="6"/>
        <v>311204</v>
      </c>
      <c r="N400"/>
      <c r="O400"/>
    </row>
    <row r="401" spans="1:15" x14ac:dyDescent="0.25">
      <c r="A401" t="s">
        <v>2769</v>
      </c>
      <c r="B401" t="s">
        <v>2770</v>
      </c>
      <c r="C401" t="s">
        <v>2771</v>
      </c>
      <c r="D401" t="s">
        <v>2749</v>
      </c>
      <c r="E401" t="s">
        <v>233</v>
      </c>
      <c r="F401" s="28">
        <v>1</v>
      </c>
      <c r="G401" t="s">
        <v>193</v>
      </c>
      <c r="H401" t="s">
        <v>194</v>
      </c>
      <c r="I401" t="s">
        <v>2750</v>
      </c>
      <c r="J401" t="s">
        <v>210</v>
      </c>
      <c r="K401">
        <v>18</v>
      </c>
      <c r="L401" s="28">
        <v>331403</v>
      </c>
      <c r="M401" s="28" t="str">
        <f t="shared" si="6"/>
        <v>331403</v>
      </c>
      <c r="N401"/>
      <c r="O401"/>
    </row>
    <row r="402" spans="1:15" x14ac:dyDescent="0.25">
      <c r="A402" t="s">
        <v>2772</v>
      </c>
      <c r="B402" t="s">
        <v>2635</v>
      </c>
      <c r="C402" t="s">
        <v>560</v>
      </c>
      <c r="D402" t="s">
        <v>2749</v>
      </c>
      <c r="E402" t="s">
        <v>192</v>
      </c>
      <c r="F402" s="28">
        <v>1</v>
      </c>
      <c r="G402" t="s">
        <v>193</v>
      </c>
      <c r="H402" t="s">
        <v>194</v>
      </c>
      <c r="I402" t="s">
        <v>2750</v>
      </c>
      <c r="J402" t="s">
        <v>267</v>
      </c>
      <c r="K402">
        <v>18</v>
      </c>
      <c r="L402" s="28">
        <v>311408</v>
      </c>
      <c r="M402" s="28" t="str">
        <f t="shared" si="6"/>
        <v>311408</v>
      </c>
      <c r="N402"/>
      <c r="O402"/>
    </row>
    <row r="403" spans="1:15" x14ac:dyDescent="0.25">
      <c r="A403" t="s">
        <v>3172</v>
      </c>
      <c r="B403" t="s">
        <v>1609</v>
      </c>
      <c r="C403" t="s">
        <v>944</v>
      </c>
      <c r="D403" t="s">
        <v>3167</v>
      </c>
      <c r="E403" t="s">
        <v>192</v>
      </c>
      <c r="F403" s="28">
        <v>1</v>
      </c>
      <c r="G403" t="s">
        <v>193</v>
      </c>
      <c r="H403" t="s">
        <v>194</v>
      </c>
      <c r="I403" t="s">
        <v>3131</v>
      </c>
      <c r="J403" t="s">
        <v>367</v>
      </c>
      <c r="K403">
        <v>18</v>
      </c>
      <c r="L403" s="28">
        <v>321301</v>
      </c>
      <c r="M403" s="28" t="str">
        <f t="shared" si="6"/>
        <v>321301</v>
      </c>
      <c r="N403"/>
      <c r="O403"/>
    </row>
    <row r="404" spans="1:15" x14ac:dyDescent="0.25">
      <c r="A404" t="s">
        <v>3150</v>
      </c>
      <c r="B404" t="s">
        <v>3151</v>
      </c>
      <c r="C404" t="s">
        <v>3152</v>
      </c>
      <c r="D404" t="s">
        <v>3089</v>
      </c>
      <c r="E404" t="s">
        <v>192</v>
      </c>
      <c r="F404" s="28">
        <v>1</v>
      </c>
      <c r="G404" t="s">
        <v>193</v>
      </c>
      <c r="H404" t="s">
        <v>194</v>
      </c>
      <c r="I404" t="s">
        <v>3131</v>
      </c>
      <c r="J404" t="s">
        <v>747</v>
      </c>
      <c r="K404">
        <v>18</v>
      </c>
      <c r="L404" s="28">
        <v>311913</v>
      </c>
      <c r="M404" s="28" t="str">
        <f t="shared" si="6"/>
        <v>311913</v>
      </c>
      <c r="N404"/>
      <c r="O404"/>
    </row>
    <row r="405" spans="1:15" x14ac:dyDescent="0.25">
      <c r="A405" t="s">
        <v>2572</v>
      </c>
      <c r="B405" t="s">
        <v>3179</v>
      </c>
      <c r="C405" t="s">
        <v>770</v>
      </c>
      <c r="D405" t="s">
        <v>3167</v>
      </c>
      <c r="E405" t="s">
        <v>192</v>
      </c>
      <c r="F405" s="28">
        <v>1</v>
      </c>
      <c r="G405" t="s">
        <v>193</v>
      </c>
      <c r="H405" t="s">
        <v>194</v>
      </c>
      <c r="I405" t="s">
        <v>3131</v>
      </c>
      <c r="J405" t="s">
        <v>210</v>
      </c>
      <c r="K405">
        <v>18</v>
      </c>
      <c r="L405" s="28">
        <v>522305</v>
      </c>
      <c r="M405" s="28" t="str">
        <f t="shared" si="6"/>
        <v>522305</v>
      </c>
      <c r="N405"/>
      <c r="O405"/>
    </row>
    <row r="406" spans="1:15" x14ac:dyDescent="0.25">
      <c r="A406" t="s">
        <v>1622</v>
      </c>
      <c r="B406" t="s">
        <v>1623</v>
      </c>
      <c r="C406" t="s">
        <v>770</v>
      </c>
      <c r="D406" t="s">
        <v>3167</v>
      </c>
      <c r="E406" t="s">
        <v>233</v>
      </c>
      <c r="F406" s="28">
        <v>1</v>
      </c>
      <c r="G406" t="s">
        <v>193</v>
      </c>
      <c r="H406" t="s">
        <v>194</v>
      </c>
      <c r="I406" t="s">
        <v>2749</v>
      </c>
      <c r="J406" t="s">
        <v>210</v>
      </c>
      <c r="K406">
        <v>18</v>
      </c>
      <c r="L406" s="28">
        <v>522305</v>
      </c>
      <c r="M406" s="28" t="str">
        <f t="shared" si="6"/>
        <v>522305</v>
      </c>
      <c r="N406"/>
      <c r="O406"/>
    </row>
    <row r="407" spans="1:15" x14ac:dyDescent="0.25">
      <c r="A407" t="s">
        <v>3258</v>
      </c>
      <c r="B407" t="s">
        <v>3259</v>
      </c>
      <c r="C407" t="s">
        <v>3260</v>
      </c>
      <c r="D407" t="s">
        <v>3252</v>
      </c>
      <c r="E407" t="s">
        <v>192</v>
      </c>
      <c r="F407" s="28">
        <v>1</v>
      </c>
      <c r="G407" t="s">
        <v>193</v>
      </c>
      <c r="H407" t="s">
        <v>194</v>
      </c>
      <c r="I407" t="s">
        <v>3131</v>
      </c>
      <c r="J407" t="s">
        <v>747</v>
      </c>
      <c r="K407">
        <v>18</v>
      </c>
      <c r="L407" s="28">
        <v>522306</v>
      </c>
      <c r="M407" s="28" t="str">
        <f t="shared" si="6"/>
        <v>522306</v>
      </c>
      <c r="N407"/>
      <c r="O407"/>
    </row>
    <row r="408" spans="1:15" x14ac:dyDescent="0.25">
      <c r="A408" t="s">
        <v>1446</v>
      </c>
      <c r="B408" t="s">
        <v>3128</v>
      </c>
      <c r="C408" t="s">
        <v>1276</v>
      </c>
      <c r="D408" t="s">
        <v>3089</v>
      </c>
      <c r="E408" t="s">
        <v>192</v>
      </c>
      <c r="F408" s="28">
        <v>1</v>
      </c>
      <c r="G408" t="s">
        <v>193</v>
      </c>
      <c r="H408" t="s">
        <v>194</v>
      </c>
      <c r="I408" t="s">
        <v>3081</v>
      </c>
      <c r="J408" t="s">
        <v>672</v>
      </c>
      <c r="K408">
        <v>18</v>
      </c>
      <c r="L408" s="28">
        <v>315317</v>
      </c>
      <c r="M408" s="28" t="str">
        <f t="shared" si="6"/>
        <v>315317</v>
      </c>
      <c r="N408"/>
      <c r="O408"/>
    </row>
    <row r="409" spans="1:15" x14ac:dyDescent="0.25">
      <c r="A409" t="s">
        <v>1959</v>
      </c>
      <c r="B409" t="s">
        <v>3168</v>
      </c>
      <c r="C409" t="s">
        <v>1276</v>
      </c>
      <c r="D409" t="s">
        <v>3167</v>
      </c>
      <c r="E409" t="s">
        <v>192</v>
      </c>
      <c r="F409" s="28">
        <v>1</v>
      </c>
      <c r="G409" t="s">
        <v>193</v>
      </c>
      <c r="H409" t="s">
        <v>194</v>
      </c>
      <c r="I409" t="s">
        <v>3131</v>
      </c>
      <c r="J409" t="s">
        <v>196</v>
      </c>
      <c r="K409">
        <v>18</v>
      </c>
      <c r="L409" s="28">
        <v>315317</v>
      </c>
      <c r="M409" s="28" t="str">
        <f t="shared" si="6"/>
        <v>315317</v>
      </c>
      <c r="N409"/>
      <c r="O409"/>
    </row>
    <row r="410" spans="1:15" x14ac:dyDescent="0.25">
      <c r="A410" t="s">
        <v>3203</v>
      </c>
      <c r="B410" t="s">
        <v>3204</v>
      </c>
      <c r="C410" t="s">
        <v>2658</v>
      </c>
      <c r="D410" t="s">
        <v>3167</v>
      </c>
      <c r="E410" t="s">
        <v>192</v>
      </c>
      <c r="F410" s="28">
        <v>1</v>
      </c>
      <c r="G410" t="s">
        <v>193</v>
      </c>
      <c r="H410" t="s">
        <v>194</v>
      </c>
      <c r="I410" t="s">
        <v>3131</v>
      </c>
      <c r="J410" t="s">
        <v>962</v>
      </c>
      <c r="K410">
        <v>18</v>
      </c>
      <c r="L410" s="28">
        <v>311508</v>
      </c>
      <c r="M410" s="28" t="str">
        <f t="shared" si="6"/>
        <v>311508</v>
      </c>
      <c r="N410"/>
      <c r="O410"/>
    </row>
    <row r="411" spans="1:15" x14ac:dyDescent="0.25">
      <c r="A411" t="s">
        <v>1468</v>
      </c>
      <c r="B411" t="s">
        <v>2660</v>
      </c>
      <c r="C411" t="s">
        <v>574</v>
      </c>
      <c r="D411" t="s">
        <v>2989</v>
      </c>
      <c r="E411" t="s">
        <v>192</v>
      </c>
      <c r="F411" s="28">
        <v>1</v>
      </c>
      <c r="G411" t="s">
        <v>193</v>
      </c>
      <c r="H411" t="s">
        <v>194</v>
      </c>
      <c r="I411" t="s">
        <v>2774</v>
      </c>
      <c r="J411" t="s">
        <v>301</v>
      </c>
      <c r="K411">
        <v>18</v>
      </c>
      <c r="L411" s="28">
        <v>311509</v>
      </c>
      <c r="M411" s="28" t="str">
        <f t="shared" si="6"/>
        <v>311509</v>
      </c>
      <c r="N411"/>
      <c r="O411"/>
    </row>
    <row r="412" spans="1:15" x14ac:dyDescent="0.25">
      <c r="A412" t="s">
        <v>427</v>
      </c>
      <c r="B412" t="s">
        <v>832</v>
      </c>
      <c r="C412" t="s">
        <v>566</v>
      </c>
      <c r="D412" t="s">
        <v>2989</v>
      </c>
      <c r="E412" t="s">
        <v>192</v>
      </c>
      <c r="F412" s="28">
        <v>1</v>
      </c>
      <c r="G412" t="s">
        <v>193</v>
      </c>
      <c r="H412" t="s">
        <v>194</v>
      </c>
      <c r="I412" t="s">
        <v>2750</v>
      </c>
      <c r="J412" t="s">
        <v>238</v>
      </c>
      <c r="K412">
        <v>18</v>
      </c>
      <c r="L412" s="28">
        <v>311504</v>
      </c>
      <c r="M412" s="28" t="str">
        <f t="shared" si="6"/>
        <v>311504</v>
      </c>
      <c r="N412"/>
      <c r="O412"/>
    </row>
    <row r="413" spans="1:15" x14ac:dyDescent="0.25">
      <c r="A413" t="s">
        <v>3078</v>
      </c>
      <c r="B413" t="s">
        <v>3079</v>
      </c>
      <c r="C413" t="s">
        <v>566</v>
      </c>
      <c r="D413" t="s">
        <v>2989</v>
      </c>
      <c r="E413" t="s">
        <v>192</v>
      </c>
      <c r="F413" s="28">
        <v>1</v>
      </c>
      <c r="G413" t="s">
        <v>193</v>
      </c>
      <c r="H413" t="s">
        <v>194</v>
      </c>
      <c r="I413" t="s">
        <v>2774</v>
      </c>
      <c r="J413" t="s">
        <v>276</v>
      </c>
      <c r="K413">
        <v>18</v>
      </c>
      <c r="L413" s="28">
        <v>311504</v>
      </c>
      <c r="M413" s="28" t="str">
        <f t="shared" si="6"/>
        <v>311504</v>
      </c>
      <c r="N413"/>
      <c r="O413"/>
    </row>
    <row r="414" spans="1:15" x14ac:dyDescent="0.25">
      <c r="A414" t="s">
        <v>347</v>
      </c>
      <c r="B414" t="s">
        <v>3246</v>
      </c>
      <c r="C414" t="s">
        <v>566</v>
      </c>
      <c r="D414" t="s">
        <v>3167</v>
      </c>
      <c r="E414" t="s">
        <v>192</v>
      </c>
      <c r="F414" s="28">
        <v>1</v>
      </c>
      <c r="G414" t="s">
        <v>193</v>
      </c>
      <c r="H414" t="s">
        <v>194</v>
      </c>
      <c r="I414" t="s">
        <v>3131</v>
      </c>
      <c r="J414" t="s">
        <v>316</v>
      </c>
      <c r="K414">
        <v>18</v>
      </c>
      <c r="L414" s="28">
        <v>311504</v>
      </c>
      <c r="M414" s="28" t="str">
        <f t="shared" si="6"/>
        <v>311504</v>
      </c>
      <c r="N414"/>
      <c r="O414"/>
    </row>
    <row r="415" spans="1:15" x14ac:dyDescent="0.25">
      <c r="A415" t="s">
        <v>2888</v>
      </c>
      <c r="B415" t="s">
        <v>2889</v>
      </c>
      <c r="C415" t="s">
        <v>2890</v>
      </c>
      <c r="D415" t="s">
        <v>2880</v>
      </c>
      <c r="E415" t="s">
        <v>192</v>
      </c>
      <c r="F415" s="28">
        <v>1</v>
      </c>
      <c r="G415" t="s">
        <v>193</v>
      </c>
      <c r="H415" t="s">
        <v>194</v>
      </c>
      <c r="I415" t="s">
        <v>2774</v>
      </c>
      <c r="J415" t="s">
        <v>210</v>
      </c>
      <c r="K415">
        <v>18</v>
      </c>
      <c r="L415" s="28">
        <v>422103</v>
      </c>
      <c r="M415" s="28" t="str">
        <f t="shared" si="6"/>
        <v>422103</v>
      </c>
      <c r="N415"/>
      <c r="O415"/>
    </row>
    <row r="416" spans="1:15" x14ac:dyDescent="0.25">
      <c r="A416" t="s">
        <v>2779</v>
      </c>
      <c r="B416" t="s">
        <v>2780</v>
      </c>
      <c r="C416" t="s">
        <v>2781</v>
      </c>
      <c r="D416" t="s">
        <v>2749</v>
      </c>
      <c r="E416" t="s">
        <v>252</v>
      </c>
      <c r="F416" s="28">
        <v>1</v>
      </c>
      <c r="G416" t="s">
        <v>193</v>
      </c>
      <c r="H416" t="s">
        <v>194</v>
      </c>
      <c r="I416" t="s">
        <v>2774</v>
      </c>
      <c r="J416" t="s">
        <v>385</v>
      </c>
      <c r="K416">
        <v>18</v>
      </c>
      <c r="L416" s="28">
        <v>311922</v>
      </c>
      <c r="M416" s="28" t="str">
        <f t="shared" si="6"/>
        <v>311922</v>
      </c>
      <c r="N416"/>
      <c r="O416"/>
    </row>
    <row r="417" spans="1:15" x14ac:dyDescent="0.25">
      <c r="A417" t="s">
        <v>3018</v>
      </c>
      <c r="B417" t="s">
        <v>3019</v>
      </c>
      <c r="C417" t="s">
        <v>692</v>
      </c>
      <c r="D417" t="s">
        <v>2989</v>
      </c>
      <c r="E417" t="s">
        <v>192</v>
      </c>
      <c r="F417" s="28">
        <v>1</v>
      </c>
      <c r="G417" t="s">
        <v>193</v>
      </c>
      <c r="H417" t="s">
        <v>194</v>
      </c>
      <c r="I417" t="s">
        <v>2750</v>
      </c>
      <c r="J417" t="s">
        <v>2201</v>
      </c>
      <c r="K417">
        <v>18</v>
      </c>
      <c r="L417" s="28">
        <v>351103</v>
      </c>
      <c r="M417" s="28" t="str">
        <f t="shared" si="6"/>
        <v>351103</v>
      </c>
      <c r="N417"/>
      <c r="O417"/>
    </row>
    <row r="418" spans="1:15" x14ac:dyDescent="0.25">
      <c r="A418" t="s">
        <v>3239</v>
      </c>
      <c r="B418" t="s">
        <v>3240</v>
      </c>
      <c r="C418" t="s">
        <v>692</v>
      </c>
      <c r="D418" t="s">
        <v>3167</v>
      </c>
      <c r="E418" t="s">
        <v>192</v>
      </c>
      <c r="F418" s="28">
        <v>1</v>
      </c>
      <c r="G418" t="s">
        <v>193</v>
      </c>
      <c r="H418" t="s">
        <v>194</v>
      </c>
      <c r="I418" t="s">
        <v>3131</v>
      </c>
      <c r="J418" t="s">
        <v>3241</v>
      </c>
      <c r="K418">
        <v>18</v>
      </c>
      <c r="L418" s="28">
        <v>351103</v>
      </c>
      <c r="M418" s="28" t="str">
        <f t="shared" si="6"/>
        <v>351103</v>
      </c>
      <c r="N418"/>
      <c r="O418"/>
    </row>
    <row r="419" spans="1:15" x14ac:dyDescent="0.25">
      <c r="A419" t="s">
        <v>3074</v>
      </c>
      <c r="B419" t="s">
        <v>3075</v>
      </c>
      <c r="C419" t="s">
        <v>1046</v>
      </c>
      <c r="D419" t="s">
        <v>2989</v>
      </c>
      <c r="E419" t="s">
        <v>192</v>
      </c>
      <c r="F419" s="28">
        <v>1</v>
      </c>
      <c r="G419" t="s">
        <v>193</v>
      </c>
      <c r="H419" t="s">
        <v>194</v>
      </c>
      <c r="I419" t="s">
        <v>2774</v>
      </c>
      <c r="J419" t="s">
        <v>210</v>
      </c>
      <c r="K419">
        <v>18</v>
      </c>
      <c r="L419" s="28">
        <v>352203</v>
      </c>
      <c r="M419" s="28" t="str">
        <f t="shared" si="6"/>
        <v>352203</v>
      </c>
      <c r="N419"/>
      <c r="O419"/>
    </row>
    <row r="420" spans="1:15" x14ac:dyDescent="0.25">
      <c r="A420" t="s">
        <v>364</v>
      </c>
      <c r="B420" t="s">
        <v>2803</v>
      </c>
      <c r="C420" t="s">
        <v>345</v>
      </c>
      <c r="D420" t="s">
        <v>2790</v>
      </c>
      <c r="E420" t="s">
        <v>192</v>
      </c>
      <c r="F420" s="28">
        <v>1</v>
      </c>
      <c r="G420" t="s">
        <v>193</v>
      </c>
      <c r="H420" t="s">
        <v>194</v>
      </c>
      <c r="I420" t="s">
        <v>2749</v>
      </c>
      <c r="J420" t="s">
        <v>210</v>
      </c>
      <c r="K420">
        <v>18</v>
      </c>
      <c r="L420" s="28">
        <v>214931</v>
      </c>
      <c r="M420" s="28" t="str">
        <f t="shared" si="6"/>
        <v>214931</v>
      </c>
      <c r="N420"/>
      <c r="O420"/>
    </row>
    <row r="421" spans="1:15" x14ac:dyDescent="0.25">
      <c r="A421" t="s">
        <v>3229</v>
      </c>
      <c r="B421" t="s">
        <v>2987</v>
      </c>
      <c r="C421" t="s">
        <v>345</v>
      </c>
      <c r="D421" t="s">
        <v>3167</v>
      </c>
      <c r="E421" t="s">
        <v>192</v>
      </c>
      <c r="F421" s="28">
        <v>1</v>
      </c>
      <c r="G421" t="s">
        <v>193</v>
      </c>
      <c r="H421" t="s">
        <v>194</v>
      </c>
      <c r="I421" t="s">
        <v>3131</v>
      </c>
      <c r="J421" t="s">
        <v>276</v>
      </c>
      <c r="K421">
        <v>18</v>
      </c>
      <c r="L421" s="28">
        <v>214931</v>
      </c>
      <c r="M421" s="28" t="str">
        <f t="shared" si="6"/>
        <v>214931</v>
      </c>
      <c r="N421"/>
      <c r="O421"/>
    </row>
    <row r="422" spans="1:15" x14ac:dyDescent="0.25">
      <c r="A422" t="s">
        <v>491</v>
      </c>
      <c r="B422" t="s">
        <v>2860</v>
      </c>
      <c r="C422" t="s">
        <v>2861</v>
      </c>
      <c r="D422" t="s">
        <v>2790</v>
      </c>
      <c r="E422" t="s">
        <v>192</v>
      </c>
      <c r="F422" s="28">
        <v>1</v>
      </c>
      <c r="G422" t="s">
        <v>193</v>
      </c>
      <c r="H422" t="s">
        <v>194</v>
      </c>
      <c r="I422" t="s">
        <v>2749</v>
      </c>
      <c r="J422" t="s">
        <v>210</v>
      </c>
      <c r="K422">
        <v>18</v>
      </c>
      <c r="L422" s="28">
        <v>251903</v>
      </c>
      <c r="M422" s="28" t="str">
        <f t="shared" si="6"/>
        <v>251903</v>
      </c>
      <c r="N422"/>
      <c r="O422"/>
    </row>
    <row r="423" spans="1:15" x14ac:dyDescent="0.25">
      <c r="A423" t="s">
        <v>2267</v>
      </c>
      <c r="B423" t="s">
        <v>3247</v>
      </c>
      <c r="C423" t="s">
        <v>2861</v>
      </c>
      <c r="D423" t="s">
        <v>3167</v>
      </c>
      <c r="E423" t="s">
        <v>192</v>
      </c>
      <c r="F423" s="28">
        <v>1</v>
      </c>
      <c r="G423" t="s">
        <v>193</v>
      </c>
      <c r="H423" t="s">
        <v>194</v>
      </c>
      <c r="I423" t="s">
        <v>3131</v>
      </c>
      <c r="J423" t="s">
        <v>210</v>
      </c>
      <c r="K423">
        <v>18</v>
      </c>
      <c r="L423" s="28">
        <v>251903</v>
      </c>
      <c r="M423" s="28" t="str">
        <f t="shared" si="6"/>
        <v>251903</v>
      </c>
      <c r="N423"/>
      <c r="O423"/>
    </row>
    <row r="424" spans="1:15" x14ac:dyDescent="0.25">
      <c r="A424" t="s">
        <v>2991</v>
      </c>
      <c r="B424" t="s">
        <v>2992</v>
      </c>
      <c r="C424" t="s">
        <v>2993</v>
      </c>
      <c r="D424" t="s">
        <v>2989</v>
      </c>
      <c r="E424" t="s">
        <v>192</v>
      </c>
      <c r="F424" s="28">
        <v>1</v>
      </c>
      <c r="G424" t="s">
        <v>193</v>
      </c>
      <c r="H424" t="s">
        <v>194</v>
      </c>
      <c r="I424" t="s">
        <v>2971</v>
      </c>
      <c r="J424" t="s">
        <v>223</v>
      </c>
      <c r="K424">
        <v>18</v>
      </c>
      <c r="L424" s="28">
        <v>251904</v>
      </c>
      <c r="M424" s="28" t="str">
        <f t="shared" si="6"/>
        <v>251904</v>
      </c>
      <c r="N424"/>
      <c r="O424"/>
    </row>
    <row r="425" spans="1:15" x14ac:dyDescent="0.25">
      <c r="A425" t="s">
        <v>278</v>
      </c>
      <c r="B425" t="s">
        <v>1551</v>
      </c>
      <c r="C425" t="s">
        <v>2993</v>
      </c>
      <c r="D425" t="s">
        <v>3252</v>
      </c>
      <c r="E425" t="s">
        <v>192</v>
      </c>
      <c r="F425" s="28">
        <v>1</v>
      </c>
      <c r="G425" t="s">
        <v>193</v>
      </c>
      <c r="H425" t="s">
        <v>194</v>
      </c>
      <c r="I425" t="s">
        <v>2749</v>
      </c>
      <c r="J425" t="s">
        <v>210</v>
      </c>
      <c r="K425">
        <v>18</v>
      </c>
      <c r="L425" s="28">
        <v>251904</v>
      </c>
      <c r="M425" s="28" t="str">
        <f t="shared" si="6"/>
        <v>251904</v>
      </c>
      <c r="N425"/>
      <c r="O425"/>
    </row>
    <row r="426" spans="1:15" x14ac:dyDescent="0.25">
      <c r="A426" t="s">
        <v>2967</v>
      </c>
      <c r="B426" t="s">
        <v>2968</v>
      </c>
      <c r="C426" t="s">
        <v>542</v>
      </c>
      <c r="D426" t="s">
        <v>2891</v>
      </c>
      <c r="E426" t="s">
        <v>252</v>
      </c>
      <c r="F426" s="28">
        <v>1</v>
      </c>
      <c r="G426" t="s">
        <v>193</v>
      </c>
      <c r="H426" t="s">
        <v>194</v>
      </c>
      <c r="I426" t="s">
        <v>2790</v>
      </c>
      <c r="J426" t="s">
        <v>2969</v>
      </c>
      <c r="K426">
        <v>18</v>
      </c>
      <c r="L426" s="28">
        <v>264304</v>
      </c>
      <c r="M426" s="28" t="str">
        <f t="shared" si="6"/>
        <v>264304</v>
      </c>
      <c r="N426"/>
      <c r="O426"/>
    </row>
    <row r="427" spans="1:15" x14ac:dyDescent="0.25">
      <c r="A427" t="s">
        <v>1468</v>
      </c>
      <c r="B427" t="s">
        <v>2928</v>
      </c>
      <c r="C427" t="s">
        <v>2929</v>
      </c>
      <c r="D427" t="s">
        <v>2891</v>
      </c>
      <c r="E427" t="s">
        <v>192</v>
      </c>
      <c r="F427" s="28">
        <v>1</v>
      </c>
      <c r="G427" t="s">
        <v>193</v>
      </c>
      <c r="H427" t="s">
        <v>194</v>
      </c>
      <c r="I427" t="s">
        <v>2880</v>
      </c>
      <c r="J427" t="s">
        <v>301</v>
      </c>
      <c r="K427">
        <v>18</v>
      </c>
      <c r="L427" s="28">
        <v>722314</v>
      </c>
      <c r="M427" s="28" t="str">
        <f t="shared" si="6"/>
        <v>722314</v>
      </c>
      <c r="N427"/>
      <c r="O427"/>
    </row>
    <row r="428" spans="1:15" x14ac:dyDescent="0.25">
      <c r="A428" t="s">
        <v>1743</v>
      </c>
      <c r="B428" t="s">
        <v>2761</v>
      </c>
      <c r="D428" t="s">
        <v>2749</v>
      </c>
      <c r="E428" t="s">
        <v>217</v>
      </c>
      <c r="F428" s="76">
        <v>0</v>
      </c>
      <c r="G428" s="75" t="s">
        <v>194</v>
      </c>
      <c r="H428" t="s">
        <v>193</v>
      </c>
      <c r="I428" t="s">
        <v>2750</v>
      </c>
      <c r="J428" t="s">
        <v>2762</v>
      </c>
      <c r="K428">
        <v>18</v>
      </c>
      <c r="N428" s="28">
        <v>0</v>
      </c>
    </row>
    <row r="429" spans="1:15" x14ac:dyDescent="0.25">
      <c r="A429" t="s">
        <v>2775</v>
      </c>
      <c r="B429" t="s">
        <v>2776</v>
      </c>
      <c r="D429" t="s">
        <v>2749</v>
      </c>
      <c r="E429" t="s">
        <v>217</v>
      </c>
      <c r="F429" s="76">
        <v>0</v>
      </c>
      <c r="G429" s="75" t="s">
        <v>194</v>
      </c>
      <c r="H429" t="s">
        <v>193</v>
      </c>
      <c r="I429" t="s">
        <v>2774</v>
      </c>
      <c r="J429" t="s">
        <v>196</v>
      </c>
      <c r="K429">
        <v>18</v>
      </c>
      <c r="M429" s="28" t="str">
        <f t="shared" si="6"/>
        <v/>
      </c>
      <c r="N429" s="28">
        <v>0</v>
      </c>
    </row>
    <row r="430" spans="1:15" x14ac:dyDescent="0.25">
      <c r="A430" t="s">
        <v>915</v>
      </c>
      <c r="B430" t="s">
        <v>2844</v>
      </c>
      <c r="D430" t="s">
        <v>2790</v>
      </c>
      <c r="E430" t="s">
        <v>233</v>
      </c>
      <c r="F430" s="76">
        <v>0</v>
      </c>
      <c r="G430" s="75" t="s">
        <v>194</v>
      </c>
      <c r="H430" t="s">
        <v>193</v>
      </c>
      <c r="I430" t="s">
        <v>2749</v>
      </c>
      <c r="J430" t="s">
        <v>196</v>
      </c>
      <c r="K430">
        <v>18</v>
      </c>
      <c r="M430" s="28" t="str">
        <f t="shared" si="6"/>
        <v/>
      </c>
      <c r="N430" s="28">
        <v>0</v>
      </c>
    </row>
    <row r="431" spans="1:15" x14ac:dyDescent="0.25">
      <c r="A431" t="s">
        <v>915</v>
      </c>
      <c r="B431" t="s">
        <v>2845</v>
      </c>
      <c r="D431" t="s">
        <v>2790</v>
      </c>
      <c r="E431" t="s">
        <v>233</v>
      </c>
      <c r="F431" s="76">
        <v>0</v>
      </c>
      <c r="G431" s="75" t="s">
        <v>194</v>
      </c>
      <c r="H431" t="s">
        <v>193</v>
      </c>
      <c r="I431" t="s">
        <v>2749</v>
      </c>
      <c r="J431" t="s">
        <v>196</v>
      </c>
      <c r="K431">
        <v>18</v>
      </c>
      <c r="M431" s="28" t="str">
        <f t="shared" si="6"/>
        <v/>
      </c>
      <c r="N431" s="28">
        <v>0</v>
      </c>
    </row>
    <row r="432" spans="1:15" x14ac:dyDescent="0.25">
      <c r="A432" t="s">
        <v>915</v>
      </c>
      <c r="B432" t="s">
        <v>2847</v>
      </c>
      <c r="D432" t="s">
        <v>2790</v>
      </c>
      <c r="E432" t="s">
        <v>233</v>
      </c>
      <c r="F432" s="76">
        <v>0</v>
      </c>
      <c r="G432" s="75" t="s">
        <v>194</v>
      </c>
      <c r="H432" t="s">
        <v>193</v>
      </c>
      <c r="I432" t="s">
        <v>2749</v>
      </c>
      <c r="J432" t="s">
        <v>196</v>
      </c>
      <c r="K432">
        <v>18</v>
      </c>
      <c r="M432" s="28" t="str">
        <f t="shared" si="6"/>
        <v/>
      </c>
      <c r="N432" s="28">
        <v>0</v>
      </c>
    </row>
    <row r="433" spans="1:14" x14ac:dyDescent="0.25">
      <c r="A433" t="s">
        <v>915</v>
      </c>
      <c r="B433" t="s">
        <v>2848</v>
      </c>
      <c r="D433" t="s">
        <v>2790</v>
      </c>
      <c r="E433" t="s">
        <v>233</v>
      </c>
      <c r="F433" s="76">
        <v>0</v>
      </c>
      <c r="G433" s="75" t="s">
        <v>194</v>
      </c>
      <c r="H433" t="s">
        <v>193</v>
      </c>
      <c r="I433" t="s">
        <v>2749</v>
      </c>
      <c r="J433" t="s">
        <v>196</v>
      </c>
      <c r="K433">
        <v>18</v>
      </c>
      <c r="M433" s="28" t="str">
        <f t="shared" si="6"/>
        <v/>
      </c>
      <c r="N433" s="28">
        <v>0</v>
      </c>
    </row>
    <row r="434" spans="1:14" x14ac:dyDescent="0.25">
      <c r="A434" t="s">
        <v>915</v>
      </c>
      <c r="B434" t="s">
        <v>2849</v>
      </c>
      <c r="D434" t="s">
        <v>2790</v>
      </c>
      <c r="E434" t="s">
        <v>233</v>
      </c>
      <c r="F434" s="76">
        <v>0</v>
      </c>
      <c r="G434" s="75" t="s">
        <v>194</v>
      </c>
      <c r="H434" t="s">
        <v>193</v>
      </c>
      <c r="I434" t="s">
        <v>2749</v>
      </c>
      <c r="J434" t="s">
        <v>196</v>
      </c>
      <c r="K434">
        <v>18</v>
      </c>
      <c r="M434" s="28" t="str">
        <f t="shared" si="6"/>
        <v/>
      </c>
      <c r="N434" s="28">
        <v>0</v>
      </c>
    </row>
    <row r="435" spans="1:14" x14ac:dyDescent="0.25">
      <c r="A435" t="s">
        <v>915</v>
      </c>
      <c r="B435" t="s">
        <v>2850</v>
      </c>
      <c r="D435" t="s">
        <v>2790</v>
      </c>
      <c r="E435" t="s">
        <v>233</v>
      </c>
      <c r="F435" s="76">
        <v>0</v>
      </c>
      <c r="G435" s="75" t="s">
        <v>194</v>
      </c>
      <c r="H435" t="s">
        <v>193</v>
      </c>
      <c r="I435" t="s">
        <v>2749</v>
      </c>
      <c r="J435" t="s">
        <v>196</v>
      </c>
      <c r="K435">
        <v>18</v>
      </c>
      <c r="M435" s="28" t="str">
        <f t="shared" si="6"/>
        <v/>
      </c>
      <c r="N435" s="28">
        <v>0</v>
      </c>
    </row>
    <row r="436" spans="1:14" x14ac:dyDescent="0.25">
      <c r="A436" t="s">
        <v>915</v>
      </c>
      <c r="B436" t="s">
        <v>2851</v>
      </c>
      <c r="D436" t="s">
        <v>2790</v>
      </c>
      <c r="E436" t="s">
        <v>233</v>
      </c>
      <c r="F436" s="76">
        <v>0</v>
      </c>
      <c r="G436" s="75" t="s">
        <v>194</v>
      </c>
      <c r="H436" t="s">
        <v>193</v>
      </c>
      <c r="I436" t="s">
        <v>2749</v>
      </c>
      <c r="J436" t="s">
        <v>196</v>
      </c>
      <c r="K436">
        <v>18</v>
      </c>
      <c r="M436" s="28" t="str">
        <f t="shared" si="6"/>
        <v/>
      </c>
      <c r="N436" s="28">
        <v>0</v>
      </c>
    </row>
    <row r="437" spans="1:14" x14ac:dyDescent="0.25">
      <c r="A437" t="s">
        <v>915</v>
      </c>
      <c r="B437" t="s">
        <v>2852</v>
      </c>
      <c r="D437" t="s">
        <v>2790</v>
      </c>
      <c r="E437" t="s">
        <v>233</v>
      </c>
      <c r="F437" s="76">
        <v>0</v>
      </c>
      <c r="G437" s="75" t="s">
        <v>194</v>
      </c>
      <c r="H437" t="s">
        <v>193</v>
      </c>
      <c r="I437" t="s">
        <v>2749</v>
      </c>
      <c r="J437" t="s">
        <v>196</v>
      </c>
      <c r="K437">
        <v>18</v>
      </c>
      <c r="M437" s="28" t="str">
        <f t="shared" si="6"/>
        <v/>
      </c>
      <c r="N437" s="28">
        <v>0</v>
      </c>
    </row>
    <row r="438" spans="1:14" x14ac:dyDescent="0.25">
      <c r="A438" t="s">
        <v>915</v>
      </c>
      <c r="B438" t="s">
        <v>2853</v>
      </c>
      <c r="D438" t="s">
        <v>2790</v>
      </c>
      <c r="E438" t="s">
        <v>233</v>
      </c>
      <c r="F438" s="76">
        <v>0</v>
      </c>
      <c r="G438" s="75" t="s">
        <v>194</v>
      </c>
      <c r="H438" t="s">
        <v>193</v>
      </c>
      <c r="I438" t="s">
        <v>2749</v>
      </c>
      <c r="J438" t="s">
        <v>196</v>
      </c>
      <c r="K438">
        <v>18</v>
      </c>
      <c r="M438" s="28" t="str">
        <f t="shared" si="6"/>
        <v/>
      </c>
      <c r="N438" s="28">
        <v>0</v>
      </c>
    </row>
    <row r="439" spans="1:14" x14ac:dyDescent="0.25">
      <c r="A439" t="s">
        <v>2876</v>
      </c>
      <c r="B439" t="s">
        <v>2877</v>
      </c>
      <c r="D439" t="s">
        <v>2790</v>
      </c>
      <c r="E439" t="s">
        <v>217</v>
      </c>
      <c r="F439" s="76">
        <v>0</v>
      </c>
      <c r="G439" s="75" t="s">
        <v>194</v>
      </c>
      <c r="H439" t="s">
        <v>193</v>
      </c>
      <c r="I439" t="s">
        <v>2749</v>
      </c>
      <c r="J439" t="s">
        <v>2878</v>
      </c>
      <c r="K439">
        <v>18</v>
      </c>
      <c r="M439" s="28" t="str">
        <f t="shared" si="6"/>
        <v/>
      </c>
      <c r="N439" s="28">
        <v>0</v>
      </c>
    </row>
    <row r="440" spans="1:14" x14ac:dyDescent="0.25">
      <c r="A440" t="s">
        <v>1074</v>
      </c>
      <c r="B440" t="s">
        <v>2879</v>
      </c>
      <c r="D440" t="s">
        <v>2880</v>
      </c>
      <c r="E440" t="s">
        <v>252</v>
      </c>
      <c r="F440" s="76">
        <v>0</v>
      </c>
      <c r="G440" s="75" t="s">
        <v>194</v>
      </c>
      <c r="H440" t="s">
        <v>193</v>
      </c>
      <c r="I440" t="s">
        <v>2774</v>
      </c>
      <c r="J440" t="s">
        <v>1079</v>
      </c>
      <c r="K440">
        <v>18</v>
      </c>
      <c r="M440" s="28" t="str">
        <f t="shared" si="6"/>
        <v/>
      </c>
      <c r="N440" s="28">
        <v>0</v>
      </c>
    </row>
    <row r="441" spans="1:14" x14ac:dyDescent="0.25">
      <c r="A441" t="s">
        <v>2907</v>
      </c>
      <c r="B441" t="s">
        <v>2908</v>
      </c>
      <c r="D441" t="s">
        <v>2891</v>
      </c>
      <c r="E441" t="s">
        <v>252</v>
      </c>
      <c r="F441" s="76">
        <v>0</v>
      </c>
      <c r="G441" s="75" t="s">
        <v>194</v>
      </c>
      <c r="H441" t="s">
        <v>193</v>
      </c>
      <c r="I441" t="s">
        <v>2880</v>
      </c>
      <c r="J441" t="s">
        <v>2909</v>
      </c>
      <c r="K441">
        <v>18</v>
      </c>
      <c r="N441" s="28">
        <v>0</v>
      </c>
    </row>
    <row r="442" spans="1:14" x14ac:dyDescent="0.25">
      <c r="A442" t="s">
        <v>915</v>
      </c>
      <c r="B442" t="s">
        <v>2949</v>
      </c>
      <c r="D442" t="s">
        <v>2891</v>
      </c>
      <c r="E442" t="s">
        <v>233</v>
      </c>
      <c r="F442" s="76">
        <v>0</v>
      </c>
      <c r="G442" s="75" t="s">
        <v>194</v>
      </c>
      <c r="H442" t="s">
        <v>193</v>
      </c>
      <c r="I442" t="s">
        <v>2790</v>
      </c>
      <c r="J442" t="s">
        <v>196</v>
      </c>
      <c r="K442">
        <v>18</v>
      </c>
      <c r="M442" s="28" t="str">
        <f t="shared" si="6"/>
        <v/>
      </c>
      <c r="N442" s="28">
        <v>0</v>
      </c>
    </row>
    <row r="443" spans="1:14" x14ac:dyDescent="0.25">
      <c r="A443" t="s">
        <v>915</v>
      </c>
      <c r="B443" t="s">
        <v>2950</v>
      </c>
      <c r="D443" t="s">
        <v>2891</v>
      </c>
      <c r="E443" t="s">
        <v>233</v>
      </c>
      <c r="F443" s="76">
        <v>0</v>
      </c>
      <c r="G443" s="75" t="s">
        <v>194</v>
      </c>
      <c r="H443" t="s">
        <v>193</v>
      </c>
      <c r="I443" t="s">
        <v>2790</v>
      </c>
      <c r="J443" t="s">
        <v>196</v>
      </c>
      <c r="K443">
        <v>18</v>
      </c>
      <c r="M443" s="28" t="str">
        <f t="shared" si="6"/>
        <v/>
      </c>
      <c r="N443" s="28">
        <v>0</v>
      </c>
    </row>
    <row r="444" spans="1:14" x14ac:dyDescent="0.25">
      <c r="A444" t="s">
        <v>890</v>
      </c>
      <c r="B444" t="s">
        <v>3022</v>
      </c>
      <c r="D444" t="s">
        <v>2989</v>
      </c>
      <c r="E444" t="s">
        <v>192</v>
      </c>
      <c r="F444" s="76">
        <v>0</v>
      </c>
      <c r="G444" s="75" t="s">
        <v>194</v>
      </c>
      <c r="H444" t="s">
        <v>193</v>
      </c>
      <c r="I444" t="s">
        <v>2774</v>
      </c>
      <c r="J444" t="s">
        <v>210</v>
      </c>
      <c r="K444">
        <v>18</v>
      </c>
      <c r="M444" s="28" t="str">
        <f t="shared" si="6"/>
        <v/>
      </c>
      <c r="N444" s="28">
        <v>0</v>
      </c>
    </row>
    <row r="445" spans="1:14" x14ac:dyDescent="0.25">
      <c r="A445" t="s">
        <v>3087</v>
      </c>
      <c r="B445" t="s">
        <v>3088</v>
      </c>
      <c r="D445" t="s">
        <v>2989</v>
      </c>
      <c r="E445" t="s">
        <v>192</v>
      </c>
      <c r="F445" s="76">
        <v>0</v>
      </c>
      <c r="G445" s="75" t="s">
        <v>194</v>
      </c>
      <c r="H445" t="s">
        <v>193</v>
      </c>
      <c r="I445" t="s">
        <v>2749</v>
      </c>
      <c r="J445" t="s">
        <v>196</v>
      </c>
      <c r="K445">
        <v>18</v>
      </c>
      <c r="M445" s="28" t="str">
        <f t="shared" si="6"/>
        <v/>
      </c>
      <c r="N445" s="28">
        <v>0</v>
      </c>
    </row>
    <row r="446" spans="1:14" x14ac:dyDescent="0.25">
      <c r="A446" t="s">
        <v>3094</v>
      </c>
      <c r="B446" t="s">
        <v>3095</v>
      </c>
      <c r="D446" t="s">
        <v>3089</v>
      </c>
      <c r="E446" t="s">
        <v>192</v>
      </c>
      <c r="F446" s="76">
        <v>0</v>
      </c>
      <c r="G446" s="75" t="s">
        <v>194</v>
      </c>
      <c r="H446" t="s">
        <v>193</v>
      </c>
      <c r="I446" t="s">
        <v>3081</v>
      </c>
      <c r="J446" t="s">
        <v>196</v>
      </c>
      <c r="K446">
        <v>18</v>
      </c>
      <c r="M446" s="28" t="str">
        <f t="shared" si="6"/>
        <v/>
      </c>
      <c r="N446" s="28">
        <v>0</v>
      </c>
    </row>
    <row r="447" spans="1:14" x14ac:dyDescent="0.25">
      <c r="A447" t="s">
        <v>2236</v>
      </c>
      <c r="B447" t="s">
        <v>439</v>
      </c>
      <c r="D447" t="s">
        <v>3089</v>
      </c>
      <c r="E447" t="s">
        <v>192</v>
      </c>
      <c r="F447" s="76">
        <v>0</v>
      </c>
      <c r="G447" s="75" t="s">
        <v>194</v>
      </c>
      <c r="H447" t="s">
        <v>193</v>
      </c>
      <c r="I447" t="s">
        <v>2892</v>
      </c>
      <c r="J447" t="s">
        <v>210</v>
      </c>
      <c r="K447">
        <v>18</v>
      </c>
      <c r="M447" s="28" t="str">
        <f t="shared" si="6"/>
        <v/>
      </c>
      <c r="N447" s="28">
        <v>0</v>
      </c>
    </row>
    <row r="448" spans="1:14" x14ac:dyDescent="0.25">
      <c r="A448" t="s">
        <v>1647</v>
      </c>
      <c r="B448" t="s">
        <v>3103</v>
      </c>
      <c r="D448" t="s">
        <v>3089</v>
      </c>
      <c r="E448" t="s">
        <v>192</v>
      </c>
      <c r="F448" s="76">
        <v>0</v>
      </c>
      <c r="G448" s="75" t="s">
        <v>194</v>
      </c>
      <c r="H448" t="s">
        <v>193</v>
      </c>
      <c r="I448" t="s">
        <v>3081</v>
      </c>
      <c r="J448" t="s">
        <v>249</v>
      </c>
      <c r="K448">
        <v>18</v>
      </c>
      <c r="M448" s="28" t="str">
        <f t="shared" si="6"/>
        <v/>
      </c>
      <c r="N448" s="28">
        <v>0</v>
      </c>
    </row>
    <row r="449" spans="1:15" x14ac:dyDescent="0.25">
      <c r="A449" t="s">
        <v>1647</v>
      </c>
      <c r="B449" t="s">
        <v>1648</v>
      </c>
      <c r="D449" t="s">
        <v>3089</v>
      </c>
      <c r="E449" t="s">
        <v>192</v>
      </c>
      <c r="F449" s="76">
        <v>0</v>
      </c>
      <c r="G449" s="75" t="s">
        <v>194</v>
      </c>
      <c r="H449" t="s">
        <v>193</v>
      </c>
      <c r="I449" t="s">
        <v>3081</v>
      </c>
      <c r="J449" t="s">
        <v>249</v>
      </c>
      <c r="K449">
        <v>18</v>
      </c>
      <c r="M449" s="28" t="str">
        <f t="shared" si="6"/>
        <v/>
      </c>
      <c r="N449" s="28">
        <v>0</v>
      </c>
    </row>
    <row r="450" spans="1:15" x14ac:dyDescent="0.25">
      <c r="A450" t="s">
        <v>3125</v>
      </c>
      <c r="B450" t="s">
        <v>3126</v>
      </c>
      <c r="D450" t="s">
        <v>3089</v>
      </c>
      <c r="E450" t="s">
        <v>217</v>
      </c>
      <c r="F450" s="76">
        <v>0</v>
      </c>
      <c r="G450" s="75" t="s">
        <v>194</v>
      </c>
      <c r="H450" t="s">
        <v>193</v>
      </c>
      <c r="I450" t="s">
        <v>2749</v>
      </c>
      <c r="J450" t="s">
        <v>3127</v>
      </c>
      <c r="K450">
        <v>18</v>
      </c>
      <c r="M450" s="28" t="str">
        <f t="shared" si="6"/>
        <v/>
      </c>
      <c r="N450" s="28">
        <v>0</v>
      </c>
    </row>
    <row r="451" spans="1:15" x14ac:dyDescent="0.25">
      <c r="A451" t="s">
        <v>3138</v>
      </c>
      <c r="B451" t="s">
        <v>3139</v>
      </c>
      <c r="D451" t="s">
        <v>3089</v>
      </c>
      <c r="E451" t="s">
        <v>217</v>
      </c>
      <c r="F451" s="76">
        <v>0</v>
      </c>
      <c r="G451" s="75" t="s">
        <v>194</v>
      </c>
      <c r="H451" t="s">
        <v>193</v>
      </c>
      <c r="I451" t="s">
        <v>2749</v>
      </c>
      <c r="J451" t="s">
        <v>196</v>
      </c>
      <c r="K451">
        <v>18</v>
      </c>
      <c r="M451" s="28" t="str">
        <f t="shared" ref="M451:M462" si="7">MID(L451,1,6)</f>
        <v/>
      </c>
      <c r="N451" s="28">
        <v>0</v>
      </c>
    </row>
    <row r="452" spans="1:15" x14ac:dyDescent="0.25">
      <c r="A452" t="s">
        <v>1091</v>
      </c>
      <c r="B452" t="s">
        <v>3193</v>
      </c>
      <c r="D452" t="s">
        <v>3167</v>
      </c>
      <c r="E452" t="s">
        <v>217</v>
      </c>
      <c r="F452" s="76">
        <v>0</v>
      </c>
      <c r="G452" s="75" t="s">
        <v>194</v>
      </c>
      <c r="H452" t="s">
        <v>193</v>
      </c>
      <c r="I452" t="s">
        <v>2749</v>
      </c>
      <c r="J452" t="s">
        <v>3194</v>
      </c>
      <c r="K452">
        <v>18</v>
      </c>
      <c r="M452" s="28" t="str">
        <f t="shared" si="7"/>
        <v/>
      </c>
      <c r="N452" s="28">
        <v>0</v>
      </c>
    </row>
    <row r="453" spans="1:15" x14ac:dyDescent="0.25">
      <c r="A453" t="s">
        <v>915</v>
      </c>
      <c r="B453" t="s">
        <v>3212</v>
      </c>
      <c r="D453" t="s">
        <v>3167</v>
      </c>
      <c r="E453" t="s">
        <v>233</v>
      </c>
      <c r="F453" s="76">
        <v>0</v>
      </c>
      <c r="G453" s="75" t="s">
        <v>194</v>
      </c>
      <c r="H453" t="s">
        <v>193</v>
      </c>
      <c r="I453" t="s">
        <v>2749</v>
      </c>
      <c r="J453" t="s">
        <v>196</v>
      </c>
      <c r="K453">
        <v>18</v>
      </c>
      <c r="M453" s="28" t="str">
        <f t="shared" si="7"/>
        <v/>
      </c>
      <c r="N453" s="28">
        <v>0</v>
      </c>
    </row>
    <row r="454" spans="1:15" x14ac:dyDescent="0.25">
      <c r="A454" t="s">
        <v>915</v>
      </c>
      <c r="B454" t="s">
        <v>3213</v>
      </c>
      <c r="D454" t="s">
        <v>3167</v>
      </c>
      <c r="E454" t="s">
        <v>233</v>
      </c>
      <c r="F454" s="76">
        <v>0</v>
      </c>
      <c r="G454" s="75" t="s">
        <v>194</v>
      </c>
      <c r="H454" t="s">
        <v>193</v>
      </c>
      <c r="I454" t="s">
        <v>2749</v>
      </c>
      <c r="J454" t="s">
        <v>196</v>
      </c>
      <c r="K454">
        <v>18</v>
      </c>
      <c r="M454" s="28" t="str">
        <f t="shared" si="7"/>
        <v/>
      </c>
      <c r="N454" s="28">
        <v>0</v>
      </c>
    </row>
    <row r="455" spans="1:15" x14ac:dyDescent="0.25">
      <c r="A455" t="s">
        <v>915</v>
      </c>
      <c r="B455" t="s">
        <v>3214</v>
      </c>
      <c r="D455" t="s">
        <v>3167</v>
      </c>
      <c r="E455" t="s">
        <v>233</v>
      </c>
      <c r="F455" s="76">
        <v>0</v>
      </c>
      <c r="G455" s="75" t="s">
        <v>194</v>
      </c>
      <c r="H455" t="s">
        <v>193</v>
      </c>
      <c r="I455" t="s">
        <v>2749</v>
      </c>
      <c r="J455" t="s">
        <v>196</v>
      </c>
      <c r="K455">
        <v>18</v>
      </c>
      <c r="M455" s="28" t="str">
        <f t="shared" si="7"/>
        <v/>
      </c>
      <c r="N455" s="28">
        <v>0</v>
      </c>
    </row>
    <row r="456" spans="1:15" x14ac:dyDescent="0.25">
      <c r="A456" t="s">
        <v>915</v>
      </c>
      <c r="B456" t="s">
        <v>3215</v>
      </c>
      <c r="D456" t="s">
        <v>3167</v>
      </c>
      <c r="E456" t="s">
        <v>233</v>
      </c>
      <c r="F456" s="76">
        <v>0</v>
      </c>
      <c r="G456" s="75" t="s">
        <v>194</v>
      </c>
      <c r="H456" t="s">
        <v>193</v>
      </c>
      <c r="I456" t="s">
        <v>2749</v>
      </c>
      <c r="J456" t="s">
        <v>196</v>
      </c>
      <c r="K456">
        <v>18</v>
      </c>
      <c r="M456" s="28" t="str">
        <f t="shared" si="7"/>
        <v/>
      </c>
      <c r="N456" s="28">
        <v>0</v>
      </c>
    </row>
    <row r="457" spans="1:15" x14ac:dyDescent="0.25">
      <c r="A457" t="s">
        <v>915</v>
      </c>
      <c r="B457" t="s">
        <v>3216</v>
      </c>
      <c r="D457" t="s">
        <v>3167</v>
      </c>
      <c r="E457" t="s">
        <v>233</v>
      </c>
      <c r="F457" s="76">
        <v>0</v>
      </c>
      <c r="G457" s="75" t="s">
        <v>194</v>
      </c>
      <c r="H457" t="s">
        <v>193</v>
      </c>
      <c r="I457" t="s">
        <v>2749</v>
      </c>
      <c r="J457" t="s">
        <v>196</v>
      </c>
      <c r="K457">
        <v>18</v>
      </c>
      <c r="M457" s="28" t="str">
        <f t="shared" si="7"/>
        <v/>
      </c>
      <c r="N457" s="28">
        <v>0</v>
      </c>
    </row>
    <row r="458" spans="1:15" x14ac:dyDescent="0.25">
      <c r="A458" t="s">
        <v>1091</v>
      </c>
      <c r="B458" t="s">
        <v>3193</v>
      </c>
      <c r="D458" t="s">
        <v>3252</v>
      </c>
      <c r="E458" t="s">
        <v>217</v>
      </c>
      <c r="F458" s="76">
        <v>0</v>
      </c>
      <c r="G458" s="75" t="s">
        <v>194</v>
      </c>
      <c r="H458" t="s">
        <v>193</v>
      </c>
      <c r="I458" t="s">
        <v>2749</v>
      </c>
      <c r="J458" t="s">
        <v>3194</v>
      </c>
      <c r="K458">
        <v>18</v>
      </c>
      <c r="M458" s="28" t="str">
        <f t="shared" si="7"/>
        <v/>
      </c>
      <c r="N458" s="28">
        <v>0</v>
      </c>
    </row>
    <row r="459" spans="1:15" x14ac:dyDescent="0.25">
      <c r="A459" t="s">
        <v>2882</v>
      </c>
      <c r="B459" t="s">
        <v>3266</v>
      </c>
      <c r="D459" t="s">
        <v>3252</v>
      </c>
      <c r="E459" t="s">
        <v>217</v>
      </c>
      <c r="F459" s="76">
        <v>0</v>
      </c>
      <c r="G459" s="75" t="s">
        <v>194</v>
      </c>
      <c r="H459" t="s">
        <v>193</v>
      </c>
      <c r="I459" t="s">
        <v>2749</v>
      </c>
      <c r="J459" t="s">
        <v>2885</v>
      </c>
      <c r="K459">
        <v>18</v>
      </c>
      <c r="M459" s="28" t="str">
        <f t="shared" si="7"/>
        <v/>
      </c>
      <c r="N459" s="28">
        <v>0</v>
      </c>
    </row>
    <row r="460" spans="1:15" x14ac:dyDescent="0.25">
      <c r="A460" t="s">
        <v>2882</v>
      </c>
      <c r="B460" t="s">
        <v>3267</v>
      </c>
      <c r="D460" t="s">
        <v>3252</v>
      </c>
      <c r="E460" t="s">
        <v>217</v>
      </c>
      <c r="F460" s="76">
        <v>0</v>
      </c>
      <c r="G460" s="75" t="s">
        <v>194</v>
      </c>
      <c r="H460" t="s">
        <v>193</v>
      </c>
      <c r="I460" t="s">
        <v>2749</v>
      </c>
      <c r="J460" t="s">
        <v>2885</v>
      </c>
      <c r="K460">
        <v>18</v>
      </c>
      <c r="M460" s="28" t="str">
        <f t="shared" si="7"/>
        <v/>
      </c>
      <c r="N460" s="28">
        <v>0</v>
      </c>
    </row>
    <row r="461" spans="1:15" x14ac:dyDescent="0.25">
      <c r="A461" t="s">
        <v>540</v>
      </c>
      <c r="B461" t="s">
        <v>2840</v>
      </c>
      <c r="D461" t="s">
        <v>3252</v>
      </c>
      <c r="E461" t="s">
        <v>252</v>
      </c>
      <c r="F461" s="76">
        <v>0</v>
      </c>
      <c r="G461" s="75" t="s">
        <v>194</v>
      </c>
      <c r="H461" t="s">
        <v>193</v>
      </c>
      <c r="I461" t="s">
        <v>3131</v>
      </c>
      <c r="J461" t="s">
        <v>3274</v>
      </c>
      <c r="K461">
        <v>18</v>
      </c>
      <c r="M461" s="28" t="str">
        <f t="shared" si="7"/>
        <v/>
      </c>
      <c r="N461" s="28">
        <v>0</v>
      </c>
    </row>
    <row r="462" spans="1:15" x14ac:dyDescent="0.25">
      <c r="A462" t="s">
        <v>3276</v>
      </c>
      <c r="B462" t="s">
        <v>3277</v>
      </c>
      <c r="D462" t="s">
        <v>3252</v>
      </c>
      <c r="E462" t="s">
        <v>217</v>
      </c>
      <c r="F462" s="76">
        <v>0</v>
      </c>
      <c r="G462" s="75" t="s">
        <v>194</v>
      </c>
      <c r="H462" t="s">
        <v>193</v>
      </c>
      <c r="I462" t="s">
        <v>2749</v>
      </c>
      <c r="J462" t="s">
        <v>196</v>
      </c>
      <c r="K462">
        <v>18</v>
      </c>
      <c r="M462" s="28" t="str">
        <f t="shared" si="7"/>
        <v/>
      </c>
      <c r="N462" s="28">
        <v>0</v>
      </c>
    </row>
    <row r="463" spans="1:15" x14ac:dyDescent="0.25">
      <c r="N463"/>
      <c r="O463"/>
    </row>
  </sheetData>
  <autoFilter ref="A1:N46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896"/>
  <sheetViews>
    <sheetView zoomScale="80" zoomScaleNormal="80" workbookViewId="0"/>
  </sheetViews>
  <sheetFormatPr defaultRowHeight="15" x14ac:dyDescent="0.25"/>
  <cols>
    <col min="1" max="1" width="36.140625" style="15" customWidth="1"/>
    <col min="2" max="2" width="28.85546875" style="15" customWidth="1"/>
    <col min="3" max="3" width="41" style="45" customWidth="1"/>
    <col min="4" max="4" width="15.7109375" style="46" customWidth="1"/>
    <col min="5" max="5" width="9.85546875" style="15" bestFit="1" customWidth="1"/>
    <col min="6" max="6" width="9" style="46" customWidth="1"/>
    <col min="7" max="7" width="9.140625" style="36"/>
    <col min="8" max="9" width="9.140625" style="15"/>
    <col min="10" max="10" width="15" style="15" customWidth="1"/>
    <col min="11" max="11" width="9.140625" style="15"/>
    <col min="12" max="13" width="21.140625" style="47" customWidth="1"/>
    <col min="14" max="14" width="7.28515625" style="47" customWidth="1"/>
    <col min="15" max="15" width="5.28515625" style="65" customWidth="1"/>
    <col min="16" max="16" width="9.140625" style="46"/>
    <col min="17" max="16384" width="9.140625" style="15"/>
  </cols>
  <sheetData>
    <row r="1" spans="1:16" s="45" customFormat="1" x14ac:dyDescent="0.25">
      <c r="A1" s="38" t="s">
        <v>1725</v>
      </c>
      <c r="D1" s="159"/>
      <c r="F1" s="159"/>
      <c r="G1" s="159"/>
      <c r="L1" s="160"/>
      <c r="M1" s="160"/>
      <c r="N1" s="160"/>
      <c r="O1" s="39"/>
      <c r="P1" s="159"/>
    </row>
    <row r="2" spans="1:16" s="38" customFormat="1" ht="14.25" x14ac:dyDescent="0.2">
      <c r="A2" s="38" t="s">
        <v>176</v>
      </c>
      <c r="B2" s="38" t="s">
        <v>177</v>
      </c>
      <c r="C2" s="38" t="s">
        <v>178</v>
      </c>
      <c r="D2" s="39" t="s">
        <v>179</v>
      </c>
      <c r="E2" s="38" t="s">
        <v>180</v>
      </c>
      <c r="F2" s="39" t="s">
        <v>181</v>
      </c>
      <c r="G2" s="40"/>
      <c r="H2" s="38" t="s">
        <v>182</v>
      </c>
      <c r="I2" s="38" t="s">
        <v>183</v>
      </c>
      <c r="J2" s="38" t="s">
        <v>184</v>
      </c>
      <c r="K2" s="38" t="s">
        <v>185</v>
      </c>
      <c r="L2" s="41" t="s">
        <v>187</v>
      </c>
      <c r="M2" s="41"/>
      <c r="N2" s="41" t="s">
        <v>1726</v>
      </c>
      <c r="O2" s="39"/>
    </row>
    <row r="3" spans="1:16" s="42" customFormat="1" ht="14.25" x14ac:dyDescent="0.2">
      <c r="C3" s="42" t="s">
        <v>88</v>
      </c>
      <c r="D3" s="43"/>
      <c r="F3" s="43"/>
      <c r="G3" s="43">
        <f>SUM(F4:F6)</f>
        <v>3</v>
      </c>
      <c r="L3" s="44"/>
      <c r="M3" s="44"/>
      <c r="N3" s="44"/>
      <c r="O3" s="43"/>
    </row>
    <row r="4" spans="1:16" x14ac:dyDescent="0.25">
      <c r="A4" s="15" t="s">
        <v>800</v>
      </c>
      <c r="B4" s="15" t="s">
        <v>1727</v>
      </c>
      <c r="C4" s="45" t="s">
        <v>798</v>
      </c>
      <c r="D4" s="46" t="s">
        <v>1728</v>
      </c>
      <c r="E4" s="15" t="s">
        <v>192</v>
      </c>
      <c r="F4" s="46">
        <v>1</v>
      </c>
      <c r="H4" s="45" t="s">
        <v>193</v>
      </c>
      <c r="I4" s="15" t="s">
        <v>194</v>
      </c>
      <c r="J4" s="15" t="s">
        <v>1729</v>
      </c>
      <c r="K4" s="15" t="s">
        <v>473</v>
      </c>
      <c r="L4" s="47" t="s">
        <v>799</v>
      </c>
      <c r="M4" s="47" t="str">
        <f>MID(L4,8,6)</f>
        <v>722204</v>
      </c>
      <c r="N4" s="47">
        <v>1</v>
      </c>
      <c r="O4" s="65">
        <v>1</v>
      </c>
      <c r="P4" s="15"/>
    </row>
    <row r="5" spans="1:16" x14ac:dyDescent="0.25">
      <c r="A5" s="15" t="s">
        <v>796</v>
      </c>
      <c r="B5" s="15" t="s">
        <v>1730</v>
      </c>
      <c r="C5" s="45" t="s">
        <v>798</v>
      </c>
      <c r="D5" s="46" t="s">
        <v>1731</v>
      </c>
      <c r="E5" s="15" t="s">
        <v>233</v>
      </c>
      <c r="F5" s="46">
        <v>1</v>
      </c>
      <c r="H5" s="45" t="s">
        <v>193</v>
      </c>
      <c r="I5" s="15" t="s">
        <v>194</v>
      </c>
      <c r="J5" s="15" t="s">
        <v>1732</v>
      </c>
      <c r="K5" s="15" t="s">
        <v>253</v>
      </c>
      <c r="L5" s="47" t="s">
        <v>799</v>
      </c>
      <c r="M5" s="47" t="str">
        <f t="shared" ref="M5:M68" si="0">MID(L5,8,6)</f>
        <v>722204</v>
      </c>
      <c r="N5" s="47">
        <v>2</v>
      </c>
      <c r="O5" s="65">
        <v>2</v>
      </c>
      <c r="P5" s="15"/>
    </row>
    <row r="6" spans="1:16" x14ac:dyDescent="0.25">
      <c r="A6" s="15" t="s">
        <v>977</v>
      </c>
      <c r="B6" s="15" t="s">
        <v>1733</v>
      </c>
      <c r="C6" s="45" t="s">
        <v>798</v>
      </c>
      <c r="D6" s="46" t="s">
        <v>1732</v>
      </c>
      <c r="E6" s="15" t="s">
        <v>192</v>
      </c>
      <c r="F6" s="46">
        <v>1</v>
      </c>
      <c r="H6" s="45" t="s">
        <v>193</v>
      </c>
      <c r="I6" s="15" t="s">
        <v>194</v>
      </c>
      <c r="J6" s="15" t="s">
        <v>1734</v>
      </c>
      <c r="K6" s="15" t="s">
        <v>253</v>
      </c>
      <c r="L6" s="47" t="s">
        <v>799</v>
      </c>
      <c r="M6" s="47" t="str">
        <f t="shared" si="0"/>
        <v>722204</v>
      </c>
      <c r="N6" s="47">
        <v>3</v>
      </c>
      <c r="O6" s="65">
        <v>3</v>
      </c>
      <c r="P6" s="15"/>
    </row>
    <row r="7" spans="1:16" s="42" customFormat="1" ht="14.25" x14ac:dyDescent="0.2">
      <c r="C7" s="42" t="s">
        <v>82</v>
      </c>
      <c r="D7" s="43"/>
      <c r="F7" s="43"/>
      <c r="G7" s="43">
        <f>SUM(F8)</f>
        <v>1</v>
      </c>
      <c r="L7" s="44"/>
      <c r="M7" s="44" t="str">
        <f t="shared" si="0"/>
        <v/>
      </c>
      <c r="N7" s="44"/>
      <c r="O7" s="43"/>
    </row>
    <row r="8" spans="1:16" x14ac:dyDescent="0.25">
      <c r="A8" s="15" t="s">
        <v>331</v>
      </c>
      <c r="B8" s="15" t="s">
        <v>1735</v>
      </c>
      <c r="C8" s="45" t="s">
        <v>82</v>
      </c>
      <c r="D8" s="46" t="s">
        <v>1736</v>
      </c>
      <c r="E8" s="15" t="s">
        <v>192</v>
      </c>
      <c r="F8" s="46">
        <v>1</v>
      </c>
      <c r="H8" s="45" t="s">
        <v>193</v>
      </c>
      <c r="I8" s="15" t="s">
        <v>194</v>
      </c>
      <c r="J8" s="15" t="s">
        <v>1737</v>
      </c>
      <c r="K8" s="15" t="s">
        <v>309</v>
      </c>
      <c r="L8" s="47" t="s">
        <v>504</v>
      </c>
      <c r="M8" s="47" t="str">
        <f t="shared" si="0"/>
        <v>252101</v>
      </c>
      <c r="N8" s="47">
        <v>1</v>
      </c>
      <c r="O8" s="65">
        <v>4</v>
      </c>
      <c r="P8" s="15"/>
    </row>
    <row r="9" spans="1:16" s="42" customFormat="1" ht="14.25" x14ac:dyDescent="0.2">
      <c r="C9" s="42" t="s">
        <v>46</v>
      </c>
      <c r="D9" s="43"/>
      <c r="F9" s="43"/>
      <c r="G9" s="43">
        <f>SUM(F10:F16)</f>
        <v>6</v>
      </c>
      <c r="L9" s="44"/>
      <c r="M9" s="44" t="str">
        <f t="shared" si="0"/>
        <v/>
      </c>
      <c r="N9" s="44"/>
      <c r="O9" s="43"/>
    </row>
    <row r="10" spans="1:16" x14ac:dyDescent="0.25">
      <c r="A10" s="15" t="s">
        <v>1738</v>
      </c>
      <c r="B10" s="15" t="s">
        <v>1739</v>
      </c>
      <c r="C10" s="48" t="s">
        <v>46</v>
      </c>
      <c r="D10" s="46" t="s">
        <v>1740</v>
      </c>
      <c r="E10" s="15" t="s">
        <v>192</v>
      </c>
      <c r="F10" s="46">
        <v>1</v>
      </c>
      <c r="H10" s="45" t="s">
        <v>193</v>
      </c>
      <c r="I10" s="15" t="s">
        <v>194</v>
      </c>
      <c r="J10" s="15" t="s">
        <v>1734</v>
      </c>
      <c r="K10" s="15" t="s">
        <v>210</v>
      </c>
      <c r="L10" s="47" t="s">
        <v>510</v>
      </c>
      <c r="M10" s="47" t="str">
        <f t="shared" si="0"/>
        <v>252201</v>
      </c>
      <c r="N10" s="47">
        <v>1</v>
      </c>
      <c r="O10" s="65">
        <v>5</v>
      </c>
      <c r="P10" s="15"/>
    </row>
    <row r="11" spans="1:16" x14ac:dyDescent="0.25">
      <c r="A11" s="15" t="s">
        <v>1741</v>
      </c>
      <c r="B11" s="15" t="s">
        <v>1742</v>
      </c>
      <c r="C11" s="48" t="s">
        <v>46</v>
      </c>
      <c r="D11" s="46" t="s">
        <v>1728</v>
      </c>
      <c r="E11" s="15" t="s">
        <v>192</v>
      </c>
      <c r="F11" s="46">
        <v>1</v>
      </c>
      <c r="H11" s="45" t="s">
        <v>193</v>
      </c>
      <c r="I11" s="15" t="s">
        <v>194</v>
      </c>
      <c r="J11" s="15" t="s">
        <v>1737</v>
      </c>
      <c r="K11" s="15" t="s">
        <v>210</v>
      </c>
      <c r="L11" s="47" t="s">
        <v>510</v>
      </c>
      <c r="M11" s="47" t="str">
        <f t="shared" si="0"/>
        <v>252201</v>
      </c>
      <c r="N11" s="47">
        <v>2</v>
      </c>
      <c r="O11" s="65">
        <v>6</v>
      </c>
      <c r="P11" s="15"/>
    </row>
    <row r="12" spans="1:16" x14ac:dyDescent="0.25">
      <c r="A12" s="15" t="s">
        <v>1741</v>
      </c>
      <c r="B12" s="15" t="s">
        <v>1742</v>
      </c>
      <c r="C12" s="48" t="s">
        <v>46</v>
      </c>
      <c r="D12" s="46" t="s">
        <v>1736</v>
      </c>
      <c r="E12" s="15" t="s">
        <v>192</v>
      </c>
      <c r="F12" s="46">
        <v>1</v>
      </c>
      <c r="H12" s="45" t="s">
        <v>193</v>
      </c>
      <c r="I12" s="15" t="s">
        <v>194</v>
      </c>
      <c r="J12" s="15" t="s">
        <v>1737</v>
      </c>
      <c r="K12" s="15" t="s">
        <v>210</v>
      </c>
      <c r="L12" s="47" t="s">
        <v>510</v>
      </c>
      <c r="M12" s="47" t="str">
        <f t="shared" si="0"/>
        <v>252201</v>
      </c>
      <c r="N12" s="47">
        <v>3</v>
      </c>
      <c r="O12" s="65">
        <v>7</v>
      </c>
      <c r="P12" s="15"/>
    </row>
    <row r="13" spans="1:16" x14ac:dyDescent="0.25">
      <c r="A13" s="15" t="s">
        <v>1743</v>
      </c>
      <c r="B13" s="15" t="s">
        <v>1744</v>
      </c>
      <c r="C13" s="48" t="s">
        <v>46</v>
      </c>
      <c r="D13" s="46" t="s">
        <v>1745</v>
      </c>
      <c r="E13" s="15" t="s">
        <v>217</v>
      </c>
      <c r="F13" s="69">
        <v>0</v>
      </c>
      <c r="H13" s="68" t="s">
        <v>194</v>
      </c>
      <c r="I13" s="45" t="s">
        <v>193</v>
      </c>
      <c r="J13" s="15" t="s">
        <v>1746</v>
      </c>
      <c r="K13" s="15" t="s">
        <v>1747</v>
      </c>
      <c r="L13" s="47" t="s">
        <v>510</v>
      </c>
      <c r="M13" s="47" t="str">
        <f t="shared" si="0"/>
        <v>252201</v>
      </c>
      <c r="N13" s="47">
        <v>4</v>
      </c>
      <c r="O13" s="39" t="s">
        <v>3469</v>
      </c>
      <c r="P13" s="46">
        <v>1</v>
      </c>
    </row>
    <row r="14" spans="1:16" x14ac:dyDescent="0.25">
      <c r="A14" s="15" t="s">
        <v>1748</v>
      </c>
      <c r="B14" s="15" t="s">
        <v>1749</v>
      </c>
      <c r="C14" s="48" t="s">
        <v>46</v>
      </c>
      <c r="D14" s="46" t="s">
        <v>1732</v>
      </c>
      <c r="E14" s="15" t="s">
        <v>192</v>
      </c>
      <c r="F14" s="46">
        <v>1</v>
      </c>
      <c r="H14" s="45" t="s">
        <v>193</v>
      </c>
      <c r="I14" s="15" t="s">
        <v>194</v>
      </c>
      <c r="J14" s="15" t="s">
        <v>1734</v>
      </c>
      <c r="K14" s="15" t="s">
        <v>210</v>
      </c>
      <c r="L14" s="47" t="s">
        <v>510</v>
      </c>
      <c r="M14" s="47" t="str">
        <f t="shared" si="0"/>
        <v>252201</v>
      </c>
      <c r="N14" s="47">
        <v>5</v>
      </c>
      <c r="O14" s="65">
        <v>8</v>
      </c>
      <c r="P14" s="15"/>
    </row>
    <row r="15" spans="1:16" x14ac:dyDescent="0.25">
      <c r="A15" s="15" t="s">
        <v>1750</v>
      </c>
      <c r="B15" s="15" t="s">
        <v>1751</v>
      </c>
      <c r="C15" s="48" t="s">
        <v>46</v>
      </c>
      <c r="D15" s="46" t="s">
        <v>1740</v>
      </c>
      <c r="E15" s="15" t="s">
        <v>192</v>
      </c>
      <c r="F15" s="46">
        <v>1</v>
      </c>
      <c r="H15" s="45" t="s">
        <v>193</v>
      </c>
      <c r="I15" s="15" t="s">
        <v>194</v>
      </c>
      <c r="J15" s="15" t="s">
        <v>1752</v>
      </c>
      <c r="K15" s="15" t="s">
        <v>210</v>
      </c>
      <c r="L15" s="47" t="s">
        <v>510</v>
      </c>
      <c r="M15" s="47" t="str">
        <f t="shared" si="0"/>
        <v>252201</v>
      </c>
      <c r="N15" s="47">
        <v>6</v>
      </c>
      <c r="O15" s="65">
        <v>9</v>
      </c>
      <c r="P15" s="15"/>
    </row>
    <row r="16" spans="1:16" x14ac:dyDescent="0.25">
      <c r="A16" s="15" t="s">
        <v>493</v>
      </c>
      <c r="B16" s="15" t="s">
        <v>1753</v>
      </c>
      <c r="C16" s="48" t="s">
        <v>46</v>
      </c>
      <c r="D16" s="46" t="s">
        <v>1728</v>
      </c>
      <c r="E16" s="15" t="s">
        <v>192</v>
      </c>
      <c r="F16" s="46">
        <v>1</v>
      </c>
      <c r="H16" s="45" t="s">
        <v>193</v>
      </c>
      <c r="I16" s="15" t="s">
        <v>194</v>
      </c>
      <c r="J16" s="15" t="s">
        <v>1754</v>
      </c>
      <c r="K16" s="15" t="s">
        <v>210</v>
      </c>
      <c r="L16" s="47" t="s">
        <v>510</v>
      </c>
      <c r="M16" s="47" t="str">
        <f t="shared" si="0"/>
        <v>252201</v>
      </c>
      <c r="N16" s="47">
        <v>7</v>
      </c>
      <c r="O16" s="65">
        <v>10</v>
      </c>
      <c r="P16" s="15"/>
    </row>
    <row r="17" spans="1:16" s="42" customFormat="1" ht="14.25" x14ac:dyDescent="0.2">
      <c r="C17" s="42" t="s">
        <v>50</v>
      </c>
      <c r="D17" s="43"/>
      <c r="F17" s="43"/>
      <c r="G17" s="43">
        <f>SUM(F18)</f>
        <v>1</v>
      </c>
      <c r="L17" s="44"/>
      <c r="M17" s="44" t="str">
        <f t="shared" si="0"/>
        <v/>
      </c>
      <c r="N17" s="44"/>
      <c r="O17" s="43"/>
    </row>
    <row r="18" spans="1:16" x14ac:dyDescent="0.25">
      <c r="A18" s="15" t="s">
        <v>1755</v>
      </c>
      <c r="B18" s="15" t="s">
        <v>1756</v>
      </c>
      <c r="C18" s="45" t="s">
        <v>50</v>
      </c>
      <c r="D18" s="46" t="s">
        <v>1732</v>
      </c>
      <c r="E18" s="15" t="s">
        <v>192</v>
      </c>
      <c r="F18" s="46">
        <v>1</v>
      </c>
      <c r="H18" s="45" t="s">
        <v>193</v>
      </c>
      <c r="I18" s="15" t="s">
        <v>194</v>
      </c>
      <c r="J18" s="15" t="s">
        <v>1734</v>
      </c>
      <c r="K18" s="15" t="s">
        <v>223</v>
      </c>
      <c r="L18" s="47" t="s">
        <v>906</v>
      </c>
      <c r="M18" s="47" t="str">
        <f t="shared" si="0"/>
        <v>333101</v>
      </c>
      <c r="N18" s="47">
        <v>1</v>
      </c>
      <c r="O18" s="65">
        <v>11</v>
      </c>
      <c r="P18" s="15"/>
    </row>
    <row r="19" spans="1:16" s="42" customFormat="1" ht="14.25" x14ac:dyDescent="0.2">
      <c r="C19" s="42" t="s">
        <v>122</v>
      </c>
      <c r="D19" s="43"/>
      <c r="F19" s="43"/>
      <c r="G19" s="43">
        <f>SUM(F20:F21)</f>
        <v>2</v>
      </c>
      <c r="L19" s="44"/>
      <c r="M19" s="44" t="str">
        <f t="shared" si="0"/>
        <v/>
      </c>
      <c r="N19" s="44"/>
      <c r="O19" s="43"/>
    </row>
    <row r="20" spans="1:16" x14ac:dyDescent="0.25">
      <c r="A20" s="15" t="s">
        <v>1757</v>
      </c>
      <c r="B20" s="15" t="s">
        <v>1758</v>
      </c>
      <c r="C20" s="45" t="s">
        <v>122</v>
      </c>
      <c r="D20" s="46" t="s">
        <v>1740</v>
      </c>
      <c r="E20" s="15" t="s">
        <v>192</v>
      </c>
      <c r="F20" s="46">
        <v>1</v>
      </c>
      <c r="H20" s="45" t="s">
        <v>193</v>
      </c>
      <c r="I20" s="15" t="s">
        <v>194</v>
      </c>
      <c r="J20" s="15" t="s">
        <v>1759</v>
      </c>
      <c r="K20" s="15" t="s">
        <v>267</v>
      </c>
      <c r="L20" s="47" t="s">
        <v>655</v>
      </c>
      <c r="M20" s="47" t="str">
        <f t="shared" si="0"/>
        <v>332301</v>
      </c>
      <c r="N20" s="47">
        <v>1</v>
      </c>
      <c r="O20" s="65">
        <v>12</v>
      </c>
      <c r="P20" s="15"/>
    </row>
    <row r="21" spans="1:16" x14ac:dyDescent="0.25">
      <c r="A21" s="15" t="s">
        <v>427</v>
      </c>
      <c r="B21" s="15" t="s">
        <v>1760</v>
      </c>
      <c r="C21" s="45" t="s">
        <v>122</v>
      </c>
      <c r="D21" s="46" t="s">
        <v>1761</v>
      </c>
      <c r="E21" s="15" t="s">
        <v>192</v>
      </c>
      <c r="F21" s="46">
        <v>1</v>
      </c>
      <c r="H21" s="45" t="s">
        <v>193</v>
      </c>
      <c r="I21" s="15" t="s">
        <v>194</v>
      </c>
      <c r="J21" s="15" t="s">
        <v>1762</v>
      </c>
      <c r="K21" s="15" t="s">
        <v>238</v>
      </c>
      <c r="L21" s="47" t="s">
        <v>655</v>
      </c>
      <c r="M21" s="47" t="str">
        <f t="shared" si="0"/>
        <v>332301</v>
      </c>
      <c r="N21" s="47">
        <v>2</v>
      </c>
      <c r="O21" s="65">
        <v>13</v>
      </c>
      <c r="P21" s="15"/>
    </row>
    <row r="22" spans="1:16" s="42" customFormat="1" ht="14.25" x14ac:dyDescent="0.2">
      <c r="C22" s="42" t="s">
        <v>111</v>
      </c>
      <c r="D22" s="43"/>
      <c r="F22" s="43"/>
      <c r="G22" s="43">
        <f>SUM(F23)</f>
        <v>1</v>
      </c>
      <c r="L22" s="44"/>
      <c r="M22" s="44" t="str">
        <f t="shared" si="0"/>
        <v/>
      </c>
      <c r="N22" s="44"/>
      <c r="O22" s="43"/>
    </row>
    <row r="23" spans="1:16" x14ac:dyDescent="0.25">
      <c r="A23" s="15" t="s">
        <v>1040</v>
      </c>
      <c r="B23" s="15" t="s">
        <v>1763</v>
      </c>
      <c r="C23" s="45" t="s">
        <v>111</v>
      </c>
      <c r="D23" s="46" t="s">
        <v>1761</v>
      </c>
      <c r="E23" s="15" t="s">
        <v>233</v>
      </c>
      <c r="F23" s="46">
        <v>1</v>
      </c>
      <c r="H23" s="45" t="s">
        <v>193</v>
      </c>
      <c r="I23" s="15" t="s">
        <v>194</v>
      </c>
      <c r="J23" s="15" t="s">
        <v>1764</v>
      </c>
      <c r="K23" s="15" t="s">
        <v>253</v>
      </c>
      <c r="L23" s="47" t="s">
        <v>612</v>
      </c>
      <c r="M23" s="47" t="str">
        <f t="shared" si="0"/>
        <v>332101</v>
      </c>
      <c r="N23" s="47">
        <v>1</v>
      </c>
      <c r="O23" s="65">
        <v>14</v>
      </c>
      <c r="P23" s="15"/>
    </row>
    <row r="24" spans="1:16" s="42" customFormat="1" ht="14.25" x14ac:dyDescent="0.2">
      <c r="C24" s="42" t="s">
        <v>60</v>
      </c>
      <c r="D24" s="43"/>
      <c r="F24" s="43"/>
      <c r="G24" s="43">
        <f>SUM(F25:F29)</f>
        <v>5</v>
      </c>
      <c r="L24" s="44"/>
      <c r="M24" s="44" t="str">
        <f t="shared" si="0"/>
        <v/>
      </c>
      <c r="N24" s="44"/>
      <c r="O24" s="43"/>
    </row>
    <row r="25" spans="1:16" x14ac:dyDescent="0.25">
      <c r="A25" s="15" t="s">
        <v>432</v>
      </c>
      <c r="B25" s="15" t="s">
        <v>1765</v>
      </c>
      <c r="C25" s="45" t="s">
        <v>1766</v>
      </c>
      <c r="D25" s="46" t="s">
        <v>1731</v>
      </c>
      <c r="E25" s="15" t="s">
        <v>192</v>
      </c>
      <c r="F25" s="46">
        <v>1</v>
      </c>
      <c r="H25" s="45" t="s">
        <v>193</v>
      </c>
      <c r="I25" s="15" t="s">
        <v>194</v>
      </c>
      <c r="J25" s="15" t="s">
        <v>1732</v>
      </c>
      <c r="K25" s="15" t="s">
        <v>253</v>
      </c>
      <c r="L25" s="47" t="s">
        <v>1767</v>
      </c>
      <c r="M25" s="47" t="str">
        <f t="shared" si="0"/>
        <v>242112</v>
      </c>
      <c r="N25" s="47">
        <v>1</v>
      </c>
      <c r="O25" s="65">
        <v>15</v>
      </c>
      <c r="P25" s="15"/>
    </row>
    <row r="26" spans="1:16" x14ac:dyDescent="0.25">
      <c r="A26" s="15" t="s">
        <v>427</v>
      </c>
      <c r="B26" s="15" t="s">
        <v>1768</v>
      </c>
      <c r="C26" s="45" t="s">
        <v>420</v>
      </c>
      <c r="D26" s="46" t="s">
        <v>1761</v>
      </c>
      <c r="E26" s="15" t="s">
        <v>192</v>
      </c>
      <c r="F26" s="46">
        <v>1</v>
      </c>
      <c r="H26" s="45" t="s">
        <v>193</v>
      </c>
      <c r="I26" s="15" t="s">
        <v>194</v>
      </c>
      <c r="J26" s="15" t="s">
        <v>1769</v>
      </c>
      <c r="K26" s="15" t="s">
        <v>238</v>
      </c>
      <c r="L26" s="47" t="s">
        <v>421</v>
      </c>
      <c r="M26" s="47" t="str">
        <f t="shared" si="0"/>
        <v>241306</v>
      </c>
      <c r="N26" s="47">
        <v>2</v>
      </c>
      <c r="O26" s="65">
        <v>16</v>
      </c>
      <c r="P26" s="15"/>
    </row>
    <row r="27" spans="1:16" x14ac:dyDescent="0.25">
      <c r="A27" s="15" t="s">
        <v>1770</v>
      </c>
      <c r="B27" s="15" t="s">
        <v>1771</v>
      </c>
      <c r="C27" s="45" t="s">
        <v>420</v>
      </c>
      <c r="D27" s="46" t="s">
        <v>1740</v>
      </c>
      <c r="E27" s="15" t="s">
        <v>192</v>
      </c>
      <c r="F27" s="46">
        <v>1</v>
      </c>
      <c r="H27" s="45" t="s">
        <v>193</v>
      </c>
      <c r="I27" s="15" t="s">
        <v>194</v>
      </c>
      <c r="J27" s="15" t="s">
        <v>1772</v>
      </c>
      <c r="K27" s="15" t="s">
        <v>747</v>
      </c>
      <c r="L27" s="47" t="s">
        <v>421</v>
      </c>
      <c r="M27" s="47" t="str">
        <f t="shared" si="0"/>
        <v>241306</v>
      </c>
      <c r="N27" s="47">
        <v>3</v>
      </c>
      <c r="O27" s="65">
        <v>17</v>
      </c>
      <c r="P27" s="15"/>
    </row>
    <row r="28" spans="1:16" x14ac:dyDescent="0.25">
      <c r="A28" s="15" t="s">
        <v>1773</v>
      </c>
      <c r="B28" s="15" t="s">
        <v>1774</v>
      </c>
      <c r="C28" s="45" t="s">
        <v>1775</v>
      </c>
      <c r="D28" s="46" t="s">
        <v>1728</v>
      </c>
      <c r="E28" s="15" t="s">
        <v>192</v>
      </c>
      <c r="F28" s="46">
        <v>1</v>
      </c>
      <c r="H28" s="45" t="s">
        <v>193</v>
      </c>
      <c r="I28" s="15" t="s">
        <v>194</v>
      </c>
      <c r="J28" s="15" t="s">
        <v>1776</v>
      </c>
      <c r="K28" s="15" t="s">
        <v>210</v>
      </c>
      <c r="L28" s="47" t="s">
        <v>1777</v>
      </c>
      <c r="M28" s="47" t="str">
        <f t="shared" si="0"/>
        <v>241302</v>
      </c>
      <c r="N28" s="47">
        <v>4</v>
      </c>
      <c r="O28" s="65">
        <v>18</v>
      </c>
      <c r="P28" s="15"/>
    </row>
    <row r="29" spans="1:16" x14ac:dyDescent="0.25">
      <c r="A29" s="15" t="s">
        <v>633</v>
      </c>
      <c r="B29" s="15" t="s">
        <v>1778</v>
      </c>
      <c r="C29" s="45" t="s">
        <v>420</v>
      </c>
      <c r="D29" s="46" t="s">
        <v>1779</v>
      </c>
      <c r="E29" s="15" t="s">
        <v>192</v>
      </c>
      <c r="F29" s="46">
        <v>1</v>
      </c>
      <c r="H29" s="45" t="s">
        <v>193</v>
      </c>
      <c r="I29" s="15" t="s">
        <v>194</v>
      </c>
      <c r="J29" s="15" t="s">
        <v>1772</v>
      </c>
      <c r="K29" s="15" t="s">
        <v>210</v>
      </c>
      <c r="L29" s="47" t="s">
        <v>421</v>
      </c>
      <c r="M29" s="47" t="str">
        <f t="shared" si="0"/>
        <v>241306</v>
      </c>
      <c r="N29" s="47">
        <v>5</v>
      </c>
      <c r="O29" s="65">
        <v>19</v>
      </c>
      <c r="P29" s="15"/>
    </row>
    <row r="30" spans="1:16" s="42" customFormat="1" ht="14.25" x14ac:dyDescent="0.2">
      <c r="C30" s="42" t="s">
        <v>65</v>
      </c>
      <c r="D30" s="43"/>
      <c r="F30" s="43"/>
      <c r="G30" s="43">
        <f>SUM(F31)</f>
        <v>1</v>
      </c>
      <c r="L30" s="44"/>
      <c r="M30" s="44" t="str">
        <f t="shared" si="0"/>
        <v/>
      </c>
      <c r="N30" s="44"/>
      <c r="O30" s="43"/>
    </row>
    <row r="31" spans="1:16" x14ac:dyDescent="0.25">
      <c r="A31" s="15" t="s">
        <v>1175</v>
      </c>
      <c r="B31" s="15" t="s">
        <v>1706</v>
      </c>
      <c r="C31" s="45" t="s">
        <v>65</v>
      </c>
      <c r="D31" s="46" t="s">
        <v>1740</v>
      </c>
      <c r="E31" s="15" t="s">
        <v>192</v>
      </c>
      <c r="F31" s="46">
        <v>1</v>
      </c>
      <c r="H31" s="45" t="s">
        <v>193</v>
      </c>
      <c r="I31" s="15" t="s">
        <v>194</v>
      </c>
      <c r="J31" s="15" t="s">
        <v>1764</v>
      </c>
      <c r="K31" s="15" t="s">
        <v>210</v>
      </c>
      <c r="L31" s="47" t="s">
        <v>1179</v>
      </c>
      <c r="M31" s="47" t="str">
        <f t="shared" si="0"/>
        <v>422701</v>
      </c>
      <c r="N31" s="47">
        <v>1</v>
      </c>
      <c r="O31" s="65">
        <v>20</v>
      </c>
      <c r="P31" s="15"/>
    </row>
    <row r="32" spans="1:16" s="42" customFormat="1" ht="14.25" x14ac:dyDescent="0.2">
      <c r="C32" s="42" t="s">
        <v>106</v>
      </c>
      <c r="D32" s="43"/>
      <c r="F32" s="43"/>
      <c r="G32" s="43">
        <f>SUM(F33:F34)</f>
        <v>2</v>
      </c>
      <c r="L32" s="44"/>
      <c r="M32" s="44" t="str">
        <f t="shared" si="0"/>
        <v/>
      </c>
      <c r="N32" s="44"/>
      <c r="O32" s="43"/>
    </row>
    <row r="33" spans="1:16" x14ac:dyDescent="0.25">
      <c r="A33" s="15" t="s">
        <v>1780</v>
      </c>
      <c r="B33" s="15" t="s">
        <v>1781</v>
      </c>
      <c r="C33" s="45" t="s">
        <v>106</v>
      </c>
      <c r="D33" s="46" t="s">
        <v>1740</v>
      </c>
      <c r="E33" s="15" t="s">
        <v>192</v>
      </c>
      <c r="F33" s="46">
        <v>1</v>
      </c>
      <c r="H33" s="45" t="s">
        <v>193</v>
      </c>
      <c r="I33" s="15" t="s">
        <v>194</v>
      </c>
      <c r="J33" s="15" t="s">
        <v>1769</v>
      </c>
      <c r="K33" s="15" t="s">
        <v>1782</v>
      </c>
      <c r="L33" s="47" t="s">
        <v>1783</v>
      </c>
      <c r="M33" s="47" t="str">
        <f t="shared" si="0"/>
        <v>334302</v>
      </c>
      <c r="N33" s="47">
        <v>1</v>
      </c>
      <c r="O33" s="65">
        <v>21</v>
      </c>
      <c r="P33" s="15"/>
    </row>
    <row r="34" spans="1:16" x14ac:dyDescent="0.25">
      <c r="A34" s="15" t="s">
        <v>1621</v>
      </c>
      <c r="B34" s="15" t="s">
        <v>1784</v>
      </c>
      <c r="C34" s="45" t="s">
        <v>106</v>
      </c>
      <c r="D34" s="46" t="s">
        <v>1740</v>
      </c>
      <c r="E34" s="15" t="s">
        <v>192</v>
      </c>
      <c r="F34" s="46">
        <v>1</v>
      </c>
      <c r="H34" s="45" t="s">
        <v>193</v>
      </c>
      <c r="I34" s="15" t="s">
        <v>194</v>
      </c>
      <c r="J34" s="15" t="s">
        <v>1776</v>
      </c>
      <c r="K34" s="15" t="s">
        <v>285</v>
      </c>
      <c r="L34" s="47" t="s">
        <v>1783</v>
      </c>
      <c r="M34" s="47" t="str">
        <f t="shared" si="0"/>
        <v>334302</v>
      </c>
      <c r="N34" s="47">
        <v>2</v>
      </c>
      <c r="O34" s="65">
        <v>22</v>
      </c>
      <c r="P34" s="15"/>
    </row>
    <row r="35" spans="1:16" s="42" customFormat="1" ht="14.25" x14ac:dyDescent="0.2">
      <c r="C35" s="42" t="s">
        <v>75</v>
      </c>
      <c r="D35" s="43"/>
      <c r="F35" s="43"/>
      <c r="G35" s="43">
        <f>SUM(F36:F38)</f>
        <v>3</v>
      </c>
      <c r="L35" s="44"/>
      <c r="M35" s="44" t="str">
        <f t="shared" si="0"/>
        <v/>
      </c>
      <c r="N35" s="44"/>
      <c r="O35" s="43"/>
    </row>
    <row r="36" spans="1:16" x14ac:dyDescent="0.25">
      <c r="A36" s="15" t="s">
        <v>1785</v>
      </c>
      <c r="B36" s="15" t="s">
        <v>1786</v>
      </c>
      <c r="C36" s="45" t="s">
        <v>521</v>
      </c>
      <c r="D36" s="46" t="s">
        <v>1728</v>
      </c>
      <c r="E36" s="15" t="s">
        <v>192</v>
      </c>
      <c r="F36" s="46">
        <v>1</v>
      </c>
      <c r="H36" s="45" t="s">
        <v>193</v>
      </c>
      <c r="I36" s="15" t="s">
        <v>194</v>
      </c>
      <c r="J36" s="15" t="s">
        <v>1752</v>
      </c>
      <c r="K36" s="15" t="s">
        <v>327</v>
      </c>
      <c r="L36" s="47" t="s">
        <v>522</v>
      </c>
      <c r="M36" s="47" t="str">
        <f t="shared" si="0"/>
        <v>261901</v>
      </c>
      <c r="N36" s="47">
        <v>1</v>
      </c>
      <c r="O36" s="65">
        <v>23</v>
      </c>
      <c r="P36" s="15"/>
    </row>
    <row r="37" spans="1:16" x14ac:dyDescent="0.25">
      <c r="A37" s="15" t="s">
        <v>1787</v>
      </c>
      <c r="B37" s="15" t="s">
        <v>1788</v>
      </c>
      <c r="C37" s="45" t="s">
        <v>1789</v>
      </c>
      <c r="D37" s="46" t="s">
        <v>1740</v>
      </c>
      <c r="E37" s="15" t="s">
        <v>192</v>
      </c>
      <c r="F37" s="46">
        <v>1</v>
      </c>
      <c r="H37" s="45" t="s">
        <v>193</v>
      </c>
      <c r="I37" s="15" t="s">
        <v>194</v>
      </c>
      <c r="J37" s="15" t="s">
        <v>1776</v>
      </c>
      <c r="K37" s="15" t="s">
        <v>253</v>
      </c>
      <c r="L37" s="47" t="s">
        <v>1790</v>
      </c>
      <c r="M37" s="47" t="str">
        <f t="shared" si="0"/>
        <v>334304</v>
      </c>
      <c r="N37" s="47">
        <v>2</v>
      </c>
      <c r="O37" s="65">
        <v>24</v>
      </c>
      <c r="P37" s="15"/>
    </row>
    <row r="38" spans="1:16" x14ac:dyDescent="0.25">
      <c r="A38" s="15" t="s">
        <v>1340</v>
      </c>
      <c r="B38" s="15" t="s">
        <v>1791</v>
      </c>
      <c r="C38" s="45" t="s">
        <v>1789</v>
      </c>
      <c r="D38" s="46" t="s">
        <v>1731</v>
      </c>
      <c r="E38" s="15" t="s">
        <v>192</v>
      </c>
      <c r="F38" s="46">
        <v>1</v>
      </c>
      <c r="H38" s="45" t="s">
        <v>193</v>
      </c>
      <c r="I38" s="15" t="s">
        <v>194</v>
      </c>
      <c r="J38" s="15" t="s">
        <v>1776</v>
      </c>
      <c r="K38" s="15" t="s">
        <v>210</v>
      </c>
      <c r="L38" s="47" t="s">
        <v>1790</v>
      </c>
      <c r="M38" s="47" t="str">
        <f t="shared" si="0"/>
        <v>334304</v>
      </c>
      <c r="N38" s="47">
        <v>3</v>
      </c>
      <c r="O38" s="65">
        <v>25</v>
      </c>
      <c r="P38" s="15"/>
    </row>
    <row r="39" spans="1:16" s="42" customFormat="1" ht="14.25" x14ac:dyDescent="0.2">
      <c r="C39" s="42" t="s">
        <v>16</v>
      </c>
      <c r="D39" s="43"/>
      <c r="F39" s="43"/>
      <c r="G39" s="43">
        <f>SUM(F40:F42)</f>
        <v>3</v>
      </c>
      <c r="L39" s="44"/>
      <c r="M39" s="44" t="str">
        <f t="shared" si="0"/>
        <v/>
      </c>
      <c r="N39" s="44"/>
      <c r="O39" s="43"/>
    </row>
    <row r="40" spans="1:16" x14ac:dyDescent="0.25">
      <c r="A40" s="15" t="s">
        <v>1792</v>
      </c>
      <c r="B40" s="15" t="s">
        <v>1793</v>
      </c>
      <c r="C40" s="45" t="s">
        <v>1793</v>
      </c>
      <c r="D40" s="46" t="s">
        <v>1740</v>
      </c>
      <c r="E40" s="15" t="s">
        <v>192</v>
      </c>
      <c r="F40" s="46">
        <v>1</v>
      </c>
      <c r="H40" s="45" t="s">
        <v>193</v>
      </c>
      <c r="I40" s="15" t="s">
        <v>194</v>
      </c>
      <c r="J40" s="15" t="s">
        <v>1761</v>
      </c>
      <c r="K40" s="15" t="s">
        <v>253</v>
      </c>
      <c r="L40" s="47" t="s">
        <v>1794</v>
      </c>
      <c r="M40" s="47" t="str">
        <f t="shared" si="0"/>
        <v>214901</v>
      </c>
      <c r="N40" s="47">
        <v>1</v>
      </c>
      <c r="O40" s="65">
        <v>26</v>
      </c>
      <c r="P40" s="15"/>
    </row>
    <row r="41" spans="1:16" x14ac:dyDescent="0.25">
      <c r="A41" s="15" t="s">
        <v>800</v>
      </c>
      <c r="B41" s="15" t="s">
        <v>1795</v>
      </c>
      <c r="C41" s="45" t="s">
        <v>1793</v>
      </c>
      <c r="D41" s="46" t="s">
        <v>1740</v>
      </c>
      <c r="E41" s="15" t="s">
        <v>192</v>
      </c>
      <c r="F41" s="46">
        <v>1</v>
      </c>
      <c r="H41" s="45" t="s">
        <v>193</v>
      </c>
      <c r="I41" s="15" t="s">
        <v>194</v>
      </c>
      <c r="J41" s="15" t="s">
        <v>1796</v>
      </c>
      <c r="K41" s="15" t="s">
        <v>473</v>
      </c>
      <c r="L41" s="47" t="s">
        <v>1794</v>
      </c>
      <c r="M41" s="47" t="str">
        <f t="shared" si="0"/>
        <v>214901</v>
      </c>
      <c r="N41" s="47">
        <v>2</v>
      </c>
      <c r="O41" s="65">
        <v>27</v>
      </c>
      <c r="P41" s="15"/>
    </row>
    <row r="42" spans="1:16" x14ac:dyDescent="0.25">
      <c r="A42" s="15" t="s">
        <v>1797</v>
      </c>
      <c r="B42" s="15" t="s">
        <v>1798</v>
      </c>
      <c r="C42" s="45" t="s">
        <v>1799</v>
      </c>
      <c r="D42" s="46" t="s">
        <v>1779</v>
      </c>
      <c r="E42" s="15" t="s">
        <v>233</v>
      </c>
      <c r="F42" s="46">
        <v>1</v>
      </c>
      <c r="H42" s="45" t="s">
        <v>193</v>
      </c>
      <c r="I42" s="15" t="s">
        <v>194</v>
      </c>
      <c r="J42" s="15" t="s">
        <v>1776</v>
      </c>
      <c r="K42" s="15" t="s">
        <v>267</v>
      </c>
      <c r="L42" s="47" t="s">
        <v>1800</v>
      </c>
      <c r="M42" s="47" t="str">
        <f t="shared" si="0"/>
        <v>242204</v>
      </c>
      <c r="N42" s="47">
        <v>3</v>
      </c>
      <c r="O42" s="65">
        <v>28</v>
      </c>
      <c r="P42" s="15"/>
    </row>
    <row r="43" spans="1:16" s="42" customFormat="1" ht="14.25" x14ac:dyDescent="0.2">
      <c r="C43" s="42" t="s">
        <v>118</v>
      </c>
      <c r="D43" s="43"/>
      <c r="F43" s="43"/>
      <c r="G43" s="43">
        <f>SUM(F44:F45)</f>
        <v>2</v>
      </c>
      <c r="L43" s="44"/>
      <c r="M43" s="44" t="str">
        <f t="shared" si="0"/>
        <v/>
      </c>
      <c r="N43" s="44"/>
      <c r="O43" s="43"/>
    </row>
    <row r="44" spans="1:16" x14ac:dyDescent="0.25">
      <c r="A44" s="15" t="s">
        <v>1801</v>
      </c>
      <c r="B44" s="15" t="s">
        <v>1802</v>
      </c>
      <c r="C44" s="45" t="s">
        <v>118</v>
      </c>
      <c r="D44" s="46" t="s">
        <v>1803</v>
      </c>
      <c r="E44" s="15" t="s">
        <v>192</v>
      </c>
      <c r="F44" s="46">
        <v>1</v>
      </c>
      <c r="H44" s="45" t="s">
        <v>193</v>
      </c>
      <c r="I44" s="15" t="s">
        <v>194</v>
      </c>
      <c r="J44" s="15" t="s">
        <v>1752</v>
      </c>
      <c r="K44" s="15" t="s">
        <v>575</v>
      </c>
      <c r="L44" s="47" t="s">
        <v>277</v>
      </c>
      <c r="M44" s="47" t="str">
        <f t="shared" si="0"/>
        <v>211302</v>
      </c>
      <c r="N44" s="47">
        <v>1</v>
      </c>
      <c r="O44" s="65">
        <v>29</v>
      </c>
      <c r="P44" s="15"/>
    </row>
    <row r="45" spans="1:16" x14ac:dyDescent="0.25">
      <c r="A45" s="15" t="s">
        <v>1471</v>
      </c>
      <c r="B45" s="15" t="s">
        <v>1804</v>
      </c>
      <c r="C45" s="45" t="s">
        <v>118</v>
      </c>
      <c r="D45" s="46" t="s">
        <v>1803</v>
      </c>
      <c r="E45" s="15" t="s">
        <v>192</v>
      </c>
      <c r="F45" s="46">
        <v>1</v>
      </c>
      <c r="H45" s="45" t="s">
        <v>193</v>
      </c>
      <c r="I45" s="15" t="s">
        <v>194</v>
      </c>
      <c r="J45" s="15" t="s">
        <v>1772</v>
      </c>
      <c r="K45" s="15" t="s">
        <v>367</v>
      </c>
      <c r="L45" s="47" t="s">
        <v>277</v>
      </c>
      <c r="M45" s="47" t="str">
        <f t="shared" si="0"/>
        <v>211302</v>
      </c>
      <c r="N45" s="47">
        <v>2</v>
      </c>
      <c r="O45" s="65">
        <v>30</v>
      </c>
      <c r="P45" s="15"/>
    </row>
    <row r="46" spans="1:16" s="42" customFormat="1" ht="14.25" x14ac:dyDescent="0.2">
      <c r="C46" s="42" t="s">
        <v>47</v>
      </c>
      <c r="D46" s="43"/>
      <c r="F46" s="43"/>
      <c r="G46" s="43">
        <f>SUM(F47)</f>
        <v>0</v>
      </c>
      <c r="L46" s="44"/>
      <c r="M46" s="44" t="str">
        <f t="shared" si="0"/>
        <v/>
      </c>
      <c r="N46" s="44"/>
      <c r="O46" s="43"/>
    </row>
    <row r="47" spans="1:16" x14ac:dyDescent="0.25">
      <c r="A47" s="15" t="s">
        <v>1805</v>
      </c>
      <c r="B47" s="15" t="s">
        <v>1806</v>
      </c>
      <c r="C47" s="45" t="s">
        <v>1806</v>
      </c>
      <c r="D47" s="46" t="s">
        <v>1728</v>
      </c>
      <c r="E47" s="15" t="s">
        <v>217</v>
      </c>
      <c r="F47" s="74">
        <v>0</v>
      </c>
      <c r="H47" s="66" t="s">
        <v>194</v>
      </c>
      <c r="I47" s="15" t="s">
        <v>193</v>
      </c>
      <c r="J47" s="15" t="s">
        <v>1769</v>
      </c>
      <c r="K47" s="15" t="s">
        <v>1807</v>
      </c>
      <c r="L47" s="47" t="s">
        <v>1808</v>
      </c>
      <c r="M47" s="47" t="str">
        <f t="shared" si="0"/>
        <v>711502</v>
      </c>
      <c r="N47" s="47">
        <v>1</v>
      </c>
      <c r="O47" s="39" t="s">
        <v>3470</v>
      </c>
      <c r="P47" s="46">
        <v>2</v>
      </c>
    </row>
    <row r="48" spans="1:16" s="42" customFormat="1" ht="14.25" x14ac:dyDescent="0.2">
      <c r="C48" s="42" t="s">
        <v>125</v>
      </c>
      <c r="D48" s="43"/>
      <c r="F48" s="43"/>
      <c r="G48" s="43">
        <f>SUM(F49:F50)</f>
        <v>2</v>
      </c>
      <c r="L48" s="44"/>
      <c r="M48" s="44" t="str">
        <f t="shared" si="0"/>
        <v/>
      </c>
      <c r="N48" s="44"/>
      <c r="O48" s="43"/>
    </row>
    <row r="49" spans="1:16" x14ac:dyDescent="0.25">
      <c r="A49" s="15" t="s">
        <v>1093</v>
      </c>
      <c r="B49" s="15" t="s">
        <v>1601</v>
      </c>
      <c r="C49" s="45" t="s">
        <v>125</v>
      </c>
      <c r="D49" s="46" t="s">
        <v>1761</v>
      </c>
      <c r="E49" s="15" t="s">
        <v>192</v>
      </c>
      <c r="F49" s="46">
        <v>1</v>
      </c>
      <c r="H49" s="45" t="s">
        <v>193</v>
      </c>
      <c r="I49" s="15" t="s">
        <v>194</v>
      </c>
      <c r="J49" s="15" t="s">
        <v>1776</v>
      </c>
      <c r="K49" s="15" t="s">
        <v>385</v>
      </c>
      <c r="L49" s="47" t="s">
        <v>1602</v>
      </c>
      <c r="M49" s="47" t="str">
        <f t="shared" si="0"/>
        <v>343201</v>
      </c>
      <c r="N49" s="47">
        <v>1</v>
      </c>
      <c r="O49" s="65">
        <v>31</v>
      </c>
      <c r="P49" s="15"/>
    </row>
    <row r="50" spans="1:16" x14ac:dyDescent="0.25">
      <c r="A50" s="15" t="s">
        <v>1093</v>
      </c>
      <c r="B50" s="15" t="s">
        <v>1601</v>
      </c>
      <c r="C50" s="45" t="s">
        <v>125</v>
      </c>
      <c r="D50" s="46" t="s">
        <v>1732</v>
      </c>
      <c r="E50" s="15" t="s">
        <v>192</v>
      </c>
      <c r="F50" s="46">
        <v>1</v>
      </c>
      <c r="H50" s="45" t="s">
        <v>193</v>
      </c>
      <c r="I50" s="15" t="s">
        <v>194</v>
      </c>
      <c r="J50" s="15" t="s">
        <v>1776</v>
      </c>
      <c r="K50" s="15" t="s">
        <v>385</v>
      </c>
      <c r="L50" s="47" t="s">
        <v>1602</v>
      </c>
      <c r="M50" s="47" t="str">
        <f t="shared" si="0"/>
        <v>343201</v>
      </c>
      <c r="N50" s="47">
        <v>2</v>
      </c>
      <c r="O50" s="65">
        <v>32</v>
      </c>
      <c r="P50" s="15"/>
    </row>
    <row r="51" spans="1:16" s="42" customFormat="1" ht="14.25" x14ac:dyDescent="0.2">
      <c r="C51" s="42" t="s">
        <v>138</v>
      </c>
      <c r="D51" s="43"/>
      <c r="F51" s="43"/>
      <c r="G51" s="43">
        <f>SUM(F52)</f>
        <v>1</v>
      </c>
      <c r="L51" s="44"/>
      <c r="M51" s="44" t="str">
        <f t="shared" si="0"/>
        <v/>
      </c>
      <c r="N51" s="44"/>
      <c r="O51" s="43"/>
    </row>
    <row r="52" spans="1:16" x14ac:dyDescent="0.25">
      <c r="A52" s="15" t="s">
        <v>1801</v>
      </c>
      <c r="B52" s="15" t="s">
        <v>1809</v>
      </c>
      <c r="C52" s="45" t="s">
        <v>1810</v>
      </c>
      <c r="D52" s="46" t="s">
        <v>1803</v>
      </c>
      <c r="E52" s="15" t="s">
        <v>192</v>
      </c>
      <c r="F52" s="46">
        <v>1</v>
      </c>
      <c r="H52" s="45" t="s">
        <v>193</v>
      </c>
      <c r="I52" s="15" t="s">
        <v>194</v>
      </c>
      <c r="J52" s="15" t="s">
        <v>1754</v>
      </c>
      <c r="K52" s="15" t="s">
        <v>575</v>
      </c>
      <c r="L52" s="47" t="s">
        <v>1811</v>
      </c>
      <c r="M52" s="47" t="str">
        <f t="shared" si="0"/>
        <v>722401</v>
      </c>
      <c r="N52" s="47">
        <v>1</v>
      </c>
      <c r="O52" s="65">
        <v>33</v>
      </c>
      <c r="P52" s="15"/>
    </row>
    <row r="53" spans="1:16" s="42" customFormat="1" ht="14.25" x14ac:dyDescent="0.2">
      <c r="C53" s="42" t="s">
        <v>81</v>
      </c>
      <c r="D53" s="43"/>
      <c r="F53" s="43"/>
      <c r="G53" s="43">
        <f>SUM(F54:F56)</f>
        <v>3</v>
      </c>
      <c r="L53" s="44"/>
      <c r="M53" s="44" t="str">
        <f t="shared" si="0"/>
        <v/>
      </c>
      <c r="N53" s="44"/>
      <c r="O53" s="43"/>
    </row>
    <row r="54" spans="1:16" x14ac:dyDescent="0.25">
      <c r="A54" s="15" t="s">
        <v>1812</v>
      </c>
      <c r="B54" s="15" t="s">
        <v>1813</v>
      </c>
      <c r="C54" s="45" t="s">
        <v>81</v>
      </c>
      <c r="D54" s="46" t="s">
        <v>1740</v>
      </c>
      <c r="E54" s="15" t="s">
        <v>192</v>
      </c>
      <c r="F54" s="46">
        <v>1</v>
      </c>
      <c r="H54" s="45" t="s">
        <v>193</v>
      </c>
      <c r="I54" s="15" t="s">
        <v>194</v>
      </c>
      <c r="J54" s="15" t="s">
        <v>1776</v>
      </c>
      <c r="K54" s="15" t="s">
        <v>210</v>
      </c>
      <c r="L54" s="47" t="s">
        <v>402</v>
      </c>
      <c r="M54" s="47" t="str">
        <f t="shared" si="0"/>
        <v>241205</v>
      </c>
      <c r="N54" s="47">
        <v>1</v>
      </c>
      <c r="O54" s="65">
        <v>34</v>
      </c>
      <c r="P54" s="15"/>
    </row>
    <row r="55" spans="1:16" x14ac:dyDescent="0.25">
      <c r="A55" s="15" t="s">
        <v>1812</v>
      </c>
      <c r="B55" s="15" t="s">
        <v>1814</v>
      </c>
      <c r="C55" s="45" t="s">
        <v>81</v>
      </c>
      <c r="D55" s="46" t="s">
        <v>1740</v>
      </c>
      <c r="E55" s="15" t="s">
        <v>192</v>
      </c>
      <c r="F55" s="46">
        <v>1</v>
      </c>
      <c r="H55" s="45" t="s">
        <v>193</v>
      </c>
      <c r="I55" s="15" t="s">
        <v>194</v>
      </c>
      <c r="J55" s="15" t="s">
        <v>1776</v>
      </c>
      <c r="K55" s="15" t="s">
        <v>210</v>
      </c>
      <c r="L55" s="47" t="s">
        <v>402</v>
      </c>
      <c r="M55" s="47" t="str">
        <f t="shared" si="0"/>
        <v>241205</v>
      </c>
      <c r="N55" s="47">
        <v>2</v>
      </c>
      <c r="O55" s="65">
        <v>35</v>
      </c>
      <c r="P55" s="15"/>
    </row>
    <row r="56" spans="1:16" x14ac:dyDescent="0.25">
      <c r="A56" s="15" t="s">
        <v>1773</v>
      </c>
      <c r="B56" s="15" t="s">
        <v>1815</v>
      </c>
      <c r="C56" s="45" t="s">
        <v>81</v>
      </c>
      <c r="D56" s="46" t="s">
        <v>1728</v>
      </c>
      <c r="E56" s="15" t="s">
        <v>192</v>
      </c>
      <c r="F56" s="46">
        <v>1</v>
      </c>
      <c r="H56" s="45" t="s">
        <v>193</v>
      </c>
      <c r="I56" s="15" t="s">
        <v>194</v>
      </c>
      <c r="J56" s="15" t="s">
        <v>1772</v>
      </c>
      <c r="K56" s="15" t="s">
        <v>385</v>
      </c>
      <c r="L56" s="47" t="s">
        <v>402</v>
      </c>
      <c r="M56" s="47" t="str">
        <f t="shared" si="0"/>
        <v>241205</v>
      </c>
      <c r="N56" s="47">
        <v>3</v>
      </c>
      <c r="O56" s="65">
        <v>36</v>
      </c>
      <c r="P56" s="15"/>
    </row>
    <row r="57" spans="1:16" s="42" customFormat="1" ht="14.25" x14ac:dyDescent="0.2">
      <c r="C57" s="42" t="s">
        <v>44</v>
      </c>
      <c r="D57" s="43"/>
      <c r="F57" s="43"/>
      <c r="G57" s="43">
        <f>SUM(F58:F64)</f>
        <v>7</v>
      </c>
      <c r="L57" s="44"/>
      <c r="M57" s="44" t="str">
        <f t="shared" si="0"/>
        <v/>
      </c>
      <c r="N57" s="44"/>
      <c r="O57" s="43"/>
    </row>
    <row r="58" spans="1:16" x14ac:dyDescent="0.25">
      <c r="A58" s="15" t="s">
        <v>1085</v>
      </c>
      <c r="B58" s="15" t="s">
        <v>1422</v>
      </c>
      <c r="C58" s="45" t="s">
        <v>1087</v>
      </c>
      <c r="D58" s="46" t="s">
        <v>1740</v>
      </c>
      <c r="E58" s="15" t="s">
        <v>192</v>
      </c>
      <c r="F58" s="46">
        <v>1</v>
      </c>
      <c r="H58" s="45" t="s">
        <v>193</v>
      </c>
      <c r="I58" s="15" t="s">
        <v>194</v>
      </c>
      <c r="J58" s="15" t="s">
        <v>1729</v>
      </c>
      <c r="K58" s="15" t="s">
        <v>276</v>
      </c>
      <c r="L58" s="47" t="s">
        <v>1088</v>
      </c>
      <c r="M58" s="47" t="str">
        <f t="shared" si="0"/>
        <v>261909</v>
      </c>
      <c r="N58" s="47">
        <v>1</v>
      </c>
      <c r="O58" s="65">
        <v>37</v>
      </c>
      <c r="P58" s="15"/>
    </row>
    <row r="59" spans="1:16" x14ac:dyDescent="0.25">
      <c r="A59" s="15" t="s">
        <v>1085</v>
      </c>
      <c r="B59" s="15" t="s">
        <v>1098</v>
      </c>
      <c r="C59" s="45" t="s">
        <v>1087</v>
      </c>
      <c r="D59" s="46" t="s">
        <v>1728</v>
      </c>
      <c r="E59" s="15" t="s">
        <v>192</v>
      </c>
      <c r="F59" s="46">
        <v>1</v>
      </c>
      <c r="H59" s="45" t="s">
        <v>193</v>
      </c>
      <c r="I59" s="15" t="s">
        <v>194</v>
      </c>
      <c r="J59" s="15" t="s">
        <v>1764</v>
      </c>
      <c r="K59" s="15" t="s">
        <v>276</v>
      </c>
      <c r="L59" s="47" t="s">
        <v>1088</v>
      </c>
      <c r="M59" s="47" t="str">
        <f t="shared" si="0"/>
        <v>261909</v>
      </c>
      <c r="N59" s="47">
        <v>2</v>
      </c>
      <c r="O59" s="65">
        <v>38</v>
      </c>
      <c r="P59" s="15"/>
    </row>
    <row r="60" spans="1:16" x14ac:dyDescent="0.25">
      <c r="A60" s="15" t="s">
        <v>946</v>
      </c>
      <c r="B60" s="15" t="s">
        <v>947</v>
      </c>
      <c r="C60" s="45" t="s">
        <v>678</v>
      </c>
      <c r="D60" s="46" t="s">
        <v>1803</v>
      </c>
      <c r="E60" s="15" t="s">
        <v>192</v>
      </c>
      <c r="F60" s="46">
        <v>1</v>
      </c>
      <c r="H60" s="45" t="s">
        <v>193</v>
      </c>
      <c r="I60" s="15" t="s">
        <v>194</v>
      </c>
      <c r="J60" s="15" t="s">
        <v>1737</v>
      </c>
      <c r="K60" s="15" t="s">
        <v>385</v>
      </c>
      <c r="L60" s="47" t="s">
        <v>679</v>
      </c>
      <c r="M60" s="47" t="str">
        <f t="shared" si="0"/>
        <v>333404</v>
      </c>
      <c r="N60" s="47">
        <v>3</v>
      </c>
      <c r="O60" s="65">
        <v>39</v>
      </c>
      <c r="P60" s="15"/>
    </row>
    <row r="61" spans="1:16" x14ac:dyDescent="0.25">
      <c r="A61" s="15" t="s">
        <v>680</v>
      </c>
      <c r="B61" s="15" t="s">
        <v>681</v>
      </c>
      <c r="C61" s="45" t="s">
        <v>678</v>
      </c>
      <c r="D61" s="46" t="s">
        <v>1745</v>
      </c>
      <c r="E61" s="15" t="s">
        <v>192</v>
      </c>
      <c r="F61" s="46">
        <v>1</v>
      </c>
      <c r="H61" s="45" t="s">
        <v>193</v>
      </c>
      <c r="I61" s="15" t="s">
        <v>194</v>
      </c>
      <c r="J61" s="15" t="s">
        <v>1776</v>
      </c>
      <c r="K61" s="15" t="s">
        <v>253</v>
      </c>
      <c r="L61" s="47" t="s">
        <v>679</v>
      </c>
      <c r="M61" s="47" t="str">
        <f t="shared" si="0"/>
        <v>333404</v>
      </c>
      <c r="N61" s="47">
        <v>4</v>
      </c>
      <c r="O61" s="65">
        <v>40</v>
      </c>
      <c r="P61" s="15"/>
    </row>
    <row r="62" spans="1:16" x14ac:dyDescent="0.25">
      <c r="A62" s="15" t="s">
        <v>1816</v>
      </c>
      <c r="B62" s="15" t="s">
        <v>1817</v>
      </c>
      <c r="C62" s="45" t="s">
        <v>678</v>
      </c>
      <c r="D62" s="46" t="s">
        <v>1731</v>
      </c>
      <c r="E62" s="15" t="s">
        <v>192</v>
      </c>
      <c r="F62" s="46">
        <v>1</v>
      </c>
      <c r="H62" s="45" t="s">
        <v>193</v>
      </c>
      <c r="I62" s="15" t="s">
        <v>194</v>
      </c>
      <c r="J62" s="15" t="s">
        <v>1776</v>
      </c>
      <c r="K62" s="15" t="s">
        <v>210</v>
      </c>
      <c r="L62" s="47" t="s">
        <v>679</v>
      </c>
      <c r="M62" s="47" t="str">
        <f t="shared" si="0"/>
        <v>333404</v>
      </c>
      <c r="N62" s="47">
        <v>5</v>
      </c>
      <c r="O62" s="65">
        <v>41</v>
      </c>
      <c r="P62" s="15"/>
    </row>
    <row r="63" spans="1:16" x14ac:dyDescent="0.25">
      <c r="A63" s="15" t="s">
        <v>1818</v>
      </c>
      <c r="B63" s="15" t="s">
        <v>1819</v>
      </c>
      <c r="C63" s="45" t="s">
        <v>1661</v>
      </c>
      <c r="D63" s="46" t="s">
        <v>1731</v>
      </c>
      <c r="E63" s="15" t="s">
        <v>192</v>
      </c>
      <c r="F63" s="46">
        <v>1</v>
      </c>
      <c r="H63" s="45" t="s">
        <v>193</v>
      </c>
      <c r="I63" s="15" t="s">
        <v>194</v>
      </c>
      <c r="J63" s="15" t="s">
        <v>1734</v>
      </c>
      <c r="K63" s="15" t="s">
        <v>210</v>
      </c>
      <c r="L63" s="47" t="s">
        <v>1662</v>
      </c>
      <c r="M63" s="47" t="str">
        <f t="shared" si="0"/>
        <v>241202</v>
      </c>
      <c r="N63" s="47">
        <v>6</v>
      </c>
      <c r="O63" s="65">
        <v>42</v>
      </c>
      <c r="P63" s="15"/>
    </row>
    <row r="64" spans="1:16" x14ac:dyDescent="0.25">
      <c r="A64" s="15" t="s">
        <v>1820</v>
      </c>
      <c r="B64" s="15" t="s">
        <v>1821</v>
      </c>
      <c r="C64" s="45" t="s">
        <v>1661</v>
      </c>
      <c r="D64" s="46" t="s">
        <v>1761</v>
      </c>
      <c r="E64" s="15" t="s">
        <v>233</v>
      </c>
      <c r="F64" s="46">
        <v>1</v>
      </c>
      <c r="H64" s="45" t="s">
        <v>193</v>
      </c>
      <c r="I64" s="15" t="s">
        <v>194</v>
      </c>
      <c r="J64" s="15" t="s">
        <v>1769</v>
      </c>
      <c r="K64" s="15" t="s">
        <v>1822</v>
      </c>
      <c r="L64" s="47" t="s">
        <v>1662</v>
      </c>
      <c r="M64" s="47" t="str">
        <f t="shared" si="0"/>
        <v>241202</v>
      </c>
      <c r="N64" s="47">
        <v>7</v>
      </c>
      <c r="O64" s="65">
        <v>43</v>
      </c>
      <c r="P64" s="15"/>
    </row>
    <row r="65" spans="1:16" s="42" customFormat="1" ht="14.25" x14ac:dyDescent="0.2">
      <c r="C65" s="42" t="s">
        <v>26</v>
      </c>
      <c r="D65" s="43"/>
      <c r="F65" s="43"/>
      <c r="G65" s="43">
        <f>SUM(F66:F92)</f>
        <v>27</v>
      </c>
      <c r="L65" s="44"/>
      <c r="M65" s="44" t="str">
        <f t="shared" si="0"/>
        <v/>
      </c>
      <c r="N65" s="44"/>
      <c r="O65" s="43"/>
    </row>
    <row r="66" spans="1:16" x14ac:dyDescent="0.25">
      <c r="A66" s="15" t="s">
        <v>1112</v>
      </c>
      <c r="B66" s="15" t="s">
        <v>537</v>
      </c>
      <c r="C66" s="49" t="s">
        <v>778</v>
      </c>
      <c r="D66" s="46" t="s">
        <v>1728</v>
      </c>
      <c r="E66" s="15" t="s">
        <v>192</v>
      </c>
      <c r="F66" s="46">
        <v>1</v>
      </c>
      <c r="H66" s="45" t="s">
        <v>193</v>
      </c>
      <c r="I66" s="15" t="s">
        <v>194</v>
      </c>
      <c r="J66" s="15" t="s">
        <v>1769</v>
      </c>
      <c r="K66" s="15" t="s">
        <v>210</v>
      </c>
      <c r="L66" s="47" t="s">
        <v>779</v>
      </c>
      <c r="M66" s="47" t="str">
        <f t="shared" si="0"/>
        <v>524902</v>
      </c>
      <c r="N66" s="47">
        <v>1</v>
      </c>
      <c r="O66" s="65">
        <v>44</v>
      </c>
      <c r="P66" s="15"/>
    </row>
    <row r="67" spans="1:16" x14ac:dyDescent="0.25">
      <c r="A67" s="15" t="s">
        <v>1823</v>
      </c>
      <c r="B67" s="15" t="s">
        <v>537</v>
      </c>
      <c r="C67" s="49" t="s">
        <v>778</v>
      </c>
      <c r="D67" s="46" t="s">
        <v>1728</v>
      </c>
      <c r="E67" s="15" t="s">
        <v>192</v>
      </c>
      <c r="F67" s="46">
        <v>1</v>
      </c>
      <c r="H67" s="45" t="s">
        <v>193</v>
      </c>
      <c r="I67" s="15" t="s">
        <v>194</v>
      </c>
      <c r="J67" s="15" t="s">
        <v>1769</v>
      </c>
      <c r="K67" s="15" t="s">
        <v>210</v>
      </c>
      <c r="L67" s="47" t="s">
        <v>779</v>
      </c>
      <c r="M67" s="47" t="str">
        <f t="shared" si="0"/>
        <v>524902</v>
      </c>
      <c r="N67" s="47">
        <v>2</v>
      </c>
      <c r="O67" s="65">
        <v>45</v>
      </c>
      <c r="P67" s="15"/>
    </row>
    <row r="68" spans="1:16" x14ac:dyDescent="0.25">
      <c r="A68" s="15" t="s">
        <v>409</v>
      </c>
      <c r="B68" s="15" t="s">
        <v>537</v>
      </c>
      <c r="C68" s="49" t="s">
        <v>778</v>
      </c>
      <c r="D68" s="46" t="s">
        <v>1740</v>
      </c>
      <c r="E68" s="15" t="s">
        <v>192</v>
      </c>
      <c r="F68" s="46">
        <v>1</v>
      </c>
      <c r="H68" s="45" t="s">
        <v>193</v>
      </c>
      <c r="I68" s="15" t="s">
        <v>194</v>
      </c>
      <c r="J68" s="15" t="s">
        <v>1761</v>
      </c>
      <c r="K68" s="15" t="s">
        <v>253</v>
      </c>
      <c r="L68" s="47" t="s">
        <v>779</v>
      </c>
      <c r="M68" s="47" t="str">
        <f t="shared" si="0"/>
        <v>524902</v>
      </c>
      <c r="N68" s="47">
        <v>3</v>
      </c>
      <c r="O68" s="65">
        <v>46</v>
      </c>
      <c r="P68" s="15"/>
    </row>
    <row r="69" spans="1:16" x14ac:dyDescent="0.25">
      <c r="A69" s="15" t="s">
        <v>1824</v>
      </c>
      <c r="B69" s="15" t="s">
        <v>537</v>
      </c>
      <c r="C69" s="49" t="s">
        <v>778</v>
      </c>
      <c r="D69" s="46" t="s">
        <v>1740</v>
      </c>
      <c r="E69" s="15" t="s">
        <v>192</v>
      </c>
      <c r="F69" s="46">
        <v>1</v>
      </c>
      <c r="H69" s="45" t="s">
        <v>193</v>
      </c>
      <c r="I69" s="15" t="s">
        <v>194</v>
      </c>
      <c r="J69" s="15" t="s">
        <v>1761</v>
      </c>
      <c r="K69" s="15" t="s">
        <v>238</v>
      </c>
      <c r="L69" s="47" t="s">
        <v>779</v>
      </c>
      <c r="M69" s="47" t="str">
        <f t="shared" ref="M69:M132" si="1">MID(L69,8,6)</f>
        <v>524902</v>
      </c>
      <c r="N69" s="47">
        <v>4</v>
      </c>
      <c r="O69" s="65">
        <v>47</v>
      </c>
      <c r="P69" s="15"/>
    </row>
    <row r="70" spans="1:16" x14ac:dyDescent="0.25">
      <c r="A70" s="15" t="s">
        <v>1168</v>
      </c>
      <c r="B70" s="15" t="s">
        <v>537</v>
      </c>
      <c r="C70" s="49" t="s">
        <v>778</v>
      </c>
      <c r="D70" s="46" t="s">
        <v>1740</v>
      </c>
      <c r="E70" s="15" t="s">
        <v>192</v>
      </c>
      <c r="F70" s="46">
        <v>1</v>
      </c>
      <c r="H70" s="45" t="s">
        <v>193</v>
      </c>
      <c r="I70" s="15" t="s">
        <v>194</v>
      </c>
      <c r="J70" s="15" t="s">
        <v>1769</v>
      </c>
      <c r="K70" s="15" t="s">
        <v>309</v>
      </c>
      <c r="L70" s="47" t="s">
        <v>779</v>
      </c>
      <c r="M70" s="47" t="str">
        <f t="shared" si="1"/>
        <v>524902</v>
      </c>
      <c r="N70" s="47">
        <v>5</v>
      </c>
      <c r="O70" s="65">
        <v>48</v>
      </c>
      <c r="P70" s="15"/>
    </row>
    <row r="71" spans="1:16" x14ac:dyDescent="0.25">
      <c r="A71" s="15" t="s">
        <v>1825</v>
      </c>
      <c r="B71" s="15" t="s">
        <v>537</v>
      </c>
      <c r="C71" s="49" t="s">
        <v>778</v>
      </c>
      <c r="D71" s="46" t="s">
        <v>1803</v>
      </c>
      <c r="E71" s="15" t="s">
        <v>192</v>
      </c>
      <c r="F71" s="46">
        <v>1</v>
      </c>
      <c r="H71" s="45" t="s">
        <v>193</v>
      </c>
      <c r="I71" s="15" t="s">
        <v>194</v>
      </c>
      <c r="J71" s="15" t="s">
        <v>1769</v>
      </c>
      <c r="K71" s="15" t="s">
        <v>385</v>
      </c>
      <c r="L71" s="47" t="s">
        <v>779</v>
      </c>
      <c r="M71" s="47" t="str">
        <f t="shared" si="1"/>
        <v>524902</v>
      </c>
      <c r="N71" s="47">
        <v>6</v>
      </c>
      <c r="O71" s="65">
        <v>49</v>
      </c>
      <c r="P71" s="15"/>
    </row>
    <row r="72" spans="1:16" x14ac:dyDescent="0.25">
      <c r="A72" s="15" t="s">
        <v>1823</v>
      </c>
      <c r="B72" s="15" t="s">
        <v>537</v>
      </c>
      <c r="C72" s="49" t="s">
        <v>778</v>
      </c>
      <c r="D72" s="46" t="s">
        <v>1803</v>
      </c>
      <c r="E72" s="15" t="s">
        <v>192</v>
      </c>
      <c r="F72" s="46">
        <v>1</v>
      </c>
      <c r="H72" s="45" t="s">
        <v>193</v>
      </c>
      <c r="I72" s="15" t="s">
        <v>194</v>
      </c>
      <c r="J72" s="15" t="s">
        <v>1769</v>
      </c>
      <c r="K72" s="15" t="s">
        <v>210</v>
      </c>
      <c r="L72" s="47" t="s">
        <v>779</v>
      </c>
      <c r="M72" s="47" t="str">
        <f t="shared" si="1"/>
        <v>524902</v>
      </c>
      <c r="N72" s="47">
        <v>7</v>
      </c>
      <c r="O72" s="65">
        <v>50</v>
      </c>
      <c r="P72" s="15"/>
    </row>
    <row r="73" spans="1:16" x14ac:dyDescent="0.25">
      <c r="A73" s="15" t="s">
        <v>1826</v>
      </c>
      <c r="B73" s="15" t="s">
        <v>537</v>
      </c>
      <c r="C73" s="49" t="s">
        <v>778</v>
      </c>
      <c r="D73" s="46" t="s">
        <v>1761</v>
      </c>
      <c r="E73" s="15" t="s">
        <v>233</v>
      </c>
      <c r="F73" s="46">
        <v>1</v>
      </c>
      <c r="H73" s="45" t="s">
        <v>193</v>
      </c>
      <c r="I73" s="15" t="s">
        <v>194</v>
      </c>
      <c r="J73" s="15" t="s">
        <v>1769</v>
      </c>
      <c r="K73" s="15" t="s">
        <v>1827</v>
      </c>
      <c r="L73" s="47" t="s">
        <v>779</v>
      </c>
      <c r="M73" s="47" t="str">
        <f t="shared" si="1"/>
        <v>524902</v>
      </c>
      <c r="N73" s="47">
        <v>8</v>
      </c>
      <c r="O73" s="65">
        <v>1</v>
      </c>
      <c r="P73" s="15"/>
    </row>
    <row r="74" spans="1:16" x14ac:dyDescent="0.25">
      <c r="A74" s="15" t="s">
        <v>615</v>
      </c>
      <c r="B74" s="15" t="s">
        <v>537</v>
      </c>
      <c r="C74" s="49" t="s">
        <v>778</v>
      </c>
      <c r="D74" s="46" t="s">
        <v>1761</v>
      </c>
      <c r="E74" s="15" t="s">
        <v>233</v>
      </c>
      <c r="F74" s="46">
        <v>1</v>
      </c>
      <c r="H74" s="45" t="s">
        <v>193</v>
      </c>
      <c r="I74" s="15" t="s">
        <v>194</v>
      </c>
      <c r="J74" s="15" t="s">
        <v>1769</v>
      </c>
      <c r="K74" s="15" t="s">
        <v>1828</v>
      </c>
      <c r="L74" s="47" t="s">
        <v>779</v>
      </c>
      <c r="M74" s="47" t="str">
        <f t="shared" si="1"/>
        <v>524902</v>
      </c>
      <c r="N74" s="47">
        <v>9</v>
      </c>
      <c r="O74" s="65">
        <v>2</v>
      </c>
      <c r="P74" s="15"/>
    </row>
    <row r="75" spans="1:16" x14ac:dyDescent="0.25">
      <c r="A75" s="15" t="s">
        <v>615</v>
      </c>
      <c r="B75" s="15" t="s">
        <v>537</v>
      </c>
      <c r="C75" s="49" t="s">
        <v>778</v>
      </c>
      <c r="D75" s="46" t="s">
        <v>1761</v>
      </c>
      <c r="E75" s="15" t="s">
        <v>233</v>
      </c>
      <c r="F75" s="46">
        <v>1</v>
      </c>
      <c r="H75" s="45" t="s">
        <v>193</v>
      </c>
      <c r="I75" s="15" t="s">
        <v>194</v>
      </c>
      <c r="J75" s="15" t="s">
        <v>1769</v>
      </c>
      <c r="K75" s="15" t="s">
        <v>210</v>
      </c>
      <c r="L75" s="47" t="s">
        <v>779</v>
      </c>
      <c r="M75" s="47" t="str">
        <f t="shared" si="1"/>
        <v>524902</v>
      </c>
      <c r="N75" s="47">
        <v>10</v>
      </c>
      <c r="O75" s="65">
        <v>3</v>
      </c>
      <c r="P75" s="15"/>
    </row>
    <row r="76" spans="1:16" x14ac:dyDescent="0.25">
      <c r="A76" s="15" t="s">
        <v>615</v>
      </c>
      <c r="B76" s="15" t="s">
        <v>537</v>
      </c>
      <c r="C76" s="49" t="s">
        <v>778</v>
      </c>
      <c r="D76" s="46" t="s">
        <v>1761</v>
      </c>
      <c r="E76" s="15" t="s">
        <v>233</v>
      </c>
      <c r="F76" s="46">
        <v>1</v>
      </c>
      <c r="H76" s="45" t="s">
        <v>193</v>
      </c>
      <c r="I76" s="15" t="s">
        <v>194</v>
      </c>
      <c r="J76" s="15" t="s">
        <v>1769</v>
      </c>
      <c r="K76" s="15" t="s">
        <v>1829</v>
      </c>
      <c r="L76" s="47" t="s">
        <v>779</v>
      </c>
      <c r="M76" s="47" t="str">
        <f t="shared" si="1"/>
        <v>524902</v>
      </c>
      <c r="N76" s="47">
        <v>11</v>
      </c>
      <c r="O76" s="65">
        <v>4</v>
      </c>
      <c r="P76" s="15"/>
    </row>
    <row r="77" spans="1:16" x14ac:dyDescent="0.25">
      <c r="A77" s="15" t="s">
        <v>615</v>
      </c>
      <c r="B77" s="15" t="s">
        <v>537</v>
      </c>
      <c r="C77" s="49" t="s">
        <v>778</v>
      </c>
      <c r="D77" s="46" t="s">
        <v>1761</v>
      </c>
      <c r="E77" s="15" t="s">
        <v>233</v>
      </c>
      <c r="F77" s="46">
        <v>1</v>
      </c>
      <c r="H77" s="45" t="s">
        <v>193</v>
      </c>
      <c r="I77" s="15" t="s">
        <v>194</v>
      </c>
      <c r="J77" s="15" t="s">
        <v>1769</v>
      </c>
      <c r="K77" s="15" t="s">
        <v>301</v>
      </c>
      <c r="L77" s="47" t="s">
        <v>779</v>
      </c>
      <c r="M77" s="47" t="str">
        <f t="shared" si="1"/>
        <v>524902</v>
      </c>
      <c r="N77" s="47">
        <v>12</v>
      </c>
      <c r="O77" s="65">
        <v>5</v>
      </c>
      <c r="P77" s="15"/>
    </row>
    <row r="78" spans="1:16" x14ac:dyDescent="0.25">
      <c r="A78" s="15" t="s">
        <v>615</v>
      </c>
      <c r="B78" s="15" t="s">
        <v>537</v>
      </c>
      <c r="C78" s="49" t="s">
        <v>778</v>
      </c>
      <c r="D78" s="46" t="s">
        <v>1761</v>
      </c>
      <c r="E78" s="15" t="s">
        <v>233</v>
      </c>
      <c r="F78" s="46">
        <v>1</v>
      </c>
      <c r="H78" s="45" t="s">
        <v>193</v>
      </c>
      <c r="I78" s="15" t="s">
        <v>194</v>
      </c>
      <c r="J78" s="15" t="s">
        <v>1769</v>
      </c>
      <c r="K78" s="15" t="s">
        <v>323</v>
      </c>
      <c r="L78" s="47" t="s">
        <v>779</v>
      </c>
      <c r="M78" s="47" t="str">
        <f t="shared" si="1"/>
        <v>524902</v>
      </c>
      <c r="N78" s="47">
        <v>13</v>
      </c>
      <c r="O78" s="65">
        <v>6</v>
      </c>
      <c r="P78" s="15"/>
    </row>
    <row r="79" spans="1:16" x14ac:dyDescent="0.25">
      <c r="A79" s="15" t="s">
        <v>615</v>
      </c>
      <c r="B79" s="15" t="s">
        <v>537</v>
      </c>
      <c r="C79" s="49" t="s">
        <v>778</v>
      </c>
      <c r="D79" s="46" t="s">
        <v>1761</v>
      </c>
      <c r="E79" s="15" t="s">
        <v>233</v>
      </c>
      <c r="F79" s="46">
        <v>1</v>
      </c>
      <c r="H79" s="45" t="s">
        <v>193</v>
      </c>
      <c r="I79" s="15" t="s">
        <v>194</v>
      </c>
      <c r="J79" s="15" t="s">
        <v>1769</v>
      </c>
      <c r="K79" s="15" t="s">
        <v>408</v>
      </c>
      <c r="L79" s="47" t="s">
        <v>779</v>
      </c>
      <c r="M79" s="47" t="str">
        <f t="shared" si="1"/>
        <v>524902</v>
      </c>
      <c r="N79" s="47">
        <v>14</v>
      </c>
      <c r="O79" s="65">
        <v>7</v>
      </c>
      <c r="P79" s="15"/>
    </row>
    <row r="80" spans="1:16" x14ac:dyDescent="0.25">
      <c r="A80" s="15" t="s">
        <v>615</v>
      </c>
      <c r="B80" s="15" t="s">
        <v>537</v>
      </c>
      <c r="C80" s="49" t="s">
        <v>778</v>
      </c>
      <c r="D80" s="46" t="s">
        <v>1761</v>
      </c>
      <c r="E80" s="15" t="s">
        <v>233</v>
      </c>
      <c r="F80" s="46">
        <v>1</v>
      </c>
      <c r="H80" s="45" t="s">
        <v>193</v>
      </c>
      <c r="I80" s="15" t="s">
        <v>194</v>
      </c>
      <c r="J80" s="15" t="s">
        <v>1769</v>
      </c>
      <c r="K80" s="15" t="s">
        <v>316</v>
      </c>
      <c r="L80" s="47" t="s">
        <v>779</v>
      </c>
      <c r="M80" s="47" t="str">
        <f t="shared" si="1"/>
        <v>524902</v>
      </c>
      <c r="N80" s="47">
        <v>15</v>
      </c>
      <c r="O80" s="65">
        <v>8</v>
      </c>
      <c r="P80" s="15"/>
    </row>
    <row r="81" spans="1:16" x14ac:dyDescent="0.25">
      <c r="A81" s="15" t="s">
        <v>1830</v>
      </c>
      <c r="B81" s="15" t="s">
        <v>537</v>
      </c>
      <c r="C81" s="49" t="s">
        <v>778</v>
      </c>
      <c r="D81" s="46" t="s">
        <v>1761</v>
      </c>
      <c r="E81" s="15" t="s">
        <v>192</v>
      </c>
      <c r="F81" s="46">
        <v>1</v>
      </c>
      <c r="H81" s="45" t="s">
        <v>193</v>
      </c>
      <c r="I81" s="15" t="s">
        <v>194</v>
      </c>
      <c r="J81" s="15" t="s">
        <v>1769</v>
      </c>
      <c r="K81" s="15" t="s">
        <v>210</v>
      </c>
      <c r="L81" s="47" t="s">
        <v>779</v>
      </c>
      <c r="M81" s="47" t="str">
        <f t="shared" si="1"/>
        <v>524902</v>
      </c>
      <c r="N81" s="47">
        <v>16</v>
      </c>
      <c r="O81" s="65">
        <v>9</v>
      </c>
      <c r="P81" s="15"/>
    </row>
    <row r="82" spans="1:16" x14ac:dyDescent="0.25">
      <c r="A82" s="15" t="s">
        <v>1831</v>
      </c>
      <c r="B82" s="15" t="s">
        <v>537</v>
      </c>
      <c r="C82" s="49" t="s">
        <v>778</v>
      </c>
      <c r="D82" s="46" t="s">
        <v>1761</v>
      </c>
      <c r="E82" s="15" t="s">
        <v>233</v>
      </c>
      <c r="F82" s="46">
        <v>1</v>
      </c>
      <c r="H82" s="45" t="s">
        <v>193</v>
      </c>
      <c r="I82" s="15" t="s">
        <v>194</v>
      </c>
      <c r="J82" s="15" t="s">
        <v>1769</v>
      </c>
      <c r="K82" s="15" t="s">
        <v>210</v>
      </c>
      <c r="L82" s="47" t="s">
        <v>779</v>
      </c>
      <c r="M82" s="47" t="str">
        <f t="shared" si="1"/>
        <v>524902</v>
      </c>
      <c r="N82" s="47">
        <v>17</v>
      </c>
      <c r="O82" s="65">
        <v>60</v>
      </c>
      <c r="P82" s="15"/>
    </row>
    <row r="83" spans="1:16" x14ac:dyDescent="0.25">
      <c r="A83" s="15" t="s">
        <v>940</v>
      </c>
      <c r="B83" s="15" t="s">
        <v>537</v>
      </c>
      <c r="C83" s="49" t="s">
        <v>778</v>
      </c>
      <c r="D83" s="46" t="s">
        <v>1761</v>
      </c>
      <c r="E83" s="15" t="s">
        <v>233</v>
      </c>
      <c r="F83" s="46">
        <v>1</v>
      </c>
      <c r="H83" s="45" t="s">
        <v>193</v>
      </c>
      <c r="I83" s="15" t="s">
        <v>194</v>
      </c>
      <c r="J83" s="15" t="s">
        <v>1769</v>
      </c>
      <c r="K83" s="15" t="s">
        <v>1832</v>
      </c>
      <c r="L83" s="47" t="s">
        <v>779</v>
      </c>
      <c r="M83" s="47" t="str">
        <f t="shared" si="1"/>
        <v>524902</v>
      </c>
      <c r="N83" s="47">
        <v>18</v>
      </c>
      <c r="O83" s="65">
        <v>1</v>
      </c>
      <c r="P83" s="15"/>
    </row>
    <row r="84" spans="1:16" x14ac:dyDescent="0.25">
      <c r="A84" s="15" t="s">
        <v>409</v>
      </c>
      <c r="B84" s="15" t="s">
        <v>537</v>
      </c>
      <c r="C84" s="49" t="s">
        <v>778</v>
      </c>
      <c r="D84" s="46" t="s">
        <v>1761</v>
      </c>
      <c r="E84" s="15" t="s">
        <v>233</v>
      </c>
      <c r="F84" s="46">
        <v>1</v>
      </c>
      <c r="H84" s="45" t="s">
        <v>193</v>
      </c>
      <c r="I84" s="15" t="s">
        <v>194</v>
      </c>
      <c r="J84" s="15" t="s">
        <v>1769</v>
      </c>
      <c r="K84" s="15" t="s">
        <v>253</v>
      </c>
      <c r="L84" s="47" t="s">
        <v>779</v>
      </c>
      <c r="M84" s="47" t="str">
        <f t="shared" si="1"/>
        <v>524902</v>
      </c>
      <c r="N84" s="47">
        <v>19</v>
      </c>
      <c r="O84" s="65">
        <v>2</v>
      </c>
      <c r="P84" s="15"/>
    </row>
    <row r="85" spans="1:16" x14ac:dyDescent="0.25">
      <c r="A85" s="15" t="s">
        <v>937</v>
      </c>
      <c r="B85" s="15" t="s">
        <v>537</v>
      </c>
      <c r="C85" s="49" t="s">
        <v>778</v>
      </c>
      <c r="D85" s="46" t="s">
        <v>1761</v>
      </c>
      <c r="E85" s="15" t="s">
        <v>233</v>
      </c>
      <c r="F85" s="46">
        <v>1</v>
      </c>
      <c r="H85" s="45" t="s">
        <v>193</v>
      </c>
      <c r="I85" s="15" t="s">
        <v>194</v>
      </c>
      <c r="J85" s="15" t="s">
        <v>1769</v>
      </c>
      <c r="K85" s="15" t="s">
        <v>267</v>
      </c>
      <c r="L85" s="47" t="s">
        <v>779</v>
      </c>
      <c r="M85" s="47" t="str">
        <f t="shared" si="1"/>
        <v>524902</v>
      </c>
      <c r="N85" s="47">
        <v>20</v>
      </c>
      <c r="O85" s="65">
        <v>3</v>
      </c>
      <c r="P85" s="15"/>
    </row>
    <row r="86" spans="1:16" x14ac:dyDescent="0.25">
      <c r="A86" s="15" t="s">
        <v>1831</v>
      </c>
      <c r="B86" s="15" t="s">
        <v>537</v>
      </c>
      <c r="C86" s="49" t="s">
        <v>778</v>
      </c>
      <c r="D86" s="46" t="s">
        <v>1761</v>
      </c>
      <c r="E86" s="15" t="s">
        <v>233</v>
      </c>
      <c r="F86" s="46">
        <v>1</v>
      </c>
      <c r="H86" s="45" t="s">
        <v>193</v>
      </c>
      <c r="I86" s="15" t="s">
        <v>194</v>
      </c>
      <c r="J86" s="15" t="s">
        <v>1769</v>
      </c>
      <c r="K86" s="15" t="s">
        <v>385</v>
      </c>
      <c r="L86" s="47" t="s">
        <v>779</v>
      </c>
      <c r="M86" s="47" t="str">
        <f t="shared" si="1"/>
        <v>524902</v>
      </c>
      <c r="N86" s="47">
        <v>21</v>
      </c>
      <c r="O86" s="65">
        <v>4</v>
      </c>
      <c r="P86" s="15"/>
    </row>
    <row r="87" spans="1:16" x14ac:dyDescent="0.25">
      <c r="A87" s="15" t="s">
        <v>1721</v>
      </c>
      <c r="B87" s="15" t="s">
        <v>537</v>
      </c>
      <c r="C87" s="49" t="s">
        <v>778</v>
      </c>
      <c r="D87" s="46" t="s">
        <v>1761</v>
      </c>
      <c r="E87" s="15" t="s">
        <v>192</v>
      </c>
      <c r="F87" s="46">
        <v>1</v>
      </c>
      <c r="H87" s="45" t="s">
        <v>193</v>
      </c>
      <c r="I87" s="15" t="s">
        <v>194</v>
      </c>
      <c r="J87" s="15" t="s">
        <v>1769</v>
      </c>
      <c r="K87" s="15" t="s">
        <v>276</v>
      </c>
      <c r="L87" s="47" t="s">
        <v>779</v>
      </c>
      <c r="M87" s="47" t="str">
        <f t="shared" si="1"/>
        <v>524902</v>
      </c>
      <c r="N87" s="47">
        <v>22</v>
      </c>
      <c r="O87" s="65">
        <v>5</v>
      </c>
      <c r="P87" s="15"/>
    </row>
    <row r="88" spans="1:16" x14ac:dyDescent="0.25">
      <c r="A88" s="15" t="s">
        <v>1833</v>
      </c>
      <c r="B88" s="15" t="s">
        <v>537</v>
      </c>
      <c r="C88" s="49" t="s">
        <v>778</v>
      </c>
      <c r="D88" s="46" t="s">
        <v>1761</v>
      </c>
      <c r="E88" s="15" t="s">
        <v>192</v>
      </c>
      <c r="F88" s="46">
        <v>1</v>
      </c>
      <c r="H88" s="45" t="s">
        <v>193</v>
      </c>
      <c r="I88" s="15" t="s">
        <v>194</v>
      </c>
      <c r="J88" s="15" t="s">
        <v>1769</v>
      </c>
      <c r="K88" s="15" t="s">
        <v>210</v>
      </c>
      <c r="L88" s="47" t="s">
        <v>779</v>
      </c>
      <c r="M88" s="47" t="str">
        <f t="shared" si="1"/>
        <v>524902</v>
      </c>
      <c r="N88" s="47">
        <v>23</v>
      </c>
      <c r="O88" s="65">
        <v>6</v>
      </c>
      <c r="P88" s="15"/>
    </row>
    <row r="89" spans="1:16" x14ac:dyDescent="0.25">
      <c r="A89" s="15" t="s">
        <v>1834</v>
      </c>
      <c r="B89" s="15" t="s">
        <v>537</v>
      </c>
      <c r="C89" s="49" t="s">
        <v>778</v>
      </c>
      <c r="D89" s="46" t="s">
        <v>1779</v>
      </c>
      <c r="E89" s="15" t="s">
        <v>192</v>
      </c>
      <c r="F89" s="46">
        <v>1</v>
      </c>
      <c r="H89" s="45" t="s">
        <v>193</v>
      </c>
      <c r="I89" s="15" t="s">
        <v>194</v>
      </c>
      <c r="J89" s="15" t="s">
        <v>1769</v>
      </c>
      <c r="K89" s="15" t="s">
        <v>210</v>
      </c>
      <c r="L89" s="47" t="s">
        <v>779</v>
      </c>
      <c r="M89" s="47" t="str">
        <f t="shared" si="1"/>
        <v>524902</v>
      </c>
      <c r="N89" s="47">
        <v>24</v>
      </c>
      <c r="O89" s="65">
        <v>7</v>
      </c>
      <c r="P89" s="15"/>
    </row>
    <row r="90" spans="1:16" x14ac:dyDescent="0.25">
      <c r="A90" s="15" t="s">
        <v>1835</v>
      </c>
      <c r="B90" s="15" t="s">
        <v>537</v>
      </c>
      <c r="C90" s="49" t="s">
        <v>778</v>
      </c>
      <c r="D90" s="46" t="s">
        <v>1731</v>
      </c>
      <c r="E90" s="15" t="s">
        <v>192</v>
      </c>
      <c r="F90" s="46">
        <v>1</v>
      </c>
      <c r="H90" s="45" t="s">
        <v>193</v>
      </c>
      <c r="I90" s="15" t="s">
        <v>194</v>
      </c>
      <c r="J90" s="15" t="s">
        <v>1732</v>
      </c>
      <c r="K90" s="15" t="s">
        <v>276</v>
      </c>
      <c r="L90" s="47" t="s">
        <v>779</v>
      </c>
      <c r="M90" s="47" t="str">
        <f t="shared" si="1"/>
        <v>524902</v>
      </c>
      <c r="N90" s="47">
        <v>25</v>
      </c>
      <c r="O90" s="65">
        <v>8</v>
      </c>
      <c r="P90" s="15"/>
    </row>
    <row r="91" spans="1:16" x14ac:dyDescent="0.25">
      <c r="A91" s="15" t="s">
        <v>1168</v>
      </c>
      <c r="B91" s="15" t="s">
        <v>537</v>
      </c>
      <c r="C91" s="49" t="s">
        <v>778</v>
      </c>
      <c r="D91" s="46" t="s">
        <v>1731</v>
      </c>
      <c r="E91" s="15" t="s">
        <v>192</v>
      </c>
      <c r="F91" s="46">
        <v>1</v>
      </c>
      <c r="H91" s="45" t="s">
        <v>193</v>
      </c>
      <c r="I91" s="15" t="s">
        <v>194</v>
      </c>
      <c r="J91" s="15" t="s">
        <v>1732</v>
      </c>
      <c r="K91" s="15" t="s">
        <v>276</v>
      </c>
      <c r="L91" s="47" t="s">
        <v>779</v>
      </c>
      <c r="M91" s="47" t="str">
        <f t="shared" si="1"/>
        <v>524902</v>
      </c>
      <c r="N91" s="47">
        <v>26</v>
      </c>
      <c r="O91" s="65">
        <v>9</v>
      </c>
      <c r="P91" s="15"/>
    </row>
    <row r="92" spans="1:16" x14ac:dyDescent="0.25">
      <c r="A92" s="15" t="s">
        <v>263</v>
      </c>
      <c r="B92" s="15" t="s">
        <v>537</v>
      </c>
      <c r="C92" s="49" t="s">
        <v>778</v>
      </c>
      <c r="D92" s="46" t="s">
        <v>1732</v>
      </c>
      <c r="E92" s="15" t="s">
        <v>217</v>
      </c>
      <c r="F92" s="46">
        <v>1</v>
      </c>
      <c r="H92" s="45" t="s">
        <v>193</v>
      </c>
      <c r="I92" s="15" t="s">
        <v>194</v>
      </c>
      <c r="J92" s="15" t="s">
        <v>1836</v>
      </c>
      <c r="K92" s="15" t="s">
        <v>408</v>
      </c>
      <c r="L92" s="47" t="s">
        <v>779</v>
      </c>
      <c r="M92" s="47" t="str">
        <f t="shared" si="1"/>
        <v>524902</v>
      </c>
      <c r="N92" s="47">
        <v>27</v>
      </c>
      <c r="O92" s="65">
        <v>70</v>
      </c>
      <c r="P92" s="15"/>
    </row>
    <row r="93" spans="1:16" s="42" customFormat="1" ht="14.25" x14ac:dyDescent="0.2">
      <c r="C93" s="42" t="s">
        <v>72</v>
      </c>
      <c r="D93" s="43"/>
      <c r="F93" s="43"/>
      <c r="G93" s="43">
        <f>SUM(F94)</f>
        <v>1</v>
      </c>
      <c r="L93" s="44"/>
      <c r="M93" s="44" t="str">
        <f t="shared" si="1"/>
        <v/>
      </c>
      <c r="N93" s="44"/>
      <c r="O93" s="43"/>
    </row>
    <row r="94" spans="1:16" x14ac:dyDescent="0.25">
      <c r="A94" s="15" t="s">
        <v>1837</v>
      </c>
      <c r="B94" s="15" t="s">
        <v>1838</v>
      </c>
      <c r="C94" s="45" t="s">
        <v>1839</v>
      </c>
      <c r="D94" s="46" t="s">
        <v>1740</v>
      </c>
      <c r="E94" s="15" t="s">
        <v>233</v>
      </c>
      <c r="F94" s="46">
        <v>1</v>
      </c>
      <c r="H94" s="45" t="s">
        <v>193</v>
      </c>
      <c r="I94" s="15" t="s">
        <v>194</v>
      </c>
      <c r="J94" s="15" t="s">
        <v>1776</v>
      </c>
      <c r="K94" s="15" t="s">
        <v>1840</v>
      </c>
      <c r="L94" s="47" t="s">
        <v>1841</v>
      </c>
      <c r="M94" s="47" t="str">
        <f t="shared" si="1"/>
        <v>732201</v>
      </c>
      <c r="N94" s="47">
        <v>1</v>
      </c>
      <c r="O94" s="65">
        <v>1</v>
      </c>
      <c r="P94" s="15"/>
    </row>
    <row r="95" spans="1:16" s="42" customFormat="1" ht="14.25" x14ac:dyDescent="0.2">
      <c r="C95" s="42" t="s">
        <v>167</v>
      </c>
      <c r="D95" s="43"/>
      <c r="F95" s="43"/>
      <c r="G95" s="43">
        <f>SUM(F96)</f>
        <v>1</v>
      </c>
      <c r="L95" s="44"/>
      <c r="M95" s="44" t="str">
        <f t="shared" si="1"/>
        <v/>
      </c>
      <c r="N95" s="44"/>
      <c r="O95" s="43"/>
    </row>
    <row r="96" spans="1:16" x14ac:dyDescent="0.25">
      <c r="A96" s="15" t="s">
        <v>303</v>
      </c>
      <c r="B96" s="15" t="s">
        <v>1842</v>
      </c>
      <c r="C96" s="45" t="s">
        <v>167</v>
      </c>
      <c r="D96" s="46" t="s">
        <v>1731</v>
      </c>
      <c r="E96" s="15" t="s">
        <v>192</v>
      </c>
      <c r="F96" s="46">
        <v>1</v>
      </c>
      <c r="H96" s="45" t="s">
        <v>193</v>
      </c>
      <c r="I96" s="15" t="s">
        <v>194</v>
      </c>
      <c r="J96" s="15" t="s">
        <v>1734</v>
      </c>
      <c r="K96" s="15" t="s">
        <v>1843</v>
      </c>
      <c r="L96" s="47" t="s">
        <v>1844</v>
      </c>
      <c r="M96" s="47" t="str">
        <f t="shared" si="1"/>
        <v>621001</v>
      </c>
      <c r="N96" s="47">
        <v>1</v>
      </c>
      <c r="O96" s="65">
        <v>2</v>
      </c>
      <c r="P96" s="15"/>
    </row>
    <row r="97" spans="1:16" s="42" customFormat="1" ht="14.25" x14ac:dyDescent="0.2">
      <c r="C97" s="42" t="s">
        <v>90</v>
      </c>
      <c r="D97" s="43"/>
      <c r="F97" s="43"/>
      <c r="G97" s="43">
        <f>SUM(F98:F104)</f>
        <v>7</v>
      </c>
      <c r="L97" s="44"/>
      <c r="M97" s="44" t="str">
        <f t="shared" si="1"/>
        <v/>
      </c>
      <c r="N97" s="44"/>
      <c r="O97" s="43"/>
    </row>
    <row r="98" spans="1:16" x14ac:dyDescent="0.25">
      <c r="A98" s="15" t="s">
        <v>1508</v>
      </c>
      <c r="B98" s="15" t="s">
        <v>1845</v>
      </c>
      <c r="C98" s="45" t="s">
        <v>922</v>
      </c>
      <c r="D98" s="46" t="s">
        <v>1740</v>
      </c>
      <c r="E98" s="15" t="s">
        <v>192</v>
      </c>
      <c r="F98" s="46">
        <v>1</v>
      </c>
      <c r="H98" s="45" t="s">
        <v>193</v>
      </c>
      <c r="I98" s="15" t="s">
        <v>194</v>
      </c>
      <c r="J98" s="15" t="s">
        <v>1776</v>
      </c>
      <c r="K98" s="15" t="s">
        <v>202</v>
      </c>
      <c r="L98" s="47" t="s">
        <v>923</v>
      </c>
      <c r="M98" s="47" t="str">
        <f t="shared" si="1"/>
        <v>112006</v>
      </c>
      <c r="N98" s="47">
        <v>1</v>
      </c>
      <c r="O98" s="65">
        <v>3</v>
      </c>
      <c r="P98" s="15"/>
    </row>
    <row r="99" spans="1:16" x14ac:dyDescent="0.25">
      <c r="A99" s="15" t="s">
        <v>1094</v>
      </c>
      <c r="B99" s="15" t="s">
        <v>1846</v>
      </c>
      <c r="C99" s="45" t="s">
        <v>1133</v>
      </c>
      <c r="D99" s="46" t="s">
        <v>1779</v>
      </c>
      <c r="E99" s="15" t="s">
        <v>192</v>
      </c>
      <c r="F99" s="46">
        <v>1</v>
      </c>
      <c r="H99" s="45" t="s">
        <v>193</v>
      </c>
      <c r="I99" s="15" t="s">
        <v>194</v>
      </c>
      <c r="J99" s="15" t="s">
        <v>1769</v>
      </c>
      <c r="K99" s="15" t="s">
        <v>196</v>
      </c>
      <c r="L99" s="47" t="s">
        <v>1134</v>
      </c>
      <c r="M99" s="47" t="str">
        <f t="shared" si="1"/>
        <v>112008</v>
      </c>
      <c r="N99" s="47">
        <v>2</v>
      </c>
      <c r="O99" s="65">
        <v>4</v>
      </c>
      <c r="P99" s="15"/>
    </row>
    <row r="100" spans="1:16" x14ac:dyDescent="0.25">
      <c r="A100" s="15" t="s">
        <v>1597</v>
      </c>
      <c r="B100" s="15" t="s">
        <v>1847</v>
      </c>
      <c r="C100" s="45" t="s">
        <v>1848</v>
      </c>
      <c r="D100" s="46" t="s">
        <v>1803</v>
      </c>
      <c r="E100" s="15" t="s">
        <v>192</v>
      </c>
      <c r="F100" s="46">
        <v>1</v>
      </c>
      <c r="H100" s="45" t="s">
        <v>193</v>
      </c>
      <c r="I100" s="15" t="s">
        <v>194</v>
      </c>
      <c r="J100" s="15" t="s">
        <v>1769</v>
      </c>
      <c r="K100" s="15" t="s">
        <v>1599</v>
      </c>
      <c r="L100" s="47" t="s">
        <v>1849</v>
      </c>
      <c r="M100" s="47" t="str">
        <f t="shared" si="1"/>
        <v>112009</v>
      </c>
      <c r="N100" s="47">
        <v>3</v>
      </c>
      <c r="O100" s="65">
        <v>5</v>
      </c>
      <c r="P100" s="15"/>
    </row>
    <row r="101" spans="1:16" x14ac:dyDescent="0.25">
      <c r="A101" s="15" t="s">
        <v>1850</v>
      </c>
      <c r="B101" s="15" t="s">
        <v>1688</v>
      </c>
      <c r="C101" s="49" t="s">
        <v>1851</v>
      </c>
      <c r="D101" s="46" t="s">
        <v>1728</v>
      </c>
      <c r="E101" s="15" t="s">
        <v>192</v>
      </c>
      <c r="F101" s="46">
        <v>1</v>
      </c>
      <c r="H101" s="45" t="s">
        <v>193</v>
      </c>
      <c r="I101" s="15" t="s">
        <v>194</v>
      </c>
      <c r="J101" s="15" t="s">
        <v>1776</v>
      </c>
      <c r="K101" s="15" t="s">
        <v>210</v>
      </c>
      <c r="L101" s="47" t="s">
        <v>1852</v>
      </c>
      <c r="M101" s="47" t="str">
        <f t="shared" si="1"/>
        <v>112014</v>
      </c>
      <c r="N101" s="47">
        <v>4</v>
      </c>
      <c r="O101" s="65">
        <v>6</v>
      </c>
      <c r="P101" s="15"/>
    </row>
    <row r="102" spans="1:16" x14ac:dyDescent="0.25">
      <c r="A102" s="15" t="s">
        <v>1040</v>
      </c>
      <c r="B102" s="15" t="s">
        <v>1688</v>
      </c>
      <c r="C102" s="49" t="s">
        <v>1851</v>
      </c>
      <c r="D102" s="46" t="s">
        <v>1740</v>
      </c>
      <c r="E102" s="15" t="s">
        <v>233</v>
      </c>
      <c r="F102" s="46">
        <v>1</v>
      </c>
      <c r="H102" s="45" t="s">
        <v>193</v>
      </c>
      <c r="I102" s="15" t="s">
        <v>194</v>
      </c>
      <c r="J102" s="15" t="s">
        <v>1776</v>
      </c>
      <c r="K102" s="15" t="s">
        <v>210</v>
      </c>
      <c r="L102" s="47" t="s">
        <v>1852</v>
      </c>
      <c r="M102" s="47" t="str">
        <f t="shared" si="1"/>
        <v>112014</v>
      </c>
      <c r="N102" s="47">
        <v>5</v>
      </c>
      <c r="O102" s="65">
        <v>7</v>
      </c>
      <c r="P102" s="15"/>
    </row>
    <row r="103" spans="1:16" x14ac:dyDescent="0.25">
      <c r="A103" s="15" t="s">
        <v>1853</v>
      </c>
      <c r="B103" s="15" t="s">
        <v>1854</v>
      </c>
      <c r="C103" s="49" t="s">
        <v>1851</v>
      </c>
      <c r="D103" s="46" t="s">
        <v>1803</v>
      </c>
      <c r="E103" s="15" t="s">
        <v>233</v>
      </c>
      <c r="F103" s="46">
        <v>1</v>
      </c>
      <c r="H103" s="45" t="s">
        <v>193</v>
      </c>
      <c r="I103" s="15" t="s">
        <v>194</v>
      </c>
      <c r="J103" s="15" t="s">
        <v>1776</v>
      </c>
      <c r="K103" s="15" t="s">
        <v>1855</v>
      </c>
      <c r="L103" s="47" t="s">
        <v>1852</v>
      </c>
      <c r="M103" s="47" t="str">
        <f t="shared" si="1"/>
        <v>112014</v>
      </c>
      <c r="N103" s="47">
        <v>6</v>
      </c>
      <c r="O103" s="65">
        <v>8</v>
      </c>
      <c r="P103" s="15"/>
    </row>
    <row r="104" spans="1:16" x14ac:dyDescent="0.25">
      <c r="A104" s="15" t="s">
        <v>1381</v>
      </c>
      <c r="B104" s="15" t="s">
        <v>1856</v>
      </c>
      <c r="C104" s="49" t="s">
        <v>1851</v>
      </c>
      <c r="D104" s="46" t="s">
        <v>1728</v>
      </c>
      <c r="E104" s="15" t="s">
        <v>192</v>
      </c>
      <c r="F104" s="46">
        <v>1</v>
      </c>
      <c r="H104" s="45" t="s">
        <v>193</v>
      </c>
      <c r="I104" s="15" t="s">
        <v>194</v>
      </c>
      <c r="J104" s="15" t="s">
        <v>1776</v>
      </c>
      <c r="K104" s="15" t="s">
        <v>210</v>
      </c>
      <c r="L104" s="47" t="s">
        <v>1852</v>
      </c>
      <c r="M104" s="47" t="str">
        <f t="shared" si="1"/>
        <v>112014</v>
      </c>
      <c r="N104" s="47">
        <v>7</v>
      </c>
      <c r="O104" s="65">
        <v>9</v>
      </c>
      <c r="P104" s="15"/>
    </row>
    <row r="105" spans="1:16" s="42" customFormat="1" ht="14.25" x14ac:dyDescent="0.2">
      <c r="C105" s="42" t="s">
        <v>14</v>
      </c>
      <c r="D105" s="43"/>
      <c r="F105" s="43"/>
      <c r="G105" s="43">
        <f>SUM(F106:F107)</f>
        <v>2</v>
      </c>
      <c r="L105" s="44"/>
      <c r="M105" s="44" t="str">
        <f t="shared" si="1"/>
        <v/>
      </c>
      <c r="N105" s="44"/>
      <c r="O105" s="43"/>
    </row>
    <row r="106" spans="1:16" x14ac:dyDescent="0.25">
      <c r="A106" s="15" t="s">
        <v>1857</v>
      </c>
      <c r="B106" s="15" t="s">
        <v>1858</v>
      </c>
      <c r="C106" s="45" t="s">
        <v>14</v>
      </c>
      <c r="D106" s="46" t="s">
        <v>1728</v>
      </c>
      <c r="E106" s="15" t="s">
        <v>217</v>
      </c>
      <c r="F106" s="46">
        <v>1</v>
      </c>
      <c r="H106" s="45" t="s">
        <v>193</v>
      </c>
      <c r="I106" s="15" t="s">
        <v>194</v>
      </c>
      <c r="J106" s="15" t="s">
        <v>1746</v>
      </c>
      <c r="K106" s="15" t="s">
        <v>210</v>
      </c>
      <c r="L106" s="47" t="s">
        <v>1859</v>
      </c>
      <c r="M106" s="47" t="str">
        <f t="shared" si="1"/>
        <v>264201</v>
      </c>
      <c r="N106" s="47">
        <v>1</v>
      </c>
      <c r="O106" s="65">
        <v>80</v>
      </c>
      <c r="P106" s="15"/>
    </row>
    <row r="107" spans="1:16" x14ac:dyDescent="0.25">
      <c r="A107" s="15" t="s">
        <v>1857</v>
      </c>
      <c r="B107" s="15" t="s">
        <v>1858</v>
      </c>
      <c r="C107" s="45" t="s">
        <v>14</v>
      </c>
      <c r="D107" s="46" t="s">
        <v>1860</v>
      </c>
      <c r="E107" s="15" t="s">
        <v>217</v>
      </c>
      <c r="F107" s="46">
        <v>1</v>
      </c>
      <c r="H107" s="45" t="s">
        <v>193</v>
      </c>
      <c r="I107" s="15" t="s">
        <v>194</v>
      </c>
      <c r="J107" s="15" t="s">
        <v>1746</v>
      </c>
      <c r="K107" s="15" t="s">
        <v>210</v>
      </c>
      <c r="L107" s="47" t="s">
        <v>1859</v>
      </c>
      <c r="M107" s="47" t="str">
        <f t="shared" si="1"/>
        <v>264201</v>
      </c>
      <c r="N107" s="47">
        <v>2</v>
      </c>
      <c r="O107" s="65">
        <v>1</v>
      </c>
      <c r="P107" s="15"/>
    </row>
    <row r="108" spans="1:16" s="42" customFormat="1" ht="14.25" x14ac:dyDescent="0.2">
      <c r="C108" s="42" t="s">
        <v>86</v>
      </c>
      <c r="D108" s="43"/>
      <c r="F108" s="43"/>
      <c r="G108" s="43">
        <f>SUM(F109:F111)</f>
        <v>3</v>
      </c>
      <c r="L108" s="44"/>
      <c r="M108" s="44" t="str">
        <f t="shared" si="1"/>
        <v/>
      </c>
      <c r="N108" s="44"/>
      <c r="O108" s="43"/>
    </row>
    <row r="109" spans="1:16" x14ac:dyDescent="0.25">
      <c r="A109" s="15" t="s">
        <v>1861</v>
      </c>
      <c r="B109" s="15" t="s">
        <v>1862</v>
      </c>
      <c r="C109" s="45" t="s">
        <v>86</v>
      </c>
      <c r="D109" s="46" t="s">
        <v>1740</v>
      </c>
      <c r="E109" s="15" t="s">
        <v>192</v>
      </c>
      <c r="F109" s="46">
        <v>1</v>
      </c>
      <c r="H109" s="45" t="s">
        <v>193</v>
      </c>
      <c r="I109" s="15" t="s">
        <v>194</v>
      </c>
      <c r="J109" s="15" t="s">
        <v>1754</v>
      </c>
      <c r="K109" s="15" t="s">
        <v>210</v>
      </c>
      <c r="L109" s="47" t="s">
        <v>1107</v>
      </c>
      <c r="M109" s="47" t="str">
        <f t="shared" si="1"/>
        <v>121101</v>
      </c>
      <c r="N109" s="47">
        <v>1</v>
      </c>
      <c r="O109" s="65">
        <v>2</v>
      </c>
      <c r="P109" s="15"/>
    </row>
    <row r="110" spans="1:16" x14ac:dyDescent="0.25">
      <c r="A110" s="15" t="s">
        <v>540</v>
      </c>
      <c r="B110" s="15" t="s">
        <v>1863</v>
      </c>
      <c r="C110" s="45" t="s">
        <v>86</v>
      </c>
      <c r="D110" s="46" t="s">
        <v>1740</v>
      </c>
      <c r="E110" s="15" t="s">
        <v>252</v>
      </c>
      <c r="F110" s="46">
        <v>1</v>
      </c>
      <c r="H110" s="45" t="s">
        <v>193</v>
      </c>
      <c r="I110" s="15" t="s">
        <v>194</v>
      </c>
      <c r="J110" s="15" t="s">
        <v>1732</v>
      </c>
      <c r="K110" s="15" t="s">
        <v>210</v>
      </c>
      <c r="L110" s="47" t="s">
        <v>1107</v>
      </c>
      <c r="M110" s="47" t="str">
        <f t="shared" si="1"/>
        <v>121101</v>
      </c>
      <c r="N110" s="47">
        <v>2</v>
      </c>
      <c r="O110" s="65">
        <v>3</v>
      </c>
      <c r="P110" s="15"/>
    </row>
    <row r="111" spans="1:16" x14ac:dyDescent="0.25">
      <c r="A111" s="15" t="s">
        <v>540</v>
      </c>
      <c r="B111" s="15" t="s">
        <v>1864</v>
      </c>
      <c r="C111" s="45" t="s">
        <v>86</v>
      </c>
      <c r="D111" s="46" t="s">
        <v>1728</v>
      </c>
      <c r="E111" s="15" t="s">
        <v>252</v>
      </c>
      <c r="F111" s="46">
        <v>1</v>
      </c>
      <c r="H111" s="45" t="s">
        <v>193</v>
      </c>
      <c r="I111" s="15" t="s">
        <v>194</v>
      </c>
      <c r="J111" s="15" t="s">
        <v>1732</v>
      </c>
      <c r="K111" s="15" t="s">
        <v>210</v>
      </c>
      <c r="L111" s="47" t="s">
        <v>1107</v>
      </c>
      <c r="M111" s="47" t="str">
        <f t="shared" si="1"/>
        <v>121101</v>
      </c>
      <c r="N111" s="47">
        <v>3</v>
      </c>
      <c r="O111" s="65">
        <v>4</v>
      </c>
      <c r="P111" s="15"/>
    </row>
    <row r="112" spans="1:16" s="42" customFormat="1" ht="14.25" x14ac:dyDescent="0.2">
      <c r="C112" s="42" t="s">
        <v>110</v>
      </c>
      <c r="D112" s="43"/>
      <c r="F112" s="43"/>
      <c r="G112" s="43">
        <f>SUM(F113:F116)</f>
        <v>4</v>
      </c>
      <c r="L112" s="44"/>
      <c r="M112" s="44" t="str">
        <f t="shared" si="1"/>
        <v/>
      </c>
      <c r="N112" s="44"/>
      <c r="O112" s="43"/>
    </row>
    <row r="113" spans="1:16" x14ac:dyDescent="0.25">
      <c r="A113" s="15" t="s">
        <v>1865</v>
      </c>
      <c r="B113" s="15" t="s">
        <v>1866</v>
      </c>
      <c r="C113" s="49" t="s">
        <v>110</v>
      </c>
      <c r="D113" s="46" t="s">
        <v>1761</v>
      </c>
      <c r="E113" s="15" t="s">
        <v>192</v>
      </c>
      <c r="F113" s="46">
        <v>1</v>
      </c>
      <c r="H113" s="45" t="s">
        <v>193</v>
      </c>
      <c r="I113" s="15" t="s">
        <v>194</v>
      </c>
      <c r="J113" s="15" t="s">
        <v>1762</v>
      </c>
      <c r="K113" s="15" t="s">
        <v>210</v>
      </c>
      <c r="L113" s="47" t="s">
        <v>621</v>
      </c>
      <c r="M113" s="47" t="str">
        <f t="shared" si="1"/>
        <v>332201</v>
      </c>
      <c r="N113" s="47">
        <v>1</v>
      </c>
      <c r="O113" s="65">
        <v>5</v>
      </c>
      <c r="P113" s="15"/>
    </row>
    <row r="114" spans="1:16" x14ac:dyDescent="0.25">
      <c r="A114" s="15" t="s">
        <v>446</v>
      </c>
      <c r="B114" s="15" t="s">
        <v>1867</v>
      </c>
      <c r="C114" s="49" t="s">
        <v>110</v>
      </c>
      <c r="D114" s="46" t="s">
        <v>1740</v>
      </c>
      <c r="E114" s="15" t="s">
        <v>192</v>
      </c>
      <c r="F114" s="46">
        <v>1</v>
      </c>
      <c r="H114" s="45" t="s">
        <v>193</v>
      </c>
      <c r="I114" s="15" t="s">
        <v>194</v>
      </c>
      <c r="J114" s="15" t="s">
        <v>1752</v>
      </c>
      <c r="K114" s="15" t="s">
        <v>210</v>
      </c>
      <c r="L114" s="47" t="s">
        <v>621</v>
      </c>
      <c r="M114" s="47" t="str">
        <f t="shared" si="1"/>
        <v>332201</v>
      </c>
      <c r="N114" s="47">
        <v>2</v>
      </c>
      <c r="O114" s="65">
        <v>6</v>
      </c>
      <c r="P114" s="15"/>
    </row>
    <row r="115" spans="1:16" x14ac:dyDescent="0.25">
      <c r="A115" s="15" t="s">
        <v>1850</v>
      </c>
      <c r="B115" s="15" t="s">
        <v>1690</v>
      </c>
      <c r="C115" s="49" t="s">
        <v>110</v>
      </c>
      <c r="D115" s="46" t="s">
        <v>1728</v>
      </c>
      <c r="E115" s="15" t="s">
        <v>192</v>
      </c>
      <c r="F115" s="46">
        <v>1</v>
      </c>
      <c r="H115" s="45" t="s">
        <v>193</v>
      </c>
      <c r="I115" s="15" t="s">
        <v>194</v>
      </c>
      <c r="J115" s="15" t="s">
        <v>1752</v>
      </c>
      <c r="K115" s="15" t="s">
        <v>210</v>
      </c>
      <c r="L115" s="47" t="s">
        <v>621</v>
      </c>
      <c r="M115" s="47" t="str">
        <f t="shared" si="1"/>
        <v>332201</v>
      </c>
      <c r="N115" s="47">
        <v>3</v>
      </c>
      <c r="O115" s="65">
        <v>7</v>
      </c>
      <c r="P115" s="15"/>
    </row>
    <row r="116" spans="1:16" x14ac:dyDescent="0.25">
      <c r="A116" s="15" t="s">
        <v>1100</v>
      </c>
      <c r="B116" s="15" t="s">
        <v>1101</v>
      </c>
      <c r="C116" s="49" t="s">
        <v>110</v>
      </c>
      <c r="D116" s="46" t="s">
        <v>1803</v>
      </c>
      <c r="E116" s="15" t="s">
        <v>192</v>
      </c>
      <c r="F116" s="46">
        <v>1</v>
      </c>
      <c r="H116" s="45" t="s">
        <v>193</v>
      </c>
      <c r="I116" s="15" t="s">
        <v>194</v>
      </c>
      <c r="J116" s="15" t="s">
        <v>1732</v>
      </c>
      <c r="K116" s="15" t="s">
        <v>276</v>
      </c>
      <c r="L116" s="47" t="s">
        <v>621</v>
      </c>
      <c r="M116" s="47" t="str">
        <f t="shared" si="1"/>
        <v>332201</v>
      </c>
      <c r="N116" s="47">
        <v>4</v>
      </c>
      <c r="O116" s="65">
        <v>8</v>
      </c>
      <c r="P116" s="15"/>
    </row>
    <row r="117" spans="1:16" s="42" customFormat="1" ht="14.25" x14ac:dyDescent="0.2">
      <c r="C117" s="42" t="s">
        <v>38</v>
      </c>
      <c r="D117" s="43"/>
      <c r="F117" s="43"/>
      <c r="G117" s="43">
        <f>SUM(F118:F124)</f>
        <v>6</v>
      </c>
      <c r="L117" s="44"/>
      <c r="M117" s="44" t="str">
        <f t="shared" si="1"/>
        <v/>
      </c>
      <c r="N117" s="44"/>
      <c r="O117" s="43"/>
    </row>
    <row r="118" spans="1:16" x14ac:dyDescent="0.25">
      <c r="A118" s="15" t="s">
        <v>1868</v>
      </c>
      <c r="B118" s="15" t="s">
        <v>831</v>
      </c>
      <c r="C118" s="45" t="s">
        <v>829</v>
      </c>
      <c r="D118" s="46" t="s">
        <v>1779</v>
      </c>
      <c r="E118" s="15" t="s">
        <v>192</v>
      </c>
      <c r="F118" s="46">
        <v>1</v>
      </c>
      <c r="H118" s="45" t="s">
        <v>193</v>
      </c>
      <c r="I118" s="15" t="s">
        <v>194</v>
      </c>
      <c r="J118" s="15" t="s">
        <v>1769</v>
      </c>
      <c r="K118" s="15" t="s">
        <v>210</v>
      </c>
      <c r="L118" s="47" t="s">
        <v>830</v>
      </c>
      <c r="M118" s="47" t="str">
        <f t="shared" si="1"/>
        <v>741201</v>
      </c>
      <c r="N118" s="47">
        <v>1</v>
      </c>
      <c r="O118" s="65">
        <v>9</v>
      </c>
      <c r="P118" s="15"/>
    </row>
    <row r="119" spans="1:16" x14ac:dyDescent="0.25">
      <c r="A119" s="15" t="s">
        <v>1869</v>
      </c>
      <c r="B119" s="15" t="s">
        <v>831</v>
      </c>
      <c r="C119" s="45" t="s">
        <v>829</v>
      </c>
      <c r="D119" s="46" t="s">
        <v>1731</v>
      </c>
      <c r="E119" s="15" t="s">
        <v>192</v>
      </c>
      <c r="F119" s="46">
        <v>1</v>
      </c>
      <c r="H119" s="45" t="s">
        <v>193</v>
      </c>
      <c r="I119" s="15" t="s">
        <v>194</v>
      </c>
      <c r="J119" s="15" t="s">
        <v>1732</v>
      </c>
      <c r="K119" s="15" t="s">
        <v>672</v>
      </c>
      <c r="L119" s="47" t="s">
        <v>830</v>
      </c>
      <c r="M119" s="47" t="str">
        <f t="shared" si="1"/>
        <v>741201</v>
      </c>
      <c r="N119" s="47">
        <v>2</v>
      </c>
      <c r="O119" s="65">
        <v>90</v>
      </c>
      <c r="P119" s="15"/>
    </row>
    <row r="120" spans="1:16" x14ac:dyDescent="0.25">
      <c r="A120" s="15" t="s">
        <v>1870</v>
      </c>
      <c r="B120" s="15" t="s">
        <v>1871</v>
      </c>
      <c r="C120" s="45" t="s">
        <v>829</v>
      </c>
      <c r="D120" s="46" t="s">
        <v>1728</v>
      </c>
      <c r="E120" s="15" t="s">
        <v>192</v>
      </c>
      <c r="F120" s="46">
        <v>1</v>
      </c>
      <c r="H120" s="45" t="s">
        <v>193</v>
      </c>
      <c r="I120" s="15" t="s">
        <v>194</v>
      </c>
      <c r="J120" s="15" t="s">
        <v>1752</v>
      </c>
      <c r="K120" s="15" t="s">
        <v>210</v>
      </c>
      <c r="L120" s="47" t="s">
        <v>830</v>
      </c>
      <c r="M120" s="47" t="str">
        <f t="shared" si="1"/>
        <v>741201</v>
      </c>
      <c r="N120" s="47">
        <v>3</v>
      </c>
      <c r="O120" s="65">
        <v>1</v>
      </c>
      <c r="P120" s="15"/>
    </row>
    <row r="121" spans="1:16" x14ac:dyDescent="0.25">
      <c r="A121" s="15" t="s">
        <v>432</v>
      </c>
      <c r="B121" s="15" t="s">
        <v>1872</v>
      </c>
      <c r="C121" s="45" t="s">
        <v>1872</v>
      </c>
      <c r="D121" s="46" t="s">
        <v>1740</v>
      </c>
      <c r="E121" s="15" t="s">
        <v>192</v>
      </c>
      <c r="F121" s="46">
        <v>1</v>
      </c>
      <c r="H121" s="45" t="s">
        <v>193</v>
      </c>
      <c r="I121" s="15" t="s">
        <v>194</v>
      </c>
      <c r="J121" s="15" t="s">
        <v>1769</v>
      </c>
      <c r="K121" s="15" t="s">
        <v>253</v>
      </c>
      <c r="L121" s="47" t="s">
        <v>1873</v>
      </c>
      <c r="M121" s="47" t="str">
        <f t="shared" si="1"/>
        <v>741209</v>
      </c>
      <c r="N121" s="47">
        <v>4</v>
      </c>
      <c r="O121" s="65">
        <v>2</v>
      </c>
      <c r="P121" s="15"/>
    </row>
    <row r="122" spans="1:16" x14ac:dyDescent="0.25">
      <c r="A122" s="15" t="s">
        <v>1874</v>
      </c>
      <c r="B122" s="15" t="s">
        <v>1875</v>
      </c>
      <c r="C122" s="45" t="s">
        <v>1876</v>
      </c>
      <c r="D122" s="46" t="s">
        <v>1761</v>
      </c>
      <c r="E122" s="15" t="s">
        <v>192</v>
      </c>
      <c r="F122" s="46">
        <v>1</v>
      </c>
      <c r="H122" s="45" t="s">
        <v>193</v>
      </c>
      <c r="I122" s="15" t="s">
        <v>194</v>
      </c>
      <c r="J122" s="15" t="s">
        <v>1732</v>
      </c>
      <c r="K122" s="15" t="s">
        <v>223</v>
      </c>
      <c r="L122" s="47" t="s">
        <v>1877</v>
      </c>
      <c r="M122" s="47" t="str">
        <f t="shared" si="1"/>
        <v>741304</v>
      </c>
      <c r="N122" s="47">
        <v>5</v>
      </c>
      <c r="O122" s="65">
        <v>3</v>
      </c>
      <c r="P122" s="15"/>
    </row>
    <row r="123" spans="1:16" x14ac:dyDescent="0.25">
      <c r="A123" s="15" t="s">
        <v>1878</v>
      </c>
      <c r="B123" s="15" t="s">
        <v>821</v>
      </c>
      <c r="C123" s="45" t="s">
        <v>822</v>
      </c>
      <c r="D123" s="46" t="s">
        <v>1731</v>
      </c>
      <c r="E123" s="15" t="s">
        <v>192</v>
      </c>
      <c r="F123" s="46">
        <v>1</v>
      </c>
      <c r="H123" s="45" t="s">
        <v>193</v>
      </c>
      <c r="I123" s="15" t="s">
        <v>194</v>
      </c>
      <c r="J123" s="15" t="s">
        <v>1732</v>
      </c>
      <c r="K123" s="15" t="s">
        <v>399</v>
      </c>
      <c r="L123" s="47" t="s">
        <v>823</v>
      </c>
      <c r="M123" s="47" t="str">
        <f t="shared" si="1"/>
        <v>741103</v>
      </c>
      <c r="N123" s="47">
        <v>6</v>
      </c>
      <c r="O123" s="65">
        <v>4</v>
      </c>
      <c r="P123" s="15"/>
    </row>
    <row r="124" spans="1:16" x14ac:dyDescent="0.25">
      <c r="A124" s="15" t="s">
        <v>1879</v>
      </c>
      <c r="B124" s="15" t="s">
        <v>1880</v>
      </c>
      <c r="C124" s="45" t="s">
        <v>822</v>
      </c>
      <c r="D124" s="46" t="s">
        <v>1736</v>
      </c>
      <c r="E124" s="15" t="s">
        <v>217</v>
      </c>
      <c r="F124" s="74">
        <v>0</v>
      </c>
      <c r="H124" s="68" t="s">
        <v>194</v>
      </c>
      <c r="I124" s="15" t="s">
        <v>193</v>
      </c>
      <c r="J124" s="15" t="s">
        <v>1836</v>
      </c>
      <c r="K124" s="15" t="s">
        <v>196</v>
      </c>
      <c r="L124" s="47" t="s">
        <v>823</v>
      </c>
      <c r="M124" s="47" t="str">
        <f t="shared" si="1"/>
        <v>741103</v>
      </c>
      <c r="N124" s="47">
        <v>7</v>
      </c>
      <c r="O124" s="39" t="s">
        <v>3471</v>
      </c>
      <c r="P124" s="46">
        <v>3</v>
      </c>
    </row>
    <row r="125" spans="1:16" s="42" customFormat="1" ht="14.25" x14ac:dyDescent="0.2">
      <c r="C125" s="42" t="s">
        <v>22</v>
      </c>
      <c r="D125" s="43"/>
      <c r="F125" s="43"/>
      <c r="G125" s="43">
        <f>SUM(F126)</f>
        <v>1</v>
      </c>
      <c r="L125" s="44"/>
      <c r="M125" s="44" t="str">
        <f t="shared" si="1"/>
        <v/>
      </c>
      <c r="N125" s="44"/>
      <c r="O125" s="43"/>
    </row>
    <row r="126" spans="1:16" x14ac:dyDescent="0.25">
      <c r="A126" s="15" t="s">
        <v>1881</v>
      </c>
      <c r="B126" s="15" t="s">
        <v>1882</v>
      </c>
      <c r="C126" s="45" t="s">
        <v>22</v>
      </c>
      <c r="D126" s="46" t="s">
        <v>1740</v>
      </c>
      <c r="E126" s="15" t="s">
        <v>192</v>
      </c>
      <c r="F126" s="46">
        <v>1</v>
      </c>
      <c r="H126" s="45" t="s">
        <v>193</v>
      </c>
      <c r="I126" s="15" t="s">
        <v>194</v>
      </c>
      <c r="J126" s="15" t="s">
        <v>1752</v>
      </c>
      <c r="K126" s="15" t="s">
        <v>210</v>
      </c>
      <c r="L126" s="47" t="s">
        <v>1608</v>
      </c>
      <c r="M126" s="47" t="str">
        <f t="shared" si="1"/>
        <v>228101</v>
      </c>
      <c r="N126" s="47">
        <v>1</v>
      </c>
      <c r="O126" s="65">
        <v>5</v>
      </c>
      <c r="P126" s="15"/>
    </row>
    <row r="127" spans="1:16" s="42" customFormat="1" ht="14.25" x14ac:dyDescent="0.2">
      <c r="C127" s="42" t="s">
        <v>31</v>
      </c>
      <c r="D127" s="43"/>
      <c r="F127" s="43"/>
      <c r="G127" s="43">
        <f>SUM(F128)</f>
        <v>1</v>
      </c>
      <c r="L127" s="44"/>
      <c r="M127" s="44" t="str">
        <f t="shared" si="1"/>
        <v/>
      </c>
      <c r="N127" s="44"/>
      <c r="O127" s="43"/>
    </row>
    <row r="128" spans="1:16" x14ac:dyDescent="0.25">
      <c r="A128" s="15" t="s">
        <v>1883</v>
      </c>
      <c r="B128" s="15" t="s">
        <v>31</v>
      </c>
      <c r="C128" s="45" t="s">
        <v>31</v>
      </c>
      <c r="D128" s="46" t="s">
        <v>1731</v>
      </c>
      <c r="E128" s="15" t="s">
        <v>192</v>
      </c>
      <c r="F128" s="46">
        <v>1</v>
      </c>
      <c r="H128" s="45" t="s">
        <v>193</v>
      </c>
      <c r="I128" s="15" t="s">
        <v>194</v>
      </c>
      <c r="J128" s="15" t="s">
        <v>1732</v>
      </c>
      <c r="K128" s="15" t="s">
        <v>301</v>
      </c>
      <c r="L128" s="47" t="s">
        <v>1884</v>
      </c>
      <c r="M128" s="47" t="str">
        <f t="shared" si="1"/>
        <v>229201</v>
      </c>
      <c r="N128" s="47">
        <v>1</v>
      </c>
      <c r="O128" s="65">
        <v>6</v>
      </c>
      <c r="P128" s="15"/>
    </row>
    <row r="129" spans="1:16" s="42" customFormat="1" ht="14.25" x14ac:dyDescent="0.2">
      <c r="C129" s="42" t="s">
        <v>143</v>
      </c>
      <c r="D129" s="43"/>
      <c r="F129" s="43"/>
      <c r="G129" s="43">
        <f>SUM(F130:F131)</f>
        <v>2</v>
      </c>
      <c r="L129" s="44"/>
      <c r="M129" s="44" t="str">
        <f t="shared" si="1"/>
        <v/>
      </c>
      <c r="N129" s="44"/>
      <c r="O129" s="43"/>
    </row>
    <row r="130" spans="1:16" x14ac:dyDescent="0.25">
      <c r="A130" s="15" t="s">
        <v>1885</v>
      </c>
      <c r="B130" s="15" t="s">
        <v>1886</v>
      </c>
      <c r="C130" s="45" t="s">
        <v>143</v>
      </c>
      <c r="D130" s="46" t="s">
        <v>1728</v>
      </c>
      <c r="E130" s="15" t="s">
        <v>192</v>
      </c>
      <c r="F130" s="46">
        <v>1</v>
      </c>
      <c r="H130" s="45" t="s">
        <v>193</v>
      </c>
      <c r="I130" s="15" t="s">
        <v>194</v>
      </c>
      <c r="J130" s="15" t="s">
        <v>1772</v>
      </c>
      <c r="K130" s="15" t="s">
        <v>210</v>
      </c>
      <c r="L130" s="47" t="s">
        <v>1887</v>
      </c>
      <c r="M130" s="47" t="str">
        <f t="shared" si="1"/>
        <v>515301</v>
      </c>
      <c r="N130" s="47">
        <v>1</v>
      </c>
      <c r="O130" s="65">
        <v>7</v>
      </c>
      <c r="P130" s="15"/>
    </row>
    <row r="131" spans="1:16" x14ac:dyDescent="0.25">
      <c r="A131" s="15" t="s">
        <v>1885</v>
      </c>
      <c r="B131" s="15" t="s">
        <v>1886</v>
      </c>
      <c r="C131" s="45" t="s">
        <v>143</v>
      </c>
      <c r="D131" s="46" t="s">
        <v>1728</v>
      </c>
      <c r="E131" s="15" t="s">
        <v>192</v>
      </c>
      <c r="F131" s="46">
        <v>1</v>
      </c>
      <c r="H131" s="45" t="s">
        <v>193</v>
      </c>
      <c r="I131" s="15" t="s">
        <v>194</v>
      </c>
      <c r="J131" s="15" t="s">
        <v>1772</v>
      </c>
      <c r="K131" s="15" t="s">
        <v>285</v>
      </c>
      <c r="L131" s="47" t="s">
        <v>1887</v>
      </c>
      <c r="M131" s="47" t="str">
        <f t="shared" si="1"/>
        <v>515301</v>
      </c>
      <c r="N131" s="47">
        <v>2</v>
      </c>
      <c r="O131" s="65">
        <v>8</v>
      </c>
      <c r="P131" s="15"/>
    </row>
    <row r="132" spans="1:16" s="42" customFormat="1" ht="14.25" x14ac:dyDescent="0.2">
      <c r="C132" s="42" t="s">
        <v>102</v>
      </c>
      <c r="D132" s="43"/>
      <c r="F132" s="43"/>
      <c r="G132" s="43">
        <f>SUM(F133)</f>
        <v>1</v>
      </c>
      <c r="L132" s="44"/>
      <c r="M132" s="44" t="str">
        <f t="shared" si="1"/>
        <v/>
      </c>
      <c r="N132" s="44"/>
      <c r="O132" s="43"/>
    </row>
    <row r="133" spans="1:16" x14ac:dyDescent="0.25">
      <c r="A133" s="15" t="s">
        <v>924</v>
      </c>
      <c r="B133" s="15" t="s">
        <v>1888</v>
      </c>
      <c r="C133" s="45" t="s">
        <v>102</v>
      </c>
      <c r="D133" s="46" t="s">
        <v>1731</v>
      </c>
      <c r="E133" s="15" t="s">
        <v>192</v>
      </c>
      <c r="F133" s="46">
        <v>1</v>
      </c>
      <c r="H133" s="45" t="s">
        <v>193</v>
      </c>
      <c r="I133" s="15" t="s">
        <v>194</v>
      </c>
      <c r="J133" s="15" t="s">
        <v>1734</v>
      </c>
      <c r="K133" s="15" t="s">
        <v>1889</v>
      </c>
      <c r="L133" s="47" t="s">
        <v>1890</v>
      </c>
      <c r="M133" s="47" t="str">
        <f t="shared" ref="M133:M196" si="2">MID(L133,8,6)</f>
        <v>216601</v>
      </c>
      <c r="N133" s="47">
        <v>1</v>
      </c>
      <c r="O133" s="65">
        <v>9</v>
      </c>
      <c r="P133" s="15"/>
    </row>
    <row r="134" spans="1:16" s="42" customFormat="1" ht="14.25" x14ac:dyDescent="0.2">
      <c r="C134" s="42" t="s">
        <v>141</v>
      </c>
      <c r="D134" s="43"/>
      <c r="F134" s="43"/>
      <c r="G134" s="43">
        <f>SUM(F135)</f>
        <v>1</v>
      </c>
      <c r="L134" s="44"/>
      <c r="M134" s="44" t="str">
        <f t="shared" si="2"/>
        <v/>
      </c>
      <c r="N134" s="44"/>
      <c r="O134" s="43"/>
    </row>
    <row r="135" spans="1:16" x14ac:dyDescent="0.25">
      <c r="A135" s="15" t="s">
        <v>1801</v>
      </c>
      <c r="B135" s="15" t="s">
        <v>141</v>
      </c>
      <c r="C135" s="45" t="s">
        <v>141</v>
      </c>
      <c r="D135" s="46" t="s">
        <v>1731</v>
      </c>
      <c r="E135" s="15" t="s">
        <v>192</v>
      </c>
      <c r="F135" s="46">
        <v>1</v>
      </c>
      <c r="H135" s="45" t="s">
        <v>193</v>
      </c>
      <c r="I135" s="15" t="s">
        <v>194</v>
      </c>
      <c r="J135" s="15" t="s">
        <v>1732</v>
      </c>
      <c r="K135" s="15" t="s">
        <v>575</v>
      </c>
      <c r="L135" s="47" t="s">
        <v>1470</v>
      </c>
      <c r="M135" s="47" t="str">
        <f t="shared" si="2"/>
        <v>812102</v>
      </c>
      <c r="N135" s="47">
        <v>1</v>
      </c>
      <c r="O135" s="65">
        <v>100</v>
      </c>
      <c r="P135" s="15"/>
    </row>
    <row r="136" spans="1:16" s="42" customFormat="1" ht="14.25" x14ac:dyDescent="0.2">
      <c r="C136" s="42" t="s">
        <v>55</v>
      </c>
      <c r="D136" s="43"/>
      <c r="F136" s="43"/>
      <c r="G136" s="43">
        <f>SUM(F137)</f>
        <v>1</v>
      </c>
      <c r="L136" s="44"/>
      <c r="M136" s="44" t="str">
        <f t="shared" si="2"/>
        <v/>
      </c>
      <c r="N136" s="44"/>
      <c r="O136" s="43"/>
    </row>
    <row r="137" spans="1:16" x14ac:dyDescent="0.25">
      <c r="A137" s="15" t="s">
        <v>1023</v>
      </c>
      <c r="B137" s="15" t="s">
        <v>1000</v>
      </c>
      <c r="C137" s="45" t="s">
        <v>55</v>
      </c>
      <c r="D137" s="46" t="s">
        <v>1740</v>
      </c>
      <c r="E137" s="15" t="s">
        <v>233</v>
      </c>
      <c r="F137" s="46">
        <v>1</v>
      </c>
      <c r="H137" s="45" t="s">
        <v>193</v>
      </c>
      <c r="I137" s="15" t="s">
        <v>194</v>
      </c>
      <c r="J137" s="15" t="s">
        <v>1746</v>
      </c>
      <c r="K137" s="15" t="s">
        <v>210</v>
      </c>
      <c r="L137" s="47" t="s">
        <v>1891</v>
      </c>
      <c r="M137" s="47" t="str">
        <f t="shared" si="2"/>
        <v>311212</v>
      </c>
      <c r="N137" s="47">
        <v>1</v>
      </c>
      <c r="O137" s="65">
        <v>1</v>
      </c>
      <c r="P137" s="15"/>
    </row>
    <row r="138" spans="1:16" s="42" customFormat="1" ht="14.25" x14ac:dyDescent="0.2">
      <c r="C138" s="42" t="s">
        <v>114</v>
      </c>
      <c r="D138" s="43"/>
      <c r="F138" s="43"/>
      <c r="G138" s="43">
        <f>SUM(F139)</f>
        <v>1</v>
      </c>
      <c r="L138" s="44"/>
      <c r="M138" s="44" t="str">
        <f t="shared" si="2"/>
        <v/>
      </c>
      <c r="N138" s="44"/>
      <c r="O138" s="43"/>
    </row>
    <row r="139" spans="1:16" x14ac:dyDescent="0.25">
      <c r="A139" s="15" t="s">
        <v>1892</v>
      </c>
      <c r="B139" s="15" t="s">
        <v>1893</v>
      </c>
      <c r="C139" s="45" t="s">
        <v>114</v>
      </c>
      <c r="D139" s="46" t="s">
        <v>1740</v>
      </c>
      <c r="E139" s="15" t="s">
        <v>192</v>
      </c>
      <c r="F139" s="46">
        <v>1</v>
      </c>
      <c r="H139" s="45" t="s">
        <v>193</v>
      </c>
      <c r="I139" s="15" t="s">
        <v>194</v>
      </c>
      <c r="J139" s="15" t="s">
        <v>1752</v>
      </c>
      <c r="K139" s="15" t="s">
        <v>210</v>
      </c>
      <c r="L139" s="47" t="s">
        <v>1166</v>
      </c>
      <c r="M139" s="47" t="str">
        <f t="shared" si="2"/>
        <v>432102</v>
      </c>
      <c r="N139" s="47">
        <v>1</v>
      </c>
      <c r="O139" s="65">
        <v>2</v>
      </c>
      <c r="P139" s="15"/>
    </row>
    <row r="140" spans="1:16" s="42" customFormat="1" ht="14.25" x14ac:dyDescent="0.2">
      <c r="C140" s="42" t="s">
        <v>168</v>
      </c>
      <c r="D140" s="43"/>
      <c r="F140" s="43"/>
      <c r="G140" s="43">
        <f>SUM(F141)</f>
        <v>1</v>
      </c>
      <c r="L140" s="44"/>
      <c r="M140" s="44" t="str">
        <f t="shared" si="2"/>
        <v/>
      </c>
      <c r="N140" s="44"/>
      <c r="O140" s="43"/>
    </row>
    <row r="141" spans="1:16" x14ac:dyDescent="0.25">
      <c r="A141" s="15" t="s">
        <v>527</v>
      </c>
      <c r="B141" s="15" t="s">
        <v>1894</v>
      </c>
      <c r="C141" s="45" t="s">
        <v>168</v>
      </c>
      <c r="D141" s="46" t="s">
        <v>1740</v>
      </c>
      <c r="E141" s="15" t="s">
        <v>192</v>
      </c>
      <c r="F141" s="46">
        <v>1</v>
      </c>
      <c r="H141" s="45" t="s">
        <v>193</v>
      </c>
      <c r="I141" s="15" t="s">
        <v>194</v>
      </c>
      <c r="J141" s="15" t="s">
        <v>1754</v>
      </c>
      <c r="K141" s="15" t="s">
        <v>367</v>
      </c>
      <c r="L141" s="47" t="s">
        <v>1895</v>
      </c>
      <c r="M141" s="47" t="str">
        <f t="shared" si="2"/>
        <v>214927</v>
      </c>
      <c r="N141" s="47">
        <v>1</v>
      </c>
      <c r="O141" s="65">
        <v>3</v>
      </c>
      <c r="P141" s="15"/>
    </row>
    <row r="142" spans="1:16" s="42" customFormat="1" ht="14.25" x14ac:dyDescent="0.2">
      <c r="C142" s="42" t="s">
        <v>19</v>
      </c>
      <c r="D142" s="43"/>
      <c r="F142" s="43"/>
      <c r="G142" s="43">
        <f>SUM(F143:F151)</f>
        <v>9</v>
      </c>
      <c r="L142" s="44"/>
      <c r="M142" s="44" t="str">
        <f t="shared" si="2"/>
        <v/>
      </c>
      <c r="N142" s="44"/>
      <c r="O142" s="43"/>
    </row>
    <row r="143" spans="1:16" x14ac:dyDescent="0.25">
      <c r="A143" s="15" t="s">
        <v>303</v>
      </c>
      <c r="B143" s="15" t="s">
        <v>1896</v>
      </c>
      <c r="C143" s="45" t="s">
        <v>19</v>
      </c>
      <c r="D143" s="46" t="s">
        <v>1761</v>
      </c>
      <c r="E143" s="15" t="s">
        <v>192</v>
      </c>
      <c r="F143" s="46">
        <v>1</v>
      </c>
      <c r="H143" s="45" t="s">
        <v>193</v>
      </c>
      <c r="I143" s="15" t="s">
        <v>194</v>
      </c>
      <c r="J143" s="15" t="s">
        <v>1776</v>
      </c>
      <c r="K143" s="15" t="s">
        <v>305</v>
      </c>
      <c r="L143" s="47" t="s">
        <v>337</v>
      </c>
      <c r="M143" s="47" t="str">
        <f t="shared" si="2"/>
        <v>214903</v>
      </c>
      <c r="N143" s="47">
        <v>1</v>
      </c>
      <c r="O143" s="65">
        <v>4</v>
      </c>
      <c r="P143" s="15"/>
    </row>
    <row r="144" spans="1:16" x14ac:dyDescent="0.25">
      <c r="A144" s="15" t="s">
        <v>1897</v>
      </c>
      <c r="B144" s="15" t="s">
        <v>1898</v>
      </c>
      <c r="C144" s="45" t="s">
        <v>19</v>
      </c>
      <c r="D144" s="46" t="s">
        <v>1732</v>
      </c>
      <c r="E144" s="15" t="s">
        <v>192</v>
      </c>
      <c r="F144" s="46">
        <v>1</v>
      </c>
      <c r="H144" s="45" t="s">
        <v>193</v>
      </c>
      <c r="I144" s="15" t="s">
        <v>194</v>
      </c>
      <c r="J144" s="15" t="s">
        <v>1746</v>
      </c>
      <c r="K144" s="15" t="s">
        <v>210</v>
      </c>
      <c r="L144" s="47" t="s">
        <v>337</v>
      </c>
      <c r="M144" s="47" t="str">
        <f t="shared" si="2"/>
        <v>214903</v>
      </c>
      <c r="N144" s="47">
        <v>2</v>
      </c>
      <c r="O144" s="65">
        <v>5</v>
      </c>
      <c r="P144" s="15"/>
    </row>
    <row r="145" spans="1:16" x14ac:dyDescent="0.25">
      <c r="A145" s="15" t="s">
        <v>329</v>
      </c>
      <c r="B145" s="15" t="s">
        <v>1899</v>
      </c>
      <c r="C145" s="45" t="s">
        <v>19</v>
      </c>
      <c r="D145" s="46" t="s">
        <v>1803</v>
      </c>
      <c r="E145" s="15" t="s">
        <v>192</v>
      </c>
      <c r="F145" s="46">
        <v>1</v>
      </c>
      <c r="H145" s="45" t="s">
        <v>193</v>
      </c>
      <c r="I145" s="15" t="s">
        <v>194</v>
      </c>
      <c r="J145" s="15" t="s">
        <v>1746</v>
      </c>
      <c r="K145" s="15" t="s">
        <v>210</v>
      </c>
      <c r="L145" s="47" t="s">
        <v>337</v>
      </c>
      <c r="M145" s="47" t="str">
        <f t="shared" si="2"/>
        <v>214903</v>
      </c>
      <c r="N145" s="47">
        <v>3</v>
      </c>
      <c r="O145" s="65">
        <v>6</v>
      </c>
      <c r="P145" s="15"/>
    </row>
    <row r="146" spans="1:16" x14ac:dyDescent="0.25">
      <c r="A146" s="15" t="s">
        <v>1900</v>
      </c>
      <c r="B146" s="15" t="s">
        <v>1901</v>
      </c>
      <c r="C146" s="45" t="s">
        <v>19</v>
      </c>
      <c r="D146" s="46" t="s">
        <v>1761</v>
      </c>
      <c r="E146" s="15" t="s">
        <v>192</v>
      </c>
      <c r="F146" s="46">
        <v>1</v>
      </c>
      <c r="H146" s="45" t="s">
        <v>193</v>
      </c>
      <c r="I146" s="15" t="s">
        <v>194</v>
      </c>
      <c r="J146" s="15" t="s">
        <v>1796</v>
      </c>
      <c r="K146" s="15" t="s">
        <v>301</v>
      </c>
      <c r="L146" s="47" t="s">
        <v>337</v>
      </c>
      <c r="M146" s="47" t="str">
        <f t="shared" si="2"/>
        <v>214903</v>
      </c>
      <c r="N146" s="47">
        <v>4</v>
      </c>
      <c r="O146" s="65">
        <v>7</v>
      </c>
      <c r="P146" s="15"/>
    </row>
    <row r="147" spans="1:16" x14ac:dyDescent="0.25">
      <c r="A147" s="15" t="s">
        <v>1902</v>
      </c>
      <c r="B147" s="15" t="s">
        <v>1903</v>
      </c>
      <c r="C147" s="45" t="s">
        <v>19</v>
      </c>
      <c r="D147" s="46" t="s">
        <v>1732</v>
      </c>
      <c r="E147" s="15" t="s">
        <v>192</v>
      </c>
      <c r="F147" s="46">
        <v>1</v>
      </c>
      <c r="H147" s="45" t="s">
        <v>193</v>
      </c>
      <c r="I147" s="15" t="s">
        <v>194</v>
      </c>
      <c r="J147" s="15" t="s">
        <v>1764</v>
      </c>
      <c r="K147" s="15" t="s">
        <v>962</v>
      </c>
      <c r="L147" s="47" t="s">
        <v>337</v>
      </c>
      <c r="M147" s="47" t="str">
        <f t="shared" si="2"/>
        <v>214903</v>
      </c>
      <c r="N147" s="47">
        <v>5</v>
      </c>
      <c r="O147" s="65">
        <v>8</v>
      </c>
      <c r="P147" s="15"/>
    </row>
    <row r="148" spans="1:16" x14ac:dyDescent="0.25">
      <c r="A148" s="15" t="s">
        <v>1904</v>
      </c>
      <c r="B148" s="15" t="s">
        <v>1905</v>
      </c>
      <c r="C148" s="45" t="s">
        <v>19</v>
      </c>
      <c r="D148" s="46" t="s">
        <v>1736</v>
      </c>
      <c r="E148" s="15" t="s">
        <v>192</v>
      </c>
      <c r="F148" s="46">
        <v>1</v>
      </c>
      <c r="H148" s="45" t="s">
        <v>193</v>
      </c>
      <c r="I148" s="15" t="s">
        <v>194</v>
      </c>
      <c r="J148" s="15" t="s">
        <v>1737</v>
      </c>
      <c r="K148" s="15" t="s">
        <v>210</v>
      </c>
      <c r="L148" s="47" t="s">
        <v>337</v>
      </c>
      <c r="M148" s="47" t="str">
        <f t="shared" si="2"/>
        <v>214903</v>
      </c>
      <c r="N148" s="47">
        <v>6</v>
      </c>
      <c r="O148" s="65">
        <v>9</v>
      </c>
      <c r="P148" s="15"/>
    </row>
    <row r="149" spans="1:16" x14ac:dyDescent="0.25">
      <c r="A149" s="15" t="s">
        <v>1126</v>
      </c>
      <c r="B149" s="15" t="s">
        <v>1906</v>
      </c>
      <c r="C149" s="45" t="s">
        <v>19</v>
      </c>
      <c r="D149" s="46" t="s">
        <v>1736</v>
      </c>
      <c r="E149" s="15" t="s">
        <v>217</v>
      </c>
      <c r="F149" s="46">
        <v>1</v>
      </c>
      <c r="H149" s="45" t="s">
        <v>193</v>
      </c>
      <c r="I149" s="15" t="s">
        <v>194</v>
      </c>
      <c r="J149" s="15" t="s">
        <v>1836</v>
      </c>
      <c r="K149" s="15" t="s">
        <v>309</v>
      </c>
      <c r="L149" s="47" t="s">
        <v>337</v>
      </c>
      <c r="M149" s="47" t="str">
        <f t="shared" si="2"/>
        <v>214903</v>
      </c>
      <c r="N149" s="47">
        <v>7</v>
      </c>
      <c r="O149" s="65">
        <v>110</v>
      </c>
      <c r="P149" s="15"/>
    </row>
    <row r="150" spans="1:16" x14ac:dyDescent="0.25">
      <c r="A150" s="15" t="s">
        <v>335</v>
      </c>
      <c r="B150" s="15" t="s">
        <v>338</v>
      </c>
      <c r="C150" s="45" t="s">
        <v>19</v>
      </c>
      <c r="D150" s="46" t="s">
        <v>1728</v>
      </c>
      <c r="E150" s="15" t="s">
        <v>192</v>
      </c>
      <c r="F150" s="46">
        <v>1</v>
      </c>
      <c r="H150" s="45" t="s">
        <v>193</v>
      </c>
      <c r="I150" s="15" t="s">
        <v>194</v>
      </c>
      <c r="J150" s="15" t="s">
        <v>1762</v>
      </c>
      <c r="K150" s="15" t="s">
        <v>210</v>
      </c>
      <c r="L150" s="47" t="s">
        <v>337</v>
      </c>
      <c r="M150" s="47" t="str">
        <f t="shared" si="2"/>
        <v>214903</v>
      </c>
      <c r="N150" s="47">
        <v>8</v>
      </c>
      <c r="O150" s="65">
        <v>1</v>
      </c>
      <c r="P150" s="15"/>
    </row>
    <row r="151" spans="1:16" x14ac:dyDescent="0.25">
      <c r="A151" s="15" t="s">
        <v>335</v>
      </c>
      <c r="B151" s="15" t="s">
        <v>338</v>
      </c>
      <c r="C151" s="45" t="s">
        <v>19</v>
      </c>
      <c r="D151" s="46" t="s">
        <v>1732</v>
      </c>
      <c r="E151" s="15" t="s">
        <v>192</v>
      </c>
      <c r="F151" s="46">
        <v>1</v>
      </c>
      <c r="H151" s="45" t="s">
        <v>193</v>
      </c>
      <c r="I151" s="15" t="s">
        <v>194</v>
      </c>
      <c r="J151" s="15" t="s">
        <v>1762</v>
      </c>
      <c r="K151" s="15" t="s">
        <v>210</v>
      </c>
      <c r="L151" s="47" t="s">
        <v>337</v>
      </c>
      <c r="M151" s="47" t="str">
        <f t="shared" si="2"/>
        <v>214903</v>
      </c>
      <c r="N151" s="47">
        <v>9</v>
      </c>
      <c r="O151" s="65">
        <v>2</v>
      </c>
      <c r="P151" s="15"/>
    </row>
    <row r="152" spans="1:16" s="42" customFormat="1" ht="14.25" x14ac:dyDescent="0.2">
      <c r="C152" s="42" t="s">
        <v>21</v>
      </c>
      <c r="D152" s="43"/>
      <c r="F152" s="43"/>
      <c r="G152" s="43">
        <f>SUM(F153:F154)</f>
        <v>2</v>
      </c>
      <c r="L152" s="44"/>
      <c r="M152" s="44" t="str">
        <f t="shared" si="2"/>
        <v/>
      </c>
      <c r="N152" s="44"/>
      <c r="O152" s="43"/>
    </row>
    <row r="153" spans="1:16" x14ac:dyDescent="0.25">
      <c r="A153" s="15" t="s">
        <v>1907</v>
      </c>
      <c r="B153" s="15" t="s">
        <v>1908</v>
      </c>
      <c r="C153" s="45" t="s">
        <v>21</v>
      </c>
      <c r="D153" s="46" t="s">
        <v>1740</v>
      </c>
      <c r="E153" s="15" t="s">
        <v>192</v>
      </c>
      <c r="F153" s="46">
        <v>1</v>
      </c>
      <c r="H153" s="45" t="s">
        <v>193</v>
      </c>
      <c r="I153" s="15" t="s">
        <v>194</v>
      </c>
      <c r="J153" s="15" t="s">
        <v>1776</v>
      </c>
      <c r="K153" s="15" t="s">
        <v>210</v>
      </c>
      <c r="L153" s="47" t="s">
        <v>293</v>
      </c>
      <c r="M153" s="47" t="str">
        <f t="shared" si="2"/>
        <v>214202</v>
      </c>
      <c r="N153" s="47">
        <v>1</v>
      </c>
      <c r="O153" s="65">
        <v>3</v>
      </c>
      <c r="P153" s="15"/>
    </row>
    <row r="154" spans="1:16" x14ac:dyDescent="0.25">
      <c r="A154" s="3" t="s">
        <v>1909</v>
      </c>
      <c r="B154" s="15" t="s">
        <v>1910</v>
      </c>
      <c r="C154" s="45" t="s">
        <v>1911</v>
      </c>
      <c r="D154" s="46" t="s">
        <v>1728</v>
      </c>
      <c r="E154" s="15" t="s">
        <v>233</v>
      </c>
      <c r="F154" s="46">
        <v>1</v>
      </c>
      <c r="H154" s="45" t="s">
        <v>193</v>
      </c>
      <c r="I154" s="15" t="s">
        <v>194</v>
      </c>
      <c r="J154" s="15" t="s">
        <v>1746</v>
      </c>
      <c r="K154" s="15" t="s">
        <v>385</v>
      </c>
      <c r="L154" s="47" t="s">
        <v>293</v>
      </c>
      <c r="M154" s="47" t="str">
        <f t="shared" si="2"/>
        <v>214202</v>
      </c>
      <c r="N154" s="47">
        <v>2</v>
      </c>
      <c r="O154" s="65">
        <v>4</v>
      </c>
      <c r="P154" s="15"/>
    </row>
    <row r="155" spans="1:16" s="42" customFormat="1" ht="14.25" x14ac:dyDescent="0.2">
      <c r="C155" s="42" t="s">
        <v>30</v>
      </c>
      <c r="D155" s="43"/>
      <c r="F155" s="43"/>
      <c r="G155" s="43">
        <f>SUM(F156:F157)</f>
        <v>2</v>
      </c>
      <c r="L155" s="44"/>
      <c r="M155" s="44" t="str">
        <f t="shared" si="2"/>
        <v/>
      </c>
      <c r="N155" s="44"/>
      <c r="O155" s="43"/>
    </row>
    <row r="156" spans="1:16" x14ac:dyDescent="0.25">
      <c r="A156" s="15" t="s">
        <v>1907</v>
      </c>
      <c r="B156" s="15" t="s">
        <v>1912</v>
      </c>
      <c r="C156" s="45" t="s">
        <v>30</v>
      </c>
      <c r="D156" s="46" t="s">
        <v>1761</v>
      </c>
      <c r="E156" s="15" t="s">
        <v>192</v>
      </c>
      <c r="F156" s="46">
        <v>1</v>
      </c>
      <c r="H156" s="45" t="s">
        <v>193</v>
      </c>
      <c r="I156" s="15" t="s">
        <v>194</v>
      </c>
      <c r="J156" s="15" t="s">
        <v>1764</v>
      </c>
      <c r="K156" s="15" t="s">
        <v>210</v>
      </c>
      <c r="L156" s="47" t="s">
        <v>1025</v>
      </c>
      <c r="M156" s="47" t="str">
        <f t="shared" si="2"/>
        <v>214207</v>
      </c>
      <c r="O156" s="65">
        <v>5</v>
      </c>
      <c r="P156" s="15"/>
    </row>
    <row r="157" spans="1:16" x14ac:dyDescent="0.25">
      <c r="A157" s="15" t="s">
        <v>1023</v>
      </c>
      <c r="B157" s="15" t="s">
        <v>1024</v>
      </c>
      <c r="C157" s="45" t="s">
        <v>30</v>
      </c>
      <c r="D157" s="46" t="s">
        <v>1740</v>
      </c>
      <c r="E157" s="15" t="s">
        <v>233</v>
      </c>
      <c r="F157" s="46">
        <v>1</v>
      </c>
      <c r="H157" s="45" t="s">
        <v>193</v>
      </c>
      <c r="I157" s="15" t="s">
        <v>194</v>
      </c>
      <c r="J157" s="15" t="s">
        <v>1764</v>
      </c>
      <c r="K157" s="15" t="s">
        <v>210</v>
      </c>
      <c r="L157" s="47" t="s">
        <v>1025</v>
      </c>
      <c r="M157" s="47" t="str">
        <f t="shared" si="2"/>
        <v>214207</v>
      </c>
      <c r="O157" s="65">
        <v>6</v>
      </c>
      <c r="P157" s="15"/>
    </row>
    <row r="158" spans="1:16" s="42" customFormat="1" ht="14.25" x14ac:dyDescent="0.2">
      <c r="C158" s="42" t="s">
        <v>28</v>
      </c>
      <c r="D158" s="43"/>
      <c r="F158" s="43"/>
      <c r="G158" s="43">
        <f>SUM(F159:F165)</f>
        <v>7</v>
      </c>
      <c r="L158" s="44"/>
      <c r="M158" s="44" t="str">
        <f t="shared" si="2"/>
        <v/>
      </c>
      <c r="N158" s="44"/>
      <c r="O158" s="43"/>
    </row>
    <row r="159" spans="1:16" x14ac:dyDescent="0.25">
      <c r="A159" s="15" t="s">
        <v>369</v>
      </c>
      <c r="B159" s="15" t="s">
        <v>1913</v>
      </c>
      <c r="C159" s="45" t="s">
        <v>366</v>
      </c>
      <c r="D159" s="46" t="s">
        <v>1803</v>
      </c>
      <c r="E159" s="15" t="s">
        <v>192</v>
      </c>
      <c r="F159" s="46">
        <v>1</v>
      </c>
      <c r="H159" s="45" t="s">
        <v>193</v>
      </c>
      <c r="I159" s="15" t="s">
        <v>194</v>
      </c>
      <c r="J159" s="15" t="s">
        <v>1746</v>
      </c>
      <c r="K159" s="15" t="s">
        <v>210</v>
      </c>
      <c r="L159" s="47" t="s">
        <v>368</v>
      </c>
      <c r="M159" s="47" t="str">
        <f t="shared" si="2"/>
        <v>215201</v>
      </c>
      <c r="N159" s="47">
        <v>1</v>
      </c>
      <c r="O159" s="65">
        <v>7</v>
      </c>
      <c r="P159" s="15"/>
    </row>
    <row r="160" spans="1:16" x14ac:dyDescent="0.25">
      <c r="A160" s="15" t="s">
        <v>562</v>
      </c>
      <c r="B160" s="15" t="s">
        <v>1914</v>
      </c>
      <c r="C160" s="45" t="s">
        <v>366</v>
      </c>
      <c r="D160" s="46" t="s">
        <v>1728</v>
      </c>
      <c r="E160" s="15" t="s">
        <v>192</v>
      </c>
      <c r="F160" s="46">
        <v>1</v>
      </c>
      <c r="H160" s="45" t="s">
        <v>193</v>
      </c>
      <c r="I160" s="15" t="s">
        <v>194</v>
      </c>
      <c r="J160" s="15" t="s">
        <v>1915</v>
      </c>
      <c r="K160" s="15" t="s">
        <v>253</v>
      </c>
      <c r="L160" s="47" t="s">
        <v>368</v>
      </c>
      <c r="M160" s="47" t="str">
        <f t="shared" si="2"/>
        <v>215201</v>
      </c>
      <c r="N160" s="47">
        <v>2</v>
      </c>
      <c r="O160" s="65">
        <v>8</v>
      </c>
      <c r="P160" s="15"/>
    </row>
    <row r="161" spans="1:16" x14ac:dyDescent="0.25">
      <c r="A161" s="15" t="s">
        <v>1568</v>
      </c>
      <c r="B161" s="15" t="s">
        <v>1916</v>
      </c>
      <c r="C161" s="45" t="s">
        <v>366</v>
      </c>
      <c r="D161" s="46" t="s">
        <v>1745</v>
      </c>
      <c r="E161" s="15" t="s">
        <v>192</v>
      </c>
      <c r="F161" s="46">
        <v>1</v>
      </c>
      <c r="H161" s="45" t="s">
        <v>193</v>
      </c>
      <c r="I161" s="15" t="s">
        <v>194</v>
      </c>
      <c r="J161" s="15" t="s">
        <v>1762</v>
      </c>
      <c r="K161" s="15" t="s">
        <v>276</v>
      </c>
      <c r="L161" s="47" t="s">
        <v>368</v>
      </c>
      <c r="M161" s="47" t="str">
        <f t="shared" si="2"/>
        <v>215201</v>
      </c>
      <c r="N161" s="47">
        <v>3</v>
      </c>
      <c r="O161" s="65">
        <v>9</v>
      </c>
      <c r="P161" s="15"/>
    </row>
    <row r="162" spans="1:16" x14ac:dyDescent="0.25">
      <c r="A162" s="15" t="s">
        <v>1917</v>
      </c>
      <c r="B162" s="15" t="s">
        <v>1918</v>
      </c>
      <c r="C162" s="45" t="s">
        <v>354</v>
      </c>
      <c r="D162" s="46" t="s">
        <v>1728</v>
      </c>
      <c r="E162" s="15" t="s">
        <v>192</v>
      </c>
      <c r="F162" s="46">
        <v>1</v>
      </c>
      <c r="H162" s="45" t="s">
        <v>193</v>
      </c>
      <c r="I162" s="15" t="s">
        <v>194</v>
      </c>
      <c r="J162" s="15" t="s">
        <v>1796</v>
      </c>
      <c r="K162" s="15" t="s">
        <v>253</v>
      </c>
      <c r="L162" s="47" t="s">
        <v>355</v>
      </c>
      <c r="M162" s="47" t="str">
        <f t="shared" si="2"/>
        <v>215103</v>
      </c>
      <c r="N162" s="47">
        <v>4</v>
      </c>
      <c r="O162" s="65">
        <v>120</v>
      </c>
      <c r="P162" s="15"/>
    </row>
    <row r="163" spans="1:16" x14ac:dyDescent="0.25">
      <c r="A163" s="15" t="s">
        <v>1490</v>
      </c>
      <c r="B163" s="15" t="s">
        <v>1919</v>
      </c>
      <c r="C163" s="45" t="s">
        <v>362</v>
      </c>
      <c r="D163" s="46" t="s">
        <v>1779</v>
      </c>
      <c r="E163" s="15" t="s">
        <v>192</v>
      </c>
      <c r="F163" s="46">
        <v>1</v>
      </c>
      <c r="H163" s="45" t="s">
        <v>193</v>
      </c>
      <c r="I163" s="15" t="s">
        <v>194</v>
      </c>
      <c r="J163" s="15" t="s">
        <v>1796</v>
      </c>
      <c r="K163" s="15" t="s">
        <v>575</v>
      </c>
      <c r="L163" s="47" t="s">
        <v>363</v>
      </c>
      <c r="M163" s="47" t="str">
        <f t="shared" si="2"/>
        <v>215104</v>
      </c>
      <c r="N163" s="47">
        <v>5</v>
      </c>
      <c r="O163" s="65">
        <v>1</v>
      </c>
      <c r="P163" s="15"/>
    </row>
    <row r="164" spans="1:16" x14ac:dyDescent="0.25">
      <c r="A164" s="15" t="s">
        <v>1920</v>
      </c>
      <c r="B164" s="15" t="s">
        <v>1921</v>
      </c>
      <c r="C164" s="45" t="s">
        <v>362</v>
      </c>
      <c r="D164" s="46" t="s">
        <v>1761</v>
      </c>
      <c r="E164" s="15" t="s">
        <v>192</v>
      </c>
      <c r="F164" s="46">
        <v>1</v>
      </c>
      <c r="H164" s="45" t="s">
        <v>193</v>
      </c>
      <c r="I164" s="15" t="s">
        <v>194</v>
      </c>
      <c r="J164" s="15" t="s">
        <v>1772</v>
      </c>
      <c r="K164" s="15" t="s">
        <v>223</v>
      </c>
      <c r="L164" s="47" t="s">
        <v>363</v>
      </c>
      <c r="M164" s="47" t="str">
        <f t="shared" si="2"/>
        <v>215104</v>
      </c>
      <c r="N164" s="47">
        <v>6</v>
      </c>
      <c r="O164" s="65">
        <v>2</v>
      </c>
      <c r="P164" s="15"/>
    </row>
    <row r="165" spans="1:16" x14ac:dyDescent="0.25">
      <c r="A165" s="3" t="s">
        <v>511</v>
      </c>
      <c r="B165" s="15" t="s">
        <v>1922</v>
      </c>
      <c r="C165" s="45" t="s">
        <v>362</v>
      </c>
      <c r="D165" s="46" t="s">
        <v>1803</v>
      </c>
      <c r="E165" s="15" t="s">
        <v>192</v>
      </c>
      <c r="F165" s="46">
        <v>1</v>
      </c>
      <c r="H165" s="45" t="s">
        <v>193</v>
      </c>
      <c r="I165" s="15" t="s">
        <v>194</v>
      </c>
      <c r="J165" s="15" t="s">
        <v>1772</v>
      </c>
      <c r="K165" s="15" t="s">
        <v>210</v>
      </c>
      <c r="L165" s="47" t="s">
        <v>363</v>
      </c>
      <c r="M165" s="47" t="str">
        <f t="shared" si="2"/>
        <v>215104</v>
      </c>
      <c r="N165" s="47">
        <v>7</v>
      </c>
      <c r="O165" s="65">
        <v>3</v>
      </c>
      <c r="P165" s="15"/>
    </row>
    <row r="166" spans="1:16" s="42" customFormat="1" ht="14.25" x14ac:dyDescent="0.2">
      <c r="C166" s="42" t="s">
        <v>93</v>
      </c>
      <c r="D166" s="43"/>
      <c r="F166" s="43"/>
      <c r="G166" s="43">
        <f>SUM(F167:F169)</f>
        <v>3</v>
      </c>
      <c r="L166" s="44"/>
      <c r="M166" s="44" t="str">
        <f t="shared" si="2"/>
        <v/>
      </c>
      <c r="N166" s="44"/>
      <c r="O166" s="43"/>
    </row>
    <row r="167" spans="1:16" x14ac:dyDescent="0.25">
      <c r="A167" s="15" t="s">
        <v>1923</v>
      </c>
      <c r="B167" s="15" t="s">
        <v>1924</v>
      </c>
      <c r="C167" s="45" t="s">
        <v>1925</v>
      </c>
      <c r="D167" s="46" t="s">
        <v>1761</v>
      </c>
      <c r="E167" s="15" t="s">
        <v>192</v>
      </c>
      <c r="F167" s="46">
        <v>1</v>
      </c>
      <c r="H167" s="45" t="s">
        <v>193</v>
      </c>
      <c r="I167" s="15" t="s">
        <v>194</v>
      </c>
      <c r="J167" s="15" t="s">
        <v>1772</v>
      </c>
      <c r="K167" s="15" t="s">
        <v>285</v>
      </c>
      <c r="L167" s="47" t="s">
        <v>1926</v>
      </c>
      <c r="M167" s="47" t="str">
        <f t="shared" si="2"/>
        <v>214301</v>
      </c>
      <c r="O167" s="65">
        <v>4</v>
      </c>
      <c r="P167" s="15"/>
    </row>
    <row r="168" spans="1:16" x14ac:dyDescent="0.25">
      <c r="A168" s="15" t="s">
        <v>1927</v>
      </c>
      <c r="B168" s="15" t="s">
        <v>1928</v>
      </c>
      <c r="C168" s="45" t="s">
        <v>1929</v>
      </c>
      <c r="D168" s="46" t="s">
        <v>1740</v>
      </c>
      <c r="E168" s="15" t="s">
        <v>192</v>
      </c>
      <c r="F168" s="46">
        <v>1</v>
      </c>
      <c r="H168" s="45" t="s">
        <v>193</v>
      </c>
      <c r="I168" s="15" t="s">
        <v>194</v>
      </c>
      <c r="J168" s="15" t="s">
        <v>1764</v>
      </c>
      <c r="K168" s="15" t="s">
        <v>367</v>
      </c>
      <c r="L168" s="47" t="s">
        <v>1930</v>
      </c>
      <c r="M168" s="47" t="str">
        <f t="shared" si="2"/>
        <v>214302</v>
      </c>
      <c r="O168" s="65">
        <v>5</v>
      </c>
      <c r="P168" s="15"/>
    </row>
    <row r="169" spans="1:16" x14ac:dyDescent="0.25">
      <c r="A169" s="15" t="s">
        <v>218</v>
      </c>
      <c r="B169" s="15" t="s">
        <v>1931</v>
      </c>
      <c r="C169" s="45" t="s">
        <v>1570</v>
      </c>
      <c r="D169" s="46" t="s">
        <v>1731</v>
      </c>
      <c r="E169" s="15" t="s">
        <v>233</v>
      </c>
      <c r="F169" s="46">
        <v>1</v>
      </c>
      <c r="H169" s="45" t="s">
        <v>193</v>
      </c>
      <c r="I169" s="15" t="s">
        <v>194</v>
      </c>
      <c r="J169" s="15" t="s">
        <v>1734</v>
      </c>
      <c r="K169" s="15" t="s">
        <v>210</v>
      </c>
      <c r="L169" s="47" t="s">
        <v>1571</v>
      </c>
      <c r="M169" s="47" t="str">
        <f t="shared" si="2"/>
        <v>214303</v>
      </c>
      <c r="O169" s="65">
        <v>6</v>
      </c>
      <c r="P169" s="15"/>
    </row>
    <row r="170" spans="1:16" s="42" customFormat="1" ht="14.25" x14ac:dyDescent="0.2">
      <c r="C170" s="42" t="s">
        <v>45</v>
      </c>
      <c r="D170" s="43"/>
      <c r="F170" s="43"/>
      <c r="G170" s="43">
        <f>SUM(F171:F172)</f>
        <v>2</v>
      </c>
      <c r="L170" s="44"/>
      <c r="M170" s="44" t="str">
        <f t="shared" si="2"/>
        <v/>
      </c>
      <c r="N170" s="44"/>
      <c r="O170" s="43"/>
    </row>
    <row r="171" spans="1:16" x14ac:dyDescent="0.25">
      <c r="A171" s="15" t="s">
        <v>1490</v>
      </c>
      <c r="B171" s="15" t="s">
        <v>1932</v>
      </c>
      <c r="C171" s="45" t="s">
        <v>45</v>
      </c>
      <c r="D171" s="46" t="s">
        <v>1732</v>
      </c>
      <c r="E171" s="15" t="s">
        <v>192</v>
      </c>
      <c r="F171" s="46">
        <v>1</v>
      </c>
      <c r="H171" s="45" t="s">
        <v>193</v>
      </c>
      <c r="I171" s="15" t="s">
        <v>194</v>
      </c>
      <c r="J171" s="15" t="s">
        <v>1796</v>
      </c>
      <c r="K171" s="15" t="s">
        <v>575</v>
      </c>
      <c r="L171" s="47" t="s">
        <v>351</v>
      </c>
      <c r="M171" s="47" t="str">
        <f t="shared" si="2"/>
        <v>214932</v>
      </c>
      <c r="O171" s="65">
        <v>7</v>
      </c>
      <c r="P171" s="15"/>
    </row>
    <row r="172" spans="1:16" x14ac:dyDescent="0.25">
      <c r="A172" s="15" t="s">
        <v>1933</v>
      </c>
      <c r="B172" s="15" t="s">
        <v>1934</v>
      </c>
      <c r="C172" s="45" t="s">
        <v>45</v>
      </c>
      <c r="D172" s="46" t="s">
        <v>1740</v>
      </c>
      <c r="E172" s="15" t="s">
        <v>192</v>
      </c>
      <c r="F172" s="46">
        <v>1</v>
      </c>
      <c r="H172" s="45" t="s">
        <v>193</v>
      </c>
      <c r="I172" s="15" t="s">
        <v>194</v>
      </c>
      <c r="J172" s="15" t="s">
        <v>1752</v>
      </c>
      <c r="K172" s="15" t="s">
        <v>327</v>
      </c>
      <c r="L172" s="47" t="s">
        <v>351</v>
      </c>
      <c r="M172" s="47" t="str">
        <f t="shared" si="2"/>
        <v>214932</v>
      </c>
      <c r="O172" s="65">
        <v>8</v>
      </c>
      <c r="P172" s="15"/>
    </row>
    <row r="173" spans="1:16" s="42" customFormat="1" ht="14.25" x14ac:dyDescent="0.2">
      <c r="C173" s="42" t="s">
        <v>11</v>
      </c>
      <c r="D173" s="43"/>
      <c r="F173" s="43"/>
      <c r="G173" s="43">
        <f>SUM(F174:F189)</f>
        <v>16</v>
      </c>
      <c r="L173" s="44"/>
      <c r="M173" s="44" t="str">
        <f t="shared" si="2"/>
        <v/>
      </c>
      <c r="N173" s="44"/>
      <c r="O173" s="43"/>
    </row>
    <row r="174" spans="1:16" x14ac:dyDescent="0.25">
      <c r="A174" s="15" t="s">
        <v>1935</v>
      </c>
      <c r="B174" s="15" t="s">
        <v>1936</v>
      </c>
      <c r="C174" s="45" t="s">
        <v>1937</v>
      </c>
      <c r="D174" s="46" t="s">
        <v>1740</v>
      </c>
      <c r="E174" s="15" t="s">
        <v>192</v>
      </c>
      <c r="F174" s="46">
        <v>1</v>
      </c>
      <c r="H174" s="45" t="s">
        <v>193</v>
      </c>
      <c r="I174" s="15" t="s">
        <v>194</v>
      </c>
      <c r="J174" s="15" t="s">
        <v>1915</v>
      </c>
      <c r="K174" s="15" t="s">
        <v>253</v>
      </c>
      <c r="L174" s="47" t="s">
        <v>1938</v>
      </c>
      <c r="M174" s="47" t="str">
        <f t="shared" si="2"/>
        <v>214406</v>
      </c>
      <c r="O174" s="65">
        <v>9</v>
      </c>
      <c r="P174" s="15"/>
    </row>
    <row r="175" spans="1:16" x14ac:dyDescent="0.25">
      <c r="A175" s="15" t="s">
        <v>1939</v>
      </c>
      <c r="B175" s="15" t="s">
        <v>304</v>
      </c>
      <c r="C175" s="45" t="s">
        <v>300</v>
      </c>
      <c r="D175" s="46" t="s">
        <v>1761</v>
      </c>
      <c r="E175" s="15" t="s">
        <v>192</v>
      </c>
      <c r="F175" s="46">
        <v>1</v>
      </c>
      <c r="H175" s="45" t="s">
        <v>193</v>
      </c>
      <c r="I175" s="15" t="s">
        <v>194</v>
      </c>
      <c r="J175" s="15" t="s">
        <v>1754</v>
      </c>
      <c r="K175" s="15" t="s">
        <v>385</v>
      </c>
      <c r="L175" s="47" t="s">
        <v>302</v>
      </c>
      <c r="M175" s="47" t="str">
        <f t="shared" si="2"/>
        <v>214402</v>
      </c>
      <c r="O175" s="65">
        <v>130</v>
      </c>
      <c r="P175" s="15"/>
    </row>
    <row r="176" spans="1:16" x14ac:dyDescent="0.25">
      <c r="A176" s="15" t="s">
        <v>596</v>
      </c>
      <c r="B176" s="15" t="s">
        <v>1940</v>
      </c>
      <c r="C176" s="45" t="s">
        <v>300</v>
      </c>
      <c r="D176" s="46" t="s">
        <v>1740</v>
      </c>
      <c r="E176" s="15" t="s">
        <v>192</v>
      </c>
      <c r="F176" s="46">
        <v>1</v>
      </c>
      <c r="H176" s="45" t="s">
        <v>193</v>
      </c>
      <c r="I176" s="15" t="s">
        <v>194</v>
      </c>
      <c r="J176" s="15" t="s">
        <v>1915</v>
      </c>
      <c r="K176" s="15" t="s">
        <v>316</v>
      </c>
      <c r="L176" s="47" t="s">
        <v>302</v>
      </c>
      <c r="M176" s="47" t="str">
        <f t="shared" si="2"/>
        <v>214402</v>
      </c>
      <c r="O176" s="65">
        <v>1</v>
      </c>
      <c r="P176" s="15"/>
    </row>
    <row r="177" spans="1:16" x14ac:dyDescent="0.25">
      <c r="A177" s="15" t="s">
        <v>1902</v>
      </c>
      <c r="B177" s="15" t="s">
        <v>304</v>
      </c>
      <c r="C177" s="45" t="s">
        <v>308</v>
      </c>
      <c r="D177" s="46" t="s">
        <v>1732</v>
      </c>
      <c r="E177" s="15" t="s">
        <v>192</v>
      </c>
      <c r="F177" s="46">
        <v>1</v>
      </c>
      <c r="H177" s="45" t="s">
        <v>193</v>
      </c>
      <c r="I177" s="15" t="s">
        <v>194</v>
      </c>
      <c r="J177" s="15" t="s">
        <v>1754</v>
      </c>
      <c r="K177" s="15" t="s">
        <v>962</v>
      </c>
      <c r="L177" s="47" t="s">
        <v>310</v>
      </c>
      <c r="M177" s="47" t="str">
        <f t="shared" si="2"/>
        <v>214404</v>
      </c>
      <c r="O177" s="65">
        <v>2</v>
      </c>
      <c r="P177" s="15"/>
    </row>
    <row r="178" spans="1:16" x14ac:dyDescent="0.25">
      <c r="A178" s="15" t="s">
        <v>1941</v>
      </c>
      <c r="B178" s="15" t="s">
        <v>1942</v>
      </c>
      <c r="C178" s="45" t="s">
        <v>308</v>
      </c>
      <c r="D178" s="46" t="s">
        <v>1732</v>
      </c>
      <c r="E178" s="15" t="s">
        <v>192</v>
      </c>
      <c r="F178" s="46">
        <v>1</v>
      </c>
      <c r="H178" s="45" t="s">
        <v>193</v>
      </c>
      <c r="I178" s="15" t="s">
        <v>194</v>
      </c>
      <c r="J178" s="15" t="s">
        <v>1754</v>
      </c>
      <c r="K178" s="15" t="s">
        <v>316</v>
      </c>
      <c r="L178" s="47" t="s">
        <v>310</v>
      </c>
      <c r="M178" s="47" t="str">
        <f t="shared" si="2"/>
        <v>214404</v>
      </c>
      <c r="O178" s="65">
        <v>3</v>
      </c>
      <c r="P178" s="15"/>
    </row>
    <row r="179" spans="1:16" x14ac:dyDescent="0.25">
      <c r="A179" s="15" t="s">
        <v>331</v>
      </c>
      <c r="B179" s="15" t="s">
        <v>1943</v>
      </c>
      <c r="C179" s="45" t="s">
        <v>308</v>
      </c>
      <c r="D179" s="46" t="s">
        <v>1736</v>
      </c>
      <c r="E179" s="15" t="s">
        <v>192</v>
      </c>
      <c r="F179" s="46">
        <v>1</v>
      </c>
      <c r="H179" s="45" t="s">
        <v>193</v>
      </c>
      <c r="I179" s="15" t="s">
        <v>194</v>
      </c>
      <c r="J179" s="15" t="s">
        <v>1776</v>
      </c>
      <c r="K179" s="15" t="s">
        <v>309</v>
      </c>
      <c r="L179" s="47" t="s">
        <v>310</v>
      </c>
      <c r="M179" s="47" t="str">
        <f t="shared" si="2"/>
        <v>214404</v>
      </c>
      <c r="O179" s="65">
        <v>4</v>
      </c>
      <c r="P179" s="15"/>
    </row>
    <row r="180" spans="1:16" x14ac:dyDescent="0.25">
      <c r="A180" s="15" t="s">
        <v>562</v>
      </c>
      <c r="B180" s="15" t="s">
        <v>1944</v>
      </c>
      <c r="C180" s="45" t="s">
        <v>308</v>
      </c>
      <c r="D180" s="46" t="s">
        <v>1740</v>
      </c>
      <c r="E180" s="15" t="s">
        <v>192</v>
      </c>
      <c r="F180" s="46">
        <v>1</v>
      </c>
      <c r="H180" s="45" t="s">
        <v>193</v>
      </c>
      <c r="I180" s="15" t="s">
        <v>194</v>
      </c>
      <c r="J180" s="15" t="s">
        <v>1732</v>
      </c>
      <c r="K180" s="15" t="s">
        <v>253</v>
      </c>
      <c r="L180" s="47" t="s">
        <v>310</v>
      </c>
      <c r="M180" s="47" t="str">
        <f t="shared" si="2"/>
        <v>214404</v>
      </c>
      <c r="O180" s="65">
        <v>5</v>
      </c>
      <c r="P180" s="15"/>
    </row>
    <row r="181" spans="1:16" x14ac:dyDescent="0.25">
      <c r="A181" s="15" t="s">
        <v>1945</v>
      </c>
      <c r="B181" s="15" t="s">
        <v>1946</v>
      </c>
      <c r="C181" s="45" t="s">
        <v>1947</v>
      </c>
      <c r="D181" s="46" t="s">
        <v>1745</v>
      </c>
      <c r="E181" s="15" t="s">
        <v>192</v>
      </c>
      <c r="F181" s="46">
        <v>1</v>
      </c>
      <c r="H181" s="45" t="s">
        <v>193</v>
      </c>
      <c r="I181" s="15" t="s">
        <v>194</v>
      </c>
      <c r="J181" s="15" t="s">
        <v>1759</v>
      </c>
      <c r="K181" s="15" t="s">
        <v>316</v>
      </c>
      <c r="L181" s="47" t="s">
        <v>1948</v>
      </c>
      <c r="M181" s="47" t="str">
        <f t="shared" si="2"/>
        <v>214405</v>
      </c>
      <c r="O181" s="65">
        <v>6</v>
      </c>
      <c r="P181" s="15"/>
    </row>
    <row r="182" spans="1:16" x14ac:dyDescent="0.25">
      <c r="A182" s="15" t="s">
        <v>1949</v>
      </c>
      <c r="B182" s="15" t="s">
        <v>1950</v>
      </c>
      <c r="C182" s="45" t="s">
        <v>319</v>
      </c>
      <c r="D182" s="46" t="s">
        <v>1732</v>
      </c>
      <c r="E182" s="15" t="s">
        <v>192</v>
      </c>
      <c r="F182" s="46">
        <v>1</v>
      </c>
      <c r="H182" s="45" t="s">
        <v>193</v>
      </c>
      <c r="I182" s="15" t="s">
        <v>194</v>
      </c>
      <c r="J182" s="15" t="s">
        <v>1734</v>
      </c>
      <c r="K182" s="15" t="s">
        <v>210</v>
      </c>
      <c r="L182" s="47" t="s">
        <v>320</v>
      </c>
      <c r="M182" s="47" t="str">
        <f t="shared" si="2"/>
        <v>214407</v>
      </c>
      <c r="O182" s="65">
        <v>7</v>
      </c>
      <c r="P182" s="15"/>
    </row>
    <row r="183" spans="1:16" x14ac:dyDescent="0.25">
      <c r="A183" s="15" t="s">
        <v>527</v>
      </c>
      <c r="B183" s="15" t="s">
        <v>1951</v>
      </c>
      <c r="C183" s="45" t="s">
        <v>319</v>
      </c>
      <c r="D183" s="46" t="s">
        <v>1731</v>
      </c>
      <c r="E183" s="15" t="s">
        <v>192</v>
      </c>
      <c r="F183" s="46">
        <v>1</v>
      </c>
      <c r="H183" s="45" t="s">
        <v>193</v>
      </c>
      <c r="I183" s="15" t="s">
        <v>194</v>
      </c>
      <c r="J183" s="15" t="s">
        <v>1764</v>
      </c>
      <c r="K183" s="15" t="s">
        <v>367</v>
      </c>
      <c r="L183" s="47" t="s">
        <v>320</v>
      </c>
      <c r="M183" s="47" t="str">
        <f t="shared" si="2"/>
        <v>214407</v>
      </c>
      <c r="O183" s="65">
        <v>8</v>
      </c>
      <c r="P183" s="15"/>
    </row>
    <row r="184" spans="1:16" x14ac:dyDescent="0.25">
      <c r="A184" s="15" t="s">
        <v>1952</v>
      </c>
      <c r="B184" s="15" t="s">
        <v>1953</v>
      </c>
      <c r="C184" s="45" t="s">
        <v>319</v>
      </c>
      <c r="D184" s="46" t="s">
        <v>1779</v>
      </c>
      <c r="E184" s="15" t="s">
        <v>192</v>
      </c>
      <c r="F184" s="46">
        <v>1</v>
      </c>
      <c r="H184" s="45" t="s">
        <v>193</v>
      </c>
      <c r="I184" s="15" t="s">
        <v>194</v>
      </c>
      <c r="J184" s="15" t="s">
        <v>1915</v>
      </c>
      <c r="K184" s="15" t="s">
        <v>196</v>
      </c>
      <c r="L184" s="47" t="s">
        <v>320</v>
      </c>
      <c r="M184" s="47" t="str">
        <f t="shared" si="2"/>
        <v>214407</v>
      </c>
      <c r="O184" s="65">
        <v>9</v>
      </c>
      <c r="P184" s="15"/>
    </row>
    <row r="185" spans="1:16" x14ac:dyDescent="0.25">
      <c r="A185" s="15" t="s">
        <v>977</v>
      </c>
      <c r="B185" s="15" t="s">
        <v>1954</v>
      </c>
      <c r="C185" s="45" t="s">
        <v>319</v>
      </c>
      <c r="D185" s="46" t="s">
        <v>1740</v>
      </c>
      <c r="E185" s="15" t="s">
        <v>192</v>
      </c>
      <c r="F185" s="46">
        <v>1</v>
      </c>
      <c r="H185" s="45" t="s">
        <v>193</v>
      </c>
      <c r="I185" s="15" t="s">
        <v>194</v>
      </c>
      <c r="J185" s="15" t="s">
        <v>1955</v>
      </c>
      <c r="K185" s="15" t="s">
        <v>253</v>
      </c>
      <c r="L185" s="47" t="s">
        <v>320</v>
      </c>
      <c r="M185" s="47" t="str">
        <f t="shared" si="2"/>
        <v>214407</v>
      </c>
      <c r="O185" s="65">
        <v>140</v>
      </c>
      <c r="P185" s="15"/>
    </row>
    <row r="186" spans="1:16" x14ac:dyDescent="0.25">
      <c r="A186" s="15" t="s">
        <v>1920</v>
      </c>
      <c r="B186" s="15" t="s">
        <v>1956</v>
      </c>
      <c r="C186" s="45" t="s">
        <v>1957</v>
      </c>
      <c r="D186" s="46" t="s">
        <v>1761</v>
      </c>
      <c r="E186" s="15" t="s">
        <v>192</v>
      </c>
      <c r="F186" s="46">
        <v>1</v>
      </c>
      <c r="H186" s="45" t="s">
        <v>193</v>
      </c>
      <c r="I186" s="15" t="s">
        <v>194</v>
      </c>
      <c r="J186" s="15" t="s">
        <v>1746</v>
      </c>
      <c r="K186" s="15" t="s">
        <v>196</v>
      </c>
      <c r="L186" s="47" t="s">
        <v>1958</v>
      </c>
      <c r="M186" s="47" t="str">
        <f t="shared" si="2"/>
        <v>214408</v>
      </c>
      <c r="O186" s="65">
        <v>1</v>
      </c>
      <c r="P186" s="15"/>
    </row>
    <row r="187" spans="1:16" x14ac:dyDescent="0.25">
      <c r="A187" s="15" t="s">
        <v>1959</v>
      </c>
      <c r="B187" s="15" t="s">
        <v>1960</v>
      </c>
      <c r="C187" s="45" t="s">
        <v>371</v>
      </c>
      <c r="D187" s="46" t="s">
        <v>1803</v>
      </c>
      <c r="E187" s="15" t="s">
        <v>192</v>
      </c>
      <c r="F187" s="46">
        <v>1</v>
      </c>
      <c r="H187" s="45" t="s">
        <v>193</v>
      </c>
      <c r="I187" s="15" t="s">
        <v>194</v>
      </c>
      <c r="J187" s="15" t="s">
        <v>1915</v>
      </c>
      <c r="K187" s="15" t="s">
        <v>575</v>
      </c>
      <c r="L187" s="47" t="s">
        <v>372</v>
      </c>
      <c r="M187" s="47" t="str">
        <f t="shared" si="2"/>
        <v>215202</v>
      </c>
      <c r="O187" s="65">
        <v>2</v>
      </c>
      <c r="P187" s="15"/>
    </row>
    <row r="188" spans="1:16" x14ac:dyDescent="0.25">
      <c r="A188" s="15" t="s">
        <v>1787</v>
      </c>
      <c r="B188" s="15" t="s">
        <v>1961</v>
      </c>
      <c r="C188" s="45" t="s">
        <v>371</v>
      </c>
      <c r="D188" s="46" t="s">
        <v>1803</v>
      </c>
      <c r="E188" s="15" t="s">
        <v>192</v>
      </c>
      <c r="F188" s="46">
        <v>1</v>
      </c>
      <c r="H188" s="45" t="s">
        <v>193</v>
      </c>
      <c r="I188" s="15" t="s">
        <v>194</v>
      </c>
      <c r="J188" s="15" t="s">
        <v>1915</v>
      </c>
      <c r="K188" s="15" t="s">
        <v>253</v>
      </c>
      <c r="L188" s="47" t="s">
        <v>372</v>
      </c>
      <c r="M188" s="47" t="str">
        <f t="shared" si="2"/>
        <v>215202</v>
      </c>
      <c r="O188" s="65">
        <v>3</v>
      </c>
      <c r="P188" s="15"/>
    </row>
    <row r="189" spans="1:16" x14ac:dyDescent="0.25">
      <c r="A189" s="15" t="s">
        <v>1962</v>
      </c>
      <c r="B189" s="15" t="s">
        <v>1963</v>
      </c>
      <c r="C189" s="45" t="s">
        <v>371</v>
      </c>
      <c r="D189" s="46" t="s">
        <v>1761</v>
      </c>
      <c r="E189" s="15" t="s">
        <v>192</v>
      </c>
      <c r="F189" s="46">
        <v>1</v>
      </c>
      <c r="H189" s="45" t="s">
        <v>193</v>
      </c>
      <c r="I189" s="15" t="s">
        <v>194</v>
      </c>
      <c r="J189" s="15" t="s">
        <v>1772</v>
      </c>
      <c r="K189" s="15" t="s">
        <v>210</v>
      </c>
      <c r="L189" s="47" t="s">
        <v>372</v>
      </c>
      <c r="M189" s="47" t="str">
        <f t="shared" si="2"/>
        <v>215202</v>
      </c>
      <c r="O189" s="65">
        <v>4</v>
      </c>
      <c r="P189" s="15"/>
    </row>
    <row r="190" spans="1:16" s="42" customFormat="1" ht="14.25" x14ac:dyDescent="0.2">
      <c r="C190" s="42" t="s">
        <v>121</v>
      </c>
      <c r="D190" s="43"/>
      <c r="F190" s="43"/>
      <c r="G190" s="43">
        <f>SUM(F191:F192)</f>
        <v>2</v>
      </c>
      <c r="L190" s="44"/>
      <c r="M190" s="44" t="str">
        <f t="shared" si="2"/>
        <v/>
      </c>
      <c r="N190" s="44"/>
      <c r="O190" s="43"/>
    </row>
    <row r="191" spans="1:16" x14ac:dyDescent="0.25">
      <c r="A191" s="15" t="s">
        <v>1923</v>
      </c>
      <c r="B191" s="15" t="s">
        <v>1964</v>
      </c>
      <c r="C191" s="45" t="s">
        <v>121</v>
      </c>
      <c r="D191" s="46" t="s">
        <v>1803</v>
      </c>
      <c r="E191" s="15" t="s">
        <v>192</v>
      </c>
      <c r="F191" s="46">
        <v>1</v>
      </c>
      <c r="H191" s="45" t="s">
        <v>193</v>
      </c>
      <c r="I191" s="15" t="s">
        <v>194</v>
      </c>
      <c r="J191" s="15" t="s">
        <v>1729</v>
      </c>
      <c r="K191" s="15" t="s">
        <v>285</v>
      </c>
      <c r="L191" s="47" t="s">
        <v>994</v>
      </c>
      <c r="M191" s="47" t="str">
        <f t="shared" si="2"/>
        <v>214102</v>
      </c>
      <c r="O191" s="65">
        <v>5</v>
      </c>
      <c r="P191" s="15"/>
    </row>
    <row r="192" spans="1:16" x14ac:dyDescent="0.25">
      <c r="A192" s="15" t="s">
        <v>1870</v>
      </c>
      <c r="B192" s="15" t="s">
        <v>1965</v>
      </c>
      <c r="C192" s="45" t="s">
        <v>121</v>
      </c>
      <c r="D192" s="46" t="s">
        <v>1740</v>
      </c>
      <c r="E192" s="15" t="s">
        <v>192</v>
      </c>
      <c r="F192" s="46">
        <v>1</v>
      </c>
      <c r="H192" s="45" t="s">
        <v>193</v>
      </c>
      <c r="I192" s="15" t="s">
        <v>194</v>
      </c>
      <c r="J192" s="15" t="s">
        <v>1772</v>
      </c>
      <c r="K192" s="15" t="s">
        <v>210</v>
      </c>
      <c r="L192" s="47" t="s">
        <v>994</v>
      </c>
      <c r="M192" s="47" t="str">
        <f t="shared" si="2"/>
        <v>214102</v>
      </c>
      <c r="O192" s="65">
        <v>6</v>
      </c>
      <c r="P192" s="15"/>
    </row>
    <row r="193" spans="1:16" s="42" customFormat="1" ht="14.25" x14ac:dyDescent="0.2">
      <c r="C193" s="42" t="s">
        <v>136</v>
      </c>
      <c r="D193" s="43"/>
      <c r="F193" s="43"/>
      <c r="G193" s="43">
        <f>SUM(F194)</f>
        <v>1</v>
      </c>
      <c r="L193" s="44"/>
      <c r="M193" s="44" t="str">
        <f t="shared" si="2"/>
        <v/>
      </c>
      <c r="N193" s="44"/>
      <c r="O193" s="43"/>
    </row>
    <row r="194" spans="1:16" x14ac:dyDescent="0.25">
      <c r="A194" s="15" t="s">
        <v>1966</v>
      </c>
      <c r="B194" s="15" t="s">
        <v>460</v>
      </c>
      <c r="C194" s="45" t="s">
        <v>136</v>
      </c>
      <c r="D194" s="46" t="s">
        <v>1731</v>
      </c>
      <c r="E194" s="15" t="s">
        <v>192</v>
      </c>
      <c r="F194" s="46">
        <v>1</v>
      </c>
      <c r="H194" s="45" t="s">
        <v>193</v>
      </c>
      <c r="I194" s="15" t="s">
        <v>194</v>
      </c>
      <c r="J194" s="15" t="s">
        <v>1732</v>
      </c>
      <c r="K194" s="15" t="s">
        <v>210</v>
      </c>
      <c r="L194" s="47" t="s">
        <v>461</v>
      </c>
      <c r="M194" s="47" t="str">
        <f t="shared" si="2"/>
        <v>243301</v>
      </c>
      <c r="O194" s="65">
        <v>7</v>
      </c>
      <c r="P194" s="15"/>
    </row>
    <row r="195" spans="1:16" s="42" customFormat="1" ht="14.25" x14ac:dyDescent="0.2">
      <c r="C195" s="42" t="s">
        <v>37</v>
      </c>
      <c r="D195" s="43"/>
      <c r="F195" s="43"/>
      <c r="G195" s="43">
        <f>SUM(F196:F199)</f>
        <v>4</v>
      </c>
      <c r="L195" s="44"/>
      <c r="M195" s="44" t="str">
        <f t="shared" si="2"/>
        <v/>
      </c>
      <c r="N195" s="44"/>
      <c r="O195" s="43"/>
    </row>
    <row r="196" spans="1:16" x14ac:dyDescent="0.25">
      <c r="A196" s="15" t="s">
        <v>1785</v>
      </c>
      <c r="B196" s="15" t="s">
        <v>1967</v>
      </c>
      <c r="C196" s="48" t="s">
        <v>37</v>
      </c>
      <c r="D196" s="46" t="s">
        <v>1728</v>
      </c>
      <c r="E196" s="15" t="s">
        <v>192</v>
      </c>
      <c r="F196" s="46">
        <v>1</v>
      </c>
      <c r="H196" s="45" t="s">
        <v>193</v>
      </c>
      <c r="I196" s="15" t="s">
        <v>194</v>
      </c>
      <c r="J196" s="15" t="s">
        <v>1776</v>
      </c>
      <c r="K196" s="15" t="s">
        <v>327</v>
      </c>
      <c r="L196" s="47" t="s">
        <v>516</v>
      </c>
      <c r="M196" s="47" t="str">
        <f t="shared" si="2"/>
        <v>252302</v>
      </c>
      <c r="O196" s="65">
        <v>8</v>
      </c>
      <c r="P196" s="15"/>
    </row>
    <row r="197" spans="1:16" x14ac:dyDescent="0.25">
      <c r="A197" s="15" t="s">
        <v>499</v>
      </c>
      <c r="B197" s="15" t="s">
        <v>1968</v>
      </c>
      <c r="C197" s="48" t="s">
        <v>37</v>
      </c>
      <c r="D197" s="46" t="s">
        <v>1803</v>
      </c>
      <c r="E197" s="15" t="s">
        <v>233</v>
      </c>
      <c r="F197" s="46">
        <v>1</v>
      </c>
      <c r="H197" s="45" t="s">
        <v>193</v>
      </c>
      <c r="I197" s="15" t="s">
        <v>194</v>
      </c>
      <c r="J197" s="15" t="s">
        <v>1776</v>
      </c>
      <c r="K197" s="15" t="s">
        <v>210</v>
      </c>
      <c r="L197" s="47" t="s">
        <v>516</v>
      </c>
      <c r="M197" s="47" t="str">
        <f t="shared" ref="M197:M260" si="3">MID(L197,8,6)</f>
        <v>252302</v>
      </c>
      <c r="O197" s="65">
        <v>9</v>
      </c>
      <c r="P197" s="15"/>
    </row>
    <row r="198" spans="1:16" x14ac:dyDescent="0.25">
      <c r="A198" s="15" t="s">
        <v>1787</v>
      </c>
      <c r="B198" s="15" t="s">
        <v>1969</v>
      </c>
      <c r="C198" s="48" t="s">
        <v>37</v>
      </c>
      <c r="D198" s="46" t="s">
        <v>1732</v>
      </c>
      <c r="E198" s="15" t="s">
        <v>192</v>
      </c>
      <c r="F198" s="46">
        <v>1</v>
      </c>
      <c r="H198" s="45" t="s">
        <v>193</v>
      </c>
      <c r="I198" s="15" t="s">
        <v>194</v>
      </c>
      <c r="J198" s="15" t="s">
        <v>1734</v>
      </c>
      <c r="K198" s="15" t="s">
        <v>253</v>
      </c>
      <c r="L198" s="47" t="s">
        <v>516</v>
      </c>
      <c r="M198" s="47" t="str">
        <f t="shared" si="3"/>
        <v>252302</v>
      </c>
      <c r="O198" s="65">
        <v>150</v>
      </c>
      <c r="P198" s="15"/>
    </row>
    <row r="199" spans="1:16" x14ac:dyDescent="0.25">
      <c r="A199" s="15" t="s">
        <v>1970</v>
      </c>
      <c r="B199" s="15" t="s">
        <v>1971</v>
      </c>
      <c r="C199" s="48" t="s">
        <v>37</v>
      </c>
      <c r="D199" s="46" t="s">
        <v>1728</v>
      </c>
      <c r="E199" s="15" t="s">
        <v>192</v>
      </c>
      <c r="F199" s="46">
        <v>1</v>
      </c>
      <c r="H199" s="45" t="s">
        <v>193</v>
      </c>
      <c r="I199" s="15" t="s">
        <v>194</v>
      </c>
      <c r="J199" s="15" t="s">
        <v>1772</v>
      </c>
      <c r="K199" s="15" t="s">
        <v>210</v>
      </c>
      <c r="L199" s="47" t="s">
        <v>516</v>
      </c>
      <c r="M199" s="47" t="str">
        <f t="shared" si="3"/>
        <v>252302</v>
      </c>
      <c r="O199" s="65">
        <v>1</v>
      </c>
      <c r="P199" s="15"/>
    </row>
    <row r="200" spans="1:16" s="42" customFormat="1" ht="14.25" x14ac:dyDescent="0.2">
      <c r="C200" s="42" t="s">
        <v>98</v>
      </c>
      <c r="D200" s="43"/>
      <c r="F200" s="43"/>
      <c r="G200" s="43">
        <f>SUM(F201:F203)</f>
        <v>3</v>
      </c>
      <c r="L200" s="44"/>
      <c r="M200" s="44" t="str">
        <f t="shared" si="3"/>
        <v/>
      </c>
      <c r="N200" s="44"/>
      <c r="O200" s="43"/>
    </row>
    <row r="201" spans="1:16" x14ac:dyDescent="0.25">
      <c r="A201" s="15" t="s">
        <v>1508</v>
      </c>
      <c r="B201" s="15" t="s">
        <v>1972</v>
      </c>
      <c r="C201" s="45" t="s">
        <v>98</v>
      </c>
      <c r="D201" s="46" t="s">
        <v>1740</v>
      </c>
      <c r="E201" s="15" t="s">
        <v>192</v>
      </c>
      <c r="F201" s="46">
        <v>1</v>
      </c>
      <c r="H201" s="45" t="s">
        <v>193</v>
      </c>
      <c r="I201" s="15" t="s">
        <v>194</v>
      </c>
      <c r="J201" s="15" t="s">
        <v>1776</v>
      </c>
      <c r="K201" s="15" t="s">
        <v>202</v>
      </c>
      <c r="L201" s="47" t="s">
        <v>1973</v>
      </c>
      <c r="M201" s="47" t="str">
        <f t="shared" si="3"/>
        <v>214502</v>
      </c>
      <c r="O201" s="65">
        <v>2</v>
      </c>
      <c r="P201" s="15"/>
    </row>
    <row r="202" spans="1:16" x14ac:dyDescent="0.25">
      <c r="A202" s="15" t="s">
        <v>1974</v>
      </c>
      <c r="B202" s="15" t="s">
        <v>1975</v>
      </c>
      <c r="C202" s="45" t="s">
        <v>98</v>
      </c>
      <c r="D202" s="46" t="s">
        <v>1761</v>
      </c>
      <c r="E202" s="15" t="s">
        <v>233</v>
      </c>
      <c r="F202" s="46">
        <v>1</v>
      </c>
      <c r="H202" s="45" t="s">
        <v>193</v>
      </c>
      <c r="I202" s="15" t="s">
        <v>194</v>
      </c>
      <c r="J202" s="15" t="s">
        <v>1764</v>
      </c>
      <c r="K202" s="15" t="s">
        <v>210</v>
      </c>
      <c r="L202" s="47" t="s">
        <v>1973</v>
      </c>
      <c r="M202" s="47" t="str">
        <f t="shared" si="3"/>
        <v>214502</v>
      </c>
      <c r="O202" s="65">
        <v>3</v>
      </c>
      <c r="P202" s="15"/>
    </row>
    <row r="203" spans="1:16" x14ac:dyDescent="0.25">
      <c r="A203" s="15" t="s">
        <v>1976</v>
      </c>
      <c r="B203" s="15" t="s">
        <v>313</v>
      </c>
      <c r="C203" s="45" t="s">
        <v>98</v>
      </c>
      <c r="D203" s="46" t="s">
        <v>1745</v>
      </c>
      <c r="E203" s="15" t="s">
        <v>192</v>
      </c>
      <c r="F203" s="46">
        <v>1</v>
      </c>
      <c r="H203" s="45" t="s">
        <v>193</v>
      </c>
      <c r="I203" s="15" t="s">
        <v>194</v>
      </c>
      <c r="J203" s="15" t="s">
        <v>1955</v>
      </c>
      <c r="K203" s="15" t="s">
        <v>1977</v>
      </c>
      <c r="L203" s="47" t="s">
        <v>1973</v>
      </c>
      <c r="M203" s="47" t="str">
        <f t="shared" si="3"/>
        <v>214502</v>
      </c>
      <c r="O203" s="65">
        <v>4</v>
      </c>
      <c r="P203" s="15"/>
    </row>
    <row r="204" spans="1:16" s="42" customFormat="1" ht="14.25" x14ac:dyDescent="0.2">
      <c r="C204" s="42" t="s">
        <v>144</v>
      </c>
      <c r="D204" s="43"/>
      <c r="F204" s="43"/>
      <c r="G204" s="43">
        <f>SUM(F205)</f>
        <v>1</v>
      </c>
      <c r="L204" s="44"/>
      <c r="M204" s="44" t="str">
        <f t="shared" si="3"/>
        <v/>
      </c>
      <c r="N204" s="44"/>
      <c r="O204" s="43"/>
    </row>
    <row r="205" spans="1:16" x14ac:dyDescent="0.25">
      <c r="A205" s="15" t="s">
        <v>1471</v>
      </c>
      <c r="B205" s="15" t="s">
        <v>1978</v>
      </c>
      <c r="C205" s="45" t="s">
        <v>144</v>
      </c>
      <c r="D205" s="46" t="s">
        <v>1740</v>
      </c>
      <c r="E205" s="15" t="s">
        <v>192</v>
      </c>
      <c r="F205" s="46">
        <v>1</v>
      </c>
      <c r="H205" s="45" t="s">
        <v>193</v>
      </c>
      <c r="I205" s="15" t="s">
        <v>194</v>
      </c>
      <c r="J205" s="15" t="s">
        <v>1754</v>
      </c>
      <c r="K205" s="15" t="s">
        <v>1979</v>
      </c>
      <c r="L205" s="47" t="s">
        <v>1980</v>
      </c>
      <c r="M205" s="47" t="str">
        <f t="shared" si="3"/>
        <v>214914</v>
      </c>
      <c r="O205" s="65">
        <v>5</v>
      </c>
      <c r="P205" s="15"/>
    </row>
    <row r="206" spans="1:16" s="42" customFormat="1" ht="14.25" x14ac:dyDescent="0.2">
      <c r="C206" s="42" t="s">
        <v>69</v>
      </c>
      <c r="D206" s="43"/>
      <c r="F206" s="43"/>
      <c r="G206" s="43">
        <f>SUM(F207:F208)</f>
        <v>2</v>
      </c>
      <c r="L206" s="44"/>
      <c r="M206" s="44" t="str">
        <f t="shared" si="3"/>
        <v/>
      </c>
      <c r="N206" s="44"/>
      <c r="O206" s="43"/>
    </row>
    <row r="207" spans="1:16" x14ac:dyDescent="0.25">
      <c r="A207" s="15" t="s">
        <v>1175</v>
      </c>
      <c r="B207" s="15" t="s">
        <v>1176</v>
      </c>
      <c r="C207" s="45" t="s">
        <v>69</v>
      </c>
      <c r="D207" s="46" t="s">
        <v>1740</v>
      </c>
      <c r="E207" s="15" t="s">
        <v>192</v>
      </c>
      <c r="F207" s="46">
        <v>1</v>
      </c>
      <c r="H207" s="45" t="s">
        <v>193</v>
      </c>
      <c r="I207" s="15" t="s">
        <v>194</v>
      </c>
      <c r="J207" s="15" t="s">
        <v>1746</v>
      </c>
      <c r="K207" s="15" t="s">
        <v>367</v>
      </c>
      <c r="L207" s="47" t="s">
        <v>375</v>
      </c>
      <c r="M207" s="47" t="str">
        <f t="shared" si="3"/>
        <v>215301</v>
      </c>
      <c r="O207" s="65">
        <v>6</v>
      </c>
      <c r="P207" s="15"/>
    </row>
    <row r="208" spans="1:16" x14ac:dyDescent="0.25">
      <c r="A208" s="15" t="s">
        <v>1175</v>
      </c>
      <c r="B208" s="15" t="s">
        <v>1180</v>
      </c>
      <c r="C208" s="45" t="s">
        <v>69</v>
      </c>
      <c r="D208" s="46" t="s">
        <v>1740</v>
      </c>
      <c r="E208" s="15" t="s">
        <v>192</v>
      </c>
      <c r="F208" s="46">
        <v>1</v>
      </c>
      <c r="H208" s="45" t="s">
        <v>193</v>
      </c>
      <c r="I208" s="15" t="s">
        <v>194</v>
      </c>
      <c r="J208" s="15" t="s">
        <v>1762</v>
      </c>
      <c r="K208" s="15" t="s">
        <v>210</v>
      </c>
      <c r="L208" s="47" t="s">
        <v>375</v>
      </c>
      <c r="M208" s="47" t="str">
        <f t="shared" si="3"/>
        <v>215301</v>
      </c>
      <c r="O208" s="65">
        <v>7</v>
      </c>
      <c r="P208" s="15"/>
    </row>
    <row r="209" spans="1:16" s="42" customFormat="1" ht="14.25" x14ac:dyDescent="0.2">
      <c r="C209" s="42" t="s">
        <v>54</v>
      </c>
      <c r="D209" s="43"/>
      <c r="F209" s="43"/>
      <c r="G209" s="43">
        <f>SUM(F210:F214)</f>
        <v>6</v>
      </c>
      <c r="L209" s="44"/>
      <c r="M209" s="44" t="str">
        <f t="shared" si="3"/>
        <v/>
      </c>
      <c r="N209" s="44"/>
      <c r="O209" s="43"/>
    </row>
    <row r="210" spans="1:16" x14ac:dyDescent="0.25">
      <c r="A210" s="15" t="s">
        <v>347</v>
      </c>
      <c r="B210" s="15" t="s">
        <v>1981</v>
      </c>
      <c r="C210" s="45" t="s">
        <v>54</v>
      </c>
      <c r="D210" s="46" t="s">
        <v>1803</v>
      </c>
      <c r="E210" s="15" t="s">
        <v>192</v>
      </c>
      <c r="F210" s="46">
        <v>1</v>
      </c>
      <c r="H210" s="45" t="s">
        <v>193</v>
      </c>
      <c r="I210" s="15" t="s">
        <v>194</v>
      </c>
      <c r="J210" s="15" t="s">
        <v>1776</v>
      </c>
      <c r="K210" s="15" t="s">
        <v>316</v>
      </c>
      <c r="L210" s="47" t="s">
        <v>1982</v>
      </c>
      <c r="M210" s="47" t="str">
        <f t="shared" si="3"/>
        <v>214103</v>
      </c>
      <c r="N210" s="47">
        <v>1</v>
      </c>
      <c r="O210" s="65">
        <v>8</v>
      </c>
      <c r="P210" s="15"/>
    </row>
    <row r="211" spans="1:16" x14ac:dyDescent="0.25">
      <c r="A211" s="15" t="s">
        <v>1983</v>
      </c>
      <c r="B211" s="15" t="s">
        <v>1984</v>
      </c>
      <c r="C211" s="45" t="s">
        <v>54</v>
      </c>
      <c r="D211" s="46" t="s">
        <v>1736</v>
      </c>
      <c r="E211" s="15" t="s">
        <v>192</v>
      </c>
      <c r="F211" s="46">
        <v>1</v>
      </c>
      <c r="H211" s="45" t="s">
        <v>193</v>
      </c>
      <c r="I211" s="15" t="s">
        <v>194</v>
      </c>
      <c r="J211" s="15" t="s">
        <v>1737</v>
      </c>
      <c r="K211" s="15" t="s">
        <v>223</v>
      </c>
      <c r="L211" s="47" t="s">
        <v>1982</v>
      </c>
      <c r="M211" s="47" t="str">
        <f t="shared" si="3"/>
        <v>214103</v>
      </c>
      <c r="N211" s="47">
        <v>2</v>
      </c>
      <c r="O211" s="65">
        <v>9</v>
      </c>
      <c r="P211" s="15"/>
    </row>
    <row r="212" spans="1:16" x14ac:dyDescent="0.25">
      <c r="A212" s="15" t="s">
        <v>427</v>
      </c>
      <c r="B212" s="15" t="s">
        <v>1985</v>
      </c>
      <c r="C212" s="45" t="s">
        <v>54</v>
      </c>
      <c r="D212" s="46" t="s">
        <v>1731</v>
      </c>
      <c r="E212" s="15" t="s">
        <v>192</v>
      </c>
      <c r="F212" s="46">
        <v>1</v>
      </c>
      <c r="H212" s="45" t="s">
        <v>193</v>
      </c>
      <c r="I212" s="15" t="s">
        <v>194</v>
      </c>
      <c r="J212" s="15" t="s">
        <v>1732</v>
      </c>
      <c r="K212" s="15" t="s">
        <v>238</v>
      </c>
      <c r="L212" s="47" t="s">
        <v>1982</v>
      </c>
      <c r="M212" s="47" t="str">
        <f t="shared" si="3"/>
        <v>214103</v>
      </c>
      <c r="N212" s="47">
        <v>3</v>
      </c>
      <c r="O212" s="65">
        <v>160</v>
      </c>
      <c r="P212" s="15"/>
    </row>
    <row r="213" spans="1:16" x14ac:dyDescent="0.25">
      <c r="A213" s="15" t="s">
        <v>1508</v>
      </c>
      <c r="B213" s="15" t="s">
        <v>1986</v>
      </c>
      <c r="C213" s="45" t="s">
        <v>54</v>
      </c>
      <c r="D213" s="46" t="s">
        <v>1740</v>
      </c>
      <c r="E213" s="15" t="s">
        <v>192</v>
      </c>
      <c r="F213" s="46">
        <v>1</v>
      </c>
      <c r="H213" s="45" t="s">
        <v>193</v>
      </c>
      <c r="I213" s="15" t="s">
        <v>194</v>
      </c>
      <c r="J213" s="15" t="s">
        <v>1754</v>
      </c>
      <c r="K213" s="15" t="s">
        <v>202</v>
      </c>
      <c r="L213" s="47" t="s">
        <v>1982</v>
      </c>
      <c r="M213" s="47" t="str">
        <f t="shared" si="3"/>
        <v>214103</v>
      </c>
      <c r="N213" s="47">
        <v>4</v>
      </c>
      <c r="O213" s="65">
        <v>1</v>
      </c>
      <c r="P213" s="15"/>
    </row>
    <row r="214" spans="1:16" x14ac:dyDescent="0.25">
      <c r="A214" s="15" t="s">
        <v>450</v>
      </c>
      <c r="B214" s="15" t="s">
        <v>1987</v>
      </c>
      <c r="C214" s="45" t="s">
        <v>54</v>
      </c>
      <c r="D214" s="46" t="s">
        <v>1736</v>
      </c>
      <c r="E214" s="15" t="s">
        <v>192</v>
      </c>
      <c r="F214" s="46">
        <v>2</v>
      </c>
      <c r="H214" s="45" t="s">
        <v>193</v>
      </c>
      <c r="I214" s="15" t="s">
        <v>194</v>
      </c>
      <c r="J214" s="15" t="s">
        <v>1746</v>
      </c>
      <c r="K214" s="15" t="s">
        <v>267</v>
      </c>
      <c r="L214" s="47" t="s">
        <v>1982</v>
      </c>
      <c r="M214" s="47" t="str">
        <f t="shared" si="3"/>
        <v>214103</v>
      </c>
      <c r="N214" s="47">
        <v>6</v>
      </c>
      <c r="O214" s="65">
        <v>2</v>
      </c>
      <c r="P214" s="15"/>
    </row>
    <row r="215" spans="1:16" s="42" customFormat="1" ht="14.25" x14ac:dyDescent="0.2">
      <c r="C215" s="42" t="s">
        <v>51</v>
      </c>
      <c r="D215" s="43"/>
      <c r="F215" s="43"/>
      <c r="G215" s="43">
        <f>SUM(F216:F227)</f>
        <v>14</v>
      </c>
      <c r="L215" s="44"/>
      <c r="M215" s="44" t="str">
        <f t="shared" si="3"/>
        <v/>
      </c>
      <c r="N215" s="44"/>
      <c r="O215" s="43"/>
    </row>
    <row r="216" spans="1:16" x14ac:dyDescent="0.25">
      <c r="A216" s="15" t="s">
        <v>1479</v>
      </c>
      <c r="B216" s="15" t="s">
        <v>1988</v>
      </c>
      <c r="C216" s="49" t="s">
        <v>51</v>
      </c>
      <c r="D216" s="46" t="s">
        <v>1740</v>
      </c>
      <c r="E216" s="15" t="s">
        <v>192</v>
      </c>
      <c r="F216" s="46">
        <v>1</v>
      </c>
      <c r="H216" s="45" t="s">
        <v>193</v>
      </c>
      <c r="I216" s="15" t="s">
        <v>194</v>
      </c>
      <c r="J216" s="15" t="s">
        <v>1746</v>
      </c>
      <c r="K216" s="15" t="s">
        <v>253</v>
      </c>
      <c r="L216" s="47" t="s">
        <v>904</v>
      </c>
      <c r="M216" s="47" t="str">
        <f t="shared" si="3"/>
        <v>523002</v>
      </c>
      <c r="N216" s="47">
        <v>1</v>
      </c>
      <c r="O216" s="65">
        <v>3</v>
      </c>
      <c r="P216" s="15"/>
    </row>
    <row r="217" spans="1:16" x14ac:dyDescent="0.25">
      <c r="A217" s="15" t="s">
        <v>1479</v>
      </c>
      <c r="B217" s="15" t="s">
        <v>1988</v>
      </c>
      <c r="C217" s="49" t="s">
        <v>51</v>
      </c>
      <c r="D217" s="46" t="s">
        <v>1740</v>
      </c>
      <c r="E217" s="15" t="s">
        <v>192</v>
      </c>
      <c r="F217" s="46">
        <v>1</v>
      </c>
      <c r="H217" s="45" t="s">
        <v>193</v>
      </c>
      <c r="I217" s="15" t="s">
        <v>194</v>
      </c>
      <c r="J217" s="15" t="s">
        <v>1746</v>
      </c>
      <c r="K217" s="15" t="s">
        <v>385</v>
      </c>
      <c r="L217" s="47" t="s">
        <v>904</v>
      </c>
      <c r="M217" s="47" t="str">
        <f t="shared" si="3"/>
        <v>523002</v>
      </c>
      <c r="N217" s="47">
        <v>2</v>
      </c>
      <c r="O217" s="65">
        <v>4</v>
      </c>
      <c r="P217" s="15"/>
    </row>
    <row r="218" spans="1:16" x14ac:dyDescent="0.25">
      <c r="A218" s="15" t="s">
        <v>1479</v>
      </c>
      <c r="B218" s="15" t="s">
        <v>1988</v>
      </c>
      <c r="C218" s="49" t="s">
        <v>51</v>
      </c>
      <c r="D218" s="46" t="s">
        <v>1740</v>
      </c>
      <c r="E218" s="15" t="s">
        <v>192</v>
      </c>
      <c r="F218" s="46">
        <v>1</v>
      </c>
      <c r="H218" s="45" t="s">
        <v>193</v>
      </c>
      <c r="I218" s="15" t="s">
        <v>194</v>
      </c>
      <c r="J218" s="15" t="s">
        <v>1746</v>
      </c>
      <c r="K218" s="15" t="s">
        <v>747</v>
      </c>
      <c r="L218" s="47" t="s">
        <v>904</v>
      </c>
      <c r="M218" s="47" t="str">
        <f t="shared" si="3"/>
        <v>523002</v>
      </c>
      <c r="N218" s="47">
        <v>3</v>
      </c>
      <c r="O218" s="65">
        <v>5</v>
      </c>
      <c r="P218" s="15"/>
    </row>
    <row r="219" spans="1:16" x14ac:dyDescent="0.25">
      <c r="A219" s="15" t="s">
        <v>1479</v>
      </c>
      <c r="B219" s="15" t="s">
        <v>1988</v>
      </c>
      <c r="C219" s="49" t="s">
        <v>51</v>
      </c>
      <c r="D219" s="46" t="s">
        <v>1740</v>
      </c>
      <c r="E219" s="15" t="s">
        <v>192</v>
      </c>
      <c r="F219" s="46">
        <v>1</v>
      </c>
      <c r="H219" s="45" t="s">
        <v>193</v>
      </c>
      <c r="I219" s="15" t="s">
        <v>194</v>
      </c>
      <c r="J219" s="15" t="s">
        <v>1746</v>
      </c>
      <c r="K219" s="15" t="s">
        <v>210</v>
      </c>
      <c r="L219" s="47" t="s">
        <v>904</v>
      </c>
      <c r="M219" s="47" t="str">
        <f t="shared" si="3"/>
        <v>523002</v>
      </c>
      <c r="N219" s="47">
        <v>4</v>
      </c>
      <c r="O219" s="65">
        <v>6</v>
      </c>
      <c r="P219" s="15"/>
    </row>
    <row r="220" spans="1:16" x14ac:dyDescent="0.25">
      <c r="A220" s="15" t="s">
        <v>961</v>
      </c>
      <c r="B220" s="15" t="s">
        <v>901</v>
      </c>
      <c r="C220" s="49" t="s">
        <v>51</v>
      </c>
      <c r="D220" s="46" t="s">
        <v>1761</v>
      </c>
      <c r="E220" s="15" t="s">
        <v>233</v>
      </c>
      <c r="F220" s="46">
        <v>1</v>
      </c>
      <c r="H220" s="45" t="s">
        <v>193</v>
      </c>
      <c r="I220" s="15" t="s">
        <v>194</v>
      </c>
      <c r="J220" s="15" t="s">
        <v>1746</v>
      </c>
      <c r="K220" s="15" t="s">
        <v>210</v>
      </c>
      <c r="L220" s="47" t="s">
        <v>904</v>
      </c>
      <c r="M220" s="47" t="str">
        <f t="shared" si="3"/>
        <v>523002</v>
      </c>
      <c r="N220" s="47">
        <v>5</v>
      </c>
      <c r="O220" s="65">
        <v>7</v>
      </c>
      <c r="P220" s="15"/>
    </row>
    <row r="221" spans="1:16" x14ac:dyDescent="0.25">
      <c r="A221" s="15" t="s">
        <v>1989</v>
      </c>
      <c r="B221" s="15" t="s">
        <v>1344</v>
      </c>
      <c r="C221" s="49" t="s">
        <v>51</v>
      </c>
      <c r="D221" s="46" t="s">
        <v>1803</v>
      </c>
      <c r="E221" s="15" t="s">
        <v>233</v>
      </c>
      <c r="F221" s="46">
        <v>2</v>
      </c>
      <c r="H221" s="45" t="s">
        <v>193</v>
      </c>
      <c r="I221" s="15" t="s">
        <v>194</v>
      </c>
      <c r="J221" s="15" t="s">
        <v>1746</v>
      </c>
      <c r="K221" s="15" t="s">
        <v>1990</v>
      </c>
      <c r="L221" s="47" t="s">
        <v>904</v>
      </c>
      <c r="M221" s="47" t="str">
        <f t="shared" si="3"/>
        <v>523002</v>
      </c>
      <c r="N221" s="47">
        <v>7</v>
      </c>
      <c r="O221" s="65">
        <v>8</v>
      </c>
      <c r="P221" s="15"/>
    </row>
    <row r="222" spans="1:16" x14ac:dyDescent="0.25">
      <c r="A222" s="15" t="s">
        <v>1989</v>
      </c>
      <c r="B222" s="15" t="s">
        <v>1344</v>
      </c>
      <c r="C222" s="49" t="s">
        <v>51</v>
      </c>
      <c r="D222" s="46" t="s">
        <v>1736</v>
      </c>
      <c r="E222" s="15" t="s">
        <v>233</v>
      </c>
      <c r="F222" s="46">
        <v>2</v>
      </c>
      <c r="H222" s="45" t="s">
        <v>193</v>
      </c>
      <c r="I222" s="15" t="s">
        <v>194</v>
      </c>
      <c r="J222" s="15" t="s">
        <v>1737</v>
      </c>
      <c r="K222" s="15" t="s">
        <v>1991</v>
      </c>
      <c r="L222" s="47" t="s">
        <v>904</v>
      </c>
      <c r="M222" s="47" t="str">
        <f t="shared" si="3"/>
        <v>523002</v>
      </c>
      <c r="N222" s="47">
        <v>9</v>
      </c>
      <c r="O222" s="65">
        <v>9</v>
      </c>
      <c r="P222" s="15"/>
    </row>
    <row r="223" spans="1:16" x14ac:dyDescent="0.25">
      <c r="A223" s="15" t="s">
        <v>446</v>
      </c>
      <c r="B223" s="15" t="s">
        <v>1992</v>
      </c>
      <c r="C223" s="49" t="s">
        <v>51</v>
      </c>
      <c r="D223" s="46" t="s">
        <v>1745</v>
      </c>
      <c r="E223" s="15" t="s">
        <v>192</v>
      </c>
      <c r="F223" s="46">
        <v>1</v>
      </c>
      <c r="H223" s="45" t="s">
        <v>193</v>
      </c>
      <c r="I223" s="15" t="s">
        <v>194</v>
      </c>
      <c r="J223" s="15" t="s">
        <v>1746</v>
      </c>
      <c r="K223" s="15" t="s">
        <v>223</v>
      </c>
      <c r="L223" s="47" t="s">
        <v>904</v>
      </c>
      <c r="M223" s="47" t="str">
        <f t="shared" si="3"/>
        <v>523002</v>
      </c>
      <c r="N223" s="47">
        <v>10</v>
      </c>
      <c r="O223" s="65">
        <v>170</v>
      </c>
      <c r="P223" s="15"/>
    </row>
    <row r="224" spans="1:16" x14ac:dyDescent="0.25">
      <c r="A224" s="15" t="s">
        <v>446</v>
      </c>
      <c r="B224" s="15" t="s">
        <v>1993</v>
      </c>
      <c r="C224" s="49" t="s">
        <v>51</v>
      </c>
      <c r="D224" s="46" t="s">
        <v>1745</v>
      </c>
      <c r="E224" s="15" t="s">
        <v>192</v>
      </c>
      <c r="F224" s="46">
        <v>1</v>
      </c>
      <c r="H224" s="45" t="s">
        <v>193</v>
      </c>
      <c r="I224" s="15" t="s">
        <v>194</v>
      </c>
      <c r="J224" s="15" t="s">
        <v>1746</v>
      </c>
      <c r="K224" s="15" t="s">
        <v>301</v>
      </c>
      <c r="L224" s="47" t="s">
        <v>904</v>
      </c>
      <c r="M224" s="47" t="str">
        <f t="shared" si="3"/>
        <v>523002</v>
      </c>
      <c r="N224" s="47">
        <v>11</v>
      </c>
      <c r="O224" s="65">
        <v>1</v>
      </c>
      <c r="P224" s="15"/>
    </row>
    <row r="225" spans="1:16" x14ac:dyDescent="0.25">
      <c r="A225" s="15" t="s">
        <v>446</v>
      </c>
      <c r="B225" s="15" t="s">
        <v>1994</v>
      </c>
      <c r="C225" s="49" t="s">
        <v>51</v>
      </c>
      <c r="D225" s="46" t="s">
        <v>1761</v>
      </c>
      <c r="E225" s="15" t="s">
        <v>192</v>
      </c>
      <c r="F225" s="46">
        <v>1</v>
      </c>
      <c r="H225" s="45" t="s">
        <v>193</v>
      </c>
      <c r="I225" s="15" t="s">
        <v>194</v>
      </c>
      <c r="J225" s="15" t="s">
        <v>1746</v>
      </c>
      <c r="K225" s="15" t="s">
        <v>1995</v>
      </c>
      <c r="L225" s="47" t="s">
        <v>904</v>
      </c>
      <c r="M225" s="47" t="str">
        <f t="shared" si="3"/>
        <v>523002</v>
      </c>
      <c r="N225" s="47">
        <v>12</v>
      </c>
      <c r="O225" s="65">
        <v>2</v>
      </c>
      <c r="P225" s="15"/>
    </row>
    <row r="226" spans="1:16" x14ac:dyDescent="0.25">
      <c r="A226" s="15" t="s">
        <v>446</v>
      </c>
      <c r="B226" s="15" t="s">
        <v>1996</v>
      </c>
      <c r="C226" s="49" t="s">
        <v>51</v>
      </c>
      <c r="D226" s="46" t="s">
        <v>1761</v>
      </c>
      <c r="E226" s="15" t="s">
        <v>192</v>
      </c>
      <c r="F226" s="46">
        <v>1</v>
      </c>
      <c r="H226" s="45" t="s">
        <v>193</v>
      </c>
      <c r="I226" s="15" t="s">
        <v>194</v>
      </c>
      <c r="J226" s="15" t="s">
        <v>1746</v>
      </c>
      <c r="K226" s="15" t="s">
        <v>747</v>
      </c>
      <c r="L226" s="47" t="s">
        <v>904</v>
      </c>
      <c r="M226" s="47" t="str">
        <f t="shared" si="3"/>
        <v>523002</v>
      </c>
      <c r="N226" s="47">
        <v>13</v>
      </c>
      <c r="O226" s="65">
        <v>3</v>
      </c>
      <c r="P226" s="15"/>
    </row>
    <row r="227" spans="1:16" x14ac:dyDescent="0.25">
      <c r="A227" s="15" t="s">
        <v>446</v>
      </c>
      <c r="B227" s="15" t="s">
        <v>1997</v>
      </c>
      <c r="C227" s="49" t="s">
        <v>51</v>
      </c>
      <c r="D227" s="46" t="s">
        <v>1761</v>
      </c>
      <c r="E227" s="15" t="s">
        <v>192</v>
      </c>
      <c r="F227" s="46">
        <v>1</v>
      </c>
      <c r="H227" s="45" t="s">
        <v>193</v>
      </c>
      <c r="I227" s="15" t="s">
        <v>194</v>
      </c>
      <c r="J227" s="15" t="s">
        <v>1746</v>
      </c>
      <c r="K227" s="15" t="s">
        <v>259</v>
      </c>
      <c r="L227" s="47" t="s">
        <v>904</v>
      </c>
      <c r="M227" s="47" t="str">
        <f t="shared" si="3"/>
        <v>523002</v>
      </c>
      <c r="N227" s="47">
        <v>14</v>
      </c>
      <c r="O227" s="65">
        <v>4</v>
      </c>
      <c r="P227" s="15"/>
    </row>
    <row r="228" spans="1:16" s="42" customFormat="1" ht="14.25" x14ac:dyDescent="0.2">
      <c r="C228" s="42" t="s">
        <v>139</v>
      </c>
      <c r="D228" s="43"/>
      <c r="F228" s="43"/>
      <c r="G228" s="43">
        <f>SUM(F229)</f>
        <v>1</v>
      </c>
      <c r="L228" s="44"/>
      <c r="M228" s="44" t="str">
        <f t="shared" si="3"/>
        <v/>
      </c>
      <c r="N228" s="44"/>
      <c r="O228" s="43"/>
    </row>
    <row r="229" spans="1:16" x14ac:dyDescent="0.25">
      <c r="A229" s="15" t="s">
        <v>1651</v>
      </c>
      <c r="B229" s="15" t="s">
        <v>1998</v>
      </c>
      <c r="C229" s="45" t="s">
        <v>139</v>
      </c>
      <c r="D229" s="46" t="s">
        <v>1728</v>
      </c>
      <c r="E229" s="15" t="s">
        <v>192</v>
      </c>
      <c r="F229" s="46">
        <v>1</v>
      </c>
      <c r="H229" s="45" t="s">
        <v>193</v>
      </c>
      <c r="I229" s="15" t="s">
        <v>194</v>
      </c>
      <c r="J229" s="15" t="s">
        <v>1746</v>
      </c>
      <c r="K229" s="15" t="s">
        <v>238</v>
      </c>
      <c r="L229" s="47" t="s">
        <v>1999</v>
      </c>
      <c r="M229" s="47" t="str">
        <f t="shared" si="3"/>
        <v>523003</v>
      </c>
      <c r="O229" s="65">
        <v>5</v>
      </c>
      <c r="P229" s="15"/>
    </row>
    <row r="230" spans="1:16" s="42" customFormat="1" ht="14.25" x14ac:dyDescent="0.2">
      <c r="C230" s="42" t="s">
        <v>137</v>
      </c>
      <c r="D230" s="43"/>
      <c r="F230" s="43"/>
      <c r="G230" s="43">
        <f>SUM(F231:F232)</f>
        <v>4</v>
      </c>
      <c r="L230" s="44"/>
      <c r="M230" s="44" t="str">
        <f t="shared" si="3"/>
        <v/>
      </c>
      <c r="N230" s="44"/>
      <c r="O230" s="43"/>
    </row>
    <row r="231" spans="1:16" x14ac:dyDescent="0.25">
      <c r="A231" s="15" t="s">
        <v>2000</v>
      </c>
      <c r="B231" s="15" t="s">
        <v>2001</v>
      </c>
      <c r="C231" s="45" t="s">
        <v>137</v>
      </c>
      <c r="D231" s="46" t="s">
        <v>1740</v>
      </c>
      <c r="E231" s="15" t="s">
        <v>192</v>
      </c>
      <c r="F231" s="46">
        <v>3</v>
      </c>
      <c r="H231" s="45" t="s">
        <v>193</v>
      </c>
      <c r="I231" s="15" t="s">
        <v>194</v>
      </c>
      <c r="J231" s="15" t="s">
        <v>1746</v>
      </c>
      <c r="K231" s="15" t="s">
        <v>301</v>
      </c>
      <c r="L231" s="47" t="s">
        <v>2002</v>
      </c>
      <c r="M231" s="47" t="str">
        <f t="shared" si="3"/>
        <v>513101</v>
      </c>
      <c r="N231" s="47">
        <v>3</v>
      </c>
      <c r="O231" s="65">
        <v>6</v>
      </c>
      <c r="P231" s="15"/>
    </row>
    <row r="232" spans="1:16" x14ac:dyDescent="0.25">
      <c r="A232" s="15" t="s">
        <v>2003</v>
      </c>
      <c r="B232" s="15" t="s">
        <v>2001</v>
      </c>
      <c r="C232" s="45" t="s">
        <v>137</v>
      </c>
      <c r="D232" s="46" t="s">
        <v>1736</v>
      </c>
      <c r="E232" s="15" t="s">
        <v>192</v>
      </c>
      <c r="F232" s="46">
        <v>1</v>
      </c>
      <c r="H232" s="45" t="s">
        <v>193</v>
      </c>
      <c r="I232" s="15" t="s">
        <v>194</v>
      </c>
      <c r="J232" s="15" t="s">
        <v>1836</v>
      </c>
      <c r="K232" s="15" t="s">
        <v>210</v>
      </c>
      <c r="L232" s="47" t="s">
        <v>2002</v>
      </c>
      <c r="M232" s="47" t="str">
        <f t="shared" si="3"/>
        <v>513101</v>
      </c>
      <c r="N232" s="47">
        <v>4</v>
      </c>
      <c r="O232" s="65">
        <v>7</v>
      </c>
      <c r="P232" s="15"/>
    </row>
    <row r="233" spans="1:16" s="42" customFormat="1" ht="14.25" x14ac:dyDescent="0.2">
      <c r="C233" s="42" t="s">
        <v>59</v>
      </c>
      <c r="D233" s="43"/>
      <c r="F233" s="43"/>
      <c r="G233" s="43">
        <f>SUM(F234:F247)</f>
        <v>14</v>
      </c>
      <c r="L233" s="44"/>
      <c r="M233" s="44" t="str">
        <f t="shared" si="3"/>
        <v/>
      </c>
      <c r="N233" s="44"/>
      <c r="O233" s="43"/>
    </row>
    <row r="234" spans="1:16" x14ac:dyDescent="0.25">
      <c r="A234" s="15" t="s">
        <v>1624</v>
      </c>
      <c r="B234" s="15" t="s">
        <v>1625</v>
      </c>
      <c r="C234" s="45" t="s">
        <v>1626</v>
      </c>
      <c r="D234" s="46" t="s">
        <v>1740</v>
      </c>
      <c r="E234" s="15" t="s">
        <v>192</v>
      </c>
      <c r="F234" s="46">
        <v>1</v>
      </c>
      <c r="H234" s="45" t="s">
        <v>193</v>
      </c>
      <c r="I234" s="15" t="s">
        <v>194</v>
      </c>
      <c r="J234" s="15" t="s">
        <v>1764</v>
      </c>
      <c r="K234" s="15" t="s">
        <v>210</v>
      </c>
      <c r="L234" s="47" t="s">
        <v>1627</v>
      </c>
      <c r="M234" s="47" t="str">
        <f t="shared" si="3"/>
        <v>833201</v>
      </c>
      <c r="N234" s="47">
        <v>1</v>
      </c>
      <c r="O234" s="65">
        <v>8</v>
      </c>
      <c r="P234" s="15"/>
    </row>
    <row r="235" spans="1:16" x14ac:dyDescent="0.25">
      <c r="A235" s="15" t="s">
        <v>2004</v>
      </c>
      <c r="B235" s="15" t="s">
        <v>869</v>
      </c>
      <c r="C235" s="45" t="s">
        <v>989</v>
      </c>
      <c r="D235" s="46" t="s">
        <v>1745</v>
      </c>
      <c r="E235" s="15" t="s">
        <v>233</v>
      </c>
      <c r="F235" s="46">
        <v>1</v>
      </c>
      <c r="H235" s="45" t="s">
        <v>193</v>
      </c>
      <c r="I235" s="15" t="s">
        <v>194</v>
      </c>
      <c r="J235" s="15" t="s">
        <v>1764</v>
      </c>
      <c r="K235" s="15" t="s">
        <v>196</v>
      </c>
      <c r="L235" s="47" t="s">
        <v>990</v>
      </c>
      <c r="M235" s="47" t="str">
        <f t="shared" si="3"/>
        <v>833202</v>
      </c>
      <c r="N235" s="47">
        <v>2</v>
      </c>
      <c r="O235" s="65">
        <v>9</v>
      </c>
      <c r="P235" s="15"/>
    </row>
    <row r="236" spans="1:16" x14ac:dyDescent="0.25">
      <c r="A236" s="15" t="s">
        <v>987</v>
      </c>
      <c r="B236" s="15" t="s">
        <v>991</v>
      </c>
      <c r="C236" s="45" t="s">
        <v>989</v>
      </c>
      <c r="D236" s="46" t="s">
        <v>1732</v>
      </c>
      <c r="E236" s="15" t="s">
        <v>192</v>
      </c>
      <c r="F236" s="46">
        <v>1</v>
      </c>
      <c r="H236" s="45" t="s">
        <v>193</v>
      </c>
      <c r="I236" s="15" t="s">
        <v>194</v>
      </c>
      <c r="J236" s="15" t="s">
        <v>1764</v>
      </c>
      <c r="K236" s="15" t="s">
        <v>399</v>
      </c>
      <c r="L236" s="47" t="s">
        <v>990</v>
      </c>
      <c r="M236" s="47" t="str">
        <f t="shared" si="3"/>
        <v>833202</v>
      </c>
      <c r="N236" s="47">
        <v>3</v>
      </c>
      <c r="O236" s="65">
        <v>180</v>
      </c>
      <c r="P236" s="15"/>
    </row>
    <row r="237" spans="1:16" x14ac:dyDescent="0.25">
      <c r="A237" s="15" t="s">
        <v>2005</v>
      </c>
      <c r="B237" s="15" t="s">
        <v>2006</v>
      </c>
      <c r="C237" s="45" t="s">
        <v>989</v>
      </c>
      <c r="D237" s="46" t="s">
        <v>1731</v>
      </c>
      <c r="E237" s="15" t="s">
        <v>192</v>
      </c>
      <c r="F237" s="46">
        <v>1</v>
      </c>
      <c r="H237" s="45" t="s">
        <v>193</v>
      </c>
      <c r="I237" s="15" t="s">
        <v>194</v>
      </c>
      <c r="J237" s="15" t="s">
        <v>1732</v>
      </c>
      <c r="K237" s="15" t="s">
        <v>210</v>
      </c>
      <c r="L237" s="47" t="s">
        <v>990</v>
      </c>
      <c r="M237" s="47" t="str">
        <f t="shared" si="3"/>
        <v>833202</v>
      </c>
      <c r="N237" s="47">
        <v>4</v>
      </c>
      <c r="O237" s="65">
        <v>1</v>
      </c>
      <c r="P237" s="15"/>
    </row>
    <row r="238" spans="1:16" x14ac:dyDescent="0.25">
      <c r="A238" s="15" t="s">
        <v>1850</v>
      </c>
      <c r="B238" s="15" t="s">
        <v>885</v>
      </c>
      <c r="C238" s="45" t="s">
        <v>886</v>
      </c>
      <c r="D238" s="46" t="s">
        <v>1728</v>
      </c>
      <c r="E238" s="15" t="s">
        <v>192</v>
      </c>
      <c r="F238" s="46">
        <v>1</v>
      </c>
      <c r="H238" s="45" t="s">
        <v>193</v>
      </c>
      <c r="I238" s="15" t="s">
        <v>194</v>
      </c>
      <c r="J238" s="15" t="s">
        <v>1752</v>
      </c>
      <c r="K238" s="15" t="s">
        <v>210</v>
      </c>
      <c r="L238" s="47" t="s">
        <v>887</v>
      </c>
      <c r="M238" s="47" t="str">
        <f t="shared" si="3"/>
        <v>834401</v>
      </c>
      <c r="N238" s="47">
        <v>5</v>
      </c>
      <c r="O238" s="65">
        <v>2</v>
      </c>
      <c r="P238" s="15"/>
    </row>
    <row r="239" spans="1:16" x14ac:dyDescent="0.25">
      <c r="A239" s="15" t="s">
        <v>540</v>
      </c>
      <c r="B239" s="15" t="s">
        <v>885</v>
      </c>
      <c r="C239" s="45" t="s">
        <v>886</v>
      </c>
      <c r="D239" s="46" t="s">
        <v>1761</v>
      </c>
      <c r="E239" s="15" t="s">
        <v>217</v>
      </c>
      <c r="F239" s="46">
        <v>1</v>
      </c>
      <c r="H239" s="45" t="s">
        <v>193</v>
      </c>
      <c r="I239" s="15" t="s">
        <v>194</v>
      </c>
      <c r="J239" s="15" t="s">
        <v>1752</v>
      </c>
      <c r="K239" s="15" t="s">
        <v>210</v>
      </c>
      <c r="L239" s="47" t="s">
        <v>887</v>
      </c>
      <c r="M239" s="47" t="str">
        <f t="shared" si="3"/>
        <v>834401</v>
      </c>
      <c r="N239" s="47">
        <v>6</v>
      </c>
      <c r="O239" s="65">
        <v>3</v>
      </c>
      <c r="P239" s="15"/>
    </row>
    <row r="240" spans="1:16" x14ac:dyDescent="0.25">
      <c r="A240" s="15" t="s">
        <v>2007</v>
      </c>
      <c r="B240" s="15" t="s">
        <v>2008</v>
      </c>
      <c r="C240" s="45" t="s">
        <v>886</v>
      </c>
      <c r="D240" s="46" t="s">
        <v>1745</v>
      </c>
      <c r="E240" s="15" t="s">
        <v>192</v>
      </c>
      <c r="F240" s="46">
        <v>1</v>
      </c>
      <c r="H240" s="45" t="s">
        <v>193</v>
      </c>
      <c r="I240" s="15" t="s">
        <v>194</v>
      </c>
      <c r="J240" s="15" t="s">
        <v>1759</v>
      </c>
      <c r="K240" s="15" t="s">
        <v>210</v>
      </c>
      <c r="L240" s="47" t="s">
        <v>887</v>
      </c>
      <c r="M240" s="47" t="str">
        <f t="shared" si="3"/>
        <v>834401</v>
      </c>
      <c r="N240" s="47">
        <v>7</v>
      </c>
      <c r="O240" s="65">
        <v>4</v>
      </c>
      <c r="P240" s="15"/>
    </row>
    <row r="241" spans="1:16" x14ac:dyDescent="0.25">
      <c r="A241" s="15" t="s">
        <v>2009</v>
      </c>
      <c r="B241" s="15" t="s">
        <v>2010</v>
      </c>
      <c r="C241" s="45" t="s">
        <v>886</v>
      </c>
      <c r="D241" s="46" t="s">
        <v>1803</v>
      </c>
      <c r="E241" s="15" t="s">
        <v>192</v>
      </c>
      <c r="F241" s="46">
        <v>1</v>
      </c>
      <c r="H241" s="45" t="s">
        <v>193</v>
      </c>
      <c r="I241" s="15" t="s">
        <v>194</v>
      </c>
      <c r="J241" s="15" t="s">
        <v>1752</v>
      </c>
      <c r="K241" s="15" t="s">
        <v>210</v>
      </c>
      <c r="L241" s="47" t="s">
        <v>887</v>
      </c>
      <c r="M241" s="47" t="str">
        <f t="shared" si="3"/>
        <v>834401</v>
      </c>
      <c r="N241" s="47">
        <v>8</v>
      </c>
      <c r="O241" s="65">
        <v>5</v>
      </c>
      <c r="P241" s="15"/>
    </row>
    <row r="242" spans="1:16" x14ac:dyDescent="0.25">
      <c r="A242" s="15" t="s">
        <v>2009</v>
      </c>
      <c r="B242" s="15" t="s">
        <v>2011</v>
      </c>
      <c r="C242" s="45" t="s">
        <v>886</v>
      </c>
      <c r="D242" s="46" t="s">
        <v>1740</v>
      </c>
      <c r="E242" s="15" t="s">
        <v>192</v>
      </c>
      <c r="F242" s="46">
        <v>1</v>
      </c>
      <c r="H242" s="45" t="s">
        <v>193</v>
      </c>
      <c r="I242" s="15" t="s">
        <v>194</v>
      </c>
      <c r="J242" s="15" t="s">
        <v>1752</v>
      </c>
      <c r="K242" s="15" t="s">
        <v>210</v>
      </c>
      <c r="L242" s="47" t="s">
        <v>887</v>
      </c>
      <c r="M242" s="47" t="str">
        <f t="shared" si="3"/>
        <v>834401</v>
      </c>
      <c r="N242" s="47">
        <v>9</v>
      </c>
      <c r="O242" s="65">
        <v>6</v>
      </c>
      <c r="P242" s="15"/>
    </row>
    <row r="243" spans="1:16" x14ac:dyDescent="0.25">
      <c r="A243" s="15" t="s">
        <v>2012</v>
      </c>
      <c r="B243" s="15" t="s">
        <v>2013</v>
      </c>
      <c r="C243" s="45" t="s">
        <v>875</v>
      </c>
      <c r="D243" s="46" t="s">
        <v>1761</v>
      </c>
      <c r="E243" s="15" t="s">
        <v>192</v>
      </c>
      <c r="F243" s="46">
        <v>1</v>
      </c>
      <c r="H243" s="45" t="s">
        <v>193</v>
      </c>
      <c r="I243" s="15" t="s">
        <v>194</v>
      </c>
      <c r="J243" s="15" t="s">
        <v>1764</v>
      </c>
      <c r="K243" s="15" t="s">
        <v>210</v>
      </c>
      <c r="L243" s="47" t="s">
        <v>876</v>
      </c>
      <c r="M243" s="47" t="str">
        <f t="shared" si="3"/>
        <v>833203</v>
      </c>
      <c r="N243" s="47">
        <v>10</v>
      </c>
      <c r="O243" s="65">
        <v>7</v>
      </c>
      <c r="P243" s="15"/>
    </row>
    <row r="244" spans="1:16" x14ac:dyDescent="0.25">
      <c r="A244" s="15" t="s">
        <v>2014</v>
      </c>
      <c r="B244" s="15" t="s">
        <v>2015</v>
      </c>
      <c r="C244" s="45" t="s">
        <v>875</v>
      </c>
      <c r="D244" s="46" t="s">
        <v>1731</v>
      </c>
      <c r="E244" s="15" t="s">
        <v>192</v>
      </c>
      <c r="F244" s="46">
        <v>1</v>
      </c>
      <c r="H244" s="45" t="s">
        <v>193</v>
      </c>
      <c r="I244" s="15" t="s">
        <v>194</v>
      </c>
      <c r="J244" s="15" t="s">
        <v>1764</v>
      </c>
      <c r="K244" s="15" t="s">
        <v>238</v>
      </c>
      <c r="L244" s="47" t="s">
        <v>876</v>
      </c>
      <c r="M244" s="47" t="str">
        <f t="shared" si="3"/>
        <v>833203</v>
      </c>
      <c r="N244" s="47">
        <v>11</v>
      </c>
      <c r="O244" s="65">
        <v>8</v>
      </c>
      <c r="P244" s="15"/>
    </row>
    <row r="245" spans="1:16" x14ac:dyDescent="0.25">
      <c r="A245" s="15" t="s">
        <v>2016</v>
      </c>
      <c r="B245" s="15" t="s">
        <v>2017</v>
      </c>
      <c r="C245" s="45" t="s">
        <v>875</v>
      </c>
      <c r="D245" s="46" t="s">
        <v>1728</v>
      </c>
      <c r="E245" s="15" t="s">
        <v>192</v>
      </c>
      <c r="F245" s="46">
        <v>1</v>
      </c>
      <c r="H245" s="45" t="s">
        <v>193</v>
      </c>
      <c r="I245" s="15" t="s">
        <v>194</v>
      </c>
      <c r="J245" s="15" t="s">
        <v>1764</v>
      </c>
      <c r="K245" s="15" t="s">
        <v>367</v>
      </c>
      <c r="L245" s="47" t="s">
        <v>876</v>
      </c>
      <c r="M245" s="47" t="str">
        <f t="shared" si="3"/>
        <v>833203</v>
      </c>
      <c r="N245" s="47">
        <v>12</v>
      </c>
      <c r="O245" s="65">
        <v>9</v>
      </c>
      <c r="P245" s="15"/>
    </row>
    <row r="246" spans="1:16" x14ac:dyDescent="0.25">
      <c r="A246" s="15" t="s">
        <v>924</v>
      </c>
      <c r="B246" s="15" t="s">
        <v>2018</v>
      </c>
      <c r="C246" s="45" t="s">
        <v>870</v>
      </c>
      <c r="D246" s="46" t="s">
        <v>1761</v>
      </c>
      <c r="E246" s="15" t="s">
        <v>192</v>
      </c>
      <c r="F246" s="46">
        <v>1</v>
      </c>
      <c r="H246" s="45" t="s">
        <v>193</v>
      </c>
      <c r="I246" s="15" t="s">
        <v>194</v>
      </c>
      <c r="J246" s="15" t="s">
        <v>1764</v>
      </c>
      <c r="K246" s="15" t="s">
        <v>276</v>
      </c>
      <c r="L246" s="47" t="s">
        <v>872</v>
      </c>
      <c r="M246" s="47" t="str">
        <f t="shared" si="3"/>
        <v>832202</v>
      </c>
      <c r="N246" s="47">
        <v>13</v>
      </c>
      <c r="O246" s="65">
        <v>190</v>
      </c>
      <c r="P246" s="15"/>
    </row>
    <row r="247" spans="1:16" x14ac:dyDescent="0.25">
      <c r="A247" s="15" t="s">
        <v>924</v>
      </c>
      <c r="B247" s="15" t="s">
        <v>2019</v>
      </c>
      <c r="C247" s="45" t="s">
        <v>870</v>
      </c>
      <c r="D247" s="46" t="s">
        <v>1761</v>
      </c>
      <c r="E247" s="15" t="s">
        <v>192</v>
      </c>
      <c r="F247" s="46">
        <v>1</v>
      </c>
      <c r="H247" s="45" t="s">
        <v>193</v>
      </c>
      <c r="I247" s="15" t="s">
        <v>194</v>
      </c>
      <c r="J247" s="15" t="s">
        <v>1764</v>
      </c>
      <c r="K247" s="15" t="s">
        <v>1889</v>
      </c>
      <c r="L247" s="47" t="s">
        <v>872</v>
      </c>
      <c r="M247" s="47" t="str">
        <f t="shared" si="3"/>
        <v>832202</v>
      </c>
      <c r="N247" s="47">
        <v>14</v>
      </c>
      <c r="O247" s="65">
        <v>1</v>
      </c>
      <c r="P247" s="15"/>
    </row>
    <row r="248" spans="1:16" s="42" customFormat="1" ht="14.25" x14ac:dyDescent="0.2">
      <c r="C248" s="42" t="s">
        <v>12</v>
      </c>
      <c r="D248" s="43"/>
      <c r="F248" s="43"/>
      <c r="G248" s="43">
        <f>SUM(F249:F252)</f>
        <v>4</v>
      </c>
      <c r="L248" s="44"/>
      <c r="M248" s="44" t="str">
        <f t="shared" si="3"/>
        <v/>
      </c>
      <c r="N248" s="44"/>
      <c r="O248" s="43"/>
    </row>
    <row r="249" spans="1:16" x14ac:dyDescent="0.25">
      <c r="A249" s="15" t="s">
        <v>218</v>
      </c>
      <c r="B249" s="15" t="s">
        <v>2020</v>
      </c>
      <c r="C249" s="45" t="s">
        <v>12</v>
      </c>
      <c r="D249" s="46" t="s">
        <v>1803</v>
      </c>
      <c r="E249" s="15" t="s">
        <v>233</v>
      </c>
      <c r="F249" s="46">
        <v>1</v>
      </c>
      <c r="H249" s="45" t="s">
        <v>193</v>
      </c>
      <c r="I249" s="15" t="s">
        <v>194</v>
      </c>
      <c r="J249" s="15" t="s">
        <v>1796</v>
      </c>
      <c r="K249" s="15" t="s">
        <v>210</v>
      </c>
      <c r="L249" s="47" t="s">
        <v>220</v>
      </c>
      <c r="M249" s="47" t="str">
        <f t="shared" si="3"/>
        <v>132301</v>
      </c>
      <c r="N249" s="47">
        <v>1</v>
      </c>
      <c r="O249" s="65">
        <v>2</v>
      </c>
      <c r="P249" s="15"/>
    </row>
    <row r="250" spans="1:16" x14ac:dyDescent="0.25">
      <c r="A250" s="15" t="s">
        <v>2021</v>
      </c>
      <c r="B250" s="15" t="s">
        <v>2022</v>
      </c>
      <c r="C250" s="45" t="s">
        <v>12</v>
      </c>
      <c r="D250" s="46" t="s">
        <v>1728</v>
      </c>
      <c r="E250" s="15" t="s">
        <v>192</v>
      </c>
      <c r="F250" s="46">
        <v>1</v>
      </c>
      <c r="H250" s="45" t="s">
        <v>193</v>
      </c>
      <c r="I250" s="15" t="s">
        <v>194</v>
      </c>
      <c r="J250" s="15" t="s">
        <v>1796</v>
      </c>
      <c r="K250" s="15" t="s">
        <v>210</v>
      </c>
      <c r="L250" s="47" t="s">
        <v>220</v>
      </c>
      <c r="M250" s="47" t="str">
        <f t="shared" si="3"/>
        <v>132301</v>
      </c>
      <c r="N250" s="47">
        <v>2</v>
      </c>
      <c r="O250" s="65">
        <v>3</v>
      </c>
      <c r="P250" s="15"/>
    </row>
    <row r="251" spans="1:16" x14ac:dyDescent="0.25">
      <c r="A251" s="15" t="s">
        <v>2023</v>
      </c>
      <c r="B251" s="15" t="s">
        <v>2024</v>
      </c>
      <c r="C251" s="45" t="s">
        <v>12</v>
      </c>
      <c r="D251" s="46" t="s">
        <v>1803</v>
      </c>
      <c r="E251" s="15" t="s">
        <v>233</v>
      </c>
      <c r="F251" s="46">
        <v>1</v>
      </c>
      <c r="H251" s="45" t="s">
        <v>193</v>
      </c>
      <c r="I251" s="15" t="s">
        <v>194</v>
      </c>
      <c r="J251" s="15" t="s">
        <v>1754</v>
      </c>
      <c r="K251" s="15" t="s">
        <v>2025</v>
      </c>
      <c r="L251" s="47" t="s">
        <v>220</v>
      </c>
      <c r="M251" s="47" t="str">
        <f t="shared" si="3"/>
        <v>132301</v>
      </c>
      <c r="N251" s="47">
        <v>3</v>
      </c>
      <c r="O251" s="65">
        <v>4</v>
      </c>
      <c r="P251" s="15"/>
    </row>
    <row r="252" spans="1:16" x14ac:dyDescent="0.25">
      <c r="A252" s="15" t="s">
        <v>2026</v>
      </c>
      <c r="B252" s="15" t="s">
        <v>2027</v>
      </c>
      <c r="C252" s="45" t="s">
        <v>12</v>
      </c>
      <c r="D252" s="46" t="s">
        <v>1761</v>
      </c>
      <c r="E252" s="15" t="s">
        <v>192</v>
      </c>
      <c r="F252" s="46">
        <v>1</v>
      </c>
      <c r="H252" s="45" t="s">
        <v>193</v>
      </c>
      <c r="I252" s="15" t="s">
        <v>194</v>
      </c>
      <c r="J252" s="15" t="s">
        <v>1754</v>
      </c>
      <c r="K252" s="15" t="s">
        <v>316</v>
      </c>
      <c r="L252" s="47" t="s">
        <v>220</v>
      </c>
      <c r="M252" s="47" t="str">
        <f t="shared" si="3"/>
        <v>132301</v>
      </c>
      <c r="N252" s="47">
        <v>4</v>
      </c>
      <c r="O252" s="65">
        <v>5</v>
      </c>
      <c r="P252" s="15"/>
    </row>
    <row r="253" spans="1:16" s="42" customFormat="1" x14ac:dyDescent="0.25">
      <c r="C253" s="50" t="s">
        <v>147</v>
      </c>
      <c r="D253" s="43"/>
      <c r="F253" s="43"/>
      <c r="G253" s="43">
        <f>SUM(F254)</f>
        <v>1</v>
      </c>
      <c r="L253" s="44"/>
      <c r="M253" s="44" t="str">
        <f t="shared" si="3"/>
        <v/>
      </c>
      <c r="N253" s="44"/>
      <c r="O253" s="43"/>
    </row>
    <row r="254" spans="1:16" x14ac:dyDescent="0.25">
      <c r="A254" s="15" t="s">
        <v>282</v>
      </c>
      <c r="B254" s="15" t="s">
        <v>2028</v>
      </c>
      <c r="C254" s="45" t="s">
        <v>2029</v>
      </c>
      <c r="D254" s="46" t="s">
        <v>1732</v>
      </c>
      <c r="E254" s="15" t="s">
        <v>192</v>
      </c>
      <c r="F254" s="46">
        <v>1</v>
      </c>
      <c r="H254" s="45" t="s">
        <v>193</v>
      </c>
      <c r="I254" s="15" t="s">
        <v>194</v>
      </c>
      <c r="J254" s="15" t="s">
        <v>1734</v>
      </c>
      <c r="K254" s="15" t="s">
        <v>285</v>
      </c>
      <c r="L254" s="47" t="s">
        <v>2030</v>
      </c>
      <c r="M254" s="47" t="str">
        <f t="shared" si="3"/>
        <v>132102</v>
      </c>
      <c r="O254" s="65">
        <v>6</v>
      </c>
      <c r="P254" s="15"/>
    </row>
    <row r="255" spans="1:16" s="42" customFormat="1" ht="14.25" x14ac:dyDescent="0.2">
      <c r="C255" s="42" t="s">
        <v>95</v>
      </c>
      <c r="D255" s="43"/>
      <c r="F255" s="43"/>
      <c r="G255" s="43">
        <f>SUM(F256:F262)</f>
        <v>7</v>
      </c>
      <c r="L255" s="44"/>
      <c r="M255" s="44" t="str">
        <f t="shared" si="3"/>
        <v/>
      </c>
      <c r="N255" s="44"/>
      <c r="O255" s="43"/>
    </row>
    <row r="256" spans="1:16" x14ac:dyDescent="0.25">
      <c r="A256" s="15" t="s">
        <v>1093</v>
      </c>
      <c r="B256" s="15" t="s">
        <v>255</v>
      </c>
      <c r="C256" s="49" t="s">
        <v>95</v>
      </c>
      <c r="D256" s="46" t="s">
        <v>1761</v>
      </c>
      <c r="E256" s="15" t="s">
        <v>192</v>
      </c>
      <c r="F256" s="46">
        <v>1</v>
      </c>
      <c r="H256" s="45" t="s">
        <v>193</v>
      </c>
      <c r="I256" s="15" t="s">
        <v>194</v>
      </c>
      <c r="J256" s="15" t="s">
        <v>1754</v>
      </c>
      <c r="K256" s="15" t="s">
        <v>385</v>
      </c>
      <c r="L256" s="47" t="s">
        <v>1015</v>
      </c>
      <c r="M256" s="47" t="str">
        <f t="shared" si="3"/>
        <v>122102</v>
      </c>
      <c r="N256" s="47">
        <v>1</v>
      </c>
      <c r="O256" s="65">
        <v>7</v>
      </c>
      <c r="P256" s="15"/>
    </row>
    <row r="257" spans="1:16" x14ac:dyDescent="0.25">
      <c r="A257" s="15" t="s">
        <v>1093</v>
      </c>
      <c r="B257" s="15" t="s">
        <v>255</v>
      </c>
      <c r="C257" s="49" t="s">
        <v>95</v>
      </c>
      <c r="D257" s="46" t="s">
        <v>1732</v>
      </c>
      <c r="E257" s="15" t="s">
        <v>192</v>
      </c>
      <c r="F257" s="46">
        <v>1</v>
      </c>
      <c r="H257" s="45" t="s">
        <v>193</v>
      </c>
      <c r="I257" s="15" t="s">
        <v>194</v>
      </c>
      <c r="J257" s="15" t="s">
        <v>1955</v>
      </c>
      <c r="K257" s="15" t="s">
        <v>385</v>
      </c>
      <c r="L257" s="47" t="s">
        <v>1015</v>
      </c>
      <c r="M257" s="47" t="str">
        <f t="shared" si="3"/>
        <v>122102</v>
      </c>
      <c r="N257" s="47">
        <v>2</v>
      </c>
      <c r="O257" s="65">
        <v>8</v>
      </c>
      <c r="P257" s="15"/>
    </row>
    <row r="258" spans="1:16" x14ac:dyDescent="0.25">
      <c r="A258" s="15" t="s">
        <v>382</v>
      </c>
      <c r="B258" s="15" t="s">
        <v>2031</v>
      </c>
      <c r="C258" s="49" t="s">
        <v>95</v>
      </c>
      <c r="D258" s="46" t="s">
        <v>1740</v>
      </c>
      <c r="E258" s="15" t="s">
        <v>233</v>
      </c>
      <c r="F258" s="46">
        <v>1</v>
      </c>
      <c r="H258" s="45" t="s">
        <v>193</v>
      </c>
      <c r="I258" s="15" t="s">
        <v>194</v>
      </c>
      <c r="J258" s="15" t="s">
        <v>1754</v>
      </c>
      <c r="K258" s="15" t="s">
        <v>253</v>
      </c>
      <c r="L258" s="47" t="s">
        <v>1015</v>
      </c>
      <c r="M258" s="47" t="str">
        <f t="shared" si="3"/>
        <v>122102</v>
      </c>
      <c r="N258" s="47">
        <v>3</v>
      </c>
      <c r="O258" s="65">
        <v>9</v>
      </c>
      <c r="P258" s="15"/>
    </row>
    <row r="259" spans="1:16" x14ac:dyDescent="0.25">
      <c r="A259" s="15" t="s">
        <v>1093</v>
      </c>
      <c r="B259" s="15" t="s">
        <v>261</v>
      </c>
      <c r="C259" s="49" t="s">
        <v>95</v>
      </c>
      <c r="D259" s="46" t="s">
        <v>1732</v>
      </c>
      <c r="E259" s="15" t="s">
        <v>192</v>
      </c>
      <c r="F259" s="46">
        <v>1</v>
      </c>
      <c r="H259" s="45" t="s">
        <v>193</v>
      </c>
      <c r="I259" s="15" t="s">
        <v>194</v>
      </c>
      <c r="J259" s="15" t="s">
        <v>1955</v>
      </c>
      <c r="K259" s="15" t="s">
        <v>253</v>
      </c>
      <c r="L259" s="47" t="s">
        <v>1015</v>
      </c>
      <c r="M259" s="47" t="str">
        <f t="shared" si="3"/>
        <v>122102</v>
      </c>
      <c r="N259" s="47">
        <v>4</v>
      </c>
      <c r="O259" s="65">
        <v>200</v>
      </c>
      <c r="P259" s="15"/>
    </row>
    <row r="260" spans="1:16" x14ac:dyDescent="0.25">
      <c r="A260" s="15" t="s">
        <v>2032</v>
      </c>
      <c r="B260" s="15" t="s">
        <v>2033</v>
      </c>
      <c r="C260" s="49" t="s">
        <v>95</v>
      </c>
      <c r="D260" s="46" t="s">
        <v>1731</v>
      </c>
      <c r="E260" s="15" t="s">
        <v>192</v>
      </c>
      <c r="F260" s="46">
        <v>1</v>
      </c>
      <c r="H260" s="45" t="s">
        <v>193</v>
      </c>
      <c r="I260" s="15" t="s">
        <v>194</v>
      </c>
      <c r="J260" s="15" t="s">
        <v>1729</v>
      </c>
      <c r="K260" s="15" t="s">
        <v>210</v>
      </c>
      <c r="L260" s="47" t="s">
        <v>1015</v>
      </c>
      <c r="M260" s="47" t="str">
        <f t="shared" si="3"/>
        <v>122102</v>
      </c>
      <c r="N260" s="47">
        <v>5</v>
      </c>
      <c r="O260" s="65">
        <v>1</v>
      </c>
      <c r="P260" s="15"/>
    </row>
    <row r="261" spans="1:16" x14ac:dyDescent="0.25">
      <c r="A261" s="15" t="s">
        <v>2034</v>
      </c>
      <c r="B261" s="15" t="s">
        <v>2035</v>
      </c>
      <c r="C261" s="49" t="s">
        <v>95</v>
      </c>
      <c r="D261" s="46" t="s">
        <v>1779</v>
      </c>
      <c r="E261" s="15" t="s">
        <v>192</v>
      </c>
      <c r="F261" s="46">
        <v>1</v>
      </c>
      <c r="H261" s="45" t="s">
        <v>193</v>
      </c>
      <c r="I261" s="15" t="s">
        <v>194</v>
      </c>
      <c r="J261" s="15" t="s">
        <v>1729</v>
      </c>
      <c r="K261" s="15" t="s">
        <v>385</v>
      </c>
      <c r="L261" s="47" t="s">
        <v>1015</v>
      </c>
      <c r="M261" s="47" t="str">
        <f t="shared" ref="M261:M324" si="4">MID(L261,8,6)</f>
        <v>122102</v>
      </c>
      <c r="N261" s="47">
        <v>6</v>
      </c>
      <c r="O261" s="65">
        <v>2</v>
      </c>
      <c r="P261" s="15"/>
    </row>
    <row r="262" spans="1:16" x14ac:dyDescent="0.25">
      <c r="A262" s="15" t="s">
        <v>2036</v>
      </c>
      <c r="B262" s="15" t="s">
        <v>2037</v>
      </c>
      <c r="C262" s="49" t="s">
        <v>95</v>
      </c>
      <c r="D262" s="46" t="s">
        <v>1745</v>
      </c>
      <c r="E262" s="15" t="s">
        <v>192</v>
      </c>
      <c r="F262" s="46">
        <v>1</v>
      </c>
      <c r="H262" s="45" t="s">
        <v>193</v>
      </c>
      <c r="I262" s="15" t="s">
        <v>194</v>
      </c>
      <c r="J262" s="15" t="s">
        <v>1772</v>
      </c>
      <c r="K262" s="15" t="s">
        <v>196</v>
      </c>
      <c r="L262" s="47" t="s">
        <v>1015</v>
      </c>
      <c r="M262" s="47" t="str">
        <f t="shared" si="4"/>
        <v>122102</v>
      </c>
      <c r="N262" s="47">
        <v>7</v>
      </c>
      <c r="O262" s="65">
        <v>3</v>
      </c>
      <c r="P262" s="15"/>
    </row>
    <row r="263" spans="1:16" s="42" customFormat="1" ht="14.25" x14ac:dyDescent="0.2">
      <c r="C263" s="42" t="s">
        <v>126</v>
      </c>
      <c r="D263" s="43"/>
      <c r="F263" s="43"/>
      <c r="G263" s="43">
        <f>SUM(F264)</f>
        <v>1</v>
      </c>
      <c r="L263" s="44"/>
      <c r="M263" s="44" t="str">
        <f t="shared" si="4"/>
        <v/>
      </c>
      <c r="N263" s="44"/>
      <c r="O263" s="43"/>
    </row>
    <row r="264" spans="1:16" x14ac:dyDescent="0.25">
      <c r="A264" s="15" t="s">
        <v>1508</v>
      </c>
      <c r="B264" s="15" t="s">
        <v>2038</v>
      </c>
      <c r="C264" s="45" t="s">
        <v>126</v>
      </c>
      <c r="D264" s="46" t="s">
        <v>1740</v>
      </c>
      <c r="E264" s="15" t="s">
        <v>192</v>
      </c>
      <c r="F264" s="46">
        <v>1</v>
      </c>
      <c r="H264" s="45" t="s">
        <v>193</v>
      </c>
      <c r="I264" s="15" t="s">
        <v>194</v>
      </c>
      <c r="J264" s="15" t="s">
        <v>1754</v>
      </c>
      <c r="K264" s="15" t="s">
        <v>202</v>
      </c>
      <c r="L264" s="47" t="s">
        <v>2039</v>
      </c>
      <c r="M264" s="47" t="str">
        <f t="shared" si="4"/>
        <v>143906</v>
      </c>
      <c r="O264" s="65">
        <v>4</v>
      </c>
      <c r="P264" s="15"/>
    </row>
    <row r="265" spans="1:16" s="42" customFormat="1" ht="14.25" x14ac:dyDescent="0.2">
      <c r="C265" s="42" t="s">
        <v>52</v>
      </c>
      <c r="D265" s="43"/>
      <c r="F265" s="43"/>
      <c r="G265" s="43">
        <f>SUM(F266:F272)</f>
        <v>7</v>
      </c>
      <c r="L265" s="44"/>
      <c r="M265" s="44" t="str">
        <f t="shared" si="4"/>
        <v/>
      </c>
      <c r="N265" s="44"/>
      <c r="O265" s="43"/>
    </row>
    <row r="266" spans="1:16" x14ac:dyDescent="0.25">
      <c r="A266" s="15" t="s">
        <v>1945</v>
      </c>
      <c r="B266" s="15" t="s">
        <v>2040</v>
      </c>
      <c r="C266" s="45" t="s">
        <v>227</v>
      </c>
      <c r="D266" s="46" t="s">
        <v>1736</v>
      </c>
      <c r="E266" s="15" t="s">
        <v>192</v>
      </c>
      <c r="F266" s="46">
        <v>1</v>
      </c>
      <c r="H266" s="45" t="s">
        <v>193</v>
      </c>
      <c r="I266" s="15" t="s">
        <v>194</v>
      </c>
      <c r="J266" s="15" t="s">
        <v>1836</v>
      </c>
      <c r="K266" s="15" t="s">
        <v>316</v>
      </c>
      <c r="L266" s="47" t="s">
        <v>229</v>
      </c>
      <c r="M266" s="47" t="str">
        <f t="shared" si="4"/>
        <v>132401</v>
      </c>
      <c r="O266" s="65">
        <v>5</v>
      </c>
      <c r="P266" s="15"/>
    </row>
    <row r="267" spans="1:16" x14ac:dyDescent="0.25">
      <c r="A267" s="15" t="s">
        <v>2041</v>
      </c>
      <c r="B267" s="15" t="s">
        <v>2042</v>
      </c>
      <c r="C267" s="45" t="s">
        <v>227</v>
      </c>
      <c r="D267" s="46" t="s">
        <v>1731</v>
      </c>
      <c r="E267" s="15" t="s">
        <v>192</v>
      </c>
      <c r="F267" s="46">
        <v>1</v>
      </c>
      <c r="H267" s="45" t="s">
        <v>193</v>
      </c>
      <c r="I267" s="15" t="s">
        <v>194</v>
      </c>
      <c r="J267" s="15" t="s">
        <v>1729</v>
      </c>
      <c r="K267" s="15" t="s">
        <v>2043</v>
      </c>
      <c r="L267" s="47" t="s">
        <v>229</v>
      </c>
      <c r="M267" s="47" t="str">
        <f t="shared" si="4"/>
        <v>132401</v>
      </c>
      <c r="O267" s="65">
        <v>6</v>
      </c>
      <c r="P267" s="15"/>
    </row>
    <row r="268" spans="1:16" x14ac:dyDescent="0.25">
      <c r="A268" s="15" t="s">
        <v>2009</v>
      </c>
      <c r="B268" s="15" t="s">
        <v>2044</v>
      </c>
      <c r="C268" s="45" t="s">
        <v>227</v>
      </c>
      <c r="D268" s="46" t="s">
        <v>1803</v>
      </c>
      <c r="E268" s="15" t="s">
        <v>192</v>
      </c>
      <c r="F268" s="46">
        <v>1</v>
      </c>
      <c r="H268" s="45" t="s">
        <v>193</v>
      </c>
      <c r="I268" s="15" t="s">
        <v>194</v>
      </c>
      <c r="J268" s="15" t="s">
        <v>1759</v>
      </c>
      <c r="K268" s="15" t="s">
        <v>210</v>
      </c>
      <c r="L268" s="47" t="s">
        <v>229</v>
      </c>
      <c r="M268" s="47" t="str">
        <f t="shared" si="4"/>
        <v>132401</v>
      </c>
      <c r="O268" s="65">
        <v>7</v>
      </c>
      <c r="P268" s="15"/>
    </row>
    <row r="269" spans="1:16" x14ac:dyDescent="0.25">
      <c r="A269" s="15" t="s">
        <v>263</v>
      </c>
      <c r="B269" s="15" t="s">
        <v>2045</v>
      </c>
      <c r="C269" s="45" t="s">
        <v>2046</v>
      </c>
      <c r="D269" s="46" t="s">
        <v>1728</v>
      </c>
      <c r="E269" s="15" t="s">
        <v>217</v>
      </c>
      <c r="F269" s="46">
        <v>1</v>
      </c>
      <c r="H269" s="45" t="s">
        <v>193</v>
      </c>
      <c r="I269" s="15" t="s">
        <v>194</v>
      </c>
      <c r="J269" s="15" t="s">
        <v>1754</v>
      </c>
      <c r="K269" s="15" t="s">
        <v>196</v>
      </c>
      <c r="L269" s="47" t="s">
        <v>2047</v>
      </c>
      <c r="M269" s="47" t="str">
        <f t="shared" si="4"/>
        <v>121202</v>
      </c>
      <c r="O269" s="65">
        <v>8</v>
      </c>
      <c r="P269" s="15"/>
    </row>
    <row r="270" spans="1:16" x14ac:dyDescent="0.25">
      <c r="A270" s="15" t="s">
        <v>263</v>
      </c>
      <c r="B270" s="15" t="s">
        <v>2045</v>
      </c>
      <c r="C270" s="45" t="s">
        <v>2046</v>
      </c>
      <c r="D270" s="46" t="s">
        <v>1740</v>
      </c>
      <c r="E270" s="15" t="s">
        <v>217</v>
      </c>
      <c r="F270" s="46">
        <v>1</v>
      </c>
      <c r="H270" s="45" t="s">
        <v>193</v>
      </c>
      <c r="I270" s="15" t="s">
        <v>194</v>
      </c>
      <c r="J270" s="15" t="s">
        <v>1754</v>
      </c>
      <c r="K270" s="15" t="s">
        <v>196</v>
      </c>
      <c r="L270" s="47" t="s">
        <v>2047</v>
      </c>
      <c r="M270" s="47" t="str">
        <f t="shared" si="4"/>
        <v>121202</v>
      </c>
      <c r="O270" s="65">
        <v>9</v>
      </c>
      <c r="P270" s="15"/>
    </row>
    <row r="271" spans="1:16" x14ac:dyDescent="0.25">
      <c r="A271" s="15" t="s">
        <v>2048</v>
      </c>
      <c r="B271" s="15" t="s">
        <v>2049</v>
      </c>
      <c r="C271" s="45" t="s">
        <v>2050</v>
      </c>
      <c r="D271" s="46" t="s">
        <v>1740</v>
      </c>
      <c r="E271" s="15" t="s">
        <v>192</v>
      </c>
      <c r="F271" s="46">
        <v>1</v>
      </c>
      <c r="H271" s="45" t="s">
        <v>193</v>
      </c>
      <c r="I271" s="15" t="s">
        <v>194</v>
      </c>
      <c r="J271" s="15" t="s">
        <v>1737</v>
      </c>
      <c r="K271" s="15" t="s">
        <v>210</v>
      </c>
      <c r="L271" s="47" t="s">
        <v>2051</v>
      </c>
      <c r="M271" s="47" t="str">
        <f t="shared" si="4"/>
        <v>132402</v>
      </c>
      <c r="O271" s="65">
        <v>210</v>
      </c>
      <c r="P271" s="15"/>
    </row>
    <row r="272" spans="1:16" x14ac:dyDescent="0.25">
      <c r="A272" s="15" t="s">
        <v>2048</v>
      </c>
      <c r="B272" s="15" t="s">
        <v>2052</v>
      </c>
      <c r="C272" s="45" t="s">
        <v>2050</v>
      </c>
      <c r="D272" s="46" t="s">
        <v>1736</v>
      </c>
      <c r="E272" s="15" t="s">
        <v>192</v>
      </c>
      <c r="F272" s="46">
        <v>1</v>
      </c>
      <c r="H272" s="45" t="s">
        <v>193</v>
      </c>
      <c r="I272" s="15" t="s">
        <v>194</v>
      </c>
      <c r="J272" s="15" t="s">
        <v>1737</v>
      </c>
      <c r="K272" s="15" t="s">
        <v>210</v>
      </c>
      <c r="L272" s="47" t="s">
        <v>2051</v>
      </c>
      <c r="M272" s="47" t="str">
        <f t="shared" si="4"/>
        <v>132402</v>
      </c>
      <c r="O272" s="65">
        <v>1</v>
      </c>
      <c r="P272" s="15"/>
    </row>
    <row r="273" spans="1:16" s="42" customFormat="1" ht="14.25" x14ac:dyDescent="0.2">
      <c r="C273" s="42" t="s">
        <v>116</v>
      </c>
      <c r="D273" s="43"/>
      <c r="F273" s="43"/>
      <c r="G273" s="43">
        <f>SUM(F274:F276)</f>
        <v>3</v>
      </c>
      <c r="L273" s="44"/>
      <c r="M273" s="44" t="str">
        <f t="shared" si="4"/>
        <v/>
      </c>
      <c r="N273" s="44"/>
      <c r="O273" s="43"/>
    </row>
    <row r="274" spans="1:16" x14ac:dyDescent="0.25">
      <c r="A274" s="15" t="s">
        <v>1508</v>
      </c>
      <c r="B274" s="15" t="s">
        <v>2053</v>
      </c>
      <c r="C274" s="45" t="s">
        <v>232</v>
      </c>
      <c r="D274" s="46" t="s">
        <v>1740</v>
      </c>
      <c r="E274" s="15" t="s">
        <v>192</v>
      </c>
      <c r="F274" s="46">
        <v>1</v>
      </c>
      <c r="H274" s="45" t="s">
        <v>193</v>
      </c>
      <c r="I274" s="15" t="s">
        <v>194</v>
      </c>
      <c r="J274" s="15" t="s">
        <v>1754</v>
      </c>
      <c r="K274" s="15" t="s">
        <v>202</v>
      </c>
      <c r="L274" s="47" t="s">
        <v>234</v>
      </c>
      <c r="M274" s="47" t="str">
        <f t="shared" si="4"/>
        <v>132403</v>
      </c>
      <c r="O274" s="65">
        <v>2</v>
      </c>
      <c r="P274" s="15"/>
    </row>
    <row r="275" spans="1:16" x14ac:dyDescent="0.25">
      <c r="A275" s="15" t="s">
        <v>1093</v>
      </c>
      <c r="B275" s="15" t="s">
        <v>257</v>
      </c>
      <c r="C275" s="45" t="s">
        <v>2054</v>
      </c>
      <c r="D275" s="46" t="s">
        <v>1761</v>
      </c>
      <c r="E275" s="15" t="s">
        <v>192</v>
      </c>
      <c r="F275" s="46">
        <v>1</v>
      </c>
      <c r="H275" s="45" t="s">
        <v>193</v>
      </c>
      <c r="I275" s="15" t="s">
        <v>194</v>
      </c>
      <c r="J275" s="15" t="s">
        <v>1915</v>
      </c>
      <c r="K275" s="15" t="s">
        <v>385</v>
      </c>
      <c r="L275" s="47" t="s">
        <v>2055</v>
      </c>
      <c r="M275" s="47" t="str">
        <f t="shared" si="4"/>
        <v>522203</v>
      </c>
      <c r="O275" s="65">
        <v>3</v>
      </c>
      <c r="P275" s="15"/>
    </row>
    <row r="276" spans="1:16" x14ac:dyDescent="0.25">
      <c r="A276" s="15" t="s">
        <v>1093</v>
      </c>
      <c r="B276" s="15" t="s">
        <v>257</v>
      </c>
      <c r="C276" s="45" t="s">
        <v>2054</v>
      </c>
      <c r="D276" s="46" t="s">
        <v>1732</v>
      </c>
      <c r="E276" s="15" t="s">
        <v>192</v>
      </c>
      <c r="F276" s="46">
        <v>1</v>
      </c>
      <c r="H276" s="45" t="s">
        <v>193</v>
      </c>
      <c r="I276" s="15" t="s">
        <v>194</v>
      </c>
      <c r="J276" s="15" t="s">
        <v>1955</v>
      </c>
      <c r="K276" s="15" t="s">
        <v>385</v>
      </c>
      <c r="L276" s="47" t="s">
        <v>2055</v>
      </c>
      <c r="M276" s="47" t="str">
        <f t="shared" si="4"/>
        <v>522203</v>
      </c>
      <c r="O276" s="65">
        <v>4</v>
      </c>
      <c r="P276" s="15"/>
    </row>
    <row r="277" spans="1:16" s="42" customFormat="1" ht="14.25" x14ac:dyDescent="0.2">
      <c r="C277" s="42" t="s">
        <v>140</v>
      </c>
      <c r="D277" s="43"/>
      <c r="F277" s="43"/>
      <c r="G277" s="43">
        <f>SUM(F278:F279)</f>
        <v>2</v>
      </c>
      <c r="L277" s="44"/>
      <c r="M277" s="44" t="str">
        <f t="shared" si="4"/>
        <v/>
      </c>
      <c r="N277" s="44"/>
      <c r="O277" s="43"/>
    </row>
    <row r="278" spans="1:16" x14ac:dyDescent="0.25">
      <c r="A278" s="15" t="s">
        <v>2056</v>
      </c>
      <c r="B278" s="15" t="s">
        <v>2057</v>
      </c>
      <c r="C278" s="45" t="s">
        <v>140</v>
      </c>
      <c r="D278" s="46" t="s">
        <v>1740</v>
      </c>
      <c r="E278" s="15" t="s">
        <v>192</v>
      </c>
      <c r="F278" s="46">
        <v>1</v>
      </c>
      <c r="H278" s="45" t="s">
        <v>193</v>
      </c>
      <c r="I278" s="15" t="s">
        <v>194</v>
      </c>
      <c r="J278" s="15" t="s">
        <v>1754</v>
      </c>
      <c r="K278" s="15" t="s">
        <v>210</v>
      </c>
      <c r="L278" s="47" t="s">
        <v>1262</v>
      </c>
      <c r="M278" s="47" t="str">
        <f t="shared" si="4"/>
        <v>141202</v>
      </c>
      <c r="O278" s="65">
        <v>5</v>
      </c>
      <c r="P278" s="15"/>
    </row>
    <row r="279" spans="1:16" x14ac:dyDescent="0.25">
      <c r="A279" s="15" t="s">
        <v>2058</v>
      </c>
      <c r="B279" s="15" t="s">
        <v>2059</v>
      </c>
      <c r="C279" s="45" t="s">
        <v>140</v>
      </c>
      <c r="D279" s="46" t="s">
        <v>1761</v>
      </c>
      <c r="E279" s="15" t="s">
        <v>192</v>
      </c>
      <c r="F279" s="46">
        <v>1</v>
      </c>
      <c r="H279" s="45" t="s">
        <v>193</v>
      </c>
      <c r="I279" s="15" t="s">
        <v>194</v>
      </c>
      <c r="J279" s="15" t="s">
        <v>1955</v>
      </c>
      <c r="K279" s="15" t="s">
        <v>210</v>
      </c>
      <c r="L279" s="47" t="s">
        <v>1262</v>
      </c>
      <c r="M279" s="47" t="str">
        <f t="shared" si="4"/>
        <v>141202</v>
      </c>
      <c r="O279" s="65">
        <v>6</v>
      </c>
      <c r="P279" s="15"/>
    </row>
    <row r="280" spans="1:16" s="42" customFormat="1" ht="14.25" x14ac:dyDescent="0.2">
      <c r="C280" s="42" t="s">
        <v>103</v>
      </c>
      <c r="D280" s="43"/>
      <c r="F280" s="43"/>
      <c r="G280" s="43">
        <f>SUM(F281:F283)</f>
        <v>3</v>
      </c>
      <c r="L280" s="44"/>
      <c r="M280" s="44" t="str">
        <f t="shared" si="4"/>
        <v/>
      </c>
      <c r="N280" s="44"/>
      <c r="O280" s="43"/>
    </row>
    <row r="281" spans="1:16" x14ac:dyDescent="0.25">
      <c r="A281" s="15" t="s">
        <v>816</v>
      </c>
      <c r="B281" s="15" t="s">
        <v>2060</v>
      </c>
      <c r="C281" s="45" t="s">
        <v>1441</v>
      </c>
      <c r="D281" s="46" t="s">
        <v>1761</v>
      </c>
      <c r="E281" s="15" t="s">
        <v>192</v>
      </c>
      <c r="F281" s="46">
        <v>1</v>
      </c>
      <c r="H281" s="45" t="s">
        <v>193</v>
      </c>
      <c r="I281" s="15" t="s">
        <v>194</v>
      </c>
      <c r="J281" s="15" t="s">
        <v>1754</v>
      </c>
      <c r="K281" s="15" t="s">
        <v>253</v>
      </c>
      <c r="L281" s="47" t="s">
        <v>1443</v>
      </c>
      <c r="M281" s="47" t="str">
        <f t="shared" si="4"/>
        <v>132103</v>
      </c>
      <c r="O281" s="65">
        <v>7</v>
      </c>
      <c r="P281" s="15"/>
    </row>
    <row r="282" spans="1:16" x14ac:dyDescent="0.25">
      <c r="A282" s="15" t="s">
        <v>2061</v>
      </c>
      <c r="B282" s="15" t="s">
        <v>2062</v>
      </c>
      <c r="C282" s="45" t="s">
        <v>1441</v>
      </c>
      <c r="D282" s="46" t="s">
        <v>1740</v>
      </c>
      <c r="E282" s="15" t="s">
        <v>192</v>
      </c>
      <c r="F282" s="46">
        <v>1</v>
      </c>
      <c r="H282" s="45" t="s">
        <v>193</v>
      </c>
      <c r="I282" s="15" t="s">
        <v>194</v>
      </c>
      <c r="J282" s="15" t="s">
        <v>1752</v>
      </c>
      <c r="K282" s="15" t="s">
        <v>276</v>
      </c>
      <c r="L282" s="47" t="s">
        <v>1443</v>
      </c>
      <c r="M282" s="47" t="str">
        <f t="shared" si="4"/>
        <v>132103</v>
      </c>
      <c r="O282" s="65">
        <v>8</v>
      </c>
      <c r="P282" s="15"/>
    </row>
    <row r="283" spans="1:16" x14ac:dyDescent="0.25">
      <c r="A283" s="15" t="s">
        <v>2063</v>
      </c>
      <c r="B283" s="15" t="s">
        <v>2064</v>
      </c>
      <c r="C283" s="45" t="s">
        <v>1441</v>
      </c>
      <c r="D283" s="46" t="s">
        <v>1740</v>
      </c>
      <c r="E283" s="15" t="s">
        <v>192</v>
      </c>
      <c r="F283" s="46">
        <v>1</v>
      </c>
      <c r="H283" s="45" t="s">
        <v>193</v>
      </c>
      <c r="I283" s="15" t="s">
        <v>194</v>
      </c>
      <c r="J283" s="15" t="s">
        <v>1752</v>
      </c>
      <c r="K283" s="15" t="s">
        <v>210</v>
      </c>
      <c r="L283" s="47" t="s">
        <v>1443</v>
      </c>
      <c r="M283" s="47" t="str">
        <f t="shared" si="4"/>
        <v>132103</v>
      </c>
      <c r="O283" s="65">
        <v>9</v>
      </c>
      <c r="P283" s="15"/>
    </row>
    <row r="284" spans="1:16" s="42" customFormat="1" ht="14.25" x14ac:dyDescent="0.2">
      <c r="C284" s="42" t="s">
        <v>129</v>
      </c>
      <c r="D284" s="43"/>
      <c r="F284" s="43"/>
      <c r="G284" s="43">
        <f>SUM(F285)</f>
        <v>1</v>
      </c>
      <c r="L284" s="44"/>
      <c r="M284" s="44" t="str">
        <f t="shared" si="4"/>
        <v/>
      </c>
      <c r="N284" s="44"/>
      <c r="O284" s="43"/>
    </row>
    <row r="285" spans="1:16" x14ac:dyDescent="0.25">
      <c r="A285" s="15" t="s">
        <v>2065</v>
      </c>
      <c r="B285" s="15" t="s">
        <v>2066</v>
      </c>
      <c r="C285" s="45" t="s">
        <v>129</v>
      </c>
      <c r="D285" s="46" t="s">
        <v>1732</v>
      </c>
      <c r="E285" s="15" t="s">
        <v>233</v>
      </c>
      <c r="F285" s="46">
        <v>1</v>
      </c>
      <c r="H285" s="45" t="s">
        <v>193</v>
      </c>
      <c r="I285" s="15" t="s">
        <v>194</v>
      </c>
      <c r="J285" s="15" t="s">
        <v>1734</v>
      </c>
      <c r="K285" s="15" t="s">
        <v>210</v>
      </c>
      <c r="L285" s="47" t="s">
        <v>203</v>
      </c>
      <c r="M285" s="47" t="str">
        <f t="shared" si="4"/>
        <v>121904</v>
      </c>
      <c r="O285" s="65">
        <v>220</v>
      </c>
      <c r="P285" s="15"/>
    </row>
    <row r="286" spans="1:16" s="42" customFormat="1" ht="14.25" x14ac:dyDescent="0.2">
      <c r="C286" s="42" t="s">
        <v>74</v>
      </c>
      <c r="D286" s="43"/>
      <c r="F286" s="43"/>
      <c r="G286" s="43">
        <f>SUM(F287:F297)</f>
        <v>11</v>
      </c>
      <c r="L286" s="44"/>
      <c r="M286" s="44" t="str">
        <f t="shared" si="4"/>
        <v/>
      </c>
      <c r="N286" s="44"/>
      <c r="O286" s="43"/>
    </row>
    <row r="287" spans="1:16" x14ac:dyDescent="0.25">
      <c r="A287" s="15" t="s">
        <v>742</v>
      </c>
      <c r="B287" s="15" t="s">
        <v>2067</v>
      </c>
      <c r="C287" s="49" t="s">
        <v>74</v>
      </c>
      <c r="D287" s="46" t="s">
        <v>1740</v>
      </c>
      <c r="E287" s="15" t="s">
        <v>192</v>
      </c>
      <c r="F287" s="46">
        <v>1</v>
      </c>
      <c r="H287" s="45" t="s">
        <v>193</v>
      </c>
      <c r="I287" s="15" t="s">
        <v>194</v>
      </c>
      <c r="J287" s="15" t="s">
        <v>1764</v>
      </c>
      <c r="K287" s="15" t="s">
        <v>276</v>
      </c>
      <c r="L287" s="47" t="s">
        <v>246</v>
      </c>
      <c r="M287" s="47" t="str">
        <f t="shared" si="4"/>
        <v>142004</v>
      </c>
      <c r="O287" s="65">
        <v>1</v>
      </c>
      <c r="P287" s="15"/>
    </row>
    <row r="288" spans="1:16" x14ac:dyDescent="0.25">
      <c r="A288" s="15" t="s">
        <v>1093</v>
      </c>
      <c r="B288" s="15" t="s">
        <v>261</v>
      </c>
      <c r="C288" s="49" t="s">
        <v>74</v>
      </c>
      <c r="D288" s="46" t="s">
        <v>1761</v>
      </c>
      <c r="E288" s="15" t="s">
        <v>192</v>
      </c>
      <c r="F288" s="46">
        <v>1</v>
      </c>
      <c r="H288" s="45" t="s">
        <v>193</v>
      </c>
      <c r="I288" s="15" t="s">
        <v>194</v>
      </c>
      <c r="J288" s="15" t="s">
        <v>1764</v>
      </c>
      <c r="K288" s="15" t="s">
        <v>253</v>
      </c>
      <c r="L288" s="47" t="s">
        <v>246</v>
      </c>
      <c r="M288" s="47" t="str">
        <f t="shared" si="4"/>
        <v>142004</v>
      </c>
      <c r="O288" s="65">
        <v>2</v>
      </c>
      <c r="P288" s="15"/>
    </row>
    <row r="289" spans="1:16" x14ac:dyDescent="0.25">
      <c r="A289" s="15" t="s">
        <v>2068</v>
      </c>
      <c r="B289" s="15" t="s">
        <v>261</v>
      </c>
      <c r="C289" s="49" t="s">
        <v>74</v>
      </c>
      <c r="D289" s="46" t="s">
        <v>1745</v>
      </c>
      <c r="E289" s="15" t="s">
        <v>192</v>
      </c>
      <c r="F289" s="46">
        <v>1</v>
      </c>
      <c r="H289" s="45" t="s">
        <v>193</v>
      </c>
      <c r="I289" s="15" t="s">
        <v>194</v>
      </c>
      <c r="J289" s="15" t="s">
        <v>1764</v>
      </c>
      <c r="K289" s="15" t="s">
        <v>210</v>
      </c>
      <c r="L289" s="47" t="s">
        <v>246</v>
      </c>
      <c r="M289" s="47" t="str">
        <f t="shared" si="4"/>
        <v>142004</v>
      </c>
      <c r="O289" s="65">
        <v>3</v>
      </c>
      <c r="P289" s="15"/>
    </row>
    <row r="290" spans="1:16" x14ac:dyDescent="0.25">
      <c r="A290" s="15" t="s">
        <v>446</v>
      </c>
      <c r="B290" s="15" t="s">
        <v>2069</v>
      </c>
      <c r="C290" s="49" t="s">
        <v>74</v>
      </c>
      <c r="D290" s="46" t="s">
        <v>1761</v>
      </c>
      <c r="E290" s="15" t="s">
        <v>192</v>
      </c>
      <c r="F290" s="46">
        <v>1</v>
      </c>
      <c r="H290" s="45" t="s">
        <v>193</v>
      </c>
      <c r="I290" s="15" t="s">
        <v>194</v>
      </c>
      <c r="J290" s="15" t="s">
        <v>1754</v>
      </c>
      <c r="K290" s="15" t="s">
        <v>747</v>
      </c>
      <c r="L290" s="47" t="s">
        <v>246</v>
      </c>
      <c r="M290" s="47" t="str">
        <f t="shared" si="4"/>
        <v>142004</v>
      </c>
      <c r="O290" s="65">
        <v>4</v>
      </c>
      <c r="P290" s="15"/>
    </row>
    <row r="291" spans="1:16" x14ac:dyDescent="0.25">
      <c r="A291" s="15" t="s">
        <v>2070</v>
      </c>
      <c r="B291" s="15" t="s">
        <v>2071</v>
      </c>
      <c r="C291" s="49" t="s">
        <v>74</v>
      </c>
      <c r="D291" s="46" t="s">
        <v>1728</v>
      </c>
      <c r="E291" s="15" t="s">
        <v>217</v>
      </c>
      <c r="F291" s="46">
        <v>1</v>
      </c>
      <c r="H291" s="45" t="s">
        <v>193</v>
      </c>
      <c r="I291" s="15" t="s">
        <v>194</v>
      </c>
      <c r="J291" s="15" t="s">
        <v>1732</v>
      </c>
      <c r="K291" s="15" t="s">
        <v>210</v>
      </c>
      <c r="L291" s="47" t="s">
        <v>246</v>
      </c>
      <c r="M291" s="47" t="str">
        <f t="shared" si="4"/>
        <v>142004</v>
      </c>
      <c r="O291" s="65">
        <v>5</v>
      </c>
      <c r="P291" s="15"/>
    </row>
    <row r="292" spans="1:16" x14ac:dyDescent="0.25">
      <c r="A292" s="15" t="s">
        <v>742</v>
      </c>
      <c r="B292" s="15" t="s">
        <v>2072</v>
      </c>
      <c r="C292" s="49" t="s">
        <v>74</v>
      </c>
      <c r="D292" s="46" t="s">
        <v>1740</v>
      </c>
      <c r="E292" s="15" t="s">
        <v>192</v>
      </c>
      <c r="F292" s="46">
        <v>1</v>
      </c>
      <c r="H292" s="45" t="s">
        <v>193</v>
      </c>
      <c r="I292" s="15" t="s">
        <v>194</v>
      </c>
      <c r="J292" s="15" t="s">
        <v>1732</v>
      </c>
      <c r="K292" s="15" t="s">
        <v>276</v>
      </c>
      <c r="L292" s="47" t="s">
        <v>246</v>
      </c>
      <c r="M292" s="47" t="str">
        <f t="shared" si="4"/>
        <v>142004</v>
      </c>
      <c r="O292" s="65">
        <v>6</v>
      </c>
      <c r="P292" s="15"/>
    </row>
    <row r="293" spans="1:16" x14ac:dyDescent="0.25">
      <c r="A293" s="15" t="s">
        <v>1084</v>
      </c>
      <c r="B293" s="15" t="s">
        <v>1057</v>
      </c>
      <c r="C293" s="49" t="s">
        <v>74</v>
      </c>
      <c r="D293" s="46" t="s">
        <v>1731</v>
      </c>
      <c r="E293" s="15" t="s">
        <v>192</v>
      </c>
      <c r="F293" s="46">
        <v>1</v>
      </c>
      <c r="H293" s="45" t="s">
        <v>193</v>
      </c>
      <c r="I293" s="15" t="s">
        <v>194</v>
      </c>
      <c r="J293" s="15" t="s">
        <v>1732</v>
      </c>
      <c r="K293" s="15" t="s">
        <v>210</v>
      </c>
      <c r="L293" s="47" t="s">
        <v>246</v>
      </c>
      <c r="M293" s="47" t="str">
        <f t="shared" si="4"/>
        <v>142004</v>
      </c>
      <c r="O293" s="65">
        <v>7</v>
      </c>
      <c r="P293" s="15"/>
    </row>
    <row r="294" spans="1:16" x14ac:dyDescent="0.25">
      <c r="A294" s="15" t="s">
        <v>446</v>
      </c>
      <c r="B294" s="15" t="s">
        <v>2073</v>
      </c>
      <c r="C294" s="49" t="s">
        <v>74</v>
      </c>
      <c r="D294" s="46" t="s">
        <v>1740</v>
      </c>
      <c r="E294" s="15" t="s">
        <v>192</v>
      </c>
      <c r="F294" s="46">
        <v>1</v>
      </c>
      <c r="H294" s="45" t="s">
        <v>193</v>
      </c>
      <c r="I294" s="15" t="s">
        <v>194</v>
      </c>
      <c r="J294" s="15" t="s">
        <v>1732</v>
      </c>
      <c r="K294" s="15" t="s">
        <v>2074</v>
      </c>
      <c r="L294" s="47" t="s">
        <v>246</v>
      </c>
      <c r="M294" s="47" t="str">
        <f t="shared" si="4"/>
        <v>142004</v>
      </c>
      <c r="O294" s="65">
        <v>8</v>
      </c>
      <c r="P294" s="15"/>
    </row>
    <row r="295" spans="1:16" x14ac:dyDescent="0.25">
      <c r="A295" s="15" t="s">
        <v>446</v>
      </c>
      <c r="B295" s="15" t="s">
        <v>2075</v>
      </c>
      <c r="C295" s="49" t="s">
        <v>74</v>
      </c>
      <c r="D295" s="46" t="s">
        <v>1732</v>
      </c>
      <c r="E295" s="15" t="s">
        <v>192</v>
      </c>
      <c r="F295" s="46">
        <v>1</v>
      </c>
      <c r="H295" s="45" t="s">
        <v>193</v>
      </c>
      <c r="I295" s="15" t="s">
        <v>194</v>
      </c>
      <c r="J295" s="15" t="s">
        <v>1955</v>
      </c>
      <c r="K295" s="15" t="s">
        <v>1995</v>
      </c>
      <c r="L295" s="47" t="s">
        <v>246</v>
      </c>
      <c r="M295" s="47" t="str">
        <f t="shared" si="4"/>
        <v>142004</v>
      </c>
      <c r="O295" s="65">
        <v>9</v>
      </c>
      <c r="P295" s="15"/>
    </row>
    <row r="296" spans="1:16" x14ac:dyDescent="0.25">
      <c r="A296" s="15" t="s">
        <v>446</v>
      </c>
      <c r="B296" s="15" t="s">
        <v>2076</v>
      </c>
      <c r="C296" s="49" t="s">
        <v>74</v>
      </c>
      <c r="D296" s="46" t="s">
        <v>1732</v>
      </c>
      <c r="E296" s="15" t="s">
        <v>192</v>
      </c>
      <c r="F296" s="46">
        <v>1</v>
      </c>
      <c r="H296" s="45" t="s">
        <v>193</v>
      </c>
      <c r="I296" s="15" t="s">
        <v>194</v>
      </c>
      <c r="J296" s="15" t="s">
        <v>1955</v>
      </c>
      <c r="K296" s="15" t="s">
        <v>747</v>
      </c>
      <c r="L296" s="47" t="s">
        <v>246</v>
      </c>
      <c r="M296" s="47" t="str">
        <f t="shared" si="4"/>
        <v>142004</v>
      </c>
      <c r="O296" s="65">
        <v>230</v>
      </c>
      <c r="P296" s="15"/>
    </row>
    <row r="297" spans="1:16" x14ac:dyDescent="0.25">
      <c r="A297" s="15" t="s">
        <v>446</v>
      </c>
      <c r="B297" s="15" t="s">
        <v>2077</v>
      </c>
      <c r="C297" s="49" t="s">
        <v>74</v>
      </c>
      <c r="D297" s="46" t="s">
        <v>1732</v>
      </c>
      <c r="E297" s="15" t="s">
        <v>192</v>
      </c>
      <c r="F297" s="46">
        <v>1</v>
      </c>
      <c r="H297" s="45" t="s">
        <v>193</v>
      </c>
      <c r="I297" s="15" t="s">
        <v>194</v>
      </c>
      <c r="J297" s="15" t="s">
        <v>1955</v>
      </c>
      <c r="K297" s="15" t="s">
        <v>259</v>
      </c>
      <c r="L297" s="47" t="s">
        <v>246</v>
      </c>
      <c r="M297" s="47" t="str">
        <f t="shared" si="4"/>
        <v>142004</v>
      </c>
      <c r="O297" s="65">
        <v>1</v>
      </c>
      <c r="P297" s="15"/>
    </row>
    <row r="298" spans="1:16" s="42" customFormat="1" ht="14.25" x14ac:dyDescent="0.2">
      <c r="C298" s="42" t="s">
        <v>150</v>
      </c>
      <c r="D298" s="43"/>
      <c r="F298" s="43"/>
      <c r="G298" s="43">
        <f>SUM(F299)</f>
        <v>1</v>
      </c>
      <c r="L298" s="44"/>
      <c r="M298" s="44" t="str">
        <f t="shared" si="4"/>
        <v/>
      </c>
      <c r="N298" s="44"/>
      <c r="O298" s="43"/>
    </row>
    <row r="299" spans="1:16" x14ac:dyDescent="0.25">
      <c r="A299" s="15" t="s">
        <v>324</v>
      </c>
      <c r="B299" s="15" t="s">
        <v>1681</v>
      </c>
      <c r="C299" s="45" t="s">
        <v>150</v>
      </c>
      <c r="D299" s="46" t="s">
        <v>1761</v>
      </c>
      <c r="E299" s="15" t="s">
        <v>192</v>
      </c>
      <c r="F299" s="46">
        <v>1</v>
      </c>
      <c r="H299" s="45" t="s">
        <v>193</v>
      </c>
      <c r="I299" s="15" t="s">
        <v>194</v>
      </c>
      <c r="J299" s="15" t="s">
        <v>1732</v>
      </c>
      <c r="K299" s="15" t="s">
        <v>276</v>
      </c>
      <c r="L299" s="47" t="s">
        <v>1274</v>
      </c>
      <c r="M299" s="47" t="str">
        <f t="shared" si="4"/>
        <v>132105</v>
      </c>
      <c r="O299" s="65">
        <v>2</v>
      </c>
      <c r="P299" s="15"/>
    </row>
    <row r="300" spans="1:16" s="42" customFormat="1" ht="14.25" x14ac:dyDescent="0.2">
      <c r="C300" s="42" t="s">
        <v>92</v>
      </c>
      <c r="D300" s="43"/>
      <c r="F300" s="43"/>
      <c r="G300" s="43">
        <f>SUM(F301)</f>
        <v>1</v>
      </c>
      <c r="L300" s="44"/>
      <c r="M300" s="44" t="str">
        <f t="shared" si="4"/>
        <v/>
      </c>
      <c r="N300" s="44"/>
      <c r="O300" s="43"/>
    </row>
    <row r="301" spans="1:16" x14ac:dyDescent="0.25">
      <c r="A301" s="15" t="s">
        <v>694</v>
      </c>
      <c r="B301" s="15" t="s">
        <v>695</v>
      </c>
      <c r="C301" s="45" t="s">
        <v>92</v>
      </c>
      <c r="D301" s="46" t="s">
        <v>1803</v>
      </c>
      <c r="E301" s="15" t="s">
        <v>192</v>
      </c>
      <c r="F301" s="46">
        <v>1</v>
      </c>
      <c r="H301" s="45" t="s">
        <v>193</v>
      </c>
      <c r="I301" s="15" t="s">
        <v>194</v>
      </c>
      <c r="J301" s="15" t="s">
        <v>1764</v>
      </c>
      <c r="K301" s="15" t="s">
        <v>253</v>
      </c>
      <c r="L301" s="47" t="s">
        <v>2078</v>
      </c>
      <c r="M301" s="47" t="str">
        <f t="shared" si="4"/>
        <v>351201</v>
      </c>
      <c r="O301" s="65">
        <v>3</v>
      </c>
      <c r="P301" s="15"/>
    </row>
    <row r="302" spans="1:16" s="42" customFormat="1" ht="14.25" x14ac:dyDescent="0.2">
      <c r="C302" s="42" t="s">
        <v>109</v>
      </c>
      <c r="D302" s="43"/>
      <c r="F302" s="43"/>
      <c r="G302" s="43">
        <f>SUM(F303)</f>
        <v>1</v>
      </c>
      <c r="L302" s="44"/>
      <c r="M302" s="44" t="str">
        <f t="shared" si="4"/>
        <v/>
      </c>
      <c r="N302" s="44"/>
      <c r="O302" s="43"/>
    </row>
    <row r="303" spans="1:16" x14ac:dyDescent="0.25">
      <c r="A303" s="15" t="s">
        <v>2079</v>
      </c>
      <c r="B303" s="15" t="s">
        <v>2080</v>
      </c>
      <c r="C303" s="45" t="s">
        <v>109</v>
      </c>
      <c r="D303" s="46" t="s">
        <v>1736</v>
      </c>
      <c r="E303" s="15" t="s">
        <v>233</v>
      </c>
      <c r="F303" s="46">
        <v>1</v>
      </c>
      <c r="H303" s="45" t="s">
        <v>193</v>
      </c>
      <c r="I303" s="15" t="s">
        <v>194</v>
      </c>
      <c r="J303" s="15" t="s">
        <v>1746</v>
      </c>
      <c r="K303" s="15" t="s">
        <v>385</v>
      </c>
      <c r="L303" s="47" t="s">
        <v>2081</v>
      </c>
      <c r="M303" s="47" t="str">
        <f t="shared" si="4"/>
        <v>265107</v>
      </c>
      <c r="O303" s="65">
        <v>4</v>
      </c>
      <c r="P303" s="15"/>
    </row>
    <row r="304" spans="1:16" s="42" customFormat="1" ht="14.25" x14ac:dyDescent="0.2">
      <c r="C304" s="42" t="s">
        <v>128</v>
      </c>
      <c r="D304" s="43"/>
      <c r="F304" s="43"/>
      <c r="G304" s="43">
        <f>SUM(F305:F306)</f>
        <v>2</v>
      </c>
      <c r="L304" s="44"/>
      <c r="M304" s="44" t="str">
        <f t="shared" si="4"/>
        <v/>
      </c>
      <c r="N304" s="44"/>
      <c r="O304" s="43"/>
    </row>
    <row r="305" spans="1:16" x14ac:dyDescent="0.25">
      <c r="A305" s="15" t="s">
        <v>2082</v>
      </c>
      <c r="B305" s="15" t="s">
        <v>2083</v>
      </c>
      <c r="C305" s="45" t="s">
        <v>128</v>
      </c>
      <c r="D305" s="46" t="s">
        <v>1779</v>
      </c>
      <c r="E305" s="15" t="s">
        <v>192</v>
      </c>
      <c r="F305" s="46">
        <v>1</v>
      </c>
      <c r="H305" s="45" t="s">
        <v>193</v>
      </c>
      <c r="I305" s="15" t="s">
        <v>194</v>
      </c>
      <c r="J305" s="15" t="s">
        <v>1776</v>
      </c>
      <c r="K305" s="15" t="s">
        <v>210</v>
      </c>
      <c r="L305" s="47" t="s">
        <v>2084</v>
      </c>
      <c r="M305" s="47" t="str">
        <f t="shared" si="4"/>
        <v>524302</v>
      </c>
      <c r="O305" s="65">
        <v>5</v>
      </c>
      <c r="P305" s="15"/>
    </row>
    <row r="306" spans="1:16" x14ac:dyDescent="0.25">
      <c r="A306" s="15" t="s">
        <v>751</v>
      </c>
      <c r="B306" s="15" t="s">
        <v>752</v>
      </c>
      <c r="C306" s="45" t="s">
        <v>128</v>
      </c>
      <c r="D306" s="46" t="s">
        <v>1736</v>
      </c>
      <c r="E306" s="15" t="s">
        <v>233</v>
      </c>
      <c r="F306" s="46">
        <v>1</v>
      </c>
      <c r="H306" s="45" t="s">
        <v>193</v>
      </c>
      <c r="I306" s="15" t="s">
        <v>194</v>
      </c>
      <c r="J306" s="15" t="s">
        <v>1836</v>
      </c>
      <c r="K306" s="15" t="s">
        <v>1016</v>
      </c>
      <c r="L306" s="47" t="s">
        <v>2084</v>
      </c>
      <c r="M306" s="47" t="str">
        <f t="shared" si="4"/>
        <v>524302</v>
      </c>
      <c r="O306" s="65">
        <v>6</v>
      </c>
      <c r="P306" s="15"/>
    </row>
    <row r="307" spans="1:16" s="42" customFormat="1" ht="14.25" x14ac:dyDescent="0.2">
      <c r="C307" s="42" t="s">
        <v>97</v>
      </c>
      <c r="D307" s="43"/>
      <c r="F307" s="43"/>
      <c r="G307" s="43">
        <f>SUM(F308)</f>
        <v>1</v>
      </c>
      <c r="L307" s="44"/>
      <c r="M307" s="44" t="str">
        <f t="shared" si="4"/>
        <v/>
      </c>
      <c r="N307" s="44"/>
      <c r="O307" s="43"/>
    </row>
    <row r="308" spans="1:16" x14ac:dyDescent="0.25">
      <c r="A308" s="15" t="s">
        <v>493</v>
      </c>
      <c r="B308" s="15" t="s">
        <v>2085</v>
      </c>
      <c r="C308" s="45" t="s">
        <v>97</v>
      </c>
      <c r="D308" s="46" t="s">
        <v>1728</v>
      </c>
      <c r="E308" s="15" t="s">
        <v>192</v>
      </c>
      <c r="F308" s="46">
        <v>1</v>
      </c>
      <c r="H308" s="45" t="s">
        <v>193</v>
      </c>
      <c r="I308" s="15" t="s">
        <v>194</v>
      </c>
      <c r="J308" s="15" t="s">
        <v>1754</v>
      </c>
      <c r="K308" s="15" t="s">
        <v>210</v>
      </c>
      <c r="L308" s="47" t="s">
        <v>2086</v>
      </c>
      <c r="M308" s="47" t="str">
        <f t="shared" si="4"/>
        <v>251102</v>
      </c>
      <c r="O308" s="65">
        <v>7</v>
      </c>
      <c r="P308" s="15"/>
    </row>
    <row r="309" spans="1:16" s="42" customFormat="1" ht="14.25" x14ac:dyDescent="0.2">
      <c r="C309" s="42" t="s">
        <v>66</v>
      </c>
      <c r="D309" s="43"/>
      <c r="F309" s="43"/>
      <c r="G309" s="43">
        <f>SUM(F310)</f>
        <v>1</v>
      </c>
      <c r="L309" s="44"/>
      <c r="M309" s="44" t="str">
        <f t="shared" si="4"/>
        <v/>
      </c>
      <c r="N309" s="44"/>
      <c r="O309" s="43"/>
    </row>
    <row r="310" spans="1:16" x14ac:dyDescent="0.25">
      <c r="A310" s="15" t="s">
        <v>800</v>
      </c>
      <c r="B310" s="15" t="s">
        <v>2087</v>
      </c>
      <c r="C310" s="45" t="s">
        <v>66</v>
      </c>
      <c r="D310" s="46" t="s">
        <v>1731</v>
      </c>
      <c r="E310" s="15" t="s">
        <v>192</v>
      </c>
      <c r="F310" s="46">
        <v>1</v>
      </c>
      <c r="H310" s="45" t="s">
        <v>193</v>
      </c>
      <c r="I310" s="15" t="s">
        <v>194</v>
      </c>
      <c r="J310" s="15" t="s">
        <v>1732</v>
      </c>
      <c r="K310" s="15" t="s">
        <v>473</v>
      </c>
      <c r="L310" s="47" t="s">
        <v>1503</v>
      </c>
      <c r="M310" s="47" t="str">
        <f t="shared" si="4"/>
        <v>241107</v>
      </c>
      <c r="O310" s="65">
        <v>9</v>
      </c>
      <c r="P310" s="15"/>
    </row>
    <row r="311" spans="1:16" s="42" customFormat="1" ht="14.25" x14ac:dyDescent="0.2">
      <c r="C311" s="42" t="s">
        <v>124</v>
      </c>
      <c r="D311" s="43"/>
      <c r="F311" s="43"/>
      <c r="G311" s="43">
        <f>SUM(F312:F313)</f>
        <v>2</v>
      </c>
      <c r="L311" s="44"/>
      <c r="M311" s="44" t="str">
        <f t="shared" si="4"/>
        <v/>
      </c>
      <c r="N311" s="44"/>
      <c r="O311" s="43"/>
    </row>
    <row r="312" spans="1:16" x14ac:dyDescent="0.25">
      <c r="A312" s="15" t="s">
        <v>558</v>
      </c>
      <c r="B312" s="15" t="s">
        <v>2088</v>
      </c>
      <c r="C312" s="45" t="s">
        <v>2089</v>
      </c>
      <c r="D312" s="46" t="s">
        <v>1740</v>
      </c>
      <c r="E312" s="15" t="s">
        <v>192</v>
      </c>
      <c r="F312" s="46">
        <v>1</v>
      </c>
      <c r="H312" s="45" t="s">
        <v>193</v>
      </c>
      <c r="I312" s="15" t="s">
        <v>194</v>
      </c>
      <c r="J312" s="15" t="s">
        <v>1915</v>
      </c>
      <c r="K312" s="15" t="s">
        <v>210</v>
      </c>
      <c r="L312" s="47" t="s">
        <v>2090</v>
      </c>
      <c r="M312" s="47" t="str">
        <f t="shared" si="4"/>
        <v>311902</v>
      </c>
      <c r="O312" s="65">
        <v>240</v>
      </c>
      <c r="P312" s="15"/>
    </row>
    <row r="313" spans="1:16" x14ac:dyDescent="0.25">
      <c r="A313" s="15" t="s">
        <v>2091</v>
      </c>
      <c r="B313" s="15" t="s">
        <v>553</v>
      </c>
      <c r="C313" s="45" t="s">
        <v>583</v>
      </c>
      <c r="D313" s="46" t="s">
        <v>1803</v>
      </c>
      <c r="E313" s="15" t="s">
        <v>233</v>
      </c>
      <c r="F313" s="46">
        <v>1</v>
      </c>
      <c r="H313" s="45" t="s">
        <v>193</v>
      </c>
      <c r="I313" s="15" t="s">
        <v>194</v>
      </c>
      <c r="J313" s="15" t="s">
        <v>1759</v>
      </c>
      <c r="K313" s="15" t="s">
        <v>2092</v>
      </c>
      <c r="L313" s="47" t="s">
        <v>584</v>
      </c>
      <c r="M313" s="47" t="str">
        <f t="shared" si="4"/>
        <v>311937</v>
      </c>
      <c r="O313" s="65">
        <v>1</v>
      </c>
      <c r="P313" s="15"/>
    </row>
    <row r="314" spans="1:16" s="42" customFormat="1" ht="14.25" x14ac:dyDescent="0.2">
      <c r="C314" s="42" t="s">
        <v>25</v>
      </c>
      <c r="D314" s="43"/>
      <c r="F314" s="43"/>
      <c r="G314" s="43">
        <f>SUM(F315:F316)</f>
        <v>2</v>
      </c>
      <c r="L314" s="44"/>
      <c r="M314" s="44" t="str">
        <f t="shared" si="4"/>
        <v/>
      </c>
      <c r="N314" s="44"/>
      <c r="O314" s="43"/>
    </row>
    <row r="315" spans="1:16" x14ac:dyDescent="0.25">
      <c r="A315" s="15" t="s">
        <v>2093</v>
      </c>
      <c r="B315" s="15" t="s">
        <v>2094</v>
      </c>
      <c r="C315" s="45" t="s">
        <v>25</v>
      </c>
      <c r="D315" s="46" t="s">
        <v>1803</v>
      </c>
      <c r="E315" s="15" t="s">
        <v>233</v>
      </c>
      <c r="F315" s="46">
        <v>1</v>
      </c>
      <c r="H315" s="45" t="s">
        <v>193</v>
      </c>
      <c r="I315" s="15" t="s">
        <v>194</v>
      </c>
      <c r="J315" s="15" t="s">
        <v>1915</v>
      </c>
      <c r="K315" s="15" t="s">
        <v>210</v>
      </c>
      <c r="L315" s="47" t="s">
        <v>2095</v>
      </c>
      <c r="M315" s="47" t="str">
        <f t="shared" si="4"/>
        <v>335201</v>
      </c>
      <c r="O315" s="65">
        <v>2</v>
      </c>
      <c r="P315" s="15"/>
    </row>
    <row r="316" spans="1:16" x14ac:dyDescent="0.25">
      <c r="A316" s="15" t="s">
        <v>2093</v>
      </c>
      <c r="B316" s="15" t="s">
        <v>2096</v>
      </c>
      <c r="C316" s="45" t="s">
        <v>25</v>
      </c>
      <c r="D316" s="46" t="s">
        <v>1803</v>
      </c>
      <c r="E316" s="15" t="s">
        <v>233</v>
      </c>
      <c r="F316" s="46">
        <v>1</v>
      </c>
      <c r="H316" s="45" t="s">
        <v>193</v>
      </c>
      <c r="I316" s="15" t="s">
        <v>194</v>
      </c>
      <c r="J316" s="15" t="s">
        <v>1955</v>
      </c>
      <c r="K316" s="15" t="s">
        <v>210</v>
      </c>
      <c r="L316" s="47" t="s">
        <v>2095</v>
      </c>
      <c r="M316" s="47" t="str">
        <f t="shared" si="4"/>
        <v>335201</v>
      </c>
      <c r="O316" s="65">
        <v>3</v>
      </c>
      <c r="P316" s="15"/>
    </row>
    <row r="317" spans="1:16" s="42" customFormat="1" ht="14.25" x14ac:dyDescent="0.2">
      <c r="C317" s="42" t="s">
        <v>146</v>
      </c>
      <c r="D317" s="43"/>
      <c r="F317" s="43"/>
      <c r="G317" s="43">
        <f>SUM(F318:F319)</f>
        <v>2</v>
      </c>
      <c r="L317" s="44"/>
      <c r="M317" s="44" t="str">
        <f t="shared" si="4"/>
        <v/>
      </c>
      <c r="N317" s="44"/>
      <c r="O317" s="43"/>
    </row>
    <row r="318" spans="1:16" x14ac:dyDescent="0.25">
      <c r="A318" s="15" t="s">
        <v>2097</v>
      </c>
      <c r="B318" s="15" t="s">
        <v>2098</v>
      </c>
      <c r="C318" s="45" t="s">
        <v>2098</v>
      </c>
      <c r="D318" s="46" t="s">
        <v>1779</v>
      </c>
      <c r="E318" s="15" t="s">
        <v>192</v>
      </c>
      <c r="F318" s="46">
        <v>1</v>
      </c>
      <c r="H318" s="45" t="s">
        <v>193</v>
      </c>
      <c r="I318" s="15" t="s">
        <v>194</v>
      </c>
      <c r="J318" s="15" t="s">
        <v>1732</v>
      </c>
      <c r="K318" s="15" t="s">
        <v>210</v>
      </c>
      <c r="L318" s="47" t="s">
        <v>2099</v>
      </c>
      <c r="M318" s="47" t="str">
        <f t="shared" si="4"/>
        <v>229903</v>
      </c>
      <c r="O318" s="65">
        <v>4</v>
      </c>
      <c r="P318" s="15"/>
    </row>
    <row r="319" spans="1:16" x14ac:dyDescent="0.25">
      <c r="A319" s="15" t="s">
        <v>2100</v>
      </c>
      <c r="B319" s="15" t="s">
        <v>2101</v>
      </c>
      <c r="C319" s="45" t="s">
        <v>733</v>
      </c>
      <c r="D319" s="46" t="s">
        <v>1803</v>
      </c>
      <c r="E319" s="15" t="s">
        <v>233</v>
      </c>
      <c r="F319" s="46">
        <v>1</v>
      </c>
      <c r="H319" s="45" t="s">
        <v>193</v>
      </c>
      <c r="I319" s="15" t="s">
        <v>194</v>
      </c>
      <c r="J319" s="15" t="s">
        <v>1915</v>
      </c>
      <c r="K319" s="15" t="s">
        <v>210</v>
      </c>
      <c r="L319" s="47" t="s">
        <v>734</v>
      </c>
      <c r="M319" s="47" t="str">
        <f t="shared" si="4"/>
        <v>514202</v>
      </c>
      <c r="O319" s="65">
        <v>5</v>
      </c>
      <c r="P319" s="15"/>
    </row>
    <row r="320" spans="1:16" s="42" customFormat="1" ht="14.25" x14ac:dyDescent="0.2">
      <c r="C320" s="42" t="s">
        <v>63</v>
      </c>
      <c r="D320" s="43"/>
      <c r="F320" s="43"/>
      <c r="G320" s="43">
        <f>SUM(F321)</f>
        <v>1</v>
      </c>
      <c r="L320" s="44"/>
      <c r="M320" s="44" t="str">
        <f t="shared" si="4"/>
        <v/>
      </c>
      <c r="N320" s="44"/>
      <c r="O320" s="43"/>
    </row>
    <row r="321" spans="1:16" x14ac:dyDescent="0.25">
      <c r="A321" s="15" t="s">
        <v>2102</v>
      </c>
      <c r="B321" s="15" t="s">
        <v>2103</v>
      </c>
      <c r="C321" s="45" t="s">
        <v>63</v>
      </c>
      <c r="D321" s="46" t="s">
        <v>1740</v>
      </c>
      <c r="E321" s="15" t="s">
        <v>192</v>
      </c>
      <c r="F321" s="46">
        <v>1</v>
      </c>
      <c r="H321" s="45" t="s">
        <v>193</v>
      </c>
      <c r="I321" s="15" t="s">
        <v>194</v>
      </c>
      <c r="J321" s="15" t="s">
        <v>1762</v>
      </c>
      <c r="K321" s="15" t="s">
        <v>267</v>
      </c>
      <c r="L321" s="47" t="s">
        <v>2104</v>
      </c>
      <c r="M321" s="47" t="str">
        <f t="shared" si="4"/>
        <v>311201</v>
      </c>
      <c r="O321" s="65">
        <v>6</v>
      </c>
      <c r="P321" s="15"/>
    </row>
    <row r="322" spans="1:16" s="42" customFormat="1" ht="14.25" x14ac:dyDescent="0.2">
      <c r="C322" s="42" t="s">
        <v>36</v>
      </c>
      <c r="D322" s="43"/>
      <c r="F322" s="43"/>
      <c r="G322" s="43">
        <f>SUM(F323:F331)</f>
        <v>8</v>
      </c>
      <c r="L322" s="44"/>
      <c r="M322" s="44" t="str">
        <f t="shared" si="4"/>
        <v/>
      </c>
      <c r="N322" s="44"/>
      <c r="O322" s="43"/>
    </row>
    <row r="323" spans="1:16" x14ac:dyDescent="0.25">
      <c r="A323" s="15" t="s">
        <v>1446</v>
      </c>
      <c r="B323" s="15" t="s">
        <v>2105</v>
      </c>
      <c r="C323" s="48" t="s">
        <v>36</v>
      </c>
      <c r="D323" s="46" t="s">
        <v>1740</v>
      </c>
      <c r="E323" s="15" t="s">
        <v>192</v>
      </c>
      <c r="F323" s="46">
        <v>1</v>
      </c>
      <c r="H323" s="45" t="s">
        <v>193</v>
      </c>
      <c r="I323" s="15" t="s">
        <v>194</v>
      </c>
      <c r="J323" s="15" t="s">
        <v>1746</v>
      </c>
      <c r="K323" s="15" t="s">
        <v>672</v>
      </c>
      <c r="L323" s="47" t="s">
        <v>609</v>
      </c>
      <c r="M323" s="47" t="str">
        <f t="shared" si="4"/>
        <v>331301</v>
      </c>
      <c r="O323" s="65">
        <v>7</v>
      </c>
      <c r="P323" s="15"/>
    </row>
    <row r="324" spans="1:16" x14ac:dyDescent="0.25">
      <c r="A324" s="15" t="s">
        <v>2106</v>
      </c>
      <c r="B324" s="15" t="s">
        <v>1000</v>
      </c>
      <c r="C324" s="48" t="s">
        <v>36</v>
      </c>
      <c r="D324" s="46" t="s">
        <v>1803</v>
      </c>
      <c r="E324" s="15" t="s">
        <v>233</v>
      </c>
      <c r="F324" s="46">
        <v>1</v>
      </c>
      <c r="H324" s="45" t="s">
        <v>193</v>
      </c>
      <c r="I324" s="15" t="s">
        <v>194</v>
      </c>
      <c r="J324" s="15" t="s">
        <v>1746</v>
      </c>
      <c r="K324" s="15" t="s">
        <v>210</v>
      </c>
      <c r="L324" s="47" t="s">
        <v>609</v>
      </c>
      <c r="M324" s="47" t="str">
        <f t="shared" si="4"/>
        <v>331301</v>
      </c>
      <c r="O324" s="65">
        <v>8</v>
      </c>
      <c r="P324" s="15"/>
    </row>
    <row r="325" spans="1:16" x14ac:dyDescent="0.25">
      <c r="A325" s="15" t="s">
        <v>540</v>
      </c>
      <c r="B325" s="15" t="s">
        <v>2107</v>
      </c>
      <c r="C325" s="48" t="s">
        <v>36</v>
      </c>
      <c r="D325" s="46" t="s">
        <v>1761</v>
      </c>
      <c r="E325" s="15" t="s">
        <v>217</v>
      </c>
      <c r="F325" s="46">
        <v>1</v>
      </c>
      <c r="H325" s="45" t="s">
        <v>193</v>
      </c>
      <c r="I325" s="15" t="s">
        <v>194</v>
      </c>
      <c r="J325" s="15" t="s">
        <v>1762</v>
      </c>
      <c r="K325" s="15" t="s">
        <v>210</v>
      </c>
      <c r="L325" s="47" t="s">
        <v>609</v>
      </c>
      <c r="M325" s="47" t="str">
        <f t="shared" ref="M325:M388" si="5">MID(L325,8,6)</f>
        <v>331301</v>
      </c>
      <c r="O325" s="65">
        <v>9</v>
      </c>
      <c r="P325" s="15"/>
    </row>
    <row r="326" spans="1:16" x14ac:dyDescent="0.25">
      <c r="A326" s="15" t="s">
        <v>2108</v>
      </c>
      <c r="B326" s="15" t="s">
        <v>2107</v>
      </c>
      <c r="C326" s="48" t="s">
        <v>36</v>
      </c>
      <c r="D326" s="46" t="s">
        <v>1731</v>
      </c>
      <c r="E326" s="15" t="s">
        <v>192</v>
      </c>
      <c r="F326" s="46">
        <v>1</v>
      </c>
      <c r="H326" s="45" t="s">
        <v>193</v>
      </c>
      <c r="I326" s="15" t="s">
        <v>194</v>
      </c>
      <c r="J326" s="15" t="s">
        <v>1762</v>
      </c>
      <c r="K326" s="15" t="s">
        <v>210</v>
      </c>
      <c r="L326" s="47" t="s">
        <v>609</v>
      </c>
      <c r="M326" s="47" t="str">
        <f t="shared" si="5"/>
        <v>331301</v>
      </c>
      <c r="O326" s="65">
        <v>250</v>
      </c>
      <c r="P326" s="15"/>
    </row>
    <row r="327" spans="1:16" x14ac:dyDescent="0.25">
      <c r="A327" s="15" t="s">
        <v>1959</v>
      </c>
      <c r="B327" s="15" t="s">
        <v>2109</v>
      </c>
      <c r="C327" s="48" t="s">
        <v>36</v>
      </c>
      <c r="D327" s="46" t="s">
        <v>1779</v>
      </c>
      <c r="E327" s="15" t="s">
        <v>192</v>
      </c>
      <c r="F327" s="69">
        <v>0</v>
      </c>
      <c r="H327" s="68" t="s">
        <v>194</v>
      </c>
      <c r="I327" s="15" t="s">
        <v>193</v>
      </c>
      <c r="J327" s="15" t="s">
        <v>1762</v>
      </c>
      <c r="K327" s="15" t="s">
        <v>196</v>
      </c>
      <c r="L327" s="47" t="s">
        <v>609</v>
      </c>
      <c r="M327" s="47" t="str">
        <f t="shared" si="5"/>
        <v>331301</v>
      </c>
      <c r="O327" s="39" t="s">
        <v>3472</v>
      </c>
      <c r="P327" s="46">
        <v>4</v>
      </c>
    </row>
    <row r="328" spans="1:16" x14ac:dyDescent="0.25">
      <c r="A328" s="15" t="s">
        <v>2093</v>
      </c>
      <c r="B328" s="15" t="s">
        <v>2110</v>
      </c>
      <c r="C328" s="48" t="s">
        <v>36</v>
      </c>
      <c r="D328" s="46" t="s">
        <v>1731</v>
      </c>
      <c r="E328" s="15" t="s">
        <v>233</v>
      </c>
      <c r="F328" s="46">
        <v>1</v>
      </c>
      <c r="H328" s="45" t="s">
        <v>193</v>
      </c>
      <c r="I328" s="15" t="s">
        <v>194</v>
      </c>
      <c r="J328" s="15" t="s">
        <v>1762</v>
      </c>
      <c r="K328" s="15" t="s">
        <v>276</v>
      </c>
      <c r="L328" s="47" t="s">
        <v>609</v>
      </c>
      <c r="M328" s="47" t="str">
        <f t="shared" si="5"/>
        <v>331301</v>
      </c>
      <c r="O328" s="65">
        <v>1</v>
      </c>
      <c r="P328" s="15"/>
    </row>
    <row r="329" spans="1:16" x14ac:dyDescent="0.25">
      <c r="A329" s="15" t="s">
        <v>2093</v>
      </c>
      <c r="B329" s="15" t="s">
        <v>2110</v>
      </c>
      <c r="C329" s="48" t="s">
        <v>36</v>
      </c>
      <c r="D329" s="46" t="s">
        <v>1731</v>
      </c>
      <c r="E329" s="15" t="s">
        <v>233</v>
      </c>
      <c r="F329" s="46">
        <v>1</v>
      </c>
      <c r="H329" s="45" t="s">
        <v>193</v>
      </c>
      <c r="I329" s="15" t="s">
        <v>194</v>
      </c>
      <c r="J329" s="15" t="s">
        <v>1762</v>
      </c>
      <c r="K329" s="15" t="s">
        <v>223</v>
      </c>
      <c r="L329" s="47" t="s">
        <v>609</v>
      </c>
      <c r="M329" s="47" t="str">
        <f t="shared" si="5"/>
        <v>331301</v>
      </c>
      <c r="O329" s="65">
        <v>2</v>
      </c>
      <c r="P329" s="15"/>
    </row>
    <row r="330" spans="1:16" x14ac:dyDescent="0.25">
      <c r="A330" s="15" t="s">
        <v>890</v>
      </c>
      <c r="B330" s="15" t="s">
        <v>2111</v>
      </c>
      <c r="C330" s="48" t="s">
        <v>36</v>
      </c>
      <c r="D330" s="46" t="s">
        <v>1732</v>
      </c>
      <c r="E330" s="15" t="s">
        <v>192</v>
      </c>
      <c r="F330" s="46">
        <v>1</v>
      </c>
      <c r="H330" s="45" t="s">
        <v>193</v>
      </c>
      <c r="I330" s="15" t="s">
        <v>194</v>
      </c>
      <c r="J330" s="15" t="s">
        <v>1955</v>
      </c>
      <c r="K330" s="15" t="s">
        <v>210</v>
      </c>
      <c r="L330" s="47" t="s">
        <v>609</v>
      </c>
      <c r="M330" s="47" t="str">
        <f t="shared" si="5"/>
        <v>331301</v>
      </c>
      <c r="O330" s="65">
        <v>3</v>
      </c>
      <c r="P330" s="15"/>
    </row>
    <row r="331" spans="1:16" x14ac:dyDescent="0.25">
      <c r="A331" s="15" t="s">
        <v>2093</v>
      </c>
      <c r="B331" s="15" t="s">
        <v>2112</v>
      </c>
      <c r="C331" s="48" t="s">
        <v>36</v>
      </c>
      <c r="D331" s="46" t="s">
        <v>1745</v>
      </c>
      <c r="E331" s="15" t="s">
        <v>233</v>
      </c>
      <c r="F331" s="46">
        <v>1</v>
      </c>
      <c r="H331" s="45" t="s">
        <v>193</v>
      </c>
      <c r="I331" s="15" t="s">
        <v>194</v>
      </c>
      <c r="J331" s="15" t="s">
        <v>1955</v>
      </c>
      <c r="K331" s="15" t="s">
        <v>210</v>
      </c>
      <c r="L331" s="47" t="s">
        <v>609</v>
      </c>
      <c r="M331" s="47" t="str">
        <f t="shared" si="5"/>
        <v>331301</v>
      </c>
      <c r="O331" s="65">
        <v>4</v>
      </c>
      <c r="P331" s="15"/>
    </row>
    <row r="332" spans="1:16" s="42" customFormat="1" ht="14.25" x14ac:dyDescent="0.2">
      <c r="C332" s="42" t="s">
        <v>149</v>
      </c>
      <c r="D332" s="43"/>
      <c r="F332" s="43"/>
      <c r="G332" s="43">
        <f>SUM(F333)</f>
        <v>1</v>
      </c>
      <c r="L332" s="44"/>
      <c r="M332" s="44" t="str">
        <f t="shared" si="5"/>
        <v/>
      </c>
      <c r="N332" s="44"/>
      <c r="O332" s="43"/>
    </row>
    <row r="333" spans="1:16" x14ac:dyDescent="0.25">
      <c r="A333" s="15" t="s">
        <v>2003</v>
      </c>
      <c r="B333" s="15" t="s">
        <v>2113</v>
      </c>
      <c r="C333" s="45" t="s">
        <v>727</v>
      </c>
      <c r="D333" s="46" t="s">
        <v>1736</v>
      </c>
      <c r="E333" s="15" t="s">
        <v>192</v>
      </c>
      <c r="F333" s="46">
        <v>1</v>
      </c>
      <c r="H333" s="45" t="s">
        <v>193</v>
      </c>
      <c r="I333" s="15" t="s">
        <v>194</v>
      </c>
      <c r="J333" s="15" t="s">
        <v>1836</v>
      </c>
      <c r="K333" s="15" t="s">
        <v>210</v>
      </c>
      <c r="L333" s="47" t="s">
        <v>728</v>
      </c>
      <c r="M333" s="47" t="str">
        <f t="shared" si="5"/>
        <v>512001</v>
      </c>
      <c r="O333" s="65">
        <v>5</v>
      </c>
      <c r="P333" s="15"/>
    </row>
    <row r="334" spans="1:16" s="42" customFormat="1" ht="14.25" x14ac:dyDescent="0.2">
      <c r="C334" s="42" t="s">
        <v>162</v>
      </c>
      <c r="D334" s="43"/>
      <c r="F334" s="43"/>
      <c r="G334" s="43">
        <f>SUM(F335)</f>
        <v>1</v>
      </c>
      <c r="L334" s="44"/>
      <c r="M334" s="44" t="str">
        <f t="shared" si="5"/>
        <v/>
      </c>
      <c r="N334" s="44"/>
      <c r="O334" s="43"/>
    </row>
    <row r="335" spans="1:16" x14ac:dyDescent="0.25">
      <c r="A335" s="15" t="s">
        <v>271</v>
      </c>
      <c r="B335" s="15" t="s">
        <v>2114</v>
      </c>
      <c r="C335" s="45" t="s">
        <v>162</v>
      </c>
      <c r="D335" s="46" t="s">
        <v>1728</v>
      </c>
      <c r="E335" s="15" t="s">
        <v>192</v>
      </c>
      <c r="F335" s="46">
        <v>1</v>
      </c>
      <c r="H335" s="45" t="s">
        <v>193</v>
      </c>
      <c r="I335" s="15" t="s">
        <v>194</v>
      </c>
      <c r="J335" s="15" t="s">
        <v>1754</v>
      </c>
      <c r="K335" s="15" t="s">
        <v>276</v>
      </c>
      <c r="L335" s="47" t="s">
        <v>2115</v>
      </c>
      <c r="M335" s="47" t="str">
        <f t="shared" si="5"/>
        <v>311101</v>
      </c>
      <c r="O335" s="65">
        <v>6</v>
      </c>
      <c r="P335" s="15"/>
    </row>
    <row r="336" spans="1:16" s="42" customFormat="1" ht="14.25" x14ac:dyDescent="0.2">
      <c r="C336" s="42" t="s">
        <v>108</v>
      </c>
      <c r="D336" s="43"/>
      <c r="F336" s="43"/>
      <c r="G336" s="43">
        <f>SUM(F337:F339)</f>
        <v>3</v>
      </c>
      <c r="L336" s="44"/>
      <c r="M336" s="44" t="str">
        <f t="shared" si="5"/>
        <v/>
      </c>
      <c r="N336" s="44"/>
      <c r="O336" s="43"/>
    </row>
    <row r="337" spans="1:16" x14ac:dyDescent="0.25">
      <c r="A337" s="15" t="s">
        <v>796</v>
      </c>
      <c r="B337" s="15" t="s">
        <v>2116</v>
      </c>
      <c r="C337" s="45" t="s">
        <v>2116</v>
      </c>
      <c r="D337" s="46" t="s">
        <v>1731</v>
      </c>
      <c r="E337" s="15" t="s">
        <v>233</v>
      </c>
      <c r="F337" s="46">
        <v>1</v>
      </c>
      <c r="H337" s="45" t="s">
        <v>193</v>
      </c>
      <c r="I337" s="15" t="s">
        <v>194</v>
      </c>
      <c r="J337" s="15" t="s">
        <v>1732</v>
      </c>
      <c r="K337" s="15" t="s">
        <v>253</v>
      </c>
      <c r="L337" s="47" t="s">
        <v>2117</v>
      </c>
      <c r="M337" s="47" t="str">
        <f t="shared" si="5"/>
        <v>713202</v>
      </c>
      <c r="O337" s="65">
        <v>7</v>
      </c>
      <c r="P337" s="15"/>
    </row>
    <row r="338" spans="1:16" x14ac:dyDescent="0.25">
      <c r="A338" s="15" t="s">
        <v>2118</v>
      </c>
      <c r="B338" s="15" t="s">
        <v>1378</v>
      </c>
      <c r="C338" s="45" t="s">
        <v>1379</v>
      </c>
      <c r="D338" s="46" t="s">
        <v>1731</v>
      </c>
      <c r="E338" s="15" t="s">
        <v>192</v>
      </c>
      <c r="F338" s="46">
        <v>1</v>
      </c>
      <c r="H338" s="45" t="s">
        <v>193</v>
      </c>
      <c r="I338" s="15" t="s">
        <v>194</v>
      </c>
      <c r="J338" s="15" t="s">
        <v>1732</v>
      </c>
      <c r="K338" s="15" t="s">
        <v>238</v>
      </c>
      <c r="L338" s="47" t="s">
        <v>1380</v>
      </c>
      <c r="M338" s="47" t="str">
        <f t="shared" si="5"/>
        <v>713201</v>
      </c>
      <c r="O338" s="65">
        <v>8</v>
      </c>
      <c r="P338" s="15"/>
    </row>
    <row r="339" spans="1:16" x14ac:dyDescent="0.25">
      <c r="A339" s="15" t="s">
        <v>1801</v>
      </c>
      <c r="B339" s="15" t="s">
        <v>2119</v>
      </c>
      <c r="C339" s="45" t="s">
        <v>1379</v>
      </c>
      <c r="D339" s="46" t="s">
        <v>1803</v>
      </c>
      <c r="E339" s="15" t="s">
        <v>192</v>
      </c>
      <c r="F339" s="46">
        <v>1</v>
      </c>
      <c r="H339" s="45" t="s">
        <v>193</v>
      </c>
      <c r="I339" s="15" t="s">
        <v>194</v>
      </c>
      <c r="J339" s="15" t="s">
        <v>1729</v>
      </c>
      <c r="K339" s="15" t="s">
        <v>575</v>
      </c>
      <c r="L339" s="47" t="s">
        <v>1380</v>
      </c>
      <c r="M339" s="47" t="str">
        <f t="shared" si="5"/>
        <v>713201</v>
      </c>
      <c r="O339" s="65">
        <v>9</v>
      </c>
      <c r="P339" s="15"/>
    </row>
    <row r="340" spans="1:16" s="42" customFormat="1" ht="14.25" x14ac:dyDescent="0.2">
      <c r="C340" s="42" t="s">
        <v>40</v>
      </c>
      <c r="D340" s="43"/>
      <c r="F340" s="43"/>
      <c r="G340" s="43">
        <f>SUM(F341)</f>
        <v>1</v>
      </c>
      <c r="L340" s="44"/>
      <c r="M340" s="44" t="str">
        <f t="shared" si="5"/>
        <v/>
      </c>
      <c r="N340" s="44"/>
      <c r="O340" s="43"/>
    </row>
    <row r="341" spans="1:16" x14ac:dyDescent="0.25">
      <c r="A341" s="15" t="s">
        <v>2120</v>
      </c>
      <c r="B341" s="15" t="s">
        <v>2121</v>
      </c>
      <c r="C341" s="45" t="s">
        <v>40</v>
      </c>
      <c r="D341" s="46" t="s">
        <v>1731</v>
      </c>
      <c r="E341" s="15" t="s">
        <v>192</v>
      </c>
      <c r="F341" s="46">
        <v>1</v>
      </c>
      <c r="H341" s="45" t="s">
        <v>193</v>
      </c>
      <c r="I341" s="15" t="s">
        <v>194</v>
      </c>
      <c r="J341" s="15" t="s">
        <v>1734</v>
      </c>
      <c r="K341" s="15" t="s">
        <v>253</v>
      </c>
      <c r="L341" s="47" t="s">
        <v>2122</v>
      </c>
      <c r="M341" s="47" t="str">
        <f t="shared" si="5"/>
        <v>226206</v>
      </c>
      <c r="O341" s="65">
        <v>260</v>
      </c>
      <c r="P341" s="15"/>
    </row>
    <row r="342" spans="1:16" s="42" customFormat="1" ht="14.25" x14ac:dyDescent="0.2">
      <c r="C342" s="42" t="s">
        <v>13</v>
      </c>
      <c r="D342" s="43"/>
      <c r="F342" s="43"/>
      <c r="G342" s="43">
        <f>SUM(F343:F346)</f>
        <v>4</v>
      </c>
      <c r="L342" s="44"/>
      <c r="M342" s="44" t="str">
        <f t="shared" si="5"/>
        <v/>
      </c>
      <c r="N342" s="44"/>
      <c r="O342" s="43"/>
    </row>
    <row r="343" spans="1:16" x14ac:dyDescent="0.25">
      <c r="A343" s="15" t="s">
        <v>2123</v>
      </c>
      <c r="B343" s="15" t="s">
        <v>2124</v>
      </c>
      <c r="C343" s="45" t="s">
        <v>13</v>
      </c>
      <c r="D343" s="46" t="s">
        <v>1728</v>
      </c>
      <c r="E343" s="15" t="s">
        <v>233</v>
      </c>
      <c r="F343" s="46">
        <v>1</v>
      </c>
      <c r="H343" s="45" t="s">
        <v>193</v>
      </c>
      <c r="I343" s="15" t="s">
        <v>194</v>
      </c>
      <c r="J343" s="15" t="s">
        <v>1746</v>
      </c>
      <c r="K343" s="15" t="s">
        <v>210</v>
      </c>
      <c r="L343" s="47" t="s">
        <v>2125</v>
      </c>
      <c r="M343" s="47" t="str">
        <f t="shared" si="5"/>
        <v>225101</v>
      </c>
      <c r="O343" s="65">
        <v>1</v>
      </c>
      <c r="P343" s="15"/>
    </row>
    <row r="344" spans="1:16" x14ac:dyDescent="0.25">
      <c r="A344" s="15" t="s">
        <v>2126</v>
      </c>
      <c r="B344" s="15" t="s">
        <v>2124</v>
      </c>
      <c r="C344" s="45" t="s">
        <v>13</v>
      </c>
      <c r="D344" s="46" t="s">
        <v>1740</v>
      </c>
      <c r="E344" s="15" t="s">
        <v>233</v>
      </c>
      <c r="F344" s="46">
        <v>1</v>
      </c>
      <c r="H344" s="45" t="s">
        <v>193</v>
      </c>
      <c r="I344" s="15" t="s">
        <v>194</v>
      </c>
      <c r="J344" s="15" t="s">
        <v>1746</v>
      </c>
      <c r="K344" s="15" t="s">
        <v>367</v>
      </c>
      <c r="L344" s="47" t="s">
        <v>2125</v>
      </c>
      <c r="M344" s="47" t="str">
        <f t="shared" si="5"/>
        <v>225101</v>
      </c>
      <c r="O344" s="65">
        <v>2</v>
      </c>
      <c r="P344" s="15"/>
    </row>
    <row r="345" spans="1:16" x14ac:dyDescent="0.25">
      <c r="A345" s="15" t="s">
        <v>2126</v>
      </c>
      <c r="B345" s="15" t="s">
        <v>2124</v>
      </c>
      <c r="C345" s="45" t="s">
        <v>2127</v>
      </c>
      <c r="D345" s="46" t="s">
        <v>1736</v>
      </c>
      <c r="E345" s="15" t="s">
        <v>233</v>
      </c>
      <c r="F345" s="46">
        <v>1</v>
      </c>
      <c r="H345" s="45" t="s">
        <v>193</v>
      </c>
      <c r="I345" s="15" t="s">
        <v>194</v>
      </c>
      <c r="J345" s="15" t="s">
        <v>1737</v>
      </c>
      <c r="K345" s="15" t="s">
        <v>367</v>
      </c>
      <c r="L345" s="47" t="s">
        <v>2128</v>
      </c>
      <c r="M345" s="47" t="str">
        <f t="shared" si="5"/>
        <v>225211</v>
      </c>
      <c r="O345" s="65">
        <v>3</v>
      </c>
      <c r="P345" s="15"/>
    </row>
    <row r="346" spans="1:16" x14ac:dyDescent="0.25">
      <c r="A346" s="15" t="s">
        <v>2129</v>
      </c>
      <c r="B346" s="15" t="s">
        <v>2130</v>
      </c>
      <c r="C346" s="45" t="s">
        <v>2127</v>
      </c>
      <c r="D346" s="46" t="s">
        <v>1736</v>
      </c>
      <c r="E346" s="15" t="s">
        <v>233</v>
      </c>
      <c r="F346" s="46">
        <v>1</v>
      </c>
      <c r="H346" s="45" t="s">
        <v>193</v>
      </c>
      <c r="I346" s="15" t="s">
        <v>194</v>
      </c>
      <c r="J346" s="15" t="s">
        <v>1737</v>
      </c>
      <c r="K346" s="15" t="s">
        <v>2131</v>
      </c>
      <c r="L346" s="47" t="s">
        <v>2128</v>
      </c>
      <c r="M346" s="47" t="str">
        <f t="shared" si="5"/>
        <v>225211</v>
      </c>
      <c r="O346" s="65">
        <v>4</v>
      </c>
      <c r="P346" s="15"/>
    </row>
    <row r="347" spans="1:16" s="42" customFormat="1" ht="14.25" x14ac:dyDescent="0.2">
      <c r="C347" s="42" t="s">
        <v>49</v>
      </c>
      <c r="D347" s="43"/>
      <c r="F347" s="43"/>
      <c r="G347" s="43">
        <f>SUM(F348)</f>
        <v>1</v>
      </c>
      <c r="L347" s="44"/>
      <c r="M347" s="44" t="str">
        <f t="shared" si="5"/>
        <v/>
      </c>
      <c r="N347" s="44"/>
      <c r="O347" s="43"/>
    </row>
    <row r="348" spans="1:16" x14ac:dyDescent="0.25">
      <c r="A348" s="15" t="s">
        <v>1001</v>
      </c>
      <c r="B348" s="15" t="s">
        <v>49</v>
      </c>
      <c r="C348" s="45" t="s">
        <v>396</v>
      </c>
      <c r="D348" s="46" t="s">
        <v>1736</v>
      </c>
      <c r="E348" s="15" t="s">
        <v>192</v>
      </c>
      <c r="F348" s="46">
        <v>1</v>
      </c>
      <c r="H348" s="45" t="s">
        <v>193</v>
      </c>
      <c r="I348" s="15" t="s">
        <v>194</v>
      </c>
      <c r="J348" s="15" t="s">
        <v>1955</v>
      </c>
      <c r="K348" s="15" t="s">
        <v>210</v>
      </c>
      <c r="L348" s="47" t="s">
        <v>397</v>
      </c>
      <c r="M348" s="47" t="str">
        <f t="shared" si="5"/>
        <v>235301</v>
      </c>
      <c r="O348" s="65">
        <v>5</v>
      </c>
      <c r="P348" s="15"/>
    </row>
    <row r="349" spans="1:16" s="42" customFormat="1" ht="14.25" x14ac:dyDescent="0.2">
      <c r="C349" s="42" t="s">
        <v>67</v>
      </c>
      <c r="D349" s="43"/>
      <c r="F349" s="43"/>
      <c r="G349" s="43">
        <f>SUM(F350:F363)</f>
        <v>14</v>
      </c>
      <c r="L349" s="44"/>
      <c r="M349" s="44" t="str">
        <f t="shared" si="5"/>
        <v/>
      </c>
      <c r="N349" s="44"/>
      <c r="O349" s="43"/>
    </row>
    <row r="350" spans="1:16" x14ac:dyDescent="0.25">
      <c r="A350" s="15" t="s">
        <v>1870</v>
      </c>
      <c r="B350" s="15" t="s">
        <v>2132</v>
      </c>
      <c r="C350" s="45" t="s">
        <v>67</v>
      </c>
      <c r="D350" s="46" t="s">
        <v>1740</v>
      </c>
      <c r="E350" s="15" t="s">
        <v>192</v>
      </c>
      <c r="F350" s="46">
        <v>1</v>
      </c>
      <c r="H350" s="45" t="s">
        <v>193</v>
      </c>
      <c r="I350" s="15" t="s">
        <v>194</v>
      </c>
      <c r="J350" s="15" t="s">
        <v>1915</v>
      </c>
      <c r="K350" s="15" t="s">
        <v>210</v>
      </c>
      <c r="L350" s="47" t="s">
        <v>709</v>
      </c>
      <c r="M350" s="47" t="str">
        <f t="shared" si="5"/>
        <v>432103</v>
      </c>
      <c r="O350" s="65">
        <v>6</v>
      </c>
      <c r="P350" s="15"/>
    </row>
    <row r="351" spans="1:16" x14ac:dyDescent="0.25">
      <c r="A351" s="15" t="s">
        <v>1721</v>
      </c>
      <c r="B351" s="15" t="s">
        <v>67</v>
      </c>
      <c r="C351" s="45" t="s">
        <v>67</v>
      </c>
      <c r="D351" s="46" t="s">
        <v>1728</v>
      </c>
      <c r="E351" s="15" t="s">
        <v>192</v>
      </c>
      <c r="F351" s="46">
        <v>1</v>
      </c>
      <c r="H351" s="45" t="s">
        <v>193</v>
      </c>
      <c r="I351" s="15" t="s">
        <v>194</v>
      </c>
      <c r="J351" s="15" t="s">
        <v>1732</v>
      </c>
      <c r="K351" s="15" t="s">
        <v>276</v>
      </c>
      <c r="L351" s="47" t="s">
        <v>709</v>
      </c>
      <c r="M351" s="47" t="str">
        <f t="shared" si="5"/>
        <v>432103</v>
      </c>
      <c r="O351" s="65">
        <v>7</v>
      </c>
      <c r="P351" s="15"/>
    </row>
    <row r="352" spans="1:16" x14ac:dyDescent="0.25">
      <c r="A352" s="15" t="s">
        <v>1479</v>
      </c>
      <c r="B352" s="15" t="s">
        <v>67</v>
      </c>
      <c r="C352" s="45" t="s">
        <v>67</v>
      </c>
      <c r="D352" s="46" t="s">
        <v>1740</v>
      </c>
      <c r="E352" s="15" t="s">
        <v>192</v>
      </c>
      <c r="F352" s="46">
        <v>1</v>
      </c>
      <c r="H352" s="45" t="s">
        <v>193</v>
      </c>
      <c r="I352" s="15" t="s">
        <v>194</v>
      </c>
      <c r="J352" s="15" t="s">
        <v>1732</v>
      </c>
      <c r="K352" s="15" t="s">
        <v>276</v>
      </c>
      <c r="L352" s="47" t="s">
        <v>709</v>
      </c>
      <c r="M352" s="47" t="str">
        <f t="shared" si="5"/>
        <v>432103</v>
      </c>
      <c r="O352" s="65">
        <v>8</v>
      </c>
      <c r="P352" s="15"/>
    </row>
    <row r="353" spans="1:16" x14ac:dyDescent="0.25">
      <c r="A353" s="15" t="s">
        <v>1479</v>
      </c>
      <c r="B353" s="15" t="s">
        <v>67</v>
      </c>
      <c r="C353" s="45" t="s">
        <v>67</v>
      </c>
      <c r="D353" s="46" t="s">
        <v>1740</v>
      </c>
      <c r="E353" s="15" t="s">
        <v>192</v>
      </c>
      <c r="F353" s="46">
        <v>1</v>
      </c>
      <c r="H353" s="45" t="s">
        <v>193</v>
      </c>
      <c r="I353" s="15" t="s">
        <v>194</v>
      </c>
      <c r="J353" s="15" t="s">
        <v>1732</v>
      </c>
      <c r="K353" s="15" t="s">
        <v>210</v>
      </c>
      <c r="L353" s="47" t="s">
        <v>709</v>
      </c>
      <c r="M353" s="47" t="str">
        <f t="shared" si="5"/>
        <v>432103</v>
      </c>
      <c r="O353" s="65">
        <v>9</v>
      </c>
      <c r="P353" s="15"/>
    </row>
    <row r="354" spans="1:16" x14ac:dyDescent="0.25">
      <c r="A354" s="15" t="s">
        <v>1479</v>
      </c>
      <c r="B354" s="15" t="s">
        <v>67</v>
      </c>
      <c r="C354" s="45" t="s">
        <v>67</v>
      </c>
      <c r="D354" s="46" t="s">
        <v>1740</v>
      </c>
      <c r="E354" s="15" t="s">
        <v>192</v>
      </c>
      <c r="F354" s="46">
        <v>1</v>
      </c>
      <c r="H354" s="45" t="s">
        <v>193</v>
      </c>
      <c r="I354" s="15" t="s">
        <v>194</v>
      </c>
      <c r="J354" s="15" t="s">
        <v>1732</v>
      </c>
      <c r="K354" s="15" t="s">
        <v>747</v>
      </c>
      <c r="L354" s="47" t="s">
        <v>709</v>
      </c>
      <c r="M354" s="47" t="str">
        <f t="shared" si="5"/>
        <v>432103</v>
      </c>
      <c r="O354" s="65">
        <v>270</v>
      </c>
      <c r="P354" s="15"/>
    </row>
    <row r="355" spans="1:16" x14ac:dyDescent="0.25">
      <c r="A355" s="15" t="s">
        <v>1479</v>
      </c>
      <c r="B355" s="15" t="s">
        <v>67</v>
      </c>
      <c r="C355" s="45" t="s">
        <v>67</v>
      </c>
      <c r="D355" s="46" t="s">
        <v>1740</v>
      </c>
      <c r="E355" s="15" t="s">
        <v>192</v>
      </c>
      <c r="F355" s="46">
        <v>1</v>
      </c>
      <c r="H355" s="45" t="s">
        <v>193</v>
      </c>
      <c r="I355" s="15" t="s">
        <v>194</v>
      </c>
      <c r="J355" s="15" t="s">
        <v>1732</v>
      </c>
      <c r="K355" s="15" t="s">
        <v>385</v>
      </c>
      <c r="L355" s="47" t="s">
        <v>709</v>
      </c>
      <c r="M355" s="47" t="str">
        <f t="shared" si="5"/>
        <v>432103</v>
      </c>
      <c r="O355" s="65">
        <v>1</v>
      </c>
      <c r="P355" s="15"/>
    </row>
    <row r="356" spans="1:16" x14ac:dyDescent="0.25">
      <c r="A356" s="15" t="s">
        <v>1479</v>
      </c>
      <c r="B356" s="15" t="s">
        <v>67</v>
      </c>
      <c r="C356" s="45" t="s">
        <v>67</v>
      </c>
      <c r="D356" s="46" t="s">
        <v>1740</v>
      </c>
      <c r="E356" s="15" t="s">
        <v>192</v>
      </c>
      <c r="F356" s="46">
        <v>1</v>
      </c>
      <c r="H356" s="45" t="s">
        <v>193</v>
      </c>
      <c r="I356" s="15" t="s">
        <v>194</v>
      </c>
      <c r="J356" s="15" t="s">
        <v>1732</v>
      </c>
      <c r="K356" s="15" t="s">
        <v>367</v>
      </c>
      <c r="L356" s="47" t="s">
        <v>709</v>
      </c>
      <c r="M356" s="47" t="str">
        <f t="shared" si="5"/>
        <v>432103</v>
      </c>
      <c r="O356" s="65">
        <v>2</v>
      </c>
      <c r="P356" s="15"/>
    </row>
    <row r="357" spans="1:16" x14ac:dyDescent="0.25">
      <c r="A357" s="15" t="s">
        <v>2133</v>
      </c>
      <c r="B357" s="15" t="s">
        <v>67</v>
      </c>
      <c r="C357" s="45" t="s">
        <v>67</v>
      </c>
      <c r="D357" s="46" t="s">
        <v>1803</v>
      </c>
      <c r="E357" s="15" t="s">
        <v>192</v>
      </c>
      <c r="F357" s="46">
        <v>1</v>
      </c>
      <c r="H357" s="45" t="s">
        <v>193</v>
      </c>
      <c r="I357" s="15" t="s">
        <v>194</v>
      </c>
      <c r="J357" s="15" t="s">
        <v>1732</v>
      </c>
      <c r="K357" s="15" t="s">
        <v>210</v>
      </c>
      <c r="L357" s="47" t="s">
        <v>709</v>
      </c>
      <c r="M357" s="47" t="str">
        <f t="shared" si="5"/>
        <v>432103</v>
      </c>
      <c r="O357" s="65">
        <v>3</v>
      </c>
      <c r="P357" s="15"/>
    </row>
    <row r="358" spans="1:16" x14ac:dyDescent="0.25">
      <c r="A358" s="15" t="s">
        <v>1721</v>
      </c>
      <c r="B358" s="15" t="s">
        <v>67</v>
      </c>
      <c r="C358" s="45" t="s">
        <v>67</v>
      </c>
      <c r="D358" s="46" t="s">
        <v>1761</v>
      </c>
      <c r="E358" s="15" t="s">
        <v>192</v>
      </c>
      <c r="F358" s="46">
        <v>1</v>
      </c>
      <c r="H358" s="45" t="s">
        <v>193</v>
      </c>
      <c r="I358" s="15" t="s">
        <v>194</v>
      </c>
      <c r="J358" s="15" t="s">
        <v>1732</v>
      </c>
      <c r="K358" s="15" t="s">
        <v>276</v>
      </c>
      <c r="L358" s="47" t="s">
        <v>709</v>
      </c>
      <c r="M358" s="47" t="str">
        <f t="shared" si="5"/>
        <v>432103</v>
      </c>
      <c r="O358" s="65">
        <v>4</v>
      </c>
      <c r="P358" s="15"/>
    </row>
    <row r="359" spans="1:16" x14ac:dyDescent="0.25">
      <c r="A359" s="15" t="s">
        <v>527</v>
      </c>
      <c r="B359" s="15" t="s">
        <v>67</v>
      </c>
      <c r="C359" s="45" t="s">
        <v>67</v>
      </c>
      <c r="D359" s="46" t="s">
        <v>1731</v>
      </c>
      <c r="E359" s="15" t="s">
        <v>192</v>
      </c>
      <c r="F359" s="46">
        <v>1</v>
      </c>
      <c r="H359" s="45" t="s">
        <v>193</v>
      </c>
      <c r="I359" s="15" t="s">
        <v>194</v>
      </c>
      <c r="J359" s="15" t="s">
        <v>1732</v>
      </c>
      <c r="K359" s="15" t="s">
        <v>367</v>
      </c>
      <c r="L359" s="47" t="s">
        <v>709</v>
      </c>
      <c r="M359" s="47" t="str">
        <f t="shared" si="5"/>
        <v>432103</v>
      </c>
      <c r="O359" s="65">
        <v>5</v>
      </c>
      <c r="P359" s="15"/>
    </row>
    <row r="360" spans="1:16" x14ac:dyDescent="0.25">
      <c r="A360" s="15" t="s">
        <v>2134</v>
      </c>
      <c r="B360" s="15" t="s">
        <v>67</v>
      </c>
      <c r="C360" s="45" t="s">
        <v>67</v>
      </c>
      <c r="D360" s="46" t="s">
        <v>1731</v>
      </c>
      <c r="E360" s="15" t="s">
        <v>192</v>
      </c>
      <c r="F360" s="46">
        <v>1</v>
      </c>
      <c r="H360" s="45" t="s">
        <v>193</v>
      </c>
      <c r="I360" s="15" t="s">
        <v>194</v>
      </c>
      <c r="J360" s="15" t="s">
        <v>1732</v>
      </c>
      <c r="K360" s="15" t="s">
        <v>385</v>
      </c>
      <c r="L360" s="47" t="s">
        <v>709</v>
      </c>
      <c r="M360" s="47" t="str">
        <f t="shared" si="5"/>
        <v>432103</v>
      </c>
      <c r="O360" s="65">
        <v>6</v>
      </c>
      <c r="P360" s="15"/>
    </row>
    <row r="361" spans="1:16" x14ac:dyDescent="0.25">
      <c r="A361" s="15" t="s">
        <v>1945</v>
      </c>
      <c r="B361" s="15" t="s">
        <v>67</v>
      </c>
      <c r="C361" s="45" t="s">
        <v>67</v>
      </c>
      <c r="D361" s="46" t="s">
        <v>1732</v>
      </c>
      <c r="E361" s="15" t="s">
        <v>192</v>
      </c>
      <c r="F361" s="46">
        <v>1</v>
      </c>
      <c r="H361" s="45" t="s">
        <v>193</v>
      </c>
      <c r="I361" s="15" t="s">
        <v>194</v>
      </c>
      <c r="J361" s="15" t="s">
        <v>1734</v>
      </c>
      <c r="K361" s="15" t="s">
        <v>316</v>
      </c>
      <c r="L361" s="47" t="s">
        <v>709</v>
      </c>
      <c r="M361" s="47" t="str">
        <f t="shared" si="5"/>
        <v>432103</v>
      </c>
      <c r="O361" s="65">
        <v>7</v>
      </c>
      <c r="P361" s="15"/>
    </row>
    <row r="362" spans="1:16" x14ac:dyDescent="0.25">
      <c r="A362" s="15" t="s">
        <v>2135</v>
      </c>
      <c r="B362" s="15" t="s">
        <v>2136</v>
      </c>
      <c r="C362" s="45" t="s">
        <v>67</v>
      </c>
      <c r="D362" s="46" t="s">
        <v>1731</v>
      </c>
      <c r="E362" s="15" t="s">
        <v>192</v>
      </c>
      <c r="F362" s="46">
        <v>1</v>
      </c>
      <c r="H362" s="45" t="s">
        <v>193</v>
      </c>
      <c r="I362" s="15" t="s">
        <v>194</v>
      </c>
      <c r="J362" s="15" t="s">
        <v>1729</v>
      </c>
      <c r="K362" s="15" t="s">
        <v>210</v>
      </c>
      <c r="L362" s="47" t="s">
        <v>709</v>
      </c>
      <c r="M362" s="47" t="str">
        <f t="shared" si="5"/>
        <v>432103</v>
      </c>
      <c r="O362" s="65">
        <v>8</v>
      </c>
      <c r="P362" s="15"/>
    </row>
    <row r="363" spans="1:16" x14ac:dyDescent="0.25">
      <c r="A363" s="15" t="s">
        <v>2137</v>
      </c>
      <c r="B363" s="15" t="s">
        <v>2138</v>
      </c>
      <c r="C363" s="45" t="s">
        <v>67</v>
      </c>
      <c r="D363" s="46" t="s">
        <v>1736</v>
      </c>
      <c r="E363" s="15" t="s">
        <v>192</v>
      </c>
      <c r="F363" s="46">
        <v>1</v>
      </c>
      <c r="H363" s="45" t="s">
        <v>193</v>
      </c>
      <c r="I363" s="15" t="s">
        <v>194</v>
      </c>
      <c r="J363" s="15" t="s">
        <v>1836</v>
      </c>
      <c r="K363" s="15" t="s">
        <v>253</v>
      </c>
      <c r="L363" s="47" t="s">
        <v>709</v>
      </c>
      <c r="M363" s="47" t="str">
        <f t="shared" si="5"/>
        <v>432103</v>
      </c>
      <c r="O363" s="65">
        <v>9</v>
      </c>
      <c r="P363" s="15"/>
    </row>
    <row r="364" spans="1:16" s="42" customFormat="1" ht="14.25" x14ac:dyDescent="0.2">
      <c r="C364" s="42" t="s">
        <v>127</v>
      </c>
      <c r="D364" s="43"/>
      <c r="F364" s="43"/>
      <c r="G364" s="43">
        <f>SUM(F365:F366)</f>
        <v>2</v>
      </c>
      <c r="L364" s="44"/>
      <c r="M364" s="44" t="str">
        <f t="shared" si="5"/>
        <v/>
      </c>
      <c r="N364" s="44"/>
      <c r="O364" s="43"/>
    </row>
    <row r="365" spans="1:16" x14ac:dyDescent="0.25">
      <c r="A365" s="15" t="s">
        <v>303</v>
      </c>
      <c r="B365" s="15" t="s">
        <v>353</v>
      </c>
      <c r="C365" s="45" t="s">
        <v>127</v>
      </c>
      <c r="D365" s="46" t="s">
        <v>1761</v>
      </c>
      <c r="E365" s="15" t="s">
        <v>192</v>
      </c>
      <c r="F365" s="46">
        <v>1</v>
      </c>
      <c r="H365" s="45" t="s">
        <v>193</v>
      </c>
      <c r="I365" s="15" t="s">
        <v>194</v>
      </c>
      <c r="J365" s="15" t="s">
        <v>1776</v>
      </c>
      <c r="K365" s="15" t="s">
        <v>305</v>
      </c>
      <c r="L365" s="47" t="s">
        <v>2139</v>
      </c>
      <c r="M365" s="47" t="str">
        <f t="shared" si="5"/>
        <v>723307</v>
      </c>
      <c r="O365" s="65">
        <v>280</v>
      </c>
      <c r="P365" s="15"/>
    </row>
    <row r="366" spans="1:16" x14ac:dyDescent="0.25">
      <c r="A366" s="15" t="s">
        <v>2140</v>
      </c>
      <c r="B366" s="15" t="s">
        <v>2141</v>
      </c>
      <c r="C366" s="45" t="s">
        <v>127</v>
      </c>
      <c r="D366" s="46" t="s">
        <v>1745</v>
      </c>
      <c r="E366" s="15" t="s">
        <v>192</v>
      </c>
      <c r="F366" s="46">
        <v>1</v>
      </c>
      <c r="H366" s="45" t="s">
        <v>193</v>
      </c>
      <c r="I366" s="15" t="s">
        <v>194</v>
      </c>
      <c r="J366" s="15" t="s">
        <v>1732</v>
      </c>
      <c r="K366" s="15" t="s">
        <v>276</v>
      </c>
      <c r="L366" s="47" t="s">
        <v>2139</v>
      </c>
      <c r="M366" s="47" t="str">
        <f t="shared" si="5"/>
        <v>723307</v>
      </c>
      <c r="O366" s="65">
        <v>1</v>
      </c>
      <c r="P366" s="15"/>
    </row>
    <row r="367" spans="1:16" s="42" customFormat="1" ht="14.25" x14ac:dyDescent="0.2">
      <c r="C367" s="42" t="s">
        <v>152</v>
      </c>
      <c r="D367" s="43"/>
      <c r="F367" s="43"/>
      <c r="G367" s="43">
        <f>SUM(F368)</f>
        <v>1</v>
      </c>
      <c r="L367" s="44"/>
      <c r="M367" s="44" t="str">
        <f t="shared" si="5"/>
        <v/>
      </c>
      <c r="N367" s="44"/>
      <c r="O367" s="43"/>
    </row>
    <row r="368" spans="1:16" x14ac:dyDescent="0.25">
      <c r="A368" s="15" t="s">
        <v>317</v>
      </c>
      <c r="B368" s="15" t="s">
        <v>318</v>
      </c>
      <c r="C368" s="45" t="s">
        <v>152</v>
      </c>
      <c r="D368" s="46" t="s">
        <v>1779</v>
      </c>
      <c r="E368" s="15" t="s">
        <v>192</v>
      </c>
      <c r="F368" s="46">
        <v>1</v>
      </c>
      <c r="H368" s="45" t="s">
        <v>193</v>
      </c>
      <c r="I368" s="15" t="s">
        <v>194</v>
      </c>
      <c r="J368" s="15" t="s">
        <v>1759</v>
      </c>
      <c r="K368" s="15" t="s">
        <v>672</v>
      </c>
      <c r="L368" s="47" t="s">
        <v>2142</v>
      </c>
      <c r="M368" s="47" t="str">
        <f t="shared" si="5"/>
        <v>723202</v>
      </c>
      <c r="O368" s="65">
        <v>2</v>
      </c>
      <c r="P368" s="15"/>
    </row>
    <row r="369" spans="1:16" s="42" customFormat="1" x14ac:dyDescent="0.25">
      <c r="C369" s="50" t="s">
        <v>155</v>
      </c>
      <c r="D369" s="43"/>
      <c r="F369" s="43"/>
      <c r="G369" s="43">
        <f>SUM(F370)</f>
        <v>1</v>
      </c>
      <c r="L369" s="44"/>
      <c r="M369" s="44" t="str">
        <f t="shared" si="5"/>
        <v/>
      </c>
      <c r="N369" s="44"/>
      <c r="O369" s="43"/>
    </row>
    <row r="370" spans="1:16" x14ac:dyDescent="0.25">
      <c r="A370" s="15" t="s">
        <v>924</v>
      </c>
      <c r="B370" s="15" t="s">
        <v>2143</v>
      </c>
      <c r="C370" s="45" t="s">
        <v>155</v>
      </c>
      <c r="D370" s="46" t="s">
        <v>1731</v>
      </c>
      <c r="E370" s="15" t="s">
        <v>192</v>
      </c>
      <c r="F370" s="46">
        <v>1</v>
      </c>
      <c r="H370" s="45" t="s">
        <v>193</v>
      </c>
      <c r="I370" s="15" t="s">
        <v>194</v>
      </c>
      <c r="J370" s="15" t="s">
        <v>1734</v>
      </c>
      <c r="K370" s="15" t="s">
        <v>276</v>
      </c>
      <c r="L370" s="47" t="s">
        <v>1425</v>
      </c>
      <c r="M370" s="47" t="str">
        <f t="shared" si="5"/>
        <v>723310</v>
      </c>
      <c r="O370" s="65">
        <v>3</v>
      </c>
      <c r="P370" s="15"/>
    </row>
    <row r="371" spans="1:16" s="42" customFormat="1" ht="14.25" x14ac:dyDescent="0.2">
      <c r="C371" s="42" t="s">
        <v>158</v>
      </c>
      <c r="D371" s="43"/>
      <c r="F371" s="43"/>
      <c r="G371" s="43">
        <f>SUM(F372)</f>
        <v>1</v>
      </c>
      <c r="L371" s="44"/>
      <c r="M371" s="44" t="str">
        <f t="shared" si="5"/>
        <v/>
      </c>
      <c r="N371" s="44"/>
      <c r="O371" s="43"/>
    </row>
    <row r="372" spans="1:16" x14ac:dyDescent="0.25">
      <c r="A372" s="15" t="s">
        <v>2144</v>
      </c>
      <c r="B372" s="15" t="s">
        <v>2145</v>
      </c>
      <c r="C372" s="45" t="s">
        <v>158</v>
      </c>
      <c r="D372" s="46" t="s">
        <v>1740</v>
      </c>
      <c r="E372" s="15" t="s">
        <v>252</v>
      </c>
      <c r="F372" s="46">
        <v>1</v>
      </c>
      <c r="H372" s="45" t="s">
        <v>193</v>
      </c>
      <c r="I372" s="15" t="s">
        <v>194</v>
      </c>
      <c r="J372" s="15" t="s">
        <v>1752</v>
      </c>
      <c r="K372" s="15" t="s">
        <v>2146</v>
      </c>
      <c r="L372" s="47" t="s">
        <v>2147</v>
      </c>
      <c r="M372" s="47" t="str">
        <f t="shared" si="5"/>
        <v>712403</v>
      </c>
      <c r="O372" s="65">
        <v>4</v>
      </c>
      <c r="P372" s="15"/>
    </row>
    <row r="373" spans="1:16" s="42" customFormat="1" ht="14.25" x14ac:dyDescent="0.2">
      <c r="C373" s="42" t="s">
        <v>112</v>
      </c>
      <c r="D373" s="43"/>
      <c r="F373" s="43"/>
      <c r="G373" s="43">
        <f>SUM(F374:F376)</f>
        <v>3</v>
      </c>
      <c r="L373" s="44"/>
      <c r="M373" s="44" t="str">
        <f t="shared" si="5"/>
        <v/>
      </c>
      <c r="N373" s="44"/>
      <c r="O373" s="43"/>
    </row>
    <row r="374" spans="1:16" x14ac:dyDescent="0.25">
      <c r="A374" s="15" t="s">
        <v>2148</v>
      </c>
      <c r="B374" s="15" t="s">
        <v>2149</v>
      </c>
      <c r="C374" s="45" t="s">
        <v>112</v>
      </c>
      <c r="D374" s="46" t="s">
        <v>1731</v>
      </c>
      <c r="E374" s="15" t="s">
        <v>192</v>
      </c>
      <c r="F374" s="46">
        <v>1</v>
      </c>
      <c r="H374" s="45" t="s">
        <v>193</v>
      </c>
      <c r="I374" s="15" t="s">
        <v>194</v>
      </c>
      <c r="J374" s="15" t="s">
        <v>1915</v>
      </c>
      <c r="K374" s="15" t="s">
        <v>210</v>
      </c>
      <c r="L374" s="47" t="s">
        <v>794</v>
      </c>
      <c r="M374" s="47" t="str">
        <f t="shared" si="5"/>
        <v>721404</v>
      </c>
      <c r="N374" s="47">
        <v>1</v>
      </c>
      <c r="O374" s="65">
        <v>5</v>
      </c>
      <c r="P374" s="15"/>
    </row>
    <row r="375" spans="1:16" x14ac:dyDescent="0.25">
      <c r="A375" s="15" t="s">
        <v>2150</v>
      </c>
      <c r="B375" s="15" t="s">
        <v>795</v>
      </c>
      <c r="C375" s="45" t="s">
        <v>112</v>
      </c>
      <c r="D375" s="46" t="s">
        <v>1779</v>
      </c>
      <c r="E375" s="15" t="s">
        <v>192</v>
      </c>
      <c r="F375" s="46">
        <v>1</v>
      </c>
      <c r="H375" s="45" t="s">
        <v>193</v>
      </c>
      <c r="I375" s="15" t="s">
        <v>194</v>
      </c>
      <c r="J375" s="15" t="s">
        <v>1732</v>
      </c>
      <c r="K375" s="15" t="s">
        <v>210</v>
      </c>
      <c r="L375" s="47" t="s">
        <v>794</v>
      </c>
      <c r="M375" s="47" t="str">
        <f t="shared" si="5"/>
        <v>721404</v>
      </c>
      <c r="N375" s="47">
        <v>2</v>
      </c>
      <c r="O375" s="65">
        <v>6</v>
      </c>
      <c r="P375" s="15"/>
    </row>
    <row r="376" spans="1:16" x14ac:dyDescent="0.25">
      <c r="A376" s="15" t="s">
        <v>2151</v>
      </c>
      <c r="B376" s="15" t="s">
        <v>2152</v>
      </c>
      <c r="C376" s="45" t="s">
        <v>112</v>
      </c>
      <c r="D376" s="46" t="s">
        <v>1728</v>
      </c>
      <c r="E376" s="15" t="s">
        <v>192</v>
      </c>
      <c r="F376" s="46">
        <v>1</v>
      </c>
      <c r="H376" s="45" t="s">
        <v>193</v>
      </c>
      <c r="I376" s="15" t="s">
        <v>194</v>
      </c>
      <c r="J376" s="15" t="s">
        <v>1752</v>
      </c>
      <c r="K376" s="15" t="s">
        <v>210</v>
      </c>
      <c r="L376" s="47" t="s">
        <v>794</v>
      </c>
      <c r="M376" s="47" t="str">
        <f t="shared" si="5"/>
        <v>721404</v>
      </c>
      <c r="N376" s="47">
        <v>3</v>
      </c>
      <c r="O376" s="65">
        <v>7</v>
      </c>
      <c r="P376" s="15"/>
    </row>
    <row r="377" spans="1:16" s="42" customFormat="1" ht="14.25" x14ac:dyDescent="0.2">
      <c r="C377" s="42" t="s">
        <v>130</v>
      </c>
      <c r="D377" s="43"/>
      <c r="F377" s="43"/>
      <c r="G377" s="43">
        <f>SUM(F378:F379)</f>
        <v>2</v>
      </c>
      <c r="L377" s="44"/>
      <c r="M377" s="44" t="str">
        <f t="shared" si="5"/>
        <v/>
      </c>
      <c r="N377" s="44"/>
      <c r="O377" s="43"/>
    </row>
    <row r="378" spans="1:16" x14ac:dyDescent="0.25">
      <c r="A378" s="15" t="s">
        <v>271</v>
      </c>
      <c r="B378" s="15" t="s">
        <v>2153</v>
      </c>
      <c r="C378" s="45" t="s">
        <v>2154</v>
      </c>
      <c r="D378" s="46" t="s">
        <v>1745</v>
      </c>
      <c r="E378" s="15" t="s">
        <v>192</v>
      </c>
      <c r="F378" s="46">
        <v>1</v>
      </c>
      <c r="H378" s="45" t="s">
        <v>193</v>
      </c>
      <c r="I378" s="15" t="s">
        <v>194</v>
      </c>
      <c r="J378" s="15" t="s">
        <v>1759</v>
      </c>
      <c r="K378" s="15" t="s">
        <v>276</v>
      </c>
      <c r="L378" s="47" t="s">
        <v>2155</v>
      </c>
      <c r="M378" s="47" t="str">
        <f t="shared" si="5"/>
        <v>821105</v>
      </c>
      <c r="N378" s="47">
        <v>1</v>
      </c>
      <c r="O378" s="65">
        <v>8</v>
      </c>
      <c r="P378" s="15"/>
    </row>
    <row r="379" spans="1:16" x14ac:dyDescent="0.25">
      <c r="A379" s="15" t="s">
        <v>2156</v>
      </c>
      <c r="B379" s="15" t="s">
        <v>2157</v>
      </c>
      <c r="C379" s="45" t="s">
        <v>2158</v>
      </c>
      <c r="D379" s="46" t="s">
        <v>1740</v>
      </c>
      <c r="E379" s="15" t="s">
        <v>192</v>
      </c>
      <c r="F379" s="46">
        <v>1</v>
      </c>
      <c r="H379" s="45" t="s">
        <v>193</v>
      </c>
      <c r="I379" s="15" t="s">
        <v>194</v>
      </c>
      <c r="J379" s="15" t="s">
        <v>1729</v>
      </c>
      <c r="K379" s="15" t="s">
        <v>276</v>
      </c>
      <c r="L379" s="47" t="s">
        <v>2159</v>
      </c>
      <c r="M379" s="47" t="str">
        <f t="shared" si="5"/>
        <v>723106</v>
      </c>
      <c r="N379" s="47">
        <v>2</v>
      </c>
      <c r="O379" s="65">
        <v>9</v>
      </c>
      <c r="P379" s="15"/>
    </row>
    <row r="380" spans="1:16" s="42" customFormat="1" ht="14.25" x14ac:dyDescent="0.2">
      <c r="C380" s="42" t="s">
        <v>107</v>
      </c>
      <c r="D380" s="43"/>
      <c r="F380" s="43"/>
      <c r="G380" s="43">
        <f>SUM(F381)</f>
        <v>1</v>
      </c>
      <c r="L380" s="44"/>
      <c r="M380" s="44" t="str">
        <f t="shared" si="5"/>
        <v/>
      </c>
      <c r="N380" s="44"/>
      <c r="O380" s="43"/>
    </row>
    <row r="381" spans="1:16" x14ac:dyDescent="0.25">
      <c r="A381" s="15" t="s">
        <v>1738</v>
      </c>
      <c r="B381" s="15" t="s">
        <v>2160</v>
      </c>
      <c r="C381" s="45" t="s">
        <v>107</v>
      </c>
      <c r="D381" s="46" t="s">
        <v>1745</v>
      </c>
      <c r="E381" s="15" t="s">
        <v>192</v>
      </c>
      <c r="F381" s="46">
        <v>1</v>
      </c>
      <c r="H381" s="45" t="s">
        <v>193</v>
      </c>
      <c r="I381" s="15" t="s">
        <v>194</v>
      </c>
      <c r="J381" s="15" t="s">
        <v>1796</v>
      </c>
      <c r="K381" s="15" t="s">
        <v>196</v>
      </c>
      <c r="L381" s="47" t="s">
        <v>2161</v>
      </c>
      <c r="M381" s="47" t="str">
        <f t="shared" si="5"/>
        <v>742203</v>
      </c>
      <c r="O381" s="65">
        <v>290</v>
      </c>
      <c r="P381" s="15"/>
    </row>
    <row r="382" spans="1:16" s="42" customFormat="1" ht="14.25" x14ac:dyDescent="0.2">
      <c r="C382" s="42" t="s">
        <v>132</v>
      </c>
      <c r="D382" s="43"/>
      <c r="F382" s="43"/>
      <c r="G382" s="43">
        <f>SUM(F383:F384)</f>
        <v>2</v>
      </c>
      <c r="L382" s="44"/>
      <c r="M382" s="44" t="str">
        <f t="shared" si="5"/>
        <v/>
      </c>
      <c r="N382" s="44"/>
      <c r="O382" s="43"/>
    </row>
    <row r="383" spans="1:16" x14ac:dyDescent="0.25">
      <c r="A383" s="15" t="s">
        <v>924</v>
      </c>
      <c r="B383" s="15" t="s">
        <v>2143</v>
      </c>
      <c r="C383" s="45" t="s">
        <v>132</v>
      </c>
      <c r="D383" s="46" t="s">
        <v>1728</v>
      </c>
      <c r="E383" s="15" t="s">
        <v>192</v>
      </c>
      <c r="F383" s="46">
        <v>1</v>
      </c>
      <c r="H383" s="45" t="s">
        <v>193</v>
      </c>
      <c r="I383" s="15" t="s">
        <v>194</v>
      </c>
      <c r="J383" s="15" t="s">
        <v>1729</v>
      </c>
      <c r="K383" s="15" t="s">
        <v>276</v>
      </c>
      <c r="L383" s="47" t="s">
        <v>2162</v>
      </c>
      <c r="M383" s="47" t="str">
        <f t="shared" si="5"/>
        <v>723401</v>
      </c>
      <c r="O383" s="65">
        <v>1</v>
      </c>
      <c r="P383" s="15"/>
    </row>
    <row r="384" spans="1:16" x14ac:dyDescent="0.25">
      <c r="A384" s="15" t="s">
        <v>2163</v>
      </c>
      <c r="B384" s="15" t="s">
        <v>2164</v>
      </c>
      <c r="C384" s="45" t="s">
        <v>132</v>
      </c>
      <c r="D384" s="46" t="s">
        <v>1803</v>
      </c>
      <c r="E384" s="15" t="s">
        <v>233</v>
      </c>
      <c r="F384" s="46">
        <v>1</v>
      </c>
      <c r="H384" s="45" t="s">
        <v>193</v>
      </c>
      <c r="I384" s="15" t="s">
        <v>194</v>
      </c>
      <c r="J384" s="15" t="s">
        <v>1729</v>
      </c>
      <c r="K384" s="15" t="s">
        <v>2165</v>
      </c>
      <c r="L384" s="47" t="s">
        <v>2162</v>
      </c>
      <c r="M384" s="47" t="str">
        <f t="shared" si="5"/>
        <v>723401</v>
      </c>
      <c r="O384" s="65">
        <v>2</v>
      </c>
      <c r="P384" s="15"/>
    </row>
    <row r="385" spans="1:16" s="42" customFormat="1" ht="14.25" x14ac:dyDescent="0.2">
      <c r="C385" s="42" t="s">
        <v>34</v>
      </c>
      <c r="D385" s="43"/>
      <c r="F385" s="43"/>
      <c r="G385" s="43">
        <f>SUM(F386:F387)</f>
        <v>2</v>
      </c>
      <c r="L385" s="44"/>
      <c r="M385" s="44" t="str">
        <f t="shared" si="5"/>
        <v/>
      </c>
      <c r="N385" s="44"/>
      <c r="O385" s="43"/>
    </row>
    <row r="386" spans="1:16" x14ac:dyDescent="0.25">
      <c r="A386" s="15" t="s">
        <v>835</v>
      </c>
      <c r="B386" s="15" t="s">
        <v>2166</v>
      </c>
      <c r="C386" s="45" t="s">
        <v>34</v>
      </c>
      <c r="D386" s="46" t="s">
        <v>1803</v>
      </c>
      <c r="E386" s="15" t="s">
        <v>192</v>
      </c>
      <c r="F386" s="46">
        <v>1</v>
      </c>
      <c r="H386" s="45" t="s">
        <v>193</v>
      </c>
      <c r="I386" s="15" t="s">
        <v>194</v>
      </c>
      <c r="J386" s="15" t="s">
        <v>1915</v>
      </c>
      <c r="K386" s="15" t="s">
        <v>276</v>
      </c>
      <c r="L386" s="47" t="s">
        <v>2167</v>
      </c>
      <c r="M386" s="47" t="str">
        <f t="shared" si="5"/>
        <v>121303</v>
      </c>
      <c r="O386" s="65">
        <v>3</v>
      </c>
      <c r="P386" s="15"/>
    </row>
    <row r="387" spans="1:16" x14ac:dyDescent="0.25">
      <c r="A387" s="15" t="s">
        <v>2168</v>
      </c>
      <c r="B387" s="15" t="s">
        <v>2169</v>
      </c>
      <c r="C387" s="45" t="s">
        <v>34</v>
      </c>
      <c r="D387" s="46" t="s">
        <v>1761</v>
      </c>
      <c r="E387" s="15" t="s">
        <v>192</v>
      </c>
      <c r="F387" s="46">
        <v>1</v>
      </c>
      <c r="H387" s="45" t="s">
        <v>193</v>
      </c>
      <c r="I387" s="15" t="s">
        <v>194</v>
      </c>
      <c r="J387" s="15" t="s">
        <v>1754</v>
      </c>
      <c r="K387" s="15" t="s">
        <v>210</v>
      </c>
      <c r="L387" s="47" t="s">
        <v>2167</v>
      </c>
      <c r="M387" s="47" t="str">
        <f t="shared" si="5"/>
        <v>121303</v>
      </c>
      <c r="O387" s="65">
        <v>4</v>
      </c>
      <c r="P387" s="15"/>
    </row>
    <row r="388" spans="1:16" s="42" customFormat="1" ht="14.25" x14ac:dyDescent="0.2">
      <c r="C388" s="42" t="s">
        <v>32</v>
      </c>
      <c r="D388" s="43"/>
      <c r="F388" s="43"/>
      <c r="G388" s="43">
        <f>SUM(F389:F390)</f>
        <v>2</v>
      </c>
      <c r="L388" s="44"/>
      <c r="M388" s="44" t="str">
        <f t="shared" si="5"/>
        <v/>
      </c>
      <c r="N388" s="44"/>
      <c r="O388" s="43"/>
    </row>
    <row r="389" spans="1:16" x14ac:dyDescent="0.25">
      <c r="A389" s="15" t="s">
        <v>2170</v>
      </c>
      <c r="B389" s="15" t="s">
        <v>2171</v>
      </c>
      <c r="C389" s="45" t="s">
        <v>2172</v>
      </c>
      <c r="D389" s="46" t="s">
        <v>1779</v>
      </c>
      <c r="E389" s="15" t="s">
        <v>192</v>
      </c>
      <c r="F389" s="46">
        <v>1</v>
      </c>
      <c r="H389" s="45" t="s">
        <v>193</v>
      </c>
      <c r="I389" s="15" t="s">
        <v>194</v>
      </c>
      <c r="J389" s="15" t="s">
        <v>1796</v>
      </c>
      <c r="K389" s="15" t="s">
        <v>238</v>
      </c>
      <c r="L389" s="47" t="s">
        <v>2173</v>
      </c>
      <c r="M389" s="47" t="str">
        <f t="shared" ref="M389:M452" si="6">MID(L389,8,6)</f>
        <v>235106</v>
      </c>
      <c r="O389" s="65">
        <v>5</v>
      </c>
      <c r="P389" s="15"/>
    </row>
    <row r="390" spans="1:16" x14ac:dyDescent="0.25">
      <c r="A390" s="15" t="s">
        <v>2174</v>
      </c>
      <c r="B390" s="15" t="s">
        <v>2175</v>
      </c>
      <c r="C390" s="45" t="s">
        <v>2176</v>
      </c>
      <c r="D390" s="46" t="s">
        <v>1740</v>
      </c>
      <c r="E390" s="15" t="s">
        <v>192</v>
      </c>
      <c r="F390" s="46">
        <v>1</v>
      </c>
      <c r="H390" s="45" t="s">
        <v>193</v>
      </c>
      <c r="I390" s="15" t="s">
        <v>194</v>
      </c>
      <c r="J390" s="15" t="s">
        <v>1732</v>
      </c>
      <c r="K390" s="15" t="s">
        <v>367</v>
      </c>
      <c r="L390" s="47" t="s">
        <v>2177</v>
      </c>
      <c r="M390" s="47" t="str">
        <f t="shared" si="6"/>
        <v>232006</v>
      </c>
      <c r="O390" s="65">
        <v>6</v>
      </c>
      <c r="P390" s="15"/>
    </row>
    <row r="391" spans="1:16" s="42" customFormat="1" ht="14.25" x14ac:dyDescent="0.2">
      <c r="C391" s="42" t="s">
        <v>87</v>
      </c>
      <c r="D391" s="43"/>
      <c r="F391" s="43"/>
      <c r="G391" s="43">
        <f>SUM(F392)</f>
        <v>1</v>
      </c>
      <c r="L391" s="44"/>
      <c r="M391" s="44" t="str">
        <f t="shared" si="6"/>
        <v/>
      </c>
      <c r="N391" s="44"/>
      <c r="O391" s="43"/>
    </row>
    <row r="392" spans="1:16" x14ac:dyDescent="0.25">
      <c r="A392" s="15" t="s">
        <v>527</v>
      </c>
      <c r="B392" s="15" t="s">
        <v>2178</v>
      </c>
      <c r="C392" s="45" t="s">
        <v>87</v>
      </c>
      <c r="D392" s="46" t="s">
        <v>1731</v>
      </c>
      <c r="E392" s="15" t="s">
        <v>192</v>
      </c>
      <c r="F392" s="46">
        <v>1</v>
      </c>
      <c r="H392" s="45" t="s">
        <v>193</v>
      </c>
      <c r="I392" s="15" t="s">
        <v>194</v>
      </c>
      <c r="J392" s="15" t="s">
        <v>1737</v>
      </c>
      <c r="K392" s="15" t="s">
        <v>367</v>
      </c>
      <c r="L392" s="47" t="s">
        <v>2179</v>
      </c>
      <c r="M392" s="47" t="str">
        <f t="shared" si="6"/>
        <v>311803</v>
      </c>
      <c r="O392" s="65">
        <v>7</v>
      </c>
      <c r="P392" s="15"/>
    </row>
    <row r="393" spans="1:16" s="42" customFormat="1" ht="14.25" customHeight="1" x14ac:dyDescent="0.2">
      <c r="C393" s="42" t="s">
        <v>160</v>
      </c>
      <c r="D393" s="43"/>
      <c r="F393" s="43"/>
      <c r="G393" s="43">
        <f>SUM(F394:F397)</f>
        <v>4</v>
      </c>
      <c r="L393" s="44"/>
      <c r="M393" s="44" t="str">
        <f t="shared" si="6"/>
        <v/>
      </c>
      <c r="N393" s="44"/>
      <c r="O393" s="43"/>
    </row>
    <row r="394" spans="1:16" x14ac:dyDescent="0.25">
      <c r="A394" s="15" t="s">
        <v>2180</v>
      </c>
      <c r="B394" s="15" t="s">
        <v>2181</v>
      </c>
      <c r="C394" s="45" t="s">
        <v>1309</v>
      </c>
      <c r="D394" s="46" t="s">
        <v>1732</v>
      </c>
      <c r="E394" s="15" t="s">
        <v>192</v>
      </c>
      <c r="F394" s="46">
        <v>1</v>
      </c>
      <c r="H394" s="45" t="s">
        <v>193</v>
      </c>
      <c r="I394" s="15" t="s">
        <v>194</v>
      </c>
      <c r="J394" s="15" t="s">
        <v>1955</v>
      </c>
      <c r="K394" s="15" t="s">
        <v>276</v>
      </c>
      <c r="L394" s="47" t="s">
        <v>1310</v>
      </c>
      <c r="M394" s="47" t="str">
        <f t="shared" si="6"/>
        <v>912904</v>
      </c>
      <c r="N394" s="47">
        <v>1</v>
      </c>
      <c r="O394" s="65">
        <v>8</v>
      </c>
      <c r="P394" s="15"/>
    </row>
    <row r="395" spans="1:16" x14ac:dyDescent="0.25">
      <c r="A395" s="15" t="s">
        <v>2182</v>
      </c>
      <c r="B395" s="15" t="s">
        <v>1684</v>
      </c>
      <c r="C395" s="45" t="s">
        <v>1684</v>
      </c>
      <c r="D395" s="46" t="s">
        <v>1736</v>
      </c>
      <c r="E395" s="15" t="s">
        <v>192</v>
      </c>
      <c r="F395" s="46">
        <v>1</v>
      </c>
      <c r="H395" s="45" t="s">
        <v>193</v>
      </c>
      <c r="I395" s="15" t="s">
        <v>194</v>
      </c>
      <c r="J395" s="15" t="s">
        <v>1836</v>
      </c>
      <c r="K395" s="15" t="s">
        <v>2183</v>
      </c>
      <c r="L395" s="47" t="s">
        <v>1685</v>
      </c>
      <c r="M395" s="47" t="str">
        <f t="shared" si="6"/>
        <v>812108</v>
      </c>
      <c r="N395" s="47">
        <v>2</v>
      </c>
      <c r="O395" s="65">
        <v>9</v>
      </c>
      <c r="P395" s="15"/>
    </row>
    <row r="396" spans="1:16" x14ac:dyDescent="0.25">
      <c r="A396" s="15" t="s">
        <v>1904</v>
      </c>
      <c r="B396" s="15" t="s">
        <v>2184</v>
      </c>
      <c r="C396" s="45" t="s">
        <v>2185</v>
      </c>
      <c r="D396" s="46" t="s">
        <v>1728</v>
      </c>
      <c r="E396" s="15" t="s">
        <v>192</v>
      </c>
      <c r="F396" s="46">
        <v>1</v>
      </c>
      <c r="H396" s="45" t="s">
        <v>193</v>
      </c>
      <c r="I396" s="15" t="s">
        <v>194</v>
      </c>
      <c r="J396" s="15" t="s">
        <v>1752</v>
      </c>
      <c r="K396" s="15" t="s">
        <v>575</v>
      </c>
      <c r="L396" s="47" t="s">
        <v>2186</v>
      </c>
      <c r="M396" s="47" t="str">
        <f t="shared" si="6"/>
        <v>812206</v>
      </c>
      <c r="N396" s="47">
        <v>3</v>
      </c>
      <c r="O396" s="65">
        <v>300</v>
      </c>
      <c r="P396" s="15"/>
    </row>
    <row r="397" spans="1:16" x14ac:dyDescent="0.25">
      <c r="A397" s="15" t="s">
        <v>2187</v>
      </c>
      <c r="B397" s="15" t="s">
        <v>2188</v>
      </c>
      <c r="C397" s="45" t="s">
        <v>863</v>
      </c>
      <c r="D397" s="46" t="s">
        <v>1803</v>
      </c>
      <c r="E397" s="15" t="s">
        <v>192</v>
      </c>
      <c r="F397" s="46">
        <v>1</v>
      </c>
      <c r="H397" s="45" t="s">
        <v>193</v>
      </c>
      <c r="I397" s="15" t="s">
        <v>194</v>
      </c>
      <c r="J397" s="15" t="s">
        <v>1752</v>
      </c>
      <c r="K397" s="15" t="s">
        <v>253</v>
      </c>
      <c r="L397" s="47" t="s">
        <v>864</v>
      </c>
      <c r="M397" s="47" t="str">
        <f t="shared" si="6"/>
        <v>814208</v>
      </c>
      <c r="N397" s="47">
        <v>4</v>
      </c>
      <c r="O397" s="65">
        <v>1</v>
      </c>
      <c r="P397" s="15"/>
    </row>
    <row r="398" spans="1:16" s="42" customFormat="1" ht="14.25" x14ac:dyDescent="0.2">
      <c r="C398" s="42" t="s">
        <v>29</v>
      </c>
      <c r="D398" s="43"/>
      <c r="F398" s="43"/>
      <c r="G398" s="43">
        <f>SUM(F399:F407)</f>
        <v>7</v>
      </c>
      <c r="L398" s="44"/>
      <c r="M398" s="44" t="str">
        <f t="shared" si="6"/>
        <v/>
      </c>
      <c r="N398" s="44"/>
      <c r="O398" s="43"/>
    </row>
    <row r="399" spans="1:16" x14ac:dyDescent="0.25">
      <c r="A399" s="15" t="s">
        <v>1801</v>
      </c>
      <c r="B399" s="15" t="s">
        <v>2189</v>
      </c>
      <c r="C399" s="45" t="s">
        <v>29</v>
      </c>
      <c r="D399" s="46" t="s">
        <v>1745</v>
      </c>
      <c r="E399" s="15" t="s">
        <v>192</v>
      </c>
      <c r="F399" s="46">
        <v>1</v>
      </c>
      <c r="H399" s="45" t="s">
        <v>193</v>
      </c>
      <c r="I399" s="15" t="s">
        <v>194</v>
      </c>
      <c r="J399" s="15" t="s">
        <v>1776</v>
      </c>
      <c r="K399" s="15" t="s">
        <v>575</v>
      </c>
      <c r="L399" s="47" t="s">
        <v>808</v>
      </c>
      <c r="M399" s="47" t="str">
        <f t="shared" si="6"/>
        <v>722308</v>
      </c>
      <c r="N399" s="47">
        <v>1</v>
      </c>
      <c r="O399" s="65">
        <v>2</v>
      </c>
      <c r="P399" s="15"/>
    </row>
    <row r="400" spans="1:16" x14ac:dyDescent="0.25">
      <c r="A400" s="15" t="s">
        <v>303</v>
      </c>
      <c r="B400" s="15" t="s">
        <v>2190</v>
      </c>
      <c r="C400" s="45" t="s">
        <v>29</v>
      </c>
      <c r="D400" s="46" t="s">
        <v>1740</v>
      </c>
      <c r="E400" s="15" t="s">
        <v>192</v>
      </c>
      <c r="F400" s="46">
        <v>1</v>
      </c>
      <c r="H400" s="45" t="s">
        <v>193</v>
      </c>
      <c r="I400" s="15" t="s">
        <v>194</v>
      </c>
      <c r="J400" s="15" t="s">
        <v>1762</v>
      </c>
      <c r="K400" s="15" t="s">
        <v>305</v>
      </c>
      <c r="L400" s="47" t="s">
        <v>808</v>
      </c>
      <c r="M400" s="47" t="str">
        <f t="shared" si="6"/>
        <v>722308</v>
      </c>
      <c r="N400" s="47">
        <v>2</v>
      </c>
      <c r="O400" s="65">
        <v>3</v>
      </c>
      <c r="P400" s="15"/>
    </row>
    <row r="401" spans="1:16" x14ac:dyDescent="0.25">
      <c r="A401" s="15" t="s">
        <v>2191</v>
      </c>
      <c r="B401" s="15" t="s">
        <v>1462</v>
      </c>
      <c r="C401" s="45" t="s">
        <v>29</v>
      </c>
      <c r="D401" s="46" t="s">
        <v>1736</v>
      </c>
      <c r="E401" s="15" t="s">
        <v>192</v>
      </c>
      <c r="F401" s="46">
        <v>1</v>
      </c>
      <c r="H401" s="45" t="s">
        <v>193</v>
      </c>
      <c r="I401" s="15" t="s">
        <v>194</v>
      </c>
      <c r="J401" s="15" t="s">
        <v>1836</v>
      </c>
      <c r="K401" s="15" t="s">
        <v>301</v>
      </c>
      <c r="L401" s="47" t="s">
        <v>808</v>
      </c>
      <c r="M401" s="47" t="str">
        <f t="shared" si="6"/>
        <v>722308</v>
      </c>
      <c r="N401" s="47">
        <v>3</v>
      </c>
      <c r="O401" s="65">
        <v>4</v>
      </c>
      <c r="P401" s="15"/>
    </row>
    <row r="402" spans="1:16" x14ac:dyDescent="0.25">
      <c r="A402" s="15" t="s">
        <v>540</v>
      </c>
      <c r="B402" s="15" t="s">
        <v>2192</v>
      </c>
      <c r="C402" s="45" t="s">
        <v>29</v>
      </c>
      <c r="D402" s="46" t="s">
        <v>1860</v>
      </c>
      <c r="E402" s="15" t="s">
        <v>217</v>
      </c>
      <c r="F402" s="69">
        <v>0</v>
      </c>
      <c r="H402" s="68" t="s">
        <v>194</v>
      </c>
      <c r="I402" s="15" t="s">
        <v>193</v>
      </c>
      <c r="J402" s="15" t="s">
        <v>1762</v>
      </c>
      <c r="K402" s="15" t="s">
        <v>210</v>
      </c>
      <c r="L402" s="47" t="s">
        <v>808</v>
      </c>
      <c r="M402" s="47" t="str">
        <f t="shared" si="6"/>
        <v>722308</v>
      </c>
      <c r="N402" s="47">
        <v>4</v>
      </c>
      <c r="O402" s="39" t="s">
        <v>3473</v>
      </c>
      <c r="P402" s="46">
        <v>5</v>
      </c>
    </row>
    <row r="403" spans="1:16" x14ac:dyDescent="0.25">
      <c r="A403" s="15" t="s">
        <v>1945</v>
      </c>
      <c r="B403" s="15" t="s">
        <v>2193</v>
      </c>
      <c r="C403" s="45" t="s">
        <v>29</v>
      </c>
      <c r="D403" s="46" t="s">
        <v>1761</v>
      </c>
      <c r="E403" s="15" t="s">
        <v>192</v>
      </c>
      <c r="F403" s="46">
        <v>1</v>
      </c>
      <c r="H403" s="45" t="s">
        <v>193</v>
      </c>
      <c r="I403" s="15" t="s">
        <v>194</v>
      </c>
      <c r="J403" s="15" t="s">
        <v>1762</v>
      </c>
      <c r="K403" s="15" t="s">
        <v>316</v>
      </c>
      <c r="L403" s="47" t="s">
        <v>808</v>
      </c>
      <c r="M403" s="47" t="str">
        <f t="shared" si="6"/>
        <v>722308</v>
      </c>
      <c r="N403" s="47">
        <v>5</v>
      </c>
      <c r="O403" s="65">
        <v>5</v>
      </c>
      <c r="P403" s="15"/>
    </row>
    <row r="404" spans="1:16" x14ac:dyDescent="0.25">
      <c r="A404" s="15" t="s">
        <v>540</v>
      </c>
      <c r="B404" s="15" t="s">
        <v>2192</v>
      </c>
      <c r="C404" s="45" t="s">
        <v>29</v>
      </c>
      <c r="D404" s="46" t="s">
        <v>1736</v>
      </c>
      <c r="E404" s="15" t="s">
        <v>252</v>
      </c>
      <c r="F404" s="69">
        <v>0</v>
      </c>
      <c r="H404" s="68" t="s">
        <v>194</v>
      </c>
      <c r="I404" s="15" t="s">
        <v>193</v>
      </c>
      <c r="J404" s="15" t="s">
        <v>1737</v>
      </c>
      <c r="K404" s="15" t="s">
        <v>210</v>
      </c>
      <c r="L404" s="47" t="s">
        <v>808</v>
      </c>
      <c r="M404" s="47" t="str">
        <f t="shared" si="6"/>
        <v>722308</v>
      </c>
      <c r="N404" s="47">
        <v>6</v>
      </c>
      <c r="O404" s="39" t="s">
        <v>3474</v>
      </c>
      <c r="P404" s="46">
        <v>6</v>
      </c>
    </row>
    <row r="405" spans="1:16" x14ac:dyDescent="0.25">
      <c r="A405" s="15" t="s">
        <v>596</v>
      </c>
      <c r="B405" s="15" t="s">
        <v>2194</v>
      </c>
      <c r="C405" s="45" t="s">
        <v>29</v>
      </c>
      <c r="D405" s="46" t="s">
        <v>1740</v>
      </c>
      <c r="E405" s="15" t="s">
        <v>192</v>
      </c>
      <c r="F405" s="46">
        <v>1</v>
      </c>
      <c r="H405" s="45" t="s">
        <v>193</v>
      </c>
      <c r="I405" s="15" t="s">
        <v>194</v>
      </c>
      <c r="J405" s="15" t="s">
        <v>1762</v>
      </c>
      <c r="K405" s="15" t="s">
        <v>316</v>
      </c>
      <c r="L405" s="47" t="s">
        <v>808</v>
      </c>
      <c r="M405" s="47" t="str">
        <f t="shared" si="6"/>
        <v>722308</v>
      </c>
      <c r="N405" s="47">
        <v>7</v>
      </c>
      <c r="O405" s="65">
        <v>6</v>
      </c>
      <c r="P405" s="15"/>
    </row>
    <row r="406" spans="1:16" x14ac:dyDescent="0.25">
      <c r="A406" s="15" t="s">
        <v>529</v>
      </c>
      <c r="B406" s="15" t="s">
        <v>2195</v>
      </c>
      <c r="C406" s="45" t="s">
        <v>29</v>
      </c>
      <c r="D406" s="46" t="s">
        <v>1728</v>
      </c>
      <c r="E406" s="15" t="s">
        <v>192</v>
      </c>
      <c r="F406" s="46">
        <v>1</v>
      </c>
      <c r="H406" s="45" t="s">
        <v>193</v>
      </c>
      <c r="I406" s="15" t="s">
        <v>194</v>
      </c>
      <c r="J406" s="15" t="s">
        <v>1752</v>
      </c>
      <c r="K406" s="15" t="s">
        <v>309</v>
      </c>
      <c r="L406" s="47" t="s">
        <v>808</v>
      </c>
      <c r="M406" s="47" t="str">
        <f t="shared" si="6"/>
        <v>722308</v>
      </c>
      <c r="N406" s="47">
        <v>8</v>
      </c>
      <c r="O406" s="65">
        <v>7</v>
      </c>
      <c r="P406" s="15"/>
    </row>
    <row r="407" spans="1:16" x14ac:dyDescent="0.25">
      <c r="A407" s="15" t="s">
        <v>347</v>
      </c>
      <c r="B407" s="15" t="s">
        <v>2196</v>
      </c>
      <c r="C407" s="45" t="s">
        <v>29</v>
      </c>
      <c r="D407" s="46" t="s">
        <v>1740</v>
      </c>
      <c r="E407" s="15" t="s">
        <v>192</v>
      </c>
      <c r="F407" s="46">
        <v>1</v>
      </c>
      <c r="H407" s="45" t="s">
        <v>193</v>
      </c>
      <c r="I407" s="15" t="s">
        <v>194</v>
      </c>
      <c r="J407" s="15" t="s">
        <v>1732</v>
      </c>
      <c r="K407" s="15" t="s">
        <v>316</v>
      </c>
      <c r="L407" s="47" t="s">
        <v>808</v>
      </c>
      <c r="M407" s="47" t="str">
        <f t="shared" si="6"/>
        <v>722308</v>
      </c>
      <c r="N407" s="47">
        <v>9</v>
      </c>
      <c r="O407" s="65">
        <v>8</v>
      </c>
      <c r="P407" s="15"/>
    </row>
    <row r="408" spans="1:16" s="42" customFormat="1" ht="14.25" x14ac:dyDescent="0.2">
      <c r="C408" s="42" t="s">
        <v>62</v>
      </c>
      <c r="D408" s="43"/>
      <c r="F408" s="43"/>
      <c r="G408" s="43">
        <f>SUM(F409:F413)</f>
        <v>6</v>
      </c>
      <c r="L408" s="44"/>
      <c r="M408" s="44" t="str">
        <f t="shared" si="6"/>
        <v/>
      </c>
      <c r="N408" s="44"/>
      <c r="O408" s="43"/>
    </row>
    <row r="409" spans="1:16" x14ac:dyDescent="0.25">
      <c r="A409" s="15" t="s">
        <v>1885</v>
      </c>
      <c r="B409" s="15" t="s">
        <v>2197</v>
      </c>
      <c r="C409" s="45" t="s">
        <v>62</v>
      </c>
      <c r="D409" s="46" t="s">
        <v>1728</v>
      </c>
      <c r="E409" s="15" t="s">
        <v>192</v>
      </c>
      <c r="F409" s="46">
        <v>1</v>
      </c>
      <c r="H409" s="45" t="s">
        <v>193</v>
      </c>
      <c r="I409" s="15" t="s">
        <v>194</v>
      </c>
      <c r="J409" s="15" t="s">
        <v>1759</v>
      </c>
      <c r="K409" s="15" t="s">
        <v>210</v>
      </c>
      <c r="L409" s="47" t="s">
        <v>601</v>
      </c>
      <c r="M409" s="47" t="str">
        <f t="shared" si="6"/>
        <v>313904</v>
      </c>
      <c r="N409" s="47">
        <v>1</v>
      </c>
      <c r="O409" s="65">
        <v>9</v>
      </c>
      <c r="P409" s="15"/>
    </row>
    <row r="410" spans="1:16" x14ac:dyDescent="0.25">
      <c r="A410" s="15" t="s">
        <v>581</v>
      </c>
      <c r="B410" s="15" t="s">
        <v>2198</v>
      </c>
      <c r="C410" s="45" t="s">
        <v>62</v>
      </c>
      <c r="D410" s="46" t="s">
        <v>1736</v>
      </c>
      <c r="E410" s="15" t="s">
        <v>233</v>
      </c>
      <c r="F410" s="46">
        <v>2</v>
      </c>
      <c r="H410" s="45" t="s">
        <v>193</v>
      </c>
      <c r="I410" s="15" t="s">
        <v>194</v>
      </c>
      <c r="J410" s="15" t="s">
        <v>1955</v>
      </c>
      <c r="K410" s="15" t="s">
        <v>2199</v>
      </c>
      <c r="L410" s="47" t="s">
        <v>601</v>
      </c>
      <c r="M410" s="47" t="str">
        <f t="shared" si="6"/>
        <v>313904</v>
      </c>
      <c r="N410" s="47">
        <v>2</v>
      </c>
      <c r="O410" s="65">
        <v>310</v>
      </c>
      <c r="P410" s="15"/>
    </row>
    <row r="411" spans="1:16" x14ac:dyDescent="0.25">
      <c r="A411" s="15" t="s">
        <v>2200</v>
      </c>
      <c r="B411" s="15" t="s">
        <v>1280</v>
      </c>
      <c r="C411" s="45" t="s">
        <v>62</v>
      </c>
      <c r="D411" s="46" t="s">
        <v>1736</v>
      </c>
      <c r="E411" s="15" t="s">
        <v>192</v>
      </c>
      <c r="F411" s="46">
        <v>1</v>
      </c>
      <c r="H411" s="45" t="s">
        <v>193</v>
      </c>
      <c r="I411" s="15" t="s">
        <v>194</v>
      </c>
      <c r="J411" s="15" t="s">
        <v>1737</v>
      </c>
      <c r="K411" s="15" t="s">
        <v>2201</v>
      </c>
      <c r="L411" s="47" t="s">
        <v>601</v>
      </c>
      <c r="M411" s="47" t="str">
        <f t="shared" si="6"/>
        <v>313904</v>
      </c>
      <c r="N411" s="47">
        <v>3</v>
      </c>
      <c r="O411" s="65">
        <v>1</v>
      </c>
      <c r="P411" s="15"/>
    </row>
    <row r="412" spans="1:16" x14ac:dyDescent="0.25">
      <c r="A412" s="15" t="s">
        <v>800</v>
      </c>
      <c r="B412" s="15" t="s">
        <v>2202</v>
      </c>
      <c r="C412" s="45" t="s">
        <v>62</v>
      </c>
      <c r="D412" s="46" t="s">
        <v>1740</v>
      </c>
      <c r="E412" s="15" t="s">
        <v>192</v>
      </c>
      <c r="F412" s="46">
        <v>1</v>
      </c>
      <c r="H412" s="45" t="s">
        <v>193</v>
      </c>
      <c r="I412" s="15" t="s">
        <v>194</v>
      </c>
      <c r="J412" s="15" t="s">
        <v>1752</v>
      </c>
      <c r="K412" s="15" t="s">
        <v>473</v>
      </c>
      <c r="L412" s="47" t="s">
        <v>601</v>
      </c>
      <c r="M412" s="47" t="str">
        <f t="shared" si="6"/>
        <v>313904</v>
      </c>
      <c r="N412" s="47">
        <v>4</v>
      </c>
      <c r="O412" s="65">
        <v>2</v>
      </c>
      <c r="P412" s="15"/>
    </row>
    <row r="413" spans="1:16" x14ac:dyDescent="0.25">
      <c r="A413" s="15" t="s">
        <v>540</v>
      </c>
      <c r="B413" s="15" t="s">
        <v>356</v>
      </c>
      <c r="C413" s="45" t="s">
        <v>62</v>
      </c>
      <c r="D413" s="46" t="s">
        <v>1761</v>
      </c>
      <c r="E413" s="15" t="s">
        <v>217</v>
      </c>
      <c r="F413" s="46">
        <v>1</v>
      </c>
      <c r="H413" s="45" t="s">
        <v>193</v>
      </c>
      <c r="I413" s="15" t="s">
        <v>194</v>
      </c>
      <c r="J413" s="15" t="s">
        <v>1759</v>
      </c>
      <c r="K413" s="15" t="s">
        <v>223</v>
      </c>
      <c r="L413" s="47" t="s">
        <v>601</v>
      </c>
      <c r="M413" s="47" t="str">
        <f t="shared" si="6"/>
        <v>313904</v>
      </c>
      <c r="N413" s="47">
        <v>5</v>
      </c>
      <c r="O413" s="65">
        <v>3</v>
      </c>
      <c r="P413" s="15"/>
    </row>
    <row r="414" spans="1:16" s="42" customFormat="1" ht="14.25" x14ac:dyDescent="0.2">
      <c r="C414" s="42" t="s">
        <v>113</v>
      </c>
      <c r="D414" s="43"/>
      <c r="F414" s="43"/>
      <c r="G414" s="43">
        <f>SUM(F415:F418)</f>
        <v>4</v>
      </c>
      <c r="L414" s="44"/>
      <c r="M414" s="44" t="str">
        <f t="shared" si="6"/>
        <v/>
      </c>
      <c r="N414" s="44"/>
      <c r="O414" s="43"/>
    </row>
    <row r="415" spans="1:16" x14ac:dyDescent="0.25">
      <c r="A415" s="15" t="s">
        <v>2203</v>
      </c>
      <c r="B415" s="15" t="s">
        <v>2204</v>
      </c>
      <c r="C415" s="45" t="s">
        <v>113</v>
      </c>
      <c r="D415" s="46" t="s">
        <v>1728</v>
      </c>
      <c r="E415" s="15" t="s">
        <v>217</v>
      </c>
      <c r="F415" s="46">
        <v>1</v>
      </c>
      <c r="H415" s="45" t="s">
        <v>193</v>
      </c>
      <c r="I415" s="15" t="s">
        <v>194</v>
      </c>
      <c r="J415" s="15" t="s">
        <v>1732</v>
      </c>
      <c r="K415" s="15" t="s">
        <v>210</v>
      </c>
      <c r="L415" s="47" t="s">
        <v>465</v>
      </c>
      <c r="M415" s="47" t="str">
        <f t="shared" si="6"/>
        <v>243302</v>
      </c>
      <c r="N415" s="47">
        <v>1</v>
      </c>
      <c r="O415" s="65">
        <v>4</v>
      </c>
      <c r="P415" s="15"/>
    </row>
    <row r="416" spans="1:16" x14ac:dyDescent="0.25">
      <c r="A416" s="15" t="s">
        <v>1651</v>
      </c>
      <c r="B416" s="15" t="s">
        <v>2205</v>
      </c>
      <c r="C416" s="45" t="s">
        <v>113</v>
      </c>
      <c r="D416" s="46" t="s">
        <v>1728</v>
      </c>
      <c r="E416" s="15" t="s">
        <v>192</v>
      </c>
      <c r="F416" s="46">
        <v>1</v>
      </c>
      <c r="H416" s="45" t="s">
        <v>193</v>
      </c>
      <c r="I416" s="15" t="s">
        <v>194</v>
      </c>
      <c r="J416" s="15" t="s">
        <v>1759</v>
      </c>
      <c r="K416" s="15" t="s">
        <v>238</v>
      </c>
      <c r="L416" s="47" t="s">
        <v>465</v>
      </c>
      <c r="M416" s="47" t="str">
        <f t="shared" si="6"/>
        <v>243302</v>
      </c>
      <c r="N416" s="47">
        <v>2</v>
      </c>
      <c r="O416" s="65">
        <v>5</v>
      </c>
      <c r="P416" s="15"/>
    </row>
    <row r="417" spans="1:16" x14ac:dyDescent="0.25">
      <c r="A417" s="15" t="s">
        <v>413</v>
      </c>
      <c r="B417" s="15" t="s">
        <v>113</v>
      </c>
      <c r="C417" s="45" t="s">
        <v>113</v>
      </c>
      <c r="D417" s="46" t="s">
        <v>1745</v>
      </c>
      <c r="E417" s="15" t="s">
        <v>192</v>
      </c>
      <c r="F417" s="46">
        <v>1</v>
      </c>
      <c r="H417" s="45" t="s">
        <v>193</v>
      </c>
      <c r="I417" s="15" t="s">
        <v>194</v>
      </c>
      <c r="J417" s="15" t="s">
        <v>2206</v>
      </c>
      <c r="K417" s="15" t="s">
        <v>276</v>
      </c>
      <c r="L417" s="47" t="s">
        <v>465</v>
      </c>
      <c r="M417" s="47" t="str">
        <f t="shared" si="6"/>
        <v>243302</v>
      </c>
      <c r="N417" s="47">
        <v>3</v>
      </c>
      <c r="O417" s="65">
        <v>6</v>
      </c>
      <c r="P417" s="15"/>
    </row>
    <row r="418" spans="1:16" x14ac:dyDescent="0.25">
      <c r="A418" s="15" t="s">
        <v>2207</v>
      </c>
      <c r="B418" s="15" t="s">
        <v>2208</v>
      </c>
      <c r="C418" s="45" t="s">
        <v>113</v>
      </c>
      <c r="D418" s="46" t="s">
        <v>1728</v>
      </c>
      <c r="E418" s="15" t="s">
        <v>192</v>
      </c>
      <c r="F418" s="46">
        <v>1</v>
      </c>
      <c r="H418" s="45" t="s">
        <v>193</v>
      </c>
      <c r="I418" s="15" t="s">
        <v>194</v>
      </c>
      <c r="J418" s="15" t="s">
        <v>1754</v>
      </c>
      <c r="K418" s="15" t="s">
        <v>210</v>
      </c>
      <c r="L418" s="47" t="s">
        <v>465</v>
      </c>
      <c r="M418" s="47" t="str">
        <f t="shared" si="6"/>
        <v>243302</v>
      </c>
      <c r="N418" s="47">
        <v>4</v>
      </c>
      <c r="O418" s="65">
        <v>7</v>
      </c>
      <c r="P418" s="15"/>
    </row>
    <row r="419" spans="1:16" s="42" customFormat="1" ht="14.25" x14ac:dyDescent="0.2">
      <c r="C419" s="42" t="s">
        <v>159</v>
      </c>
      <c r="D419" s="43"/>
      <c r="F419" s="43"/>
      <c r="G419" s="43">
        <f>SUM(F420)</f>
        <v>1</v>
      </c>
      <c r="L419" s="44"/>
      <c r="M419" s="44" t="str">
        <f t="shared" si="6"/>
        <v/>
      </c>
      <c r="N419" s="44"/>
      <c r="O419" s="43"/>
    </row>
    <row r="420" spans="1:16" x14ac:dyDescent="0.25">
      <c r="A420" s="15" t="s">
        <v>1885</v>
      </c>
      <c r="B420" s="15" t="s">
        <v>2209</v>
      </c>
      <c r="C420" s="45" t="s">
        <v>159</v>
      </c>
      <c r="D420" s="46" t="s">
        <v>1740</v>
      </c>
      <c r="E420" s="15" t="s">
        <v>192</v>
      </c>
      <c r="F420" s="46">
        <v>1</v>
      </c>
      <c r="H420" s="45" t="s">
        <v>193</v>
      </c>
      <c r="I420" s="15" t="s">
        <v>194</v>
      </c>
      <c r="J420" s="15" t="s">
        <v>1746</v>
      </c>
      <c r="K420" s="15" t="s">
        <v>210</v>
      </c>
      <c r="L420" s="47" t="s">
        <v>2210</v>
      </c>
      <c r="M420" s="47" t="str">
        <f t="shared" si="6"/>
        <v>333201</v>
      </c>
      <c r="O420" s="65">
        <v>8</v>
      </c>
      <c r="P420" s="15"/>
    </row>
    <row r="421" spans="1:16" s="42" customFormat="1" ht="14.25" x14ac:dyDescent="0.2">
      <c r="C421" s="42" t="s">
        <v>142</v>
      </c>
      <c r="D421" s="43"/>
      <c r="F421" s="43"/>
      <c r="G421" s="43">
        <f>SUM(F422)</f>
        <v>1</v>
      </c>
      <c r="L421" s="44"/>
      <c r="M421" s="44" t="str">
        <f t="shared" si="6"/>
        <v/>
      </c>
      <c r="N421" s="44"/>
      <c r="O421" s="43"/>
    </row>
    <row r="422" spans="1:16" x14ac:dyDescent="0.25">
      <c r="A422" s="15" t="s">
        <v>2211</v>
      </c>
      <c r="B422" s="15" t="s">
        <v>2212</v>
      </c>
      <c r="C422" s="45" t="s">
        <v>142</v>
      </c>
      <c r="D422" s="46" t="s">
        <v>1745</v>
      </c>
      <c r="E422" s="15" t="s">
        <v>192</v>
      </c>
      <c r="F422" s="46">
        <v>1</v>
      </c>
      <c r="H422" s="45" t="s">
        <v>193</v>
      </c>
      <c r="I422" s="15" t="s">
        <v>194</v>
      </c>
      <c r="J422" s="15" t="s">
        <v>1732</v>
      </c>
      <c r="K422" s="15" t="s">
        <v>267</v>
      </c>
      <c r="L422" s="47" t="s">
        <v>2213</v>
      </c>
      <c r="M422" s="47" t="str">
        <f t="shared" si="6"/>
        <v>524402</v>
      </c>
      <c r="O422" s="65">
        <v>9</v>
      </c>
      <c r="P422" s="15"/>
    </row>
    <row r="423" spans="1:16" s="42" customFormat="1" ht="14.25" x14ac:dyDescent="0.2">
      <c r="C423" s="42" t="s">
        <v>96</v>
      </c>
      <c r="D423" s="43"/>
      <c r="F423" s="43"/>
      <c r="G423" s="43">
        <f>SUM(F424:F425)</f>
        <v>2</v>
      </c>
      <c r="L423" s="44"/>
      <c r="M423" s="44" t="str">
        <f t="shared" si="6"/>
        <v/>
      </c>
      <c r="N423" s="44"/>
      <c r="O423" s="43"/>
    </row>
    <row r="424" spans="1:16" x14ac:dyDescent="0.25">
      <c r="A424" s="15" t="s">
        <v>615</v>
      </c>
      <c r="B424" s="15" t="s">
        <v>2214</v>
      </c>
      <c r="C424" s="45" t="s">
        <v>2215</v>
      </c>
      <c r="D424" s="46" t="s">
        <v>1740</v>
      </c>
      <c r="E424" s="15" t="s">
        <v>233</v>
      </c>
      <c r="F424" s="46">
        <v>1</v>
      </c>
      <c r="H424" s="45" t="s">
        <v>193</v>
      </c>
      <c r="I424" s="15" t="s">
        <v>194</v>
      </c>
      <c r="J424" s="15" t="s">
        <v>1752</v>
      </c>
      <c r="K424" s="15" t="s">
        <v>316</v>
      </c>
      <c r="L424" s="47" t="s">
        <v>2216</v>
      </c>
      <c r="M424" s="47" t="str">
        <f t="shared" si="6"/>
        <v>331103</v>
      </c>
      <c r="O424" s="65">
        <v>320</v>
      </c>
      <c r="P424" s="15"/>
    </row>
    <row r="425" spans="1:16" x14ac:dyDescent="0.25">
      <c r="A425" s="15" t="s">
        <v>2217</v>
      </c>
      <c r="B425" s="15" t="s">
        <v>2218</v>
      </c>
      <c r="C425" s="45" t="s">
        <v>1148</v>
      </c>
      <c r="D425" s="46" t="s">
        <v>1740</v>
      </c>
      <c r="E425" s="15" t="s">
        <v>192</v>
      </c>
      <c r="F425" s="46">
        <v>1</v>
      </c>
      <c r="H425" s="45" t="s">
        <v>193</v>
      </c>
      <c r="I425" s="15" t="s">
        <v>194</v>
      </c>
      <c r="J425" s="15" t="s">
        <v>1772</v>
      </c>
      <c r="K425" s="15" t="s">
        <v>210</v>
      </c>
      <c r="L425" s="47" t="s">
        <v>1150</v>
      </c>
      <c r="M425" s="47" t="str">
        <f t="shared" si="6"/>
        <v>244001</v>
      </c>
      <c r="O425" s="65">
        <v>1</v>
      </c>
      <c r="P425" s="15"/>
    </row>
    <row r="426" spans="1:16" s="42" customFormat="1" ht="14.25" x14ac:dyDescent="0.2">
      <c r="C426" s="42" t="s">
        <v>58</v>
      </c>
      <c r="D426" s="43"/>
      <c r="F426" s="43"/>
      <c r="G426" s="43">
        <f>SUM(F427)</f>
        <v>1</v>
      </c>
      <c r="L426" s="44"/>
      <c r="M426" s="44" t="str">
        <f t="shared" si="6"/>
        <v/>
      </c>
      <c r="N426" s="44"/>
      <c r="O426" s="43"/>
    </row>
    <row r="427" spans="1:16" x14ac:dyDescent="0.25">
      <c r="A427" s="15" t="s">
        <v>2093</v>
      </c>
      <c r="B427" s="15" t="s">
        <v>58</v>
      </c>
      <c r="C427" s="45" t="s">
        <v>58</v>
      </c>
      <c r="D427" s="46" t="s">
        <v>1803</v>
      </c>
      <c r="E427" s="15" t="s">
        <v>233</v>
      </c>
      <c r="F427" s="46">
        <v>1</v>
      </c>
      <c r="H427" s="45" t="s">
        <v>193</v>
      </c>
      <c r="I427" s="15" t="s">
        <v>194</v>
      </c>
      <c r="J427" s="15" t="s">
        <v>1732</v>
      </c>
      <c r="K427" s="15" t="s">
        <v>1059</v>
      </c>
      <c r="L427" s="47" t="s">
        <v>2219</v>
      </c>
      <c r="M427" s="47" t="str">
        <f t="shared" si="6"/>
        <v>421402</v>
      </c>
      <c r="O427" s="65">
        <v>2</v>
      </c>
      <c r="P427" s="15"/>
    </row>
    <row r="428" spans="1:16" s="42" customFormat="1" ht="14.25" x14ac:dyDescent="0.2">
      <c r="C428" s="42" t="s">
        <v>78</v>
      </c>
      <c r="D428" s="43"/>
      <c r="F428" s="43"/>
      <c r="G428" s="43">
        <f>SUM(F429)</f>
        <v>1</v>
      </c>
      <c r="L428" s="44"/>
      <c r="M428" s="44" t="str">
        <f t="shared" si="6"/>
        <v/>
      </c>
      <c r="N428" s="44"/>
      <c r="O428" s="43"/>
    </row>
    <row r="429" spans="1:16" x14ac:dyDescent="0.25">
      <c r="A429" s="15" t="s">
        <v>2220</v>
      </c>
      <c r="B429" s="15" t="s">
        <v>2221</v>
      </c>
      <c r="C429" s="45" t="s">
        <v>78</v>
      </c>
      <c r="D429" s="46" t="s">
        <v>1779</v>
      </c>
      <c r="E429" s="15" t="s">
        <v>192</v>
      </c>
      <c r="F429" s="46">
        <v>1</v>
      </c>
      <c r="H429" s="45" t="s">
        <v>193</v>
      </c>
      <c r="I429" s="15" t="s">
        <v>194</v>
      </c>
      <c r="J429" s="15" t="s">
        <v>1752</v>
      </c>
      <c r="K429" s="15" t="s">
        <v>473</v>
      </c>
      <c r="L429" s="47" t="s">
        <v>2222</v>
      </c>
      <c r="M429" s="47" t="str">
        <f t="shared" si="6"/>
        <v>931205</v>
      </c>
      <c r="O429" s="65">
        <v>3</v>
      </c>
      <c r="P429" s="15"/>
    </row>
    <row r="430" spans="1:16" s="42" customFormat="1" ht="14.25" x14ac:dyDescent="0.2">
      <c r="C430" s="42" t="s">
        <v>135</v>
      </c>
      <c r="D430" s="43"/>
      <c r="F430" s="43"/>
      <c r="G430" s="43">
        <f>SUM(F431:F432)</f>
        <v>2</v>
      </c>
      <c r="L430" s="44"/>
      <c r="M430" s="44" t="str">
        <f t="shared" si="6"/>
        <v/>
      </c>
      <c r="N430" s="44"/>
      <c r="O430" s="43"/>
    </row>
    <row r="431" spans="1:16" x14ac:dyDescent="0.25">
      <c r="A431" s="48" t="s">
        <v>2223</v>
      </c>
      <c r="B431" s="15" t="s">
        <v>2224</v>
      </c>
      <c r="C431" s="45" t="s">
        <v>135</v>
      </c>
      <c r="D431" s="46" t="s">
        <v>1761</v>
      </c>
      <c r="E431" s="15" t="s">
        <v>192</v>
      </c>
      <c r="F431" s="46">
        <v>1</v>
      </c>
      <c r="H431" s="45" t="s">
        <v>193</v>
      </c>
      <c r="I431" s="15" t="s">
        <v>194</v>
      </c>
      <c r="J431" s="15" t="s">
        <v>1772</v>
      </c>
      <c r="K431" s="15" t="s">
        <v>210</v>
      </c>
      <c r="L431" s="47" t="s">
        <v>1452</v>
      </c>
      <c r="M431" s="47" t="str">
        <f t="shared" si="6"/>
        <v>311410</v>
      </c>
      <c r="N431" s="47">
        <v>1</v>
      </c>
      <c r="O431" s="65">
        <v>4</v>
      </c>
      <c r="P431" s="15"/>
    </row>
    <row r="432" spans="1:16" x14ac:dyDescent="0.25">
      <c r="A432" s="48" t="s">
        <v>1376</v>
      </c>
      <c r="B432" s="15" t="s">
        <v>2225</v>
      </c>
      <c r="C432" s="45" t="s">
        <v>2226</v>
      </c>
      <c r="D432" s="46" t="s">
        <v>1779</v>
      </c>
      <c r="E432" s="15" t="s">
        <v>192</v>
      </c>
      <c r="F432" s="46">
        <v>1</v>
      </c>
      <c r="H432" s="45" t="s">
        <v>193</v>
      </c>
      <c r="I432" s="15" t="s">
        <v>194</v>
      </c>
      <c r="J432" s="15" t="s">
        <v>1772</v>
      </c>
      <c r="K432" s="15" t="s">
        <v>210</v>
      </c>
      <c r="L432" s="47" t="s">
        <v>1452</v>
      </c>
      <c r="M432" s="47" t="str">
        <f t="shared" si="6"/>
        <v>311410</v>
      </c>
      <c r="N432" s="47">
        <v>2</v>
      </c>
      <c r="O432" s="65">
        <v>5</v>
      </c>
      <c r="P432" s="15"/>
    </row>
    <row r="433" spans="1:16" s="42" customFormat="1" ht="14.25" x14ac:dyDescent="0.2">
      <c r="C433" s="42" t="s">
        <v>145</v>
      </c>
      <c r="D433" s="43"/>
      <c r="F433" s="43"/>
      <c r="G433" s="43">
        <f>SUM(F434)</f>
        <v>1</v>
      </c>
      <c r="L433" s="44"/>
      <c r="M433" s="44" t="str">
        <f t="shared" si="6"/>
        <v/>
      </c>
      <c r="N433" s="44"/>
      <c r="O433" s="43"/>
    </row>
    <row r="434" spans="1:16" x14ac:dyDescent="0.25">
      <c r="A434" s="48" t="s">
        <v>2227</v>
      </c>
      <c r="B434" s="15" t="s">
        <v>2228</v>
      </c>
      <c r="C434" s="45" t="s">
        <v>145</v>
      </c>
      <c r="D434" s="46" t="s">
        <v>1731</v>
      </c>
      <c r="E434" s="15" t="s">
        <v>192</v>
      </c>
      <c r="F434" s="46">
        <v>1</v>
      </c>
      <c r="H434" s="45" t="s">
        <v>193</v>
      </c>
      <c r="I434" s="15" t="s">
        <v>194</v>
      </c>
      <c r="J434" s="15" t="s">
        <v>1955</v>
      </c>
      <c r="K434" s="15" t="s">
        <v>2229</v>
      </c>
      <c r="L434" s="47" t="s">
        <v>2230</v>
      </c>
      <c r="M434" s="47" t="str">
        <f t="shared" si="6"/>
        <v>524990</v>
      </c>
      <c r="O434" s="65">
        <v>6</v>
      </c>
      <c r="P434" s="15"/>
    </row>
    <row r="435" spans="1:16" s="42" customFormat="1" ht="14.25" x14ac:dyDescent="0.2">
      <c r="C435" s="42" t="s">
        <v>15</v>
      </c>
      <c r="D435" s="43"/>
      <c r="F435" s="43"/>
      <c r="G435" s="43">
        <f>SUM(F436)</f>
        <v>1</v>
      </c>
      <c r="L435" s="44"/>
      <c r="M435" s="44" t="str">
        <f t="shared" si="6"/>
        <v/>
      </c>
      <c r="N435" s="44"/>
      <c r="O435" s="43"/>
    </row>
    <row r="436" spans="1:16" x14ac:dyDescent="0.25">
      <c r="A436" s="48" t="s">
        <v>2180</v>
      </c>
      <c r="B436" s="15" t="s">
        <v>2231</v>
      </c>
      <c r="C436" s="45" t="s">
        <v>15</v>
      </c>
      <c r="D436" s="46" t="s">
        <v>1732</v>
      </c>
      <c r="E436" s="15" t="s">
        <v>192</v>
      </c>
      <c r="F436" s="46">
        <v>1</v>
      </c>
      <c r="H436" s="45" t="s">
        <v>193</v>
      </c>
      <c r="I436" s="15" t="s">
        <v>194</v>
      </c>
      <c r="J436" s="15" t="s">
        <v>1955</v>
      </c>
      <c r="K436" s="15" t="s">
        <v>253</v>
      </c>
      <c r="L436" s="47" t="s">
        <v>2232</v>
      </c>
      <c r="M436" s="47" t="str">
        <f t="shared" si="6"/>
        <v>912990</v>
      </c>
      <c r="O436" s="65">
        <v>7</v>
      </c>
      <c r="P436" s="15"/>
    </row>
    <row r="437" spans="1:16" s="42" customFormat="1" ht="14.25" x14ac:dyDescent="0.2">
      <c r="C437" s="42" t="s">
        <v>68</v>
      </c>
      <c r="D437" s="43"/>
      <c r="F437" s="43"/>
      <c r="G437" s="43">
        <f>SUM(F438:F442)</f>
        <v>5</v>
      </c>
      <c r="L437" s="44"/>
      <c r="M437" s="44" t="str">
        <f t="shared" si="6"/>
        <v/>
      </c>
      <c r="N437" s="44"/>
      <c r="O437" s="43"/>
    </row>
    <row r="438" spans="1:16" x14ac:dyDescent="0.25">
      <c r="A438" s="48" t="s">
        <v>2233</v>
      </c>
      <c r="B438" s="15" t="s">
        <v>2234</v>
      </c>
      <c r="C438" s="45" t="s">
        <v>68</v>
      </c>
      <c r="D438" s="46" t="s">
        <v>1728</v>
      </c>
      <c r="E438" s="15" t="s">
        <v>192</v>
      </c>
      <c r="F438" s="46">
        <v>1</v>
      </c>
      <c r="H438" s="45" t="s">
        <v>193</v>
      </c>
      <c r="I438" s="15" t="s">
        <v>194</v>
      </c>
      <c r="J438" s="15" t="s">
        <v>1776</v>
      </c>
      <c r="K438" s="15" t="s">
        <v>276</v>
      </c>
      <c r="L438" s="47" t="s">
        <v>2235</v>
      </c>
      <c r="M438" s="47" t="str">
        <f t="shared" si="6"/>
        <v>242403</v>
      </c>
      <c r="N438" s="47">
        <v>1</v>
      </c>
      <c r="O438" s="65">
        <v>8</v>
      </c>
      <c r="P438" s="15"/>
    </row>
    <row r="439" spans="1:16" x14ac:dyDescent="0.25">
      <c r="A439" s="48" t="s">
        <v>2236</v>
      </c>
      <c r="B439" s="15" t="s">
        <v>2237</v>
      </c>
      <c r="C439" s="45" t="s">
        <v>68</v>
      </c>
      <c r="D439" s="46" t="s">
        <v>1740</v>
      </c>
      <c r="E439" s="15" t="s">
        <v>192</v>
      </c>
      <c r="F439" s="46">
        <v>1</v>
      </c>
      <c r="H439" s="45" t="s">
        <v>193</v>
      </c>
      <c r="I439" s="15" t="s">
        <v>194</v>
      </c>
      <c r="J439" s="15" t="s">
        <v>1776</v>
      </c>
      <c r="K439" s="15" t="s">
        <v>210</v>
      </c>
      <c r="L439" s="47" t="s">
        <v>2235</v>
      </c>
      <c r="M439" s="47" t="str">
        <f t="shared" si="6"/>
        <v>242403</v>
      </c>
      <c r="N439" s="47">
        <v>2</v>
      </c>
      <c r="O439" s="65">
        <v>9</v>
      </c>
      <c r="P439" s="15"/>
    </row>
    <row r="440" spans="1:16" x14ac:dyDescent="0.25">
      <c r="A440" s="48" t="s">
        <v>2236</v>
      </c>
      <c r="B440" s="15" t="s">
        <v>2238</v>
      </c>
      <c r="C440" s="45" t="s">
        <v>68</v>
      </c>
      <c r="D440" s="46" t="s">
        <v>1740</v>
      </c>
      <c r="E440" s="15" t="s">
        <v>192</v>
      </c>
      <c r="F440" s="46">
        <v>1</v>
      </c>
      <c r="H440" s="45" t="s">
        <v>193</v>
      </c>
      <c r="I440" s="15" t="s">
        <v>194</v>
      </c>
      <c r="J440" s="15" t="s">
        <v>1776</v>
      </c>
      <c r="K440" s="15" t="s">
        <v>210</v>
      </c>
      <c r="L440" s="47" t="s">
        <v>2235</v>
      </c>
      <c r="M440" s="47" t="str">
        <f t="shared" si="6"/>
        <v>242403</v>
      </c>
      <c r="N440" s="47">
        <v>3</v>
      </c>
      <c r="O440" s="65">
        <v>330</v>
      </c>
      <c r="P440" s="15"/>
    </row>
    <row r="441" spans="1:16" x14ac:dyDescent="0.25">
      <c r="A441" s="48" t="s">
        <v>2236</v>
      </c>
      <c r="B441" s="15" t="s">
        <v>2239</v>
      </c>
      <c r="C441" s="45" t="s">
        <v>68</v>
      </c>
      <c r="D441" s="46" t="s">
        <v>1740</v>
      </c>
      <c r="E441" s="15" t="s">
        <v>192</v>
      </c>
      <c r="F441" s="46">
        <v>1</v>
      </c>
      <c r="H441" s="45" t="s">
        <v>193</v>
      </c>
      <c r="I441" s="15" t="s">
        <v>194</v>
      </c>
      <c r="J441" s="15" t="s">
        <v>1776</v>
      </c>
      <c r="K441" s="15" t="s">
        <v>210</v>
      </c>
      <c r="L441" s="47" t="s">
        <v>2235</v>
      </c>
      <c r="M441" s="47" t="str">
        <f t="shared" si="6"/>
        <v>242403</v>
      </c>
      <c r="N441" s="47">
        <v>4</v>
      </c>
      <c r="O441" s="65">
        <v>1</v>
      </c>
      <c r="P441" s="15"/>
    </row>
    <row r="442" spans="1:16" x14ac:dyDescent="0.25">
      <c r="A442" s="15" t="s">
        <v>2236</v>
      </c>
      <c r="B442" s="15" t="s">
        <v>2237</v>
      </c>
      <c r="C442" s="45" t="s">
        <v>68</v>
      </c>
      <c r="D442" s="46" t="s">
        <v>1731</v>
      </c>
      <c r="E442" s="15" t="s">
        <v>192</v>
      </c>
      <c r="F442" s="46">
        <v>1</v>
      </c>
      <c r="H442" s="45" t="s">
        <v>193</v>
      </c>
      <c r="I442" s="15" t="s">
        <v>194</v>
      </c>
      <c r="J442" s="15" t="s">
        <v>1734</v>
      </c>
      <c r="K442" s="15" t="s">
        <v>210</v>
      </c>
      <c r="L442" s="47" t="s">
        <v>2235</v>
      </c>
      <c r="M442" s="47" t="str">
        <f t="shared" si="6"/>
        <v>242403</v>
      </c>
      <c r="N442" s="47">
        <v>5</v>
      </c>
      <c r="O442" s="65">
        <v>2</v>
      </c>
      <c r="P442" s="15"/>
    </row>
    <row r="443" spans="1:16" s="42" customFormat="1" ht="14.25" x14ac:dyDescent="0.2">
      <c r="C443" s="42" t="s">
        <v>148</v>
      </c>
      <c r="D443" s="43"/>
      <c r="F443" s="43"/>
      <c r="G443" s="43">
        <f>SUM(F444)</f>
        <v>1</v>
      </c>
      <c r="L443" s="44"/>
      <c r="M443" s="44" t="str">
        <f t="shared" si="6"/>
        <v/>
      </c>
      <c r="N443" s="44"/>
      <c r="O443" s="43"/>
    </row>
    <row r="444" spans="1:16" x14ac:dyDescent="0.25">
      <c r="A444" s="15" t="s">
        <v>2005</v>
      </c>
      <c r="B444" s="15" t="s">
        <v>2240</v>
      </c>
      <c r="C444" s="45" t="s">
        <v>148</v>
      </c>
      <c r="D444" s="46" t="s">
        <v>1731</v>
      </c>
      <c r="E444" s="15" t="s">
        <v>192</v>
      </c>
      <c r="F444" s="46">
        <v>1</v>
      </c>
      <c r="H444" s="45" t="s">
        <v>193</v>
      </c>
      <c r="I444" s="15" t="s">
        <v>194</v>
      </c>
      <c r="J444" s="15" t="s">
        <v>1776</v>
      </c>
      <c r="K444" s="15" t="s">
        <v>210</v>
      </c>
      <c r="L444" s="47" t="s">
        <v>661</v>
      </c>
      <c r="M444" s="47" t="str">
        <f t="shared" si="6"/>
        <v>333104</v>
      </c>
      <c r="O444" s="65">
        <v>3</v>
      </c>
      <c r="P444" s="15"/>
    </row>
    <row r="445" spans="1:16" s="42" customFormat="1" ht="14.25" x14ac:dyDescent="0.2">
      <c r="C445" s="42" t="s">
        <v>117</v>
      </c>
      <c r="D445" s="43"/>
      <c r="F445" s="43"/>
      <c r="G445" s="43">
        <f>SUM(F446)</f>
        <v>1</v>
      </c>
      <c r="L445" s="44"/>
      <c r="M445" s="44" t="str">
        <f t="shared" si="6"/>
        <v/>
      </c>
      <c r="N445" s="44"/>
      <c r="O445" s="43"/>
    </row>
    <row r="446" spans="1:16" x14ac:dyDescent="0.25">
      <c r="A446" s="15" t="s">
        <v>1358</v>
      </c>
      <c r="B446" s="15" t="s">
        <v>2241</v>
      </c>
      <c r="C446" s="45" t="s">
        <v>117</v>
      </c>
      <c r="D446" s="46" t="s">
        <v>1740</v>
      </c>
      <c r="E446" s="15" t="s">
        <v>192</v>
      </c>
      <c r="F446" s="46">
        <v>1</v>
      </c>
      <c r="H446" s="45" t="s">
        <v>193</v>
      </c>
      <c r="I446" s="15" t="s">
        <v>194</v>
      </c>
      <c r="J446" s="15" t="s">
        <v>1764</v>
      </c>
      <c r="K446" s="15" t="s">
        <v>408</v>
      </c>
      <c r="L446" s="47" t="s">
        <v>2242</v>
      </c>
      <c r="M446" s="47" t="str">
        <f t="shared" si="6"/>
        <v>431301</v>
      </c>
      <c r="O446" s="65">
        <v>4</v>
      </c>
      <c r="P446" s="15"/>
    </row>
    <row r="447" spans="1:16" s="42" customFormat="1" ht="14.25" x14ac:dyDescent="0.2">
      <c r="C447" s="42" t="s">
        <v>89</v>
      </c>
      <c r="D447" s="43"/>
      <c r="F447" s="43"/>
      <c r="G447" s="43">
        <f>SUM(F448)</f>
        <v>1</v>
      </c>
      <c r="L447" s="44"/>
      <c r="M447" s="44" t="str">
        <f t="shared" si="6"/>
        <v/>
      </c>
      <c r="N447" s="44"/>
      <c r="O447" s="43"/>
    </row>
    <row r="448" spans="1:16" x14ac:dyDescent="0.25">
      <c r="A448" s="15" t="s">
        <v>1885</v>
      </c>
      <c r="B448" s="15" t="s">
        <v>2243</v>
      </c>
      <c r="C448" s="45" t="s">
        <v>89</v>
      </c>
      <c r="D448" s="46" t="s">
        <v>1728</v>
      </c>
      <c r="E448" s="15" t="s">
        <v>192</v>
      </c>
      <c r="F448" s="46">
        <v>1</v>
      </c>
      <c r="H448" s="45" t="s">
        <v>193</v>
      </c>
      <c r="I448" s="15" t="s">
        <v>194</v>
      </c>
      <c r="J448" s="15" t="s">
        <v>1915</v>
      </c>
      <c r="K448" s="15" t="s">
        <v>210</v>
      </c>
      <c r="L448" s="47" t="s">
        <v>2244</v>
      </c>
      <c r="M448" s="47" t="str">
        <f t="shared" si="6"/>
        <v>541307</v>
      </c>
      <c r="O448" s="65">
        <v>5</v>
      </c>
      <c r="P448" s="15"/>
    </row>
    <row r="449" spans="1:16" s="42" customFormat="1" ht="14.25" x14ac:dyDescent="0.2">
      <c r="C449" s="42" t="s">
        <v>151</v>
      </c>
      <c r="D449" s="43"/>
      <c r="F449" s="43"/>
      <c r="G449" s="43">
        <f>SUM(F450)</f>
        <v>1</v>
      </c>
      <c r="L449" s="44"/>
      <c r="M449" s="44" t="str">
        <f t="shared" si="6"/>
        <v/>
      </c>
      <c r="N449" s="44"/>
      <c r="O449" s="43"/>
    </row>
    <row r="450" spans="1:16" x14ac:dyDescent="0.25">
      <c r="A450" s="15" t="s">
        <v>796</v>
      </c>
      <c r="B450" s="15" t="s">
        <v>2245</v>
      </c>
      <c r="C450" s="45" t="s">
        <v>151</v>
      </c>
      <c r="D450" s="46" t="s">
        <v>1779</v>
      </c>
      <c r="E450" s="15" t="s">
        <v>233</v>
      </c>
      <c r="F450" s="46">
        <v>1</v>
      </c>
      <c r="H450" s="45" t="s">
        <v>193</v>
      </c>
      <c r="I450" s="15" t="s">
        <v>194</v>
      </c>
      <c r="J450" s="15" t="s">
        <v>1732</v>
      </c>
      <c r="K450" s="15" t="s">
        <v>210</v>
      </c>
      <c r="L450" s="47" t="s">
        <v>1691</v>
      </c>
      <c r="M450" s="47" t="str">
        <f t="shared" si="6"/>
        <v>933401</v>
      </c>
      <c r="O450" s="65">
        <v>6</v>
      </c>
      <c r="P450" s="15"/>
    </row>
    <row r="451" spans="1:16" s="42" customFormat="1" ht="14.25" customHeight="1" x14ac:dyDescent="0.2">
      <c r="C451" s="42" t="s">
        <v>10</v>
      </c>
      <c r="D451" s="43"/>
      <c r="F451" s="43"/>
      <c r="G451" s="43">
        <f>SUM(F452:F482)</f>
        <v>30</v>
      </c>
      <c r="L451" s="44"/>
      <c r="M451" s="44" t="str">
        <f t="shared" si="6"/>
        <v/>
      </c>
      <c r="N451" s="44"/>
      <c r="O451" s="43"/>
    </row>
    <row r="452" spans="1:16" x14ac:dyDescent="0.25">
      <c r="A452" s="15" t="s">
        <v>2246</v>
      </c>
      <c r="B452" s="15" t="s">
        <v>2247</v>
      </c>
      <c r="C452" s="45" t="s">
        <v>10</v>
      </c>
      <c r="D452" s="46" t="s">
        <v>1761</v>
      </c>
      <c r="E452" s="15" t="s">
        <v>217</v>
      </c>
      <c r="F452" s="46">
        <v>1</v>
      </c>
      <c r="H452" s="45" t="s">
        <v>193</v>
      </c>
      <c r="I452" s="15" t="s">
        <v>194</v>
      </c>
      <c r="J452" s="15" t="s">
        <v>1776</v>
      </c>
      <c r="K452" s="15" t="s">
        <v>210</v>
      </c>
      <c r="L452" s="47" t="s">
        <v>484</v>
      </c>
      <c r="M452" s="47" t="str">
        <f t="shared" si="6"/>
        <v>251401</v>
      </c>
      <c r="N452" s="47">
        <v>1</v>
      </c>
      <c r="O452" s="65">
        <v>7</v>
      </c>
      <c r="P452" s="15"/>
    </row>
    <row r="453" spans="1:16" x14ac:dyDescent="0.25">
      <c r="A453" s="15" t="s">
        <v>493</v>
      </c>
      <c r="B453" s="15" t="s">
        <v>2248</v>
      </c>
      <c r="C453" s="45" t="s">
        <v>10</v>
      </c>
      <c r="D453" s="46" t="s">
        <v>1740</v>
      </c>
      <c r="E453" s="15" t="s">
        <v>192</v>
      </c>
      <c r="F453" s="46">
        <v>1</v>
      </c>
      <c r="H453" s="45" t="s">
        <v>193</v>
      </c>
      <c r="I453" s="15" t="s">
        <v>194</v>
      </c>
      <c r="J453" s="15" t="s">
        <v>1776</v>
      </c>
      <c r="K453" s="15" t="s">
        <v>210</v>
      </c>
      <c r="L453" s="47" t="s">
        <v>484</v>
      </c>
      <c r="M453" s="47" t="str">
        <f t="shared" ref="M453:M516" si="7">MID(L453,8,6)</f>
        <v>251401</v>
      </c>
      <c r="N453" s="47">
        <v>2</v>
      </c>
      <c r="O453" s="65">
        <v>8</v>
      </c>
      <c r="P453" s="15"/>
    </row>
    <row r="454" spans="1:16" x14ac:dyDescent="0.25">
      <c r="A454" s="15" t="s">
        <v>967</v>
      </c>
      <c r="B454" s="15" t="s">
        <v>1053</v>
      </c>
      <c r="C454" s="45" t="s">
        <v>10</v>
      </c>
      <c r="D454" s="46" t="s">
        <v>1740</v>
      </c>
      <c r="E454" s="15" t="s">
        <v>192</v>
      </c>
      <c r="F454" s="46">
        <v>1</v>
      </c>
      <c r="H454" s="45" t="s">
        <v>193</v>
      </c>
      <c r="I454" s="15" t="s">
        <v>194</v>
      </c>
      <c r="J454" s="15" t="s">
        <v>1776</v>
      </c>
      <c r="K454" s="15" t="s">
        <v>210</v>
      </c>
      <c r="L454" s="47" t="s">
        <v>484</v>
      </c>
      <c r="M454" s="47" t="str">
        <f t="shared" si="7"/>
        <v>251401</v>
      </c>
      <c r="N454" s="47">
        <v>3</v>
      </c>
      <c r="O454" s="65">
        <v>9</v>
      </c>
      <c r="P454" s="15"/>
    </row>
    <row r="455" spans="1:16" x14ac:dyDescent="0.25">
      <c r="A455" s="15" t="s">
        <v>2246</v>
      </c>
      <c r="B455" s="15" t="s">
        <v>2249</v>
      </c>
      <c r="C455" s="45" t="s">
        <v>10</v>
      </c>
      <c r="D455" s="46" t="s">
        <v>1860</v>
      </c>
      <c r="E455" s="15" t="s">
        <v>217</v>
      </c>
      <c r="F455" s="46">
        <v>1</v>
      </c>
      <c r="H455" s="45" t="s">
        <v>193</v>
      </c>
      <c r="I455" s="15" t="s">
        <v>194</v>
      </c>
      <c r="J455" s="15" t="s">
        <v>1746</v>
      </c>
      <c r="K455" s="15" t="s">
        <v>210</v>
      </c>
      <c r="L455" s="47" t="s">
        <v>484</v>
      </c>
      <c r="M455" s="47" t="str">
        <f t="shared" si="7"/>
        <v>251401</v>
      </c>
      <c r="N455" s="47">
        <v>4</v>
      </c>
      <c r="O455" s="65">
        <v>340</v>
      </c>
      <c r="P455" s="15"/>
    </row>
    <row r="456" spans="1:16" x14ac:dyDescent="0.25">
      <c r="A456" s="15" t="s">
        <v>2250</v>
      </c>
      <c r="B456" s="15" t="s">
        <v>2251</v>
      </c>
      <c r="C456" s="45" t="s">
        <v>10</v>
      </c>
      <c r="D456" s="46" t="s">
        <v>1860</v>
      </c>
      <c r="E456" s="15" t="s">
        <v>217</v>
      </c>
      <c r="F456" s="46">
        <v>1</v>
      </c>
      <c r="H456" s="45" t="s">
        <v>193</v>
      </c>
      <c r="I456" s="15" t="s">
        <v>194</v>
      </c>
      <c r="J456" s="15" t="s">
        <v>1746</v>
      </c>
      <c r="K456" s="15" t="s">
        <v>2252</v>
      </c>
      <c r="L456" s="47" t="s">
        <v>484</v>
      </c>
      <c r="M456" s="47" t="str">
        <f t="shared" si="7"/>
        <v>251401</v>
      </c>
      <c r="N456" s="47">
        <v>5</v>
      </c>
      <c r="O456" s="65">
        <v>1</v>
      </c>
      <c r="P456" s="15"/>
    </row>
    <row r="457" spans="1:16" x14ac:dyDescent="0.25">
      <c r="A457" s="15" t="s">
        <v>2253</v>
      </c>
      <c r="B457" s="15" t="s">
        <v>2254</v>
      </c>
      <c r="C457" s="45" t="s">
        <v>10</v>
      </c>
      <c r="D457" s="46" t="s">
        <v>1860</v>
      </c>
      <c r="E457" s="15" t="s">
        <v>217</v>
      </c>
      <c r="F457" s="46">
        <v>1</v>
      </c>
      <c r="H457" s="45" t="s">
        <v>193</v>
      </c>
      <c r="I457" s="15" t="s">
        <v>194</v>
      </c>
      <c r="J457" s="15" t="s">
        <v>1764</v>
      </c>
      <c r="K457" s="15" t="s">
        <v>210</v>
      </c>
      <c r="L457" s="47" t="s">
        <v>484</v>
      </c>
      <c r="M457" s="47" t="str">
        <f t="shared" si="7"/>
        <v>251401</v>
      </c>
      <c r="N457" s="47">
        <v>6</v>
      </c>
      <c r="O457" s="65">
        <v>2</v>
      </c>
      <c r="P457" s="15"/>
    </row>
    <row r="458" spans="1:16" x14ac:dyDescent="0.25">
      <c r="A458" s="15" t="s">
        <v>2255</v>
      </c>
      <c r="B458" s="15" t="s">
        <v>2256</v>
      </c>
      <c r="C458" s="45" t="s">
        <v>10</v>
      </c>
      <c r="D458" s="46" t="s">
        <v>1740</v>
      </c>
      <c r="E458" s="15" t="s">
        <v>192</v>
      </c>
      <c r="F458" s="46">
        <v>1</v>
      </c>
      <c r="H458" s="45" t="s">
        <v>193</v>
      </c>
      <c r="I458" s="15" t="s">
        <v>194</v>
      </c>
      <c r="J458" s="15" t="s">
        <v>1764</v>
      </c>
      <c r="K458" s="15" t="s">
        <v>196</v>
      </c>
      <c r="L458" s="47" t="s">
        <v>484</v>
      </c>
      <c r="M458" s="47" t="str">
        <f t="shared" si="7"/>
        <v>251401</v>
      </c>
      <c r="N458" s="47">
        <v>7</v>
      </c>
      <c r="O458" s="65">
        <v>3</v>
      </c>
      <c r="P458" s="15"/>
    </row>
    <row r="459" spans="1:16" x14ac:dyDescent="0.25">
      <c r="A459" s="15" t="s">
        <v>499</v>
      </c>
      <c r="B459" s="15" t="s">
        <v>2257</v>
      </c>
      <c r="C459" s="45" t="s">
        <v>10</v>
      </c>
      <c r="D459" s="46" t="s">
        <v>1732</v>
      </c>
      <c r="E459" s="15" t="s">
        <v>233</v>
      </c>
      <c r="F459" s="46">
        <v>1</v>
      </c>
      <c r="H459" s="45" t="s">
        <v>193</v>
      </c>
      <c r="I459" s="15" t="s">
        <v>194</v>
      </c>
      <c r="J459" s="15" t="s">
        <v>1754</v>
      </c>
      <c r="K459" s="15" t="s">
        <v>210</v>
      </c>
      <c r="L459" s="47" t="s">
        <v>484</v>
      </c>
      <c r="M459" s="47" t="str">
        <f t="shared" si="7"/>
        <v>251401</v>
      </c>
      <c r="N459" s="47">
        <v>8</v>
      </c>
      <c r="O459" s="65">
        <v>4</v>
      </c>
      <c r="P459" s="15"/>
    </row>
    <row r="460" spans="1:16" x14ac:dyDescent="0.25">
      <c r="A460" s="15" t="s">
        <v>2246</v>
      </c>
      <c r="B460" s="15" t="s">
        <v>2258</v>
      </c>
      <c r="C460" s="45" t="s">
        <v>10</v>
      </c>
      <c r="D460" s="46" t="s">
        <v>1860</v>
      </c>
      <c r="E460" s="15" t="s">
        <v>217</v>
      </c>
      <c r="F460" s="46">
        <v>1</v>
      </c>
      <c r="H460" s="45" t="s">
        <v>193</v>
      </c>
      <c r="I460" s="15" t="s">
        <v>194</v>
      </c>
      <c r="J460" s="15" t="s">
        <v>1762</v>
      </c>
      <c r="K460" s="15" t="s">
        <v>210</v>
      </c>
      <c r="L460" s="47" t="s">
        <v>484</v>
      </c>
      <c r="M460" s="47" t="str">
        <f t="shared" si="7"/>
        <v>251401</v>
      </c>
      <c r="N460" s="47">
        <v>9</v>
      </c>
      <c r="O460" s="65">
        <v>5</v>
      </c>
      <c r="P460" s="15"/>
    </row>
    <row r="461" spans="1:16" x14ac:dyDescent="0.25">
      <c r="A461" s="15" t="s">
        <v>2246</v>
      </c>
      <c r="B461" s="15" t="s">
        <v>2258</v>
      </c>
      <c r="C461" s="45" t="s">
        <v>10</v>
      </c>
      <c r="D461" s="46" t="s">
        <v>1803</v>
      </c>
      <c r="E461" s="15" t="s">
        <v>217</v>
      </c>
      <c r="F461" s="46">
        <v>1</v>
      </c>
      <c r="H461" s="45" t="s">
        <v>193</v>
      </c>
      <c r="I461" s="15" t="s">
        <v>194</v>
      </c>
      <c r="J461" s="15" t="s">
        <v>1762</v>
      </c>
      <c r="K461" s="15" t="s">
        <v>210</v>
      </c>
      <c r="L461" s="47" t="s">
        <v>484</v>
      </c>
      <c r="M461" s="47" t="str">
        <f t="shared" si="7"/>
        <v>251401</v>
      </c>
      <c r="N461" s="47">
        <v>10</v>
      </c>
      <c r="O461" s="65">
        <v>6</v>
      </c>
      <c r="P461" s="15"/>
    </row>
    <row r="462" spans="1:16" x14ac:dyDescent="0.25">
      <c r="A462" s="15" t="s">
        <v>2246</v>
      </c>
      <c r="B462" s="15" t="s">
        <v>2258</v>
      </c>
      <c r="C462" s="45" t="s">
        <v>10</v>
      </c>
      <c r="D462" s="46" t="s">
        <v>1761</v>
      </c>
      <c r="E462" s="15" t="s">
        <v>217</v>
      </c>
      <c r="F462" s="46">
        <v>1</v>
      </c>
      <c r="H462" s="45" t="s">
        <v>193</v>
      </c>
      <c r="I462" s="15" t="s">
        <v>194</v>
      </c>
      <c r="J462" s="15" t="s">
        <v>1762</v>
      </c>
      <c r="K462" s="15" t="s">
        <v>210</v>
      </c>
      <c r="L462" s="47" t="s">
        <v>484</v>
      </c>
      <c r="M462" s="47" t="str">
        <f t="shared" si="7"/>
        <v>251401</v>
      </c>
      <c r="N462" s="47">
        <v>11</v>
      </c>
      <c r="O462" s="65">
        <v>7</v>
      </c>
      <c r="P462" s="15"/>
    </row>
    <row r="463" spans="1:16" x14ac:dyDescent="0.25">
      <c r="A463" s="15" t="s">
        <v>2259</v>
      </c>
      <c r="B463" s="15" t="s">
        <v>2258</v>
      </c>
      <c r="C463" s="45" t="s">
        <v>10</v>
      </c>
      <c r="D463" s="46" t="s">
        <v>1779</v>
      </c>
      <c r="E463" s="15" t="s">
        <v>233</v>
      </c>
      <c r="F463" s="46">
        <v>1</v>
      </c>
      <c r="H463" s="45" t="s">
        <v>193</v>
      </c>
      <c r="I463" s="15" t="s">
        <v>194</v>
      </c>
      <c r="J463" s="15" t="s">
        <v>1762</v>
      </c>
      <c r="K463" s="15" t="s">
        <v>210</v>
      </c>
      <c r="L463" s="47" t="s">
        <v>484</v>
      </c>
      <c r="M463" s="47" t="str">
        <f t="shared" si="7"/>
        <v>251401</v>
      </c>
      <c r="N463" s="47">
        <v>12</v>
      </c>
      <c r="O463" s="65">
        <v>8</v>
      </c>
      <c r="P463" s="15"/>
    </row>
    <row r="464" spans="1:16" x14ac:dyDescent="0.25">
      <c r="A464" s="15" t="s">
        <v>2246</v>
      </c>
      <c r="B464" s="15" t="s">
        <v>2258</v>
      </c>
      <c r="C464" s="45" t="s">
        <v>10</v>
      </c>
      <c r="D464" s="46" t="s">
        <v>1745</v>
      </c>
      <c r="E464" s="15" t="s">
        <v>217</v>
      </c>
      <c r="F464" s="46">
        <v>1</v>
      </c>
      <c r="H464" s="45" t="s">
        <v>193</v>
      </c>
      <c r="I464" s="15" t="s">
        <v>194</v>
      </c>
      <c r="J464" s="15" t="s">
        <v>1762</v>
      </c>
      <c r="K464" s="15" t="s">
        <v>210</v>
      </c>
      <c r="L464" s="47" t="s">
        <v>484</v>
      </c>
      <c r="M464" s="47" t="str">
        <f t="shared" si="7"/>
        <v>251401</v>
      </c>
      <c r="N464" s="47">
        <v>13</v>
      </c>
      <c r="O464" s="65">
        <v>9</v>
      </c>
      <c r="P464" s="15"/>
    </row>
    <row r="465" spans="1:16" x14ac:dyDescent="0.25">
      <c r="A465" s="15" t="s">
        <v>2246</v>
      </c>
      <c r="B465" s="15" t="s">
        <v>2258</v>
      </c>
      <c r="C465" s="45" t="s">
        <v>10</v>
      </c>
      <c r="D465" s="46" t="s">
        <v>1736</v>
      </c>
      <c r="E465" s="15" t="s">
        <v>217</v>
      </c>
      <c r="F465" s="46">
        <v>1</v>
      </c>
      <c r="H465" s="45" t="s">
        <v>193</v>
      </c>
      <c r="I465" s="15" t="s">
        <v>194</v>
      </c>
      <c r="J465" s="15" t="s">
        <v>1746</v>
      </c>
      <c r="K465" s="15" t="s">
        <v>210</v>
      </c>
      <c r="L465" s="47" t="s">
        <v>484</v>
      </c>
      <c r="M465" s="47" t="str">
        <f t="shared" si="7"/>
        <v>251401</v>
      </c>
      <c r="N465" s="47">
        <v>14</v>
      </c>
      <c r="O465" s="65">
        <v>350</v>
      </c>
      <c r="P465" s="15"/>
    </row>
    <row r="466" spans="1:16" x14ac:dyDescent="0.25">
      <c r="A466" s="15" t="s">
        <v>2260</v>
      </c>
      <c r="B466" s="15" t="s">
        <v>2261</v>
      </c>
      <c r="C466" s="45" t="s">
        <v>10</v>
      </c>
      <c r="D466" s="46" t="s">
        <v>1740</v>
      </c>
      <c r="E466" s="15" t="s">
        <v>192</v>
      </c>
      <c r="F466" s="46">
        <v>1</v>
      </c>
      <c r="H466" s="45" t="s">
        <v>193</v>
      </c>
      <c r="I466" s="15" t="s">
        <v>194</v>
      </c>
      <c r="J466" s="15" t="s">
        <v>1764</v>
      </c>
      <c r="K466" s="15" t="s">
        <v>196</v>
      </c>
      <c r="L466" s="47" t="s">
        <v>484</v>
      </c>
      <c r="M466" s="47" t="str">
        <f t="shared" si="7"/>
        <v>251401</v>
      </c>
      <c r="N466" s="47">
        <v>15</v>
      </c>
      <c r="O466" s="65">
        <v>1</v>
      </c>
      <c r="P466" s="15"/>
    </row>
    <row r="467" spans="1:16" x14ac:dyDescent="0.25">
      <c r="A467" s="15" t="s">
        <v>1376</v>
      </c>
      <c r="B467" s="15" t="s">
        <v>2262</v>
      </c>
      <c r="C467" s="45" t="s">
        <v>10</v>
      </c>
      <c r="D467" s="46" t="s">
        <v>1803</v>
      </c>
      <c r="E467" s="15" t="s">
        <v>192</v>
      </c>
      <c r="F467" s="46">
        <v>1</v>
      </c>
      <c r="H467" s="45" t="s">
        <v>193</v>
      </c>
      <c r="I467" s="15" t="s">
        <v>194</v>
      </c>
      <c r="J467" s="15" t="s">
        <v>1764</v>
      </c>
      <c r="K467" s="15" t="s">
        <v>385</v>
      </c>
      <c r="L467" s="47" t="s">
        <v>484</v>
      </c>
      <c r="M467" s="47" t="str">
        <f t="shared" si="7"/>
        <v>251401</v>
      </c>
      <c r="N467" s="47">
        <v>16</v>
      </c>
      <c r="O467" s="65">
        <v>2</v>
      </c>
      <c r="P467" s="15"/>
    </row>
    <row r="468" spans="1:16" x14ac:dyDescent="0.25">
      <c r="A468" s="15" t="s">
        <v>2200</v>
      </c>
      <c r="B468" s="15" t="s">
        <v>2263</v>
      </c>
      <c r="C468" s="45" t="s">
        <v>10</v>
      </c>
      <c r="D468" s="46" t="s">
        <v>1731</v>
      </c>
      <c r="E468" s="15" t="s">
        <v>192</v>
      </c>
      <c r="F468" s="46">
        <v>1</v>
      </c>
      <c r="H468" s="45" t="s">
        <v>193</v>
      </c>
      <c r="I468" s="15" t="s">
        <v>194</v>
      </c>
      <c r="J468" s="15" t="s">
        <v>1764</v>
      </c>
      <c r="K468" s="15" t="s">
        <v>2201</v>
      </c>
      <c r="L468" s="47" t="s">
        <v>484</v>
      </c>
      <c r="M468" s="47" t="str">
        <f t="shared" si="7"/>
        <v>251401</v>
      </c>
      <c r="N468" s="47">
        <v>17</v>
      </c>
      <c r="O468" s="65">
        <v>3</v>
      </c>
      <c r="P468" s="15"/>
    </row>
    <row r="469" spans="1:16" x14ac:dyDescent="0.25">
      <c r="A469" s="15" t="s">
        <v>1750</v>
      </c>
      <c r="B469" s="15" t="s">
        <v>2264</v>
      </c>
      <c r="C469" s="45" t="s">
        <v>10</v>
      </c>
      <c r="D469" s="46" t="s">
        <v>1779</v>
      </c>
      <c r="E469" s="15" t="s">
        <v>192</v>
      </c>
      <c r="F469" s="46">
        <v>1</v>
      </c>
      <c r="H469" s="45" t="s">
        <v>193</v>
      </c>
      <c r="I469" s="15" t="s">
        <v>194</v>
      </c>
      <c r="J469" s="15" t="s">
        <v>1764</v>
      </c>
      <c r="K469" s="15" t="s">
        <v>210</v>
      </c>
      <c r="L469" s="47" t="s">
        <v>484</v>
      </c>
      <c r="M469" s="47" t="str">
        <f t="shared" si="7"/>
        <v>251401</v>
      </c>
      <c r="N469" s="47">
        <v>18</v>
      </c>
      <c r="O469" s="65">
        <v>4</v>
      </c>
      <c r="P469" s="15"/>
    </row>
    <row r="470" spans="1:16" x14ac:dyDescent="0.25">
      <c r="A470" s="15" t="s">
        <v>2265</v>
      </c>
      <c r="B470" s="15" t="s">
        <v>2266</v>
      </c>
      <c r="C470" s="45" t="s">
        <v>10</v>
      </c>
      <c r="D470" s="46" t="s">
        <v>1761</v>
      </c>
      <c r="E470" s="15" t="s">
        <v>192</v>
      </c>
      <c r="F470" s="69">
        <v>0</v>
      </c>
      <c r="H470" s="68" t="s">
        <v>194</v>
      </c>
      <c r="I470" s="15" t="s">
        <v>193</v>
      </c>
      <c r="J470" s="15" t="s">
        <v>1764</v>
      </c>
      <c r="K470" s="15" t="s">
        <v>196</v>
      </c>
      <c r="L470" s="47" t="s">
        <v>484</v>
      </c>
      <c r="M470" s="47" t="str">
        <f t="shared" si="7"/>
        <v>251401</v>
      </c>
      <c r="N470" s="47">
        <v>19</v>
      </c>
      <c r="O470" s="39" t="s">
        <v>3475</v>
      </c>
      <c r="P470" s="46">
        <v>7</v>
      </c>
    </row>
    <row r="471" spans="1:16" x14ac:dyDescent="0.25">
      <c r="A471" s="15" t="s">
        <v>2267</v>
      </c>
      <c r="B471" s="15" t="s">
        <v>496</v>
      </c>
      <c r="C471" s="45" t="s">
        <v>10</v>
      </c>
      <c r="D471" s="46" t="s">
        <v>1731</v>
      </c>
      <c r="E471" s="15" t="s">
        <v>192</v>
      </c>
      <c r="F471" s="46">
        <v>1</v>
      </c>
      <c r="H471" s="45" t="s">
        <v>193</v>
      </c>
      <c r="I471" s="15" t="s">
        <v>194</v>
      </c>
      <c r="J471" s="15" t="s">
        <v>1764</v>
      </c>
      <c r="K471" s="15" t="s">
        <v>210</v>
      </c>
      <c r="L471" s="47" t="s">
        <v>484</v>
      </c>
      <c r="M471" s="47" t="str">
        <f t="shared" si="7"/>
        <v>251401</v>
      </c>
      <c r="N471" s="47">
        <v>20</v>
      </c>
      <c r="O471" s="65">
        <v>5</v>
      </c>
      <c r="P471" s="15"/>
    </row>
    <row r="472" spans="1:16" x14ac:dyDescent="0.25">
      <c r="A472" s="15" t="s">
        <v>1785</v>
      </c>
      <c r="B472" s="15" t="s">
        <v>2268</v>
      </c>
      <c r="C472" s="45" t="s">
        <v>10</v>
      </c>
      <c r="D472" s="46" t="s">
        <v>1728</v>
      </c>
      <c r="E472" s="15" t="s">
        <v>192</v>
      </c>
      <c r="F472" s="46">
        <v>1</v>
      </c>
      <c r="H472" s="45" t="s">
        <v>193</v>
      </c>
      <c r="I472" s="15" t="s">
        <v>194</v>
      </c>
      <c r="J472" s="15" t="s">
        <v>1764</v>
      </c>
      <c r="K472" s="15" t="s">
        <v>327</v>
      </c>
      <c r="L472" s="47" t="s">
        <v>484</v>
      </c>
      <c r="M472" s="47" t="str">
        <f t="shared" si="7"/>
        <v>251401</v>
      </c>
      <c r="N472" s="47">
        <v>21</v>
      </c>
      <c r="O472" s="65">
        <v>6</v>
      </c>
      <c r="P472" s="15"/>
    </row>
    <row r="473" spans="1:16" x14ac:dyDescent="0.25">
      <c r="A473" s="15" t="s">
        <v>2255</v>
      </c>
      <c r="B473" s="15" t="s">
        <v>2269</v>
      </c>
      <c r="C473" s="45" t="s">
        <v>10</v>
      </c>
      <c r="D473" s="46" t="s">
        <v>1745</v>
      </c>
      <c r="E473" s="15" t="s">
        <v>192</v>
      </c>
      <c r="F473" s="46">
        <v>1</v>
      </c>
      <c r="H473" s="45" t="s">
        <v>193</v>
      </c>
      <c r="I473" s="15" t="s">
        <v>194</v>
      </c>
      <c r="J473" s="15" t="s">
        <v>1729</v>
      </c>
      <c r="K473" s="15" t="s">
        <v>196</v>
      </c>
      <c r="L473" s="47" t="s">
        <v>484</v>
      </c>
      <c r="M473" s="47" t="str">
        <f t="shared" si="7"/>
        <v>251401</v>
      </c>
      <c r="N473" s="47">
        <v>22</v>
      </c>
      <c r="O473" s="65">
        <v>7</v>
      </c>
      <c r="P473" s="15"/>
    </row>
    <row r="474" spans="1:16" x14ac:dyDescent="0.25">
      <c r="A474" s="15" t="s">
        <v>2259</v>
      </c>
      <c r="B474" s="15" t="s">
        <v>2270</v>
      </c>
      <c r="C474" s="45" t="s">
        <v>10</v>
      </c>
      <c r="D474" s="46" t="s">
        <v>1745</v>
      </c>
      <c r="E474" s="15" t="s">
        <v>233</v>
      </c>
      <c r="F474" s="46">
        <v>1</v>
      </c>
      <c r="H474" s="45" t="s">
        <v>193</v>
      </c>
      <c r="I474" s="15" t="s">
        <v>194</v>
      </c>
      <c r="J474" s="15" t="s">
        <v>1772</v>
      </c>
      <c r="K474" s="15" t="s">
        <v>210</v>
      </c>
      <c r="L474" s="47" t="s">
        <v>484</v>
      </c>
      <c r="M474" s="47" t="str">
        <f t="shared" si="7"/>
        <v>251401</v>
      </c>
      <c r="N474" s="47">
        <v>23</v>
      </c>
      <c r="O474" s="65">
        <v>8</v>
      </c>
      <c r="P474" s="15"/>
    </row>
    <row r="475" spans="1:16" x14ac:dyDescent="0.25">
      <c r="A475" s="15" t="s">
        <v>2271</v>
      </c>
      <c r="B475" s="15" t="s">
        <v>2272</v>
      </c>
      <c r="C475" s="45" t="s">
        <v>10</v>
      </c>
      <c r="D475" s="46" t="s">
        <v>1761</v>
      </c>
      <c r="E475" s="15" t="s">
        <v>233</v>
      </c>
      <c r="F475" s="46">
        <v>1</v>
      </c>
      <c r="H475" s="45" t="s">
        <v>193</v>
      </c>
      <c r="I475" s="15" t="s">
        <v>194</v>
      </c>
      <c r="J475" s="15" t="s">
        <v>1772</v>
      </c>
      <c r="K475" s="15" t="s">
        <v>1031</v>
      </c>
      <c r="L475" s="47" t="s">
        <v>484</v>
      </c>
      <c r="M475" s="47" t="str">
        <f t="shared" si="7"/>
        <v>251401</v>
      </c>
      <c r="N475" s="47">
        <v>24</v>
      </c>
      <c r="O475" s="65">
        <v>9</v>
      </c>
      <c r="P475" s="15"/>
    </row>
    <row r="476" spans="1:16" x14ac:dyDescent="0.25">
      <c r="A476" s="15" t="s">
        <v>2255</v>
      </c>
      <c r="B476" s="15" t="s">
        <v>2272</v>
      </c>
      <c r="C476" s="45" t="s">
        <v>10</v>
      </c>
      <c r="D476" s="46" t="s">
        <v>1761</v>
      </c>
      <c r="E476" s="15" t="s">
        <v>192</v>
      </c>
      <c r="F476" s="46">
        <v>1</v>
      </c>
      <c r="H476" s="45" t="s">
        <v>193</v>
      </c>
      <c r="I476" s="15" t="s">
        <v>194</v>
      </c>
      <c r="J476" s="15" t="s">
        <v>1772</v>
      </c>
      <c r="K476" s="15" t="s">
        <v>196</v>
      </c>
      <c r="L476" s="47" t="s">
        <v>484</v>
      </c>
      <c r="M476" s="47" t="str">
        <f t="shared" si="7"/>
        <v>251401</v>
      </c>
      <c r="N476" s="47">
        <v>25</v>
      </c>
      <c r="O476" s="65">
        <v>360</v>
      </c>
      <c r="P476" s="15"/>
    </row>
    <row r="477" spans="1:16" x14ac:dyDescent="0.25">
      <c r="A477" s="15" t="s">
        <v>967</v>
      </c>
      <c r="B477" s="15" t="s">
        <v>2273</v>
      </c>
      <c r="C477" s="45" t="s">
        <v>10</v>
      </c>
      <c r="D477" s="46" t="s">
        <v>1740</v>
      </c>
      <c r="E477" s="15" t="s">
        <v>192</v>
      </c>
      <c r="F477" s="46">
        <v>1</v>
      </c>
      <c r="H477" s="45" t="s">
        <v>193</v>
      </c>
      <c r="I477" s="15" t="s">
        <v>194</v>
      </c>
      <c r="J477" s="15" t="s">
        <v>1772</v>
      </c>
      <c r="K477" s="15" t="s">
        <v>210</v>
      </c>
      <c r="L477" s="47" t="s">
        <v>484</v>
      </c>
      <c r="M477" s="47" t="str">
        <f t="shared" si="7"/>
        <v>251401</v>
      </c>
      <c r="N477" s="47">
        <v>26</v>
      </c>
      <c r="O477" s="65">
        <v>1</v>
      </c>
      <c r="P477" s="15"/>
    </row>
    <row r="478" spans="1:16" x14ac:dyDescent="0.25">
      <c r="A478" s="15" t="s">
        <v>2274</v>
      </c>
      <c r="B478" s="15" t="s">
        <v>2275</v>
      </c>
      <c r="C478" s="45" t="s">
        <v>10</v>
      </c>
      <c r="D478" s="46" t="s">
        <v>1736</v>
      </c>
      <c r="E478" s="15" t="s">
        <v>192</v>
      </c>
      <c r="F478" s="46">
        <v>1</v>
      </c>
      <c r="H478" s="45" t="s">
        <v>193</v>
      </c>
      <c r="I478" s="15" t="s">
        <v>194</v>
      </c>
      <c r="J478" s="15" t="s">
        <v>1836</v>
      </c>
      <c r="K478" s="15" t="s">
        <v>385</v>
      </c>
      <c r="L478" s="47" t="s">
        <v>484</v>
      </c>
      <c r="M478" s="47" t="str">
        <f t="shared" si="7"/>
        <v>251401</v>
      </c>
      <c r="N478" s="47">
        <v>27</v>
      </c>
      <c r="O478" s="65">
        <v>2</v>
      </c>
      <c r="P478" s="15"/>
    </row>
    <row r="479" spans="1:16" x14ac:dyDescent="0.25">
      <c r="A479" s="15" t="s">
        <v>493</v>
      </c>
      <c r="B479" s="15" t="s">
        <v>2276</v>
      </c>
      <c r="C479" s="45" t="s">
        <v>10</v>
      </c>
      <c r="D479" s="46" t="s">
        <v>1740</v>
      </c>
      <c r="E479" s="15" t="s">
        <v>192</v>
      </c>
      <c r="F479" s="46">
        <v>1</v>
      </c>
      <c r="H479" s="45" t="s">
        <v>193</v>
      </c>
      <c r="I479" s="15" t="s">
        <v>194</v>
      </c>
      <c r="J479" s="15" t="s">
        <v>1754</v>
      </c>
      <c r="K479" s="15" t="s">
        <v>210</v>
      </c>
      <c r="L479" s="47" t="s">
        <v>484</v>
      </c>
      <c r="M479" s="47" t="str">
        <f t="shared" si="7"/>
        <v>251401</v>
      </c>
      <c r="N479" s="47">
        <v>28</v>
      </c>
      <c r="O479" s="65">
        <v>3</v>
      </c>
      <c r="P479" s="15"/>
    </row>
    <row r="480" spans="1:16" x14ac:dyDescent="0.25">
      <c r="A480" s="15" t="s">
        <v>493</v>
      </c>
      <c r="B480" s="15" t="s">
        <v>2277</v>
      </c>
      <c r="C480" s="45" t="s">
        <v>10</v>
      </c>
      <c r="D480" s="46" t="s">
        <v>1728</v>
      </c>
      <c r="E480" s="15" t="s">
        <v>192</v>
      </c>
      <c r="F480" s="46">
        <v>1</v>
      </c>
      <c r="H480" s="45" t="s">
        <v>193</v>
      </c>
      <c r="I480" s="15" t="s">
        <v>194</v>
      </c>
      <c r="J480" s="15" t="s">
        <v>1754</v>
      </c>
      <c r="K480" s="15" t="s">
        <v>210</v>
      </c>
      <c r="L480" s="47" t="s">
        <v>484</v>
      </c>
      <c r="M480" s="47" t="str">
        <f t="shared" si="7"/>
        <v>251401</v>
      </c>
      <c r="N480" s="47">
        <v>29</v>
      </c>
      <c r="O480" s="65">
        <v>4</v>
      </c>
      <c r="P480" s="15"/>
    </row>
    <row r="481" spans="1:16" x14ac:dyDescent="0.25">
      <c r="A481" s="15" t="s">
        <v>2253</v>
      </c>
      <c r="B481" s="15" t="s">
        <v>2278</v>
      </c>
      <c r="C481" s="45" t="s">
        <v>10</v>
      </c>
      <c r="D481" s="46" t="s">
        <v>1761</v>
      </c>
      <c r="E481" s="15" t="s">
        <v>217</v>
      </c>
      <c r="F481" s="46">
        <v>1</v>
      </c>
      <c r="H481" s="45" t="s">
        <v>193</v>
      </c>
      <c r="I481" s="15" t="s">
        <v>194</v>
      </c>
      <c r="J481" s="15" t="s">
        <v>1754</v>
      </c>
      <c r="K481" s="15" t="s">
        <v>2279</v>
      </c>
      <c r="L481" s="47" t="s">
        <v>484</v>
      </c>
      <c r="M481" s="47" t="str">
        <f t="shared" si="7"/>
        <v>251401</v>
      </c>
      <c r="N481" s="47">
        <v>30</v>
      </c>
      <c r="O481" s="65">
        <v>5</v>
      </c>
      <c r="P481" s="15"/>
    </row>
    <row r="482" spans="1:16" x14ac:dyDescent="0.25">
      <c r="A482" s="15" t="s">
        <v>1490</v>
      </c>
      <c r="B482" s="15" t="s">
        <v>2280</v>
      </c>
      <c r="C482" s="45" t="s">
        <v>10</v>
      </c>
      <c r="D482" s="46" t="s">
        <v>1761</v>
      </c>
      <c r="E482" s="15" t="s">
        <v>192</v>
      </c>
      <c r="F482" s="46">
        <v>1</v>
      </c>
      <c r="H482" s="45" t="s">
        <v>193</v>
      </c>
      <c r="I482" s="15" t="s">
        <v>194</v>
      </c>
      <c r="J482" s="15" t="s">
        <v>1772</v>
      </c>
      <c r="K482" s="15" t="s">
        <v>575</v>
      </c>
      <c r="L482" s="47" t="s">
        <v>484</v>
      </c>
      <c r="M482" s="47" t="str">
        <f t="shared" si="7"/>
        <v>251401</v>
      </c>
      <c r="N482" s="47">
        <v>31</v>
      </c>
      <c r="O482" s="65">
        <v>6</v>
      </c>
      <c r="P482" s="15"/>
    </row>
    <row r="483" spans="1:16" s="42" customFormat="1" ht="14.25" x14ac:dyDescent="0.2">
      <c r="C483" s="42" t="s">
        <v>61</v>
      </c>
      <c r="D483" s="43"/>
      <c r="F483" s="43"/>
      <c r="G483" s="43">
        <f>SUM(F484:F486)</f>
        <v>3</v>
      </c>
      <c r="L483" s="44"/>
      <c r="M483" s="44" t="str">
        <f t="shared" si="7"/>
        <v/>
      </c>
      <c r="N483" s="44"/>
      <c r="O483" s="43"/>
    </row>
    <row r="484" spans="1:16" x14ac:dyDescent="0.25">
      <c r="A484" s="15" t="s">
        <v>1639</v>
      </c>
      <c r="B484" s="15" t="s">
        <v>2281</v>
      </c>
      <c r="C484" s="45" t="s">
        <v>61</v>
      </c>
      <c r="D484" s="46" t="s">
        <v>1728</v>
      </c>
      <c r="E484" s="15" t="s">
        <v>217</v>
      </c>
      <c r="F484" s="46">
        <v>1</v>
      </c>
      <c r="H484" s="45" t="s">
        <v>193</v>
      </c>
      <c r="I484" s="15" t="s">
        <v>194</v>
      </c>
      <c r="J484" s="15" t="s">
        <v>1796</v>
      </c>
      <c r="K484" s="15" t="s">
        <v>210</v>
      </c>
      <c r="L484" s="47" t="s">
        <v>2282</v>
      </c>
      <c r="M484" s="47" t="str">
        <f t="shared" si="7"/>
        <v>251103</v>
      </c>
      <c r="O484" s="65">
        <v>7</v>
      </c>
      <c r="P484" s="15"/>
    </row>
    <row r="485" spans="1:16" x14ac:dyDescent="0.25">
      <c r="A485" s="15" t="s">
        <v>1639</v>
      </c>
      <c r="B485" s="15" t="s">
        <v>2281</v>
      </c>
      <c r="C485" s="45" t="s">
        <v>61</v>
      </c>
      <c r="D485" s="46" t="s">
        <v>1860</v>
      </c>
      <c r="E485" s="15" t="s">
        <v>217</v>
      </c>
      <c r="F485" s="46">
        <v>1</v>
      </c>
      <c r="H485" s="45" t="s">
        <v>193</v>
      </c>
      <c r="I485" s="15" t="s">
        <v>194</v>
      </c>
      <c r="J485" s="15" t="s">
        <v>1796</v>
      </c>
      <c r="K485" s="15" t="s">
        <v>210</v>
      </c>
      <c r="L485" s="47" t="s">
        <v>2282</v>
      </c>
      <c r="M485" s="47" t="str">
        <f t="shared" si="7"/>
        <v>251103</v>
      </c>
      <c r="O485" s="65">
        <v>8</v>
      </c>
      <c r="P485" s="15"/>
    </row>
    <row r="486" spans="1:16" x14ac:dyDescent="0.25">
      <c r="A486" s="15" t="s">
        <v>1639</v>
      </c>
      <c r="B486" s="15" t="s">
        <v>2281</v>
      </c>
      <c r="C486" s="45" t="s">
        <v>61</v>
      </c>
      <c r="D486" s="46" t="s">
        <v>1761</v>
      </c>
      <c r="E486" s="15" t="s">
        <v>217</v>
      </c>
      <c r="F486" s="46">
        <v>1</v>
      </c>
      <c r="H486" s="45" t="s">
        <v>193</v>
      </c>
      <c r="I486" s="15" t="s">
        <v>194</v>
      </c>
      <c r="J486" s="15" t="s">
        <v>1796</v>
      </c>
      <c r="K486" s="15" t="s">
        <v>210</v>
      </c>
      <c r="L486" s="47" t="s">
        <v>2282</v>
      </c>
      <c r="M486" s="47" t="str">
        <f t="shared" si="7"/>
        <v>251103</v>
      </c>
      <c r="O486" s="65">
        <v>9</v>
      </c>
      <c r="P486" s="15"/>
    </row>
    <row r="487" spans="1:16" s="42" customFormat="1" ht="14.25" x14ac:dyDescent="0.2">
      <c r="C487" s="42" t="s">
        <v>76</v>
      </c>
      <c r="D487" s="43"/>
      <c r="F487" s="43"/>
      <c r="G487" s="43">
        <f>SUM(F488:F489)</f>
        <v>2</v>
      </c>
      <c r="L487" s="44"/>
      <c r="M487" s="44" t="str">
        <f t="shared" si="7"/>
        <v/>
      </c>
      <c r="N487" s="44"/>
      <c r="O487" s="43"/>
    </row>
    <row r="488" spans="1:16" x14ac:dyDescent="0.25">
      <c r="A488" s="15" t="s">
        <v>1184</v>
      </c>
      <c r="B488" s="15" t="s">
        <v>2283</v>
      </c>
      <c r="C488" s="45" t="s">
        <v>2284</v>
      </c>
      <c r="D488" s="46" t="s">
        <v>1740</v>
      </c>
      <c r="E488" s="15" t="s">
        <v>233</v>
      </c>
      <c r="F488" s="46">
        <v>1</v>
      </c>
      <c r="H488" s="45" t="s">
        <v>193</v>
      </c>
      <c r="I488" s="15" t="s">
        <v>194</v>
      </c>
      <c r="J488" s="15" t="s">
        <v>1772</v>
      </c>
      <c r="K488" s="15" t="s">
        <v>2285</v>
      </c>
      <c r="L488" s="47" t="s">
        <v>2286</v>
      </c>
      <c r="M488" s="47" t="str">
        <f t="shared" si="7"/>
        <v>251302</v>
      </c>
      <c r="O488" s="65">
        <v>370</v>
      </c>
      <c r="P488" s="15"/>
    </row>
    <row r="489" spans="1:16" x14ac:dyDescent="0.25">
      <c r="A489" s="15" t="s">
        <v>1748</v>
      </c>
      <c r="B489" s="15" t="s">
        <v>2287</v>
      </c>
      <c r="C489" s="45" t="s">
        <v>1506</v>
      </c>
      <c r="D489" s="46" t="s">
        <v>1731</v>
      </c>
      <c r="E489" s="15" t="s">
        <v>192</v>
      </c>
      <c r="F489" s="46">
        <v>1</v>
      </c>
      <c r="H489" s="45" t="s">
        <v>193</v>
      </c>
      <c r="I489" s="15" t="s">
        <v>194</v>
      </c>
      <c r="J489" s="15" t="s">
        <v>1746</v>
      </c>
      <c r="K489" s="15" t="s">
        <v>210</v>
      </c>
      <c r="L489" s="47" t="s">
        <v>1507</v>
      </c>
      <c r="M489" s="47" t="str">
        <f t="shared" si="7"/>
        <v>216604</v>
      </c>
      <c r="O489" s="65">
        <v>1</v>
      </c>
      <c r="P489" s="15"/>
    </row>
    <row r="490" spans="1:16" s="42" customFormat="1" ht="14.25" x14ac:dyDescent="0.2">
      <c r="C490" s="42" t="s">
        <v>161</v>
      </c>
      <c r="D490" s="43"/>
      <c r="F490" s="43"/>
      <c r="G490" s="43">
        <f>SUM(F491)</f>
        <v>1</v>
      </c>
      <c r="L490" s="44"/>
      <c r="M490" s="44" t="str">
        <f t="shared" si="7"/>
        <v/>
      </c>
      <c r="N490" s="44"/>
      <c r="O490" s="43"/>
    </row>
    <row r="491" spans="1:16" x14ac:dyDescent="0.25">
      <c r="A491" s="15" t="s">
        <v>2288</v>
      </c>
      <c r="B491" s="15" t="s">
        <v>2289</v>
      </c>
      <c r="C491" s="45" t="s">
        <v>161</v>
      </c>
      <c r="D491" s="46" t="s">
        <v>1736</v>
      </c>
      <c r="E491" s="15" t="s">
        <v>192</v>
      </c>
      <c r="F491" s="46">
        <v>1</v>
      </c>
      <c r="H491" s="45" t="s">
        <v>193</v>
      </c>
      <c r="I491" s="15" t="s">
        <v>194</v>
      </c>
      <c r="J491" s="15" t="s">
        <v>1836</v>
      </c>
      <c r="K491" s="15" t="s">
        <v>210</v>
      </c>
      <c r="L491" s="47" t="s">
        <v>2290</v>
      </c>
      <c r="M491" s="47" t="str">
        <f t="shared" si="7"/>
        <v>216303</v>
      </c>
      <c r="O491" s="65">
        <v>2</v>
      </c>
      <c r="P491" s="15"/>
    </row>
    <row r="492" spans="1:16" s="42" customFormat="1" ht="14.25" x14ac:dyDescent="0.2">
      <c r="C492" s="42" t="s">
        <v>153</v>
      </c>
      <c r="D492" s="43"/>
      <c r="F492" s="43"/>
      <c r="G492" s="43">
        <f>SUM(F493)</f>
        <v>1</v>
      </c>
      <c r="L492" s="44"/>
      <c r="M492" s="44" t="str">
        <f t="shared" si="7"/>
        <v/>
      </c>
      <c r="N492" s="44"/>
      <c r="O492" s="43"/>
    </row>
    <row r="493" spans="1:16" x14ac:dyDescent="0.25">
      <c r="A493" s="15" t="s">
        <v>2291</v>
      </c>
      <c r="B493" s="15" t="s">
        <v>2292</v>
      </c>
      <c r="C493" s="45" t="s">
        <v>153</v>
      </c>
      <c r="D493" s="46" t="s">
        <v>1740</v>
      </c>
      <c r="E493" s="15" t="s">
        <v>192</v>
      </c>
      <c r="F493" s="46">
        <v>1</v>
      </c>
      <c r="H493" s="45" t="s">
        <v>193</v>
      </c>
      <c r="I493" s="15" t="s">
        <v>194</v>
      </c>
      <c r="J493" s="15" t="s">
        <v>1764</v>
      </c>
      <c r="K493" s="15" t="s">
        <v>223</v>
      </c>
      <c r="L493" s="47" t="s">
        <v>2293</v>
      </c>
      <c r="M493" s="47" t="str">
        <f t="shared" si="7"/>
        <v>333903</v>
      </c>
      <c r="O493" s="65">
        <v>3</v>
      </c>
      <c r="P493" s="15"/>
    </row>
    <row r="494" spans="1:16" s="42" customFormat="1" ht="14.25" x14ac:dyDescent="0.2">
      <c r="C494" s="42" t="s">
        <v>48</v>
      </c>
      <c r="D494" s="43"/>
      <c r="F494" s="43"/>
      <c r="G494" s="43">
        <f>SUM(F495)</f>
        <v>1</v>
      </c>
      <c r="L494" s="44"/>
      <c r="M494" s="44" t="str">
        <f t="shared" si="7"/>
        <v/>
      </c>
      <c r="N494" s="44"/>
      <c r="O494" s="43"/>
    </row>
    <row r="495" spans="1:16" x14ac:dyDescent="0.25">
      <c r="A495" s="15" t="s">
        <v>2294</v>
      </c>
      <c r="B495" s="15" t="s">
        <v>2295</v>
      </c>
      <c r="C495" s="45" t="s">
        <v>48</v>
      </c>
      <c r="D495" s="46" t="s">
        <v>1779</v>
      </c>
      <c r="E495" s="15" t="s">
        <v>192</v>
      </c>
      <c r="F495" s="46">
        <v>1</v>
      </c>
      <c r="H495" s="45" t="s">
        <v>193</v>
      </c>
      <c r="I495" s="15" t="s">
        <v>194</v>
      </c>
      <c r="J495" s="15" t="s">
        <v>1732</v>
      </c>
      <c r="K495" s="15" t="s">
        <v>210</v>
      </c>
      <c r="L495" s="47" t="s">
        <v>2296</v>
      </c>
      <c r="M495" s="47" t="str">
        <f t="shared" si="7"/>
        <v>321401</v>
      </c>
      <c r="O495" s="65">
        <v>4</v>
      </c>
      <c r="P495" s="15"/>
    </row>
    <row r="496" spans="1:16" s="42" customFormat="1" ht="14.25" x14ac:dyDescent="0.2">
      <c r="C496" s="42" t="s">
        <v>17</v>
      </c>
      <c r="D496" s="43"/>
      <c r="F496" s="43"/>
      <c r="G496" s="43">
        <f>SUM(F497:F559)</f>
        <v>67</v>
      </c>
      <c r="L496" s="44"/>
      <c r="M496" s="44" t="str">
        <f t="shared" si="7"/>
        <v/>
      </c>
      <c r="N496" s="44"/>
      <c r="O496" s="43"/>
    </row>
    <row r="497" spans="1:16" x14ac:dyDescent="0.25">
      <c r="A497" s="15" t="s">
        <v>2297</v>
      </c>
      <c r="B497" s="15" t="s">
        <v>2298</v>
      </c>
      <c r="C497" s="49" t="s">
        <v>17</v>
      </c>
      <c r="D497" s="46" t="s">
        <v>1736</v>
      </c>
      <c r="E497" s="15" t="s">
        <v>233</v>
      </c>
      <c r="F497" s="46">
        <v>1</v>
      </c>
      <c r="H497" s="45" t="s">
        <v>193</v>
      </c>
      <c r="I497" s="15" t="s">
        <v>194</v>
      </c>
      <c r="J497" s="15" t="s">
        <v>1836</v>
      </c>
      <c r="K497" s="15" t="s">
        <v>2299</v>
      </c>
      <c r="L497" s="47" t="s">
        <v>624</v>
      </c>
      <c r="M497" s="47" t="str">
        <f t="shared" si="7"/>
        <v>332203</v>
      </c>
      <c r="N497" s="47">
        <v>1</v>
      </c>
      <c r="O497" s="65">
        <v>5</v>
      </c>
      <c r="P497" s="15"/>
    </row>
    <row r="498" spans="1:16" x14ac:dyDescent="0.25">
      <c r="A498" s="15" t="s">
        <v>2300</v>
      </c>
      <c r="B498" s="15" t="s">
        <v>2301</v>
      </c>
      <c r="C498" s="49" t="s">
        <v>17</v>
      </c>
      <c r="D498" s="46" t="s">
        <v>1803</v>
      </c>
      <c r="E498" s="15" t="s">
        <v>192</v>
      </c>
      <c r="F498" s="46">
        <v>1</v>
      </c>
      <c r="H498" s="45" t="s">
        <v>193</v>
      </c>
      <c r="I498" s="15" t="s">
        <v>194</v>
      </c>
      <c r="J498" s="15" t="s">
        <v>1776</v>
      </c>
      <c r="K498" s="15" t="s">
        <v>267</v>
      </c>
      <c r="L498" s="47" t="s">
        <v>624</v>
      </c>
      <c r="M498" s="47" t="str">
        <f t="shared" si="7"/>
        <v>332203</v>
      </c>
      <c r="N498" s="47">
        <v>2</v>
      </c>
      <c r="O498" s="65">
        <v>6</v>
      </c>
      <c r="P498" s="15"/>
    </row>
    <row r="499" spans="1:16" x14ac:dyDescent="0.25">
      <c r="A499" s="15" t="s">
        <v>2302</v>
      </c>
      <c r="B499" s="15" t="s">
        <v>2303</v>
      </c>
      <c r="C499" s="49" t="s">
        <v>17</v>
      </c>
      <c r="D499" s="46" t="s">
        <v>1740</v>
      </c>
      <c r="E499" s="15" t="s">
        <v>233</v>
      </c>
      <c r="F499" s="46">
        <v>1</v>
      </c>
      <c r="H499" s="45" t="s">
        <v>193</v>
      </c>
      <c r="I499" s="15" t="s">
        <v>194</v>
      </c>
      <c r="J499" s="15" t="s">
        <v>1776</v>
      </c>
      <c r="K499" s="15" t="s">
        <v>210</v>
      </c>
      <c r="L499" s="47" t="s">
        <v>624</v>
      </c>
      <c r="M499" s="47" t="str">
        <f t="shared" si="7"/>
        <v>332203</v>
      </c>
      <c r="N499" s="47">
        <v>3</v>
      </c>
      <c r="O499" s="65">
        <v>7</v>
      </c>
      <c r="P499" s="15"/>
    </row>
    <row r="500" spans="1:16" x14ac:dyDescent="0.25">
      <c r="A500" s="15" t="s">
        <v>2304</v>
      </c>
      <c r="B500" s="15" t="s">
        <v>2305</v>
      </c>
      <c r="C500" s="49" t="s">
        <v>17</v>
      </c>
      <c r="D500" s="46" t="s">
        <v>1803</v>
      </c>
      <c r="E500" s="15" t="s">
        <v>192</v>
      </c>
      <c r="F500" s="46">
        <v>1</v>
      </c>
      <c r="H500" s="45" t="s">
        <v>193</v>
      </c>
      <c r="I500" s="15" t="s">
        <v>194</v>
      </c>
      <c r="J500" s="15" t="s">
        <v>1776</v>
      </c>
      <c r="K500" s="15" t="s">
        <v>210</v>
      </c>
      <c r="L500" s="47" t="s">
        <v>624</v>
      </c>
      <c r="M500" s="47" t="str">
        <f t="shared" si="7"/>
        <v>332203</v>
      </c>
      <c r="N500" s="47">
        <v>4</v>
      </c>
      <c r="O500" s="65">
        <v>8</v>
      </c>
      <c r="P500" s="15"/>
    </row>
    <row r="501" spans="1:16" x14ac:dyDescent="0.25">
      <c r="A501" s="15" t="s">
        <v>2306</v>
      </c>
      <c r="B501" s="15" t="s">
        <v>2307</v>
      </c>
      <c r="C501" s="49" t="s">
        <v>17</v>
      </c>
      <c r="D501" s="46" t="s">
        <v>1728</v>
      </c>
      <c r="E501" s="15" t="s">
        <v>233</v>
      </c>
      <c r="F501" s="46">
        <v>1</v>
      </c>
      <c r="H501" s="45" t="s">
        <v>193</v>
      </c>
      <c r="I501" s="15" t="s">
        <v>194</v>
      </c>
      <c r="J501" s="15" t="s">
        <v>1776</v>
      </c>
      <c r="K501" s="15" t="s">
        <v>196</v>
      </c>
      <c r="L501" s="47" t="s">
        <v>624</v>
      </c>
      <c r="M501" s="47" t="str">
        <f t="shared" si="7"/>
        <v>332203</v>
      </c>
      <c r="N501" s="47">
        <v>5</v>
      </c>
      <c r="O501" s="65">
        <v>9</v>
      </c>
      <c r="P501" s="15"/>
    </row>
    <row r="502" spans="1:16" x14ac:dyDescent="0.25">
      <c r="A502" s="15" t="s">
        <v>2308</v>
      </c>
      <c r="B502" s="15" t="s">
        <v>2309</v>
      </c>
      <c r="C502" s="49" t="s">
        <v>17</v>
      </c>
      <c r="D502" s="46" t="s">
        <v>1740</v>
      </c>
      <c r="E502" s="15" t="s">
        <v>192</v>
      </c>
      <c r="F502" s="46">
        <v>1</v>
      </c>
      <c r="H502" s="45" t="s">
        <v>193</v>
      </c>
      <c r="I502" s="15" t="s">
        <v>194</v>
      </c>
      <c r="J502" s="15" t="s">
        <v>1776</v>
      </c>
      <c r="K502" s="15" t="s">
        <v>210</v>
      </c>
      <c r="L502" s="47" t="s">
        <v>624</v>
      </c>
      <c r="M502" s="47" t="str">
        <f t="shared" si="7"/>
        <v>332203</v>
      </c>
      <c r="N502" s="47">
        <v>6</v>
      </c>
      <c r="O502" s="65">
        <v>380</v>
      </c>
      <c r="P502" s="15"/>
    </row>
    <row r="503" spans="1:16" x14ac:dyDescent="0.25">
      <c r="A503" s="15" t="s">
        <v>2310</v>
      </c>
      <c r="B503" s="15" t="s">
        <v>1687</v>
      </c>
      <c r="C503" s="49" t="s">
        <v>17</v>
      </c>
      <c r="D503" s="46" t="s">
        <v>1740</v>
      </c>
      <c r="E503" s="15" t="s">
        <v>192</v>
      </c>
      <c r="F503" s="46">
        <v>1</v>
      </c>
      <c r="H503" s="45" t="s">
        <v>193</v>
      </c>
      <c r="I503" s="15" t="s">
        <v>194</v>
      </c>
      <c r="J503" s="15" t="s">
        <v>1776</v>
      </c>
      <c r="K503" s="15" t="s">
        <v>196</v>
      </c>
      <c r="L503" s="47" t="s">
        <v>624</v>
      </c>
      <c r="M503" s="47" t="str">
        <f t="shared" si="7"/>
        <v>332203</v>
      </c>
      <c r="N503" s="47">
        <v>7</v>
      </c>
      <c r="O503" s="65">
        <v>1</v>
      </c>
      <c r="P503" s="15"/>
    </row>
    <row r="504" spans="1:16" x14ac:dyDescent="0.25">
      <c r="A504" s="15" t="s">
        <v>2311</v>
      </c>
      <c r="B504" s="15" t="s">
        <v>2312</v>
      </c>
      <c r="C504" s="49" t="s">
        <v>17</v>
      </c>
      <c r="D504" s="46" t="s">
        <v>1736</v>
      </c>
      <c r="E504" s="15" t="s">
        <v>192</v>
      </c>
      <c r="F504" s="46">
        <v>1</v>
      </c>
      <c r="H504" s="45" t="s">
        <v>193</v>
      </c>
      <c r="I504" s="15" t="s">
        <v>194</v>
      </c>
      <c r="J504" s="15" t="s">
        <v>1836</v>
      </c>
      <c r="K504" s="15" t="s">
        <v>210</v>
      </c>
      <c r="L504" s="47" t="s">
        <v>624</v>
      </c>
      <c r="M504" s="47" t="str">
        <f t="shared" si="7"/>
        <v>332203</v>
      </c>
      <c r="N504" s="47">
        <v>8</v>
      </c>
      <c r="O504" s="65">
        <v>2</v>
      </c>
      <c r="P504" s="15"/>
    </row>
    <row r="505" spans="1:16" x14ac:dyDescent="0.25">
      <c r="A505" s="15" t="s">
        <v>2313</v>
      </c>
      <c r="B505" s="15" t="s">
        <v>2314</v>
      </c>
      <c r="C505" s="49" t="s">
        <v>17</v>
      </c>
      <c r="D505" s="46" t="s">
        <v>1736</v>
      </c>
      <c r="E505" s="15" t="s">
        <v>192</v>
      </c>
      <c r="F505" s="46">
        <v>1</v>
      </c>
      <c r="H505" s="45" t="s">
        <v>193</v>
      </c>
      <c r="I505" s="15" t="s">
        <v>194</v>
      </c>
      <c r="J505" s="15" t="s">
        <v>1737</v>
      </c>
      <c r="K505" s="15" t="s">
        <v>196</v>
      </c>
      <c r="L505" s="47" t="s">
        <v>624</v>
      </c>
      <c r="M505" s="47" t="str">
        <f t="shared" si="7"/>
        <v>332203</v>
      </c>
      <c r="N505" s="47">
        <v>9</v>
      </c>
      <c r="O505" s="65">
        <v>3</v>
      </c>
      <c r="P505" s="15"/>
    </row>
    <row r="506" spans="1:16" x14ac:dyDescent="0.25">
      <c r="A506" s="15" t="s">
        <v>2315</v>
      </c>
      <c r="B506" s="15" t="s">
        <v>2316</v>
      </c>
      <c r="C506" s="49" t="s">
        <v>17</v>
      </c>
      <c r="D506" s="46" t="s">
        <v>1740</v>
      </c>
      <c r="E506" s="15" t="s">
        <v>233</v>
      </c>
      <c r="F506" s="46">
        <v>1</v>
      </c>
      <c r="H506" s="45" t="s">
        <v>193</v>
      </c>
      <c r="I506" s="15" t="s">
        <v>194</v>
      </c>
      <c r="J506" s="15" t="s">
        <v>1776</v>
      </c>
      <c r="K506" s="15" t="s">
        <v>196</v>
      </c>
      <c r="L506" s="47" t="s">
        <v>624</v>
      </c>
      <c r="M506" s="47" t="str">
        <f t="shared" si="7"/>
        <v>332203</v>
      </c>
      <c r="N506" s="47">
        <v>10</v>
      </c>
      <c r="O506" s="65">
        <v>4</v>
      </c>
      <c r="P506" s="15"/>
    </row>
    <row r="507" spans="1:16" x14ac:dyDescent="0.25">
      <c r="A507" s="15" t="s">
        <v>2315</v>
      </c>
      <c r="B507" s="15" t="s">
        <v>2316</v>
      </c>
      <c r="C507" s="49" t="s">
        <v>17</v>
      </c>
      <c r="D507" s="46" t="s">
        <v>1761</v>
      </c>
      <c r="E507" s="15" t="s">
        <v>233</v>
      </c>
      <c r="F507" s="46">
        <v>1</v>
      </c>
      <c r="H507" s="45" t="s">
        <v>193</v>
      </c>
      <c r="I507" s="15" t="s">
        <v>194</v>
      </c>
      <c r="J507" s="15" t="s">
        <v>1776</v>
      </c>
      <c r="K507" s="15" t="s">
        <v>196</v>
      </c>
      <c r="L507" s="47" t="s">
        <v>624</v>
      </c>
      <c r="M507" s="47" t="str">
        <f t="shared" si="7"/>
        <v>332203</v>
      </c>
      <c r="N507" s="47">
        <v>11</v>
      </c>
      <c r="O507" s="65">
        <v>5</v>
      </c>
      <c r="P507" s="15"/>
    </row>
    <row r="508" spans="1:16" x14ac:dyDescent="0.25">
      <c r="A508" s="15" t="s">
        <v>413</v>
      </c>
      <c r="B508" s="15" t="s">
        <v>2317</v>
      </c>
      <c r="C508" s="49" t="s">
        <v>17</v>
      </c>
      <c r="D508" s="46" t="s">
        <v>1745</v>
      </c>
      <c r="E508" s="15" t="s">
        <v>192</v>
      </c>
      <c r="F508" s="46">
        <v>1</v>
      </c>
      <c r="H508" s="45" t="s">
        <v>193</v>
      </c>
      <c r="I508" s="15" t="s">
        <v>194</v>
      </c>
      <c r="J508" s="15" t="s">
        <v>1776</v>
      </c>
      <c r="K508" s="15" t="s">
        <v>276</v>
      </c>
      <c r="L508" s="47" t="s">
        <v>624</v>
      </c>
      <c r="M508" s="47" t="str">
        <f t="shared" si="7"/>
        <v>332203</v>
      </c>
      <c r="N508" s="47">
        <v>12</v>
      </c>
      <c r="O508" s="65">
        <v>6</v>
      </c>
      <c r="P508" s="15"/>
    </row>
    <row r="509" spans="1:16" x14ac:dyDescent="0.25">
      <c r="A509" s="15" t="s">
        <v>2318</v>
      </c>
      <c r="B509" s="15" t="s">
        <v>2319</v>
      </c>
      <c r="C509" s="49" t="s">
        <v>17</v>
      </c>
      <c r="D509" s="46" t="s">
        <v>1731</v>
      </c>
      <c r="E509" s="15" t="s">
        <v>192</v>
      </c>
      <c r="F509" s="46">
        <v>1</v>
      </c>
      <c r="H509" s="45" t="s">
        <v>193</v>
      </c>
      <c r="I509" s="15" t="s">
        <v>194</v>
      </c>
      <c r="J509" s="15" t="s">
        <v>1776</v>
      </c>
      <c r="K509" s="15" t="s">
        <v>276</v>
      </c>
      <c r="L509" s="47" t="s">
        <v>624</v>
      </c>
      <c r="M509" s="47" t="str">
        <f t="shared" si="7"/>
        <v>332203</v>
      </c>
      <c r="N509" s="47">
        <v>13</v>
      </c>
      <c r="O509" s="65">
        <v>7</v>
      </c>
      <c r="P509" s="15"/>
    </row>
    <row r="510" spans="1:16" x14ac:dyDescent="0.25">
      <c r="A510" s="15" t="s">
        <v>2320</v>
      </c>
      <c r="B510" s="15" t="s">
        <v>2321</v>
      </c>
      <c r="C510" s="49" t="s">
        <v>17</v>
      </c>
      <c r="D510" s="46" t="s">
        <v>1740</v>
      </c>
      <c r="E510" s="15" t="s">
        <v>192</v>
      </c>
      <c r="F510" s="46">
        <v>1</v>
      </c>
      <c r="H510" s="45" t="s">
        <v>193</v>
      </c>
      <c r="I510" s="15" t="s">
        <v>194</v>
      </c>
      <c r="J510" s="15" t="s">
        <v>1746</v>
      </c>
      <c r="K510" s="15" t="s">
        <v>316</v>
      </c>
      <c r="L510" s="47" t="s">
        <v>624</v>
      </c>
      <c r="M510" s="47" t="str">
        <f t="shared" si="7"/>
        <v>332203</v>
      </c>
      <c r="N510" s="47">
        <v>14</v>
      </c>
      <c r="O510" s="65">
        <v>8</v>
      </c>
      <c r="P510" s="15"/>
    </row>
    <row r="511" spans="1:16" x14ac:dyDescent="0.25">
      <c r="A511" s="15" t="s">
        <v>2322</v>
      </c>
      <c r="B511" s="15" t="s">
        <v>2323</v>
      </c>
      <c r="C511" s="49" t="s">
        <v>17</v>
      </c>
      <c r="D511" s="46" t="s">
        <v>1732</v>
      </c>
      <c r="E511" s="15" t="s">
        <v>192</v>
      </c>
      <c r="F511" s="46">
        <v>1</v>
      </c>
      <c r="H511" s="45" t="s">
        <v>193</v>
      </c>
      <c r="I511" s="15" t="s">
        <v>194</v>
      </c>
      <c r="J511" s="15" t="s">
        <v>1734</v>
      </c>
      <c r="K511" s="15" t="s">
        <v>210</v>
      </c>
      <c r="L511" s="47" t="s">
        <v>624</v>
      </c>
      <c r="M511" s="47" t="str">
        <f t="shared" si="7"/>
        <v>332203</v>
      </c>
      <c r="N511" s="47">
        <v>15</v>
      </c>
      <c r="O511" s="65">
        <v>9</v>
      </c>
      <c r="P511" s="15"/>
    </row>
    <row r="512" spans="1:16" x14ac:dyDescent="0.25">
      <c r="A512" s="15" t="s">
        <v>2324</v>
      </c>
      <c r="B512" s="15" t="s">
        <v>2325</v>
      </c>
      <c r="C512" s="49" t="s">
        <v>17</v>
      </c>
      <c r="D512" s="46" t="s">
        <v>1740</v>
      </c>
      <c r="E512" s="15" t="s">
        <v>192</v>
      </c>
      <c r="F512" s="46">
        <v>1</v>
      </c>
      <c r="H512" s="45" t="s">
        <v>193</v>
      </c>
      <c r="I512" s="15" t="s">
        <v>194</v>
      </c>
      <c r="J512" s="15" t="s">
        <v>1752</v>
      </c>
      <c r="K512" s="15" t="s">
        <v>385</v>
      </c>
      <c r="L512" s="47" t="s">
        <v>624</v>
      </c>
      <c r="M512" s="47" t="str">
        <f t="shared" si="7"/>
        <v>332203</v>
      </c>
      <c r="N512" s="47">
        <v>16</v>
      </c>
      <c r="O512" s="65">
        <v>390</v>
      </c>
      <c r="P512" s="15"/>
    </row>
    <row r="513" spans="1:16" x14ac:dyDescent="0.25">
      <c r="A513" s="15" t="s">
        <v>2326</v>
      </c>
      <c r="B513" s="15" t="s">
        <v>2327</v>
      </c>
      <c r="C513" s="49" t="s">
        <v>17</v>
      </c>
      <c r="D513" s="46" t="s">
        <v>1728</v>
      </c>
      <c r="E513" s="15" t="s">
        <v>192</v>
      </c>
      <c r="F513" s="46">
        <v>1</v>
      </c>
      <c r="H513" s="45" t="s">
        <v>193</v>
      </c>
      <c r="I513" s="15" t="s">
        <v>194</v>
      </c>
      <c r="J513" s="15" t="s">
        <v>1836</v>
      </c>
      <c r="K513" s="15" t="s">
        <v>276</v>
      </c>
      <c r="L513" s="47" t="s">
        <v>624</v>
      </c>
      <c r="M513" s="47" t="str">
        <f t="shared" si="7"/>
        <v>332203</v>
      </c>
      <c r="N513" s="47">
        <v>17</v>
      </c>
      <c r="O513" s="65">
        <v>1</v>
      </c>
      <c r="P513" s="15"/>
    </row>
    <row r="514" spans="1:16" x14ac:dyDescent="0.25">
      <c r="A514" s="15" t="s">
        <v>1697</v>
      </c>
      <c r="B514" s="15" t="s">
        <v>1027</v>
      </c>
      <c r="C514" s="49" t="s">
        <v>17</v>
      </c>
      <c r="D514" s="46" t="s">
        <v>1745</v>
      </c>
      <c r="E514" s="15" t="s">
        <v>192</v>
      </c>
      <c r="F514" s="46">
        <v>1</v>
      </c>
      <c r="H514" s="45" t="s">
        <v>193</v>
      </c>
      <c r="I514" s="15" t="s">
        <v>194</v>
      </c>
      <c r="J514" s="15" t="s">
        <v>1754</v>
      </c>
      <c r="K514" s="15" t="s">
        <v>276</v>
      </c>
      <c r="L514" s="47" t="s">
        <v>624</v>
      </c>
      <c r="M514" s="47" t="str">
        <f t="shared" si="7"/>
        <v>332203</v>
      </c>
      <c r="N514" s="47">
        <v>18</v>
      </c>
      <c r="O514" s="65">
        <v>2</v>
      </c>
      <c r="P514" s="15"/>
    </row>
    <row r="515" spans="1:16" x14ac:dyDescent="0.25">
      <c r="A515" s="15" t="s">
        <v>413</v>
      </c>
      <c r="B515" s="15" t="s">
        <v>2328</v>
      </c>
      <c r="C515" s="49" t="s">
        <v>17</v>
      </c>
      <c r="D515" s="46" t="s">
        <v>1745</v>
      </c>
      <c r="E515" s="15" t="s">
        <v>192</v>
      </c>
      <c r="F515" s="46">
        <v>1</v>
      </c>
      <c r="H515" s="45" t="s">
        <v>193</v>
      </c>
      <c r="I515" s="15" t="s">
        <v>194</v>
      </c>
      <c r="J515" s="15" t="s">
        <v>1759</v>
      </c>
      <c r="K515" s="15" t="s">
        <v>276</v>
      </c>
      <c r="L515" s="47" t="s">
        <v>624</v>
      </c>
      <c r="M515" s="47" t="str">
        <f t="shared" si="7"/>
        <v>332203</v>
      </c>
      <c r="N515" s="47">
        <v>19</v>
      </c>
      <c r="O515" s="65">
        <v>3</v>
      </c>
      <c r="P515" s="15"/>
    </row>
    <row r="516" spans="1:16" x14ac:dyDescent="0.25">
      <c r="A516" s="15" t="s">
        <v>2329</v>
      </c>
      <c r="B516" s="15" t="s">
        <v>2330</v>
      </c>
      <c r="C516" s="49" t="s">
        <v>17</v>
      </c>
      <c r="D516" s="46" t="s">
        <v>1728</v>
      </c>
      <c r="E516" s="15" t="s">
        <v>192</v>
      </c>
      <c r="F516" s="46">
        <v>1</v>
      </c>
      <c r="H516" s="45" t="s">
        <v>193</v>
      </c>
      <c r="I516" s="15" t="s">
        <v>194</v>
      </c>
      <c r="J516" s="15" t="s">
        <v>1752</v>
      </c>
      <c r="K516" s="15" t="s">
        <v>276</v>
      </c>
      <c r="L516" s="47" t="s">
        <v>624</v>
      </c>
      <c r="M516" s="47" t="str">
        <f t="shared" si="7"/>
        <v>332203</v>
      </c>
      <c r="N516" s="47">
        <v>20</v>
      </c>
      <c r="O516" s="65">
        <v>4</v>
      </c>
      <c r="P516" s="15"/>
    </row>
    <row r="517" spans="1:16" x14ac:dyDescent="0.25">
      <c r="A517" s="15" t="s">
        <v>208</v>
      </c>
      <c r="B517" s="15" t="s">
        <v>2331</v>
      </c>
      <c r="C517" s="49" t="s">
        <v>17</v>
      </c>
      <c r="D517" s="46" t="s">
        <v>1740</v>
      </c>
      <c r="E517" s="15" t="s">
        <v>192</v>
      </c>
      <c r="F517" s="46">
        <v>1</v>
      </c>
      <c r="H517" s="45" t="s">
        <v>193</v>
      </c>
      <c r="I517" s="15" t="s">
        <v>194</v>
      </c>
      <c r="J517" s="15" t="s">
        <v>1764</v>
      </c>
      <c r="K517" s="15" t="s">
        <v>210</v>
      </c>
      <c r="L517" s="47" t="s">
        <v>624</v>
      </c>
      <c r="M517" s="47" t="str">
        <f t="shared" ref="M517:M580" si="8">MID(L517,8,6)</f>
        <v>332203</v>
      </c>
      <c r="N517" s="47">
        <v>21</v>
      </c>
      <c r="O517" s="65">
        <v>5</v>
      </c>
      <c r="P517" s="15"/>
    </row>
    <row r="518" spans="1:16" x14ac:dyDescent="0.25">
      <c r="A518" s="15" t="s">
        <v>208</v>
      </c>
      <c r="B518" s="15" t="s">
        <v>2331</v>
      </c>
      <c r="C518" s="49" t="s">
        <v>17</v>
      </c>
      <c r="D518" s="46" t="s">
        <v>1745</v>
      </c>
      <c r="E518" s="15" t="s">
        <v>192</v>
      </c>
      <c r="F518" s="46">
        <v>1</v>
      </c>
      <c r="H518" s="45" t="s">
        <v>193</v>
      </c>
      <c r="I518" s="15" t="s">
        <v>194</v>
      </c>
      <c r="J518" s="15" t="s">
        <v>1764</v>
      </c>
      <c r="K518" s="15" t="s">
        <v>210</v>
      </c>
      <c r="L518" s="47" t="s">
        <v>624</v>
      </c>
      <c r="M518" s="47" t="str">
        <f t="shared" si="8"/>
        <v>332203</v>
      </c>
      <c r="N518" s="47">
        <v>22</v>
      </c>
      <c r="O518" s="65">
        <v>6</v>
      </c>
      <c r="P518" s="15"/>
    </row>
    <row r="519" spans="1:16" x14ac:dyDescent="0.25">
      <c r="A519" s="15" t="s">
        <v>2332</v>
      </c>
      <c r="B519" s="15" t="s">
        <v>2333</v>
      </c>
      <c r="C519" s="49" t="s">
        <v>17</v>
      </c>
      <c r="D519" s="46" t="s">
        <v>1728</v>
      </c>
      <c r="E519" s="15" t="s">
        <v>192</v>
      </c>
      <c r="F519" s="46">
        <v>1</v>
      </c>
      <c r="H519" s="45" t="s">
        <v>193</v>
      </c>
      <c r="I519" s="15" t="s">
        <v>194</v>
      </c>
      <c r="J519" s="15" t="s">
        <v>1764</v>
      </c>
      <c r="K519" s="15" t="s">
        <v>196</v>
      </c>
      <c r="L519" s="47" t="s">
        <v>624</v>
      </c>
      <c r="M519" s="47" t="str">
        <f t="shared" si="8"/>
        <v>332203</v>
      </c>
      <c r="N519" s="47">
        <v>23</v>
      </c>
      <c r="O519" s="65">
        <v>7</v>
      </c>
      <c r="P519" s="15"/>
    </row>
    <row r="520" spans="1:16" x14ac:dyDescent="0.25">
      <c r="A520" s="15" t="s">
        <v>2334</v>
      </c>
      <c r="B520" s="15" t="s">
        <v>2335</v>
      </c>
      <c r="C520" s="49" t="s">
        <v>17</v>
      </c>
      <c r="D520" s="46" t="s">
        <v>1803</v>
      </c>
      <c r="E520" s="15" t="s">
        <v>192</v>
      </c>
      <c r="F520" s="46">
        <v>1</v>
      </c>
      <c r="H520" s="45" t="s">
        <v>193</v>
      </c>
      <c r="I520" s="15" t="s">
        <v>194</v>
      </c>
      <c r="J520" s="15" t="s">
        <v>1764</v>
      </c>
      <c r="K520" s="15" t="s">
        <v>210</v>
      </c>
      <c r="L520" s="47" t="s">
        <v>624</v>
      </c>
      <c r="M520" s="47" t="str">
        <f t="shared" si="8"/>
        <v>332203</v>
      </c>
      <c r="N520" s="47">
        <v>24</v>
      </c>
      <c r="O520" s="65">
        <v>8</v>
      </c>
      <c r="P520" s="15"/>
    </row>
    <row r="521" spans="1:16" x14ac:dyDescent="0.25">
      <c r="A521" s="15" t="s">
        <v>2336</v>
      </c>
      <c r="B521" s="15" t="s">
        <v>2333</v>
      </c>
      <c r="C521" s="49" t="s">
        <v>17</v>
      </c>
      <c r="D521" s="46" t="s">
        <v>1761</v>
      </c>
      <c r="E521" s="15" t="s">
        <v>233</v>
      </c>
      <c r="F521" s="46">
        <v>1</v>
      </c>
      <c r="H521" s="45" t="s">
        <v>193</v>
      </c>
      <c r="I521" s="15" t="s">
        <v>194</v>
      </c>
      <c r="J521" s="15" t="s">
        <v>1764</v>
      </c>
      <c r="K521" s="15" t="s">
        <v>210</v>
      </c>
      <c r="L521" s="47" t="s">
        <v>624</v>
      </c>
      <c r="M521" s="47" t="str">
        <f t="shared" si="8"/>
        <v>332203</v>
      </c>
      <c r="N521" s="47">
        <v>25</v>
      </c>
      <c r="O521" s="65">
        <v>9</v>
      </c>
      <c r="P521" s="15"/>
    </row>
    <row r="522" spans="1:16" x14ac:dyDescent="0.25">
      <c r="A522" s="15" t="s">
        <v>2337</v>
      </c>
      <c r="B522" s="15" t="s">
        <v>2333</v>
      </c>
      <c r="C522" s="49" t="s">
        <v>17</v>
      </c>
      <c r="D522" s="46" t="s">
        <v>1732</v>
      </c>
      <c r="E522" s="15" t="s">
        <v>192</v>
      </c>
      <c r="F522" s="46">
        <v>1</v>
      </c>
      <c r="H522" s="45" t="s">
        <v>193</v>
      </c>
      <c r="I522" s="15" t="s">
        <v>194</v>
      </c>
      <c r="J522" s="15" t="s">
        <v>1734</v>
      </c>
      <c r="K522" s="15" t="s">
        <v>196</v>
      </c>
      <c r="L522" s="47" t="s">
        <v>624</v>
      </c>
      <c r="M522" s="47" t="str">
        <f t="shared" si="8"/>
        <v>332203</v>
      </c>
      <c r="N522" s="47">
        <v>26</v>
      </c>
      <c r="O522" s="65">
        <v>400</v>
      </c>
      <c r="P522" s="15"/>
    </row>
    <row r="523" spans="1:16" x14ac:dyDescent="0.25">
      <c r="A523" s="15" t="s">
        <v>2338</v>
      </c>
      <c r="B523" s="15" t="s">
        <v>632</v>
      </c>
      <c r="C523" s="49" t="s">
        <v>17</v>
      </c>
      <c r="D523" s="46" t="s">
        <v>1728</v>
      </c>
      <c r="E523" s="15" t="s">
        <v>192</v>
      </c>
      <c r="F523" s="46">
        <v>1</v>
      </c>
      <c r="H523" s="45" t="s">
        <v>193</v>
      </c>
      <c r="I523" s="15" t="s">
        <v>194</v>
      </c>
      <c r="J523" s="15" t="s">
        <v>1732</v>
      </c>
      <c r="K523" s="15" t="s">
        <v>210</v>
      </c>
      <c r="L523" s="47" t="s">
        <v>624</v>
      </c>
      <c r="M523" s="47" t="str">
        <f t="shared" si="8"/>
        <v>332203</v>
      </c>
      <c r="N523" s="47">
        <v>27</v>
      </c>
      <c r="O523" s="65">
        <v>1</v>
      </c>
      <c r="P523" s="15"/>
    </row>
    <row r="524" spans="1:16" x14ac:dyDescent="0.25">
      <c r="A524" s="15" t="s">
        <v>2339</v>
      </c>
      <c r="B524" s="15" t="s">
        <v>632</v>
      </c>
      <c r="C524" s="49" t="s">
        <v>17</v>
      </c>
      <c r="D524" s="46" t="s">
        <v>1728</v>
      </c>
      <c r="E524" s="15" t="s">
        <v>192</v>
      </c>
      <c r="F524" s="46">
        <v>1</v>
      </c>
      <c r="H524" s="45" t="s">
        <v>193</v>
      </c>
      <c r="I524" s="15" t="s">
        <v>194</v>
      </c>
      <c r="J524" s="15" t="s">
        <v>1732</v>
      </c>
      <c r="K524" s="15" t="s">
        <v>196</v>
      </c>
      <c r="L524" s="47" t="s">
        <v>624</v>
      </c>
      <c r="M524" s="47" t="str">
        <f t="shared" si="8"/>
        <v>332203</v>
      </c>
      <c r="N524" s="47">
        <v>28</v>
      </c>
      <c r="O524" s="65">
        <v>2</v>
      </c>
      <c r="P524" s="15"/>
    </row>
    <row r="525" spans="1:16" x14ac:dyDescent="0.25">
      <c r="A525" s="15" t="s">
        <v>2340</v>
      </c>
      <c r="B525" s="15" t="s">
        <v>632</v>
      </c>
      <c r="C525" s="49" t="s">
        <v>17</v>
      </c>
      <c r="D525" s="46" t="s">
        <v>1728</v>
      </c>
      <c r="E525" s="15" t="s">
        <v>192</v>
      </c>
      <c r="F525" s="46">
        <v>1</v>
      </c>
      <c r="H525" s="45" t="s">
        <v>193</v>
      </c>
      <c r="I525" s="15" t="s">
        <v>194</v>
      </c>
      <c r="J525" s="15" t="s">
        <v>1732</v>
      </c>
      <c r="K525" s="15" t="s">
        <v>196</v>
      </c>
      <c r="L525" s="47" t="s">
        <v>624</v>
      </c>
      <c r="M525" s="47" t="str">
        <f t="shared" si="8"/>
        <v>332203</v>
      </c>
      <c r="N525" s="47">
        <v>29</v>
      </c>
      <c r="O525" s="65">
        <v>3</v>
      </c>
      <c r="P525" s="15"/>
    </row>
    <row r="526" spans="1:16" x14ac:dyDescent="0.25">
      <c r="A526" s="15" t="s">
        <v>531</v>
      </c>
      <c r="B526" s="15" t="s">
        <v>632</v>
      </c>
      <c r="C526" s="49" t="s">
        <v>17</v>
      </c>
      <c r="D526" s="46" t="s">
        <v>1728</v>
      </c>
      <c r="E526" s="15" t="s">
        <v>192</v>
      </c>
      <c r="F526" s="46">
        <v>1</v>
      </c>
      <c r="H526" s="45" t="s">
        <v>193</v>
      </c>
      <c r="I526" s="15" t="s">
        <v>194</v>
      </c>
      <c r="J526" s="15" t="s">
        <v>1732</v>
      </c>
      <c r="K526" s="15" t="s">
        <v>253</v>
      </c>
      <c r="L526" s="47" t="s">
        <v>624</v>
      </c>
      <c r="M526" s="47" t="str">
        <f t="shared" si="8"/>
        <v>332203</v>
      </c>
      <c r="N526" s="47">
        <v>30</v>
      </c>
      <c r="O526" s="65">
        <v>4</v>
      </c>
      <c r="P526" s="15"/>
    </row>
    <row r="527" spans="1:16" x14ac:dyDescent="0.25">
      <c r="A527" s="15" t="s">
        <v>2341</v>
      </c>
      <c r="B527" s="15" t="s">
        <v>632</v>
      </c>
      <c r="C527" s="49" t="s">
        <v>17</v>
      </c>
      <c r="D527" s="46" t="s">
        <v>1740</v>
      </c>
      <c r="E527" s="15" t="s">
        <v>192</v>
      </c>
      <c r="F527" s="46">
        <v>1</v>
      </c>
      <c r="H527" s="45" t="s">
        <v>193</v>
      </c>
      <c r="I527" s="15" t="s">
        <v>194</v>
      </c>
      <c r="J527" s="15" t="s">
        <v>1732</v>
      </c>
      <c r="K527" s="15" t="s">
        <v>367</v>
      </c>
      <c r="L527" s="47" t="s">
        <v>624</v>
      </c>
      <c r="M527" s="47" t="str">
        <f t="shared" si="8"/>
        <v>332203</v>
      </c>
      <c r="N527" s="47">
        <v>31</v>
      </c>
      <c r="O527" s="65">
        <v>5</v>
      </c>
      <c r="P527" s="15"/>
    </row>
    <row r="528" spans="1:16" x14ac:dyDescent="0.25">
      <c r="A528" s="15" t="s">
        <v>2342</v>
      </c>
      <c r="B528" s="15" t="s">
        <v>17</v>
      </c>
      <c r="C528" s="49" t="s">
        <v>17</v>
      </c>
      <c r="D528" s="46" t="s">
        <v>1740</v>
      </c>
      <c r="E528" s="15" t="s">
        <v>192</v>
      </c>
      <c r="F528" s="46">
        <v>1</v>
      </c>
      <c r="H528" s="45" t="s">
        <v>193</v>
      </c>
      <c r="I528" s="15" t="s">
        <v>194</v>
      </c>
      <c r="J528" s="15" t="s">
        <v>1732</v>
      </c>
      <c r="K528" s="15" t="s">
        <v>2343</v>
      </c>
      <c r="L528" s="47" t="s">
        <v>624</v>
      </c>
      <c r="M528" s="47" t="str">
        <f t="shared" si="8"/>
        <v>332203</v>
      </c>
      <c r="N528" s="47">
        <v>32</v>
      </c>
      <c r="O528" s="65">
        <v>6</v>
      </c>
      <c r="P528" s="15"/>
    </row>
    <row r="529" spans="1:16" x14ac:dyDescent="0.25">
      <c r="A529" s="15" t="s">
        <v>2344</v>
      </c>
      <c r="B529" s="15" t="s">
        <v>632</v>
      </c>
      <c r="C529" s="49" t="s">
        <v>17</v>
      </c>
      <c r="D529" s="46" t="s">
        <v>1740</v>
      </c>
      <c r="E529" s="15" t="s">
        <v>192</v>
      </c>
      <c r="F529" s="46">
        <v>1</v>
      </c>
      <c r="H529" s="45" t="s">
        <v>193</v>
      </c>
      <c r="I529" s="15" t="s">
        <v>194</v>
      </c>
      <c r="J529" s="15" t="s">
        <v>1732</v>
      </c>
      <c r="K529" s="15" t="s">
        <v>196</v>
      </c>
      <c r="L529" s="47" t="s">
        <v>624</v>
      </c>
      <c r="M529" s="47" t="str">
        <f t="shared" si="8"/>
        <v>332203</v>
      </c>
      <c r="N529" s="47">
        <v>33</v>
      </c>
      <c r="O529" s="65">
        <v>7</v>
      </c>
      <c r="P529" s="15"/>
    </row>
    <row r="530" spans="1:16" x14ac:dyDescent="0.25">
      <c r="A530" s="15" t="s">
        <v>2345</v>
      </c>
      <c r="B530" s="15" t="s">
        <v>632</v>
      </c>
      <c r="C530" s="49" t="s">
        <v>17</v>
      </c>
      <c r="D530" s="46" t="s">
        <v>1740</v>
      </c>
      <c r="E530" s="15" t="s">
        <v>192</v>
      </c>
      <c r="F530" s="46">
        <v>1</v>
      </c>
      <c r="H530" s="45" t="s">
        <v>193</v>
      </c>
      <c r="I530" s="15" t="s">
        <v>194</v>
      </c>
      <c r="J530" s="15" t="s">
        <v>1761</v>
      </c>
      <c r="K530" s="15" t="s">
        <v>238</v>
      </c>
      <c r="L530" s="47" t="s">
        <v>624</v>
      </c>
      <c r="M530" s="47" t="str">
        <f t="shared" si="8"/>
        <v>332203</v>
      </c>
      <c r="N530" s="47">
        <v>34</v>
      </c>
      <c r="O530" s="65">
        <v>8</v>
      </c>
      <c r="P530" s="15"/>
    </row>
    <row r="531" spans="1:16" x14ac:dyDescent="0.25">
      <c r="A531" s="15" t="s">
        <v>2346</v>
      </c>
      <c r="B531" s="15" t="s">
        <v>632</v>
      </c>
      <c r="C531" s="49" t="s">
        <v>17</v>
      </c>
      <c r="D531" s="46" t="s">
        <v>1740</v>
      </c>
      <c r="E531" s="15" t="s">
        <v>192</v>
      </c>
      <c r="F531" s="46">
        <v>1</v>
      </c>
      <c r="H531" s="45" t="s">
        <v>193</v>
      </c>
      <c r="I531" s="15" t="s">
        <v>194</v>
      </c>
      <c r="J531" s="15" t="s">
        <v>1732</v>
      </c>
      <c r="K531" s="15" t="s">
        <v>2347</v>
      </c>
      <c r="L531" s="47" t="s">
        <v>624</v>
      </c>
      <c r="M531" s="47" t="str">
        <f t="shared" si="8"/>
        <v>332203</v>
      </c>
      <c r="N531" s="47">
        <v>35</v>
      </c>
      <c r="O531" s="65">
        <v>9</v>
      </c>
      <c r="P531" s="15"/>
    </row>
    <row r="532" spans="1:16" x14ac:dyDescent="0.25">
      <c r="A532" s="15" t="s">
        <v>2348</v>
      </c>
      <c r="B532" s="15" t="s">
        <v>632</v>
      </c>
      <c r="C532" s="49" t="s">
        <v>17</v>
      </c>
      <c r="D532" s="46" t="s">
        <v>1761</v>
      </c>
      <c r="E532" s="15" t="s">
        <v>192</v>
      </c>
      <c r="F532" s="46">
        <v>1</v>
      </c>
      <c r="H532" s="45" t="s">
        <v>193</v>
      </c>
      <c r="I532" s="15" t="s">
        <v>194</v>
      </c>
      <c r="J532" s="15" t="s">
        <v>1769</v>
      </c>
      <c r="K532" s="15" t="s">
        <v>2349</v>
      </c>
      <c r="L532" s="47" t="s">
        <v>624</v>
      </c>
      <c r="M532" s="47" t="str">
        <f t="shared" si="8"/>
        <v>332203</v>
      </c>
      <c r="N532" s="47">
        <v>36</v>
      </c>
      <c r="O532" s="65">
        <v>410</v>
      </c>
      <c r="P532" s="15"/>
    </row>
    <row r="533" spans="1:16" x14ac:dyDescent="0.25">
      <c r="A533" s="15" t="s">
        <v>651</v>
      </c>
      <c r="B533" s="15" t="s">
        <v>632</v>
      </c>
      <c r="C533" s="49" t="s">
        <v>17</v>
      </c>
      <c r="D533" s="46" t="s">
        <v>1761</v>
      </c>
      <c r="E533" s="15" t="s">
        <v>192</v>
      </c>
      <c r="F533" s="46">
        <v>1</v>
      </c>
      <c r="H533" s="45" t="s">
        <v>193</v>
      </c>
      <c r="I533" s="15" t="s">
        <v>194</v>
      </c>
      <c r="J533" s="15" t="s">
        <v>1732</v>
      </c>
      <c r="K533" s="15" t="s">
        <v>210</v>
      </c>
      <c r="L533" s="47" t="s">
        <v>624</v>
      </c>
      <c r="M533" s="47" t="str">
        <f t="shared" si="8"/>
        <v>332203</v>
      </c>
      <c r="N533" s="47">
        <v>37</v>
      </c>
      <c r="O533" s="65">
        <v>1</v>
      </c>
      <c r="P533" s="15"/>
    </row>
    <row r="534" spans="1:16" x14ac:dyDescent="0.25">
      <c r="A534" s="15" t="s">
        <v>457</v>
      </c>
      <c r="B534" s="15" t="s">
        <v>632</v>
      </c>
      <c r="C534" s="49" t="s">
        <v>17</v>
      </c>
      <c r="D534" s="46" t="s">
        <v>1761</v>
      </c>
      <c r="E534" s="15" t="s">
        <v>192</v>
      </c>
      <c r="F534" s="46">
        <v>1</v>
      </c>
      <c r="H534" s="45" t="s">
        <v>193</v>
      </c>
      <c r="I534" s="15" t="s">
        <v>194</v>
      </c>
      <c r="J534" s="15" t="s">
        <v>1732</v>
      </c>
      <c r="K534" s="15" t="s">
        <v>196</v>
      </c>
      <c r="L534" s="47" t="s">
        <v>624</v>
      </c>
      <c r="M534" s="47" t="str">
        <f t="shared" si="8"/>
        <v>332203</v>
      </c>
      <c r="N534" s="47">
        <v>38</v>
      </c>
      <c r="O534" s="65">
        <v>2</v>
      </c>
      <c r="P534" s="15"/>
    </row>
    <row r="535" spans="1:16" x14ac:dyDescent="0.25">
      <c r="A535" s="15" t="s">
        <v>1340</v>
      </c>
      <c r="B535" s="15" t="s">
        <v>632</v>
      </c>
      <c r="C535" s="49" t="s">
        <v>17</v>
      </c>
      <c r="D535" s="46" t="s">
        <v>1779</v>
      </c>
      <c r="E535" s="15" t="s">
        <v>192</v>
      </c>
      <c r="F535" s="46">
        <v>1</v>
      </c>
      <c r="H535" s="45" t="s">
        <v>193</v>
      </c>
      <c r="I535" s="15" t="s">
        <v>194</v>
      </c>
      <c r="J535" s="15" t="s">
        <v>1732</v>
      </c>
      <c r="K535" s="15" t="s">
        <v>210</v>
      </c>
      <c r="L535" s="47" t="s">
        <v>624</v>
      </c>
      <c r="M535" s="47" t="str">
        <f t="shared" si="8"/>
        <v>332203</v>
      </c>
      <c r="N535" s="47">
        <v>39</v>
      </c>
      <c r="O535" s="65">
        <v>3</v>
      </c>
      <c r="P535" s="15"/>
    </row>
    <row r="536" spans="1:16" x14ac:dyDescent="0.25">
      <c r="A536" s="15" t="s">
        <v>2350</v>
      </c>
      <c r="B536" s="15" t="s">
        <v>632</v>
      </c>
      <c r="C536" s="49" t="s">
        <v>17</v>
      </c>
      <c r="D536" s="46" t="s">
        <v>1779</v>
      </c>
      <c r="E536" s="15" t="s">
        <v>192</v>
      </c>
      <c r="F536" s="46">
        <v>1</v>
      </c>
      <c r="H536" s="45" t="s">
        <v>193</v>
      </c>
      <c r="I536" s="15" t="s">
        <v>194</v>
      </c>
      <c r="J536" s="15" t="s">
        <v>1732</v>
      </c>
      <c r="K536" s="15" t="s">
        <v>210</v>
      </c>
      <c r="L536" s="47" t="s">
        <v>624</v>
      </c>
      <c r="M536" s="47" t="str">
        <f t="shared" si="8"/>
        <v>332203</v>
      </c>
      <c r="N536" s="47">
        <v>40</v>
      </c>
      <c r="O536" s="65">
        <v>4</v>
      </c>
      <c r="P536" s="15"/>
    </row>
    <row r="537" spans="1:16" x14ac:dyDescent="0.25">
      <c r="A537" s="15" t="s">
        <v>298</v>
      </c>
      <c r="B537" s="15" t="s">
        <v>632</v>
      </c>
      <c r="C537" s="49" t="s">
        <v>17</v>
      </c>
      <c r="D537" s="46" t="s">
        <v>1731</v>
      </c>
      <c r="E537" s="15" t="s">
        <v>192</v>
      </c>
      <c r="F537" s="46">
        <v>1</v>
      </c>
      <c r="H537" s="45" t="s">
        <v>193</v>
      </c>
      <c r="I537" s="15" t="s">
        <v>194</v>
      </c>
      <c r="J537" s="15" t="s">
        <v>1732</v>
      </c>
      <c r="K537" s="15" t="s">
        <v>301</v>
      </c>
      <c r="L537" s="47" t="s">
        <v>624</v>
      </c>
      <c r="M537" s="47" t="str">
        <f t="shared" si="8"/>
        <v>332203</v>
      </c>
      <c r="N537" s="47">
        <v>41</v>
      </c>
      <c r="O537" s="65">
        <v>5</v>
      </c>
      <c r="P537" s="15"/>
    </row>
    <row r="538" spans="1:16" x14ac:dyDescent="0.25">
      <c r="A538" s="15" t="s">
        <v>1340</v>
      </c>
      <c r="B538" s="15" t="s">
        <v>632</v>
      </c>
      <c r="C538" s="49" t="s">
        <v>17</v>
      </c>
      <c r="D538" s="46" t="s">
        <v>1732</v>
      </c>
      <c r="E538" s="15" t="s">
        <v>192</v>
      </c>
      <c r="F538" s="46">
        <v>1</v>
      </c>
      <c r="H538" s="45" t="s">
        <v>193</v>
      </c>
      <c r="I538" s="15" t="s">
        <v>194</v>
      </c>
      <c r="J538" s="15" t="s">
        <v>1836</v>
      </c>
      <c r="K538" s="15" t="s">
        <v>210</v>
      </c>
      <c r="L538" s="47" t="s">
        <v>624</v>
      </c>
      <c r="M538" s="47" t="str">
        <f t="shared" si="8"/>
        <v>332203</v>
      </c>
      <c r="N538" s="47">
        <v>42</v>
      </c>
      <c r="O538" s="65">
        <v>6</v>
      </c>
      <c r="P538" s="15"/>
    </row>
    <row r="539" spans="1:16" x14ac:dyDescent="0.25">
      <c r="A539" s="15" t="s">
        <v>2351</v>
      </c>
      <c r="B539" s="15" t="s">
        <v>17</v>
      </c>
      <c r="C539" s="49" t="s">
        <v>17</v>
      </c>
      <c r="D539" s="46" t="s">
        <v>1736</v>
      </c>
      <c r="E539" s="15" t="s">
        <v>192</v>
      </c>
      <c r="F539" s="46">
        <v>1</v>
      </c>
      <c r="H539" s="45" t="s">
        <v>193</v>
      </c>
      <c r="I539" s="15" t="s">
        <v>194</v>
      </c>
      <c r="J539" s="15" t="s">
        <v>1836</v>
      </c>
      <c r="K539" s="15" t="s">
        <v>210</v>
      </c>
      <c r="L539" s="47" t="s">
        <v>624</v>
      </c>
      <c r="M539" s="47" t="str">
        <f t="shared" si="8"/>
        <v>332203</v>
      </c>
      <c r="N539" s="47">
        <v>43</v>
      </c>
      <c r="O539" s="65">
        <v>7</v>
      </c>
      <c r="P539" s="15"/>
    </row>
    <row r="540" spans="1:16" x14ac:dyDescent="0.25">
      <c r="A540" s="15" t="s">
        <v>924</v>
      </c>
      <c r="B540" s="15" t="s">
        <v>2352</v>
      </c>
      <c r="C540" s="49" t="s">
        <v>17</v>
      </c>
      <c r="D540" s="46" t="s">
        <v>1761</v>
      </c>
      <c r="E540" s="15" t="s">
        <v>192</v>
      </c>
      <c r="F540" s="46">
        <v>1</v>
      </c>
      <c r="H540" s="45" t="s">
        <v>193</v>
      </c>
      <c r="I540" s="15" t="s">
        <v>194</v>
      </c>
      <c r="J540" s="15" t="s">
        <v>1764</v>
      </c>
      <c r="K540" s="15" t="s">
        <v>196</v>
      </c>
      <c r="L540" s="47" t="s">
        <v>624</v>
      </c>
      <c r="M540" s="47" t="str">
        <f t="shared" si="8"/>
        <v>332203</v>
      </c>
      <c r="N540" s="47">
        <v>44</v>
      </c>
      <c r="O540" s="65">
        <v>8</v>
      </c>
      <c r="P540" s="15"/>
    </row>
    <row r="541" spans="1:16" x14ac:dyDescent="0.25">
      <c r="A541" s="15" t="s">
        <v>2353</v>
      </c>
      <c r="B541" s="15" t="s">
        <v>2354</v>
      </c>
      <c r="C541" s="49" t="s">
        <v>17</v>
      </c>
      <c r="D541" s="46" t="s">
        <v>1803</v>
      </c>
      <c r="E541" s="15" t="s">
        <v>192</v>
      </c>
      <c r="F541" s="46">
        <v>5</v>
      </c>
      <c r="H541" s="45" t="s">
        <v>193</v>
      </c>
      <c r="I541" s="15" t="s">
        <v>194</v>
      </c>
      <c r="J541" s="15" t="s">
        <v>1764</v>
      </c>
      <c r="K541" s="15" t="s">
        <v>223</v>
      </c>
      <c r="L541" s="47" t="s">
        <v>624</v>
      </c>
      <c r="M541" s="47" t="str">
        <f t="shared" si="8"/>
        <v>332203</v>
      </c>
      <c r="N541" s="47">
        <v>49</v>
      </c>
      <c r="O541" s="65">
        <v>9</v>
      </c>
      <c r="P541" s="15"/>
    </row>
    <row r="542" spans="1:16" x14ac:dyDescent="0.25">
      <c r="A542" s="15" t="s">
        <v>2355</v>
      </c>
      <c r="B542" s="15" t="s">
        <v>2356</v>
      </c>
      <c r="C542" s="49" t="s">
        <v>17</v>
      </c>
      <c r="D542" s="46" t="s">
        <v>1732</v>
      </c>
      <c r="E542" s="15" t="s">
        <v>192</v>
      </c>
      <c r="F542" s="46">
        <v>1</v>
      </c>
      <c r="H542" s="45" t="s">
        <v>193</v>
      </c>
      <c r="I542" s="15" t="s">
        <v>194</v>
      </c>
      <c r="J542" s="15" t="s">
        <v>1764</v>
      </c>
      <c r="K542" s="15" t="s">
        <v>210</v>
      </c>
      <c r="L542" s="47" t="s">
        <v>624</v>
      </c>
      <c r="M542" s="47" t="str">
        <f t="shared" si="8"/>
        <v>332203</v>
      </c>
      <c r="N542" s="47">
        <v>50</v>
      </c>
      <c r="O542" s="65">
        <v>420</v>
      </c>
      <c r="P542" s="15"/>
    </row>
    <row r="543" spans="1:16" x14ac:dyDescent="0.25">
      <c r="A543" s="15" t="s">
        <v>2357</v>
      </c>
      <c r="B543" s="15" t="s">
        <v>2358</v>
      </c>
      <c r="C543" s="49" t="s">
        <v>17</v>
      </c>
      <c r="D543" s="46" t="s">
        <v>1740</v>
      </c>
      <c r="E543" s="15" t="s">
        <v>192</v>
      </c>
      <c r="F543" s="46">
        <v>2</v>
      </c>
      <c r="H543" s="45" t="s">
        <v>193</v>
      </c>
      <c r="I543" s="15" t="s">
        <v>194</v>
      </c>
      <c r="J543" s="15" t="s">
        <v>1764</v>
      </c>
      <c r="K543" s="15" t="s">
        <v>267</v>
      </c>
      <c r="L543" s="47" t="s">
        <v>624</v>
      </c>
      <c r="M543" s="47" t="str">
        <f t="shared" si="8"/>
        <v>332203</v>
      </c>
      <c r="N543" s="47">
        <v>52</v>
      </c>
      <c r="O543" s="65">
        <v>1</v>
      </c>
      <c r="P543" s="15"/>
    </row>
    <row r="544" spans="1:16" x14ac:dyDescent="0.25">
      <c r="A544" s="15" t="s">
        <v>2359</v>
      </c>
      <c r="B544" s="15" t="s">
        <v>620</v>
      </c>
      <c r="C544" s="49" t="s">
        <v>17</v>
      </c>
      <c r="D544" s="46" t="s">
        <v>1731</v>
      </c>
      <c r="E544" s="15" t="s">
        <v>192</v>
      </c>
      <c r="F544" s="46">
        <v>1</v>
      </c>
      <c r="H544" s="45" t="s">
        <v>193</v>
      </c>
      <c r="I544" s="15" t="s">
        <v>194</v>
      </c>
      <c r="J544" s="15" t="s">
        <v>1764</v>
      </c>
      <c r="K544" s="15" t="s">
        <v>267</v>
      </c>
      <c r="L544" s="47" t="s">
        <v>624</v>
      </c>
      <c r="M544" s="47" t="str">
        <f t="shared" si="8"/>
        <v>332203</v>
      </c>
      <c r="N544" s="47">
        <v>53</v>
      </c>
      <c r="O544" s="65">
        <v>2</v>
      </c>
      <c r="P544" s="15"/>
    </row>
    <row r="545" spans="1:16" x14ac:dyDescent="0.25">
      <c r="A545" s="15" t="s">
        <v>627</v>
      </c>
      <c r="B545" s="15" t="s">
        <v>2360</v>
      </c>
      <c r="C545" s="49" t="s">
        <v>17</v>
      </c>
      <c r="D545" s="46" t="s">
        <v>1745</v>
      </c>
      <c r="E545" s="15" t="s">
        <v>192</v>
      </c>
      <c r="F545" s="46">
        <v>1</v>
      </c>
      <c r="H545" s="45" t="s">
        <v>193</v>
      </c>
      <c r="I545" s="15" t="s">
        <v>194</v>
      </c>
      <c r="J545" s="15" t="s">
        <v>1764</v>
      </c>
      <c r="K545" s="15" t="s">
        <v>253</v>
      </c>
      <c r="L545" s="47" t="s">
        <v>624</v>
      </c>
      <c r="M545" s="47" t="str">
        <f t="shared" si="8"/>
        <v>332203</v>
      </c>
      <c r="N545" s="47">
        <v>54</v>
      </c>
      <c r="O545" s="65">
        <v>3</v>
      </c>
      <c r="P545" s="15"/>
    </row>
    <row r="546" spans="1:16" x14ac:dyDescent="0.25">
      <c r="A546" s="15" t="s">
        <v>2361</v>
      </c>
      <c r="B546" s="15" t="s">
        <v>2362</v>
      </c>
      <c r="C546" s="49" t="s">
        <v>17</v>
      </c>
      <c r="D546" s="46" t="s">
        <v>1779</v>
      </c>
      <c r="E546" s="15" t="s">
        <v>233</v>
      </c>
      <c r="F546" s="46">
        <v>1</v>
      </c>
      <c r="H546" s="45" t="s">
        <v>193</v>
      </c>
      <c r="I546" s="15" t="s">
        <v>194</v>
      </c>
      <c r="J546" s="15" t="s">
        <v>1764</v>
      </c>
      <c r="K546" s="15" t="s">
        <v>210</v>
      </c>
      <c r="L546" s="47" t="s">
        <v>624</v>
      </c>
      <c r="M546" s="47" t="str">
        <f t="shared" si="8"/>
        <v>332203</v>
      </c>
      <c r="N546" s="47">
        <v>55</v>
      </c>
      <c r="O546" s="65">
        <v>4</v>
      </c>
      <c r="P546" s="15"/>
    </row>
    <row r="547" spans="1:16" x14ac:dyDescent="0.25">
      <c r="A547" s="15" t="s">
        <v>2363</v>
      </c>
      <c r="B547" s="15" t="s">
        <v>2364</v>
      </c>
      <c r="C547" s="49" t="s">
        <v>17</v>
      </c>
      <c r="D547" s="46" t="s">
        <v>1731</v>
      </c>
      <c r="E547" s="15" t="s">
        <v>192</v>
      </c>
      <c r="F547" s="46">
        <v>1</v>
      </c>
      <c r="H547" s="45" t="s">
        <v>193</v>
      </c>
      <c r="I547" s="15" t="s">
        <v>194</v>
      </c>
      <c r="J547" s="15" t="s">
        <v>1764</v>
      </c>
      <c r="K547" s="15" t="s">
        <v>210</v>
      </c>
      <c r="L547" s="47" t="s">
        <v>624</v>
      </c>
      <c r="M547" s="47" t="str">
        <f t="shared" si="8"/>
        <v>332203</v>
      </c>
      <c r="N547" s="47">
        <v>56</v>
      </c>
      <c r="O547" s="65">
        <v>5</v>
      </c>
      <c r="P547" s="15"/>
    </row>
    <row r="548" spans="1:16" x14ac:dyDescent="0.25">
      <c r="A548" s="15" t="s">
        <v>2365</v>
      </c>
      <c r="B548" s="15" t="s">
        <v>2366</v>
      </c>
      <c r="C548" s="49" t="s">
        <v>17</v>
      </c>
      <c r="D548" s="46" t="s">
        <v>1731</v>
      </c>
      <c r="E548" s="15" t="s">
        <v>233</v>
      </c>
      <c r="F548" s="46">
        <v>1</v>
      </c>
      <c r="H548" s="45" t="s">
        <v>193</v>
      </c>
      <c r="I548" s="15" t="s">
        <v>194</v>
      </c>
      <c r="J548" s="15" t="s">
        <v>1764</v>
      </c>
      <c r="K548" s="15" t="s">
        <v>210</v>
      </c>
      <c r="L548" s="47" t="s">
        <v>624</v>
      </c>
      <c r="M548" s="47" t="str">
        <f t="shared" si="8"/>
        <v>332203</v>
      </c>
      <c r="N548" s="47">
        <v>57</v>
      </c>
      <c r="O548" s="65">
        <v>6</v>
      </c>
      <c r="P548" s="15"/>
    </row>
    <row r="549" spans="1:16" x14ac:dyDescent="0.25">
      <c r="A549" s="15" t="s">
        <v>2367</v>
      </c>
      <c r="B549" s="15" t="s">
        <v>2368</v>
      </c>
      <c r="C549" s="49" t="s">
        <v>17</v>
      </c>
      <c r="D549" s="46" t="s">
        <v>1728</v>
      </c>
      <c r="E549" s="15" t="s">
        <v>192</v>
      </c>
      <c r="F549" s="46">
        <v>1</v>
      </c>
      <c r="H549" s="45" t="s">
        <v>193</v>
      </c>
      <c r="I549" s="15" t="s">
        <v>194</v>
      </c>
      <c r="J549" s="15" t="s">
        <v>1764</v>
      </c>
      <c r="K549" s="15" t="s">
        <v>196</v>
      </c>
      <c r="L549" s="47" t="s">
        <v>624</v>
      </c>
      <c r="M549" s="47" t="str">
        <f t="shared" si="8"/>
        <v>332203</v>
      </c>
      <c r="N549" s="47">
        <v>58</v>
      </c>
      <c r="O549" s="65">
        <v>7</v>
      </c>
      <c r="P549" s="15"/>
    </row>
    <row r="550" spans="1:16" x14ac:dyDescent="0.25">
      <c r="A550" s="15" t="s">
        <v>2369</v>
      </c>
      <c r="B550" s="15" t="s">
        <v>1549</v>
      </c>
      <c r="C550" s="49" t="s">
        <v>17</v>
      </c>
      <c r="D550" s="46" t="s">
        <v>1740</v>
      </c>
      <c r="E550" s="15" t="s">
        <v>192</v>
      </c>
      <c r="F550" s="46">
        <v>1</v>
      </c>
      <c r="H550" s="45" t="s">
        <v>193</v>
      </c>
      <c r="I550" s="15" t="s">
        <v>194</v>
      </c>
      <c r="J550" s="15" t="s">
        <v>1764</v>
      </c>
      <c r="K550" s="15" t="s">
        <v>196</v>
      </c>
      <c r="L550" s="47" t="s">
        <v>624</v>
      </c>
      <c r="M550" s="47" t="str">
        <f t="shared" si="8"/>
        <v>332203</v>
      </c>
      <c r="N550" s="47">
        <v>59</v>
      </c>
      <c r="O550" s="65">
        <v>8</v>
      </c>
      <c r="P550" s="15"/>
    </row>
    <row r="551" spans="1:16" x14ac:dyDescent="0.25">
      <c r="A551" s="15" t="s">
        <v>2370</v>
      </c>
      <c r="B551" s="15" t="s">
        <v>2371</v>
      </c>
      <c r="C551" s="49" t="s">
        <v>17</v>
      </c>
      <c r="D551" s="46" t="s">
        <v>1736</v>
      </c>
      <c r="E551" s="15" t="s">
        <v>192</v>
      </c>
      <c r="F551" s="46">
        <v>1</v>
      </c>
      <c r="H551" s="45" t="s">
        <v>193</v>
      </c>
      <c r="I551" s="15" t="s">
        <v>194</v>
      </c>
      <c r="J551" s="15" t="s">
        <v>1737</v>
      </c>
      <c r="K551" s="15" t="s">
        <v>196</v>
      </c>
      <c r="L551" s="47" t="s">
        <v>624</v>
      </c>
      <c r="M551" s="47" t="str">
        <f t="shared" si="8"/>
        <v>332203</v>
      </c>
      <c r="N551" s="47">
        <v>60</v>
      </c>
      <c r="O551" s="65">
        <v>9</v>
      </c>
      <c r="P551" s="15"/>
    </row>
    <row r="552" spans="1:16" x14ac:dyDescent="0.25">
      <c r="A552" s="15" t="s">
        <v>2372</v>
      </c>
      <c r="B552" s="15" t="s">
        <v>2373</v>
      </c>
      <c r="C552" s="49" t="s">
        <v>17</v>
      </c>
      <c r="D552" s="46" t="s">
        <v>1745</v>
      </c>
      <c r="E552" s="15" t="s">
        <v>217</v>
      </c>
      <c r="F552" s="46">
        <v>1</v>
      </c>
      <c r="H552" s="45" t="s">
        <v>193</v>
      </c>
      <c r="I552" s="15" t="s">
        <v>194</v>
      </c>
      <c r="J552" s="15" t="s">
        <v>1772</v>
      </c>
      <c r="K552" s="15" t="s">
        <v>196</v>
      </c>
      <c r="L552" s="47" t="s">
        <v>624</v>
      </c>
      <c r="M552" s="47" t="str">
        <f t="shared" si="8"/>
        <v>332203</v>
      </c>
      <c r="N552" s="47">
        <v>61</v>
      </c>
      <c r="O552" s="65">
        <v>430</v>
      </c>
      <c r="P552" s="15"/>
    </row>
    <row r="553" spans="1:16" x14ac:dyDescent="0.25">
      <c r="A553" s="15" t="s">
        <v>2374</v>
      </c>
      <c r="B553" s="15" t="s">
        <v>2375</v>
      </c>
      <c r="C553" s="49" t="s">
        <v>17</v>
      </c>
      <c r="D553" s="46" t="s">
        <v>1779</v>
      </c>
      <c r="E553" s="15" t="s">
        <v>192</v>
      </c>
      <c r="F553" s="46">
        <v>1</v>
      </c>
      <c r="H553" s="45" t="s">
        <v>193</v>
      </c>
      <c r="I553" s="15" t="s">
        <v>194</v>
      </c>
      <c r="J553" s="15" t="s">
        <v>1772</v>
      </c>
      <c r="K553" s="15" t="s">
        <v>210</v>
      </c>
      <c r="L553" s="47" t="s">
        <v>624</v>
      </c>
      <c r="M553" s="47" t="str">
        <f t="shared" si="8"/>
        <v>332203</v>
      </c>
      <c r="N553" s="47">
        <v>62</v>
      </c>
      <c r="O553" s="65">
        <v>1</v>
      </c>
      <c r="P553" s="15"/>
    </row>
    <row r="554" spans="1:16" x14ac:dyDescent="0.25">
      <c r="A554" s="15" t="s">
        <v>2376</v>
      </c>
      <c r="B554" s="15" t="s">
        <v>2377</v>
      </c>
      <c r="C554" s="49" t="s">
        <v>17</v>
      </c>
      <c r="D554" s="46" t="s">
        <v>1761</v>
      </c>
      <c r="E554" s="15" t="s">
        <v>192</v>
      </c>
      <c r="F554" s="46">
        <v>1</v>
      </c>
      <c r="H554" s="45" t="s">
        <v>193</v>
      </c>
      <c r="I554" s="15" t="s">
        <v>194</v>
      </c>
      <c r="J554" s="15" t="s">
        <v>1772</v>
      </c>
      <c r="K554" s="15" t="s">
        <v>316</v>
      </c>
      <c r="L554" s="47" t="s">
        <v>624</v>
      </c>
      <c r="M554" s="47" t="str">
        <f t="shared" si="8"/>
        <v>332203</v>
      </c>
      <c r="N554" s="47">
        <v>63</v>
      </c>
      <c r="O554" s="65">
        <v>2</v>
      </c>
      <c r="P554" s="15"/>
    </row>
    <row r="555" spans="1:16" x14ac:dyDescent="0.25">
      <c r="A555" s="15" t="s">
        <v>1679</v>
      </c>
      <c r="B555" s="15" t="s">
        <v>2378</v>
      </c>
      <c r="C555" s="49" t="s">
        <v>17</v>
      </c>
      <c r="D555" s="46" t="s">
        <v>1736</v>
      </c>
      <c r="E555" s="15" t="s">
        <v>192</v>
      </c>
      <c r="F555" s="46">
        <v>1</v>
      </c>
      <c r="H555" s="45" t="s">
        <v>193</v>
      </c>
      <c r="I555" s="15" t="s">
        <v>194</v>
      </c>
      <c r="J555" s="15" t="s">
        <v>1737</v>
      </c>
      <c r="K555" s="15" t="s">
        <v>367</v>
      </c>
      <c r="L555" s="47" t="s">
        <v>624</v>
      </c>
      <c r="M555" s="47" t="str">
        <f t="shared" si="8"/>
        <v>332203</v>
      </c>
      <c r="N555" s="47">
        <v>64</v>
      </c>
      <c r="O555" s="65">
        <v>3</v>
      </c>
      <c r="P555" s="15"/>
    </row>
    <row r="556" spans="1:16" x14ac:dyDescent="0.25">
      <c r="A556" s="15" t="s">
        <v>2379</v>
      </c>
      <c r="B556" s="15" t="s">
        <v>2380</v>
      </c>
      <c r="C556" s="49" t="s">
        <v>17</v>
      </c>
      <c r="D556" s="46" t="s">
        <v>1803</v>
      </c>
      <c r="E556" s="15" t="s">
        <v>192</v>
      </c>
      <c r="F556" s="69">
        <v>0</v>
      </c>
      <c r="H556" s="68" t="s">
        <v>194</v>
      </c>
      <c r="I556" s="15" t="s">
        <v>193</v>
      </c>
      <c r="J556" s="15" t="s">
        <v>1732</v>
      </c>
      <c r="K556" s="15" t="s">
        <v>196</v>
      </c>
      <c r="L556" s="47" t="s">
        <v>624</v>
      </c>
      <c r="M556" s="47" t="str">
        <f t="shared" si="8"/>
        <v>332203</v>
      </c>
      <c r="N556" s="47">
        <v>65</v>
      </c>
      <c r="O556" s="39" t="s">
        <v>3476</v>
      </c>
      <c r="P556" s="46">
        <v>8</v>
      </c>
    </row>
    <row r="557" spans="1:16" x14ac:dyDescent="0.25">
      <c r="A557" s="15" t="s">
        <v>2381</v>
      </c>
      <c r="B557" s="15" t="s">
        <v>2382</v>
      </c>
      <c r="C557" s="49" t="s">
        <v>17</v>
      </c>
      <c r="D557" s="46" t="s">
        <v>1740</v>
      </c>
      <c r="E557" s="15" t="s">
        <v>192</v>
      </c>
      <c r="F557" s="46">
        <v>1</v>
      </c>
      <c r="H557" s="45" t="s">
        <v>193</v>
      </c>
      <c r="I557" s="15" t="s">
        <v>194</v>
      </c>
      <c r="J557" s="15" t="s">
        <v>1732</v>
      </c>
      <c r="K557" s="15" t="s">
        <v>276</v>
      </c>
      <c r="L557" s="47" t="s">
        <v>624</v>
      </c>
      <c r="M557" s="47" t="str">
        <f t="shared" si="8"/>
        <v>332203</v>
      </c>
      <c r="N557" s="47">
        <v>66</v>
      </c>
      <c r="O557" s="65">
        <v>4</v>
      </c>
      <c r="P557" s="15"/>
    </row>
    <row r="558" spans="1:16" x14ac:dyDescent="0.25">
      <c r="A558" s="15" t="s">
        <v>986</v>
      </c>
      <c r="B558" s="15" t="s">
        <v>653</v>
      </c>
      <c r="C558" s="49" t="s">
        <v>17</v>
      </c>
      <c r="D558" s="46" t="s">
        <v>1761</v>
      </c>
      <c r="E558" s="15" t="s">
        <v>192</v>
      </c>
      <c r="F558" s="46">
        <v>1</v>
      </c>
      <c r="H558" s="45" t="s">
        <v>193</v>
      </c>
      <c r="I558" s="15" t="s">
        <v>194</v>
      </c>
      <c r="J558" s="15" t="s">
        <v>1732</v>
      </c>
      <c r="K558" s="15" t="s">
        <v>276</v>
      </c>
      <c r="L558" s="47" t="s">
        <v>624</v>
      </c>
      <c r="M558" s="47" t="str">
        <f t="shared" si="8"/>
        <v>332203</v>
      </c>
      <c r="N558" s="47">
        <v>67</v>
      </c>
      <c r="O558" s="65">
        <v>5</v>
      </c>
      <c r="P558" s="15"/>
    </row>
    <row r="559" spans="1:16" x14ac:dyDescent="0.25">
      <c r="A559" s="15" t="s">
        <v>2383</v>
      </c>
      <c r="B559" s="15" t="s">
        <v>468</v>
      </c>
      <c r="C559" s="49" t="s">
        <v>468</v>
      </c>
      <c r="D559" s="46" t="s">
        <v>1745</v>
      </c>
      <c r="E559" s="15" t="s">
        <v>192</v>
      </c>
      <c r="F559" s="46">
        <v>1</v>
      </c>
      <c r="H559" s="45" t="s">
        <v>193</v>
      </c>
      <c r="I559" s="15" t="s">
        <v>194</v>
      </c>
      <c r="J559" s="15" t="s">
        <v>1732</v>
      </c>
      <c r="K559" s="15" t="s">
        <v>223</v>
      </c>
      <c r="L559" s="47" t="s">
        <v>469</v>
      </c>
      <c r="M559" s="47" t="str">
        <f t="shared" si="8"/>
        <v>243303</v>
      </c>
      <c r="N559" s="47">
        <v>68</v>
      </c>
      <c r="O559" s="65">
        <v>6</v>
      </c>
      <c r="P559" s="15"/>
    </row>
    <row r="560" spans="1:16" s="42" customFormat="1" ht="14.25" x14ac:dyDescent="0.2">
      <c r="C560" s="42" t="s">
        <v>101</v>
      </c>
      <c r="D560" s="43"/>
      <c r="F560" s="43"/>
      <c r="G560" s="43">
        <f>SUM(F561:F564)</f>
        <v>4</v>
      </c>
      <c r="L560" s="44"/>
      <c r="M560" s="44" t="str">
        <f t="shared" si="8"/>
        <v/>
      </c>
      <c r="N560" s="44"/>
      <c r="O560" s="43"/>
    </row>
    <row r="561" spans="1:16" x14ac:dyDescent="0.25">
      <c r="A561" s="15" t="s">
        <v>2384</v>
      </c>
      <c r="B561" s="15" t="s">
        <v>2385</v>
      </c>
      <c r="C561" s="45" t="s">
        <v>101</v>
      </c>
      <c r="D561" s="46" t="s">
        <v>1779</v>
      </c>
      <c r="E561" s="15" t="s">
        <v>192</v>
      </c>
      <c r="F561" s="46">
        <v>1</v>
      </c>
      <c r="H561" s="45" t="s">
        <v>193</v>
      </c>
      <c r="I561" s="15" t="s">
        <v>194</v>
      </c>
      <c r="J561" s="15" t="s">
        <v>1752</v>
      </c>
      <c r="K561" s="15" t="s">
        <v>2386</v>
      </c>
      <c r="L561" s="47" t="s">
        <v>519</v>
      </c>
      <c r="M561" s="47" t="str">
        <f t="shared" si="8"/>
        <v>261103</v>
      </c>
      <c r="N561" s="47">
        <v>1</v>
      </c>
      <c r="O561" s="65">
        <v>7</v>
      </c>
      <c r="P561" s="15"/>
    </row>
    <row r="562" spans="1:16" x14ac:dyDescent="0.25">
      <c r="A562" s="15" t="s">
        <v>349</v>
      </c>
      <c r="B562" s="15" t="s">
        <v>2387</v>
      </c>
      <c r="C562" s="45" t="s">
        <v>101</v>
      </c>
      <c r="D562" s="46" t="s">
        <v>1732</v>
      </c>
      <c r="E562" s="15" t="s">
        <v>192</v>
      </c>
      <c r="F562" s="46">
        <v>1</v>
      </c>
      <c r="H562" s="45" t="s">
        <v>193</v>
      </c>
      <c r="I562" s="15" t="s">
        <v>194</v>
      </c>
      <c r="J562" s="15" t="s">
        <v>1772</v>
      </c>
      <c r="K562" s="15" t="s">
        <v>210</v>
      </c>
      <c r="L562" s="47" t="s">
        <v>519</v>
      </c>
      <c r="M562" s="47" t="str">
        <f t="shared" si="8"/>
        <v>261103</v>
      </c>
      <c r="N562" s="47">
        <v>2</v>
      </c>
      <c r="O562" s="65">
        <v>8</v>
      </c>
      <c r="P562" s="15"/>
    </row>
    <row r="563" spans="1:16" x14ac:dyDescent="0.25">
      <c r="A563" s="48" t="s">
        <v>698</v>
      </c>
      <c r="B563" s="15" t="s">
        <v>2388</v>
      </c>
      <c r="C563" s="45" t="s">
        <v>101</v>
      </c>
      <c r="D563" s="46" t="s">
        <v>1860</v>
      </c>
      <c r="E563" s="15" t="s">
        <v>217</v>
      </c>
      <c r="F563" s="46">
        <v>1</v>
      </c>
      <c r="H563" s="45" t="s">
        <v>193</v>
      </c>
      <c r="I563" s="15" t="s">
        <v>194</v>
      </c>
      <c r="J563" s="15" t="s">
        <v>1776</v>
      </c>
      <c r="K563" s="15" t="s">
        <v>210</v>
      </c>
      <c r="L563" s="47" t="s">
        <v>519</v>
      </c>
      <c r="M563" s="47" t="str">
        <f t="shared" si="8"/>
        <v>261103</v>
      </c>
      <c r="N563" s="47">
        <v>3</v>
      </c>
      <c r="O563" s="65">
        <v>9</v>
      </c>
      <c r="P563" s="15"/>
    </row>
    <row r="564" spans="1:16" x14ac:dyDescent="0.25">
      <c r="A564" s="48" t="s">
        <v>698</v>
      </c>
      <c r="B564" s="15" t="s">
        <v>2388</v>
      </c>
      <c r="C564" s="45" t="s">
        <v>101</v>
      </c>
      <c r="D564" s="46" t="s">
        <v>1745</v>
      </c>
      <c r="E564" s="15" t="s">
        <v>217</v>
      </c>
      <c r="F564" s="46">
        <v>1</v>
      </c>
      <c r="H564" s="45" t="s">
        <v>193</v>
      </c>
      <c r="I564" s="15" t="s">
        <v>194</v>
      </c>
      <c r="J564" s="15" t="s">
        <v>1776</v>
      </c>
      <c r="K564" s="15" t="s">
        <v>210</v>
      </c>
      <c r="L564" s="47" t="s">
        <v>519</v>
      </c>
      <c r="M564" s="47" t="str">
        <f t="shared" si="8"/>
        <v>261103</v>
      </c>
      <c r="N564" s="47">
        <v>4</v>
      </c>
      <c r="O564" s="65">
        <v>440</v>
      </c>
      <c r="P564" s="15"/>
    </row>
    <row r="565" spans="1:16" s="42" customFormat="1" ht="14.25" x14ac:dyDescent="0.2">
      <c r="C565" s="42" t="s">
        <v>35</v>
      </c>
      <c r="D565" s="43"/>
      <c r="F565" s="43"/>
      <c r="G565" s="43">
        <f>SUM(F566:F582)</f>
        <v>17</v>
      </c>
      <c r="L565" s="44"/>
      <c r="M565" s="44" t="str">
        <f t="shared" si="8"/>
        <v/>
      </c>
      <c r="N565" s="44"/>
      <c r="O565" s="43"/>
    </row>
    <row r="566" spans="1:16" x14ac:dyDescent="0.25">
      <c r="A566" s="15" t="s">
        <v>2389</v>
      </c>
      <c r="B566" s="15" t="s">
        <v>2390</v>
      </c>
      <c r="C566" s="49" t="s">
        <v>35</v>
      </c>
      <c r="D566" s="46" t="s">
        <v>1860</v>
      </c>
      <c r="E566" s="15" t="s">
        <v>217</v>
      </c>
      <c r="F566" s="46">
        <v>1</v>
      </c>
      <c r="H566" s="45" t="s">
        <v>193</v>
      </c>
      <c r="I566" s="15" t="s">
        <v>194</v>
      </c>
      <c r="J566" s="15" t="s">
        <v>1776</v>
      </c>
      <c r="K566" s="15" t="s">
        <v>210</v>
      </c>
      <c r="L566" s="47" t="s">
        <v>207</v>
      </c>
      <c r="M566" s="47" t="str">
        <f t="shared" si="8"/>
        <v>122106</v>
      </c>
      <c r="N566" s="47">
        <v>1</v>
      </c>
      <c r="O566" s="65">
        <v>1</v>
      </c>
      <c r="P566" s="15"/>
    </row>
    <row r="567" spans="1:16" x14ac:dyDescent="0.25">
      <c r="A567" s="15" t="s">
        <v>2391</v>
      </c>
      <c r="B567" s="15" t="s">
        <v>2392</v>
      </c>
      <c r="C567" s="49" t="s">
        <v>35</v>
      </c>
      <c r="D567" s="46" t="s">
        <v>1736</v>
      </c>
      <c r="E567" s="15" t="s">
        <v>192</v>
      </c>
      <c r="F567" s="46">
        <v>1</v>
      </c>
      <c r="H567" s="45" t="s">
        <v>193</v>
      </c>
      <c r="I567" s="15" t="s">
        <v>194</v>
      </c>
      <c r="J567" s="15" t="s">
        <v>1955</v>
      </c>
      <c r="K567" s="15" t="s">
        <v>962</v>
      </c>
      <c r="L567" s="47" t="s">
        <v>207</v>
      </c>
      <c r="M567" s="47" t="str">
        <f t="shared" si="8"/>
        <v>122106</v>
      </c>
      <c r="N567" s="47">
        <v>2</v>
      </c>
      <c r="O567" s="65">
        <v>2</v>
      </c>
      <c r="P567" s="15"/>
    </row>
    <row r="568" spans="1:16" x14ac:dyDescent="0.25">
      <c r="A568" s="15" t="s">
        <v>1289</v>
      </c>
      <c r="B568" s="15" t="s">
        <v>2393</v>
      </c>
      <c r="C568" s="49" t="s">
        <v>35</v>
      </c>
      <c r="D568" s="46" t="s">
        <v>1803</v>
      </c>
      <c r="E568" s="15" t="s">
        <v>233</v>
      </c>
      <c r="F568" s="46">
        <v>1</v>
      </c>
      <c r="H568" s="45" t="s">
        <v>193</v>
      </c>
      <c r="I568" s="15" t="s">
        <v>194</v>
      </c>
      <c r="J568" s="15" t="s">
        <v>1754</v>
      </c>
      <c r="K568" s="15" t="s">
        <v>196</v>
      </c>
      <c r="L568" s="47" t="s">
        <v>207</v>
      </c>
      <c r="M568" s="47" t="str">
        <f t="shared" si="8"/>
        <v>122106</v>
      </c>
      <c r="N568" s="47">
        <v>3</v>
      </c>
      <c r="O568" s="65">
        <v>3</v>
      </c>
      <c r="P568" s="15"/>
    </row>
    <row r="569" spans="1:16" x14ac:dyDescent="0.25">
      <c r="A569" s="15" t="s">
        <v>2394</v>
      </c>
      <c r="B569" s="15" t="s">
        <v>2395</v>
      </c>
      <c r="C569" s="49" t="s">
        <v>35</v>
      </c>
      <c r="D569" s="46" t="s">
        <v>1803</v>
      </c>
      <c r="E569" s="15" t="s">
        <v>233</v>
      </c>
      <c r="F569" s="46">
        <v>1</v>
      </c>
      <c r="H569" s="45" t="s">
        <v>193</v>
      </c>
      <c r="I569" s="15" t="s">
        <v>194</v>
      </c>
      <c r="J569" s="15" t="s">
        <v>1762</v>
      </c>
      <c r="K569" s="15" t="s">
        <v>2396</v>
      </c>
      <c r="L569" s="47" t="s">
        <v>207</v>
      </c>
      <c r="M569" s="47" t="str">
        <f t="shared" si="8"/>
        <v>122106</v>
      </c>
      <c r="N569" s="47">
        <v>4</v>
      </c>
      <c r="O569" s="65">
        <v>4</v>
      </c>
      <c r="P569" s="15"/>
    </row>
    <row r="570" spans="1:16" x14ac:dyDescent="0.25">
      <c r="A570" s="15" t="s">
        <v>1340</v>
      </c>
      <c r="B570" s="15" t="s">
        <v>1342</v>
      </c>
      <c r="C570" s="49" t="s">
        <v>35</v>
      </c>
      <c r="D570" s="46" t="s">
        <v>1745</v>
      </c>
      <c r="E570" s="15" t="s">
        <v>192</v>
      </c>
      <c r="F570" s="46">
        <v>1</v>
      </c>
      <c r="H570" s="45" t="s">
        <v>193</v>
      </c>
      <c r="I570" s="15" t="s">
        <v>194</v>
      </c>
      <c r="J570" s="15" t="s">
        <v>1762</v>
      </c>
      <c r="K570" s="15" t="s">
        <v>210</v>
      </c>
      <c r="L570" s="47" t="s">
        <v>207</v>
      </c>
      <c r="M570" s="47" t="str">
        <f t="shared" si="8"/>
        <v>122106</v>
      </c>
      <c r="N570" s="47">
        <v>5</v>
      </c>
      <c r="O570" s="65">
        <v>5</v>
      </c>
      <c r="P570" s="15"/>
    </row>
    <row r="571" spans="1:16" x14ac:dyDescent="0.25">
      <c r="A571" s="15" t="s">
        <v>2397</v>
      </c>
      <c r="B571" s="15" t="s">
        <v>2398</v>
      </c>
      <c r="C571" s="49" t="s">
        <v>35</v>
      </c>
      <c r="D571" s="46" t="s">
        <v>1761</v>
      </c>
      <c r="E571" s="15" t="s">
        <v>233</v>
      </c>
      <c r="F571" s="46">
        <v>1</v>
      </c>
      <c r="H571" s="45" t="s">
        <v>193</v>
      </c>
      <c r="I571" s="15" t="s">
        <v>194</v>
      </c>
      <c r="J571" s="15" t="s">
        <v>1754</v>
      </c>
      <c r="K571" s="15" t="s">
        <v>210</v>
      </c>
      <c r="L571" s="47" t="s">
        <v>207</v>
      </c>
      <c r="M571" s="47" t="str">
        <f t="shared" si="8"/>
        <v>122106</v>
      </c>
      <c r="N571" s="47">
        <v>6</v>
      </c>
      <c r="O571" s="65">
        <v>6</v>
      </c>
      <c r="P571" s="15"/>
    </row>
    <row r="572" spans="1:16" x14ac:dyDescent="0.25">
      <c r="A572" s="15" t="s">
        <v>2399</v>
      </c>
      <c r="B572" s="15" t="s">
        <v>2400</v>
      </c>
      <c r="C572" s="49" t="s">
        <v>35</v>
      </c>
      <c r="D572" s="46" t="s">
        <v>1731</v>
      </c>
      <c r="E572" s="15" t="s">
        <v>192</v>
      </c>
      <c r="F572" s="46">
        <v>1</v>
      </c>
      <c r="H572" s="45" t="s">
        <v>193</v>
      </c>
      <c r="I572" s="15" t="s">
        <v>194</v>
      </c>
      <c r="J572" s="15" t="s">
        <v>1734</v>
      </c>
      <c r="K572" s="15" t="s">
        <v>399</v>
      </c>
      <c r="L572" s="47" t="s">
        <v>207</v>
      </c>
      <c r="M572" s="47" t="str">
        <f t="shared" si="8"/>
        <v>122106</v>
      </c>
      <c r="N572" s="47">
        <v>7</v>
      </c>
      <c r="O572" s="65">
        <v>7</v>
      </c>
      <c r="P572" s="15"/>
    </row>
    <row r="573" spans="1:16" x14ac:dyDescent="0.25">
      <c r="A573" s="15" t="s">
        <v>1340</v>
      </c>
      <c r="B573" s="15" t="s">
        <v>1528</v>
      </c>
      <c r="C573" s="49" t="s">
        <v>35</v>
      </c>
      <c r="D573" s="46" t="s">
        <v>1740</v>
      </c>
      <c r="E573" s="15" t="s">
        <v>192</v>
      </c>
      <c r="F573" s="46">
        <v>1</v>
      </c>
      <c r="H573" s="45" t="s">
        <v>193</v>
      </c>
      <c r="I573" s="15" t="s">
        <v>194</v>
      </c>
      <c r="J573" s="15" t="s">
        <v>1754</v>
      </c>
      <c r="K573" s="15" t="s">
        <v>223</v>
      </c>
      <c r="L573" s="47" t="s">
        <v>207</v>
      </c>
      <c r="M573" s="47" t="str">
        <f t="shared" si="8"/>
        <v>122106</v>
      </c>
      <c r="N573" s="47">
        <v>8</v>
      </c>
      <c r="O573" s="65">
        <v>8</v>
      </c>
      <c r="P573" s="15"/>
    </row>
    <row r="574" spans="1:16" x14ac:dyDescent="0.25">
      <c r="A574" s="15" t="s">
        <v>2401</v>
      </c>
      <c r="B574" s="15" t="s">
        <v>2402</v>
      </c>
      <c r="C574" s="49" t="s">
        <v>35</v>
      </c>
      <c r="D574" s="46" t="s">
        <v>1779</v>
      </c>
      <c r="E574" s="15" t="s">
        <v>192</v>
      </c>
      <c r="F574" s="46">
        <v>1</v>
      </c>
      <c r="H574" s="45" t="s">
        <v>193</v>
      </c>
      <c r="I574" s="15" t="s">
        <v>194</v>
      </c>
      <c r="J574" s="15" t="s">
        <v>1759</v>
      </c>
      <c r="K574" s="15" t="s">
        <v>196</v>
      </c>
      <c r="L574" s="47" t="s">
        <v>207</v>
      </c>
      <c r="M574" s="47" t="str">
        <f t="shared" si="8"/>
        <v>122106</v>
      </c>
      <c r="N574" s="47">
        <v>9</v>
      </c>
      <c r="O574" s="65">
        <v>9</v>
      </c>
      <c r="P574" s="15"/>
    </row>
    <row r="575" spans="1:16" x14ac:dyDescent="0.25">
      <c r="A575" s="15" t="s">
        <v>2403</v>
      </c>
      <c r="B575" s="15" t="s">
        <v>1034</v>
      </c>
      <c r="C575" s="49" t="s">
        <v>35</v>
      </c>
      <c r="D575" s="46" t="s">
        <v>1728</v>
      </c>
      <c r="E575" s="15" t="s">
        <v>192</v>
      </c>
      <c r="F575" s="46">
        <v>1</v>
      </c>
      <c r="H575" s="45" t="s">
        <v>193</v>
      </c>
      <c r="I575" s="15" t="s">
        <v>194</v>
      </c>
      <c r="J575" s="15" t="s">
        <v>1754</v>
      </c>
      <c r="K575" s="15" t="s">
        <v>385</v>
      </c>
      <c r="L575" s="47" t="s">
        <v>207</v>
      </c>
      <c r="M575" s="47" t="str">
        <f t="shared" si="8"/>
        <v>122106</v>
      </c>
      <c r="N575" s="47">
        <v>10</v>
      </c>
      <c r="O575" s="65">
        <v>450</v>
      </c>
      <c r="P575" s="15"/>
    </row>
    <row r="576" spans="1:16" x14ac:dyDescent="0.25">
      <c r="A576" s="15" t="s">
        <v>1340</v>
      </c>
      <c r="B576" s="15" t="s">
        <v>216</v>
      </c>
      <c r="C576" s="49" t="s">
        <v>35</v>
      </c>
      <c r="D576" s="46" t="s">
        <v>1740</v>
      </c>
      <c r="E576" s="15" t="s">
        <v>192</v>
      </c>
      <c r="F576" s="46">
        <v>1</v>
      </c>
      <c r="H576" s="45" t="s">
        <v>193</v>
      </c>
      <c r="I576" s="15" t="s">
        <v>194</v>
      </c>
      <c r="J576" s="15" t="s">
        <v>1754</v>
      </c>
      <c r="K576" s="15" t="s">
        <v>210</v>
      </c>
      <c r="L576" s="47" t="s">
        <v>207</v>
      </c>
      <c r="M576" s="47" t="str">
        <f t="shared" si="8"/>
        <v>122106</v>
      </c>
      <c r="N576" s="47">
        <v>11</v>
      </c>
      <c r="O576" s="65">
        <v>1</v>
      </c>
      <c r="P576" s="15"/>
    </row>
    <row r="577" spans="1:16" x14ac:dyDescent="0.25">
      <c r="A577" s="15" t="s">
        <v>2404</v>
      </c>
      <c r="B577" s="15" t="s">
        <v>216</v>
      </c>
      <c r="C577" s="49" t="s">
        <v>35</v>
      </c>
      <c r="D577" s="46" t="s">
        <v>1732</v>
      </c>
      <c r="E577" s="15" t="s">
        <v>233</v>
      </c>
      <c r="F577" s="46">
        <v>1</v>
      </c>
      <c r="H577" s="45" t="s">
        <v>193</v>
      </c>
      <c r="I577" s="15" t="s">
        <v>194</v>
      </c>
      <c r="J577" s="15" t="s">
        <v>1759</v>
      </c>
      <c r="K577" s="15" t="s">
        <v>2405</v>
      </c>
      <c r="L577" s="47" t="s">
        <v>207</v>
      </c>
      <c r="M577" s="47" t="str">
        <f t="shared" si="8"/>
        <v>122106</v>
      </c>
      <c r="N577" s="47">
        <v>12</v>
      </c>
      <c r="O577" s="65">
        <v>2</v>
      </c>
      <c r="P577" s="15"/>
    </row>
    <row r="578" spans="1:16" x14ac:dyDescent="0.25">
      <c r="A578" s="15" t="s">
        <v>1011</v>
      </c>
      <c r="B578" s="15" t="s">
        <v>1014</v>
      </c>
      <c r="C578" s="49" t="s">
        <v>35</v>
      </c>
      <c r="D578" s="46" t="s">
        <v>1761</v>
      </c>
      <c r="E578" s="15" t="s">
        <v>233</v>
      </c>
      <c r="F578" s="46">
        <v>1</v>
      </c>
      <c r="H578" s="45" t="s">
        <v>193</v>
      </c>
      <c r="I578" s="15" t="s">
        <v>194</v>
      </c>
      <c r="J578" s="15" t="s">
        <v>1754</v>
      </c>
      <c r="K578" s="15" t="s">
        <v>1016</v>
      </c>
      <c r="L578" s="47" t="s">
        <v>207</v>
      </c>
      <c r="M578" s="47" t="str">
        <f t="shared" si="8"/>
        <v>122106</v>
      </c>
      <c r="N578" s="47">
        <v>13</v>
      </c>
      <c r="O578" s="65">
        <v>3</v>
      </c>
      <c r="P578" s="15"/>
    </row>
    <row r="579" spans="1:16" x14ac:dyDescent="0.25">
      <c r="A579" s="15" t="s">
        <v>240</v>
      </c>
      <c r="B579" s="15" t="s">
        <v>2406</v>
      </c>
      <c r="C579" s="49" t="s">
        <v>35</v>
      </c>
      <c r="D579" s="46" t="s">
        <v>1732</v>
      </c>
      <c r="E579" s="15" t="s">
        <v>192</v>
      </c>
      <c r="F579" s="46">
        <v>1</v>
      </c>
      <c r="H579" s="45" t="s">
        <v>193</v>
      </c>
      <c r="I579" s="15" t="s">
        <v>194</v>
      </c>
      <c r="J579" s="15" t="s">
        <v>1955</v>
      </c>
      <c r="K579" s="15" t="s">
        <v>210</v>
      </c>
      <c r="L579" s="47" t="s">
        <v>207</v>
      </c>
      <c r="M579" s="47" t="str">
        <f t="shared" si="8"/>
        <v>122106</v>
      </c>
      <c r="N579" s="47">
        <v>14</v>
      </c>
      <c r="O579" s="65">
        <v>4</v>
      </c>
      <c r="P579" s="15"/>
    </row>
    <row r="580" spans="1:16" x14ac:dyDescent="0.25">
      <c r="A580" s="15" t="s">
        <v>1773</v>
      </c>
      <c r="B580" s="15" t="s">
        <v>2407</v>
      </c>
      <c r="C580" s="49" t="s">
        <v>35</v>
      </c>
      <c r="D580" s="46" t="s">
        <v>1740</v>
      </c>
      <c r="E580" s="15" t="s">
        <v>192</v>
      </c>
      <c r="F580" s="46">
        <v>1</v>
      </c>
      <c r="H580" s="45" t="s">
        <v>193</v>
      </c>
      <c r="I580" s="15" t="s">
        <v>194</v>
      </c>
      <c r="J580" s="15" t="s">
        <v>1754</v>
      </c>
      <c r="K580" s="15" t="s">
        <v>210</v>
      </c>
      <c r="L580" s="47" t="s">
        <v>207</v>
      </c>
      <c r="M580" s="47" t="str">
        <f t="shared" si="8"/>
        <v>122106</v>
      </c>
      <c r="N580" s="47">
        <v>15</v>
      </c>
      <c r="O580" s="65">
        <v>5</v>
      </c>
      <c r="P580" s="15"/>
    </row>
    <row r="581" spans="1:16" x14ac:dyDescent="0.25">
      <c r="A581" s="15" t="s">
        <v>2408</v>
      </c>
      <c r="B581" s="15" t="s">
        <v>2409</v>
      </c>
      <c r="C581" s="49" t="s">
        <v>35</v>
      </c>
      <c r="D581" s="46" t="s">
        <v>1761</v>
      </c>
      <c r="E581" s="15" t="s">
        <v>192</v>
      </c>
      <c r="F581" s="46">
        <v>1</v>
      </c>
      <c r="H581" s="45" t="s">
        <v>193</v>
      </c>
      <c r="I581" s="15" t="s">
        <v>194</v>
      </c>
      <c r="J581" s="15" t="s">
        <v>1764</v>
      </c>
      <c r="K581" s="15" t="s">
        <v>210</v>
      </c>
      <c r="L581" s="47" t="s">
        <v>207</v>
      </c>
      <c r="M581" s="47" t="str">
        <f t="shared" ref="M581:M644" si="9">MID(L581,8,6)</f>
        <v>122106</v>
      </c>
      <c r="N581" s="47">
        <v>16</v>
      </c>
      <c r="O581" s="65">
        <v>6</v>
      </c>
      <c r="P581" s="15"/>
    </row>
    <row r="582" spans="1:16" x14ac:dyDescent="0.25">
      <c r="A582" s="15" t="s">
        <v>2410</v>
      </c>
      <c r="B582" s="15" t="s">
        <v>212</v>
      </c>
      <c r="C582" s="49" t="s">
        <v>35</v>
      </c>
      <c r="D582" s="46" t="s">
        <v>1740</v>
      </c>
      <c r="E582" s="15" t="s">
        <v>192</v>
      </c>
      <c r="F582" s="46">
        <v>1</v>
      </c>
      <c r="H582" s="45" t="s">
        <v>193</v>
      </c>
      <c r="I582" s="15" t="s">
        <v>194</v>
      </c>
      <c r="J582" s="15" t="s">
        <v>1732</v>
      </c>
      <c r="K582" s="15" t="s">
        <v>196</v>
      </c>
      <c r="L582" s="47" t="s">
        <v>207</v>
      </c>
      <c r="M582" s="47" t="str">
        <f t="shared" si="9"/>
        <v>122106</v>
      </c>
      <c r="N582" s="47">
        <v>17</v>
      </c>
      <c r="O582" s="65">
        <v>7</v>
      </c>
      <c r="P582" s="15"/>
    </row>
    <row r="583" spans="1:16" s="42" customFormat="1" ht="14.25" x14ac:dyDescent="0.2">
      <c r="C583" s="42" t="s">
        <v>33</v>
      </c>
      <c r="D583" s="43"/>
      <c r="F583" s="43"/>
      <c r="G583" s="43">
        <f>SUM(F584)</f>
        <v>0</v>
      </c>
      <c r="L583" s="44"/>
      <c r="M583" s="44" t="str">
        <f t="shared" si="9"/>
        <v/>
      </c>
      <c r="N583" s="44"/>
      <c r="O583" s="43"/>
    </row>
    <row r="584" spans="1:16" x14ac:dyDescent="0.25">
      <c r="A584" s="15" t="s">
        <v>2411</v>
      </c>
      <c r="B584" s="15" t="s">
        <v>2412</v>
      </c>
      <c r="C584" s="45" t="s">
        <v>33</v>
      </c>
      <c r="D584" s="46" t="s">
        <v>1860</v>
      </c>
      <c r="E584" s="15" t="s">
        <v>217</v>
      </c>
      <c r="F584" s="69">
        <v>0</v>
      </c>
      <c r="H584" s="68" t="s">
        <v>194</v>
      </c>
      <c r="I584" s="15" t="s">
        <v>193</v>
      </c>
      <c r="J584" s="15" t="s">
        <v>1772</v>
      </c>
      <c r="K584" s="15" t="s">
        <v>2413</v>
      </c>
      <c r="L584" s="47" t="s">
        <v>2414</v>
      </c>
      <c r="M584" s="47" t="str">
        <f t="shared" si="9"/>
        <v>515303</v>
      </c>
      <c r="O584" s="39" t="s">
        <v>3477</v>
      </c>
      <c r="P584" s="46">
        <v>9</v>
      </c>
    </row>
    <row r="585" spans="1:16" s="42" customFormat="1" ht="14.25" x14ac:dyDescent="0.2">
      <c r="C585" s="42" t="s">
        <v>73</v>
      </c>
      <c r="D585" s="43"/>
      <c r="F585" s="43"/>
      <c r="G585" s="43">
        <f>SUM(F586)</f>
        <v>1</v>
      </c>
      <c r="L585" s="44"/>
      <c r="M585" s="44" t="str">
        <f t="shared" si="9"/>
        <v/>
      </c>
      <c r="N585" s="44"/>
      <c r="O585" s="43"/>
    </row>
    <row r="586" spans="1:16" x14ac:dyDescent="0.25">
      <c r="A586" s="15" t="s">
        <v>1490</v>
      </c>
      <c r="B586" s="15" t="s">
        <v>2415</v>
      </c>
      <c r="C586" s="45" t="s">
        <v>73</v>
      </c>
      <c r="D586" s="46" t="s">
        <v>1779</v>
      </c>
      <c r="E586" s="15" t="s">
        <v>192</v>
      </c>
      <c r="F586" s="46">
        <v>1</v>
      </c>
      <c r="H586" s="45" t="s">
        <v>193</v>
      </c>
      <c r="I586" s="15" t="s">
        <v>194</v>
      </c>
      <c r="J586" s="15" t="s">
        <v>1752</v>
      </c>
      <c r="K586" s="15" t="s">
        <v>575</v>
      </c>
      <c r="L586" s="47" t="s">
        <v>2416</v>
      </c>
      <c r="M586" s="47" t="str">
        <f t="shared" si="9"/>
        <v>242216</v>
      </c>
      <c r="O586" s="65">
        <v>8</v>
      </c>
      <c r="P586" s="15"/>
    </row>
    <row r="587" spans="1:16" s="42" customFormat="1" ht="14.25" x14ac:dyDescent="0.2">
      <c r="C587" s="42" t="s">
        <v>94</v>
      </c>
      <c r="D587" s="43"/>
      <c r="F587" s="43"/>
      <c r="G587" s="43">
        <f>SUM(F588)</f>
        <v>2</v>
      </c>
      <c r="L587" s="44"/>
      <c r="M587" s="44" t="str">
        <f t="shared" si="9"/>
        <v/>
      </c>
      <c r="N587" s="44"/>
      <c r="O587" s="43"/>
    </row>
    <row r="588" spans="1:16" x14ac:dyDescent="0.25">
      <c r="A588" s="15" t="s">
        <v>2417</v>
      </c>
      <c r="B588" s="15" t="s">
        <v>2418</v>
      </c>
      <c r="C588" s="45" t="s">
        <v>94</v>
      </c>
      <c r="D588" s="46" t="s">
        <v>1728</v>
      </c>
      <c r="E588" s="15" t="s">
        <v>192</v>
      </c>
      <c r="F588" s="46">
        <v>2</v>
      </c>
      <c r="H588" s="45" t="s">
        <v>193</v>
      </c>
      <c r="I588" s="15" t="s">
        <v>194</v>
      </c>
      <c r="J588" s="15" t="s">
        <v>1776</v>
      </c>
      <c r="K588" s="15" t="s">
        <v>385</v>
      </c>
      <c r="L588" s="47" t="s">
        <v>2419</v>
      </c>
      <c r="M588" s="47" t="str">
        <f t="shared" si="9"/>
        <v>214930</v>
      </c>
      <c r="O588" s="65">
        <v>9</v>
      </c>
      <c r="P588" s="15"/>
    </row>
    <row r="589" spans="1:16" s="42" customFormat="1" ht="14.25" x14ac:dyDescent="0.2">
      <c r="C589" s="42" t="s">
        <v>99</v>
      </c>
      <c r="D589" s="43"/>
      <c r="F589" s="43"/>
      <c r="G589" s="43">
        <f>SUM(F590:F591)</f>
        <v>2</v>
      </c>
      <c r="L589" s="44"/>
      <c r="M589" s="44" t="str">
        <f t="shared" si="9"/>
        <v/>
      </c>
      <c r="N589" s="44"/>
      <c r="O589" s="43"/>
    </row>
    <row r="590" spans="1:16" x14ac:dyDescent="0.25">
      <c r="A590" s="15" t="s">
        <v>1870</v>
      </c>
      <c r="B590" s="15" t="s">
        <v>2420</v>
      </c>
      <c r="C590" s="45" t="s">
        <v>99</v>
      </c>
      <c r="D590" s="46" t="s">
        <v>1728</v>
      </c>
      <c r="E590" s="15" t="s">
        <v>192</v>
      </c>
      <c r="F590" s="46">
        <v>1</v>
      </c>
      <c r="H590" s="45" t="s">
        <v>193</v>
      </c>
      <c r="I590" s="15" t="s">
        <v>194</v>
      </c>
      <c r="J590" s="15" t="s">
        <v>1776</v>
      </c>
      <c r="K590" s="15" t="s">
        <v>210</v>
      </c>
      <c r="L590" s="47" t="s">
        <v>2421</v>
      </c>
      <c r="M590" s="47" t="str">
        <f t="shared" si="9"/>
        <v>412001</v>
      </c>
      <c r="O590" s="65">
        <v>460</v>
      </c>
      <c r="P590" s="15"/>
    </row>
    <row r="591" spans="1:16" x14ac:dyDescent="0.25">
      <c r="A591" s="15" t="s">
        <v>2422</v>
      </c>
      <c r="B591" s="15" t="s">
        <v>99</v>
      </c>
      <c r="C591" s="45" t="s">
        <v>99</v>
      </c>
      <c r="D591" s="46" t="s">
        <v>1731</v>
      </c>
      <c r="E591" s="15" t="s">
        <v>192</v>
      </c>
      <c r="F591" s="46">
        <v>1</v>
      </c>
      <c r="H591" s="45" t="s">
        <v>193</v>
      </c>
      <c r="I591" s="15" t="s">
        <v>194</v>
      </c>
      <c r="J591" s="15" t="s">
        <v>1732</v>
      </c>
      <c r="K591" s="15" t="s">
        <v>672</v>
      </c>
      <c r="L591" s="47" t="s">
        <v>2421</v>
      </c>
      <c r="M591" s="47" t="str">
        <f t="shared" si="9"/>
        <v>412001</v>
      </c>
      <c r="O591" s="65">
        <v>1</v>
      </c>
      <c r="P591" s="15"/>
    </row>
    <row r="592" spans="1:16" s="42" customFormat="1" ht="14.25" x14ac:dyDescent="0.2">
      <c r="C592" s="42" t="s">
        <v>157</v>
      </c>
      <c r="D592" s="43"/>
      <c r="F592" s="43"/>
      <c r="G592" s="43">
        <f>SUM(F593)</f>
        <v>1</v>
      </c>
      <c r="L592" s="44"/>
      <c r="M592" s="44" t="str">
        <f t="shared" si="9"/>
        <v/>
      </c>
      <c r="N592" s="44"/>
      <c r="O592" s="43"/>
    </row>
    <row r="593" spans="1:16" x14ac:dyDescent="0.25">
      <c r="A593" s="15" t="s">
        <v>2423</v>
      </c>
      <c r="B593" s="15" t="s">
        <v>2424</v>
      </c>
      <c r="C593" s="45" t="s">
        <v>157</v>
      </c>
      <c r="D593" s="46" t="s">
        <v>1728</v>
      </c>
      <c r="E593" s="15" t="s">
        <v>192</v>
      </c>
      <c r="F593" s="46">
        <v>1</v>
      </c>
      <c r="H593" s="45" t="s">
        <v>193</v>
      </c>
      <c r="I593" s="15" t="s">
        <v>194</v>
      </c>
      <c r="J593" s="15" t="s">
        <v>1772</v>
      </c>
      <c r="K593" s="15" t="s">
        <v>210</v>
      </c>
      <c r="L593" s="47" t="s">
        <v>2425</v>
      </c>
      <c r="M593" s="47" t="str">
        <f t="shared" si="9"/>
        <v>742208</v>
      </c>
      <c r="O593" s="65">
        <v>2</v>
      </c>
      <c r="P593" s="15"/>
    </row>
    <row r="594" spans="1:16" s="42" customFormat="1" ht="14.25" x14ac:dyDescent="0.2">
      <c r="C594" s="42" t="s">
        <v>23</v>
      </c>
      <c r="D594" s="43"/>
      <c r="F594" s="43"/>
      <c r="G594" s="43">
        <f>SUM(F595)</f>
        <v>1</v>
      </c>
      <c r="L594" s="44"/>
      <c r="M594" s="44" t="str">
        <f t="shared" si="9"/>
        <v/>
      </c>
      <c r="N594" s="44"/>
      <c r="O594" s="43"/>
    </row>
    <row r="595" spans="1:16" x14ac:dyDescent="0.25">
      <c r="A595" s="15" t="s">
        <v>527</v>
      </c>
      <c r="B595" s="15" t="s">
        <v>2426</v>
      </c>
      <c r="C595" s="45" t="s">
        <v>23</v>
      </c>
      <c r="D595" s="46" t="s">
        <v>1731</v>
      </c>
      <c r="E595" s="15" t="s">
        <v>192</v>
      </c>
      <c r="F595" s="46">
        <v>1</v>
      </c>
      <c r="H595" s="45" t="s">
        <v>193</v>
      </c>
      <c r="I595" s="15" t="s">
        <v>194</v>
      </c>
      <c r="J595" s="15" t="s">
        <v>1746</v>
      </c>
      <c r="K595" s="15" t="s">
        <v>367</v>
      </c>
      <c r="L595" s="47" t="s">
        <v>985</v>
      </c>
      <c r="M595" s="47" t="str">
        <f t="shared" si="9"/>
        <v>263204</v>
      </c>
      <c r="O595" s="65">
        <v>3</v>
      </c>
      <c r="P595" s="15"/>
    </row>
    <row r="596" spans="1:16" s="42" customFormat="1" ht="14.25" x14ac:dyDescent="0.2">
      <c r="C596" s="42" t="s">
        <v>83</v>
      </c>
      <c r="D596" s="43"/>
      <c r="F596" s="43"/>
      <c r="G596" s="43">
        <f>SUM(F597:F601)</f>
        <v>5</v>
      </c>
      <c r="L596" s="44"/>
      <c r="M596" s="44" t="str">
        <f t="shared" si="9"/>
        <v/>
      </c>
      <c r="N596" s="44"/>
      <c r="O596" s="43"/>
    </row>
    <row r="597" spans="1:16" x14ac:dyDescent="0.25">
      <c r="A597" s="15" t="s">
        <v>2427</v>
      </c>
      <c r="B597" s="15" t="s">
        <v>356</v>
      </c>
      <c r="C597" s="45" t="s">
        <v>83</v>
      </c>
      <c r="D597" s="46" t="s">
        <v>1731</v>
      </c>
      <c r="E597" s="15" t="s">
        <v>192</v>
      </c>
      <c r="F597" s="46">
        <v>1</v>
      </c>
      <c r="H597" s="45" t="s">
        <v>193</v>
      </c>
      <c r="I597" s="15" t="s">
        <v>194</v>
      </c>
      <c r="J597" s="15" t="s">
        <v>1759</v>
      </c>
      <c r="K597" s="15" t="s">
        <v>253</v>
      </c>
      <c r="L597" s="47" t="s">
        <v>791</v>
      </c>
      <c r="M597" s="47" t="str">
        <f t="shared" si="9"/>
        <v>721204</v>
      </c>
      <c r="O597" s="65">
        <v>4</v>
      </c>
      <c r="P597" s="15"/>
    </row>
    <row r="598" spans="1:16" x14ac:dyDescent="0.25">
      <c r="A598" s="15" t="s">
        <v>1850</v>
      </c>
      <c r="B598" s="15" t="s">
        <v>83</v>
      </c>
      <c r="C598" s="45" t="s">
        <v>83</v>
      </c>
      <c r="D598" s="46" t="s">
        <v>1728</v>
      </c>
      <c r="E598" s="15" t="s">
        <v>192</v>
      </c>
      <c r="F598" s="46">
        <v>1</v>
      </c>
      <c r="H598" s="45" t="s">
        <v>193</v>
      </c>
      <c r="I598" s="15" t="s">
        <v>194</v>
      </c>
      <c r="J598" s="15" t="s">
        <v>1732</v>
      </c>
      <c r="K598" s="15" t="s">
        <v>210</v>
      </c>
      <c r="L598" s="47" t="s">
        <v>791</v>
      </c>
      <c r="M598" s="47" t="str">
        <f t="shared" si="9"/>
        <v>721204</v>
      </c>
      <c r="O598" s="65">
        <v>5</v>
      </c>
      <c r="P598" s="15"/>
    </row>
    <row r="599" spans="1:16" x14ac:dyDescent="0.25">
      <c r="A599" s="15" t="s">
        <v>2150</v>
      </c>
      <c r="B599" s="15" t="s">
        <v>2428</v>
      </c>
      <c r="C599" s="45" t="s">
        <v>83</v>
      </c>
      <c r="D599" s="46" t="s">
        <v>1779</v>
      </c>
      <c r="E599" s="15" t="s">
        <v>192</v>
      </c>
      <c r="F599" s="46">
        <v>1</v>
      </c>
      <c r="H599" s="45" t="s">
        <v>193</v>
      </c>
      <c r="I599" s="15" t="s">
        <v>194</v>
      </c>
      <c r="J599" s="15" t="s">
        <v>1734</v>
      </c>
      <c r="K599" s="15" t="s">
        <v>210</v>
      </c>
      <c r="L599" s="47" t="s">
        <v>791</v>
      </c>
      <c r="M599" s="47" t="str">
        <f t="shared" si="9"/>
        <v>721204</v>
      </c>
      <c r="O599" s="65">
        <v>6</v>
      </c>
      <c r="P599" s="15"/>
    </row>
    <row r="600" spans="1:16" x14ac:dyDescent="0.25">
      <c r="A600" s="15" t="s">
        <v>1306</v>
      </c>
      <c r="B600" s="15" t="s">
        <v>2429</v>
      </c>
      <c r="C600" s="45" t="s">
        <v>83</v>
      </c>
      <c r="D600" s="46" t="s">
        <v>1728</v>
      </c>
      <c r="E600" s="15" t="s">
        <v>252</v>
      </c>
      <c r="F600" s="46">
        <v>1</v>
      </c>
      <c r="H600" s="45" t="s">
        <v>193</v>
      </c>
      <c r="I600" s="15" t="s">
        <v>194</v>
      </c>
      <c r="J600" s="15" t="s">
        <v>1734</v>
      </c>
      <c r="K600" s="15" t="s">
        <v>285</v>
      </c>
      <c r="L600" s="47" t="s">
        <v>791</v>
      </c>
      <c r="M600" s="47" t="str">
        <f t="shared" si="9"/>
        <v>721204</v>
      </c>
      <c r="O600" s="65">
        <v>7</v>
      </c>
      <c r="P600" s="15"/>
    </row>
    <row r="601" spans="1:16" x14ac:dyDescent="0.25">
      <c r="A601" s="15" t="s">
        <v>303</v>
      </c>
      <c r="B601" s="15" t="s">
        <v>2430</v>
      </c>
      <c r="C601" s="45" t="s">
        <v>83</v>
      </c>
      <c r="D601" s="46" t="s">
        <v>1740</v>
      </c>
      <c r="E601" s="15" t="s">
        <v>192</v>
      </c>
      <c r="F601" s="46">
        <v>1</v>
      </c>
      <c r="H601" s="45" t="s">
        <v>193</v>
      </c>
      <c r="I601" s="15" t="s">
        <v>194</v>
      </c>
      <c r="J601" s="15" t="s">
        <v>1734</v>
      </c>
      <c r="K601" s="15" t="s">
        <v>305</v>
      </c>
      <c r="L601" s="47" t="s">
        <v>791</v>
      </c>
      <c r="M601" s="47" t="str">
        <f t="shared" si="9"/>
        <v>721204</v>
      </c>
      <c r="O601" s="65">
        <v>8</v>
      </c>
      <c r="P601" s="15"/>
    </row>
    <row r="602" spans="1:16" s="42" customFormat="1" ht="14.25" x14ac:dyDescent="0.2">
      <c r="C602" s="42" t="s">
        <v>9</v>
      </c>
      <c r="D602" s="43"/>
      <c r="F602" s="43"/>
      <c r="G602" s="43">
        <f>SUM(F603:F624)</f>
        <v>22</v>
      </c>
      <c r="L602" s="44"/>
      <c r="M602" s="44" t="str">
        <f t="shared" si="9"/>
        <v/>
      </c>
      <c r="N602" s="44"/>
      <c r="O602" s="43"/>
    </row>
    <row r="603" spans="1:16" x14ac:dyDescent="0.25">
      <c r="A603" s="15" t="s">
        <v>2431</v>
      </c>
      <c r="B603" s="15" t="s">
        <v>2432</v>
      </c>
      <c r="C603" s="45" t="s">
        <v>9</v>
      </c>
      <c r="D603" s="46" t="s">
        <v>1779</v>
      </c>
      <c r="E603" s="15" t="s">
        <v>192</v>
      </c>
      <c r="F603" s="46">
        <v>1</v>
      </c>
      <c r="H603" s="45" t="s">
        <v>193</v>
      </c>
      <c r="I603" s="15" t="s">
        <v>194</v>
      </c>
      <c r="J603" s="15" t="s">
        <v>1776</v>
      </c>
      <c r="K603" s="15" t="s">
        <v>210</v>
      </c>
      <c r="L603" s="47" t="s">
        <v>405</v>
      </c>
      <c r="M603" s="47" t="str">
        <f t="shared" si="9"/>
        <v>241304</v>
      </c>
      <c r="N603" s="47">
        <v>1</v>
      </c>
      <c r="O603" s="65">
        <v>9</v>
      </c>
      <c r="P603" s="15"/>
    </row>
    <row r="604" spans="1:16" x14ac:dyDescent="0.25">
      <c r="A604" s="15" t="s">
        <v>940</v>
      </c>
      <c r="B604" s="15" t="s">
        <v>2433</v>
      </c>
      <c r="C604" s="45" t="s">
        <v>9</v>
      </c>
      <c r="D604" s="46" t="s">
        <v>1728</v>
      </c>
      <c r="E604" s="15" t="s">
        <v>192</v>
      </c>
      <c r="F604" s="46">
        <v>1</v>
      </c>
      <c r="H604" s="45" t="s">
        <v>193</v>
      </c>
      <c r="I604" s="15" t="s">
        <v>194</v>
      </c>
      <c r="J604" s="15" t="s">
        <v>1776</v>
      </c>
      <c r="K604" s="15" t="s">
        <v>210</v>
      </c>
      <c r="L604" s="47" t="s">
        <v>405</v>
      </c>
      <c r="M604" s="47" t="str">
        <f t="shared" si="9"/>
        <v>241304</v>
      </c>
      <c r="N604" s="47">
        <v>2</v>
      </c>
      <c r="O604" s="65">
        <v>470</v>
      </c>
      <c r="P604" s="15"/>
    </row>
    <row r="605" spans="1:16" x14ac:dyDescent="0.25">
      <c r="A605" s="15" t="s">
        <v>417</v>
      </c>
      <c r="B605" s="15" t="s">
        <v>2434</v>
      </c>
      <c r="C605" s="45" t="s">
        <v>9</v>
      </c>
      <c r="D605" s="46" t="s">
        <v>1779</v>
      </c>
      <c r="E605" s="15" t="s">
        <v>233</v>
      </c>
      <c r="F605" s="46">
        <v>1</v>
      </c>
      <c r="H605" s="45" t="s">
        <v>193</v>
      </c>
      <c r="I605" s="15" t="s">
        <v>194</v>
      </c>
      <c r="J605" s="15" t="s">
        <v>1776</v>
      </c>
      <c r="K605" s="15" t="s">
        <v>223</v>
      </c>
      <c r="L605" s="47" t="s">
        <v>405</v>
      </c>
      <c r="M605" s="47" t="str">
        <f t="shared" si="9"/>
        <v>241304</v>
      </c>
      <c r="N605" s="47">
        <v>3</v>
      </c>
      <c r="O605" s="65">
        <v>1</v>
      </c>
      <c r="P605" s="15"/>
    </row>
    <row r="606" spans="1:16" x14ac:dyDescent="0.25">
      <c r="A606" s="15" t="s">
        <v>2435</v>
      </c>
      <c r="B606" s="15" t="s">
        <v>404</v>
      </c>
      <c r="C606" s="45" t="s">
        <v>9</v>
      </c>
      <c r="D606" s="46" t="s">
        <v>1740</v>
      </c>
      <c r="E606" s="15" t="s">
        <v>192</v>
      </c>
      <c r="F606" s="46">
        <v>1</v>
      </c>
      <c r="H606" s="45" t="s">
        <v>193</v>
      </c>
      <c r="I606" s="15" t="s">
        <v>194</v>
      </c>
      <c r="J606" s="15" t="s">
        <v>1776</v>
      </c>
      <c r="K606" s="15" t="s">
        <v>276</v>
      </c>
      <c r="L606" s="47" t="s">
        <v>405</v>
      </c>
      <c r="M606" s="47" t="str">
        <f t="shared" si="9"/>
        <v>241304</v>
      </c>
      <c r="N606" s="47">
        <v>4</v>
      </c>
      <c r="O606" s="65">
        <v>2</v>
      </c>
      <c r="P606" s="15"/>
    </row>
    <row r="607" spans="1:16" x14ac:dyDescent="0.25">
      <c r="A607" s="15" t="s">
        <v>1340</v>
      </c>
      <c r="B607" s="15" t="s">
        <v>2436</v>
      </c>
      <c r="C607" s="45" t="s">
        <v>9</v>
      </c>
      <c r="D607" s="46" t="s">
        <v>1740</v>
      </c>
      <c r="E607" s="15" t="s">
        <v>192</v>
      </c>
      <c r="F607" s="46">
        <v>1</v>
      </c>
      <c r="H607" s="45" t="s">
        <v>193</v>
      </c>
      <c r="I607" s="15" t="s">
        <v>194</v>
      </c>
      <c r="J607" s="15" t="s">
        <v>1776</v>
      </c>
      <c r="K607" s="15" t="s">
        <v>210</v>
      </c>
      <c r="L607" s="47" t="s">
        <v>405</v>
      </c>
      <c r="M607" s="47" t="str">
        <f t="shared" si="9"/>
        <v>241304</v>
      </c>
      <c r="N607" s="47">
        <v>5</v>
      </c>
      <c r="O607" s="65">
        <v>3</v>
      </c>
      <c r="P607" s="15"/>
    </row>
    <row r="608" spans="1:16" x14ac:dyDescent="0.25">
      <c r="A608" s="15" t="s">
        <v>2437</v>
      </c>
      <c r="B608" s="15" t="s">
        <v>2438</v>
      </c>
      <c r="C608" s="45" t="s">
        <v>9</v>
      </c>
      <c r="D608" s="46" t="s">
        <v>1803</v>
      </c>
      <c r="E608" s="15" t="s">
        <v>192</v>
      </c>
      <c r="F608" s="46">
        <v>1</v>
      </c>
      <c r="H608" s="45" t="s">
        <v>193</v>
      </c>
      <c r="I608" s="15" t="s">
        <v>194</v>
      </c>
      <c r="J608" s="15" t="s">
        <v>1776</v>
      </c>
      <c r="K608" s="15" t="s">
        <v>385</v>
      </c>
      <c r="L608" s="47" t="s">
        <v>405</v>
      </c>
      <c r="M608" s="47" t="str">
        <f t="shared" si="9"/>
        <v>241304</v>
      </c>
      <c r="N608" s="47">
        <v>6</v>
      </c>
      <c r="O608" s="65">
        <v>4</v>
      </c>
      <c r="P608" s="15"/>
    </row>
    <row r="609" spans="1:16" x14ac:dyDescent="0.25">
      <c r="A609" s="15" t="s">
        <v>417</v>
      </c>
      <c r="B609" s="15" t="s">
        <v>418</v>
      </c>
      <c r="C609" s="45" t="s">
        <v>9</v>
      </c>
      <c r="D609" s="46" t="s">
        <v>1761</v>
      </c>
      <c r="E609" s="15" t="s">
        <v>233</v>
      </c>
      <c r="F609" s="46">
        <v>1</v>
      </c>
      <c r="H609" s="45" t="s">
        <v>193</v>
      </c>
      <c r="I609" s="15" t="s">
        <v>194</v>
      </c>
      <c r="J609" s="15" t="s">
        <v>1776</v>
      </c>
      <c r="K609" s="15" t="s">
        <v>2439</v>
      </c>
      <c r="L609" s="47" t="s">
        <v>405</v>
      </c>
      <c r="M609" s="47" t="str">
        <f t="shared" si="9"/>
        <v>241304</v>
      </c>
      <c r="N609" s="47">
        <v>7</v>
      </c>
      <c r="O609" s="65">
        <v>5</v>
      </c>
      <c r="P609" s="15"/>
    </row>
    <row r="610" spans="1:16" x14ac:dyDescent="0.25">
      <c r="A610" s="15" t="s">
        <v>417</v>
      </c>
      <c r="B610" s="15" t="s">
        <v>418</v>
      </c>
      <c r="C610" s="45" t="s">
        <v>9</v>
      </c>
      <c r="D610" s="46" t="s">
        <v>1761</v>
      </c>
      <c r="E610" s="15" t="s">
        <v>233</v>
      </c>
      <c r="F610" s="46">
        <v>1</v>
      </c>
      <c r="H610" s="45" t="s">
        <v>193</v>
      </c>
      <c r="I610" s="15" t="s">
        <v>194</v>
      </c>
      <c r="J610" s="15" t="s">
        <v>1776</v>
      </c>
      <c r="K610" s="15" t="s">
        <v>408</v>
      </c>
      <c r="L610" s="47" t="s">
        <v>405</v>
      </c>
      <c r="M610" s="47" t="str">
        <f t="shared" si="9"/>
        <v>241304</v>
      </c>
      <c r="N610" s="47">
        <v>8</v>
      </c>
      <c r="O610" s="65">
        <v>6</v>
      </c>
      <c r="P610" s="15"/>
    </row>
    <row r="611" spans="1:16" x14ac:dyDescent="0.25">
      <c r="A611" s="15" t="s">
        <v>403</v>
      </c>
      <c r="B611" s="15" t="s">
        <v>2440</v>
      </c>
      <c r="C611" s="45" t="s">
        <v>9</v>
      </c>
      <c r="D611" s="46" t="s">
        <v>1728</v>
      </c>
      <c r="E611" s="15" t="s">
        <v>192</v>
      </c>
      <c r="F611" s="46">
        <v>1</v>
      </c>
      <c r="H611" s="45" t="s">
        <v>193</v>
      </c>
      <c r="I611" s="15" t="s">
        <v>194</v>
      </c>
      <c r="J611" s="15" t="s">
        <v>1776</v>
      </c>
      <c r="K611" s="15" t="s">
        <v>210</v>
      </c>
      <c r="L611" s="47" t="s">
        <v>405</v>
      </c>
      <c r="M611" s="47" t="str">
        <f t="shared" si="9"/>
        <v>241304</v>
      </c>
      <c r="N611" s="47">
        <v>9</v>
      </c>
      <c r="O611" s="65">
        <v>7</v>
      </c>
      <c r="P611" s="15"/>
    </row>
    <row r="612" spans="1:16" x14ac:dyDescent="0.25">
      <c r="A612" s="15" t="s">
        <v>1675</v>
      </c>
      <c r="B612" s="15" t="s">
        <v>2441</v>
      </c>
      <c r="C612" s="45" t="s">
        <v>9</v>
      </c>
      <c r="D612" s="46" t="s">
        <v>1745</v>
      </c>
      <c r="E612" s="15" t="s">
        <v>192</v>
      </c>
      <c r="F612" s="46">
        <v>1</v>
      </c>
      <c r="H612" s="45" t="s">
        <v>193</v>
      </c>
      <c r="I612" s="15" t="s">
        <v>194</v>
      </c>
      <c r="J612" s="15" t="s">
        <v>1759</v>
      </c>
      <c r="K612" s="15" t="s">
        <v>210</v>
      </c>
      <c r="L612" s="47" t="s">
        <v>405</v>
      </c>
      <c r="M612" s="47" t="str">
        <f t="shared" si="9"/>
        <v>241304</v>
      </c>
      <c r="N612" s="47">
        <v>10</v>
      </c>
      <c r="O612" s="65">
        <v>8</v>
      </c>
      <c r="P612" s="15"/>
    </row>
    <row r="613" spans="1:16" x14ac:dyDescent="0.25">
      <c r="A613" s="15" t="s">
        <v>411</v>
      </c>
      <c r="B613" s="15" t="s">
        <v>2442</v>
      </c>
      <c r="C613" s="45" t="s">
        <v>9</v>
      </c>
      <c r="D613" s="46" t="s">
        <v>1740</v>
      </c>
      <c r="E613" s="15" t="s">
        <v>233</v>
      </c>
      <c r="F613" s="46">
        <v>1</v>
      </c>
      <c r="H613" s="45" t="s">
        <v>193</v>
      </c>
      <c r="I613" s="15" t="s">
        <v>194</v>
      </c>
      <c r="J613" s="15" t="s">
        <v>1759</v>
      </c>
      <c r="K613" s="15" t="s">
        <v>210</v>
      </c>
      <c r="L613" s="47" t="s">
        <v>405</v>
      </c>
      <c r="M613" s="47" t="str">
        <f t="shared" si="9"/>
        <v>241304</v>
      </c>
      <c r="N613" s="47">
        <v>11</v>
      </c>
      <c r="O613" s="65">
        <v>9</v>
      </c>
      <c r="P613" s="15"/>
    </row>
    <row r="614" spans="1:16" x14ac:dyDescent="0.25">
      <c r="A614" s="15" t="s">
        <v>406</v>
      </c>
      <c r="B614" s="15" t="s">
        <v>407</v>
      </c>
      <c r="C614" s="45" t="s">
        <v>9</v>
      </c>
      <c r="D614" s="46" t="s">
        <v>1740</v>
      </c>
      <c r="E614" s="15" t="s">
        <v>192</v>
      </c>
      <c r="F614" s="46">
        <v>1</v>
      </c>
      <c r="H614" s="45" t="s">
        <v>193</v>
      </c>
      <c r="I614" s="15" t="s">
        <v>194</v>
      </c>
      <c r="J614" s="15" t="s">
        <v>1754</v>
      </c>
      <c r="K614" s="15" t="s">
        <v>267</v>
      </c>
      <c r="L614" s="47" t="s">
        <v>405</v>
      </c>
      <c r="M614" s="47" t="str">
        <f t="shared" si="9"/>
        <v>241304</v>
      </c>
      <c r="N614" s="47">
        <v>12</v>
      </c>
      <c r="O614" s="65">
        <v>480</v>
      </c>
      <c r="P614" s="15"/>
    </row>
    <row r="615" spans="1:16" x14ac:dyDescent="0.25">
      <c r="A615" s="15" t="s">
        <v>406</v>
      </c>
      <c r="B615" s="15" t="s">
        <v>407</v>
      </c>
      <c r="C615" s="45" t="s">
        <v>9</v>
      </c>
      <c r="D615" s="46" t="s">
        <v>1761</v>
      </c>
      <c r="E615" s="15" t="s">
        <v>192</v>
      </c>
      <c r="F615" s="46">
        <v>1</v>
      </c>
      <c r="H615" s="45" t="s">
        <v>193</v>
      </c>
      <c r="I615" s="15" t="s">
        <v>194</v>
      </c>
      <c r="J615" s="15" t="s">
        <v>1754</v>
      </c>
      <c r="K615" s="15" t="s">
        <v>276</v>
      </c>
      <c r="L615" s="47" t="s">
        <v>405</v>
      </c>
      <c r="M615" s="47" t="str">
        <f t="shared" si="9"/>
        <v>241304</v>
      </c>
      <c r="N615" s="47">
        <v>13</v>
      </c>
      <c r="O615" s="65">
        <v>1</v>
      </c>
      <c r="P615" s="15"/>
    </row>
    <row r="616" spans="1:16" x14ac:dyDescent="0.25">
      <c r="A616" s="15" t="s">
        <v>406</v>
      </c>
      <c r="B616" s="15" t="s">
        <v>407</v>
      </c>
      <c r="C616" s="45" t="s">
        <v>9</v>
      </c>
      <c r="D616" s="46" t="s">
        <v>1745</v>
      </c>
      <c r="E616" s="15" t="s">
        <v>192</v>
      </c>
      <c r="F616" s="46">
        <v>1</v>
      </c>
      <c r="H616" s="45" t="s">
        <v>193</v>
      </c>
      <c r="I616" s="15" t="s">
        <v>194</v>
      </c>
      <c r="J616" s="15" t="s">
        <v>1754</v>
      </c>
      <c r="K616" s="15" t="s">
        <v>408</v>
      </c>
      <c r="L616" s="47" t="s">
        <v>405</v>
      </c>
      <c r="M616" s="47" t="str">
        <f t="shared" si="9"/>
        <v>241304</v>
      </c>
      <c r="N616" s="47">
        <v>14</v>
      </c>
      <c r="O616" s="65">
        <v>2</v>
      </c>
      <c r="P616" s="15"/>
    </row>
    <row r="617" spans="1:16" x14ac:dyDescent="0.25">
      <c r="A617" s="15" t="s">
        <v>2443</v>
      </c>
      <c r="B617" s="15" t="s">
        <v>2444</v>
      </c>
      <c r="C617" s="45" t="s">
        <v>9</v>
      </c>
      <c r="D617" s="46" t="s">
        <v>1731</v>
      </c>
      <c r="E617" s="15" t="s">
        <v>192</v>
      </c>
      <c r="F617" s="46">
        <v>1</v>
      </c>
      <c r="H617" s="45" t="s">
        <v>193</v>
      </c>
      <c r="I617" s="15" t="s">
        <v>194</v>
      </c>
      <c r="J617" s="15" t="s">
        <v>1759</v>
      </c>
      <c r="K617" s="15" t="s">
        <v>210</v>
      </c>
      <c r="L617" s="47" t="s">
        <v>405</v>
      </c>
      <c r="M617" s="47" t="str">
        <f t="shared" si="9"/>
        <v>241304</v>
      </c>
      <c r="N617" s="47">
        <v>15</v>
      </c>
      <c r="O617" s="65">
        <v>3</v>
      </c>
      <c r="P617" s="15"/>
    </row>
    <row r="618" spans="1:16" x14ac:dyDescent="0.25">
      <c r="A618" s="15" t="s">
        <v>2445</v>
      </c>
      <c r="B618" s="15" t="s">
        <v>2446</v>
      </c>
      <c r="C618" s="45" t="s">
        <v>9</v>
      </c>
      <c r="D618" s="46" t="s">
        <v>1732</v>
      </c>
      <c r="E618" s="15" t="s">
        <v>192</v>
      </c>
      <c r="F618" s="46">
        <v>1</v>
      </c>
      <c r="H618" s="45" t="s">
        <v>193</v>
      </c>
      <c r="I618" s="15" t="s">
        <v>194</v>
      </c>
      <c r="J618" s="15" t="s">
        <v>1734</v>
      </c>
      <c r="K618" s="15" t="s">
        <v>210</v>
      </c>
      <c r="L618" s="47" t="s">
        <v>405</v>
      </c>
      <c r="M618" s="47" t="str">
        <f t="shared" si="9"/>
        <v>241304</v>
      </c>
      <c r="N618" s="47">
        <v>16</v>
      </c>
      <c r="O618" s="65">
        <v>4</v>
      </c>
      <c r="P618" s="15"/>
    </row>
    <row r="619" spans="1:16" x14ac:dyDescent="0.25">
      <c r="A619" s="15" t="s">
        <v>411</v>
      </c>
      <c r="B619" s="15" t="s">
        <v>948</v>
      </c>
      <c r="C619" s="45" t="s">
        <v>9</v>
      </c>
      <c r="D619" s="46" t="s">
        <v>1740</v>
      </c>
      <c r="E619" s="15" t="s">
        <v>192</v>
      </c>
      <c r="F619" s="46">
        <v>1</v>
      </c>
      <c r="H619" s="45" t="s">
        <v>193</v>
      </c>
      <c r="I619" s="15" t="s">
        <v>194</v>
      </c>
      <c r="J619" s="15" t="s">
        <v>1764</v>
      </c>
      <c r="K619" s="15" t="s">
        <v>276</v>
      </c>
      <c r="L619" s="47" t="s">
        <v>405</v>
      </c>
      <c r="M619" s="47" t="str">
        <f t="shared" si="9"/>
        <v>241304</v>
      </c>
      <c r="N619" s="47">
        <v>17</v>
      </c>
      <c r="O619" s="65">
        <v>5</v>
      </c>
      <c r="P619" s="15"/>
    </row>
    <row r="620" spans="1:16" x14ac:dyDescent="0.25">
      <c r="A620" s="15" t="s">
        <v>1017</v>
      </c>
      <c r="B620" s="15" t="s">
        <v>2447</v>
      </c>
      <c r="C620" s="45" t="s">
        <v>9</v>
      </c>
      <c r="D620" s="46" t="s">
        <v>1761</v>
      </c>
      <c r="E620" s="15" t="s">
        <v>233</v>
      </c>
      <c r="F620" s="46">
        <v>1</v>
      </c>
      <c r="H620" s="45" t="s">
        <v>193</v>
      </c>
      <c r="I620" s="15" t="s">
        <v>194</v>
      </c>
      <c r="J620" s="15" t="s">
        <v>1764</v>
      </c>
      <c r="K620" s="15" t="s">
        <v>1019</v>
      </c>
      <c r="L620" s="47" t="s">
        <v>405</v>
      </c>
      <c r="M620" s="47" t="str">
        <f t="shared" si="9"/>
        <v>241304</v>
      </c>
      <c r="N620" s="47">
        <v>18</v>
      </c>
      <c r="O620" s="65">
        <v>6</v>
      </c>
      <c r="P620" s="15"/>
    </row>
    <row r="621" spans="1:16" x14ac:dyDescent="0.25">
      <c r="A621" s="15" t="s">
        <v>2448</v>
      </c>
      <c r="B621" s="15" t="s">
        <v>2449</v>
      </c>
      <c r="C621" s="45" t="s">
        <v>9</v>
      </c>
      <c r="D621" s="46" t="s">
        <v>1740</v>
      </c>
      <c r="E621" s="15" t="s">
        <v>192</v>
      </c>
      <c r="F621" s="46">
        <v>1</v>
      </c>
      <c r="H621" s="45" t="s">
        <v>193</v>
      </c>
      <c r="I621" s="15" t="s">
        <v>194</v>
      </c>
      <c r="J621" s="15" t="s">
        <v>1764</v>
      </c>
      <c r="K621" s="15" t="s">
        <v>385</v>
      </c>
      <c r="L621" s="47" t="s">
        <v>405</v>
      </c>
      <c r="M621" s="47" t="str">
        <f t="shared" si="9"/>
        <v>241304</v>
      </c>
      <c r="N621" s="47">
        <v>19</v>
      </c>
      <c r="O621" s="65">
        <v>7</v>
      </c>
      <c r="P621" s="15"/>
    </row>
    <row r="622" spans="1:16" x14ac:dyDescent="0.25">
      <c r="A622" s="15" t="s">
        <v>1675</v>
      </c>
      <c r="B622" s="15" t="s">
        <v>2450</v>
      </c>
      <c r="C622" s="45" t="s">
        <v>9</v>
      </c>
      <c r="D622" s="46" t="s">
        <v>1745</v>
      </c>
      <c r="E622" s="15" t="s">
        <v>192</v>
      </c>
      <c r="F622" s="46">
        <v>1</v>
      </c>
      <c r="H622" s="45" t="s">
        <v>193</v>
      </c>
      <c r="I622" s="15" t="s">
        <v>194</v>
      </c>
      <c r="J622" s="15" t="s">
        <v>1772</v>
      </c>
      <c r="K622" s="15" t="s">
        <v>210</v>
      </c>
      <c r="L622" s="47" t="s">
        <v>405</v>
      </c>
      <c r="M622" s="47" t="str">
        <f t="shared" si="9"/>
        <v>241304</v>
      </c>
      <c r="N622" s="47">
        <v>20</v>
      </c>
      <c r="O622" s="65">
        <v>8</v>
      </c>
      <c r="P622" s="15"/>
    </row>
    <row r="623" spans="1:16" x14ac:dyDescent="0.25">
      <c r="A623" s="15" t="s">
        <v>2451</v>
      </c>
      <c r="B623" s="15" t="s">
        <v>410</v>
      </c>
      <c r="C623" s="45" t="s">
        <v>9</v>
      </c>
      <c r="D623" s="46" t="s">
        <v>1803</v>
      </c>
      <c r="E623" s="15" t="s">
        <v>192</v>
      </c>
      <c r="F623" s="46">
        <v>1</v>
      </c>
      <c r="H623" s="45" t="s">
        <v>193</v>
      </c>
      <c r="I623" s="15" t="s">
        <v>194</v>
      </c>
      <c r="J623" s="15" t="s">
        <v>1762</v>
      </c>
      <c r="K623" s="15" t="s">
        <v>210</v>
      </c>
      <c r="L623" s="47" t="s">
        <v>405</v>
      </c>
      <c r="M623" s="47" t="str">
        <f t="shared" si="9"/>
        <v>241304</v>
      </c>
      <c r="N623" s="47">
        <v>21</v>
      </c>
      <c r="O623" s="65">
        <v>9</v>
      </c>
      <c r="P623" s="15"/>
    </row>
    <row r="624" spans="1:16" x14ac:dyDescent="0.25">
      <c r="A624" s="15" t="s">
        <v>413</v>
      </c>
      <c r="B624" s="15" t="s">
        <v>414</v>
      </c>
      <c r="C624" s="45" t="s">
        <v>9</v>
      </c>
      <c r="D624" s="46" t="s">
        <v>1745</v>
      </c>
      <c r="E624" s="15" t="s">
        <v>192</v>
      </c>
      <c r="F624" s="46">
        <v>1</v>
      </c>
      <c r="H624" s="45" t="s">
        <v>193</v>
      </c>
      <c r="I624" s="15" t="s">
        <v>194</v>
      </c>
      <c r="J624" s="15" t="s">
        <v>1764</v>
      </c>
      <c r="K624" s="15" t="s">
        <v>276</v>
      </c>
      <c r="L624" s="47" t="s">
        <v>405</v>
      </c>
      <c r="M624" s="47" t="str">
        <f t="shared" si="9"/>
        <v>241304</v>
      </c>
      <c r="N624" s="47">
        <v>22</v>
      </c>
      <c r="O624" s="65">
        <v>490</v>
      </c>
      <c r="P624" s="15"/>
    </row>
    <row r="625" spans="1:16" s="42" customFormat="1" ht="14.25" x14ac:dyDescent="0.2">
      <c r="C625" s="42" t="s">
        <v>27</v>
      </c>
      <c r="D625" s="43"/>
      <c r="F625" s="43"/>
      <c r="G625" s="43">
        <f>SUM(F626:F635)</f>
        <v>10</v>
      </c>
      <c r="L625" s="44"/>
      <c r="M625" s="44" t="str">
        <f t="shared" si="9"/>
        <v/>
      </c>
      <c r="N625" s="44"/>
      <c r="O625" s="43"/>
    </row>
    <row r="626" spans="1:16" x14ac:dyDescent="0.25">
      <c r="A626" s="15" t="s">
        <v>427</v>
      </c>
      <c r="B626" s="15" t="s">
        <v>1092</v>
      </c>
      <c r="C626" s="45" t="s">
        <v>27</v>
      </c>
      <c r="D626" s="46" t="s">
        <v>1761</v>
      </c>
      <c r="E626" s="15" t="s">
        <v>192</v>
      </c>
      <c r="F626" s="46">
        <v>1</v>
      </c>
      <c r="H626" s="45" t="s">
        <v>193</v>
      </c>
      <c r="I626" s="15" t="s">
        <v>194</v>
      </c>
      <c r="J626" s="15" t="s">
        <v>1746</v>
      </c>
      <c r="K626" s="15" t="s">
        <v>238</v>
      </c>
      <c r="L626" s="47" t="s">
        <v>440</v>
      </c>
      <c r="M626" s="47" t="str">
        <f t="shared" si="9"/>
        <v>242307</v>
      </c>
      <c r="N626" s="47">
        <v>1</v>
      </c>
      <c r="O626" s="65">
        <v>1</v>
      </c>
      <c r="P626" s="15"/>
    </row>
    <row r="627" spans="1:16" x14ac:dyDescent="0.25">
      <c r="A627" s="15" t="s">
        <v>974</v>
      </c>
      <c r="B627" s="15" t="s">
        <v>2452</v>
      </c>
      <c r="C627" s="45" t="s">
        <v>27</v>
      </c>
      <c r="D627" s="46" t="s">
        <v>1803</v>
      </c>
      <c r="E627" s="15" t="s">
        <v>192</v>
      </c>
      <c r="F627" s="46">
        <v>1</v>
      </c>
      <c r="H627" s="45" t="s">
        <v>193</v>
      </c>
      <c r="I627" s="15" t="s">
        <v>194</v>
      </c>
      <c r="J627" s="15" t="s">
        <v>1915</v>
      </c>
      <c r="K627" s="15" t="s">
        <v>210</v>
      </c>
      <c r="L627" s="47" t="s">
        <v>440</v>
      </c>
      <c r="M627" s="47" t="str">
        <f t="shared" si="9"/>
        <v>242307</v>
      </c>
      <c r="N627" s="47">
        <v>2</v>
      </c>
      <c r="O627" s="65">
        <v>2</v>
      </c>
      <c r="P627" s="15"/>
    </row>
    <row r="628" spans="1:16" x14ac:dyDescent="0.25">
      <c r="A628" s="15" t="s">
        <v>2453</v>
      </c>
      <c r="B628" s="15" t="s">
        <v>2454</v>
      </c>
      <c r="C628" s="45" t="s">
        <v>27</v>
      </c>
      <c r="D628" s="46" t="s">
        <v>1779</v>
      </c>
      <c r="E628" s="15" t="s">
        <v>192</v>
      </c>
      <c r="F628" s="46">
        <v>1</v>
      </c>
      <c r="H628" s="45" t="s">
        <v>193</v>
      </c>
      <c r="I628" s="15" t="s">
        <v>194</v>
      </c>
      <c r="J628" s="15" t="s">
        <v>1915</v>
      </c>
      <c r="K628" s="15" t="s">
        <v>316</v>
      </c>
      <c r="L628" s="47" t="s">
        <v>440</v>
      </c>
      <c r="M628" s="47" t="str">
        <f t="shared" si="9"/>
        <v>242307</v>
      </c>
      <c r="N628" s="47">
        <v>3</v>
      </c>
      <c r="O628" s="65">
        <v>3</v>
      </c>
      <c r="P628" s="15"/>
    </row>
    <row r="629" spans="1:16" x14ac:dyDescent="0.25">
      <c r="A629" s="15" t="s">
        <v>432</v>
      </c>
      <c r="B629" s="15" t="s">
        <v>2455</v>
      </c>
      <c r="C629" s="45" t="s">
        <v>27</v>
      </c>
      <c r="D629" s="46" t="s">
        <v>1728</v>
      </c>
      <c r="E629" s="15" t="s">
        <v>192</v>
      </c>
      <c r="F629" s="46">
        <v>1</v>
      </c>
      <c r="H629" s="45" t="s">
        <v>193</v>
      </c>
      <c r="I629" s="15" t="s">
        <v>194</v>
      </c>
      <c r="J629" s="15" t="s">
        <v>1915</v>
      </c>
      <c r="K629" s="15" t="s">
        <v>253</v>
      </c>
      <c r="L629" s="47" t="s">
        <v>440</v>
      </c>
      <c r="M629" s="47" t="str">
        <f t="shared" si="9"/>
        <v>242307</v>
      </c>
      <c r="N629" s="47">
        <v>4</v>
      </c>
      <c r="O629" s="65">
        <v>4</v>
      </c>
      <c r="P629" s="15"/>
    </row>
    <row r="630" spans="1:16" x14ac:dyDescent="0.25">
      <c r="A630" s="15" t="s">
        <v>2456</v>
      </c>
      <c r="B630" s="15" t="s">
        <v>2457</v>
      </c>
      <c r="C630" s="45" t="s">
        <v>27</v>
      </c>
      <c r="D630" s="46" t="s">
        <v>1731</v>
      </c>
      <c r="E630" s="15" t="s">
        <v>192</v>
      </c>
      <c r="F630" s="46">
        <v>1</v>
      </c>
      <c r="H630" s="45" t="s">
        <v>193</v>
      </c>
      <c r="I630" s="15" t="s">
        <v>194</v>
      </c>
      <c r="J630" s="15" t="s">
        <v>1759</v>
      </c>
      <c r="K630" s="15" t="s">
        <v>210</v>
      </c>
      <c r="L630" s="47" t="s">
        <v>440</v>
      </c>
      <c r="M630" s="47" t="str">
        <f t="shared" si="9"/>
        <v>242307</v>
      </c>
      <c r="N630" s="47">
        <v>5</v>
      </c>
      <c r="O630" s="65">
        <v>5</v>
      </c>
      <c r="P630" s="15"/>
    </row>
    <row r="631" spans="1:16" x14ac:dyDescent="0.25">
      <c r="A631" s="15" t="s">
        <v>2458</v>
      </c>
      <c r="B631" s="15" t="s">
        <v>2459</v>
      </c>
      <c r="C631" s="45" t="s">
        <v>27</v>
      </c>
      <c r="D631" s="46" t="s">
        <v>1740</v>
      </c>
      <c r="E631" s="15" t="s">
        <v>192</v>
      </c>
      <c r="F631" s="46">
        <v>1</v>
      </c>
      <c r="H631" s="45" t="s">
        <v>193</v>
      </c>
      <c r="I631" s="15" t="s">
        <v>194</v>
      </c>
      <c r="J631" s="15" t="s">
        <v>1752</v>
      </c>
      <c r="K631" s="15" t="s">
        <v>210</v>
      </c>
      <c r="L631" s="47" t="s">
        <v>440</v>
      </c>
      <c r="M631" s="47" t="str">
        <f t="shared" si="9"/>
        <v>242307</v>
      </c>
      <c r="N631" s="47">
        <v>6</v>
      </c>
      <c r="O631" s="65">
        <v>6</v>
      </c>
      <c r="P631" s="15"/>
    </row>
    <row r="632" spans="1:16" x14ac:dyDescent="0.25">
      <c r="A632" s="15" t="s">
        <v>638</v>
      </c>
      <c r="B632" s="15" t="s">
        <v>2460</v>
      </c>
      <c r="C632" s="45" t="s">
        <v>27</v>
      </c>
      <c r="D632" s="46" t="s">
        <v>1740</v>
      </c>
      <c r="E632" s="15" t="s">
        <v>233</v>
      </c>
      <c r="F632" s="46">
        <v>1</v>
      </c>
      <c r="H632" s="45" t="s">
        <v>193</v>
      </c>
      <c r="I632" s="15" t="s">
        <v>194</v>
      </c>
      <c r="J632" s="15" t="s">
        <v>1729</v>
      </c>
      <c r="K632" s="15" t="s">
        <v>253</v>
      </c>
      <c r="L632" s="47" t="s">
        <v>440</v>
      </c>
      <c r="M632" s="47" t="str">
        <f t="shared" si="9"/>
        <v>242307</v>
      </c>
      <c r="N632" s="47">
        <v>7</v>
      </c>
      <c r="O632" s="65">
        <v>7</v>
      </c>
      <c r="P632" s="15"/>
    </row>
    <row r="633" spans="1:16" x14ac:dyDescent="0.25">
      <c r="A633" s="15" t="s">
        <v>2461</v>
      </c>
      <c r="B633" s="15" t="s">
        <v>984</v>
      </c>
      <c r="C633" s="45" t="s">
        <v>27</v>
      </c>
      <c r="D633" s="46" t="s">
        <v>1728</v>
      </c>
      <c r="E633" s="15" t="s">
        <v>192</v>
      </c>
      <c r="F633" s="46">
        <v>1</v>
      </c>
      <c r="H633" s="45" t="s">
        <v>193</v>
      </c>
      <c r="I633" s="15" t="s">
        <v>194</v>
      </c>
      <c r="J633" s="15" t="s">
        <v>1772</v>
      </c>
      <c r="K633" s="15" t="s">
        <v>253</v>
      </c>
      <c r="L633" s="47" t="s">
        <v>440</v>
      </c>
      <c r="M633" s="47" t="str">
        <f t="shared" si="9"/>
        <v>242307</v>
      </c>
      <c r="N633" s="47">
        <v>8</v>
      </c>
      <c r="O633" s="65">
        <v>8</v>
      </c>
      <c r="P633" s="15"/>
    </row>
    <row r="634" spans="1:16" x14ac:dyDescent="0.25">
      <c r="A634" s="15" t="s">
        <v>1426</v>
      </c>
      <c r="B634" s="15" t="s">
        <v>984</v>
      </c>
      <c r="C634" s="45" t="s">
        <v>27</v>
      </c>
      <c r="D634" s="46" t="s">
        <v>1740</v>
      </c>
      <c r="E634" s="15" t="s">
        <v>192</v>
      </c>
      <c r="F634" s="46">
        <v>1</v>
      </c>
      <c r="H634" s="45" t="s">
        <v>193</v>
      </c>
      <c r="I634" s="15" t="s">
        <v>194</v>
      </c>
      <c r="J634" s="15" t="s">
        <v>1772</v>
      </c>
      <c r="K634" s="15" t="s">
        <v>253</v>
      </c>
      <c r="L634" s="47" t="s">
        <v>440</v>
      </c>
      <c r="M634" s="47" t="str">
        <f t="shared" si="9"/>
        <v>242307</v>
      </c>
      <c r="N634" s="47">
        <v>9</v>
      </c>
      <c r="O634" s="65">
        <v>9</v>
      </c>
      <c r="P634" s="15"/>
    </row>
    <row r="635" spans="1:16" x14ac:dyDescent="0.25">
      <c r="A635" s="3" t="s">
        <v>1748</v>
      </c>
      <c r="B635" s="15" t="s">
        <v>2462</v>
      </c>
      <c r="C635" s="45" t="s">
        <v>27</v>
      </c>
      <c r="D635" s="46" t="s">
        <v>1731</v>
      </c>
      <c r="E635" s="15" t="s">
        <v>192</v>
      </c>
      <c r="F635" s="46">
        <v>1</v>
      </c>
      <c r="H635" s="45" t="s">
        <v>193</v>
      </c>
      <c r="I635" s="15" t="s">
        <v>194</v>
      </c>
      <c r="J635" s="15" t="s">
        <v>1746</v>
      </c>
      <c r="K635" s="15" t="s">
        <v>210</v>
      </c>
      <c r="L635" s="47" t="s">
        <v>440</v>
      </c>
      <c r="M635" s="47" t="str">
        <f t="shared" si="9"/>
        <v>242307</v>
      </c>
      <c r="N635" s="47">
        <v>10</v>
      </c>
      <c r="O635" s="65">
        <v>500</v>
      </c>
      <c r="P635" s="15"/>
    </row>
    <row r="636" spans="1:16" s="42" customFormat="1" ht="14.25" x14ac:dyDescent="0.2">
      <c r="C636" s="42" t="s">
        <v>80</v>
      </c>
      <c r="D636" s="43"/>
      <c r="F636" s="43"/>
      <c r="G636" s="43">
        <f>SUM(F637:F646)</f>
        <v>8</v>
      </c>
      <c r="L636" s="44"/>
      <c r="M636" s="44" t="str">
        <f t="shared" si="9"/>
        <v/>
      </c>
      <c r="N636" s="44"/>
      <c r="O636" s="43"/>
    </row>
    <row r="637" spans="1:16" x14ac:dyDescent="0.25">
      <c r="A637" s="15" t="s">
        <v>1750</v>
      </c>
      <c r="B637" s="15" t="s">
        <v>2463</v>
      </c>
      <c r="C637" s="45" t="s">
        <v>80</v>
      </c>
      <c r="D637" s="46" t="s">
        <v>1740</v>
      </c>
      <c r="E637" s="15" t="s">
        <v>192</v>
      </c>
      <c r="F637" s="46">
        <v>1</v>
      </c>
      <c r="H637" s="45" t="s">
        <v>193</v>
      </c>
      <c r="I637" s="15" t="s">
        <v>194</v>
      </c>
      <c r="J637" s="15" t="s">
        <v>1776</v>
      </c>
      <c r="K637" s="15" t="s">
        <v>210</v>
      </c>
      <c r="L637" s="47" t="s">
        <v>474</v>
      </c>
      <c r="M637" s="47" t="str">
        <f t="shared" si="9"/>
        <v>243304</v>
      </c>
      <c r="O637" s="65">
        <v>1</v>
      </c>
      <c r="P637" s="15"/>
    </row>
    <row r="638" spans="1:16" x14ac:dyDescent="0.25">
      <c r="A638" s="15" t="s">
        <v>2464</v>
      </c>
      <c r="B638" s="15" t="s">
        <v>1586</v>
      </c>
      <c r="C638" s="45" t="s">
        <v>80</v>
      </c>
      <c r="D638" s="46" t="s">
        <v>1728</v>
      </c>
      <c r="E638" s="15" t="s">
        <v>192</v>
      </c>
      <c r="F638" s="46">
        <v>1</v>
      </c>
      <c r="H638" s="45" t="s">
        <v>193</v>
      </c>
      <c r="I638" s="15" t="s">
        <v>194</v>
      </c>
      <c r="J638" s="15" t="s">
        <v>1836</v>
      </c>
      <c r="K638" s="15" t="s">
        <v>210</v>
      </c>
      <c r="L638" s="47" t="s">
        <v>474</v>
      </c>
      <c r="M638" s="47" t="str">
        <f t="shared" si="9"/>
        <v>243304</v>
      </c>
      <c r="O638" s="65">
        <v>2</v>
      </c>
      <c r="P638" s="15"/>
    </row>
    <row r="639" spans="1:16" x14ac:dyDescent="0.25">
      <c r="A639" s="15" t="s">
        <v>2465</v>
      </c>
      <c r="B639" s="15" t="s">
        <v>1586</v>
      </c>
      <c r="C639" s="45" t="s">
        <v>80</v>
      </c>
      <c r="D639" s="46" t="s">
        <v>1740</v>
      </c>
      <c r="E639" s="15" t="s">
        <v>192</v>
      </c>
      <c r="F639" s="46">
        <v>1</v>
      </c>
      <c r="H639" s="45" t="s">
        <v>193</v>
      </c>
      <c r="I639" s="15" t="s">
        <v>194</v>
      </c>
      <c r="J639" s="15" t="s">
        <v>1737</v>
      </c>
      <c r="K639" s="15" t="s">
        <v>276</v>
      </c>
      <c r="L639" s="47" t="s">
        <v>474</v>
      </c>
      <c r="M639" s="47" t="str">
        <f t="shared" si="9"/>
        <v>243304</v>
      </c>
      <c r="O639" s="65">
        <v>3</v>
      </c>
      <c r="P639" s="15"/>
    </row>
    <row r="640" spans="1:16" x14ac:dyDescent="0.25">
      <c r="A640" s="15" t="s">
        <v>615</v>
      </c>
      <c r="B640" s="15" t="s">
        <v>2466</v>
      </c>
      <c r="C640" s="45" t="s">
        <v>80</v>
      </c>
      <c r="D640" s="46" t="s">
        <v>1860</v>
      </c>
      <c r="E640" s="15" t="s">
        <v>217</v>
      </c>
      <c r="F640" s="69">
        <v>0</v>
      </c>
      <c r="H640" s="68" t="s">
        <v>194</v>
      </c>
      <c r="I640" s="15" t="s">
        <v>193</v>
      </c>
      <c r="J640" s="15" t="s">
        <v>1737</v>
      </c>
      <c r="K640" s="15" t="s">
        <v>196</v>
      </c>
      <c r="L640" s="47" t="s">
        <v>474</v>
      </c>
      <c r="M640" s="47" t="str">
        <f t="shared" si="9"/>
        <v>243304</v>
      </c>
      <c r="O640" s="39" t="s">
        <v>3478</v>
      </c>
      <c r="P640" s="46">
        <v>10</v>
      </c>
    </row>
    <row r="641" spans="1:16" x14ac:dyDescent="0.25">
      <c r="A641" s="15" t="s">
        <v>615</v>
      </c>
      <c r="B641" s="15" t="s">
        <v>2466</v>
      </c>
      <c r="C641" s="45" t="s">
        <v>80</v>
      </c>
      <c r="D641" s="46" t="s">
        <v>1803</v>
      </c>
      <c r="E641" s="15" t="s">
        <v>217</v>
      </c>
      <c r="F641" s="69">
        <v>0</v>
      </c>
      <c r="H641" s="68" t="s">
        <v>194</v>
      </c>
      <c r="I641" s="15" t="s">
        <v>193</v>
      </c>
      <c r="J641" s="15" t="s">
        <v>1737</v>
      </c>
      <c r="K641" s="15" t="s">
        <v>196</v>
      </c>
      <c r="L641" s="47" t="s">
        <v>474</v>
      </c>
      <c r="M641" s="47" t="str">
        <f t="shared" si="9"/>
        <v>243304</v>
      </c>
      <c r="O641" s="39" t="s">
        <v>3479</v>
      </c>
      <c r="P641" s="46">
        <v>11</v>
      </c>
    </row>
    <row r="642" spans="1:16" x14ac:dyDescent="0.25">
      <c r="A642" s="15" t="s">
        <v>2467</v>
      </c>
      <c r="B642" s="15" t="s">
        <v>2468</v>
      </c>
      <c r="C642" s="45" t="s">
        <v>80</v>
      </c>
      <c r="D642" s="46" t="s">
        <v>1736</v>
      </c>
      <c r="E642" s="15" t="s">
        <v>192</v>
      </c>
      <c r="F642" s="46">
        <v>1</v>
      </c>
      <c r="H642" s="45" t="s">
        <v>193</v>
      </c>
      <c r="I642" s="15" t="s">
        <v>194</v>
      </c>
      <c r="J642" s="15" t="s">
        <v>1836</v>
      </c>
      <c r="K642" s="15" t="s">
        <v>210</v>
      </c>
      <c r="L642" s="47" t="s">
        <v>474</v>
      </c>
      <c r="M642" s="47" t="str">
        <f t="shared" si="9"/>
        <v>243304</v>
      </c>
      <c r="O642" s="65">
        <v>4</v>
      </c>
      <c r="P642" s="15"/>
    </row>
    <row r="643" spans="1:16" x14ac:dyDescent="0.25">
      <c r="A643" s="15" t="s">
        <v>2469</v>
      </c>
      <c r="B643" s="15" t="s">
        <v>2470</v>
      </c>
      <c r="C643" s="45" t="s">
        <v>80</v>
      </c>
      <c r="D643" s="46" t="s">
        <v>1761</v>
      </c>
      <c r="E643" s="15" t="s">
        <v>192</v>
      </c>
      <c r="F643" s="46">
        <v>1</v>
      </c>
      <c r="H643" s="45" t="s">
        <v>193</v>
      </c>
      <c r="I643" s="15" t="s">
        <v>194</v>
      </c>
      <c r="J643" s="15" t="s">
        <v>1762</v>
      </c>
      <c r="K643" s="15" t="s">
        <v>210</v>
      </c>
      <c r="L643" s="47" t="s">
        <v>474</v>
      </c>
      <c r="M643" s="47" t="str">
        <f t="shared" si="9"/>
        <v>243304</v>
      </c>
      <c r="O643" s="65">
        <v>5</v>
      </c>
      <c r="P643" s="15"/>
    </row>
    <row r="644" spans="1:16" x14ac:dyDescent="0.25">
      <c r="A644" s="15" t="s">
        <v>2397</v>
      </c>
      <c r="B644" s="15" t="s">
        <v>2471</v>
      </c>
      <c r="C644" s="45" t="s">
        <v>80</v>
      </c>
      <c r="D644" s="46" t="s">
        <v>1740</v>
      </c>
      <c r="E644" s="15" t="s">
        <v>233</v>
      </c>
      <c r="F644" s="46">
        <v>1</v>
      </c>
      <c r="H644" s="45" t="s">
        <v>193</v>
      </c>
      <c r="I644" s="15" t="s">
        <v>194</v>
      </c>
      <c r="J644" s="15" t="s">
        <v>1754</v>
      </c>
      <c r="K644" s="15" t="s">
        <v>210</v>
      </c>
      <c r="L644" s="47" t="s">
        <v>474</v>
      </c>
      <c r="M644" s="47" t="str">
        <f t="shared" si="9"/>
        <v>243304</v>
      </c>
      <c r="O644" s="65">
        <v>6</v>
      </c>
      <c r="P644" s="15"/>
    </row>
    <row r="645" spans="1:16" x14ac:dyDescent="0.25">
      <c r="A645" s="15" t="s">
        <v>1328</v>
      </c>
      <c r="B645" s="15" t="s">
        <v>2472</v>
      </c>
      <c r="C645" s="45" t="s">
        <v>80</v>
      </c>
      <c r="D645" s="46" t="s">
        <v>1740</v>
      </c>
      <c r="E645" s="15" t="s">
        <v>233</v>
      </c>
      <c r="F645" s="46">
        <v>1</v>
      </c>
      <c r="H645" s="45" t="s">
        <v>193</v>
      </c>
      <c r="I645" s="15" t="s">
        <v>194</v>
      </c>
      <c r="J645" s="15" t="s">
        <v>1759</v>
      </c>
      <c r="K645" s="15" t="s">
        <v>210</v>
      </c>
      <c r="L645" s="47" t="s">
        <v>474</v>
      </c>
      <c r="M645" s="47" t="str">
        <f t="shared" ref="M645:M708" si="10">MID(L645,8,6)</f>
        <v>243304</v>
      </c>
      <c r="O645" s="65">
        <v>7</v>
      </c>
      <c r="P645" s="15"/>
    </row>
    <row r="646" spans="1:16" x14ac:dyDescent="0.25">
      <c r="A646" s="15" t="s">
        <v>1390</v>
      </c>
      <c r="B646" s="15" t="s">
        <v>2473</v>
      </c>
      <c r="C646" s="45" t="s">
        <v>80</v>
      </c>
      <c r="D646" s="46" t="s">
        <v>1745</v>
      </c>
      <c r="E646" s="15" t="s">
        <v>192</v>
      </c>
      <c r="F646" s="46">
        <v>1</v>
      </c>
      <c r="H646" s="45" t="s">
        <v>193</v>
      </c>
      <c r="I646" s="15" t="s">
        <v>194</v>
      </c>
      <c r="J646" s="15" t="s">
        <v>1772</v>
      </c>
      <c r="K646" s="15" t="s">
        <v>1392</v>
      </c>
      <c r="L646" s="47" t="s">
        <v>474</v>
      </c>
      <c r="M646" s="47" t="str">
        <f t="shared" si="10"/>
        <v>243304</v>
      </c>
      <c r="O646" s="65">
        <v>8</v>
      </c>
      <c r="P646" s="15"/>
    </row>
    <row r="647" spans="1:16" s="42" customFormat="1" ht="14.25" x14ac:dyDescent="0.2">
      <c r="C647" s="42" t="s">
        <v>100</v>
      </c>
      <c r="D647" s="43"/>
      <c r="F647" s="43"/>
      <c r="G647" s="43">
        <f>SUM(F648:F653)</f>
        <v>6</v>
      </c>
      <c r="L647" s="44"/>
      <c r="M647" s="44" t="str">
        <f t="shared" si="10"/>
        <v/>
      </c>
      <c r="N647" s="44"/>
      <c r="O647" s="43"/>
    </row>
    <row r="648" spans="1:16" x14ac:dyDescent="0.25">
      <c r="A648" s="15" t="s">
        <v>1920</v>
      </c>
      <c r="B648" s="15" t="s">
        <v>2474</v>
      </c>
      <c r="C648" s="45" t="s">
        <v>100</v>
      </c>
      <c r="D648" s="46" t="s">
        <v>1745</v>
      </c>
      <c r="E648" s="15" t="s">
        <v>192</v>
      </c>
      <c r="F648" s="46">
        <v>1</v>
      </c>
      <c r="H648" s="45" t="s">
        <v>193</v>
      </c>
      <c r="I648" s="15" t="s">
        <v>194</v>
      </c>
      <c r="J648" s="15" t="s">
        <v>1776</v>
      </c>
      <c r="K648" s="15" t="s">
        <v>196</v>
      </c>
      <c r="L648" s="47" t="s">
        <v>429</v>
      </c>
      <c r="M648" s="47" t="str">
        <f t="shared" si="10"/>
        <v>242108</v>
      </c>
      <c r="N648" s="47">
        <v>1</v>
      </c>
      <c r="O648" s="65">
        <v>9</v>
      </c>
      <c r="P648" s="15"/>
    </row>
    <row r="649" spans="1:16" x14ac:dyDescent="0.25">
      <c r="A649" s="15" t="s">
        <v>482</v>
      </c>
      <c r="B649" s="15" t="s">
        <v>2475</v>
      </c>
      <c r="C649" s="45" t="s">
        <v>100</v>
      </c>
      <c r="D649" s="46" t="s">
        <v>1803</v>
      </c>
      <c r="E649" s="15" t="s">
        <v>192</v>
      </c>
      <c r="F649" s="46">
        <v>1</v>
      </c>
      <c r="H649" s="45" t="s">
        <v>193</v>
      </c>
      <c r="I649" s="15" t="s">
        <v>194</v>
      </c>
      <c r="J649" s="15" t="s">
        <v>1754</v>
      </c>
      <c r="K649" s="15" t="s">
        <v>210</v>
      </c>
      <c r="L649" s="47" t="s">
        <v>429</v>
      </c>
      <c r="M649" s="47" t="str">
        <f t="shared" si="10"/>
        <v>242108</v>
      </c>
      <c r="N649" s="47">
        <v>2</v>
      </c>
      <c r="O649" s="65">
        <v>510</v>
      </c>
      <c r="P649" s="15"/>
    </row>
    <row r="650" spans="1:16" x14ac:dyDescent="0.25">
      <c r="A650" s="15" t="s">
        <v>527</v>
      </c>
      <c r="B650" s="15" t="s">
        <v>2476</v>
      </c>
      <c r="C650" s="45" t="s">
        <v>100</v>
      </c>
      <c r="D650" s="46" t="s">
        <v>1731</v>
      </c>
      <c r="E650" s="15" t="s">
        <v>192</v>
      </c>
      <c r="F650" s="46">
        <v>1</v>
      </c>
      <c r="H650" s="45" t="s">
        <v>193</v>
      </c>
      <c r="I650" s="15" t="s">
        <v>194</v>
      </c>
      <c r="J650" s="15" t="s">
        <v>1759</v>
      </c>
      <c r="K650" s="15" t="s">
        <v>367</v>
      </c>
      <c r="L650" s="47" t="s">
        <v>429</v>
      </c>
      <c r="M650" s="47" t="str">
        <f t="shared" si="10"/>
        <v>242108</v>
      </c>
      <c r="N650" s="47">
        <v>3</v>
      </c>
      <c r="O650" s="65">
        <v>1</v>
      </c>
      <c r="P650" s="15"/>
    </row>
    <row r="651" spans="1:16" x14ac:dyDescent="0.25">
      <c r="A651" s="15" t="s">
        <v>527</v>
      </c>
      <c r="B651" s="15" t="s">
        <v>2477</v>
      </c>
      <c r="C651" s="45" t="s">
        <v>100</v>
      </c>
      <c r="D651" s="46" t="s">
        <v>1731</v>
      </c>
      <c r="E651" s="15" t="s">
        <v>192</v>
      </c>
      <c r="F651" s="46">
        <v>1</v>
      </c>
      <c r="H651" s="45" t="s">
        <v>193</v>
      </c>
      <c r="I651" s="15" t="s">
        <v>194</v>
      </c>
      <c r="J651" s="15" t="s">
        <v>1759</v>
      </c>
      <c r="K651" s="15" t="s">
        <v>367</v>
      </c>
      <c r="L651" s="47" t="s">
        <v>429</v>
      </c>
      <c r="M651" s="47" t="str">
        <f t="shared" si="10"/>
        <v>242108</v>
      </c>
      <c r="N651" s="47">
        <v>4</v>
      </c>
      <c r="O651" s="65">
        <v>2</v>
      </c>
      <c r="P651" s="15"/>
    </row>
    <row r="652" spans="1:16" x14ac:dyDescent="0.25">
      <c r="A652" s="15" t="s">
        <v>2478</v>
      </c>
      <c r="B652" s="15" t="s">
        <v>2479</v>
      </c>
      <c r="C652" s="45" t="s">
        <v>100</v>
      </c>
      <c r="D652" s="46" t="s">
        <v>1745</v>
      </c>
      <c r="E652" s="15" t="s">
        <v>192</v>
      </c>
      <c r="F652" s="46">
        <v>1</v>
      </c>
      <c r="H652" s="45" t="s">
        <v>193</v>
      </c>
      <c r="I652" s="15" t="s">
        <v>194</v>
      </c>
      <c r="J652" s="15" t="s">
        <v>1772</v>
      </c>
      <c r="K652" s="15" t="s">
        <v>2480</v>
      </c>
      <c r="L652" s="47" t="s">
        <v>429</v>
      </c>
      <c r="M652" s="47" t="str">
        <f t="shared" si="10"/>
        <v>242108</v>
      </c>
      <c r="N652" s="47">
        <v>5</v>
      </c>
      <c r="O652" s="65">
        <v>3</v>
      </c>
      <c r="P652" s="15"/>
    </row>
    <row r="653" spans="1:16" x14ac:dyDescent="0.25">
      <c r="A653" s="15" t="s">
        <v>2481</v>
      </c>
      <c r="B653" s="15" t="s">
        <v>2482</v>
      </c>
      <c r="C653" s="45" t="s">
        <v>100</v>
      </c>
      <c r="D653" s="46" t="s">
        <v>1732</v>
      </c>
      <c r="E653" s="15" t="s">
        <v>192</v>
      </c>
      <c r="F653" s="46">
        <v>1</v>
      </c>
      <c r="H653" s="45" t="s">
        <v>193</v>
      </c>
      <c r="I653" s="15" t="s">
        <v>194</v>
      </c>
      <c r="J653" s="15" t="s">
        <v>1955</v>
      </c>
      <c r="K653" s="15" t="s">
        <v>196</v>
      </c>
      <c r="L653" s="47" t="s">
        <v>429</v>
      </c>
      <c r="M653" s="47" t="str">
        <f t="shared" si="10"/>
        <v>242108</v>
      </c>
      <c r="N653" s="47">
        <v>6</v>
      </c>
      <c r="O653" s="65">
        <v>4</v>
      </c>
      <c r="P653" s="15"/>
    </row>
    <row r="654" spans="1:16" s="42" customFormat="1" ht="14.25" x14ac:dyDescent="0.2">
      <c r="C654" s="42" t="s">
        <v>43</v>
      </c>
      <c r="D654" s="43"/>
      <c r="F654" s="43"/>
      <c r="G654" s="43">
        <f>SUM(F655:F668)</f>
        <v>15</v>
      </c>
      <c r="L654" s="44"/>
      <c r="M654" s="44" t="str">
        <f t="shared" si="10"/>
        <v/>
      </c>
      <c r="N654" s="44"/>
      <c r="O654" s="43"/>
    </row>
    <row r="655" spans="1:16" x14ac:dyDescent="0.25">
      <c r="A655" s="15" t="s">
        <v>1750</v>
      </c>
      <c r="B655" s="15" t="s">
        <v>2483</v>
      </c>
      <c r="C655" s="45" t="s">
        <v>43</v>
      </c>
      <c r="D655" s="46" t="s">
        <v>1736</v>
      </c>
      <c r="E655" s="15" t="s">
        <v>192</v>
      </c>
      <c r="F655" s="46">
        <v>1</v>
      </c>
      <c r="H655" s="45" t="s">
        <v>193</v>
      </c>
      <c r="I655" s="15" t="s">
        <v>194</v>
      </c>
      <c r="J655" s="15" t="s">
        <v>1836</v>
      </c>
      <c r="K655" s="15" t="s">
        <v>210</v>
      </c>
      <c r="L655" s="47" t="s">
        <v>452</v>
      </c>
      <c r="M655" s="47" t="str">
        <f t="shared" si="10"/>
        <v>243106</v>
      </c>
      <c r="N655" s="47">
        <v>1</v>
      </c>
      <c r="O655" s="65">
        <v>5</v>
      </c>
      <c r="P655" s="15"/>
    </row>
    <row r="656" spans="1:16" x14ac:dyDescent="0.25">
      <c r="A656" s="15" t="s">
        <v>2484</v>
      </c>
      <c r="B656" s="15" t="s">
        <v>2485</v>
      </c>
      <c r="C656" s="45" t="s">
        <v>43</v>
      </c>
      <c r="D656" s="46" t="s">
        <v>1740</v>
      </c>
      <c r="E656" s="15" t="s">
        <v>192</v>
      </c>
      <c r="F656" s="46">
        <v>1</v>
      </c>
      <c r="H656" s="45" t="s">
        <v>193</v>
      </c>
      <c r="I656" s="15" t="s">
        <v>193</v>
      </c>
      <c r="J656" s="15" t="s">
        <v>1776</v>
      </c>
      <c r="K656" s="15" t="s">
        <v>223</v>
      </c>
      <c r="L656" s="47" t="s">
        <v>452</v>
      </c>
      <c r="M656" s="47" t="str">
        <f t="shared" si="10"/>
        <v>243106</v>
      </c>
      <c r="N656" s="47">
        <v>2</v>
      </c>
      <c r="O656" s="65">
        <v>6</v>
      </c>
      <c r="P656" s="15"/>
    </row>
    <row r="657" spans="1:16" x14ac:dyDescent="0.25">
      <c r="A657" s="15" t="s">
        <v>2486</v>
      </c>
      <c r="B657" s="15" t="s">
        <v>2487</v>
      </c>
      <c r="C657" s="45" t="s">
        <v>43</v>
      </c>
      <c r="D657" s="46" t="s">
        <v>1736</v>
      </c>
      <c r="E657" s="15" t="s">
        <v>192</v>
      </c>
      <c r="F657" s="46">
        <v>1</v>
      </c>
      <c r="H657" s="45" t="s">
        <v>193</v>
      </c>
      <c r="I657" s="15" t="s">
        <v>194</v>
      </c>
      <c r="J657" s="15" t="s">
        <v>1836</v>
      </c>
      <c r="K657" s="15" t="s">
        <v>196</v>
      </c>
      <c r="L657" s="47" t="s">
        <v>452</v>
      </c>
      <c r="M657" s="47" t="str">
        <f t="shared" si="10"/>
        <v>243106</v>
      </c>
      <c r="N657" s="47">
        <v>3</v>
      </c>
      <c r="O657" s="65">
        <v>7</v>
      </c>
      <c r="P657" s="15"/>
    </row>
    <row r="658" spans="1:16" x14ac:dyDescent="0.25">
      <c r="A658" s="15" t="s">
        <v>2488</v>
      </c>
      <c r="B658" s="15" t="s">
        <v>2489</v>
      </c>
      <c r="C658" s="45" t="s">
        <v>43</v>
      </c>
      <c r="D658" s="46" t="s">
        <v>1745</v>
      </c>
      <c r="E658" s="15" t="s">
        <v>192</v>
      </c>
      <c r="F658" s="46">
        <v>1</v>
      </c>
      <c r="H658" s="45" t="s">
        <v>193</v>
      </c>
      <c r="I658" s="15" t="s">
        <v>194</v>
      </c>
      <c r="J658" s="15" t="s">
        <v>1746</v>
      </c>
      <c r="K658" s="15" t="s">
        <v>327</v>
      </c>
      <c r="L658" s="47" t="s">
        <v>452</v>
      </c>
      <c r="M658" s="47" t="str">
        <f t="shared" si="10"/>
        <v>243106</v>
      </c>
      <c r="N658" s="47">
        <v>4</v>
      </c>
      <c r="O658" s="65">
        <v>8</v>
      </c>
      <c r="P658" s="15"/>
    </row>
    <row r="659" spans="1:16" x14ac:dyDescent="0.25">
      <c r="A659" s="15" t="s">
        <v>629</v>
      </c>
      <c r="B659" s="15" t="s">
        <v>2490</v>
      </c>
      <c r="C659" s="45" t="s">
        <v>43</v>
      </c>
      <c r="D659" s="46" t="s">
        <v>1761</v>
      </c>
      <c r="E659" s="15" t="s">
        <v>192</v>
      </c>
      <c r="F659" s="46">
        <v>1</v>
      </c>
      <c r="H659" s="45" t="s">
        <v>193</v>
      </c>
      <c r="I659" s="15" t="s">
        <v>194</v>
      </c>
      <c r="J659" s="15" t="s">
        <v>1746</v>
      </c>
      <c r="K659" s="15" t="s">
        <v>1302</v>
      </c>
      <c r="L659" s="47" t="s">
        <v>452</v>
      </c>
      <c r="M659" s="47" t="str">
        <f t="shared" si="10"/>
        <v>243106</v>
      </c>
      <c r="N659" s="47">
        <v>5</v>
      </c>
      <c r="O659" s="65">
        <v>9</v>
      </c>
      <c r="P659" s="15"/>
    </row>
    <row r="660" spans="1:16" x14ac:dyDescent="0.25">
      <c r="A660" s="15" t="s">
        <v>1935</v>
      </c>
      <c r="B660" s="15" t="s">
        <v>2491</v>
      </c>
      <c r="C660" s="45" t="s">
        <v>43</v>
      </c>
      <c r="D660" s="46" t="s">
        <v>1803</v>
      </c>
      <c r="E660" s="15" t="s">
        <v>192</v>
      </c>
      <c r="F660" s="46">
        <v>1</v>
      </c>
      <c r="H660" s="45" t="s">
        <v>193</v>
      </c>
      <c r="I660" s="15" t="s">
        <v>194</v>
      </c>
      <c r="J660" s="15" t="s">
        <v>1734</v>
      </c>
      <c r="K660" s="15" t="s">
        <v>253</v>
      </c>
      <c r="L660" s="47" t="s">
        <v>452</v>
      </c>
      <c r="M660" s="47" t="str">
        <f t="shared" si="10"/>
        <v>243106</v>
      </c>
      <c r="N660" s="47">
        <v>6</v>
      </c>
      <c r="O660" s="65">
        <v>520</v>
      </c>
      <c r="P660" s="15"/>
    </row>
    <row r="661" spans="1:16" x14ac:dyDescent="0.25">
      <c r="A661" s="15" t="s">
        <v>751</v>
      </c>
      <c r="B661" s="15" t="s">
        <v>1135</v>
      </c>
      <c r="C661" s="45" t="s">
        <v>43</v>
      </c>
      <c r="D661" s="46" t="s">
        <v>1732</v>
      </c>
      <c r="E661" s="15" t="s">
        <v>192</v>
      </c>
      <c r="F661" s="46">
        <v>2</v>
      </c>
      <c r="H661" s="45" t="s">
        <v>193</v>
      </c>
      <c r="I661" s="15" t="s">
        <v>194</v>
      </c>
      <c r="J661" s="15" t="s">
        <v>1955</v>
      </c>
      <c r="K661" s="15" t="s">
        <v>253</v>
      </c>
      <c r="L661" s="47" t="s">
        <v>452</v>
      </c>
      <c r="M661" s="47" t="str">
        <f t="shared" si="10"/>
        <v>243106</v>
      </c>
      <c r="N661" s="47">
        <v>7</v>
      </c>
      <c r="O661" s="65">
        <v>1</v>
      </c>
      <c r="P661" s="15"/>
    </row>
    <row r="662" spans="1:16" x14ac:dyDescent="0.25">
      <c r="A662" s="15" t="s">
        <v>2063</v>
      </c>
      <c r="B662" s="15" t="s">
        <v>2492</v>
      </c>
      <c r="C662" s="45" t="s">
        <v>43</v>
      </c>
      <c r="D662" s="46" t="s">
        <v>1740</v>
      </c>
      <c r="E662" s="15" t="s">
        <v>192</v>
      </c>
      <c r="F662" s="46">
        <v>1</v>
      </c>
      <c r="H662" s="45" t="s">
        <v>193</v>
      </c>
      <c r="I662" s="15" t="s">
        <v>194</v>
      </c>
      <c r="J662" s="15" t="s">
        <v>1729</v>
      </c>
      <c r="K662" s="15" t="s">
        <v>210</v>
      </c>
      <c r="L662" s="47" t="s">
        <v>452</v>
      </c>
      <c r="M662" s="47" t="str">
        <f t="shared" si="10"/>
        <v>243106</v>
      </c>
      <c r="N662" s="47">
        <v>8</v>
      </c>
      <c r="O662" s="65">
        <v>2</v>
      </c>
      <c r="P662" s="15"/>
    </row>
    <row r="663" spans="1:16" x14ac:dyDescent="0.25">
      <c r="A663" s="15" t="s">
        <v>1850</v>
      </c>
      <c r="B663" s="15" t="s">
        <v>2493</v>
      </c>
      <c r="C663" s="45" t="s">
        <v>43</v>
      </c>
      <c r="D663" s="46" t="s">
        <v>1732</v>
      </c>
      <c r="E663" s="15" t="s">
        <v>192</v>
      </c>
      <c r="F663" s="46">
        <v>1</v>
      </c>
      <c r="H663" s="45" t="s">
        <v>193</v>
      </c>
      <c r="I663" s="15" t="s">
        <v>194</v>
      </c>
      <c r="J663" s="15" t="s">
        <v>1955</v>
      </c>
      <c r="K663" s="15" t="s">
        <v>316</v>
      </c>
      <c r="L663" s="47" t="s">
        <v>452</v>
      </c>
      <c r="M663" s="47" t="str">
        <f t="shared" si="10"/>
        <v>243106</v>
      </c>
      <c r="N663" s="47">
        <v>9</v>
      </c>
      <c r="O663" s="65">
        <v>3</v>
      </c>
      <c r="P663" s="15"/>
    </row>
    <row r="664" spans="1:16" x14ac:dyDescent="0.25">
      <c r="A664" s="15" t="s">
        <v>2135</v>
      </c>
      <c r="B664" s="15" t="s">
        <v>2494</v>
      </c>
      <c r="C664" s="45" t="s">
        <v>43</v>
      </c>
      <c r="D664" s="46" t="s">
        <v>1731</v>
      </c>
      <c r="E664" s="15" t="s">
        <v>192</v>
      </c>
      <c r="F664" s="46">
        <v>1</v>
      </c>
      <c r="H664" s="45" t="s">
        <v>193</v>
      </c>
      <c r="I664" s="15" t="s">
        <v>194</v>
      </c>
      <c r="J664" s="15" t="s">
        <v>1729</v>
      </c>
      <c r="K664" s="15" t="s">
        <v>210</v>
      </c>
      <c r="L664" s="47" t="s">
        <v>452</v>
      </c>
      <c r="M664" s="47" t="str">
        <f t="shared" si="10"/>
        <v>243106</v>
      </c>
      <c r="N664" s="47">
        <v>10</v>
      </c>
      <c r="O664" s="65">
        <v>4</v>
      </c>
      <c r="P664" s="15"/>
    </row>
    <row r="665" spans="1:16" x14ac:dyDescent="0.25">
      <c r="A665" s="15" t="s">
        <v>1621</v>
      </c>
      <c r="B665" s="15" t="s">
        <v>2495</v>
      </c>
      <c r="C665" s="45" t="s">
        <v>43</v>
      </c>
      <c r="D665" s="46" t="s">
        <v>1728</v>
      </c>
      <c r="E665" s="15" t="s">
        <v>192</v>
      </c>
      <c r="F665" s="46">
        <v>1</v>
      </c>
      <c r="H665" s="45" t="s">
        <v>193</v>
      </c>
      <c r="I665" s="15" t="s">
        <v>194</v>
      </c>
      <c r="J665" s="15" t="s">
        <v>1752</v>
      </c>
      <c r="K665" s="15" t="s">
        <v>285</v>
      </c>
      <c r="L665" s="47" t="s">
        <v>452</v>
      </c>
      <c r="M665" s="47" t="str">
        <f t="shared" si="10"/>
        <v>243106</v>
      </c>
      <c r="N665" s="47">
        <v>11</v>
      </c>
      <c r="O665" s="65">
        <v>5</v>
      </c>
      <c r="P665" s="15"/>
    </row>
    <row r="666" spans="1:16" x14ac:dyDescent="0.25">
      <c r="A666" s="15" t="s">
        <v>1376</v>
      </c>
      <c r="B666" s="15" t="s">
        <v>2496</v>
      </c>
      <c r="C666" s="45" t="s">
        <v>43</v>
      </c>
      <c r="D666" s="46" t="s">
        <v>1740</v>
      </c>
      <c r="E666" s="15" t="s">
        <v>192</v>
      </c>
      <c r="F666" s="46">
        <v>1</v>
      </c>
      <c r="H666" s="45" t="s">
        <v>193</v>
      </c>
      <c r="I666" s="15" t="s">
        <v>194</v>
      </c>
      <c r="J666" s="15" t="s">
        <v>1772</v>
      </c>
      <c r="K666" s="15" t="s">
        <v>210</v>
      </c>
      <c r="L666" s="47" t="s">
        <v>452</v>
      </c>
      <c r="M666" s="47" t="str">
        <f t="shared" si="10"/>
        <v>243106</v>
      </c>
      <c r="N666" s="47">
        <v>12</v>
      </c>
      <c r="O666" s="65">
        <v>6</v>
      </c>
      <c r="P666" s="15"/>
    </row>
    <row r="667" spans="1:16" x14ac:dyDescent="0.25">
      <c r="A667" s="15" t="s">
        <v>2497</v>
      </c>
      <c r="B667" s="15" t="s">
        <v>2498</v>
      </c>
      <c r="C667" s="45" t="s">
        <v>43</v>
      </c>
      <c r="D667" s="46" t="s">
        <v>1803</v>
      </c>
      <c r="E667" s="15" t="s">
        <v>233</v>
      </c>
      <c r="F667" s="46">
        <v>1</v>
      </c>
      <c r="H667" s="45" t="s">
        <v>193</v>
      </c>
      <c r="I667" s="15" t="s">
        <v>194</v>
      </c>
      <c r="J667" s="15" t="s">
        <v>1729</v>
      </c>
      <c r="K667" s="15" t="s">
        <v>253</v>
      </c>
      <c r="L667" s="47" t="s">
        <v>452</v>
      </c>
      <c r="M667" s="47" t="str">
        <f t="shared" si="10"/>
        <v>243106</v>
      </c>
      <c r="N667" s="47">
        <v>13</v>
      </c>
      <c r="O667" s="65">
        <v>7</v>
      </c>
      <c r="P667" s="15"/>
    </row>
    <row r="668" spans="1:16" x14ac:dyDescent="0.25">
      <c r="A668" s="3" t="s">
        <v>1750</v>
      </c>
      <c r="B668" s="15" t="s">
        <v>2499</v>
      </c>
      <c r="C668" s="45" t="s">
        <v>43</v>
      </c>
      <c r="D668" s="46" t="s">
        <v>1803</v>
      </c>
      <c r="E668" s="15" t="s">
        <v>192</v>
      </c>
      <c r="F668" s="46">
        <v>1</v>
      </c>
      <c r="H668" s="45" t="s">
        <v>193</v>
      </c>
      <c r="I668" s="15" t="s">
        <v>194</v>
      </c>
      <c r="J668" s="15" t="s">
        <v>1776</v>
      </c>
      <c r="K668" s="15" t="s">
        <v>210</v>
      </c>
      <c r="L668" s="47" t="s">
        <v>452</v>
      </c>
      <c r="M668" s="47" t="str">
        <f t="shared" si="10"/>
        <v>243106</v>
      </c>
      <c r="N668" s="47">
        <v>14</v>
      </c>
      <c r="O668" s="65">
        <v>8</v>
      </c>
      <c r="P668" s="15"/>
    </row>
    <row r="669" spans="1:16" s="42" customFormat="1" ht="14.25" x14ac:dyDescent="0.2">
      <c r="C669" s="42" t="s">
        <v>91</v>
      </c>
      <c r="D669" s="43"/>
      <c r="F669" s="43"/>
      <c r="G669" s="43">
        <f>SUM(F670:F672)</f>
        <v>3</v>
      </c>
      <c r="L669" s="44"/>
      <c r="M669" s="44" t="str">
        <f t="shared" si="10"/>
        <v/>
      </c>
      <c r="N669" s="44"/>
      <c r="O669" s="43"/>
    </row>
    <row r="670" spans="1:16" x14ac:dyDescent="0.25">
      <c r="A670" s="15" t="s">
        <v>540</v>
      </c>
      <c r="B670" s="15" t="s">
        <v>2500</v>
      </c>
      <c r="C670" s="45" t="s">
        <v>91</v>
      </c>
      <c r="D670" s="46" t="s">
        <v>1740</v>
      </c>
      <c r="E670" s="15" t="s">
        <v>252</v>
      </c>
      <c r="F670" s="46">
        <v>1</v>
      </c>
      <c r="H670" s="45" t="s">
        <v>193</v>
      </c>
      <c r="I670" s="15" t="s">
        <v>194</v>
      </c>
      <c r="J670" s="15" t="s">
        <v>1746</v>
      </c>
      <c r="K670" s="15" t="s">
        <v>210</v>
      </c>
      <c r="L670" s="47" t="s">
        <v>1592</v>
      </c>
      <c r="M670" s="47" t="str">
        <f t="shared" si="10"/>
        <v>241103</v>
      </c>
      <c r="O670" s="65">
        <v>9</v>
      </c>
      <c r="P670" s="15"/>
    </row>
    <row r="671" spans="1:16" x14ac:dyDescent="0.25">
      <c r="A671" s="15" t="s">
        <v>540</v>
      </c>
      <c r="B671" s="15" t="s">
        <v>2500</v>
      </c>
      <c r="C671" s="45" t="s">
        <v>91</v>
      </c>
      <c r="D671" s="46" t="s">
        <v>1745</v>
      </c>
      <c r="E671" s="15" t="s">
        <v>252</v>
      </c>
      <c r="F671" s="46">
        <v>1</v>
      </c>
      <c r="H671" s="45" t="s">
        <v>193</v>
      </c>
      <c r="I671" s="15" t="s">
        <v>194</v>
      </c>
      <c r="J671" s="15" t="s">
        <v>1746</v>
      </c>
      <c r="K671" s="15" t="s">
        <v>210</v>
      </c>
      <c r="L671" s="47" t="s">
        <v>1592</v>
      </c>
      <c r="M671" s="47" t="str">
        <f t="shared" si="10"/>
        <v>241103</v>
      </c>
      <c r="O671" s="65">
        <v>530</v>
      </c>
      <c r="P671" s="15"/>
    </row>
    <row r="672" spans="1:16" x14ac:dyDescent="0.25">
      <c r="A672" s="15" t="s">
        <v>349</v>
      </c>
      <c r="B672" s="15" t="s">
        <v>2501</v>
      </c>
      <c r="C672" s="45" t="s">
        <v>2502</v>
      </c>
      <c r="D672" s="46" t="s">
        <v>1803</v>
      </c>
      <c r="E672" s="15" t="s">
        <v>192</v>
      </c>
      <c r="F672" s="46">
        <v>1</v>
      </c>
      <c r="H672" s="45" t="s">
        <v>193</v>
      </c>
      <c r="I672" s="15" t="s">
        <v>194</v>
      </c>
      <c r="J672" s="15" t="s">
        <v>1759</v>
      </c>
      <c r="K672" s="15" t="s">
        <v>2131</v>
      </c>
      <c r="L672" s="47" t="s">
        <v>2503</v>
      </c>
      <c r="M672" s="47" t="str">
        <f t="shared" si="10"/>
        <v>241104</v>
      </c>
      <c r="O672" s="65">
        <v>1</v>
      </c>
      <c r="P672" s="15"/>
    </row>
    <row r="673" spans="1:16" s="42" customFormat="1" ht="14.25" x14ac:dyDescent="0.2">
      <c r="C673" s="42" t="s">
        <v>18</v>
      </c>
      <c r="D673" s="43"/>
      <c r="F673" s="43"/>
      <c r="G673" s="43">
        <f>SUM(F674:F676)</f>
        <v>12</v>
      </c>
      <c r="L673" s="44"/>
      <c r="M673" s="44" t="str">
        <f t="shared" si="10"/>
        <v/>
      </c>
      <c r="N673" s="44"/>
      <c r="O673" s="43"/>
    </row>
    <row r="674" spans="1:16" x14ac:dyDescent="0.25">
      <c r="A674" s="15" t="s">
        <v>2504</v>
      </c>
      <c r="B674" s="15" t="s">
        <v>2505</v>
      </c>
      <c r="C674" s="45" t="s">
        <v>18</v>
      </c>
      <c r="D674" s="46" t="s">
        <v>1779</v>
      </c>
      <c r="E674" s="15" t="s">
        <v>233</v>
      </c>
      <c r="F674" s="46">
        <v>1</v>
      </c>
      <c r="H674" s="45" t="s">
        <v>193</v>
      </c>
      <c r="I674" s="15" t="s">
        <v>194</v>
      </c>
      <c r="J674" s="15" t="s">
        <v>1915</v>
      </c>
      <c r="K674" s="15" t="s">
        <v>2506</v>
      </c>
      <c r="L674" s="47" t="s">
        <v>1476</v>
      </c>
      <c r="M674" s="47" t="str">
        <f t="shared" si="10"/>
        <v>242309</v>
      </c>
      <c r="O674" s="65">
        <v>2</v>
      </c>
      <c r="P674" s="15"/>
    </row>
    <row r="675" spans="1:16" x14ac:dyDescent="0.25">
      <c r="A675" s="15" t="s">
        <v>2504</v>
      </c>
      <c r="B675" s="15" t="s">
        <v>2505</v>
      </c>
      <c r="C675" s="45" t="s">
        <v>18</v>
      </c>
      <c r="D675" s="46" t="s">
        <v>1736</v>
      </c>
      <c r="E675" s="15" t="s">
        <v>233</v>
      </c>
      <c r="F675" s="46">
        <v>1</v>
      </c>
      <c r="H675" s="45" t="s">
        <v>193</v>
      </c>
      <c r="I675" s="15" t="s">
        <v>194</v>
      </c>
      <c r="J675" s="15" t="s">
        <v>1746</v>
      </c>
      <c r="K675" s="15" t="s">
        <v>2506</v>
      </c>
      <c r="L675" s="47" t="s">
        <v>1476</v>
      </c>
      <c r="M675" s="47" t="str">
        <f t="shared" si="10"/>
        <v>242309</v>
      </c>
      <c r="O675" s="65">
        <v>3</v>
      </c>
      <c r="P675" s="15"/>
    </row>
    <row r="676" spans="1:16" x14ac:dyDescent="0.25">
      <c r="A676" s="15" t="s">
        <v>1340</v>
      </c>
      <c r="B676" s="15" t="s">
        <v>2507</v>
      </c>
      <c r="C676" s="45" t="s">
        <v>18</v>
      </c>
      <c r="D676" s="46" t="s">
        <v>1732</v>
      </c>
      <c r="E676" s="15" t="s">
        <v>192</v>
      </c>
      <c r="F676" s="46">
        <v>10</v>
      </c>
      <c r="H676" s="45" t="s">
        <v>193</v>
      </c>
      <c r="I676" s="15" t="s">
        <v>194</v>
      </c>
      <c r="J676" s="15" t="s">
        <v>1764</v>
      </c>
      <c r="K676" s="15" t="s">
        <v>210</v>
      </c>
      <c r="L676" s="47" t="s">
        <v>1476</v>
      </c>
      <c r="M676" s="47" t="str">
        <f t="shared" si="10"/>
        <v>242309</v>
      </c>
      <c r="O676" s="65">
        <v>4</v>
      </c>
      <c r="P676" s="15"/>
    </row>
    <row r="677" spans="1:16" s="42" customFormat="1" ht="14.25" x14ac:dyDescent="0.2">
      <c r="C677" s="42" t="s">
        <v>85</v>
      </c>
      <c r="D677" s="43"/>
      <c r="F677" s="43"/>
      <c r="G677" s="43">
        <f>SUM(F678:F686)</f>
        <v>9</v>
      </c>
      <c r="L677" s="44"/>
      <c r="M677" s="44" t="str">
        <f t="shared" si="10"/>
        <v/>
      </c>
      <c r="N677" s="44"/>
      <c r="O677" s="43"/>
    </row>
    <row r="678" spans="1:16" x14ac:dyDescent="0.25">
      <c r="A678" s="15" t="s">
        <v>527</v>
      </c>
      <c r="B678" s="15" t="s">
        <v>2508</v>
      </c>
      <c r="C678" s="45" t="s">
        <v>85</v>
      </c>
      <c r="D678" s="46" t="s">
        <v>1761</v>
      </c>
      <c r="E678" s="15" t="s">
        <v>233</v>
      </c>
      <c r="F678" s="46">
        <v>1</v>
      </c>
      <c r="H678" s="45" t="s">
        <v>193</v>
      </c>
      <c r="I678" s="15" t="s">
        <v>194</v>
      </c>
      <c r="J678" s="15" t="s">
        <v>1759</v>
      </c>
      <c r="K678" s="15" t="s">
        <v>367</v>
      </c>
      <c r="L678" s="47" t="s">
        <v>477</v>
      </c>
      <c r="M678" s="47" t="str">
        <f t="shared" si="10"/>
        <v>243305</v>
      </c>
      <c r="O678" s="65">
        <v>5</v>
      </c>
      <c r="P678" s="15"/>
    </row>
    <row r="679" spans="1:16" x14ac:dyDescent="0.25">
      <c r="A679" s="15" t="s">
        <v>2509</v>
      </c>
      <c r="B679" s="15" t="s">
        <v>2510</v>
      </c>
      <c r="C679" s="45" t="s">
        <v>85</v>
      </c>
      <c r="D679" s="46" t="s">
        <v>1731</v>
      </c>
      <c r="E679" s="15" t="s">
        <v>192</v>
      </c>
      <c r="F679" s="46">
        <v>1</v>
      </c>
      <c r="H679" s="45" t="s">
        <v>193</v>
      </c>
      <c r="I679" s="15" t="s">
        <v>194</v>
      </c>
      <c r="J679" s="15" t="s">
        <v>1759</v>
      </c>
      <c r="K679" s="15" t="s">
        <v>223</v>
      </c>
      <c r="L679" s="47" t="s">
        <v>477</v>
      </c>
      <c r="M679" s="47" t="str">
        <f t="shared" si="10"/>
        <v>243305</v>
      </c>
      <c r="O679" s="65">
        <v>6</v>
      </c>
      <c r="P679" s="15"/>
    </row>
    <row r="680" spans="1:16" x14ac:dyDescent="0.25">
      <c r="A680" s="15" t="s">
        <v>2511</v>
      </c>
      <c r="B680" s="15" t="s">
        <v>2512</v>
      </c>
      <c r="C680" s="45" t="s">
        <v>85</v>
      </c>
      <c r="D680" s="46" t="s">
        <v>1740</v>
      </c>
      <c r="E680" s="15" t="s">
        <v>192</v>
      </c>
      <c r="F680" s="46">
        <v>1</v>
      </c>
      <c r="H680" s="45" t="s">
        <v>193</v>
      </c>
      <c r="I680" s="15" t="s">
        <v>194</v>
      </c>
      <c r="J680" s="15" t="s">
        <v>1772</v>
      </c>
      <c r="K680" s="15" t="s">
        <v>210</v>
      </c>
      <c r="L680" s="47" t="s">
        <v>477</v>
      </c>
      <c r="M680" s="47" t="str">
        <f t="shared" si="10"/>
        <v>243305</v>
      </c>
      <c r="O680" s="65">
        <v>7</v>
      </c>
      <c r="P680" s="15"/>
    </row>
    <row r="681" spans="1:16" x14ac:dyDescent="0.25">
      <c r="A681" s="15" t="s">
        <v>2513</v>
      </c>
      <c r="B681" s="15" t="s">
        <v>2514</v>
      </c>
      <c r="C681" s="45" t="s">
        <v>85</v>
      </c>
      <c r="D681" s="46" t="s">
        <v>1740</v>
      </c>
      <c r="E681" s="15" t="s">
        <v>192</v>
      </c>
      <c r="F681" s="46">
        <v>1</v>
      </c>
      <c r="H681" s="45" t="s">
        <v>193</v>
      </c>
      <c r="I681" s="15" t="s">
        <v>194</v>
      </c>
      <c r="J681" s="15" t="s">
        <v>1772</v>
      </c>
      <c r="K681" s="15" t="s">
        <v>210</v>
      </c>
      <c r="L681" s="47" t="s">
        <v>477</v>
      </c>
      <c r="M681" s="47" t="str">
        <f t="shared" si="10"/>
        <v>243305</v>
      </c>
      <c r="O681" s="65">
        <v>8</v>
      </c>
      <c r="P681" s="15"/>
    </row>
    <row r="682" spans="1:16" x14ac:dyDescent="0.25">
      <c r="A682" s="15" t="s">
        <v>2515</v>
      </c>
      <c r="B682" s="15" t="s">
        <v>2516</v>
      </c>
      <c r="C682" s="45" t="s">
        <v>85</v>
      </c>
      <c r="D682" s="46" t="s">
        <v>1740</v>
      </c>
      <c r="E682" s="15" t="s">
        <v>192</v>
      </c>
      <c r="F682" s="46">
        <v>1</v>
      </c>
      <c r="H682" s="45" t="s">
        <v>193</v>
      </c>
      <c r="I682" s="15" t="s">
        <v>194</v>
      </c>
      <c r="J682" s="15" t="s">
        <v>1762</v>
      </c>
      <c r="K682" s="15" t="s">
        <v>210</v>
      </c>
      <c r="L682" s="47" t="s">
        <v>477</v>
      </c>
      <c r="M682" s="47" t="str">
        <f t="shared" si="10"/>
        <v>243305</v>
      </c>
      <c r="O682" s="65">
        <v>9</v>
      </c>
      <c r="P682" s="15"/>
    </row>
    <row r="683" spans="1:16" x14ac:dyDescent="0.25">
      <c r="A683" s="15" t="s">
        <v>2517</v>
      </c>
      <c r="B683" s="15" t="s">
        <v>2516</v>
      </c>
      <c r="C683" s="45" t="s">
        <v>85</v>
      </c>
      <c r="D683" s="46" t="s">
        <v>1745</v>
      </c>
      <c r="E683" s="15" t="s">
        <v>192</v>
      </c>
      <c r="F683" s="46">
        <v>1</v>
      </c>
      <c r="H683" s="45" t="s">
        <v>193</v>
      </c>
      <c r="I683" s="15" t="s">
        <v>194</v>
      </c>
      <c r="J683" s="15" t="s">
        <v>1762</v>
      </c>
      <c r="K683" s="15" t="s">
        <v>210</v>
      </c>
      <c r="L683" s="47" t="s">
        <v>477</v>
      </c>
      <c r="M683" s="47" t="str">
        <f t="shared" si="10"/>
        <v>243305</v>
      </c>
      <c r="O683" s="65">
        <v>540</v>
      </c>
      <c r="P683" s="15"/>
    </row>
    <row r="684" spans="1:16" x14ac:dyDescent="0.25">
      <c r="A684" s="15" t="s">
        <v>629</v>
      </c>
      <c r="B684" s="15" t="s">
        <v>2518</v>
      </c>
      <c r="C684" s="45" t="s">
        <v>85</v>
      </c>
      <c r="D684" s="46" t="s">
        <v>1740</v>
      </c>
      <c r="E684" s="15" t="s">
        <v>192</v>
      </c>
      <c r="F684" s="46">
        <v>1</v>
      </c>
      <c r="H684" s="45" t="s">
        <v>193</v>
      </c>
      <c r="I684" s="15" t="s">
        <v>194</v>
      </c>
      <c r="J684" s="15" t="s">
        <v>1762</v>
      </c>
      <c r="K684" s="15" t="s">
        <v>2519</v>
      </c>
      <c r="L684" s="47" t="s">
        <v>477</v>
      </c>
      <c r="M684" s="47" t="str">
        <f t="shared" si="10"/>
        <v>243305</v>
      </c>
      <c r="O684" s="65">
        <v>1</v>
      </c>
      <c r="P684" s="15"/>
    </row>
    <row r="685" spans="1:16" x14ac:dyDescent="0.25">
      <c r="A685" s="15" t="s">
        <v>540</v>
      </c>
      <c r="B685" s="15" t="s">
        <v>1288</v>
      </c>
      <c r="C685" s="45" t="s">
        <v>85</v>
      </c>
      <c r="D685" s="46" t="s">
        <v>1761</v>
      </c>
      <c r="E685" s="15" t="s">
        <v>217</v>
      </c>
      <c r="F685" s="46">
        <v>1</v>
      </c>
      <c r="H685" s="45" t="s">
        <v>193</v>
      </c>
      <c r="I685" s="15" t="s">
        <v>194</v>
      </c>
      <c r="J685" s="15" t="s">
        <v>1762</v>
      </c>
      <c r="K685" s="15" t="s">
        <v>408</v>
      </c>
      <c r="L685" s="47" t="s">
        <v>477</v>
      </c>
      <c r="M685" s="47" t="str">
        <f t="shared" si="10"/>
        <v>243305</v>
      </c>
      <c r="O685" s="65">
        <v>2</v>
      </c>
      <c r="P685" s="15"/>
    </row>
    <row r="686" spans="1:16" x14ac:dyDescent="0.25">
      <c r="A686" s="15" t="s">
        <v>1837</v>
      </c>
      <c r="B686" s="15" t="s">
        <v>2520</v>
      </c>
      <c r="C686" s="45" t="s">
        <v>85</v>
      </c>
      <c r="D686" s="46" t="s">
        <v>1740</v>
      </c>
      <c r="E686" s="15" t="s">
        <v>233</v>
      </c>
      <c r="F686" s="46">
        <v>1</v>
      </c>
      <c r="H686" s="45" t="s">
        <v>193</v>
      </c>
      <c r="I686" s="15" t="s">
        <v>194</v>
      </c>
      <c r="J686" s="15" t="s">
        <v>1762</v>
      </c>
      <c r="K686" s="15" t="s">
        <v>1840</v>
      </c>
      <c r="L686" s="47" t="s">
        <v>477</v>
      </c>
      <c r="M686" s="47" t="str">
        <f t="shared" si="10"/>
        <v>243305</v>
      </c>
      <c r="O686" s="65">
        <v>3</v>
      </c>
      <c r="P686" s="15"/>
    </row>
    <row r="687" spans="1:16" s="42" customFormat="1" ht="14.25" x14ac:dyDescent="0.2">
      <c r="C687" s="42" t="s">
        <v>120</v>
      </c>
      <c r="D687" s="43"/>
      <c r="F687" s="43"/>
      <c r="G687" s="43">
        <f>SUM(F688)</f>
        <v>1</v>
      </c>
      <c r="L687" s="44"/>
      <c r="M687" s="44" t="str">
        <f t="shared" si="10"/>
        <v/>
      </c>
      <c r="N687" s="44"/>
      <c r="O687" s="43"/>
    </row>
    <row r="688" spans="1:16" x14ac:dyDescent="0.25">
      <c r="A688" s="15" t="s">
        <v>615</v>
      </c>
      <c r="B688" s="15" t="s">
        <v>2521</v>
      </c>
      <c r="C688" s="45" t="s">
        <v>423</v>
      </c>
      <c r="D688" s="46" t="s">
        <v>1740</v>
      </c>
      <c r="E688" s="15" t="s">
        <v>233</v>
      </c>
      <c r="F688" s="46">
        <v>1</v>
      </c>
      <c r="H688" s="45" t="s">
        <v>193</v>
      </c>
      <c r="I688" s="15" t="s">
        <v>194</v>
      </c>
      <c r="J688" s="15" t="s">
        <v>1762</v>
      </c>
      <c r="K688" s="15" t="s">
        <v>210</v>
      </c>
      <c r="L688" s="47" t="s">
        <v>424</v>
      </c>
      <c r="M688" s="47" t="str">
        <f t="shared" si="10"/>
        <v>241307</v>
      </c>
      <c r="O688" s="65">
        <v>4</v>
      </c>
      <c r="P688" s="15"/>
    </row>
    <row r="689" spans="1:16" s="42" customFormat="1" ht="14.25" x14ac:dyDescent="0.2">
      <c r="C689" s="42" t="s">
        <v>20</v>
      </c>
      <c r="D689" s="43"/>
      <c r="F689" s="43"/>
      <c r="G689" s="43">
        <f>SUM(F690:F699)</f>
        <v>10</v>
      </c>
      <c r="L689" s="44"/>
      <c r="M689" s="44" t="str">
        <f t="shared" si="10"/>
        <v/>
      </c>
      <c r="N689" s="44"/>
      <c r="O689" s="43"/>
    </row>
    <row r="690" spans="1:16" x14ac:dyDescent="0.25">
      <c r="A690" s="15" t="s">
        <v>1904</v>
      </c>
      <c r="B690" s="15" t="s">
        <v>2522</v>
      </c>
      <c r="C690" s="45" t="s">
        <v>284</v>
      </c>
      <c r="D690" s="46" t="s">
        <v>1728</v>
      </c>
      <c r="E690" s="15" t="s">
        <v>192</v>
      </c>
      <c r="F690" s="46">
        <v>1</v>
      </c>
      <c r="H690" s="45" t="s">
        <v>193</v>
      </c>
      <c r="I690" s="15" t="s">
        <v>194</v>
      </c>
      <c r="J690" s="15" t="s">
        <v>1746</v>
      </c>
      <c r="K690" s="15" t="s">
        <v>575</v>
      </c>
      <c r="L690" s="47" t="s">
        <v>286</v>
      </c>
      <c r="M690" s="47" t="str">
        <f t="shared" si="10"/>
        <v>214109</v>
      </c>
      <c r="N690" s="47">
        <v>1</v>
      </c>
      <c r="O690" s="65">
        <v>5</v>
      </c>
      <c r="P690" s="15"/>
    </row>
    <row r="691" spans="1:16" x14ac:dyDescent="0.25">
      <c r="A691" s="15" t="s">
        <v>1904</v>
      </c>
      <c r="B691" s="15" t="s">
        <v>2523</v>
      </c>
      <c r="C691" s="45" t="s">
        <v>284</v>
      </c>
      <c r="D691" s="46" t="s">
        <v>1740</v>
      </c>
      <c r="E691" s="15" t="s">
        <v>192</v>
      </c>
      <c r="F691" s="46">
        <v>1</v>
      </c>
      <c r="H691" s="45" t="s">
        <v>193</v>
      </c>
      <c r="I691" s="15" t="s">
        <v>194</v>
      </c>
      <c r="J691" s="15" t="s">
        <v>1796</v>
      </c>
      <c r="K691" s="15" t="s">
        <v>575</v>
      </c>
      <c r="L691" s="47" t="s">
        <v>286</v>
      </c>
      <c r="M691" s="47" t="str">
        <f t="shared" si="10"/>
        <v>214109</v>
      </c>
      <c r="N691" s="47">
        <v>2</v>
      </c>
      <c r="O691" s="65">
        <v>6</v>
      </c>
      <c r="P691" s="15"/>
    </row>
    <row r="692" spans="1:16" x14ac:dyDescent="0.25">
      <c r="A692" s="15" t="s">
        <v>2200</v>
      </c>
      <c r="B692" s="15" t="s">
        <v>2523</v>
      </c>
      <c r="C692" s="45" t="s">
        <v>284</v>
      </c>
      <c r="D692" s="46" t="s">
        <v>1731</v>
      </c>
      <c r="E692" s="15" t="s">
        <v>192</v>
      </c>
      <c r="F692" s="46">
        <v>1</v>
      </c>
      <c r="H692" s="45" t="s">
        <v>193</v>
      </c>
      <c r="I692" s="15" t="s">
        <v>194</v>
      </c>
      <c r="J692" s="15" t="s">
        <v>1796</v>
      </c>
      <c r="K692" s="15" t="s">
        <v>2201</v>
      </c>
      <c r="L692" s="47" t="s">
        <v>286</v>
      </c>
      <c r="M692" s="47" t="str">
        <f t="shared" si="10"/>
        <v>214109</v>
      </c>
      <c r="N692" s="47">
        <v>3</v>
      </c>
      <c r="O692" s="65">
        <v>7</v>
      </c>
      <c r="P692" s="15"/>
    </row>
    <row r="693" spans="1:16" x14ac:dyDescent="0.25">
      <c r="A693" s="15" t="s">
        <v>1923</v>
      </c>
      <c r="B693" s="15" t="s">
        <v>2524</v>
      </c>
      <c r="C693" s="45" t="s">
        <v>284</v>
      </c>
      <c r="D693" s="46" t="s">
        <v>1761</v>
      </c>
      <c r="E693" s="15" t="s">
        <v>192</v>
      </c>
      <c r="F693" s="46">
        <v>1</v>
      </c>
      <c r="H693" s="45" t="s">
        <v>193</v>
      </c>
      <c r="I693" s="15" t="s">
        <v>194</v>
      </c>
      <c r="J693" s="15" t="s">
        <v>1796</v>
      </c>
      <c r="K693" s="15" t="s">
        <v>285</v>
      </c>
      <c r="L693" s="47" t="s">
        <v>286</v>
      </c>
      <c r="M693" s="47" t="str">
        <f t="shared" si="10"/>
        <v>214109</v>
      </c>
      <c r="N693" s="47">
        <v>4</v>
      </c>
      <c r="O693" s="65">
        <v>8</v>
      </c>
      <c r="P693" s="15"/>
    </row>
    <row r="694" spans="1:16" x14ac:dyDescent="0.25">
      <c r="A694" s="15" t="s">
        <v>1126</v>
      </c>
      <c r="B694" s="15" t="s">
        <v>1377</v>
      </c>
      <c r="C694" s="45" t="s">
        <v>284</v>
      </c>
      <c r="D694" s="46" t="s">
        <v>1803</v>
      </c>
      <c r="E694" s="15" t="s">
        <v>217</v>
      </c>
      <c r="F694" s="46">
        <v>1</v>
      </c>
      <c r="H694" s="45" t="s">
        <v>193</v>
      </c>
      <c r="I694" s="15" t="s">
        <v>194</v>
      </c>
      <c r="J694" s="15" t="s">
        <v>1762</v>
      </c>
      <c r="K694" s="15" t="s">
        <v>976</v>
      </c>
      <c r="L694" s="47" t="s">
        <v>286</v>
      </c>
      <c r="M694" s="47" t="str">
        <f t="shared" si="10"/>
        <v>214109</v>
      </c>
      <c r="N694" s="47">
        <v>5</v>
      </c>
      <c r="O694" s="65">
        <v>9</v>
      </c>
      <c r="P694" s="15"/>
    </row>
    <row r="695" spans="1:16" x14ac:dyDescent="0.25">
      <c r="A695" s="15" t="s">
        <v>800</v>
      </c>
      <c r="B695" s="15" t="s">
        <v>2525</v>
      </c>
      <c r="C695" s="45" t="s">
        <v>284</v>
      </c>
      <c r="D695" s="46" t="s">
        <v>1740</v>
      </c>
      <c r="E695" s="15" t="s">
        <v>192</v>
      </c>
      <c r="F695" s="46">
        <v>1</v>
      </c>
      <c r="H695" s="45" t="s">
        <v>193</v>
      </c>
      <c r="I695" s="15" t="s">
        <v>194</v>
      </c>
      <c r="J695" s="15" t="s">
        <v>1915</v>
      </c>
      <c r="K695" s="15" t="s">
        <v>473</v>
      </c>
      <c r="L695" s="47" t="s">
        <v>286</v>
      </c>
      <c r="M695" s="47" t="str">
        <f t="shared" si="10"/>
        <v>214109</v>
      </c>
      <c r="N695" s="47">
        <v>6</v>
      </c>
      <c r="O695" s="65">
        <v>550</v>
      </c>
      <c r="P695" s="15"/>
    </row>
    <row r="696" spans="1:16" x14ac:dyDescent="0.25">
      <c r="A696" s="15" t="s">
        <v>369</v>
      </c>
      <c r="B696" s="15" t="s">
        <v>2526</v>
      </c>
      <c r="C696" s="45" t="s">
        <v>284</v>
      </c>
      <c r="D696" s="46" t="s">
        <v>1761</v>
      </c>
      <c r="E696" s="15" t="s">
        <v>192</v>
      </c>
      <c r="F696" s="46">
        <v>1</v>
      </c>
      <c r="H696" s="45" t="s">
        <v>193</v>
      </c>
      <c r="I696" s="15" t="s">
        <v>194</v>
      </c>
      <c r="J696" s="15" t="s">
        <v>1762</v>
      </c>
      <c r="K696" s="15" t="s">
        <v>210</v>
      </c>
      <c r="L696" s="47" t="s">
        <v>286</v>
      </c>
      <c r="M696" s="47" t="str">
        <f t="shared" si="10"/>
        <v>214109</v>
      </c>
      <c r="N696" s="47">
        <v>7</v>
      </c>
      <c r="O696" s="65">
        <v>1</v>
      </c>
      <c r="P696" s="15"/>
    </row>
    <row r="697" spans="1:16" x14ac:dyDescent="0.25">
      <c r="A697" s="15" t="s">
        <v>2527</v>
      </c>
      <c r="B697" s="15" t="s">
        <v>2528</v>
      </c>
      <c r="C697" s="45" t="s">
        <v>284</v>
      </c>
      <c r="D697" s="46" t="s">
        <v>1761</v>
      </c>
      <c r="E697" s="15" t="s">
        <v>192</v>
      </c>
      <c r="F697" s="46">
        <v>1</v>
      </c>
      <c r="H697" s="45" t="s">
        <v>193</v>
      </c>
      <c r="I697" s="15" t="s">
        <v>194</v>
      </c>
      <c r="J697" s="15" t="s">
        <v>1752</v>
      </c>
      <c r="K697" s="15" t="s">
        <v>238</v>
      </c>
      <c r="L697" s="47" t="s">
        <v>286</v>
      </c>
      <c r="M697" s="47" t="str">
        <f t="shared" si="10"/>
        <v>214109</v>
      </c>
      <c r="N697" s="47">
        <v>8</v>
      </c>
      <c r="O697" s="65">
        <v>2</v>
      </c>
      <c r="P697" s="15"/>
    </row>
    <row r="698" spans="1:16" x14ac:dyDescent="0.25">
      <c r="A698" s="15" t="s">
        <v>1483</v>
      </c>
      <c r="B698" s="15" t="s">
        <v>2529</v>
      </c>
      <c r="C698" s="45" t="s">
        <v>284</v>
      </c>
      <c r="D698" s="46" t="s">
        <v>1740</v>
      </c>
      <c r="E698" s="15" t="s">
        <v>192</v>
      </c>
      <c r="F698" s="46">
        <v>1</v>
      </c>
      <c r="H698" s="45" t="s">
        <v>193</v>
      </c>
      <c r="I698" s="15" t="s">
        <v>194</v>
      </c>
      <c r="J698" s="15" t="s">
        <v>1772</v>
      </c>
      <c r="K698" s="15" t="s">
        <v>210</v>
      </c>
      <c r="L698" s="47" t="s">
        <v>286</v>
      </c>
      <c r="M698" s="47" t="str">
        <f t="shared" si="10"/>
        <v>214109</v>
      </c>
      <c r="N698" s="47">
        <v>9</v>
      </c>
      <c r="O698" s="65">
        <v>3</v>
      </c>
      <c r="P698" s="15"/>
    </row>
    <row r="699" spans="1:16" x14ac:dyDescent="0.25">
      <c r="A699" s="15" t="s">
        <v>2530</v>
      </c>
      <c r="B699" s="15" t="s">
        <v>2531</v>
      </c>
      <c r="C699" s="45" t="s">
        <v>284</v>
      </c>
      <c r="D699" s="46" t="s">
        <v>1745</v>
      </c>
      <c r="E699" s="15" t="s">
        <v>192</v>
      </c>
      <c r="F699" s="46">
        <v>1</v>
      </c>
      <c r="H699" s="45" t="s">
        <v>193</v>
      </c>
      <c r="I699" s="15" t="s">
        <v>194</v>
      </c>
      <c r="J699" s="15" t="s">
        <v>1762</v>
      </c>
      <c r="K699" s="15" t="s">
        <v>2532</v>
      </c>
      <c r="L699" s="47" t="s">
        <v>286</v>
      </c>
      <c r="M699" s="47" t="str">
        <f t="shared" si="10"/>
        <v>214109</v>
      </c>
      <c r="N699" s="47">
        <v>10</v>
      </c>
      <c r="O699" s="65">
        <v>4</v>
      </c>
      <c r="P699" s="15"/>
    </row>
    <row r="700" spans="1:16" s="42" customFormat="1" ht="14.25" x14ac:dyDescent="0.2">
      <c r="C700" s="42" t="s">
        <v>123</v>
      </c>
      <c r="D700" s="43"/>
      <c r="F700" s="43"/>
      <c r="G700" s="43">
        <f>SUM(F701)</f>
        <v>1</v>
      </c>
      <c r="L700" s="44"/>
      <c r="M700" s="44" t="str">
        <f t="shared" si="10"/>
        <v/>
      </c>
      <c r="N700" s="44"/>
      <c r="O700" s="43"/>
    </row>
    <row r="701" spans="1:16" x14ac:dyDescent="0.25">
      <c r="A701" s="15" t="s">
        <v>1787</v>
      </c>
      <c r="B701" s="15" t="s">
        <v>2533</v>
      </c>
      <c r="C701" s="45" t="s">
        <v>123</v>
      </c>
      <c r="D701" s="46" t="s">
        <v>1740</v>
      </c>
      <c r="E701" s="15" t="s">
        <v>192</v>
      </c>
      <c r="F701" s="46">
        <v>1</v>
      </c>
      <c r="H701" s="45" t="s">
        <v>193</v>
      </c>
      <c r="I701" s="15" t="s">
        <v>194</v>
      </c>
      <c r="J701" s="15" t="s">
        <v>1762</v>
      </c>
      <c r="K701" s="15" t="s">
        <v>253</v>
      </c>
      <c r="L701" s="47" t="s">
        <v>2534</v>
      </c>
      <c r="M701" s="47" t="str">
        <f t="shared" si="10"/>
        <v>241310</v>
      </c>
      <c r="O701" s="65">
        <v>5</v>
      </c>
      <c r="P701" s="15"/>
    </row>
    <row r="702" spans="1:16" s="42" customFormat="1" ht="14.25" x14ac:dyDescent="0.2">
      <c r="C702" s="42" t="s">
        <v>119</v>
      </c>
      <c r="D702" s="43"/>
      <c r="F702" s="43"/>
      <c r="G702" s="43">
        <f>SUM(F703:F705)</f>
        <v>3</v>
      </c>
      <c r="L702" s="44"/>
      <c r="M702" s="44" t="str">
        <f t="shared" si="10"/>
        <v/>
      </c>
      <c r="N702" s="44"/>
      <c r="O702" s="43"/>
    </row>
    <row r="703" spans="1:16" x14ac:dyDescent="0.25">
      <c r="A703" s="15" t="s">
        <v>674</v>
      </c>
      <c r="B703" s="15" t="s">
        <v>675</v>
      </c>
      <c r="C703" s="45" t="s">
        <v>119</v>
      </c>
      <c r="D703" s="46" t="s">
        <v>1731</v>
      </c>
      <c r="E703" s="15" t="s">
        <v>192</v>
      </c>
      <c r="F703" s="46">
        <v>1</v>
      </c>
      <c r="H703" s="45" t="s">
        <v>193</v>
      </c>
      <c r="I703" s="15" t="s">
        <v>194</v>
      </c>
      <c r="J703" s="15" t="s">
        <v>1764</v>
      </c>
      <c r="K703" s="15" t="s">
        <v>210</v>
      </c>
      <c r="L703" s="47" t="s">
        <v>666</v>
      </c>
      <c r="M703" s="47" t="str">
        <f t="shared" si="10"/>
        <v>333105</v>
      </c>
      <c r="O703" s="65">
        <v>6</v>
      </c>
      <c r="P703" s="15"/>
    </row>
    <row r="704" spans="1:16" x14ac:dyDescent="0.25">
      <c r="A704" s="15" t="s">
        <v>1699</v>
      </c>
      <c r="B704" s="15" t="s">
        <v>908</v>
      </c>
      <c r="C704" s="45" t="s">
        <v>119</v>
      </c>
      <c r="D704" s="46" t="s">
        <v>1728</v>
      </c>
      <c r="E704" s="15" t="s">
        <v>192</v>
      </c>
      <c r="F704" s="46">
        <v>1</v>
      </c>
      <c r="H704" s="45" t="s">
        <v>193</v>
      </c>
      <c r="I704" s="15" t="s">
        <v>194</v>
      </c>
      <c r="J704" s="15" t="s">
        <v>1764</v>
      </c>
      <c r="K704" s="15" t="s">
        <v>301</v>
      </c>
      <c r="L704" s="47" t="s">
        <v>666</v>
      </c>
      <c r="M704" s="47" t="str">
        <f t="shared" si="10"/>
        <v>333105</v>
      </c>
      <c r="O704" s="65">
        <v>7</v>
      </c>
      <c r="P704" s="15"/>
    </row>
    <row r="705" spans="1:16" x14ac:dyDescent="0.25">
      <c r="A705" s="15" t="s">
        <v>2535</v>
      </c>
      <c r="B705" s="15" t="s">
        <v>2536</v>
      </c>
      <c r="C705" s="45" t="s">
        <v>119</v>
      </c>
      <c r="D705" s="46" t="s">
        <v>1740</v>
      </c>
      <c r="E705" s="15" t="s">
        <v>192</v>
      </c>
      <c r="F705" s="46">
        <v>1</v>
      </c>
      <c r="H705" s="45" t="s">
        <v>193</v>
      </c>
      <c r="I705" s="15" t="s">
        <v>194</v>
      </c>
      <c r="J705" s="15" t="s">
        <v>1764</v>
      </c>
      <c r="K705" s="15" t="s">
        <v>276</v>
      </c>
      <c r="L705" s="47" t="s">
        <v>666</v>
      </c>
      <c r="M705" s="47" t="str">
        <f t="shared" si="10"/>
        <v>333105</v>
      </c>
      <c r="O705" s="65">
        <v>8</v>
      </c>
      <c r="P705" s="15"/>
    </row>
    <row r="706" spans="1:16" s="42" customFormat="1" ht="14.25" x14ac:dyDescent="0.2">
      <c r="C706" s="42" t="s">
        <v>24</v>
      </c>
      <c r="D706" s="43"/>
      <c r="F706" s="43"/>
      <c r="G706" s="43">
        <f>SUM(F707:F708)</f>
        <v>2</v>
      </c>
      <c r="L706" s="44"/>
      <c r="M706" s="44" t="str">
        <f t="shared" si="10"/>
        <v/>
      </c>
      <c r="N706" s="44"/>
      <c r="O706" s="43"/>
    </row>
    <row r="707" spans="1:16" x14ac:dyDescent="0.25">
      <c r="A707" s="15" t="s">
        <v>1885</v>
      </c>
      <c r="B707" s="15" t="s">
        <v>2537</v>
      </c>
      <c r="C707" s="45" t="s">
        <v>24</v>
      </c>
      <c r="D707" s="46" t="s">
        <v>1728</v>
      </c>
      <c r="E707" s="15" t="s">
        <v>192</v>
      </c>
      <c r="F707" s="46">
        <v>1</v>
      </c>
      <c r="H707" s="45" t="s">
        <v>193</v>
      </c>
      <c r="I707" s="15" t="s">
        <v>194</v>
      </c>
      <c r="J707" s="15" t="s">
        <v>1754</v>
      </c>
      <c r="K707" s="15" t="s">
        <v>367</v>
      </c>
      <c r="L707" s="47" t="s">
        <v>2538</v>
      </c>
      <c r="M707" s="47" t="str">
        <f t="shared" si="10"/>
        <v>911207</v>
      </c>
      <c r="O707" s="65">
        <v>9</v>
      </c>
      <c r="P707" s="15"/>
    </row>
    <row r="708" spans="1:16" x14ac:dyDescent="0.25">
      <c r="A708" s="15" t="s">
        <v>1885</v>
      </c>
      <c r="B708" s="15" t="s">
        <v>2539</v>
      </c>
      <c r="C708" s="45" t="s">
        <v>24</v>
      </c>
      <c r="D708" s="46" t="s">
        <v>1728</v>
      </c>
      <c r="E708" s="15" t="s">
        <v>192</v>
      </c>
      <c r="F708" s="46">
        <v>1</v>
      </c>
      <c r="H708" s="45" t="s">
        <v>193</v>
      </c>
      <c r="I708" s="15" t="s">
        <v>194</v>
      </c>
      <c r="J708" s="15" t="s">
        <v>1762</v>
      </c>
      <c r="K708" s="15" t="s">
        <v>210</v>
      </c>
      <c r="L708" s="47" t="s">
        <v>2538</v>
      </c>
      <c r="M708" s="47" t="str">
        <f t="shared" si="10"/>
        <v>911207</v>
      </c>
      <c r="O708" s="65">
        <v>560</v>
      </c>
      <c r="P708" s="15"/>
    </row>
    <row r="709" spans="1:16" s="42" customFormat="1" ht="14.25" x14ac:dyDescent="0.2">
      <c r="C709" s="42" t="s">
        <v>8</v>
      </c>
      <c r="D709" s="43"/>
      <c r="F709" s="43"/>
      <c r="G709" s="43">
        <f>SUM(F710:F773)</f>
        <v>69</v>
      </c>
      <c r="L709" s="44"/>
      <c r="M709" s="44" t="str">
        <f t="shared" ref="M709:M772" si="11">MID(L709,8,6)</f>
        <v/>
      </c>
      <c r="N709" s="44"/>
      <c r="O709" s="43"/>
    </row>
    <row r="710" spans="1:16" x14ac:dyDescent="0.25">
      <c r="A710" s="15" t="s">
        <v>2540</v>
      </c>
      <c r="B710" s="15" t="s">
        <v>2541</v>
      </c>
      <c r="C710" s="49" t="s">
        <v>684</v>
      </c>
      <c r="D710" s="46" t="s">
        <v>1803</v>
      </c>
      <c r="E710" s="15" t="s">
        <v>192</v>
      </c>
      <c r="F710" s="46">
        <v>1</v>
      </c>
      <c r="H710" s="45" t="s">
        <v>193</v>
      </c>
      <c r="I710" s="15" t="s">
        <v>194</v>
      </c>
      <c r="J710" s="15" t="s">
        <v>1772</v>
      </c>
      <c r="K710" s="15" t="s">
        <v>210</v>
      </c>
      <c r="L710" s="47" t="s">
        <v>685</v>
      </c>
      <c r="M710" s="47" t="str">
        <f t="shared" si="11"/>
        <v>333904</v>
      </c>
      <c r="O710" s="65">
        <v>1</v>
      </c>
      <c r="P710" s="15"/>
    </row>
    <row r="711" spans="1:16" x14ac:dyDescent="0.25">
      <c r="A711" s="15" t="s">
        <v>2297</v>
      </c>
      <c r="B711" s="15" t="s">
        <v>2298</v>
      </c>
      <c r="C711" s="49" t="s">
        <v>740</v>
      </c>
      <c r="D711" s="46" t="s">
        <v>1761</v>
      </c>
      <c r="E711" s="15" t="s">
        <v>233</v>
      </c>
      <c r="F711" s="46">
        <v>1</v>
      </c>
      <c r="H711" s="45" t="s">
        <v>193</v>
      </c>
      <c r="I711" s="15" t="s">
        <v>194</v>
      </c>
      <c r="J711" s="15" t="s">
        <v>1776</v>
      </c>
      <c r="K711" s="15" t="s">
        <v>253</v>
      </c>
      <c r="L711" s="47" t="s">
        <v>741</v>
      </c>
      <c r="M711" s="47" t="str">
        <f t="shared" si="11"/>
        <v>522301</v>
      </c>
      <c r="O711" s="65">
        <v>2</v>
      </c>
      <c r="P711" s="15"/>
    </row>
    <row r="712" spans="1:16" x14ac:dyDescent="0.25">
      <c r="A712" s="15" t="s">
        <v>2542</v>
      </c>
      <c r="B712" s="15" t="s">
        <v>2543</v>
      </c>
      <c r="C712" s="49" t="s">
        <v>740</v>
      </c>
      <c r="D712" s="46" t="s">
        <v>1731</v>
      </c>
      <c r="E712" s="15" t="s">
        <v>192</v>
      </c>
      <c r="F712" s="46">
        <v>1</v>
      </c>
      <c r="H712" s="45" t="s">
        <v>193</v>
      </c>
      <c r="I712" s="15" t="s">
        <v>194</v>
      </c>
      <c r="J712" s="15" t="s">
        <v>1734</v>
      </c>
      <c r="K712" s="15" t="s">
        <v>210</v>
      </c>
      <c r="L712" s="47" t="s">
        <v>741</v>
      </c>
      <c r="M712" s="47" t="str">
        <f t="shared" si="11"/>
        <v>522301</v>
      </c>
      <c r="O712" s="65">
        <v>3</v>
      </c>
      <c r="P712" s="15"/>
    </row>
    <row r="713" spans="1:16" x14ac:dyDescent="0.25">
      <c r="A713" s="15" t="s">
        <v>2544</v>
      </c>
      <c r="B713" s="15" t="s">
        <v>2545</v>
      </c>
      <c r="C713" s="49" t="s">
        <v>740</v>
      </c>
      <c r="D713" s="46" t="s">
        <v>1761</v>
      </c>
      <c r="E713" s="15" t="s">
        <v>192</v>
      </c>
      <c r="F713" s="46">
        <v>1</v>
      </c>
      <c r="H713" s="45" t="s">
        <v>193</v>
      </c>
      <c r="I713" s="15" t="s">
        <v>194</v>
      </c>
      <c r="J713" s="15" t="s">
        <v>1776</v>
      </c>
      <c r="K713" s="15" t="s">
        <v>327</v>
      </c>
      <c r="L713" s="47" t="s">
        <v>741</v>
      </c>
      <c r="M713" s="47" t="str">
        <f t="shared" si="11"/>
        <v>522301</v>
      </c>
      <c r="O713" s="65">
        <v>4</v>
      </c>
      <c r="P713" s="15"/>
    </row>
    <row r="714" spans="1:16" x14ac:dyDescent="0.25">
      <c r="A714" s="15" t="s">
        <v>2546</v>
      </c>
      <c r="B714" s="15" t="s">
        <v>2547</v>
      </c>
      <c r="C714" s="49" t="s">
        <v>740</v>
      </c>
      <c r="D714" s="46" t="s">
        <v>1860</v>
      </c>
      <c r="E714" s="15" t="s">
        <v>217</v>
      </c>
      <c r="F714" s="46">
        <v>1</v>
      </c>
      <c r="H714" s="45" t="s">
        <v>193</v>
      </c>
      <c r="I714" s="15" t="s">
        <v>194</v>
      </c>
      <c r="J714" s="15" t="s">
        <v>1776</v>
      </c>
      <c r="K714" s="15" t="s">
        <v>210</v>
      </c>
      <c r="L714" s="47" t="s">
        <v>741</v>
      </c>
      <c r="M714" s="47" t="str">
        <f t="shared" si="11"/>
        <v>522301</v>
      </c>
      <c r="O714" s="65">
        <v>5</v>
      </c>
      <c r="P714" s="15"/>
    </row>
    <row r="715" spans="1:16" x14ac:dyDescent="0.25">
      <c r="A715" s="15" t="s">
        <v>1093</v>
      </c>
      <c r="B715" s="15" t="s">
        <v>739</v>
      </c>
      <c r="C715" s="49" t="s">
        <v>740</v>
      </c>
      <c r="D715" s="46" t="s">
        <v>1803</v>
      </c>
      <c r="E715" s="15" t="s">
        <v>192</v>
      </c>
      <c r="F715" s="46">
        <v>1</v>
      </c>
      <c r="H715" s="45" t="s">
        <v>193</v>
      </c>
      <c r="I715" s="15" t="s">
        <v>194</v>
      </c>
      <c r="J715" s="15" t="s">
        <v>1776</v>
      </c>
      <c r="K715" s="15" t="s">
        <v>276</v>
      </c>
      <c r="L715" s="47" t="s">
        <v>741</v>
      </c>
      <c r="M715" s="47" t="str">
        <f t="shared" si="11"/>
        <v>522301</v>
      </c>
      <c r="O715" s="65">
        <v>6</v>
      </c>
      <c r="P715" s="15"/>
    </row>
    <row r="716" spans="1:16" x14ac:dyDescent="0.25">
      <c r="A716" s="15" t="s">
        <v>1093</v>
      </c>
      <c r="B716" s="15" t="s">
        <v>739</v>
      </c>
      <c r="C716" s="49" t="s">
        <v>740</v>
      </c>
      <c r="D716" s="46" t="s">
        <v>1761</v>
      </c>
      <c r="E716" s="15" t="s">
        <v>192</v>
      </c>
      <c r="F716" s="46">
        <v>1</v>
      </c>
      <c r="H716" s="45" t="s">
        <v>193</v>
      </c>
      <c r="I716" s="15" t="s">
        <v>194</v>
      </c>
      <c r="J716" s="15" t="s">
        <v>1776</v>
      </c>
      <c r="K716" s="15" t="s">
        <v>385</v>
      </c>
      <c r="L716" s="47" t="s">
        <v>741</v>
      </c>
      <c r="M716" s="47" t="str">
        <f t="shared" si="11"/>
        <v>522301</v>
      </c>
      <c r="O716" s="65">
        <v>7</v>
      </c>
      <c r="P716" s="15"/>
    </row>
    <row r="717" spans="1:16" x14ac:dyDescent="0.25">
      <c r="A717" s="15" t="s">
        <v>1093</v>
      </c>
      <c r="B717" s="15" t="s">
        <v>739</v>
      </c>
      <c r="C717" s="49" t="s">
        <v>740</v>
      </c>
      <c r="D717" s="46" t="s">
        <v>1732</v>
      </c>
      <c r="E717" s="15" t="s">
        <v>192</v>
      </c>
      <c r="F717" s="46">
        <v>1</v>
      </c>
      <c r="H717" s="45" t="s">
        <v>193</v>
      </c>
      <c r="I717" s="15" t="s">
        <v>194</v>
      </c>
      <c r="J717" s="15" t="s">
        <v>1776</v>
      </c>
      <c r="K717" s="15" t="s">
        <v>385</v>
      </c>
      <c r="L717" s="47" t="s">
        <v>741</v>
      </c>
      <c r="M717" s="47" t="str">
        <f t="shared" si="11"/>
        <v>522301</v>
      </c>
      <c r="O717" s="65">
        <v>8</v>
      </c>
      <c r="P717" s="15"/>
    </row>
    <row r="718" spans="1:16" x14ac:dyDescent="0.25">
      <c r="A718" s="15" t="s">
        <v>2548</v>
      </c>
      <c r="B718" s="15" t="s">
        <v>1344</v>
      </c>
      <c r="C718" s="49" t="s">
        <v>740</v>
      </c>
      <c r="D718" s="46" t="s">
        <v>1761</v>
      </c>
      <c r="E718" s="15" t="s">
        <v>192</v>
      </c>
      <c r="F718" s="46">
        <v>4</v>
      </c>
      <c r="H718" s="45" t="s">
        <v>193</v>
      </c>
      <c r="I718" s="15" t="s">
        <v>194</v>
      </c>
      <c r="J718" s="15" t="s">
        <v>1746</v>
      </c>
      <c r="K718" s="15" t="s">
        <v>301</v>
      </c>
      <c r="L718" s="47" t="s">
        <v>741</v>
      </c>
      <c r="M718" s="47" t="str">
        <f t="shared" si="11"/>
        <v>522301</v>
      </c>
      <c r="O718" s="65">
        <v>9</v>
      </c>
      <c r="P718" s="15"/>
    </row>
    <row r="719" spans="1:16" x14ac:dyDescent="0.25">
      <c r="A719" s="15" t="s">
        <v>1989</v>
      </c>
      <c r="B719" s="15" t="s">
        <v>1344</v>
      </c>
      <c r="C719" s="49" t="s">
        <v>740</v>
      </c>
      <c r="D719" s="46" t="s">
        <v>1731</v>
      </c>
      <c r="E719" s="15" t="s">
        <v>233</v>
      </c>
      <c r="F719" s="46">
        <v>1</v>
      </c>
      <c r="H719" s="45" t="s">
        <v>193</v>
      </c>
      <c r="I719" s="15" t="s">
        <v>194</v>
      </c>
      <c r="J719" s="15" t="s">
        <v>1746</v>
      </c>
      <c r="K719" s="15" t="s">
        <v>2549</v>
      </c>
      <c r="L719" s="47" t="s">
        <v>741</v>
      </c>
      <c r="M719" s="47" t="str">
        <f t="shared" si="11"/>
        <v>522301</v>
      </c>
      <c r="O719" s="65">
        <v>570</v>
      </c>
      <c r="P719" s="15"/>
    </row>
    <row r="720" spans="1:16" x14ac:dyDescent="0.25">
      <c r="A720" s="15" t="s">
        <v>1989</v>
      </c>
      <c r="B720" s="15" t="s">
        <v>2550</v>
      </c>
      <c r="C720" s="49" t="s">
        <v>740</v>
      </c>
      <c r="D720" s="46" t="s">
        <v>1745</v>
      </c>
      <c r="E720" s="15" t="s">
        <v>233</v>
      </c>
      <c r="F720" s="46">
        <v>3</v>
      </c>
      <c r="H720" s="45" t="s">
        <v>193</v>
      </c>
      <c r="I720" s="15" t="s">
        <v>194</v>
      </c>
      <c r="J720" s="15" t="s">
        <v>1746</v>
      </c>
      <c r="K720" s="15" t="s">
        <v>2551</v>
      </c>
      <c r="L720" s="47" t="s">
        <v>741</v>
      </c>
      <c r="M720" s="47" t="str">
        <f t="shared" si="11"/>
        <v>522301</v>
      </c>
      <c r="N720" s="15"/>
      <c r="O720" s="65">
        <v>1</v>
      </c>
      <c r="P720" s="15"/>
    </row>
    <row r="721" spans="1:16" x14ac:dyDescent="0.25">
      <c r="A721" s="15" t="s">
        <v>1989</v>
      </c>
      <c r="B721" s="15" t="s">
        <v>2550</v>
      </c>
      <c r="C721" s="49" t="s">
        <v>740</v>
      </c>
      <c r="D721" s="46" t="s">
        <v>1736</v>
      </c>
      <c r="E721" s="15" t="s">
        <v>233</v>
      </c>
      <c r="F721" s="69">
        <v>0</v>
      </c>
      <c r="H721" s="68" t="s">
        <v>194</v>
      </c>
      <c r="I721" s="15" t="s">
        <v>193</v>
      </c>
      <c r="J721" s="15" t="s">
        <v>1737</v>
      </c>
      <c r="K721" s="15" t="s">
        <v>2552</v>
      </c>
      <c r="L721" s="47" t="s">
        <v>741</v>
      </c>
      <c r="M721" s="47" t="str">
        <f t="shared" si="11"/>
        <v>522301</v>
      </c>
      <c r="N721" s="15"/>
      <c r="O721" s="39" t="s">
        <v>3480</v>
      </c>
      <c r="P721" s="46">
        <v>12</v>
      </c>
    </row>
    <row r="722" spans="1:16" x14ac:dyDescent="0.25">
      <c r="A722" s="15" t="s">
        <v>2553</v>
      </c>
      <c r="B722" s="15" t="s">
        <v>2554</v>
      </c>
      <c r="C722" s="49" t="s">
        <v>740</v>
      </c>
      <c r="D722" s="46" t="s">
        <v>1728</v>
      </c>
      <c r="E722" s="15" t="s">
        <v>192</v>
      </c>
      <c r="F722" s="46">
        <v>2</v>
      </c>
      <c r="H722" s="45" t="s">
        <v>193</v>
      </c>
      <c r="I722" s="15" t="s">
        <v>194</v>
      </c>
      <c r="J722" s="15" t="s">
        <v>1746</v>
      </c>
      <c r="K722" s="15" t="s">
        <v>223</v>
      </c>
      <c r="L722" s="47" t="s">
        <v>741</v>
      </c>
      <c r="M722" s="47" t="str">
        <f t="shared" si="11"/>
        <v>522301</v>
      </c>
      <c r="N722" s="15"/>
      <c r="O722" s="65">
        <v>2</v>
      </c>
      <c r="P722" s="15"/>
    </row>
    <row r="723" spans="1:16" x14ac:dyDescent="0.25">
      <c r="A723" s="15" t="s">
        <v>742</v>
      </c>
      <c r="B723" s="15" t="s">
        <v>743</v>
      </c>
      <c r="C723" s="49" t="s">
        <v>740</v>
      </c>
      <c r="D723" s="46" t="s">
        <v>1740</v>
      </c>
      <c r="E723" s="15" t="s">
        <v>192</v>
      </c>
      <c r="F723" s="46">
        <v>1</v>
      </c>
      <c r="H723" s="45" t="s">
        <v>193</v>
      </c>
      <c r="I723" s="15" t="s">
        <v>194</v>
      </c>
      <c r="J723" s="15" t="s">
        <v>1915</v>
      </c>
      <c r="K723" s="15" t="s">
        <v>276</v>
      </c>
      <c r="L723" s="47" t="s">
        <v>741</v>
      </c>
      <c r="M723" s="47" t="str">
        <f t="shared" si="11"/>
        <v>522301</v>
      </c>
      <c r="N723" s="15"/>
      <c r="O723" s="65">
        <v>3</v>
      </c>
      <c r="P723" s="15"/>
    </row>
    <row r="724" spans="1:16" x14ac:dyDescent="0.25">
      <c r="A724" s="15" t="s">
        <v>2034</v>
      </c>
      <c r="B724" s="15" t="s">
        <v>2555</v>
      </c>
      <c r="C724" s="49" t="s">
        <v>740</v>
      </c>
      <c r="D724" s="46" t="s">
        <v>1779</v>
      </c>
      <c r="E724" s="15" t="s">
        <v>192</v>
      </c>
      <c r="F724" s="46">
        <v>1</v>
      </c>
      <c r="H724" s="45" t="s">
        <v>193</v>
      </c>
      <c r="I724" s="15" t="s">
        <v>194</v>
      </c>
      <c r="J724" s="15" t="s">
        <v>1915</v>
      </c>
      <c r="K724" s="15" t="s">
        <v>367</v>
      </c>
      <c r="L724" s="47" t="s">
        <v>741</v>
      </c>
      <c r="M724" s="47" t="str">
        <f t="shared" si="11"/>
        <v>522301</v>
      </c>
      <c r="N724" s="15"/>
      <c r="O724" s="65">
        <v>4</v>
      </c>
      <c r="P724" s="15"/>
    </row>
    <row r="725" spans="1:16" x14ac:dyDescent="0.25">
      <c r="A725" s="15" t="s">
        <v>2556</v>
      </c>
      <c r="B725" s="15" t="s">
        <v>2557</v>
      </c>
      <c r="C725" s="49" t="s">
        <v>740</v>
      </c>
      <c r="D725" s="46" t="s">
        <v>1731</v>
      </c>
      <c r="E725" s="15" t="s">
        <v>192</v>
      </c>
      <c r="F725" s="46">
        <v>1</v>
      </c>
      <c r="H725" s="45" t="s">
        <v>193</v>
      </c>
      <c r="I725" s="15" t="s">
        <v>194</v>
      </c>
      <c r="J725" s="15" t="s">
        <v>1915</v>
      </c>
      <c r="K725" s="15" t="s">
        <v>210</v>
      </c>
      <c r="L725" s="47" t="s">
        <v>741</v>
      </c>
      <c r="M725" s="47" t="str">
        <f t="shared" si="11"/>
        <v>522301</v>
      </c>
      <c r="N725" s="15"/>
      <c r="O725" s="65">
        <v>5</v>
      </c>
      <c r="P725" s="15"/>
    </row>
    <row r="726" spans="1:16" x14ac:dyDescent="0.25">
      <c r="A726" s="15" t="s">
        <v>2558</v>
      </c>
      <c r="B726" s="15" t="s">
        <v>2559</v>
      </c>
      <c r="C726" s="49" t="s">
        <v>740</v>
      </c>
      <c r="D726" s="46" t="s">
        <v>1803</v>
      </c>
      <c r="E726" s="15" t="s">
        <v>192</v>
      </c>
      <c r="F726" s="46">
        <v>1</v>
      </c>
      <c r="H726" s="45" t="s">
        <v>193</v>
      </c>
      <c r="I726" s="15" t="s">
        <v>194</v>
      </c>
      <c r="J726" s="15" t="s">
        <v>1754</v>
      </c>
      <c r="K726" s="15" t="s">
        <v>210</v>
      </c>
      <c r="L726" s="47" t="s">
        <v>741</v>
      </c>
      <c r="M726" s="47" t="str">
        <f t="shared" si="11"/>
        <v>522301</v>
      </c>
      <c r="N726" s="15"/>
      <c r="O726" s="65">
        <v>6</v>
      </c>
      <c r="P726" s="15"/>
    </row>
    <row r="727" spans="1:16" x14ac:dyDescent="0.25">
      <c r="A727" s="15" t="s">
        <v>1207</v>
      </c>
      <c r="B727" s="15" t="s">
        <v>2560</v>
      </c>
      <c r="C727" s="49" t="s">
        <v>740</v>
      </c>
      <c r="D727" s="46" t="s">
        <v>1740</v>
      </c>
      <c r="E727" s="15" t="s">
        <v>192</v>
      </c>
      <c r="F727" s="46">
        <v>1</v>
      </c>
      <c r="H727" s="45" t="s">
        <v>193</v>
      </c>
      <c r="I727" s="15" t="s">
        <v>194</v>
      </c>
      <c r="J727" s="15" t="s">
        <v>1754</v>
      </c>
      <c r="K727" s="15" t="s">
        <v>210</v>
      </c>
      <c r="L727" s="47" t="s">
        <v>741</v>
      </c>
      <c r="M727" s="47" t="str">
        <f t="shared" si="11"/>
        <v>522301</v>
      </c>
      <c r="N727" s="15"/>
      <c r="O727" s="65">
        <v>7</v>
      </c>
      <c r="P727" s="15"/>
    </row>
    <row r="728" spans="1:16" x14ac:dyDescent="0.25">
      <c r="A728" s="15" t="s">
        <v>1168</v>
      </c>
      <c r="B728" s="15" t="s">
        <v>1051</v>
      </c>
      <c r="C728" s="49" t="s">
        <v>740</v>
      </c>
      <c r="D728" s="46" t="s">
        <v>1740</v>
      </c>
      <c r="E728" s="15" t="s">
        <v>192</v>
      </c>
      <c r="F728" s="46">
        <v>1</v>
      </c>
      <c r="H728" s="45" t="s">
        <v>193</v>
      </c>
      <c r="I728" s="15" t="s">
        <v>194</v>
      </c>
      <c r="J728" s="15" t="s">
        <v>1754</v>
      </c>
      <c r="K728" s="15" t="s">
        <v>210</v>
      </c>
      <c r="L728" s="47" t="s">
        <v>741</v>
      </c>
      <c r="M728" s="47" t="str">
        <f t="shared" si="11"/>
        <v>522301</v>
      </c>
      <c r="N728" s="15"/>
      <c r="O728" s="65">
        <v>8</v>
      </c>
      <c r="P728" s="15"/>
    </row>
    <row r="729" spans="1:16" x14ac:dyDescent="0.25">
      <c r="A729" s="15" t="s">
        <v>1168</v>
      </c>
      <c r="B729" s="15" t="s">
        <v>1051</v>
      </c>
      <c r="C729" s="49" t="s">
        <v>740</v>
      </c>
      <c r="D729" s="46" t="s">
        <v>1731</v>
      </c>
      <c r="E729" s="15" t="s">
        <v>192</v>
      </c>
      <c r="F729" s="46">
        <v>1</v>
      </c>
      <c r="H729" s="45" t="s">
        <v>193</v>
      </c>
      <c r="I729" s="15" t="s">
        <v>194</v>
      </c>
      <c r="J729" s="15" t="s">
        <v>1754</v>
      </c>
      <c r="K729" s="15" t="s">
        <v>276</v>
      </c>
      <c r="L729" s="47" t="s">
        <v>741</v>
      </c>
      <c r="M729" s="47" t="str">
        <f t="shared" si="11"/>
        <v>522301</v>
      </c>
      <c r="N729" s="15"/>
      <c r="O729" s="65">
        <v>9</v>
      </c>
      <c r="P729" s="15"/>
    </row>
    <row r="730" spans="1:16" x14ac:dyDescent="0.25">
      <c r="A730" s="15" t="s">
        <v>2561</v>
      </c>
      <c r="B730" s="15" t="s">
        <v>2562</v>
      </c>
      <c r="C730" s="49" t="s">
        <v>740</v>
      </c>
      <c r="D730" s="46" t="s">
        <v>1731</v>
      </c>
      <c r="E730" s="15" t="s">
        <v>192</v>
      </c>
      <c r="F730" s="46">
        <v>1</v>
      </c>
      <c r="H730" s="45" t="s">
        <v>193</v>
      </c>
      <c r="I730" s="15" t="s">
        <v>194</v>
      </c>
      <c r="J730" s="15" t="s">
        <v>1759</v>
      </c>
      <c r="K730" s="15" t="s">
        <v>210</v>
      </c>
      <c r="L730" s="47" t="s">
        <v>741</v>
      </c>
      <c r="M730" s="47" t="str">
        <f t="shared" si="11"/>
        <v>522301</v>
      </c>
      <c r="N730" s="15"/>
      <c r="O730" s="65">
        <v>580</v>
      </c>
      <c r="P730" s="15"/>
    </row>
    <row r="731" spans="1:16" x14ac:dyDescent="0.25">
      <c r="A731" s="15" t="s">
        <v>1610</v>
      </c>
      <c r="B731" s="15" t="s">
        <v>2563</v>
      </c>
      <c r="C731" s="49" t="s">
        <v>740</v>
      </c>
      <c r="D731" s="46" t="s">
        <v>1736</v>
      </c>
      <c r="E731" s="15" t="s">
        <v>192</v>
      </c>
      <c r="F731" s="46">
        <v>1</v>
      </c>
      <c r="H731" s="45" t="s">
        <v>193</v>
      </c>
      <c r="I731" s="15" t="s">
        <v>194</v>
      </c>
      <c r="J731" s="15" t="s">
        <v>1836</v>
      </c>
      <c r="K731" s="15" t="s">
        <v>267</v>
      </c>
      <c r="L731" s="47" t="s">
        <v>741</v>
      </c>
      <c r="M731" s="47" t="str">
        <f t="shared" si="11"/>
        <v>522301</v>
      </c>
      <c r="N731" s="15"/>
      <c r="O731" s="65">
        <v>1</v>
      </c>
      <c r="P731" s="15"/>
    </row>
    <row r="732" spans="1:16" x14ac:dyDescent="0.25">
      <c r="A732" s="15" t="s">
        <v>446</v>
      </c>
      <c r="B732" s="15" t="s">
        <v>2564</v>
      </c>
      <c r="C732" s="49" t="s">
        <v>740</v>
      </c>
      <c r="D732" s="46" t="s">
        <v>1761</v>
      </c>
      <c r="E732" s="15" t="s">
        <v>192</v>
      </c>
      <c r="F732" s="46">
        <v>1</v>
      </c>
      <c r="H732" s="45" t="s">
        <v>193</v>
      </c>
      <c r="I732" s="15" t="s">
        <v>194</v>
      </c>
      <c r="J732" s="15" t="s">
        <v>1752</v>
      </c>
      <c r="K732" s="15" t="s">
        <v>1995</v>
      </c>
      <c r="L732" s="47" t="s">
        <v>741</v>
      </c>
      <c r="M732" s="47" t="str">
        <f t="shared" si="11"/>
        <v>522301</v>
      </c>
      <c r="N732" s="15"/>
      <c r="O732" s="65">
        <v>2</v>
      </c>
      <c r="P732" s="15"/>
    </row>
    <row r="733" spans="1:16" x14ac:dyDescent="0.25">
      <c r="A733" s="15" t="s">
        <v>446</v>
      </c>
      <c r="B733" s="15" t="s">
        <v>2565</v>
      </c>
      <c r="C733" s="49" t="s">
        <v>740</v>
      </c>
      <c r="D733" s="46" t="s">
        <v>1736</v>
      </c>
      <c r="E733" s="15" t="s">
        <v>192</v>
      </c>
      <c r="F733" s="46">
        <v>1</v>
      </c>
      <c r="H733" s="45" t="s">
        <v>193</v>
      </c>
      <c r="I733" s="15" t="s">
        <v>194</v>
      </c>
      <c r="J733" s="15" t="s">
        <v>1836</v>
      </c>
      <c r="K733" s="15" t="s">
        <v>267</v>
      </c>
      <c r="L733" s="47" t="s">
        <v>741</v>
      </c>
      <c r="M733" s="47" t="str">
        <f t="shared" si="11"/>
        <v>522301</v>
      </c>
      <c r="N733" s="15"/>
      <c r="O733" s="65">
        <v>3</v>
      </c>
      <c r="P733" s="15"/>
    </row>
    <row r="734" spans="1:16" x14ac:dyDescent="0.25">
      <c r="A734" s="15" t="s">
        <v>446</v>
      </c>
      <c r="B734" s="15" t="s">
        <v>2566</v>
      </c>
      <c r="C734" s="49" t="s">
        <v>740</v>
      </c>
      <c r="D734" s="46" t="s">
        <v>1761</v>
      </c>
      <c r="E734" s="15" t="s">
        <v>192</v>
      </c>
      <c r="F734" s="46">
        <v>1</v>
      </c>
      <c r="H734" s="45" t="s">
        <v>193</v>
      </c>
      <c r="I734" s="15" t="s">
        <v>194</v>
      </c>
      <c r="J734" s="15" t="s">
        <v>1754</v>
      </c>
      <c r="K734" s="15" t="s">
        <v>259</v>
      </c>
      <c r="L734" s="47" t="s">
        <v>741</v>
      </c>
      <c r="M734" s="47" t="str">
        <f t="shared" si="11"/>
        <v>522301</v>
      </c>
      <c r="N734" s="15"/>
      <c r="O734" s="65">
        <v>4</v>
      </c>
      <c r="P734" s="15"/>
    </row>
    <row r="735" spans="1:16" x14ac:dyDescent="0.25">
      <c r="A735" s="15" t="s">
        <v>1720</v>
      </c>
      <c r="B735" s="15" t="s">
        <v>8</v>
      </c>
      <c r="C735" s="49" t="s">
        <v>740</v>
      </c>
      <c r="D735" s="46" t="s">
        <v>1728</v>
      </c>
      <c r="E735" s="15" t="s">
        <v>192</v>
      </c>
      <c r="F735" s="46">
        <v>1</v>
      </c>
      <c r="H735" s="45" t="s">
        <v>193</v>
      </c>
      <c r="I735" s="15" t="s">
        <v>194</v>
      </c>
      <c r="J735" s="15" t="s">
        <v>1732</v>
      </c>
      <c r="K735" s="15" t="s">
        <v>747</v>
      </c>
      <c r="L735" s="47" t="s">
        <v>741</v>
      </c>
      <c r="M735" s="47" t="str">
        <f t="shared" si="11"/>
        <v>522301</v>
      </c>
      <c r="N735" s="15"/>
      <c r="O735" s="65">
        <v>5</v>
      </c>
      <c r="P735" s="15"/>
    </row>
    <row r="736" spans="1:16" x14ac:dyDescent="0.25">
      <c r="A736" s="15" t="s">
        <v>2322</v>
      </c>
      <c r="B736" s="15" t="s">
        <v>8</v>
      </c>
      <c r="C736" s="49" t="s">
        <v>740</v>
      </c>
      <c r="D736" s="46" t="s">
        <v>1740</v>
      </c>
      <c r="E736" s="15" t="s">
        <v>192</v>
      </c>
      <c r="F736" s="46">
        <v>1</v>
      </c>
      <c r="H736" s="45" t="s">
        <v>193</v>
      </c>
      <c r="I736" s="15" t="s">
        <v>194</v>
      </c>
      <c r="J736" s="15" t="s">
        <v>1761</v>
      </c>
      <c r="K736" s="15" t="s">
        <v>210</v>
      </c>
      <c r="L736" s="47" t="s">
        <v>741</v>
      </c>
      <c r="M736" s="47" t="str">
        <f t="shared" si="11"/>
        <v>522301</v>
      </c>
      <c r="N736" s="15"/>
      <c r="O736" s="65">
        <v>6</v>
      </c>
      <c r="P736" s="15"/>
    </row>
    <row r="737" spans="1:16" x14ac:dyDescent="0.25">
      <c r="A737" s="15" t="s">
        <v>1479</v>
      </c>
      <c r="B737" s="15" t="s">
        <v>8</v>
      </c>
      <c r="C737" s="49" t="s">
        <v>740</v>
      </c>
      <c r="D737" s="46" t="s">
        <v>1740</v>
      </c>
      <c r="E737" s="15" t="s">
        <v>192</v>
      </c>
      <c r="F737" s="46">
        <v>1</v>
      </c>
      <c r="H737" s="45" t="s">
        <v>193</v>
      </c>
      <c r="I737" s="15" t="s">
        <v>194</v>
      </c>
      <c r="J737" s="15" t="s">
        <v>1732</v>
      </c>
      <c r="K737" s="15" t="s">
        <v>747</v>
      </c>
      <c r="L737" s="47" t="s">
        <v>741</v>
      </c>
      <c r="M737" s="47" t="str">
        <f t="shared" si="11"/>
        <v>522301</v>
      </c>
      <c r="N737" s="15"/>
      <c r="O737" s="65">
        <v>7</v>
      </c>
      <c r="P737" s="15"/>
    </row>
    <row r="738" spans="1:16" x14ac:dyDescent="0.25">
      <c r="A738" s="15" t="s">
        <v>1479</v>
      </c>
      <c r="B738" s="15" t="s">
        <v>8</v>
      </c>
      <c r="C738" s="49" t="s">
        <v>740</v>
      </c>
      <c r="D738" s="46" t="s">
        <v>1740</v>
      </c>
      <c r="E738" s="15" t="s">
        <v>192</v>
      </c>
      <c r="F738" s="46">
        <v>1</v>
      </c>
      <c r="H738" s="45" t="s">
        <v>193</v>
      </c>
      <c r="I738" s="15" t="s">
        <v>194</v>
      </c>
      <c r="J738" s="15" t="s">
        <v>1732</v>
      </c>
      <c r="K738" s="15" t="s">
        <v>253</v>
      </c>
      <c r="L738" s="47" t="s">
        <v>741</v>
      </c>
      <c r="M738" s="47" t="str">
        <f t="shared" si="11"/>
        <v>522301</v>
      </c>
      <c r="N738" s="15"/>
      <c r="O738" s="65">
        <v>8</v>
      </c>
      <c r="P738" s="15"/>
    </row>
    <row r="739" spans="1:16" x14ac:dyDescent="0.25">
      <c r="A739" s="15" t="s">
        <v>1479</v>
      </c>
      <c r="B739" s="15" t="s">
        <v>8</v>
      </c>
      <c r="C739" s="49" t="s">
        <v>740</v>
      </c>
      <c r="D739" s="46" t="s">
        <v>1740</v>
      </c>
      <c r="E739" s="15" t="s">
        <v>192</v>
      </c>
      <c r="F739" s="46">
        <v>1</v>
      </c>
      <c r="H739" s="45" t="s">
        <v>193</v>
      </c>
      <c r="I739" s="15" t="s">
        <v>194</v>
      </c>
      <c r="J739" s="15" t="s">
        <v>1732</v>
      </c>
      <c r="K739" s="15" t="s">
        <v>385</v>
      </c>
      <c r="L739" s="47" t="s">
        <v>741</v>
      </c>
      <c r="M739" s="47" t="str">
        <f t="shared" si="11"/>
        <v>522301</v>
      </c>
      <c r="N739" s="15"/>
      <c r="O739" s="65">
        <v>9</v>
      </c>
      <c r="P739" s="15"/>
    </row>
    <row r="740" spans="1:16" x14ac:dyDescent="0.25">
      <c r="A740" s="15" t="s">
        <v>1479</v>
      </c>
      <c r="B740" s="15" t="s">
        <v>8</v>
      </c>
      <c r="C740" s="49" t="s">
        <v>740</v>
      </c>
      <c r="D740" s="46" t="s">
        <v>1740</v>
      </c>
      <c r="E740" s="15" t="s">
        <v>192</v>
      </c>
      <c r="F740" s="46">
        <v>1</v>
      </c>
      <c r="H740" s="45" t="s">
        <v>193</v>
      </c>
      <c r="I740" s="15" t="s">
        <v>194</v>
      </c>
      <c r="J740" s="15" t="s">
        <v>1732</v>
      </c>
      <c r="K740" s="15" t="s">
        <v>276</v>
      </c>
      <c r="L740" s="47" t="s">
        <v>741</v>
      </c>
      <c r="M740" s="47" t="str">
        <f t="shared" si="11"/>
        <v>522301</v>
      </c>
      <c r="N740" s="15"/>
      <c r="O740" s="65">
        <v>590</v>
      </c>
      <c r="P740" s="15"/>
    </row>
    <row r="741" spans="1:16" x14ac:dyDescent="0.25">
      <c r="A741" s="15" t="s">
        <v>1084</v>
      </c>
      <c r="B741" s="15" t="s">
        <v>8</v>
      </c>
      <c r="C741" s="49" t="s">
        <v>740</v>
      </c>
      <c r="D741" s="46" t="s">
        <v>1803</v>
      </c>
      <c r="E741" s="15" t="s">
        <v>192</v>
      </c>
      <c r="F741" s="46">
        <v>1</v>
      </c>
      <c r="H741" s="45" t="s">
        <v>193</v>
      </c>
      <c r="I741" s="15" t="s">
        <v>194</v>
      </c>
      <c r="J741" s="15" t="s">
        <v>1732</v>
      </c>
      <c r="K741" s="15" t="s">
        <v>210</v>
      </c>
      <c r="L741" s="47" t="s">
        <v>741</v>
      </c>
      <c r="M741" s="47" t="str">
        <f t="shared" si="11"/>
        <v>522301</v>
      </c>
      <c r="N741" s="15"/>
      <c r="O741" s="65">
        <v>1</v>
      </c>
      <c r="P741" s="15"/>
    </row>
    <row r="742" spans="1:16" x14ac:dyDescent="0.25">
      <c r="A742" s="15" t="s">
        <v>2567</v>
      </c>
      <c r="B742" s="15" t="s">
        <v>8</v>
      </c>
      <c r="C742" s="49" t="s">
        <v>740</v>
      </c>
      <c r="D742" s="46" t="s">
        <v>1779</v>
      </c>
      <c r="E742" s="15" t="s">
        <v>192</v>
      </c>
      <c r="F742" s="46">
        <v>1</v>
      </c>
      <c r="H742" s="45" t="s">
        <v>193</v>
      </c>
      <c r="I742" s="15" t="s">
        <v>194</v>
      </c>
      <c r="J742" s="15" t="s">
        <v>1732</v>
      </c>
      <c r="K742" s="15" t="s">
        <v>327</v>
      </c>
      <c r="L742" s="47" t="s">
        <v>741</v>
      </c>
      <c r="M742" s="47" t="str">
        <f t="shared" si="11"/>
        <v>522301</v>
      </c>
      <c r="N742" s="15"/>
      <c r="O742" s="65">
        <v>2</v>
      </c>
      <c r="P742" s="15"/>
    </row>
    <row r="743" spans="1:16" x14ac:dyDescent="0.25">
      <c r="A743" s="15" t="s">
        <v>2568</v>
      </c>
      <c r="B743" s="15" t="s">
        <v>2569</v>
      </c>
      <c r="C743" s="49" t="s">
        <v>740</v>
      </c>
      <c r="D743" s="46" t="s">
        <v>1736</v>
      </c>
      <c r="E743" s="15" t="s">
        <v>192</v>
      </c>
      <c r="F743" s="46">
        <v>1</v>
      </c>
      <c r="H743" s="45" t="s">
        <v>193</v>
      </c>
      <c r="I743" s="15" t="s">
        <v>194</v>
      </c>
      <c r="J743" s="15" t="s">
        <v>1737</v>
      </c>
      <c r="K743" s="15" t="s">
        <v>2570</v>
      </c>
      <c r="L743" s="47" t="s">
        <v>741</v>
      </c>
      <c r="M743" s="47" t="str">
        <f t="shared" si="11"/>
        <v>522301</v>
      </c>
      <c r="N743" s="15"/>
      <c r="O743" s="65">
        <v>3</v>
      </c>
      <c r="P743" s="15"/>
    </row>
    <row r="744" spans="1:16" x14ac:dyDescent="0.25">
      <c r="A744" s="15" t="s">
        <v>1050</v>
      </c>
      <c r="B744" s="15" t="s">
        <v>2571</v>
      </c>
      <c r="C744" s="49" t="s">
        <v>740</v>
      </c>
      <c r="D744" s="46" t="s">
        <v>1740</v>
      </c>
      <c r="E744" s="15" t="s">
        <v>233</v>
      </c>
      <c r="F744" s="46">
        <v>1</v>
      </c>
      <c r="H744" s="45" t="s">
        <v>193</v>
      </c>
      <c r="I744" s="15" t="s">
        <v>194</v>
      </c>
      <c r="J744" s="15" t="s">
        <v>1764</v>
      </c>
      <c r="K744" s="15" t="s">
        <v>210</v>
      </c>
      <c r="L744" s="47" t="s">
        <v>741</v>
      </c>
      <c r="M744" s="47" t="str">
        <f t="shared" si="11"/>
        <v>522301</v>
      </c>
      <c r="N744" s="15"/>
      <c r="O744" s="65">
        <v>4</v>
      </c>
      <c r="P744" s="15"/>
    </row>
    <row r="745" spans="1:16" x14ac:dyDescent="0.25">
      <c r="A745" s="15" t="s">
        <v>2572</v>
      </c>
      <c r="B745" s="15" t="s">
        <v>2573</v>
      </c>
      <c r="C745" s="49" t="s">
        <v>740</v>
      </c>
      <c r="D745" s="46" t="s">
        <v>1731</v>
      </c>
      <c r="E745" s="15" t="s">
        <v>192</v>
      </c>
      <c r="F745" s="46">
        <v>1</v>
      </c>
      <c r="H745" s="45" t="s">
        <v>193</v>
      </c>
      <c r="I745" s="15" t="s">
        <v>194</v>
      </c>
      <c r="J745" s="15" t="s">
        <v>1764</v>
      </c>
      <c r="K745" s="15" t="s">
        <v>210</v>
      </c>
      <c r="L745" s="47" t="s">
        <v>741</v>
      </c>
      <c r="M745" s="47" t="str">
        <f t="shared" si="11"/>
        <v>522301</v>
      </c>
      <c r="N745" s="15"/>
      <c r="O745" s="65">
        <v>5</v>
      </c>
      <c r="P745" s="15"/>
    </row>
    <row r="746" spans="1:16" x14ac:dyDescent="0.25">
      <c r="A746" s="15" t="s">
        <v>2574</v>
      </c>
      <c r="B746" s="15" t="s">
        <v>761</v>
      </c>
      <c r="C746" s="49" t="s">
        <v>740</v>
      </c>
      <c r="D746" s="46" t="s">
        <v>1731</v>
      </c>
      <c r="E746" s="15" t="s">
        <v>192</v>
      </c>
      <c r="F746" s="46">
        <v>1</v>
      </c>
      <c r="H746" s="45" t="s">
        <v>193</v>
      </c>
      <c r="I746" s="15" t="s">
        <v>194</v>
      </c>
      <c r="J746" s="15" t="s">
        <v>1734</v>
      </c>
      <c r="K746" s="15" t="s">
        <v>276</v>
      </c>
      <c r="L746" s="47" t="s">
        <v>741</v>
      </c>
      <c r="M746" s="47" t="str">
        <f t="shared" si="11"/>
        <v>522301</v>
      </c>
      <c r="N746" s="15"/>
      <c r="O746" s="65">
        <v>6</v>
      </c>
      <c r="P746" s="15"/>
    </row>
    <row r="747" spans="1:16" x14ac:dyDescent="0.25">
      <c r="A747" s="15" t="s">
        <v>763</v>
      </c>
      <c r="B747" s="15" t="s">
        <v>761</v>
      </c>
      <c r="C747" s="49" t="s">
        <v>740</v>
      </c>
      <c r="D747" s="46" t="s">
        <v>1731</v>
      </c>
      <c r="E747" s="15" t="s">
        <v>192</v>
      </c>
      <c r="F747" s="46">
        <v>1</v>
      </c>
      <c r="H747" s="45" t="s">
        <v>193</v>
      </c>
      <c r="I747" s="15" t="s">
        <v>194</v>
      </c>
      <c r="J747" s="15" t="s">
        <v>1764</v>
      </c>
      <c r="K747" s="15" t="s">
        <v>253</v>
      </c>
      <c r="L747" s="47" t="s">
        <v>741</v>
      </c>
      <c r="M747" s="47" t="str">
        <f t="shared" si="11"/>
        <v>522301</v>
      </c>
      <c r="N747" s="15"/>
      <c r="O747" s="65">
        <v>7</v>
      </c>
      <c r="P747" s="15"/>
    </row>
    <row r="748" spans="1:16" x14ac:dyDescent="0.25">
      <c r="A748" s="15" t="s">
        <v>446</v>
      </c>
      <c r="B748" s="15" t="s">
        <v>2575</v>
      </c>
      <c r="C748" s="49" t="s">
        <v>740</v>
      </c>
      <c r="D748" s="46" t="s">
        <v>1736</v>
      </c>
      <c r="E748" s="15" t="s">
        <v>192</v>
      </c>
      <c r="F748" s="46">
        <v>1</v>
      </c>
      <c r="H748" s="45" t="s">
        <v>193</v>
      </c>
      <c r="I748" s="15" t="s">
        <v>194</v>
      </c>
      <c r="J748" s="15" t="s">
        <v>1836</v>
      </c>
      <c r="K748" s="15" t="s">
        <v>2576</v>
      </c>
      <c r="L748" s="47" t="s">
        <v>741</v>
      </c>
      <c r="M748" s="47" t="str">
        <f t="shared" si="11"/>
        <v>522301</v>
      </c>
      <c r="N748" s="15"/>
      <c r="O748" s="65">
        <v>8</v>
      </c>
      <c r="P748" s="15"/>
    </row>
    <row r="749" spans="1:16" x14ac:dyDescent="0.25">
      <c r="A749" s="15" t="s">
        <v>446</v>
      </c>
      <c r="B749" s="15" t="s">
        <v>2577</v>
      </c>
      <c r="C749" s="49" t="s">
        <v>740</v>
      </c>
      <c r="D749" s="46" t="s">
        <v>1736</v>
      </c>
      <c r="E749" s="15" t="s">
        <v>192</v>
      </c>
      <c r="F749" s="46">
        <v>1</v>
      </c>
      <c r="H749" s="45" t="s">
        <v>193</v>
      </c>
      <c r="I749" s="15" t="s">
        <v>194</v>
      </c>
      <c r="J749" s="15" t="s">
        <v>1836</v>
      </c>
      <c r="K749" s="15" t="s">
        <v>2578</v>
      </c>
      <c r="L749" s="47" t="s">
        <v>741</v>
      </c>
      <c r="M749" s="47" t="str">
        <f t="shared" si="11"/>
        <v>522301</v>
      </c>
      <c r="N749" s="15"/>
      <c r="O749" s="65">
        <v>9</v>
      </c>
      <c r="P749" s="15"/>
    </row>
    <row r="750" spans="1:16" x14ac:dyDescent="0.25">
      <c r="A750" s="15" t="s">
        <v>446</v>
      </c>
      <c r="B750" s="15" t="s">
        <v>2579</v>
      </c>
      <c r="C750" s="49" t="s">
        <v>740</v>
      </c>
      <c r="D750" s="46" t="s">
        <v>1740</v>
      </c>
      <c r="E750" s="15" t="s">
        <v>192</v>
      </c>
      <c r="F750" s="46">
        <v>1</v>
      </c>
      <c r="H750" s="45" t="s">
        <v>193</v>
      </c>
      <c r="I750" s="15" t="s">
        <v>194</v>
      </c>
      <c r="J750" s="15" t="s">
        <v>1764</v>
      </c>
      <c r="K750" s="15" t="s">
        <v>2439</v>
      </c>
      <c r="L750" s="47" t="s">
        <v>741</v>
      </c>
      <c r="M750" s="47" t="str">
        <f t="shared" si="11"/>
        <v>522301</v>
      </c>
      <c r="N750" s="15"/>
      <c r="O750" s="65">
        <v>600</v>
      </c>
      <c r="P750" s="15"/>
    </row>
    <row r="751" spans="1:16" x14ac:dyDescent="0.25">
      <c r="A751" s="15" t="s">
        <v>446</v>
      </c>
      <c r="B751" s="15" t="s">
        <v>2580</v>
      </c>
      <c r="C751" s="49" t="s">
        <v>740</v>
      </c>
      <c r="D751" s="46" t="s">
        <v>1740</v>
      </c>
      <c r="E751" s="15" t="s">
        <v>192</v>
      </c>
      <c r="F751" s="46">
        <v>1</v>
      </c>
      <c r="H751" s="45" t="s">
        <v>193</v>
      </c>
      <c r="I751" s="15" t="s">
        <v>194</v>
      </c>
      <c r="J751" s="15" t="s">
        <v>1764</v>
      </c>
      <c r="K751" s="15" t="s">
        <v>1392</v>
      </c>
      <c r="L751" s="47" t="s">
        <v>741</v>
      </c>
      <c r="M751" s="47" t="str">
        <f t="shared" si="11"/>
        <v>522301</v>
      </c>
      <c r="N751" s="15"/>
      <c r="O751" s="65">
        <v>1</v>
      </c>
      <c r="P751" s="15"/>
    </row>
    <row r="752" spans="1:16" x14ac:dyDescent="0.25">
      <c r="A752" s="15" t="s">
        <v>446</v>
      </c>
      <c r="B752" s="15" t="s">
        <v>2581</v>
      </c>
      <c r="C752" s="49" t="s">
        <v>740</v>
      </c>
      <c r="D752" s="46" t="s">
        <v>1745</v>
      </c>
      <c r="E752" s="15" t="s">
        <v>192</v>
      </c>
      <c r="F752" s="46">
        <v>1</v>
      </c>
      <c r="H752" s="45" t="s">
        <v>193</v>
      </c>
      <c r="I752" s="15" t="s">
        <v>194</v>
      </c>
      <c r="J752" s="15" t="s">
        <v>1764</v>
      </c>
      <c r="K752" s="15" t="s">
        <v>2582</v>
      </c>
      <c r="L752" s="47" t="s">
        <v>741</v>
      </c>
      <c r="M752" s="47" t="str">
        <f t="shared" si="11"/>
        <v>522301</v>
      </c>
      <c r="N752" s="15"/>
      <c r="O752" s="65">
        <v>2</v>
      </c>
      <c r="P752" s="15"/>
    </row>
    <row r="753" spans="1:16" x14ac:dyDescent="0.25">
      <c r="A753" s="15" t="s">
        <v>446</v>
      </c>
      <c r="B753" s="15" t="s">
        <v>2583</v>
      </c>
      <c r="C753" s="49" t="s">
        <v>740</v>
      </c>
      <c r="D753" s="46" t="s">
        <v>1761</v>
      </c>
      <c r="E753" s="15" t="s">
        <v>192</v>
      </c>
      <c r="F753" s="46">
        <v>1</v>
      </c>
      <c r="H753" s="45" t="s">
        <v>193</v>
      </c>
      <c r="I753" s="15" t="s">
        <v>194</v>
      </c>
      <c r="J753" s="15" t="s">
        <v>1764</v>
      </c>
      <c r="K753" s="15" t="s">
        <v>316</v>
      </c>
      <c r="L753" s="47" t="s">
        <v>741</v>
      </c>
      <c r="M753" s="47" t="str">
        <f t="shared" si="11"/>
        <v>522301</v>
      </c>
      <c r="N753" s="15"/>
      <c r="O753" s="65">
        <v>3</v>
      </c>
      <c r="P753" s="15"/>
    </row>
    <row r="754" spans="1:16" x14ac:dyDescent="0.25">
      <c r="A754" s="15" t="s">
        <v>763</v>
      </c>
      <c r="B754" s="15" t="s">
        <v>2584</v>
      </c>
      <c r="C754" s="49" t="s">
        <v>740</v>
      </c>
      <c r="D754" s="46" t="s">
        <v>1731</v>
      </c>
      <c r="E754" s="15" t="s">
        <v>192</v>
      </c>
      <c r="F754" s="46">
        <v>1</v>
      </c>
      <c r="H754" s="45" t="s">
        <v>193</v>
      </c>
      <c r="I754" s="15" t="s">
        <v>194</v>
      </c>
      <c r="J754" s="15" t="s">
        <v>1764</v>
      </c>
      <c r="K754" s="15" t="s">
        <v>253</v>
      </c>
      <c r="L754" s="47" t="s">
        <v>741</v>
      </c>
      <c r="M754" s="47" t="str">
        <f t="shared" si="11"/>
        <v>522301</v>
      </c>
      <c r="N754" s="15"/>
      <c r="O754" s="65">
        <v>4</v>
      </c>
      <c r="P754" s="15"/>
    </row>
    <row r="755" spans="1:16" x14ac:dyDescent="0.25">
      <c r="A755" s="15" t="s">
        <v>2585</v>
      </c>
      <c r="B755" s="15" t="s">
        <v>2586</v>
      </c>
      <c r="C755" s="49" t="s">
        <v>740</v>
      </c>
      <c r="D755" s="46" t="s">
        <v>1761</v>
      </c>
      <c r="E755" s="15" t="s">
        <v>192</v>
      </c>
      <c r="F755" s="46">
        <v>1</v>
      </c>
      <c r="H755" s="45" t="s">
        <v>193</v>
      </c>
      <c r="I755" s="15" t="s">
        <v>194</v>
      </c>
      <c r="J755" s="15" t="s">
        <v>1764</v>
      </c>
      <c r="K755" s="15" t="s">
        <v>210</v>
      </c>
      <c r="L755" s="47" t="s">
        <v>741</v>
      </c>
      <c r="M755" s="47" t="str">
        <f t="shared" si="11"/>
        <v>522301</v>
      </c>
      <c r="N755" s="15"/>
      <c r="O755" s="65">
        <v>5</v>
      </c>
      <c r="P755" s="15"/>
    </row>
    <row r="756" spans="1:16" x14ac:dyDescent="0.25">
      <c r="A756" s="15" t="s">
        <v>2587</v>
      </c>
      <c r="B756" s="15" t="s">
        <v>2588</v>
      </c>
      <c r="C756" s="49" t="s">
        <v>740</v>
      </c>
      <c r="D756" s="46" t="s">
        <v>1732</v>
      </c>
      <c r="E756" s="15" t="s">
        <v>192</v>
      </c>
      <c r="F756" s="46">
        <v>1</v>
      </c>
      <c r="H756" s="45" t="s">
        <v>193</v>
      </c>
      <c r="I756" s="15" t="s">
        <v>194</v>
      </c>
      <c r="J756" s="15" t="s">
        <v>1955</v>
      </c>
      <c r="K756" s="15" t="s">
        <v>253</v>
      </c>
      <c r="L756" s="47" t="s">
        <v>741</v>
      </c>
      <c r="M756" s="47" t="str">
        <f t="shared" si="11"/>
        <v>522301</v>
      </c>
      <c r="N756" s="15"/>
      <c r="O756" s="65">
        <v>6</v>
      </c>
      <c r="P756" s="15"/>
    </row>
    <row r="757" spans="1:16" x14ac:dyDescent="0.25">
      <c r="A757" s="15" t="s">
        <v>2589</v>
      </c>
      <c r="B757" s="15" t="s">
        <v>2590</v>
      </c>
      <c r="C757" s="49" t="s">
        <v>740</v>
      </c>
      <c r="D757" s="46" t="s">
        <v>1745</v>
      </c>
      <c r="E757" s="15" t="s">
        <v>233</v>
      </c>
      <c r="F757" s="46">
        <v>1</v>
      </c>
      <c r="H757" s="45" t="s">
        <v>193</v>
      </c>
      <c r="I757" s="15" t="s">
        <v>194</v>
      </c>
      <c r="J757" s="15" t="s">
        <v>1764</v>
      </c>
      <c r="K757" s="15" t="s">
        <v>2591</v>
      </c>
      <c r="L757" s="47" t="s">
        <v>741</v>
      </c>
      <c r="M757" s="47" t="str">
        <f t="shared" si="11"/>
        <v>522301</v>
      </c>
      <c r="N757" s="15"/>
      <c r="O757" s="65">
        <v>7</v>
      </c>
      <c r="P757" s="15"/>
    </row>
    <row r="758" spans="1:16" x14ac:dyDescent="0.25">
      <c r="A758" s="15" t="s">
        <v>2592</v>
      </c>
      <c r="B758" s="15" t="s">
        <v>2593</v>
      </c>
      <c r="C758" s="49" t="s">
        <v>740</v>
      </c>
      <c r="D758" s="46" t="s">
        <v>1761</v>
      </c>
      <c r="E758" s="15" t="s">
        <v>252</v>
      </c>
      <c r="F758" s="46">
        <v>1</v>
      </c>
      <c r="H758" s="45" t="s">
        <v>193</v>
      </c>
      <c r="I758" s="15" t="s">
        <v>194</v>
      </c>
      <c r="J758" s="15" t="s">
        <v>1764</v>
      </c>
      <c r="K758" s="15" t="s">
        <v>2594</v>
      </c>
      <c r="L758" s="47" t="s">
        <v>741</v>
      </c>
      <c r="M758" s="47" t="str">
        <f t="shared" si="11"/>
        <v>522301</v>
      </c>
      <c r="N758" s="15"/>
      <c r="O758" s="65">
        <v>8</v>
      </c>
      <c r="P758" s="15"/>
    </row>
    <row r="759" spans="1:16" x14ac:dyDescent="0.25">
      <c r="A759" s="15" t="s">
        <v>2595</v>
      </c>
      <c r="B759" s="15" t="s">
        <v>2596</v>
      </c>
      <c r="C759" s="49" t="s">
        <v>740</v>
      </c>
      <c r="D759" s="46" t="s">
        <v>1761</v>
      </c>
      <c r="E759" s="15" t="s">
        <v>192</v>
      </c>
      <c r="F759" s="46">
        <v>1</v>
      </c>
      <c r="H759" s="45" t="s">
        <v>193</v>
      </c>
      <c r="I759" s="15" t="s">
        <v>194</v>
      </c>
      <c r="J759" s="15" t="s">
        <v>1764</v>
      </c>
      <c r="K759" s="15" t="s">
        <v>210</v>
      </c>
      <c r="L759" s="47" t="s">
        <v>741</v>
      </c>
      <c r="M759" s="47" t="str">
        <f t="shared" si="11"/>
        <v>522301</v>
      </c>
      <c r="N759" s="15"/>
      <c r="O759" s="65">
        <v>9</v>
      </c>
      <c r="P759" s="15"/>
    </row>
    <row r="760" spans="1:16" x14ac:dyDescent="0.25">
      <c r="A760" s="15" t="s">
        <v>2597</v>
      </c>
      <c r="B760" s="15" t="s">
        <v>2598</v>
      </c>
      <c r="C760" s="49" t="s">
        <v>740</v>
      </c>
      <c r="D760" s="46" t="s">
        <v>1761</v>
      </c>
      <c r="E760" s="15" t="s">
        <v>192</v>
      </c>
      <c r="F760" s="46">
        <v>1</v>
      </c>
      <c r="H760" s="45" t="s">
        <v>193</v>
      </c>
      <c r="I760" s="15" t="s">
        <v>194</v>
      </c>
      <c r="J760" s="15" t="s">
        <v>1764</v>
      </c>
      <c r="K760" s="15" t="s">
        <v>267</v>
      </c>
      <c r="L760" s="47" t="s">
        <v>741</v>
      </c>
      <c r="M760" s="47" t="str">
        <f t="shared" si="11"/>
        <v>522301</v>
      </c>
      <c r="N760" s="15"/>
      <c r="O760" s="65">
        <v>610</v>
      </c>
      <c r="P760" s="15"/>
    </row>
    <row r="761" spans="1:16" x14ac:dyDescent="0.25">
      <c r="A761" s="15" t="s">
        <v>2599</v>
      </c>
      <c r="B761" s="15" t="s">
        <v>2600</v>
      </c>
      <c r="C761" s="49" t="s">
        <v>740</v>
      </c>
      <c r="D761" s="46" t="s">
        <v>1779</v>
      </c>
      <c r="E761" s="15" t="s">
        <v>192</v>
      </c>
      <c r="F761" s="46">
        <v>1</v>
      </c>
      <c r="H761" s="45" t="s">
        <v>193</v>
      </c>
      <c r="I761" s="15" t="s">
        <v>194</v>
      </c>
      <c r="J761" s="15" t="s">
        <v>1734</v>
      </c>
      <c r="K761" s="15" t="s">
        <v>210</v>
      </c>
      <c r="L761" s="47" t="s">
        <v>741</v>
      </c>
      <c r="M761" s="47" t="str">
        <f t="shared" si="11"/>
        <v>522301</v>
      </c>
      <c r="N761" s="15"/>
      <c r="O761" s="65">
        <v>1</v>
      </c>
      <c r="P761" s="15"/>
    </row>
    <row r="762" spans="1:16" x14ac:dyDescent="0.25">
      <c r="A762" s="15" t="s">
        <v>446</v>
      </c>
      <c r="B762" s="15" t="s">
        <v>2601</v>
      </c>
      <c r="C762" s="49" t="s">
        <v>740</v>
      </c>
      <c r="D762" s="46" t="s">
        <v>1740</v>
      </c>
      <c r="E762" s="15" t="s">
        <v>192</v>
      </c>
      <c r="F762" s="46">
        <v>1</v>
      </c>
      <c r="H762" s="45" t="s">
        <v>193</v>
      </c>
      <c r="I762" s="15" t="s">
        <v>194</v>
      </c>
      <c r="J762" s="15" t="s">
        <v>1764</v>
      </c>
      <c r="K762" s="15" t="s">
        <v>2074</v>
      </c>
      <c r="L762" s="47" t="s">
        <v>741</v>
      </c>
      <c r="M762" s="47" t="str">
        <f t="shared" si="11"/>
        <v>522301</v>
      </c>
      <c r="N762" s="15"/>
      <c r="O762" s="65">
        <v>2</v>
      </c>
      <c r="P762" s="15"/>
    </row>
    <row r="763" spans="1:16" x14ac:dyDescent="0.25">
      <c r="A763" s="15" t="s">
        <v>446</v>
      </c>
      <c r="B763" s="15" t="s">
        <v>2602</v>
      </c>
      <c r="C763" s="49" t="s">
        <v>740</v>
      </c>
      <c r="D763" s="46" t="s">
        <v>1803</v>
      </c>
      <c r="E763" s="15" t="s">
        <v>192</v>
      </c>
      <c r="F763" s="46">
        <v>1</v>
      </c>
      <c r="H763" s="45" t="s">
        <v>193</v>
      </c>
      <c r="I763" s="15" t="s">
        <v>194</v>
      </c>
      <c r="J763" s="15" t="s">
        <v>1764</v>
      </c>
      <c r="K763" s="15" t="s">
        <v>2603</v>
      </c>
      <c r="L763" s="47" t="s">
        <v>741</v>
      </c>
      <c r="M763" s="47" t="str">
        <f t="shared" si="11"/>
        <v>522301</v>
      </c>
      <c r="N763" s="15"/>
      <c r="O763" s="65">
        <v>3</v>
      </c>
      <c r="P763" s="15"/>
    </row>
    <row r="764" spans="1:16" x14ac:dyDescent="0.25">
      <c r="A764" s="15" t="s">
        <v>446</v>
      </c>
      <c r="B764" s="15" t="s">
        <v>2604</v>
      </c>
      <c r="C764" s="49" t="s">
        <v>740</v>
      </c>
      <c r="D764" s="46" t="s">
        <v>1761</v>
      </c>
      <c r="E764" s="15" t="s">
        <v>192</v>
      </c>
      <c r="F764" s="46">
        <v>1</v>
      </c>
      <c r="H764" s="45" t="s">
        <v>193</v>
      </c>
      <c r="I764" s="15" t="s">
        <v>194</v>
      </c>
      <c r="J764" s="15" t="s">
        <v>1764</v>
      </c>
      <c r="K764" s="15" t="s">
        <v>2605</v>
      </c>
      <c r="L764" s="47" t="s">
        <v>741</v>
      </c>
      <c r="M764" s="47" t="str">
        <f t="shared" si="11"/>
        <v>522301</v>
      </c>
      <c r="N764" s="15"/>
      <c r="O764" s="65">
        <v>4</v>
      </c>
      <c r="P764" s="15"/>
    </row>
    <row r="765" spans="1:16" x14ac:dyDescent="0.25">
      <c r="A765" s="15" t="s">
        <v>446</v>
      </c>
      <c r="B765" s="15" t="s">
        <v>2606</v>
      </c>
      <c r="C765" s="49" t="s">
        <v>740</v>
      </c>
      <c r="D765" s="46" t="s">
        <v>1732</v>
      </c>
      <c r="E765" s="15" t="s">
        <v>192</v>
      </c>
      <c r="F765" s="46">
        <v>1</v>
      </c>
      <c r="H765" s="45" t="s">
        <v>193</v>
      </c>
      <c r="I765" s="15" t="s">
        <v>194</v>
      </c>
      <c r="J765" s="15" t="s">
        <v>1955</v>
      </c>
      <c r="K765" s="15" t="s">
        <v>2607</v>
      </c>
      <c r="L765" s="47" t="s">
        <v>741</v>
      </c>
      <c r="M765" s="47" t="str">
        <f t="shared" si="11"/>
        <v>522301</v>
      </c>
      <c r="N765" s="15"/>
      <c r="O765" s="65">
        <v>5</v>
      </c>
      <c r="P765" s="15"/>
    </row>
    <row r="766" spans="1:16" x14ac:dyDescent="0.25">
      <c r="A766" s="15" t="s">
        <v>446</v>
      </c>
      <c r="B766" s="15" t="s">
        <v>2608</v>
      </c>
      <c r="C766" s="49" t="s">
        <v>740</v>
      </c>
      <c r="D766" s="46" t="s">
        <v>1740</v>
      </c>
      <c r="E766" s="15" t="s">
        <v>192</v>
      </c>
      <c r="F766" s="46">
        <v>1</v>
      </c>
      <c r="H766" s="45" t="s">
        <v>193</v>
      </c>
      <c r="I766" s="15" t="s">
        <v>194</v>
      </c>
      <c r="J766" s="15" t="s">
        <v>1764</v>
      </c>
      <c r="K766" s="15" t="s">
        <v>2609</v>
      </c>
      <c r="L766" s="47" t="s">
        <v>741</v>
      </c>
      <c r="M766" s="47" t="str">
        <f t="shared" si="11"/>
        <v>522301</v>
      </c>
      <c r="N766" s="15"/>
      <c r="O766" s="65">
        <v>6</v>
      </c>
      <c r="P766" s="15"/>
    </row>
    <row r="767" spans="1:16" x14ac:dyDescent="0.25">
      <c r="A767" s="15" t="s">
        <v>446</v>
      </c>
      <c r="B767" s="15" t="s">
        <v>2610</v>
      </c>
      <c r="C767" s="49" t="s">
        <v>740</v>
      </c>
      <c r="D767" s="46" t="s">
        <v>1740</v>
      </c>
      <c r="E767" s="15" t="s">
        <v>192</v>
      </c>
      <c r="F767" s="46">
        <v>1</v>
      </c>
      <c r="H767" s="45" t="s">
        <v>193</v>
      </c>
      <c r="I767" s="15" t="s">
        <v>194</v>
      </c>
      <c r="J767" s="15" t="s">
        <v>1764</v>
      </c>
      <c r="K767" s="15" t="s">
        <v>2183</v>
      </c>
      <c r="L767" s="47" t="s">
        <v>741</v>
      </c>
      <c r="M767" s="47" t="str">
        <f t="shared" si="11"/>
        <v>522301</v>
      </c>
      <c r="N767" s="15"/>
      <c r="O767" s="65">
        <v>7</v>
      </c>
      <c r="P767" s="15"/>
    </row>
    <row r="768" spans="1:16" x14ac:dyDescent="0.25">
      <c r="A768" s="15" t="s">
        <v>446</v>
      </c>
      <c r="B768" s="15" t="s">
        <v>2611</v>
      </c>
      <c r="C768" s="49" t="s">
        <v>740</v>
      </c>
      <c r="D768" s="46" t="s">
        <v>1761</v>
      </c>
      <c r="E768" s="15" t="s">
        <v>192</v>
      </c>
      <c r="F768" s="46">
        <v>1</v>
      </c>
      <c r="H768" s="45" t="s">
        <v>193</v>
      </c>
      <c r="I768" s="15" t="s">
        <v>194</v>
      </c>
      <c r="J768" s="15" t="s">
        <v>1764</v>
      </c>
      <c r="K768" s="15" t="s">
        <v>2612</v>
      </c>
      <c r="L768" s="47" t="s">
        <v>741</v>
      </c>
      <c r="M768" s="47" t="str">
        <f t="shared" si="11"/>
        <v>522301</v>
      </c>
      <c r="O768" s="65">
        <v>8</v>
      </c>
      <c r="P768" s="15"/>
    </row>
    <row r="769" spans="1:16" x14ac:dyDescent="0.25">
      <c r="A769" s="15" t="s">
        <v>446</v>
      </c>
      <c r="B769" s="15" t="s">
        <v>2613</v>
      </c>
      <c r="C769" s="49" t="s">
        <v>740</v>
      </c>
      <c r="D769" s="46" t="s">
        <v>1728</v>
      </c>
      <c r="E769" s="15" t="s">
        <v>192</v>
      </c>
      <c r="F769" s="46">
        <v>1</v>
      </c>
      <c r="H769" s="45" t="s">
        <v>193</v>
      </c>
      <c r="I769" s="15" t="s">
        <v>194</v>
      </c>
      <c r="J769" s="15" t="s">
        <v>1764</v>
      </c>
      <c r="K769" s="15" t="s">
        <v>2614</v>
      </c>
      <c r="L769" s="47" t="s">
        <v>741</v>
      </c>
      <c r="M769" s="47" t="str">
        <f t="shared" si="11"/>
        <v>522301</v>
      </c>
      <c r="O769" s="65">
        <v>9</v>
      </c>
      <c r="P769" s="15"/>
    </row>
    <row r="770" spans="1:16" x14ac:dyDescent="0.25">
      <c r="A770" s="15" t="s">
        <v>446</v>
      </c>
      <c r="B770" s="15" t="s">
        <v>2615</v>
      </c>
      <c r="C770" s="49" t="s">
        <v>740</v>
      </c>
      <c r="D770" s="46" t="s">
        <v>1745</v>
      </c>
      <c r="E770" s="15" t="s">
        <v>192</v>
      </c>
      <c r="F770" s="46">
        <v>1</v>
      </c>
      <c r="H770" s="45" t="s">
        <v>193</v>
      </c>
      <c r="I770" s="15" t="s">
        <v>194</v>
      </c>
      <c r="J770" s="15" t="s">
        <v>1764</v>
      </c>
      <c r="K770" s="15" t="s">
        <v>301</v>
      </c>
      <c r="L770" s="47" t="s">
        <v>741</v>
      </c>
      <c r="M770" s="47" t="str">
        <f t="shared" si="11"/>
        <v>522301</v>
      </c>
      <c r="O770" s="65">
        <v>620</v>
      </c>
      <c r="P770" s="15"/>
    </row>
    <row r="771" spans="1:16" x14ac:dyDescent="0.25">
      <c r="A771" s="15" t="s">
        <v>742</v>
      </c>
      <c r="B771" s="15" t="s">
        <v>2616</v>
      </c>
      <c r="C771" s="49" t="s">
        <v>740</v>
      </c>
      <c r="D771" s="46" t="s">
        <v>1740</v>
      </c>
      <c r="E771" s="15" t="s">
        <v>192</v>
      </c>
      <c r="F771" s="46">
        <v>1</v>
      </c>
      <c r="H771" s="45" t="s">
        <v>193</v>
      </c>
      <c r="I771" s="15" t="s">
        <v>194</v>
      </c>
      <c r="J771" s="15" t="s">
        <v>1955</v>
      </c>
      <c r="K771" s="15" t="s">
        <v>276</v>
      </c>
      <c r="L771" s="47" t="s">
        <v>741</v>
      </c>
      <c r="M771" s="47" t="str">
        <f t="shared" si="11"/>
        <v>522301</v>
      </c>
      <c r="O771" s="65">
        <v>1</v>
      </c>
      <c r="P771" s="15"/>
    </row>
    <row r="772" spans="1:16" x14ac:dyDescent="0.25">
      <c r="A772" s="15" t="s">
        <v>2617</v>
      </c>
      <c r="B772" s="15" t="s">
        <v>2618</v>
      </c>
      <c r="C772" s="49" t="s">
        <v>740</v>
      </c>
      <c r="D772" s="46" t="s">
        <v>1803</v>
      </c>
      <c r="E772" s="15" t="s">
        <v>192</v>
      </c>
      <c r="F772" s="46">
        <v>1</v>
      </c>
      <c r="H772" s="45" t="s">
        <v>193</v>
      </c>
      <c r="I772" s="15" t="s">
        <v>194</v>
      </c>
      <c r="J772" s="15" t="s">
        <v>1955</v>
      </c>
      <c r="K772" s="15" t="s">
        <v>253</v>
      </c>
      <c r="L772" s="47" t="s">
        <v>741</v>
      </c>
      <c r="M772" s="47" t="str">
        <f t="shared" si="11"/>
        <v>522301</v>
      </c>
      <c r="O772" s="65">
        <v>2</v>
      </c>
      <c r="P772" s="15"/>
    </row>
    <row r="773" spans="1:16" x14ac:dyDescent="0.25">
      <c r="A773" s="15" t="s">
        <v>446</v>
      </c>
      <c r="B773" s="15" t="s">
        <v>2619</v>
      </c>
      <c r="C773" s="49" t="s">
        <v>740</v>
      </c>
      <c r="D773" s="46" t="s">
        <v>1740</v>
      </c>
      <c r="E773" s="15" t="s">
        <v>192</v>
      </c>
      <c r="F773" s="46">
        <v>1</v>
      </c>
      <c r="H773" s="45" t="s">
        <v>193</v>
      </c>
      <c r="I773" s="15" t="s">
        <v>194</v>
      </c>
      <c r="J773" s="15" t="s">
        <v>1732</v>
      </c>
      <c r="K773" s="15" t="s">
        <v>305</v>
      </c>
      <c r="L773" s="47" t="s">
        <v>741</v>
      </c>
      <c r="M773" s="47" t="str">
        <f t="shared" ref="M773:M836" si="12">MID(L773,8,6)</f>
        <v>522301</v>
      </c>
      <c r="O773" s="65">
        <v>3</v>
      </c>
      <c r="P773" s="15"/>
    </row>
    <row r="774" spans="1:16" s="42" customFormat="1" ht="14.25" x14ac:dyDescent="0.2">
      <c r="C774" s="42" t="s">
        <v>169</v>
      </c>
      <c r="D774" s="43"/>
      <c r="F774" s="43"/>
      <c r="G774" s="43">
        <f>SUM(F775)</f>
        <v>1</v>
      </c>
      <c r="L774" s="44"/>
      <c r="M774" s="44" t="str">
        <f t="shared" si="12"/>
        <v/>
      </c>
      <c r="N774" s="44"/>
      <c r="O774" s="43"/>
    </row>
    <row r="775" spans="1:16" x14ac:dyDescent="0.25">
      <c r="A775" s="15" t="s">
        <v>2384</v>
      </c>
      <c r="B775" s="15" t="s">
        <v>1368</v>
      </c>
      <c r="C775" s="45" t="s">
        <v>169</v>
      </c>
      <c r="D775" s="46" t="s">
        <v>1745</v>
      </c>
      <c r="E775" s="15" t="s">
        <v>192</v>
      </c>
      <c r="F775" s="46">
        <v>1</v>
      </c>
      <c r="H775" s="45" t="s">
        <v>193</v>
      </c>
      <c r="I775" s="15" t="s">
        <v>194</v>
      </c>
      <c r="J775" s="15" t="s">
        <v>1732</v>
      </c>
      <c r="K775" s="15" t="s">
        <v>2386</v>
      </c>
      <c r="L775" s="47" t="s">
        <v>1370</v>
      </c>
      <c r="M775" s="47" t="str">
        <f t="shared" si="12"/>
        <v>752205</v>
      </c>
      <c r="O775" s="65">
        <v>4</v>
      </c>
      <c r="P775" s="15"/>
    </row>
    <row r="776" spans="1:16" s="42" customFormat="1" ht="14.25" x14ac:dyDescent="0.2">
      <c r="C776" s="42" t="s">
        <v>79</v>
      </c>
      <c r="D776" s="43"/>
      <c r="F776" s="43"/>
      <c r="G776" s="43">
        <f>SUM(F777)</f>
        <v>1</v>
      </c>
      <c r="L776" s="44"/>
      <c r="M776" s="44" t="str">
        <f t="shared" si="12"/>
        <v/>
      </c>
      <c r="N776" s="44"/>
      <c r="O776" s="43"/>
    </row>
    <row r="777" spans="1:16" x14ac:dyDescent="0.25">
      <c r="A777" s="15" t="s">
        <v>1337</v>
      </c>
      <c r="B777" s="15" t="s">
        <v>1000</v>
      </c>
      <c r="C777" s="45" t="s">
        <v>79</v>
      </c>
      <c r="D777" s="46" t="s">
        <v>1732</v>
      </c>
      <c r="E777" s="15" t="s">
        <v>233</v>
      </c>
      <c r="F777" s="46">
        <v>1</v>
      </c>
      <c r="H777" s="45" t="s">
        <v>193</v>
      </c>
      <c r="I777" s="15" t="s">
        <v>194</v>
      </c>
      <c r="J777" s="15" t="s">
        <v>1746</v>
      </c>
      <c r="K777" s="15" t="s">
        <v>210</v>
      </c>
      <c r="L777" s="47" t="s">
        <v>2620</v>
      </c>
      <c r="M777" s="47" t="str">
        <f t="shared" si="12"/>
        <v>325508</v>
      </c>
      <c r="O777" s="65">
        <v>5</v>
      </c>
      <c r="P777" s="15"/>
    </row>
    <row r="778" spans="1:16" s="42" customFormat="1" ht="14.25" x14ac:dyDescent="0.2">
      <c r="C778" s="42" t="s">
        <v>115</v>
      </c>
      <c r="D778" s="43"/>
      <c r="F778" s="43"/>
      <c r="G778" s="43">
        <f>SUM(F779:F781)</f>
        <v>3</v>
      </c>
      <c r="L778" s="44"/>
      <c r="M778" s="44" t="str">
        <f t="shared" si="12"/>
        <v/>
      </c>
      <c r="N778" s="44"/>
      <c r="O778" s="43"/>
    </row>
    <row r="779" spans="1:16" x14ac:dyDescent="0.25">
      <c r="A779" s="15" t="s">
        <v>562</v>
      </c>
      <c r="B779" s="15" t="s">
        <v>2621</v>
      </c>
      <c r="C779" s="45" t="s">
        <v>115</v>
      </c>
      <c r="D779" s="46" t="s">
        <v>1728</v>
      </c>
      <c r="E779" s="15" t="s">
        <v>192</v>
      </c>
      <c r="F779" s="46">
        <v>1</v>
      </c>
      <c r="H779" s="45" t="s">
        <v>193</v>
      </c>
      <c r="I779" s="15" t="s">
        <v>194</v>
      </c>
      <c r="J779" s="15" t="s">
        <v>1776</v>
      </c>
      <c r="K779" s="15" t="s">
        <v>253</v>
      </c>
      <c r="L779" s="47" t="s">
        <v>1183</v>
      </c>
      <c r="M779" s="47" t="str">
        <f t="shared" si="12"/>
        <v>311909</v>
      </c>
      <c r="N779" s="47">
        <v>1</v>
      </c>
      <c r="O779" s="65">
        <v>6</v>
      </c>
      <c r="P779" s="15"/>
    </row>
    <row r="780" spans="1:16" x14ac:dyDescent="0.25">
      <c r="A780" s="15" t="s">
        <v>2622</v>
      </c>
      <c r="B780" s="15" t="s">
        <v>2623</v>
      </c>
      <c r="C780" s="45" t="s">
        <v>115</v>
      </c>
      <c r="D780" s="46" t="s">
        <v>1803</v>
      </c>
      <c r="E780" s="15" t="s">
        <v>233</v>
      </c>
      <c r="F780" s="46">
        <v>1</v>
      </c>
      <c r="H780" s="45" t="s">
        <v>193</v>
      </c>
      <c r="I780" s="15" t="s">
        <v>194</v>
      </c>
      <c r="J780" s="15" t="s">
        <v>1752</v>
      </c>
      <c r="K780" s="15" t="s">
        <v>2183</v>
      </c>
      <c r="L780" s="47" t="s">
        <v>1183</v>
      </c>
      <c r="M780" s="47" t="str">
        <f t="shared" si="12"/>
        <v>311909</v>
      </c>
      <c r="N780" s="47">
        <v>2</v>
      </c>
      <c r="O780" s="65">
        <v>7</v>
      </c>
      <c r="P780" s="15"/>
    </row>
    <row r="781" spans="1:16" x14ac:dyDescent="0.25">
      <c r="A781" s="3" t="s">
        <v>2624</v>
      </c>
      <c r="B781" s="15" t="s">
        <v>2625</v>
      </c>
      <c r="C781" s="45" t="s">
        <v>115</v>
      </c>
      <c r="D781" s="46" t="s">
        <v>1740</v>
      </c>
      <c r="E781" s="15" t="s">
        <v>192</v>
      </c>
      <c r="F781" s="46">
        <v>1</v>
      </c>
      <c r="H781" s="45" t="s">
        <v>193</v>
      </c>
      <c r="I781" s="15" t="s">
        <v>194</v>
      </c>
      <c r="J781" s="15" t="s">
        <v>1772</v>
      </c>
      <c r="K781" s="15" t="s">
        <v>408</v>
      </c>
      <c r="L781" s="47" t="s">
        <v>1183</v>
      </c>
      <c r="M781" s="47" t="str">
        <f t="shared" si="12"/>
        <v>311909</v>
      </c>
      <c r="N781" s="47">
        <v>3</v>
      </c>
      <c r="O781" s="65">
        <v>8</v>
      </c>
      <c r="P781" s="15"/>
    </row>
    <row r="782" spans="1:16" s="42" customFormat="1" ht="14.25" x14ac:dyDescent="0.2">
      <c r="C782" s="42" t="s">
        <v>42</v>
      </c>
      <c r="D782" s="43"/>
      <c r="F782" s="43"/>
      <c r="G782" s="43">
        <f>SUM(F783:F785)</f>
        <v>3</v>
      </c>
      <c r="L782" s="44"/>
      <c r="M782" s="44" t="str">
        <f t="shared" si="12"/>
        <v/>
      </c>
      <c r="N782" s="44"/>
      <c r="O782" s="43"/>
    </row>
    <row r="783" spans="1:16" x14ac:dyDescent="0.25">
      <c r="A783" s="15" t="s">
        <v>2626</v>
      </c>
      <c r="B783" s="15" t="s">
        <v>2627</v>
      </c>
      <c r="C783" s="45" t="s">
        <v>42</v>
      </c>
      <c r="D783" s="46" t="s">
        <v>1745</v>
      </c>
      <c r="E783" s="15" t="s">
        <v>192</v>
      </c>
      <c r="F783" s="46">
        <v>1</v>
      </c>
      <c r="H783" s="45" t="s">
        <v>193</v>
      </c>
      <c r="I783" s="15" t="s">
        <v>194</v>
      </c>
      <c r="J783" s="15" t="s">
        <v>1746</v>
      </c>
      <c r="K783" s="15" t="s">
        <v>210</v>
      </c>
      <c r="L783" s="47" t="s">
        <v>2628</v>
      </c>
      <c r="M783" s="47" t="str">
        <f t="shared" si="12"/>
        <v>325509</v>
      </c>
      <c r="O783" s="65">
        <v>9</v>
      </c>
      <c r="P783" s="15"/>
    </row>
    <row r="784" spans="1:16" x14ac:dyDescent="0.25">
      <c r="A784" s="15" t="s">
        <v>1983</v>
      </c>
      <c r="B784" s="15" t="s">
        <v>2629</v>
      </c>
      <c r="C784" s="45" t="s">
        <v>42</v>
      </c>
      <c r="D784" s="46" t="s">
        <v>1731</v>
      </c>
      <c r="E784" s="15" t="s">
        <v>192</v>
      </c>
      <c r="F784" s="46">
        <v>1</v>
      </c>
      <c r="H784" s="45" t="s">
        <v>193</v>
      </c>
      <c r="I784" s="15" t="s">
        <v>194</v>
      </c>
      <c r="J784" s="15" t="s">
        <v>1729</v>
      </c>
      <c r="K784" s="15" t="s">
        <v>223</v>
      </c>
      <c r="L784" s="47" t="s">
        <v>2628</v>
      </c>
      <c r="M784" s="47" t="str">
        <f t="shared" si="12"/>
        <v>325509</v>
      </c>
      <c r="O784" s="65">
        <v>630</v>
      </c>
      <c r="P784" s="15"/>
    </row>
    <row r="785" spans="1:16" x14ac:dyDescent="0.25">
      <c r="A785" s="15" t="s">
        <v>800</v>
      </c>
      <c r="B785" s="15" t="s">
        <v>2630</v>
      </c>
      <c r="C785" s="45" t="s">
        <v>42</v>
      </c>
      <c r="D785" s="46" t="s">
        <v>1731</v>
      </c>
      <c r="E785" s="15" t="s">
        <v>192</v>
      </c>
      <c r="F785" s="46">
        <v>1</v>
      </c>
      <c r="H785" s="45" t="s">
        <v>193</v>
      </c>
      <c r="I785" s="15" t="s">
        <v>194</v>
      </c>
      <c r="J785" s="15" t="s">
        <v>1754</v>
      </c>
      <c r="K785" s="15" t="s">
        <v>473</v>
      </c>
      <c r="L785" s="47" t="s">
        <v>2628</v>
      </c>
      <c r="M785" s="47" t="str">
        <f t="shared" si="12"/>
        <v>325509</v>
      </c>
      <c r="O785" s="65">
        <v>1</v>
      </c>
      <c r="P785" s="15"/>
    </row>
    <row r="786" spans="1:16" s="42" customFormat="1" ht="14.25" x14ac:dyDescent="0.2">
      <c r="C786" s="42" t="s">
        <v>39</v>
      </c>
      <c r="D786" s="43"/>
      <c r="F786" s="43"/>
      <c r="G786" s="43">
        <f>SUM(F787:F788)</f>
        <v>2</v>
      </c>
      <c r="L786" s="44"/>
      <c r="M786" s="44" t="str">
        <f t="shared" si="12"/>
        <v/>
      </c>
      <c r="N786" s="44"/>
      <c r="O786" s="43"/>
    </row>
    <row r="787" spans="1:16" x14ac:dyDescent="0.25">
      <c r="A787" s="15" t="s">
        <v>2631</v>
      </c>
      <c r="B787" s="15" t="s">
        <v>2632</v>
      </c>
      <c r="C787" s="45" t="s">
        <v>39</v>
      </c>
      <c r="D787" s="46" t="s">
        <v>1803</v>
      </c>
      <c r="E787" s="15" t="s">
        <v>192</v>
      </c>
      <c r="F787" s="46">
        <v>1</v>
      </c>
      <c r="H787" s="45" t="s">
        <v>193</v>
      </c>
      <c r="I787" s="15" t="s">
        <v>194</v>
      </c>
      <c r="J787" s="15" t="s">
        <v>1752</v>
      </c>
      <c r="K787" s="15" t="s">
        <v>210</v>
      </c>
      <c r="L787" s="47" t="s">
        <v>551</v>
      </c>
      <c r="M787" s="47" t="str">
        <f t="shared" si="12"/>
        <v>311204</v>
      </c>
      <c r="O787" s="65">
        <v>2</v>
      </c>
      <c r="P787" s="15"/>
    </row>
    <row r="788" spans="1:16" x14ac:dyDescent="0.25">
      <c r="A788" s="15" t="s">
        <v>2093</v>
      </c>
      <c r="B788" s="15" t="s">
        <v>1024</v>
      </c>
      <c r="C788" s="45" t="s">
        <v>39</v>
      </c>
      <c r="D788" s="46" t="s">
        <v>1803</v>
      </c>
      <c r="E788" s="15" t="s">
        <v>233</v>
      </c>
      <c r="F788" s="46">
        <v>1</v>
      </c>
      <c r="H788" s="45" t="s">
        <v>193</v>
      </c>
      <c r="I788" s="15" t="s">
        <v>194</v>
      </c>
      <c r="J788" s="15" t="s">
        <v>1764</v>
      </c>
      <c r="K788" s="15" t="s">
        <v>210</v>
      </c>
      <c r="L788" s="47" t="s">
        <v>551</v>
      </c>
      <c r="M788" s="47" t="str">
        <f t="shared" si="12"/>
        <v>311204</v>
      </c>
      <c r="O788" s="65">
        <v>3</v>
      </c>
      <c r="P788" s="15"/>
    </row>
    <row r="789" spans="1:16" s="42" customFormat="1" ht="14.25" x14ac:dyDescent="0.2">
      <c r="C789" s="42" t="s">
        <v>70</v>
      </c>
      <c r="D789" s="43"/>
      <c r="F789" s="43"/>
      <c r="G789" s="43">
        <f>SUM(F790:F795)</f>
        <v>6</v>
      </c>
      <c r="L789" s="44"/>
      <c r="M789" s="44" t="str">
        <f t="shared" si="12"/>
        <v/>
      </c>
      <c r="N789" s="44"/>
      <c r="O789" s="43"/>
    </row>
    <row r="790" spans="1:16" x14ac:dyDescent="0.25">
      <c r="A790" s="15" t="s">
        <v>562</v>
      </c>
      <c r="B790" s="15" t="s">
        <v>2633</v>
      </c>
      <c r="C790" s="45" t="s">
        <v>560</v>
      </c>
      <c r="D790" s="46" t="s">
        <v>1803</v>
      </c>
      <c r="E790" s="15" t="s">
        <v>192</v>
      </c>
      <c r="F790" s="46">
        <v>1</v>
      </c>
      <c r="H790" s="45" t="s">
        <v>193</v>
      </c>
      <c r="I790" s="15" t="s">
        <v>194</v>
      </c>
      <c r="J790" s="15" t="s">
        <v>1729</v>
      </c>
      <c r="K790" s="15" t="s">
        <v>253</v>
      </c>
      <c r="L790" s="47" t="s">
        <v>561</v>
      </c>
      <c r="M790" s="47" t="str">
        <f t="shared" si="12"/>
        <v>311408</v>
      </c>
      <c r="O790" s="65">
        <v>4</v>
      </c>
      <c r="P790" s="15"/>
    </row>
    <row r="791" spans="1:16" x14ac:dyDescent="0.25">
      <c r="A791" s="15" t="s">
        <v>2634</v>
      </c>
      <c r="B791" s="15" t="s">
        <v>2635</v>
      </c>
      <c r="C791" s="45" t="s">
        <v>560</v>
      </c>
      <c r="D791" s="46" t="s">
        <v>1731</v>
      </c>
      <c r="E791" s="15" t="s">
        <v>233</v>
      </c>
      <c r="F791" s="46">
        <v>1</v>
      </c>
      <c r="H791" s="45" t="s">
        <v>193</v>
      </c>
      <c r="I791" s="15" t="s">
        <v>194</v>
      </c>
      <c r="J791" s="15" t="s">
        <v>1955</v>
      </c>
      <c r="K791" s="15" t="s">
        <v>2636</v>
      </c>
      <c r="L791" s="47" t="s">
        <v>561</v>
      </c>
      <c r="M791" s="47" t="str">
        <f t="shared" si="12"/>
        <v>311408</v>
      </c>
      <c r="O791" s="65">
        <v>5</v>
      </c>
      <c r="P791" s="15"/>
    </row>
    <row r="792" spans="1:16" x14ac:dyDescent="0.25">
      <c r="A792" s="15" t="s">
        <v>1340</v>
      </c>
      <c r="B792" s="15" t="s">
        <v>2637</v>
      </c>
      <c r="C792" s="45" t="s">
        <v>560</v>
      </c>
      <c r="D792" s="46" t="s">
        <v>1731</v>
      </c>
      <c r="E792" s="15" t="s">
        <v>192</v>
      </c>
      <c r="F792" s="46">
        <v>1</v>
      </c>
      <c r="H792" s="45" t="s">
        <v>193</v>
      </c>
      <c r="I792" s="15" t="s">
        <v>194</v>
      </c>
      <c r="J792" s="15" t="s">
        <v>1955</v>
      </c>
      <c r="K792" s="15" t="s">
        <v>210</v>
      </c>
      <c r="L792" s="47" t="s">
        <v>561</v>
      </c>
      <c r="M792" s="47" t="str">
        <f t="shared" si="12"/>
        <v>311408</v>
      </c>
      <c r="O792" s="65">
        <v>6</v>
      </c>
      <c r="P792" s="15"/>
    </row>
    <row r="793" spans="1:16" x14ac:dyDescent="0.25">
      <c r="A793" s="15" t="s">
        <v>2638</v>
      </c>
      <c r="B793" s="15" t="s">
        <v>2639</v>
      </c>
      <c r="C793" s="45" t="s">
        <v>554</v>
      </c>
      <c r="D793" s="46" t="s">
        <v>1731</v>
      </c>
      <c r="E793" s="15" t="s">
        <v>192</v>
      </c>
      <c r="F793" s="46">
        <v>1</v>
      </c>
      <c r="H793" s="45" t="s">
        <v>193</v>
      </c>
      <c r="I793" s="15" t="s">
        <v>194</v>
      </c>
      <c r="J793" s="15" t="s">
        <v>1734</v>
      </c>
      <c r="K793" s="15" t="s">
        <v>2640</v>
      </c>
      <c r="L793" s="47" t="s">
        <v>555</v>
      </c>
      <c r="M793" s="47" t="str">
        <f t="shared" si="12"/>
        <v>311303</v>
      </c>
      <c r="O793" s="65">
        <v>7</v>
      </c>
      <c r="P793" s="15"/>
    </row>
    <row r="794" spans="1:16" x14ac:dyDescent="0.25">
      <c r="A794" s="15" t="s">
        <v>2641</v>
      </c>
      <c r="B794" s="15" t="s">
        <v>2642</v>
      </c>
      <c r="C794" s="45" t="s">
        <v>554</v>
      </c>
      <c r="D794" s="46" t="s">
        <v>1761</v>
      </c>
      <c r="E794" s="15" t="s">
        <v>192</v>
      </c>
      <c r="F794" s="46">
        <v>1</v>
      </c>
      <c r="H794" s="45" t="s">
        <v>193</v>
      </c>
      <c r="I794" s="15" t="s">
        <v>194</v>
      </c>
      <c r="J794" s="15" t="s">
        <v>1754</v>
      </c>
      <c r="K794" s="15" t="s">
        <v>771</v>
      </c>
      <c r="L794" s="47" t="s">
        <v>555</v>
      </c>
      <c r="M794" s="47" t="str">
        <f t="shared" si="12"/>
        <v>311303</v>
      </c>
      <c r="O794" s="65">
        <v>8</v>
      </c>
      <c r="P794" s="15"/>
    </row>
    <row r="795" spans="1:16" x14ac:dyDescent="0.25">
      <c r="A795" s="15" t="s">
        <v>1468</v>
      </c>
      <c r="B795" s="15" t="s">
        <v>2643</v>
      </c>
      <c r="C795" s="45" t="s">
        <v>2644</v>
      </c>
      <c r="D795" s="46" t="s">
        <v>1745</v>
      </c>
      <c r="E795" s="15" t="s">
        <v>192</v>
      </c>
      <c r="F795" s="46">
        <v>1</v>
      </c>
      <c r="H795" s="45" t="s">
        <v>193</v>
      </c>
      <c r="I795" s="15" t="s">
        <v>194</v>
      </c>
      <c r="J795" s="15" t="s">
        <v>1759</v>
      </c>
      <c r="K795" s="15" t="s">
        <v>301</v>
      </c>
      <c r="L795" s="47" t="s">
        <v>2645</v>
      </c>
      <c r="M795" s="47" t="str">
        <f t="shared" si="12"/>
        <v>311307</v>
      </c>
      <c r="O795" s="65">
        <v>9</v>
      </c>
      <c r="P795" s="15"/>
    </row>
    <row r="796" spans="1:16" s="42" customFormat="1" ht="14.25" x14ac:dyDescent="0.2">
      <c r="C796" s="42" t="s">
        <v>71</v>
      </c>
      <c r="D796" s="43"/>
      <c r="F796" s="43"/>
      <c r="G796" s="43">
        <f>SUM(F797)</f>
        <v>1</v>
      </c>
      <c r="L796" s="44"/>
      <c r="M796" s="44" t="str">
        <f t="shared" si="12"/>
        <v/>
      </c>
      <c r="N796" s="44"/>
      <c r="O796" s="43"/>
    </row>
    <row r="797" spans="1:16" x14ac:dyDescent="0.25">
      <c r="A797" s="15" t="s">
        <v>2646</v>
      </c>
      <c r="B797" s="15" t="s">
        <v>2647</v>
      </c>
      <c r="C797" s="45" t="s">
        <v>71</v>
      </c>
      <c r="D797" s="46" t="s">
        <v>1732</v>
      </c>
      <c r="E797" s="15" t="s">
        <v>252</v>
      </c>
      <c r="F797" s="46">
        <v>1</v>
      </c>
      <c r="H797" s="45" t="s">
        <v>193</v>
      </c>
      <c r="I797" s="15" t="s">
        <v>194</v>
      </c>
      <c r="J797" s="15" t="s">
        <v>1746</v>
      </c>
      <c r="K797" s="15" t="s">
        <v>210</v>
      </c>
      <c r="L797" s="47" t="s">
        <v>2648</v>
      </c>
      <c r="M797" s="47" t="str">
        <f t="shared" si="12"/>
        <v>311104</v>
      </c>
      <c r="O797" s="65">
        <v>640</v>
      </c>
      <c r="P797" s="15"/>
    </row>
    <row r="798" spans="1:16" s="42" customFormat="1" ht="14.25" x14ac:dyDescent="0.2">
      <c r="C798" s="42" t="s">
        <v>131</v>
      </c>
      <c r="D798" s="43"/>
      <c r="F798" s="43"/>
      <c r="G798" s="43">
        <f>SUM(F799:F800)</f>
        <v>2</v>
      </c>
      <c r="L798" s="44"/>
      <c r="M798" s="44" t="str">
        <f t="shared" si="12"/>
        <v/>
      </c>
      <c r="N798" s="44"/>
      <c r="O798" s="43"/>
    </row>
    <row r="799" spans="1:16" x14ac:dyDescent="0.25">
      <c r="A799" s="15" t="s">
        <v>2308</v>
      </c>
      <c r="B799" s="15" t="s">
        <v>2649</v>
      </c>
      <c r="C799" s="49" t="s">
        <v>770</v>
      </c>
      <c r="D799" s="46" t="s">
        <v>1740</v>
      </c>
      <c r="E799" s="15" t="s">
        <v>192</v>
      </c>
      <c r="F799" s="46">
        <v>1</v>
      </c>
      <c r="H799" s="45" t="s">
        <v>193</v>
      </c>
      <c r="I799" s="15" t="s">
        <v>194</v>
      </c>
      <c r="J799" s="15" t="s">
        <v>1776</v>
      </c>
      <c r="K799" s="15" t="s">
        <v>210</v>
      </c>
      <c r="L799" s="47" t="s">
        <v>772</v>
      </c>
      <c r="M799" s="47" t="str">
        <f t="shared" si="12"/>
        <v>522305</v>
      </c>
      <c r="O799" s="65">
        <v>1</v>
      </c>
      <c r="P799" s="15"/>
    </row>
    <row r="800" spans="1:16" x14ac:dyDescent="0.25">
      <c r="A800" s="15" t="s">
        <v>2650</v>
      </c>
      <c r="B800" s="15" t="s">
        <v>2651</v>
      </c>
      <c r="C800" s="49" t="s">
        <v>770</v>
      </c>
      <c r="D800" s="46" t="s">
        <v>1803</v>
      </c>
      <c r="E800" s="15" t="s">
        <v>192</v>
      </c>
      <c r="F800" s="46">
        <v>1</v>
      </c>
      <c r="H800" s="45" t="s">
        <v>193</v>
      </c>
      <c r="I800" s="15" t="s">
        <v>194</v>
      </c>
      <c r="J800" s="15" t="s">
        <v>1752</v>
      </c>
      <c r="K800" s="15" t="s">
        <v>196</v>
      </c>
      <c r="L800" s="47" t="s">
        <v>772</v>
      </c>
      <c r="M800" s="47" t="str">
        <f t="shared" si="12"/>
        <v>522305</v>
      </c>
      <c r="O800" s="65">
        <v>2</v>
      </c>
      <c r="P800" s="15"/>
    </row>
    <row r="801" spans="1:16" s="42" customFormat="1" ht="14.25" x14ac:dyDescent="0.2">
      <c r="C801" s="42" t="s">
        <v>163</v>
      </c>
      <c r="D801" s="43"/>
      <c r="F801" s="43"/>
      <c r="G801" s="43">
        <f>SUM(F802)</f>
        <v>1</v>
      </c>
      <c r="L801" s="44"/>
      <c r="M801" s="44" t="str">
        <f t="shared" si="12"/>
        <v/>
      </c>
      <c r="N801" s="44"/>
      <c r="O801" s="43"/>
    </row>
    <row r="802" spans="1:16" x14ac:dyDescent="0.25">
      <c r="A802" s="15" t="s">
        <v>924</v>
      </c>
      <c r="B802" s="15" t="s">
        <v>2652</v>
      </c>
      <c r="C802" s="45" t="s">
        <v>163</v>
      </c>
      <c r="D802" s="46" t="s">
        <v>1728</v>
      </c>
      <c r="E802" s="15" t="s">
        <v>192</v>
      </c>
      <c r="F802" s="46">
        <v>1</v>
      </c>
      <c r="H802" s="45" t="s">
        <v>193</v>
      </c>
      <c r="I802" s="15" t="s">
        <v>194</v>
      </c>
      <c r="J802" s="15" t="s">
        <v>1762</v>
      </c>
      <c r="K802" s="15" t="s">
        <v>1889</v>
      </c>
      <c r="L802" s="47" t="s">
        <v>697</v>
      </c>
      <c r="M802" s="47" t="str">
        <f t="shared" si="12"/>
        <v>351203</v>
      </c>
      <c r="O802" s="65">
        <v>3</v>
      </c>
      <c r="P802" s="15"/>
    </row>
    <row r="803" spans="1:16" s="42" customFormat="1" ht="14.25" x14ac:dyDescent="0.2">
      <c r="C803" s="42" t="s">
        <v>133</v>
      </c>
      <c r="D803" s="43"/>
      <c r="F803" s="43"/>
      <c r="G803" s="43">
        <f>SUM(F804)</f>
        <v>2</v>
      </c>
      <c r="L803" s="44"/>
      <c r="M803" s="44" t="str">
        <f t="shared" si="12"/>
        <v/>
      </c>
      <c r="N803" s="44"/>
      <c r="O803" s="43"/>
    </row>
    <row r="804" spans="1:16" x14ac:dyDescent="0.25">
      <c r="A804" s="15" t="s">
        <v>2653</v>
      </c>
      <c r="B804" s="15" t="s">
        <v>2654</v>
      </c>
      <c r="C804" s="45" t="s">
        <v>133</v>
      </c>
      <c r="D804" s="46" t="s">
        <v>1761</v>
      </c>
      <c r="E804" s="15" t="s">
        <v>192</v>
      </c>
      <c r="F804" s="46">
        <v>2</v>
      </c>
      <c r="H804" s="45" t="s">
        <v>193</v>
      </c>
      <c r="I804" s="15" t="s">
        <v>194</v>
      </c>
      <c r="J804" s="15" t="s">
        <v>1729</v>
      </c>
      <c r="K804" s="15" t="s">
        <v>385</v>
      </c>
      <c r="L804" s="47" t="s">
        <v>673</v>
      </c>
      <c r="M804" s="47" t="str">
        <f t="shared" si="12"/>
        <v>333107</v>
      </c>
      <c r="O804" s="65">
        <v>4</v>
      </c>
      <c r="P804" s="15"/>
    </row>
    <row r="805" spans="1:16" s="42" customFormat="1" ht="14.25" x14ac:dyDescent="0.2">
      <c r="C805" s="42" t="s">
        <v>77</v>
      </c>
      <c r="D805" s="43"/>
      <c r="F805" s="43"/>
      <c r="G805" s="43">
        <f>SUM(F806:F811)</f>
        <v>5</v>
      </c>
      <c r="L805" s="44"/>
      <c r="M805" s="44" t="str">
        <f t="shared" si="12"/>
        <v/>
      </c>
      <c r="N805" s="44"/>
      <c r="O805" s="43"/>
    </row>
    <row r="806" spans="1:16" x14ac:dyDescent="0.25">
      <c r="A806" s="15" t="s">
        <v>317</v>
      </c>
      <c r="B806" s="15" t="s">
        <v>2655</v>
      </c>
      <c r="C806" s="45" t="s">
        <v>1276</v>
      </c>
      <c r="D806" s="46" t="s">
        <v>1779</v>
      </c>
      <c r="E806" s="15" t="s">
        <v>192</v>
      </c>
      <c r="F806" s="46">
        <v>1</v>
      </c>
      <c r="H806" s="45" t="s">
        <v>193</v>
      </c>
      <c r="I806" s="15" t="s">
        <v>194</v>
      </c>
      <c r="J806" s="15" t="s">
        <v>1759</v>
      </c>
      <c r="K806" s="15" t="s">
        <v>210</v>
      </c>
      <c r="L806" s="47" t="s">
        <v>1277</v>
      </c>
      <c r="M806" s="47" t="str">
        <f t="shared" si="12"/>
        <v>315317</v>
      </c>
      <c r="N806" s="47">
        <v>1</v>
      </c>
      <c r="O806" s="65">
        <v>5</v>
      </c>
      <c r="P806" s="15"/>
    </row>
    <row r="807" spans="1:16" x14ac:dyDescent="0.25">
      <c r="A807" s="15" t="s">
        <v>2656</v>
      </c>
      <c r="B807" s="15" t="s">
        <v>2657</v>
      </c>
      <c r="C807" s="45" t="s">
        <v>2658</v>
      </c>
      <c r="D807" s="46" t="s">
        <v>1803</v>
      </c>
      <c r="E807" s="15" t="s">
        <v>192</v>
      </c>
      <c r="F807" s="46">
        <v>1</v>
      </c>
      <c r="H807" s="45" t="s">
        <v>193</v>
      </c>
      <c r="I807" s="15" t="s">
        <v>194</v>
      </c>
      <c r="J807" s="15" t="s">
        <v>1752</v>
      </c>
      <c r="K807" s="15" t="s">
        <v>210</v>
      </c>
      <c r="L807" s="47" t="s">
        <v>2659</v>
      </c>
      <c r="M807" s="47" t="str">
        <f t="shared" si="12"/>
        <v>311508</v>
      </c>
      <c r="N807" s="47">
        <v>2</v>
      </c>
      <c r="O807" s="65">
        <v>6</v>
      </c>
      <c r="P807" s="15"/>
    </row>
    <row r="808" spans="1:16" x14ac:dyDescent="0.25">
      <c r="A808" s="15" t="s">
        <v>1468</v>
      </c>
      <c r="B808" s="15" t="s">
        <v>2660</v>
      </c>
      <c r="C808" s="45" t="s">
        <v>574</v>
      </c>
      <c r="D808" s="46" t="s">
        <v>1803</v>
      </c>
      <c r="E808" s="15" t="s">
        <v>192</v>
      </c>
      <c r="F808" s="46">
        <v>1</v>
      </c>
      <c r="H808" s="45" t="s">
        <v>193</v>
      </c>
      <c r="I808" s="15" t="s">
        <v>194</v>
      </c>
      <c r="J808" s="15" t="s">
        <v>1772</v>
      </c>
      <c r="K808" s="15" t="s">
        <v>301</v>
      </c>
      <c r="L808" s="47" t="s">
        <v>576</v>
      </c>
      <c r="M808" s="47" t="str">
        <f t="shared" si="12"/>
        <v>311509</v>
      </c>
      <c r="N808" s="47">
        <v>3</v>
      </c>
      <c r="O808" s="65">
        <v>7</v>
      </c>
      <c r="P808" s="15"/>
    </row>
    <row r="809" spans="1:16" x14ac:dyDescent="0.25">
      <c r="A809" s="15" t="s">
        <v>1959</v>
      </c>
      <c r="B809" s="15" t="s">
        <v>565</v>
      </c>
      <c r="C809" s="45" t="s">
        <v>566</v>
      </c>
      <c r="D809" s="46" t="s">
        <v>1745</v>
      </c>
      <c r="E809" s="15" t="s">
        <v>192</v>
      </c>
      <c r="F809" s="46">
        <v>1</v>
      </c>
      <c r="H809" s="45" t="s">
        <v>193</v>
      </c>
      <c r="I809" s="15" t="s">
        <v>194</v>
      </c>
      <c r="J809" s="15" t="s">
        <v>1732</v>
      </c>
      <c r="K809" s="15" t="s">
        <v>210</v>
      </c>
      <c r="L809" s="47" t="s">
        <v>567</v>
      </c>
      <c r="M809" s="47" t="str">
        <f t="shared" si="12"/>
        <v>311504</v>
      </c>
      <c r="N809" s="47">
        <v>4</v>
      </c>
      <c r="O809" s="65">
        <v>8</v>
      </c>
      <c r="P809" s="15"/>
    </row>
    <row r="810" spans="1:16" x14ac:dyDescent="0.25">
      <c r="A810" s="15" t="s">
        <v>2315</v>
      </c>
      <c r="B810" s="15" t="s">
        <v>2661</v>
      </c>
      <c r="C810" s="45" t="s">
        <v>566</v>
      </c>
      <c r="D810" s="46" t="s">
        <v>1761</v>
      </c>
      <c r="E810" s="15" t="s">
        <v>233</v>
      </c>
      <c r="F810" s="69">
        <v>0</v>
      </c>
      <c r="H810" s="68" t="s">
        <v>194</v>
      </c>
      <c r="I810" s="15" t="s">
        <v>193</v>
      </c>
      <c r="J810" s="15" t="s">
        <v>1759</v>
      </c>
      <c r="K810" s="15" t="s">
        <v>196</v>
      </c>
      <c r="L810" s="47" t="s">
        <v>567</v>
      </c>
      <c r="M810" s="47" t="str">
        <f t="shared" si="12"/>
        <v>311504</v>
      </c>
      <c r="N810" s="47">
        <v>5</v>
      </c>
      <c r="O810" s="65">
        <v>9</v>
      </c>
      <c r="P810" s="46">
        <v>13</v>
      </c>
    </row>
    <row r="811" spans="1:16" x14ac:dyDescent="0.25">
      <c r="A811" s="15" t="s">
        <v>967</v>
      </c>
      <c r="B811" s="15" t="s">
        <v>2662</v>
      </c>
      <c r="C811" s="45" t="s">
        <v>566</v>
      </c>
      <c r="D811" s="46" t="s">
        <v>1740</v>
      </c>
      <c r="E811" s="15" t="s">
        <v>192</v>
      </c>
      <c r="F811" s="46">
        <v>1</v>
      </c>
      <c r="H811" s="45" t="s">
        <v>193</v>
      </c>
      <c r="I811" s="15" t="s">
        <v>194</v>
      </c>
      <c r="J811" s="15" t="s">
        <v>1732</v>
      </c>
      <c r="K811" s="15" t="s">
        <v>210</v>
      </c>
      <c r="L811" s="47" t="s">
        <v>567</v>
      </c>
      <c r="M811" s="47" t="str">
        <f t="shared" si="12"/>
        <v>311504</v>
      </c>
      <c r="N811" s="47">
        <v>6</v>
      </c>
      <c r="O811" s="65">
        <v>650</v>
      </c>
      <c r="P811" s="15"/>
    </row>
    <row r="812" spans="1:16" s="42" customFormat="1" ht="14.25" x14ac:dyDescent="0.2">
      <c r="C812" s="42" t="s">
        <v>84</v>
      </c>
      <c r="D812" s="43"/>
      <c r="F812" s="43"/>
      <c r="G812" s="43">
        <f>SUM(F813)</f>
        <v>1</v>
      </c>
      <c r="L812" s="44"/>
      <c r="M812" s="44" t="str">
        <f t="shared" si="12"/>
        <v/>
      </c>
      <c r="N812" s="44"/>
      <c r="O812" s="43"/>
    </row>
    <row r="813" spans="1:16" x14ac:dyDescent="0.25">
      <c r="A813" s="15" t="s">
        <v>2663</v>
      </c>
      <c r="B813" s="15" t="s">
        <v>2664</v>
      </c>
      <c r="C813" s="45" t="s">
        <v>84</v>
      </c>
      <c r="D813" s="46" t="s">
        <v>1803</v>
      </c>
      <c r="E813" s="15" t="s">
        <v>192</v>
      </c>
      <c r="F813" s="46">
        <v>1</v>
      </c>
      <c r="H813" s="45" t="s">
        <v>193</v>
      </c>
      <c r="I813" s="15" t="s">
        <v>194</v>
      </c>
      <c r="J813" s="15" t="s">
        <v>1746</v>
      </c>
      <c r="K813" s="15" t="s">
        <v>210</v>
      </c>
      <c r="L813" s="47" t="s">
        <v>2665</v>
      </c>
      <c r="M813" s="47" t="str">
        <f t="shared" si="12"/>
        <v>541315</v>
      </c>
      <c r="O813" s="65">
        <v>1</v>
      </c>
      <c r="P813" s="15"/>
    </row>
    <row r="814" spans="1:16" s="42" customFormat="1" ht="14.25" x14ac:dyDescent="0.2">
      <c r="C814" s="42" t="s">
        <v>56</v>
      </c>
      <c r="D814" s="43"/>
      <c r="F814" s="43"/>
      <c r="G814" s="43">
        <f>SUM(F815)</f>
        <v>1</v>
      </c>
      <c r="L814" s="44"/>
      <c r="M814" s="44" t="str">
        <f t="shared" si="12"/>
        <v/>
      </c>
      <c r="N814" s="44"/>
      <c r="O814" s="43"/>
    </row>
    <row r="815" spans="1:16" x14ac:dyDescent="0.25">
      <c r="A815" s="15" t="s">
        <v>2666</v>
      </c>
      <c r="B815" s="15" t="s">
        <v>2667</v>
      </c>
      <c r="C815" s="45" t="s">
        <v>56</v>
      </c>
      <c r="D815" s="46" t="s">
        <v>1803</v>
      </c>
      <c r="E815" s="15" t="s">
        <v>192</v>
      </c>
      <c r="F815" s="46">
        <v>1</v>
      </c>
      <c r="H815" s="45" t="s">
        <v>193</v>
      </c>
      <c r="I815" s="15" t="s">
        <v>194</v>
      </c>
      <c r="J815" s="15" t="s">
        <v>1915</v>
      </c>
      <c r="K815" s="15" t="s">
        <v>210</v>
      </c>
      <c r="L815" s="47" t="s">
        <v>2668</v>
      </c>
      <c r="M815" s="47" t="str">
        <f t="shared" si="12"/>
        <v>321403</v>
      </c>
      <c r="O815" s="65">
        <v>2</v>
      </c>
      <c r="P815" s="15"/>
    </row>
    <row r="816" spans="1:16" s="42" customFormat="1" ht="14.25" x14ac:dyDescent="0.2">
      <c r="C816" s="42" t="s">
        <v>166</v>
      </c>
      <c r="D816" s="43"/>
      <c r="F816" s="43"/>
      <c r="G816" s="43">
        <f>SUM(F817:F818)</f>
        <v>1</v>
      </c>
      <c r="L816" s="44"/>
      <c r="M816" s="44" t="str">
        <f t="shared" si="12"/>
        <v/>
      </c>
      <c r="N816" s="44"/>
      <c r="O816" s="43"/>
    </row>
    <row r="817" spans="1:16" x14ac:dyDescent="0.25">
      <c r="A817" s="15" t="s">
        <v>2669</v>
      </c>
      <c r="B817" s="15" t="s">
        <v>2670</v>
      </c>
      <c r="C817" s="45" t="s">
        <v>166</v>
      </c>
      <c r="D817" s="46" t="s">
        <v>1736</v>
      </c>
      <c r="E817" s="15" t="s">
        <v>217</v>
      </c>
      <c r="F817" s="69">
        <v>0</v>
      </c>
      <c r="H817" s="68" t="s">
        <v>194</v>
      </c>
      <c r="I817" s="15" t="s">
        <v>193</v>
      </c>
      <c r="J817" s="15" t="s">
        <v>1737</v>
      </c>
      <c r="K817" s="15" t="s">
        <v>2671</v>
      </c>
      <c r="L817" s="47" t="s">
        <v>580</v>
      </c>
      <c r="M817" s="47" t="str">
        <f t="shared" si="12"/>
        <v>311513</v>
      </c>
      <c r="O817" s="65">
        <v>3</v>
      </c>
      <c r="P817" s="46">
        <v>14</v>
      </c>
    </row>
    <row r="818" spans="1:16" x14ac:dyDescent="0.25">
      <c r="A818" s="15" t="s">
        <v>2656</v>
      </c>
      <c r="B818" s="15" t="s">
        <v>2672</v>
      </c>
      <c r="C818" s="45" t="s">
        <v>166</v>
      </c>
      <c r="D818" s="46" t="s">
        <v>1732</v>
      </c>
      <c r="E818" s="15" t="s">
        <v>192</v>
      </c>
      <c r="F818" s="46">
        <v>1</v>
      </c>
      <c r="H818" s="45" t="s">
        <v>193</v>
      </c>
      <c r="I818" s="15" t="s">
        <v>194</v>
      </c>
      <c r="J818" s="15" t="s">
        <v>1772</v>
      </c>
      <c r="K818" s="15" t="s">
        <v>210</v>
      </c>
      <c r="L818" s="47" t="s">
        <v>580</v>
      </c>
      <c r="M818" s="47" t="str">
        <f t="shared" si="12"/>
        <v>311513</v>
      </c>
      <c r="O818" s="65">
        <v>4</v>
      </c>
      <c r="P818" s="15"/>
    </row>
    <row r="819" spans="1:16" s="42" customFormat="1" ht="14.25" x14ac:dyDescent="0.2">
      <c r="C819" s="42" t="s">
        <v>104</v>
      </c>
      <c r="D819" s="43"/>
      <c r="F819" s="43"/>
      <c r="G819" s="43">
        <f>SUM(F820:F824)</f>
        <v>5</v>
      </c>
      <c r="L819" s="44"/>
      <c r="M819" s="44" t="str">
        <f t="shared" si="12"/>
        <v/>
      </c>
      <c r="N819" s="44"/>
      <c r="O819" s="43"/>
    </row>
    <row r="820" spans="1:16" x14ac:dyDescent="0.25">
      <c r="A820" s="15" t="s">
        <v>2673</v>
      </c>
      <c r="B820" s="15" t="s">
        <v>1590</v>
      </c>
      <c r="C820" s="45" t="s">
        <v>104</v>
      </c>
      <c r="D820" s="46" t="s">
        <v>1732</v>
      </c>
      <c r="E820" s="15" t="s">
        <v>192</v>
      </c>
      <c r="F820" s="46">
        <v>1</v>
      </c>
      <c r="H820" s="45" t="s">
        <v>193</v>
      </c>
      <c r="I820" s="15" t="s">
        <v>194</v>
      </c>
      <c r="J820" s="15" t="s">
        <v>1955</v>
      </c>
      <c r="K820" s="15" t="s">
        <v>210</v>
      </c>
      <c r="L820" s="47" t="s">
        <v>703</v>
      </c>
      <c r="M820" s="47" t="str">
        <f t="shared" si="12"/>
        <v>411004</v>
      </c>
      <c r="O820" s="65">
        <v>5</v>
      </c>
      <c r="P820" s="15"/>
    </row>
    <row r="821" spans="1:16" x14ac:dyDescent="0.25">
      <c r="A821" s="15" t="s">
        <v>1373</v>
      </c>
      <c r="B821" s="15" t="s">
        <v>1590</v>
      </c>
      <c r="C821" s="45" t="s">
        <v>104</v>
      </c>
      <c r="D821" s="46" t="s">
        <v>1732</v>
      </c>
      <c r="E821" s="15" t="s">
        <v>192</v>
      </c>
      <c r="F821" s="46">
        <v>1</v>
      </c>
      <c r="H821" s="45" t="s">
        <v>193</v>
      </c>
      <c r="I821" s="15" t="s">
        <v>194</v>
      </c>
      <c r="J821" s="15" t="s">
        <v>1734</v>
      </c>
      <c r="K821" s="15" t="s">
        <v>223</v>
      </c>
      <c r="L821" s="47" t="s">
        <v>703</v>
      </c>
      <c r="M821" s="47" t="str">
        <f t="shared" si="12"/>
        <v>411004</v>
      </c>
      <c r="O821" s="65">
        <v>6</v>
      </c>
      <c r="P821" s="15"/>
    </row>
    <row r="822" spans="1:16" x14ac:dyDescent="0.25">
      <c r="A822" s="15" t="s">
        <v>2034</v>
      </c>
      <c r="B822" s="15" t="s">
        <v>2674</v>
      </c>
      <c r="C822" s="45" t="s">
        <v>104</v>
      </c>
      <c r="D822" s="46" t="s">
        <v>1761</v>
      </c>
      <c r="E822" s="15" t="s">
        <v>192</v>
      </c>
      <c r="F822" s="46">
        <v>1</v>
      </c>
      <c r="H822" s="45" t="s">
        <v>193</v>
      </c>
      <c r="I822" s="15" t="s">
        <v>194</v>
      </c>
      <c r="J822" s="15" t="s">
        <v>1762</v>
      </c>
      <c r="K822" s="15" t="s">
        <v>210</v>
      </c>
      <c r="L822" s="47" t="s">
        <v>703</v>
      </c>
      <c r="M822" s="47" t="str">
        <f t="shared" si="12"/>
        <v>411004</v>
      </c>
      <c r="O822" s="65">
        <v>7</v>
      </c>
      <c r="P822" s="15"/>
    </row>
    <row r="823" spans="1:16" x14ac:dyDescent="0.25">
      <c r="A823" s="15" t="s">
        <v>2093</v>
      </c>
      <c r="B823" s="15" t="s">
        <v>2675</v>
      </c>
      <c r="C823" s="45" t="s">
        <v>104</v>
      </c>
      <c r="D823" s="46" t="s">
        <v>1736</v>
      </c>
      <c r="E823" s="15" t="s">
        <v>233</v>
      </c>
      <c r="F823" s="46">
        <v>1</v>
      </c>
      <c r="H823" s="45" t="s">
        <v>193</v>
      </c>
      <c r="I823" s="15" t="s">
        <v>194</v>
      </c>
      <c r="J823" s="15" t="s">
        <v>1836</v>
      </c>
      <c r="K823" s="15" t="s">
        <v>253</v>
      </c>
      <c r="L823" s="47" t="s">
        <v>703</v>
      </c>
      <c r="M823" s="47" t="str">
        <f t="shared" si="12"/>
        <v>411004</v>
      </c>
      <c r="O823" s="65">
        <v>8</v>
      </c>
      <c r="P823" s="15"/>
    </row>
    <row r="824" spans="1:16" x14ac:dyDescent="0.25">
      <c r="A824" s="15" t="s">
        <v>2093</v>
      </c>
      <c r="B824" s="15" t="s">
        <v>2675</v>
      </c>
      <c r="C824" s="45" t="s">
        <v>104</v>
      </c>
      <c r="D824" s="46" t="s">
        <v>1736</v>
      </c>
      <c r="E824" s="15" t="s">
        <v>233</v>
      </c>
      <c r="F824" s="46">
        <v>1</v>
      </c>
      <c r="H824" s="45" t="s">
        <v>193</v>
      </c>
      <c r="I824" s="15" t="s">
        <v>194</v>
      </c>
      <c r="J824" s="15" t="s">
        <v>1836</v>
      </c>
      <c r="K824" s="15" t="s">
        <v>210</v>
      </c>
      <c r="L824" s="47" t="s">
        <v>703</v>
      </c>
      <c r="M824" s="47" t="str">
        <f t="shared" si="12"/>
        <v>411004</v>
      </c>
      <c r="O824" s="65">
        <v>9</v>
      </c>
      <c r="P824" s="15"/>
    </row>
    <row r="825" spans="1:16" s="42" customFormat="1" ht="14.25" x14ac:dyDescent="0.2">
      <c r="C825" s="42" t="s">
        <v>105</v>
      </c>
      <c r="D825" s="43"/>
      <c r="F825" s="43"/>
      <c r="G825" s="43">
        <f>SUM(F826:F830)</f>
        <v>5</v>
      </c>
      <c r="L825" s="44"/>
      <c r="M825" s="44" t="str">
        <f t="shared" si="12"/>
        <v/>
      </c>
      <c r="N825" s="44"/>
      <c r="O825" s="43"/>
    </row>
    <row r="826" spans="1:16" x14ac:dyDescent="0.25">
      <c r="A826" s="15" t="s">
        <v>2535</v>
      </c>
      <c r="B826" s="15" t="s">
        <v>2676</v>
      </c>
      <c r="C826" s="45" t="s">
        <v>105</v>
      </c>
      <c r="D826" s="46" t="s">
        <v>1740</v>
      </c>
      <c r="E826" s="15" t="s">
        <v>192</v>
      </c>
      <c r="F826" s="46">
        <v>1</v>
      </c>
      <c r="H826" s="45" t="s">
        <v>193</v>
      </c>
      <c r="I826" s="15" t="s">
        <v>194</v>
      </c>
      <c r="J826" s="15" t="s">
        <v>1729</v>
      </c>
      <c r="K826" s="15" t="s">
        <v>276</v>
      </c>
      <c r="L826" s="47" t="s">
        <v>676</v>
      </c>
      <c r="M826" s="47" t="str">
        <f t="shared" si="12"/>
        <v>333108</v>
      </c>
      <c r="O826" s="65">
        <v>660</v>
      </c>
      <c r="P826" s="15"/>
    </row>
    <row r="827" spans="1:16" x14ac:dyDescent="0.25">
      <c r="A827" s="15" t="s">
        <v>2677</v>
      </c>
      <c r="B827" s="15" t="s">
        <v>2678</v>
      </c>
      <c r="C827" s="45" t="s">
        <v>105</v>
      </c>
      <c r="D827" s="46" t="s">
        <v>1728</v>
      </c>
      <c r="E827" s="15" t="s">
        <v>217</v>
      </c>
      <c r="F827" s="46">
        <v>1</v>
      </c>
      <c r="H827" s="45" t="s">
        <v>193</v>
      </c>
      <c r="I827" s="15" t="s">
        <v>194</v>
      </c>
      <c r="J827" s="15" t="s">
        <v>1754</v>
      </c>
      <c r="K827" s="15" t="s">
        <v>210</v>
      </c>
      <c r="L827" s="47" t="s">
        <v>676</v>
      </c>
      <c r="M827" s="47" t="str">
        <f t="shared" si="12"/>
        <v>333108</v>
      </c>
      <c r="O827" s="65">
        <v>1</v>
      </c>
      <c r="P827" s="15"/>
    </row>
    <row r="828" spans="1:16" x14ac:dyDescent="0.25">
      <c r="A828" s="15" t="s">
        <v>2677</v>
      </c>
      <c r="B828" s="15" t="s">
        <v>2678</v>
      </c>
      <c r="C828" s="45" t="s">
        <v>105</v>
      </c>
      <c r="D828" s="46" t="s">
        <v>1860</v>
      </c>
      <c r="E828" s="15" t="s">
        <v>217</v>
      </c>
      <c r="F828" s="46">
        <v>1</v>
      </c>
      <c r="H828" s="45" t="s">
        <v>193</v>
      </c>
      <c r="I828" s="15" t="s">
        <v>194</v>
      </c>
      <c r="J828" s="15" t="s">
        <v>1754</v>
      </c>
      <c r="K828" s="15" t="s">
        <v>210</v>
      </c>
      <c r="L828" s="47" t="s">
        <v>676</v>
      </c>
      <c r="M828" s="47" t="str">
        <f t="shared" si="12"/>
        <v>333108</v>
      </c>
      <c r="O828" s="65">
        <v>2</v>
      </c>
      <c r="P828" s="15"/>
    </row>
    <row r="829" spans="1:16" x14ac:dyDescent="0.25">
      <c r="A829" s="15" t="s">
        <v>2679</v>
      </c>
      <c r="B829" s="15" t="s">
        <v>2678</v>
      </c>
      <c r="C829" s="45" t="s">
        <v>105</v>
      </c>
      <c r="D829" s="46" t="s">
        <v>1803</v>
      </c>
      <c r="E829" s="15" t="s">
        <v>192</v>
      </c>
      <c r="F829" s="46">
        <v>1</v>
      </c>
      <c r="H829" s="45" t="s">
        <v>193</v>
      </c>
      <c r="I829" s="15" t="s">
        <v>194</v>
      </c>
      <c r="J829" s="15" t="s">
        <v>1754</v>
      </c>
      <c r="K829" s="15" t="s">
        <v>210</v>
      </c>
      <c r="L829" s="47" t="s">
        <v>676</v>
      </c>
      <c r="M829" s="47" t="str">
        <f t="shared" si="12"/>
        <v>333108</v>
      </c>
      <c r="O829" s="65">
        <v>3</v>
      </c>
      <c r="P829" s="15"/>
    </row>
    <row r="830" spans="1:16" x14ac:dyDescent="0.25">
      <c r="A830" s="15" t="s">
        <v>2677</v>
      </c>
      <c r="B830" s="15" t="s">
        <v>2678</v>
      </c>
      <c r="C830" s="45" t="s">
        <v>105</v>
      </c>
      <c r="D830" s="46" t="s">
        <v>1803</v>
      </c>
      <c r="E830" s="15" t="s">
        <v>217</v>
      </c>
      <c r="F830" s="46">
        <v>1</v>
      </c>
      <c r="H830" s="45" t="s">
        <v>193</v>
      </c>
      <c r="I830" s="15" t="s">
        <v>194</v>
      </c>
      <c r="J830" s="15" t="s">
        <v>1754</v>
      </c>
      <c r="K830" s="15" t="s">
        <v>210</v>
      </c>
      <c r="L830" s="47" t="s">
        <v>676</v>
      </c>
      <c r="M830" s="47" t="str">
        <f t="shared" si="12"/>
        <v>333108</v>
      </c>
      <c r="O830" s="65">
        <v>4</v>
      </c>
      <c r="P830" s="15"/>
    </row>
    <row r="831" spans="1:16" s="42" customFormat="1" ht="14.25" x14ac:dyDescent="0.2">
      <c r="C831" s="42" t="s">
        <v>165</v>
      </c>
      <c r="D831" s="43"/>
      <c r="F831" s="43"/>
      <c r="G831" s="43">
        <f>SUM(F832)</f>
        <v>1</v>
      </c>
      <c r="L831" s="44"/>
      <c r="M831" s="44" t="str">
        <f t="shared" si="12"/>
        <v/>
      </c>
      <c r="N831" s="44"/>
      <c r="O831" s="43"/>
    </row>
    <row r="832" spans="1:16" x14ac:dyDescent="0.25">
      <c r="A832" s="15" t="s">
        <v>324</v>
      </c>
      <c r="B832" s="15" t="s">
        <v>2680</v>
      </c>
      <c r="C832" s="45" t="s">
        <v>165</v>
      </c>
      <c r="D832" s="46" t="s">
        <v>1761</v>
      </c>
      <c r="E832" s="15" t="s">
        <v>192</v>
      </c>
      <c r="F832" s="46">
        <v>1</v>
      </c>
      <c r="H832" s="45" t="s">
        <v>193</v>
      </c>
      <c r="I832" s="15" t="s">
        <v>194</v>
      </c>
      <c r="J832" s="15" t="s">
        <v>1754</v>
      </c>
      <c r="K832" s="15" t="s">
        <v>276</v>
      </c>
      <c r="L832" s="47" t="s">
        <v>2681</v>
      </c>
      <c r="M832" s="47" t="str">
        <f t="shared" si="12"/>
        <v>314416</v>
      </c>
      <c r="O832" s="65">
        <v>5</v>
      </c>
      <c r="P832" s="15"/>
    </row>
    <row r="833" spans="1:16" s="42" customFormat="1" ht="14.25" x14ac:dyDescent="0.2">
      <c r="B833" s="42" t="s">
        <v>2682</v>
      </c>
      <c r="C833" s="42" t="s">
        <v>64</v>
      </c>
      <c r="D833" s="43"/>
      <c r="F833" s="43"/>
      <c r="G833" s="43">
        <f>SUM(F834)</f>
        <v>1</v>
      </c>
      <c r="L833" s="44"/>
      <c r="M833" s="44" t="str">
        <f t="shared" si="12"/>
        <v/>
      </c>
      <c r="N833" s="44"/>
      <c r="O833" s="43"/>
    </row>
    <row r="834" spans="1:16" x14ac:dyDescent="0.25">
      <c r="A834" s="15" t="s">
        <v>2683</v>
      </c>
      <c r="B834" s="15" t="s">
        <v>2130</v>
      </c>
      <c r="C834" s="45" t="s">
        <v>2684</v>
      </c>
      <c r="D834" s="46" t="s">
        <v>1731</v>
      </c>
      <c r="E834" s="15" t="s">
        <v>233</v>
      </c>
      <c r="F834" s="46">
        <v>1</v>
      </c>
      <c r="H834" s="45" t="s">
        <v>193</v>
      </c>
      <c r="I834" s="15" t="s">
        <v>194</v>
      </c>
      <c r="J834" s="15" t="s">
        <v>1915</v>
      </c>
      <c r="K834" s="15" t="s">
        <v>408</v>
      </c>
      <c r="L834" s="47" t="s">
        <v>2685</v>
      </c>
      <c r="M834" s="47" t="str">
        <f t="shared" si="12"/>
        <v>324002</v>
      </c>
      <c r="O834" s="65">
        <v>6</v>
      </c>
      <c r="P834" s="15"/>
    </row>
    <row r="835" spans="1:16" s="42" customFormat="1" ht="14.25" x14ac:dyDescent="0.2">
      <c r="C835" s="42" t="s">
        <v>53</v>
      </c>
      <c r="D835" s="43"/>
      <c r="F835" s="43"/>
      <c r="G835" s="43">
        <f>SUM(F836:F838)</f>
        <v>3</v>
      </c>
      <c r="L835" s="44"/>
      <c r="M835" s="44" t="str">
        <f t="shared" si="12"/>
        <v/>
      </c>
      <c r="N835" s="44"/>
      <c r="O835" s="43"/>
    </row>
    <row r="836" spans="1:16" x14ac:dyDescent="0.25">
      <c r="A836" s="15" t="s">
        <v>2686</v>
      </c>
      <c r="B836" s="15" t="s">
        <v>2687</v>
      </c>
      <c r="C836" s="45" t="s">
        <v>2688</v>
      </c>
      <c r="D836" s="46" t="s">
        <v>1736</v>
      </c>
      <c r="E836" s="15" t="s">
        <v>192</v>
      </c>
      <c r="F836" s="46">
        <v>1</v>
      </c>
      <c r="H836" s="45" t="s">
        <v>193</v>
      </c>
      <c r="I836" s="15" t="s">
        <v>194</v>
      </c>
      <c r="J836" s="15" t="s">
        <v>1836</v>
      </c>
      <c r="K836" s="15" t="s">
        <v>210</v>
      </c>
      <c r="L836" s="47" t="s">
        <v>346</v>
      </c>
      <c r="M836" s="47" t="str">
        <f t="shared" si="12"/>
        <v>214931</v>
      </c>
      <c r="O836" s="65">
        <v>7</v>
      </c>
      <c r="P836" s="15"/>
    </row>
    <row r="837" spans="1:16" x14ac:dyDescent="0.25">
      <c r="A837" s="15" t="s">
        <v>2689</v>
      </c>
      <c r="B837" s="15" t="s">
        <v>2690</v>
      </c>
      <c r="C837" s="45" t="s">
        <v>2688</v>
      </c>
      <c r="D837" s="46" t="s">
        <v>1728</v>
      </c>
      <c r="E837" s="15" t="s">
        <v>192</v>
      </c>
      <c r="F837" s="46">
        <v>1</v>
      </c>
      <c r="H837" s="45" t="s">
        <v>193</v>
      </c>
      <c r="I837" s="15" t="s">
        <v>194</v>
      </c>
      <c r="J837" s="15" t="s">
        <v>1732</v>
      </c>
      <c r="K837" s="15" t="s">
        <v>316</v>
      </c>
      <c r="L837" s="47" t="s">
        <v>346</v>
      </c>
      <c r="M837" s="47" t="str">
        <f t="shared" ref="M837:M885" si="13">MID(L837,8,6)</f>
        <v>214931</v>
      </c>
      <c r="O837" s="65">
        <v>8</v>
      </c>
      <c r="P837" s="15"/>
    </row>
    <row r="838" spans="1:16" x14ac:dyDescent="0.25">
      <c r="A838" s="15" t="s">
        <v>1945</v>
      </c>
      <c r="B838" s="15" t="s">
        <v>2691</v>
      </c>
      <c r="C838" s="45" t="s">
        <v>2688</v>
      </c>
      <c r="D838" s="46" t="s">
        <v>1740</v>
      </c>
      <c r="E838" s="15" t="s">
        <v>192</v>
      </c>
      <c r="F838" s="46">
        <v>1</v>
      </c>
      <c r="H838" s="45" t="s">
        <v>193</v>
      </c>
      <c r="I838" s="15" t="s">
        <v>194</v>
      </c>
      <c r="J838" s="15" t="s">
        <v>1732</v>
      </c>
      <c r="K838" s="15" t="s">
        <v>316</v>
      </c>
      <c r="L838" s="47" t="s">
        <v>346</v>
      </c>
      <c r="M838" s="47" t="str">
        <f t="shared" si="13"/>
        <v>214931</v>
      </c>
      <c r="O838" s="65">
        <v>9</v>
      </c>
      <c r="P838" s="15"/>
    </row>
    <row r="839" spans="1:16" s="50" customFormat="1" x14ac:dyDescent="0.25">
      <c r="C839" s="50" t="s">
        <v>57</v>
      </c>
      <c r="D839" s="51"/>
      <c r="F839" s="51"/>
      <c r="G839" s="51">
        <f>SUM(F840)</f>
        <v>1</v>
      </c>
      <c r="L839" s="52"/>
      <c r="M839" s="52" t="str">
        <f t="shared" si="13"/>
        <v/>
      </c>
      <c r="N839" s="52"/>
      <c r="O839" s="43"/>
    </row>
    <row r="840" spans="1:16" x14ac:dyDescent="0.25">
      <c r="A840" s="15" t="s">
        <v>919</v>
      </c>
      <c r="B840" s="15" t="s">
        <v>2692</v>
      </c>
      <c r="C840" s="45" t="s">
        <v>57</v>
      </c>
      <c r="D840" s="46" t="s">
        <v>1740</v>
      </c>
      <c r="E840" s="15" t="s">
        <v>192</v>
      </c>
      <c r="F840" s="46">
        <v>1</v>
      </c>
      <c r="H840" s="45" t="s">
        <v>193</v>
      </c>
      <c r="I840" s="15" t="s">
        <v>194</v>
      </c>
      <c r="J840" s="15" t="s">
        <v>1759</v>
      </c>
      <c r="K840" s="15" t="s">
        <v>210</v>
      </c>
      <c r="L840" s="47" t="s">
        <v>2693</v>
      </c>
      <c r="M840" s="47" t="str">
        <f t="shared" si="13"/>
        <v>524404</v>
      </c>
      <c r="O840" s="65">
        <v>670</v>
      </c>
      <c r="P840" s="15"/>
    </row>
    <row r="841" spans="1:16" s="50" customFormat="1" x14ac:dyDescent="0.25">
      <c r="C841" s="50" t="s">
        <v>164</v>
      </c>
      <c r="D841" s="51"/>
      <c r="F841" s="51"/>
      <c r="G841" s="51">
        <f>SUM(F842)</f>
        <v>1</v>
      </c>
      <c r="L841" s="52"/>
      <c r="M841" s="52" t="str">
        <f t="shared" si="13"/>
        <v/>
      </c>
      <c r="N841" s="52"/>
      <c r="O841" s="43"/>
    </row>
    <row r="842" spans="1:16" x14ac:dyDescent="0.25">
      <c r="A842" s="15" t="s">
        <v>2694</v>
      </c>
      <c r="B842" s="15" t="s">
        <v>2695</v>
      </c>
      <c r="C842" s="45" t="s">
        <v>164</v>
      </c>
      <c r="D842" s="46" t="s">
        <v>1803</v>
      </c>
      <c r="E842" s="15" t="s">
        <v>192</v>
      </c>
      <c r="F842" s="46">
        <v>1</v>
      </c>
      <c r="H842" s="45" t="s">
        <v>193</v>
      </c>
      <c r="I842" s="15" t="s">
        <v>194</v>
      </c>
      <c r="J842" s="15" t="s">
        <v>1732</v>
      </c>
      <c r="K842" s="15" t="s">
        <v>223</v>
      </c>
      <c r="L842" s="47" t="s">
        <v>2696</v>
      </c>
      <c r="M842" s="47" t="str">
        <f t="shared" si="13"/>
        <v>818124</v>
      </c>
      <c r="O842" s="65">
        <v>1</v>
      </c>
      <c r="P842" s="15"/>
    </row>
    <row r="843" spans="1:16" s="42" customFormat="1" ht="14.25" x14ac:dyDescent="0.2">
      <c r="C843" s="42" t="s">
        <v>7</v>
      </c>
      <c r="D843" s="43"/>
      <c r="F843" s="43"/>
      <c r="G843" s="43">
        <f>SUM(F844:F847)</f>
        <v>4</v>
      </c>
      <c r="L843" s="44"/>
      <c r="M843" s="44" t="str">
        <f t="shared" si="13"/>
        <v/>
      </c>
      <c r="N843" s="44"/>
      <c r="O843" s="43"/>
    </row>
    <row r="844" spans="1:16" x14ac:dyDescent="0.25">
      <c r="A844" s="15" t="s">
        <v>2093</v>
      </c>
      <c r="B844" s="15" t="s">
        <v>2697</v>
      </c>
      <c r="C844" s="45" t="s">
        <v>7</v>
      </c>
      <c r="D844" s="46" t="s">
        <v>1728</v>
      </c>
      <c r="E844" s="15" t="s">
        <v>233</v>
      </c>
      <c r="F844" s="46">
        <v>1</v>
      </c>
      <c r="H844" s="45" t="s">
        <v>193</v>
      </c>
      <c r="I844" s="15" t="s">
        <v>194</v>
      </c>
      <c r="J844" s="15" t="s">
        <v>1729</v>
      </c>
      <c r="K844" s="15" t="s">
        <v>2131</v>
      </c>
      <c r="L844" s="47" t="s">
        <v>2698</v>
      </c>
      <c r="M844" s="47" t="str">
        <f t="shared" si="13"/>
        <v>335203</v>
      </c>
      <c r="O844" s="65">
        <v>2</v>
      </c>
      <c r="P844" s="15"/>
    </row>
    <row r="845" spans="1:16" x14ac:dyDescent="0.25">
      <c r="A845" s="15" t="s">
        <v>2093</v>
      </c>
      <c r="B845" s="15" t="s">
        <v>2697</v>
      </c>
      <c r="C845" s="45" t="s">
        <v>7</v>
      </c>
      <c r="D845" s="46" t="s">
        <v>1803</v>
      </c>
      <c r="E845" s="15" t="s">
        <v>233</v>
      </c>
      <c r="F845" s="46">
        <v>1</v>
      </c>
      <c r="H845" s="45" t="s">
        <v>193</v>
      </c>
      <c r="I845" s="15" t="s">
        <v>194</v>
      </c>
      <c r="J845" s="15" t="s">
        <v>1729</v>
      </c>
      <c r="K845" s="15" t="s">
        <v>399</v>
      </c>
      <c r="L845" s="47" t="s">
        <v>2698</v>
      </c>
      <c r="M845" s="47" t="str">
        <f t="shared" si="13"/>
        <v>335203</v>
      </c>
      <c r="O845" s="65">
        <v>3</v>
      </c>
      <c r="P845" s="15"/>
    </row>
    <row r="846" spans="1:16" x14ac:dyDescent="0.25">
      <c r="A846" s="15" t="s">
        <v>2093</v>
      </c>
      <c r="B846" s="15" t="s">
        <v>2697</v>
      </c>
      <c r="C846" s="45" t="s">
        <v>7</v>
      </c>
      <c r="D846" s="46" t="s">
        <v>1803</v>
      </c>
      <c r="E846" s="15" t="s">
        <v>233</v>
      </c>
      <c r="F846" s="46">
        <v>1</v>
      </c>
      <c r="H846" s="45" t="s">
        <v>193</v>
      </c>
      <c r="I846" s="15" t="s">
        <v>194</v>
      </c>
      <c r="J846" s="15" t="s">
        <v>1729</v>
      </c>
      <c r="K846" s="15" t="s">
        <v>210</v>
      </c>
      <c r="L846" s="47" t="s">
        <v>2698</v>
      </c>
      <c r="M846" s="47" t="str">
        <f t="shared" si="13"/>
        <v>335203</v>
      </c>
      <c r="O846" s="65">
        <v>4</v>
      </c>
      <c r="P846" s="15"/>
    </row>
    <row r="847" spans="1:16" x14ac:dyDescent="0.25">
      <c r="A847" s="15" t="s">
        <v>2093</v>
      </c>
      <c r="B847" s="15" t="s">
        <v>2697</v>
      </c>
      <c r="C847" s="45" t="s">
        <v>7</v>
      </c>
      <c r="D847" s="46" t="s">
        <v>1745</v>
      </c>
      <c r="E847" s="15" t="s">
        <v>233</v>
      </c>
      <c r="F847" s="46">
        <v>1</v>
      </c>
      <c r="H847" s="45" t="s">
        <v>193</v>
      </c>
      <c r="I847" s="15" t="s">
        <v>194</v>
      </c>
      <c r="J847" s="15" t="s">
        <v>1729</v>
      </c>
      <c r="K847" s="15" t="s">
        <v>267</v>
      </c>
      <c r="L847" s="47" t="s">
        <v>2698</v>
      </c>
      <c r="M847" s="47" t="str">
        <f t="shared" si="13"/>
        <v>335203</v>
      </c>
      <c r="O847" s="65">
        <v>5</v>
      </c>
      <c r="P847" s="15"/>
    </row>
    <row r="848" spans="1:16" s="42" customFormat="1" ht="14.25" x14ac:dyDescent="0.2">
      <c r="C848" s="42" t="s">
        <v>41</v>
      </c>
      <c r="D848" s="43"/>
      <c r="F848" s="43"/>
      <c r="G848" s="43">
        <f>SUM(F849:F850)</f>
        <v>2</v>
      </c>
      <c r="L848" s="44"/>
      <c r="M848" s="44" t="str">
        <f t="shared" si="13"/>
        <v/>
      </c>
      <c r="N848" s="44"/>
      <c r="O848" s="43"/>
    </row>
    <row r="849" spans="1:16" x14ac:dyDescent="0.25">
      <c r="A849" s="15" t="s">
        <v>1757</v>
      </c>
      <c r="B849" s="15" t="s">
        <v>2699</v>
      </c>
      <c r="C849" s="45" t="s">
        <v>1384</v>
      </c>
      <c r="D849" s="46" t="s">
        <v>1728</v>
      </c>
      <c r="E849" s="15" t="s">
        <v>192</v>
      </c>
      <c r="F849" s="46">
        <v>1</v>
      </c>
      <c r="H849" s="45" t="s">
        <v>193</v>
      </c>
      <c r="I849" s="15" t="s">
        <v>194</v>
      </c>
      <c r="J849" s="15" t="s">
        <v>1732</v>
      </c>
      <c r="K849" s="15" t="s">
        <v>267</v>
      </c>
      <c r="L849" s="47" t="s">
        <v>1385</v>
      </c>
      <c r="M849" s="47" t="str">
        <f t="shared" si="13"/>
        <v>235915</v>
      </c>
      <c r="O849" s="65">
        <v>6</v>
      </c>
      <c r="P849" s="15"/>
    </row>
    <row r="850" spans="1:16" x14ac:dyDescent="0.25">
      <c r="A850" s="15" t="s">
        <v>413</v>
      </c>
      <c r="B850" s="15" t="s">
        <v>2699</v>
      </c>
      <c r="C850" s="45" t="s">
        <v>1384</v>
      </c>
      <c r="D850" s="46" t="s">
        <v>1745</v>
      </c>
      <c r="E850" s="15" t="s">
        <v>192</v>
      </c>
      <c r="F850" s="46">
        <v>1</v>
      </c>
      <c r="H850" s="45" t="s">
        <v>193</v>
      </c>
      <c r="I850" s="15" t="s">
        <v>194</v>
      </c>
      <c r="J850" s="15" t="s">
        <v>1732</v>
      </c>
      <c r="K850" s="15" t="s">
        <v>385</v>
      </c>
      <c r="L850" s="47" t="s">
        <v>1385</v>
      </c>
      <c r="M850" s="47" t="str">
        <f t="shared" si="13"/>
        <v>235915</v>
      </c>
      <c r="O850" s="65">
        <v>7</v>
      </c>
      <c r="P850" s="15"/>
    </row>
    <row r="851" spans="1:16" s="42" customFormat="1" ht="14.25" x14ac:dyDescent="0.2">
      <c r="C851" s="42" t="s">
        <v>156</v>
      </c>
      <c r="D851" s="43"/>
      <c r="F851" s="43"/>
      <c r="G851" s="43">
        <f>SUM(F852)</f>
        <v>1</v>
      </c>
      <c r="L851" s="44"/>
      <c r="M851" s="44" t="str">
        <f t="shared" si="13"/>
        <v/>
      </c>
      <c r="N851" s="44"/>
      <c r="O851" s="43"/>
    </row>
    <row r="852" spans="1:16" x14ac:dyDescent="0.25">
      <c r="A852" s="15" t="s">
        <v>2700</v>
      </c>
      <c r="B852" s="15" t="s">
        <v>2701</v>
      </c>
      <c r="C852" s="45" t="s">
        <v>156</v>
      </c>
      <c r="D852" s="46" t="s">
        <v>1740</v>
      </c>
      <c r="E852" s="15" t="s">
        <v>192</v>
      </c>
      <c r="F852" s="46">
        <v>1</v>
      </c>
      <c r="H852" s="45" t="s">
        <v>193</v>
      </c>
      <c r="I852" s="15" t="s">
        <v>194</v>
      </c>
      <c r="J852" s="15" t="s">
        <v>1762</v>
      </c>
      <c r="K852" s="15" t="s">
        <v>301</v>
      </c>
      <c r="L852" s="47" t="s">
        <v>659</v>
      </c>
      <c r="M852" s="47" t="str">
        <f t="shared" si="13"/>
        <v>332302</v>
      </c>
      <c r="O852" s="65">
        <v>8</v>
      </c>
      <c r="P852" s="15"/>
    </row>
    <row r="853" spans="1:16" s="3" customFormat="1" x14ac:dyDescent="0.25">
      <c r="D853" s="2"/>
      <c r="F853" s="2"/>
      <c r="G853" s="2">
        <f>SUM(G3:G852)</f>
        <v>704</v>
      </c>
      <c r="L853" s="37"/>
      <c r="M853" s="37" t="str">
        <f t="shared" si="13"/>
        <v/>
      </c>
      <c r="N853" s="37"/>
      <c r="O853" s="10">
        <v>678</v>
      </c>
    </row>
    <row r="854" spans="1:16" s="53" customFormat="1" ht="14.25" x14ac:dyDescent="0.2">
      <c r="C854" s="53" t="s">
        <v>2702</v>
      </c>
      <c r="D854" s="54"/>
      <c r="F854" s="54"/>
      <c r="G854" s="54">
        <v>31</v>
      </c>
      <c r="L854" s="55"/>
      <c r="M854" s="55" t="str">
        <f t="shared" si="13"/>
        <v/>
      </c>
      <c r="N854" s="55"/>
      <c r="O854" s="54"/>
    </row>
    <row r="855" spans="1:16" x14ac:dyDescent="0.25">
      <c r="A855" s="15" t="s">
        <v>1959</v>
      </c>
      <c r="B855" s="15" t="s">
        <v>2703</v>
      </c>
      <c r="D855" s="46" t="s">
        <v>1732</v>
      </c>
      <c r="E855" s="15" t="s">
        <v>192</v>
      </c>
      <c r="F855" s="46">
        <v>0</v>
      </c>
      <c r="H855" s="67" t="s">
        <v>194</v>
      </c>
      <c r="I855" s="45" t="s">
        <v>193</v>
      </c>
      <c r="J855" s="15" t="s">
        <v>1734</v>
      </c>
      <c r="K855" s="15" t="s">
        <v>196</v>
      </c>
      <c r="L855" s="47">
        <v>1</v>
      </c>
      <c r="M855" s="47" t="str">
        <f t="shared" si="13"/>
        <v/>
      </c>
      <c r="O855" s="65">
        <v>13</v>
      </c>
      <c r="P855" s="46">
        <v>15</v>
      </c>
    </row>
    <row r="856" spans="1:16" x14ac:dyDescent="0.25">
      <c r="A856" s="15" t="s">
        <v>2704</v>
      </c>
      <c r="B856" s="15" t="s">
        <v>1724</v>
      </c>
      <c r="D856" s="46" t="s">
        <v>1740</v>
      </c>
      <c r="E856" s="15" t="s">
        <v>192</v>
      </c>
      <c r="F856" s="46">
        <v>0</v>
      </c>
      <c r="H856" s="67" t="s">
        <v>194</v>
      </c>
      <c r="I856" s="45" t="s">
        <v>193</v>
      </c>
      <c r="J856" s="15" t="s">
        <v>1776</v>
      </c>
      <c r="K856" s="15" t="s">
        <v>196</v>
      </c>
      <c r="L856" s="47">
        <v>2</v>
      </c>
      <c r="M856" s="47" t="str">
        <f t="shared" si="13"/>
        <v/>
      </c>
      <c r="O856" s="65">
        <v>14</v>
      </c>
      <c r="P856" s="46">
        <v>16</v>
      </c>
    </row>
    <row r="857" spans="1:16" x14ac:dyDescent="0.25">
      <c r="A857" s="15" t="s">
        <v>1879</v>
      </c>
      <c r="B857" s="15" t="s">
        <v>1880</v>
      </c>
      <c r="D857" s="46" t="s">
        <v>1761</v>
      </c>
      <c r="E857" s="15" t="s">
        <v>217</v>
      </c>
      <c r="F857" s="46">
        <v>0</v>
      </c>
      <c r="H857" s="67" t="s">
        <v>194</v>
      </c>
      <c r="I857" s="45" t="s">
        <v>193</v>
      </c>
      <c r="J857" s="15" t="s">
        <v>1746</v>
      </c>
      <c r="K857" s="15" t="s">
        <v>196</v>
      </c>
      <c r="L857" s="47">
        <v>3</v>
      </c>
      <c r="M857" s="47" t="str">
        <f t="shared" si="13"/>
        <v/>
      </c>
      <c r="O857" s="65">
        <v>15</v>
      </c>
      <c r="P857" s="46">
        <v>17</v>
      </c>
    </row>
    <row r="858" spans="1:16" x14ac:dyDescent="0.25">
      <c r="A858" s="15" t="s">
        <v>2705</v>
      </c>
      <c r="B858" s="15" t="s">
        <v>2706</v>
      </c>
      <c r="D858" s="46" t="s">
        <v>1736</v>
      </c>
      <c r="E858" s="15" t="s">
        <v>233</v>
      </c>
      <c r="F858" s="69">
        <v>0</v>
      </c>
      <c r="H858" s="67" t="s">
        <v>194</v>
      </c>
      <c r="I858" s="45" t="s">
        <v>193</v>
      </c>
      <c r="J858" s="15" t="s">
        <v>1737</v>
      </c>
      <c r="K858" s="15" t="s">
        <v>196</v>
      </c>
      <c r="L858" s="47">
        <v>4</v>
      </c>
      <c r="M858" s="47" t="str">
        <f t="shared" si="13"/>
        <v/>
      </c>
      <c r="O858" s="65">
        <v>16</v>
      </c>
      <c r="P858" s="46">
        <v>18</v>
      </c>
    </row>
    <row r="859" spans="1:16" x14ac:dyDescent="0.25">
      <c r="A859" s="15" t="s">
        <v>915</v>
      </c>
      <c r="B859" s="15" t="s">
        <v>2707</v>
      </c>
      <c r="D859" s="46" t="s">
        <v>1779</v>
      </c>
      <c r="E859" s="15" t="s">
        <v>233</v>
      </c>
      <c r="F859" s="46">
        <v>0</v>
      </c>
      <c r="H859" s="67" t="s">
        <v>194</v>
      </c>
      <c r="I859" s="45" t="s">
        <v>193</v>
      </c>
      <c r="J859" s="15" t="s">
        <v>1746</v>
      </c>
      <c r="K859" s="15" t="s">
        <v>196</v>
      </c>
      <c r="L859" s="47">
        <v>5</v>
      </c>
      <c r="M859" s="47" t="str">
        <f t="shared" si="13"/>
        <v/>
      </c>
      <c r="O859" s="65">
        <v>17</v>
      </c>
      <c r="P859" s="46">
        <v>19</v>
      </c>
    </row>
    <row r="860" spans="1:16" x14ac:dyDescent="0.25">
      <c r="A860" s="15" t="s">
        <v>2708</v>
      </c>
      <c r="B860" s="15" t="s">
        <v>2709</v>
      </c>
      <c r="D860" s="46" t="s">
        <v>1736</v>
      </c>
      <c r="E860" s="15" t="s">
        <v>217</v>
      </c>
      <c r="F860" s="46">
        <v>0</v>
      </c>
      <c r="H860" s="67" t="s">
        <v>194</v>
      </c>
      <c r="I860" s="45" t="s">
        <v>193</v>
      </c>
      <c r="J860" s="15" t="s">
        <v>1746</v>
      </c>
      <c r="K860" s="15" t="s">
        <v>196</v>
      </c>
      <c r="L860" s="47">
        <v>6</v>
      </c>
      <c r="M860" s="47" t="str">
        <f t="shared" si="13"/>
        <v/>
      </c>
      <c r="O860" s="65">
        <v>18</v>
      </c>
      <c r="P860" s="46">
        <v>20</v>
      </c>
    </row>
    <row r="861" spans="1:16" x14ac:dyDescent="0.25">
      <c r="A861" s="15" t="s">
        <v>2710</v>
      </c>
      <c r="B861" s="15" t="s">
        <v>2711</v>
      </c>
      <c r="D861" s="46" t="s">
        <v>1860</v>
      </c>
      <c r="E861" s="15" t="s">
        <v>217</v>
      </c>
      <c r="F861" s="46">
        <v>0</v>
      </c>
      <c r="H861" s="67" t="s">
        <v>194</v>
      </c>
      <c r="I861" s="45" t="s">
        <v>193</v>
      </c>
      <c r="J861" s="15" t="s">
        <v>1754</v>
      </c>
      <c r="K861" s="15" t="s">
        <v>196</v>
      </c>
      <c r="L861" s="47">
        <v>7</v>
      </c>
      <c r="M861" s="47" t="str">
        <f t="shared" si="13"/>
        <v/>
      </c>
      <c r="O861" s="65">
        <v>19</v>
      </c>
      <c r="P861" s="46">
        <v>21</v>
      </c>
    </row>
    <row r="862" spans="1:16" x14ac:dyDescent="0.25">
      <c r="A862" s="15" t="s">
        <v>2710</v>
      </c>
      <c r="B862" s="15" t="s">
        <v>2711</v>
      </c>
      <c r="D862" s="46" t="s">
        <v>1761</v>
      </c>
      <c r="E862" s="15" t="s">
        <v>217</v>
      </c>
      <c r="F862" s="46">
        <v>0</v>
      </c>
      <c r="H862" s="67" t="s">
        <v>194</v>
      </c>
      <c r="I862" s="45" t="s">
        <v>193</v>
      </c>
      <c r="J862" s="15" t="s">
        <v>1754</v>
      </c>
      <c r="K862" s="15" t="s">
        <v>196</v>
      </c>
      <c r="L862" s="47">
        <v>8</v>
      </c>
      <c r="M862" s="47" t="str">
        <f t="shared" si="13"/>
        <v/>
      </c>
      <c r="O862" s="65">
        <v>20</v>
      </c>
      <c r="P862" s="46">
        <v>22</v>
      </c>
    </row>
    <row r="863" spans="1:16" x14ac:dyDescent="0.25">
      <c r="A863" s="15" t="s">
        <v>2710</v>
      </c>
      <c r="B863" s="15" t="s">
        <v>2711</v>
      </c>
      <c r="D863" s="46" t="s">
        <v>1736</v>
      </c>
      <c r="E863" s="15" t="s">
        <v>217</v>
      </c>
      <c r="F863" s="46">
        <v>0</v>
      </c>
      <c r="H863" s="67" t="s">
        <v>194</v>
      </c>
      <c r="I863" s="45" t="s">
        <v>193</v>
      </c>
      <c r="J863" s="15" t="s">
        <v>1836</v>
      </c>
      <c r="K863" s="15" t="s">
        <v>196</v>
      </c>
      <c r="L863" s="47">
        <v>9</v>
      </c>
      <c r="M863" s="47" t="str">
        <f t="shared" si="13"/>
        <v/>
      </c>
      <c r="O863" s="65">
        <v>21</v>
      </c>
      <c r="P863" s="46">
        <v>23</v>
      </c>
    </row>
    <row r="864" spans="1:16" x14ac:dyDescent="0.25">
      <c r="A864" s="15" t="s">
        <v>894</v>
      </c>
      <c r="B864" s="15" t="s">
        <v>2712</v>
      </c>
      <c r="D864" s="46" t="s">
        <v>1761</v>
      </c>
      <c r="E864" s="15" t="s">
        <v>217</v>
      </c>
      <c r="F864" s="46">
        <v>0</v>
      </c>
      <c r="H864" s="67" t="s">
        <v>194</v>
      </c>
      <c r="I864" s="45" t="s">
        <v>193</v>
      </c>
      <c r="J864" s="15" t="s">
        <v>1762</v>
      </c>
      <c r="K864" s="15" t="s">
        <v>2713</v>
      </c>
      <c r="L864" s="47">
        <v>10</v>
      </c>
      <c r="M864" s="47" t="str">
        <f t="shared" si="13"/>
        <v/>
      </c>
      <c r="N864" s="15"/>
      <c r="O864" s="65">
        <v>22</v>
      </c>
      <c r="P864" s="46">
        <v>24</v>
      </c>
    </row>
    <row r="865" spans="1:16" x14ac:dyDescent="0.25">
      <c r="A865" s="15" t="s">
        <v>894</v>
      </c>
      <c r="B865" s="15" t="s">
        <v>2712</v>
      </c>
      <c r="D865" s="46" t="s">
        <v>1731</v>
      </c>
      <c r="E865" s="15" t="s">
        <v>217</v>
      </c>
      <c r="F865" s="46">
        <v>0</v>
      </c>
      <c r="H865" s="67" t="s">
        <v>194</v>
      </c>
      <c r="I865" s="45" t="s">
        <v>193</v>
      </c>
      <c r="J865" s="15" t="s">
        <v>1762</v>
      </c>
      <c r="K865" s="15" t="s">
        <v>2713</v>
      </c>
      <c r="L865" s="47">
        <v>11</v>
      </c>
      <c r="M865" s="47" t="str">
        <f t="shared" si="13"/>
        <v/>
      </c>
      <c r="N865" s="15"/>
      <c r="O865" s="65">
        <v>23</v>
      </c>
      <c r="P865" s="46">
        <v>25</v>
      </c>
    </row>
    <row r="866" spans="1:16" x14ac:dyDescent="0.25">
      <c r="A866" s="15" t="s">
        <v>894</v>
      </c>
      <c r="B866" s="15" t="s">
        <v>2712</v>
      </c>
      <c r="D866" s="46" t="s">
        <v>1736</v>
      </c>
      <c r="E866" s="15" t="s">
        <v>217</v>
      </c>
      <c r="F866" s="46">
        <v>0</v>
      </c>
      <c r="H866" s="67" t="s">
        <v>194</v>
      </c>
      <c r="I866" s="45" t="s">
        <v>193</v>
      </c>
      <c r="J866" s="15" t="s">
        <v>1746</v>
      </c>
      <c r="K866" s="15" t="s">
        <v>2713</v>
      </c>
      <c r="L866" s="47">
        <v>12</v>
      </c>
      <c r="M866" s="47" t="str">
        <f t="shared" si="13"/>
        <v/>
      </c>
      <c r="N866" s="15"/>
      <c r="O866" s="65">
        <v>24</v>
      </c>
      <c r="P866" s="46">
        <v>26</v>
      </c>
    </row>
    <row r="867" spans="1:16" x14ac:dyDescent="0.25">
      <c r="A867" s="15" t="s">
        <v>894</v>
      </c>
      <c r="B867" s="15" t="s">
        <v>2714</v>
      </c>
      <c r="D867" s="46" t="s">
        <v>1745</v>
      </c>
      <c r="E867" s="15" t="s">
        <v>217</v>
      </c>
      <c r="F867" s="46">
        <v>0</v>
      </c>
      <c r="H867" s="67" t="s">
        <v>194</v>
      </c>
      <c r="I867" s="45" t="s">
        <v>193</v>
      </c>
      <c r="J867" s="15" t="s">
        <v>1762</v>
      </c>
      <c r="K867" s="15" t="s">
        <v>2715</v>
      </c>
      <c r="L867" s="47">
        <v>13</v>
      </c>
      <c r="M867" s="47" t="str">
        <f t="shared" si="13"/>
        <v/>
      </c>
      <c r="N867" s="15"/>
      <c r="O867" s="65">
        <v>25</v>
      </c>
      <c r="P867" s="46">
        <v>27</v>
      </c>
    </row>
    <row r="868" spans="1:16" x14ac:dyDescent="0.25">
      <c r="A868" s="15" t="s">
        <v>894</v>
      </c>
      <c r="B868" s="15" t="s">
        <v>2714</v>
      </c>
      <c r="D868" s="46" t="s">
        <v>1736</v>
      </c>
      <c r="E868" s="15" t="s">
        <v>217</v>
      </c>
      <c r="F868" s="46">
        <v>0</v>
      </c>
      <c r="H868" s="67" t="s">
        <v>194</v>
      </c>
      <c r="I868" s="45" t="s">
        <v>193</v>
      </c>
      <c r="J868" s="15" t="s">
        <v>1746</v>
      </c>
      <c r="K868" s="15" t="s">
        <v>2715</v>
      </c>
      <c r="L868" s="47">
        <v>14</v>
      </c>
      <c r="M868" s="47" t="str">
        <f t="shared" si="13"/>
        <v/>
      </c>
      <c r="N868" s="15"/>
      <c r="O868" s="65">
        <v>26</v>
      </c>
      <c r="P868" s="46">
        <v>28</v>
      </c>
    </row>
    <row r="869" spans="1:16" x14ac:dyDescent="0.25">
      <c r="A869" s="15" t="s">
        <v>2716</v>
      </c>
      <c r="B869" s="15" t="s">
        <v>2717</v>
      </c>
      <c r="D869" s="46" t="s">
        <v>1803</v>
      </c>
      <c r="E869" s="15" t="s">
        <v>217</v>
      </c>
      <c r="F869" s="46">
        <v>0</v>
      </c>
      <c r="H869" s="67" t="s">
        <v>194</v>
      </c>
      <c r="I869" s="45" t="s">
        <v>193</v>
      </c>
      <c r="J869" s="15" t="s">
        <v>1752</v>
      </c>
      <c r="K869" s="15" t="s">
        <v>2718</v>
      </c>
      <c r="L869" s="47">
        <v>15</v>
      </c>
      <c r="M869" s="47" t="str">
        <f t="shared" si="13"/>
        <v/>
      </c>
      <c r="N869" s="15"/>
      <c r="O869" s="65">
        <v>27</v>
      </c>
      <c r="P869" s="46">
        <v>29</v>
      </c>
    </row>
    <row r="870" spans="1:16" x14ac:dyDescent="0.25">
      <c r="A870" s="15" t="s">
        <v>800</v>
      </c>
      <c r="B870" s="15" t="s">
        <v>2719</v>
      </c>
      <c r="D870" s="46" t="s">
        <v>1761</v>
      </c>
      <c r="E870" s="15" t="s">
        <v>192</v>
      </c>
      <c r="F870" s="46">
        <v>0</v>
      </c>
      <c r="H870" s="67" t="s">
        <v>194</v>
      </c>
      <c r="I870" s="45" t="s">
        <v>193</v>
      </c>
      <c r="J870" s="15" t="s">
        <v>1752</v>
      </c>
      <c r="K870" s="15" t="s">
        <v>473</v>
      </c>
      <c r="L870" s="47">
        <v>16</v>
      </c>
      <c r="M870" s="47" t="str">
        <f t="shared" si="13"/>
        <v/>
      </c>
      <c r="N870" s="15"/>
      <c r="O870" s="65">
        <v>28</v>
      </c>
      <c r="P870" s="46">
        <v>30</v>
      </c>
    </row>
    <row r="871" spans="1:16" x14ac:dyDescent="0.25">
      <c r="A871" s="15" t="s">
        <v>1959</v>
      </c>
      <c r="B871" s="15" t="s">
        <v>2720</v>
      </c>
      <c r="D871" s="46" t="s">
        <v>1779</v>
      </c>
      <c r="E871" s="15" t="s">
        <v>192</v>
      </c>
      <c r="F871" s="46">
        <v>0</v>
      </c>
      <c r="H871" s="67" t="s">
        <v>194</v>
      </c>
      <c r="I871" s="45" t="s">
        <v>193</v>
      </c>
      <c r="J871" s="15" t="s">
        <v>1752</v>
      </c>
      <c r="K871" s="15" t="s">
        <v>196</v>
      </c>
      <c r="L871" s="47">
        <v>17</v>
      </c>
      <c r="M871" s="47" t="str">
        <f t="shared" si="13"/>
        <v/>
      </c>
      <c r="N871" s="15"/>
      <c r="O871" s="65">
        <v>29</v>
      </c>
      <c r="P871" s="46">
        <v>31</v>
      </c>
    </row>
    <row r="872" spans="1:16" x14ac:dyDescent="0.25">
      <c r="A872" s="15" t="s">
        <v>2411</v>
      </c>
      <c r="B872" s="15" t="s">
        <v>2721</v>
      </c>
      <c r="D872" s="46" t="s">
        <v>1860</v>
      </c>
      <c r="E872" s="15" t="s">
        <v>217</v>
      </c>
      <c r="F872" s="46">
        <v>0</v>
      </c>
      <c r="H872" s="67" t="s">
        <v>194</v>
      </c>
      <c r="I872" s="45" t="s">
        <v>193</v>
      </c>
      <c r="J872" s="15" t="s">
        <v>1752</v>
      </c>
      <c r="K872" s="15" t="s">
        <v>2722</v>
      </c>
      <c r="L872" s="47">
        <v>18</v>
      </c>
      <c r="M872" s="47" t="str">
        <f t="shared" si="13"/>
        <v/>
      </c>
      <c r="N872" s="15"/>
      <c r="O872" s="65">
        <v>30</v>
      </c>
      <c r="P872" s="46">
        <v>32</v>
      </c>
    </row>
    <row r="873" spans="1:16" x14ac:dyDescent="0.25">
      <c r="A873" s="15" t="s">
        <v>2723</v>
      </c>
      <c r="B873" s="15" t="s">
        <v>2724</v>
      </c>
      <c r="D873" s="46" t="s">
        <v>1803</v>
      </c>
      <c r="E873" s="15" t="s">
        <v>233</v>
      </c>
      <c r="F873" s="46">
        <v>0</v>
      </c>
      <c r="H873" s="67" t="s">
        <v>194</v>
      </c>
      <c r="I873" s="45" t="s">
        <v>193</v>
      </c>
      <c r="J873" s="15" t="s">
        <v>1752</v>
      </c>
      <c r="K873" s="15" t="s">
        <v>210</v>
      </c>
      <c r="L873" s="47">
        <v>19</v>
      </c>
      <c r="M873" s="47" t="str">
        <f t="shared" si="13"/>
        <v/>
      </c>
      <c r="N873" s="15"/>
      <c r="O873" s="65">
        <v>31</v>
      </c>
      <c r="P873" s="46">
        <v>33</v>
      </c>
    </row>
    <row r="874" spans="1:16" x14ac:dyDescent="0.25">
      <c r="A874" s="15" t="s">
        <v>2725</v>
      </c>
      <c r="B874" s="15" t="s">
        <v>2726</v>
      </c>
      <c r="D874" s="46" t="s">
        <v>1803</v>
      </c>
      <c r="E874" s="15" t="s">
        <v>192</v>
      </c>
      <c r="F874" s="46">
        <v>0</v>
      </c>
      <c r="H874" s="67" t="s">
        <v>194</v>
      </c>
      <c r="I874" s="45" t="s">
        <v>193</v>
      </c>
      <c r="J874" s="15" t="s">
        <v>1752</v>
      </c>
      <c r="K874" s="15" t="s">
        <v>196</v>
      </c>
      <c r="L874" s="47">
        <v>20</v>
      </c>
      <c r="M874" s="47" t="str">
        <f t="shared" si="13"/>
        <v/>
      </c>
      <c r="N874" s="15"/>
      <c r="O874" s="65">
        <v>32</v>
      </c>
      <c r="P874" s="46">
        <v>34</v>
      </c>
    </row>
    <row r="875" spans="1:16" x14ac:dyDescent="0.25">
      <c r="A875" s="15" t="s">
        <v>2411</v>
      </c>
      <c r="B875" s="15" t="s">
        <v>2412</v>
      </c>
      <c r="D875" s="46" t="s">
        <v>1745</v>
      </c>
      <c r="E875" s="15" t="s">
        <v>217</v>
      </c>
      <c r="F875" s="46">
        <v>0</v>
      </c>
      <c r="H875" s="67" t="s">
        <v>194</v>
      </c>
      <c r="I875" s="45" t="s">
        <v>193</v>
      </c>
      <c r="J875" s="15" t="s">
        <v>1772</v>
      </c>
      <c r="K875" s="15" t="s">
        <v>2413</v>
      </c>
      <c r="L875" s="47">
        <v>21</v>
      </c>
      <c r="M875" s="47" t="str">
        <f t="shared" si="13"/>
        <v/>
      </c>
      <c r="N875" s="15"/>
      <c r="O875" s="65">
        <v>33</v>
      </c>
      <c r="P875" s="46">
        <v>35</v>
      </c>
    </row>
    <row r="876" spans="1:16" x14ac:dyDescent="0.25">
      <c r="A876" s="15" t="s">
        <v>2727</v>
      </c>
      <c r="B876" s="15" t="s">
        <v>356</v>
      </c>
      <c r="D876" s="46" t="s">
        <v>1736</v>
      </c>
      <c r="E876" s="15" t="s">
        <v>217</v>
      </c>
      <c r="F876" s="69">
        <v>0</v>
      </c>
      <c r="H876" s="67" t="s">
        <v>194</v>
      </c>
      <c r="I876" s="45" t="s">
        <v>193</v>
      </c>
      <c r="J876" s="15" t="s">
        <v>1836</v>
      </c>
      <c r="K876" s="15" t="s">
        <v>2728</v>
      </c>
      <c r="L876" s="47">
        <v>22</v>
      </c>
      <c r="M876" s="47" t="str">
        <f t="shared" si="13"/>
        <v/>
      </c>
      <c r="N876" s="15"/>
      <c r="O876" s="65">
        <v>34</v>
      </c>
      <c r="P876" s="46">
        <v>36</v>
      </c>
    </row>
    <row r="877" spans="1:16" x14ac:dyDescent="0.25">
      <c r="A877" s="15" t="s">
        <v>2729</v>
      </c>
      <c r="B877" s="15" t="s">
        <v>2730</v>
      </c>
      <c r="D877" s="46" t="s">
        <v>1728</v>
      </c>
      <c r="E877" s="15" t="s">
        <v>192</v>
      </c>
      <c r="F877" s="46">
        <v>0</v>
      </c>
      <c r="H877" s="67" t="s">
        <v>194</v>
      </c>
      <c r="I877" s="45" t="s">
        <v>193</v>
      </c>
      <c r="J877" s="15" t="s">
        <v>1764</v>
      </c>
      <c r="K877" s="15" t="s">
        <v>210</v>
      </c>
      <c r="L877" s="47">
        <v>23</v>
      </c>
      <c r="M877" s="47" t="str">
        <f t="shared" si="13"/>
        <v/>
      </c>
      <c r="N877" s="15"/>
      <c r="O877" s="65">
        <v>35</v>
      </c>
      <c r="P877" s="46">
        <v>37</v>
      </c>
    </row>
    <row r="878" spans="1:16" x14ac:dyDescent="0.25">
      <c r="A878" s="15" t="s">
        <v>2731</v>
      </c>
      <c r="B878" s="15" t="s">
        <v>2732</v>
      </c>
      <c r="D878" s="46" t="s">
        <v>1803</v>
      </c>
      <c r="E878" s="15" t="s">
        <v>192</v>
      </c>
      <c r="F878" s="46">
        <v>0</v>
      </c>
      <c r="H878" s="67" t="s">
        <v>194</v>
      </c>
      <c r="I878" s="45" t="s">
        <v>193</v>
      </c>
      <c r="J878" s="15" t="s">
        <v>1772</v>
      </c>
      <c r="K878" s="15" t="s">
        <v>210</v>
      </c>
      <c r="L878" s="47">
        <v>24</v>
      </c>
      <c r="M878" s="47" t="str">
        <f t="shared" si="13"/>
        <v/>
      </c>
      <c r="N878" s="15"/>
      <c r="O878" s="65">
        <v>36</v>
      </c>
      <c r="P878" s="46">
        <v>38</v>
      </c>
    </row>
    <row r="879" spans="1:16" x14ac:dyDescent="0.25">
      <c r="A879" s="15" t="s">
        <v>2733</v>
      </c>
      <c r="B879" s="15" t="s">
        <v>2734</v>
      </c>
      <c r="D879" s="46" t="s">
        <v>1779</v>
      </c>
      <c r="E879" s="15" t="s">
        <v>192</v>
      </c>
      <c r="F879" s="46">
        <v>0</v>
      </c>
      <c r="H879" s="67" t="s">
        <v>194</v>
      </c>
      <c r="I879" s="45" t="s">
        <v>193</v>
      </c>
      <c r="J879" s="15" t="s">
        <v>1772</v>
      </c>
      <c r="K879" s="15" t="s">
        <v>196</v>
      </c>
      <c r="L879" s="47">
        <v>25</v>
      </c>
      <c r="M879" s="47" t="str">
        <f t="shared" si="13"/>
        <v/>
      </c>
      <c r="N879" s="15"/>
      <c r="O879" s="65">
        <v>37</v>
      </c>
      <c r="P879" s="46">
        <v>39</v>
      </c>
    </row>
    <row r="880" spans="1:16" x14ac:dyDescent="0.25">
      <c r="A880" s="15" t="s">
        <v>2735</v>
      </c>
      <c r="B880" s="15" t="s">
        <v>2430</v>
      </c>
      <c r="D880" s="46" t="s">
        <v>1736</v>
      </c>
      <c r="E880" s="15" t="s">
        <v>217</v>
      </c>
      <c r="F880" s="46">
        <v>0</v>
      </c>
      <c r="H880" s="67" t="s">
        <v>194</v>
      </c>
      <c r="I880" s="45" t="s">
        <v>193</v>
      </c>
      <c r="J880" s="15" t="s">
        <v>1955</v>
      </c>
      <c r="K880" s="15" t="s">
        <v>2736</v>
      </c>
      <c r="L880" s="47">
        <v>26</v>
      </c>
      <c r="M880" s="47" t="str">
        <f t="shared" si="13"/>
        <v/>
      </c>
      <c r="N880" s="15"/>
      <c r="O880" s="65">
        <v>38</v>
      </c>
      <c r="P880" s="46">
        <v>40</v>
      </c>
    </row>
    <row r="881" spans="1:16" x14ac:dyDescent="0.25">
      <c r="A881" s="15" t="s">
        <v>2737</v>
      </c>
      <c r="B881" s="15" t="s">
        <v>2738</v>
      </c>
      <c r="D881" s="46" t="s">
        <v>1736</v>
      </c>
      <c r="E881" s="15" t="s">
        <v>192</v>
      </c>
      <c r="F881" s="46">
        <v>0</v>
      </c>
      <c r="H881" s="67" t="s">
        <v>194</v>
      </c>
      <c r="I881" s="45" t="s">
        <v>193</v>
      </c>
      <c r="J881" s="15" t="s">
        <v>1836</v>
      </c>
      <c r="K881" s="15" t="s">
        <v>210</v>
      </c>
      <c r="L881" s="47">
        <v>27</v>
      </c>
      <c r="M881" s="47" t="str">
        <f t="shared" si="13"/>
        <v/>
      </c>
      <c r="N881" s="15"/>
      <c r="O881" s="65">
        <v>39</v>
      </c>
      <c r="P881" s="46">
        <v>41</v>
      </c>
    </row>
    <row r="882" spans="1:16" x14ac:dyDescent="0.25">
      <c r="A882" s="15" t="s">
        <v>2739</v>
      </c>
      <c r="B882" s="15" t="s">
        <v>2740</v>
      </c>
      <c r="D882" s="46" t="s">
        <v>1731</v>
      </c>
      <c r="E882" s="15" t="s">
        <v>252</v>
      </c>
      <c r="F882" s="46">
        <v>0</v>
      </c>
      <c r="H882" s="67" t="s">
        <v>194</v>
      </c>
      <c r="I882" s="45" t="s">
        <v>193</v>
      </c>
      <c r="J882" s="15" t="s">
        <v>1955</v>
      </c>
      <c r="K882" s="15" t="s">
        <v>2741</v>
      </c>
      <c r="L882" s="47">
        <v>28</v>
      </c>
      <c r="M882" s="47" t="str">
        <f t="shared" si="13"/>
        <v/>
      </c>
      <c r="N882" s="15"/>
      <c r="O882" s="65">
        <v>40</v>
      </c>
      <c r="P882" s="46">
        <v>42</v>
      </c>
    </row>
    <row r="883" spans="1:16" x14ac:dyDescent="0.25">
      <c r="A883" s="15" t="s">
        <v>2742</v>
      </c>
      <c r="B883" s="15" t="s">
        <v>2743</v>
      </c>
      <c r="D883" s="46" t="s">
        <v>1803</v>
      </c>
      <c r="E883" s="15" t="s">
        <v>233</v>
      </c>
      <c r="F883" s="46">
        <v>0</v>
      </c>
      <c r="H883" s="67" t="s">
        <v>194</v>
      </c>
      <c r="I883" s="45" t="s">
        <v>193</v>
      </c>
      <c r="J883" s="15" t="s">
        <v>1955</v>
      </c>
      <c r="K883" s="15" t="s">
        <v>196</v>
      </c>
      <c r="L883" s="47">
        <v>29</v>
      </c>
      <c r="M883" s="47" t="str">
        <f t="shared" si="13"/>
        <v/>
      </c>
      <c r="N883" s="15"/>
      <c r="O883" s="65">
        <v>41</v>
      </c>
      <c r="P883" s="46">
        <v>43</v>
      </c>
    </row>
    <row r="884" spans="1:16" x14ac:dyDescent="0.25">
      <c r="A884" s="15" t="s">
        <v>2744</v>
      </c>
      <c r="B884" s="15" t="s">
        <v>2745</v>
      </c>
      <c r="D884" s="46" t="s">
        <v>1803</v>
      </c>
      <c r="E884" s="15" t="s">
        <v>192</v>
      </c>
      <c r="F884" s="46">
        <v>0</v>
      </c>
      <c r="H884" s="67" t="s">
        <v>194</v>
      </c>
      <c r="I884" s="45" t="s">
        <v>193</v>
      </c>
      <c r="J884" s="15" t="s">
        <v>1732</v>
      </c>
      <c r="K884" s="15" t="s">
        <v>210</v>
      </c>
      <c r="L884" s="47">
        <v>30</v>
      </c>
      <c r="M884" s="47" t="str">
        <f t="shared" si="13"/>
        <v/>
      </c>
      <c r="N884" s="15"/>
      <c r="O884" s="65">
        <v>42</v>
      </c>
      <c r="P884" s="46">
        <v>44</v>
      </c>
    </row>
    <row r="885" spans="1:16" x14ac:dyDescent="0.25">
      <c r="A885" s="15" t="s">
        <v>2744</v>
      </c>
      <c r="B885" s="15" t="s">
        <v>2746</v>
      </c>
      <c r="D885" s="46" t="s">
        <v>1803</v>
      </c>
      <c r="E885" s="15" t="s">
        <v>192</v>
      </c>
      <c r="F885" s="69">
        <v>0</v>
      </c>
      <c r="H885" s="67" t="s">
        <v>194</v>
      </c>
      <c r="I885" s="45" t="s">
        <v>193</v>
      </c>
      <c r="J885" s="15" t="s">
        <v>1732</v>
      </c>
      <c r="K885" s="15" t="s">
        <v>210</v>
      </c>
      <c r="L885" s="47">
        <v>31</v>
      </c>
      <c r="M885" s="47" t="str">
        <f t="shared" si="13"/>
        <v/>
      </c>
      <c r="N885" s="15"/>
      <c r="O885" s="65">
        <v>43</v>
      </c>
      <c r="P885" s="46">
        <v>45</v>
      </c>
    </row>
    <row r="886" spans="1:16" x14ac:dyDescent="0.25">
      <c r="A886" s="56" t="s">
        <v>2747</v>
      </c>
      <c r="F886" s="46">
        <f>SUM(F3:F885)</f>
        <v>704</v>
      </c>
      <c r="G886" s="36">
        <f>SUM(G3:G885)-704-31</f>
        <v>704</v>
      </c>
      <c r="N886" s="15"/>
      <c r="P886" s="15"/>
    </row>
    <row r="888" spans="1:16" x14ac:dyDescent="0.25">
      <c r="D888" s="23" t="s">
        <v>1070</v>
      </c>
      <c r="E888" s="30">
        <f>SUM(E895)</f>
        <v>675</v>
      </c>
    </row>
    <row r="889" spans="1:16" x14ac:dyDescent="0.25">
      <c r="D889" s="23" t="s">
        <v>1071</v>
      </c>
      <c r="E889" s="30">
        <f>SUM(E894)</f>
        <v>45</v>
      </c>
    </row>
    <row r="890" spans="1:16" x14ac:dyDescent="0.25">
      <c r="D890" s="71" t="s">
        <v>1072</v>
      </c>
      <c r="E890" s="72">
        <f>SUM(E888:E889)</f>
        <v>720</v>
      </c>
    </row>
    <row r="891" spans="1:16" x14ac:dyDescent="0.25">
      <c r="D891"/>
      <c r="E891"/>
    </row>
    <row r="892" spans="1:16" x14ac:dyDescent="0.25">
      <c r="D892" s="35" t="s">
        <v>1073</v>
      </c>
      <c r="E892" s="30">
        <v>704</v>
      </c>
    </row>
    <row r="894" spans="1:16" x14ac:dyDescent="0.25">
      <c r="D894" s="70" t="s">
        <v>3484</v>
      </c>
      <c r="E894" s="73">
        <f>COUNTIF(H4:H885,"niezaznaczone")</f>
        <v>45</v>
      </c>
    </row>
    <row r="895" spans="1:16" x14ac:dyDescent="0.25">
      <c r="D895" s="73" t="s">
        <v>3485</v>
      </c>
      <c r="E895" s="73">
        <f>COUNTIF(H4:H885,"zaznaczone")</f>
        <v>675</v>
      </c>
    </row>
    <row r="896" spans="1:16" x14ac:dyDescent="0.25">
      <c r="E896" s="46">
        <f>SUM(E894:E895)</f>
        <v>720</v>
      </c>
    </row>
  </sheetData>
  <autoFilter ref="A1:P886"/>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93"/>
  <sheetViews>
    <sheetView zoomScale="80" zoomScaleNormal="80" workbookViewId="0"/>
  </sheetViews>
  <sheetFormatPr defaultRowHeight="15" x14ac:dyDescent="0.25"/>
  <cols>
    <col min="1" max="1" width="27.85546875" customWidth="1"/>
    <col min="2" max="2" width="19.5703125" customWidth="1"/>
    <col min="3" max="3" width="21.5703125" customWidth="1"/>
    <col min="4" max="4" width="14.7109375" customWidth="1"/>
    <col min="5" max="5" width="10.7109375" customWidth="1"/>
    <col min="6" max="6" width="5.5703125" style="28" customWidth="1"/>
    <col min="9" max="9" width="15.7109375" customWidth="1"/>
    <col min="11" max="11" width="9.140625" style="28"/>
    <col min="12" max="12" width="16" customWidth="1"/>
    <col min="13" max="13" width="16" style="28" customWidth="1"/>
    <col min="14" max="15" width="9.140625" style="28"/>
  </cols>
  <sheetData>
    <row r="1" spans="1:15" s="25" customFormat="1" x14ac:dyDescent="0.25">
      <c r="A1" s="25" t="s">
        <v>176</v>
      </c>
      <c r="B1" s="25" t="s">
        <v>177</v>
      </c>
      <c r="C1" s="25" t="s">
        <v>178</v>
      </c>
      <c r="D1" s="25" t="s">
        <v>179</v>
      </c>
      <c r="E1" s="25" t="s">
        <v>900</v>
      </c>
      <c r="F1" s="27" t="s">
        <v>181</v>
      </c>
      <c r="G1" s="25" t="s">
        <v>182</v>
      </c>
      <c r="H1" s="25" t="s">
        <v>183</v>
      </c>
      <c r="I1" s="25" t="s">
        <v>184</v>
      </c>
      <c r="J1" s="25" t="s">
        <v>185</v>
      </c>
      <c r="K1" s="27" t="s">
        <v>186</v>
      </c>
      <c r="L1" s="25" t="s">
        <v>187</v>
      </c>
      <c r="M1" s="27"/>
      <c r="N1" s="27"/>
      <c r="O1" s="27"/>
    </row>
    <row r="2" spans="1:15" x14ac:dyDescent="0.25">
      <c r="A2" t="s">
        <v>796</v>
      </c>
      <c r="B2" t="s">
        <v>901</v>
      </c>
      <c r="C2" t="s">
        <v>51</v>
      </c>
      <c r="D2" t="s">
        <v>902</v>
      </c>
      <c r="E2" t="s">
        <v>233</v>
      </c>
      <c r="F2" s="28">
        <v>1</v>
      </c>
      <c r="G2" s="25" t="s">
        <v>193</v>
      </c>
      <c r="H2" t="s">
        <v>194</v>
      </c>
      <c r="I2" t="s">
        <v>903</v>
      </c>
      <c r="J2" t="s">
        <v>210</v>
      </c>
      <c r="K2" s="28">
        <v>18</v>
      </c>
      <c r="L2" t="s">
        <v>904</v>
      </c>
      <c r="M2" s="28" t="str">
        <f>MID(L2,8,6)</f>
        <v>523002</v>
      </c>
      <c r="N2" s="28">
        <v>1</v>
      </c>
    </row>
    <row r="3" spans="1:15" x14ac:dyDescent="0.25">
      <c r="A3" t="s">
        <v>905</v>
      </c>
      <c r="B3" t="s">
        <v>50</v>
      </c>
      <c r="C3" t="s">
        <v>50</v>
      </c>
      <c r="D3" t="s">
        <v>902</v>
      </c>
      <c r="E3" t="s">
        <v>233</v>
      </c>
      <c r="F3" s="28">
        <v>1</v>
      </c>
      <c r="G3" s="25" t="s">
        <v>193</v>
      </c>
      <c r="H3" t="s">
        <v>194</v>
      </c>
      <c r="I3" t="s">
        <v>903</v>
      </c>
      <c r="J3" t="s">
        <v>210</v>
      </c>
      <c r="K3" s="28">
        <v>18</v>
      </c>
      <c r="L3" t="s">
        <v>906</v>
      </c>
      <c r="M3" s="28" t="str">
        <f t="shared" ref="M3:M66" si="0">MID(L3,8,6)</f>
        <v>333101</v>
      </c>
      <c r="N3" s="28">
        <v>1</v>
      </c>
    </row>
    <row r="4" spans="1:15" x14ac:dyDescent="0.25">
      <c r="A4" t="s">
        <v>907</v>
      </c>
      <c r="B4" t="s">
        <v>908</v>
      </c>
      <c r="C4" t="s">
        <v>119</v>
      </c>
      <c r="D4" t="s">
        <v>902</v>
      </c>
      <c r="E4" t="s">
        <v>233</v>
      </c>
      <c r="F4" s="28">
        <v>1</v>
      </c>
      <c r="G4" s="25" t="s">
        <v>193</v>
      </c>
      <c r="H4" t="s">
        <v>194</v>
      </c>
      <c r="I4" t="s">
        <v>903</v>
      </c>
      <c r="J4" t="s">
        <v>909</v>
      </c>
      <c r="K4" s="28">
        <v>18</v>
      </c>
      <c r="L4" t="s">
        <v>666</v>
      </c>
      <c r="M4" s="28" t="str">
        <f t="shared" si="0"/>
        <v>333105</v>
      </c>
      <c r="N4" s="28">
        <v>1</v>
      </c>
    </row>
    <row r="5" spans="1:15" x14ac:dyDescent="0.25">
      <c r="A5" t="s">
        <v>910</v>
      </c>
      <c r="B5" t="s">
        <v>623</v>
      </c>
      <c r="C5" t="s">
        <v>17</v>
      </c>
      <c r="D5" t="s">
        <v>902</v>
      </c>
      <c r="E5" t="s">
        <v>233</v>
      </c>
      <c r="F5" s="28">
        <v>1</v>
      </c>
      <c r="G5" s="25" t="s">
        <v>193</v>
      </c>
      <c r="H5" t="s">
        <v>194</v>
      </c>
      <c r="I5" t="s">
        <v>903</v>
      </c>
      <c r="J5" t="s">
        <v>911</v>
      </c>
      <c r="K5" s="28">
        <v>18</v>
      </c>
      <c r="L5" t="s">
        <v>624</v>
      </c>
      <c r="M5" s="28" t="str">
        <f t="shared" si="0"/>
        <v>332203</v>
      </c>
      <c r="N5" s="28">
        <v>1</v>
      </c>
    </row>
    <row r="6" spans="1:15" x14ac:dyDescent="0.25">
      <c r="A6" t="s">
        <v>912</v>
      </c>
      <c r="B6" t="s">
        <v>913</v>
      </c>
      <c r="C6" t="s">
        <v>17</v>
      </c>
      <c r="D6" t="s">
        <v>902</v>
      </c>
      <c r="E6" t="s">
        <v>233</v>
      </c>
      <c r="F6" s="28">
        <v>1</v>
      </c>
      <c r="G6" s="25" t="s">
        <v>193</v>
      </c>
      <c r="H6" t="s">
        <v>194</v>
      </c>
      <c r="I6" t="s">
        <v>903</v>
      </c>
      <c r="J6" t="s">
        <v>914</v>
      </c>
      <c r="K6" s="28">
        <v>18</v>
      </c>
      <c r="L6" t="s">
        <v>624</v>
      </c>
      <c r="M6" s="28" t="str">
        <f t="shared" si="0"/>
        <v>332203</v>
      </c>
      <c r="N6" s="28">
        <v>1</v>
      </c>
    </row>
    <row r="7" spans="1:15" x14ac:dyDescent="0.25">
      <c r="A7" t="s">
        <v>915</v>
      </c>
      <c r="B7" t="s">
        <v>916</v>
      </c>
      <c r="D7" t="s">
        <v>902</v>
      </c>
      <c r="E7" t="s">
        <v>233</v>
      </c>
      <c r="F7" s="29">
        <v>0</v>
      </c>
      <c r="G7" s="137" t="s">
        <v>194</v>
      </c>
      <c r="H7" s="25" t="s">
        <v>193</v>
      </c>
      <c r="I7" t="s">
        <v>903</v>
      </c>
      <c r="J7" t="s">
        <v>196</v>
      </c>
      <c r="K7" s="28">
        <v>18</v>
      </c>
      <c r="M7" s="28" t="str">
        <f t="shared" si="0"/>
        <v/>
      </c>
      <c r="O7" s="28">
        <v>1</v>
      </c>
    </row>
    <row r="8" spans="1:15" x14ac:dyDescent="0.25">
      <c r="A8" t="s">
        <v>258</v>
      </c>
      <c r="B8" t="s">
        <v>537</v>
      </c>
      <c r="C8" t="s">
        <v>778</v>
      </c>
      <c r="D8" t="s">
        <v>917</v>
      </c>
      <c r="E8" t="s">
        <v>233</v>
      </c>
      <c r="F8" s="28">
        <v>10</v>
      </c>
      <c r="G8" s="25" t="s">
        <v>193</v>
      </c>
      <c r="H8" t="s">
        <v>194</v>
      </c>
      <c r="I8" t="s">
        <v>918</v>
      </c>
      <c r="J8" t="s">
        <v>747</v>
      </c>
      <c r="K8" s="28">
        <v>18</v>
      </c>
      <c r="L8" t="s">
        <v>779</v>
      </c>
      <c r="M8" s="28" t="str">
        <f t="shared" si="0"/>
        <v>524902</v>
      </c>
      <c r="N8" s="28">
        <v>1</v>
      </c>
    </row>
    <row r="9" spans="1:15" x14ac:dyDescent="0.25">
      <c r="A9" t="s">
        <v>712</v>
      </c>
      <c r="B9" t="s">
        <v>8</v>
      </c>
      <c r="C9" t="s">
        <v>740</v>
      </c>
      <c r="D9" t="s">
        <v>917</v>
      </c>
      <c r="E9" t="s">
        <v>192</v>
      </c>
      <c r="F9" s="28">
        <v>1</v>
      </c>
      <c r="G9" s="25" t="s">
        <v>193</v>
      </c>
      <c r="H9" t="s">
        <v>194</v>
      </c>
      <c r="I9" t="s">
        <v>918</v>
      </c>
      <c r="J9" t="s">
        <v>316</v>
      </c>
      <c r="K9" s="28">
        <v>18</v>
      </c>
      <c r="L9" t="s">
        <v>741</v>
      </c>
      <c r="M9" s="28" t="str">
        <f t="shared" si="0"/>
        <v>522301</v>
      </c>
      <c r="N9" s="28">
        <v>1</v>
      </c>
    </row>
    <row r="10" spans="1:15" x14ac:dyDescent="0.25">
      <c r="A10" t="s">
        <v>919</v>
      </c>
      <c r="B10" t="s">
        <v>920</v>
      </c>
      <c r="C10" t="s">
        <v>706</v>
      </c>
      <c r="D10" t="s">
        <v>917</v>
      </c>
      <c r="E10" t="s">
        <v>192</v>
      </c>
      <c r="F10" s="28">
        <v>1</v>
      </c>
      <c r="G10" s="25" t="s">
        <v>193</v>
      </c>
      <c r="H10" t="s">
        <v>194</v>
      </c>
      <c r="I10" t="s">
        <v>918</v>
      </c>
      <c r="J10" t="s">
        <v>210</v>
      </c>
      <c r="K10" s="28">
        <v>18</v>
      </c>
      <c r="L10" t="s">
        <v>707</v>
      </c>
      <c r="M10" s="28" t="str">
        <f t="shared" si="0"/>
        <v>422201</v>
      </c>
      <c r="N10" s="28">
        <v>1</v>
      </c>
    </row>
    <row r="11" spans="1:15" x14ac:dyDescent="0.25">
      <c r="A11" t="s">
        <v>638</v>
      </c>
      <c r="B11" t="s">
        <v>921</v>
      </c>
      <c r="C11" t="s">
        <v>922</v>
      </c>
      <c r="D11" t="s">
        <v>917</v>
      </c>
      <c r="E11" t="s">
        <v>233</v>
      </c>
      <c r="F11" s="28">
        <v>1</v>
      </c>
      <c r="G11" s="25" t="s">
        <v>193</v>
      </c>
      <c r="H11" t="s">
        <v>194</v>
      </c>
      <c r="I11" t="s">
        <v>918</v>
      </c>
      <c r="J11" t="s">
        <v>196</v>
      </c>
      <c r="K11" s="28">
        <v>18</v>
      </c>
      <c r="L11" t="s">
        <v>923</v>
      </c>
      <c r="M11" s="28" t="str">
        <f t="shared" si="0"/>
        <v>112006</v>
      </c>
      <c r="N11" s="28">
        <v>1</v>
      </c>
    </row>
    <row r="12" spans="1:15" x14ac:dyDescent="0.25">
      <c r="A12" t="s">
        <v>924</v>
      </c>
      <c r="B12" t="s">
        <v>925</v>
      </c>
      <c r="C12" t="s">
        <v>740</v>
      </c>
      <c r="D12" t="s">
        <v>917</v>
      </c>
      <c r="E12" t="s">
        <v>192</v>
      </c>
      <c r="F12" s="28">
        <v>1</v>
      </c>
      <c r="G12" s="25" t="s">
        <v>193</v>
      </c>
      <c r="H12" t="s">
        <v>194</v>
      </c>
      <c r="I12" t="s">
        <v>918</v>
      </c>
      <c r="J12" t="s">
        <v>473</v>
      </c>
      <c r="K12" s="28">
        <v>18</v>
      </c>
      <c r="L12" t="s">
        <v>741</v>
      </c>
      <c r="M12" s="28" t="str">
        <f t="shared" si="0"/>
        <v>522301</v>
      </c>
      <c r="N12" s="28">
        <v>1</v>
      </c>
    </row>
    <row r="13" spans="1:15" x14ac:dyDescent="0.25">
      <c r="A13" t="s">
        <v>926</v>
      </c>
      <c r="B13" t="s">
        <v>927</v>
      </c>
      <c r="C13" t="s">
        <v>29</v>
      </c>
      <c r="D13" t="s">
        <v>917</v>
      </c>
      <c r="E13" t="s">
        <v>252</v>
      </c>
      <c r="F13" s="28">
        <v>1</v>
      </c>
      <c r="G13" s="25" t="s">
        <v>193</v>
      </c>
      <c r="H13" t="s">
        <v>194</v>
      </c>
      <c r="I13" t="s">
        <v>918</v>
      </c>
      <c r="J13" t="s">
        <v>210</v>
      </c>
      <c r="K13" s="28">
        <v>18</v>
      </c>
      <c r="L13" t="s">
        <v>808</v>
      </c>
      <c r="M13" s="28" t="str">
        <f t="shared" si="0"/>
        <v>722308</v>
      </c>
      <c r="N13" s="28">
        <v>1</v>
      </c>
    </row>
    <row r="14" spans="1:15" x14ac:dyDescent="0.25">
      <c r="A14" t="s">
        <v>562</v>
      </c>
      <c r="B14" t="s">
        <v>928</v>
      </c>
      <c r="C14" t="s">
        <v>27</v>
      </c>
      <c r="D14" t="s">
        <v>917</v>
      </c>
      <c r="E14" t="s">
        <v>192</v>
      </c>
      <c r="F14" s="28">
        <v>1</v>
      </c>
      <c r="G14" s="25" t="s">
        <v>193</v>
      </c>
      <c r="H14" t="s">
        <v>194</v>
      </c>
      <c r="I14" t="s">
        <v>918</v>
      </c>
      <c r="J14" t="s">
        <v>253</v>
      </c>
      <c r="K14" s="28">
        <v>18</v>
      </c>
      <c r="L14" t="s">
        <v>440</v>
      </c>
      <c r="M14" s="28" t="str">
        <f t="shared" si="0"/>
        <v>242307</v>
      </c>
      <c r="N14" s="28">
        <v>1</v>
      </c>
    </row>
    <row r="15" spans="1:15" x14ac:dyDescent="0.25">
      <c r="A15" t="s">
        <v>558</v>
      </c>
      <c r="B15" t="s">
        <v>929</v>
      </c>
      <c r="C15" t="s">
        <v>583</v>
      </c>
      <c r="D15" t="s">
        <v>917</v>
      </c>
      <c r="E15" t="s">
        <v>192</v>
      </c>
      <c r="F15" s="28">
        <v>1</v>
      </c>
      <c r="G15" s="25" t="s">
        <v>193</v>
      </c>
      <c r="H15" t="s">
        <v>194</v>
      </c>
      <c r="I15" t="s">
        <v>918</v>
      </c>
      <c r="J15" t="s">
        <v>210</v>
      </c>
      <c r="K15" s="28">
        <v>18</v>
      </c>
      <c r="L15" t="s">
        <v>584</v>
      </c>
      <c r="M15" s="28" t="str">
        <f t="shared" si="0"/>
        <v>311937</v>
      </c>
      <c r="N15" s="28">
        <v>1</v>
      </c>
    </row>
    <row r="16" spans="1:15" x14ac:dyDescent="0.25">
      <c r="A16" t="s">
        <v>930</v>
      </c>
      <c r="B16" t="s">
        <v>17</v>
      </c>
      <c r="C16" t="s">
        <v>17</v>
      </c>
      <c r="D16" t="s">
        <v>917</v>
      </c>
      <c r="E16" t="s">
        <v>233</v>
      </c>
      <c r="F16" s="28">
        <v>1</v>
      </c>
      <c r="G16" s="25" t="s">
        <v>193</v>
      </c>
      <c r="H16" t="s">
        <v>194</v>
      </c>
      <c r="I16" t="s">
        <v>918</v>
      </c>
      <c r="J16" t="s">
        <v>210</v>
      </c>
      <c r="K16" s="28">
        <v>18</v>
      </c>
      <c r="L16" t="s">
        <v>624</v>
      </c>
      <c r="M16" s="28" t="str">
        <f t="shared" si="0"/>
        <v>332203</v>
      </c>
      <c r="N16" s="28">
        <v>1</v>
      </c>
    </row>
    <row r="17" spans="1:15" x14ac:dyDescent="0.25">
      <c r="A17" t="s">
        <v>931</v>
      </c>
      <c r="B17" t="s">
        <v>932</v>
      </c>
      <c r="C17" t="s">
        <v>17</v>
      </c>
      <c r="D17" t="s">
        <v>917</v>
      </c>
      <c r="E17" t="s">
        <v>233</v>
      </c>
      <c r="F17" s="28">
        <v>1</v>
      </c>
      <c r="G17" s="25" t="s">
        <v>193</v>
      </c>
      <c r="H17" t="s">
        <v>194</v>
      </c>
      <c r="I17" t="s">
        <v>918</v>
      </c>
      <c r="J17" t="s">
        <v>210</v>
      </c>
      <c r="K17" s="28">
        <v>18</v>
      </c>
      <c r="L17" t="s">
        <v>624</v>
      </c>
      <c r="M17" s="28" t="str">
        <f t="shared" si="0"/>
        <v>332203</v>
      </c>
      <c r="N17" s="28">
        <v>1</v>
      </c>
      <c r="O17"/>
    </row>
    <row r="18" spans="1:15" x14ac:dyDescent="0.25">
      <c r="A18" t="s">
        <v>933</v>
      </c>
      <c r="B18" t="s">
        <v>934</v>
      </c>
      <c r="C18" t="s">
        <v>935</v>
      </c>
      <c r="D18" t="s">
        <v>917</v>
      </c>
      <c r="E18" t="s">
        <v>217</v>
      </c>
      <c r="F18" s="28">
        <v>1</v>
      </c>
      <c r="G18" s="25" t="s">
        <v>193</v>
      </c>
      <c r="H18" t="s">
        <v>194</v>
      </c>
      <c r="I18" t="s">
        <v>918</v>
      </c>
      <c r="J18" t="s">
        <v>196</v>
      </c>
      <c r="K18" s="28">
        <v>18</v>
      </c>
      <c r="L18" t="s">
        <v>936</v>
      </c>
      <c r="M18" s="28" t="str">
        <f t="shared" si="0"/>
        <v>213205</v>
      </c>
      <c r="N18" s="28">
        <v>1</v>
      </c>
      <c r="O18"/>
    </row>
    <row r="19" spans="1:15" x14ac:dyDescent="0.25">
      <c r="A19" t="s">
        <v>937</v>
      </c>
      <c r="B19" t="s">
        <v>537</v>
      </c>
      <c r="C19" t="s">
        <v>778</v>
      </c>
      <c r="D19" t="s">
        <v>917</v>
      </c>
      <c r="E19" t="s">
        <v>233</v>
      </c>
      <c r="F19" s="28">
        <v>1</v>
      </c>
      <c r="G19" s="25" t="s">
        <v>193</v>
      </c>
      <c r="H19" t="s">
        <v>194</v>
      </c>
      <c r="I19" t="s">
        <v>918</v>
      </c>
      <c r="J19" t="s">
        <v>385</v>
      </c>
      <c r="K19" s="28">
        <v>18</v>
      </c>
      <c r="L19" t="s">
        <v>779</v>
      </c>
      <c r="M19" s="28" t="str">
        <f t="shared" si="0"/>
        <v>524902</v>
      </c>
      <c r="N19" s="28">
        <v>1</v>
      </c>
      <c r="O19"/>
    </row>
    <row r="20" spans="1:15" x14ac:dyDescent="0.25">
      <c r="A20" t="s">
        <v>938</v>
      </c>
      <c r="B20" t="s">
        <v>939</v>
      </c>
      <c r="C20" t="s">
        <v>82</v>
      </c>
      <c r="D20" t="s">
        <v>917</v>
      </c>
      <c r="E20" t="s">
        <v>192</v>
      </c>
      <c r="F20" s="28">
        <v>1</v>
      </c>
      <c r="G20" s="25" t="s">
        <v>193</v>
      </c>
      <c r="H20" t="s">
        <v>194</v>
      </c>
      <c r="I20" t="s">
        <v>918</v>
      </c>
      <c r="J20" t="s">
        <v>253</v>
      </c>
      <c r="K20" s="28">
        <v>18</v>
      </c>
      <c r="L20" t="s">
        <v>504</v>
      </c>
      <c r="M20" s="28" t="str">
        <f t="shared" si="0"/>
        <v>252101</v>
      </c>
      <c r="N20" s="28">
        <v>1</v>
      </c>
      <c r="O20"/>
    </row>
    <row r="21" spans="1:15" x14ac:dyDescent="0.25">
      <c r="A21" t="s">
        <v>940</v>
      </c>
      <c r="B21" t="s">
        <v>537</v>
      </c>
      <c r="C21" t="s">
        <v>778</v>
      </c>
      <c r="D21" t="s">
        <v>917</v>
      </c>
      <c r="E21" t="s">
        <v>233</v>
      </c>
      <c r="F21" s="28">
        <v>1</v>
      </c>
      <c r="G21" s="25" t="s">
        <v>193</v>
      </c>
      <c r="H21" t="s">
        <v>194</v>
      </c>
      <c r="I21" t="s">
        <v>918</v>
      </c>
      <c r="J21" t="s">
        <v>941</v>
      </c>
      <c r="K21" s="28">
        <v>18</v>
      </c>
      <c r="L21" t="s">
        <v>779</v>
      </c>
      <c r="M21" s="28" t="str">
        <f t="shared" si="0"/>
        <v>524902</v>
      </c>
      <c r="N21" s="28">
        <v>1</v>
      </c>
      <c r="O21"/>
    </row>
    <row r="22" spans="1:15" x14ac:dyDescent="0.25">
      <c r="A22" t="s">
        <v>942</v>
      </c>
      <c r="B22" t="s">
        <v>943</v>
      </c>
      <c r="C22" t="s">
        <v>944</v>
      </c>
      <c r="D22" t="s">
        <v>917</v>
      </c>
      <c r="E22" t="s">
        <v>192</v>
      </c>
      <c r="F22" s="28">
        <v>1</v>
      </c>
      <c r="G22" s="25" t="s">
        <v>193</v>
      </c>
      <c r="H22" t="s">
        <v>194</v>
      </c>
      <c r="I22" t="s">
        <v>918</v>
      </c>
      <c r="J22" t="s">
        <v>210</v>
      </c>
      <c r="K22" s="28">
        <v>18</v>
      </c>
      <c r="L22" t="s">
        <v>945</v>
      </c>
      <c r="M22" s="28" t="str">
        <f t="shared" si="0"/>
        <v>321301</v>
      </c>
      <c r="N22" s="28">
        <v>1</v>
      </c>
      <c r="O22"/>
    </row>
    <row r="23" spans="1:15" x14ac:dyDescent="0.25">
      <c r="A23" t="s">
        <v>946</v>
      </c>
      <c r="B23" t="s">
        <v>947</v>
      </c>
      <c r="C23" t="s">
        <v>678</v>
      </c>
      <c r="D23" t="s">
        <v>917</v>
      </c>
      <c r="E23" t="s">
        <v>192</v>
      </c>
      <c r="F23" s="28">
        <v>1</v>
      </c>
      <c r="G23" s="25" t="s">
        <v>193</v>
      </c>
      <c r="H23" t="s">
        <v>194</v>
      </c>
      <c r="I23" t="s">
        <v>918</v>
      </c>
      <c r="J23" t="s">
        <v>385</v>
      </c>
      <c r="K23" s="28">
        <v>18</v>
      </c>
      <c r="L23" t="s">
        <v>679</v>
      </c>
      <c r="M23" s="28" t="str">
        <f t="shared" si="0"/>
        <v>333404</v>
      </c>
      <c r="N23" s="28">
        <v>1</v>
      </c>
      <c r="O23"/>
    </row>
    <row r="24" spans="1:15" x14ac:dyDescent="0.25">
      <c r="A24" t="s">
        <v>411</v>
      </c>
      <c r="B24" t="s">
        <v>948</v>
      </c>
      <c r="C24" t="s">
        <v>9</v>
      </c>
      <c r="D24" t="s">
        <v>917</v>
      </c>
      <c r="E24" t="s">
        <v>192</v>
      </c>
      <c r="F24" s="28">
        <v>1</v>
      </c>
      <c r="G24" s="25" t="s">
        <v>193</v>
      </c>
      <c r="H24" t="s">
        <v>194</v>
      </c>
      <c r="I24" t="s">
        <v>918</v>
      </c>
      <c r="J24" t="s">
        <v>276</v>
      </c>
      <c r="K24" s="28">
        <v>18</v>
      </c>
      <c r="L24" t="s">
        <v>405</v>
      </c>
      <c r="M24" s="28" t="str">
        <f t="shared" si="0"/>
        <v>241304</v>
      </c>
      <c r="N24" s="28">
        <v>1</v>
      </c>
      <c r="O24"/>
    </row>
    <row r="25" spans="1:15" x14ac:dyDescent="0.25">
      <c r="A25" t="s">
        <v>949</v>
      </c>
      <c r="B25" t="s">
        <v>632</v>
      </c>
      <c r="C25" t="s">
        <v>17</v>
      </c>
      <c r="D25" t="s">
        <v>917</v>
      </c>
      <c r="E25" t="s">
        <v>233</v>
      </c>
      <c r="F25" s="28">
        <v>1</v>
      </c>
      <c r="G25" s="25" t="s">
        <v>193</v>
      </c>
      <c r="H25" t="s">
        <v>194</v>
      </c>
      <c r="I25" t="s">
        <v>918</v>
      </c>
      <c r="J25" t="s">
        <v>196</v>
      </c>
      <c r="K25" s="28">
        <v>18</v>
      </c>
      <c r="L25" t="s">
        <v>624</v>
      </c>
      <c r="M25" s="28" t="str">
        <f t="shared" si="0"/>
        <v>332203</v>
      </c>
      <c r="N25" s="28">
        <v>1</v>
      </c>
      <c r="O25"/>
    </row>
    <row r="26" spans="1:15" x14ac:dyDescent="0.25">
      <c r="A26" t="s">
        <v>446</v>
      </c>
      <c r="B26" t="s">
        <v>950</v>
      </c>
      <c r="C26" t="s">
        <v>136</v>
      </c>
      <c r="D26" t="s">
        <v>917</v>
      </c>
      <c r="E26" t="s">
        <v>233</v>
      </c>
      <c r="F26" s="28">
        <v>1</v>
      </c>
      <c r="G26" s="25" t="s">
        <v>193</v>
      </c>
      <c r="H26" t="s">
        <v>194</v>
      </c>
      <c r="I26" t="s">
        <v>918</v>
      </c>
      <c r="J26" t="s">
        <v>951</v>
      </c>
      <c r="K26" s="28">
        <v>18</v>
      </c>
      <c r="L26" t="s">
        <v>461</v>
      </c>
      <c r="M26" s="28" t="str">
        <f t="shared" si="0"/>
        <v>243301</v>
      </c>
      <c r="N26" s="28">
        <v>1</v>
      </c>
      <c r="O26"/>
    </row>
    <row r="27" spans="1:15" x14ac:dyDescent="0.25">
      <c r="A27" t="s">
        <v>952</v>
      </c>
      <c r="B27" t="s">
        <v>953</v>
      </c>
      <c r="C27" t="s">
        <v>110</v>
      </c>
      <c r="D27" t="s">
        <v>917</v>
      </c>
      <c r="E27" t="s">
        <v>192</v>
      </c>
      <c r="F27" s="28">
        <v>1</v>
      </c>
      <c r="G27" s="25" t="s">
        <v>193</v>
      </c>
      <c r="H27" t="s">
        <v>194</v>
      </c>
      <c r="I27" t="s">
        <v>918</v>
      </c>
      <c r="J27" t="s">
        <v>316</v>
      </c>
      <c r="K27" s="28">
        <v>18</v>
      </c>
      <c r="L27" t="s">
        <v>621</v>
      </c>
      <c r="M27" s="28" t="str">
        <f t="shared" si="0"/>
        <v>332201</v>
      </c>
      <c r="N27" s="28">
        <v>1</v>
      </c>
      <c r="O27"/>
    </row>
    <row r="28" spans="1:15" x14ac:dyDescent="0.25">
      <c r="A28" t="s">
        <v>952</v>
      </c>
      <c r="B28" t="s">
        <v>954</v>
      </c>
      <c r="C28" t="s">
        <v>955</v>
      </c>
      <c r="D28" t="s">
        <v>917</v>
      </c>
      <c r="E28" t="s">
        <v>192</v>
      </c>
      <c r="F28" s="28">
        <v>1</v>
      </c>
      <c r="G28" s="25" t="s">
        <v>193</v>
      </c>
      <c r="H28" t="s">
        <v>194</v>
      </c>
      <c r="I28" t="s">
        <v>918</v>
      </c>
      <c r="J28" t="s">
        <v>327</v>
      </c>
      <c r="K28" s="28">
        <v>18</v>
      </c>
      <c r="L28" t="s">
        <v>956</v>
      </c>
      <c r="M28" s="28" t="str">
        <f t="shared" si="0"/>
        <v>521102</v>
      </c>
      <c r="N28" s="28">
        <v>1</v>
      </c>
      <c r="O28"/>
    </row>
    <row r="29" spans="1:15" x14ac:dyDescent="0.25">
      <c r="A29" t="s">
        <v>957</v>
      </c>
      <c r="B29" t="s">
        <v>958</v>
      </c>
      <c r="C29" t="s">
        <v>955</v>
      </c>
      <c r="D29" t="s">
        <v>917</v>
      </c>
      <c r="E29" t="s">
        <v>233</v>
      </c>
      <c r="F29" s="28">
        <v>1</v>
      </c>
      <c r="G29" s="25" t="s">
        <v>193</v>
      </c>
      <c r="H29" t="s">
        <v>194</v>
      </c>
      <c r="I29" t="s">
        <v>918</v>
      </c>
      <c r="J29" t="s">
        <v>959</v>
      </c>
      <c r="K29" s="28">
        <v>18</v>
      </c>
      <c r="L29" t="s">
        <v>956</v>
      </c>
      <c r="M29" s="28" t="str">
        <f t="shared" si="0"/>
        <v>521102</v>
      </c>
      <c r="N29" s="28">
        <v>1</v>
      </c>
      <c r="O29"/>
    </row>
    <row r="30" spans="1:15" x14ac:dyDescent="0.25">
      <c r="A30" t="s">
        <v>382</v>
      </c>
      <c r="B30" t="s">
        <v>537</v>
      </c>
      <c r="C30" t="s">
        <v>778</v>
      </c>
      <c r="D30" t="s">
        <v>917</v>
      </c>
      <c r="E30" t="s">
        <v>233</v>
      </c>
      <c r="F30" s="28">
        <v>1</v>
      </c>
      <c r="G30" s="25" t="s">
        <v>193</v>
      </c>
      <c r="H30" t="s">
        <v>194</v>
      </c>
      <c r="I30" t="s">
        <v>918</v>
      </c>
      <c r="J30" t="s">
        <v>960</v>
      </c>
      <c r="K30" s="28">
        <v>18</v>
      </c>
      <c r="L30" t="s">
        <v>779</v>
      </c>
      <c r="M30" s="28" t="str">
        <f t="shared" si="0"/>
        <v>524902</v>
      </c>
      <c r="N30" s="28">
        <v>1</v>
      </c>
      <c r="O30"/>
    </row>
    <row r="31" spans="1:15" x14ac:dyDescent="0.25">
      <c r="A31" t="s">
        <v>961</v>
      </c>
      <c r="B31" t="s">
        <v>632</v>
      </c>
      <c r="C31" t="s">
        <v>17</v>
      </c>
      <c r="D31" t="s">
        <v>917</v>
      </c>
      <c r="E31" t="s">
        <v>233</v>
      </c>
      <c r="F31" s="28">
        <v>1</v>
      </c>
      <c r="G31" s="25" t="s">
        <v>193</v>
      </c>
      <c r="H31" t="s">
        <v>194</v>
      </c>
      <c r="I31" t="s">
        <v>918</v>
      </c>
      <c r="J31" t="s">
        <v>210</v>
      </c>
      <c r="K31" s="28">
        <v>18</v>
      </c>
      <c r="L31" t="s">
        <v>624</v>
      </c>
      <c r="M31" s="28" t="str">
        <f t="shared" si="0"/>
        <v>332203</v>
      </c>
      <c r="N31" s="28">
        <v>1</v>
      </c>
      <c r="O31"/>
    </row>
    <row r="32" spans="1:15" x14ac:dyDescent="0.25">
      <c r="A32" t="s">
        <v>244</v>
      </c>
      <c r="B32" t="s">
        <v>537</v>
      </c>
      <c r="C32" t="s">
        <v>778</v>
      </c>
      <c r="D32" t="s">
        <v>917</v>
      </c>
      <c r="E32" t="s">
        <v>252</v>
      </c>
      <c r="F32" s="28">
        <v>1</v>
      </c>
      <c r="G32" s="25" t="s">
        <v>193</v>
      </c>
      <c r="H32" t="s">
        <v>194</v>
      </c>
      <c r="I32" t="s">
        <v>918</v>
      </c>
      <c r="J32" t="s">
        <v>962</v>
      </c>
      <c r="K32" s="28">
        <v>18</v>
      </c>
      <c r="L32" t="s">
        <v>779</v>
      </c>
      <c r="M32" s="28" t="str">
        <f t="shared" si="0"/>
        <v>524902</v>
      </c>
      <c r="N32" s="28">
        <v>1</v>
      </c>
      <c r="O32"/>
    </row>
    <row r="33" spans="1:15" x14ac:dyDescent="0.25">
      <c r="A33" t="s">
        <v>244</v>
      </c>
      <c r="B33" t="s">
        <v>963</v>
      </c>
      <c r="C33" t="s">
        <v>740</v>
      </c>
      <c r="D33" t="s">
        <v>917</v>
      </c>
      <c r="E33" t="s">
        <v>252</v>
      </c>
      <c r="F33" s="28">
        <v>1</v>
      </c>
      <c r="G33" s="25" t="s">
        <v>193</v>
      </c>
      <c r="H33" t="s">
        <v>194</v>
      </c>
      <c r="I33" t="s">
        <v>918</v>
      </c>
      <c r="J33" t="s">
        <v>408</v>
      </c>
      <c r="K33" s="28">
        <v>18</v>
      </c>
      <c r="L33" t="s">
        <v>741</v>
      </c>
      <c r="M33" s="28" t="str">
        <f t="shared" si="0"/>
        <v>522301</v>
      </c>
      <c r="N33" s="28">
        <v>1</v>
      </c>
      <c r="O33"/>
    </row>
    <row r="34" spans="1:15" x14ac:dyDescent="0.25">
      <c r="A34" t="s">
        <v>244</v>
      </c>
      <c r="B34" t="s">
        <v>963</v>
      </c>
      <c r="C34" t="s">
        <v>740</v>
      </c>
      <c r="D34" t="s">
        <v>917</v>
      </c>
      <c r="E34" t="s">
        <v>252</v>
      </c>
      <c r="F34" s="28">
        <v>1</v>
      </c>
      <c r="G34" s="25" t="s">
        <v>193</v>
      </c>
      <c r="H34" t="s">
        <v>194</v>
      </c>
      <c r="I34" t="s">
        <v>918</v>
      </c>
      <c r="J34" t="s">
        <v>276</v>
      </c>
      <c r="K34" s="28">
        <v>18</v>
      </c>
      <c r="L34" t="s">
        <v>741</v>
      </c>
      <c r="M34" s="28" t="str">
        <f t="shared" si="0"/>
        <v>522301</v>
      </c>
      <c r="N34" s="28">
        <v>1</v>
      </c>
      <c r="O34"/>
    </row>
    <row r="35" spans="1:15" x14ac:dyDescent="0.25">
      <c r="A35" t="s">
        <v>244</v>
      </c>
      <c r="B35" t="s">
        <v>963</v>
      </c>
      <c r="C35" t="s">
        <v>740</v>
      </c>
      <c r="D35" t="s">
        <v>917</v>
      </c>
      <c r="E35" t="s">
        <v>252</v>
      </c>
      <c r="F35" s="28">
        <v>1</v>
      </c>
      <c r="G35" s="25" t="s">
        <v>193</v>
      </c>
      <c r="H35" t="s">
        <v>194</v>
      </c>
      <c r="I35" t="s">
        <v>918</v>
      </c>
      <c r="J35" t="s">
        <v>316</v>
      </c>
      <c r="K35" s="28">
        <v>18</v>
      </c>
      <c r="L35" t="s">
        <v>741</v>
      </c>
      <c r="M35" s="28" t="str">
        <f t="shared" si="0"/>
        <v>522301</v>
      </c>
      <c r="N35" s="28">
        <v>1</v>
      </c>
      <c r="O35"/>
    </row>
    <row r="36" spans="1:15" x14ac:dyDescent="0.25">
      <c r="A36" t="s">
        <v>964</v>
      </c>
      <c r="B36" t="s">
        <v>537</v>
      </c>
      <c r="C36" t="s">
        <v>778</v>
      </c>
      <c r="D36" t="s">
        <v>917</v>
      </c>
      <c r="E36" t="s">
        <v>233</v>
      </c>
      <c r="F36" s="28">
        <v>1</v>
      </c>
      <c r="G36" s="25" t="s">
        <v>193</v>
      </c>
      <c r="H36" t="s">
        <v>194</v>
      </c>
      <c r="I36" t="s">
        <v>918</v>
      </c>
      <c r="J36" t="s">
        <v>962</v>
      </c>
      <c r="K36" s="28">
        <v>18</v>
      </c>
      <c r="L36" t="s">
        <v>779</v>
      </c>
      <c r="M36" s="28" t="str">
        <f t="shared" si="0"/>
        <v>524902</v>
      </c>
      <c r="N36" s="28">
        <v>1</v>
      </c>
      <c r="O36"/>
    </row>
    <row r="37" spans="1:15" x14ac:dyDescent="0.25">
      <c r="A37" t="s">
        <v>964</v>
      </c>
      <c r="B37" t="s">
        <v>537</v>
      </c>
      <c r="C37" t="s">
        <v>778</v>
      </c>
      <c r="D37" t="s">
        <v>917</v>
      </c>
      <c r="E37" t="s">
        <v>233</v>
      </c>
      <c r="F37" s="28">
        <v>1</v>
      </c>
      <c r="G37" s="25" t="s">
        <v>193</v>
      </c>
      <c r="H37" t="s">
        <v>194</v>
      </c>
      <c r="I37" t="s">
        <v>918</v>
      </c>
      <c r="J37" t="s">
        <v>316</v>
      </c>
      <c r="K37" s="28">
        <v>18</v>
      </c>
      <c r="L37" t="s">
        <v>779</v>
      </c>
      <c r="M37" s="28" t="str">
        <f t="shared" si="0"/>
        <v>524902</v>
      </c>
      <c r="N37" s="28">
        <v>1</v>
      </c>
      <c r="O37"/>
    </row>
    <row r="38" spans="1:15" x14ac:dyDescent="0.25">
      <c r="A38" t="s">
        <v>413</v>
      </c>
      <c r="B38" t="s">
        <v>965</v>
      </c>
      <c r="C38" t="s">
        <v>113</v>
      </c>
      <c r="D38" t="s">
        <v>917</v>
      </c>
      <c r="E38" t="s">
        <v>233</v>
      </c>
      <c r="F38" s="28">
        <v>1</v>
      </c>
      <c r="G38" s="25" t="s">
        <v>193</v>
      </c>
      <c r="H38" t="s">
        <v>194</v>
      </c>
      <c r="I38" t="s">
        <v>918</v>
      </c>
      <c r="J38" t="s">
        <v>966</v>
      </c>
      <c r="K38" s="28">
        <v>18</v>
      </c>
      <c r="L38" t="s">
        <v>465</v>
      </c>
      <c r="M38" s="28" t="str">
        <f t="shared" si="0"/>
        <v>243302</v>
      </c>
      <c r="N38" s="28">
        <v>1</v>
      </c>
      <c r="O38"/>
    </row>
    <row r="39" spans="1:15" x14ac:dyDescent="0.25">
      <c r="A39" t="s">
        <v>967</v>
      </c>
      <c r="B39" t="s">
        <v>968</v>
      </c>
      <c r="C39" t="s">
        <v>10</v>
      </c>
      <c r="D39" t="s">
        <v>917</v>
      </c>
      <c r="E39" t="s">
        <v>192</v>
      </c>
      <c r="F39" s="28">
        <v>1</v>
      </c>
      <c r="G39" s="25" t="s">
        <v>193</v>
      </c>
      <c r="H39" t="s">
        <v>194</v>
      </c>
      <c r="I39" t="s">
        <v>918</v>
      </c>
      <c r="J39" t="s">
        <v>210</v>
      </c>
      <c r="K39" s="28">
        <v>18</v>
      </c>
      <c r="L39" t="s">
        <v>484</v>
      </c>
      <c r="M39" s="28" t="str">
        <f t="shared" si="0"/>
        <v>251401</v>
      </c>
      <c r="N39" s="28">
        <v>1</v>
      </c>
      <c r="O39"/>
    </row>
    <row r="40" spans="1:15" x14ac:dyDescent="0.25">
      <c r="A40" t="s">
        <v>969</v>
      </c>
      <c r="B40" t="s">
        <v>970</v>
      </c>
      <c r="C40" t="s">
        <v>525</v>
      </c>
      <c r="D40" t="s">
        <v>917</v>
      </c>
      <c r="E40" t="s">
        <v>233</v>
      </c>
      <c r="F40" s="28">
        <v>1</v>
      </c>
      <c r="G40" s="25" t="s">
        <v>193</v>
      </c>
      <c r="H40" t="s">
        <v>194</v>
      </c>
      <c r="I40" t="s">
        <v>918</v>
      </c>
      <c r="J40" t="s">
        <v>316</v>
      </c>
      <c r="K40" s="28">
        <v>18</v>
      </c>
      <c r="L40" t="s">
        <v>526</v>
      </c>
      <c r="M40" s="28" t="str">
        <f t="shared" si="0"/>
        <v>263102</v>
      </c>
      <c r="N40" s="28">
        <v>1</v>
      </c>
      <c r="O40"/>
    </row>
    <row r="41" spans="1:15" x14ac:dyDescent="0.25">
      <c r="A41" t="s">
        <v>629</v>
      </c>
      <c r="B41" t="s">
        <v>971</v>
      </c>
      <c r="C41" t="s">
        <v>420</v>
      </c>
      <c r="D41" t="s">
        <v>917</v>
      </c>
      <c r="E41" t="s">
        <v>192</v>
      </c>
      <c r="F41" s="28">
        <v>1</v>
      </c>
      <c r="G41" s="25" t="s">
        <v>193</v>
      </c>
      <c r="H41" t="s">
        <v>194</v>
      </c>
      <c r="I41" t="s">
        <v>918</v>
      </c>
      <c r="J41" t="s">
        <v>473</v>
      </c>
      <c r="K41" s="28">
        <v>18</v>
      </c>
      <c r="L41" t="s">
        <v>421</v>
      </c>
      <c r="M41" s="28" t="str">
        <f t="shared" si="0"/>
        <v>241306</v>
      </c>
      <c r="N41" s="28">
        <v>1</v>
      </c>
      <c r="O41"/>
    </row>
    <row r="42" spans="1:15" x14ac:dyDescent="0.25">
      <c r="A42" t="s">
        <v>972</v>
      </c>
      <c r="B42" t="s">
        <v>973</v>
      </c>
      <c r="C42" t="s">
        <v>525</v>
      </c>
      <c r="D42" t="s">
        <v>917</v>
      </c>
      <c r="E42" t="s">
        <v>192</v>
      </c>
      <c r="F42" s="28">
        <v>1</v>
      </c>
      <c r="G42" s="25" t="s">
        <v>193</v>
      </c>
      <c r="H42" t="s">
        <v>194</v>
      </c>
      <c r="I42" t="s">
        <v>918</v>
      </c>
      <c r="J42" t="s">
        <v>210</v>
      </c>
      <c r="K42" s="28">
        <v>18</v>
      </c>
      <c r="L42" t="s">
        <v>526</v>
      </c>
      <c r="M42" s="28" t="str">
        <f t="shared" si="0"/>
        <v>263102</v>
      </c>
      <c r="N42" s="28">
        <v>1</v>
      </c>
      <c r="O42"/>
    </row>
    <row r="43" spans="1:15" x14ac:dyDescent="0.25">
      <c r="A43" t="s">
        <v>974</v>
      </c>
      <c r="B43" t="s">
        <v>975</v>
      </c>
      <c r="C43" t="s">
        <v>333</v>
      </c>
      <c r="D43" t="s">
        <v>917</v>
      </c>
      <c r="E43" t="s">
        <v>192</v>
      </c>
      <c r="F43" s="28">
        <v>1</v>
      </c>
      <c r="G43" s="25" t="s">
        <v>193</v>
      </c>
      <c r="H43" t="s">
        <v>194</v>
      </c>
      <c r="I43" t="s">
        <v>918</v>
      </c>
      <c r="J43" t="s">
        <v>976</v>
      </c>
      <c r="K43" s="28">
        <v>18</v>
      </c>
      <c r="L43" t="s">
        <v>334</v>
      </c>
      <c r="M43" s="28" t="str">
        <f t="shared" si="0"/>
        <v>214607</v>
      </c>
      <c r="N43" s="28">
        <v>1</v>
      </c>
      <c r="O43"/>
    </row>
    <row r="44" spans="1:15" x14ac:dyDescent="0.25">
      <c r="A44" t="s">
        <v>977</v>
      </c>
      <c r="B44" t="s">
        <v>978</v>
      </c>
      <c r="C44" t="s">
        <v>100</v>
      </c>
      <c r="D44" t="s">
        <v>917</v>
      </c>
      <c r="E44" t="s">
        <v>192</v>
      </c>
      <c r="F44" s="28">
        <v>1</v>
      </c>
      <c r="G44" s="25" t="s">
        <v>193</v>
      </c>
      <c r="H44" t="s">
        <v>194</v>
      </c>
      <c r="I44" t="s">
        <v>918</v>
      </c>
      <c r="J44" t="s">
        <v>253</v>
      </c>
      <c r="K44" s="28">
        <v>18</v>
      </c>
      <c r="L44" t="s">
        <v>429</v>
      </c>
      <c r="M44" s="28" t="str">
        <f t="shared" si="0"/>
        <v>242108</v>
      </c>
      <c r="N44" s="28">
        <v>1</v>
      </c>
      <c r="O44"/>
    </row>
    <row r="45" spans="1:15" x14ac:dyDescent="0.25">
      <c r="A45" t="s">
        <v>247</v>
      </c>
      <c r="B45" t="s">
        <v>261</v>
      </c>
      <c r="C45" t="s">
        <v>74</v>
      </c>
      <c r="D45" t="s">
        <v>917</v>
      </c>
      <c r="E45" t="s">
        <v>192</v>
      </c>
      <c r="F45" s="28">
        <v>1</v>
      </c>
      <c r="G45" s="25" t="s">
        <v>193</v>
      </c>
      <c r="H45" t="s">
        <v>194</v>
      </c>
      <c r="I45" t="s">
        <v>918</v>
      </c>
      <c r="J45" t="s">
        <v>253</v>
      </c>
      <c r="K45" s="28">
        <v>18</v>
      </c>
      <c r="L45" t="s">
        <v>246</v>
      </c>
      <c r="M45" s="28" t="str">
        <f t="shared" si="0"/>
        <v>142004</v>
      </c>
      <c r="N45" s="28">
        <v>1</v>
      </c>
      <c r="O45"/>
    </row>
    <row r="46" spans="1:15" x14ac:dyDescent="0.25">
      <c r="A46" t="s">
        <v>979</v>
      </c>
      <c r="B46" t="s">
        <v>980</v>
      </c>
      <c r="C46" t="s">
        <v>37</v>
      </c>
      <c r="D46" t="s">
        <v>917</v>
      </c>
      <c r="E46" t="s">
        <v>192</v>
      </c>
      <c r="F46" s="28">
        <v>1</v>
      </c>
      <c r="G46" s="25" t="s">
        <v>193</v>
      </c>
      <c r="H46" t="s">
        <v>194</v>
      </c>
      <c r="I46" t="s">
        <v>918</v>
      </c>
      <c r="J46" t="s">
        <v>196</v>
      </c>
      <c r="K46" s="28">
        <v>18</v>
      </c>
      <c r="L46" t="s">
        <v>516</v>
      </c>
      <c r="M46" s="28" t="str">
        <f t="shared" si="0"/>
        <v>252302</v>
      </c>
      <c r="N46" s="28">
        <v>1</v>
      </c>
      <c r="O46"/>
    </row>
    <row r="47" spans="1:15" x14ac:dyDescent="0.25">
      <c r="A47" t="s">
        <v>331</v>
      </c>
      <c r="B47" t="s">
        <v>981</v>
      </c>
      <c r="C47" t="s">
        <v>982</v>
      </c>
      <c r="D47" t="s">
        <v>917</v>
      </c>
      <c r="E47" t="s">
        <v>192</v>
      </c>
      <c r="F47" s="28">
        <v>1</v>
      </c>
      <c r="G47" s="25" t="s">
        <v>193</v>
      </c>
      <c r="H47" t="s">
        <v>194</v>
      </c>
      <c r="I47" t="s">
        <v>918</v>
      </c>
      <c r="J47" t="s">
        <v>309</v>
      </c>
      <c r="K47" s="28">
        <v>18</v>
      </c>
      <c r="L47" t="s">
        <v>983</v>
      </c>
      <c r="M47" s="28" t="str">
        <f t="shared" si="0"/>
        <v>213303</v>
      </c>
      <c r="N47" s="28">
        <v>1</v>
      </c>
      <c r="O47"/>
    </row>
    <row r="48" spans="1:15" x14ac:dyDescent="0.25">
      <c r="A48" t="s">
        <v>529</v>
      </c>
      <c r="B48" t="s">
        <v>984</v>
      </c>
      <c r="C48" t="s">
        <v>23</v>
      </c>
      <c r="D48" t="s">
        <v>917</v>
      </c>
      <c r="E48" t="s">
        <v>192</v>
      </c>
      <c r="F48" s="28">
        <v>1</v>
      </c>
      <c r="G48" s="25" t="s">
        <v>193</v>
      </c>
      <c r="H48" t="s">
        <v>194</v>
      </c>
      <c r="I48" t="s">
        <v>918</v>
      </c>
      <c r="J48" t="s">
        <v>309</v>
      </c>
      <c r="K48" s="28">
        <v>18</v>
      </c>
      <c r="L48" t="s">
        <v>985</v>
      </c>
      <c r="M48" s="28" t="str">
        <f t="shared" si="0"/>
        <v>263204</v>
      </c>
      <c r="N48" s="28">
        <v>1</v>
      </c>
      <c r="O48"/>
    </row>
    <row r="49" spans="1:15" x14ac:dyDescent="0.25">
      <c r="A49" t="s">
        <v>986</v>
      </c>
      <c r="B49" t="s">
        <v>653</v>
      </c>
      <c r="C49" t="s">
        <v>17</v>
      </c>
      <c r="D49" t="s">
        <v>917</v>
      </c>
      <c r="E49" t="s">
        <v>192</v>
      </c>
      <c r="F49" s="28">
        <v>1</v>
      </c>
      <c r="G49" s="25" t="s">
        <v>193</v>
      </c>
      <c r="H49" t="s">
        <v>194</v>
      </c>
      <c r="I49" t="s">
        <v>918</v>
      </c>
      <c r="J49" t="s">
        <v>276</v>
      </c>
      <c r="K49" s="28">
        <v>18</v>
      </c>
      <c r="L49" t="s">
        <v>624</v>
      </c>
      <c r="M49" s="28" t="str">
        <f t="shared" si="0"/>
        <v>332203</v>
      </c>
      <c r="N49" s="28">
        <v>1</v>
      </c>
    </row>
    <row r="50" spans="1:15" x14ac:dyDescent="0.25">
      <c r="A50" t="s">
        <v>987</v>
      </c>
      <c r="B50" t="s">
        <v>988</v>
      </c>
      <c r="C50" t="s">
        <v>989</v>
      </c>
      <c r="D50" t="s">
        <v>917</v>
      </c>
      <c r="E50" t="s">
        <v>192</v>
      </c>
      <c r="F50" s="28">
        <v>10</v>
      </c>
      <c r="G50" s="25" t="s">
        <v>193</v>
      </c>
      <c r="H50" t="s">
        <v>194</v>
      </c>
      <c r="I50" t="s">
        <v>918</v>
      </c>
      <c r="J50" t="s">
        <v>399</v>
      </c>
      <c r="K50" s="28">
        <v>18</v>
      </c>
      <c r="L50" t="s">
        <v>990</v>
      </c>
      <c r="M50" s="28" t="str">
        <f t="shared" si="0"/>
        <v>833202</v>
      </c>
      <c r="N50" s="28">
        <v>1</v>
      </c>
    </row>
    <row r="51" spans="1:15" x14ac:dyDescent="0.25">
      <c r="A51" t="s">
        <v>987</v>
      </c>
      <c r="B51" t="s">
        <v>991</v>
      </c>
      <c r="C51" t="s">
        <v>989</v>
      </c>
      <c r="D51" t="s">
        <v>917</v>
      </c>
      <c r="E51" t="s">
        <v>192</v>
      </c>
      <c r="F51" s="28">
        <v>25</v>
      </c>
      <c r="G51" s="25" t="s">
        <v>193</v>
      </c>
      <c r="H51" t="s">
        <v>194</v>
      </c>
      <c r="I51" t="s">
        <v>918</v>
      </c>
      <c r="J51" t="s">
        <v>399</v>
      </c>
      <c r="K51" s="28">
        <v>18</v>
      </c>
      <c r="L51" t="s">
        <v>990</v>
      </c>
      <c r="M51" s="28" t="str">
        <f t="shared" si="0"/>
        <v>833202</v>
      </c>
      <c r="N51" s="28">
        <v>1</v>
      </c>
    </row>
    <row r="52" spans="1:15" x14ac:dyDescent="0.25">
      <c r="A52" t="s">
        <v>992</v>
      </c>
      <c r="B52" t="s">
        <v>993</v>
      </c>
      <c r="C52" t="s">
        <v>121</v>
      </c>
      <c r="D52" t="s">
        <v>917</v>
      </c>
      <c r="E52" t="s">
        <v>192</v>
      </c>
      <c r="F52" s="28">
        <v>1</v>
      </c>
      <c r="G52" s="25" t="s">
        <v>193</v>
      </c>
      <c r="H52" t="s">
        <v>194</v>
      </c>
      <c r="I52" t="s">
        <v>918</v>
      </c>
      <c r="J52" t="s">
        <v>210</v>
      </c>
      <c r="K52" s="28">
        <v>18</v>
      </c>
      <c r="L52" t="s">
        <v>994</v>
      </c>
      <c r="M52" s="28" t="str">
        <f t="shared" si="0"/>
        <v>214102</v>
      </c>
      <c r="N52" s="28">
        <v>1</v>
      </c>
    </row>
    <row r="53" spans="1:15" x14ac:dyDescent="0.25">
      <c r="A53" t="s">
        <v>995</v>
      </c>
      <c r="B53" t="s">
        <v>632</v>
      </c>
      <c r="C53" t="s">
        <v>17</v>
      </c>
      <c r="D53" t="s">
        <v>917</v>
      </c>
      <c r="E53" t="s">
        <v>233</v>
      </c>
      <c r="F53" s="28">
        <v>1</v>
      </c>
      <c r="G53" s="25" t="s">
        <v>193</v>
      </c>
      <c r="H53" t="s">
        <v>194</v>
      </c>
      <c r="I53" t="s">
        <v>918</v>
      </c>
      <c r="J53" t="s">
        <v>210</v>
      </c>
      <c r="K53" s="28">
        <v>18</v>
      </c>
      <c r="L53" t="s">
        <v>624</v>
      </c>
      <c r="M53" s="28" t="str">
        <f t="shared" si="0"/>
        <v>332203</v>
      </c>
      <c r="N53" s="28">
        <v>1</v>
      </c>
    </row>
    <row r="54" spans="1:15" x14ac:dyDescent="0.25">
      <c r="A54" t="s">
        <v>996</v>
      </c>
      <c r="B54" t="s">
        <v>997</v>
      </c>
      <c r="C54" t="s">
        <v>17</v>
      </c>
      <c r="D54" t="s">
        <v>917</v>
      </c>
      <c r="E54" t="s">
        <v>192</v>
      </c>
      <c r="F54" s="28">
        <v>1</v>
      </c>
      <c r="G54" s="25" t="s">
        <v>193</v>
      </c>
      <c r="H54" t="s">
        <v>194</v>
      </c>
      <c r="I54" t="s">
        <v>918</v>
      </c>
      <c r="J54" t="s">
        <v>210</v>
      </c>
      <c r="K54" s="28">
        <v>18</v>
      </c>
      <c r="L54" t="s">
        <v>624</v>
      </c>
      <c r="M54" s="28" t="str">
        <f t="shared" si="0"/>
        <v>332203</v>
      </c>
      <c r="N54" s="28">
        <v>1</v>
      </c>
    </row>
    <row r="55" spans="1:15" x14ac:dyDescent="0.25">
      <c r="A55" t="s">
        <v>998</v>
      </c>
      <c r="B55" t="s">
        <v>632</v>
      </c>
      <c r="C55" t="s">
        <v>17</v>
      </c>
      <c r="D55" t="s">
        <v>917</v>
      </c>
      <c r="E55" t="s">
        <v>233</v>
      </c>
      <c r="F55" s="28">
        <v>1</v>
      </c>
      <c r="G55" s="25" t="s">
        <v>193</v>
      </c>
      <c r="H55" t="s">
        <v>194</v>
      </c>
      <c r="I55" t="s">
        <v>918</v>
      </c>
      <c r="J55" t="s">
        <v>196</v>
      </c>
      <c r="K55" s="28">
        <v>18</v>
      </c>
      <c r="L55" t="s">
        <v>624</v>
      </c>
      <c r="M55" s="28" t="str">
        <f t="shared" si="0"/>
        <v>332203</v>
      </c>
      <c r="N55" s="28">
        <v>1</v>
      </c>
    </row>
    <row r="56" spans="1:15" x14ac:dyDescent="0.25">
      <c r="A56" t="s">
        <v>999</v>
      </c>
      <c r="B56" t="s">
        <v>1000</v>
      </c>
      <c r="C56" t="s">
        <v>566</v>
      </c>
      <c r="D56" t="s">
        <v>917</v>
      </c>
      <c r="E56" t="s">
        <v>233</v>
      </c>
      <c r="F56" s="28">
        <v>1</v>
      </c>
      <c r="G56" s="25" t="s">
        <v>193</v>
      </c>
      <c r="H56" t="s">
        <v>194</v>
      </c>
      <c r="I56" t="s">
        <v>918</v>
      </c>
      <c r="J56" t="s">
        <v>408</v>
      </c>
      <c r="K56" s="28">
        <v>18</v>
      </c>
      <c r="L56" t="s">
        <v>567</v>
      </c>
      <c r="M56" s="28" t="str">
        <f t="shared" si="0"/>
        <v>311504</v>
      </c>
      <c r="N56" s="28">
        <v>1</v>
      </c>
    </row>
    <row r="57" spans="1:15" x14ac:dyDescent="0.25">
      <c r="A57" t="s">
        <v>1001</v>
      </c>
      <c r="B57" t="s">
        <v>49</v>
      </c>
      <c r="C57" t="s">
        <v>396</v>
      </c>
      <c r="D57" t="s">
        <v>917</v>
      </c>
      <c r="E57" t="s">
        <v>192</v>
      </c>
      <c r="F57" s="28">
        <v>1</v>
      </c>
      <c r="G57" s="25" t="s">
        <v>193</v>
      </c>
      <c r="H57" t="s">
        <v>194</v>
      </c>
      <c r="I57" t="s">
        <v>918</v>
      </c>
      <c r="J57" t="s">
        <v>210</v>
      </c>
      <c r="K57" s="28">
        <v>18</v>
      </c>
      <c r="L57" t="s">
        <v>397</v>
      </c>
      <c r="M57" s="28" t="str">
        <f t="shared" si="0"/>
        <v>235301</v>
      </c>
      <c r="N57" s="28">
        <v>1</v>
      </c>
    </row>
    <row r="58" spans="1:15" x14ac:dyDescent="0.25">
      <c r="A58" t="s">
        <v>1002</v>
      </c>
      <c r="B58" t="s">
        <v>1003</v>
      </c>
      <c r="C58" t="s">
        <v>1004</v>
      </c>
      <c r="D58" t="s">
        <v>1005</v>
      </c>
      <c r="E58" t="s">
        <v>233</v>
      </c>
      <c r="F58" s="28">
        <v>1</v>
      </c>
      <c r="G58" s="25" t="s">
        <v>193</v>
      </c>
      <c r="H58" t="s">
        <v>194</v>
      </c>
      <c r="I58" t="s">
        <v>1006</v>
      </c>
      <c r="J58" t="s">
        <v>408</v>
      </c>
      <c r="K58" s="28">
        <v>18</v>
      </c>
      <c r="L58" t="s">
        <v>1007</v>
      </c>
      <c r="M58" s="28" t="str">
        <f t="shared" si="0"/>
        <v>213108</v>
      </c>
      <c r="N58" s="28">
        <v>1</v>
      </c>
    </row>
    <row r="59" spans="1:15" x14ac:dyDescent="0.25">
      <c r="A59" t="s">
        <v>1008</v>
      </c>
      <c r="B59" t="s">
        <v>1009</v>
      </c>
      <c r="C59" t="s">
        <v>9</v>
      </c>
      <c r="D59" t="s">
        <v>1005</v>
      </c>
      <c r="E59" t="s">
        <v>233</v>
      </c>
      <c r="F59" s="28">
        <v>1</v>
      </c>
      <c r="G59" s="25" t="s">
        <v>193</v>
      </c>
      <c r="H59" t="s">
        <v>194</v>
      </c>
      <c r="I59" t="s">
        <v>1006</v>
      </c>
      <c r="J59" t="s">
        <v>1010</v>
      </c>
      <c r="K59" s="28">
        <v>18</v>
      </c>
      <c r="L59" t="s">
        <v>405</v>
      </c>
      <c r="M59" s="28" t="str">
        <f t="shared" si="0"/>
        <v>241304</v>
      </c>
      <c r="N59" s="28">
        <v>1</v>
      </c>
    </row>
    <row r="60" spans="1:15" x14ac:dyDescent="0.25">
      <c r="A60" t="s">
        <v>1011</v>
      </c>
      <c r="B60" t="s">
        <v>1012</v>
      </c>
      <c r="C60" t="s">
        <v>617</v>
      </c>
      <c r="D60" t="s">
        <v>1005</v>
      </c>
      <c r="E60" t="s">
        <v>233</v>
      </c>
      <c r="F60" s="28">
        <v>1</v>
      </c>
      <c r="G60" s="25" t="s">
        <v>193</v>
      </c>
      <c r="H60" t="s">
        <v>194</v>
      </c>
      <c r="I60" t="s">
        <v>1006</v>
      </c>
      <c r="J60" t="s">
        <v>1013</v>
      </c>
      <c r="K60" s="28">
        <v>18</v>
      </c>
      <c r="L60" t="s">
        <v>618</v>
      </c>
      <c r="M60" s="28" t="str">
        <f t="shared" si="0"/>
        <v>332104</v>
      </c>
      <c r="N60" s="28">
        <v>1</v>
      </c>
    </row>
    <row r="61" spans="1:15" x14ac:dyDescent="0.25">
      <c r="A61" t="s">
        <v>1011</v>
      </c>
      <c r="B61" t="s">
        <v>1014</v>
      </c>
      <c r="C61" t="s">
        <v>95</v>
      </c>
      <c r="D61" t="s">
        <v>1005</v>
      </c>
      <c r="E61" t="s">
        <v>233</v>
      </c>
      <c r="F61" s="28">
        <v>1</v>
      </c>
      <c r="G61" s="25" t="s">
        <v>193</v>
      </c>
      <c r="H61" t="s">
        <v>194</v>
      </c>
      <c r="I61" t="s">
        <v>1006</v>
      </c>
      <c r="J61" t="s">
        <v>1013</v>
      </c>
      <c r="K61" s="28">
        <v>18</v>
      </c>
      <c r="L61" t="s">
        <v>1015</v>
      </c>
      <c r="M61" s="28" t="str">
        <f t="shared" si="0"/>
        <v>122102</v>
      </c>
      <c r="N61" s="28">
        <v>1</v>
      </c>
    </row>
    <row r="62" spans="1:15" x14ac:dyDescent="0.25">
      <c r="A62" t="s">
        <v>1011</v>
      </c>
      <c r="B62" t="s">
        <v>1014</v>
      </c>
      <c r="C62" t="s">
        <v>95</v>
      </c>
      <c r="D62" t="s">
        <v>1005</v>
      </c>
      <c r="E62" t="s">
        <v>233</v>
      </c>
      <c r="F62" s="28">
        <v>1</v>
      </c>
      <c r="G62" s="25" t="s">
        <v>193</v>
      </c>
      <c r="H62" t="s">
        <v>194</v>
      </c>
      <c r="I62" t="s">
        <v>1006</v>
      </c>
      <c r="J62" t="s">
        <v>1016</v>
      </c>
      <c r="K62" s="28">
        <v>18</v>
      </c>
      <c r="L62" t="s">
        <v>1015</v>
      </c>
      <c r="M62" s="28" t="str">
        <f t="shared" si="0"/>
        <v>122102</v>
      </c>
      <c r="N62" s="28">
        <v>1</v>
      </c>
    </row>
    <row r="63" spans="1:15" x14ac:dyDescent="0.25">
      <c r="A63" t="s">
        <v>1017</v>
      </c>
      <c r="B63" t="s">
        <v>1018</v>
      </c>
      <c r="C63" t="s">
        <v>17</v>
      </c>
      <c r="D63" t="s">
        <v>1005</v>
      </c>
      <c r="E63" t="s">
        <v>233</v>
      </c>
      <c r="F63" s="28">
        <v>1</v>
      </c>
      <c r="G63" s="25" t="s">
        <v>193</v>
      </c>
      <c r="H63" t="s">
        <v>194</v>
      </c>
      <c r="I63" t="s">
        <v>1006</v>
      </c>
      <c r="J63" t="s">
        <v>1019</v>
      </c>
      <c r="K63" s="28">
        <v>18</v>
      </c>
      <c r="L63" t="s">
        <v>624</v>
      </c>
      <c r="M63" s="28" t="str">
        <f t="shared" si="0"/>
        <v>332203</v>
      </c>
      <c r="N63" s="28">
        <v>1</v>
      </c>
    </row>
    <row r="64" spans="1:15" x14ac:dyDescent="0.25">
      <c r="A64" t="s">
        <v>1020</v>
      </c>
      <c r="B64" t="s">
        <v>1021</v>
      </c>
      <c r="D64" t="s">
        <v>1005</v>
      </c>
      <c r="E64" t="s">
        <v>233</v>
      </c>
      <c r="F64" s="29">
        <v>0</v>
      </c>
      <c r="G64" t="s">
        <v>194</v>
      </c>
      <c r="H64" s="25" t="s">
        <v>193</v>
      </c>
      <c r="I64" t="s">
        <v>1006</v>
      </c>
      <c r="J64" t="s">
        <v>1022</v>
      </c>
      <c r="K64" s="28">
        <v>18</v>
      </c>
      <c r="M64" s="28" t="str">
        <f t="shared" si="0"/>
        <v/>
      </c>
      <c r="O64" s="28">
        <v>1</v>
      </c>
    </row>
    <row r="65" spans="1:15" x14ac:dyDescent="0.25">
      <c r="A65" t="s">
        <v>1023</v>
      </c>
      <c r="B65" t="s">
        <v>1024</v>
      </c>
      <c r="C65" t="s">
        <v>30</v>
      </c>
      <c r="D65" t="s">
        <v>1005</v>
      </c>
      <c r="E65" t="s">
        <v>233</v>
      </c>
      <c r="F65" s="28">
        <v>1</v>
      </c>
      <c r="G65" s="25" t="s">
        <v>193</v>
      </c>
      <c r="H65" t="s">
        <v>194</v>
      </c>
      <c r="I65" t="s">
        <v>1006</v>
      </c>
      <c r="J65" t="s">
        <v>210</v>
      </c>
      <c r="K65" s="28">
        <v>18</v>
      </c>
      <c r="L65" t="s">
        <v>1025</v>
      </c>
      <c r="M65" s="28" t="str">
        <f t="shared" si="0"/>
        <v>214207</v>
      </c>
      <c r="N65" s="28">
        <v>1</v>
      </c>
    </row>
    <row r="66" spans="1:15" x14ac:dyDescent="0.25">
      <c r="A66" t="s">
        <v>1026</v>
      </c>
      <c r="B66" t="s">
        <v>1027</v>
      </c>
      <c r="C66" t="s">
        <v>17</v>
      </c>
      <c r="D66" t="s">
        <v>1005</v>
      </c>
      <c r="E66" t="s">
        <v>233</v>
      </c>
      <c r="F66" s="28">
        <v>1</v>
      </c>
      <c r="G66" s="25" t="s">
        <v>193</v>
      </c>
      <c r="H66" t="s">
        <v>194</v>
      </c>
      <c r="I66" t="s">
        <v>1006</v>
      </c>
      <c r="J66" t="s">
        <v>1028</v>
      </c>
      <c r="K66" s="28">
        <v>18</v>
      </c>
      <c r="L66" t="s">
        <v>624</v>
      </c>
      <c r="M66" s="28" t="str">
        <f t="shared" si="0"/>
        <v>332203</v>
      </c>
      <c r="N66" s="28">
        <v>1</v>
      </c>
    </row>
    <row r="67" spans="1:15" x14ac:dyDescent="0.25">
      <c r="A67" t="s">
        <v>417</v>
      </c>
      <c r="B67" t="s">
        <v>418</v>
      </c>
      <c r="C67" t="s">
        <v>9</v>
      </c>
      <c r="D67" t="s">
        <v>1005</v>
      </c>
      <c r="E67" t="s">
        <v>233</v>
      </c>
      <c r="F67" s="28">
        <v>1</v>
      </c>
      <c r="G67" s="25" t="s">
        <v>193</v>
      </c>
      <c r="H67" t="s">
        <v>194</v>
      </c>
      <c r="I67" t="s">
        <v>1006</v>
      </c>
      <c r="J67" t="s">
        <v>385</v>
      </c>
      <c r="K67" s="28">
        <v>18</v>
      </c>
      <c r="L67" t="s">
        <v>405</v>
      </c>
      <c r="M67" s="28" t="str">
        <f t="shared" ref="M67:M87" si="1">MID(L67,8,6)</f>
        <v>241304</v>
      </c>
      <c r="N67" s="28">
        <v>1</v>
      </c>
    </row>
    <row r="68" spans="1:15" x14ac:dyDescent="0.25">
      <c r="A68" t="s">
        <v>263</v>
      </c>
      <c r="B68" t="s">
        <v>537</v>
      </c>
      <c r="C68" t="s">
        <v>740</v>
      </c>
      <c r="D68" t="s">
        <v>1005</v>
      </c>
      <c r="E68" t="s">
        <v>217</v>
      </c>
      <c r="F68" s="28">
        <v>1</v>
      </c>
      <c r="G68" s="25" t="s">
        <v>193</v>
      </c>
      <c r="H68" t="s">
        <v>194</v>
      </c>
      <c r="I68" t="s">
        <v>1006</v>
      </c>
      <c r="J68" t="s">
        <v>747</v>
      </c>
      <c r="K68" s="28">
        <v>18</v>
      </c>
      <c r="L68" t="s">
        <v>741</v>
      </c>
      <c r="M68" s="28" t="str">
        <f t="shared" si="1"/>
        <v>522301</v>
      </c>
      <c r="N68" s="28">
        <v>1</v>
      </c>
    </row>
    <row r="69" spans="1:15" x14ac:dyDescent="0.25">
      <c r="A69" t="s">
        <v>1029</v>
      </c>
      <c r="B69" t="s">
        <v>1030</v>
      </c>
      <c r="D69" t="s">
        <v>1005</v>
      </c>
      <c r="E69" t="s">
        <v>217</v>
      </c>
      <c r="F69" s="29">
        <v>0</v>
      </c>
      <c r="G69" t="s">
        <v>194</v>
      </c>
      <c r="H69" s="25" t="s">
        <v>193</v>
      </c>
      <c r="I69" t="s">
        <v>1006</v>
      </c>
      <c r="J69" t="s">
        <v>1031</v>
      </c>
      <c r="K69" s="28">
        <v>18</v>
      </c>
      <c r="M69" s="28" t="str">
        <f t="shared" si="1"/>
        <v/>
      </c>
      <c r="O69" s="28">
        <v>1</v>
      </c>
    </row>
    <row r="70" spans="1:15" x14ac:dyDescent="0.25">
      <c r="A70" t="s">
        <v>613</v>
      </c>
      <c r="B70" t="s">
        <v>1032</v>
      </c>
      <c r="C70" t="s">
        <v>95</v>
      </c>
      <c r="D70" t="s">
        <v>1005</v>
      </c>
      <c r="E70" t="s">
        <v>233</v>
      </c>
      <c r="F70" s="28">
        <v>1</v>
      </c>
      <c r="G70" s="25" t="s">
        <v>193</v>
      </c>
      <c r="H70" t="s">
        <v>194</v>
      </c>
      <c r="I70" t="s">
        <v>1006</v>
      </c>
      <c r="J70" t="s">
        <v>210</v>
      </c>
      <c r="K70" s="28">
        <v>18</v>
      </c>
      <c r="L70" t="s">
        <v>1015</v>
      </c>
      <c r="M70" s="28" t="str">
        <f t="shared" si="1"/>
        <v>122102</v>
      </c>
      <c r="N70" s="28">
        <v>1</v>
      </c>
    </row>
    <row r="71" spans="1:15" x14ac:dyDescent="0.25">
      <c r="A71" t="s">
        <v>1033</v>
      </c>
      <c r="B71" t="s">
        <v>17</v>
      </c>
      <c r="C71" t="s">
        <v>17</v>
      </c>
      <c r="D71" t="s">
        <v>1005</v>
      </c>
      <c r="E71" t="s">
        <v>233</v>
      </c>
      <c r="F71" s="28">
        <v>1</v>
      </c>
      <c r="G71" s="25" t="s">
        <v>193</v>
      </c>
      <c r="H71" t="s">
        <v>194</v>
      </c>
      <c r="I71" t="s">
        <v>1006</v>
      </c>
      <c r="J71" t="s">
        <v>196</v>
      </c>
      <c r="K71" s="28">
        <v>18</v>
      </c>
      <c r="L71" t="s">
        <v>624</v>
      </c>
      <c r="M71" s="28" t="str">
        <f t="shared" si="1"/>
        <v>332203</v>
      </c>
      <c r="N71" s="28">
        <v>1</v>
      </c>
    </row>
    <row r="72" spans="1:15" x14ac:dyDescent="0.25">
      <c r="A72" t="s">
        <v>1011</v>
      </c>
      <c r="B72" t="s">
        <v>1034</v>
      </c>
      <c r="C72" t="s">
        <v>1035</v>
      </c>
      <c r="D72" t="s">
        <v>1036</v>
      </c>
      <c r="E72" t="s">
        <v>233</v>
      </c>
      <c r="F72" s="28">
        <v>1</v>
      </c>
      <c r="G72" s="25" t="s">
        <v>193</v>
      </c>
      <c r="H72" t="s">
        <v>194</v>
      </c>
      <c r="I72" t="s">
        <v>1037</v>
      </c>
      <c r="J72" t="s">
        <v>1038</v>
      </c>
      <c r="K72" s="28">
        <v>18</v>
      </c>
      <c r="L72" t="s">
        <v>1039</v>
      </c>
      <c r="M72" s="28" t="str">
        <f t="shared" si="1"/>
        <v>112005</v>
      </c>
      <c r="N72" s="28">
        <v>1</v>
      </c>
    </row>
    <row r="73" spans="1:15" x14ac:dyDescent="0.25">
      <c r="A73" t="s">
        <v>1040</v>
      </c>
      <c r="B73" t="s">
        <v>1041</v>
      </c>
      <c r="C73" t="s">
        <v>1042</v>
      </c>
      <c r="D73" t="s">
        <v>1036</v>
      </c>
      <c r="E73" t="s">
        <v>233</v>
      </c>
      <c r="F73" s="28">
        <v>1</v>
      </c>
      <c r="G73" s="25" t="s">
        <v>193</v>
      </c>
      <c r="H73" t="s">
        <v>194</v>
      </c>
      <c r="I73" t="s">
        <v>1037</v>
      </c>
      <c r="J73" t="s">
        <v>1043</v>
      </c>
      <c r="K73" s="28">
        <v>18</v>
      </c>
      <c r="L73" t="s">
        <v>1044</v>
      </c>
      <c r="M73" s="28" t="str">
        <f t="shared" si="1"/>
        <v>261990</v>
      </c>
      <c r="N73" s="28">
        <v>1</v>
      </c>
    </row>
    <row r="74" spans="1:15" x14ac:dyDescent="0.25">
      <c r="A74" t="s">
        <v>1040</v>
      </c>
      <c r="B74" t="s">
        <v>1045</v>
      </c>
      <c r="C74" t="s">
        <v>1046</v>
      </c>
      <c r="D74" t="s">
        <v>1036</v>
      </c>
      <c r="E74" t="s">
        <v>233</v>
      </c>
      <c r="F74" s="28">
        <v>1</v>
      </c>
      <c r="G74" s="25" t="s">
        <v>193</v>
      </c>
      <c r="H74" t="s">
        <v>194</v>
      </c>
      <c r="I74" t="s">
        <v>1037</v>
      </c>
      <c r="J74" t="s">
        <v>385</v>
      </c>
      <c r="K74" s="28">
        <v>18</v>
      </c>
      <c r="L74" t="s">
        <v>1047</v>
      </c>
      <c r="M74" s="28" t="str">
        <f t="shared" si="1"/>
        <v>352203</v>
      </c>
      <c r="N74" s="28">
        <v>1</v>
      </c>
    </row>
    <row r="75" spans="1:15" x14ac:dyDescent="0.25">
      <c r="A75" t="s">
        <v>1048</v>
      </c>
      <c r="B75" t="s">
        <v>1049</v>
      </c>
      <c r="C75" t="s">
        <v>80</v>
      </c>
      <c r="D75" t="s">
        <v>1036</v>
      </c>
      <c r="E75" t="s">
        <v>233</v>
      </c>
      <c r="F75" s="28">
        <v>1</v>
      </c>
      <c r="G75" s="25" t="s">
        <v>193</v>
      </c>
      <c r="H75" t="s">
        <v>194</v>
      </c>
      <c r="I75" t="s">
        <v>1037</v>
      </c>
      <c r="J75" t="s">
        <v>408</v>
      </c>
      <c r="K75" s="28">
        <v>18</v>
      </c>
      <c r="L75" t="s">
        <v>474</v>
      </c>
      <c r="M75" s="28" t="str">
        <f t="shared" si="1"/>
        <v>243304</v>
      </c>
      <c r="N75" s="28">
        <v>1</v>
      </c>
    </row>
    <row r="76" spans="1:15" x14ac:dyDescent="0.25">
      <c r="A76" t="s">
        <v>1050</v>
      </c>
      <c r="B76" t="s">
        <v>1051</v>
      </c>
      <c r="C76" t="s">
        <v>740</v>
      </c>
      <c r="D76" t="s">
        <v>1036</v>
      </c>
      <c r="E76" t="s">
        <v>233</v>
      </c>
      <c r="F76" s="28">
        <v>1</v>
      </c>
      <c r="G76" s="25" t="s">
        <v>193</v>
      </c>
      <c r="H76" t="s">
        <v>194</v>
      </c>
      <c r="I76" t="s">
        <v>1037</v>
      </c>
      <c r="J76" t="s">
        <v>253</v>
      </c>
      <c r="K76" s="28">
        <v>18</v>
      </c>
      <c r="L76" t="s">
        <v>741</v>
      </c>
      <c r="M76" s="28" t="str">
        <f t="shared" si="1"/>
        <v>522301</v>
      </c>
      <c r="N76" s="28">
        <v>1</v>
      </c>
    </row>
    <row r="77" spans="1:15" x14ac:dyDescent="0.25">
      <c r="A77" t="s">
        <v>499</v>
      </c>
      <c r="B77" t="s">
        <v>1052</v>
      </c>
      <c r="C77" t="s">
        <v>10</v>
      </c>
      <c r="D77" t="s">
        <v>1036</v>
      </c>
      <c r="E77" t="s">
        <v>233</v>
      </c>
      <c r="F77" s="28">
        <v>1</v>
      </c>
      <c r="G77" s="25" t="s">
        <v>193</v>
      </c>
      <c r="H77" t="s">
        <v>194</v>
      </c>
      <c r="I77" t="s">
        <v>1037</v>
      </c>
      <c r="J77" t="s">
        <v>210</v>
      </c>
      <c r="K77" s="28">
        <v>18</v>
      </c>
      <c r="L77" t="s">
        <v>484</v>
      </c>
      <c r="M77" s="28" t="str">
        <f t="shared" si="1"/>
        <v>251401</v>
      </c>
      <c r="N77" s="28">
        <v>1</v>
      </c>
    </row>
    <row r="78" spans="1:15" x14ac:dyDescent="0.25">
      <c r="A78" t="s">
        <v>915</v>
      </c>
      <c r="B78" t="s">
        <v>1053</v>
      </c>
      <c r="D78" t="s">
        <v>1036</v>
      </c>
      <c r="E78" t="s">
        <v>233</v>
      </c>
      <c r="F78" s="29">
        <v>0</v>
      </c>
      <c r="G78" t="s">
        <v>194</v>
      </c>
      <c r="H78" s="25" t="s">
        <v>193</v>
      </c>
      <c r="I78" t="s">
        <v>1037</v>
      </c>
      <c r="J78" t="s">
        <v>1031</v>
      </c>
      <c r="K78" s="28">
        <v>18</v>
      </c>
      <c r="M78" s="28" t="str">
        <f t="shared" si="1"/>
        <v/>
      </c>
      <c r="O78" s="28">
        <v>1</v>
      </c>
    </row>
    <row r="79" spans="1:15" x14ac:dyDescent="0.25">
      <c r="A79" t="s">
        <v>915</v>
      </c>
      <c r="B79" t="s">
        <v>1054</v>
      </c>
      <c r="D79" t="s">
        <v>1036</v>
      </c>
      <c r="E79" t="s">
        <v>233</v>
      </c>
      <c r="F79" s="29">
        <v>0</v>
      </c>
      <c r="G79" t="s">
        <v>194</v>
      </c>
      <c r="H79" s="25" t="s">
        <v>193</v>
      </c>
      <c r="I79" t="s">
        <v>1037</v>
      </c>
      <c r="J79" t="s">
        <v>196</v>
      </c>
      <c r="K79" s="28">
        <v>18</v>
      </c>
      <c r="M79" s="28" t="str">
        <f t="shared" si="1"/>
        <v/>
      </c>
      <c r="O79" s="28">
        <v>1</v>
      </c>
    </row>
    <row r="80" spans="1:15" x14ac:dyDescent="0.25">
      <c r="A80" t="s">
        <v>915</v>
      </c>
      <c r="B80" t="s">
        <v>1055</v>
      </c>
      <c r="D80" t="s">
        <v>1036</v>
      </c>
      <c r="E80" t="s">
        <v>233</v>
      </c>
      <c r="F80" s="29">
        <v>0</v>
      </c>
      <c r="G80" t="s">
        <v>194</v>
      </c>
      <c r="H80" s="25" t="s">
        <v>193</v>
      </c>
      <c r="I80" t="s">
        <v>1037</v>
      </c>
      <c r="J80" t="s">
        <v>1031</v>
      </c>
      <c r="K80" s="28">
        <v>18</v>
      </c>
      <c r="M80" s="28" t="str">
        <f t="shared" si="1"/>
        <v/>
      </c>
      <c r="O80" s="28">
        <v>1</v>
      </c>
    </row>
    <row r="81" spans="1:15" x14ac:dyDescent="0.25">
      <c r="A81" t="s">
        <v>1056</v>
      </c>
      <c r="B81" t="s">
        <v>1057</v>
      </c>
      <c r="C81" t="s">
        <v>74</v>
      </c>
      <c r="D81" t="s">
        <v>1036</v>
      </c>
      <c r="E81" t="s">
        <v>233</v>
      </c>
      <c r="F81" s="28">
        <v>1</v>
      </c>
      <c r="G81" s="25" t="s">
        <v>193</v>
      </c>
      <c r="H81" t="s">
        <v>194</v>
      </c>
      <c r="I81" t="s">
        <v>1037</v>
      </c>
      <c r="J81" t="s">
        <v>267</v>
      </c>
      <c r="K81" s="28">
        <v>18</v>
      </c>
      <c r="L81" t="s">
        <v>246</v>
      </c>
      <c r="M81" s="28" t="str">
        <f t="shared" si="1"/>
        <v>142004</v>
      </c>
      <c r="N81" s="28">
        <v>1</v>
      </c>
    </row>
    <row r="82" spans="1:15" x14ac:dyDescent="0.25">
      <c r="A82" t="s">
        <v>417</v>
      </c>
      <c r="B82" t="s">
        <v>1058</v>
      </c>
      <c r="C82" t="s">
        <v>9</v>
      </c>
      <c r="D82" t="s">
        <v>1036</v>
      </c>
      <c r="E82" t="s">
        <v>233</v>
      </c>
      <c r="F82" s="28">
        <v>1</v>
      </c>
      <c r="G82" s="25" t="s">
        <v>193</v>
      </c>
      <c r="H82" t="s">
        <v>194</v>
      </c>
      <c r="I82" t="s">
        <v>1037</v>
      </c>
      <c r="J82" t="s">
        <v>1059</v>
      </c>
      <c r="K82" s="28">
        <v>18</v>
      </c>
      <c r="L82" t="s">
        <v>405</v>
      </c>
      <c r="M82" s="28" t="str">
        <f t="shared" si="1"/>
        <v>241304</v>
      </c>
      <c r="N82" s="28">
        <v>1</v>
      </c>
    </row>
    <row r="83" spans="1:15" x14ac:dyDescent="0.25">
      <c r="A83" t="s">
        <v>1060</v>
      </c>
      <c r="B83" t="s">
        <v>36</v>
      </c>
      <c r="C83" s="24" t="s">
        <v>36</v>
      </c>
      <c r="D83" t="s">
        <v>1036</v>
      </c>
      <c r="E83" t="s">
        <v>233</v>
      </c>
      <c r="F83" s="28">
        <v>1</v>
      </c>
      <c r="G83" s="25" t="s">
        <v>193</v>
      </c>
      <c r="H83" t="s">
        <v>194</v>
      </c>
      <c r="I83" t="s">
        <v>1037</v>
      </c>
      <c r="J83" t="s">
        <v>253</v>
      </c>
      <c r="K83" s="28">
        <v>18</v>
      </c>
      <c r="L83" t="s">
        <v>609</v>
      </c>
      <c r="M83" s="28" t="str">
        <f t="shared" si="1"/>
        <v>331301</v>
      </c>
      <c r="N83" s="28">
        <v>1</v>
      </c>
      <c r="O83" s="28">
        <v>1</v>
      </c>
    </row>
    <row r="84" spans="1:15" x14ac:dyDescent="0.25">
      <c r="A84" t="s">
        <v>1061</v>
      </c>
      <c r="B84" t="s">
        <v>1062</v>
      </c>
      <c r="C84" t="s">
        <v>396</v>
      </c>
      <c r="D84" t="s">
        <v>1036</v>
      </c>
      <c r="E84" t="s">
        <v>233</v>
      </c>
      <c r="F84" s="28">
        <v>1</v>
      </c>
      <c r="G84" s="25" t="s">
        <v>193</v>
      </c>
      <c r="H84" t="s">
        <v>194</v>
      </c>
      <c r="I84" t="s">
        <v>1037</v>
      </c>
      <c r="J84" t="s">
        <v>1063</v>
      </c>
      <c r="K84" s="28">
        <v>18</v>
      </c>
      <c r="L84" t="s">
        <v>397</v>
      </c>
      <c r="M84" s="28" t="str">
        <f t="shared" si="1"/>
        <v>235301</v>
      </c>
      <c r="N84" s="28">
        <v>1</v>
      </c>
    </row>
    <row r="85" spans="1:15" x14ac:dyDescent="0.25">
      <c r="A85" t="s">
        <v>1064</v>
      </c>
      <c r="B85" t="s">
        <v>1065</v>
      </c>
      <c r="C85" t="s">
        <v>1066</v>
      </c>
      <c r="D85" t="s">
        <v>1036</v>
      </c>
      <c r="E85" t="s">
        <v>233</v>
      </c>
      <c r="F85" s="28">
        <v>1</v>
      </c>
      <c r="G85" s="25" t="s">
        <v>193</v>
      </c>
      <c r="H85" t="s">
        <v>194</v>
      </c>
      <c r="I85" t="s">
        <v>1037</v>
      </c>
      <c r="J85" t="s">
        <v>1031</v>
      </c>
      <c r="K85" s="28">
        <v>18</v>
      </c>
      <c r="L85" t="s">
        <v>1067</v>
      </c>
      <c r="M85" s="28" t="str">
        <f t="shared" si="1"/>
        <v>214190</v>
      </c>
      <c r="N85" s="28">
        <v>1</v>
      </c>
    </row>
    <row r="86" spans="1:15" x14ac:dyDescent="0.25">
      <c r="A86" t="s">
        <v>1064</v>
      </c>
      <c r="B86" t="s">
        <v>1068</v>
      </c>
      <c r="C86" t="s">
        <v>566</v>
      </c>
      <c r="D86" t="s">
        <v>1036</v>
      </c>
      <c r="E86" t="s">
        <v>233</v>
      </c>
      <c r="F86" s="28">
        <v>1</v>
      </c>
      <c r="G86" s="25" t="s">
        <v>193</v>
      </c>
      <c r="H86" t="s">
        <v>194</v>
      </c>
      <c r="I86" t="s">
        <v>1037</v>
      </c>
      <c r="J86" t="s">
        <v>1031</v>
      </c>
      <c r="K86" s="28">
        <v>18</v>
      </c>
      <c r="L86" t="s">
        <v>567</v>
      </c>
      <c r="M86" s="28" t="str">
        <f t="shared" si="1"/>
        <v>311504</v>
      </c>
      <c r="N86" s="28">
        <v>1</v>
      </c>
    </row>
    <row r="87" spans="1:15" x14ac:dyDescent="0.25">
      <c r="A87" t="s">
        <v>613</v>
      </c>
      <c r="B87" t="s">
        <v>1069</v>
      </c>
      <c r="C87" t="s">
        <v>35</v>
      </c>
      <c r="D87" t="s">
        <v>1036</v>
      </c>
      <c r="E87" t="s">
        <v>233</v>
      </c>
      <c r="F87" s="28">
        <v>1</v>
      </c>
      <c r="G87" s="25" t="s">
        <v>193</v>
      </c>
      <c r="H87" t="s">
        <v>194</v>
      </c>
      <c r="I87" t="s">
        <v>1037</v>
      </c>
      <c r="J87" t="s">
        <v>210</v>
      </c>
      <c r="K87" s="28">
        <v>18</v>
      </c>
      <c r="L87" t="s">
        <v>207</v>
      </c>
      <c r="M87" s="28" t="str">
        <f t="shared" si="1"/>
        <v>122106</v>
      </c>
      <c r="N87" s="28">
        <v>1</v>
      </c>
    </row>
    <row r="88" spans="1:15" x14ac:dyDescent="0.25">
      <c r="F88" s="28">
        <f>SUM(F2:F87)</f>
        <v>122</v>
      </c>
      <c r="N88" s="28">
        <f>SUM(N2:N87)</f>
        <v>80</v>
      </c>
      <c r="O88" s="28">
        <f>SUM(O2:O87)</f>
        <v>7</v>
      </c>
    </row>
    <row r="89" spans="1:15" x14ac:dyDescent="0.25">
      <c r="C89" s="23" t="s">
        <v>1070</v>
      </c>
      <c r="D89" s="30">
        <v>80</v>
      </c>
    </row>
    <row r="90" spans="1:15" ht="15.75" thickBot="1" x14ac:dyDescent="0.3">
      <c r="C90" s="31" t="s">
        <v>1071</v>
      </c>
      <c r="D90" s="32">
        <v>6</v>
      </c>
    </row>
    <row r="91" spans="1:15" ht="15.75" thickBot="1" x14ac:dyDescent="0.3">
      <c r="C91" s="33" t="s">
        <v>1072</v>
      </c>
      <c r="D91" s="34">
        <f>SUM(D89:D90)</f>
        <v>86</v>
      </c>
    </row>
    <row r="93" spans="1:15" x14ac:dyDescent="0.25">
      <c r="C93" s="35" t="s">
        <v>1073</v>
      </c>
      <c r="D93" s="30">
        <v>122</v>
      </c>
    </row>
  </sheetData>
  <autoFilter ref="A1:O9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8"/>
  <sheetViews>
    <sheetView zoomScale="80" zoomScaleNormal="80" workbookViewId="0"/>
  </sheetViews>
  <sheetFormatPr defaultRowHeight="15" x14ac:dyDescent="0.25"/>
  <cols>
    <col min="1" max="5" width="9.140625" style="168"/>
    <col min="6" max="6" width="9.140625" style="169"/>
    <col min="7" max="11" width="9.140625" style="168"/>
    <col min="12" max="12" width="19.28515625" style="168" customWidth="1"/>
    <col min="13" max="13" width="9.140625" style="169"/>
    <col min="14" max="14" width="9.140625" style="168"/>
    <col min="15" max="15" width="20.140625" style="168" customWidth="1"/>
    <col min="16" max="16384" width="9.140625" style="168"/>
  </cols>
  <sheetData>
    <row r="1" spans="1:16" s="167" customFormat="1" x14ac:dyDescent="0.25">
      <c r="A1" s="167" t="s">
        <v>176</v>
      </c>
      <c r="B1" s="167" t="s">
        <v>177</v>
      </c>
      <c r="C1" s="167" t="s">
        <v>178</v>
      </c>
      <c r="D1" s="167" t="s">
        <v>179</v>
      </c>
      <c r="E1" s="167" t="s">
        <v>180</v>
      </c>
      <c r="F1" s="167" t="s">
        <v>181</v>
      </c>
      <c r="G1" s="167" t="s">
        <v>182</v>
      </c>
      <c r="H1" s="167" t="s">
        <v>183</v>
      </c>
      <c r="I1" s="167" t="s">
        <v>184</v>
      </c>
      <c r="J1" s="167" t="s">
        <v>185</v>
      </c>
      <c r="K1" s="167" t="s">
        <v>186</v>
      </c>
      <c r="L1" s="167" t="s">
        <v>187</v>
      </c>
    </row>
    <row r="2" spans="1:16" x14ac:dyDescent="0.25">
      <c r="A2" s="168" t="s">
        <v>1376</v>
      </c>
      <c r="B2" s="168" t="s">
        <v>304</v>
      </c>
      <c r="C2" s="168" t="s">
        <v>1937</v>
      </c>
      <c r="D2" s="168" t="s">
        <v>4411</v>
      </c>
      <c r="E2" s="168" t="s">
        <v>192</v>
      </c>
      <c r="F2" s="169">
        <v>1</v>
      </c>
      <c r="G2" s="168" t="s">
        <v>193</v>
      </c>
      <c r="H2" s="168" t="s">
        <v>194</v>
      </c>
      <c r="I2" s="168" t="s">
        <v>4412</v>
      </c>
      <c r="J2" s="168" t="s">
        <v>367</v>
      </c>
      <c r="K2" s="168">
        <v>18</v>
      </c>
      <c r="L2" s="168" t="s">
        <v>1938</v>
      </c>
      <c r="M2" s="169" t="str">
        <f>MID(L2,8,6)</f>
        <v>214406</v>
      </c>
    </row>
    <row r="3" spans="1:16" x14ac:dyDescent="0.25">
      <c r="A3" s="168" t="s">
        <v>4413</v>
      </c>
      <c r="B3" s="168" t="s">
        <v>4414</v>
      </c>
      <c r="C3" s="168" t="s">
        <v>10</v>
      </c>
      <c r="D3" s="168" t="s">
        <v>4411</v>
      </c>
      <c r="E3" s="168" t="s">
        <v>252</v>
      </c>
      <c r="F3" s="169">
        <v>1</v>
      </c>
      <c r="G3" s="168" t="s">
        <v>193</v>
      </c>
      <c r="H3" s="168" t="s">
        <v>194</v>
      </c>
      <c r="I3" s="168" t="s">
        <v>4412</v>
      </c>
      <c r="J3" s="168" t="s">
        <v>267</v>
      </c>
      <c r="K3" s="168">
        <v>18</v>
      </c>
      <c r="L3" s="168" t="s">
        <v>484</v>
      </c>
      <c r="M3" s="169" t="str">
        <f t="shared" ref="M3:M66" si="0">MID(L3,8,6)</f>
        <v>251401</v>
      </c>
      <c r="O3" s="170" t="s">
        <v>1070</v>
      </c>
      <c r="P3" s="171">
        <f>COUNTIF(H2:H378,"zaznaczone")</f>
        <v>8</v>
      </c>
    </row>
    <row r="4" spans="1:16" x14ac:dyDescent="0.25">
      <c r="A4" s="168" t="s">
        <v>4413</v>
      </c>
      <c r="B4" s="168" t="s">
        <v>4415</v>
      </c>
      <c r="C4" s="168" t="s">
        <v>10</v>
      </c>
      <c r="D4" s="168" t="s">
        <v>4411</v>
      </c>
      <c r="E4" s="168" t="s">
        <v>252</v>
      </c>
      <c r="F4" s="169">
        <v>1</v>
      </c>
      <c r="G4" s="168" t="s">
        <v>193</v>
      </c>
      <c r="H4" s="168" t="s">
        <v>194</v>
      </c>
      <c r="I4" s="168" t="s">
        <v>4412</v>
      </c>
      <c r="J4" s="168" t="s">
        <v>210</v>
      </c>
      <c r="K4" s="168">
        <v>18</v>
      </c>
      <c r="L4" s="168" t="s">
        <v>484</v>
      </c>
      <c r="M4" s="169" t="str">
        <f t="shared" si="0"/>
        <v>251401</v>
      </c>
      <c r="O4" s="170" t="s">
        <v>1071</v>
      </c>
      <c r="P4" s="171">
        <f>COUNTIF(H2:H378,"niezaznaczone")</f>
        <v>369</v>
      </c>
    </row>
    <row r="5" spans="1:16" x14ac:dyDescent="0.25">
      <c r="A5" s="168" t="s">
        <v>4416</v>
      </c>
      <c r="B5" s="168" t="s">
        <v>4356</v>
      </c>
      <c r="C5" s="168" t="s">
        <v>319</v>
      </c>
      <c r="D5" s="168" t="s">
        <v>4411</v>
      </c>
      <c r="E5" s="168" t="s">
        <v>192</v>
      </c>
      <c r="F5" s="169">
        <v>1</v>
      </c>
      <c r="G5" s="168" t="s">
        <v>193</v>
      </c>
      <c r="H5" s="168" t="s">
        <v>194</v>
      </c>
      <c r="I5" s="168" t="s">
        <v>4412</v>
      </c>
      <c r="J5" s="168" t="s">
        <v>196</v>
      </c>
      <c r="K5" s="168">
        <v>18</v>
      </c>
      <c r="L5" s="168" t="s">
        <v>320</v>
      </c>
      <c r="M5" s="169" t="str">
        <f t="shared" si="0"/>
        <v>214407</v>
      </c>
      <c r="O5" s="172" t="s">
        <v>1072</v>
      </c>
      <c r="P5" s="173">
        <f>SUM(P3:P4)</f>
        <v>377</v>
      </c>
    </row>
    <row r="6" spans="1:16" x14ac:dyDescent="0.25">
      <c r="A6" s="168" t="s">
        <v>4417</v>
      </c>
      <c r="B6" s="168" t="s">
        <v>4418</v>
      </c>
      <c r="C6" s="168" t="s">
        <v>4419</v>
      </c>
      <c r="D6" s="168" t="s">
        <v>4411</v>
      </c>
      <c r="E6" s="168" t="s">
        <v>192</v>
      </c>
      <c r="F6" s="169">
        <v>1</v>
      </c>
      <c r="G6" s="168" t="s">
        <v>193</v>
      </c>
      <c r="H6" s="168" t="s">
        <v>194</v>
      </c>
      <c r="I6" s="168" t="s">
        <v>4420</v>
      </c>
      <c r="J6" s="168" t="s">
        <v>210</v>
      </c>
      <c r="K6" s="168">
        <v>18</v>
      </c>
      <c r="L6" s="168" t="s">
        <v>4421</v>
      </c>
      <c r="M6" s="169" t="str">
        <f t="shared" si="0"/>
        <v>334101</v>
      </c>
      <c r="O6" s="174" t="s">
        <v>1073</v>
      </c>
      <c r="P6" s="171">
        <f>SUM(F2:F378)</f>
        <v>410</v>
      </c>
    </row>
    <row r="7" spans="1:16" x14ac:dyDescent="0.25">
      <c r="A7" s="168" t="s">
        <v>4361</v>
      </c>
      <c r="B7" s="168" t="s">
        <v>4422</v>
      </c>
      <c r="C7" s="168" t="s">
        <v>721</v>
      </c>
      <c r="D7" s="168" t="s">
        <v>4411</v>
      </c>
      <c r="E7" s="168" t="s">
        <v>192</v>
      </c>
      <c r="F7" s="169">
        <v>1</v>
      </c>
      <c r="G7" s="168" t="s">
        <v>193</v>
      </c>
      <c r="H7" s="168" t="s">
        <v>194</v>
      </c>
      <c r="I7" s="168" t="s">
        <v>4420</v>
      </c>
      <c r="J7" s="168" t="s">
        <v>367</v>
      </c>
      <c r="K7" s="168">
        <v>18</v>
      </c>
      <c r="L7" s="168" t="s">
        <v>723</v>
      </c>
      <c r="M7" s="169" t="str">
        <f t="shared" si="0"/>
        <v>432201</v>
      </c>
      <c r="O7" s="175" t="s">
        <v>4475</v>
      </c>
      <c r="P7" s="176">
        <f>ROWS(A2:A378)</f>
        <v>377</v>
      </c>
    </row>
    <row r="8" spans="1:16" x14ac:dyDescent="0.25">
      <c r="A8" s="168" t="s">
        <v>415</v>
      </c>
      <c r="B8" s="168" t="s">
        <v>537</v>
      </c>
      <c r="C8" s="168" t="s">
        <v>778</v>
      </c>
      <c r="D8" s="168" t="s">
        <v>4411</v>
      </c>
      <c r="E8" s="168" t="s">
        <v>192</v>
      </c>
      <c r="F8" s="169">
        <v>1</v>
      </c>
      <c r="G8" s="168" t="s">
        <v>193</v>
      </c>
      <c r="H8" s="168" t="s">
        <v>194</v>
      </c>
      <c r="I8" s="168" t="s">
        <v>4412</v>
      </c>
      <c r="J8" s="168" t="s">
        <v>305</v>
      </c>
      <c r="K8" s="168">
        <v>18</v>
      </c>
      <c r="L8" s="168" t="s">
        <v>779</v>
      </c>
      <c r="M8" s="169" t="str">
        <f t="shared" si="0"/>
        <v>524902</v>
      </c>
      <c r="O8" s="177"/>
      <c r="P8" s="177"/>
    </row>
    <row r="9" spans="1:16" x14ac:dyDescent="0.25">
      <c r="A9" s="168" t="s">
        <v>523</v>
      </c>
      <c r="B9" s="168" t="s">
        <v>4423</v>
      </c>
      <c r="C9" s="168" t="s">
        <v>42</v>
      </c>
      <c r="D9" s="168" t="s">
        <v>4411</v>
      </c>
      <c r="E9" s="168" t="s">
        <v>192</v>
      </c>
      <c r="F9" s="169">
        <v>1</v>
      </c>
      <c r="G9" s="168" t="s">
        <v>193</v>
      </c>
      <c r="H9" s="168" t="s">
        <v>194</v>
      </c>
      <c r="I9" s="168" t="s">
        <v>4420</v>
      </c>
      <c r="J9" s="168" t="s">
        <v>210</v>
      </c>
      <c r="K9" s="168">
        <v>18</v>
      </c>
      <c r="L9" s="168" t="s">
        <v>2628</v>
      </c>
      <c r="M9" s="169" t="str">
        <f t="shared" si="0"/>
        <v>325509</v>
      </c>
    </row>
    <row r="10" spans="1:16" x14ac:dyDescent="0.25">
      <c r="A10" s="168" t="s">
        <v>562</v>
      </c>
      <c r="B10" s="168" t="s">
        <v>4424</v>
      </c>
      <c r="C10" s="168" t="s">
        <v>308</v>
      </c>
      <c r="D10" s="168" t="s">
        <v>4411</v>
      </c>
      <c r="E10" s="168" t="s">
        <v>192</v>
      </c>
      <c r="F10" s="169">
        <v>1</v>
      </c>
      <c r="G10" s="168" t="s">
        <v>193</v>
      </c>
      <c r="H10" s="168" t="s">
        <v>194</v>
      </c>
      <c r="I10" s="168" t="s">
        <v>4420</v>
      </c>
      <c r="J10" s="168" t="s">
        <v>253</v>
      </c>
      <c r="K10" s="168">
        <v>18</v>
      </c>
      <c r="L10" s="168" t="s">
        <v>310</v>
      </c>
      <c r="M10" s="169" t="str">
        <f t="shared" si="0"/>
        <v>214404</v>
      </c>
    </row>
    <row r="11" spans="1:16" x14ac:dyDescent="0.25">
      <c r="A11" s="168" t="s">
        <v>4425</v>
      </c>
      <c r="B11" s="168" t="s">
        <v>4426</v>
      </c>
      <c r="C11" s="168" t="s">
        <v>37</v>
      </c>
      <c r="D11" s="168" t="s">
        <v>4411</v>
      </c>
      <c r="E11" s="168" t="s">
        <v>192</v>
      </c>
      <c r="F11" s="169">
        <v>1</v>
      </c>
      <c r="G11" s="168" t="s">
        <v>193</v>
      </c>
      <c r="H11" s="168" t="s">
        <v>194</v>
      </c>
      <c r="I11" s="168" t="s">
        <v>4412</v>
      </c>
      <c r="J11" s="168" t="s">
        <v>210</v>
      </c>
      <c r="K11" s="168">
        <v>18</v>
      </c>
      <c r="L11" s="168" t="s">
        <v>516</v>
      </c>
      <c r="M11" s="169" t="str">
        <f t="shared" si="0"/>
        <v>252302</v>
      </c>
    </row>
    <row r="12" spans="1:16" x14ac:dyDescent="0.25">
      <c r="A12" s="168" t="s">
        <v>1228</v>
      </c>
      <c r="B12" s="168" t="s">
        <v>4427</v>
      </c>
      <c r="C12" s="168" t="s">
        <v>1652</v>
      </c>
      <c r="D12" s="168" t="s">
        <v>4411</v>
      </c>
      <c r="E12" s="168" t="s">
        <v>192</v>
      </c>
      <c r="F12" s="169">
        <v>1</v>
      </c>
      <c r="G12" s="168" t="s">
        <v>193</v>
      </c>
      <c r="H12" s="168" t="s">
        <v>194</v>
      </c>
      <c r="I12" s="168" t="s">
        <v>4412</v>
      </c>
      <c r="J12" s="168" t="s">
        <v>210</v>
      </c>
      <c r="K12" s="168">
        <v>18</v>
      </c>
      <c r="L12" s="168" t="s">
        <v>1653</v>
      </c>
      <c r="M12" s="169" t="str">
        <f t="shared" si="0"/>
        <v>441202</v>
      </c>
    </row>
    <row r="13" spans="1:16" x14ac:dyDescent="0.25">
      <c r="A13" s="168" t="s">
        <v>1228</v>
      </c>
      <c r="B13" s="168" t="s">
        <v>3947</v>
      </c>
      <c r="C13" s="168" t="s">
        <v>119</v>
      </c>
      <c r="D13" s="168" t="s">
        <v>4411</v>
      </c>
      <c r="E13" s="168" t="s">
        <v>192</v>
      </c>
      <c r="F13" s="169">
        <v>5</v>
      </c>
      <c r="G13" s="168" t="s">
        <v>193</v>
      </c>
      <c r="H13" s="168" t="s">
        <v>194</v>
      </c>
      <c r="I13" s="168" t="s">
        <v>4412</v>
      </c>
      <c r="J13" s="168" t="s">
        <v>210</v>
      </c>
      <c r="K13" s="168">
        <v>18</v>
      </c>
      <c r="L13" s="168" t="s">
        <v>666</v>
      </c>
      <c r="M13" s="169" t="str">
        <f t="shared" si="0"/>
        <v>333105</v>
      </c>
    </row>
    <row r="14" spans="1:16" x14ac:dyDescent="0.25">
      <c r="A14" s="168" t="s">
        <v>4428</v>
      </c>
      <c r="B14" s="168" t="s">
        <v>4429</v>
      </c>
      <c r="C14" s="168" t="s">
        <v>525</v>
      </c>
      <c r="D14" s="168" t="s">
        <v>4411</v>
      </c>
      <c r="E14" s="168" t="s">
        <v>192</v>
      </c>
      <c r="F14" s="169">
        <v>1</v>
      </c>
      <c r="G14" s="168" t="s">
        <v>193</v>
      </c>
      <c r="H14" s="168" t="s">
        <v>194</v>
      </c>
      <c r="I14" s="168" t="s">
        <v>4420</v>
      </c>
      <c r="J14" s="168" t="s">
        <v>367</v>
      </c>
      <c r="K14" s="168">
        <v>18</v>
      </c>
      <c r="L14" s="168" t="s">
        <v>526</v>
      </c>
      <c r="M14" s="169" t="str">
        <f t="shared" si="0"/>
        <v>263102</v>
      </c>
    </row>
    <row r="15" spans="1:16" x14ac:dyDescent="0.25">
      <c r="A15" s="168" t="s">
        <v>527</v>
      </c>
      <c r="B15" s="168" t="s">
        <v>67</v>
      </c>
      <c r="C15" s="168" t="s">
        <v>67</v>
      </c>
      <c r="D15" s="168" t="s">
        <v>4411</v>
      </c>
      <c r="E15" s="168" t="s">
        <v>192</v>
      </c>
      <c r="F15" s="169">
        <v>1</v>
      </c>
      <c r="G15" s="168" t="s">
        <v>193</v>
      </c>
      <c r="H15" s="168" t="s">
        <v>194</v>
      </c>
      <c r="I15" s="168" t="s">
        <v>4412</v>
      </c>
      <c r="J15" s="168" t="s">
        <v>367</v>
      </c>
      <c r="K15" s="168">
        <v>18</v>
      </c>
      <c r="L15" s="168" t="s">
        <v>709</v>
      </c>
      <c r="M15" s="169" t="str">
        <f t="shared" si="0"/>
        <v>432103</v>
      </c>
    </row>
    <row r="16" spans="1:16" x14ac:dyDescent="0.25">
      <c r="A16" s="168" t="s">
        <v>254</v>
      </c>
      <c r="B16" s="168" t="s">
        <v>739</v>
      </c>
      <c r="C16" s="168" t="s">
        <v>778</v>
      </c>
      <c r="D16" s="168" t="s">
        <v>4411</v>
      </c>
      <c r="E16" s="168" t="s">
        <v>192</v>
      </c>
      <c r="F16" s="169">
        <v>1</v>
      </c>
      <c r="G16" s="168" t="s">
        <v>193</v>
      </c>
      <c r="H16" s="168" t="s">
        <v>194</v>
      </c>
      <c r="I16" s="168" t="s">
        <v>4412</v>
      </c>
      <c r="J16" s="168" t="s">
        <v>253</v>
      </c>
      <c r="K16" s="168">
        <v>18</v>
      </c>
      <c r="L16" s="168" t="s">
        <v>779</v>
      </c>
      <c r="M16" s="169" t="str">
        <f t="shared" si="0"/>
        <v>524902</v>
      </c>
    </row>
    <row r="17" spans="1:13" x14ac:dyDescent="0.25">
      <c r="A17" s="168" t="s">
        <v>4430</v>
      </c>
      <c r="B17" s="168" t="s">
        <v>4024</v>
      </c>
      <c r="C17" s="168" t="s">
        <v>688</v>
      </c>
      <c r="D17" s="168" t="s">
        <v>4411</v>
      </c>
      <c r="E17" s="168" t="s">
        <v>192</v>
      </c>
      <c r="F17" s="169">
        <v>1</v>
      </c>
      <c r="G17" s="168" t="s">
        <v>193</v>
      </c>
      <c r="H17" s="168" t="s">
        <v>194</v>
      </c>
      <c r="I17" s="168" t="s">
        <v>4412</v>
      </c>
      <c r="J17" s="168" t="s">
        <v>253</v>
      </c>
      <c r="K17" s="168">
        <v>18</v>
      </c>
      <c r="L17" s="168" t="s">
        <v>689</v>
      </c>
      <c r="M17" s="169" t="str">
        <f t="shared" si="0"/>
        <v>343402</v>
      </c>
    </row>
    <row r="18" spans="1:13" x14ac:dyDescent="0.25">
      <c r="A18" s="168" t="s">
        <v>4431</v>
      </c>
      <c r="B18" s="168" t="s">
        <v>4432</v>
      </c>
      <c r="C18" s="168" t="s">
        <v>1668</v>
      </c>
      <c r="D18" s="168" t="s">
        <v>4411</v>
      </c>
      <c r="E18" s="168" t="s">
        <v>252</v>
      </c>
      <c r="F18" s="169">
        <v>1</v>
      </c>
      <c r="G18" s="168" t="s">
        <v>193</v>
      </c>
      <c r="H18" s="168" t="s">
        <v>194</v>
      </c>
      <c r="I18" s="168" t="s">
        <v>4412</v>
      </c>
      <c r="J18" s="168" t="s">
        <v>285</v>
      </c>
      <c r="K18" s="168">
        <v>18</v>
      </c>
      <c r="L18" s="168" t="s">
        <v>1669</v>
      </c>
      <c r="M18" s="169" t="str">
        <f t="shared" si="0"/>
        <v>233008</v>
      </c>
    </row>
    <row r="19" spans="1:13" x14ac:dyDescent="0.25">
      <c r="A19" s="168" t="s">
        <v>4433</v>
      </c>
      <c r="B19" s="168" t="s">
        <v>4434</v>
      </c>
      <c r="C19" s="168" t="s">
        <v>39</v>
      </c>
      <c r="D19" s="168" t="s">
        <v>4411</v>
      </c>
      <c r="E19" s="168" t="s">
        <v>192</v>
      </c>
      <c r="F19" s="169">
        <v>1</v>
      </c>
      <c r="G19" s="168" t="s">
        <v>193</v>
      </c>
      <c r="H19" s="168" t="s">
        <v>194</v>
      </c>
      <c r="I19" s="168" t="s">
        <v>4420</v>
      </c>
      <c r="J19" s="168" t="s">
        <v>210</v>
      </c>
      <c r="K19" s="168">
        <v>18</v>
      </c>
      <c r="L19" s="168" t="s">
        <v>551</v>
      </c>
      <c r="M19" s="169" t="str">
        <f t="shared" si="0"/>
        <v>311204</v>
      </c>
    </row>
    <row r="20" spans="1:13" x14ac:dyDescent="0.25">
      <c r="A20" s="168" t="s">
        <v>4435</v>
      </c>
      <c r="B20" s="168" t="s">
        <v>4436</v>
      </c>
      <c r="C20" s="168" t="s">
        <v>36</v>
      </c>
      <c r="D20" s="168" t="s">
        <v>4411</v>
      </c>
      <c r="E20" s="168" t="s">
        <v>192</v>
      </c>
      <c r="F20" s="169">
        <v>1</v>
      </c>
      <c r="G20" s="168" t="s">
        <v>193</v>
      </c>
      <c r="H20" s="168" t="s">
        <v>194</v>
      </c>
      <c r="I20" s="168" t="s">
        <v>4412</v>
      </c>
      <c r="J20" s="168" t="s">
        <v>249</v>
      </c>
      <c r="K20" s="168">
        <v>18</v>
      </c>
      <c r="L20" s="168" t="s">
        <v>609</v>
      </c>
      <c r="M20" s="169" t="str">
        <f t="shared" si="0"/>
        <v>331301</v>
      </c>
    </row>
    <row r="21" spans="1:13" x14ac:dyDescent="0.25">
      <c r="A21" s="168" t="s">
        <v>446</v>
      </c>
      <c r="B21" s="168" t="s">
        <v>4437</v>
      </c>
      <c r="C21" s="168" t="s">
        <v>740</v>
      </c>
      <c r="D21" s="168" t="s">
        <v>4411</v>
      </c>
      <c r="E21" s="168" t="s">
        <v>192</v>
      </c>
      <c r="F21" s="169">
        <v>1</v>
      </c>
      <c r="G21" s="168" t="s">
        <v>193</v>
      </c>
      <c r="H21" s="168" t="s">
        <v>194</v>
      </c>
      <c r="I21" s="168" t="s">
        <v>4420</v>
      </c>
      <c r="J21" s="168" t="s">
        <v>259</v>
      </c>
      <c r="K21" s="168">
        <v>18</v>
      </c>
      <c r="L21" s="168" t="s">
        <v>741</v>
      </c>
      <c r="M21" s="169" t="str">
        <f t="shared" si="0"/>
        <v>522301</v>
      </c>
    </row>
    <row r="22" spans="1:13" x14ac:dyDescent="0.25">
      <c r="A22" s="168" t="s">
        <v>446</v>
      </c>
      <c r="B22" s="168" t="s">
        <v>4438</v>
      </c>
      <c r="C22" s="168" t="s">
        <v>740</v>
      </c>
      <c r="D22" s="168" t="s">
        <v>4411</v>
      </c>
      <c r="E22" s="168" t="s">
        <v>192</v>
      </c>
      <c r="F22" s="169">
        <v>1</v>
      </c>
      <c r="G22" s="168" t="s">
        <v>193</v>
      </c>
      <c r="H22" s="168" t="s">
        <v>194</v>
      </c>
      <c r="I22" s="168" t="s">
        <v>4412</v>
      </c>
      <c r="J22" s="168" t="s">
        <v>755</v>
      </c>
      <c r="K22" s="168">
        <v>18</v>
      </c>
      <c r="L22" s="168" t="s">
        <v>741</v>
      </c>
      <c r="M22" s="169" t="str">
        <f t="shared" si="0"/>
        <v>522301</v>
      </c>
    </row>
    <row r="23" spans="1:13" x14ac:dyDescent="0.25">
      <c r="A23" s="168" t="s">
        <v>446</v>
      </c>
      <c r="B23" s="168" t="s">
        <v>4439</v>
      </c>
      <c r="C23" s="168" t="s">
        <v>740</v>
      </c>
      <c r="D23" s="168" t="s">
        <v>4411</v>
      </c>
      <c r="E23" s="168" t="s">
        <v>192</v>
      </c>
      <c r="F23" s="169">
        <v>1</v>
      </c>
      <c r="G23" s="168" t="s">
        <v>193</v>
      </c>
      <c r="H23" s="168" t="s">
        <v>194</v>
      </c>
      <c r="I23" s="168" t="s">
        <v>4420</v>
      </c>
      <c r="J23" s="168" t="s">
        <v>1995</v>
      </c>
      <c r="K23" s="168">
        <v>18</v>
      </c>
      <c r="L23" s="168" t="s">
        <v>741</v>
      </c>
      <c r="M23" s="169" t="str">
        <f t="shared" si="0"/>
        <v>522301</v>
      </c>
    </row>
    <row r="24" spans="1:13" x14ac:dyDescent="0.25">
      <c r="A24" s="168" t="s">
        <v>446</v>
      </c>
      <c r="B24" s="168" t="s">
        <v>4440</v>
      </c>
      <c r="C24" s="168" t="s">
        <v>74</v>
      </c>
      <c r="D24" s="168" t="s">
        <v>4411</v>
      </c>
      <c r="E24" s="168" t="s">
        <v>192</v>
      </c>
      <c r="F24" s="169">
        <v>1</v>
      </c>
      <c r="G24" s="168" t="s">
        <v>193</v>
      </c>
      <c r="H24" s="168" t="s">
        <v>194</v>
      </c>
      <c r="I24" s="168" t="s">
        <v>4412</v>
      </c>
      <c r="J24" s="168" t="s">
        <v>259</v>
      </c>
      <c r="K24" s="168">
        <v>18</v>
      </c>
      <c r="L24" s="168" t="s">
        <v>246</v>
      </c>
      <c r="M24" s="169" t="str">
        <f t="shared" si="0"/>
        <v>142004</v>
      </c>
    </row>
    <row r="25" spans="1:13" x14ac:dyDescent="0.25">
      <c r="A25" s="168" t="s">
        <v>4441</v>
      </c>
      <c r="B25" s="168" t="s">
        <v>4442</v>
      </c>
      <c r="C25" s="168" t="s">
        <v>84</v>
      </c>
      <c r="D25" s="168" t="s">
        <v>4411</v>
      </c>
      <c r="E25" s="168" t="s">
        <v>192</v>
      </c>
      <c r="F25" s="169">
        <v>1</v>
      </c>
      <c r="G25" s="168" t="s">
        <v>193</v>
      </c>
      <c r="H25" s="168" t="s">
        <v>194</v>
      </c>
      <c r="I25" s="168" t="s">
        <v>4412</v>
      </c>
      <c r="J25" s="168" t="s">
        <v>210</v>
      </c>
      <c r="K25" s="168">
        <v>18</v>
      </c>
      <c r="L25" s="168" t="s">
        <v>2665</v>
      </c>
      <c r="M25" s="169" t="str">
        <f t="shared" si="0"/>
        <v>541315</v>
      </c>
    </row>
    <row r="26" spans="1:13" x14ac:dyDescent="0.25">
      <c r="A26" s="168" t="s">
        <v>2653</v>
      </c>
      <c r="B26" s="168" t="s">
        <v>4443</v>
      </c>
      <c r="C26" s="168" t="s">
        <v>74</v>
      </c>
      <c r="D26" s="168" t="s">
        <v>4411</v>
      </c>
      <c r="E26" s="168" t="s">
        <v>252</v>
      </c>
      <c r="F26" s="169">
        <v>1</v>
      </c>
      <c r="G26" s="168" t="s">
        <v>193</v>
      </c>
      <c r="H26" s="168" t="s">
        <v>194</v>
      </c>
      <c r="I26" s="168" t="s">
        <v>4412</v>
      </c>
      <c r="J26" s="168" t="s">
        <v>210</v>
      </c>
      <c r="K26" s="168">
        <v>18</v>
      </c>
      <c r="L26" s="168" t="s">
        <v>246</v>
      </c>
      <c r="M26" s="169" t="str">
        <f t="shared" si="0"/>
        <v>142004</v>
      </c>
    </row>
    <row r="27" spans="1:13" x14ac:dyDescent="0.25">
      <c r="A27" s="168" t="s">
        <v>711</v>
      </c>
      <c r="B27" s="168" t="s">
        <v>4444</v>
      </c>
      <c r="C27" s="168" t="s">
        <v>151</v>
      </c>
      <c r="D27" s="168" t="s">
        <v>4411</v>
      </c>
      <c r="E27" s="168" t="s">
        <v>192</v>
      </c>
      <c r="F27" s="169">
        <v>1</v>
      </c>
      <c r="G27" s="168" t="s">
        <v>193</v>
      </c>
      <c r="H27" s="168" t="s">
        <v>194</v>
      </c>
      <c r="I27" s="168" t="s">
        <v>4420</v>
      </c>
      <c r="J27" s="168" t="s">
        <v>210</v>
      </c>
      <c r="K27" s="168">
        <v>18</v>
      </c>
      <c r="L27" s="168" t="s">
        <v>1691</v>
      </c>
      <c r="M27" s="169" t="str">
        <f t="shared" si="0"/>
        <v>933401</v>
      </c>
    </row>
    <row r="28" spans="1:13" x14ac:dyDescent="0.25">
      <c r="A28" s="168" t="s">
        <v>711</v>
      </c>
      <c r="B28" s="168" t="s">
        <v>4445</v>
      </c>
      <c r="C28" s="168" t="s">
        <v>151</v>
      </c>
      <c r="D28" s="168" t="s">
        <v>4411</v>
      </c>
      <c r="E28" s="168" t="s">
        <v>192</v>
      </c>
      <c r="F28" s="169">
        <v>1</v>
      </c>
      <c r="G28" s="168" t="s">
        <v>193</v>
      </c>
      <c r="H28" s="168" t="s">
        <v>194</v>
      </c>
      <c r="I28" s="168" t="s">
        <v>4420</v>
      </c>
      <c r="J28" s="168" t="s">
        <v>210</v>
      </c>
      <c r="K28" s="168">
        <v>18</v>
      </c>
      <c r="L28" s="168" t="s">
        <v>1691</v>
      </c>
      <c r="M28" s="169" t="str">
        <f t="shared" si="0"/>
        <v>933401</v>
      </c>
    </row>
    <row r="29" spans="1:13" x14ac:dyDescent="0.25">
      <c r="A29" s="168" t="s">
        <v>552</v>
      </c>
      <c r="B29" s="168" t="s">
        <v>1127</v>
      </c>
      <c r="C29" s="168" t="s">
        <v>583</v>
      </c>
      <c r="D29" s="168" t="s">
        <v>4411</v>
      </c>
      <c r="E29" s="168" t="s">
        <v>192</v>
      </c>
      <c r="F29" s="169">
        <v>1</v>
      </c>
      <c r="G29" s="168" t="s">
        <v>193</v>
      </c>
      <c r="H29" s="168" t="s">
        <v>194</v>
      </c>
      <c r="I29" s="168" t="s">
        <v>4412</v>
      </c>
      <c r="J29" s="168" t="s">
        <v>253</v>
      </c>
      <c r="K29" s="168">
        <v>18</v>
      </c>
      <c r="L29" s="168" t="s">
        <v>584</v>
      </c>
      <c r="M29" s="169" t="str">
        <f t="shared" si="0"/>
        <v>311937</v>
      </c>
    </row>
    <row r="30" spans="1:13" x14ac:dyDescent="0.25">
      <c r="A30" s="168" t="s">
        <v>3140</v>
      </c>
      <c r="B30" s="168" t="s">
        <v>3141</v>
      </c>
      <c r="C30" s="168" t="s">
        <v>17</v>
      </c>
      <c r="D30" s="168" t="s">
        <v>4411</v>
      </c>
      <c r="E30" s="168" t="s">
        <v>192</v>
      </c>
      <c r="F30" s="169">
        <v>1</v>
      </c>
      <c r="G30" s="168" t="s">
        <v>193</v>
      </c>
      <c r="H30" s="168" t="s">
        <v>194</v>
      </c>
      <c r="I30" s="168" t="s">
        <v>4412</v>
      </c>
      <c r="J30" s="168" t="s">
        <v>210</v>
      </c>
      <c r="K30" s="168">
        <v>18</v>
      </c>
      <c r="L30" s="168" t="s">
        <v>624</v>
      </c>
      <c r="M30" s="169" t="str">
        <f t="shared" si="0"/>
        <v>332203</v>
      </c>
    </row>
    <row r="31" spans="1:13" x14ac:dyDescent="0.25">
      <c r="A31" s="168" t="s">
        <v>1904</v>
      </c>
      <c r="B31" s="168" t="s">
        <v>4446</v>
      </c>
      <c r="C31" s="168" t="s">
        <v>319</v>
      </c>
      <c r="D31" s="168" t="s">
        <v>4411</v>
      </c>
      <c r="E31" s="168" t="s">
        <v>192</v>
      </c>
      <c r="F31" s="169">
        <v>1</v>
      </c>
      <c r="G31" s="168" t="s">
        <v>193</v>
      </c>
      <c r="H31" s="168" t="s">
        <v>194</v>
      </c>
      <c r="I31" s="168" t="s">
        <v>4412</v>
      </c>
      <c r="J31" s="168" t="s">
        <v>575</v>
      </c>
      <c r="K31" s="168">
        <v>18</v>
      </c>
      <c r="L31" s="168" t="s">
        <v>320</v>
      </c>
      <c r="M31" s="169" t="str">
        <f t="shared" si="0"/>
        <v>214407</v>
      </c>
    </row>
    <row r="32" spans="1:13" x14ac:dyDescent="0.25">
      <c r="A32" s="168" t="s">
        <v>4447</v>
      </c>
      <c r="B32" s="168" t="s">
        <v>4448</v>
      </c>
      <c r="C32" s="168" t="s">
        <v>4449</v>
      </c>
      <c r="D32" s="168" t="s">
        <v>4411</v>
      </c>
      <c r="E32" s="168" t="s">
        <v>192</v>
      </c>
      <c r="F32" s="169">
        <v>1</v>
      </c>
      <c r="G32" s="168" t="s">
        <v>193</v>
      </c>
      <c r="H32" s="168" t="s">
        <v>194</v>
      </c>
      <c r="I32" s="168" t="s">
        <v>4412</v>
      </c>
      <c r="J32" s="168" t="s">
        <v>301</v>
      </c>
      <c r="K32" s="168">
        <v>18</v>
      </c>
      <c r="L32" s="168" t="s">
        <v>4450</v>
      </c>
      <c r="M32" s="169" t="str">
        <f t="shared" si="0"/>
        <v>311704</v>
      </c>
    </row>
    <row r="33" spans="1:13" x14ac:dyDescent="0.25">
      <c r="A33" s="168" t="s">
        <v>1168</v>
      </c>
      <c r="B33" s="168" t="s">
        <v>537</v>
      </c>
      <c r="C33" s="168" t="s">
        <v>778</v>
      </c>
      <c r="D33" s="168" t="s">
        <v>4411</v>
      </c>
      <c r="E33" s="168" t="s">
        <v>192</v>
      </c>
      <c r="F33" s="169">
        <v>1</v>
      </c>
      <c r="G33" s="168" t="s">
        <v>193</v>
      </c>
      <c r="H33" s="168" t="s">
        <v>194</v>
      </c>
      <c r="I33" s="168" t="s">
        <v>4412</v>
      </c>
      <c r="J33" s="168" t="s">
        <v>223</v>
      </c>
      <c r="K33" s="168">
        <v>18</v>
      </c>
      <c r="L33" s="168" t="s">
        <v>779</v>
      </c>
      <c r="M33" s="169" t="str">
        <f t="shared" si="0"/>
        <v>524902</v>
      </c>
    </row>
    <row r="34" spans="1:13" x14ac:dyDescent="0.25">
      <c r="A34" s="168" t="s">
        <v>4451</v>
      </c>
      <c r="B34" s="168" t="s">
        <v>4452</v>
      </c>
      <c r="C34" s="168" t="s">
        <v>366</v>
      </c>
      <c r="D34" s="168" t="s">
        <v>4411</v>
      </c>
      <c r="E34" s="168" t="s">
        <v>192</v>
      </c>
      <c r="F34" s="169">
        <v>1</v>
      </c>
      <c r="G34" s="168" t="s">
        <v>193</v>
      </c>
      <c r="H34" s="168" t="s">
        <v>194</v>
      </c>
      <c r="I34" s="168" t="s">
        <v>4420</v>
      </c>
      <c r="J34" s="168" t="s">
        <v>210</v>
      </c>
      <c r="K34" s="168">
        <v>18</v>
      </c>
      <c r="L34" s="168" t="s">
        <v>368</v>
      </c>
      <c r="M34" s="169" t="str">
        <f t="shared" si="0"/>
        <v>215201</v>
      </c>
    </row>
    <row r="35" spans="1:13" x14ac:dyDescent="0.25">
      <c r="A35" s="168" t="s">
        <v>1512</v>
      </c>
      <c r="B35" s="168" t="s">
        <v>4453</v>
      </c>
      <c r="C35" s="168" t="s">
        <v>18</v>
      </c>
      <c r="D35" s="168" t="s">
        <v>4411</v>
      </c>
      <c r="E35" s="168" t="s">
        <v>192</v>
      </c>
      <c r="F35" s="169">
        <v>1</v>
      </c>
      <c r="G35" s="168" t="s">
        <v>193</v>
      </c>
      <c r="H35" s="168" t="s">
        <v>194</v>
      </c>
      <c r="I35" s="168" t="s">
        <v>4420</v>
      </c>
      <c r="J35" s="168" t="s">
        <v>210</v>
      </c>
      <c r="K35" s="168">
        <v>18</v>
      </c>
      <c r="L35" s="168" t="s">
        <v>1476</v>
      </c>
      <c r="M35" s="169" t="str">
        <f t="shared" si="0"/>
        <v>242309</v>
      </c>
    </row>
    <row r="36" spans="1:13" x14ac:dyDescent="0.25">
      <c r="A36" s="168" t="s">
        <v>4454</v>
      </c>
      <c r="B36" s="168" t="s">
        <v>4455</v>
      </c>
      <c r="C36" s="168" t="s">
        <v>81</v>
      </c>
      <c r="D36" s="168" t="s">
        <v>4411</v>
      </c>
      <c r="E36" s="168" t="s">
        <v>192</v>
      </c>
      <c r="F36" s="169">
        <v>1</v>
      </c>
      <c r="G36" s="168" t="s">
        <v>193</v>
      </c>
      <c r="H36" s="168" t="s">
        <v>194</v>
      </c>
      <c r="I36" s="168" t="s">
        <v>4420</v>
      </c>
      <c r="J36" s="168" t="s">
        <v>210</v>
      </c>
      <c r="K36" s="168">
        <v>18</v>
      </c>
      <c r="L36" s="168" t="s">
        <v>402</v>
      </c>
      <c r="M36" s="169" t="str">
        <f t="shared" si="0"/>
        <v>241205</v>
      </c>
    </row>
    <row r="37" spans="1:13" x14ac:dyDescent="0.25">
      <c r="A37" s="168" t="s">
        <v>331</v>
      </c>
      <c r="B37" s="168" t="s">
        <v>304</v>
      </c>
      <c r="C37" s="168" t="s">
        <v>1957</v>
      </c>
      <c r="D37" s="168" t="s">
        <v>4411</v>
      </c>
      <c r="E37" s="168" t="s">
        <v>192</v>
      </c>
      <c r="F37" s="169">
        <v>1</v>
      </c>
      <c r="G37" s="168" t="s">
        <v>193</v>
      </c>
      <c r="H37" s="168" t="s">
        <v>194</v>
      </c>
      <c r="I37" s="168" t="s">
        <v>4412</v>
      </c>
      <c r="J37" s="168" t="s">
        <v>309</v>
      </c>
      <c r="K37" s="168">
        <v>18</v>
      </c>
      <c r="L37" s="168" t="s">
        <v>1958</v>
      </c>
      <c r="M37" s="169" t="str">
        <f t="shared" si="0"/>
        <v>214408</v>
      </c>
    </row>
    <row r="38" spans="1:13" x14ac:dyDescent="0.25">
      <c r="A38" s="168" t="s">
        <v>493</v>
      </c>
      <c r="B38" s="168" t="s">
        <v>4456</v>
      </c>
      <c r="C38" s="168" t="s">
        <v>10</v>
      </c>
      <c r="D38" s="168" t="s">
        <v>4411</v>
      </c>
      <c r="E38" s="168" t="s">
        <v>192</v>
      </c>
      <c r="F38" s="169">
        <v>1</v>
      </c>
      <c r="G38" s="168" t="s">
        <v>193</v>
      </c>
      <c r="H38" s="168" t="s">
        <v>194</v>
      </c>
      <c r="I38" s="168" t="s">
        <v>4420</v>
      </c>
      <c r="J38" s="168" t="s">
        <v>210</v>
      </c>
      <c r="K38" s="168">
        <v>18</v>
      </c>
      <c r="L38" s="168" t="s">
        <v>484</v>
      </c>
      <c r="M38" s="169" t="str">
        <f t="shared" si="0"/>
        <v>251401</v>
      </c>
    </row>
    <row r="39" spans="1:13" x14ac:dyDescent="0.25">
      <c r="A39" s="168" t="s">
        <v>992</v>
      </c>
      <c r="B39" s="168" t="s">
        <v>67</v>
      </c>
      <c r="C39" s="168" t="s">
        <v>67</v>
      </c>
      <c r="D39" s="168" t="s">
        <v>4411</v>
      </c>
      <c r="E39" s="168" t="s">
        <v>192</v>
      </c>
      <c r="F39" s="169">
        <v>1</v>
      </c>
      <c r="G39" s="168" t="s">
        <v>193</v>
      </c>
      <c r="H39" s="168" t="s">
        <v>194</v>
      </c>
      <c r="I39" s="168" t="s">
        <v>4412</v>
      </c>
      <c r="J39" s="168" t="s">
        <v>210</v>
      </c>
      <c r="K39" s="168">
        <v>18</v>
      </c>
      <c r="L39" s="168" t="s">
        <v>709</v>
      </c>
      <c r="M39" s="169" t="str">
        <f t="shared" si="0"/>
        <v>432103</v>
      </c>
    </row>
    <row r="40" spans="1:13" x14ac:dyDescent="0.25">
      <c r="A40" s="168" t="s">
        <v>992</v>
      </c>
      <c r="B40" s="168" t="s">
        <v>943</v>
      </c>
      <c r="C40" s="168" t="s">
        <v>62</v>
      </c>
      <c r="D40" s="168" t="s">
        <v>4411</v>
      </c>
      <c r="E40" s="168" t="s">
        <v>192</v>
      </c>
      <c r="F40" s="169">
        <v>1</v>
      </c>
      <c r="G40" s="168" t="s">
        <v>193</v>
      </c>
      <c r="H40" s="168" t="s">
        <v>194</v>
      </c>
      <c r="I40" s="168" t="s">
        <v>4420</v>
      </c>
      <c r="J40" s="168" t="s">
        <v>210</v>
      </c>
      <c r="K40" s="168">
        <v>18</v>
      </c>
      <c r="L40" s="168" t="s">
        <v>601</v>
      </c>
      <c r="M40" s="169" t="str">
        <f t="shared" si="0"/>
        <v>313904</v>
      </c>
    </row>
    <row r="41" spans="1:13" x14ac:dyDescent="0.25">
      <c r="A41" s="168" t="s">
        <v>2567</v>
      </c>
      <c r="B41" s="168" t="s">
        <v>1616</v>
      </c>
      <c r="C41" s="168" t="s">
        <v>740</v>
      </c>
      <c r="D41" s="168" t="s">
        <v>4411</v>
      </c>
      <c r="E41" s="168" t="s">
        <v>192</v>
      </c>
      <c r="F41" s="169">
        <v>7</v>
      </c>
      <c r="G41" s="168" t="s">
        <v>193</v>
      </c>
      <c r="H41" s="168" t="s">
        <v>194</v>
      </c>
      <c r="I41" s="168" t="s">
        <v>4412</v>
      </c>
      <c r="J41" s="168" t="s">
        <v>249</v>
      </c>
      <c r="K41" s="168">
        <v>18</v>
      </c>
      <c r="L41" s="168" t="s">
        <v>741</v>
      </c>
      <c r="M41" s="169" t="str">
        <f t="shared" si="0"/>
        <v>522301</v>
      </c>
    </row>
    <row r="42" spans="1:13" x14ac:dyDescent="0.25">
      <c r="A42" s="168" t="s">
        <v>4457</v>
      </c>
      <c r="B42" s="168" t="s">
        <v>4458</v>
      </c>
      <c r="C42" s="168" t="s">
        <v>4459</v>
      </c>
      <c r="D42" s="168" t="s">
        <v>4411</v>
      </c>
      <c r="E42" s="168" t="s">
        <v>192</v>
      </c>
      <c r="F42" s="169">
        <v>1</v>
      </c>
      <c r="G42" s="168" t="s">
        <v>193</v>
      </c>
      <c r="H42" s="168" t="s">
        <v>194</v>
      </c>
      <c r="I42" s="168" t="s">
        <v>4420</v>
      </c>
      <c r="J42" s="168" t="s">
        <v>385</v>
      </c>
      <c r="K42" s="168">
        <v>18</v>
      </c>
      <c r="L42" s="168" t="s">
        <v>4460</v>
      </c>
      <c r="M42" s="169" t="str">
        <f t="shared" si="0"/>
        <v>214912</v>
      </c>
    </row>
    <row r="43" spans="1:13" x14ac:dyDescent="0.25">
      <c r="A43" s="168" t="s">
        <v>347</v>
      </c>
      <c r="B43" s="168" t="s">
        <v>4461</v>
      </c>
      <c r="C43" s="168" t="s">
        <v>560</v>
      </c>
      <c r="D43" s="168" t="s">
        <v>4411</v>
      </c>
      <c r="E43" s="168" t="s">
        <v>192</v>
      </c>
      <c r="F43" s="169">
        <v>1</v>
      </c>
      <c r="G43" s="168" t="s">
        <v>193</v>
      </c>
      <c r="H43" s="168" t="s">
        <v>194</v>
      </c>
      <c r="I43" s="168" t="s">
        <v>4420</v>
      </c>
      <c r="J43" s="168" t="s">
        <v>316</v>
      </c>
      <c r="K43" s="168">
        <v>18</v>
      </c>
      <c r="L43" s="168" t="s">
        <v>561</v>
      </c>
      <c r="M43" s="169" t="str">
        <f t="shared" si="0"/>
        <v>311408</v>
      </c>
    </row>
    <row r="44" spans="1:13" x14ac:dyDescent="0.25">
      <c r="A44" s="168" t="s">
        <v>4462</v>
      </c>
      <c r="B44" s="168" t="s">
        <v>4463</v>
      </c>
      <c r="C44" s="168" t="s">
        <v>1042</v>
      </c>
      <c r="D44" s="168" t="s">
        <v>4411</v>
      </c>
      <c r="E44" s="168" t="s">
        <v>192</v>
      </c>
      <c r="F44" s="169">
        <v>1</v>
      </c>
      <c r="G44" s="168" t="s">
        <v>193</v>
      </c>
      <c r="H44" s="168" t="s">
        <v>194</v>
      </c>
      <c r="I44" s="168" t="s">
        <v>4420</v>
      </c>
      <c r="J44" s="168" t="s">
        <v>210</v>
      </c>
      <c r="K44" s="168">
        <v>18</v>
      </c>
      <c r="L44" s="168" t="s">
        <v>1044</v>
      </c>
      <c r="M44" s="169" t="str">
        <f t="shared" si="0"/>
        <v>261990</v>
      </c>
    </row>
    <row r="45" spans="1:13" x14ac:dyDescent="0.25">
      <c r="A45" s="168" t="s">
        <v>4464</v>
      </c>
      <c r="B45" s="168" t="s">
        <v>4465</v>
      </c>
      <c r="C45" s="168" t="s">
        <v>345</v>
      </c>
      <c r="D45" s="168" t="s">
        <v>4411</v>
      </c>
      <c r="E45" s="168" t="s">
        <v>192</v>
      </c>
      <c r="F45" s="169">
        <v>1</v>
      </c>
      <c r="G45" s="168" t="s">
        <v>193</v>
      </c>
      <c r="H45" s="168" t="s">
        <v>194</v>
      </c>
      <c r="I45" s="168" t="s">
        <v>4412</v>
      </c>
      <c r="J45" s="168" t="s">
        <v>4466</v>
      </c>
      <c r="K45" s="168">
        <v>18</v>
      </c>
      <c r="L45" s="168" t="s">
        <v>346</v>
      </c>
      <c r="M45" s="169" t="str">
        <f t="shared" si="0"/>
        <v>214931</v>
      </c>
    </row>
    <row r="46" spans="1:13" x14ac:dyDescent="0.25">
      <c r="A46" s="168" t="s">
        <v>4464</v>
      </c>
      <c r="B46" s="168" t="s">
        <v>4467</v>
      </c>
      <c r="C46" s="168" t="s">
        <v>29</v>
      </c>
      <c r="D46" s="168" t="s">
        <v>4411</v>
      </c>
      <c r="E46" s="168" t="s">
        <v>192</v>
      </c>
      <c r="F46" s="169">
        <v>1</v>
      </c>
      <c r="G46" s="168" t="s">
        <v>193</v>
      </c>
      <c r="H46" s="168" t="s">
        <v>194</v>
      </c>
      <c r="I46" s="168" t="s">
        <v>4412</v>
      </c>
      <c r="J46" s="168" t="s">
        <v>4466</v>
      </c>
      <c r="K46" s="168">
        <v>18</v>
      </c>
      <c r="L46" s="168" t="s">
        <v>808</v>
      </c>
      <c r="M46" s="169" t="str">
        <f t="shared" si="0"/>
        <v>722308</v>
      </c>
    </row>
    <row r="47" spans="1:13" x14ac:dyDescent="0.25">
      <c r="A47" s="168" t="s">
        <v>4464</v>
      </c>
      <c r="B47" s="168" t="s">
        <v>4468</v>
      </c>
      <c r="C47" s="168" t="s">
        <v>566</v>
      </c>
      <c r="D47" s="168" t="s">
        <v>4411</v>
      </c>
      <c r="E47" s="168" t="s">
        <v>192</v>
      </c>
      <c r="F47" s="169">
        <v>1</v>
      </c>
      <c r="G47" s="168" t="s">
        <v>193</v>
      </c>
      <c r="H47" s="168" t="s">
        <v>194</v>
      </c>
      <c r="I47" s="168" t="s">
        <v>4420</v>
      </c>
      <c r="J47" s="168" t="s">
        <v>4466</v>
      </c>
      <c r="K47" s="168">
        <v>18</v>
      </c>
      <c r="L47" s="168" t="s">
        <v>567</v>
      </c>
      <c r="M47" s="169" t="str">
        <f t="shared" si="0"/>
        <v>311504</v>
      </c>
    </row>
    <row r="48" spans="1:13" x14ac:dyDescent="0.25">
      <c r="A48" s="168" t="s">
        <v>4469</v>
      </c>
      <c r="B48" s="168" t="s">
        <v>4470</v>
      </c>
      <c r="C48" s="168" t="s">
        <v>4471</v>
      </c>
      <c r="D48" s="168" t="s">
        <v>4411</v>
      </c>
      <c r="E48" s="168" t="s">
        <v>252</v>
      </c>
      <c r="F48" s="169">
        <v>1</v>
      </c>
      <c r="G48" s="168" t="s">
        <v>193</v>
      </c>
      <c r="H48" s="168" t="s">
        <v>194</v>
      </c>
      <c r="I48" s="168" t="s">
        <v>4412</v>
      </c>
      <c r="J48" s="168" t="s">
        <v>267</v>
      </c>
      <c r="K48" s="168">
        <v>18</v>
      </c>
      <c r="L48" s="168" t="s">
        <v>4472</v>
      </c>
      <c r="M48" s="169" t="str">
        <f t="shared" si="0"/>
        <v>341204</v>
      </c>
    </row>
    <row r="49" spans="1:13" x14ac:dyDescent="0.25">
      <c r="A49" s="168" t="s">
        <v>4473</v>
      </c>
      <c r="B49" s="168" t="s">
        <v>4474</v>
      </c>
      <c r="C49" s="168" t="s">
        <v>554</v>
      </c>
      <c r="D49" s="168" t="s">
        <v>4411</v>
      </c>
      <c r="E49" s="168" t="s">
        <v>192</v>
      </c>
      <c r="F49" s="169">
        <v>1</v>
      </c>
      <c r="G49" s="168" t="s">
        <v>193</v>
      </c>
      <c r="H49" s="168" t="s">
        <v>194</v>
      </c>
      <c r="I49" s="168" t="s">
        <v>4412</v>
      </c>
      <c r="J49" s="168" t="s">
        <v>210</v>
      </c>
      <c r="K49" s="168">
        <v>18</v>
      </c>
      <c r="L49" s="168" t="s">
        <v>555</v>
      </c>
      <c r="M49" s="169" t="str">
        <f t="shared" si="0"/>
        <v>311303</v>
      </c>
    </row>
    <row r="50" spans="1:13" x14ac:dyDescent="0.25">
      <c r="A50" s="168" t="s">
        <v>2034</v>
      </c>
      <c r="B50" s="168" t="s">
        <v>2555</v>
      </c>
      <c r="C50" s="168" t="s">
        <v>740</v>
      </c>
      <c r="D50" s="168" t="s">
        <v>4333</v>
      </c>
      <c r="E50" s="168" t="s">
        <v>192</v>
      </c>
      <c r="F50" s="169">
        <v>4</v>
      </c>
      <c r="G50" s="168" t="s">
        <v>193</v>
      </c>
      <c r="H50" s="168" t="s">
        <v>194</v>
      </c>
      <c r="I50" s="168" t="s">
        <v>4343</v>
      </c>
      <c r="J50" s="168" t="s">
        <v>385</v>
      </c>
      <c r="K50" s="168">
        <v>18</v>
      </c>
      <c r="L50" s="168" t="s">
        <v>741</v>
      </c>
      <c r="M50" s="169" t="str">
        <f t="shared" si="0"/>
        <v>522301</v>
      </c>
    </row>
    <row r="51" spans="1:13" x14ac:dyDescent="0.25">
      <c r="A51" s="168" t="s">
        <v>712</v>
      </c>
      <c r="B51" s="168" t="s">
        <v>8</v>
      </c>
      <c r="C51" s="168" t="s">
        <v>740</v>
      </c>
      <c r="D51" s="168" t="s">
        <v>4333</v>
      </c>
      <c r="E51" s="168" t="s">
        <v>192</v>
      </c>
      <c r="F51" s="169">
        <v>1</v>
      </c>
      <c r="G51" s="168" t="s">
        <v>193</v>
      </c>
      <c r="H51" s="168" t="s">
        <v>194</v>
      </c>
      <c r="I51" s="168" t="s">
        <v>4334</v>
      </c>
      <c r="J51" s="168" t="s">
        <v>210</v>
      </c>
      <c r="K51" s="168">
        <v>18</v>
      </c>
      <c r="L51" s="168" t="s">
        <v>741</v>
      </c>
      <c r="M51" s="169" t="str">
        <f t="shared" si="0"/>
        <v>522301</v>
      </c>
    </row>
    <row r="52" spans="1:13" x14ac:dyDescent="0.25">
      <c r="A52" s="168" t="s">
        <v>2469</v>
      </c>
      <c r="B52" s="168" t="s">
        <v>1644</v>
      </c>
      <c r="C52" s="168" t="s">
        <v>80</v>
      </c>
      <c r="D52" s="168" t="s">
        <v>4333</v>
      </c>
      <c r="E52" s="168" t="s">
        <v>192</v>
      </c>
      <c r="F52" s="169">
        <v>1</v>
      </c>
      <c r="G52" s="168" t="s">
        <v>193</v>
      </c>
      <c r="H52" s="168" t="s">
        <v>194</v>
      </c>
      <c r="I52" s="168" t="s">
        <v>4334</v>
      </c>
      <c r="J52" s="168" t="s">
        <v>210</v>
      </c>
      <c r="K52" s="168">
        <v>18</v>
      </c>
      <c r="L52" s="168" t="s">
        <v>474</v>
      </c>
      <c r="M52" s="169" t="str">
        <f t="shared" si="0"/>
        <v>243304</v>
      </c>
    </row>
    <row r="53" spans="1:13" x14ac:dyDescent="0.25">
      <c r="A53" s="168" t="s">
        <v>2991</v>
      </c>
      <c r="B53" s="168" t="s">
        <v>4386</v>
      </c>
      <c r="C53" s="168" t="s">
        <v>86</v>
      </c>
      <c r="D53" s="168" t="s">
        <v>4333</v>
      </c>
      <c r="E53" s="168" t="s">
        <v>192</v>
      </c>
      <c r="F53" s="169">
        <v>1</v>
      </c>
      <c r="G53" s="168" t="s">
        <v>193</v>
      </c>
      <c r="H53" s="168" t="s">
        <v>194</v>
      </c>
      <c r="I53" s="168" t="s">
        <v>4334</v>
      </c>
      <c r="J53" s="168" t="s">
        <v>223</v>
      </c>
      <c r="K53" s="168">
        <v>18</v>
      </c>
      <c r="L53" s="168" t="s">
        <v>1107</v>
      </c>
      <c r="M53" s="169" t="str">
        <f t="shared" si="0"/>
        <v>121101</v>
      </c>
    </row>
    <row r="54" spans="1:13" x14ac:dyDescent="0.25">
      <c r="A54" s="168" t="s">
        <v>2991</v>
      </c>
      <c r="B54" s="168" t="s">
        <v>4339</v>
      </c>
      <c r="C54" s="168" t="s">
        <v>4340</v>
      </c>
      <c r="D54" s="168" t="s">
        <v>4333</v>
      </c>
      <c r="E54" s="168" t="s">
        <v>192</v>
      </c>
      <c r="F54" s="169">
        <v>1</v>
      </c>
      <c r="G54" s="168" t="s">
        <v>193</v>
      </c>
      <c r="H54" s="168" t="s">
        <v>194</v>
      </c>
      <c r="I54" s="168" t="s">
        <v>4334</v>
      </c>
      <c r="J54" s="168" t="s">
        <v>223</v>
      </c>
      <c r="K54" s="168">
        <v>18</v>
      </c>
      <c r="L54" s="168" t="s">
        <v>4341</v>
      </c>
      <c r="M54" s="169" t="str">
        <f t="shared" si="0"/>
        <v>711503</v>
      </c>
    </row>
    <row r="55" spans="1:13" x14ac:dyDescent="0.25">
      <c r="A55" s="168" t="s">
        <v>4391</v>
      </c>
      <c r="B55" s="168" t="s">
        <v>4392</v>
      </c>
      <c r="C55" s="168" t="s">
        <v>27</v>
      </c>
      <c r="D55" s="168" t="s">
        <v>4333</v>
      </c>
      <c r="E55" s="168" t="s">
        <v>192</v>
      </c>
      <c r="F55" s="169">
        <v>1</v>
      </c>
      <c r="G55" s="168" t="s">
        <v>193</v>
      </c>
      <c r="H55" s="168" t="s">
        <v>194</v>
      </c>
      <c r="I55" s="168" t="s">
        <v>4343</v>
      </c>
      <c r="J55" s="168" t="s">
        <v>267</v>
      </c>
      <c r="K55" s="168">
        <v>18</v>
      </c>
      <c r="L55" s="168" t="s">
        <v>440</v>
      </c>
      <c r="M55" s="169" t="str">
        <f t="shared" si="0"/>
        <v>242307</v>
      </c>
    </row>
    <row r="56" spans="1:13" x14ac:dyDescent="0.25">
      <c r="A56" s="168" t="s">
        <v>4352</v>
      </c>
      <c r="B56" s="168" t="s">
        <v>4353</v>
      </c>
      <c r="C56" s="168" t="s">
        <v>706</v>
      </c>
      <c r="D56" s="168" t="s">
        <v>4333</v>
      </c>
      <c r="E56" s="168" t="s">
        <v>192</v>
      </c>
      <c r="F56" s="169">
        <v>1</v>
      </c>
      <c r="G56" s="168" t="s">
        <v>193</v>
      </c>
      <c r="H56" s="168" t="s">
        <v>194</v>
      </c>
      <c r="I56" s="168" t="s">
        <v>4343</v>
      </c>
      <c r="J56" s="168" t="s">
        <v>210</v>
      </c>
      <c r="K56" s="168">
        <v>18</v>
      </c>
      <c r="L56" s="168" t="s">
        <v>707</v>
      </c>
      <c r="M56" s="169" t="str">
        <f t="shared" si="0"/>
        <v>422201</v>
      </c>
    </row>
    <row r="57" spans="1:13" x14ac:dyDescent="0.25">
      <c r="A57" s="168" t="s">
        <v>4361</v>
      </c>
      <c r="B57" s="168" t="s">
        <v>4362</v>
      </c>
      <c r="C57" s="168" t="s">
        <v>62</v>
      </c>
      <c r="D57" s="168" t="s">
        <v>4333</v>
      </c>
      <c r="E57" s="168" t="s">
        <v>192</v>
      </c>
      <c r="F57" s="169">
        <v>1</v>
      </c>
      <c r="G57" s="168" t="s">
        <v>193</v>
      </c>
      <c r="H57" s="168" t="s">
        <v>194</v>
      </c>
      <c r="I57" s="168" t="s">
        <v>4334</v>
      </c>
      <c r="J57" s="168" t="s">
        <v>367</v>
      </c>
      <c r="K57" s="168">
        <v>18</v>
      </c>
      <c r="L57" s="168" t="s">
        <v>601</v>
      </c>
      <c r="M57" s="169" t="str">
        <f t="shared" si="0"/>
        <v>313904</v>
      </c>
    </row>
    <row r="58" spans="1:13" x14ac:dyDescent="0.25">
      <c r="A58" s="168" t="s">
        <v>218</v>
      </c>
      <c r="B58" s="168" t="s">
        <v>4399</v>
      </c>
      <c r="C58" s="168" t="s">
        <v>19</v>
      </c>
      <c r="D58" s="168" t="s">
        <v>4333</v>
      </c>
      <c r="E58" s="168" t="s">
        <v>192</v>
      </c>
      <c r="F58" s="169">
        <v>1</v>
      </c>
      <c r="G58" s="168" t="s">
        <v>193</v>
      </c>
      <c r="H58" s="168" t="s">
        <v>194</v>
      </c>
      <c r="I58" s="168" t="s">
        <v>4343</v>
      </c>
      <c r="J58" s="168" t="s">
        <v>210</v>
      </c>
      <c r="K58" s="168">
        <v>18</v>
      </c>
      <c r="L58" s="168" t="s">
        <v>337</v>
      </c>
      <c r="M58" s="169" t="str">
        <f t="shared" si="0"/>
        <v>214903</v>
      </c>
    </row>
    <row r="59" spans="1:13" x14ac:dyDescent="0.25">
      <c r="A59" s="168" t="s">
        <v>218</v>
      </c>
      <c r="B59" s="168" t="s">
        <v>4384</v>
      </c>
      <c r="C59" s="168" t="s">
        <v>12</v>
      </c>
      <c r="D59" s="168" t="s">
        <v>4333</v>
      </c>
      <c r="E59" s="168" t="s">
        <v>192</v>
      </c>
      <c r="F59" s="169">
        <v>1</v>
      </c>
      <c r="G59" s="168" t="s">
        <v>193</v>
      </c>
      <c r="H59" s="168" t="s">
        <v>194</v>
      </c>
      <c r="I59" s="168" t="s">
        <v>4343</v>
      </c>
      <c r="J59" s="168" t="s">
        <v>196</v>
      </c>
      <c r="K59" s="168">
        <v>18</v>
      </c>
      <c r="L59" s="168" t="s">
        <v>220</v>
      </c>
      <c r="M59" s="169" t="str">
        <f t="shared" si="0"/>
        <v>132301</v>
      </c>
    </row>
    <row r="60" spans="1:13" x14ac:dyDescent="0.25">
      <c r="A60" s="168" t="s">
        <v>4397</v>
      </c>
      <c r="B60" s="168" t="s">
        <v>4398</v>
      </c>
      <c r="C60" s="168" t="s">
        <v>17</v>
      </c>
      <c r="D60" s="168" t="s">
        <v>4333</v>
      </c>
      <c r="E60" s="168" t="s">
        <v>192</v>
      </c>
      <c r="F60" s="169">
        <v>1</v>
      </c>
      <c r="G60" s="168" t="s">
        <v>193</v>
      </c>
      <c r="H60" s="168" t="s">
        <v>194</v>
      </c>
      <c r="I60" s="168" t="s">
        <v>4343</v>
      </c>
      <c r="J60" s="168" t="s">
        <v>210</v>
      </c>
      <c r="K60" s="168">
        <v>18</v>
      </c>
      <c r="L60" s="168" t="s">
        <v>624</v>
      </c>
      <c r="M60" s="169" t="str">
        <f t="shared" si="0"/>
        <v>332203</v>
      </c>
    </row>
    <row r="61" spans="1:13" x14ac:dyDescent="0.25">
      <c r="A61" s="168" t="s">
        <v>4372</v>
      </c>
      <c r="B61" s="168" t="s">
        <v>4373</v>
      </c>
      <c r="C61" s="168" t="s">
        <v>740</v>
      </c>
      <c r="D61" s="168" t="s">
        <v>4333</v>
      </c>
      <c r="E61" s="168" t="s">
        <v>192</v>
      </c>
      <c r="F61" s="169">
        <v>6</v>
      </c>
      <c r="G61" s="168" t="s">
        <v>193</v>
      </c>
      <c r="H61" s="168" t="s">
        <v>194</v>
      </c>
      <c r="I61" s="168" t="s">
        <v>4334</v>
      </c>
      <c r="J61" s="168" t="s">
        <v>276</v>
      </c>
      <c r="K61" s="168">
        <v>18</v>
      </c>
      <c r="L61" s="168" t="s">
        <v>741</v>
      </c>
      <c r="M61" s="169" t="str">
        <f t="shared" si="0"/>
        <v>522301</v>
      </c>
    </row>
    <row r="62" spans="1:13" x14ac:dyDescent="0.25">
      <c r="A62" s="168" t="s">
        <v>816</v>
      </c>
      <c r="B62" s="168" t="s">
        <v>4335</v>
      </c>
      <c r="C62" s="168" t="s">
        <v>1957</v>
      </c>
      <c r="D62" s="168" t="s">
        <v>4333</v>
      </c>
      <c r="E62" s="168" t="s">
        <v>192</v>
      </c>
      <c r="F62" s="169">
        <v>1</v>
      </c>
      <c r="G62" s="168" t="s">
        <v>193</v>
      </c>
      <c r="H62" s="168" t="s">
        <v>194</v>
      </c>
      <c r="I62" s="168" t="s">
        <v>4334</v>
      </c>
      <c r="J62" s="168" t="s">
        <v>253</v>
      </c>
      <c r="K62" s="168">
        <v>18</v>
      </c>
      <c r="L62" s="168" t="s">
        <v>1958</v>
      </c>
      <c r="M62" s="169" t="str">
        <f t="shared" si="0"/>
        <v>214408</v>
      </c>
    </row>
    <row r="63" spans="1:13" x14ac:dyDescent="0.25">
      <c r="A63" s="168" t="s">
        <v>4374</v>
      </c>
      <c r="B63" s="168" t="s">
        <v>4375</v>
      </c>
      <c r="C63" s="168" t="s">
        <v>583</v>
      </c>
      <c r="D63" s="168" t="s">
        <v>4333</v>
      </c>
      <c r="E63" s="168" t="s">
        <v>192</v>
      </c>
      <c r="F63" s="169">
        <v>2</v>
      </c>
      <c r="G63" s="168" t="s">
        <v>193</v>
      </c>
      <c r="H63" s="168" t="s">
        <v>194</v>
      </c>
      <c r="I63" s="168" t="s">
        <v>4334</v>
      </c>
      <c r="J63" s="168" t="s">
        <v>385</v>
      </c>
      <c r="K63" s="168">
        <v>18</v>
      </c>
      <c r="L63" s="168" t="s">
        <v>584</v>
      </c>
      <c r="M63" s="169" t="str">
        <f t="shared" si="0"/>
        <v>311937</v>
      </c>
    </row>
    <row r="64" spans="1:13" x14ac:dyDescent="0.25">
      <c r="A64" s="168" t="s">
        <v>4336</v>
      </c>
      <c r="B64" s="168" t="s">
        <v>313</v>
      </c>
      <c r="C64" s="168" t="s">
        <v>98</v>
      </c>
      <c r="D64" s="168" t="s">
        <v>4333</v>
      </c>
      <c r="E64" s="168" t="s">
        <v>192</v>
      </c>
      <c r="F64" s="169">
        <v>1</v>
      </c>
      <c r="G64" s="168" t="s">
        <v>193</v>
      </c>
      <c r="H64" s="168" t="s">
        <v>194</v>
      </c>
      <c r="I64" s="168" t="s">
        <v>4334</v>
      </c>
      <c r="J64" s="168" t="s">
        <v>367</v>
      </c>
      <c r="K64" s="168">
        <v>18</v>
      </c>
      <c r="L64" s="168" t="s">
        <v>1973</v>
      </c>
      <c r="M64" s="169" t="str">
        <f t="shared" si="0"/>
        <v>214502</v>
      </c>
    </row>
    <row r="65" spans="1:13" x14ac:dyDescent="0.25">
      <c r="A65" s="168" t="s">
        <v>564</v>
      </c>
      <c r="B65" s="168" t="s">
        <v>4351</v>
      </c>
      <c r="C65" s="168" t="s">
        <v>156</v>
      </c>
      <c r="D65" s="168" t="s">
        <v>4333</v>
      </c>
      <c r="E65" s="168" t="s">
        <v>192</v>
      </c>
      <c r="F65" s="169">
        <v>1</v>
      </c>
      <c r="G65" s="168" t="s">
        <v>193</v>
      </c>
      <c r="H65" s="168" t="s">
        <v>194</v>
      </c>
      <c r="I65" s="168" t="s">
        <v>4343</v>
      </c>
      <c r="J65" s="168" t="s">
        <v>3114</v>
      </c>
      <c r="K65" s="168">
        <v>18</v>
      </c>
      <c r="L65" s="168" t="s">
        <v>659</v>
      </c>
      <c r="M65" s="169" t="str">
        <f t="shared" si="0"/>
        <v>332302</v>
      </c>
    </row>
    <row r="66" spans="1:13" x14ac:dyDescent="0.25">
      <c r="A66" s="168" t="s">
        <v>2914</v>
      </c>
      <c r="B66" s="168" t="s">
        <v>4356</v>
      </c>
      <c r="C66" s="168" t="s">
        <v>1957</v>
      </c>
      <c r="D66" s="168" t="s">
        <v>4333</v>
      </c>
      <c r="E66" s="168" t="s">
        <v>192</v>
      </c>
      <c r="F66" s="169">
        <v>1</v>
      </c>
      <c r="G66" s="168" t="s">
        <v>193</v>
      </c>
      <c r="H66" s="168" t="s">
        <v>194</v>
      </c>
      <c r="I66" s="168" t="s">
        <v>4343</v>
      </c>
      <c r="J66" s="168" t="s">
        <v>385</v>
      </c>
      <c r="K66" s="168">
        <v>18</v>
      </c>
      <c r="L66" s="168" t="s">
        <v>1958</v>
      </c>
      <c r="M66" s="169" t="str">
        <f t="shared" si="0"/>
        <v>214408</v>
      </c>
    </row>
    <row r="67" spans="1:13" x14ac:dyDescent="0.25">
      <c r="A67" s="168" t="s">
        <v>890</v>
      </c>
      <c r="B67" s="168" t="s">
        <v>4383</v>
      </c>
      <c r="C67" s="168" t="s">
        <v>69</v>
      </c>
      <c r="D67" s="168" t="s">
        <v>4333</v>
      </c>
      <c r="E67" s="168" t="s">
        <v>192</v>
      </c>
      <c r="F67" s="169">
        <v>1</v>
      </c>
      <c r="G67" s="168" t="s">
        <v>193</v>
      </c>
      <c r="H67" s="168" t="s">
        <v>194</v>
      </c>
      <c r="I67" s="168" t="s">
        <v>4343</v>
      </c>
      <c r="J67" s="168" t="s">
        <v>210</v>
      </c>
      <c r="K67" s="168">
        <v>18</v>
      </c>
      <c r="L67" s="168" t="s">
        <v>375</v>
      </c>
      <c r="M67" s="169" t="str">
        <f t="shared" ref="M67:M130" si="1">MID(L67,8,6)</f>
        <v>215301</v>
      </c>
    </row>
    <row r="68" spans="1:13" x14ac:dyDescent="0.25">
      <c r="A68" s="168" t="s">
        <v>890</v>
      </c>
      <c r="B68" s="168" t="s">
        <v>4382</v>
      </c>
      <c r="C68" s="168" t="s">
        <v>513</v>
      </c>
      <c r="D68" s="168" t="s">
        <v>4333</v>
      </c>
      <c r="E68" s="168" t="s">
        <v>192</v>
      </c>
      <c r="F68" s="169">
        <v>1</v>
      </c>
      <c r="G68" s="168" t="s">
        <v>193</v>
      </c>
      <c r="H68" s="168" t="s">
        <v>194</v>
      </c>
      <c r="I68" s="168" t="s">
        <v>4343</v>
      </c>
      <c r="J68" s="168" t="s">
        <v>210</v>
      </c>
      <c r="K68" s="168">
        <v>18</v>
      </c>
      <c r="L68" s="168" t="s">
        <v>514</v>
      </c>
      <c r="M68" s="169" t="str">
        <f t="shared" si="1"/>
        <v>252301</v>
      </c>
    </row>
    <row r="69" spans="1:13" x14ac:dyDescent="0.25">
      <c r="A69" s="168" t="s">
        <v>2180</v>
      </c>
      <c r="B69" s="168" t="s">
        <v>4348</v>
      </c>
      <c r="C69" s="168" t="s">
        <v>24</v>
      </c>
      <c r="D69" s="168" t="s">
        <v>4333</v>
      </c>
      <c r="E69" s="168" t="s">
        <v>192</v>
      </c>
      <c r="F69" s="169">
        <v>1</v>
      </c>
      <c r="G69" s="168" t="s">
        <v>193</v>
      </c>
      <c r="H69" s="168" t="s">
        <v>194</v>
      </c>
      <c r="I69" s="168" t="s">
        <v>4343</v>
      </c>
      <c r="J69" s="168" t="s">
        <v>253</v>
      </c>
      <c r="K69" s="168">
        <v>18</v>
      </c>
      <c r="L69" s="168" t="s">
        <v>2538</v>
      </c>
      <c r="M69" s="169" t="str">
        <f t="shared" si="1"/>
        <v>911207</v>
      </c>
    </row>
    <row r="70" spans="1:13" x14ac:dyDescent="0.25">
      <c r="A70" s="168" t="s">
        <v>4389</v>
      </c>
      <c r="B70" s="168" t="s">
        <v>4390</v>
      </c>
      <c r="C70" s="168" t="s">
        <v>10</v>
      </c>
      <c r="D70" s="168" t="s">
        <v>4333</v>
      </c>
      <c r="E70" s="168" t="s">
        <v>192</v>
      </c>
      <c r="F70" s="169">
        <v>1</v>
      </c>
      <c r="G70" s="168" t="s">
        <v>193</v>
      </c>
      <c r="H70" s="168" t="s">
        <v>194</v>
      </c>
      <c r="I70" s="168" t="s">
        <v>4343</v>
      </c>
      <c r="J70" s="168" t="s">
        <v>210</v>
      </c>
      <c r="K70" s="168">
        <v>18</v>
      </c>
      <c r="L70" s="168" t="s">
        <v>484</v>
      </c>
      <c r="M70" s="169" t="str">
        <f t="shared" si="1"/>
        <v>251401</v>
      </c>
    </row>
    <row r="71" spans="1:13" x14ac:dyDescent="0.25">
      <c r="A71" s="168" t="s">
        <v>446</v>
      </c>
      <c r="B71" s="168" t="s">
        <v>4346</v>
      </c>
      <c r="C71" s="168" t="s">
        <v>740</v>
      </c>
      <c r="D71" s="168" t="s">
        <v>4333</v>
      </c>
      <c r="E71" s="168" t="s">
        <v>192</v>
      </c>
      <c r="F71" s="169">
        <v>1</v>
      </c>
      <c r="G71" s="168" t="s">
        <v>193</v>
      </c>
      <c r="H71" s="168" t="s">
        <v>194</v>
      </c>
      <c r="I71" s="168" t="s">
        <v>4334</v>
      </c>
      <c r="J71" s="168" t="s">
        <v>210</v>
      </c>
      <c r="K71" s="168">
        <v>18</v>
      </c>
      <c r="L71" s="168" t="s">
        <v>741</v>
      </c>
      <c r="M71" s="169" t="str">
        <f t="shared" si="1"/>
        <v>522301</v>
      </c>
    </row>
    <row r="72" spans="1:13" x14ac:dyDescent="0.25">
      <c r="A72" s="168" t="s">
        <v>446</v>
      </c>
      <c r="B72" s="168" t="s">
        <v>4346</v>
      </c>
      <c r="C72" s="168" t="s">
        <v>740</v>
      </c>
      <c r="D72" s="168" t="s">
        <v>4333</v>
      </c>
      <c r="E72" s="168" t="s">
        <v>192</v>
      </c>
      <c r="F72" s="169">
        <v>1</v>
      </c>
      <c r="G72" s="168" t="s">
        <v>193</v>
      </c>
      <c r="H72" s="168" t="s">
        <v>194</v>
      </c>
      <c r="I72" s="168" t="s">
        <v>4334</v>
      </c>
      <c r="J72" s="168" t="s">
        <v>4347</v>
      </c>
      <c r="K72" s="168">
        <v>18</v>
      </c>
      <c r="L72" s="168" t="s">
        <v>741</v>
      </c>
      <c r="M72" s="169" t="str">
        <f t="shared" si="1"/>
        <v>522301</v>
      </c>
    </row>
    <row r="73" spans="1:13" x14ac:dyDescent="0.25">
      <c r="A73" s="168" t="s">
        <v>446</v>
      </c>
      <c r="B73" s="168" t="s">
        <v>4344</v>
      </c>
      <c r="C73" s="168" t="s">
        <v>740</v>
      </c>
      <c r="D73" s="168" t="s">
        <v>4333</v>
      </c>
      <c r="E73" s="168" t="s">
        <v>192</v>
      </c>
      <c r="F73" s="169">
        <v>1</v>
      </c>
      <c r="G73" s="168" t="s">
        <v>193</v>
      </c>
      <c r="H73" s="168" t="s">
        <v>194</v>
      </c>
      <c r="I73" s="168" t="s">
        <v>4334</v>
      </c>
      <c r="J73" s="168" t="s">
        <v>4345</v>
      </c>
      <c r="K73" s="168">
        <v>18</v>
      </c>
      <c r="L73" s="168" t="s">
        <v>741</v>
      </c>
      <c r="M73" s="169" t="str">
        <f t="shared" si="1"/>
        <v>522301</v>
      </c>
    </row>
    <row r="74" spans="1:13" x14ac:dyDescent="0.25">
      <c r="A74" s="168" t="s">
        <v>4401</v>
      </c>
      <c r="B74" s="168" t="s">
        <v>1724</v>
      </c>
      <c r="C74" s="168" t="s">
        <v>17</v>
      </c>
      <c r="D74" s="168" t="s">
        <v>4333</v>
      </c>
      <c r="E74" s="168" t="s">
        <v>192</v>
      </c>
      <c r="F74" s="169">
        <v>1</v>
      </c>
      <c r="G74" s="168" t="s">
        <v>193</v>
      </c>
      <c r="H74" s="168" t="s">
        <v>194</v>
      </c>
      <c r="I74" s="168" t="s">
        <v>4334</v>
      </c>
      <c r="J74" s="168" t="s">
        <v>196</v>
      </c>
      <c r="K74" s="168">
        <v>18</v>
      </c>
      <c r="L74" s="168" t="s">
        <v>624</v>
      </c>
      <c r="M74" s="169" t="str">
        <f t="shared" si="1"/>
        <v>332203</v>
      </c>
    </row>
    <row r="75" spans="1:13" x14ac:dyDescent="0.25">
      <c r="A75" s="168" t="s">
        <v>1471</v>
      </c>
      <c r="B75" s="168" t="s">
        <v>4385</v>
      </c>
      <c r="C75" s="168" t="s">
        <v>122</v>
      </c>
      <c r="D75" s="168" t="s">
        <v>4333</v>
      </c>
      <c r="E75" s="168" t="s">
        <v>192</v>
      </c>
      <c r="F75" s="169">
        <v>1</v>
      </c>
      <c r="G75" s="168" t="s">
        <v>193</v>
      </c>
      <c r="H75" s="168" t="s">
        <v>194</v>
      </c>
      <c r="I75" s="168" t="s">
        <v>4343</v>
      </c>
      <c r="J75" s="168" t="s">
        <v>253</v>
      </c>
      <c r="K75" s="168">
        <v>18</v>
      </c>
      <c r="L75" s="168" t="s">
        <v>655</v>
      </c>
      <c r="M75" s="169" t="str">
        <f t="shared" si="1"/>
        <v>332301</v>
      </c>
    </row>
    <row r="76" spans="1:13" x14ac:dyDescent="0.25">
      <c r="A76" s="168" t="s">
        <v>540</v>
      </c>
      <c r="B76" s="168" t="s">
        <v>541</v>
      </c>
      <c r="C76" s="168" t="s">
        <v>542</v>
      </c>
      <c r="D76" s="168" t="s">
        <v>4333</v>
      </c>
      <c r="E76" s="168" t="s">
        <v>252</v>
      </c>
      <c r="F76" s="169">
        <v>1</v>
      </c>
      <c r="G76" s="168" t="s">
        <v>193</v>
      </c>
      <c r="H76" s="168" t="s">
        <v>194</v>
      </c>
      <c r="I76" s="168" t="s">
        <v>4334</v>
      </c>
      <c r="J76" s="168" t="s">
        <v>316</v>
      </c>
      <c r="K76" s="168">
        <v>18</v>
      </c>
      <c r="L76" s="168" t="s">
        <v>543</v>
      </c>
      <c r="M76" s="169" t="str">
        <f t="shared" si="1"/>
        <v>264304</v>
      </c>
    </row>
    <row r="77" spans="1:13" x14ac:dyDescent="0.25">
      <c r="A77" s="168" t="s">
        <v>540</v>
      </c>
      <c r="B77" s="168" t="s">
        <v>4357</v>
      </c>
      <c r="C77" s="168" t="s">
        <v>62</v>
      </c>
      <c r="D77" s="168" t="s">
        <v>4333</v>
      </c>
      <c r="E77" s="168" t="s">
        <v>252</v>
      </c>
      <c r="F77" s="169">
        <v>1</v>
      </c>
      <c r="G77" s="168" t="s">
        <v>193</v>
      </c>
      <c r="H77" s="168" t="s">
        <v>194</v>
      </c>
      <c r="I77" s="168" t="s">
        <v>4343</v>
      </c>
      <c r="J77" s="168" t="s">
        <v>285</v>
      </c>
      <c r="K77" s="168">
        <v>18</v>
      </c>
      <c r="L77" s="168" t="s">
        <v>601</v>
      </c>
      <c r="M77" s="169" t="str">
        <f t="shared" si="1"/>
        <v>313904</v>
      </c>
    </row>
    <row r="78" spans="1:13" x14ac:dyDescent="0.25">
      <c r="A78" s="168" t="s">
        <v>1904</v>
      </c>
      <c r="B78" s="168" t="s">
        <v>4355</v>
      </c>
      <c r="C78" s="168" t="s">
        <v>1957</v>
      </c>
      <c r="D78" s="168" t="s">
        <v>4333</v>
      </c>
      <c r="E78" s="168" t="s">
        <v>192</v>
      </c>
      <c r="F78" s="169">
        <v>1</v>
      </c>
      <c r="G78" s="168" t="s">
        <v>193</v>
      </c>
      <c r="H78" s="168" t="s">
        <v>194</v>
      </c>
      <c r="I78" s="168" t="s">
        <v>4343</v>
      </c>
      <c r="J78" s="168" t="s">
        <v>575</v>
      </c>
      <c r="K78" s="168">
        <v>18</v>
      </c>
      <c r="L78" s="168" t="s">
        <v>1958</v>
      </c>
      <c r="M78" s="169" t="str">
        <f t="shared" si="1"/>
        <v>214408</v>
      </c>
    </row>
    <row r="79" spans="1:13" x14ac:dyDescent="0.25">
      <c r="A79" s="168" t="s">
        <v>4394</v>
      </c>
      <c r="B79" s="168" t="s">
        <v>537</v>
      </c>
      <c r="C79" s="168" t="s">
        <v>778</v>
      </c>
      <c r="D79" s="168" t="s">
        <v>4333</v>
      </c>
      <c r="E79" s="168" t="s">
        <v>192</v>
      </c>
      <c r="F79" s="169">
        <v>2</v>
      </c>
      <c r="G79" s="168" t="s">
        <v>193</v>
      </c>
      <c r="H79" s="168" t="s">
        <v>194</v>
      </c>
      <c r="I79" s="168" t="s">
        <v>4334</v>
      </c>
      <c r="J79" s="168" t="s">
        <v>223</v>
      </c>
      <c r="K79" s="168">
        <v>18</v>
      </c>
      <c r="L79" s="168" t="s">
        <v>779</v>
      </c>
      <c r="M79" s="169" t="str">
        <f t="shared" si="1"/>
        <v>524902</v>
      </c>
    </row>
    <row r="80" spans="1:13" x14ac:dyDescent="0.25">
      <c r="A80" s="168" t="s">
        <v>4395</v>
      </c>
      <c r="B80" s="168" t="s">
        <v>4396</v>
      </c>
      <c r="C80" s="168" t="s">
        <v>17</v>
      </c>
      <c r="D80" s="168" t="s">
        <v>4333</v>
      </c>
      <c r="E80" s="168" t="s">
        <v>192</v>
      </c>
      <c r="F80" s="169">
        <v>1</v>
      </c>
      <c r="G80" s="168" t="s">
        <v>193</v>
      </c>
      <c r="H80" s="168" t="s">
        <v>194</v>
      </c>
      <c r="I80" s="168" t="s">
        <v>4343</v>
      </c>
      <c r="J80" s="168" t="s">
        <v>210</v>
      </c>
      <c r="K80" s="168">
        <v>18</v>
      </c>
      <c r="L80" s="168" t="s">
        <v>624</v>
      </c>
      <c r="M80" s="169" t="str">
        <f t="shared" si="1"/>
        <v>332203</v>
      </c>
    </row>
    <row r="81" spans="1:13" x14ac:dyDescent="0.25">
      <c r="A81" s="168" t="s">
        <v>329</v>
      </c>
      <c r="B81" s="168" t="s">
        <v>4358</v>
      </c>
      <c r="C81" s="168" t="s">
        <v>4359</v>
      </c>
      <c r="D81" s="168" t="s">
        <v>4333</v>
      </c>
      <c r="E81" s="168" t="s">
        <v>192</v>
      </c>
      <c r="F81" s="169">
        <v>1</v>
      </c>
      <c r="G81" s="168" t="s">
        <v>193</v>
      </c>
      <c r="H81" s="168" t="s">
        <v>194</v>
      </c>
      <c r="I81" s="168" t="s">
        <v>4343</v>
      </c>
      <c r="J81" s="168" t="s">
        <v>210</v>
      </c>
      <c r="K81" s="168">
        <v>18</v>
      </c>
      <c r="L81" s="168" t="s">
        <v>4360</v>
      </c>
      <c r="M81" s="169" t="str">
        <f t="shared" si="1"/>
        <v>816003</v>
      </c>
    </row>
    <row r="82" spans="1:13" x14ac:dyDescent="0.25">
      <c r="A82" s="168" t="s">
        <v>4363</v>
      </c>
      <c r="B82" s="168" t="s">
        <v>4364</v>
      </c>
      <c r="C82" s="168" t="s">
        <v>1115</v>
      </c>
      <c r="D82" s="168" t="s">
        <v>4333</v>
      </c>
      <c r="E82" s="168" t="s">
        <v>192</v>
      </c>
      <c r="F82" s="169">
        <v>1</v>
      </c>
      <c r="G82" s="168" t="s">
        <v>193</v>
      </c>
      <c r="H82" s="168" t="s">
        <v>194</v>
      </c>
      <c r="I82" s="168" t="s">
        <v>4343</v>
      </c>
      <c r="J82" s="168" t="s">
        <v>223</v>
      </c>
      <c r="K82" s="168">
        <v>18</v>
      </c>
      <c r="L82" s="168" t="s">
        <v>1118</v>
      </c>
      <c r="M82" s="169" t="str">
        <f t="shared" si="1"/>
        <v>214205</v>
      </c>
    </row>
    <row r="83" spans="1:13" x14ac:dyDescent="0.25">
      <c r="A83" s="168" t="s">
        <v>2233</v>
      </c>
      <c r="B83" s="168" t="s">
        <v>4400</v>
      </c>
      <c r="C83" s="168" t="s">
        <v>27</v>
      </c>
      <c r="D83" s="168" t="s">
        <v>4333</v>
      </c>
      <c r="E83" s="168" t="s">
        <v>192</v>
      </c>
      <c r="F83" s="169">
        <v>1</v>
      </c>
      <c r="G83" s="168" t="s">
        <v>193</v>
      </c>
      <c r="H83" s="168" t="s">
        <v>194</v>
      </c>
      <c r="I83" s="168" t="s">
        <v>4343</v>
      </c>
      <c r="J83" s="168" t="s">
        <v>276</v>
      </c>
      <c r="K83" s="168">
        <v>18</v>
      </c>
      <c r="L83" s="168" t="s">
        <v>440</v>
      </c>
      <c r="M83" s="169" t="str">
        <f t="shared" si="1"/>
        <v>242307</v>
      </c>
    </row>
    <row r="84" spans="1:13" x14ac:dyDescent="0.25">
      <c r="A84" s="168" t="s">
        <v>324</v>
      </c>
      <c r="B84" s="168" t="s">
        <v>4378</v>
      </c>
      <c r="C84" s="168" t="s">
        <v>35</v>
      </c>
      <c r="D84" s="168" t="s">
        <v>4333</v>
      </c>
      <c r="E84" s="168" t="s">
        <v>192</v>
      </c>
      <c r="F84" s="169">
        <v>1</v>
      </c>
      <c r="G84" s="168" t="s">
        <v>193</v>
      </c>
      <c r="H84" s="168" t="s">
        <v>194</v>
      </c>
      <c r="I84" s="168" t="s">
        <v>4343</v>
      </c>
      <c r="J84" s="168" t="s">
        <v>210</v>
      </c>
      <c r="K84" s="168">
        <v>18</v>
      </c>
      <c r="L84" s="168" t="s">
        <v>207</v>
      </c>
      <c r="M84" s="169" t="str">
        <f t="shared" si="1"/>
        <v>122106</v>
      </c>
    </row>
    <row r="85" spans="1:13" x14ac:dyDescent="0.25">
      <c r="A85" s="168" t="s">
        <v>2200</v>
      </c>
      <c r="B85" s="168" t="s">
        <v>4350</v>
      </c>
      <c r="C85" s="168" t="s">
        <v>27</v>
      </c>
      <c r="D85" s="168" t="s">
        <v>4333</v>
      </c>
      <c r="E85" s="168" t="s">
        <v>192</v>
      </c>
      <c r="F85" s="169">
        <v>1</v>
      </c>
      <c r="G85" s="168" t="s">
        <v>193</v>
      </c>
      <c r="H85" s="168" t="s">
        <v>194</v>
      </c>
      <c r="I85" s="168" t="s">
        <v>4343</v>
      </c>
      <c r="J85" s="168" t="s">
        <v>2201</v>
      </c>
      <c r="K85" s="168">
        <v>18</v>
      </c>
      <c r="L85" s="168" t="s">
        <v>440</v>
      </c>
      <c r="M85" s="169" t="str">
        <f t="shared" si="1"/>
        <v>242307</v>
      </c>
    </row>
    <row r="86" spans="1:13" x14ac:dyDescent="0.25">
      <c r="A86" s="168" t="s">
        <v>2437</v>
      </c>
      <c r="B86" s="168" t="s">
        <v>2434</v>
      </c>
      <c r="C86" s="168" t="s">
        <v>9</v>
      </c>
      <c r="D86" s="168" t="s">
        <v>4333</v>
      </c>
      <c r="E86" s="168" t="s">
        <v>192</v>
      </c>
      <c r="F86" s="169">
        <v>1</v>
      </c>
      <c r="G86" s="168" t="s">
        <v>193</v>
      </c>
      <c r="H86" s="168" t="s">
        <v>194</v>
      </c>
      <c r="I86" s="168" t="s">
        <v>4334</v>
      </c>
      <c r="J86" s="168" t="s">
        <v>267</v>
      </c>
      <c r="K86" s="168">
        <v>18</v>
      </c>
      <c r="L86" s="168" t="s">
        <v>405</v>
      </c>
      <c r="M86" s="169" t="str">
        <f t="shared" si="1"/>
        <v>241304</v>
      </c>
    </row>
    <row r="87" spans="1:13" x14ac:dyDescent="0.25">
      <c r="A87" s="168" t="s">
        <v>2437</v>
      </c>
      <c r="B87" s="168" t="s">
        <v>2438</v>
      </c>
      <c r="C87" s="168" t="s">
        <v>9</v>
      </c>
      <c r="D87" s="168" t="s">
        <v>4333</v>
      </c>
      <c r="E87" s="168" t="s">
        <v>192</v>
      </c>
      <c r="F87" s="169">
        <v>1</v>
      </c>
      <c r="G87" s="168" t="s">
        <v>193</v>
      </c>
      <c r="H87" s="168" t="s">
        <v>194</v>
      </c>
      <c r="I87" s="168" t="s">
        <v>4343</v>
      </c>
      <c r="J87" s="168" t="s">
        <v>210</v>
      </c>
      <c r="K87" s="168">
        <v>18</v>
      </c>
      <c r="L87" s="168" t="s">
        <v>405</v>
      </c>
      <c r="M87" s="169" t="str">
        <f t="shared" si="1"/>
        <v>241304</v>
      </c>
    </row>
    <row r="88" spans="1:13" x14ac:dyDescent="0.25">
      <c r="A88" s="168" t="s">
        <v>2437</v>
      </c>
      <c r="B88" s="168" t="s">
        <v>1058</v>
      </c>
      <c r="C88" s="168" t="s">
        <v>9</v>
      </c>
      <c r="D88" s="168" t="s">
        <v>4333</v>
      </c>
      <c r="E88" s="168" t="s">
        <v>192</v>
      </c>
      <c r="F88" s="169">
        <v>1</v>
      </c>
      <c r="G88" s="168" t="s">
        <v>193</v>
      </c>
      <c r="H88" s="168" t="s">
        <v>194</v>
      </c>
      <c r="I88" s="168" t="s">
        <v>4343</v>
      </c>
      <c r="J88" s="168" t="s">
        <v>385</v>
      </c>
      <c r="K88" s="168">
        <v>18</v>
      </c>
      <c r="L88" s="168" t="s">
        <v>405</v>
      </c>
      <c r="M88" s="169" t="str">
        <f t="shared" si="1"/>
        <v>241304</v>
      </c>
    </row>
    <row r="89" spans="1:13" x14ac:dyDescent="0.25">
      <c r="A89" s="168" t="s">
        <v>2437</v>
      </c>
      <c r="B89" s="168" t="s">
        <v>4366</v>
      </c>
      <c r="C89" s="168" t="s">
        <v>706</v>
      </c>
      <c r="D89" s="168" t="s">
        <v>4333</v>
      </c>
      <c r="E89" s="168" t="s">
        <v>192</v>
      </c>
      <c r="F89" s="169">
        <v>1</v>
      </c>
      <c r="G89" s="168" t="s">
        <v>193</v>
      </c>
      <c r="H89" s="168" t="s">
        <v>194</v>
      </c>
      <c r="I89" s="168" t="s">
        <v>4343</v>
      </c>
      <c r="J89" s="168" t="s">
        <v>210</v>
      </c>
      <c r="K89" s="168">
        <v>18</v>
      </c>
      <c r="L89" s="168" t="s">
        <v>707</v>
      </c>
      <c r="M89" s="169" t="str">
        <f t="shared" si="1"/>
        <v>422201</v>
      </c>
    </row>
    <row r="90" spans="1:13" x14ac:dyDescent="0.25">
      <c r="A90" s="168" t="s">
        <v>4331</v>
      </c>
      <c r="B90" s="168" t="s">
        <v>4332</v>
      </c>
      <c r="C90" s="168" t="s">
        <v>4090</v>
      </c>
      <c r="D90" s="168" t="s">
        <v>4333</v>
      </c>
      <c r="E90" s="168" t="s">
        <v>192</v>
      </c>
      <c r="F90" s="169">
        <v>1</v>
      </c>
      <c r="G90" s="168" t="s">
        <v>193</v>
      </c>
      <c r="H90" s="168" t="s">
        <v>194</v>
      </c>
      <c r="I90" s="168" t="s">
        <v>4334</v>
      </c>
      <c r="J90" s="168" t="s">
        <v>253</v>
      </c>
      <c r="K90" s="168">
        <v>18</v>
      </c>
      <c r="L90" s="168" t="s">
        <v>4091</v>
      </c>
      <c r="M90" s="169" t="str">
        <f t="shared" si="1"/>
        <v>421403</v>
      </c>
    </row>
    <row r="91" spans="1:13" x14ac:dyDescent="0.25">
      <c r="A91" s="168" t="s">
        <v>4337</v>
      </c>
      <c r="B91" s="168" t="s">
        <v>4381</v>
      </c>
      <c r="C91" s="168" t="s">
        <v>140</v>
      </c>
      <c r="D91" s="168" t="s">
        <v>4333</v>
      </c>
      <c r="E91" s="168" t="s">
        <v>192</v>
      </c>
      <c r="F91" s="169">
        <v>1</v>
      </c>
      <c r="G91" s="168" t="s">
        <v>193</v>
      </c>
      <c r="H91" s="168" t="s">
        <v>194</v>
      </c>
      <c r="I91" s="168" t="s">
        <v>4334</v>
      </c>
      <c r="J91" s="168" t="s">
        <v>210</v>
      </c>
      <c r="K91" s="168">
        <v>18</v>
      </c>
      <c r="L91" s="168" t="s">
        <v>1262</v>
      </c>
      <c r="M91" s="169" t="str">
        <f t="shared" si="1"/>
        <v>141202</v>
      </c>
    </row>
    <row r="92" spans="1:13" x14ac:dyDescent="0.25">
      <c r="A92" s="168" t="s">
        <v>4337</v>
      </c>
      <c r="B92" s="168" t="s">
        <v>4379</v>
      </c>
      <c r="C92" s="168" t="s">
        <v>3031</v>
      </c>
      <c r="D92" s="168" t="s">
        <v>4333</v>
      </c>
      <c r="E92" s="168" t="s">
        <v>192</v>
      </c>
      <c r="F92" s="169">
        <v>1</v>
      </c>
      <c r="G92" s="168" t="s">
        <v>193</v>
      </c>
      <c r="H92" s="168" t="s">
        <v>194</v>
      </c>
      <c r="I92" s="168" t="s">
        <v>4343</v>
      </c>
      <c r="J92" s="168" t="s">
        <v>210</v>
      </c>
      <c r="K92" s="168">
        <v>18</v>
      </c>
      <c r="L92" s="168" t="s">
        <v>4380</v>
      </c>
      <c r="M92" s="169" t="str">
        <f t="shared" si="1"/>
        <v>141101</v>
      </c>
    </row>
    <row r="93" spans="1:13" x14ac:dyDescent="0.25">
      <c r="A93" s="168" t="s">
        <v>4337</v>
      </c>
      <c r="B93" s="168" t="s">
        <v>4377</v>
      </c>
      <c r="C93" s="168" t="s">
        <v>35</v>
      </c>
      <c r="D93" s="168" t="s">
        <v>4333</v>
      </c>
      <c r="E93" s="168" t="s">
        <v>192</v>
      </c>
      <c r="F93" s="169">
        <v>1</v>
      </c>
      <c r="G93" s="168" t="s">
        <v>193</v>
      </c>
      <c r="H93" s="168" t="s">
        <v>194</v>
      </c>
      <c r="I93" s="168" t="s">
        <v>4334</v>
      </c>
      <c r="J93" s="168" t="s">
        <v>210</v>
      </c>
      <c r="K93" s="168">
        <v>18</v>
      </c>
      <c r="L93" s="168" t="s">
        <v>207</v>
      </c>
      <c r="M93" s="169" t="str">
        <f t="shared" si="1"/>
        <v>122106</v>
      </c>
    </row>
    <row r="94" spans="1:13" x14ac:dyDescent="0.25">
      <c r="A94" s="168" t="s">
        <v>4337</v>
      </c>
      <c r="B94" s="168" t="s">
        <v>4376</v>
      </c>
      <c r="C94" s="168" t="s">
        <v>12</v>
      </c>
      <c r="D94" s="168" t="s">
        <v>4333</v>
      </c>
      <c r="E94" s="168" t="s">
        <v>192</v>
      </c>
      <c r="F94" s="169">
        <v>1</v>
      </c>
      <c r="G94" s="168" t="s">
        <v>193</v>
      </c>
      <c r="H94" s="168" t="s">
        <v>194</v>
      </c>
      <c r="I94" s="168" t="s">
        <v>4343</v>
      </c>
      <c r="J94" s="168" t="s">
        <v>210</v>
      </c>
      <c r="K94" s="168">
        <v>18</v>
      </c>
      <c r="L94" s="168" t="s">
        <v>220</v>
      </c>
      <c r="M94" s="169" t="str">
        <f t="shared" si="1"/>
        <v>132301</v>
      </c>
    </row>
    <row r="95" spans="1:13" x14ac:dyDescent="0.25">
      <c r="A95" s="168" t="s">
        <v>4337</v>
      </c>
      <c r="B95" s="168" t="s">
        <v>4354</v>
      </c>
      <c r="C95" s="168" t="s">
        <v>36</v>
      </c>
      <c r="D95" s="168" t="s">
        <v>4333</v>
      </c>
      <c r="E95" s="168" t="s">
        <v>192</v>
      </c>
      <c r="F95" s="169">
        <v>1</v>
      </c>
      <c r="G95" s="168" t="s">
        <v>193</v>
      </c>
      <c r="H95" s="168" t="s">
        <v>194</v>
      </c>
      <c r="I95" s="168" t="s">
        <v>4343</v>
      </c>
      <c r="J95" s="168" t="s">
        <v>210</v>
      </c>
      <c r="K95" s="168">
        <v>18</v>
      </c>
      <c r="L95" s="168" t="s">
        <v>609</v>
      </c>
      <c r="M95" s="169" t="str">
        <f t="shared" si="1"/>
        <v>331301</v>
      </c>
    </row>
    <row r="96" spans="1:13" x14ac:dyDescent="0.25">
      <c r="A96" s="168" t="s">
        <v>4337</v>
      </c>
      <c r="B96" s="168" t="s">
        <v>4338</v>
      </c>
      <c r="C96" s="168" t="s">
        <v>688</v>
      </c>
      <c r="D96" s="168" t="s">
        <v>4333</v>
      </c>
      <c r="E96" s="168" t="s">
        <v>192</v>
      </c>
      <c r="F96" s="169">
        <v>1</v>
      </c>
      <c r="G96" s="168" t="s">
        <v>193</v>
      </c>
      <c r="H96" s="168" t="s">
        <v>194</v>
      </c>
      <c r="I96" s="168" t="s">
        <v>4334</v>
      </c>
      <c r="J96" s="168" t="s">
        <v>210</v>
      </c>
      <c r="K96" s="168">
        <v>18</v>
      </c>
      <c r="L96" s="168" t="s">
        <v>689</v>
      </c>
      <c r="M96" s="169" t="str">
        <f t="shared" si="1"/>
        <v>343402</v>
      </c>
    </row>
    <row r="97" spans="1:13" x14ac:dyDescent="0.25">
      <c r="A97" s="168" t="s">
        <v>369</v>
      </c>
      <c r="B97" s="168" t="s">
        <v>4371</v>
      </c>
      <c r="C97" s="168" t="s">
        <v>1957</v>
      </c>
      <c r="D97" s="168" t="s">
        <v>4333</v>
      </c>
      <c r="E97" s="168" t="s">
        <v>192</v>
      </c>
      <c r="F97" s="169">
        <v>1</v>
      </c>
      <c r="G97" s="168" t="s">
        <v>193</v>
      </c>
      <c r="H97" s="168" t="s">
        <v>194</v>
      </c>
      <c r="I97" s="168" t="s">
        <v>4343</v>
      </c>
      <c r="J97" s="168" t="s">
        <v>210</v>
      </c>
      <c r="K97" s="168">
        <v>18</v>
      </c>
      <c r="L97" s="168" t="s">
        <v>1958</v>
      </c>
      <c r="M97" s="169" t="str">
        <f t="shared" si="1"/>
        <v>214408</v>
      </c>
    </row>
    <row r="98" spans="1:13" x14ac:dyDescent="0.25">
      <c r="A98" s="168" t="s">
        <v>369</v>
      </c>
      <c r="B98" s="168" t="s">
        <v>4365</v>
      </c>
      <c r="C98" s="168" t="s">
        <v>333</v>
      </c>
      <c r="D98" s="168" t="s">
        <v>4333</v>
      </c>
      <c r="E98" s="168" t="s">
        <v>192</v>
      </c>
      <c r="F98" s="169">
        <v>1</v>
      </c>
      <c r="G98" s="168" t="s">
        <v>193</v>
      </c>
      <c r="H98" s="168" t="s">
        <v>194</v>
      </c>
      <c r="I98" s="168" t="s">
        <v>4343</v>
      </c>
      <c r="J98" s="168" t="s">
        <v>210</v>
      </c>
      <c r="K98" s="168">
        <v>18</v>
      </c>
      <c r="L98" s="168" t="s">
        <v>334</v>
      </c>
      <c r="M98" s="169" t="str">
        <f t="shared" si="1"/>
        <v>214607</v>
      </c>
    </row>
    <row r="99" spans="1:13" x14ac:dyDescent="0.25">
      <c r="A99" s="168" t="s">
        <v>1534</v>
      </c>
      <c r="B99" s="168" t="s">
        <v>67</v>
      </c>
      <c r="C99" s="168" t="s">
        <v>67</v>
      </c>
      <c r="D99" s="168" t="s">
        <v>4333</v>
      </c>
      <c r="E99" s="168" t="s">
        <v>192</v>
      </c>
      <c r="F99" s="169">
        <v>1</v>
      </c>
      <c r="G99" s="168" t="s">
        <v>193</v>
      </c>
      <c r="H99" s="168" t="s">
        <v>194</v>
      </c>
      <c r="I99" s="168" t="s">
        <v>4334</v>
      </c>
      <c r="J99" s="168" t="s">
        <v>210</v>
      </c>
      <c r="K99" s="168">
        <v>18</v>
      </c>
      <c r="L99" s="168" t="s">
        <v>709</v>
      </c>
      <c r="M99" s="169" t="str">
        <f t="shared" si="1"/>
        <v>432103</v>
      </c>
    </row>
    <row r="100" spans="1:13" x14ac:dyDescent="0.25">
      <c r="A100" s="168" t="s">
        <v>3232</v>
      </c>
      <c r="B100" s="168" t="s">
        <v>4349</v>
      </c>
      <c r="C100" s="168" t="s">
        <v>128</v>
      </c>
      <c r="D100" s="168" t="s">
        <v>4333</v>
      </c>
      <c r="E100" s="168" t="s">
        <v>192</v>
      </c>
      <c r="F100" s="169">
        <v>1</v>
      </c>
      <c r="G100" s="168" t="s">
        <v>193</v>
      </c>
      <c r="H100" s="168" t="s">
        <v>194</v>
      </c>
      <c r="I100" s="168" t="s">
        <v>4343</v>
      </c>
      <c r="J100" s="168" t="s">
        <v>210</v>
      </c>
      <c r="K100" s="168">
        <v>18</v>
      </c>
      <c r="L100" s="168" t="s">
        <v>2084</v>
      </c>
      <c r="M100" s="169" t="str">
        <f t="shared" si="1"/>
        <v>524302</v>
      </c>
    </row>
    <row r="101" spans="1:13" x14ac:dyDescent="0.25">
      <c r="A101" s="168" t="s">
        <v>4393</v>
      </c>
      <c r="B101" s="168" t="s">
        <v>537</v>
      </c>
      <c r="C101" s="168" t="s">
        <v>778</v>
      </c>
      <c r="D101" s="168" t="s">
        <v>4333</v>
      </c>
      <c r="E101" s="168" t="s">
        <v>192</v>
      </c>
      <c r="F101" s="169">
        <v>1</v>
      </c>
      <c r="G101" s="168" t="s">
        <v>193</v>
      </c>
      <c r="H101" s="168" t="s">
        <v>194</v>
      </c>
      <c r="I101" s="168" t="s">
        <v>4334</v>
      </c>
      <c r="J101" s="168" t="s">
        <v>408</v>
      </c>
      <c r="K101" s="168">
        <v>18</v>
      </c>
      <c r="L101" s="168" t="s">
        <v>779</v>
      </c>
      <c r="M101" s="169" t="str">
        <f t="shared" si="1"/>
        <v>524902</v>
      </c>
    </row>
    <row r="102" spans="1:13" x14ac:dyDescent="0.25">
      <c r="A102" s="168" t="s">
        <v>4387</v>
      </c>
      <c r="B102" s="168" t="s">
        <v>4388</v>
      </c>
      <c r="C102" s="168" t="s">
        <v>1347</v>
      </c>
      <c r="D102" s="168" t="s">
        <v>4333</v>
      </c>
      <c r="E102" s="168" t="s">
        <v>192</v>
      </c>
      <c r="F102" s="169">
        <v>1</v>
      </c>
      <c r="G102" s="168" t="s">
        <v>193</v>
      </c>
      <c r="H102" s="168" t="s">
        <v>194</v>
      </c>
      <c r="I102" s="168" t="s">
        <v>4334</v>
      </c>
      <c r="J102" s="168" t="s">
        <v>210</v>
      </c>
      <c r="K102" s="168">
        <v>18</v>
      </c>
      <c r="L102" s="168" t="s">
        <v>1349</v>
      </c>
      <c r="M102" s="169" t="str">
        <f t="shared" si="1"/>
        <v>514101</v>
      </c>
    </row>
    <row r="103" spans="1:13" x14ac:dyDescent="0.25">
      <c r="A103" s="168" t="s">
        <v>406</v>
      </c>
      <c r="B103" s="168" t="s">
        <v>4342</v>
      </c>
      <c r="C103" s="168" t="s">
        <v>9</v>
      </c>
      <c r="D103" s="168" t="s">
        <v>4333</v>
      </c>
      <c r="E103" s="168" t="s">
        <v>192</v>
      </c>
      <c r="F103" s="169">
        <v>1</v>
      </c>
      <c r="G103" s="168" t="s">
        <v>193</v>
      </c>
      <c r="H103" s="168" t="s">
        <v>194</v>
      </c>
      <c r="I103" s="168" t="s">
        <v>4343</v>
      </c>
      <c r="J103" s="168" t="s">
        <v>1059</v>
      </c>
      <c r="K103" s="168">
        <v>18</v>
      </c>
      <c r="L103" s="168" t="s">
        <v>405</v>
      </c>
      <c r="M103" s="169" t="str">
        <f t="shared" si="1"/>
        <v>241304</v>
      </c>
    </row>
    <row r="104" spans="1:13" x14ac:dyDescent="0.25">
      <c r="A104" s="168" t="s">
        <v>4367</v>
      </c>
      <c r="B104" s="168" t="s">
        <v>4368</v>
      </c>
      <c r="C104" s="168" t="s">
        <v>4369</v>
      </c>
      <c r="D104" s="168" t="s">
        <v>4333</v>
      </c>
      <c r="E104" s="168" t="s">
        <v>192</v>
      </c>
      <c r="F104" s="169">
        <v>1</v>
      </c>
      <c r="G104" s="168" t="s">
        <v>193</v>
      </c>
      <c r="H104" s="168" t="s">
        <v>194</v>
      </c>
      <c r="I104" s="168" t="s">
        <v>4343</v>
      </c>
      <c r="J104" s="168" t="s">
        <v>276</v>
      </c>
      <c r="K104" s="168">
        <v>18</v>
      </c>
      <c r="L104" s="168" t="s">
        <v>4370</v>
      </c>
      <c r="M104" s="169" t="str">
        <f t="shared" si="1"/>
        <v>312302</v>
      </c>
    </row>
    <row r="105" spans="1:13" x14ac:dyDescent="0.25">
      <c r="A105" s="168" t="s">
        <v>282</v>
      </c>
      <c r="B105" s="168" t="s">
        <v>283</v>
      </c>
      <c r="C105" s="168" t="s">
        <v>284</v>
      </c>
      <c r="D105" s="168" t="s">
        <v>191</v>
      </c>
      <c r="E105" s="168" t="s">
        <v>192</v>
      </c>
      <c r="F105" s="169">
        <v>1</v>
      </c>
      <c r="G105" s="168" t="s">
        <v>193</v>
      </c>
      <c r="H105" s="168" t="s">
        <v>194</v>
      </c>
      <c r="I105" s="168" t="s">
        <v>195</v>
      </c>
      <c r="J105" s="168" t="s">
        <v>285</v>
      </c>
      <c r="K105" s="168">
        <v>18</v>
      </c>
      <c r="L105" s="168" t="s">
        <v>286</v>
      </c>
      <c r="M105" s="169" t="str">
        <f t="shared" si="1"/>
        <v>214109</v>
      </c>
    </row>
    <row r="106" spans="1:13" x14ac:dyDescent="0.25">
      <c r="A106" s="168" t="s">
        <v>820</v>
      </c>
      <c r="B106" s="168" t="s">
        <v>821</v>
      </c>
      <c r="C106" s="168" t="s">
        <v>822</v>
      </c>
      <c r="D106" s="168" t="s">
        <v>191</v>
      </c>
      <c r="E106" s="168" t="s">
        <v>192</v>
      </c>
      <c r="F106" s="169">
        <v>1</v>
      </c>
      <c r="G106" s="168" t="s">
        <v>193</v>
      </c>
      <c r="H106" s="168" t="s">
        <v>194</v>
      </c>
      <c r="I106" s="168" t="s">
        <v>195</v>
      </c>
      <c r="J106" s="168" t="s">
        <v>276</v>
      </c>
      <c r="K106" s="168">
        <v>18</v>
      </c>
      <c r="L106" s="168" t="s">
        <v>823</v>
      </c>
      <c r="M106" s="169" t="str">
        <f t="shared" si="1"/>
        <v>741103</v>
      </c>
    </row>
    <row r="107" spans="1:13" x14ac:dyDescent="0.25">
      <c r="A107" s="168" t="s">
        <v>482</v>
      </c>
      <c r="B107" s="168" t="s">
        <v>483</v>
      </c>
      <c r="C107" s="168" t="s">
        <v>10</v>
      </c>
      <c r="D107" s="168" t="s">
        <v>191</v>
      </c>
      <c r="E107" s="168" t="s">
        <v>192</v>
      </c>
      <c r="F107" s="169">
        <v>1</v>
      </c>
      <c r="G107" s="168" t="s">
        <v>193</v>
      </c>
      <c r="H107" s="168" t="s">
        <v>194</v>
      </c>
      <c r="I107" s="168" t="s">
        <v>195</v>
      </c>
      <c r="J107" s="168" t="s">
        <v>210</v>
      </c>
      <c r="K107" s="168">
        <v>18</v>
      </c>
      <c r="L107" s="168" t="s">
        <v>484</v>
      </c>
      <c r="M107" s="169" t="str">
        <f t="shared" si="1"/>
        <v>251401</v>
      </c>
    </row>
    <row r="108" spans="1:13" x14ac:dyDescent="0.25">
      <c r="A108" s="168" t="s">
        <v>708</v>
      </c>
      <c r="B108" s="168" t="s">
        <v>67</v>
      </c>
      <c r="C108" s="168" t="s">
        <v>67</v>
      </c>
      <c r="D108" s="168" t="s">
        <v>191</v>
      </c>
      <c r="E108" s="168" t="s">
        <v>192</v>
      </c>
      <c r="F108" s="169">
        <v>2</v>
      </c>
      <c r="G108" s="168" t="s">
        <v>193</v>
      </c>
      <c r="H108" s="168" t="s">
        <v>194</v>
      </c>
      <c r="I108" s="168" t="s">
        <v>195</v>
      </c>
      <c r="J108" s="168" t="s">
        <v>210</v>
      </c>
      <c r="K108" s="168">
        <v>18</v>
      </c>
      <c r="L108" s="168" t="s">
        <v>709</v>
      </c>
      <c r="M108" s="169" t="str">
        <f t="shared" si="1"/>
        <v>432103</v>
      </c>
    </row>
    <row r="109" spans="1:13" x14ac:dyDescent="0.25">
      <c r="A109" s="168" t="s">
        <v>471</v>
      </c>
      <c r="B109" s="168" t="s">
        <v>472</v>
      </c>
      <c r="C109" s="168" t="s">
        <v>80</v>
      </c>
      <c r="D109" s="168" t="s">
        <v>191</v>
      </c>
      <c r="E109" s="168" t="s">
        <v>192</v>
      </c>
      <c r="F109" s="169">
        <v>1</v>
      </c>
      <c r="G109" s="168" t="s">
        <v>193</v>
      </c>
      <c r="H109" s="168" t="s">
        <v>194</v>
      </c>
      <c r="I109" s="168" t="s">
        <v>195</v>
      </c>
      <c r="J109" s="168" t="s">
        <v>473</v>
      </c>
      <c r="K109" s="168">
        <v>18</v>
      </c>
      <c r="L109" s="168" t="s">
        <v>474</v>
      </c>
      <c r="M109" s="169" t="str">
        <f t="shared" si="1"/>
        <v>243304</v>
      </c>
    </row>
    <row r="110" spans="1:13" x14ac:dyDescent="0.25">
      <c r="A110" s="168" t="s">
        <v>471</v>
      </c>
      <c r="B110" s="168" t="s">
        <v>696</v>
      </c>
      <c r="C110" s="168" t="s">
        <v>163</v>
      </c>
      <c r="D110" s="168" t="s">
        <v>191</v>
      </c>
      <c r="E110" s="168" t="s">
        <v>192</v>
      </c>
      <c r="F110" s="169">
        <v>1</v>
      </c>
      <c r="G110" s="168" t="s">
        <v>193</v>
      </c>
      <c r="H110" s="168" t="s">
        <v>194</v>
      </c>
      <c r="I110" s="168" t="s">
        <v>195</v>
      </c>
      <c r="J110" s="168" t="s">
        <v>473</v>
      </c>
      <c r="K110" s="168">
        <v>18</v>
      </c>
      <c r="L110" s="168" t="s">
        <v>697</v>
      </c>
      <c r="M110" s="169" t="str">
        <f t="shared" si="1"/>
        <v>351203</v>
      </c>
    </row>
    <row r="111" spans="1:13" x14ac:dyDescent="0.25">
      <c r="A111" s="168" t="s">
        <v>523</v>
      </c>
      <c r="B111" s="168" t="s">
        <v>524</v>
      </c>
      <c r="C111" s="168" t="s">
        <v>525</v>
      </c>
      <c r="D111" s="168" t="s">
        <v>191</v>
      </c>
      <c r="E111" s="168" t="s">
        <v>192</v>
      </c>
      <c r="F111" s="169">
        <v>1</v>
      </c>
      <c r="G111" s="168" t="s">
        <v>193</v>
      </c>
      <c r="H111" s="168" t="s">
        <v>194</v>
      </c>
      <c r="I111" s="168" t="s">
        <v>201</v>
      </c>
      <c r="J111" s="168" t="s">
        <v>210</v>
      </c>
      <c r="K111" s="168">
        <v>18</v>
      </c>
      <c r="L111" s="168" t="s">
        <v>526</v>
      </c>
      <c r="M111" s="169" t="str">
        <f t="shared" si="1"/>
        <v>263102</v>
      </c>
    </row>
    <row r="112" spans="1:13" x14ac:dyDescent="0.25">
      <c r="A112" s="168" t="s">
        <v>218</v>
      </c>
      <c r="B112" s="168" t="s">
        <v>219</v>
      </c>
      <c r="C112" s="168" t="s">
        <v>12</v>
      </c>
      <c r="D112" s="168" t="s">
        <v>191</v>
      </c>
      <c r="E112" s="168" t="s">
        <v>192</v>
      </c>
      <c r="F112" s="169">
        <v>1</v>
      </c>
      <c r="G112" s="168" t="s">
        <v>193</v>
      </c>
      <c r="H112" s="168" t="s">
        <v>194</v>
      </c>
      <c r="I112" s="168" t="s">
        <v>201</v>
      </c>
      <c r="J112" s="168" t="s">
        <v>196</v>
      </c>
      <c r="K112" s="168">
        <v>18</v>
      </c>
      <c r="L112" s="168" t="s">
        <v>220</v>
      </c>
      <c r="M112" s="169" t="str">
        <f t="shared" si="1"/>
        <v>132301</v>
      </c>
    </row>
    <row r="113" spans="1:13" x14ac:dyDescent="0.25">
      <c r="A113" s="168" t="s">
        <v>235</v>
      </c>
      <c r="B113" s="168" t="s">
        <v>236</v>
      </c>
      <c r="C113" s="168" t="s">
        <v>237</v>
      </c>
      <c r="D113" s="168" t="s">
        <v>191</v>
      </c>
      <c r="E113" s="168" t="s">
        <v>192</v>
      </c>
      <c r="F113" s="169">
        <v>1</v>
      </c>
      <c r="G113" s="168" t="s">
        <v>193</v>
      </c>
      <c r="H113" s="168" t="s">
        <v>194</v>
      </c>
      <c r="I113" s="168" t="s">
        <v>195</v>
      </c>
      <c r="J113" s="168" t="s">
        <v>238</v>
      </c>
      <c r="K113" s="168">
        <v>18</v>
      </c>
      <c r="L113" s="168" t="s">
        <v>239</v>
      </c>
      <c r="M113" s="169" t="str">
        <f t="shared" si="1"/>
        <v>132404</v>
      </c>
    </row>
    <row r="114" spans="1:13" x14ac:dyDescent="0.25">
      <c r="A114" s="168" t="s">
        <v>298</v>
      </c>
      <c r="B114" s="168" t="s">
        <v>299</v>
      </c>
      <c r="C114" s="168" t="s">
        <v>300</v>
      </c>
      <c r="D114" s="168" t="s">
        <v>191</v>
      </c>
      <c r="E114" s="168" t="s">
        <v>192</v>
      </c>
      <c r="F114" s="169">
        <v>1</v>
      </c>
      <c r="G114" s="168" t="s">
        <v>193</v>
      </c>
      <c r="H114" s="168" t="s">
        <v>194</v>
      </c>
      <c r="I114" s="168" t="s">
        <v>201</v>
      </c>
      <c r="J114" s="168" t="s">
        <v>301</v>
      </c>
      <c r="K114" s="168">
        <v>18</v>
      </c>
      <c r="L114" s="168" t="s">
        <v>302</v>
      </c>
      <c r="M114" s="169" t="str">
        <f t="shared" si="1"/>
        <v>214402</v>
      </c>
    </row>
    <row r="115" spans="1:13" x14ac:dyDescent="0.25">
      <c r="A115" s="168" t="s">
        <v>572</v>
      </c>
      <c r="B115" s="168" t="s">
        <v>573</v>
      </c>
      <c r="C115" s="168" t="s">
        <v>574</v>
      </c>
      <c r="D115" s="168" t="s">
        <v>191</v>
      </c>
      <c r="E115" s="168" t="s">
        <v>192</v>
      </c>
      <c r="F115" s="169">
        <v>1</v>
      </c>
      <c r="G115" s="168" t="s">
        <v>193</v>
      </c>
      <c r="H115" s="168" t="s">
        <v>194</v>
      </c>
      <c r="I115" s="168" t="s">
        <v>195</v>
      </c>
      <c r="J115" s="168" t="s">
        <v>575</v>
      </c>
      <c r="K115" s="168">
        <v>18</v>
      </c>
      <c r="L115" s="168" t="s">
        <v>576</v>
      </c>
      <c r="M115" s="169" t="str">
        <f t="shared" si="1"/>
        <v>311509</v>
      </c>
    </row>
    <row r="116" spans="1:13" x14ac:dyDescent="0.25">
      <c r="A116" s="168" t="s">
        <v>572</v>
      </c>
      <c r="B116" s="168" t="s">
        <v>573</v>
      </c>
      <c r="C116" s="168" t="s">
        <v>29</v>
      </c>
      <c r="D116" s="168" t="s">
        <v>191</v>
      </c>
      <c r="E116" s="168" t="s">
        <v>192</v>
      </c>
      <c r="F116" s="169">
        <v>1</v>
      </c>
      <c r="G116" s="168" t="s">
        <v>193</v>
      </c>
      <c r="H116" s="168" t="s">
        <v>194</v>
      </c>
      <c r="I116" s="168" t="s">
        <v>201</v>
      </c>
      <c r="J116" s="168" t="s">
        <v>385</v>
      </c>
      <c r="K116" s="168">
        <v>18</v>
      </c>
      <c r="L116" s="168" t="s">
        <v>808</v>
      </c>
      <c r="M116" s="169" t="str">
        <f t="shared" si="1"/>
        <v>722308</v>
      </c>
    </row>
    <row r="117" spans="1:13" x14ac:dyDescent="0.25">
      <c r="A117" s="168" t="s">
        <v>558</v>
      </c>
      <c r="B117" s="168" t="s">
        <v>559</v>
      </c>
      <c r="C117" s="168" t="s">
        <v>560</v>
      </c>
      <c r="D117" s="168" t="s">
        <v>191</v>
      </c>
      <c r="E117" s="168" t="s">
        <v>192</v>
      </c>
      <c r="F117" s="169">
        <v>1</v>
      </c>
      <c r="G117" s="168" t="s">
        <v>193</v>
      </c>
      <c r="H117" s="168" t="s">
        <v>194</v>
      </c>
      <c r="I117" s="168" t="s">
        <v>195</v>
      </c>
      <c r="J117" s="168" t="s">
        <v>210</v>
      </c>
      <c r="K117" s="168">
        <v>18</v>
      </c>
      <c r="L117" s="168" t="s">
        <v>561</v>
      </c>
      <c r="M117" s="169" t="str">
        <f t="shared" si="1"/>
        <v>311408</v>
      </c>
    </row>
    <row r="118" spans="1:13" x14ac:dyDescent="0.25">
      <c r="A118" s="168" t="s">
        <v>394</v>
      </c>
      <c r="B118" s="168" t="s">
        <v>395</v>
      </c>
      <c r="C118" s="168" t="s">
        <v>396</v>
      </c>
      <c r="D118" s="168" t="s">
        <v>191</v>
      </c>
      <c r="E118" s="168" t="s">
        <v>192</v>
      </c>
      <c r="F118" s="169">
        <v>1</v>
      </c>
      <c r="G118" s="168" t="s">
        <v>193</v>
      </c>
      <c r="H118" s="168" t="s">
        <v>194</v>
      </c>
      <c r="I118" s="168" t="s">
        <v>195</v>
      </c>
      <c r="J118" s="168" t="s">
        <v>210</v>
      </c>
      <c r="K118" s="168">
        <v>18</v>
      </c>
      <c r="L118" s="168" t="s">
        <v>397</v>
      </c>
      <c r="M118" s="169" t="str">
        <f t="shared" si="1"/>
        <v>235301</v>
      </c>
    </row>
    <row r="119" spans="1:13" x14ac:dyDescent="0.25">
      <c r="A119" s="168" t="s">
        <v>403</v>
      </c>
      <c r="B119" s="168" t="s">
        <v>404</v>
      </c>
      <c r="C119" s="168" t="s">
        <v>9</v>
      </c>
      <c r="D119" s="168" t="s">
        <v>191</v>
      </c>
      <c r="E119" s="168" t="s">
        <v>192</v>
      </c>
      <c r="F119" s="169">
        <v>1</v>
      </c>
      <c r="G119" s="168" t="s">
        <v>193</v>
      </c>
      <c r="H119" s="168" t="s">
        <v>194</v>
      </c>
      <c r="I119" s="168" t="s">
        <v>195</v>
      </c>
      <c r="J119" s="168" t="s">
        <v>210</v>
      </c>
      <c r="K119" s="168">
        <v>18</v>
      </c>
      <c r="L119" s="168" t="s">
        <v>405</v>
      </c>
      <c r="M119" s="169" t="str">
        <f t="shared" si="1"/>
        <v>241304</v>
      </c>
    </row>
    <row r="120" spans="1:13" x14ac:dyDescent="0.25">
      <c r="A120" s="168" t="s">
        <v>592</v>
      </c>
      <c r="B120" s="168" t="s">
        <v>593</v>
      </c>
      <c r="C120" s="168" t="s">
        <v>594</v>
      </c>
      <c r="D120" s="168" t="s">
        <v>191</v>
      </c>
      <c r="E120" s="168" t="s">
        <v>192</v>
      </c>
      <c r="F120" s="169">
        <v>1</v>
      </c>
      <c r="G120" s="168" t="s">
        <v>193</v>
      </c>
      <c r="H120" s="168" t="s">
        <v>194</v>
      </c>
      <c r="I120" s="168" t="s">
        <v>195</v>
      </c>
      <c r="J120" s="168" t="s">
        <v>196</v>
      </c>
      <c r="K120" s="168">
        <v>18</v>
      </c>
      <c r="L120" s="168" t="s">
        <v>595</v>
      </c>
      <c r="M120" s="169" t="str">
        <f t="shared" si="1"/>
        <v>312209</v>
      </c>
    </row>
    <row r="121" spans="1:13" x14ac:dyDescent="0.25">
      <c r="A121" s="168" t="s">
        <v>690</v>
      </c>
      <c r="B121" s="168" t="s">
        <v>691</v>
      </c>
      <c r="C121" s="168" t="s">
        <v>692</v>
      </c>
      <c r="D121" s="168" t="s">
        <v>191</v>
      </c>
      <c r="E121" s="168" t="s">
        <v>192</v>
      </c>
      <c r="F121" s="169">
        <v>1</v>
      </c>
      <c r="G121" s="168" t="s">
        <v>193</v>
      </c>
      <c r="H121" s="168" t="s">
        <v>194</v>
      </c>
      <c r="I121" s="168" t="s">
        <v>201</v>
      </c>
      <c r="J121" s="168" t="s">
        <v>253</v>
      </c>
      <c r="K121" s="168">
        <v>18</v>
      </c>
      <c r="L121" s="168" t="s">
        <v>693</v>
      </c>
      <c r="M121" s="169" t="str">
        <f t="shared" si="1"/>
        <v>351103</v>
      </c>
    </row>
    <row r="122" spans="1:13" x14ac:dyDescent="0.25">
      <c r="A122" s="168" t="s">
        <v>710</v>
      </c>
      <c r="B122" s="168" t="s">
        <v>67</v>
      </c>
      <c r="C122" s="168" t="s">
        <v>67</v>
      </c>
      <c r="D122" s="168" t="s">
        <v>191</v>
      </c>
      <c r="E122" s="168" t="s">
        <v>192</v>
      </c>
      <c r="F122" s="169">
        <v>1</v>
      </c>
      <c r="G122" s="168" t="s">
        <v>193</v>
      </c>
      <c r="H122" s="168" t="s">
        <v>194</v>
      </c>
      <c r="I122" s="168" t="s">
        <v>195</v>
      </c>
      <c r="J122" s="168" t="s">
        <v>608</v>
      </c>
      <c r="K122" s="168">
        <v>18</v>
      </c>
      <c r="L122" s="168" t="s">
        <v>709</v>
      </c>
      <c r="M122" s="169" t="str">
        <f t="shared" si="1"/>
        <v>432103</v>
      </c>
    </row>
    <row r="123" spans="1:13" x14ac:dyDescent="0.25">
      <c r="A123" s="168" t="s">
        <v>527</v>
      </c>
      <c r="B123" s="168" t="s">
        <v>528</v>
      </c>
      <c r="C123" s="168" t="s">
        <v>525</v>
      </c>
      <c r="D123" s="168" t="s">
        <v>191</v>
      </c>
      <c r="E123" s="168" t="s">
        <v>192</v>
      </c>
      <c r="F123" s="169">
        <v>1</v>
      </c>
      <c r="G123" s="168" t="s">
        <v>193</v>
      </c>
      <c r="H123" s="168" t="s">
        <v>194</v>
      </c>
      <c r="I123" s="168" t="s">
        <v>195</v>
      </c>
      <c r="J123" s="168" t="s">
        <v>367</v>
      </c>
      <c r="K123" s="168">
        <v>18</v>
      </c>
      <c r="L123" s="168" t="s">
        <v>526</v>
      </c>
      <c r="M123" s="169" t="str">
        <f t="shared" si="1"/>
        <v>263102</v>
      </c>
    </row>
    <row r="124" spans="1:13" x14ac:dyDescent="0.25">
      <c r="A124" s="168" t="s">
        <v>527</v>
      </c>
      <c r="B124" s="168" t="s">
        <v>865</v>
      </c>
      <c r="C124" s="168" t="s">
        <v>866</v>
      </c>
      <c r="D124" s="168" t="s">
        <v>191</v>
      </c>
      <c r="E124" s="168" t="s">
        <v>192</v>
      </c>
      <c r="F124" s="169">
        <v>1</v>
      </c>
      <c r="G124" s="168" t="s">
        <v>193</v>
      </c>
      <c r="H124" s="168" t="s">
        <v>194</v>
      </c>
      <c r="I124" s="168" t="s">
        <v>195</v>
      </c>
      <c r="J124" s="168" t="s">
        <v>367</v>
      </c>
      <c r="K124" s="168">
        <v>18</v>
      </c>
      <c r="L124" s="168" t="s">
        <v>867</v>
      </c>
      <c r="M124" s="169" t="str">
        <f t="shared" si="1"/>
        <v>821902</v>
      </c>
    </row>
    <row r="125" spans="1:13" x14ac:dyDescent="0.25">
      <c r="A125" s="168" t="s">
        <v>527</v>
      </c>
      <c r="B125" s="168" t="s">
        <v>660</v>
      </c>
      <c r="C125" s="168" t="s">
        <v>148</v>
      </c>
      <c r="D125" s="168" t="s">
        <v>191</v>
      </c>
      <c r="E125" s="168" t="s">
        <v>192</v>
      </c>
      <c r="F125" s="169">
        <v>1</v>
      </c>
      <c r="G125" s="168" t="s">
        <v>193</v>
      </c>
      <c r="H125" s="168" t="s">
        <v>194</v>
      </c>
      <c r="I125" s="168" t="s">
        <v>195</v>
      </c>
      <c r="J125" s="168" t="s">
        <v>367</v>
      </c>
      <c r="K125" s="168">
        <v>18</v>
      </c>
      <c r="L125" s="168" t="s">
        <v>661</v>
      </c>
      <c r="M125" s="169" t="str">
        <f t="shared" si="1"/>
        <v>333104</v>
      </c>
    </row>
    <row r="126" spans="1:13" x14ac:dyDescent="0.25">
      <c r="A126" s="168" t="s">
        <v>254</v>
      </c>
      <c r="B126" s="168" t="s">
        <v>739</v>
      </c>
      <c r="C126" s="168" t="s">
        <v>740</v>
      </c>
      <c r="D126" s="168" t="s">
        <v>191</v>
      </c>
      <c r="E126" s="168" t="s">
        <v>192</v>
      </c>
      <c r="F126" s="169">
        <v>5</v>
      </c>
      <c r="G126" s="168" t="s">
        <v>193</v>
      </c>
      <c r="H126" s="168" t="s">
        <v>194</v>
      </c>
      <c r="I126" s="168" t="s">
        <v>195</v>
      </c>
      <c r="J126" s="168" t="s">
        <v>385</v>
      </c>
      <c r="K126" s="168">
        <v>18</v>
      </c>
      <c r="L126" s="168" t="s">
        <v>741</v>
      </c>
      <c r="M126" s="169" t="str">
        <f t="shared" si="1"/>
        <v>522301</v>
      </c>
    </row>
    <row r="127" spans="1:13" x14ac:dyDescent="0.25">
      <c r="A127" s="168" t="s">
        <v>742</v>
      </c>
      <c r="B127" s="168" t="s">
        <v>743</v>
      </c>
      <c r="C127" s="168" t="s">
        <v>740</v>
      </c>
      <c r="D127" s="168" t="s">
        <v>191</v>
      </c>
      <c r="E127" s="168" t="s">
        <v>192</v>
      </c>
      <c r="F127" s="169">
        <v>1</v>
      </c>
      <c r="G127" s="168" t="s">
        <v>193</v>
      </c>
      <c r="H127" s="168" t="s">
        <v>194</v>
      </c>
      <c r="I127" s="168" t="s">
        <v>195</v>
      </c>
      <c r="J127" s="168" t="s">
        <v>316</v>
      </c>
      <c r="K127" s="168">
        <v>18</v>
      </c>
      <c r="L127" s="168" t="s">
        <v>741</v>
      </c>
      <c r="M127" s="169" t="str">
        <f t="shared" si="1"/>
        <v>522301</v>
      </c>
    </row>
    <row r="128" spans="1:13" x14ac:dyDescent="0.25">
      <c r="A128" s="168" t="s">
        <v>446</v>
      </c>
      <c r="B128" s="168" t="s">
        <v>447</v>
      </c>
      <c r="C128" s="168" t="s">
        <v>448</v>
      </c>
      <c r="D128" s="168" t="s">
        <v>191</v>
      </c>
      <c r="E128" s="168" t="s">
        <v>192</v>
      </c>
      <c r="F128" s="169">
        <v>1</v>
      </c>
      <c r="G128" s="168" t="s">
        <v>193</v>
      </c>
      <c r="H128" s="168" t="s">
        <v>194</v>
      </c>
      <c r="I128" s="168" t="s">
        <v>201</v>
      </c>
      <c r="J128" s="168" t="s">
        <v>210</v>
      </c>
      <c r="K128" s="168">
        <v>18</v>
      </c>
      <c r="L128" s="168" t="s">
        <v>449</v>
      </c>
      <c r="M128" s="169" t="str">
        <f t="shared" si="1"/>
        <v>243104</v>
      </c>
    </row>
    <row r="129" spans="1:13" x14ac:dyDescent="0.25">
      <c r="A129" s="168" t="s">
        <v>446</v>
      </c>
      <c r="B129" s="168" t="s">
        <v>744</v>
      </c>
      <c r="C129" s="168" t="s">
        <v>740</v>
      </c>
      <c r="D129" s="168" t="s">
        <v>191</v>
      </c>
      <c r="E129" s="168" t="s">
        <v>192</v>
      </c>
      <c r="F129" s="169">
        <v>1</v>
      </c>
      <c r="G129" s="168" t="s">
        <v>193</v>
      </c>
      <c r="H129" s="168" t="s">
        <v>194</v>
      </c>
      <c r="I129" s="168" t="s">
        <v>195</v>
      </c>
      <c r="J129" s="168" t="s">
        <v>745</v>
      </c>
      <c r="K129" s="168">
        <v>18</v>
      </c>
      <c r="L129" s="168" t="s">
        <v>741</v>
      </c>
      <c r="M129" s="169" t="str">
        <f t="shared" si="1"/>
        <v>522301</v>
      </c>
    </row>
    <row r="130" spans="1:13" x14ac:dyDescent="0.25">
      <c r="A130" s="168" t="s">
        <v>205</v>
      </c>
      <c r="B130" s="168" t="s">
        <v>206</v>
      </c>
      <c r="C130" s="168" t="s">
        <v>35</v>
      </c>
      <c r="D130" s="168" t="s">
        <v>191</v>
      </c>
      <c r="E130" s="168" t="s">
        <v>192</v>
      </c>
      <c r="F130" s="169">
        <v>1</v>
      </c>
      <c r="G130" s="168" t="s">
        <v>193</v>
      </c>
      <c r="H130" s="168" t="s">
        <v>194</v>
      </c>
      <c r="I130" s="168" t="s">
        <v>201</v>
      </c>
      <c r="J130" s="168" t="s">
        <v>196</v>
      </c>
      <c r="K130" s="168">
        <v>18</v>
      </c>
      <c r="L130" s="168" t="s">
        <v>207</v>
      </c>
      <c r="M130" s="169" t="str">
        <f t="shared" si="1"/>
        <v>122106</v>
      </c>
    </row>
    <row r="131" spans="1:13" x14ac:dyDescent="0.25">
      <c r="A131" s="168" t="s">
        <v>622</v>
      </c>
      <c r="B131" s="168" t="s">
        <v>623</v>
      </c>
      <c r="C131" s="168" t="s">
        <v>17</v>
      </c>
      <c r="D131" s="168" t="s">
        <v>191</v>
      </c>
      <c r="E131" s="168" t="s">
        <v>192</v>
      </c>
      <c r="F131" s="169">
        <v>1</v>
      </c>
      <c r="G131" s="168" t="s">
        <v>193</v>
      </c>
      <c r="H131" s="168" t="s">
        <v>194</v>
      </c>
      <c r="I131" s="168" t="s">
        <v>195</v>
      </c>
      <c r="J131" s="168" t="s">
        <v>399</v>
      </c>
      <c r="K131" s="168">
        <v>18</v>
      </c>
      <c r="L131" s="168" t="s">
        <v>624</v>
      </c>
      <c r="M131" s="169" t="str">
        <f t="shared" ref="M131:M194" si="2">MID(L131,8,6)</f>
        <v>332203</v>
      </c>
    </row>
    <row r="132" spans="1:13" x14ac:dyDescent="0.25">
      <c r="A132" s="168" t="s">
        <v>711</v>
      </c>
      <c r="B132" s="168" t="s">
        <v>67</v>
      </c>
      <c r="C132" s="168" t="s">
        <v>67</v>
      </c>
      <c r="D132" s="168" t="s">
        <v>191</v>
      </c>
      <c r="E132" s="168" t="s">
        <v>192</v>
      </c>
      <c r="F132" s="169">
        <v>1</v>
      </c>
      <c r="G132" s="168" t="s">
        <v>193</v>
      </c>
      <c r="H132" s="168" t="s">
        <v>194</v>
      </c>
      <c r="I132" s="168" t="s">
        <v>195</v>
      </c>
      <c r="J132" s="168" t="s">
        <v>196</v>
      </c>
      <c r="K132" s="168">
        <v>18</v>
      </c>
      <c r="L132" s="168" t="s">
        <v>709</v>
      </c>
      <c r="M132" s="169" t="str">
        <f t="shared" si="2"/>
        <v>432103</v>
      </c>
    </row>
    <row r="133" spans="1:13" x14ac:dyDescent="0.25">
      <c r="A133" s="168" t="s">
        <v>711</v>
      </c>
      <c r="B133" s="168" t="s">
        <v>803</v>
      </c>
      <c r="C133" s="168" t="s">
        <v>806</v>
      </c>
      <c r="D133" s="168" t="s">
        <v>191</v>
      </c>
      <c r="E133" s="168" t="s">
        <v>192</v>
      </c>
      <c r="F133" s="169">
        <v>1</v>
      </c>
      <c r="G133" s="168" t="s">
        <v>193</v>
      </c>
      <c r="H133" s="168" t="s">
        <v>194</v>
      </c>
      <c r="I133" s="168" t="s">
        <v>195</v>
      </c>
      <c r="J133" s="168" t="s">
        <v>276</v>
      </c>
      <c r="K133" s="168">
        <v>18</v>
      </c>
      <c r="L133" s="168" t="s">
        <v>807</v>
      </c>
      <c r="M133" s="169" t="str">
        <f t="shared" si="2"/>
        <v>722303</v>
      </c>
    </row>
    <row r="134" spans="1:13" x14ac:dyDescent="0.25">
      <c r="A134" s="168" t="s">
        <v>670</v>
      </c>
      <c r="B134" s="168" t="s">
        <v>671</v>
      </c>
      <c r="C134" s="168" t="s">
        <v>133</v>
      </c>
      <c r="D134" s="168" t="s">
        <v>191</v>
      </c>
      <c r="E134" s="168" t="s">
        <v>192</v>
      </c>
      <c r="F134" s="169">
        <v>1</v>
      </c>
      <c r="G134" s="168" t="s">
        <v>193</v>
      </c>
      <c r="H134" s="168" t="s">
        <v>194</v>
      </c>
      <c r="I134" s="168" t="s">
        <v>195</v>
      </c>
      <c r="J134" s="168" t="s">
        <v>672</v>
      </c>
      <c r="K134" s="168">
        <v>18</v>
      </c>
      <c r="L134" s="168" t="s">
        <v>673</v>
      </c>
      <c r="M134" s="169" t="str">
        <f t="shared" si="2"/>
        <v>333107</v>
      </c>
    </row>
    <row r="135" spans="1:13" x14ac:dyDescent="0.25">
      <c r="A135" s="168" t="s">
        <v>540</v>
      </c>
      <c r="B135" s="168" t="s">
        <v>541</v>
      </c>
      <c r="C135" s="168" t="s">
        <v>542</v>
      </c>
      <c r="D135" s="168" t="s">
        <v>191</v>
      </c>
      <c r="E135" s="168" t="s">
        <v>252</v>
      </c>
      <c r="F135" s="169">
        <v>1</v>
      </c>
      <c r="G135" s="168" t="s">
        <v>193</v>
      </c>
      <c r="H135" s="168" t="s">
        <v>194</v>
      </c>
      <c r="I135" s="168" t="s">
        <v>195</v>
      </c>
      <c r="J135" s="168" t="s">
        <v>210</v>
      </c>
      <c r="K135" s="168">
        <v>18</v>
      </c>
      <c r="L135" s="168" t="s">
        <v>543</v>
      </c>
      <c r="M135" s="169" t="str">
        <f t="shared" si="2"/>
        <v>264304</v>
      </c>
    </row>
    <row r="136" spans="1:13" x14ac:dyDescent="0.25">
      <c r="A136" s="168" t="s">
        <v>244</v>
      </c>
      <c r="B136" s="168" t="s">
        <v>746</v>
      </c>
      <c r="C136" s="168" t="s">
        <v>740</v>
      </c>
      <c r="D136" s="168" t="s">
        <v>191</v>
      </c>
      <c r="E136" s="168" t="s">
        <v>192</v>
      </c>
      <c r="F136" s="169">
        <v>1</v>
      </c>
      <c r="G136" s="168" t="s">
        <v>193</v>
      </c>
      <c r="H136" s="168" t="s">
        <v>194</v>
      </c>
      <c r="I136" s="168" t="s">
        <v>195</v>
      </c>
      <c r="J136" s="168" t="s">
        <v>747</v>
      </c>
      <c r="K136" s="168">
        <v>18</v>
      </c>
      <c r="L136" s="168" t="s">
        <v>741</v>
      </c>
      <c r="M136" s="169" t="str">
        <f t="shared" si="2"/>
        <v>522301</v>
      </c>
    </row>
    <row r="137" spans="1:13" x14ac:dyDescent="0.25">
      <c r="A137" s="168" t="s">
        <v>244</v>
      </c>
      <c r="B137" s="168" t="s">
        <v>245</v>
      </c>
      <c r="C137" s="168" t="s">
        <v>74</v>
      </c>
      <c r="D137" s="168" t="s">
        <v>191</v>
      </c>
      <c r="E137" s="168" t="s">
        <v>192</v>
      </c>
      <c r="F137" s="169">
        <v>1</v>
      </c>
      <c r="G137" s="168" t="s">
        <v>193</v>
      </c>
      <c r="H137" s="168" t="s">
        <v>194</v>
      </c>
      <c r="I137" s="168" t="s">
        <v>201</v>
      </c>
      <c r="J137" s="168" t="s">
        <v>223</v>
      </c>
      <c r="K137" s="168">
        <v>18</v>
      </c>
      <c r="L137" s="168" t="s">
        <v>246</v>
      </c>
      <c r="M137" s="169" t="str">
        <f t="shared" si="2"/>
        <v>142004</v>
      </c>
    </row>
    <row r="138" spans="1:13" x14ac:dyDescent="0.25">
      <c r="A138" s="168" t="s">
        <v>459</v>
      </c>
      <c r="B138" s="168" t="s">
        <v>460</v>
      </c>
      <c r="C138" s="168" t="s">
        <v>136</v>
      </c>
      <c r="D138" s="168" t="s">
        <v>191</v>
      </c>
      <c r="E138" s="168" t="s">
        <v>192</v>
      </c>
      <c r="F138" s="169">
        <v>1</v>
      </c>
      <c r="G138" s="168" t="s">
        <v>193</v>
      </c>
      <c r="H138" s="168" t="s">
        <v>194</v>
      </c>
      <c r="I138" s="168" t="s">
        <v>195</v>
      </c>
      <c r="J138" s="168" t="s">
        <v>253</v>
      </c>
      <c r="K138" s="168">
        <v>18</v>
      </c>
      <c r="L138" s="168" t="s">
        <v>461</v>
      </c>
      <c r="M138" s="169" t="str">
        <f t="shared" si="2"/>
        <v>243301</v>
      </c>
    </row>
    <row r="139" spans="1:13" x14ac:dyDescent="0.25">
      <c r="A139" s="168" t="s">
        <v>792</v>
      </c>
      <c r="B139" s="168" t="s">
        <v>795</v>
      </c>
      <c r="C139" s="168" t="s">
        <v>112</v>
      </c>
      <c r="D139" s="168" t="s">
        <v>191</v>
      </c>
      <c r="E139" s="168" t="s">
        <v>192</v>
      </c>
      <c r="F139" s="179">
        <v>0</v>
      </c>
      <c r="G139" s="178" t="s">
        <v>194</v>
      </c>
      <c r="H139" s="168" t="s">
        <v>193</v>
      </c>
      <c r="I139" s="168" t="s">
        <v>195</v>
      </c>
      <c r="J139" s="168" t="s">
        <v>196</v>
      </c>
      <c r="K139" s="168">
        <v>18</v>
      </c>
      <c r="L139" s="168" t="s">
        <v>794</v>
      </c>
      <c r="M139" s="169" t="str">
        <f t="shared" si="2"/>
        <v>721404</v>
      </c>
    </row>
    <row r="140" spans="1:13" x14ac:dyDescent="0.25">
      <c r="A140" s="168" t="s">
        <v>792</v>
      </c>
      <c r="B140" s="168" t="s">
        <v>83</v>
      </c>
      <c r="C140" s="168" t="s">
        <v>83</v>
      </c>
      <c r="D140" s="168" t="s">
        <v>191</v>
      </c>
      <c r="E140" s="168" t="s">
        <v>192</v>
      </c>
      <c r="F140" s="179">
        <v>0</v>
      </c>
      <c r="G140" s="178" t="s">
        <v>194</v>
      </c>
      <c r="H140" s="168" t="s">
        <v>193</v>
      </c>
      <c r="I140" s="168" t="s">
        <v>195</v>
      </c>
      <c r="J140" s="168" t="s">
        <v>196</v>
      </c>
      <c r="K140" s="168">
        <v>18</v>
      </c>
      <c r="L140" s="168" t="s">
        <v>791</v>
      </c>
      <c r="M140" s="169" t="str">
        <f t="shared" si="2"/>
        <v>721204</v>
      </c>
    </row>
    <row r="141" spans="1:13" x14ac:dyDescent="0.25">
      <c r="A141" s="168" t="s">
        <v>704</v>
      </c>
      <c r="B141" s="168" t="s">
        <v>705</v>
      </c>
      <c r="C141" s="168" t="s">
        <v>706</v>
      </c>
      <c r="D141" s="168" t="s">
        <v>191</v>
      </c>
      <c r="E141" s="168" t="s">
        <v>192</v>
      </c>
      <c r="F141" s="169">
        <v>1</v>
      </c>
      <c r="G141" s="168" t="s">
        <v>193</v>
      </c>
      <c r="H141" s="168" t="s">
        <v>194</v>
      </c>
      <c r="I141" s="168" t="s">
        <v>201</v>
      </c>
      <c r="J141" s="168" t="s">
        <v>210</v>
      </c>
      <c r="K141" s="168">
        <v>18</v>
      </c>
      <c r="L141" s="168" t="s">
        <v>707</v>
      </c>
      <c r="M141" s="169" t="str">
        <f t="shared" si="2"/>
        <v>422201</v>
      </c>
    </row>
    <row r="142" spans="1:13" x14ac:dyDescent="0.25">
      <c r="A142" s="168" t="s">
        <v>827</v>
      </c>
      <c r="B142" s="168" t="s">
        <v>828</v>
      </c>
      <c r="C142" s="168" t="s">
        <v>829</v>
      </c>
      <c r="D142" s="168" t="s">
        <v>191</v>
      </c>
      <c r="E142" s="168" t="s">
        <v>192</v>
      </c>
      <c r="F142" s="169">
        <v>1</v>
      </c>
      <c r="G142" s="168" t="s">
        <v>193</v>
      </c>
      <c r="H142" s="168" t="s">
        <v>194</v>
      </c>
      <c r="I142" s="168" t="s">
        <v>201</v>
      </c>
      <c r="J142" s="168" t="s">
        <v>223</v>
      </c>
      <c r="K142" s="168">
        <v>18</v>
      </c>
      <c r="L142" s="168" t="s">
        <v>830</v>
      </c>
      <c r="M142" s="169" t="str">
        <f t="shared" si="2"/>
        <v>741201</v>
      </c>
    </row>
    <row r="143" spans="1:13" x14ac:dyDescent="0.25">
      <c r="A143" s="168" t="s">
        <v>511</v>
      </c>
      <c r="B143" s="168" t="s">
        <v>512</v>
      </c>
      <c r="C143" s="168" t="s">
        <v>513</v>
      </c>
      <c r="D143" s="168" t="s">
        <v>191</v>
      </c>
      <c r="E143" s="168" t="s">
        <v>192</v>
      </c>
      <c r="F143" s="169">
        <v>1</v>
      </c>
      <c r="G143" s="168" t="s">
        <v>193</v>
      </c>
      <c r="H143" s="168" t="s">
        <v>194</v>
      </c>
      <c r="I143" s="168" t="s">
        <v>201</v>
      </c>
      <c r="J143" s="168" t="s">
        <v>196</v>
      </c>
      <c r="K143" s="168">
        <v>18</v>
      </c>
      <c r="L143" s="168" t="s">
        <v>514</v>
      </c>
      <c r="M143" s="169" t="str">
        <f t="shared" si="2"/>
        <v>252301</v>
      </c>
    </row>
    <row r="144" spans="1:13" x14ac:dyDescent="0.25">
      <c r="A144" s="168" t="s">
        <v>306</v>
      </c>
      <c r="B144" s="168" t="s">
        <v>307</v>
      </c>
      <c r="C144" s="168" t="s">
        <v>308</v>
      </c>
      <c r="D144" s="168" t="s">
        <v>191</v>
      </c>
      <c r="E144" s="168" t="s">
        <v>192</v>
      </c>
      <c r="F144" s="169">
        <v>1</v>
      </c>
      <c r="G144" s="168" t="s">
        <v>193</v>
      </c>
      <c r="H144" s="168" t="s">
        <v>194</v>
      </c>
      <c r="I144" s="168" t="s">
        <v>195</v>
      </c>
      <c r="J144" s="168" t="s">
        <v>309</v>
      </c>
      <c r="K144" s="168">
        <v>18</v>
      </c>
      <c r="L144" s="168" t="s">
        <v>310</v>
      </c>
      <c r="M144" s="169" t="str">
        <f t="shared" si="2"/>
        <v>214404</v>
      </c>
    </row>
    <row r="145" spans="1:13" x14ac:dyDescent="0.25">
      <c r="A145" s="168" t="s">
        <v>306</v>
      </c>
      <c r="B145" s="168" t="s">
        <v>585</v>
      </c>
      <c r="C145" s="168" t="s">
        <v>586</v>
      </c>
      <c r="D145" s="168" t="s">
        <v>191</v>
      </c>
      <c r="E145" s="168" t="s">
        <v>192</v>
      </c>
      <c r="F145" s="169">
        <v>1</v>
      </c>
      <c r="G145" s="168" t="s">
        <v>193</v>
      </c>
      <c r="H145" s="168" t="s">
        <v>194</v>
      </c>
      <c r="I145" s="168" t="s">
        <v>201</v>
      </c>
      <c r="J145" s="168" t="s">
        <v>309</v>
      </c>
      <c r="K145" s="168">
        <v>18</v>
      </c>
      <c r="L145" s="168" t="s">
        <v>587</v>
      </c>
      <c r="M145" s="169" t="str">
        <f t="shared" si="2"/>
        <v>312202</v>
      </c>
    </row>
    <row r="146" spans="1:13" x14ac:dyDescent="0.25">
      <c r="A146" s="168" t="s">
        <v>682</v>
      </c>
      <c r="B146" s="168" t="s">
        <v>683</v>
      </c>
      <c r="C146" s="168" t="s">
        <v>684</v>
      </c>
      <c r="D146" s="168" t="s">
        <v>191</v>
      </c>
      <c r="E146" s="168" t="s">
        <v>252</v>
      </c>
      <c r="F146" s="169">
        <v>1</v>
      </c>
      <c r="G146" s="168" t="s">
        <v>193</v>
      </c>
      <c r="H146" s="168" t="s">
        <v>194</v>
      </c>
      <c r="I146" s="168" t="s">
        <v>195</v>
      </c>
      <c r="J146" s="168" t="s">
        <v>210</v>
      </c>
      <c r="K146" s="168">
        <v>18</v>
      </c>
      <c r="L146" s="168" t="s">
        <v>685</v>
      </c>
      <c r="M146" s="169" t="str">
        <f t="shared" si="2"/>
        <v>333904</v>
      </c>
    </row>
    <row r="147" spans="1:13" x14ac:dyDescent="0.25">
      <c r="A147" s="168" t="s">
        <v>466</v>
      </c>
      <c r="B147" s="168" t="s">
        <v>467</v>
      </c>
      <c r="C147" s="168" t="s">
        <v>468</v>
      </c>
      <c r="D147" s="168" t="s">
        <v>191</v>
      </c>
      <c r="E147" s="168" t="s">
        <v>192</v>
      </c>
      <c r="F147" s="169">
        <v>1</v>
      </c>
      <c r="G147" s="168" t="s">
        <v>193</v>
      </c>
      <c r="H147" s="168" t="s">
        <v>194</v>
      </c>
      <c r="I147" s="168" t="s">
        <v>195</v>
      </c>
      <c r="J147" s="168" t="s">
        <v>196</v>
      </c>
      <c r="K147" s="168">
        <v>18</v>
      </c>
      <c r="L147" s="168" t="s">
        <v>469</v>
      </c>
      <c r="M147" s="169" t="str">
        <f t="shared" si="2"/>
        <v>243303</v>
      </c>
    </row>
    <row r="148" spans="1:13" x14ac:dyDescent="0.25">
      <c r="A148" s="168" t="s">
        <v>369</v>
      </c>
      <c r="B148" s="168" t="s">
        <v>370</v>
      </c>
      <c r="C148" s="168" t="s">
        <v>371</v>
      </c>
      <c r="D148" s="168" t="s">
        <v>191</v>
      </c>
      <c r="E148" s="168" t="s">
        <v>192</v>
      </c>
      <c r="F148" s="169">
        <v>1</v>
      </c>
      <c r="G148" s="168" t="s">
        <v>193</v>
      </c>
      <c r="H148" s="168" t="s">
        <v>194</v>
      </c>
      <c r="I148" s="168" t="s">
        <v>201</v>
      </c>
      <c r="J148" s="168" t="s">
        <v>210</v>
      </c>
      <c r="K148" s="168">
        <v>18</v>
      </c>
      <c r="L148" s="168" t="s">
        <v>372</v>
      </c>
      <c r="M148" s="169" t="str">
        <f t="shared" si="2"/>
        <v>215202</v>
      </c>
    </row>
    <row r="149" spans="1:13" x14ac:dyDescent="0.25">
      <c r="A149" s="168" t="s">
        <v>369</v>
      </c>
      <c r="B149" s="168" t="s">
        <v>577</v>
      </c>
      <c r="C149" s="168" t="s">
        <v>574</v>
      </c>
      <c r="D149" s="168" t="s">
        <v>191</v>
      </c>
      <c r="E149" s="168" t="s">
        <v>192</v>
      </c>
      <c r="F149" s="169">
        <v>1</v>
      </c>
      <c r="G149" s="168" t="s">
        <v>193</v>
      </c>
      <c r="H149" s="168" t="s">
        <v>194</v>
      </c>
      <c r="I149" s="168" t="s">
        <v>195</v>
      </c>
      <c r="J149" s="168" t="s">
        <v>210</v>
      </c>
      <c r="K149" s="168">
        <v>18</v>
      </c>
      <c r="L149" s="168" t="s">
        <v>576</v>
      </c>
      <c r="M149" s="169" t="str">
        <f t="shared" si="2"/>
        <v>311509</v>
      </c>
    </row>
    <row r="150" spans="1:13" x14ac:dyDescent="0.25">
      <c r="A150" s="168" t="s">
        <v>335</v>
      </c>
      <c r="B150" s="168" t="s">
        <v>336</v>
      </c>
      <c r="C150" s="168" t="s">
        <v>19</v>
      </c>
      <c r="D150" s="168" t="s">
        <v>191</v>
      </c>
      <c r="E150" s="168" t="s">
        <v>192</v>
      </c>
      <c r="F150" s="169">
        <v>1</v>
      </c>
      <c r="G150" s="168" t="s">
        <v>193</v>
      </c>
      <c r="H150" s="168" t="s">
        <v>194</v>
      </c>
      <c r="I150" s="168" t="s">
        <v>195</v>
      </c>
      <c r="J150" s="168" t="s">
        <v>210</v>
      </c>
      <c r="K150" s="168">
        <v>18</v>
      </c>
      <c r="L150" s="168" t="s">
        <v>337</v>
      </c>
      <c r="M150" s="169" t="str">
        <f t="shared" si="2"/>
        <v>214903</v>
      </c>
    </row>
    <row r="151" spans="1:13" x14ac:dyDescent="0.25">
      <c r="A151" s="168" t="s">
        <v>335</v>
      </c>
      <c r="B151" s="168" t="s">
        <v>338</v>
      </c>
      <c r="C151" s="168" t="s">
        <v>19</v>
      </c>
      <c r="D151" s="168" t="s">
        <v>191</v>
      </c>
      <c r="E151" s="168" t="s">
        <v>192</v>
      </c>
      <c r="F151" s="169">
        <v>1</v>
      </c>
      <c r="G151" s="168" t="s">
        <v>193</v>
      </c>
      <c r="H151" s="168" t="s">
        <v>194</v>
      </c>
      <c r="I151" s="168" t="s">
        <v>195</v>
      </c>
      <c r="J151" s="168" t="s">
        <v>210</v>
      </c>
      <c r="K151" s="168">
        <v>18</v>
      </c>
      <c r="L151" s="168" t="s">
        <v>337</v>
      </c>
      <c r="M151" s="169" t="str">
        <f t="shared" si="2"/>
        <v>214903</v>
      </c>
    </row>
    <row r="152" spans="1:13" x14ac:dyDescent="0.25">
      <c r="A152" s="168" t="s">
        <v>588</v>
      </c>
      <c r="B152" s="168" t="s">
        <v>589</v>
      </c>
      <c r="C152" s="168" t="s">
        <v>590</v>
      </c>
      <c r="D152" s="168" t="s">
        <v>191</v>
      </c>
      <c r="E152" s="168" t="s">
        <v>252</v>
      </c>
      <c r="F152" s="169">
        <v>1</v>
      </c>
      <c r="G152" s="168" t="s">
        <v>193</v>
      </c>
      <c r="H152" s="168" t="s">
        <v>194</v>
      </c>
      <c r="I152" s="168" t="s">
        <v>195</v>
      </c>
      <c r="J152" s="168" t="s">
        <v>276</v>
      </c>
      <c r="K152" s="168">
        <v>18</v>
      </c>
      <c r="L152" s="168" t="s">
        <v>591</v>
      </c>
      <c r="M152" s="169" t="str">
        <f t="shared" si="2"/>
        <v>312203</v>
      </c>
    </row>
    <row r="153" spans="1:13" x14ac:dyDescent="0.25">
      <c r="A153" s="168" t="s">
        <v>588</v>
      </c>
      <c r="B153" s="168" t="s">
        <v>885</v>
      </c>
      <c r="C153" s="168" t="s">
        <v>886</v>
      </c>
      <c r="D153" s="168" t="s">
        <v>191</v>
      </c>
      <c r="E153" s="168" t="s">
        <v>252</v>
      </c>
      <c r="F153" s="169">
        <v>1</v>
      </c>
      <c r="G153" s="168" t="s">
        <v>193</v>
      </c>
      <c r="H153" s="168" t="s">
        <v>194</v>
      </c>
      <c r="I153" s="168" t="s">
        <v>195</v>
      </c>
      <c r="J153" s="168" t="s">
        <v>276</v>
      </c>
      <c r="K153" s="168">
        <v>18</v>
      </c>
      <c r="L153" s="168" t="s">
        <v>887</v>
      </c>
      <c r="M153" s="169" t="str">
        <f t="shared" si="2"/>
        <v>834401</v>
      </c>
    </row>
    <row r="154" spans="1:13" x14ac:dyDescent="0.25">
      <c r="A154" s="168" t="s">
        <v>588</v>
      </c>
      <c r="B154" s="168" t="s">
        <v>658</v>
      </c>
      <c r="C154" s="168" t="s">
        <v>156</v>
      </c>
      <c r="D154" s="168" t="s">
        <v>191</v>
      </c>
      <c r="E154" s="168" t="s">
        <v>252</v>
      </c>
      <c r="F154" s="169">
        <v>1</v>
      </c>
      <c r="G154" s="168" t="s">
        <v>193</v>
      </c>
      <c r="H154" s="168" t="s">
        <v>194</v>
      </c>
      <c r="I154" s="168" t="s">
        <v>195</v>
      </c>
      <c r="J154" s="168" t="s">
        <v>276</v>
      </c>
      <c r="K154" s="168">
        <v>18</v>
      </c>
      <c r="L154" s="168" t="s">
        <v>659</v>
      </c>
      <c r="M154" s="169" t="str">
        <f t="shared" si="2"/>
        <v>332302</v>
      </c>
    </row>
    <row r="155" spans="1:13" x14ac:dyDescent="0.25">
      <c r="A155" s="168" t="s">
        <v>625</v>
      </c>
      <c r="B155" s="168" t="s">
        <v>626</v>
      </c>
      <c r="C155" s="168" t="s">
        <v>17</v>
      </c>
      <c r="D155" s="168" t="s">
        <v>191</v>
      </c>
      <c r="E155" s="168" t="s">
        <v>192</v>
      </c>
      <c r="F155" s="169">
        <v>1</v>
      </c>
      <c r="G155" s="168" t="s">
        <v>193</v>
      </c>
      <c r="H155" s="168" t="s">
        <v>194</v>
      </c>
      <c r="I155" s="168" t="s">
        <v>201</v>
      </c>
      <c r="J155" s="168" t="s">
        <v>196</v>
      </c>
      <c r="K155" s="168">
        <v>18</v>
      </c>
      <c r="L155" s="168" t="s">
        <v>624</v>
      </c>
      <c r="M155" s="169" t="str">
        <f t="shared" si="2"/>
        <v>332203</v>
      </c>
    </row>
    <row r="156" spans="1:13" x14ac:dyDescent="0.25">
      <c r="A156" s="168" t="s">
        <v>247</v>
      </c>
      <c r="B156" s="168" t="s">
        <v>248</v>
      </c>
      <c r="C156" s="168" t="s">
        <v>74</v>
      </c>
      <c r="D156" s="168" t="s">
        <v>191</v>
      </c>
      <c r="E156" s="168" t="s">
        <v>192</v>
      </c>
      <c r="F156" s="169">
        <v>1</v>
      </c>
      <c r="G156" s="168" t="s">
        <v>193</v>
      </c>
      <c r="H156" s="168" t="s">
        <v>194</v>
      </c>
      <c r="I156" s="168" t="s">
        <v>195</v>
      </c>
      <c r="J156" s="168" t="s">
        <v>249</v>
      </c>
      <c r="K156" s="168">
        <v>18</v>
      </c>
      <c r="L156" s="168" t="s">
        <v>246</v>
      </c>
      <c r="M156" s="169" t="str">
        <f t="shared" si="2"/>
        <v>142004</v>
      </c>
    </row>
    <row r="157" spans="1:13" x14ac:dyDescent="0.25">
      <c r="A157" s="168" t="s">
        <v>529</v>
      </c>
      <c r="B157" s="168" t="s">
        <v>530</v>
      </c>
      <c r="C157" s="168" t="s">
        <v>525</v>
      </c>
      <c r="D157" s="168" t="s">
        <v>191</v>
      </c>
      <c r="E157" s="168" t="s">
        <v>192</v>
      </c>
      <c r="F157" s="169">
        <v>1</v>
      </c>
      <c r="G157" s="168" t="s">
        <v>193</v>
      </c>
      <c r="H157" s="168" t="s">
        <v>194</v>
      </c>
      <c r="I157" s="168" t="s">
        <v>195</v>
      </c>
      <c r="J157" s="168" t="s">
        <v>309</v>
      </c>
      <c r="K157" s="168">
        <v>18</v>
      </c>
      <c r="L157" s="168" t="s">
        <v>526</v>
      </c>
      <c r="M157" s="169" t="str">
        <f t="shared" si="2"/>
        <v>263102</v>
      </c>
    </row>
    <row r="158" spans="1:13" x14ac:dyDescent="0.25">
      <c r="A158" s="168" t="s">
        <v>578</v>
      </c>
      <c r="B158" s="168" t="s">
        <v>579</v>
      </c>
      <c r="C158" s="168" t="s">
        <v>166</v>
      </c>
      <c r="D158" s="168" t="s">
        <v>191</v>
      </c>
      <c r="E158" s="168" t="s">
        <v>192</v>
      </c>
      <c r="F158" s="169">
        <v>1</v>
      </c>
      <c r="G158" s="168" t="s">
        <v>193</v>
      </c>
      <c r="H158" s="168" t="s">
        <v>194</v>
      </c>
      <c r="I158" s="168" t="s">
        <v>195</v>
      </c>
      <c r="J158" s="168" t="s">
        <v>309</v>
      </c>
      <c r="K158" s="168">
        <v>18</v>
      </c>
      <c r="L158" s="168" t="s">
        <v>580</v>
      </c>
      <c r="M158" s="169" t="str">
        <f t="shared" si="2"/>
        <v>311513</v>
      </c>
    </row>
    <row r="159" spans="1:13" x14ac:dyDescent="0.25">
      <c r="A159" s="168" t="s">
        <v>835</v>
      </c>
      <c r="B159" s="168" t="s">
        <v>836</v>
      </c>
      <c r="C159" s="168" t="s">
        <v>837</v>
      </c>
      <c r="D159" s="168" t="s">
        <v>191</v>
      </c>
      <c r="E159" s="168" t="s">
        <v>252</v>
      </c>
      <c r="F159" s="169">
        <v>1</v>
      </c>
      <c r="G159" s="168" t="s">
        <v>193</v>
      </c>
      <c r="H159" s="168" t="s">
        <v>194</v>
      </c>
      <c r="I159" s="168" t="s">
        <v>195</v>
      </c>
      <c r="J159" s="168" t="s">
        <v>276</v>
      </c>
      <c r="K159" s="168">
        <v>18</v>
      </c>
      <c r="L159" s="168" t="s">
        <v>838</v>
      </c>
      <c r="M159" s="169" t="str">
        <f t="shared" si="2"/>
        <v>741208</v>
      </c>
    </row>
    <row r="160" spans="1:13" x14ac:dyDescent="0.25">
      <c r="A160" s="168" t="s">
        <v>376</v>
      </c>
      <c r="B160" s="168" t="s">
        <v>377</v>
      </c>
      <c r="C160" s="168" t="s">
        <v>378</v>
      </c>
      <c r="D160" s="168" t="s">
        <v>191</v>
      </c>
      <c r="E160" s="168" t="s">
        <v>192</v>
      </c>
      <c r="F160" s="169">
        <v>1</v>
      </c>
      <c r="G160" s="168" t="s">
        <v>193</v>
      </c>
      <c r="H160" s="168" t="s">
        <v>194</v>
      </c>
      <c r="I160" s="168" t="s">
        <v>201</v>
      </c>
      <c r="J160" s="168" t="s">
        <v>210</v>
      </c>
      <c r="K160" s="168">
        <v>18</v>
      </c>
      <c r="L160" s="168" t="s">
        <v>379</v>
      </c>
      <c r="M160" s="169" t="str">
        <f t="shared" si="2"/>
        <v>215303</v>
      </c>
    </row>
    <row r="161" spans="1:13" x14ac:dyDescent="0.25">
      <c r="A161" s="168" t="s">
        <v>719</v>
      </c>
      <c r="B161" s="168" t="s">
        <v>720</v>
      </c>
      <c r="C161" s="168" t="s">
        <v>721</v>
      </c>
      <c r="D161" s="168" t="s">
        <v>191</v>
      </c>
      <c r="E161" s="168" t="s">
        <v>192</v>
      </c>
      <c r="F161" s="169">
        <v>1</v>
      </c>
      <c r="G161" s="168" t="s">
        <v>193</v>
      </c>
      <c r="H161" s="168" t="s">
        <v>194</v>
      </c>
      <c r="I161" s="168" t="s">
        <v>195</v>
      </c>
      <c r="J161" s="168" t="s">
        <v>722</v>
      </c>
      <c r="K161" s="168">
        <v>18</v>
      </c>
      <c r="L161" s="168" t="s">
        <v>723</v>
      </c>
      <c r="M161" s="169" t="str">
        <f t="shared" si="2"/>
        <v>432201</v>
      </c>
    </row>
    <row r="162" spans="1:13" x14ac:dyDescent="0.25">
      <c r="A162" s="168" t="s">
        <v>726</v>
      </c>
      <c r="B162" s="168" t="s">
        <v>149</v>
      </c>
      <c r="C162" s="168" t="s">
        <v>727</v>
      </c>
      <c r="D162" s="168" t="s">
        <v>191</v>
      </c>
      <c r="E162" s="168" t="s">
        <v>192</v>
      </c>
      <c r="F162" s="169">
        <v>1</v>
      </c>
      <c r="G162" s="168" t="s">
        <v>193</v>
      </c>
      <c r="H162" s="168" t="s">
        <v>194</v>
      </c>
      <c r="I162" s="168" t="s">
        <v>195</v>
      </c>
      <c r="J162" s="168" t="s">
        <v>249</v>
      </c>
      <c r="K162" s="168">
        <v>18</v>
      </c>
      <c r="L162" s="168" t="s">
        <v>728</v>
      </c>
      <c r="M162" s="169" t="str">
        <f t="shared" si="2"/>
        <v>512001</v>
      </c>
    </row>
    <row r="163" spans="1:13" x14ac:dyDescent="0.25">
      <c r="A163" s="168" t="s">
        <v>478</v>
      </c>
      <c r="B163" s="168" t="s">
        <v>479</v>
      </c>
      <c r="C163" s="168" t="s">
        <v>480</v>
      </c>
      <c r="D163" s="168" t="s">
        <v>191</v>
      </c>
      <c r="E163" s="168" t="s">
        <v>192</v>
      </c>
      <c r="F163" s="169">
        <v>1</v>
      </c>
      <c r="G163" s="168" t="s">
        <v>193</v>
      </c>
      <c r="H163" s="168" t="s">
        <v>194</v>
      </c>
      <c r="I163" s="168" t="s">
        <v>201</v>
      </c>
      <c r="J163" s="168" t="s">
        <v>210</v>
      </c>
      <c r="K163" s="168">
        <v>18</v>
      </c>
      <c r="L163" s="168" t="s">
        <v>481</v>
      </c>
      <c r="M163" s="169" t="str">
        <f t="shared" si="2"/>
        <v>251201</v>
      </c>
    </row>
    <row r="164" spans="1:13" x14ac:dyDescent="0.25">
      <c r="A164" s="168" t="s">
        <v>406</v>
      </c>
      <c r="B164" s="168" t="s">
        <v>407</v>
      </c>
      <c r="C164" s="168" t="s">
        <v>9</v>
      </c>
      <c r="D164" s="168" t="s">
        <v>191</v>
      </c>
      <c r="E164" s="168" t="s">
        <v>192</v>
      </c>
      <c r="F164" s="169">
        <v>1</v>
      </c>
      <c r="G164" s="168" t="s">
        <v>193</v>
      </c>
      <c r="H164" s="168" t="s">
        <v>194</v>
      </c>
      <c r="I164" s="168" t="s">
        <v>195</v>
      </c>
      <c r="J164" s="168" t="s">
        <v>408</v>
      </c>
      <c r="K164" s="168">
        <v>18</v>
      </c>
      <c r="L164" s="168" t="s">
        <v>405</v>
      </c>
      <c r="M164" s="169" t="str">
        <f t="shared" si="2"/>
        <v>241304</v>
      </c>
    </row>
    <row r="165" spans="1:13" x14ac:dyDescent="0.25">
      <c r="A165" s="168" t="s">
        <v>343</v>
      </c>
      <c r="B165" s="168" t="s">
        <v>344</v>
      </c>
      <c r="C165" s="168" t="s">
        <v>345</v>
      </c>
      <c r="D165" s="168" t="s">
        <v>191</v>
      </c>
      <c r="E165" s="168" t="s">
        <v>192</v>
      </c>
      <c r="F165" s="169">
        <v>1</v>
      </c>
      <c r="G165" s="168" t="s">
        <v>193</v>
      </c>
      <c r="H165" s="168" t="s">
        <v>194</v>
      </c>
      <c r="I165" s="168" t="s">
        <v>195</v>
      </c>
      <c r="J165" s="168" t="s">
        <v>253</v>
      </c>
      <c r="K165" s="168">
        <v>18</v>
      </c>
      <c r="L165" s="168" t="s">
        <v>346</v>
      </c>
      <c r="M165" s="169" t="str">
        <f t="shared" si="2"/>
        <v>214931</v>
      </c>
    </row>
    <row r="166" spans="1:13" x14ac:dyDescent="0.25">
      <c r="A166" s="168" t="s">
        <v>809</v>
      </c>
      <c r="B166" s="168" t="s">
        <v>810</v>
      </c>
      <c r="C166" s="168" t="s">
        <v>29</v>
      </c>
      <c r="D166" s="168" t="s">
        <v>191</v>
      </c>
      <c r="E166" s="168" t="s">
        <v>192</v>
      </c>
      <c r="F166" s="169">
        <v>1</v>
      </c>
      <c r="G166" s="168" t="s">
        <v>193</v>
      </c>
      <c r="H166" s="168" t="s">
        <v>194</v>
      </c>
      <c r="I166" s="168" t="s">
        <v>195</v>
      </c>
      <c r="J166" s="168" t="s">
        <v>253</v>
      </c>
      <c r="K166" s="168">
        <v>18</v>
      </c>
      <c r="L166" s="168" t="s">
        <v>808</v>
      </c>
      <c r="M166" s="169" t="str">
        <f t="shared" si="2"/>
        <v>722308</v>
      </c>
    </row>
    <row r="167" spans="1:13" x14ac:dyDescent="0.25">
      <c r="A167" s="168" t="s">
        <v>450</v>
      </c>
      <c r="B167" s="168" t="s">
        <v>451</v>
      </c>
      <c r="C167" s="168" t="s">
        <v>43</v>
      </c>
      <c r="D167" s="168" t="s">
        <v>191</v>
      </c>
      <c r="E167" s="168" t="s">
        <v>192</v>
      </c>
      <c r="F167" s="169">
        <v>1</v>
      </c>
      <c r="G167" s="168" t="s">
        <v>193</v>
      </c>
      <c r="H167" s="168" t="s">
        <v>194</v>
      </c>
      <c r="I167" s="168" t="s">
        <v>201</v>
      </c>
      <c r="J167" s="168" t="s">
        <v>267</v>
      </c>
      <c r="K167" s="168">
        <v>18</v>
      </c>
      <c r="L167" s="168" t="s">
        <v>452</v>
      </c>
      <c r="M167" s="169" t="str">
        <f t="shared" si="2"/>
        <v>243106</v>
      </c>
    </row>
    <row r="168" spans="1:13" x14ac:dyDescent="0.25">
      <c r="A168" s="168" t="s">
        <v>250</v>
      </c>
      <c r="B168" s="168" t="s">
        <v>251</v>
      </c>
      <c r="C168" s="168" t="s">
        <v>74</v>
      </c>
      <c r="D168" s="168" t="s">
        <v>191</v>
      </c>
      <c r="E168" s="168" t="s">
        <v>252</v>
      </c>
      <c r="F168" s="169">
        <v>1</v>
      </c>
      <c r="G168" s="168" t="s">
        <v>193</v>
      </c>
      <c r="H168" s="168" t="s">
        <v>194</v>
      </c>
      <c r="I168" s="168" t="s">
        <v>195</v>
      </c>
      <c r="J168" s="168" t="s">
        <v>253</v>
      </c>
      <c r="K168" s="168">
        <v>18</v>
      </c>
      <c r="L168" s="168" t="s">
        <v>246</v>
      </c>
      <c r="M168" s="169" t="str">
        <f t="shared" si="2"/>
        <v>142004</v>
      </c>
    </row>
    <row r="169" spans="1:13" x14ac:dyDescent="0.25">
      <c r="A169" s="168" t="s">
        <v>250</v>
      </c>
      <c r="B169" s="168" t="s">
        <v>464</v>
      </c>
      <c r="C169" s="168" t="s">
        <v>113</v>
      </c>
      <c r="D169" s="168" t="s">
        <v>191</v>
      </c>
      <c r="E169" s="168" t="s">
        <v>252</v>
      </c>
      <c r="F169" s="169">
        <v>1</v>
      </c>
      <c r="G169" s="168" t="s">
        <v>193</v>
      </c>
      <c r="H169" s="168" t="s">
        <v>194</v>
      </c>
      <c r="I169" s="168" t="s">
        <v>195</v>
      </c>
      <c r="J169" s="168" t="s">
        <v>253</v>
      </c>
      <c r="K169" s="168">
        <v>18</v>
      </c>
      <c r="L169" s="168" t="s">
        <v>465</v>
      </c>
      <c r="M169" s="169" t="str">
        <f t="shared" si="2"/>
        <v>243302</v>
      </c>
    </row>
    <row r="170" spans="1:13" x14ac:dyDescent="0.25">
      <c r="A170" s="168" t="s">
        <v>271</v>
      </c>
      <c r="B170" s="168" t="s">
        <v>272</v>
      </c>
      <c r="C170" s="168" t="s">
        <v>273</v>
      </c>
      <c r="D170" s="168" t="s">
        <v>191</v>
      </c>
      <c r="E170" s="168" t="s">
        <v>192</v>
      </c>
      <c r="F170" s="169">
        <v>1</v>
      </c>
      <c r="G170" s="168" t="s">
        <v>193</v>
      </c>
      <c r="H170" s="168" t="s">
        <v>194</v>
      </c>
      <c r="I170" s="168" t="s">
        <v>195</v>
      </c>
      <c r="J170" s="168" t="s">
        <v>196</v>
      </c>
      <c r="K170" s="168">
        <v>18</v>
      </c>
      <c r="L170" s="168" t="s">
        <v>274</v>
      </c>
      <c r="M170" s="169" t="str">
        <f t="shared" si="2"/>
        <v>211301</v>
      </c>
    </row>
    <row r="171" spans="1:13" x14ac:dyDescent="0.25">
      <c r="A171" s="168" t="s">
        <v>462</v>
      </c>
      <c r="B171" s="168" t="s">
        <v>463</v>
      </c>
      <c r="C171" s="168" t="s">
        <v>136</v>
      </c>
      <c r="D171" s="168" t="s">
        <v>191</v>
      </c>
      <c r="E171" s="168" t="s">
        <v>192</v>
      </c>
      <c r="F171" s="169">
        <v>1</v>
      </c>
      <c r="G171" s="168" t="s">
        <v>193</v>
      </c>
      <c r="H171" s="168" t="s">
        <v>194</v>
      </c>
      <c r="I171" s="168" t="s">
        <v>201</v>
      </c>
      <c r="J171" s="168" t="s">
        <v>196</v>
      </c>
      <c r="K171" s="168">
        <v>18</v>
      </c>
      <c r="L171" s="168" t="s">
        <v>461</v>
      </c>
      <c r="M171" s="169" t="str">
        <f t="shared" si="2"/>
        <v>243301</v>
      </c>
    </row>
    <row r="172" spans="1:13" x14ac:dyDescent="0.25">
      <c r="A172" s="168" t="s">
        <v>664</v>
      </c>
      <c r="B172" s="168" t="s">
        <v>665</v>
      </c>
      <c r="C172" s="168" t="s">
        <v>119</v>
      </c>
      <c r="D172" s="168" t="s">
        <v>191</v>
      </c>
      <c r="E172" s="168" t="s">
        <v>192</v>
      </c>
      <c r="F172" s="169">
        <v>1</v>
      </c>
      <c r="G172" s="168" t="s">
        <v>193</v>
      </c>
      <c r="H172" s="168" t="s">
        <v>194</v>
      </c>
      <c r="I172" s="168" t="s">
        <v>195</v>
      </c>
      <c r="J172" s="168" t="s">
        <v>210</v>
      </c>
      <c r="K172" s="168">
        <v>18</v>
      </c>
      <c r="L172" s="168" t="s">
        <v>666</v>
      </c>
      <c r="M172" s="169" t="str">
        <f t="shared" si="2"/>
        <v>333105</v>
      </c>
    </row>
    <row r="173" spans="1:13" x14ac:dyDescent="0.25">
      <c r="A173" s="168" t="s">
        <v>188</v>
      </c>
      <c r="B173" s="168" t="s">
        <v>189</v>
      </c>
      <c r="C173" s="168" t="s">
        <v>190</v>
      </c>
      <c r="D173" s="168" t="s">
        <v>191</v>
      </c>
      <c r="E173" s="168" t="s">
        <v>192</v>
      </c>
      <c r="F173" s="169">
        <v>1</v>
      </c>
      <c r="G173" s="168" t="s">
        <v>193</v>
      </c>
      <c r="H173" s="168" t="s">
        <v>194</v>
      </c>
      <c r="I173" s="168" t="s">
        <v>195</v>
      </c>
      <c r="J173" s="168" t="s">
        <v>196</v>
      </c>
      <c r="K173" s="168">
        <v>18</v>
      </c>
      <c r="L173" s="168" t="s">
        <v>197</v>
      </c>
      <c r="M173" s="169" t="str">
        <f t="shared" si="2"/>
        <v>112012</v>
      </c>
    </row>
    <row r="174" spans="1:13" x14ac:dyDescent="0.25">
      <c r="A174" s="168" t="s">
        <v>768</v>
      </c>
      <c r="B174" s="168" t="s">
        <v>769</v>
      </c>
      <c r="C174" s="168" t="s">
        <v>770</v>
      </c>
      <c r="D174" s="168" t="s">
        <v>191</v>
      </c>
      <c r="E174" s="168" t="s">
        <v>192</v>
      </c>
      <c r="F174" s="169">
        <v>1</v>
      </c>
      <c r="G174" s="168" t="s">
        <v>193</v>
      </c>
      <c r="H174" s="168" t="s">
        <v>194</v>
      </c>
      <c r="I174" s="168" t="s">
        <v>195</v>
      </c>
      <c r="J174" s="168" t="s">
        <v>771</v>
      </c>
      <c r="K174" s="168">
        <v>18</v>
      </c>
      <c r="L174" s="168" t="s">
        <v>772</v>
      </c>
      <c r="M174" s="169" t="str">
        <f t="shared" si="2"/>
        <v>522305</v>
      </c>
    </row>
    <row r="175" spans="1:13" x14ac:dyDescent="0.25">
      <c r="A175" s="168" t="s">
        <v>485</v>
      </c>
      <c r="B175" s="168" t="s">
        <v>486</v>
      </c>
      <c r="C175" s="168" t="s">
        <v>10</v>
      </c>
      <c r="D175" s="168" t="s">
        <v>200</v>
      </c>
      <c r="E175" s="168" t="s">
        <v>192</v>
      </c>
      <c r="F175" s="169">
        <v>1</v>
      </c>
      <c r="G175" s="168" t="s">
        <v>193</v>
      </c>
      <c r="H175" s="168" t="s">
        <v>194</v>
      </c>
      <c r="I175" s="168" t="s">
        <v>204</v>
      </c>
      <c r="J175" s="168" t="s">
        <v>210</v>
      </c>
      <c r="K175" s="168">
        <v>18</v>
      </c>
      <c r="L175" s="168" t="s">
        <v>484</v>
      </c>
      <c r="M175" s="169" t="str">
        <f t="shared" si="2"/>
        <v>251401</v>
      </c>
    </row>
    <row r="176" spans="1:13" x14ac:dyDescent="0.25">
      <c r="A176" s="168" t="s">
        <v>485</v>
      </c>
      <c r="B176" s="168" t="s">
        <v>487</v>
      </c>
      <c r="C176" s="168" t="s">
        <v>10</v>
      </c>
      <c r="D176" s="168" t="s">
        <v>200</v>
      </c>
      <c r="E176" s="168" t="s">
        <v>192</v>
      </c>
      <c r="F176" s="169">
        <v>1</v>
      </c>
      <c r="G176" s="168" t="s">
        <v>193</v>
      </c>
      <c r="H176" s="168" t="s">
        <v>194</v>
      </c>
      <c r="I176" s="168" t="s">
        <v>191</v>
      </c>
      <c r="J176" s="168" t="s">
        <v>385</v>
      </c>
      <c r="K176" s="168">
        <v>18</v>
      </c>
      <c r="L176" s="168" t="s">
        <v>484</v>
      </c>
      <c r="M176" s="169" t="str">
        <f t="shared" si="2"/>
        <v>251401</v>
      </c>
    </row>
    <row r="177" spans="1:13" x14ac:dyDescent="0.25">
      <c r="A177" s="168" t="s">
        <v>485</v>
      </c>
      <c r="B177" s="168" t="s">
        <v>488</v>
      </c>
      <c r="C177" s="168" t="s">
        <v>10</v>
      </c>
      <c r="D177" s="168" t="s">
        <v>200</v>
      </c>
      <c r="E177" s="168" t="s">
        <v>192</v>
      </c>
      <c r="F177" s="169">
        <v>1</v>
      </c>
      <c r="G177" s="168" t="s">
        <v>193</v>
      </c>
      <c r="H177" s="168" t="s">
        <v>194</v>
      </c>
      <c r="I177" s="168" t="s">
        <v>204</v>
      </c>
      <c r="J177" s="168" t="s">
        <v>210</v>
      </c>
      <c r="K177" s="168">
        <v>18</v>
      </c>
      <c r="L177" s="168" t="s">
        <v>484</v>
      </c>
      <c r="M177" s="169" t="str">
        <f t="shared" si="2"/>
        <v>251401</v>
      </c>
    </row>
    <row r="178" spans="1:13" x14ac:dyDescent="0.25">
      <c r="A178" s="168" t="s">
        <v>221</v>
      </c>
      <c r="B178" s="168" t="s">
        <v>222</v>
      </c>
      <c r="C178" s="168" t="s">
        <v>12</v>
      </c>
      <c r="D178" s="168" t="s">
        <v>200</v>
      </c>
      <c r="E178" s="168" t="s">
        <v>192</v>
      </c>
      <c r="F178" s="169">
        <v>1</v>
      </c>
      <c r="G178" s="168" t="s">
        <v>193</v>
      </c>
      <c r="H178" s="168" t="s">
        <v>194</v>
      </c>
      <c r="I178" s="168" t="s">
        <v>191</v>
      </c>
      <c r="J178" s="168" t="s">
        <v>223</v>
      </c>
      <c r="K178" s="168">
        <v>18</v>
      </c>
      <c r="L178" s="168" t="s">
        <v>220</v>
      </c>
      <c r="M178" s="169" t="str">
        <f t="shared" si="2"/>
        <v>132301</v>
      </c>
    </row>
    <row r="179" spans="1:13" x14ac:dyDescent="0.25">
      <c r="A179" s="168" t="s">
        <v>627</v>
      </c>
      <c r="B179" s="168" t="s">
        <v>628</v>
      </c>
      <c r="C179" s="168" t="s">
        <v>17</v>
      </c>
      <c r="D179" s="168" t="s">
        <v>200</v>
      </c>
      <c r="E179" s="168" t="s">
        <v>192</v>
      </c>
      <c r="F179" s="169">
        <v>1</v>
      </c>
      <c r="G179" s="168" t="s">
        <v>193</v>
      </c>
      <c r="H179" s="168" t="s">
        <v>194</v>
      </c>
      <c r="I179" s="168" t="s">
        <v>256</v>
      </c>
      <c r="J179" s="168" t="s">
        <v>367</v>
      </c>
      <c r="K179" s="168">
        <v>18</v>
      </c>
      <c r="L179" s="168" t="s">
        <v>624</v>
      </c>
      <c r="M179" s="169" t="str">
        <f t="shared" si="2"/>
        <v>332203</v>
      </c>
    </row>
    <row r="180" spans="1:13" x14ac:dyDescent="0.25">
      <c r="A180" s="168" t="s">
        <v>602</v>
      </c>
      <c r="B180" s="168" t="s">
        <v>603</v>
      </c>
      <c r="C180" s="168" t="s">
        <v>604</v>
      </c>
      <c r="D180" s="168" t="s">
        <v>200</v>
      </c>
      <c r="E180" s="168" t="s">
        <v>192</v>
      </c>
      <c r="F180" s="169">
        <v>1</v>
      </c>
      <c r="G180" s="168" t="s">
        <v>193</v>
      </c>
      <c r="H180" s="168" t="s">
        <v>194</v>
      </c>
      <c r="I180" s="168" t="s">
        <v>191</v>
      </c>
      <c r="J180" s="168" t="s">
        <v>267</v>
      </c>
      <c r="K180" s="168">
        <v>18</v>
      </c>
      <c r="L180" s="168" t="s">
        <v>605</v>
      </c>
      <c r="M180" s="169" t="str">
        <f t="shared" si="2"/>
        <v>322001</v>
      </c>
    </row>
    <row r="181" spans="1:13" x14ac:dyDescent="0.25">
      <c r="A181" s="168" t="s">
        <v>294</v>
      </c>
      <c r="B181" s="168" t="s">
        <v>295</v>
      </c>
      <c r="C181" s="168" t="s">
        <v>296</v>
      </c>
      <c r="D181" s="168" t="s">
        <v>200</v>
      </c>
      <c r="E181" s="168" t="s">
        <v>192</v>
      </c>
      <c r="F181" s="169">
        <v>1</v>
      </c>
      <c r="G181" s="168" t="s">
        <v>193</v>
      </c>
      <c r="H181" s="168" t="s">
        <v>194</v>
      </c>
      <c r="I181" s="168" t="s">
        <v>191</v>
      </c>
      <c r="J181" s="168" t="s">
        <v>210</v>
      </c>
      <c r="K181" s="168">
        <v>18</v>
      </c>
      <c r="L181" s="168" t="s">
        <v>297</v>
      </c>
      <c r="M181" s="169" t="str">
        <f t="shared" si="2"/>
        <v>214204</v>
      </c>
    </row>
    <row r="182" spans="1:13" x14ac:dyDescent="0.25">
      <c r="A182" s="168" t="s">
        <v>549</v>
      </c>
      <c r="B182" s="168" t="s">
        <v>550</v>
      </c>
      <c r="C182" s="168" t="s">
        <v>39</v>
      </c>
      <c r="D182" s="168" t="s">
        <v>200</v>
      </c>
      <c r="E182" s="168" t="s">
        <v>192</v>
      </c>
      <c r="F182" s="169">
        <v>1</v>
      </c>
      <c r="G182" s="168" t="s">
        <v>193</v>
      </c>
      <c r="H182" s="168" t="s">
        <v>194</v>
      </c>
      <c r="I182" s="168" t="s">
        <v>191</v>
      </c>
      <c r="J182" s="168" t="s">
        <v>210</v>
      </c>
      <c r="K182" s="168">
        <v>18</v>
      </c>
      <c r="L182" s="168" t="s">
        <v>551</v>
      </c>
      <c r="M182" s="169" t="str">
        <f t="shared" si="2"/>
        <v>311204</v>
      </c>
    </row>
    <row r="183" spans="1:13" x14ac:dyDescent="0.25">
      <c r="A183" s="168" t="s">
        <v>208</v>
      </c>
      <c r="B183" s="168" t="s">
        <v>209</v>
      </c>
      <c r="C183" s="168" t="s">
        <v>35</v>
      </c>
      <c r="D183" s="168" t="s">
        <v>200</v>
      </c>
      <c r="E183" s="168" t="s">
        <v>192</v>
      </c>
      <c r="F183" s="169">
        <v>1</v>
      </c>
      <c r="G183" s="168" t="s">
        <v>193</v>
      </c>
      <c r="H183" s="168" t="s">
        <v>194</v>
      </c>
      <c r="I183" s="168" t="s">
        <v>191</v>
      </c>
      <c r="J183" s="168" t="s">
        <v>210</v>
      </c>
      <c r="K183" s="168">
        <v>18</v>
      </c>
      <c r="L183" s="168" t="s">
        <v>207</v>
      </c>
      <c r="M183" s="169" t="str">
        <f t="shared" si="2"/>
        <v>122106</v>
      </c>
    </row>
    <row r="184" spans="1:13" x14ac:dyDescent="0.25">
      <c r="A184" s="168" t="s">
        <v>409</v>
      </c>
      <c r="B184" s="168" t="s">
        <v>537</v>
      </c>
      <c r="C184" s="168" t="s">
        <v>778</v>
      </c>
      <c r="D184" s="168" t="s">
        <v>200</v>
      </c>
      <c r="E184" s="168" t="s">
        <v>192</v>
      </c>
      <c r="F184" s="169">
        <v>1</v>
      </c>
      <c r="G184" s="168" t="s">
        <v>193</v>
      </c>
      <c r="H184" s="168" t="s">
        <v>194</v>
      </c>
      <c r="I184" s="168" t="s">
        <v>204</v>
      </c>
      <c r="J184" s="168" t="s">
        <v>223</v>
      </c>
      <c r="K184" s="168">
        <v>18</v>
      </c>
      <c r="L184" s="168" t="s">
        <v>779</v>
      </c>
      <c r="M184" s="169" t="str">
        <f t="shared" si="2"/>
        <v>524902</v>
      </c>
    </row>
    <row r="185" spans="1:13" x14ac:dyDescent="0.25">
      <c r="A185" s="168" t="s">
        <v>409</v>
      </c>
      <c r="B185" s="168" t="s">
        <v>410</v>
      </c>
      <c r="C185" s="168" t="s">
        <v>9</v>
      </c>
      <c r="D185" s="168" t="s">
        <v>200</v>
      </c>
      <c r="E185" s="168" t="s">
        <v>192</v>
      </c>
      <c r="F185" s="169">
        <v>1</v>
      </c>
      <c r="G185" s="168" t="s">
        <v>193</v>
      </c>
      <c r="H185" s="168" t="s">
        <v>194</v>
      </c>
      <c r="I185" s="168" t="s">
        <v>191</v>
      </c>
      <c r="J185" s="168" t="s">
        <v>267</v>
      </c>
      <c r="K185" s="168">
        <v>18</v>
      </c>
      <c r="L185" s="168" t="s">
        <v>405</v>
      </c>
      <c r="M185" s="169" t="str">
        <f t="shared" si="2"/>
        <v>241304</v>
      </c>
    </row>
    <row r="186" spans="1:13" x14ac:dyDescent="0.25">
      <c r="A186" s="168" t="s">
        <v>352</v>
      </c>
      <c r="B186" s="168" t="s">
        <v>353</v>
      </c>
      <c r="C186" s="168" t="s">
        <v>354</v>
      </c>
      <c r="D186" s="168" t="s">
        <v>200</v>
      </c>
      <c r="E186" s="168" t="s">
        <v>192</v>
      </c>
      <c r="F186" s="169">
        <v>1</v>
      </c>
      <c r="G186" s="168" t="s">
        <v>193</v>
      </c>
      <c r="H186" s="168" t="s">
        <v>194</v>
      </c>
      <c r="I186" s="168" t="s">
        <v>191</v>
      </c>
      <c r="J186" s="168" t="s">
        <v>210</v>
      </c>
      <c r="K186" s="168">
        <v>18</v>
      </c>
      <c r="L186" s="168" t="s">
        <v>355</v>
      </c>
      <c r="M186" s="169" t="str">
        <f t="shared" si="2"/>
        <v>215103</v>
      </c>
    </row>
    <row r="187" spans="1:13" x14ac:dyDescent="0.25">
      <c r="A187" s="168" t="s">
        <v>352</v>
      </c>
      <c r="B187" s="168" t="s">
        <v>356</v>
      </c>
      <c r="C187" s="168" t="s">
        <v>354</v>
      </c>
      <c r="D187" s="168" t="s">
        <v>200</v>
      </c>
      <c r="E187" s="168" t="s">
        <v>192</v>
      </c>
      <c r="F187" s="169">
        <v>2</v>
      </c>
      <c r="G187" s="168" t="s">
        <v>193</v>
      </c>
      <c r="H187" s="168" t="s">
        <v>194</v>
      </c>
      <c r="I187" s="168" t="s">
        <v>191</v>
      </c>
      <c r="J187" s="168" t="s">
        <v>210</v>
      </c>
      <c r="K187" s="168">
        <v>18</v>
      </c>
      <c r="L187" s="168" t="s">
        <v>355</v>
      </c>
      <c r="M187" s="169" t="str">
        <f t="shared" si="2"/>
        <v>215103</v>
      </c>
    </row>
    <row r="188" spans="1:13" x14ac:dyDescent="0.25">
      <c r="A188" s="168" t="s">
        <v>364</v>
      </c>
      <c r="B188" s="168" t="s">
        <v>365</v>
      </c>
      <c r="C188" s="168" t="s">
        <v>366</v>
      </c>
      <c r="D188" s="168" t="s">
        <v>200</v>
      </c>
      <c r="E188" s="168" t="s">
        <v>192</v>
      </c>
      <c r="F188" s="169">
        <v>1</v>
      </c>
      <c r="G188" s="168" t="s">
        <v>193</v>
      </c>
      <c r="H188" s="168" t="s">
        <v>194</v>
      </c>
      <c r="I188" s="168" t="s">
        <v>191</v>
      </c>
      <c r="J188" s="168" t="s">
        <v>367</v>
      </c>
      <c r="K188" s="168">
        <v>18</v>
      </c>
      <c r="L188" s="168" t="s">
        <v>368</v>
      </c>
      <c r="M188" s="169" t="str">
        <f t="shared" si="2"/>
        <v>215201</v>
      </c>
    </row>
    <row r="189" spans="1:13" x14ac:dyDescent="0.25">
      <c r="A189" s="168" t="s">
        <v>470</v>
      </c>
      <c r="B189" s="168" t="s">
        <v>467</v>
      </c>
      <c r="C189" s="168" t="s">
        <v>468</v>
      </c>
      <c r="D189" s="168" t="s">
        <v>200</v>
      </c>
      <c r="E189" s="168" t="s">
        <v>192</v>
      </c>
      <c r="F189" s="169">
        <v>1</v>
      </c>
      <c r="G189" s="168" t="s">
        <v>193</v>
      </c>
      <c r="H189" s="168" t="s">
        <v>194</v>
      </c>
      <c r="I189" s="168" t="s">
        <v>204</v>
      </c>
      <c r="J189" s="168" t="s">
        <v>210</v>
      </c>
      <c r="K189" s="168">
        <v>18</v>
      </c>
      <c r="L189" s="168" t="s">
        <v>469</v>
      </c>
      <c r="M189" s="169" t="str">
        <f t="shared" si="2"/>
        <v>243303</v>
      </c>
    </row>
    <row r="190" spans="1:13" x14ac:dyDescent="0.25">
      <c r="A190" s="168" t="s">
        <v>427</v>
      </c>
      <c r="B190" s="168" t="s">
        <v>831</v>
      </c>
      <c r="C190" s="168" t="s">
        <v>829</v>
      </c>
      <c r="D190" s="168" t="s">
        <v>200</v>
      </c>
      <c r="E190" s="168" t="s">
        <v>192</v>
      </c>
      <c r="F190" s="169">
        <v>1</v>
      </c>
      <c r="G190" s="168" t="s">
        <v>193</v>
      </c>
      <c r="H190" s="168" t="s">
        <v>194</v>
      </c>
      <c r="I190" s="168" t="s">
        <v>204</v>
      </c>
      <c r="J190" s="168" t="s">
        <v>238</v>
      </c>
      <c r="K190" s="168">
        <v>18</v>
      </c>
      <c r="L190" s="168" t="s">
        <v>830</v>
      </c>
      <c r="M190" s="169" t="str">
        <f t="shared" si="2"/>
        <v>741201</v>
      </c>
    </row>
    <row r="191" spans="1:13" x14ac:dyDescent="0.25">
      <c r="A191" s="168" t="s">
        <v>427</v>
      </c>
      <c r="B191" s="168" t="s">
        <v>428</v>
      </c>
      <c r="C191" s="168" t="s">
        <v>100</v>
      </c>
      <c r="D191" s="168" t="s">
        <v>200</v>
      </c>
      <c r="E191" s="168" t="s">
        <v>192</v>
      </c>
      <c r="F191" s="169">
        <v>1</v>
      </c>
      <c r="G191" s="168" t="s">
        <v>193</v>
      </c>
      <c r="H191" s="168" t="s">
        <v>194</v>
      </c>
      <c r="I191" s="168" t="s">
        <v>256</v>
      </c>
      <c r="J191" s="168" t="s">
        <v>238</v>
      </c>
      <c r="K191" s="168">
        <v>18</v>
      </c>
      <c r="L191" s="168" t="s">
        <v>429</v>
      </c>
      <c r="M191" s="169" t="str">
        <f t="shared" si="2"/>
        <v>242108</v>
      </c>
    </row>
    <row r="192" spans="1:13" x14ac:dyDescent="0.25">
      <c r="A192" s="168" t="s">
        <v>218</v>
      </c>
      <c r="B192" s="168" t="s">
        <v>224</v>
      </c>
      <c r="C192" s="168" t="s">
        <v>12</v>
      </c>
      <c r="D192" s="168" t="s">
        <v>200</v>
      </c>
      <c r="E192" s="168" t="s">
        <v>192</v>
      </c>
      <c r="F192" s="169">
        <v>1</v>
      </c>
      <c r="G192" s="168" t="s">
        <v>193</v>
      </c>
      <c r="H192" s="168" t="s">
        <v>194</v>
      </c>
      <c r="I192" s="168" t="s">
        <v>201</v>
      </c>
      <c r="J192" s="168" t="s">
        <v>196</v>
      </c>
      <c r="K192" s="168">
        <v>18</v>
      </c>
      <c r="L192" s="168" t="s">
        <v>220</v>
      </c>
      <c r="M192" s="169" t="str">
        <f t="shared" si="2"/>
        <v>132301</v>
      </c>
    </row>
    <row r="193" spans="1:13" x14ac:dyDescent="0.25">
      <c r="A193" s="168" t="s">
        <v>562</v>
      </c>
      <c r="B193" s="168" t="s">
        <v>563</v>
      </c>
      <c r="C193" s="168" t="s">
        <v>560</v>
      </c>
      <c r="D193" s="168" t="s">
        <v>200</v>
      </c>
      <c r="E193" s="168" t="s">
        <v>192</v>
      </c>
      <c r="F193" s="169">
        <v>1</v>
      </c>
      <c r="G193" s="168" t="s">
        <v>193</v>
      </c>
      <c r="H193" s="168" t="s">
        <v>194</v>
      </c>
      <c r="I193" s="168" t="s">
        <v>256</v>
      </c>
      <c r="J193" s="168" t="s">
        <v>253</v>
      </c>
      <c r="K193" s="168">
        <v>18</v>
      </c>
      <c r="L193" s="168" t="s">
        <v>561</v>
      </c>
      <c r="M193" s="169" t="str">
        <f t="shared" si="2"/>
        <v>311408</v>
      </c>
    </row>
    <row r="194" spans="1:13" x14ac:dyDescent="0.25">
      <c r="A194" s="168" t="s">
        <v>562</v>
      </c>
      <c r="B194" s="168" t="s">
        <v>702</v>
      </c>
      <c r="C194" s="168" t="s">
        <v>104</v>
      </c>
      <c r="D194" s="168" t="s">
        <v>200</v>
      </c>
      <c r="E194" s="168" t="s">
        <v>192</v>
      </c>
      <c r="F194" s="169">
        <v>1</v>
      </c>
      <c r="G194" s="168" t="s">
        <v>193</v>
      </c>
      <c r="H194" s="168" t="s">
        <v>194</v>
      </c>
      <c r="I194" s="168" t="s">
        <v>191</v>
      </c>
      <c r="J194" s="168" t="s">
        <v>253</v>
      </c>
      <c r="K194" s="168">
        <v>18</v>
      </c>
      <c r="L194" s="168" t="s">
        <v>703</v>
      </c>
      <c r="M194" s="169" t="str">
        <f t="shared" si="2"/>
        <v>411004</v>
      </c>
    </row>
    <row r="195" spans="1:13" x14ac:dyDescent="0.25">
      <c r="A195" s="168" t="s">
        <v>558</v>
      </c>
      <c r="B195" s="168" t="s">
        <v>788</v>
      </c>
      <c r="C195" s="168" t="s">
        <v>789</v>
      </c>
      <c r="D195" s="168" t="s">
        <v>200</v>
      </c>
      <c r="E195" s="168" t="s">
        <v>192</v>
      </c>
      <c r="F195" s="169">
        <v>1</v>
      </c>
      <c r="G195" s="168" t="s">
        <v>193</v>
      </c>
      <c r="H195" s="168" t="s">
        <v>194</v>
      </c>
      <c r="I195" s="168" t="s">
        <v>201</v>
      </c>
      <c r="J195" s="168" t="s">
        <v>210</v>
      </c>
      <c r="K195" s="168">
        <v>18</v>
      </c>
      <c r="L195" s="168" t="s">
        <v>790</v>
      </c>
      <c r="M195" s="169" t="str">
        <f t="shared" ref="M195:M258" si="3">MID(L195,8,6)</f>
        <v>721102</v>
      </c>
    </row>
    <row r="196" spans="1:13" x14ac:dyDescent="0.25">
      <c r="A196" s="168" t="s">
        <v>438</v>
      </c>
      <c r="B196" s="168" t="s">
        <v>439</v>
      </c>
      <c r="C196" s="168" t="s">
        <v>27</v>
      </c>
      <c r="D196" s="168" t="s">
        <v>200</v>
      </c>
      <c r="E196" s="168" t="s">
        <v>192</v>
      </c>
      <c r="F196" s="169">
        <v>1</v>
      </c>
      <c r="G196" s="168" t="s">
        <v>193</v>
      </c>
      <c r="H196" s="168" t="s">
        <v>194</v>
      </c>
      <c r="I196" s="168" t="s">
        <v>191</v>
      </c>
      <c r="J196" s="168" t="s">
        <v>210</v>
      </c>
      <c r="K196" s="168">
        <v>18</v>
      </c>
      <c r="L196" s="168" t="s">
        <v>440</v>
      </c>
      <c r="M196" s="169" t="str">
        <f t="shared" si="3"/>
        <v>242307</v>
      </c>
    </row>
    <row r="197" spans="1:13" x14ac:dyDescent="0.25">
      <c r="A197" s="168" t="s">
        <v>438</v>
      </c>
      <c r="B197" s="168" t="s">
        <v>441</v>
      </c>
      <c r="C197" s="168" t="s">
        <v>27</v>
      </c>
      <c r="D197" s="168" t="s">
        <v>200</v>
      </c>
      <c r="E197" s="168" t="s">
        <v>192</v>
      </c>
      <c r="F197" s="169">
        <v>1</v>
      </c>
      <c r="G197" s="168" t="s">
        <v>193</v>
      </c>
      <c r="H197" s="168" t="s">
        <v>194</v>
      </c>
      <c r="I197" s="168" t="s">
        <v>191</v>
      </c>
      <c r="J197" s="168" t="s">
        <v>210</v>
      </c>
      <c r="K197" s="168">
        <v>18</v>
      </c>
      <c r="L197" s="168" t="s">
        <v>440</v>
      </c>
      <c r="M197" s="169" t="str">
        <f t="shared" si="3"/>
        <v>242307</v>
      </c>
    </row>
    <row r="198" spans="1:13" x14ac:dyDescent="0.25">
      <c r="A198" s="168" t="s">
        <v>387</v>
      </c>
      <c r="B198" s="168" t="s">
        <v>388</v>
      </c>
      <c r="C198" s="168" t="s">
        <v>389</v>
      </c>
      <c r="D198" s="168" t="s">
        <v>200</v>
      </c>
      <c r="E198" s="168" t="s">
        <v>192</v>
      </c>
      <c r="F198" s="169">
        <v>1</v>
      </c>
      <c r="G198" s="168" t="s">
        <v>193</v>
      </c>
      <c r="H198" s="168" t="s">
        <v>194</v>
      </c>
      <c r="I198" s="168" t="s">
        <v>201</v>
      </c>
      <c r="J198" s="168" t="s">
        <v>210</v>
      </c>
      <c r="K198" s="168">
        <v>18</v>
      </c>
      <c r="L198" s="168" t="s">
        <v>390</v>
      </c>
      <c r="M198" s="169" t="str">
        <f t="shared" si="3"/>
        <v>228203</v>
      </c>
    </row>
    <row r="199" spans="1:13" x14ac:dyDescent="0.25">
      <c r="A199" s="168" t="s">
        <v>816</v>
      </c>
      <c r="B199" s="168" t="s">
        <v>817</v>
      </c>
      <c r="C199" s="168" t="s">
        <v>818</v>
      </c>
      <c r="D199" s="168" t="s">
        <v>200</v>
      </c>
      <c r="E199" s="168" t="s">
        <v>192</v>
      </c>
      <c r="F199" s="169">
        <v>1</v>
      </c>
      <c r="G199" s="168" t="s">
        <v>193</v>
      </c>
      <c r="H199" s="168" t="s">
        <v>194</v>
      </c>
      <c r="I199" s="168" t="s">
        <v>201</v>
      </c>
      <c r="J199" s="168" t="s">
        <v>253</v>
      </c>
      <c r="K199" s="168">
        <v>18</v>
      </c>
      <c r="L199" s="168" t="s">
        <v>819</v>
      </c>
      <c r="M199" s="169" t="str">
        <f t="shared" si="3"/>
        <v>722313</v>
      </c>
    </row>
    <row r="200" spans="1:13" x14ac:dyDescent="0.25">
      <c r="A200" s="168" t="s">
        <v>317</v>
      </c>
      <c r="B200" s="168" t="s">
        <v>318</v>
      </c>
      <c r="C200" s="168" t="s">
        <v>319</v>
      </c>
      <c r="D200" s="168" t="s">
        <v>200</v>
      </c>
      <c r="E200" s="168" t="s">
        <v>192</v>
      </c>
      <c r="F200" s="169">
        <v>1</v>
      </c>
      <c r="G200" s="168" t="s">
        <v>193</v>
      </c>
      <c r="H200" s="168" t="s">
        <v>194</v>
      </c>
      <c r="I200" s="168" t="s">
        <v>204</v>
      </c>
      <c r="J200" s="168" t="s">
        <v>210</v>
      </c>
      <c r="K200" s="168">
        <v>18</v>
      </c>
      <c r="L200" s="168" t="s">
        <v>320</v>
      </c>
      <c r="M200" s="169" t="str">
        <f t="shared" si="3"/>
        <v>214407</v>
      </c>
    </row>
    <row r="201" spans="1:13" x14ac:dyDescent="0.25">
      <c r="A201" s="168" t="s">
        <v>317</v>
      </c>
      <c r="B201" s="168" t="s">
        <v>654</v>
      </c>
      <c r="C201" s="168" t="s">
        <v>122</v>
      </c>
      <c r="D201" s="168" t="s">
        <v>200</v>
      </c>
      <c r="E201" s="168" t="s">
        <v>192</v>
      </c>
      <c r="F201" s="169">
        <v>1</v>
      </c>
      <c r="G201" s="168" t="s">
        <v>193</v>
      </c>
      <c r="H201" s="168" t="s">
        <v>194</v>
      </c>
      <c r="I201" s="168" t="s">
        <v>195</v>
      </c>
      <c r="J201" s="168" t="s">
        <v>210</v>
      </c>
      <c r="K201" s="168">
        <v>18</v>
      </c>
      <c r="L201" s="168" t="s">
        <v>655</v>
      </c>
      <c r="M201" s="169" t="str">
        <f t="shared" si="3"/>
        <v>332301</v>
      </c>
    </row>
    <row r="202" spans="1:13" x14ac:dyDescent="0.25">
      <c r="A202" s="168" t="s">
        <v>731</v>
      </c>
      <c r="B202" s="168" t="s">
        <v>732</v>
      </c>
      <c r="C202" s="168" t="s">
        <v>733</v>
      </c>
      <c r="D202" s="168" t="s">
        <v>200</v>
      </c>
      <c r="E202" s="168" t="s">
        <v>192</v>
      </c>
      <c r="F202" s="169">
        <v>1</v>
      </c>
      <c r="G202" s="168" t="s">
        <v>193</v>
      </c>
      <c r="H202" s="168" t="s">
        <v>194</v>
      </c>
      <c r="I202" s="168" t="s">
        <v>256</v>
      </c>
      <c r="J202" s="168" t="s">
        <v>196</v>
      </c>
      <c r="K202" s="168">
        <v>18</v>
      </c>
      <c r="L202" s="168" t="s">
        <v>734</v>
      </c>
      <c r="M202" s="169" t="str">
        <f t="shared" si="3"/>
        <v>514202</v>
      </c>
    </row>
    <row r="203" spans="1:13" x14ac:dyDescent="0.25">
      <c r="A203" s="168" t="s">
        <v>475</v>
      </c>
      <c r="B203" s="168" t="s">
        <v>476</v>
      </c>
      <c r="C203" s="168" t="s">
        <v>85</v>
      </c>
      <c r="D203" s="168" t="s">
        <v>200</v>
      </c>
      <c r="E203" s="168" t="s">
        <v>192</v>
      </c>
      <c r="F203" s="169">
        <v>1</v>
      </c>
      <c r="G203" s="168" t="s">
        <v>193</v>
      </c>
      <c r="H203" s="168" t="s">
        <v>194</v>
      </c>
      <c r="I203" s="168" t="s">
        <v>256</v>
      </c>
      <c r="J203" s="168" t="s">
        <v>327</v>
      </c>
      <c r="K203" s="168">
        <v>18</v>
      </c>
      <c r="L203" s="168" t="s">
        <v>477</v>
      </c>
      <c r="M203" s="169" t="str">
        <f t="shared" si="3"/>
        <v>243305</v>
      </c>
    </row>
    <row r="204" spans="1:13" x14ac:dyDescent="0.25">
      <c r="A204" s="168" t="s">
        <v>564</v>
      </c>
      <c r="B204" s="168" t="s">
        <v>821</v>
      </c>
      <c r="C204" s="168" t="s">
        <v>822</v>
      </c>
      <c r="D204" s="168" t="s">
        <v>200</v>
      </c>
      <c r="E204" s="168" t="s">
        <v>192</v>
      </c>
      <c r="F204" s="169">
        <v>1</v>
      </c>
      <c r="G204" s="168" t="s">
        <v>193</v>
      </c>
      <c r="H204" s="168" t="s">
        <v>194</v>
      </c>
      <c r="I204" s="168" t="s">
        <v>204</v>
      </c>
      <c r="J204" s="168" t="s">
        <v>253</v>
      </c>
      <c r="K204" s="168">
        <v>18</v>
      </c>
      <c r="L204" s="168" t="s">
        <v>823</v>
      </c>
      <c r="M204" s="169" t="str">
        <f t="shared" si="3"/>
        <v>741103</v>
      </c>
    </row>
    <row r="205" spans="1:13" x14ac:dyDescent="0.25">
      <c r="A205" s="168" t="s">
        <v>564</v>
      </c>
      <c r="B205" s="168" t="s">
        <v>565</v>
      </c>
      <c r="C205" s="168" t="s">
        <v>566</v>
      </c>
      <c r="D205" s="168" t="s">
        <v>200</v>
      </c>
      <c r="E205" s="168" t="s">
        <v>192</v>
      </c>
      <c r="F205" s="169">
        <v>1</v>
      </c>
      <c r="G205" s="168" t="s">
        <v>193</v>
      </c>
      <c r="H205" s="168" t="s">
        <v>194</v>
      </c>
      <c r="I205" s="168" t="s">
        <v>256</v>
      </c>
      <c r="J205" s="168" t="s">
        <v>253</v>
      </c>
      <c r="K205" s="168">
        <v>18</v>
      </c>
      <c r="L205" s="168" t="s">
        <v>567</v>
      </c>
      <c r="M205" s="169" t="str">
        <f t="shared" si="3"/>
        <v>311504</v>
      </c>
    </row>
    <row r="206" spans="1:13" x14ac:dyDescent="0.25">
      <c r="A206" s="168" t="s">
        <v>564</v>
      </c>
      <c r="B206" s="168" t="s">
        <v>859</v>
      </c>
      <c r="C206" s="168" t="s">
        <v>860</v>
      </c>
      <c r="D206" s="168" t="s">
        <v>200</v>
      </c>
      <c r="E206" s="168" t="s">
        <v>192</v>
      </c>
      <c r="F206" s="169">
        <v>1</v>
      </c>
      <c r="G206" s="168" t="s">
        <v>193</v>
      </c>
      <c r="H206" s="168" t="s">
        <v>194</v>
      </c>
      <c r="I206" s="168" t="s">
        <v>201</v>
      </c>
      <c r="J206" s="168" t="s">
        <v>253</v>
      </c>
      <c r="K206" s="168">
        <v>18</v>
      </c>
      <c r="L206" s="168" t="s">
        <v>861</v>
      </c>
      <c r="M206" s="169" t="str">
        <f t="shared" si="3"/>
        <v>814190</v>
      </c>
    </row>
    <row r="207" spans="1:13" x14ac:dyDescent="0.25">
      <c r="A207" s="168" t="s">
        <v>442</v>
      </c>
      <c r="B207" s="168" t="s">
        <v>443</v>
      </c>
      <c r="C207" s="168" t="s">
        <v>444</v>
      </c>
      <c r="D207" s="168" t="s">
        <v>200</v>
      </c>
      <c r="E207" s="168" t="s">
        <v>192</v>
      </c>
      <c r="F207" s="169">
        <v>1</v>
      </c>
      <c r="G207" s="168" t="s">
        <v>193</v>
      </c>
      <c r="H207" s="168" t="s">
        <v>194</v>
      </c>
      <c r="I207" s="168" t="s">
        <v>201</v>
      </c>
      <c r="J207" s="168" t="s">
        <v>196</v>
      </c>
      <c r="K207" s="168">
        <v>18</v>
      </c>
      <c r="L207" s="168" t="s">
        <v>445</v>
      </c>
      <c r="M207" s="169" t="str">
        <f t="shared" si="3"/>
        <v>243103</v>
      </c>
    </row>
    <row r="208" spans="1:13" x14ac:dyDescent="0.25">
      <c r="A208" s="168" t="s">
        <v>198</v>
      </c>
      <c r="B208" s="168" t="s">
        <v>199</v>
      </c>
      <c r="C208" s="168" t="s">
        <v>129</v>
      </c>
      <c r="D208" s="168" t="s">
        <v>200</v>
      </c>
      <c r="E208" s="168" t="s">
        <v>192</v>
      </c>
      <c r="F208" s="169">
        <v>1</v>
      </c>
      <c r="G208" s="168" t="s">
        <v>193</v>
      </c>
      <c r="H208" s="168" t="s">
        <v>194</v>
      </c>
      <c r="I208" s="168" t="s">
        <v>201</v>
      </c>
      <c r="J208" s="168" t="s">
        <v>202</v>
      </c>
      <c r="K208" s="168">
        <v>18</v>
      </c>
      <c r="L208" s="168" t="s">
        <v>203</v>
      </c>
      <c r="M208" s="169" t="str">
        <f t="shared" si="3"/>
        <v>121904</v>
      </c>
    </row>
    <row r="209" spans="1:13" x14ac:dyDescent="0.25">
      <c r="A209" s="168" t="s">
        <v>198</v>
      </c>
      <c r="B209" s="168" t="s">
        <v>129</v>
      </c>
      <c r="C209" s="168" t="s">
        <v>129</v>
      </c>
      <c r="D209" s="168" t="s">
        <v>200</v>
      </c>
      <c r="E209" s="168" t="s">
        <v>192</v>
      </c>
      <c r="F209" s="169">
        <v>1</v>
      </c>
      <c r="G209" s="168" t="s">
        <v>193</v>
      </c>
      <c r="H209" s="168" t="s">
        <v>194</v>
      </c>
      <c r="I209" s="168" t="s">
        <v>204</v>
      </c>
      <c r="J209" s="168" t="s">
        <v>202</v>
      </c>
      <c r="K209" s="168">
        <v>18</v>
      </c>
      <c r="L209" s="168" t="s">
        <v>203</v>
      </c>
      <c r="M209" s="169" t="str">
        <f t="shared" si="3"/>
        <v>121904</v>
      </c>
    </row>
    <row r="210" spans="1:13" x14ac:dyDescent="0.25">
      <c r="A210" s="168" t="s">
        <v>198</v>
      </c>
      <c r="B210" s="168" t="s">
        <v>793</v>
      </c>
      <c r="C210" s="168" t="s">
        <v>112</v>
      </c>
      <c r="D210" s="168" t="s">
        <v>200</v>
      </c>
      <c r="E210" s="168" t="s">
        <v>192</v>
      </c>
      <c r="F210" s="169">
        <v>1</v>
      </c>
      <c r="G210" s="168" t="s">
        <v>193</v>
      </c>
      <c r="H210" s="168" t="s">
        <v>194</v>
      </c>
      <c r="I210" s="168" t="s">
        <v>201</v>
      </c>
      <c r="J210" s="168" t="s">
        <v>202</v>
      </c>
      <c r="K210" s="168">
        <v>18</v>
      </c>
      <c r="L210" s="168" t="s">
        <v>794</v>
      </c>
      <c r="M210" s="169" t="str">
        <f t="shared" si="3"/>
        <v>721404</v>
      </c>
    </row>
    <row r="211" spans="1:13" x14ac:dyDescent="0.25">
      <c r="A211" s="168" t="s">
        <v>198</v>
      </c>
      <c r="B211" s="168" t="s">
        <v>83</v>
      </c>
      <c r="C211" s="168" t="s">
        <v>83</v>
      </c>
      <c r="D211" s="168" t="s">
        <v>200</v>
      </c>
      <c r="E211" s="168" t="s">
        <v>192</v>
      </c>
      <c r="F211" s="169">
        <v>1</v>
      </c>
      <c r="G211" s="168" t="s">
        <v>193</v>
      </c>
      <c r="H211" s="168" t="s">
        <v>194</v>
      </c>
      <c r="I211" s="168" t="s">
        <v>204</v>
      </c>
      <c r="J211" s="168" t="s">
        <v>202</v>
      </c>
      <c r="K211" s="168">
        <v>18</v>
      </c>
      <c r="L211" s="168" t="s">
        <v>791</v>
      </c>
      <c r="M211" s="169" t="str">
        <f t="shared" si="3"/>
        <v>721204</v>
      </c>
    </row>
    <row r="212" spans="1:13" x14ac:dyDescent="0.25">
      <c r="A212" s="168" t="s">
        <v>198</v>
      </c>
      <c r="B212" s="168" t="s">
        <v>287</v>
      </c>
      <c r="C212" s="168" t="s">
        <v>288</v>
      </c>
      <c r="D212" s="168" t="s">
        <v>200</v>
      </c>
      <c r="E212" s="168" t="s">
        <v>192</v>
      </c>
      <c r="F212" s="169">
        <v>1</v>
      </c>
      <c r="G212" s="168" t="s">
        <v>193</v>
      </c>
      <c r="H212" s="168" t="s">
        <v>194</v>
      </c>
      <c r="I212" s="168" t="s">
        <v>256</v>
      </c>
      <c r="J212" s="168" t="s">
        <v>202</v>
      </c>
      <c r="K212" s="168">
        <v>18</v>
      </c>
      <c r="L212" s="168" t="s">
        <v>289</v>
      </c>
      <c r="M212" s="169" t="str">
        <f t="shared" si="3"/>
        <v>214111</v>
      </c>
    </row>
    <row r="213" spans="1:13" x14ac:dyDescent="0.25">
      <c r="A213" s="168" t="s">
        <v>527</v>
      </c>
      <c r="B213" s="168" t="s">
        <v>724</v>
      </c>
      <c r="C213" s="168" t="s">
        <v>721</v>
      </c>
      <c r="D213" s="168" t="s">
        <v>200</v>
      </c>
      <c r="E213" s="168" t="s">
        <v>192</v>
      </c>
      <c r="F213" s="169">
        <v>1</v>
      </c>
      <c r="G213" s="168" t="s">
        <v>193</v>
      </c>
      <c r="H213" s="168" t="s">
        <v>194</v>
      </c>
      <c r="I213" s="168" t="s">
        <v>204</v>
      </c>
      <c r="J213" s="168" t="s">
        <v>367</v>
      </c>
      <c r="K213" s="168">
        <v>18</v>
      </c>
      <c r="L213" s="168" t="s">
        <v>723</v>
      </c>
      <c r="M213" s="169" t="str">
        <f t="shared" si="3"/>
        <v>432201</v>
      </c>
    </row>
    <row r="214" spans="1:13" x14ac:dyDescent="0.25">
      <c r="A214" s="168" t="s">
        <v>311</v>
      </c>
      <c r="B214" s="168" t="s">
        <v>312</v>
      </c>
      <c r="C214" s="168" t="s">
        <v>308</v>
      </c>
      <c r="D214" s="168" t="s">
        <v>200</v>
      </c>
      <c r="E214" s="168" t="s">
        <v>192</v>
      </c>
      <c r="F214" s="169">
        <v>1</v>
      </c>
      <c r="G214" s="168" t="s">
        <v>193</v>
      </c>
      <c r="H214" s="168" t="s">
        <v>194</v>
      </c>
      <c r="I214" s="168" t="s">
        <v>191</v>
      </c>
      <c r="J214" s="168" t="s">
        <v>196</v>
      </c>
      <c r="K214" s="168">
        <v>18</v>
      </c>
      <c r="L214" s="168" t="s">
        <v>310</v>
      </c>
      <c r="M214" s="169" t="str">
        <f t="shared" si="3"/>
        <v>214404</v>
      </c>
    </row>
    <row r="215" spans="1:13" x14ac:dyDescent="0.25">
      <c r="A215" s="168" t="s">
        <v>254</v>
      </c>
      <c r="B215" s="168" t="s">
        <v>255</v>
      </c>
      <c r="C215" s="168" t="s">
        <v>74</v>
      </c>
      <c r="D215" s="168" t="s">
        <v>200</v>
      </c>
      <c r="E215" s="168" t="s">
        <v>192</v>
      </c>
      <c r="F215" s="169">
        <v>1</v>
      </c>
      <c r="G215" s="168" t="s">
        <v>193</v>
      </c>
      <c r="H215" s="168" t="s">
        <v>194</v>
      </c>
      <c r="I215" s="168" t="s">
        <v>256</v>
      </c>
      <c r="J215" s="168" t="s">
        <v>253</v>
      </c>
      <c r="K215" s="168">
        <v>18</v>
      </c>
      <c r="L215" s="168" t="s">
        <v>246</v>
      </c>
      <c r="M215" s="169" t="str">
        <f t="shared" si="3"/>
        <v>142004</v>
      </c>
    </row>
    <row r="216" spans="1:13" x14ac:dyDescent="0.25">
      <c r="A216" s="168" t="s">
        <v>254</v>
      </c>
      <c r="B216" s="168" t="s">
        <v>257</v>
      </c>
      <c r="C216" s="168" t="s">
        <v>74</v>
      </c>
      <c r="D216" s="168" t="s">
        <v>200</v>
      </c>
      <c r="E216" s="168" t="s">
        <v>192</v>
      </c>
      <c r="F216" s="169">
        <v>1</v>
      </c>
      <c r="G216" s="168" t="s">
        <v>193</v>
      </c>
      <c r="H216" s="168" t="s">
        <v>194</v>
      </c>
      <c r="I216" s="168" t="s">
        <v>201</v>
      </c>
      <c r="J216" s="168" t="s">
        <v>253</v>
      </c>
      <c r="K216" s="168">
        <v>18</v>
      </c>
      <c r="L216" s="168" t="s">
        <v>246</v>
      </c>
      <c r="M216" s="169" t="str">
        <f t="shared" si="3"/>
        <v>142004</v>
      </c>
    </row>
    <row r="217" spans="1:13" x14ac:dyDescent="0.25">
      <c r="A217" s="168" t="s">
        <v>411</v>
      </c>
      <c r="B217" s="168" t="s">
        <v>412</v>
      </c>
      <c r="C217" s="168" t="s">
        <v>9</v>
      </c>
      <c r="D217" s="168" t="s">
        <v>200</v>
      </c>
      <c r="E217" s="168" t="s">
        <v>192</v>
      </c>
      <c r="F217" s="169">
        <v>1</v>
      </c>
      <c r="G217" s="168" t="s">
        <v>193</v>
      </c>
      <c r="H217" s="168" t="s">
        <v>194</v>
      </c>
      <c r="I217" s="168" t="s">
        <v>256</v>
      </c>
      <c r="J217" s="168" t="s">
        <v>276</v>
      </c>
      <c r="K217" s="168">
        <v>18</v>
      </c>
      <c r="L217" s="168" t="s">
        <v>405</v>
      </c>
      <c r="M217" s="169" t="str">
        <f t="shared" si="3"/>
        <v>241304</v>
      </c>
    </row>
    <row r="218" spans="1:13" x14ac:dyDescent="0.25">
      <c r="A218" s="168" t="s">
        <v>489</v>
      </c>
      <c r="B218" s="168" t="s">
        <v>490</v>
      </c>
      <c r="C218" s="168" t="s">
        <v>10</v>
      </c>
      <c r="D218" s="168" t="s">
        <v>200</v>
      </c>
      <c r="E218" s="168" t="s">
        <v>192</v>
      </c>
      <c r="F218" s="169">
        <v>1</v>
      </c>
      <c r="G218" s="168" t="s">
        <v>193</v>
      </c>
      <c r="H218" s="168" t="s">
        <v>194</v>
      </c>
      <c r="I218" s="168" t="s">
        <v>204</v>
      </c>
      <c r="J218" s="168" t="s">
        <v>316</v>
      </c>
      <c r="K218" s="168">
        <v>18</v>
      </c>
      <c r="L218" s="168" t="s">
        <v>484</v>
      </c>
      <c r="M218" s="169" t="str">
        <f t="shared" si="3"/>
        <v>251401</v>
      </c>
    </row>
    <row r="219" spans="1:13" x14ac:dyDescent="0.25">
      <c r="A219" s="168" t="s">
        <v>430</v>
      </c>
      <c r="B219" s="168" t="s">
        <v>431</v>
      </c>
      <c r="C219" s="168" t="s">
        <v>100</v>
      </c>
      <c r="D219" s="168" t="s">
        <v>200</v>
      </c>
      <c r="E219" s="168" t="s">
        <v>192</v>
      </c>
      <c r="F219" s="169">
        <v>1</v>
      </c>
      <c r="G219" s="168" t="s">
        <v>193</v>
      </c>
      <c r="H219" s="168" t="s">
        <v>194</v>
      </c>
      <c r="I219" s="168" t="s">
        <v>191</v>
      </c>
      <c r="J219" s="168" t="s">
        <v>210</v>
      </c>
      <c r="K219" s="168">
        <v>18</v>
      </c>
      <c r="L219" s="168" t="s">
        <v>429</v>
      </c>
      <c r="M219" s="169" t="str">
        <f t="shared" si="3"/>
        <v>242108</v>
      </c>
    </row>
    <row r="220" spans="1:13" x14ac:dyDescent="0.25">
      <c r="A220" s="168" t="s">
        <v>446</v>
      </c>
      <c r="B220" s="168" t="s">
        <v>748</v>
      </c>
      <c r="C220" s="168" t="s">
        <v>740</v>
      </c>
      <c r="D220" s="168" t="s">
        <v>200</v>
      </c>
      <c r="E220" s="168" t="s">
        <v>192</v>
      </c>
      <c r="F220" s="169">
        <v>1</v>
      </c>
      <c r="G220" s="168" t="s">
        <v>193</v>
      </c>
      <c r="H220" s="168" t="s">
        <v>194</v>
      </c>
      <c r="I220" s="168" t="s">
        <v>204</v>
      </c>
      <c r="J220" s="168" t="s">
        <v>745</v>
      </c>
      <c r="K220" s="168">
        <v>18</v>
      </c>
      <c r="L220" s="168" t="s">
        <v>741</v>
      </c>
      <c r="M220" s="169" t="str">
        <f t="shared" si="3"/>
        <v>522301</v>
      </c>
    </row>
    <row r="221" spans="1:13" x14ac:dyDescent="0.25">
      <c r="A221" s="168" t="s">
        <v>446</v>
      </c>
      <c r="B221" s="168" t="s">
        <v>749</v>
      </c>
      <c r="C221" s="168" t="s">
        <v>740</v>
      </c>
      <c r="D221" s="168" t="s">
        <v>200</v>
      </c>
      <c r="E221" s="168" t="s">
        <v>192</v>
      </c>
      <c r="F221" s="169">
        <v>1</v>
      </c>
      <c r="G221" s="168" t="s">
        <v>193</v>
      </c>
      <c r="H221" s="168" t="s">
        <v>194</v>
      </c>
      <c r="I221" s="168" t="s">
        <v>204</v>
      </c>
      <c r="J221" s="168" t="s">
        <v>750</v>
      </c>
      <c r="K221" s="168">
        <v>18</v>
      </c>
      <c r="L221" s="168" t="s">
        <v>741</v>
      </c>
      <c r="M221" s="169" t="str">
        <f t="shared" si="3"/>
        <v>522301</v>
      </c>
    </row>
    <row r="222" spans="1:13" x14ac:dyDescent="0.25">
      <c r="A222" s="168" t="s">
        <v>531</v>
      </c>
      <c r="B222" s="168" t="s">
        <v>532</v>
      </c>
      <c r="C222" s="168" t="s">
        <v>525</v>
      </c>
      <c r="D222" s="168" t="s">
        <v>200</v>
      </c>
      <c r="E222" s="168" t="s">
        <v>192</v>
      </c>
      <c r="F222" s="169">
        <v>10</v>
      </c>
      <c r="G222" s="168" t="s">
        <v>193</v>
      </c>
      <c r="H222" s="168" t="s">
        <v>194</v>
      </c>
      <c r="I222" s="168" t="s">
        <v>191</v>
      </c>
      <c r="J222" s="168" t="s">
        <v>210</v>
      </c>
      <c r="K222" s="168">
        <v>18</v>
      </c>
      <c r="L222" s="168" t="s">
        <v>526</v>
      </c>
      <c r="M222" s="169" t="str">
        <f t="shared" si="3"/>
        <v>263102</v>
      </c>
    </row>
    <row r="223" spans="1:13" x14ac:dyDescent="0.25">
      <c r="A223" s="168" t="s">
        <v>544</v>
      </c>
      <c r="B223" s="168" t="s">
        <v>545</v>
      </c>
      <c r="C223" s="168" t="s">
        <v>542</v>
      </c>
      <c r="D223" s="168" t="s">
        <v>200</v>
      </c>
      <c r="E223" s="168" t="s">
        <v>192</v>
      </c>
      <c r="F223" s="169">
        <v>1</v>
      </c>
      <c r="G223" s="168" t="s">
        <v>193</v>
      </c>
      <c r="H223" s="168" t="s">
        <v>194</v>
      </c>
      <c r="I223" s="168" t="s">
        <v>256</v>
      </c>
      <c r="J223" s="168" t="s">
        <v>210</v>
      </c>
      <c r="K223" s="168">
        <v>18</v>
      </c>
      <c r="L223" s="168" t="s">
        <v>543</v>
      </c>
      <c r="M223" s="169" t="str">
        <f t="shared" si="3"/>
        <v>264304</v>
      </c>
    </row>
    <row r="224" spans="1:13" x14ac:dyDescent="0.25">
      <c r="A224" s="168" t="s">
        <v>552</v>
      </c>
      <c r="B224" s="168" t="s">
        <v>553</v>
      </c>
      <c r="C224" s="168" t="s">
        <v>554</v>
      </c>
      <c r="D224" s="168" t="s">
        <v>200</v>
      </c>
      <c r="E224" s="168" t="s">
        <v>192</v>
      </c>
      <c r="F224" s="169">
        <v>1</v>
      </c>
      <c r="G224" s="168" t="s">
        <v>193</v>
      </c>
      <c r="H224" s="168" t="s">
        <v>194</v>
      </c>
      <c r="I224" s="168" t="s">
        <v>191</v>
      </c>
      <c r="J224" s="168" t="s">
        <v>253</v>
      </c>
      <c r="K224" s="168">
        <v>18</v>
      </c>
      <c r="L224" s="168" t="s">
        <v>555</v>
      </c>
      <c r="M224" s="169" t="str">
        <f t="shared" si="3"/>
        <v>311303</v>
      </c>
    </row>
    <row r="225" spans="1:13" x14ac:dyDescent="0.25">
      <c r="A225" s="168" t="s">
        <v>824</v>
      </c>
      <c r="B225" s="168" t="s">
        <v>825</v>
      </c>
      <c r="C225" s="168" t="s">
        <v>822</v>
      </c>
      <c r="D225" s="168" t="s">
        <v>200</v>
      </c>
      <c r="E225" s="168" t="s">
        <v>192</v>
      </c>
      <c r="F225" s="169">
        <v>1</v>
      </c>
      <c r="G225" s="168" t="s">
        <v>193</v>
      </c>
      <c r="H225" s="168" t="s">
        <v>194</v>
      </c>
      <c r="I225" s="168" t="s">
        <v>256</v>
      </c>
      <c r="J225" s="168" t="s">
        <v>826</v>
      </c>
      <c r="K225" s="168">
        <v>18</v>
      </c>
      <c r="L225" s="168" t="s">
        <v>823</v>
      </c>
      <c r="M225" s="169" t="str">
        <f t="shared" si="3"/>
        <v>741103</v>
      </c>
    </row>
    <row r="226" spans="1:13" x14ac:dyDescent="0.25">
      <c r="A226" s="168" t="s">
        <v>413</v>
      </c>
      <c r="B226" s="168" t="s">
        <v>414</v>
      </c>
      <c r="C226" s="168" t="s">
        <v>9</v>
      </c>
      <c r="D226" s="168" t="s">
        <v>200</v>
      </c>
      <c r="E226" s="168" t="s">
        <v>192</v>
      </c>
      <c r="F226" s="169">
        <v>3</v>
      </c>
      <c r="G226" s="168" t="s">
        <v>193</v>
      </c>
      <c r="H226" s="168" t="s">
        <v>194</v>
      </c>
      <c r="I226" s="168" t="s">
        <v>256</v>
      </c>
      <c r="J226" s="168" t="s">
        <v>385</v>
      </c>
      <c r="K226" s="168">
        <v>18</v>
      </c>
      <c r="L226" s="168" t="s">
        <v>405</v>
      </c>
      <c r="M226" s="169" t="str">
        <f t="shared" si="3"/>
        <v>241304</v>
      </c>
    </row>
    <row r="227" spans="1:13" x14ac:dyDescent="0.25">
      <c r="A227" s="168" t="s">
        <v>453</v>
      </c>
      <c r="B227" s="168" t="s">
        <v>454</v>
      </c>
      <c r="C227" s="168" t="s">
        <v>43</v>
      </c>
      <c r="D227" s="168" t="s">
        <v>200</v>
      </c>
      <c r="E227" s="168" t="s">
        <v>192</v>
      </c>
      <c r="F227" s="169">
        <v>1</v>
      </c>
      <c r="G227" s="168" t="s">
        <v>193</v>
      </c>
      <c r="H227" s="168" t="s">
        <v>194</v>
      </c>
      <c r="I227" s="168" t="s">
        <v>256</v>
      </c>
      <c r="J227" s="168" t="s">
        <v>196</v>
      </c>
      <c r="K227" s="168">
        <v>18</v>
      </c>
      <c r="L227" s="168" t="s">
        <v>452</v>
      </c>
      <c r="M227" s="169" t="str">
        <f t="shared" si="3"/>
        <v>243106</v>
      </c>
    </row>
    <row r="228" spans="1:13" x14ac:dyDescent="0.25">
      <c r="A228" s="168" t="s">
        <v>629</v>
      </c>
      <c r="B228" s="168" t="s">
        <v>630</v>
      </c>
      <c r="C228" s="168" t="s">
        <v>17</v>
      </c>
      <c r="D228" s="168" t="s">
        <v>200</v>
      </c>
      <c r="E228" s="168" t="s">
        <v>192</v>
      </c>
      <c r="F228" s="169">
        <v>1</v>
      </c>
      <c r="G228" s="168" t="s">
        <v>193</v>
      </c>
      <c r="H228" s="168" t="s">
        <v>194</v>
      </c>
      <c r="I228" s="168" t="s">
        <v>256</v>
      </c>
      <c r="J228" s="168" t="s">
        <v>196</v>
      </c>
      <c r="K228" s="168">
        <v>18</v>
      </c>
      <c r="L228" s="168" t="s">
        <v>624</v>
      </c>
      <c r="M228" s="169" t="str">
        <f t="shared" si="3"/>
        <v>332203</v>
      </c>
    </row>
    <row r="229" spans="1:13" x14ac:dyDescent="0.25">
      <c r="A229" s="168" t="s">
        <v>491</v>
      </c>
      <c r="B229" s="168" t="s">
        <v>492</v>
      </c>
      <c r="C229" s="168" t="s">
        <v>10</v>
      </c>
      <c r="D229" s="168" t="s">
        <v>200</v>
      </c>
      <c r="E229" s="168" t="s">
        <v>192</v>
      </c>
      <c r="F229" s="169">
        <v>1</v>
      </c>
      <c r="G229" s="168" t="s">
        <v>193</v>
      </c>
      <c r="H229" s="168" t="s">
        <v>194</v>
      </c>
      <c r="I229" s="168" t="s">
        <v>191</v>
      </c>
      <c r="J229" s="168" t="s">
        <v>210</v>
      </c>
      <c r="K229" s="168">
        <v>18</v>
      </c>
      <c r="L229" s="168" t="s">
        <v>484</v>
      </c>
      <c r="M229" s="169" t="str">
        <f t="shared" si="3"/>
        <v>251401</v>
      </c>
    </row>
    <row r="230" spans="1:13" x14ac:dyDescent="0.25">
      <c r="A230" s="168" t="s">
        <v>324</v>
      </c>
      <c r="B230" s="168" t="s">
        <v>325</v>
      </c>
      <c r="C230" s="168" t="s">
        <v>326</v>
      </c>
      <c r="D230" s="168" t="s">
        <v>200</v>
      </c>
      <c r="E230" s="168" t="s">
        <v>192</v>
      </c>
      <c r="F230" s="169">
        <v>1</v>
      </c>
      <c r="G230" s="168" t="s">
        <v>193</v>
      </c>
      <c r="H230" s="168" t="s">
        <v>194</v>
      </c>
      <c r="I230" s="168" t="s">
        <v>256</v>
      </c>
      <c r="J230" s="168" t="s">
        <v>327</v>
      </c>
      <c r="K230" s="168">
        <v>18</v>
      </c>
      <c r="L230" s="168" t="s">
        <v>328</v>
      </c>
      <c r="M230" s="169" t="str">
        <f t="shared" si="3"/>
        <v>214503</v>
      </c>
    </row>
    <row r="231" spans="1:13" x14ac:dyDescent="0.25">
      <c r="A231" s="168" t="s">
        <v>546</v>
      </c>
      <c r="B231" s="168" t="s">
        <v>547</v>
      </c>
      <c r="C231" s="168" t="s">
        <v>542</v>
      </c>
      <c r="D231" s="168" t="s">
        <v>200</v>
      </c>
      <c r="E231" s="168" t="s">
        <v>192</v>
      </c>
      <c r="F231" s="169">
        <v>1</v>
      </c>
      <c r="G231" s="168" t="s">
        <v>193</v>
      </c>
      <c r="H231" s="168" t="s">
        <v>194</v>
      </c>
      <c r="I231" s="168" t="s">
        <v>256</v>
      </c>
      <c r="J231" s="168" t="s">
        <v>210</v>
      </c>
      <c r="K231" s="168">
        <v>18</v>
      </c>
      <c r="L231" s="168" t="s">
        <v>543</v>
      </c>
      <c r="M231" s="169" t="str">
        <f t="shared" si="3"/>
        <v>264304</v>
      </c>
    </row>
    <row r="232" spans="1:13" x14ac:dyDescent="0.25">
      <c r="A232" s="168" t="s">
        <v>546</v>
      </c>
      <c r="B232" s="168" t="s">
        <v>548</v>
      </c>
      <c r="C232" s="168" t="s">
        <v>542</v>
      </c>
      <c r="D232" s="168" t="s">
        <v>200</v>
      </c>
      <c r="E232" s="168" t="s">
        <v>192</v>
      </c>
      <c r="F232" s="169">
        <v>1</v>
      </c>
      <c r="G232" s="168" t="s">
        <v>193</v>
      </c>
      <c r="H232" s="168" t="s">
        <v>194</v>
      </c>
      <c r="I232" s="168" t="s">
        <v>256</v>
      </c>
      <c r="J232" s="168" t="s">
        <v>210</v>
      </c>
      <c r="K232" s="168">
        <v>18</v>
      </c>
      <c r="L232" s="168" t="s">
        <v>543</v>
      </c>
      <c r="M232" s="169" t="str">
        <f t="shared" si="3"/>
        <v>264304</v>
      </c>
    </row>
    <row r="233" spans="1:13" x14ac:dyDescent="0.25">
      <c r="A233" s="168" t="s">
        <v>455</v>
      </c>
      <c r="B233" s="168" t="s">
        <v>456</v>
      </c>
      <c r="C233" s="168" t="s">
        <v>43</v>
      </c>
      <c r="D233" s="168" t="s">
        <v>200</v>
      </c>
      <c r="E233" s="168" t="s">
        <v>192</v>
      </c>
      <c r="F233" s="169">
        <v>1</v>
      </c>
      <c r="G233" s="168" t="s">
        <v>193</v>
      </c>
      <c r="H233" s="168" t="s">
        <v>194</v>
      </c>
      <c r="I233" s="168" t="s">
        <v>201</v>
      </c>
      <c r="J233" s="168" t="s">
        <v>276</v>
      </c>
      <c r="K233" s="168">
        <v>18</v>
      </c>
      <c r="L233" s="168" t="s">
        <v>452</v>
      </c>
      <c r="M233" s="169" t="str">
        <f t="shared" si="3"/>
        <v>243106</v>
      </c>
    </row>
    <row r="234" spans="1:13" x14ac:dyDescent="0.25">
      <c r="A234" s="168" t="s">
        <v>619</v>
      </c>
      <c r="B234" s="168" t="s">
        <v>620</v>
      </c>
      <c r="C234" s="168" t="s">
        <v>110</v>
      </c>
      <c r="D234" s="168" t="s">
        <v>200</v>
      </c>
      <c r="E234" s="168" t="s">
        <v>192</v>
      </c>
      <c r="F234" s="169">
        <v>1</v>
      </c>
      <c r="G234" s="168" t="s">
        <v>193</v>
      </c>
      <c r="H234" s="168" t="s">
        <v>194</v>
      </c>
      <c r="I234" s="168" t="s">
        <v>256</v>
      </c>
      <c r="J234" s="168" t="s">
        <v>323</v>
      </c>
      <c r="K234" s="168">
        <v>18</v>
      </c>
      <c r="L234" s="168" t="s">
        <v>621</v>
      </c>
      <c r="M234" s="169" t="str">
        <f t="shared" si="3"/>
        <v>332201</v>
      </c>
    </row>
    <row r="235" spans="1:13" x14ac:dyDescent="0.25">
      <c r="A235" s="168" t="s">
        <v>380</v>
      </c>
      <c r="B235" s="168" t="s">
        <v>381</v>
      </c>
      <c r="C235" s="168" t="s">
        <v>378</v>
      </c>
      <c r="D235" s="168" t="s">
        <v>200</v>
      </c>
      <c r="E235" s="168" t="s">
        <v>192</v>
      </c>
      <c r="F235" s="169">
        <v>1</v>
      </c>
      <c r="G235" s="168" t="s">
        <v>193</v>
      </c>
      <c r="H235" s="168" t="s">
        <v>194</v>
      </c>
      <c r="I235" s="168" t="s">
        <v>201</v>
      </c>
      <c r="J235" s="168" t="s">
        <v>309</v>
      </c>
      <c r="K235" s="168">
        <v>18</v>
      </c>
      <c r="L235" s="168" t="s">
        <v>379</v>
      </c>
      <c r="M235" s="169" t="str">
        <f t="shared" si="3"/>
        <v>215303</v>
      </c>
    </row>
    <row r="236" spans="1:13" x14ac:dyDescent="0.25">
      <c r="A236" s="168" t="s">
        <v>457</v>
      </c>
      <c r="B236" s="168" t="s">
        <v>458</v>
      </c>
      <c r="C236" s="168" t="s">
        <v>43</v>
      </c>
      <c r="D236" s="168" t="s">
        <v>200</v>
      </c>
      <c r="E236" s="168" t="s">
        <v>192</v>
      </c>
      <c r="F236" s="169">
        <v>1</v>
      </c>
      <c r="G236" s="168" t="s">
        <v>193</v>
      </c>
      <c r="H236" s="168" t="s">
        <v>194</v>
      </c>
      <c r="I236" s="168" t="s">
        <v>191</v>
      </c>
      <c r="J236" s="168" t="s">
        <v>276</v>
      </c>
      <c r="K236" s="168">
        <v>18</v>
      </c>
      <c r="L236" s="168" t="s">
        <v>452</v>
      </c>
      <c r="M236" s="169" t="str">
        <f t="shared" si="3"/>
        <v>243106</v>
      </c>
    </row>
    <row r="237" spans="1:13" x14ac:dyDescent="0.25">
      <c r="A237" s="168" t="s">
        <v>493</v>
      </c>
      <c r="B237" s="168" t="s">
        <v>494</v>
      </c>
      <c r="C237" s="168" t="s">
        <v>10</v>
      </c>
      <c r="D237" s="168" t="s">
        <v>200</v>
      </c>
      <c r="E237" s="168" t="s">
        <v>192</v>
      </c>
      <c r="F237" s="169">
        <v>1</v>
      </c>
      <c r="G237" s="168" t="s">
        <v>193</v>
      </c>
      <c r="H237" s="168" t="s">
        <v>194</v>
      </c>
      <c r="I237" s="168" t="s">
        <v>195</v>
      </c>
      <c r="J237" s="168" t="s">
        <v>210</v>
      </c>
      <c r="K237" s="168">
        <v>18</v>
      </c>
      <c r="L237" s="168" t="s">
        <v>484</v>
      </c>
      <c r="M237" s="169" t="str">
        <f t="shared" si="3"/>
        <v>251401</v>
      </c>
    </row>
    <row r="238" spans="1:13" x14ac:dyDescent="0.25">
      <c r="A238" s="168" t="s">
        <v>225</v>
      </c>
      <c r="B238" s="168" t="s">
        <v>226</v>
      </c>
      <c r="C238" s="168" t="s">
        <v>227</v>
      </c>
      <c r="D238" s="168" t="s">
        <v>200</v>
      </c>
      <c r="E238" s="168" t="s">
        <v>192</v>
      </c>
      <c r="F238" s="169">
        <v>1</v>
      </c>
      <c r="G238" s="168" t="s">
        <v>193</v>
      </c>
      <c r="H238" s="168" t="s">
        <v>194</v>
      </c>
      <c r="I238" s="168" t="s">
        <v>201</v>
      </c>
      <c r="J238" s="168" t="s">
        <v>228</v>
      </c>
      <c r="K238" s="168">
        <v>18</v>
      </c>
      <c r="L238" s="168" t="s">
        <v>229</v>
      </c>
      <c r="M238" s="169" t="str">
        <f t="shared" si="3"/>
        <v>132401</v>
      </c>
    </row>
    <row r="239" spans="1:13" x14ac:dyDescent="0.25">
      <c r="A239" s="168" t="s">
        <v>271</v>
      </c>
      <c r="B239" s="168" t="s">
        <v>775</v>
      </c>
      <c r="C239" s="168" t="s">
        <v>776</v>
      </c>
      <c r="D239" s="168" t="s">
        <v>200</v>
      </c>
      <c r="E239" s="168" t="s">
        <v>192</v>
      </c>
      <c r="F239" s="169">
        <v>1</v>
      </c>
      <c r="G239" s="168" t="s">
        <v>193</v>
      </c>
      <c r="H239" s="168" t="s">
        <v>194</v>
      </c>
      <c r="I239" s="168" t="s">
        <v>201</v>
      </c>
      <c r="J239" s="168" t="s">
        <v>276</v>
      </c>
      <c r="K239" s="168">
        <v>18</v>
      </c>
      <c r="L239" s="168" t="s">
        <v>777</v>
      </c>
      <c r="M239" s="169" t="str">
        <f t="shared" si="3"/>
        <v>524403</v>
      </c>
    </row>
    <row r="240" spans="1:13" x14ac:dyDescent="0.25">
      <c r="A240" s="168" t="s">
        <v>271</v>
      </c>
      <c r="B240" s="168" t="s">
        <v>275</v>
      </c>
      <c r="C240" s="168" t="s">
        <v>118</v>
      </c>
      <c r="D240" s="168" t="s">
        <v>200</v>
      </c>
      <c r="E240" s="168" t="s">
        <v>192</v>
      </c>
      <c r="F240" s="169">
        <v>1</v>
      </c>
      <c r="G240" s="168" t="s">
        <v>193</v>
      </c>
      <c r="H240" s="168" t="s">
        <v>194</v>
      </c>
      <c r="I240" s="168" t="s">
        <v>191</v>
      </c>
      <c r="J240" s="168" t="s">
        <v>276</v>
      </c>
      <c r="K240" s="168">
        <v>18</v>
      </c>
      <c r="L240" s="168" t="s">
        <v>277</v>
      </c>
      <c r="M240" s="169" t="str">
        <f t="shared" si="3"/>
        <v>211302</v>
      </c>
    </row>
    <row r="241" spans="1:13" x14ac:dyDescent="0.25">
      <c r="A241" s="168" t="s">
        <v>533</v>
      </c>
      <c r="B241" s="168" t="s">
        <v>534</v>
      </c>
      <c r="C241" s="168" t="s">
        <v>525</v>
      </c>
      <c r="D241" s="168" t="s">
        <v>200</v>
      </c>
      <c r="E241" s="168" t="s">
        <v>192</v>
      </c>
      <c r="F241" s="169">
        <v>1</v>
      </c>
      <c r="G241" s="168" t="s">
        <v>193</v>
      </c>
      <c r="H241" s="168" t="s">
        <v>194</v>
      </c>
      <c r="I241" s="168" t="s">
        <v>256</v>
      </c>
      <c r="J241" s="168" t="s">
        <v>535</v>
      </c>
      <c r="K241" s="168">
        <v>18</v>
      </c>
      <c r="L241" s="168" t="s">
        <v>526</v>
      </c>
      <c r="M241" s="169" t="str">
        <f t="shared" si="3"/>
        <v>263102</v>
      </c>
    </row>
    <row r="242" spans="1:13" x14ac:dyDescent="0.25">
      <c r="A242" s="168" t="s">
        <v>631</v>
      </c>
      <c r="B242" s="168" t="s">
        <v>632</v>
      </c>
      <c r="C242" s="168" t="s">
        <v>17</v>
      </c>
      <c r="D242" s="168" t="s">
        <v>200</v>
      </c>
      <c r="E242" s="168" t="s">
        <v>192</v>
      </c>
      <c r="F242" s="169">
        <v>1</v>
      </c>
      <c r="G242" s="168" t="s">
        <v>193</v>
      </c>
      <c r="H242" s="168" t="s">
        <v>194</v>
      </c>
      <c r="I242" s="168" t="s">
        <v>204</v>
      </c>
      <c r="J242" s="168" t="s">
        <v>276</v>
      </c>
      <c r="K242" s="168">
        <v>18</v>
      </c>
      <c r="L242" s="168" t="s">
        <v>624</v>
      </c>
      <c r="M242" s="169" t="str">
        <f t="shared" si="3"/>
        <v>332203</v>
      </c>
    </row>
    <row r="243" spans="1:13" x14ac:dyDescent="0.25">
      <c r="A243" s="168" t="s">
        <v>633</v>
      </c>
      <c r="B243" s="168" t="s">
        <v>634</v>
      </c>
      <c r="C243" s="168" t="s">
        <v>17</v>
      </c>
      <c r="D243" s="168" t="s">
        <v>200</v>
      </c>
      <c r="E243" s="168" t="s">
        <v>192</v>
      </c>
      <c r="F243" s="169">
        <v>1</v>
      </c>
      <c r="G243" s="168" t="s">
        <v>193</v>
      </c>
      <c r="H243" s="168" t="s">
        <v>194</v>
      </c>
      <c r="I243" s="168" t="s">
        <v>191</v>
      </c>
      <c r="J243" s="168" t="s">
        <v>210</v>
      </c>
      <c r="K243" s="168">
        <v>18</v>
      </c>
      <c r="L243" s="168" t="s">
        <v>624</v>
      </c>
      <c r="M243" s="169" t="str">
        <f t="shared" si="3"/>
        <v>332203</v>
      </c>
    </row>
    <row r="244" spans="1:13" x14ac:dyDescent="0.25">
      <c r="A244" s="168" t="s">
        <v>556</v>
      </c>
      <c r="B244" s="168" t="s">
        <v>557</v>
      </c>
      <c r="C244" s="168" t="s">
        <v>554</v>
      </c>
      <c r="D244" s="168" t="s">
        <v>200</v>
      </c>
      <c r="E244" s="168" t="s">
        <v>192</v>
      </c>
      <c r="F244" s="169">
        <v>1</v>
      </c>
      <c r="G244" s="168" t="s">
        <v>193</v>
      </c>
      <c r="H244" s="168" t="s">
        <v>194</v>
      </c>
      <c r="I244" s="168" t="s">
        <v>191</v>
      </c>
      <c r="J244" s="168" t="s">
        <v>316</v>
      </c>
      <c r="K244" s="168">
        <v>18</v>
      </c>
      <c r="L244" s="168" t="s">
        <v>555</v>
      </c>
      <c r="M244" s="169" t="str">
        <f t="shared" si="3"/>
        <v>311303</v>
      </c>
    </row>
    <row r="245" spans="1:13" x14ac:dyDescent="0.25">
      <c r="A245" s="168" t="s">
        <v>667</v>
      </c>
      <c r="B245" s="168" t="s">
        <v>668</v>
      </c>
      <c r="C245" s="168" t="s">
        <v>119</v>
      </c>
      <c r="D245" s="168" t="s">
        <v>200</v>
      </c>
      <c r="E245" s="168" t="s">
        <v>192</v>
      </c>
      <c r="F245" s="169">
        <v>1</v>
      </c>
      <c r="G245" s="168" t="s">
        <v>193</v>
      </c>
      <c r="H245" s="168" t="s">
        <v>194</v>
      </c>
      <c r="I245" s="168" t="s">
        <v>256</v>
      </c>
      <c r="J245" s="168" t="s">
        <v>210</v>
      </c>
      <c r="K245" s="168">
        <v>18</v>
      </c>
      <c r="L245" s="168" t="s">
        <v>666</v>
      </c>
      <c r="M245" s="169" t="str">
        <f t="shared" si="3"/>
        <v>333105</v>
      </c>
    </row>
    <row r="246" spans="1:13" x14ac:dyDescent="0.25">
      <c r="A246" s="168" t="s">
        <v>258</v>
      </c>
      <c r="B246" s="168" t="s">
        <v>245</v>
      </c>
      <c r="C246" s="168" t="s">
        <v>74</v>
      </c>
      <c r="D246" s="168" t="s">
        <v>213</v>
      </c>
      <c r="E246" s="168" t="s">
        <v>233</v>
      </c>
      <c r="F246" s="169">
        <v>1</v>
      </c>
      <c r="G246" s="168" t="s">
        <v>193</v>
      </c>
      <c r="H246" s="168" t="s">
        <v>194</v>
      </c>
      <c r="I246" s="168" t="s">
        <v>200</v>
      </c>
      <c r="J246" s="168" t="s">
        <v>259</v>
      </c>
      <c r="K246" s="168">
        <v>18</v>
      </c>
      <c r="L246" s="168" t="s">
        <v>246</v>
      </c>
      <c r="M246" s="169" t="str">
        <f t="shared" si="3"/>
        <v>142004</v>
      </c>
    </row>
    <row r="247" spans="1:13" x14ac:dyDescent="0.25">
      <c r="A247" s="168" t="s">
        <v>712</v>
      </c>
      <c r="B247" s="168" t="s">
        <v>67</v>
      </c>
      <c r="C247" s="168" t="s">
        <v>67</v>
      </c>
      <c r="D247" s="168" t="s">
        <v>213</v>
      </c>
      <c r="E247" s="168" t="s">
        <v>192</v>
      </c>
      <c r="F247" s="169">
        <v>1</v>
      </c>
      <c r="G247" s="168" t="s">
        <v>193</v>
      </c>
      <c r="H247" s="168" t="s">
        <v>194</v>
      </c>
      <c r="I247" s="168" t="s">
        <v>214</v>
      </c>
      <c r="J247" s="168" t="s">
        <v>316</v>
      </c>
      <c r="K247" s="168">
        <v>18</v>
      </c>
      <c r="L247" s="168" t="s">
        <v>709</v>
      </c>
      <c r="M247" s="169" t="str">
        <f t="shared" si="3"/>
        <v>432103</v>
      </c>
    </row>
    <row r="248" spans="1:13" x14ac:dyDescent="0.25">
      <c r="A248" s="168" t="s">
        <v>712</v>
      </c>
      <c r="B248" s="168" t="s">
        <v>8</v>
      </c>
      <c r="C248" s="168" t="s">
        <v>740</v>
      </c>
      <c r="D248" s="168" t="s">
        <v>213</v>
      </c>
      <c r="E248" s="168" t="s">
        <v>192</v>
      </c>
      <c r="F248" s="169">
        <v>1</v>
      </c>
      <c r="G248" s="168" t="s">
        <v>193</v>
      </c>
      <c r="H248" s="168" t="s">
        <v>194</v>
      </c>
      <c r="I248" s="168" t="s">
        <v>214</v>
      </c>
      <c r="J248" s="168" t="s">
        <v>210</v>
      </c>
      <c r="K248" s="168">
        <v>18</v>
      </c>
      <c r="L248" s="168" t="s">
        <v>741</v>
      </c>
      <c r="M248" s="169" t="str">
        <f t="shared" si="3"/>
        <v>522301</v>
      </c>
    </row>
    <row r="249" spans="1:13" x14ac:dyDescent="0.25">
      <c r="A249" s="168" t="s">
        <v>635</v>
      </c>
      <c r="B249" s="168" t="s">
        <v>632</v>
      </c>
      <c r="C249" s="168" t="s">
        <v>17</v>
      </c>
      <c r="D249" s="168" t="s">
        <v>213</v>
      </c>
      <c r="E249" s="168" t="s">
        <v>192</v>
      </c>
      <c r="F249" s="169">
        <v>1</v>
      </c>
      <c r="G249" s="168" t="s">
        <v>193</v>
      </c>
      <c r="H249" s="168" t="s">
        <v>194</v>
      </c>
      <c r="I249" s="168" t="s">
        <v>214</v>
      </c>
      <c r="J249" s="168" t="s">
        <v>210</v>
      </c>
      <c r="K249" s="168">
        <v>18</v>
      </c>
      <c r="L249" s="168" t="s">
        <v>624</v>
      </c>
      <c r="M249" s="169" t="str">
        <f t="shared" si="3"/>
        <v>332203</v>
      </c>
    </row>
    <row r="250" spans="1:13" x14ac:dyDescent="0.25">
      <c r="A250" s="168" t="s">
        <v>729</v>
      </c>
      <c r="B250" s="168" t="s">
        <v>730</v>
      </c>
      <c r="C250" s="168" t="s">
        <v>727</v>
      </c>
      <c r="D250" s="168" t="s">
        <v>213</v>
      </c>
      <c r="E250" s="168" t="s">
        <v>192</v>
      </c>
      <c r="F250" s="169">
        <v>1</v>
      </c>
      <c r="G250" s="168" t="s">
        <v>193</v>
      </c>
      <c r="H250" s="168" t="s">
        <v>194</v>
      </c>
      <c r="I250" s="168" t="s">
        <v>200</v>
      </c>
      <c r="J250" s="168" t="s">
        <v>210</v>
      </c>
      <c r="K250" s="168">
        <v>18</v>
      </c>
      <c r="L250" s="168" t="s">
        <v>728</v>
      </c>
      <c r="M250" s="169" t="str">
        <f t="shared" si="3"/>
        <v>512001</v>
      </c>
    </row>
    <row r="251" spans="1:13" x14ac:dyDescent="0.25">
      <c r="A251" s="168" t="s">
        <v>221</v>
      </c>
      <c r="B251" s="168" t="s">
        <v>357</v>
      </c>
      <c r="C251" s="168" t="s">
        <v>354</v>
      </c>
      <c r="D251" s="168" t="s">
        <v>213</v>
      </c>
      <c r="E251" s="168" t="s">
        <v>192</v>
      </c>
      <c r="F251" s="169">
        <v>1</v>
      </c>
      <c r="G251" s="168" t="s">
        <v>193</v>
      </c>
      <c r="H251" s="168" t="s">
        <v>194</v>
      </c>
      <c r="I251" s="168" t="s">
        <v>200</v>
      </c>
      <c r="J251" s="168" t="s">
        <v>223</v>
      </c>
      <c r="K251" s="168">
        <v>18</v>
      </c>
      <c r="L251" s="168" t="s">
        <v>355</v>
      </c>
      <c r="M251" s="169" t="str">
        <f t="shared" si="3"/>
        <v>215103</v>
      </c>
    </row>
    <row r="252" spans="1:13" x14ac:dyDescent="0.25">
      <c r="A252" s="168" t="s">
        <v>230</v>
      </c>
      <c r="B252" s="168" t="s">
        <v>520</v>
      </c>
      <c r="C252" s="168" t="s">
        <v>521</v>
      </c>
      <c r="D252" s="168" t="s">
        <v>213</v>
      </c>
      <c r="E252" s="168" t="s">
        <v>233</v>
      </c>
      <c r="F252" s="169">
        <v>1</v>
      </c>
      <c r="G252" s="168" t="s">
        <v>193</v>
      </c>
      <c r="H252" s="168" t="s">
        <v>194</v>
      </c>
      <c r="I252" s="168" t="s">
        <v>200</v>
      </c>
      <c r="J252" s="168" t="s">
        <v>253</v>
      </c>
      <c r="K252" s="168">
        <v>18</v>
      </c>
      <c r="L252" s="168" t="s">
        <v>522</v>
      </c>
      <c r="M252" s="169" t="str">
        <f t="shared" si="3"/>
        <v>261901</v>
      </c>
    </row>
    <row r="253" spans="1:13" x14ac:dyDescent="0.25">
      <c r="A253" s="168" t="s">
        <v>230</v>
      </c>
      <c r="B253" s="168" t="s">
        <v>231</v>
      </c>
      <c r="C253" s="168" t="s">
        <v>232</v>
      </c>
      <c r="D253" s="168" t="s">
        <v>213</v>
      </c>
      <c r="E253" s="168" t="s">
        <v>233</v>
      </c>
      <c r="F253" s="169">
        <v>1</v>
      </c>
      <c r="G253" s="168" t="s">
        <v>193</v>
      </c>
      <c r="H253" s="168" t="s">
        <v>194</v>
      </c>
      <c r="I253" s="168" t="s">
        <v>200</v>
      </c>
      <c r="J253" s="168" t="s">
        <v>196</v>
      </c>
      <c r="K253" s="168">
        <v>18</v>
      </c>
      <c r="L253" s="168" t="s">
        <v>234</v>
      </c>
      <c r="M253" s="169" t="str">
        <f t="shared" si="3"/>
        <v>132403</v>
      </c>
    </row>
    <row r="254" spans="1:13" x14ac:dyDescent="0.25">
      <c r="A254" s="168" t="s">
        <v>636</v>
      </c>
      <c r="B254" s="168" t="s">
        <v>637</v>
      </c>
      <c r="C254" s="168" t="s">
        <v>17</v>
      </c>
      <c r="D254" s="168" t="s">
        <v>213</v>
      </c>
      <c r="E254" s="168" t="s">
        <v>192</v>
      </c>
      <c r="F254" s="169">
        <v>1</v>
      </c>
      <c r="G254" s="168" t="s">
        <v>193</v>
      </c>
      <c r="H254" s="168" t="s">
        <v>194</v>
      </c>
      <c r="I254" s="168" t="s">
        <v>200</v>
      </c>
      <c r="J254" s="168" t="s">
        <v>276</v>
      </c>
      <c r="K254" s="168">
        <v>18</v>
      </c>
      <c r="L254" s="168" t="s">
        <v>624</v>
      </c>
      <c r="M254" s="169" t="str">
        <f t="shared" si="3"/>
        <v>332203</v>
      </c>
    </row>
    <row r="255" spans="1:13" x14ac:dyDescent="0.25">
      <c r="A255" s="168" t="s">
        <v>638</v>
      </c>
      <c r="B255" s="168" t="s">
        <v>639</v>
      </c>
      <c r="C255" s="168" t="s">
        <v>17</v>
      </c>
      <c r="D255" s="168" t="s">
        <v>213</v>
      </c>
      <c r="E255" s="168" t="s">
        <v>233</v>
      </c>
      <c r="F255" s="169">
        <v>1</v>
      </c>
      <c r="G255" s="168" t="s">
        <v>193</v>
      </c>
      <c r="H255" s="168" t="s">
        <v>194</v>
      </c>
      <c r="I255" s="168" t="s">
        <v>200</v>
      </c>
      <c r="J255" s="168" t="s">
        <v>196</v>
      </c>
      <c r="K255" s="168">
        <v>18</v>
      </c>
      <c r="L255" s="168" t="s">
        <v>624</v>
      </c>
      <c r="M255" s="169" t="str">
        <f t="shared" si="3"/>
        <v>332203</v>
      </c>
    </row>
    <row r="256" spans="1:13" x14ac:dyDescent="0.25">
      <c r="A256" s="168" t="s">
        <v>321</v>
      </c>
      <c r="B256" s="168" t="s">
        <v>322</v>
      </c>
      <c r="C256" s="168" t="s">
        <v>319</v>
      </c>
      <c r="D256" s="168" t="s">
        <v>213</v>
      </c>
      <c r="E256" s="168" t="s">
        <v>192</v>
      </c>
      <c r="F256" s="169">
        <v>1</v>
      </c>
      <c r="G256" s="168" t="s">
        <v>193</v>
      </c>
      <c r="H256" s="168" t="s">
        <v>194</v>
      </c>
      <c r="I256" s="168" t="s">
        <v>191</v>
      </c>
      <c r="J256" s="168" t="s">
        <v>323</v>
      </c>
      <c r="K256" s="168">
        <v>18</v>
      </c>
      <c r="L256" s="168" t="s">
        <v>320</v>
      </c>
      <c r="M256" s="169" t="str">
        <f t="shared" si="3"/>
        <v>214407</v>
      </c>
    </row>
    <row r="257" spans="1:13" x14ac:dyDescent="0.25">
      <c r="A257" s="168" t="s">
        <v>796</v>
      </c>
      <c r="B257" s="168" t="s">
        <v>797</v>
      </c>
      <c r="C257" s="168" t="s">
        <v>798</v>
      </c>
      <c r="D257" s="168" t="s">
        <v>213</v>
      </c>
      <c r="E257" s="168" t="s">
        <v>233</v>
      </c>
      <c r="F257" s="169">
        <v>1</v>
      </c>
      <c r="G257" s="168" t="s">
        <v>193</v>
      </c>
      <c r="H257" s="168" t="s">
        <v>194</v>
      </c>
      <c r="I257" s="168" t="s">
        <v>256</v>
      </c>
      <c r="J257" s="168" t="s">
        <v>210</v>
      </c>
      <c r="K257" s="168">
        <v>18</v>
      </c>
      <c r="L257" s="168" t="s">
        <v>799</v>
      </c>
      <c r="M257" s="169" t="str">
        <f t="shared" si="3"/>
        <v>722204</v>
      </c>
    </row>
    <row r="258" spans="1:13" x14ac:dyDescent="0.25">
      <c r="A258" s="168" t="s">
        <v>568</v>
      </c>
      <c r="B258" s="168" t="s">
        <v>569</v>
      </c>
      <c r="C258" s="168" t="s">
        <v>566</v>
      </c>
      <c r="D258" s="168" t="s">
        <v>213</v>
      </c>
      <c r="E258" s="168" t="s">
        <v>192</v>
      </c>
      <c r="F258" s="169">
        <v>1</v>
      </c>
      <c r="G258" s="168" t="s">
        <v>193</v>
      </c>
      <c r="H258" s="168" t="s">
        <v>194</v>
      </c>
      <c r="I258" s="168" t="s">
        <v>195</v>
      </c>
      <c r="J258" s="168" t="s">
        <v>210</v>
      </c>
      <c r="K258" s="168">
        <v>18</v>
      </c>
      <c r="L258" s="168" t="s">
        <v>567</v>
      </c>
      <c r="M258" s="169" t="str">
        <f t="shared" si="3"/>
        <v>311504</v>
      </c>
    </row>
    <row r="259" spans="1:13" x14ac:dyDescent="0.25">
      <c r="A259" s="168" t="s">
        <v>495</v>
      </c>
      <c r="B259" s="168" t="s">
        <v>496</v>
      </c>
      <c r="C259" s="168" t="s">
        <v>10</v>
      </c>
      <c r="D259" s="168" t="s">
        <v>213</v>
      </c>
      <c r="E259" s="168" t="s">
        <v>192</v>
      </c>
      <c r="F259" s="169">
        <v>1</v>
      </c>
      <c r="G259" s="168" t="s">
        <v>193</v>
      </c>
      <c r="H259" s="168" t="s">
        <v>194</v>
      </c>
      <c r="I259" s="168" t="s">
        <v>200</v>
      </c>
      <c r="J259" s="168" t="s">
        <v>210</v>
      </c>
      <c r="K259" s="168">
        <v>18</v>
      </c>
      <c r="L259" s="168" t="s">
        <v>484</v>
      </c>
      <c r="M259" s="169" t="str">
        <f t="shared" ref="M259:M322" si="4">MID(L259,8,6)</f>
        <v>251401</v>
      </c>
    </row>
    <row r="260" spans="1:13" x14ac:dyDescent="0.25">
      <c r="A260" s="168" t="s">
        <v>640</v>
      </c>
      <c r="B260" s="168" t="s">
        <v>641</v>
      </c>
      <c r="C260" s="168" t="s">
        <v>17</v>
      </c>
      <c r="D260" s="168" t="s">
        <v>213</v>
      </c>
      <c r="E260" s="168" t="s">
        <v>192</v>
      </c>
      <c r="F260" s="169">
        <v>1</v>
      </c>
      <c r="G260" s="168" t="s">
        <v>193</v>
      </c>
      <c r="H260" s="168" t="s">
        <v>194</v>
      </c>
      <c r="I260" s="168" t="s">
        <v>256</v>
      </c>
      <c r="J260" s="168" t="s">
        <v>642</v>
      </c>
      <c r="K260" s="168">
        <v>18</v>
      </c>
      <c r="L260" s="168" t="s">
        <v>624</v>
      </c>
      <c r="M260" s="169" t="str">
        <f t="shared" si="4"/>
        <v>332203</v>
      </c>
    </row>
    <row r="261" spans="1:13" x14ac:dyDescent="0.25">
      <c r="A261" s="168" t="s">
        <v>415</v>
      </c>
      <c r="B261" s="168" t="s">
        <v>416</v>
      </c>
      <c r="C261" s="168" t="s">
        <v>9</v>
      </c>
      <c r="D261" s="168" t="s">
        <v>213</v>
      </c>
      <c r="E261" s="168" t="s">
        <v>192</v>
      </c>
      <c r="F261" s="169">
        <v>1</v>
      </c>
      <c r="G261" s="168" t="s">
        <v>193</v>
      </c>
      <c r="H261" s="168" t="s">
        <v>194</v>
      </c>
      <c r="I261" s="168" t="s">
        <v>191</v>
      </c>
      <c r="J261" s="168" t="s">
        <v>223</v>
      </c>
      <c r="K261" s="168">
        <v>18</v>
      </c>
      <c r="L261" s="168" t="s">
        <v>405</v>
      </c>
      <c r="M261" s="169" t="str">
        <f t="shared" si="4"/>
        <v>241304</v>
      </c>
    </row>
    <row r="262" spans="1:13" x14ac:dyDescent="0.25">
      <c r="A262" s="168" t="s">
        <v>643</v>
      </c>
      <c r="B262" s="168" t="s">
        <v>644</v>
      </c>
      <c r="C262" s="168" t="s">
        <v>17</v>
      </c>
      <c r="D262" s="168" t="s">
        <v>213</v>
      </c>
      <c r="E262" s="168" t="s">
        <v>192</v>
      </c>
      <c r="F262" s="169">
        <v>1</v>
      </c>
      <c r="G262" s="168" t="s">
        <v>193</v>
      </c>
      <c r="H262" s="168" t="s">
        <v>194</v>
      </c>
      <c r="I262" s="168" t="s">
        <v>256</v>
      </c>
      <c r="J262" s="168" t="s">
        <v>196</v>
      </c>
      <c r="K262" s="168">
        <v>18</v>
      </c>
      <c r="L262" s="168" t="s">
        <v>624</v>
      </c>
      <c r="M262" s="169" t="str">
        <f t="shared" si="4"/>
        <v>332203</v>
      </c>
    </row>
    <row r="263" spans="1:13" x14ac:dyDescent="0.25">
      <c r="A263" s="168" t="s">
        <v>570</v>
      </c>
      <c r="B263" s="168" t="s">
        <v>67</v>
      </c>
      <c r="C263" s="168" t="s">
        <v>67</v>
      </c>
      <c r="D263" s="168" t="s">
        <v>213</v>
      </c>
      <c r="E263" s="168" t="s">
        <v>192</v>
      </c>
      <c r="F263" s="169">
        <v>1</v>
      </c>
      <c r="G263" s="168" t="s">
        <v>193</v>
      </c>
      <c r="H263" s="168" t="s">
        <v>194</v>
      </c>
      <c r="I263" s="168" t="s">
        <v>214</v>
      </c>
      <c r="J263" s="168" t="s">
        <v>210</v>
      </c>
      <c r="K263" s="168">
        <v>18</v>
      </c>
      <c r="L263" s="168" t="s">
        <v>709</v>
      </c>
      <c r="M263" s="169" t="str">
        <f t="shared" si="4"/>
        <v>432103</v>
      </c>
    </row>
    <row r="264" spans="1:13" x14ac:dyDescent="0.25">
      <c r="A264" s="168" t="s">
        <v>570</v>
      </c>
      <c r="B264" s="168" t="s">
        <v>832</v>
      </c>
      <c r="C264" s="168" t="s">
        <v>829</v>
      </c>
      <c r="D264" s="168" t="s">
        <v>213</v>
      </c>
      <c r="E264" s="168" t="s">
        <v>192</v>
      </c>
      <c r="F264" s="169">
        <v>1</v>
      </c>
      <c r="G264" s="168" t="s">
        <v>193</v>
      </c>
      <c r="H264" s="168" t="s">
        <v>194</v>
      </c>
      <c r="I264" s="168" t="s">
        <v>191</v>
      </c>
      <c r="J264" s="168" t="s">
        <v>210</v>
      </c>
      <c r="K264" s="168">
        <v>18</v>
      </c>
      <c r="L264" s="168" t="s">
        <v>830</v>
      </c>
      <c r="M264" s="169" t="str">
        <f t="shared" si="4"/>
        <v>741201</v>
      </c>
    </row>
    <row r="265" spans="1:13" x14ac:dyDescent="0.25">
      <c r="A265" s="168" t="s">
        <v>570</v>
      </c>
      <c r="B265" s="168" t="s">
        <v>600</v>
      </c>
      <c r="C265" s="168" t="s">
        <v>62</v>
      </c>
      <c r="D265" s="168" t="s">
        <v>213</v>
      </c>
      <c r="E265" s="168" t="s">
        <v>192</v>
      </c>
      <c r="F265" s="169">
        <v>1</v>
      </c>
      <c r="G265" s="168" t="s">
        <v>193</v>
      </c>
      <c r="H265" s="168" t="s">
        <v>194</v>
      </c>
      <c r="I265" s="168" t="s">
        <v>195</v>
      </c>
      <c r="J265" s="168" t="s">
        <v>210</v>
      </c>
      <c r="K265" s="168">
        <v>18</v>
      </c>
      <c r="L265" s="168" t="s">
        <v>601</v>
      </c>
      <c r="M265" s="169" t="str">
        <f t="shared" si="4"/>
        <v>313904</v>
      </c>
    </row>
    <row r="266" spans="1:13" x14ac:dyDescent="0.25">
      <c r="A266" s="168" t="s">
        <v>570</v>
      </c>
      <c r="B266" s="168" t="s">
        <v>571</v>
      </c>
      <c r="C266" s="168" t="s">
        <v>566</v>
      </c>
      <c r="D266" s="168" t="s">
        <v>213</v>
      </c>
      <c r="E266" s="168" t="s">
        <v>192</v>
      </c>
      <c r="F266" s="169">
        <v>1</v>
      </c>
      <c r="G266" s="168" t="s">
        <v>193</v>
      </c>
      <c r="H266" s="168" t="s">
        <v>194</v>
      </c>
      <c r="I266" s="168" t="s">
        <v>256</v>
      </c>
      <c r="J266" s="168" t="s">
        <v>210</v>
      </c>
      <c r="K266" s="168">
        <v>18</v>
      </c>
      <c r="L266" s="168" t="s">
        <v>567</v>
      </c>
      <c r="M266" s="169" t="str">
        <f t="shared" si="4"/>
        <v>311504</v>
      </c>
    </row>
    <row r="267" spans="1:13" x14ac:dyDescent="0.25">
      <c r="A267" s="168" t="s">
        <v>303</v>
      </c>
      <c r="B267" s="168" t="s">
        <v>304</v>
      </c>
      <c r="C267" s="168" t="s">
        <v>300</v>
      </c>
      <c r="D267" s="168" t="s">
        <v>213</v>
      </c>
      <c r="E267" s="168" t="s">
        <v>192</v>
      </c>
      <c r="F267" s="169">
        <v>1</v>
      </c>
      <c r="G267" s="168" t="s">
        <v>193</v>
      </c>
      <c r="H267" s="168" t="s">
        <v>194</v>
      </c>
      <c r="I267" s="168" t="s">
        <v>195</v>
      </c>
      <c r="J267" s="168" t="s">
        <v>305</v>
      </c>
      <c r="K267" s="168">
        <v>18</v>
      </c>
      <c r="L267" s="168" t="s">
        <v>302</v>
      </c>
      <c r="M267" s="169" t="str">
        <f t="shared" si="4"/>
        <v>214402</v>
      </c>
    </row>
    <row r="268" spans="1:13" x14ac:dyDescent="0.25">
      <c r="A268" s="168" t="s">
        <v>303</v>
      </c>
      <c r="B268" s="168" t="s">
        <v>313</v>
      </c>
      <c r="C268" s="168" t="s">
        <v>308</v>
      </c>
      <c r="D268" s="168" t="s">
        <v>213</v>
      </c>
      <c r="E268" s="168" t="s">
        <v>192</v>
      </c>
      <c r="F268" s="169">
        <v>1</v>
      </c>
      <c r="G268" s="168" t="s">
        <v>193</v>
      </c>
      <c r="H268" s="168" t="s">
        <v>194</v>
      </c>
      <c r="I268" s="168" t="s">
        <v>204</v>
      </c>
      <c r="J268" s="168" t="s">
        <v>305</v>
      </c>
      <c r="K268" s="168">
        <v>18</v>
      </c>
      <c r="L268" s="168" t="s">
        <v>310</v>
      </c>
      <c r="M268" s="169" t="str">
        <f t="shared" si="4"/>
        <v>214404</v>
      </c>
    </row>
    <row r="269" spans="1:13" x14ac:dyDescent="0.25">
      <c r="A269" s="168" t="s">
        <v>645</v>
      </c>
      <c r="B269" s="168" t="s">
        <v>632</v>
      </c>
      <c r="C269" s="168" t="s">
        <v>17</v>
      </c>
      <c r="D269" s="168" t="s">
        <v>213</v>
      </c>
      <c r="E269" s="168" t="s">
        <v>192</v>
      </c>
      <c r="F269" s="169">
        <v>1</v>
      </c>
      <c r="G269" s="168" t="s">
        <v>193</v>
      </c>
      <c r="H269" s="168" t="s">
        <v>194</v>
      </c>
      <c r="I269" s="168" t="s">
        <v>214</v>
      </c>
      <c r="J269" s="168" t="s">
        <v>196</v>
      </c>
      <c r="K269" s="168">
        <v>18</v>
      </c>
      <c r="L269" s="168" t="s">
        <v>624</v>
      </c>
      <c r="M269" s="169" t="str">
        <f t="shared" si="4"/>
        <v>332203</v>
      </c>
    </row>
    <row r="270" spans="1:13" x14ac:dyDescent="0.25">
      <c r="A270" s="168" t="s">
        <v>780</v>
      </c>
      <c r="B270" s="168" t="s">
        <v>537</v>
      </c>
      <c r="C270" s="168" t="s">
        <v>778</v>
      </c>
      <c r="D270" s="168" t="s">
        <v>213</v>
      </c>
      <c r="E270" s="168" t="s">
        <v>233</v>
      </c>
      <c r="F270" s="169">
        <v>1</v>
      </c>
      <c r="G270" s="168" t="s">
        <v>193</v>
      </c>
      <c r="H270" s="168" t="s">
        <v>194</v>
      </c>
      <c r="I270" s="168" t="s">
        <v>214</v>
      </c>
      <c r="J270" s="168" t="s">
        <v>385</v>
      </c>
      <c r="K270" s="168">
        <v>18</v>
      </c>
      <c r="L270" s="168" t="s">
        <v>779</v>
      </c>
      <c r="M270" s="169" t="str">
        <f t="shared" si="4"/>
        <v>524902</v>
      </c>
    </row>
    <row r="271" spans="1:13" x14ac:dyDescent="0.25">
      <c r="A271" s="168" t="s">
        <v>713</v>
      </c>
      <c r="B271" s="168" t="s">
        <v>714</v>
      </c>
      <c r="C271" s="168" t="s">
        <v>67</v>
      </c>
      <c r="D271" s="168" t="s">
        <v>213</v>
      </c>
      <c r="E271" s="168" t="s">
        <v>192</v>
      </c>
      <c r="F271" s="169">
        <v>1</v>
      </c>
      <c r="G271" s="168" t="s">
        <v>193</v>
      </c>
      <c r="H271" s="168" t="s">
        <v>194</v>
      </c>
      <c r="I271" s="168" t="s">
        <v>201</v>
      </c>
      <c r="J271" s="168" t="s">
        <v>253</v>
      </c>
      <c r="K271" s="168">
        <v>18</v>
      </c>
      <c r="L271" s="168" t="s">
        <v>709</v>
      </c>
      <c r="M271" s="169" t="str">
        <f t="shared" si="4"/>
        <v>432103</v>
      </c>
    </row>
    <row r="272" spans="1:13" x14ac:dyDescent="0.25">
      <c r="A272" s="168" t="s">
        <v>497</v>
      </c>
      <c r="B272" s="168" t="s">
        <v>488</v>
      </c>
      <c r="C272" s="168" t="s">
        <v>10</v>
      </c>
      <c r="D272" s="168" t="s">
        <v>213</v>
      </c>
      <c r="E272" s="168" t="s">
        <v>192</v>
      </c>
      <c r="F272" s="169">
        <v>1</v>
      </c>
      <c r="G272" s="168" t="s">
        <v>193</v>
      </c>
      <c r="H272" s="168" t="s">
        <v>194</v>
      </c>
      <c r="I272" s="168" t="s">
        <v>204</v>
      </c>
      <c r="J272" s="168" t="s">
        <v>210</v>
      </c>
      <c r="K272" s="168">
        <v>18</v>
      </c>
      <c r="L272" s="168" t="s">
        <v>484</v>
      </c>
      <c r="M272" s="169" t="str">
        <f t="shared" si="4"/>
        <v>251401</v>
      </c>
    </row>
    <row r="273" spans="1:13" x14ac:dyDescent="0.25">
      <c r="A273" s="168" t="s">
        <v>394</v>
      </c>
      <c r="B273" s="168" t="s">
        <v>398</v>
      </c>
      <c r="C273" s="168" t="s">
        <v>396</v>
      </c>
      <c r="D273" s="168" t="s">
        <v>213</v>
      </c>
      <c r="E273" s="168" t="s">
        <v>192</v>
      </c>
      <c r="F273" s="169">
        <v>1</v>
      </c>
      <c r="G273" s="168" t="s">
        <v>193</v>
      </c>
      <c r="H273" s="168" t="s">
        <v>194</v>
      </c>
      <c r="I273" s="168" t="s">
        <v>201</v>
      </c>
      <c r="J273" s="168" t="s">
        <v>399</v>
      </c>
      <c r="K273" s="168">
        <v>18</v>
      </c>
      <c r="L273" s="168" t="s">
        <v>397</v>
      </c>
      <c r="M273" s="169" t="str">
        <f t="shared" si="4"/>
        <v>235301</v>
      </c>
    </row>
    <row r="274" spans="1:13" x14ac:dyDescent="0.25">
      <c r="A274" s="168" t="s">
        <v>339</v>
      </c>
      <c r="B274" s="168" t="s">
        <v>340</v>
      </c>
      <c r="C274" s="168" t="s">
        <v>341</v>
      </c>
      <c r="D274" s="168" t="s">
        <v>213</v>
      </c>
      <c r="E274" s="168" t="s">
        <v>192</v>
      </c>
      <c r="F274" s="169">
        <v>1</v>
      </c>
      <c r="G274" s="168" t="s">
        <v>193</v>
      </c>
      <c r="H274" s="168" t="s">
        <v>194</v>
      </c>
      <c r="I274" s="168" t="s">
        <v>201</v>
      </c>
      <c r="J274" s="168" t="s">
        <v>253</v>
      </c>
      <c r="K274" s="168">
        <v>18</v>
      </c>
      <c r="L274" s="168" t="s">
        <v>342</v>
      </c>
      <c r="M274" s="169" t="str">
        <f t="shared" si="4"/>
        <v>214906</v>
      </c>
    </row>
    <row r="275" spans="1:13" x14ac:dyDescent="0.25">
      <c r="A275" s="168" t="s">
        <v>889</v>
      </c>
      <c r="B275" s="168" t="s">
        <v>304</v>
      </c>
      <c r="D275" s="168" t="s">
        <v>213</v>
      </c>
      <c r="E275" s="168" t="s">
        <v>192</v>
      </c>
      <c r="F275" s="179">
        <v>0</v>
      </c>
      <c r="G275" s="178" t="s">
        <v>194</v>
      </c>
      <c r="H275" s="168" t="s">
        <v>193</v>
      </c>
      <c r="I275" s="168" t="s">
        <v>195</v>
      </c>
      <c r="J275" s="168" t="s">
        <v>276</v>
      </c>
      <c r="K275" s="168">
        <v>18</v>
      </c>
      <c r="M275" s="169" t="str">
        <f t="shared" si="4"/>
        <v/>
      </c>
    </row>
    <row r="276" spans="1:13" x14ac:dyDescent="0.25">
      <c r="A276" s="168" t="s">
        <v>888</v>
      </c>
      <c r="B276" s="168" t="s">
        <v>885</v>
      </c>
      <c r="C276" s="168" t="s">
        <v>886</v>
      </c>
      <c r="D276" s="168" t="s">
        <v>213</v>
      </c>
      <c r="E276" s="168" t="s">
        <v>217</v>
      </c>
      <c r="F276" s="169">
        <v>1</v>
      </c>
      <c r="G276" s="168" t="s">
        <v>193</v>
      </c>
      <c r="H276" s="168" t="s">
        <v>194</v>
      </c>
      <c r="I276" s="168" t="s">
        <v>191</v>
      </c>
      <c r="J276" s="168" t="s">
        <v>385</v>
      </c>
      <c r="K276" s="168">
        <v>18</v>
      </c>
      <c r="L276" s="168" t="s">
        <v>887</v>
      </c>
      <c r="M276" s="169" t="str">
        <f t="shared" si="4"/>
        <v>834401</v>
      </c>
    </row>
    <row r="277" spans="1:13" x14ac:dyDescent="0.25">
      <c r="A277" s="168" t="s">
        <v>502</v>
      </c>
      <c r="B277" s="168" t="s">
        <v>503</v>
      </c>
      <c r="C277" s="168" t="s">
        <v>82</v>
      </c>
      <c r="D277" s="168" t="s">
        <v>213</v>
      </c>
      <c r="E277" s="168" t="s">
        <v>192</v>
      </c>
      <c r="F277" s="169">
        <v>1</v>
      </c>
      <c r="G277" s="168" t="s">
        <v>193</v>
      </c>
      <c r="H277" s="168" t="s">
        <v>194</v>
      </c>
      <c r="I277" s="168" t="s">
        <v>191</v>
      </c>
      <c r="J277" s="168" t="s">
        <v>210</v>
      </c>
      <c r="K277" s="168">
        <v>18</v>
      </c>
      <c r="L277" s="168" t="s">
        <v>504</v>
      </c>
      <c r="M277" s="169" t="str">
        <f t="shared" si="4"/>
        <v>252101</v>
      </c>
    </row>
    <row r="278" spans="1:13" x14ac:dyDescent="0.25">
      <c r="A278" s="168" t="s">
        <v>264</v>
      </c>
      <c r="B278" s="168" t="s">
        <v>677</v>
      </c>
      <c r="C278" s="168" t="s">
        <v>678</v>
      </c>
      <c r="D278" s="168" t="s">
        <v>213</v>
      </c>
      <c r="E278" s="168" t="s">
        <v>192</v>
      </c>
      <c r="F278" s="169">
        <v>1</v>
      </c>
      <c r="G278" s="168" t="s">
        <v>193</v>
      </c>
      <c r="H278" s="168" t="s">
        <v>194</v>
      </c>
      <c r="I278" s="168" t="s">
        <v>256</v>
      </c>
      <c r="J278" s="168" t="s">
        <v>210</v>
      </c>
      <c r="K278" s="168">
        <v>18</v>
      </c>
      <c r="L278" s="168" t="s">
        <v>679</v>
      </c>
      <c r="M278" s="169" t="str">
        <f t="shared" si="4"/>
        <v>333404</v>
      </c>
    </row>
    <row r="279" spans="1:13" x14ac:dyDescent="0.25">
      <c r="A279" s="168" t="s">
        <v>264</v>
      </c>
      <c r="B279" s="168" t="s">
        <v>422</v>
      </c>
      <c r="C279" s="168" t="s">
        <v>423</v>
      </c>
      <c r="D279" s="168" t="s">
        <v>213</v>
      </c>
      <c r="E279" s="168" t="s">
        <v>192</v>
      </c>
      <c r="F279" s="169">
        <v>1</v>
      </c>
      <c r="G279" s="168" t="s">
        <v>193</v>
      </c>
      <c r="H279" s="168" t="s">
        <v>194</v>
      </c>
      <c r="I279" s="168" t="s">
        <v>256</v>
      </c>
      <c r="J279" s="168" t="s">
        <v>210</v>
      </c>
      <c r="K279" s="168">
        <v>18</v>
      </c>
      <c r="L279" s="168" t="s">
        <v>424</v>
      </c>
      <c r="M279" s="169" t="str">
        <f t="shared" si="4"/>
        <v>241307</v>
      </c>
    </row>
    <row r="280" spans="1:13" x14ac:dyDescent="0.25">
      <c r="A280" s="168" t="s">
        <v>264</v>
      </c>
      <c r="B280" s="168" t="s">
        <v>265</v>
      </c>
      <c r="C280" s="168" t="s">
        <v>266</v>
      </c>
      <c r="D280" s="168" t="s">
        <v>213</v>
      </c>
      <c r="E280" s="168" t="s">
        <v>192</v>
      </c>
      <c r="F280" s="169">
        <v>1</v>
      </c>
      <c r="G280" s="168" t="s">
        <v>193</v>
      </c>
      <c r="H280" s="168" t="s">
        <v>194</v>
      </c>
      <c r="I280" s="168" t="s">
        <v>201</v>
      </c>
      <c r="J280" s="168" t="s">
        <v>267</v>
      </c>
      <c r="K280" s="168">
        <v>18</v>
      </c>
      <c r="L280" s="168" t="s">
        <v>268</v>
      </c>
      <c r="M280" s="169" t="str">
        <f t="shared" si="4"/>
        <v>143905</v>
      </c>
    </row>
    <row r="281" spans="1:13" x14ac:dyDescent="0.25">
      <c r="A281" s="168" t="s">
        <v>264</v>
      </c>
      <c r="B281" s="168" t="s">
        <v>419</v>
      </c>
      <c r="C281" s="168" t="s">
        <v>420</v>
      </c>
      <c r="D281" s="168" t="s">
        <v>213</v>
      </c>
      <c r="E281" s="168" t="s">
        <v>192</v>
      </c>
      <c r="F281" s="169">
        <v>1</v>
      </c>
      <c r="G281" s="168" t="s">
        <v>193</v>
      </c>
      <c r="H281" s="168" t="s">
        <v>194</v>
      </c>
      <c r="I281" s="168" t="s">
        <v>195</v>
      </c>
      <c r="J281" s="168" t="s">
        <v>267</v>
      </c>
      <c r="K281" s="168">
        <v>18</v>
      </c>
      <c r="L281" s="168" t="s">
        <v>421</v>
      </c>
      <c r="M281" s="169" t="str">
        <f t="shared" si="4"/>
        <v>241306</v>
      </c>
    </row>
    <row r="282" spans="1:13" x14ac:dyDescent="0.25">
      <c r="A282" s="168" t="s">
        <v>264</v>
      </c>
      <c r="B282" s="168" t="s">
        <v>611</v>
      </c>
      <c r="C282" s="168" t="s">
        <v>111</v>
      </c>
      <c r="D282" s="168" t="s">
        <v>213</v>
      </c>
      <c r="E282" s="168" t="s">
        <v>192</v>
      </c>
      <c r="F282" s="169">
        <v>1</v>
      </c>
      <c r="G282" s="168" t="s">
        <v>193</v>
      </c>
      <c r="H282" s="168" t="s">
        <v>194</v>
      </c>
      <c r="I282" s="168" t="s">
        <v>256</v>
      </c>
      <c r="J282" s="168" t="s">
        <v>210</v>
      </c>
      <c r="K282" s="168">
        <v>18</v>
      </c>
      <c r="L282" s="168" t="s">
        <v>612</v>
      </c>
      <c r="M282" s="169" t="str">
        <f t="shared" si="4"/>
        <v>332101</v>
      </c>
    </row>
    <row r="283" spans="1:13" x14ac:dyDescent="0.25">
      <c r="A283" s="168" t="s">
        <v>290</v>
      </c>
      <c r="B283" s="168" t="s">
        <v>715</v>
      </c>
      <c r="C283" s="168" t="s">
        <v>67</v>
      </c>
      <c r="D283" s="168" t="s">
        <v>213</v>
      </c>
      <c r="E283" s="168" t="s">
        <v>217</v>
      </c>
      <c r="F283" s="169">
        <v>1</v>
      </c>
      <c r="G283" s="168" t="s">
        <v>193</v>
      </c>
      <c r="H283" s="168" t="s">
        <v>194</v>
      </c>
      <c r="I283" s="168" t="s">
        <v>256</v>
      </c>
      <c r="J283" s="168" t="s">
        <v>608</v>
      </c>
      <c r="K283" s="168">
        <v>18</v>
      </c>
      <c r="L283" s="168" t="s">
        <v>709</v>
      </c>
      <c r="M283" s="169" t="str">
        <f t="shared" si="4"/>
        <v>432103</v>
      </c>
    </row>
    <row r="284" spans="1:13" x14ac:dyDescent="0.25">
      <c r="A284" s="168" t="s">
        <v>290</v>
      </c>
      <c r="B284" s="168" t="s">
        <v>853</v>
      </c>
      <c r="C284" s="168" t="s">
        <v>854</v>
      </c>
      <c r="D284" s="168" t="s">
        <v>213</v>
      </c>
      <c r="E284" s="168" t="s">
        <v>217</v>
      </c>
      <c r="F284" s="169">
        <v>1</v>
      </c>
      <c r="G284" s="168" t="s">
        <v>193</v>
      </c>
      <c r="H284" s="168" t="s">
        <v>194</v>
      </c>
      <c r="I284" s="168" t="s">
        <v>195</v>
      </c>
      <c r="J284" s="168" t="s">
        <v>608</v>
      </c>
      <c r="K284" s="168">
        <v>18</v>
      </c>
      <c r="L284" s="168" t="s">
        <v>855</v>
      </c>
      <c r="M284" s="169" t="str">
        <f t="shared" si="4"/>
        <v>813111</v>
      </c>
    </row>
    <row r="285" spans="1:13" x14ac:dyDescent="0.25">
      <c r="A285" s="168" t="s">
        <v>290</v>
      </c>
      <c r="B285" s="168" t="s">
        <v>291</v>
      </c>
      <c r="C285" s="168" t="s">
        <v>21</v>
      </c>
      <c r="D285" s="168" t="s">
        <v>213</v>
      </c>
      <c r="E285" s="168" t="s">
        <v>217</v>
      </c>
      <c r="F285" s="169">
        <v>1</v>
      </c>
      <c r="G285" s="168" t="s">
        <v>193</v>
      </c>
      <c r="H285" s="168" t="s">
        <v>194</v>
      </c>
      <c r="I285" s="168" t="s">
        <v>191</v>
      </c>
      <c r="J285" s="168" t="s">
        <v>292</v>
      </c>
      <c r="K285" s="168">
        <v>18</v>
      </c>
      <c r="L285" s="168" t="s">
        <v>293</v>
      </c>
      <c r="M285" s="169" t="str">
        <f t="shared" si="4"/>
        <v>214202</v>
      </c>
    </row>
    <row r="286" spans="1:13" x14ac:dyDescent="0.25">
      <c r="A286" s="168" t="s">
        <v>680</v>
      </c>
      <c r="B286" s="168" t="s">
        <v>681</v>
      </c>
      <c r="C286" s="168" t="s">
        <v>678</v>
      </c>
      <c r="D286" s="168" t="s">
        <v>213</v>
      </c>
      <c r="E286" s="168" t="s">
        <v>233</v>
      </c>
      <c r="F286" s="169">
        <v>1</v>
      </c>
      <c r="G286" s="168" t="s">
        <v>193</v>
      </c>
      <c r="H286" s="168" t="s">
        <v>194</v>
      </c>
      <c r="I286" s="168" t="s">
        <v>191</v>
      </c>
      <c r="J286" s="168" t="s">
        <v>210</v>
      </c>
      <c r="K286" s="168">
        <v>18</v>
      </c>
      <c r="L286" s="168" t="s">
        <v>679</v>
      </c>
      <c r="M286" s="169" t="str">
        <f t="shared" si="4"/>
        <v>333404</v>
      </c>
    </row>
    <row r="287" spans="1:13" x14ac:dyDescent="0.25">
      <c r="A287" s="168" t="s">
        <v>656</v>
      </c>
      <c r="B287" s="168" t="s">
        <v>657</v>
      </c>
      <c r="C287" s="168" t="s">
        <v>122</v>
      </c>
      <c r="D287" s="168" t="s">
        <v>213</v>
      </c>
      <c r="E287" s="168" t="s">
        <v>192</v>
      </c>
      <c r="F287" s="169">
        <v>1</v>
      </c>
      <c r="G287" s="168" t="s">
        <v>193</v>
      </c>
      <c r="H287" s="168" t="s">
        <v>194</v>
      </c>
      <c r="I287" s="168" t="s">
        <v>256</v>
      </c>
      <c r="J287" s="168" t="s">
        <v>196</v>
      </c>
      <c r="K287" s="168">
        <v>18</v>
      </c>
      <c r="L287" s="168" t="s">
        <v>655</v>
      </c>
      <c r="M287" s="169" t="str">
        <f t="shared" si="4"/>
        <v>332301</v>
      </c>
    </row>
    <row r="288" spans="1:13" x14ac:dyDescent="0.25">
      <c r="A288" s="168" t="s">
        <v>890</v>
      </c>
      <c r="B288" s="168" t="s">
        <v>891</v>
      </c>
      <c r="D288" s="168" t="s">
        <v>213</v>
      </c>
      <c r="E288" s="168" t="s">
        <v>192</v>
      </c>
      <c r="F288" s="179">
        <v>0</v>
      </c>
      <c r="G288" s="178" t="s">
        <v>194</v>
      </c>
      <c r="H288" s="168" t="s">
        <v>193</v>
      </c>
      <c r="I288" s="168" t="s">
        <v>201</v>
      </c>
      <c r="J288" s="168" t="s">
        <v>210</v>
      </c>
      <c r="K288" s="168">
        <v>18</v>
      </c>
      <c r="M288" s="169" t="str">
        <f t="shared" si="4"/>
        <v/>
      </c>
    </row>
    <row r="289" spans="1:13" x14ac:dyDescent="0.25">
      <c r="A289" s="168" t="s">
        <v>391</v>
      </c>
      <c r="B289" s="168" t="s">
        <v>392</v>
      </c>
      <c r="C289" s="168" t="s">
        <v>392</v>
      </c>
      <c r="D289" s="168" t="s">
        <v>213</v>
      </c>
      <c r="E289" s="168" t="s">
        <v>192</v>
      </c>
      <c r="F289" s="169">
        <v>1</v>
      </c>
      <c r="G289" s="168" t="s">
        <v>193</v>
      </c>
      <c r="H289" s="168" t="s">
        <v>194</v>
      </c>
      <c r="I289" s="168" t="s">
        <v>214</v>
      </c>
      <c r="J289" s="168" t="s">
        <v>223</v>
      </c>
      <c r="K289" s="168">
        <v>18</v>
      </c>
      <c r="L289" s="168" t="s">
        <v>393</v>
      </c>
      <c r="M289" s="169" t="str">
        <f t="shared" si="4"/>
        <v>229402</v>
      </c>
    </row>
    <row r="290" spans="1:13" x14ac:dyDescent="0.25">
      <c r="A290" s="168" t="s">
        <v>391</v>
      </c>
      <c r="B290" s="168" t="s">
        <v>538</v>
      </c>
      <c r="C290" s="168" t="s">
        <v>538</v>
      </c>
      <c r="D290" s="168" t="s">
        <v>213</v>
      </c>
      <c r="E290" s="168" t="s">
        <v>192</v>
      </c>
      <c r="F290" s="169">
        <v>1</v>
      </c>
      <c r="G290" s="168" t="s">
        <v>193</v>
      </c>
      <c r="H290" s="168" t="s">
        <v>194</v>
      </c>
      <c r="I290" s="168" t="s">
        <v>214</v>
      </c>
      <c r="J290" s="168" t="s">
        <v>223</v>
      </c>
      <c r="K290" s="168">
        <v>18</v>
      </c>
      <c r="L290" s="168" t="s">
        <v>539</v>
      </c>
      <c r="M290" s="169" t="str">
        <f t="shared" si="4"/>
        <v>263401</v>
      </c>
    </row>
    <row r="291" spans="1:13" x14ac:dyDescent="0.25">
      <c r="A291" s="168" t="s">
        <v>240</v>
      </c>
      <c r="B291" s="168" t="s">
        <v>241</v>
      </c>
      <c r="C291" s="168" t="s">
        <v>242</v>
      </c>
      <c r="D291" s="168" t="s">
        <v>213</v>
      </c>
      <c r="E291" s="168" t="s">
        <v>192</v>
      </c>
      <c r="F291" s="169">
        <v>1</v>
      </c>
      <c r="G291" s="168" t="s">
        <v>193</v>
      </c>
      <c r="H291" s="168" t="s">
        <v>194</v>
      </c>
      <c r="I291" s="168" t="s">
        <v>191</v>
      </c>
      <c r="J291" s="168" t="s">
        <v>210</v>
      </c>
      <c r="K291" s="168">
        <v>18</v>
      </c>
      <c r="L291" s="168" t="s">
        <v>243</v>
      </c>
      <c r="M291" s="169" t="str">
        <f t="shared" si="4"/>
        <v>134602</v>
      </c>
    </row>
    <row r="292" spans="1:13" x14ac:dyDescent="0.25">
      <c r="A292" s="168" t="s">
        <v>751</v>
      </c>
      <c r="B292" s="168" t="s">
        <v>752</v>
      </c>
      <c r="C292" s="168" t="s">
        <v>740</v>
      </c>
      <c r="D292" s="168" t="s">
        <v>213</v>
      </c>
      <c r="E292" s="168" t="s">
        <v>233</v>
      </c>
      <c r="F292" s="169">
        <v>3</v>
      </c>
      <c r="G292" s="168" t="s">
        <v>193</v>
      </c>
      <c r="H292" s="168" t="s">
        <v>194</v>
      </c>
      <c r="I292" s="168" t="s">
        <v>201</v>
      </c>
      <c r="J292" s="168" t="s">
        <v>753</v>
      </c>
      <c r="K292" s="168">
        <v>18</v>
      </c>
      <c r="L292" s="168" t="s">
        <v>741</v>
      </c>
      <c r="M292" s="169" t="str">
        <f t="shared" si="4"/>
        <v>522301</v>
      </c>
    </row>
    <row r="293" spans="1:13" x14ac:dyDescent="0.25">
      <c r="A293" s="168" t="s">
        <v>646</v>
      </c>
      <c r="B293" s="168" t="s">
        <v>647</v>
      </c>
      <c r="C293" s="168" t="s">
        <v>17</v>
      </c>
      <c r="D293" s="168" t="s">
        <v>213</v>
      </c>
      <c r="E293" s="168" t="s">
        <v>192</v>
      </c>
      <c r="F293" s="169">
        <v>1</v>
      </c>
      <c r="G293" s="168" t="s">
        <v>193</v>
      </c>
      <c r="H293" s="168" t="s">
        <v>194</v>
      </c>
      <c r="I293" s="168" t="s">
        <v>256</v>
      </c>
      <c r="J293" s="168" t="s">
        <v>648</v>
      </c>
      <c r="K293" s="168">
        <v>18</v>
      </c>
      <c r="L293" s="168" t="s">
        <v>624</v>
      </c>
      <c r="M293" s="169" t="str">
        <f t="shared" si="4"/>
        <v>332203</v>
      </c>
    </row>
    <row r="294" spans="1:13" x14ac:dyDescent="0.25">
      <c r="A294" s="168" t="s">
        <v>833</v>
      </c>
      <c r="B294" s="168" t="s">
        <v>834</v>
      </c>
      <c r="C294" s="168" t="s">
        <v>829</v>
      </c>
      <c r="D294" s="168" t="s">
        <v>213</v>
      </c>
      <c r="E294" s="168" t="s">
        <v>192</v>
      </c>
      <c r="F294" s="169">
        <v>1</v>
      </c>
      <c r="G294" s="168" t="s">
        <v>193</v>
      </c>
      <c r="H294" s="168" t="s">
        <v>194</v>
      </c>
      <c r="I294" s="168" t="s">
        <v>256</v>
      </c>
      <c r="J294" s="168" t="s">
        <v>316</v>
      </c>
      <c r="K294" s="168">
        <v>18</v>
      </c>
      <c r="L294" s="168" t="s">
        <v>830</v>
      </c>
      <c r="M294" s="169" t="str">
        <f t="shared" si="4"/>
        <v>741201</v>
      </c>
    </row>
    <row r="295" spans="1:13" x14ac:dyDescent="0.25">
      <c r="A295" s="168" t="s">
        <v>686</v>
      </c>
      <c r="B295" s="168" t="s">
        <v>687</v>
      </c>
      <c r="C295" s="168" t="s">
        <v>688</v>
      </c>
      <c r="D295" s="168" t="s">
        <v>213</v>
      </c>
      <c r="E295" s="168" t="s">
        <v>192</v>
      </c>
      <c r="F295" s="169">
        <v>1</v>
      </c>
      <c r="G295" s="168" t="s">
        <v>193</v>
      </c>
      <c r="H295" s="168" t="s">
        <v>194</v>
      </c>
      <c r="I295" s="168" t="s">
        <v>256</v>
      </c>
      <c r="J295" s="168" t="s">
        <v>210</v>
      </c>
      <c r="K295" s="168">
        <v>18</v>
      </c>
      <c r="L295" s="168" t="s">
        <v>689</v>
      </c>
      <c r="M295" s="169" t="str">
        <f t="shared" si="4"/>
        <v>343402</v>
      </c>
    </row>
    <row r="296" spans="1:13" x14ac:dyDescent="0.25">
      <c r="A296" s="168" t="s">
        <v>800</v>
      </c>
      <c r="B296" s="168" t="s">
        <v>801</v>
      </c>
      <c r="C296" s="168" t="s">
        <v>798</v>
      </c>
      <c r="D296" s="168" t="s">
        <v>213</v>
      </c>
      <c r="E296" s="168" t="s">
        <v>192</v>
      </c>
      <c r="F296" s="169">
        <v>1</v>
      </c>
      <c r="G296" s="168" t="s">
        <v>193</v>
      </c>
      <c r="H296" s="168" t="s">
        <v>194</v>
      </c>
      <c r="I296" s="168" t="s">
        <v>201</v>
      </c>
      <c r="J296" s="168" t="s">
        <v>473</v>
      </c>
      <c r="K296" s="168">
        <v>18</v>
      </c>
      <c r="L296" s="168" t="s">
        <v>799</v>
      </c>
      <c r="M296" s="169" t="str">
        <f t="shared" si="4"/>
        <v>722204</v>
      </c>
    </row>
    <row r="297" spans="1:13" x14ac:dyDescent="0.25">
      <c r="A297" s="168" t="s">
        <v>400</v>
      </c>
      <c r="B297" s="168" t="s">
        <v>401</v>
      </c>
      <c r="C297" s="168" t="s">
        <v>81</v>
      </c>
      <c r="D297" s="168" t="s">
        <v>213</v>
      </c>
      <c r="E297" s="168" t="s">
        <v>192</v>
      </c>
      <c r="F297" s="169">
        <v>1</v>
      </c>
      <c r="G297" s="168" t="s">
        <v>193</v>
      </c>
      <c r="H297" s="168" t="s">
        <v>194</v>
      </c>
      <c r="I297" s="168" t="s">
        <v>191</v>
      </c>
      <c r="J297" s="168" t="s">
        <v>210</v>
      </c>
      <c r="K297" s="168">
        <v>18</v>
      </c>
      <c r="L297" s="168" t="s">
        <v>402</v>
      </c>
      <c r="M297" s="169" t="str">
        <f t="shared" si="4"/>
        <v>241205</v>
      </c>
    </row>
    <row r="298" spans="1:13" x14ac:dyDescent="0.25">
      <c r="A298" s="168" t="s">
        <v>360</v>
      </c>
      <c r="B298" s="168" t="s">
        <v>361</v>
      </c>
      <c r="C298" s="168" t="s">
        <v>362</v>
      </c>
      <c r="D298" s="168" t="s">
        <v>213</v>
      </c>
      <c r="E298" s="168" t="s">
        <v>192</v>
      </c>
      <c r="F298" s="169">
        <v>1</v>
      </c>
      <c r="G298" s="168" t="s">
        <v>193</v>
      </c>
      <c r="H298" s="168" t="s">
        <v>194</v>
      </c>
      <c r="I298" s="168" t="s">
        <v>201</v>
      </c>
      <c r="J298" s="168" t="s">
        <v>210</v>
      </c>
      <c r="K298" s="168">
        <v>18</v>
      </c>
      <c r="L298" s="168" t="s">
        <v>363</v>
      </c>
      <c r="M298" s="169" t="str">
        <f t="shared" si="4"/>
        <v>215104</v>
      </c>
    </row>
    <row r="299" spans="1:13" x14ac:dyDescent="0.25">
      <c r="A299" s="168" t="s">
        <v>498</v>
      </c>
      <c r="B299" s="168" t="s">
        <v>487</v>
      </c>
      <c r="C299" s="168" t="s">
        <v>10</v>
      </c>
      <c r="D299" s="168" t="s">
        <v>213</v>
      </c>
      <c r="E299" s="168" t="s">
        <v>192</v>
      </c>
      <c r="F299" s="169">
        <v>1</v>
      </c>
      <c r="G299" s="168" t="s">
        <v>193</v>
      </c>
      <c r="H299" s="168" t="s">
        <v>194</v>
      </c>
      <c r="I299" s="168" t="s">
        <v>195</v>
      </c>
      <c r="J299" s="168" t="s">
        <v>210</v>
      </c>
      <c r="K299" s="168">
        <v>18</v>
      </c>
      <c r="L299" s="168" t="s">
        <v>484</v>
      </c>
      <c r="M299" s="169" t="str">
        <f t="shared" si="4"/>
        <v>251401</v>
      </c>
    </row>
    <row r="300" spans="1:13" x14ac:dyDescent="0.25">
      <c r="A300" s="168" t="s">
        <v>505</v>
      </c>
      <c r="B300" s="168" t="s">
        <v>515</v>
      </c>
      <c r="C300" s="168" t="s">
        <v>37</v>
      </c>
      <c r="D300" s="168" t="s">
        <v>213</v>
      </c>
      <c r="E300" s="168" t="s">
        <v>233</v>
      </c>
      <c r="F300" s="169">
        <v>1</v>
      </c>
      <c r="G300" s="168" t="s">
        <v>193</v>
      </c>
      <c r="H300" s="168" t="s">
        <v>194</v>
      </c>
      <c r="I300" s="168" t="s">
        <v>191</v>
      </c>
      <c r="J300" s="168" t="s">
        <v>501</v>
      </c>
      <c r="K300" s="168">
        <v>18</v>
      </c>
      <c r="L300" s="168" t="s">
        <v>516</v>
      </c>
      <c r="M300" s="169" t="str">
        <f t="shared" si="4"/>
        <v>252302</v>
      </c>
    </row>
    <row r="301" spans="1:13" x14ac:dyDescent="0.25">
      <c r="A301" s="168" t="s">
        <v>505</v>
      </c>
      <c r="B301" s="168" t="s">
        <v>509</v>
      </c>
      <c r="C301" s="168" t="s">
        <v>46</v>
      </c>
      <c r="D301" s="168" t="s">
        <v>213</v>
      </c>
      <c r="E301" s="168" t="s">
        <v>233</v>
      </c>
      <c r="F301" s="169">
        <v>1</v>
      </c>
      <c r="G301" s="168" t="s">
        <v>193</v>
      </c>
      <c r="H301" s="168" t="s">
        <v>194</v>
      </c>
      <c r="I301" s="168" t="s">
        <v>191</v>
      </c>
      <c r="J301" s="168" t="s">
        <v>501</v>
      </c>
      <c r="K301" s="168">
        <v>18</v>
      </c>
      <c r="L301" s="168" t="s">
        <v>510</v>
      </c>
      <c r="M301" s="169" t="str">
        <f t="shared" si="4"/>
        <v>252201</v>
      </c>
    </row>
    <row r="302" spans="1:13" x14ac:dyDescent="0.25">
      <c r="A302" s="168" t="s">
        <v>505</v>
      </c>
      <c r="B302" s="168" t="s">
        <v>506</v>
      </c>
      <c r="C302" s="168" t="s">
        <v>507</v>
      </c>
      <c r="D302" s="168" t="s">
        <v>213</v>
      </c>
      <c r="E302" s="168" t="s">
        <v>233</v>
      </c>
      <c r="F302" s="169">
        <v>1</v>
      </c>
      <c r="G302" s="168" t="s">
        <v>193</v>
      </c>
      <c r="H302" s="168" t="s">
        <v>194</v>
      </c>
      <c r="I302" s="168" t="s">
        <v>191</v>
      </c>
      <c r="J302" s="168" t="s">
        <v>501</v>
      </c>
      <c r="K302" s="168">
        <v>18</v>
      </c>
      <c r="L302" s="168" t="s">
        <v>508</v>
      </c>
      <c r="M302" s="169" t="str">
        <f t="shared" si="4"/>
        <v>252102</v>
      </c>
    </row>
    <row r="303" spans="1:13" x14ac:dyDescent="0.25">
      <c r="A303" s="168" t="s">
        <v>742</v>
      </c>
      <c r="B303" s="168" t="s">
        <v>743</v>
      </c>
      <c r="C303" s="168" t="s">
        <v>740</v>
      </c>
      <c r="D303" s="168" t="s">
        <v>213</v>
      </c>
      <c r="E303" s="168" t="s">
        <v>192</v>
      </c>
      <c r="F303" s="169">
        <v>1</v>
      </c>
      <c r="G303" s="168" t="s">
        <v>193</v>
      </c>
      <c r="H303" s="168" t="s">
        <v>194</v>
      </c>
      <c r="I303" s="168" t="s">
        <v>256</v>
      </c>
      <c r="J303" s="168" t="s">
        <v>267</v>
      </c>
      <c r="K303" s="168">
        <v>18</v>
      </c>
      <c r="L303" s="168" t="s">
        <v>741</v>
      </c>
      <c r="M303" s="169" t="str">
        <f t="shared" si="4"/>
        <v>522301</v>
      </c>
    </row>
    <row r="304" spans="1:13" x14ac:dyDescent="0.25">
      <c r="A304" s="168" t="s">
        <v>446</v>
      </c>
      <c r="B304" s="168" t="s">
        <v>754</v>
      </c>
      <c r="C304" s="168" t="s">
        <v>740</v>
      </c>
      <c r="D304" s="168" t="s">
        <v>213</v>
      </c>
      <c r="E304" s="168" t="s">
        <v>192</v>
      </c>
      <c r="F304" s="169">
        <v>1</v>
      </c>
      <c r="G304" s="168" t="s">
        <v>193</v>
      </c>
      <c r="H304" s="168" t="s">
        <v>194</v>
      </c>
      <c r="I304" s="168" t="s">
        <v>195</v>
      </c>
      <c r="J304" s="168" t="s">
        <v>755</v>
      </c>
      <c r="K304" s="168">
        <v>18</v>
      </c>
      <c r="L304" s="168" t="s">
        <v>741</v>
      </c>
      <c r="M304" s="169" t="str">
        <f t="shared" si="4"/>
        <v>522301</v>
      </c>
    </row>
    <row r="305" spans="1:13" x14ac:dyDescent="0.25">
      <c r="A305" s="168" t="s">
        <v>446</v>
      </c>
      <c r="B305" s="168" t="s">
        <v>756</v>
      </c>
      <c r="C305" s="168" t="s">
        <v>740</v>
      </c>
      <c r="D305" s="168" t="s">
        <v>213</v>
      </c>
      <c r="E305" s="168" t="s">
        <v>192</v>
      </c>
      <c r="F305" s="169">
        <v>1</v>
      </c>
      <c r="G305" s="168" t="s">
        <v>193</v>
      </c>
      <c r="H305" s="168" t="s">
        <v>194</v>
      </c>
      <c r="I305" s="168" t="s">
        <v>195</v>
      </c>
      <c r="J305" s="168" t="s">
        <v>202</v>
      </c>
      <c r="K305" s="168">
        <v>18</v>
      </c>
      <c r="L305" s="168" t="s">
        <v>741</v>
      </c>
      <c r="M305" s="169" t="str">
        <f t="shared" si="4"/>
        <v>522301</v>
      </c>
    </row>
    <row r="306" spans="1:13" x14ac:dyDescent="0.25">
      <c r="A306" s="168" t="s">
        <v>446</v>
      </c>
      <c r="B306" s="168" t="s">
        <v>757</v>
      </c>
      <c r="C306" s="168" t="s">
        <v>740</v>
      </c>
      <c r="D306" s="168" t="s">
        <v>213</v>
      </c>
      <c r="E306" s="168" t="s">
        <v>192</v>
      </c>
      <c r="F306" s="169">
        <v>1</v>
      </c>
      <c r="G306" s="168" t="s">
        <v>193</v>
      </c>
      <c r="H306" s="168" t="s">
        <v>194</v>
      </c>
      <c r="I306" s="168" t="s">
        <v>256</v>
      </c>
      <c r="J306" s="168" t="s">
        <v>223</v>
      </c>
      <c r="K306" s="168">
        <v>18</v>
      </c>
      <c r="L306" s="168" t="s">
        <v>741</v>
      </c>
      <c r="M306" s="169" t="str">
        <f t="shared" si="4"/>
        <v>522301</v>
      </c>
    </row>
    <row r="307" spans="1:13" x14ac:dyDescent="0.25">
      <c r="A307" s="168" t="s">
        <v>446</v>
      </c>
      <c r="B307" s="168" t="s">
        <v>758</v>
      </c>
      <c r="C307" s="168" t="s">
        <v>740</v>
      </c>
      <c r="D307" s="168" t="s">
        <v>213</v>
      </c>
      <c r="E307" s="168" t="s">
        <v>192</v>
      </c>
      <c r="F307" s="169">
        <v>1</v>
      </c>
      <c r="G307" s="168" t="s">
        <v>193</v>
      </c>
      <c r="H307" s="168" t="s">
        <v>194</v>
      </c>
      <c r="I307" s="168" t="s">
        <v>200</v>
      </c>
      <c r="J307" s="168" t="s">
        <v>223</v>
      </c>
      <c r="K307" s="168">
        <v>18</v>
      </c>
      <c r="L307" s="168" t="s">
        <v>741</v>
      </c>
      <c r="M307" s="169" t="str">
        <f t="shared" si="4"/>
        <v>522301</v>
      </c>
    </row>
    <row r="308" spans="1:13" x14ac:dyDescent="0.25">
      <c r="A308" s="168" t="s">
        <v>446</v>
      </c>
      <c r="B308" s="168" t="s">
        <v>759</v>
      </c>
      <c r="C308" s="168" t="s">
        <v>740</v>
      </c>
      <c r="D308" s="168" t="s">
        <v>213</v>
      </c>
      <c r="E308" s="168" t="s">
        <v>192</v>
      </c>
      <c r="F308" s="169">
        <v>1</v>
      </c>
      <c r="G308" s="168" t="s">
        <v>193</v>
      </c>
      <c r="H308" s="168" t="s">
        <v>194</v>
      </c>
      <c r="I308" s="168" t="s">
        <v>200</v>
      </c>
      <c r="J308" s="168" t="s">
        <v>301</v>
      </c>
      <c r="K308" s="168">
        <v>18</v>
      </c>
      <c r="L308" s="168" t="s">
        <v>741</v>
      </c>
      <c r="M308" s="169" t="str">
        <f t="shared" si="4"/>
        <v>522301</v>
      </c>
    </row>
    <row r="309" spans="1:13" x14ac:dyDescent="0.25">
      <c r="A309" s="168" t="s">
        <v>446</v>
      </c>
      <c r="B309" s="168" t="s">
        <v>760</v>
      </c>
      <c r="C309" s="168" t="s">
        <v>740</v>
      </c>
      <c r="D309" s="168" t="s">
        <v>213</v>
      </c>
      <c r="E309" s="168" t="s">
        <v>192</v>
      </c>
      <c r="F309" s="169">
        <v>1</v>
      </c>
      <c r="G309" s="168" t="s">
        <v>193</v>
      </c>
      <c r="H309" s="168" t="s">
        <v>194</v>
      </c>
      <c r="I309" s="168" t="s">
        <v>200</v>
      </c>
      <c r="J309" s="168" t="s">
        <v>267</v>
      </c>
      <c r="K309" s="168">
        <v>18</v>
      </c>
      <c r="L309" s="168" t="s">
        <v>741</v>
      </c>
      <c r="M309" s="169" t="str">
        <f t="shared" si="4"/>
        <v>522301</v>
      </c>
    </row>
    <row r="310" spans="1:13" x14ac:dyDescent="0.25">
      <c r="A310" s="168" t="s">
        <v>211</v>
      </c>
      <c r="B310" s="168" t="s">
        <v>212</v>
      </c>
      <c r="C310" s="168" t="s">
        <v>35</v>
      </c>
      <c r="D310" s="168" t="s">
        <v>213</v>
      </c>
      <c r="E310" s="168" t="s">
        <v>192</v>
      </c>
      <c r="F310" s="169">
        <v>1</v>
      </c>
      <c r="G310" s="168" t="s">
        <v>193</v>
      </c>
      <c r="H310" s="168" t="s">
        <v>194</v>
      </c>
      <c r="I310" s="168" t="s">
        <v>214</v>
      </c>
      <c r="J310" s="168" t="s">
        <v>196</v>
      </c>
      <c r="K310" s="168">
        <v>18</v>
      </c>
      <c r="L310" s="168" t="s">
        <v>207</v>
      </c>
      <c r="M310" s="169" t="str">
        <f t="shared" si="4"/>
        <v>122106</v>
      </c>
    </row>
    <row r="311" spans="1:13" x14ac:dyDescent="0.25">
      <c r="A311" s="168" t="s">
        <v>649</v>
      </c>
      <c r="B311" s="168" t="s">
        <v>650</v>
      </c>
      <c r="C311" s="168" t="s">
        <v>17</v>
      </c>
      <c r="D311" s="168" t="s">
        <v>213</v>
      </c>
      <c r="E311" s="168" t="s">
        <v>192</v>
      </c>
      <c r="F311" s="169">
        <v>1</v>
      </c>
      <c r="G311" s="168" t="s">
        <v>193</v>
      </c>
      <c r="H311" s="168" t="s">
        <v>194</v>
      </c>
      <c r="I311" s="168" t="s">
        <v>191</v>
      </c>
      <c r="J311" s="168" t="s">
        <v>276</v>
      </c>
      <c r="K311" s="168">
        <v>18</v>
      </c>
      <c r="L311" s="168" t="s">
        <v>624</v>
      </c>
      <c r="M311" s="169" t="str">
        <f t="shared" si="4"/>
        <v>332203</v>
      </c>
    </row>
    <row r="312" spans="1:13" x14ac:dyDescent="0.25">
      <c r="A312" s="168" t="s">
        <v>716</v>
      </c>
      <c r="B312" s="168" t="s">
        <v>67</v>
      </c>
      <c r="C312" s="168" t="s">
        <v>67</v>
      </c>
      <c r="D312" s="168" t="s">
        <v>213</v>
      </c>
      <c r="E312" s="168" t="s">
        <v>233</v>
      </c>
      <c r="F312" s="169">
        <v>1</v>
      </c>
      <c r="G312" s="168" t="s">
        <v>193</v>
      </c>
      <c r="H312" s="168" t="s">
        <v>194</v>
      </c>
      <c r="I312" s="168" t="s">
        <v>214</v>
      </c>
      <c r="J312" s="168" t="s">
        <v>253</v>
      </c>
      <c r="K312" s="168">
        <v>18</v>
      </c>
      <c r="L312" s="168" t="s">
        <v>709</v>
      </c>
      <c r="M312" s="169" t="str">
        <f t="shared" si="4"/>
        <v>432103</v>
      </c>
    </row>
    <row r="313" spans="1:13" x14ac:dyDescent="0.25">
      <c r="A313" s="168" t="s">
        <v>716</v>
      </c>
      <c r="B313" s="168" t="s">
        <v>803</v>
      </c>
      <c r="C313" s="168" t="s">
        <v>804</v>
      </c>
      <c r="D313" s="168" t="s">
        <v>213</v>
      </c>
      <c r="E313" s="168" t="s">
        <v>233</v>
      </c>
      <c r="F313" s="169">
        <v>1</v>
      </c>
      <c r="G313" s="168" t="s">
        <v>193</v>
      </c>
      <c r="H313" s="168" t="s">
        <v>194</v>
      </c>
      <c r="I313" s="168" t="s">
        <v>195</v>
      </c>
      <c r="J313" s="168" t="s">
        <v>253</v>
      </c>
      <c r="K313" s="168">
        <v>18</v>
      </c>
      <c r="L313" s="168" t="s">
        <v>805</v>
      </c>
      <c r="M313" s="169" t="str">
        <f t="shared" si="4"/>
        <v>722302</v>
      </c>
    </row>
    <row r="314" spans="1:13" x14ac:dyDescent="0.25">
      <c r="A314" s="168" t="s">
        <v>382</v>
      </c>
      <c r="B314" s="168" t="s">
        <v>383</v>
      </c>
      <c r="C314" s="168" t="s">
        <v>384</v>
      </c>
      <c r="D314" s="168" t="s">
        <v>213</v>
      </c>
      <c r="E314" s="168" t="s">
        <v>233</v>
      </c>
      <c r="F314" s="169">
        <v>1</v>
      </c>
      <c r="G314" s="168" t="s">
        <v>193</v>
      </c>
      <c r="H314" s="168" t="s">
        <v>194</v>
      </c>
      <c r="I314" s="168" t="s">
        <v>256</v>
      </c>
      <c r="J314" s="168" t="s">
        <v>385</v>
      </c>
      <c r="K314" s="168">
        <v>18</v>
      </c>
      <c r="L314" s="168" t="s">
        <v>386</v>
      </c>
      <c r="M314" s="169" t="str">
        <f t="shared" si="4"/>
        <v>216102</v>
      </c>
    </row>
    <row r="315" spans="1:13" x14ac:dyDescent="0.25">
      <c r="A315" s="168" t="s">
        <v>314</v>
      </c>
      <c r="B315" s="168" t="s">
        <v>315</v>
      </c>
      <c r="C315" s="168" t="s">
        <v>308</v>
      </c>
      <c r="D315" s="168" t="s">
        <v>213</v>
      </c>
      <c r="E315" s="168" t="s">
        <v>192</v>
      </c>
      <c r="F315" s="169">
        <v>1</v>
      </c>
      <c r="G315" s="168" t="s">
        <v>193</v>
      </c>
      <c r="H315" s="168" t="s">
        <v>194</v>
      </c>
      <c r="I315" s="168" t="s">
        <v>201</v>
      </c>
      <c r="J315" s="168" t="s">
        <v>316</v>
      </c>
      <c r="K315" s="168">
        <v>18</v>
      </c>
      <c r="L315" s="168" t="s">
        <v>310</v>
      </c>
      <c r="M315" s="169" t="str">
        <f t="shared" si="4"/>
        <v>214404</v>
      </c>
    </row>
    <row r="316" spans="1:13" x14ac:dyDescent="0.25">
      <c r="A316" s="168" t="s">
        <v>694</v>
      </c>
      <c r="B316" s="168" t="s">
        <v>695</v>
      </c>
      <c r="C316" s="168" t="s">
        <v>692</v>
      </c>
      <c r="D316" s="168" t="s">
        <v>213</v>
      </c>
      <c r="E316" s="168" t="s">
        <v>192</v>
      </c>
      <c r="F316" s="169">
        <v>1</v>
      </c>
      <c r="G316" s="168" t="s">
        <v>193</v>
      </c>
      <c r="H316" s="168" t="s">
        <v>194</v>
      </c>
      <c r="I316" s="168" t="s">
        <v>201</v>
      </c>
      <c r="J316" s="168" t="s">
        <v>253</v>
      </c>
      <c r="K316" s="168">
        <v>18</v>
      </c>
      <c r="L316" s="168" t="s">
        <v>693</v>
      </c>
      <c r="M316" s="169" t="str">
        <f t="shared" si="4"/>
        <v>351103</v>
      </c>
    </row>
    <row r="317" spans="1:13" x14ac:dyDescent="0.25">
      <c r="A317" s="168" t="s">
        <v>698</v>
      </c>
      <c r="B317" s="168" t="s">
        <v>699</v>
      </c>
      <c r="C317" s="168" t="s">
        <v>700</v>
      </c>
      <c r="D317" s="168" t="s">
        <v>213</v>
      </c>
      <c r="E317" s="168" t="s">
        <v>192</v>
      </c>
      <c r="F317" s="169">
        <v>1</v>
      </c>
      <c r="G317" s="168" t="s">
        <v>193</v>
      </c>
      <c r="H317" s="168" t="s">
        <v>194</v>
      </c>
      <c r="I317" s="168" t="s">
        <v>191</v>
      </c>
      <c r="J317" s="168" t="s">
        <v>210</v>
      </c>
      <c r="K317" s="168">
        <v>18</v>
      </c>
      <c r="L317" s="168" t="s">
        <v>701</v>
      </c>
      <c r="M317" s="169" t="str">
        <f t="shared" si="4"/>
        <v>411003</v>
      </c>
    </row>
    <row r="318" spans="1:13" x14ac:dyDescent="0.25">
      <c r="A318" s="168" t="s">
        <v>260</v>
      </c>
      <c r="B318" s="168" t="s">
        <v>261</v>
      </c>
      <c r="C318" s="168" t="s">
        <v>74</v>
      </c>
      <c r="D318" s="168" t="s">
        <v>213</v>
      </c>
      <c r="E318" s="168" t="s">
        <v>233</v>
      </c>
      <c r="F318" s="169">
        <v>1</v>
      </c>
      <c r="G318" s="168" t="s">
        <v>193</v>
      </c>
      <c r="H318" s="168" t="s">
        <v>194</v>
      </c>
      <c r="I318" s="168" t="s">
        <v>256</v>
      </c>
      <c r="J318" s="168" t="s">
        <v>262</v>
      </c>
      <c r="K318" s="168">
        <v>18</v>
      </c>
      <c r="L318" s="168" t="s">
        <v>246</v>
      </c>
      <c r="M318" s="169" t="str">
        <f t="shared" si="4"/>
        <v>142004</v>
      </c>
    </row>
    <row r="319" spans="1:13" x14ac:dyDescent="0.25">
      <c r="A319" s="168" t="s">
        <v>260</v>
      </c>
      <c r="B319" s="168" t="s">
        <v>761</v>
      </c>
      <c r="C319" s="168" t="s">
        <v>740</v>
      </c>
      <c r="D319" s="168" t="s">
        <v>213</v>
      </c>
      <c r="E319" s="168" t="s">
        <v>233</v>
      </c>
      <c r="F319" s="169">
        <v>1</v>
      </c>
      <c r="G319" s="168" t="s">
        <v>193</v>
      </c>
      <c r="H319" s="168" t="s">
        <v>194</v>
      </c>
      <c r="I319" s="168" t="s">
        <v>200</v>
      </c>
      <c r="J319" s="168" t="s">
        <v>762</v>
      </c>
      <c r="K319" s="168">
        <v>18</v>
      </c>
      <c r="L319" s="168" t="s">
        <v>741</v>
      </c>
      <c r="M319" s="169" t="str">
        <f t="shared" si="4"/>
        <v>522301</v>
      </c>
    </row>
    <row r="320" spans="1:13" x14ac:dyDescent="0.25">
      <c r="A320" s="168" t="s">
        <v>763</v>
      </c>
      <c r="B320" s="168" t="s">
        <v>761</v>
      </c>
      <c r="C320" s="168" t="s">
        <v>740</v>
      </c>
      <c r="D320" s="168" t="s">
        <v>213</v>
      </c>
      <c r="E320" s="168" t="s">
        <v>192</v>
      </c>
      <c r="F320" s="169">
        <v>1</v>
      </c>
      <c r="G320" s="168" t="s">
        <v>193</v>
      </c>
      <c r="H320" s="168" t="s">
        <v>194</v>
      </c>
      <c r="I320" s="168" t="s">
        <v>200</v>
      </c>
      <c r="J320" s="168" t="s">
        <v>747</v>
      </c>
      <c r="K320" s="168">
        <v>18</v>
      </c>
      <c r="L320" s="168" t="s">
        <v>741</v>
      </c>
      <c r="M320" s="169" t="str">
        <f t="shared" si="4"/>
        <v>522301</v>
      </c>
    </row>
    <row r="321" spans="1:13" x14ac:dyDescent="0.25">
      <c r="A321" s="168" t="s">
        <v>260</v>
      </c>
      <c r="B321" s="168" t="s">
        <v>761</v>
      </c>
      <c r="C321" s="168" t="s">
        <v>740</v>
      </c>
      <c r="D321" s="168" t="s">
        <v>213</v>
      </c>
      <c r="E321" s="168" t="s">
        <v>233</v>
      </c>
      <c r="F321" s="169">
        <v>1</v>
      </c>
      <c r="G321" s="168" t="s">
        <v>193</v>
      </c>
      <c r="H321" s="168" t="s">
        <v>194</v>
      </c>
      <c r="I321" s="168" t="s">
        <v>204</v>
      </c>
      <c r="J321" s="168" t="s">
        <v>764</v>
      </c>
      <c r="K321" s="168">
        <v>18</v>
      </c>
      <c r="L321" s="168" t="s">
        <v>741</v>
      </c>
      <c r="M321" s="169" t="str">
        <f t="shared" si="4"/>
        <v>522301</v>
      </c>
    </row>
    <row r="322" spans="1:13" x14ac:dyDescent="0.25">
      <c r="A322" s="168" t="s">
        <v>260</v>
      </c>
      <c r="B322" s="168" t="s">
        <v>761</v>
      </c>
      <c r="C322" s="168" t="s">
        <v>740</v>
      </c>
      <c r="D322" s="168" t="s">
        <v>213</v>
      </c>
      <c r="E322" s="168" t="s">
        <v>233</v>
      </c>
      <c r="F322" s="169">
        <v>1</v>
      </c>
      <c r="G322" s="168" t="s">
        <v>193</v>
      </c>
      <c r="H322" s="168" t="s">
        <v>194</v>
      </c>
      <c r="I322" s="168" t="s">
        <v>256</v>
      </c>
      <c r="J322" s="168" t="s">
        <v>765</v>
      </c>
      <c r="K322" s="168">
        <v>18</v>
      </c>
      <c r="L322" s="168" t="s">
        <v>741</v>
      </c>
      <c r="M322" s="169" t="str">
        <f t="shared" si="4"/>
        <v>522301</v>
      </c>
    </row>
    <row r="323" spans="1:13" x14ac:dyDescent="0.25">
      <c r="A323" s="168" t="s">
        <v>434</v>
      </c>
      <c r="B323" s="168" t="s">
        <v>435</v>
      </c>
      <c r="C323" s="168" t="s">
        <v>436</v>
      </c>
      <c r="D323" s="168" t="s">
        <v>213</v>
      </c>
      <c r="E323" s="168" t="s">
        <v>192</v>
      </c>
      <c r="F323" s="169">
        <v>1</v>
      </c>
      <c r="G323" s="168" t="s">
        <v>193</v>
      </c>
      <c r="H323" s="168" t="s">
        <v>194</v>
      </c>
      <c r="I323" s="168" t="s">
        <v>191</v>
      </c>
      <c r="J323" s="168" t="s">
        <v>276</v>
      </c>
      <c r="K323" s="168">
        <v>18</v>
      </c>
      <c r="L323" s="168" t="s">
        <v>437</v>
      </c>
      <c r="M323" s="169" t="str">
        <f t="shared" ref="M323:M378" si="5">MID(L323,8,6)</f>
        <v>242221</v>
      </c>
    </row>
    <row r="324" spans="1:13" x14ac:dyDescent="0.25">
      <c r="A324" s="168" t="s">
        <v>843</v>
      </c>
      <c r="B324" s="168" t="s">
        <v>882</v>
      </c>
      <c r="C324" s="168" t="s">
        <v>883</v>
      </c>
      <c r="D324" s="168" t="s">
        <v>213</v>
      </c>
      <c r="E324" s="168" t="s">
        <v>192</v>
      </c>
      <c r="F324" s="169">
        <v>1</v>
      </c>
      <c r="G324" s="168" t="s">
        <v>193</v>
      </c>
      <c r="H324" s="168" t="s">
        <v>194</v>
      </c>
      <c r="I324" s="168" t="s">
        <v>195</v>
      </c>
      <c r="J324" s="168" t="s">
        <v>210</v>
      </c>
      <c r="K324" s="168">
        <v>18</v>
      </c>
      <c r="L324" s="168" t="s">
        <v>884</v>
      </c>
      <c r="M324" s="169" t="str">
        <f t="shared" si="5"/>
        <v>834205</v>
      </c>
    </row>
    <row r="325" spans="1:13" x14ac:dyDescent="0.25">
      <c r="A325" s="168" t="s">
        <v>843</v>
      </c>
      <c r="B325" s="168" t="s">
        <v>879</v>
      </c>
      <c r="C325" s="168" t="s">
        <v>880</v>
      </c>
      <c r="D325" s="168" t="s">
        <v>213</v>
      </c>
      <c r="E325" s="168" t="s">
        <v>192</v>
      </c>
      <c r="F325" s="169">
        <v>1</v>
      </c>
      <c r="G325" s="168" t="s">
        <v>193</v>
      </c>
      <c r="H325" s="168" t="s">
        <v>194</v>
      </c>
      <c r="I325" s="168" t="s">
        <v>191</v>
      </c>
      <c r="J325" s="168" t="s">
        <v>210</v>
      </c>
      <c r="K325" s="168">
        <v>18</v>
      </c>
      <c r="L325" s="168" t="s">
        <v>881</v>
      </c>
      <c r="M325" s="169" t="str">
        <f t="shared" si="5"/>
        <v>834204</v>
      </c>
    </row>
    <row r="326" spans="1:13" x14ac:dyDescent="0.25">
      <c r="A326" s="168" t="s">
        <v>843</v>
      </c>
      <c r="B326" s="168" t="s">
        <v>844</v>
      </c>
      <c r="C326" s="168" t="s">
        <v>845</v>
      </c>
      <c r="D326" s="168" t="s">
        <v>213</v>
      </c>
      <c r="E326" s="168" t="s">
        <v>192</v>
      </c>
      <c r="F326" s="169">
        <v>1</v>
      </c>
      <c r="G326" s="168" t="s">
        <v>193</v>
      </c>
      <c r="H326" s="168" t="s">
        <v>194</v>
      </c>
      <c r="I326" s="168" t="s">
        <v>195</v>
      </c>
      <c r="J326" s="168" t="s">
        <v>210</v>
      </c>
      <c r="K326" s="168">
        <v>18</v>
      </c>
      <c r="L326" s="168" t="s">
        <v>846</v>
      </c>
      <c r="M326" s="169" t="str">
        <f t="shared" si="5"/>
        <v>811405</v>
      </c>
    </row>
    <row r="327" spans="1:13" x14ac:dyDescent="0.25">
      <c r="A327" s="168" t="s">
        <v>517</v>
      </c>
      <c r="B327" s="168" t="s">
        <v>518</v>
      </c>
      <c r="C327" s="168" t="s">
        <v>101</v>
      </c>
      <c r="D327" s="168" t="s">
        <v>213</v>
      </c>
      <c r="E327" s="168" t="s">
        <v>192</v>
      </c>
      <c r="F327" s="169">
        <v>1</v>
      </c>
      <c r="G327" s="168" t="s">
        <v>193</v>
      </c>
      <c r="H327" s="168" t="s">
        <v>194</v>
      </c>
      <c r="I327" s="168" t="s">
        <v>191</v>
      </c>
      <c r="J327" s="168" t="s">
        <v>238</v>
      </c>
      <c r="K327" s="168">
        <v>18</v>
      </c>
      <c r="L327" s="168" t="s">
        <v>519</v>
      </c>
      <c r="M327" s="169" t="str">
        <f t="shared" si="5"/>
        <v>261103</v>
      </c>
    </row>
    <row r="328" spans="1:13" x14ac:dyDescent="0.25">
      <c r="A328" s="168" t="s">
        <v>349</v>
      </c>
      <c r="B328" s="168" t="s">
        <v>350</v>
      </c>
      <c r="C328" s="168" t="s">
        <v>45</v>
      </c>
      <c r="D328" s="168" t="s">
        <v>213</v>
      </c>
      <c r="E328" s="168" t="s">
        <v>192</v>
      </c>
      <c r="F328" s="169">
        <v>1</v>
      </c>
      <c r="G328" s="168" t="s">
        <v>193</v>
      </c>
      <c r="H328" s="168" t="s">
        <v>194</v>
      </c>
      <c r="I328" s="168" t="s">
        <v>201</v>
      </c>
      <c r="J328" s="168" t="s">
        <v>316</v>
      </c>
      <c r="K328" s="168">
        <v>18</v>
      </c>
      <c r="L328" s="168" t="s">
        <v>351</v>
      </c>
      <c r="M328" s="169" t="str">
        <f t="shared" si="5"/>
        <v>214932</v>
      </c>
    </row>
    <row r="329" spans="1:13" x14ac:dyDescent="0.25">
      <c r="A329" s="168" t="s">
        <v>615</v>
      </c>
      <c r="B329" s="168" t="s">
        <v>616</v>
      </c>
      <c r="C329" s="168" t="s">
        <v>617</v>
      </c>
      <c r="D329" s="168" t="s">
        <v>213</v>
      </c>
      <c r="E329" s="168" t="s">
        <v>192</v>
      </c>
      <c r="F329" s="169">
        <v>1</v>
      </c>
      <c r="G329" s="168" t="s">
        <v>193</v>
      </c>
      <c r="H329" s="168" t="s">
        <v>194</v>
      </c>
      <c r="I329" s="168" t="s">
        <v>256</v>
      </c>
      <c r="J329" s="168" t="s">
        <v>210</v>
      </c>
      <c r="K329" s="168">
        <v>18</v>
      </c>
      <c r="L329" s="168" t="s">
        <v>618</v>
      </c>
      <c r="M329" s="169" t="str">
        <f t="shared" si="5"/>
        <v>332104</v>
      </c>
    </row>
    <row r="330" spans="1:13" x14ac:dyDescent="0.25">
      <c r="A330" s="168" t="s">
        <v>329</v>
      </c>
      <c r="B330" s="168" t="s">
        <v>330</v>
      </c>
      <c r="C330" s="168" t="s">
        <v>326</v>
      </c>
      <c r="D330" s="168" t="s">
        <v>213</v>
      </c>
      <c r="E330" s="168" t="s">
        <v>192</v>
      </c>
      <c r="F330" s="169">
        <v>1</v>
      </c>
      <c r="G330" s="168" t="s">
        <v>193</v>
      </c>
      <c r="H330" s="168" t="s">
        <v>194</v>
      </c>
      <c r="I330" s="168" t="s">
        <v>201</v>
      </c>
      <c r="J330" s="168" t="s">
        <v>210</v>
      </c>
      <c r="K330" s="168">
        <v>18</v>
      </c>
      <c r="L330" s="168" t="s">
        <v>328</v>
      </c>
      <c r="M330" s="169" t="str">
        <f t="shared" si="5"/>
        <v>214503</v>
      </c>
    </row>
    <row r="331" spans="1:13" x14ac:dyDescent="0.25">
      <c r="A331" s="168" t="s">
        <v>499</v>
      </c>
      <c r="B331" s="168" t="s">
        <v>500</v>
      </c>
      <c r="C331" s="168" t="s">
        <v>10</v>
      </c>
      <c r="D331" s="168" t="s">
        <v>213</v>
      </c>
      <c r="E331" s="168" t="s">
        <v>233</v>
      </c>
      <c r="F331" s="169">
        <v>1</v>
      </c>
      <c r="G331" s="168" t="s">
        <v>193</v>
      </c>
      <c r="H331" s="168" t="s">
        <v>194</v>
      </c>
      <c r="I331" s="168" t="s">
        <v>195</v>
      </c>
      <c r="J331" s="168" t="s">
        <v>501</v>
      </c>
      <c r="K331" s="168">
        <v>18</v>
      </c>
      <c r="L331" s="168" t="s">
        <v>484</v>
      </c>
      <c r="M331" s="169" t="str">
        <f t="shared" si="5"/>
        <v>251401</v>
      </c>
    </row>
    <row r="332" spans="1:13" x14ac:dyDescent="0.25">
      <c r="A332" s="168" t="s">
        <v>269</v>
      </c>
      <c r="B332" s="168" t="s">
        <v>425</v>
      </c>
      <c r="C332" s="168" t="s">
        <v>423</v>
      </c>
      <c r="D332" s="168" t="s">
        <v>213</v>
      </c>
      <c r="E332" s="168" t="s">
        <v>192</v>
      </c>
      <c r="F332" s="169">
        <v>1</v>
      </c>
      <c r="G332" s="168" t="s">
        <v>193</v>
      </c>
      <c r="H332" s="168" t="s">
        <v>194</v>
      </c>
      <c r="I332" s="168" t="s">
        <v>201</v>
      </c>
      <c r="J332" s="168" t="s">
        <v>267</v>
      </c>
      <c r="K332" s="168">
        <v>18</v>
      </c>
      <c r="L332" s="168" t="s">
        <v>424</v>
      </c>
      <c r="M332" s="169" t="str">
        <f t="shared" si="5"/>
        <v>241307</v>
      </c>
    </row>
    <row r="333" spans="1:13" x14ac:dyDescent="0.25">
      <c r="A333" s="168" t="s">
        <v>269</v>
      </c>
      <c r="B333" s="168" t="s">
        <v>426</v>
      </c>
      <c r="C333" s="168" t="s">
        <v>423</v>
      </c>
      <c r="D333" s="168" t="s">
        <v>213</v>
      </c>
      <c r="E333" s="168" t="s">
        <v>192</v>
      </c>
      <c r="F333" s="169">
        <v>1</v>
      </c>
      <c r="G333" s="168" t="s">
        <v>193</v>
      </c>
      <c r="H333" s="168" t="s">
        <v>194</v>
      </c>
      <c r="I333" s="168" t="s">
        <v>201</v>
      </c>
      <c r="J333" s="168" t="s">
        <v>267</v>
      </c>
      <c r="K333" s="168">
        <v>18</v>
      </c>
      <c r="L333" s="168" t="s">
        <v>424</v>
      </c>
      <c r="M333" s="169" t="str">
        <f t="shared" si="5"/>
        <v>241307</v>
      </c>
    </row>
    <row r="334" spans="1:13" x14ac:dyDescent="0.25">
      <c r="A334" s="168" t="s">
        <v>269</v>
      </c>
      <c r="B334" s="168" t="s">
        <v>270</v>
      </c>
      <c r="C334" s="168" t="s">
        <v>266</v>
      </c>
      <c r="D334" s="168" t="s">
        <v>213</v>
      </c>
      <c r="E334" s="168" t="s">
        <v>192</v>
      </c>
      <c r="F334" s="169">
        <v>1</v>
      </c>
      <c r="G334" s="168" t="s">
        <v>193</v>
      </c>
      <c r="H334" s="168" t="s">
        <v>194</v>
      </c>
      <c r="I334" s="168" t="s">
        <v>201</v>
      </c>
      <c r="J334" s="168" t="s">
        <v>267</v>
      </c>
      <c r="K334" s="168">
        <v>18</v>
      </c>
      <c r="L334" s="168" t="s">
        <v>268</v>
      </c>
      <c r="M334" s="169" t="str">
        <f t="shared" si="5"/>
        <v>143905</v>
      </c>
    </row>
    <row r="335" spans="1:13" x14ac:dyDescent="0.25">
      <c r="A335" s="168" t="s">
        <v>536</v>
      </c>
      <c r="B335" s="168" t="s">
        <v>537</v>
      </c>
      <c r="C335" s="168" t="s">
        <v>525</v>
      </c>
      <c r="D335" s="168" t="s">
        <v>213</v>
      </c>
      <c r="E335" s="168" t="s">
        <v>192</v>
      </c>
      <c r="F335" s="169">
        <v>1</v>
      </c>
      <c r="G335" s="168" t="s">
        <v>193</v>
      </c>
      <c r="H335" s="168" t="s">
        <v>194</v>
      </c>
      <c r="I335" s="168" t="s">
        <v>214</v>
      </c>
      <c r="J335" s="168" t="s">
        <v>210</v>
      </c>
      <c r="K335" s="168">
        <v>18</v>
      </c>
      <c r="L335" s="168" t="s">
        <v>526</v>
      </c>
      <c r="M335" s="169" t="str">
        <f t="shared" si="5"/>
        <v>263102</v>
      </c>
    </row>
    <row r="336" spans="1:13" x14ac:dyDescent="0.25">
      <c r="A336" s="168" t="s">
        <v>781</v>
      </c>
      <c r="B336" s="168" t="s">
        <v>537</v>
      </c>
      <c r="C336" s="168" t="s">
        <v>778</v>
      </c>
      <c r="D336" s="168" t="s">
        <v>213</v>
      </c>
      <c r="E336" s="168" t="s">
        <v>192</v>
      </c>
      <c r="F336" s="169">
        <v>1</v>
      </c>
      <c r="G336" s="168" t="s">
        <v>193</v>
      </c>
      <c r="H336" s="168" t="s">
        <v>194</v>
      </c>
      <c r="I336" s="168" t="s">
        <v>214</v>
      </c>
      <c r="J336" s="168" t="s">
        <v>210</v>
      </c>
      <c r="K336" s="168">
        <v>18</v>
      </c>
      <c r="L336" s="168" t="s">
        <v>779</v>
      </c>
      <c r="M336" s="169" t="str">
        <f t="shared" si="5"/>
        <v>524902</v>
      </c>
    </row>
    <row r="337" spans="1:13" x14ac:dyDescent="0.25">
      <c r="A337" s="168" t="s">
        <v>651</v>
      </c>
      <c r="B337" s="168" t="s">
        <v>632</v>
      </c>
      <c r="C337" s="168" t="s">
        <v>17</v>
      </c>
      <c r="D337" s="168" t="s">
        <v>213</v>
      </c>
      <c r="E337" s="168" t="s">
        <v>192</v>
      </c>
      <c r="F337" s="169">
        <v>1</v>
      </c>
      <c r="G337" s="168" t="s">
        <v>193</v>
      </c>
      <c r="H337" s="168" t="s">
        <v>194</v>
      </c>
      <c r="I337" s="168" t="s">
        <v>214</v>
      </c>
      <c r="J337" s="168" t="s">
        <v>210</v>
      </c>
      <c r="K337" s="168">
        <v>18</v>
      </c>
      <c r="L337" s="168" t="s">
        <v>624</v>
      </c>
      <c r="M337" s="169" t="str">
        <f t="shared" si="5"/>
        <v>332203</v>
      </c>
    </row>
    <row r="338" spans="1:13" x14ac:dyDescent="0.25">
      <c r="A338" s="168" t="s">
        <v>868</v>
      </c>
      <c r="B338" s="168" t="s">
        <v>869</v>
      </c>
      <c r="C338" s="168" t="s">
        <v>870</v>
      </c>
      <c r="D338" s="168" t="s">
        <v>213</v>
      </c>
      <c r="E338" s="168" t="s">
        <v>192</v>
      </c>
      <c r="F338" s="169">
        <v>1</v>
      </c>
      <c r="G338" s="168" t="s">
        <v>193</v>
      </c>
      <c r="H338" s="168" t="s">
        <v>194</v>
      </c>
      <c r="I338" s="168" t="s">
        <v>256</v>
      </c>
      <c r="J338" s="168" t="s">
        <v>871</v>
      </c>
      <c r="K338" s="168">
        <v>18</v>
      </c>
      <c r="L338" s="168" t="s">
        <v>872</v>
      </c>
      <c r="M338" s="169" t="str">
        <f t="shared" si="5"/>
        <v>832202</v>
      </c>
    </row>
    <row r="339" spans="1:13" x14ac:dyDescent="0.25">
      <c r="A339" s="168" t="s">
        <v>417</v>
      </c>
      <c r="B339" s="168" t="s">
        <v>418</v>
      </c>
      <c r="C339" s="168" t="s">
        <v>9</v>
      </c>
      <c r="D339" s="168" t="s">
        <v>213</v>
      </c>
      <c r="E339" s="168" t="s">
        <v>233</v>
      </c>
      <c r="F339" s="169">
        <v>1</v>
      </c>
      <c r="G339" s="168" t="s">
        <v>193</v>
      </c>
      <c r="H339" s="168" t="s">
        <v>194</v>
      </c>
      <c r="I339" s="168" t="s">
        <v>191</v>
      </c>
      <c r="J339" s="168" t="s">
        <v>267</v>
      </c>
      <c r="K339" s="168">
        <v>18</v>
      </c>
      <c r="L339" s="168" t="s">
        <v>405</v>
      </c>
      <c r="M339" s="169" t="str">
        <f t="shared" si="5"/>
        <v>241304</v>
      </c>
    </row>
    <row r="340" spans="1:13" x14ac:dyDescent="0.25">
      <c r="A340" s="168" t="s">
        <v>432</v>
      </c>
      <c r="B340" s="168" t="s">
        <v>433</v>
      </c>
      <c r="C340" s="168" t="s">
        <v>100</v>
      </c>
      <c r="D340" s="168" t="s">
        <v>213</v>
      </c>
      <c r="E340" s="168" t="s">
        <v>192</v>
      </c>
      <c r="F340" s="169">
        <v>1</v>
      </c>
      <c r="G340" s="168" t="s">
        <v>193</v>
      </c>
      <c r="H340" s="168" t="s">
        <v>194</v>
      </c>
      <c r="I340" s="168" t="s">
        <v>256</v>
      </c>
      <c r="J340" s="168" t="s">
        <v>253</v>
      </c>
      <c r="K340" s="168">
        <v>18</v>
      </c>
      <c r="L340" s="168" t="s">
        <v>429</v>
      </c>
      <c r="M340" s="169" t="str">
        <f t="shared" si="5"/>
        <v>242108</v>
      </c>
    </row>
    <row r="341" spans="1:13" x14ac:dyDescent="0.25">
      <c r="A341" s="168" t="s">
        <v>892</v>
      </c>
      <c r="B341" s="168" t="s">
        <v>893</v>
      </c>
      <c r="D341" s="168" t="s">
        <v>213</v>
      </c>
      <c r="E341" s="168" t="s">
        <v>192</v>
      </c>
      <c r="F341" s="179">
        <v>0</v>
      </c>
      <c r="G341" s="178" t="s">
        <v>194</v>
      </c>
      <c r="H341" s="168" t="s">
        <v>193</v>
      </c>
      <c r="I341" s="168" t="s">
        <v>256</v>
      </c>
      <c r="J341" s="168" t="s">
        <v>210</v>
      </c>
      <c r="K341" s="168">
        <v>18</v>
      </c>
      <c r="M341" s="169" t="str">
        <f t="shared" si="5"/>
        <v/>
      </c>
    </row>
    <row r="342" spans="1:13" x14ac:dyDescent="0.25">
      <c r="A342" s="168" t="s">
        <v>215</v>
      </c>
      <c r="B342" s="168" t="s">
        <v>216</v>
      </c>
      <c r="C342" s="168" t="s">
        <v>35</v>
      </c>
      <c r="D342" s="168" t="s">
        <v>213</v>
      </c>
      <c r="E342" s="168" t="s">
        <v>217</v>
      </c>
      <c r="F342" s="169">
        <v>1</v>
      </c>
      <c r="G342" s="168" t="s">
        <v>193</v>
      </c>
      <c r="H342" s="168" t="s">
        <v>194</v>
      </c>
      <c r="I342" s="168" t="s">
        <v>195</v>
      </c>
      <c r="J342" s="168" t="s">
        <v>210</v>
      </c>
      <c r="K342" s="168">
        <v>18</v>
      </c>
      <c r="L342" s="168" t="s">
        <v>207</v>
      </c>
      <c r="M342" s="169" t="str">
        <f t="shared" si="5"/>
        <v>122106</v>
      </c>
    </row>
    <row r="343" spans="1:13" x14ac:dyDescent="0.25">
      <c r="A343" s="168" t="s">
        <v>735</v>
      </c>
      <c r="B343" s="168" t="s">
        <v>736</v>
      </c>
      <c r="C343" s="168" t="s">
        <v>737</v>
      </c>
      <c r="D343" s="168" t="s">
        <v>213</v>
      </c>
      <c r="E343" s="168" t="s">
        <v>233</v>
      </c>
      <c r="F343" s="169">
        <v>1</v>
      </c>
      <c r="G343" s="168" t="s">
        <v>193</v>
      </c>
      <c r="H343" s="168" t="s">
        <v>194</v>
      </c>
      <c r="I343" s="168" t="s">
        <v>256</v>
      </c>
      <c r="J343" s="168" t="s">
        <v>210</v>
      </c>
      <c r="K343" s="168">
        <v>18</v>
      </c>
      <c r="L343" s="168" t="s">
        <v>738</v>
      </c>
      <c r="M343" s="169" t="str">
        <f t="shared" si="5"/>
        <v>522201</v>
      </c>
    </row>
    <row r="344" spans="1:13" x14ac:dyDescent="0.25">
      <c r="A344" s="168" t="s">
        <v>606</v>
      </c>
      <c r="B344" s="168" t="s">
        <v>607</v>
      </c>
      <c r="C344" s="168" t="s">
        <v>36</v>
      </c>
      <c r="D344" s="168" t="s">
        <v>213</v>
      </c>
      <c r="E344" s="168" t="s">
        <v>192</v>
      </c>
      <c r="F344" s="169">
        <v>1</v>
      </c>
      <c r="G344" s="168" t="s">
        <v>193</v>
      </c>
      <c r="H344" s="168" t="s">
        <v>194</v>
      </c>
      <c r="I344" s="168" t="s">
        <v>256</v>
      </c>
      <c r="J344" s="168" t="s">
        <v>608</v>
      </c>
      <c r="K344" s="168">
        <v>18</v>
      </c>
      <c r="L344" s="168" t="s">
        <v>609</v>
      </c>
      <c r="M344" s="169" t="str">
        <f t="shared" si="5"/>
        <v>331301</v>
      </c>
    </row>
    <row r="345" spans="1:13" x14ac:dyDescent="0.25">
      <c r="A345" s="168" t="s">
        <v>606</v>
      </c>
      <c r="B345" s="168" t="s">
        <v>610</v>
      </c>
      <c r="C345" s="168" t="s">
        <v>36</v>
      </c>
      <c r="D345" s="168" t="s">
        <v>213</v>
      </c>
      <c r="E345" s="168" t="s">
        <v>192</v>
      </c>
      <c r="F345" s="169">
        <v>1</v>
      </c>
      <c r="G345" s="168" t="s">
        <v>193</v>
      </c>
      <c r="H345" s="168" t="s">
        <v>194</v>
      </c>
      <c r="I345" s="168" t="s">
        <v>256</v>
      </c>
      <c r="J345" s="168" t="s">
        <v>608</v>
      </c>
      <c r="K345" s="168">
        <v>18</v>
      </c>
      <c r="L345" s="168" t="s">
        <v>609</v>
      </c>
      <c r="M345" s="169" t="str">
        <f t="shared" si="5"/>
        <v>331301</v>
      </c>
    </row>
    <row r="346" spans="1:13" x14ac:dyDescent="0.25">
      <c r="A346" s="168" t="s">
        <v>773</v>
      </c>
      <c r="B346" s="168" t="s">
        <v>774</v>
      </c>
      <c r="C346" s="168" t="s">
        <v>770</v>
      </c>
      <c r="D346" s="168" t="s">
        <v>213</v>
      </c>
      <c r="E346" s="168" t="s">
        <v>192</v>
      </c>
      <c r="F346" s="169">
        <v>1</v>
      </c>
      <c r="G346" s="168" t="s">
        <v>193</v>
      </c>
      <c r="H346" s="168" t="s">
        <v>194</v>
      </c>
      <c r="I346" s="168" t="s">
        <v>191</v>
      </c>
      <c r="J346" s="168" t="s">
        <v>210</v>
      </c>
      <c r="K346" s="168">
        <v>18</v>
      </c>
      <c r="L346" s="168" t="s">
        <v>772</v>
      </c>
      <c r="M346" s="169" t="str">
        <f t="shared" si="5"/>
        <v>522305</v>
      </c>
    </row>
    <row r="347" spans="1:13" x14ac:dyDescent="0.25">
      <c r="A347" s="168" t="s">
        <v>783</v>
      </c>
      <c r="B347" s="168" t="s">
        <v>784</v>
      </c>
      <c r="C347" s="168" t="s">
        <v>785</v>
      </c>
      <c r="D347" s="168" t="s">
        <v>213</v>
      </c>
      <c r="E347" s="168" t="s">
        <v>217</v>
      </c>
      <c r="F347" s="169">
        <v>1</v>
      </c>
      <c r="G347" s="168" t="s">
        <v>193</v>
      </c>
      <c r="H347" s="168" t="s">
        <v>194</v>
      </c>
      <c r="I347" s="168" t="s">
        <v>195</v>
      </c>
      <c r="J347" s="168" t="s">
        <v>786</v>
      </c>
      <c r="K347" s="168">
        <v>18</v>
      </c>
      <c r="L347" s="168" t="s">
        <v>787</v>
      </c>
      <c r="M347" s="169" t="str">
        <f t="shared" si="5"/>
        <v>711202</v>
      </c>
    </row>
    <row r="348" spans="1:13" x14ac:dyDescent="0.25">
      <c r="A348" s="168" t="s">
        <v>873</v>
      </c>
      <c r="B348" s="168" t="s">
        <v>874</v>
      </c>
      <c r="C348" s="168" t="s">
        <v>875</v>
      </c>
      <c r="D348" s="168" t="s">
        <v>213</v>
      </c>
      <c r="E348" s="168" t="s">
        <v>233</v>
      </c>
      <c r="F348" s="169">
        <v>1</v>
      </c>
      <c r="G348" s="168" t="s">
        <v>193</v>
      </c>
      <c r="H348" s="168" t="s">
        <v>194</v>
      </c>
      <c r="I348" s="168" t="s">
        <v>256</v>
      </c>
      <c r="J348" s="168" t="s">
        <v>210</v>
      </c>
      <c r="K348" s="168">
        <v>18</v>
      </c>
      <c r="L348" s="168" t="s">
        <v>876</v>
      </c>
      <c r="M348" s="169" t="str">
        <f t="shared" si="5"/>
        <v>833203</v>
      </c>
    </row>
    <row r="349" spans="1:13" x14ac:dyDescent="0.25">
      <c r="A349" s="168" t="s">
        <v>331</v>
      </c>
      <c r="B349" s="168" t="s">
        <v>332</v>
      </c>
      <c r="C349" s="168" t="s">
        <v>333</v>
      </c>
      <c r="D349" s="168" t="s">
        <v>213</v>
      </c>
      <c r="E349" s="168" t="s">
        <v>192</v>
      </c>
      <c r="F349" s="169">
        <v>1</v>
      </c>
      <c r="G349" s="168" t="s">
        <v>193</v>
      </c>
      <c r="H349" s="168" t="s">
        <v>194</v>
      </c>
      <c r="I349" s="168" t="s">
        <v>256</v>
      </c>
      <c r="J349" s="168" t="s">
        <v>309</v>
      </c>
      <c r="K349" s="168">
        <v>18</v>
      </c>
      <c r="L349" s="168" t="s">
        <v>334</v>
      </c>
      <c r="M349" s="169" t="str">
        <f t="shared" si="5"/>
        <v>214607</v>
      </c>
    </row>
    <row r="350" spans="1:13" x14ac:dyDescent="0.25">
      <c r="A350" s="168" t="s">
        <v>782</v>
      </c>
      <c r="B350" s="168" t="s">
        <v>537</v>
      </c>
      <c r="C350" s="168" t="s">
        <v>778</v>
      </c>
      <c r="D350" s="168" t="s">
        <v>213</v>
      </c>
      <c r="E350" s="168" t="s">
        <v>192</v>
      </c>
      <c r="F350" s="169">
        <v>1</v>
      </c>
      <c r="G350" s="168" t="s">
        <v>193</v>
      </c>
      <c r="H350" s="168" t="s">
        <v>194</v>
      </c>
      <c r="I350" s="168" t="s">
        <v>214</v>
      </c>
      <c r="J350" s="168" t="s">
        <v>385</v>
      </c>
      <c r="K350" s="168">
        <v>18</v>
      </c>
      <c r="L350" s="168" t="s">
        <v>779</v>
      </c>
      <c r="M350" s="169" t="str">
        <f t="shared" si="5"/>
        <v>524902</v>
      </c>
    </row>
    <row r="351" spans="1:13" x14ac:dyDescent="0.25">
      <c r="A351" s="168" t="s">
        <v>652</v>
      </c>
      <c r="B351" s="168" t="s">
        <v>653</v>
      </c>
      <c r="C351" s="168" t="s">
        <v>17</v>
      </c>
      <c r="D351" s="168" t="s">
        <v>213</v>
      </c>
      <c r="E351" s="168" t="s">
        <v>192</v>
      </c>
      <c r="F351" s="169">
        <v>1</v>
      </c>
      <c r="G351" s="168" t="s">
        <v>193</v>
      </c>
      <c r="H351" s="168" t="s">
        <v>194</v>
      </c>
      <c r="I351" s="168" t="s">
        <v>256</v>
      </c>
      <c r="J351" s="168" t="s">
        <v>276</v>
      </c>
      <c r="K351" s="168">
        <v>18</v>
      </c>
      <c r="L351" s="168" t="s">
        <v>624</v>
      </c>
      <c r="M351" s="169" t="str">
        <f t="shared" si="5"/>
        <v>332203</v>
      </c>
    </row>
    <row r="352" spans="1:13" x14ac:dyDescent="0.25">
      <c r="A352" s="168" t="s">
        <v>894</v>
      </c>
      <c r="B352" s="168" t="s">
        <v>895</v>
      </c>
      <c r="D352" s="168" t="s">
        <v>213</v>
      </c>
      <c r="E352" s="168" t="s">
        <v>217</v>
      </c>
      <c r="F352" s="179">
        <v>0</v>
      </c>
      <c r="G352" s="178" t="s">
        <v>194</v>
      </c>
      <c r="H352" s="168" t="s">
        <v>193</v>
      </c>
      <c r="I352" s="168" t="s">
        <v>191</v>
      </c>
      <c r="J352" s="168" t="s">
        <v>896</v>
      </c>
      <c r="K352" s="168">
        <v>18</v>
      </c>
      <c r="M352" s="169" t="str">
        <f t="shared" si="5"/>
        <v/>
      </c>
    </row>
    <row r="353" spans="1:13" x14ac:dyDescent="0.25">
      <c r="A353" s="168" t="s">
        <v>894</v>
      </c>
      <c r="B353" s="168" t="s">
        <v>897</v>
      </c>
      <c r="D353" s="168" t="s">
        <v>213</v>
      </c>
      <c r="E353" s="168" t="s">
        <v>217</v>
      </c>
      <c r="F353" s="179">
        <v>0</v>
      </c>
      <c r="G353" s="178" t="s">
        <v>194</v>
      </c>
      <c r="H353" s="168" t="s">
        <v>193</v>
      </c>
      <c r="I353" s="168" t="s">
        <v>195</v>
      </c>
      <c r="J353" s="168" t="s">
        <v>898</v>
      </c>
      <c r="K353" s="168">
        <v>18</v>
      </c>
      <c r="M353" s="169" t="str">
        <f t="shared" si="5"/>
        <v/>
      </c>
    </row>
    <row r="354" spans="1:13" x14ac:dyDescent="0.25">
      <c r="A354" s="168" t="s">
        <v>373</v>
      </c>
      <c r="B354" s="168" t="s">
        <v>374</v>
      </c>
      <c r="C354" s="168" t="s">
        <v>69</v>
      </c>
      <c r="D354" s="168" t="s">
        <v>213</v>
      </c>
      <c r="E354" s="168" t="s">
        <v>192</v>
      </c>
      <c r="F354" s="169">
        <v>1</v>
      </c>
      <c r="G354" s="168" t="s">
        <v>193</v>
      </c>
      <c r="H354" s="168" t="s">
        <v>194</v>
      </c>
      <c r="I354" s="168" t="s">
        <v>191</v>
      </c>
      <c r="J354" s="168" t="s">
        <v>210</v>
      </c>
      <c r="K354" s="168">
        <v>18</v>
      </c>
      <c r="L354" s="168" t="s">
        <v>375</v>
      </c>
      <c r="M354" s="169" t="str">
        <f t="shared" si="5"/>
        <v>215301</v>
      </c>
    </row>
    <row r="355" spans="1:13" x14ac:dyDescent="0.25">
      <c r="A355" s="168" t="s">
        <v>278</v>
      </c>
      <c r="B355" s="168" t="s">
        <v>279</v>
      </c>
      <c r="C355" s="168" t="s">
        <v>280</v>
      </c>
      <c r="D355" s="168" t="s">
        <v>213</v>
      </c>
      <c r="E355" s="168" t="s">
        <v>192</v>
      </c>
      <c r="F355" s="169">
        <v>1</v>
      </c>
      <c r="G355" s="168" t="s">
        <v>193</v>
      </c>
      <c r="H355" s="168" t="s">
        <v>194</v>
      </c>
      <c r="I355" s="168" t="s">
        <v>256</v>
      </c>
      <c r="J355" s="168" t="s">
        <v>210</v>
      </c>
      <c r="K355" s="168">
        <v>18</v>
      </c>
      <c r="L355" s="168" t="s">
        <v>281</v>
      </c>
      <c r="M355" s="169" t="str">
        <f t="shared" si="5"/>
        <v>213105</v>
      </c>
    </row>
    <row r="356" spans="1:13" x14ac:dyDescent="0.25">
      <c r="A356" s="168" t="s">
        <v>674</v>
      </c>
      <c r="B356" s="168" t="s">
        <v>675</v>
      </c>
      <c r="C356" s="168" t="s">
        <v>105</v>
      </c>
      <c r="D356" s="168" t="s">
        <v>213</v>
      </c>
      <c r="E356" s="168" t="s">
        <v>192</v>
      </c>
      <c r="F356" s="169">
        <v>1</v>
      </c>
      <c r="G356" s="168" t="s">
        <v>193</v>
      </c>
      <c r="H356" s="168" t="s">
        <v>194</v>
      </c>
      <c r="I356" s="168" t="s">
        <v>191</v>
      </c>
      <c r="J356" s="168" t="s">
        <v>210</v>
      </c>
      <c r="K356" s="168">
        <v>18</v>
      </c>
      <c r="L356" s="168" t="s">
        <v>676</v>
      </c>
      <c r="M356" s="169" t="str">
        <f t="shared" si="5"/>
        <v>333108</v>
      </c>
    </row>
    <row r="357" spans="1:13" x14ac:dyDescent="0.25">
      <c r="A357" s="168" t="s">
        <v>596</v>
      </c>
      <c r="B357" s="168" t="s">
        <v>811</v>
      </c>
      <c r="C357" s="168" t="s">
        <v>29</v>
      </c>
      <c r="D357" s="168" t="s">
        <v>213</v>
      </c>
      <c r="E357" s="168" t="s">
        <v>192</v>
      </c>
      <c r="F357" s="169">
        <v>1</v>
      </c>
      <c r="G357" s="168" t="s">
        <v>193</v>
      </c>
      <c r="H357" s="168" t="s">
        <v>194</v>
      </c>
      <c r="I357" s="168" t="s">
        <v>191</v>
      </c>
      <c r="J357" s="168" t="s">
        <v>316</v>
      </c>
      <c r="K357" s="168">
        <v>18</v>
      </c>
      <c r="L357" s="168" t="s">
        <v>808</v>
      </c>
      <c r="M357" s="169" t="str">
        <f t="shared" si="5"/>
        <v>722308</v>
      </c>
    </row>
    <row r="358" spans="1:13" x14ac:dyDescent="0.25">
      <c r="A358" s="168" t="s">
        <v>596</v>
      </c>
      <c r="B358" s="168" t="s">
        <v>812</v>
      </c>
      <c r="C358" s="168" t="s">
        <v>29</v>
      </c>
      <c r="D358" s="168" t="s">
        <v>213</v>
      </c>
      <c r="E358" s="168" t="s">
        <v>192</v>
      </c>
      <c r="F358" s="169">
        <v>1</v>
      </c>
      <c r="G358" s="168" t="s">
        <v>193</v>
      </c>
      <c r="H358" s="168" t="s">
        <v>194</v>
      </c>
      <c r="I358" s="168" t="s">
        <v>191</v>
      </c>
      <c r="J358" s="168" t="s">
        <v>316</v>
      </c>
      <c r="K358" s="168">
        <v>18</v>
      </c>
      <c r="L358" s="168" t="s">
        <v>808</v>
      </c>
      <c r="M358" s="169" t="str">
        <f t="shared" si="5"/>
        <v>722308</v>
      </c>
    </row>
    <row r="359" spans="1:13" x14ac:dyDescent="0.25">
      <c r="A359" s="168" t="s">
        <v>596</v>
      </c>
      <c r="B359" s="168" t="s">
        <v>847</v>
      </c>
      <c r="C359" s="168" t="s">
        <v>848</v>
      </c>
      <c r="D359" s="168" t="s">
        <v>213</v>
      </c>
      <c r="E359" s="168" t="s">
        <v>192</v>
      </c>
      <c r="F359" s="169">
        <v>1</v>
      </c>
      <c r="G359" s="168" t="s">
        <v>193</v>
      </c>
      <c r="H359" s="168" t="s">
        <v>194</v>
      </c>
      <c r="I359" s="168" t="s">
        <v>201</v>
      </c>
      <c r="J359" s="168" t="s">
        <v>316</v>
      </c>
      <c r="K359" s="168">
        <v>18</v>
      </c>
      <c r="L359" s="168" t="s">
        <v>849</v>
      </c>
      <c r="M359" s="169" t="str">
        <f t="shared" si="5"/>
        <v>812107</v>
      </c>
    </row>
    <row r="360" spans="1:13" x14ac:dyDescent="0.25">
      <c r="A360" s="168" t="s">
        <v>596</v>
      </c>
      <c r="B360" s="168" t="s">
        <v>597</v>
      </c>
      <c r="C360" s="168" t="s">
        <v>598</v>
      </c>
      <c r="D360" s="168" t="s">
        <v>213</v>
      </c>
      <c r="E360" s="168" t="s">
        <v>192</v>
      </c>
      <c r="F360" s="169">
        <v>1</v>
      </c>
      <c r="G360" s="168" t="s">
        <v>193</v>
      </c>
      <c r="H360" s="168" t="s">
        <v>194</v>
      </c>
      <c r="I360" s="168" t="s">
        <v>214</v>
      </c>
      <c r="J360" s="168" t="s">
        <v>316</v>
      </c>
      <c r="K360" s="168">
        <v>18</v>
      </c>
      <c r="L360" s="168" t="s">
        <v>599</v>
      </c>
      <c r="M360" s="169" t="str">
        <f t="shared" si="5"/>
        <v>313503</v>
      </c>
    </row>
    <row r="361" spans="1:13" x14ac:dyDescent="0.25">
      <c r="A361" s="168" t="s">
        <v>596</v>
      </c>
      <c r="B361" s="168" t="s">
        <v>813</v>
      </c>
      <c r="C361" s="168" t="s">
        <v>814</v>
      </c>
      <c r="D361" s="168" t="s">
        <v>213</v>
      </c>
      <c r="E361" s="168" t="s">
        <v>192</v>
      </c>
      <c r="F361" s="169">
        <v>1</v>
      </c>
      <c r="G361" s="168" t="s">
        <v>193</v>
      </c>
      <c r="H361" s="168" t="s">
        <v>194</v>
      </c>
      <c r="I361" s="168" t="s">
        <v>201</v>
      </c>
      <c r="J361" s="168" t="s">
        <v>316</v>
      </c>
      <c r="K361" s="168">
        <v>18</v>
      </c>
      <c r="L361" s="168" t="s">
        <v>815</v>
      </c>
      <c r="M361" s="169" t="str">
        <f t="shared" si="5"/>
        <v>722312</v>
      </c>
    </row>
    <row r="362" spans="1:13" x14ac:dyDescent="0.25">
      <c r="A362" s="168" t="s">
        <v>596</v>
      </c>
      <c r="B362" s="168" t="s">
        <v>802</v>
      </c>
      <c r="C362" s="168" t="s">
        <v>798</v>
      </c>
      <c r="D362" s="168" t="s">
        <v>213</v>
      </c>
      <c r="E362" s="168" t="s">
        <v>192</v>
      </c>
      <c r="F362" s="169">
        <v>1</v>
      </c>
      <c r="G362" s="168" t="s">
        <v>193</v>
      </c>
      <c r="H362" s="168" t="s">
        <v>194</v>
      </c>
      <c r="I362" s="168" t="s">
        <v>214</v>
      </c>
      <c r="J362" s="168" t="s">
        <v>316</v>
      </c>
      <c r="K362" s="168">
        <v>18</v>
      </c>
      <c r="L362" s="168" t="s">
        <v>799</v>
      </c>
      <c r="M362" s="169" t="str">
        <f t="shared" si="5"/>
        <v>722204</v>
      </c>
    </row>
    <row r="363" spans="1:13" x14ac:dyDescent="0.25">
      <c r="A363" s="168" t="s">
        <v>596</v>
      </c>
      <c r="B363" s="168" t="s">
        <v>850</v>
      </c>
      <c r="C363" s="168" t="s">
        <v>851</v>
      </c>
      <c r="D363" s="168" t="s">
        <v>213</v>
      </c>
      <c r="E363" s="168" t="s">
        <v>192</v>
      </c>
      <c r="F363" s="169">
        <v>1</v>
      </c>
      <c r="G363" s="168" t="s">
        <v>193</v>
      </c>
      <c r="H363" s="168" t="s">
        <v>194</v>
      </c>
      <c r="I363" s="168" t="s">
        <v>214</v>
      </c>
      <c r="J363" s="168" t="s">
        <v>316</v>
      </c>
      <c r="K363" s="168">
        <v>18</v>
      </c>
      <c r="L363" s="168" t="s">
        <v>852</v>
      </c>
      <c r="M363" s="169" t="str">
        <f t="shared" si="5"/>
        <v>812119</v>
      </c>
    </row>
    <row r="364" spans="1:13" x14ac:dyDescent="0.25">
      <c r="A364" s="168" t="s">
        <v>358</v>
      </c>
      <c r="B364" s="168" t="s">
        <v>359</v>
      </c>
      <c r="C364" s="168" t="s">
        <v>354</v>
      </c>
      <c r="D364" s="168" t="s">
        <v>213</v>
      </c>
      <c r="E364" s="168" t="s">
        <v>192</v>
      </c>
      <c r="F364" s="169">
        <v>1</v>
      </c>
      <c r="G364" s="168" t="s">
        <v>193</v>
      </c>
      <c r="H364" s="168" t="s">
        <v>194</v>
      </c>
      <c r="I364" s="168" t="s">
        <v>214</v>
      </c>
      <c r="J364" s="168" t="s">
        <v>210</v>
      </c>
      <c r="K364" s="168">
        <v>18</v>
      </c>
      <c r="L364" s="168" t="s">
        <v>355</v>
      </c>
      <c r="M364" s="169" t="str">
        <f t="shared" si="5"/>
        <v>215103</v>
      </c>
    </row>
    <row r="365" spans="1:13" x14ac:dyDescent="0.25">
      <c r="A365" s="168" t="s">
        <v>717</v>
      </c>
      <c r="B365" s="168" t="s">
        <v>718</v>
      </c>
      <c r="C365" s="168" t="s">
        <v>67</v>
      </c>
      <c r="D365" s="168" t="s">
        <v>213</v>
      </c>
      <c r="E365" s="168" t="s">
        <v>192</v>
      </c>
      <c r="F365" s="169">
        <v>1</v>
      </c>
      <c r="G365" s="168" t="s">
        <v>193</v>
      </c>
      <c r="H365" s="168" t="s">
        <v>194</v>
      </c>
      <c r="I365" s="168" t="s">
        <v>256</v>
      </c>
      <c r="J365" s="168" t="s">
        <v>210</v>
      </c>
      <c r="K365" s="168">
        <v>18</v>
      </c>
      <c r="L365" s="168" t="s">
        <v>709</v>
      </c>
      <c r="M365" s="169" t="str">
        <f t="shared" si="5"/>
        <v>432103</v>
      </c>
    </row>
    <row r="366" spans="1:13" x14ac:dyDescent="0.25">
      <c r="A366" s="168" t="s">
        <v>717</v>
      </c>
      <c r="B366" s="168" t="s">
        <v>856</v>
      </c>
      <c r="C366" s="168" t="s">
        <v>857</v>
      </c>
      <c r="D366" s="168" t="s">
        <v>213</v>
      </c>
      <c r="E366" s="168" t="s">
        <v>192</v>
      </c>
      <c r="F366" s="169">
        <v>1</v>
      </c>
      <c r="G366" s="168" t="s">
        <v>193</v>
      </c>
      <c r="H366" s="168" t="s">
        <v>194</v>
      </c>
      <c r="I366" s="168" t="s">
        <v>191</v>
      </c>
      <c r="J366" s="168" t="s">
        <v>210</v>
      </c>
      <c r="K366" s="168">
        <v>18</v>
      </c>
      <c r="L366" s="168" t="s">
        <v>858</v>
      </c>
      <c r="M366" s="169" t="str">
        <f t="shared" si="5"/>
        <v>813127</v>
      </c>
    </row>
    <row r="367" spans="1:13" x14ac:dyDescent="0.25">
      <c r="A367" s="168" t="s">
        <v>766</v>
      </c>
      <c r="B367" s="168" t="s">
        <v>8</v>
      </c>
      <c r="C367" s="168" t="s">
        <v>740</v>
      </c>
      <c r="D367" s="168" t="s">
        <v>213</v>
      </c>
      <c r="E367" s="168" t="s">
        <v>233</v>
      </c>
      <c r="F367" s="169">
        <v>1</v>
      </c>
      <c r="G367" s="168" t="s">
        <v>193</v>
      </c>
      <c r="H367" s="168" t="s">
        <v>194</v>
      </c>
      <c r="I367" s="168" t="s">
        <v>214</v>
      </c>
      <c r="J367" s="168" t="s">
        <v>767</v>
      </c>
      <c r="K367" s="168">
        <v>18</v>
      </c>
      <c r="L367" s="168" t="s">
        <v>741</v>
      </c>
      <c r="M367" s="169" t="str">
        <f t="shared" si="5"/>
        <v>522301</v>
      </c>
    </row>
    <row r="368" spans="1:13" x14ac:dyDescent="0.25">
      <c r="A368" s="168" t="s">
        <v>450</v>
      </c>
      <c r="B368" s="168" t="s">
        <v>725</v>
      </c>
      <c r="C368" s="168" t="s">
        <v>721</v>
      </c>
      <c r="D368" s="168" t="s">
        <v>213</v>
      </c>
      <c r="E368" s="168" t="s">
        <v>192</v>
      </c>
      <c r="F368" s="169">
        <v>3</v>
      </c>
      <c r="G368" s="168" t="s">
        <v>193</v>
      </c>
      <c r="H368" s="168" t="s">
        <v>194</v>
      </c>
      <c r="I368" s="168" t="s">
        <v>204</v>
      </c>
      <c r="J368" s="168" t="s">
        <v>385</v>
      </c>
      <c r="K368" s="168">
        <v>18</v>
      </c>
      <c r="L368" s="168" t="s">
        <v>723</v>
      </c>
      <c r="M368" s="169" t="str">
        <f t="shared" si="5"/>
        <v>432201</v>
      </c>
    </row>
    <row r="369" spans="1:13" x14ac:dyDescent="0.25">
      <c r="A369" s="168" t="s">
        <v>263</v>
      </c>
      <c r="B369" s="168" t="s">
        <v>245</v>
      </c>
      <c r="C369" s="168" t="s">
        <v>74</v>
      </c>
      <c r="D369" s="168" t="s">
        <v>213</v>
      </c>
      <c r="E369" s="168" t="s">
        <v>217</v>
      </c>
      <c r="F369" s="169">
        <v>1</v>
      </c>
      <c r="G369" s="168" t="s">
        <v>193</v>
      </c>
      <c r="H369" s="168" t="s">
        <v>194</v>
      </c>
      <c r="I369" s="168" t="s">
        <v>214</v>
      </c>
      <c r="J369" s="168" t="s">
        <v>259</v>
      </c>
      <c r="K369" s="168">
        <v>18</v>
      </c>
      <c r="L369" s="168" t="s">
        <v>246</v>
      </c>
      <c r="M369" s="169" t="str">
        <f t="shared" si="5"/>
        <v>142004</v>
      </c>
    </row>
    <row r="370" spans="1:13" x14ac:dyDescent="0.25">
      <c r="A370" s="168" t="s">
        <v>839</v>
      </c>
      <c r="B370" s="168" t="s">
        <v>840</v>
      </c>
      <c r="C370" s="168" t="s">
        <v>841</v>
      </c>
      <c r="D370" s="168" t="s">
        <v>213</v>
      </c>
      <c r="E370" s="168" t="s">
        <v>217</v>
      </c>
      <c r="F370" s="169">
        <v>1</v>
      </c>
      <c r="G370" s="168" t="s">
        <v>193</v>
      </c>
      <c r="H370" s="168" t="s">
        <v>194</v>
      </c>
      <c r="I370" s="168" t="s">
        <v>214</v>
      </c>
      <c r="J370" s="168" t="s">
        <v>316</v>
      </c>
      <c r="K370" s="168">
        <v>18</v>
      </c>
      <c r="L370" s="168" t="s">
        <v>842</v>
      </c>
      <c r="M370" s="169" t="str">
        <f t="shared" si="5"/>
        <v>742113</v>
      </c>
    </row>
    <row r="371" spans="1:13" x14ac:dyDescent="0.25">
      <c r="A371" s="168" t="s">
        <v>899</v>
      </c>
      <c r="B371" s="168" t="s">
        <v>840</v>
      </c>
      <c r="D371" s="168" t="s">
        <v>213</v>
      </c>
      <c r="E371" s="168" t="s">
        <v>192</v>
      </c>
      <c r="F371" s="179">
        <v>0</v>
      </c>
      <c r="G371" s="178" t="s">
        <v>194</v>
      </c>
      <c r="H371" s="168" t="s">
        <v>193</v>
      </c>
      <c r="I371" s="168" t="s">
        <v>201</v>
      </c>
      <c r="J371" s="168" t="s">
        <v>316</v>
      </c>
      <c r="K371" s="168">
        <v>18</v>
      </c>
      <c r="M371" s="169" t="str">
        <f t="shared" si="5"/>
        <v/>
      </c>
    </row>
    <row r="372" spans="1:13" x14ac:dyDescent="0.25">
      <c r="A372" s="168" t="s">
        <v>347</v>
      </c>
      <c r="B372" s="168" t="s">
        <v>348</v>
      </c>
      <c r="C372" s="168" t="s">
        <v>345</v>
      </c>
      <c r="D372" s="168" t="s">
        <v>213</v>
      </c>
      <c r="E372" s="168" t="s">
        <v>192</v>
      </c>
      <c r="F372" s="169">
        <v>1</v>
      </c>
      <c r="G372" s="168" t="s">
        <v>193</v>
      </c>
      <c r="H372" s="168" t="s">
        <v>194</v>
      </c>
      <c r="I372" s="168" t="s">
        <v>204</v>
      </c>
      <c r="J372" s="168" t="s">
        <v>316</v>
      </c>
      <c r="K372" s="168">
        <v>18</v>
      </c>
      <c r="L372" s="168" t="s">
        <v>346</v>
      </c>
      <c r="M372" s="169" t="str">
        <f t="shared" si="5"/>
        <v>214931</v>
      </c>
    </row>
    <row r="373" spans="1:13" x14ac:dyDescent="0.25">
      <c r="A373" s="168" t="s">
        <v>662</v>
      </c>
      <c r="B373" s="168" t="s">
        <v>862</v>
      </c>
      <c r="C373" s="168" t="s">
        <v>863</v>
      </c>
      <c r="D373" s="168" t="s">
        <v>213</v>
      </c>
      <c r="E373" s="168" t="s">
        <v>192</v>
      </c>
      <c r="F373" s="169">
        <v>1</v>
      </c>
      <c r="G373" s="168" t="s">
        <v>193</v>
      </c>
      <c r="H373" s="168" t="s">
        <v>194</v>
      </c>
      <c r="I373" s="168" t="s">
        <v>191</v>
      </c>
      <c r="J373" s="168" t="s">
        <v>305</v>
      </c>
      <c r="K373" s="168">
        <v>18</v>
      </c>
      <c r="L373" s="168" t="s">
        <v>864</v>
      </c>
      <c r="M373" s="169" t="str">
        <f t="shared" si="5"/>
        <v>814208</v>
      </c>
    </row>
    <row r="374" spans="1:13" x14ac:dyDescent="0.25">
      <c r="A374" s="168" t="s">
        <v>662</v>
      </c>
      <c r="B374" s="168" t="s">
        <v>663</v>
      </c>
      <c r="C374" s="168" t="s">
        <v>148</v>
      </c>
      <c r="D374" s="168" t="s">
        <v>213</v>
      </c>
      <c r="E374" s="168" t="s">
        <v>192</v>
      </c>
      <c r="F374" s="169">
        <v>1</v>
      </c>
      <c r="G374" s="168" t="s">
        <v>193</v>
      </c>
      <c r="H374" s="168" t="s">
        <v>194</v>
      </c>
      <c r="I374" s="168" t="s">
        <v>201</v>
      </c>
      <c r="J374" s="168" t="s">
        <v>305</v>
      </c>
      <c r="K374" s="168">
        <v>18</v>
      </c>
      <c r="L374" s="168" t="s">
        <v>661</v>
      </c>
      <c r="M374" s="169" t="str">
        <f t="shared" si="5"/>
        <v>333104</v>
      </c>
    </row>
    <row r="375" spans="1:13" x14ac:dyDescent="0.25">
      <c r="A375" s="168" t="s">
        <v>877</v>
      </c>
      <c r="B375" s="168" t="s">
        <v>878</v>
      </c>
      <c r="C375" s="168" t="s">
        <v>875</v>
      </c>
      <c r="D375" s="168" t="s">
        <v>213</v>
      </c>
      <c r="E375" s="168" t="s">
        <v>192</v>
      </c>
      <c r="F375" s="169">
        <v>1</v>
      </c>
      <c r="G375" s="168" t="s">
        <v>193</v>
      </c>
      <c r="H375" s="168" t="s">
        <v>194</v>
      </c>
      <c r="I375" s="168" t="s">
        <v>214</v>
      </c>
      <c r="J375" s="168" t="s">
        <v>196</v>
      </c>
      <c r="K375" s="168">
        <v>18</v>
      </c>
      <c r="L375" s="168" t="s">
        <v>876</v>
      </c>
      <c r="M375" s="169" t="str">
        <f t="shared" si="5"/>
        <v>833203</v>
      </c>
    </row>
    <row r="376" spans="1:13" x14ac:dyDescent="0.25">
      <c r="A376" s="168" t="s">
        <v>581</v>
      </c>
      <c r="B376" s="168" t="s">
        <v>582</v>
      </c>
      <c r="C376" s="168" t="s">
        <v>583</v>
      </c>
      <c r="D376" s="168" t="s">
        <v>213</v>
      </c>
      <c r="E376" s="168" t="s">
        <v>217</v>
      </c>
      <c r="F376" s="169">
        <v>1</v>
      </c>
      <c r="G376" s="168" t="s">
        <v>193</v>
      </c>
      <c r="H376" s="168" t="s">
        <v>194</v>
      </c>
      <c r="I376" s="168" t="s">
        <v>214</v>
      </c>
      <c r="J376" s="168" t="s">
        <v>253</v>
      </c>
      <c r="K376" s="168">
        <v>18</v>
      </c>
      <c r="L376" s="168" t="s">
        <v>584</v>
      </c>
      <c r="M376" s="169" t="str">
        <f t="shared" si="5"/>
        <v>311937</v>
      </c>
    </row>
    <row r="377" spans="1:13" x14ac:dyDescent="0.25">
      <c r="A377" s="168" t="s">
        <v>581</v>
      </c>
      <c r="B377" s="168" t="s">
        <v>669</v>
      </c>
      <c r="C377" s="168" t="s">
        <v>119</v>
      </c>
      <c r="D377" s="168" t="s">
        <v>213</v>
      </c>
      <c r="E377" s="168" t="s">
        <v>217</v>
      </c>
      <c r="F377" s="169">
        <v>1</v>
      </c>
      <c r="G377" s="168" t="s">
        <v>193</v>
      </c>
      <c r="H377" s="168" t="s">
        <v>194</v>
      </c>
      <c r="I377" s="168" t="s">
        <v>214</v>
      </c>
      <c r="J377" s="168" t="s">
        <v>253</v>
      </c>
      <c r="K377" s="168">
        <v>18</v>
      </c>
      <c r="L377" s="168" t="s">
        <v>666</v>
      </c>
      <c r="M377" s="169" t="str">
        <f t="shared" si="5"/>
        <v>333105</v>
      </c>
    </row>
    <row r="378" spans="1:13" x14ac:dyDescent="0.25">
      <c r="A378" s="168" t="s">
        <v>613</v>
      </c>
      <c r="B378" s="168" t="s">
        <v>614</v>
      </c>
      <c r="C378" s="168" t="s">
        <v>111</v>
      </c>
      <c r="D378" s="168" t="s">
        <v>213</v>
      </c>
      <c r="E378" s="168" t="s">
        <v>233</v>
      </c>
      <c r="F378" s="169">
        <v>1</v>
      </c>
      <c r="G378" s="168" t="s">
        <v>193</v>
      </c>
      <c r="H378" s="168" t="s">
        <v>194</v>
      </c>
      <c r="I378" s="168" t="s">
        <v>214</v>
      </c>
      <c r="J378" s="168" t="s">
        <v>210</v>
      </c>
      <c r="K378" s="168">
        <v>18</v>
      </c>
      <c r="L378" s="168" t="s">
        <v>612</v>
      </c>
      <c r="M378" s="169" t="str">
        <f t="shared" si="5"/>
        <v>332101</v>
      </c>
    </row>
  </sheetData>
  <autoFilter ref="A1:O378"/>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1"/>
  <sheetViews>
    <sheetView zoomScale="80" zoomScaleNormal="80" workbookViewId="0"/>
  </sheetViews>
  <sheetFormatPr defaultRowHeight="15" x14ac:dyDescent="0.25"/>
  <cols>
    <col min="1" max="5" width="9.140625" style="168"/>
    <col min="6" max="6" width="9.140625" style="169"/>
    <col min="7" max="11" width="9.140625" style="168"/>
    <col min="12" max="12" width="19.28515625" style="168" customWidth="1"/>
    <col min="13" max="13" width="9.140625" style="169"/>
    <col min="14" max="14" width="4" style="168" customWidth="1"/>
    <col min="15" max="15" width="20.140625" style="168" customWidth="1"/>
    <col min="16" max="16384" width="9.140625" style="168"/>
  </cols>
  <sheetData>
    <row r="1" spans="1:16" s="167" customFormat="1" x14ac:dyDescent="0.25">
      <c r="A1" s="167" t="s">
        <v>176</v>
      </c>
      <c r="B1" s="167" t="s">
        <v>177</v>
      </c>
      <c r="C1" s="167" t="s">
        <v>178</v>
      </c>
      <c r="D1" s="167" t="s">
        <v>179</v>
      </c>
      <c r="E1" s="167" t="s">
        <v>900</v>
      </c>
      <c r="F1" s="167" t="s">
        <v>181</v>
      </c>
      <c r="G1" s="167" t="s">
        <v>182</v>
      </c>
      <c r="H1" s="167" t="s">
        <v>183</v>
      </c>
      <c r="I1" s="167" t="s">
        <v>184</v>
      </c>
      <c r="J1" s="167" t="s">
        <v>185</v>
      </c>
      <c r="K1" s="167" t="s">
        <v>186</v>
      </c>
      <c r="L1" s="167" t="s">
        <v>187</v>
      </c>
    </row>
    <row r="2" spans="1:16" x14ac:dyDescent="0.25">
      <c r="A2" t="s">
        <v>1748</v>
      </c>
      <c r="B2" t="s">
        <v>4478</v>
      </c>
      <c r="C2" t="s">
        <v>4479</v>
      </c>
      <c r="D2" t="s">
        <v>4480</v>
      </c>
      <c r="E2" t="s">
        <v>192</v>
      </c>
      <c r="F2">
        <v>1</v>
      </c>
      <c r="G2" t="s">
        <v>193</v>
      </c>
      <c r="H2" t="s">
        <v>194</v>
      </c>
      <c r="I2" t="s">
        <v>4481</v>
      </c>
      <c r="J2" t="s">
        <v>210</v>
      </c>
      <c r="K2">
        <v>18</v>
      </c>
      <c r="L2" t="s">
        <v>4482</v>
      </c>
      <c r="M2" s="28" t="str">
        <f>MID(L2,8,6)</f>
        <v>241101</v>
      </c>
    </row>
    <row r="3" spans="1:16" x14ac:dyDescent="0.25">
      <c r="A3" t="s">
        <v>1750</v>
      </c>
      <c r="B3" t="s">
        <v>4483</v>
      </c>
      <c r="C3" t="s">
        <v>46</v>
      </c>
      <c r="D3" t="s">
        <v>4480</v>
      </c>
      <c r="E3" t="s">
        <v>192</v>
      </c>
      <c r="F3">
        <v>1</v>
      </c>
      <c r="G3" t="s">
        <v>193</v>
      </c>
      <c r="H3" t="s">
        <v>194</v>
      </c>
      <c r="I3" t="s">
        <v>4481</v>
      </c>
      <c r="J3" t="s">
        <v>210</v>
      </c>
      <c r="K3">
        <v>18</v>
      </c>
      <c r="L3" t="s">
        <v>510</v>
      </c>
      <c r="M3" s="28" t="str">
        <f t="shared" ref="M3:M66" si="0">MID(L3,8,6)</f>
        <v>252201</v>
      </c>
      <c r="O3" s="170" t="s">
        <v>1071</v>
      </c>
      <c r="P3" s="171">
        <f>COUNTIF(H2:H378,"zaznaczone")</f>
        <v>2</v>
      </c>
    </row>
    <row r="4" spans="1:16" x14ac:dyDescent="0.25">
      <c r="A4" t="s">
        <v>4484</v>
      </c>
      <c r="B4" t="s">
        <v>4485</v>
      </c>
      <c r="C4" t="s">
        <v>46</v>
      </c>
      <c r="D4" t="s">
        <v>4486</v>
      </c>
      <c r="E4" t="s">
        <v>192</v>
      </c>
      <c r="F4">
        <v>1</v>
      </c>
      <c r="G4" t="s">
        <v>193</v>
      </c>
      <c r="H4" t="s">
        <v>194</v>
      </c>
      <c r="I4" t="s">
        <v>4481</v>
      </c>
      <c r="J4" t="s">
        <v>253</v>
      </c>
      <c r="K4">
        <v>18</v>
      </c>
      <c r="L4" t="s">
        <v>510</v>
      </c>
      <c r="M4" s="28" t="str">
        <f t="shared" si="0"/>
        <v>252201</v>
      </c>
      <c r="O4" s="170" t="s">
        <v>1070</v>
      </c>
      <c r="P4" s="171">
        <f>COUNTIF(H2:H378,"niezaznaczone")</f>
        <v>178</v>
      </c>
    </row>
    <row r="5" spans="1:16" x14ac:dyDescent="0.25">
      <c r="A5" t="s">
        <v>3268</v>
      </c>
      <c r="B5" t="s">
        <v>4487</v>
      </c>
      <c r="C5" t="s">
        <v>17</v>
      </c>
      <c r="D5" t="s">
        <v>4480</v>
      </c>
      <c r="E5" t="s">
        <v>192</v>
      </c>
      <c r="F5">
        <v>1</v>
      </c>
      <c r="G5" t="s">
        <v>193</v>
      </c>
      <c r="H5" t="s">
        <v>194</v>
      </c>
      <c r="I5" t="s">
        <v>4481</v>
      </c>
      <c r="J5" t="s">
        <v>253</v>
      </c>
      <c r="K5">
        <v>18</v>
      </c>
      <c r="L5" t="s">
        <v>624</v>
      </c>
      <c r="M5" s="28" t="str">
        <f t="shared" si="0"/>
        <v>332203</v>
      </c>
      <c r="O5" s="172" t="s">
        <v>1072</v>
      </c>
      <c r="P5" s="173">
        <f>SUM(P3:P4)</f>
        <v>180</v>
      </c>
    </row>
    <row r="6" spans="1:16" x14ac:dyDescent="0.25">
      <c r="A6" t="s">
        <v>4488</v>
      </c>
      <c r="B6" t="s">
        <v>4489</v>
      </c>
      <c r="C6" t="s">
        <v>17</v>
      </c>
      <c r="D6" t="s">
        <v>4486</v>
      </c>
      <c r="E6" t="s">
        <v>217</v>
      </c>
      <c r="F6">
        <v>1</v>
      </c>
      <c r="G6" t="s">
        <v>193</v>
      </c>
      <c r="H6" t="s">
        <v>194</v>
      </c>
      <c r="I6" t="s">
        <v>4481</v>
      </c>
      <c r="J6" t="s">
        <v>309</v>
      </c>
      <c r="K6">
        <v>18</v>
      </c>
      <c r="L6" t="s">
        <v>624</v>
      </c>
      <c r="M6" s="28" t="str">
        <f t="shared" si="0"/>
        <v>332203</v>
      </c>
      <c r="O6" s="174" t="s">
        <v>1073</v>
      </c>
      <c r="P6" s="171">
        <f>SUM(F2:F378)</f>
        <v>231</v>
      </c>
    </row>
    <row r="7" spans="1:16" x14ac:dyDescent="0.25">
      <c r="A7" t="s">
        <v>540</v>
      </c>
      <c r="B7" t="s">
        <v>4490</v>
      </c>
      <c r="C7" t="s">
        <v>542</v>
      </c>
      <c r="D7" t="s">
        <v>4491</v>
      </c>
      <c r="E7" t="s">
        <v>252</v>
      </c>
      <c r="F7">
        <v>1</v>
      </c>
      <c r="G7" t="s">
        <v>193</v>
      </c>
      <c r="H7" t="s">
        <v>194</v>
      </c>
      <c r="I7" t="s">
        <v>4481</v>
      </c>
      <c r="J7" t="s">
        <v>408</v>
      </c>
      <c r="K7">
        <v>18</v>
      </c>
      <c r="L7" t="s">
        <v>543</v>
      </c>
      <c r="M7" s="28" t="str">
        <f t="shared" si="0"/>
        <v>264304</v>
      </c>
      <c r="O7" s="175" t="s">
        <v>4475</v>
      </c>
      <c r="P7" s="176">
        <f>ROWS(A2:A181)</f>
        <v>180</v>
      </c>
    </row>
    <row r="8" spans="1:16" x14ac:dyDescent="0.25">
      <c r="A8" t="s">
        <v>540</v>
      </c>
      <c r="B8" t="s">
        <v>4490</v>
      </c>
      <c r="C8" t="s">
        <v>542</v>
      </c>
      <c r="D8" t="s">
        <v>4491</v>
      </c>
      <c r="E8" t="s">
        <v>252</v>
      </c>
      <c r="F8">
        <v>1</v>
      </c>
      <c r="G8" t="s">
        <v>193</v>
      </c>
      <c r="H8" t="s">
        <v>194</v>
      </c>
      <c r="I8" t="s">
        <v>4481</v>
      </c>
      <c r="J8" t="s">
        <v>253</v>
      </c>
      <c r="K8">
        <v>18</v>
      </c>
      <c r="L8" t="s">
        <v>543</v>
      </c>
      <c r="M8" s="28" t="str">
        <f t="shared" si="0"/>
        <v>264304</v>
      </c>
      <c r="O8" s="177"/>
      <c r="P8" s="177"/>
    </row>
    <row r="9" spans="1:16" x14ac:dyDescent="0.25">
      <c r="A9" t="s">
        <v>4492</v>
      </c>
      <c r="B9" t="s">
        <v>4493</v>
      </c>
      <c r="C9" t="s">
        <v>10</v>
      </c>
      <c r="D9" t="s">
        <v>4480</v>
      </c>
      <c r="E9" t="s">
        <v>192</v>
      </c>
      <c r="F9">
        <v>1</v>
      </c>
      <c r="G9" t="s">
        <v>193</v>
      </c>
      <c r="H9" t="s">
        <v>194</v>
      </c>
      <c r="I9" t="s">
        <v>4481</v>
      </c>
      <c r="J9" t="s">
        <v>196</v>
      </c>
      <c r="K9">
        <v>18</v>
      </c>
      <c r="L9" t="s">
        <v>484</v>
      </c>
      <c r="M9" s="28" t="str">
        <f t="shared" si="0"/>
        <v>251401</v>
      </c>
    </row>
    <row r="10" spans="1:16" x14ac:dyDescent="0.25">
      <c r="A10" t="s">
        <v>4389</v>
      </c>
      <c r="B10" t="s">
        <v>4494</v>
      </c>
      <c r="C10" t="s">
        <v>10</v>
      </c>
      <c r="D10" t="s">
        <v>4480</v>
      </c>
      <c r="E10" t="s">
        <v>192</v>
      </c>
      <c r="F10">
        <v>1</v>
      </c>
      <c r="G10" t="s">
        <v>193</v>
      </c>
      <c r="H10" t="s">
        <v>194</v>
      </c>
      <c r="I10" t="s">
        <v>4495</v>
      </c>
      <c r="J10" t="s">
        <v>210</v>
      </c>
      <c r="K10">
        <v>18</v>
      </c>
      <c r="L10" t="s">
        <v>484</v>
      </c>
      <c r="M10" s="28" t="str">
        <f t="shared" si="0"/>
        <v>251401</v>
      </c>
    </row>
    <row r="11" spans="1:16" x14ac:dyDescent="0.25">
      <c r="A11" t="s">
        <v>4496</v>
      </c>
      <c r="B11" t="s">
        <v>4497</v>
      </c>
      <c r="C11" t="s">
        <v>21</v>
      </c>
      <c r="D11" t="s">
        <v>4486</v>
      </c>
      <c r="E11" t="s">
        <v>192</v>
      </c>
      <c r="F11">
        <v>1</v>
      </c>
      <c r="G11" t="s">
        <v>193</v>
      </c>
      <c r="H11" t="s">
        <v>194</v>
      </c>
      <c r="I11" t="s">
        <v>4498</v>
      </c>
      <c r="J11" t="s">
        <v>196</v>
      </c>
      <c r="K11">
        <v>18</v>
      </c>
      <c r="L11" t="s">
        <v>293</v>
      </c>
      <c r="M11" s="28" t="str">
        <f t="shared" si="0"/>
        <v>214202</v>
      </c>
    </row>
    <row r="12" spans="1:16" x14ac:dyDescent="0.25">
      <c r="A12" t="s">
        <v>427</v>
      </c>
      <c r="B12" t="s">
        <v>4499</v>
      </c>
      <c r="C12" t="s">
        <v>19</v>
      </c>
      <c r="D12" t="s">
        <v>4480</v>
      </c>
      <c r="E12" t="s">
        <v>252</v>
      </c>
      <c r="F12">
        <v>1</v>
      </c>
      <c r="G12" t="s">
        <v>193</v>
      </c>
      <c r="H12" t="s">
        <v>194</v>
      </c>
      <c r="I12" t="s">
        <v>4495</v>
      </c>
      <c r="J12" t="s">
        <v>210</v>
      </c>
      <c r="K12">
        <v>18</v>
      </c>
      <c r="L12" t="s">
        <v>337</v>
      </c>
      <c r="M12" s="28" t="str">
        <f t="shared" si="0"/>
        <v>214903</v>
      </c>
    </row>
    <row r="13" spans="1:16" x14ac:dyDescent="0.25">
      <c r="A13" t="s">
        <v>527</v>
      </c>
      <c r="B13" t="s">
        <v>2621</v>
      </c>
      <c r="C13" t="s">
        <v>115</v>
      </c>
      <c r="D13" t="s">
        <v>4480</v>
      </c>
      <c r="E13" t="s">
        <v>192</v>
      </c>
      <c r="F13">
        <v>1</v>
      </c>
      <c r="G13" t="s">
        <v>193</v>
      </c>
      <c r="H13" t="s">
        <v>194</v>
      </c>
      <c r="I13" t="s">
        <v>4495</v>
      </c>
      <c r="J13" t="s">
        <v>367</v>
      </c>
      <c r="K13">
        <v>18</v>
      </c>
      <c r="L13" t="s">
        <v>1183</v>
      </c>
      <c r="M13" s="28" t="str">
        <f t="shared" si="0"/>
        <v>311909</v>
      </c>
    </row>
    <row r="14" spans="1:16" x14ac:dyDescent="0.25">
      <c r="A14" t="s">
        <v>4454</v>
      </c>
      <c r="B14" t="s">
        <v>4500</v>
      </c>
      <c r="C14" t="s">
        <v>17</v>
      </c>
      <c r="D14" t="s">
        <v>4491</v>
      </c>
      <c r="E14" t="s">
        <v>192</v>
      </c>
      <c r="F14">
        <v>1</v>
      </c>
      <c r="G14" t="s">
        <v>193</v>
      </c>
      <c r="H14" t="s">
        <v>194</v>
      </c>
      <c r="I14" t="s">
        <v>4481</v>
      </c>
      <c r="J14" t="s">
        <v>210</v>
      </c>
      <c r="K14">
        <v>18</v>
      </c>
      <c r="L14" t="s">
        <v>624</v>
      </c>
      <c r="M14" s="28" t="str">
        <f t="shared" si="0"/>
        <v>332203</v>
      </c>
    </row>
    <row r="15" spans="1:16" x14ac:dyDescent="0.25">
      <c r="A15" t="s">
        <v>4501</v>
      </c>
      <c r="B15" t="s">
        <v>4502</v>
      </c>
      <c r="C15" t="s">
        <v>922</v>
      </c>
      <c r="D15" t="s">
        <v>4480</v>
      </c>
      <c r="E15" t="s">
        <v>192</v>
      </c>
      <c r="F15">
        <v>1</v>
      </c>
      <c r="G15" t="s">
        <v>193</v>
      </c>
      <c r="H15" t="s">
        <v>194</v>
      </c>
      <c r="I15" t="s">
        <v>4481</v>
      </c>
      <c r="J15" t="s">
        <v>276</v>
      </c>
      <c r="K15">
        <v>18</v>
      </c>
      <c r="L15" t="s">
        <v>923</v>
      </c>
      <c r="M15" s="28" t="str">
        <f t="shared" si="0"/>
        <v>112006</v>
      </c>
    </row>
    <row r="16" spans="1:16" x14ac:dyDescent="0.25">
      <c r="A16" t="s">
        <v>282</v>
      </c>
      <c r="B16" t="s">
        <v>4503</v>
      </c>
      <c r="C16" t="s">
        <v>371</v>
      </c>
      <c r="D16" t="s">
        <v>4486</v>
      </c>
      <c r="E16" t="s">
        <v>192</v>
      </c>
      <c r="F16">
        <v>1</v>
      </c>
      <c r="G16" t="s">
        <v>193</v>
      </c>
      <c r="H16" t="s">
        <v>194</v>
      </c>
      <c r="I16" t="s">
        <v>4498</v>
      </c>
      <c r="J16" t="s">
        <v>285</v>
      </c>
      <c r="K16">
        <v>18</v>
      </c>
      <c r="L16" t="s">
        <v>372</v>
      </c>
      <c r="M16" s="28" t="str">
        <f t="shared" si="0"/>
        <v>215202</v>
      </c>
    </row>
    <row r="17" spans="1:13" x14ac:dyDescent="0.25">
      <c r="A17" t="s">
        <v>731</v>
      </c>
      <c r="B17" t="s">
        <v>4504</v>
      </c>
      <c r="C17" t="s">
        <v>2098</v>
      </c>
      <c r="D17" t="s">
        <v>4486</v>
      </c>
      <c r="E17" t="s">
        <v>192</v>
      </c>
      <c r="F17">
        <v>1</v>
      </c>
      <c r="G17" t="s">
        <v>193</v>
      </c>
      <c r="H17" t="s">
        <v>194</v>
      </c>
      <c r="I17" t="s">
        <v>4498</v>
      </c>
      <c r="J17" t="s">
        <v>253</v>
      </c>
      <c r="K17">
        <v>18</v>
      </c>
      <c r="L17" t="s">
        <v>2099</v>
      </c>
      <c r="M17" s="28" t="str">
        <f t="shared" si="0"/>
        <v>229903</v>
      </c>
    </row>
    <row r="18" spans="1:13" x14ac:dyDescent="0.25">
      <c r="A18" t="s">
        <v>498</v>
      </c>
      <c r="B18" t="s">
        <v>1053</v>
      </c>
      <c r="C18" t="s">
        <v>10</v>
      </c>
      <c r="D18" t="s">
        <v>4480</v>
      </c>
      <c r="E18" t="s">
        <v>192</v>
      </c>
      <c r="F18">
        <v>1</v>
      </c>
      <c r="G18" t="s">
        <v>193</v>
      </c>
      <c r="H18" t="s">
        <v>194</v>
      </c>
      <c r="I18" t="s">
        <v>4498</v>
      </c>
      <c r="J18" t="s">
        <v>210</v>
      </c>
      <c r="K18">
        <v>18</v>
      </c>
      <c r="L18" t="s">
        <v>484</v>
      </c>
      <c r="M18" s="28" t="str">
        <f t="shared" si="0"/>
        <v>251401</v>
      </c>
    </row>
    <row r="19" spans="1:13" x14ac:dyDescent="0.25">
      <c r="A19" t="s">
        <v>919</v>
      </c>
      <c r="B19" t="s">
        <v>4505</v>
      </c>
      <c r="C19" t="s">
        <v>9</v>
      </c>
      <c r="D19" t="s">
        <v>4480</v>
      </c>
      <c r="E19" t="s">
        <v>192</v>
      </c>
      <c r="F19">
        <v>1</v>
      </c>
      <c r="G19" t="s">
        <v>193</v>
      </c>
      <c r="H19" t="s">
        <v>194</v>
      </c>
      <c r="I19" t="s">
        <v>4498</v>
      </c>
      <c r="J19" t="s">
        <v>210</v>
      </c>
      <c r="K19">
        <v>18</v>
      </c>
      <c r="L19" t="s">
        <v>405</v>
      </c>
      <c r="M19" s="28" t="str">
        <f t="shared" si="0"/>
        <v>241304</v>
      </c>
    </row>
    <row r="20" spans="1:13" x14ac:dyDescent="0.25">
      <c r="A20" t="s">
        <v>4506</v>
      </c>
      <c r="B20" t="s">
        <v>778</v>
      </c>
      <c r="C20" t="s">
        <v>778</v>
      </c>
      <c r="D20" t="s">
        <v>4480</v>
      </c>
      <c r="E20" t="s">
        <v>192</v>
      </c>
      <c r="F20">
        <v>1</v>
      </c>
      <c r="G20" t="s">
        <v>193</v>
      </c>
      <c r="H20" t="s">
        <v>194</v>
      </c>
      <c r="I20" t="s">
        <v>4507</v>
      </c>
      <c r="J20" t="s">
        <v>267</v>
      </c>
      <c r="K20">
        <v>18</v>
      </c>
      <c r="L20" t="s">
        <v>779</v>
      </c>
      <c r="M20" s="28" t="str">
        <f t="shared" si="0"/>
        <v>524902</v>
      </c>
    </row>
    <row r="21" spans="1:13" x14ac:dyDescent="0.25">
      <c r="A21" t="s">
        <v>263</v>
      </c>
      <c r="B21" t="s">
        <v>537</v>
      </c>
      <c r="C21" t="s">
        <v>778</v>
      </c>
      <c r="D21" t="s">
        <v>4486</v>
      </c>
      <c r="E21" t="s">
        <v>217</v>
      </c>
      <c r="F21">
        <v>1</v>
      </c>
      <c r="G21" t="s">
        <v>193</v>
      </c>
      <c r="H21" t="s">
        <v>194</v>
      </c>
      <c r="I21" t="s">
        <v>4495</v>
      </c>
      <c r="J21" t="s">
        <v>316</v>
      </c>
      <c r="K21">
        <v>18</v>
      </c>
      <c r="L21" t="s">
        <v>779</v>
      </c>
      <c r="M21" s="28" t="str">
        <f t="shared" si="0"/>
        <v>524902</v>
      </c>
    </row>
    <row r="22" spans="1:13" x14ac:dyDescent="0.25">
      <c r="A22" t="s">
        <v>409</v>
      </c>
      <c r="B22" t="s">
        <v>537</v>
      </c>
      <c r="C22" t="s">
        <v>778</v>
      </c>
      <c r="D22" t="s">
        <v>4491</v>
      </c>
      <c r="E22" t="s">
        <v>192</v>
      </c>
      <c r="F22">
        <v>1</v>
      </c>
      <c r="G22" t="s">
        <v>193</v>
      </c>
      <c r="H22" t="s">
        <v>194</v>
      </c>
      <c r="I22" t="s">
        <v>4507</v>
      </c>
      <c r="J22" t="s">
        <v>367</v>
      </c>
      <c r="K22">
        <v>18</v>
      </c>
      <c r="L22" t="s">
        <v>779</v>
      </c>
      <c r="M22" s="28" t="str">
        <f t="shared" si="0"/>
        <v>524902</v>
      </c>
    </row>
    <row r="23" spans="1:13" x14ac:dyDescent="0.25">
      <c r="A23" t="s">
        <v>4508</v>
      </c>
      <c r="B23" t="s">
        <v>4509</v>
      </c>
      <c r="C23" t="s">
        <v>1937</v>
      </c>
      <c r="D23" t="s">
        <v>4480</v>
      </c>
      <c r="E23" t="s">
        <v>192</v>
      </c>
      <c r="F23">
        <v>1</v>
      </c>
      <c r="G23" t="s">
        <v>193</v>
      </c>
      <c r="H23" t="s">
        <v>194</v>
      </c>
      <c r="I23" t="s">
        <v>4481</v>
      </c>
      <c r="J23" t="s">
        <v>210</v>
      </c>
      <c r="K23">
        <v>18</v>
      </c>
      <c r="L23" t="s">
        <v>1938</v>
      </c>
      <c r="M23" s="28" t="str">
        <f t="shared" si="0"/>
        <v>214406</v>
      </c>
    </row>
    <row r="24" spans="1:13" x14ac:dyDescent="0.25">
      <c r="A24" t="s">
        <v>1904</v>
      </c>
      <c r="B24" t="s">
        <v>4510</v>
      </c>
      <c r="C24" t="s">
        <v>1957</v>
      </c>
      <c r="D24" t="s">
        <v>4480</v>
      </c>
      <c r="E24" t="s">
        <v>192</v>
      </c>
      <c r="F24">
        <v>1</v>
      </c>
      <c r="G24" t="s">
        <v>193</v>
      </c>
      <c r="H24" t="s">
        <v>194</v>
      </c>
      <c r="I24" t="s">
        <v>4481</v>
      </c>
      <c r="J24" t="s">
        <v>210</v>
      </c>
      <c r="K24">
        <v>18</v>
      </c>
      <c r="L24" t="s">
        <v>1958</v>
      </c>
      <c r="M24" s="28" t="str">
        <f t="shared" si="0"/>
        <v>214408</v>
      </c>
    </row>
    <row r="25" spans="1:13" x14ac:dyDescent="0.25">
      <c r="A25" t="s">
        <v>1935</v>
      </c>
      <c r="B25" t="s">
        <v>4511</v>
      </c>
      <c r="C25" t="s">
        <v>1485</v>
      </c>
      <c r="D25" t="s">
        <v>4491</v>
      </c>
      <c r="E25" t="s">
        <v>192</v>
      </c>
      <c r="F25">
        <v>1</v>
      </c>
      <c r="G25" t="s">
        <v>193</v>
      </c>
      <c r="H25" t="s">
        <v>194</v>
      </c>
      <c r="I25" t="s">
        <v>4507</v>
      </c>
      <c r="J25" t="s">
        <v>253</v>
      </c>
      <c r="K25">
        <v>18</v>
      </c>
      <c r="L25" t="s">
        <v>1487</v>
      </c>
      <c r="M25" s="28" t="str">
        <f t="shared" si="0"/>
        <v>112015</v>
      </c>
    </row>
    <row r="26" spans="1:13" x14ac:dyDescent="0.25">
      <c r="A26" t="s">
        <v>919</v>
      </c>
      <c r="B26" t="s">
        <v>4512</v>
      </c>
      <c r="C26" t="s">
        <v>1775</v>
      </c>
      <c r="D26" t="s">
        <v>4480</v>
      </c>
      <c r="E26" t="s">
        <v>192</v>
      </c>
      <c r="F26">
        <v>1</v>
      </c>
      <c r="G26" t="s">
        <v>193</v>
      </c>
      <c r="H26" t="s">
        <v>194</v>
      </c>
      <c r="I26" t="s">
        <v>4498</v>
      </c>
      <c r="J26" t="s">
        <v>210</v>
      </c>
      <c r="K26">
        <v>18</v>
      </c>
      <c r="L26" t="s">
        <v>1777</v>
      </c>
      <c r="M26" s="28" t="str">
        <f t="shared" si="0"/>
        <v>241302</v>
      </c>
    </row>
    <row r="27" spans="1:13" x14ac:dyDescent="0.25">
      <c r="A27" t="s">
        <v>427</v>
      </c>
      <c r="B27" t="s">
        <v>4513</v>
      </c>
      <c r="C27" t="s">
        <v>829</v>
      </c>
      <c r="D27" t="s">
        <v>4480</v>
      </c>
      <c r="E27" t="s">
        <v>252</v>
      </c>
      <c r="F27">
        <v>1</v>
      </c>
      <c r="G27" t="s">
        <v>193</v>
      </c>
      <c r="H27" t="s">
        <v>194</v>
      </c>
      <c r="I27" t="s">
        <v>4507</v>
      </c>
      <c r="J27" t="s">
        <v>210</v>
      </c>
      <c r="K27">
        <v>18</v>
      </c>
      <c r="L27" t="s">
        <v>830</v>
      </c>
      <c r="M27" s="28" t="str">
        <f t="shared" si="0"/>
        <v>741201</v>
      </c>
    </row>
    <row r="28" spans="1:13" x14ac:dyDescent="0.25">
      <c r="A28" t="s">
        <v>4514</v>
      </c>
      <c r="B28" t="s">
        <v>836</v>
      </c>
      <c r="C28" t="s">
        <v>554</v>
      </c>
      <c r="D28" t="s">
        <v>4480</v>
      </c>
      <c r="E28" t="s">
        <v>192</v>
      </c>
      <c r="F28">
        <v>1</v>
      </c>
      <c r="G28" t="s">
        <v>193</v>
      </c>
      <c r="H28" t="s">
        <v>194</v>
      </c>
      <c r="I28" t="s">
        <v>4481</v>
      </c>
      <c r="J28" t="s">
        <v>316</v>
      </c>
      <c r="K28">
        <v>18</v>
      </c>
      <c r="L28" t="s">
        <v>555</v>
      </c>
      <c r="M28" s="28" t="str">
        <f t="shared" si="0"/>
        <v>311303</v>
      </c>
    </row>
    <row r="29" spans="1:13" x14ac:dyDescent="0.25">
      <c r="A29" t="s">
        <v>352</v>
      </c>
      <c r="B29" t="s">
        <v>4515</v>
      </c>
      <c r="C29" t="s">
        <v>3342</v>
      </c>
      <c r="D29" t="s">
        <v>4486</v>
      </c>
      <c r="E29" t="s">
        <v>192</v>
      </c>
      <c r="F29">
        <v>1</v>
      </c>
      <c r="G29" t="s">
        <v>193</v>
      </c>
      <c r="H29" t="s">
        <v>194</v>
      </c>
      <c r="I29" t="s">
        <v>4481</v>
      </c>
      <c r="J29" t="s">
        <v>210</v>
      </c>
      <c r="K29">
        <v>18</v>
      </c>
      <c r="L29" t="s">
        <v>3343</v>
      </c>
      <c r="M29" s="28" t="str">
        <f t="shared" si="0"/>
        <v>741101</v>
      </c>
    </row>
    <row r="30" spans="1:13" x14ac:dyDescent="0.25">
      <c r="A30" t="s">
        <v>498</v>
      </c>
      <c r="B30" t="s">
        <v>4516</v>
      </c>
      <c r="C30" t="s">
        <v>10</v>
      </c>
      <c r="D30" t="s">
        <v>4480</v>
      </c>
      <c r="E30" t="s">
        <v>192</v>
      </c>
      <c r="F30">
        <v>1</v>
      </c>
      <c r="G30" t="s">
        <v>193</v>
      </c>
      <c r="H30" t="s">
        <v>194</v>
      </c>
      <c r="I30" t="s">
        <v>4498</v>
      </c>
      <c r="J30" t="s">
        <v>210</v>
      </c>
      <c r="K30">
        <v>18</v>
      </c>
      <c r="L30" t="s">
        <v>484</v>
      </c>
      <c r="M30" s="28" t="str">
        <f t="shared" si="0"/>
        <v>251401</v>
      </c>
    </row>
    <row r="31" spans="1:13" x14ac:dyDescent="0.25">
      <c r="A31" t="s">
        <v>2834</v>
      </c>
      <c r="B31" t="s">
        <v>2487</v>
      </c>
      <c r="C31" t="s">
        <v>43</v>
      </c>
      <c r="D31" t="s">
        <v>4480</v>
      </c>
      <c r="E31" t="s">
        <v>192</v>
      </c>
      <c r="F31">
        <v>1</v>
      </c>
      <c r="G31" t="s">
        <v>193</v>
      </c>
      <c r="H31" t="s">
        <v>194</v>
      </c>
      <c r="I31" t="s">
        <v>4481</v>
      </c>
      <c r="J31" t="s">
        <v>253</v>
      </c>
      <c r="K31">
        <v>18</v>
      </c>
      <c r="L31" t="s">
        <v>452</v>
      </c>
      <c r="M31" s="28" t="str">
        <f t="shared" si="0"/>
        <v>243106</v>
      </c>
    </row>
    <row r="32" spans="1:13" x14ac:dyDescent="0.25">
      <c r="A32" t="s">
        <v>4517</v>
      </c>
      <c r="B32" t="s">
        <v>4518</v>
      </c>
      <c r="C32" t="s">
        <v>31</v>
      </c>
      <c r="D32" t="s">
        <v>4480</v>
      </c>
      <c r="E32" t="s">
        <v>192</v>
      </c>
      <c r="F32">
        <v>1</v>
      </c>
      <c r="G32" t="s">
        <v>193</v>
      </c>
      <c r="H32" t="s">
        <v>194</v>
      </c>
      <c r="I32" t="s">
        <v>4481</v>
      </c>
      <c r="J32" t="s">
        <v>223</v>
      </c>
      <c r="K32">
        <v>18</v>
      </c>
      <c r="L32" t="s">
        <v>1884</v>
      </c>
      <c r="M32" s="28" t="str">
        <f t="shared" si="0"/>
        <v>229201</v>
      </c>
    </row>
    <row r="33" spans="1:13" x14ac:dyDescent="0.25">
      <c r="A33" t="s">
        <v>4519</v>
      </c>
      <c r="B33" t="s">
        <v>4520</v>
      </c>
      <c r="C33" t="s">
        <v>17</v>
      </c>
      <c r="D33" t="s">
        <v>4480</v>
      </c>
      <c r="E33" t="s">
        <v>192</v>
      </c>
      <c r="F33">
        <v>1</v>
      </c>
      <c r="G33" t="s">
        <v>193</v>
      </c>
      <c r="H33" t="s">
        <v>194</v>
      </c>
      <c r="I33" t="s">
        <v>4495</v>
      </c>
      <c r="J33" t="s">
        <v>276</v>
      </c>
      <c r="K33">
        <v>18</v>
      </c>
      <c r="L33" t="s">
        <v>624</v>
      </c>
      <c r="M33" s="28" t="str">
        <f t="shared" si="0"/>
        <v>332203</v>
      </c>
    </row>
    <row r="34" spans="1:13" x14ac:dyDescent="0.25">
      <c r="A34" t="s">
        <v>4519</v>
      </c>
      <c r="B34" t="s">
        <v>4520</v>
      </c>
      <c r="C34" t="s">
        <v>17</v>
      </c>
      <c r="D34" t="s">
        <v>4480</v>
      </c>
      <c r="E34" t="s">
        <v>192</v>
      </c>
      <c r="F34">
        <v>1</v>
      </c>
      <c r="G34" t="s">
        <v>193</v>
      </c>
      <c r="H34" t="s">
        <v>194</v>
      </c>
      <c r="I34" t="s">
        <v>4495</v>
      </c>
      <c r="J34" t="s">
        <v>408</v>
      </c>
      <c r="K34">
        <v>18</v>
      </c>
      <c r="L34" t="s">
        <v>624</v>
      </c>
      <c r="M34" s="28" t="str">
        <f t="shared" si="0"/>
        <v>332203</v>
      </c>
    </row>
    <row r="35" spans="1:13" x14ac:dyDescent="0.25">
      <c r="A35" t="s">
        <v>3171</v>
      </c>
      <c r="B35" t="s">
        <v>487</v>
      </c>
      <c r="C35" t="s">
        <v>10</v>
      </c>
      <c r="D35" t="s">
        <v>4480</v>
      </c>
      <c r="E35" t="s">
        <v>192</v>
      </c>
      <c r="F35">
        <v>1</v>
      </c>
      <c r="G35" t="s">
        <v>193</v>
      </c>
      <c r="H35" t="s">
        <v>194</v>
      </c>
      <c r="I35" t="s">
        <v>4481</v>
      </c>
      <c r="J35" t="s">
        <v>210</v>
      </c>
      <c r="K35">
        <v>18</v>
      </c>
      <c r="L35" t="s">
        <v>484</v>
      </c>
      <c r="M35" s="28" t="str">
        <f t="shared" si="0"/>
        <v>251401</v>
      </c>
    </row>
    <row r="36" spans="1:13" x14ac:dyDescent="0.25">
      <c r="A36" t="s">
        <v>4389</v>
      </c>
      <c r="B36" t="s">
        <v>4521</v>
      </c>
      <c r="C36" t="s">
        <v>19</v>
      </c>
      <c r="D36" t="s">
        <v>4491</v>
      </c>
      <c r="E36" t="s">
        <v>192</v>
      </c>
      <c r="F36">
        <v>1</v>
      </c>
      <c r="G36" t="s">
        <v>193</v>
      </c>
      <c r="H36" t="s">
        <v>194</v>
      </c>
      <c r="I36" t="s">
        <v>4481</v>
      </c>
      <c r="J36" t="s">
        <v>210</v>
      </c>
      <c r="K36">
        <v>18</v>
      </c>
      <c r="L36" t="s">
        <v>337</v>
      </c>
      <c r="M36" s="28" t="str">
        <f t="shared" si="0"/>
        <v>214903</v>
      </c>
    </row>
    <row r="37" spans="1:13" x14ac:dyDescent="0.25">
      <c r="A37" t="s">
        <v>564</v>
      </c>
      <c r="B37" t="s">
        <v>2491</v>
      </c>
      <c r="C37" t="s">
        <v>770</v>
      </c>
      <c r="D37" t="s">
        <v>4480</v>
      </c>
      <c r="E37" t="s">
        <v>192</v>
      </c>
      <c r="F37">
        <v>1</v>
      </c>
      <c r="G37" t="s">
        <v>193</v>
      </c>
      <c r="H37" t="s">
        <v>194</v>
      </c>
      <c r="I37" t="s">
        <v>4495</v>
      </c>
      <c r="J37" t="s">
        <v>3114</v>
      </c>
      <c r="K37">
        <v>18</v>
      </c>
      <c r="L37" t="s">
        <v>772</v>
      </c>
      <c r="M37" s="28" t="str">
        <f t="shared" si="0"/>
        <v>522305</v>
      </c>
    </row>
    <row r="38" spans="1:13" x14ac:dyDescent="0.25">
      <c r="A38" t="s">
        <v>4522</v>
      </c>
      <c r="B38" t="s">
        <v>4523</v>
      </c>
      <c r="C38" t="s">
        <v>770</v>
      </c>
      <c r="D38" t="s">
        <v>4480</v>
      </c>
      <c r="E38" t="s">
        <v>192</v>
      </c>
      <c r="F38">
        <v>1</v>
      </c>
      <c r="G38" t="s">
        <v>193</v>
      </c>
      <c r="H38" t="s">
        <v>194</v>
      </c>
      <c r="I38" t="s">
        <v>4481</v>
      </c>
      <c r="J38" t="s">
        <v>196</v>
      </c>
      <c r="K38">
        <v>18</v>
      </c>
      <c r="L38" t="s">
        <v>772</v>
      </c>
      <c r="M38" s="28" t="str">
        <f t="shared" si="0"/>
        <v>522305</v>
      </c>
    </row>
    <row r="39" spans="1:13" x14ac:dyDescent="0.25">
      <c r="A39" t="s">
        <v>1490</v>
      </c>
      <c r="B39" t="s">
        <v>4524</v>
      </c>
      <c r="C39" t="s">
        <v>284</v>
      </c>
      <c r="D39" t="s">
        <v>4491</v>
      </c>
      <c r="E39" t="s">
        <v>192</v>
      </c>
      <c r="F39">
        <v>1</v>
      </c>
      <c r="G39" t="s">
        <v>193</v>
      </c>
      <c r="H39" t="s">
        <v>194</v>
      </c>
      <c r="I39" t="s">
        <v>4481</v>
      </c>
      <c r="J39" t="s">
        <v>210</v>
      </c>
      <c r="K39">
        <v>18</v>
      </c>
      <c r="L39" t="s">
        <v>286</v>
      </c>
      <c r="M39" s="28" t="str">
        <f t="shared" si="0"/>
        <v>214109</v>
      </c>
    </row>
    <row r="40" spans="1:13" x14ac:dyDescent="0.25">
      <c r="A40" t="s">
        <v>303</v>
      </c>
      <c r="B40" t="s">
        <v>4525</v>
      </c>
      <c r="C40" t="s">
        <v>566</v>
      </c>
      <c r="D40" t="s">
        <v>4480</v>
      </c>
      <c r="E40" t="s">
        <v>192</v>
      </c>
      <c r="F40">
        <v>1</v>
      </c>
      <c r="G40" t="s">
        <v>193</v>
      </c>
      <c r="H40" t="s">
        <v>194</v>
      </c>
      <c r="I40" t="s">
        <v>4481</v>
      </c>
      <c r="J40" t="s">
        <v>305</v>
      </c>
      <c r="K40">
        <v>18</v>
      </c>
      <c r="L40" t="s">
        <v>567</v>
      </c>
      <c r="M40" s="28" t="str">
        <f t="shared" si="0"/>
        <v>311504</v>
      </c>
    </row>
    <row r="41" spans="1:13" x14ac:dyDescent="0.25">
      <c r="A41" t="s">
        <v>432</v>
      </c>
      <c r="B41" t="s">
        <v>4526</v>
      </c>
      <c r="C41" t="s">
        <v>308</v>
      </c>
      <c r="D41" t="s">
        <v>4491</v>
      </c>
      <c r="E41" t="s">
        <v>192</v>
      </c>
      <c r="F41">
        <v>1</v>
      </c>
      <c r="G41" t="s">
        <v>193</v>
      </c>
      <c r="H41" t="s">
        <v>194</v>
      </c>
      <c r="I41" t="s">
        <v>4481</v>
      </c>
      <c r="J41" t="s">
        <v>253</v>
      </c>
      <c r="K41">
        <v>18</v>
      </c>
      <c r="L41" t="s">
        <v>310</v>
      </c>
      <c r="M41" s="28" t="str">
        <f t="shared" si="0"/>
        <v>214404</v>
      </c>
    </row>
    <row r="42" spans="1:13" x14ac:dyDescent="0.25">
      <c r="A42" t="s">
        <v>4527</v>
      </c>
      <c r="B42" t="s">
        <v>4528</v>
      </c>
      <c r="C42" t="s">
        <v>21</v>
      </c>
      <c r="D42" t="s">
        <v>4480</v>
      </c>
      <c r="E42" t="s">
        <v>192</v>
      </c>
      <c r="F42">
        <v>1</v>
      </c>
      <c r="G42" t="s">
        <v>193</v>
      </c>
      <c r="H42" t="s">
        <v>194</v>
      </c>
      <c r="I42" t="s">
        <v>4481</v>
      </c>
      <c r="J42" t="s">
        <v>276</v>
      </c>
      <c r="K42">
        <v>18</v>
      </c>
      <c r="L42" t="s">
        <v>293</v>
      </c>
      <c r="M42" s="28" t="str">
        <f t="shared" si="0"/>
        <v>214202</v>
      </c>
    </row>
    <row r="43" spans="1:13" x14ac:dyDescent="0.25">
      <c r="A43" t="s">
        <v>4529</v>
      </c>
      <c r="B43" t="s">
        <v>4530</v>
      </c>
      <c r="C43" t="s">
        <v>354</v>
      </c>
      <c r="D43" t="s">
        <v>4491</v>
      </c>
      <c r="E43" t="s">
        <v>192</v>
      </c>
      <c r="F43">
        <v>1</v>
      </c>
      <c r="G43" t="s">
        <v>193</v>
      </c>
      <c r="H43" t="s">
        <v>194</v>
      </c>
      <c r="I43" t="s">
        <v>4481</v>
      </c>
      <c r="J43" t="s">
        <v>196</v>
      </c>
      <c r="K43">
        <v>18</v>
      </c>
      <c r="L43" t="s">
        <v>355</v>
      </c>
      <c r="M43" s="28" t="str">
        <f t="shared" si="0"/>
        <v>215103</v>
      </c>
    </row>
    <row r="44" spans="1:13" x14ac:dyDescent="0.25">
      <c r="A44" t="s">
        <v>349</v>
      </c>
      <c r="B44" t="s">
        <v>4531</v>
      </c>
      <c r="C44" t="s">
        <v>21</v>
      </c>
      <c r="D44" t="s">
        <v>4486</v>
      </c>
      <c r="E44" t="s">
        <v>192</v>
      </c>
      <c r="F44">
        <v>1</v>
      </c>
      <c r="G44" t="s">
        <v>193</v>
      </c>
      <c r="H44" t="s">
        <v>194</v>
      </c>
      <c r="I44" t="s">
        <v>4498</v>
      </c>
      <c r="J44" t="s">
        <v>316</v>
      </c>
      <c r="K44">
        <v>18</v>
      </c>
      <c r="L44" t="s">
        <v>293</v>
      </c>
      <c r="M44" s="28" t="str">
        <f t="shared" si="0"/>
        <v>214202</v>
      </c>
    </row>
    <row r="45" spans="1:13" x14ac:dyDescent="0.25">
      <c r="A45" t="s">
        <v>1490</v>
      </c>
      <c r="B45" t="s">
        <v>4532</v>
      </c>
      <c r="C45" t="s">
        <v>284</v>
      </c>
      <c r="D45" t="s">
        <v>4491</v>
      </c>
      <c r="E45" t="s">
        <v>192</v>
      </c>
      <c r="F45">
        <v>1</v>
      </c>
      <c r="G45" t="s">
        <v>193</v>
      </c>
      <c r="H45" t="s">
        <v>194</v>
      </c>
      <c r="I45" t="s">
        <v>4481</v>
      </c>
      <c r="J45" t="s">
        <v>210</v>
      </c>
      <c r="K45">
        <v>18</v>
      </c>
      <c r="L45" t="s">
        <v>286</v>
      </c>
      <c r="M45" s="28" t="str">
        <f t="shared" si="0"/>
        <v>214109</v>
      </c>
    </row>
    <row r="46" spans="1:13" x14ac:dyDescent="0.25">
      <c r="A46" t="s">
        <v>2200</v>
      </c>
      <c r="B46" t="s">
        <v>4142</v>
      </c>
      <c r="C46" t="s">
        <v>4533</v>
      </c>
      <c r="D46" t="s">
        <v>4486</v>
      </c>
      <c r="E46" t="s">
        <v>192</v>
      </c>
      <c r="F46">
        <v>1</v>
      </c>
      <c r="G46" t="s">
        <v>193</v>
      </c>
      <c r="H46" t="s">
        <v>194</v>
      </c>
      <c r="I46" t="s">
        <v>4498</v>
      </c>
      <c r="J46" t="s">
        <v>2201</v>
      </c>
      <c r="K46">
        <v>18</v>
      </c>
      <c r="L46" t="s">
        <v>4534</v>
      </c>
      <c r="M46" s="28" t="str">
        <f t="shared" si="0"/>
        <v>214916</v>
      </c>
    </row>
    <row r="47" spans="1:13" x14ac:dyDescent="0.25">
      <c r="A47" t="s">
        <v>1923</v>
      </c>
      <c r="B47" t="s">
        <v>3711</v>
      </c>
      <c r="C47" t="s">
        <v>366</v>
      </c>
      <c r="D47" t="s">
        <v>4491</v>
      </c>
      <c r="E47" t="s">
        <v>192</v>
      </c>
      <c r="F47">
        <v>1</v>
      </c>
      <c r="G47" t="s">
        <v>193</v>
      </c>
      <c r="H47" t="s">
        <v>194</v>
      </c>
      <c r="I47" t="s">
        <v>4481</v>
      </c>
      <c r="J47" t="s">
        <v>285</v>
      </c>
      <c r="K47">
        <v>18</v>
      </c>
      <c r="L47" t="s">
        <v>368</v>
      </c>
      <c r="M47" s="28" t="str">
        <f t="shared" si="0"/>
        <v>215201</v>
      </c>
    </row>
    <row r="48" spans="1:13" x14ac:dyDescent="0.25">
      <c r="A48" t="s">
        <v>1490</v>
      </c>
      <c r="B48" t="s">
        <v>4535</v>
      </c>
      <c r="C48" t="s">
        <v>10</v>
      </c>
      <c r="D48" t="s">
        <v>4480</v>
      </c>
      <c r="E48" t="s">
        <v>192</v>
      </c>
      <c r="F48">
        <v>1</v>
      </c>
      <c r="G48" t="s">
        <v>193</v>
      </c>
      <c r="H48" t="s">
        <v>194</v>
      </c>
      <c r="I48" t="s">
        <v>4481</v>
      </c>
      <c r="J48" t="s">
        <v>575</v>
      </c>
      <c r="K48">
        <v>18</v>
      </c>
      <c r="L48" t="s">
        <v>484</v>
      </c>
      <c r="M48" s="28" t="str">
        <f t="shared" si="0"/>
        <v>251401</v>
      </c>
    </row>
    <row r="49" spans="1:13" x14ac:dyDescent="0.25">
      <c r="A49" t="s">
        <v>2200</v>
      </c>
      <c r="B49" t="s">
        <v>4536</v>
      </c>
      <c r="C49" t="s">
        <v>4533</v>
      </c>
      <c r="D49" t="s">
        <v>4486</v>
      </c>
      <c r="E49" t="s">
        <v>192</v>
      </c>
      <c r="F49">
        <v>1</v>
      </c>
      <c r="G49" t="s">
        <v>193</v>
      </c>
      <c r="H49" t="s">
        <v>194</v>
      </c>
      <c r="I49" t="s">
        <v>4498</v>
      </c>
      <c r="J49" t="s">
        <v>2201</v>
      </c>
      <c r="K49">
        <v>18</v>
      </c>
      <c r="L49" t="s">
        <v>4534</v>
      </c>
      <c r="M49" s="28" t="str">
        <f t="shared" si="0"/>
        <v>214916</v>
      </c>
    </row>
    <row r="50" spans="1:13" x14ac:dyDescent="0.25">
      <c r="A50" t="s">
        <v>369</v>
      </c>
      <c r="B50" t="s">
        <v>4537</v>
      </c>
      <c r="C50" t="s">
        <v>1957</v>
      </c>
      <c r="D50" t="s">
        <v>4486</v>
      </c>
      <c r="E50" t="s">
        <v>192</v>
      </c>
      <c r="F50">
        <v>1</v>
      </c>
      <c r="G50" t="s">
        <v>193</v>
      </c>
      <c r="H50" t="s">
        <v>194</v>
      </c>
      <c r="I50" t="s">
        <v>4498</v>
      </c>
      <c r="J50" t="s">
        <v>210</v>
      </c>
      <c r="K50">
        <v>18</v>
      </c>
      <c r="L50" t="s">
        <v>1958</v>
      </c>
      <c r="M50" s="28" t="str">
        <f t="shared" si="0"/>
        <v>214408</v>
      </c>
    </row>
    <row r="51" spans="1:13" x14ac:dyDescent="0.25">
      <c r="A51" t="s">
        <v>2200</v>
      </c>
      <c r="B51" t="s">
        <v>4538</v>
      </c>
      <c r="C51" t="s">
        <v>4533</v>
      </c>
      <c r="D51" t="s">
        <v>4486</v>
      </c>
      <c r="E51" t="s">
        <v>192</v>
      </c>
      <c r="F51">
        <v>1</v>
      </c>
      <c r="G51" t="s">
        <v>193</v>
      </c>
      <c r="H51" t="s">
        <v>194</v>
      </c>
      <c r="I51" t="s">
        <v>4498</v>
      </c>
      <c r="J51" t="s">
        <v>2201</v>
      </c>
      <c r="K51">
        <v>18</v>
      </c>
      <c r="L51" t="s">
        <v>4534</v>
      </c>
      <c r="M51" s="28" t="str">
        <f t="shared" si="0"/>
        <v>214916</v>
      </c>
    </row>
    <row r="52" spans="1:13" x14ac:dyDescent="0.25">
      <c r="A52" t="s">
        <v>972</v>
      </c>
      <c r="B52" t="s">
        <v>973</v>
      </c>
      <c r="C52" t="s">
        <v>69</v>
      </c>
      <c r="D52" t="s">
        <v>4491</v>
      </c>
      <c r="E52" t="s">
        <v>192</v>
      </c>
      <c r="F52">
        <v>1</v>
      </c>
      <c r="G52" t="s">
        <v>193</v>
      </c>
      <c r="H52" t="s">
        <v>194</v>
      </c>
      <c r="I52" t="s">
        <v>4481</v>
      </c>
      <c r="J52" t="s">
        <v>238</v>
      </c>
      <c r="K52">
        <v>18</v>
      </c>
      <c r="L52" t="s">
        <v>375</v>
      </c>
      <c r="M52" s="28" t="str">
        <f t="shared" si="0"/>
        <v>215301</v>
      </c>
    </row>
    <row r="53" spans="1:13" x14ac:dyDescent="0.25">
      <c r="A53" t="s">
        <v>1748</v>
      </c>
      <c r="B53" t="s">
        <v>4539</v>
      </c>
      <c r="C53" t="s">
        <v>525</v>
      </c>
      <c r="D53" t="s">
        <v>4486</v>
      </c>
      <c r="E53" t="s">
        <v>192</v>
      </c>
      <c r="F53">
        <v>1</v>
      </c>
      <c r="G53" t="s">
        <v>193</v>
      </c>
      <c r="H53" t="s">
        <v>194</v>
      </c>
      <c r="I53" t="s">
        <v>4481</v>
      </c>
      <c r="J53" t="s">
        <v>210</v>
      </c>
      <c r="K53">
        <v>18</v>
      </c>
      <c r="L53" t="s">
        <v>526</v>
      </c>
      <c r="M53" s="28" t="str">
        <f t="shared" si="0"/>
        <v>263102</v>
      </c>
    </row>
    <row r="54" spans="1:13" x14ac:dyDescent="0.25">
      <c r="A54" t="s">
        <v>1471</v>
      </c>
      <c r="B54" t="s">
        <v>1978</v>
      </c>
      <c r="C54" t="s">
        <v>98</v>
      </c>
      <c r="D54" t="s">
        <v>4486</v>
      </c>
      <c r="E54" t="s">
        <v>192</v>
      </c>
      <c r="F54">
        <v>1</v>
      </c>
      <c r="G54" t="s">
        <v>193</v>
      </c>
      <c r="H54" t="s">
        <v>194</v>
      </c>
      <c r="I54" t="s">
        <v>4498</v>
      </c>
      <c r="J54" t="s">
        <v>1473</v>
      </c>
      <c r="K54">
        <v>18</v>
      </c>
      <c r="L54" t="s">
        <v>1973</v>
      </c>
      <c r="M54" s="28" t="str">
        <f t="shared" si="0"/>
        <v>214502</v>
      </c>
    </row>
    <row r="55" spans="1:13" x14ac:dyDescent="0.25">
      <c r="A55" t="s">
        <v>446</v>
      </c>
      <c r="B55" t="s">
        <v>4540</v>
      </c>
      <c r="C55" t="s">
        <v>51</v>
      </c>
      <c r="D55" t="s">
        <v>4480</v>
      </c>
      <c r="E55" t="s">
        <v>192</v>
      </c>
      <c r="F55">
        <v>1</v>
      </c>
      <c r="G55" t="s">
        <v>193</v>
      </c>
      <c r="H55" t="s">
        <v>194</v>
      </c>
      <c r="I55" t="s">
        <v>4498</v>
      </c>
      <c r="J55" t="s">
        <v>962</v>
      </c>
      <c r="K55">
        <v>18</v>
      </c>
      <c r="L55" t="s">
        <v>904</v>
      </c>
      <c r="M55" s="28" t="str">
        <f t="shared" si="0"/>
        <v>523002</v>
      </c>
    </row>
    <row r="56" spans="1:13" x14ac:dyDescent="0.25">
      <c r="A56" t="s">
        <v>987</v>
      </c>
      <c r="B56" t="s">
        <v>988</v>
      </c>
      <c r="C56" t="s">
        <v>989</v>
      </c>
      <c r="D56" t="s">
        <v>4486</v>
      </c>
      <c r="E56" t="s">
        <v>192</v>
      </c>
      <c r="F56">
        <v>24</v>
      </c>
      <c r="G56" t="s">
        <v>193</v>
      </c>
      <c r="H56" t="s">
        <v>194</v>
      </c>
      <c r="I56" t="s">
        <v>4498</v>
      </c>
      <c r="J56" t="s">
        <v>399</v>
      </c>
      <c r="K56">
        <v>18</v>
      </c>
      <c r="L56" t="s">
        <v>990</v>
      </c>
      <c r="M56" s="28" t="str">
        <f t="shared" si="0"/>
        <v>833202</v>
      </c>
    </row>
    <row r="57" spans="1:13" x14ac:dyDescent="0.25">
      <c r="A57" t="s">
        <v>987</v>
      </c>
      <c r="B57" t="s">
        <v>991</v>
      </c>
      <c r="C57" t="s">
        <v>875</v>
      </c>
      <c r="D57" t="s">
        <v>4486</v>
      </c>
      <c r="E57" t="s">
        <v>192</v>
      </c>
      <c r="F57">
        <v>24</v>
      </c>
      <c r="G57" t="s">
        <v>193</v>
      </c>
      <c r="H57" t="s">
        <v>194</v>
      </c>
      <c r="I57" t="s">
        <v>4481</v>
      </c>
      <c r="J57" t="s">
        <v>399</v>
      </c>
      <c r="K57">
        <v>18</v>
      </c>
      <c r="L57" t="s">
        <v>876</v>
      </c>
      <c r="M57" s="28" t="str">
        <f t="shared" si="0"/>
        <v>833203</v>
      </c>
    </row>
    <row r="58" spans="1:13" x14ac:dyDescent="0.25">
      <c r="A58" t="s">
        <v>4541</v>
      </c>
      <c r="B58" t="s">
        <v>12</v>
      </c>
      <c r="C58" t="s">
        <v>12</v>
      </c>
      <c r="D58" t="s">
        <v>4480</v>
      </c>
      <c r="E58" t="s">
        <v>192</v>
      </c>
      <c r="F58">
        <v>1</v>
      </c>
      <c r="G58" t="s">
        <v>193</v>
      </c>
      <c r="H58" t="s">
        <v>194</v>
      </c>
      <c r="I58" t="s">
        <v>4495</v>
      </c>
      <c r="J58" t="s">
        <v>210</v>
      </c>
      <c r="K58">
        <v>18</v>
      </c>
      <c r="L58" t="s">
        <v>220</v>
      </c>
      <c r="M58" s="28" t="str">
        <f t="shared" si="0"/>
        <v>132301</v>
      </c>
    </row>
    <row r="59" spans="1:13" x14ac:dyDescent="0.25">
      <c r="A59" t="s">
        <v>2026</v>
      </c>
      <c r="B59" t="s">
        <v>4542</v>
      </c>
      <c r="C59" t="s">
        <v>12</v>
      </c>
      <c r="D59" t="s">
        <v>4486</v>
      </c>
      <c r="E59" t="s">
        <v>192</v>
      </c>
      <c r="F59">
        <v>1</v>
      </c>
      <c r="G59" t="s">
        <v>193</v>
      </c>
      <c r="H59" t="s">
        <v>194</v>
      </c>
      <c r="I59" t="s">
        <v>4481</v>
      </c>
      <c r="J59" t="s">
        <v>210</v>
      </c>
      <c r="K59">
        <v>18</v>
      </c>
      <c r="L59" t="s">
        <v>220</v>
      </c>
      <c r="M59" s="28" t="str">
        <f t="shared" si="0"/>
        <v>132301</v>
      </c>
    </row>
    <row r="60" spans="1:13" x14ac:dyDescent="0.25">
      <c r="A60" t="s">
        <v>4543</v>
      </c>
      <c r="B60" t="s">
        <v>2031</v>
      </c>
      <c r="C60" t="s">
        <v>95</v>
      </c>
      <c r="D60" t="s">
        <v>4480</v>
      </c>
      <c r="E60" t="s">
        <v>192</v>
      </c>
      <c r="F60">
        <v>1</v>
      </c>
      <c r="G60" t="s">
        <v>193</v>
      </c>
      <c r="H60" t="s">
        <v>194</v>
      </c>
      <c r="I60" t="s">
        <v>4481</v>
      </c>
      <c r="J60" t="s">
        <v>210</v>
      </c>
      <c r="K60">
        <v>18</v>
      </c>
      <c r="L60" t="s">
        <v>1015</v>
      </c>
      <c r="M60" s="28" t="str">
        <f t="shared" si="0"/>
        <v>122102</v>
      </c>
    </row>
    <row r="61" spans="1:13" x14ac:dyDescent="0.25">
      <c r="A61" t="s">
        <v>1376</v>
      </c>
      <c r="B61" t="s">
        <v>4544</v>
      </c>
      <c r="C61" t="s">
        <v>2029</v>
      </c>
      <c r="D61" t="s">
        <v>4480</v>
      </c>
      <c r="E61" t="s">
        <v>192</v>
      </c>
      <c r="F61">
        <v>1</v>
      </c>
      <c r="G61" t="s">
        <v>193</v>
      </c>
      <c r="H61" t="s">
        <v>194</v>
      </c>
      <c r="I61" t="s">
        <v>4481</v>
      </c>
      <c r="J61" t="s">
        <v>253</v>
      </c>
      <c r="K61">
        <v>18</v>
      </c>
      <c r="L61" t="s">
        <v>2030</v>
      </c>
      <c r="M61" s="28" t="str">
        <f t="shared" si="0"/>
        <v>132102</v>
      </c>
    </row>
    <row r="62" spans="1:13" x14ac:dyDescent="0.25">
      <c r="A62" t="s">
        <v>4545</v>
      </c>
      <c r="B62" t="s">
        <v>4546</v>
      </c>
      <c r="C62" t="s">
        <v>4459</v>
      </c>
      <c r="D62" t="s">
        <v>4486</v>
      </c>
      <c r="E62" t="s">
        <v>192</v>
      </c>
      <c r="F62">
        <v>1</v>
      </c>
      <c r="G62" t="s">
        <v>193</v>
      </c>
      <c r="H62" t="s">
        <v>194</v>
      </c>
      <c r="I62" t="s">
        <v>4498</v>
      </c>
      <c r="J62" t="s">
        <v>210</v>
      </c>
      <c r="K62">
        <v>18</v>
      </c>
      <c r="L62" t="s">
        <v>4460</v>
      </c>
      <c r="M62" s="28" t="str">
        <f t="shared" si="0"/>
        <v>214912</v>
      </c>
    </row>
    <row r="63" spans="1:13" x14ac:dyDescent="0.25">
      <c r="A63" t="s">
        <v>263</v>
      </c>
      <c r="B63" t="s">
        <v>245</v>
      </c>
      <c r="C63" t="s">
        <v>74</v>
      </c>
      <c r="D63" t="s">
        <v>4491</v>
      </c>
      <c r="E63" t="s">
        <v>217</v>
      </c>
      <c r="F63">
        <v>1</v>
      </c>
      <c r="G63" t="s">
        <v>193</v>
      </c>
      <c r="H63" t="s">
        <v>194</v>
      </c>
      <c r="I63" t="s">
        <v>4481</v>
      </c>
      <c r="J63" t="s">
        <v>276</v>
      </c>
      <c r="K63">
        <v>18</v>
      </c>
      <c r="L63" t="s">
        <v>246</v>
      </c>
      <c r="M63" s="28" t="str">
        <f t="shared" si="0"/>
        <v>142004</v>
      </c>
    </row>
    <row r="64" spans="1:13" x14ac:dyDescent="0.25">
      <c r="A64" t="s">
        <v>218</v>
      </c>
      <c r="B64" t="s">
        <v>4547</v>
      </c>
      <c r="C64" t="s">
        <v>1925</v>
      </c>
      <c r="D64" t="s">
        <v>4486</v>
      </c>
      <c r="E64" t="s">
        <v>192</v>
      </c>
      <c r="F64">
        <v>1</v>
      </c>
      <c r="G64" t="s">
        <v>193</v>
      </c>
      <c r="H64" t="s">
        <v>194</v>
      </c>
      <c r="I64" t="s">
        <v>4498</v>
      </c>
      <c r="J64" t="s">
        <v>196</v>
      </c>
      <c r="K64">
        <v>18</v>
      </c>
      <c r="L64" t="s">
        <v>1926</v>
      </c>
      <c r="M64" s="28" t="str">
        <f t="shared" si="0"/>
        <v>214301</v>
      </c>
    </row>
    <row r="65" spans="1:13" x14ac:dyDescent="0.25">
      <c r="A65" t="s">
        <v>247</v>
      </c>
      <c r="B65" t="s">
        <v>261</v>
      </c>
      <c r="C65" t="s">
        <v>74</v>
      </c>
      <c r="D65" t="s">
        <v>4486</v>
      </c>
      <c r="E65" t="s">
        <v>192</v>
      </c>
      <c r="F65">
        <v>1</v>
      </c>
      <c r="G65" t="s">
        <v>193</v>
      </c>
      <c r="H65" t="s">
        <v>194</v>
      </c>
      <c r="I65" t="s">
        <v>4481</v>
      </c>
      <c r="J65" t="s">
        <v>367</v>
      </c>
      <c r="K65">
        <v>18</v>
      </c>
      <c r="L65" t="s">
        <v>246</v>
      </c>
      <c r="M65" s="28" t="str">
        <f t="shared" si="0"/>
        <v>142004</v>
      </c>
    </row>
    <row r="66" spans="1:13" x14ac:dyDescent="0.25">
      <c r="A66" t="s">
        <v>4548</v>
      </c>
      <c r="B66" t="s">
        <v>4549</v>
      </c>
      <c r="C66" t="s">
        <v>74</v>
      </c>
      <c r="D66" t="s">
        <v>4491</v>
      </c>
      <c r="E66" t="s">
        <v>192</v>
      </c>
      <c r="F66">
        <v>1</v>
      </c>
      <c r="G66" t="s">
        <v>193</v>
      </c>
      <c r="H66" t="s">
        <v>194</v>
      </c>
      <c r="I66" t="s">
        <v>4481</v>
      </c>
      <c r="J66" t="s">
        <v>210</v>
      </c>
      <c r="K66">
        <v>18</v>
      </c>
      <c r="L66" t="s">
        <v>246</v>
      </c>
      <c r="M66" s="28" t="str">
        <f t="shared" si="0"/>
        <v>142004</v>
      </c>
    </row>
    <row r="67" spans="1:13" x14ac:dyDescent="0.25">
      <c r="A67" t="s">
        <v>4550</v>
      </c>
      <c r="B67" t="s">
        <v>4551</v>
      </c>
      <c r="C67" t="s">
        <v>74</v>
      </c>
      <c r="D67" t="s">
        <v>4491</v>
      </c>
      <c r="E67" t="s">
        <v>192</v>
      </c>
      <c r="F67">
        <v>1</v>
      </c>
      <c r="G67" t="s">
        <v>193</v>
      </c>
      <c r="H67" t="s">
        <v>194</v>
      </c>
      <c r="I67" t="s">
        <v>4481</v>
      </c>
      <c r="J67" t="s">
        <v>210</v>
      </c>
      <c r="K67">
        <v>18</v>
      </c>
      <c r="L67" t="s">
        <v>246</v>
      </c>
      <c r="M67" s="28" t="str">
        <f t="shared" ref="M67:M130" si="1">MID(L67,8,6)</f>
        <v>142004</v>
      </c>
    </row>
    <row r="68" spans="1:13" x14ac:dyDescent="0.25">
      <c r="A68" t="s">
        <v>4552</v>
      </c>
      <c r="B68" t="s">
        <v>304</v>
      </c>
      <c r="C68" t="s">
        <v>300</v>
      </c>
      <c r="D68" t="s">
        <v>4491</v>
      </c>
      <c r="E68" t="s">
        <v>192</v>
      </c>
      <c r="F68">
        <v>1</v>
      </c>
      <c r="G68" t="s">
        <v>193</v>
      </c>
      <c r="H68" t="s">
        <v>194</v>
      </c>
      <c r="I68" t="s">
        <v>4495</v>
      </c>
      <c r="J68" t="s">
        <v>1388</v>
      </c>
      <c r="K68">
        <v>18</v>
      </c>
      <c r="L68" t="s">
        <v>302</v>
      </c>
      <c r="M68" s="28" t="str">
        <f t="shared" si="1"/>
        <v>214402</v>
      </c>
    </row>
    <row r="69" spans="1:13" x14ac:dyDescent="0.25">
      <c r="A69" t="s">
        <v>364</v>
      </c>
      <c r="B69" t="s">
        <v>4553</v>
      </c>
      <c r="C69" t="s">
        <v>1937</v>
      </c>
      <c r="D69" t="s">
        <v>4480</v>
      </c>
      <c r="E69" t="s">
        <v>192</v>
      </c>
      <c r="F69">
        <v>1</v>
      </c>
      <c r="G69" t="s">
        <v>193</v>
      </c>
      <c r="H69" t="s">
        <v>194</v>
      </c>
      <c r="I69" t="s">
        <v>4481</v>
      </c>
      <c r="J69" t="s">
        <v>210</v>
      </c>
      <c r="K69">
        <v>18</v>
      </c>
      <c r="L69" t="s">
        <v>1938</v>
      </c>
      <c r="M69" s="28" t="str">
        <f t="shared" si="1"/>
        <v>214406</v>
      </c>
    </row>
    <row r="70" spans="1:13" x14ac:dyDescent="0.25">
      <c r="A70" t="s">
        <v>432</v>
      </c>
      <c r="B70" t="s">
        <v>4554</v>
      </c>
      <c r="C70" t="s">
        <v>1957</v>
      </c>
      <c r="D70" t="s">
        <v>4491</v>
      </c>
      <c r="E70" t="s">
        <v>192</v>
      </c>
      <c r="F70">
        <v>1</v>
      </c>
      <c r="G70" t="s">
        <v>193</v>
      </c>
      <c r="H70" t="s">
        <v>194</v>
      </c>
      <c r="I70" t="s">
        <v>4498</v>
      </c>
      <c r="J70" t="s">
        <v>253</v>
      </c>
      <c r="K70">
        <v>18</v>
      </c>
      <c r="L70" t="s">
        <v>1958</v>
      </c>
      <c r="M70" s="28" t="str">
        <f t="shared" si="1"/>
        <v>214408</v>
      </c>
    </row>
    <row r="71" spans="1:13" x14ac:dyDescent="0.25">
      <c r="A71" t="s">
        <v>751</v>
      </c>
      <c r="B71" t="s">
        <v>1135</v>
      </c>
      <c r="C71" t="s">
        <v>740</v>
      </c>
      <c r="D71" t="s">
        <v>4486</v>
      </c>
      <c r="E71" t="s">
        <v>192</v>
      </c>
      <c r="F71">
        <v>1</v>
      </c>
      <c r="G71" t="s">
        <v>193</v>
      </c>
      <c r="H71" t="s">
        <v>194</v>
      </c>
      <c r="I71" t="s">
        <v>4498</v>
      </c>
      <c r="J71" t="s">
        <v>253</v>
      </c>
      <c r="K71">
        <v>18</v>
      </c>
      <c r="L71" t="s">
        <v>741</v>
      </c>
      <c r="M71" s="28" t="str">
        <f t="shared" si="1"/>
        <v>522301</v>
      </c>
    </row>
    <row r="72" spans="1:13" x14ac:dyDescent="0.25">
      <c r="A72" t="s">
        <v>4555</v>
      </c>
      <c r="B72" t="s">
        <v>4556</v>
      </c>
      <c r="C72" t="s">
        <v>740</v>
      </c>
      <c r="D72" t="s">
        <v>4486</v>
      </c>
      <c r="E72" t="s">
        <v>192</v>
      </c>
      <c r="F72">
        <v>6</v>
      </c>
      <c r="G72" t="s">
        <v>193</v>
      </c>
      <c r="H72" t="s">
        <v>194</v>
      </c>
      <c r="I72" t="s">
        <v>4498</v>
      </c>
      <c r="J72" t="s">
        <v>276</v>
      </c>
      <c r="K72">
        <v>18</v>
      </c>
      <c r="L72" t="s">
        <v>741</v>
      </c>
      <c r="M72" s="28" t="str">
        <f t="shared" si="1"/>
        <v>522301</v>
      </c>
    </row>
    <row r="73" spans="1:13" x14ac:dyDescent="0.25">
      <c r="A73" t="s">
        <v>352</v>
      </c>
      <c r="B73" t="s">
        <v>1377</v>
      </c>
      <c r="C73" t="s">
        <v>284</v>
      </c>
      <c r="D73" t="s">
        <v>4480</v>
      </c>
      <c r="E73" t="s">
        <v>192</v>
      </c>
      <c r="F73">
        <v>1</v>
      </c>
      <c r="G73" t="s">
        <v>193</v>
      </c>
      <c r="H73" t="s">
        <v>194</v>
      </c>
      <c r="I73" t="s">
        <v>4481</v>
      </c>
      <c r="J73" t="s">
        <v>210</v>
      </c>
      <c r="K73">
        <v>18</v>
      </c>
      <c r="L73" t="s">
        <v>286</v>
      </c>
      <c r="M73" s="28" t="str">
        <f t="shared" si="1"/>
        <v>214109</v>
      </c>
    </row>
    <row r="74" spans="1:13" x14ac:dyDescent="0.25">
      <c r="A74" t="s">
        <v>527</v>
      </c>
      <c r="B74" t="s">
        <v>4557</v>
      </c>
      <c r="C74" t="s">
        <v>133</v>
      </c>
      <c r="D74" t="s">
        <v>4480</v>
      </c>
      <c r="E74" t="s">
        <v>192</v>
      </c>
      <c r="F74">
        <v>1</v>
      </c>
      <c r="G74" t="s">
        <v>193</v>
      </c>
      <c r="H74" t="s">
        <v>194</v>
      </c>
      <c r="I74" t="s">
        <v>4481</v>
      </c>
      <c r="J74" t="s">
        <v>367</v>
      </c>
      <c r="K74">
        <v>18</v>
      </c>
      <c r="L74" t="s">
        <v>673</v>
      </c>
      <c r="M74" s="28" t="str">
        <f t="shared" si="1"/>
        <v>333107</v>
      </c>
    </row>
    <row r="75" spans="1:13" x14ac:dyDescent="0.25">
      <c r="A75" t="s">
        <v>427</v>
      </c>
      <c r="B75" t="s">
        <v>67</v>
      </c>
      <c r="C75" t="s">
        <v>67</v>
      </c>
      <c r="D75" t="s">
        <v>4480</v>
      </c>
      <c r="E75" t="s">
        <v>252</v>
      </c>
      <c r="F75">
        <v>1</v>
      </c>
      <c r="G75" t="s">
        <v>193</v>
      </c>
      <c r="H75" t="s">
        <v>194</v>
      </c>
      <c r="I75" t="s">
        <v>4495</v>
      </c>
      <c r="J75" t="s">
        <v>210</v>
      </c>
      <c r="K75">
        <v>18</v>
      </c>
      <c r="L75" t="s">
        <v>709</v>
      </c>
      <c r="M75" s="28" t="str">
        <f t="shared" si="1"/>
        <v>432103</v>
      </c>
    </row>
    <row r="76" spans="1:13" x14ac:dyDescent="0.25">
      <c r="A76" t="s">
        <v>888</v>
      </c>
      <c r="B76" t="s">
        <v>67</v>
      </c>
      <c r="C76" t="s">
        <v>67</v>
      </c>
      <c r="D76" t="s">
        <v>4491</v>
      </c>
      <c r="E76" t="s">
        <v>217</v>
      </c>
      <c r="F76">
        <v>1</v>
      </c>
      <c r="G76" t="s">
        <v>193</v>
      </c>
      <c r="H76" t="s">
        <v>194</v>
      </c>
      <c r="I76" t="s">
        <v>4481</v>
      </c>
      <c r="J76" t="s">
        <v>385</v>
      </c>
      <c r="K76">
        <v>18</v>
      </c>
      <c r="L76" t="s">
        <v>709</v>
      </c>
      <c r="M76" s="28" t="str">
        <f t="shared" si="1"/>
        <v>432103</v>
      </c>
    </row>
    <row r="77" spans="1:13" x14ac:dyDescent="0.25">
      <c r="A77" t="s">
        <v>711</v>
      </c>
      <c r="B77" t="s">
        <v>67</v>
      </c>
      <c r="C77" t="s">
        <v>67</v>
      </c>
      <c r="D77" t="s">
        <v>4491</v>
      </c>
      <c r="E77" t="s">
        <v>192</v>
      </c>
      <c r="F77">
        <v>1</v>
      </c>
      <c r="G77" t="s">
        <v>193</v>
      </c>
      <c r="H77" t="s">
        <v>194</v>
      </c>
      <c r="I77" t="s">
        <v>4507</v>
      </c>
      <c r="J77" t="s">
        <v>253</v>
      </c>
      <c r="K77">
        <v>18</v>
      </c>
      <c r="L77" t="s">
        <v>709</v>
      </c>
      <c r="M77" s="28" t="str">
        <f t="shared" si="1"/>
        <v>432103</v>
      </c>
    </row>
    <row r="78" spans="1:13" x14ac:dyDescent="0.25">
      <c r="A78" t="s">
        <v>4558</v>
      </c>
      <c r="B78" t="s">
        <v>2493</v>
      </c>
      <c r="C78" t="s">
        <v>43</v>
      </c>
      <c r="D78" t="s">
        <v>4480</v>
      </c>
      <c r="E78" t="s">
        <v>192</v>
      </c>
      <c r="F78">
        <v>1</v>
      </c>
      <c r="G78" t="s">
        <v>193</v>
      </c>
      <c r="H78" t="s">
        <v>194</v>
      </c>
      <c r="I78" t="s">
        <v>4495</v>
      </c>
      <c r="J78" t="s">
        <v>4559</v>
      </c>
      <c r="K78">
        <v>18</v>
      </c>
      <c r="L78" t="s">
        <v>452</v>
      </c>
      <c r="M78" s="28" t="str">
        <f t="shared" si="1"/>
        <v>243106</v>
      </c>
    </row>
    <row r="79" spans="1:13" x14ac:dyDescent="0.25">
      <c r="A79" t="s">
        <v>4560</v>
      </c>
      <c r="B79" t="s">
        <v>4561</v>
      </c>
      <c r="C79" t="s">
        <v>542</v>
      </c>
      <c r="D79" t="s">
        <v>4480</v>
      </c>
      <c r="E79" t="s">
        <v>192</v>
      </c>
      <c r="F79">
        <v>1</v>
      </c>
      <c r="G79" t="s">
        <v>193</v>
      </c>
      <c r="H79" t="s">
        <v>194</v>
      </c>
      <c r="I79" t="s">
        <v>4481</v>
      </c>
      <c r="J79" t="s">
        <v>210</v>
      </c>
      <c r="K79">
        <v>18</v>
      </c>
      <c r="L79" t="s">
        <v>543</v>
      </c>
      <c r="M79" s="28" t="str">
        <f t="shared" si="1"/>
        <v>264304</v>
      </c>
    </row>
    <row r="80" spans="1:13" x14ac:dyDescent="0.25">
      <c r="A80" t="s">
        <v>527</v>
      </c>
      <c r="B80" t="s">
        <v>565</v>
      </c>
      <c r="C80" t="s">
        <v>1451</v>
      </c>
      <c r="D80" t="s">
        <v>4480</v>
      </c>
      <c r="E80" t="s">
        <v>192</v>
      </c>
      <c r="F80">
        <v>1</v>
      </c>
      <c r="G80" t="s">
        <v>193</v>
      </c>
      <c r="H80" t="s">
        <v>194</v>
      </c>
      <c r="I80" t="s">
        <v>4481</v>
      </c>
      <c r="J80" t="s">
        <v>367</v>
      </c>
      <c r="K80">
        <v>18</v>
      </c>
      <c r="L80" t="s">
        <v>1452</v>
      </c>
      <c r="M80" s="28" t="str">
        <f t="shared" si="1"/>
        <v>311410</v>
      </c>
    </row>
    <row r="81" spans="1:13" x14ac:dyDescent="0.25">
      <c r="A81" t="s">
        <v>4562</v>
      </c>
      <c r="B81" t="s">
        <v>4563</v>
      </c>
      <c r="C81" t="s">
        <v>566</v>
      </c>
      <c r="D81" t="s">
        <v>4486</v>
      </c>
      <c r="E81" t="s">
        <v>192</v>
      </c>
      <c r="F81">
        <v>1</v>
      </c>
      <c r="G81" t="s">
        <v>193</v>
      </c>
      <c r="H81" t="s">
        <v>194</v>
      </c>
      <c r="I81" t="s">
        <v>4498</v>
      </c>
      <c r="J81" t="s">
        <v>253</v>
      </c>
      <c r="K81">
        <v>18</v>
      </c>
      <c r="L81" t="s">
        <v>567</v>
      </c>
      <c r="M81" s="28" t="str">
        <f t="shared" si="1"/>
        <v>311504</v>
      </c>
    </row>
    <row r="82" spans="1:13" x14ac:dyDescent="0.25">
      <c r="A82" t="s">
        <v>827</v>
      </c>
      <c r="B82" t="s">
        <v>828</v>
      </c>
      <c r="C82" t="s">
        <v>829</v>
      </c>
      <c r="D82" t="s">
        <v>4486</v>
      </c>
      <c r="E82" t="s">
        <v>192</v>
      </c>
      <c r="F82">
        <v>1</v>
      </c>
      <c r="G82" t="s">
        <v>193</v>
      </c>
      <c r="H82" t="s">
        <v>194</v>
      </c>
      <c r="I82" t="s">
        <v>4498</v>
      </c>
      <c r="J82" t="s">
        <v>223</v>
      </c>
      <c r="K82">
        <v>18</v>
      </c>
      <c r="L82" t="s">
        <v>830</v>
      </c>
      <c r="M82" s="28" t="str">
        <f t="shared" si="1"/>
        <v>741201</v>
      </c>
    </row>
    <row r="83" spans="1:13" x14ac:dyDescent="0.25">
      <c r="A83" t="s">
        <v>1534</v>
      </c>
      <c r="B83" t="s">
        <v>4564</v>
      </c>
      <c r="C83" t="s">
        <v>4565</v>
      </c>
      <c r="D83" t="s">
        <v>4491</v>
      </c>
      <c r="E83" t="s">
        <v>192</v>
      </c>
      <c r="F83">
        <v>1</v>
      </c>
      <c r="G83" t="s">
        <v>193</v>
      </c>
      <c r="H83" t="s">
        <v>194</v>
      </c>
      <c r="I83" t="s">
        <v>4498</v>
      </c>
      <c r="J83" t="s">
        <v>210</v>
      </c>
      <c r="K83">
        <v>18</v>
      </c>
      <c r="L83" t="s">
        <v>4566</v>
      </c>
      <c r="M83" s="28" t="str">
        <f t="shared" si="1"/>
        <v>311514</v>
      </c>
    </row>
    <row r="84" spans="1:13" x14ac:dyDescent="0.25">
      <c r="A84" t="s">
        <v>4567</v>
      </c>
      <c r="B84" t="s">
        <v>4568</v>
      </c>
      <c r="C84" t="s">
        <v>166</v>
      </c>
      <c r="D84" t="s">
        <v>4480</v>
      </c>
      <c r="E84" t="s">
        <v>192</v>
      </c>
      <c r="F84">
        <v>1</v>
      </c>
      <c r="G84" t="s">
        <v>193</v>
      </c>
      <c r="H84" t="s">
        <v>194</v>
      </c>
      <c r="I84" t="s">
        <v>4498</v>
      </c>
      <c r="J84" t="s">
        <v>210</v>
      </c>
      <c r="K84">
        <v>18</v>
      </c>
      <c r="L84" t="s">
        <v>580</v>
      </c>
      <c r="M84" s="28" t="str">
        <f t="shared" si="1"/>
        <v>311513</v>
      </c>
    </row>
    <row r="85" spans="1:13" x14ac:dyDescent="0.25">
      <c r="A85" t="s">
        <v>4569</v>
      </c>
      <c r="B85" t="s">
        <v>4570</v>
      </c>
      <c r="C85" t="s">
        <v>35</v>
      </c>
      <c r="D85" t="s">
        <v>4486</v>
      </c>
      <c r="E85" t="s">
        <v>192</v>
      </c>
      <c r="F85">
        <v>1</v>
      </c>
      <c r="G85" t="s">
        <v>193</v>
      </c>
      <c r="H85" t="s">
        <v>194</v>
      </c>
      <c r="I85" t="s">
        <v>4498</v>
      </c>
      <c r="J85" t="s">
        <v>210</v>
      </c>
      <c r="K85">
        <v>18</v>
      </c>
      <c r="L85" t="s">
        <v>207</v>
      </c>
      <c r="M85" s="28" t="str">
        <f t="shared" si="1"/>
        <v>122106</v>
      </c>
    </row>
    <row r="86" spans="1:13" x14ac:dyDescent="0.25">
      <c r="A86" t="s">
        <v>427</v>
      </c>
      <c r="B86" t="s">
        <v>4571</v>
      </c>
      <c r="C86" t="s">
        <v>4571</v>
      </c>
      <c r="D86" t="s">
        <v>4480</v>
      </c>
      <c r="E86" t="s">
        <v>252</v>
      </c>
      <c r="F86">
        <v>1</v>
      </c>
      <c r="G86" t="s">
        <v>193</v>
      </c>
      <c r="H86" t="s">
        <v>194</v>
      </c>
      <c r="I86" t="s">
        <v>4481</v>
      </c>
      <c r="J86" t="s">
        <v>210</v>
      </c>
      <c r="K86">
        <v>18</v>
      </c>
      <c r="L86" t="s">
        <v>4572</v>
      </c>
      <c r="M86" s="28" t="str">
        <f t="shared" si="1"/>
        <v>214922</v>
      </c>
    </row>
    <row r="87" spans="1:13" x14ac:dyDescent="0.25">
      <c r="A87" t="s">
        <v>2437</v>
      </c>
      <c r="B87" t="s">
        <v>4573</v>
      </c>
      <c r="C87" t="s">
        <v>9</v>
      </c>
      <c r="D87" t="s">
        <v>4491</v>
      </c>
      <c r="E87" t="s">
        <v>192</v>
      </c>
      <c r="F87">
        <v>1</v>
      </c>
      <c r="G87" t="s">
        <v>193</v>
      </c>
      <c r="H87" t="s">
        <v>194</v>
      </c>
      <c r="I87" t="s">
        <v>4481</v>
      </c>
      <c r="J87" t="s">
        <v>210</v>
      </c>
      <c r="K87">
        <v>18</v>
      </c>
      <c r="L87" t="s">
        <v>405</v>
      </c>
      <c r="M87" s="28" t="str">
        <f t="shared" si="1"/>
        <v>241304</v>
      </c>
    </row>
    <row r="88" spans="1:13" x14ac:dyDescent="0.25">
      <c r="A88" t="s">
        <v>523</v>
      </c>
      <c r="B88" t="s">
        <v>4574</v>
      </c>
      <c r="C88" t="s">
        <v>100</v>
      </c>
      <c r="D88" t="s">
        <v>4486</v>
      </c>
      <c r="E88" t="s">
        <v>192</v>
      </c>
      <c r="F88">
        <v>1</v>
      </c>
      <c r="G88" t="s">
        <v>193</v>
      </c>
      <c r="H88" t="s">
        <v>194</v>
      </c>
      <c r="I88" t="s">
        <v>4498</v>
      </c>
      <c r="J88" t="s">
        <v>210</v>
      </c>
      <c r="K88">
        <v>18</v>
      </c>
      <c r="L88" t="s">
        <v>429</v>
      </c>
      <c r="M88" s="28" t="str">
        <f t="shared" si="1"/>
        <v>242108</v>
      </c>
    </row>
    <row r="89" spans="1:13" x14ac:dyDescent="0.25">
      <c r="A89" t="s">
        <v>2461</v>
      </c>
      <c r="B89" t="s">
        <v>4575</v>
      </c>
      <c r="C89" t="s">
        <v>27</v>
      </c>
      <c r="D89" t="s">
        <v>4480</v>
      </c>
      <c r="E89" t="s">
        <v>192</v>
      </c>
      <c r="F89">
        <v>1</v>
      </c>
      <c r="G89" t="s">
        <v>193</v>
      </c>
      <c r="H89" t="s">
        <v>194</v>
      </c>
      <c r="I89" t="s">
        <v>4498</v>
      </c>
      <c r="J89" t="s">
        <v>253</v>
      </c>
      <c r="K89">
        <v>18</v>
      </c>
      <c r="L89" t="s">
        <v>440</v>
      </c>
      <c r="M89" s="28" t="str">
        <f t="shared" si="1"/>
        <v>242307</v>
      </c>
    </row>
    <row r="90" spans="1:13" x14ac:dyDescent="0.25">
      <c r="A90" t="s">
        <v>369</v>
      </c>
      <c r="B90" t="s">
        <v>4576</v>
      </c>
      <c r="C90" t="s">
        <v>27</v>
      </c>
      <c r="D90" t="s">
        <v>4491</v>
      </c>
      <c r="E90" t="s">
        <v>192</v>
      </c>
      <c r="F90">
        <v>1</v>
      </c>
      <c r="G90" t="s">
        <v>193</v>
      </c>
      <c r="H90" t="s">
        <v>194</v>
      </c>
      <c r="I90" t="s">
        <v>4498</v>
      </c>
      <c r="J90" t="s">
        <v>210</v>
      </c>
      <c r="K90">
        <v>18</v>
      </c>
      <c r="L90" t="s">
        <v>440</v>
      </c>
      <c r="M90" s="28" t="str">
        <f t="shared" si="1"/>
        <v>242307</v>
      </c>
    </row>
    <row r="91" spans="1:13" x14ac:dyDescent="0.25">
      <c r="A91" t="s">
        <v>364</v>
      </c>
      <c r="B91" t="s">
        <v>365</v>
      </c>
      <c r="C91" t="s">
        <v>354</v>
      </c>
      <c r="D91" t="s">
        <v>4486</v>
      </c>
      <c r="E91" t="s">
        <v>192</v>
      </c>
      <c r="F91">
        <v>1</v>
      </c>
      <c r="G91" t="s">
        <v>193</v>
      </c>
      <c r="H91" t="s">
        <v>194</v>
      </c>
      <c r="I91" t="s">
        <v>4481</v>
      </c>
      <c r="J91" t="s">
        <v>367</v>
      </c>
      <c r="K91">
        <v>18</v>
      </c>
      <c r="L91" t="s">
        <v>355</v>
      </c>
      <c r="M91" s="28" t="str">
        <f t="shared" si="1"/>
        <v>215103</v>
      </c>
    </row>
    <row r="92" spans="1:13" x14ac:dyDescent="0.25">
      <c r="A92" t="s">
        <v>2656</v>
      </c>
      <c r="B92" t="s">
        <v>4577</v>
      </c>
      <c r="C92" t="s">
        <v>319</v>
      </c>
      <c r="D92" t="s">
        <v>4480</v>
      </c>
      <c r="E92" t="s">
        <v>192</v>
      </c>
      <c r="F92">
        <v>1</v>
      </c>
      <c r="G92" t="s">
        <v>193</v>
      </c>
      <c r="H92" t="s">
        <v>194</v>
      </c>
      <c r="I92" t="s">
        <v>4481</v>
      </c>
      <c r="J92" t="s">
        <v>210</v>
      </c>
      <c r="K92">
        <v>18</v>
      </c>
      <c r="L92" t="s">
        <v>320</v>
      </c>
      <c r="M92" s="28" t="str">
        <f t="shared" si="1"/>
        <v>214407</v>
      </c>
    </row>
    <row r="93" spans="1:13" x14ac:dyDescent="0.25">
      <c r="A93" t="s">
        <v>4578</v>
      </c>
      <c r="B93" t="s">
        <v>4579</v>
      </c>
      <c r="C93" t="s">
        <v>4580</v>
      </c>
      <c r="D93" t="s">
        <v>4491</v>
      </c>
      <c r="E93" t="s">
        <v>252</v>
      </c>
      <c r="F93">
        <v>1</v>
      </c>
      <c r="G93" t="s">
        <v>193</v>
      </c>
      <c r="H93" t="s">
        <v>194</v>
      </c>
      <c r="I93" t="s">
        <v>4495</v>
      </c>
      <c r="J93" t="s">
        <v>210</v>
      </c>
      <c r="K93">
        <v>18</v>
      </c>
      <c r="L93" t="s">
        <v>4581</v>
      </c>
      <c r="M93" s="28" t="str">
        <f t="shared" si="1"/>
        <v>712703</v>
      </c>
    </row>
    <row r="94" spans="1:13" x14ac:dyDescent="0.25">
      <c r="A94" t="s">
        <v>4582</v>
      </c>
      <c r="B94" t="s">
        <v>4583</v>
      </c>
      <c r="C94" t="s">
        <v>2760</v>
      </c>
      <c r="D94" t="s">
        <v>4480</v>
      </c>
      <c r="E94" t="s">
        <v>192</v>
      </c>
      <c r="F94">
        <v>1</v>
      </c>
      <c r="G94" t="s">
        <v>193</v>
      </c>
      <c r="H94" t="s">
        <v>194</v>
      </c>
      <c r="I94" t="s">
        <v>4481</v>
      </c>
      <c r="J94" t="s">
        <v>367</v>
      </c>
      <c r="K94">
        <v>18</v>
      </c>
      <c r="L94" t="s">
        <v>4584</v>
      </c>
      <c r="M94" s="28" t="str">
        <f t="shared" si="1"/>
        <v>741301</v>
      </c>
    </row>
    <row r="95" spans="1:13" x14ac:dyDescent="0.25">
      <c r="A95" t="s">
        <v>4391</v>
      </c>
      <c r="B95" t="s">
        <v>4585</v>
      </c>
      <c r="C95" t="s">
        <v>1420</v>
      </c>
      <c r="D95" t="s">
        <v>4486</v>
      </c>
      <c r="E95" t="s">
        <v>192</v>
      </c>
      <c r="F95">
        <v>1</v>
      </c>
      <c r="G95" t="s">
        <v>193</v>
      </c>
      <c r="H95" t="s">
        <v>194</v>
      </c>
      <c r="I95" t="s">
        <v>4498</v>
      </c>
      <c r="J95" t="s">
        <v>196</v>
      </c>
      <c r="K95">
        <v>18</v>
      </c>
      <c r="L95" t="s">
        <v>1421</v>
      </c>
      <c r="M95" s="28" t="str">
        <f t="shared" si="1"/>
        <v>251303</v>
      </c>
    </row>
    <row r="96" spans="1:13" x14ac:dyDescent="0.25">
      <c r="A96" t="s">
        <v>1490</v>
      </c>
      <c r="B96" t="s">
        <v>4586</v>
      </c>
      <c r="C96" t="s">
        <v>566</v>
      </c>
      <c r="D96" t="s">
        <v>4491</v>
      </c>
      <c r="E96" t="s">
        <v>192</v>
      </c>
      <c r="F96">
        <v>1</v>
      </c>
      <c r="G96" t="s">
        <v>193</v>
      </c>
      <c r="H96" t="s">
        <v>194</v>
      </c>
      <c r="I96" t="s">
        <v>4481</v>
      </c>
      <c r="J96" t="s">
        <v>210</v>
      </c>
      <c r="K96">
        <v>18</v>
      </c>
      <c r="L96" t="s">
        <v>567</v>
      </c>
      <c r="M96" s="28" t="str">
        <f t="shared" si="1"/>
        <v>311504</v>
      </c>
    </row>
    <row r="97" spans="1:13" x14ac:dyDescent="0.25">
      <c r="A97" t="s">
        <v>4587</v>
      </c>
      <c r="B97" t="s">
        <v>4588</v>
      </c>
      <c r="C97" t="s">
        <v>4589</v>
      </c>
      <c r="D97" t="s">
        <v>4491</v>
      </c>
      <c r="E97" t="s">
        <v>252</v>
      </c>
      <c r="F97">
        <v>3</v>
      </c>
      <c r="G97" t="s">
        <v>193</v>
      </c>
      <c r="H97" t="s">
        <v>194</v>
      </c>
      <c r="I97" t="s">
        <v>4498</v>
      </c>
      <c r="J97" t="s">
        <v>210</v>
      </c>
      <c r="K97">
        <v>18</v>
      </c>
      <c r="L97" t="s">
        <v>4590</v>
      </c>
      <c r="M97" s="28" t="str">
        <f t="shared" si="1"/>
        <v>813106</v>
      </c>
    </row>
    <row r="98" spans="1:13" x14ac:dyDescent="0.25">
      <c r="A98" t="s">
        <v>2200</v>
      </c>
      <c r="B98" t="s">
        <v>1280</v>
      </c>
      <c r="C98" t="s">
        <v>62</v>
      </c>
      <c r="D98" t="s">
        <v>4486</v>
      </c>
      <c r="E98" t="s">
        <v>192</v>
      </c>
      <c r="F98">
        <v>1</v>
      </c>
      <c r="G98" t="s">
        <v>193</v>
      </c>
      <c r="H98" t="s">
        <v>194</v>
      </c>
      <c r="I98" t="s">
        <v>4481</v>
      </c>
      <c r="J98" t="s">
        <v>2201</v>
      </c>
      <c r="K98">
        <v>18</v>
      </c>
      <c r="L98" t="s">
        <v>601</v>
      </c>
      <c r="M98" s="28" t="str">
        <f t="shared" si="1"/>
        <v>313904</v>
      </c>
    </row>
    <row r="99" spans="1:13" x14ac:dyDescent="0.25">
      <c r="A99" t="s">
        <v>527</v>
      </c>
      <c r="B99" t="s">
        <v>2193</v>
      </c>
      <c r="C99" t="s">
        <v>29</v>
      </c>
      <c r="D99" t="s">
        <v>4480</v>
      </c>
      <c r="E99" t="s">
        <v>192</v>
      </c>
      <c r="F99">
        <v>1</v>
      </c>
      <c r="G99" t="s">
        <v>193</v>
      </c>
      <c r="H99" t="s">
        <v>194</v>
      </c>
      <c r="I99" t="s">
        <v>4481</v>
      </c>
      <c r="J99" t="s">
        <v>367</v>
      </c>
      <c r="K99">
        <v>18</v>
      </c>
      <c r="L99" t="s">
        <v>808</v>
      </c>
      <c r="M99" s="28" t="str">
        <f t="shared" si="1"/>
        <v>722308</v>
      </c>
    </row>
    <row r="100" spans="1:13" x14ac:dyDescent="0.25">
      <c r="A100" t="s">
        <v>4591</v>
      </c>
      <c r="B100" t="s">
        <v>2193</v>
      </c>
      <c r="C100" t="s">
        <v>29</v>
      </c>
      <c r="D100" t="s">
        <v>4480</v>
      </c>
      <c r="E100" t="s">
        <v>192</v>
      </c>
      <c r="F100">
        <v>1</v>
      </c>
      <c r="G100" t="s">
        <v>193</v>
      </c>
      <c r="H100" t="s">
        <v>194</v>
      </c>
      <c r="I100" t="s">
        <v>4481</v>
      </c>
      <c r="J100" t="s">
        <v>267</v>
      </c>
      <c r="K100">
        <v>18</v>
      </c>
      <c r="L100" t="s">
        <v>808</v>
      </c>
      <c r="M100" s="28" t="str">
        <f t="shared" si="1"/>
        <v>722308</v>
      </c>
    </row>
    <row r="101" spans="1:13" x14ac:dyDescent="0.25">
      <c r="A101" t="s">
        <v>711</v>
      </c>
      <c r="B101" t="s">
        <v>803</v>
      </c>
      <c r="C101" t="s">
        <v>4592</v>
      </c>
      <c r="D101" t="s">
        <v>4491</v>
      </c>
      <c r="E101" t="s">
        <v>192</v>
      </c>
      <c r="F101">
        <v>1</v>
      </c>
      <c r="G101" t="s">
        <v>193</v>
      </c>
      <c r="H101" t="s">
        <v>194</v>
      </c>
      <c r="I101" t="s">
        <v>4481</v>
      </c>
      <c r="J101" t="s">
        <v>253</v>
      </c>
      <c r="K101">
        <v>18</v>
      </c>
      <c r="L101" t="s">
        <v>4593</v>
      </c>
      <c r="M101" s="28" t="str">
        <f t="shared" si="1"/>
        <v>741210</v>
      </c>
    </row>
    <row r="102" spans="1:13" x14ac:dyDescent="0.25">
      <c r="A102" t="s">
        <v>4594</v>
      </c>
      <c r="B102" t="s">
        <v>4595</v>
      </c>
      <c r="C102" t="s">
        <v>1315</v>
      </c>
      <c r="D102" t="s">
        <v>4486</v>
      </c>
      <c r="E102" t="s">
        <v>192</v>
      </c>
      <c r="F102">
        <v>1</v>
      </c>
      <c r="G102" t="s">
        <v>193</v>
      </c>
      <c r="H102" t="s">
        <v>194</v>
      </c>
      <c r="I102" t="s">
        <v>4507</v>
      </c>
      <c r="J102" t="s">
        <v>962</v>
      </c>
      <c r="K102">
        <v>18</v>
      </c>
      <c r="L102" t="s">
        <v>1316</v>
      </c>
      <c r="M102" s="28" t="str">
        <f t="shared" si="1"/>
        <v>722307</v>
      </c>
    </row>
    <row r="103" spans="1:13" x14ac:dyDescent="0.25">
      <c r="A103" t="s">
        <v>427</v>
      </c>
      <c r="B103" t="s">
        <v>4596</v>
      </c>
      <c r="C103" t="s">
        <v>62</v>
      </c>
      <c r="D103" t="s">
        <v>4480</v>
      </c>
      <c r="E103" t="s">
        <v>252</v>
      </c>
      <c r="F103">
        <v>1</v>
      </c>
      <c r="G103" t="s">
        <v>193</v>
      </c>
      <c r="H103" t="s">
        <v>194</v>
      </c>
      <c r="I103" t="s">
        <v>4481</v>
      </c>
      <c r="J103" t="s">
        <v>210</v>
      </c>
      <c r="K103">
        <v>18</v>
      </c>
      <c r="L103" t="s">
        <v>601</v>
      </c>
      <c r="M103" s="28" t="str">
        <f t="shared" si="1"/>
        <v>313904</v>
      </c>
    </row>
    <row r="104" spans="1:13" x14ac:dyDescent="0.25">
      <c r="A104" t="s">
        <v>581</v>
      </c>
      <c r="B104" t="s">
        <v>4597</v>
      </c>
      <c r="C104" t="s">
        <v>1617</v>
      </c>
      <c r="D104" t="s">
        <v>4480</v>
      </c>
      <c r="E104" t="s">
        <v>217</v>
      </c>
      <c r="F104">
        <v>1</v>
      </c>
      <c r="G104" t="s">
        <v>193</v>
      </c>
      <c r="H104" t="s">
        <v>194</v>
      </c>
      <c r="I104" t="s">
        <v>4498</v>
      </c>
      <c r="J104" t="s">
        <v>253</v>
      </c>
      <c r="K104">
        <v>18</v>
      </c>
      <c r="L104" t="s">
        <v>1618</v>
      </c>
      <c r="M104" s="28" t="str">
        <f t="shared" si="1"/>
        <v>814209</v>
      </c>
    </row>
    <row r="105" spans="1:13" x14ac:dyDescent="0.25">
      <c r="A105" t="s">
        <v>2009</v>
      </c>
      <c r="B105" t="s">
        <v>4598</v>
      </c>
      <c r="C105" t="s">
        <v>886</v>
      </c>
      <c r="D105" t="s">
        <v>4486</v>
      </c>
      <c r="E105" t="s">
        <v>192</v>
      </c>
      <c r="F105">
        <v>1</v>
      </c>
      <c r="G105" t="s">
        <v>193</v>
      </c>
      <c r="H105" t="s">
        <v>194</v>
      </c>
      <c r="I105" t="s">
        <v>4498</v>
      </c>
      <c r="J105" t="s">
        <v>210</v>
      </c>
      <c r="K105">
        <v>18</v>
      </c>
      <c r="L105" t="s">
        <v>887</v>
      </c>
      <c r="M105" s="28" t="str">
        <f t="shared" si="1"/>
        <v>834401</v>
      </c>
    </row>
    <row r="106" spans="1:13" x14ac:dyDescent="0.25">
      <c r="A106" t="s">
        <v>4599</v>
      </c>
      <c r="B106" t="s">
        <v>4600</v>
      </c>
      <c r="C106" t="s">
        <v>1435</v>
      </c>
      <c r="D106" t="s">
        <v>4480</v>
      </c>
      <c r="E106" t="s">
        <v>192</v>
      </c>
      <c r="F106">
        <v>1</v>
      </c>
      <c r="G106" t="s">
        <v>193</v>
      </c>
      <c r="H106" t="s">
        <v>194</v>
      </c>
      <c r="I106" t="s">
        <v>4498</v>
      </c>
      <c r="J106" t="s">
        <v>210</v>
      </c>
      <c r="K106">
        <v>18</v>
      </c>
      <c r="L106" t="s">
        <v>1436</v>
      </c>
      <c r="M106" s="28" t="str">
        <f t="shared" si="1"/>
        <v>216304</v>
      </c>
    </row>
    <row r="107" spans="1:13" x14ac:dyDescent="0.25">
      <c r="A107" t="s">
        <v>527</v>
      </c>
      <c r="B107" t="s">
        <v>865</v>
      </c>
      <c r="C107" t="s">
        <v>866</v>
      </c>
      <c r="D107" t="s">
        <v>4480</v>
      </c>
      <c r="E107" t="s">
        <v>192</v>
      </c>
      <c r="F107">
        <v>1</v>
      </c>
      <c r="G107" t="s">
        <v>193</v>
      </c>
      <c r="H107" t="s">
        <v>194</v>
      </c>
      <c r="I107" t="s">
        <v>4481</v>
      </c>
      <c r="J107" t="s">
        <v>367</v>
      </c>
      <c r="K107">
        <v>18</v>
      </c>
      <c r="L107" t="s">
        <v>867</v>
      </c>
      <c r="M107" s="28" t="str">
        <f t="shared" si="1"/>
        <v>821902</v>
      </c>
    </row>
    <row r="108" spans="1:13" x14ac:dyDescent="0.25">
      <c r="A108" t="s">
        <v>1168</v>
      </c>
      <c r="B108" t="s">
        <v>1051</v>
      </c>
      <c r="C108" t="s">
        <v>740</v>
      </c>
      <c r="D108" t="s">
        <v>4491</v>
      </c>
      <c r="E108" t="s">
        <v>192</v>
      </c>
      <c r="F108">
        <v>1</v>
      </c>
      <c r="G108" t="s">
        <v>193</v>
      </c>
      <c r="H108" t="s">
        <v>194</v>
      </c>
      <c r="I108" t="s">
        <v>4481</v>
      </c>
      <c r="J108" t="s">
        <v>210</v>
      </c>
      <c r="K108">
        <v>18</v>
      </c>
      <c r="L108" t="s">
        <v>741</v>
      </c>
      <c r="M108" s="28" t="str">
        <f t="shared" si="1"/>
        <v>522301</v>
      </c>
    </row>
    <row r="109" spans="1:13" x14ac:dyDescent="0.25">
      <c r="A109" t="s">
        <v>549</v>
      </c>
      <c r="B109" t="s">
        <v>4601</v>
      </c>
      <c r="C109" t="s">
        <v>740</v>
      </c>
      <c r="D109" t="s">
        <v>4491</v>
      </c>
      <c r="E109" t="s">
        <v>192</v>
      </c>
      <c r="F109">
        <v>1</v>
      </c>
      <c r="G109" t="s">
        <v>193</v>
      </c>
      <c r="H109" t="s">
        <v>194</v>
      </c>
      <c r="I109" t="s">
        <v>4495</v>
      </c>
      <c r="J109" t="s">
        <v>210</v>
      </c>
      <c r="K109">
        <v>18</v>
      </c>
      <c r="L109" t="s">
        <v>741</v>
      </c>
      <c r="M109" s="28" t="str">
        <f t="shared" si="1"/>
        <v>522301</v>
      </c>
    </row>
    <row r="110" spans="1:13" s="186" customFormat="1" x14ac:dyDescent="0.25">
      <c r="A110" s="24" t="s">
        <v>4602</v>
      </c>
      <c r="B110" s="24" t="s">
        <v>4603</v>
      </c>
      <c r="C110" s="24" t="s">
        <v>4604</v>
      </c>
      <c r="D110" s="24" t="s">
        <v>4480</v>
      </c>
      <c r="E110" s="24" t="s">
        <v>217</v>
      </c>
      <c r="F110" s="24">
        <v>0</v>
      </c>
      <c r="G110" s="24" t="s">
        <v>194</v>
      </c>
      <c r="H110" s="24" t="s">
        <v>193</v>
      </c>
      <c r="I110" s="24" t="s">
        <v>4498</v>
      </c>
      <c r="J110" s="24" t="s">
        <v>4605</v>
      </c>
      <c r="K110" s="24">
        <v>18</v>
      </c>
      <c r="L110" s="24" t="s">
        <v>4606</v>
      </c>
      <c r="M110" s="29" t="str">
        <f t="shared" si="1"/>
        <v>911205</v>
      </c>
    </row>
    <row r="111" spans="1:13" x14ac:dyDescent="0.25">
      <c r="A111" t="s">
        <v>2180</v>
      </c>
      <c r="B111" t="s">
        <v>4607</v>
      </c>
      <c r="C111" t="s">
        <v>2996</v>
      </c>
      <c r="D111" t="s">
        <v>4486</v>
      </c>
      <c r="E111" t="s">
        <v>192</v>
      </c>
      <c r="F111">
        <v>1</v>
      </c>
      <c r="G111" t="s">
        <v>193</v>
      </c>
      <c r="H111" t="s">
        <v>194</v>
      </c>
      <c r="I111" t="s">
        <v>4498</v>
      </c>
      <c r="J111" t="s">
        <v>253</v>
      </c>
      <c r="K111">
        <v>18</v>
      </c>
      <c r="L111" t="s">
        <v>4608</v>
      </c>
      <c r="M111" s="28" t="str">
        <f t="shared" si="1"/>
        <v>921401</v>
      </c>
    </row>
    <row r="112" spans="1:13" x14ac:dyDescent="0.25">
      <c r="A112" t="s">
        <v>527</v>
      </c>
      <c r="B112" t="s">
        <v>356</v>
      </c>
      <c r="C112" t="s">
        <v>62</v>
      </c>
      <c r="D112" t="s">
        <v>4480</v>
      </c>
      <c r="E112" t="s">
        <v>192</v>
      </c>
      <c r="F112">
        <v>1</v>
      </c>
      <c r="G112" t="s">
        <v>193</v>
      </c>
      <c r="H112" t="s">
        <v>194</v>
      </c>
      <c r="I112" t="s">
        <v>4495</v>
      </c>
      <c r="J112" t="s">
        <v>367</v>
      </c>
      <c r="K112">
        <v>18</v>
      </c>
      <c r="L112" t="s">
        <v>601</v>
      </c>
      <c r="M112" s="28" t="str">
        <f t="shared" si="1"/>
        <v>313904</v>
      </c>
    </row>
    <row r="113" spans="1:13" x14ac:dyDescent="0.25">
      <c r="A113" t="s">
        <v>352</v>
      </c>
      <c r="B113" t="s">
        <v>356</v>
      </c>
      <c r="C113" t="s">
        <v>554</v>
      </c>
      <c r="D113" t="s">
        <v>4480</v>
      </c>
      <c r="E113" t="s">
        <v>192</v>
      </c>
      <c r="F113">
        <v>1</v>
      </c>
      <c r="G113" t="s">
        <v>193</v>
      </c>
      <c r="H113" t="s">
        <v>194</v>
      </c>
      <c r="I113" t="s">
        <v>4495</v>
      </c>
      <c r="J113" t="s">
        <v>210</v>
      </c>
      <c r="K113">
        <v>18</v>
      </c>
      <c r="L113" t="s">
        <v>555</v>
      </c>
      <c r="M113" s="28" t="str">
        <f t="shared" si="1"/>
        <v>311303</v>
      </c>
    </row>
    <row r="114" spans="1:13" x14ac:dyDescent="0.25">
      <c r="A114" t="s">
        <v>446</v>
      </c>
      <c r="B114" t="s">
        <v>4609</v>
      </c>
      <c r="C114" t="s">
        <v>110</v>
      </c>
      <c r="D114" t="s">
        <v>4480</v>
      </c>
      <c r="E114" t="s">
        <v>192</v>
      </c>
      <c r="F114">
        <v>1</v>
      </c>
      <c r="G114" t="s">
        <v>193</v>
      </c>
      <c r="H114" t="s">
        <v>194</v>
      </c>
      <c r="I114" t="s">
        <v>4481</v>
      </c>
      <c r="J114" t="s">
        <v>962</v>
      </c>
      <c r="K114">
        <v>18</v>
      </c>
      <c r="L114" t="s">
        <v>621</v>
      </c>
      <c r="M114" s="28" t="str">
        <f t="shared" si="1"/>
        <v>332201</v>
      </c>
    </row>
    <row r="115" spans="1:13" x14ac:dyDescent="0.25">
      <c r="A115" t="s">
        <v>523</v>
      </c>
      <c r="B115" t="s">
        <v>4610</v>
      </c>
      <c r="C115" t="s">
        <v>133</v>
      </c>
      <c r="D115" t="s">
        <v>4480</v>
      </c>
      <c r="E115" t="s">
        <v>192</v>
      </c>
      <c r="F115">
        <v>1</v>
      </c>
      <c r="G115" t="s">
        <v>193</v>
      </c>
      <c r="H115" t="s">
        <v>194</v>
      </c>
      <c r="I115" t="s">
        <v>4498</v>
      </c>
      <c r="J115" t="s">
        <v>210</v>
      </c>
      <c r="K115">
        <v>18</v>
      </c>
      <c r="L115" t="s">
        <v>673</v>
      </c>
      <c r="M115" s="28" t="str">
        <f t="shared" si="1"/>
        <v>333107</v>
      </c>
    </row>
    <row r="116" spans="1:13" x14ac:dyDescent="0.25">
      <c r="A116" t="s">
        <v>2864</v>
      </c>
      <c r="B116" t="s">
        <v>4611</v>
      </c>
      <c r="C116" t="s">
        <v>10</v>
      </c>
      <c r="D116" t="s">
        <v>4480</v>
      </c>
      <c r="E116" t="s">
        <v>192</v>
      </c>
      <c r="F116">
        <v>1</v>
      </c>
      <c r="G116" t="s">
        <v>193</v>
      </c>
      <c r="H116" t="s">
        <v>194</v>
      </c>
      <c r="I116" t="s">
        <v>4495</v>
      </c>
      <c r="J116" t="s">
        <v>210</v>
      </c>
      <c r="K116">
        <v>18</v>
      </c>
      <c r="L116" t="s">
        <v>484</v>
      </c>
      <c r="M116" s="28" t="str">
        <f t="shared" si="1"/>
        <v>251401</v>
      </c>
    </row>
    <row r="117" spans="1:13" x14ac:dyDescent="0.25">
      <c r="A117" t="s">
        <v>1750</v>
      </c>
      <c r="B117" t="s">
        <v>2264</v>
      </c>
      <c r="C117" t="s">
        <v>10</v>
      </c>
      <c r="D117" t="s">
        <v>4480</v>
      </c>
      <c r="E117" t="s">
        <v>192</v>
      </c>
      <c r="F117">
        <v>1</v>
      </c>
      <c r="G117" t="s">
        <v>193</v>
      </c>
      <c r="H117" t="s">
        <v>194</v>
      </c>
      <c r="I117" t="s">
        <v>4495</v>
      </c>
      <c r="J117" t="s">
        <v>385</v>
      </c>
      <c r="K117">
        <v>18</v>
      </c>
      <c r="L117" t="s">
        <v>484</v>
      </c>
      <c r="M117" s="28" t="str">
        <f t="shared" si="1"/>
        <v>251401</v>
      </c>
    </row>
    <row r="118" spans="1:13" x14ac:dyDescent="0.25">
      <c r="A118" t="s">
        <v>4612</v>
      </c>
      <c r="B118" t="s">
        <v>4613</v>
      </c>
      <c r="C118" t="s">
        <v>345</v>
      </c>
      <c r="D118" t="s">
        <v>4480</v>
      </c>
      <c r="E118" t="s">
        <v>192</v>
      </c>
      <c r="F118">
        <v>1</v>
      </c>
      <c r="G118" t="s">
        <v>193</v>
      </c>
      <c r="H118" t="s">
        <v>194</v>
      </c>
      <c r="I118" t="s">
        <v>4495</v>
      </c>
      <c r="J118" t="s">
        <v>367</v>
      </c>
      <c r="K118">
        <v>18</v>
      </c>
      <c r="L118" t="s">
        <v>346</v>
      </c>
      <c r="M118" s="28" t="str">
        <f t="shared" si="1"/>
        <v>214931</v>
      </c>
    </row>
    <row r="119" spans="1:13" x14ac:dyDescent="0.25">
      <c r="A119" t="s">
        <v>4614</v>
      </c>
      <c r="B119" t="s">
        <v>4615</v>
      </c>
      <c r="C119" t="s">
        <v>21</v>
      </c>
      <c r="D119" t="s">
        <v>4480</v>
      </c>
      <c r="E119" t="s">
        <v>192</v>
      </c>
      <c r="F119">
        <v>1</v>
      </c>
      <c r="G119" t="s">
        <v>193</v>
      </c>
      <c r="H119" t="s">
        <v>194</v>
      </c>
      <c r="I119" t="s">
        <v>4498</v>
      </c>
      <c r="J119" t="s">
        <v>249</v>
      </c>
      <c r="K119">
        <v>18</v>
      </c>
      <c r="L119" t="s">
        <v>293</v>
      </c>
      <c r="M119" s="28" t="str">
        <f t="shared" si="1"/>
        <v>214202</v>
      </c>
    </row>
    <row r="120" spans="1:13" x14ac:dyDescent="0.25">
      <c r="A120" t="s">
        <v>4616</v>
      </c>
      <c r="B120" t="s">
        <v>632</v>
      </c>
      <c r="C120" t="s">
        <v>17</v>
      </c>
      <c r="D120" t="s">
        <v>4480</v>
      </c>
      <c r="E120" t="s">
        <v>192</v>
      </c>
      <c r="F120">
        <v>1</v>
      </c>
      <c r="G120" t="s">
        <v>193</v>
      </c>
      <c r="H120" t="s">
        <v>194</v>
      </c>
      <c r="I120" t="s">
        <v>4495</v>
      </c>
      <c r="J120" t="s">
        <v>385</v>
      </c>
      <c r="K120">
        <v>18</v>
      </c>
      <c r="L120" t="s">
        <v>624</v>
      </c>
      <c r="M120" s="28" t="str">
        <f t="shared" si="1"/>
        <v>332203</v>
      </c>
    </row>
    <row r="121" spans="1:13" x14ac:dyDescent="0.25">
      <c r="A121" t="s">
        <v>4617</v>
      </c>
      <c r="B121" t="s">
        <v>632</v>
      </c>
      <c r="C121" t="s">
        <v>17</v>
      </c>
      <c r="D121" t="s">
        <v>4480</v>
      </c>
      <c r="E121" t="s">
        <v>192</v>
      </c>
      <c r="F121">
        <v>1</v>
      </c>
      <c r="G121" t="s">
        <v>193</v>
      </c>
      <c r="H121" t="s">
        <v>194</v>
      </c>
      <c r="I121" t="s">
        <v>4495</v>
      </c>
      <c r="J121" t="s">
        <v>196</v>
      </c>
      <c r="K121">
        <v>18</v>
      </c>
      <c r="L121" t="s">
        <v>624</v>
      </c>
      <c r="M121" s="28" t="str">
        <f t="shared" si="1"/>
        <v>332203</v>
      </c>
    </row>
    <row r="122" spans="1:13" x14ac:dyDescent="0.25">
      <c r="A122" t="s">
        <v>4618</v>
      </c>
      <c r="B122" t="s">
        <v>17</v>
      </c>
      <c r="C122" t="s">
        <v>17</v>
      </c>
      <c r="D122" t="s">
        <v>4486</v>
      </c>
      <c r="E122" t="s">
        <v>192</v>
      </c>
      <c r="F122">
        <v>1</v>
      </c>
      <c r="G122" t="s">
        <v>193</v>
      </c>
      <c r="H122" t="s">
        <v>194</v>
      </c>
      <c r="I122" t="s">
        <v>4507</v>
      </c>
      <c r="J122" t="s">
        <v>223</v>
      </c>
      <c r="K122">
        <v>18</v>
      </c>
      <c r="L122" t="s">
        <v>624</v>
      </c>
      <c r="M122" s="28" t="str">
        <f t="shared" si="1"/>
        <v>332203</v>
      </c>
    </row>
    <row r="123" spans="1:13" x14ac:dyDescent="0.25">
      <c r="A123" t="s">
        <v>1712</v>
      </c>
      <c r="B123" t="s">
        <v>632</v>
      </c>
      <c r="C123" t="s">
        <v>17</v>
      </c>
      <c r="D123" t="s">
        <v>4491</v>
      </c>
      <c r="E123" t="s">
        <v>192</v>
      </c>
      <c r="F123">
        <v>1</v>
      </c>
      <c r="G123" t="s">
        <v>193</v>
      </c>
      <c r="H123" t="s">
        <v>194</v>
      </c>
      <c r="I123" t="s">
        <v>4507</v>
      </c>
      <c r="J123" t="s">
        <v>399</v>
      </c>
      <c r="K123">
        <v>18</v>
      </c>
      <c r="L123" t="s">
        <v>624</v>
      </c>
      <c r="M123" s="28" t="str">
        <f t="shared" si="1"/>
        <v>332203</v>
      </c>
    </row>
    <row r="124" spans="1:13" x14ac:dyDescent="0.25">
      <c r="A124" t="s">
        <v>2617</v>
      </c>
      <c r="B124" t="s">
        <v>4619</v>
      </c>
      <c r="C124" t="s">
        <v>17</v>
      </c>
      <c r="D124" t="s">
        <v>4491</v>
      </c>
      <c r="E124" t="s">
        <v>192</v>
      </c>
      <c r="F124">
        <v>1</v>
      </c>
      <c r="G124" t="s">
        <v>193</v>
      </c>
      <c r="H124" t="s">
        <v>194</v>
      </c>
      <c r="I124" t="s">
        <v>4495</v>
      </c>
      <c r="J124" t="s">
        <v>196</v>
      </c>
      <c r="K124">
        <v>18</v>
      </c>
      <c r="L124" t="s">
        <v>624</v>
      </c>
      <c r="M124" s="28" t="str">
        <f t="shared" si="1"/>
        <v>332203</v>
      </c>
    </row>
    <row r="125" spans="1:13" x14ac:dyDescent="0.25">
      <c r="A125" t="s">
        <v>2007</v>
      </c>
      <c r="B125" t="s">
        <v>932</v>
      </c>
      <c r="C125" t="s">
        <v>17</v>
      </c>
      <c r="D125" t="s">
        <v>4480</v>
      </c>
      <c r="E125" t="s">
        <v>192</v>
      </c>
      <c r="F125">
        <v>1</v>
      </c>
      <c r="G125" t="s">
        <v>193</v>
      </c>
      <c r="H125" t="s">
        <v>194</v>
      </c>
      <c r="I125" t="s">
        <v>4495</v>
      </c>
      <c r="J125" t="s">
        <v>223</v>
      </c>
      <c r="K125">
        <v>18</v>
      </c>
      <c r="L125" t="s">
        <v>624</v>
      </c>
      <c r="M125" s="28" t="str">
        <f t="shared" si="1"/>
        <v>332203</v>
      </c>
    </row>
    <row r="126" spans="1:13" x14ac:dyDescent="0.25">
      <c r="A126" t="s">
        <v>4620</v>
      </c>
      <c r="B126" t="s">
        <v>467</v>
      </c>
      <c r="C126" t="s">
        <v>468</v>
      </c>
      <c r="D126" t="s">
        <v>4491</v>
      </c>
      <c r="E126" t="s">
        <v>192</v>
      </c>
      <c r="F126">
        <v>1</v>
      </c>
      <c r="G126" t="s">
        <v>193</v>
      </c>
      <c r="H126" t="s">
        <v>194</v>
      </c>
      <c r="I126" t="s">
        <v>4507</v>
      </c>
      <c r="J126" t="s">
        <v>196</v>
      </c>
      <c r="K126">
        <v>18</v>
      </c>
      <c r="L126" t="s">
        <v>469</v>
      </c>
      <c r="M126" s="28" t="str">
        <f t="shared" si="1"/>
        <v>243303</v>
      </c>
    </row>
    <row r="127" spans="1:13" x14ac:dyDescent="0.25">
      <c r="A127" t="s">
        <v>4621</v>
      </c>
      <c r="B127" t="s">
        <v>4622</v>
      </c>
      <c r="C127" t="s">
        <v>468</v>
      </c>
      <c r="D127" t="s">
        <v>4480</v>
      </c>
      <c r="E127" t="s">
        <v>192</v>
      </c>
      <c r="F127">
        <v>1</v>
      </c>
      <c r="G127" t="s">
        <v>193</v>
      </c>
      <c r="H127" t="s">
        <v>194</v>
      </c>
      <c r="I127" t="s">
        <v>4495</v>
      </c>
      <c r="J127" t="s">
        <v>276</v>
      </c>
      <c r="K127">
        <v>18</v>
      </c>
      <c r="L127" t="s">
        <v>469</v>
      </c>
      <c r="M127" s="28" t="str">
        <f t="shared" si="1"/>
        <v>243303</v>
      </c>
    </row>
    <row r="128" spans="1:13" x14ac:dyDescent="0.25">
      <c r="A128" t="s">
        <v>615</v>
      </c>
      <c r="B128" t="s">
        <v>4623</v>
      </c>
      <c r="C128" t="s">
        <v>111</v>
      </c>
      <c r="D128" t="s">
        <v>4480</v>
      </c>
      <c r="E128" t="s">
        <v>192</v>
      </c>
      <c r="F128">
        <v>1</v>
      </c>
      <c r="G128" t="s">
        <v>193</v>
      </c>
      <c r="H128" t="s">
        <v>194</v>
      </c>
      <c r="I128" t="s">
        <v>4495</v>
      </c>
      <c r="J128" t="s">
        <v>210</v>
      </c>
      <c r="K128">
        <v>18</v>
      </c>
      <c r="L128" t="s">
        <v>612</v>
      </c>
      <c r="M128" s="28" t="str">
        <f t="shared" si="1"/>
        <v>332101</v>
      </c>
    </row>
    <row r="129" spans="1:13" x14ac:dyDescent="0.25">
      <c r="A129" t="s">
        <v>4624</v>
      </c>
      <c r="B129" t="s">
        <v>4625</v>
      </c>
      <c r="C129" t="s">
        <v>17</v>
      </c>
      <c r="D129" t="s">
        <v>4480</v>
      </c>
      <c r="E129" t="s">
        <v>192</v>
      </c>
      <c r="F129">
        <v>1</v>
      </c>
      <c r="G129" t="s">
        <v>193</v>
      </c>
      <c r="H129" t="s">
        <v>194</v>
      </c>
      <c r="I129" t="s">
        <v>4495</v>
      </c>
      <c r="J129" t="s">
        <v>399</v>
      </c>
      <c r="K129">
        <v>18</v>
      </c>
      <c r="L129" t="s">
        <v>624</v>
      </c>
      <c r="M129" s="28" t="str">
        <f t="shared" si="1"/>
        <v>332203</v>
      </c>
    </row>
    <row r="130" spans="1:13" x14ac:dyDescent="0.25">
      <c r="A130" t="s">
        <v>4626</v>
      </c>
      <c r="B130" t="s">
        <v>4627</v>
      </c>
      <c r="C130" t="s">
        <v>4628</v>
      </c>
      <c r="D130" t="s">
        <v>4491</v>
      </c>
      <c r="E130" t="s">
        <v>192</v>
      </c>
      <c r="F130">
        <v>1</v>
      </c>
      <c r="G130" t="s">
        <v>193</v>
      </c>
      <c r="H130" t="s">
        <v>194</v>
      </c>
      <c r="I130" t="s">
        <v>4481</v>
      </c>
      <c r="J130" t="s">
        <v>196</v>
      </c>
      <c r="K130">
        <v>18</v>
      </c>
      <c r="L130" t="s">
        <v>4629</v>
      </c>
      <c r="M130" s="28" t="str">
        <f t="shared" si="1"/>
        <v>261101</v>
      </c>
    </row>
    <row r="131" spans="1:13" x14ac:dyDescent="0.25">
      <c r="A131" t="s">
        <v>303</v>
      </c>
      <c r="B131" t="s">
        <v>4630</v>
      </c>
      <c r="C131" t="s">
        <v>1264</v>
      </c>
      <c r="D131" t="s">
        <v>4480</v>
      </c>
      <c r="E131" t="s">
        <v>192</v>
      </c>
      <c r="F131">
        <v>1</v>
      </c>
      <c r="G131" t="s">
        <v>193</v>
      </c>
      <c r="H131" t="s">
        <v>194</v>
      </c>
      <c r="I131" t="s">
        <v>4495</v>
      </c>
      <c r="J131" t="s">
        <v>305</v>
      </c>
      <c r="K131">
        <v>18</v>
      </c>
      <c r="L131" t="s">
        <v>1265</v>
      </c>
      <c r="M131" s="28" t="str">
        <f t="shared" ref="M131:M181" si="2">MID(L131,8,6)</f>
        <v>311917</v>
      </c>
    </row>
    <row r="132" spans="1:13" x14ac:dyDescent="0.25">
      <c r="A132" t="s">
        <v>4631</v>
      </c>
      <c r="B132" t="s">
        <v>647</v>
      </c>
      <c r="C132" t="s">
        <v>17</v>
      </c>
      <c r="D132" t="s">
        <v>4480</v>
      </c>
      <c r="E132" t="s">
        <v>192</v>
      </c>
      <c r="F132">
        <v>1</v>
      </c>
      <c r="G132" t="s">
        <v>193</v>
      </c>
      <c r="H132" t="s">
        <v>194</v>
      </c>
      <c r="I132" t="s">
        <v>4481</v>
      </c>
      <c r="J132" t="s">
        <v>210</v>
      </c>
      <c r="K132">
        <v>18</v>
      </c>
      <c r="L132" t="s">
        <v>624</v>
      </c>
      <c r="M132" s="28" t="str">
        <f t="shared" si="2"/>
        <v>332203</v>
      </c>
    </row>
    <row r="133" spans="1:13" x14ac:dyDescent="0.25">
      <c r="A133" t="s">
        <v>4632</v>
      </c>
      <c r="B133" t="s">
        <v>647</v>
      </c>
      <c r="C133" t="s">
        <v>17</v>
      </c>
      <c r="D133" t="s">
        <v>4486</v>
      </c>
      <c r="E133" t="s">
        <v>192</v>
      </c>
      <c r="F133">
        <v>1</v>
      </c>
      <c r="G133" t="s">
        <v>193</v>
      </c>
      <c r="H133" t="s">
        <v>194</v>
      </c>
      <c r="I133" t="s">
        <v>4498</v>
      </c>
      <c r="J133" t="s">
        <v>473</v>
      </c>
      <c r="K133">
        <v>18</v>
      </c>
      <c r="L133" t="s">
        <v>624</v>
      </c>
      <c r="M133" s="28" t="str">
        <f t="shared" si="2"/>
        <v>332203</v>
      </c>
    </row>
    <row r="134" spans="1:13" x14ac:dyDescent="0.25">
      <c r="A134" t="s">
        <v>218</v>
      </c>
      <c r="B134" t="s">
        <v>4633</v>
      </c>
      <c r="C134" t="s">
        <v>4634</v>
      </c>
      <c r="D134" t="s">
        <v>4480</v>
      </c>
      <c r="E134" t="s">
        <v>192</v>
      </c>
      <c r="F134">
        <v>1</v>
      </c>
      <c r="G134" t="s">
        <v>193</v>
      </c>
      <c r="H134" t="s">
        <v>194</v>
      </c>
      <c r="I134" t="s">
        <v>4481</v>
      </c>
      <c r="J134" t="s">
        <v>210</v>
      </c>
      <c r="K134">
        <v>18</v>
      </c>
      <c r="L134" t="s">
        <v>4635</v>
      </c>
      <c r="M134" s="28" t="str">
        <f t="shared" si="2"/>
        <v>262204</v>
      </c>
    </row>
    <row r="135" spans="1:13" x14ac:dyDescent="0.25">
      <c r="A135" t="s">
        <v>4636</v>
      </c>
      <c r="B135" t="s">
        <v>4637</v>
      </c>
      <c r="C135" t="s">
        <v>36</v>
      </c>
      <c r="D135" t="s">
        <v>4480</v>
      </c>
      <c r="E135" t="s">
        <v>192</v>
      </c>
      <c r="F135">
        <v>1</v>
      </c>
      <c r="G135" t="s">
        <v>193</v>
      </c>
      <c r="H135" t="s">
        <v>194</v>
      </c>
      <c r="I135" t="s">
        <v>4495</v>
      </c>
      <c r="J135" t="s">
        <v>210</v>
      </c>
      <c r="K135">
        <v>18</v>
      </c>
      <c r="L135" t="s">
        <v>609</v>
      </c>
      <c r="M135" s="28" t="str">
        <f t="shared" si="2"/>
        <v>331301</v>
      </c>
    </row>
    <row r="136" spans="1:13" x14ac:dyDescent="0.25">
      <c r="A136" t="s">
        <v>4569</v>
      </c>
      <c r="B136" t="s">
        <v>4638</v>
      </c>
      <c r="C136" t="s">
        <v>4639</v>
      </c>
      <c r="D136" t="s">
        <v>4486</v>
      </c>
      <c r="E136" t="s">
        <v>192</v>
      </c>
      <c r="F136">
        <v>1</v>
      </c>
      <c r="G136" t="s">
        <v>193</v>
      </c>
      <c r="H136" t="s">
        <v>194</v>
      </c>
      <c r="I136" t="s">
        <v>4481</v>
      </c>
      <c r="J136" t="s">
        <v>210</v>
      </c>
      <c r="K136">
        <v>18</v>
      </c>
      <c r="L136" t="s">
        <v>4640</v>
      </c>
      <c r="M136" s="28" t="str">
        <f t="shared" si="2"/>
        <v>243203</v>
      </c>
    </row>
    <row r="137" spans="1:13" x14ac:dyDescent="0.25">
      <c r="A137" t="s">
        <v>4641</v>
      </c>
      <c r="B137" t="s">
        <v>4642</v>
      </c>
      <c r="C137" t="s">
        <v>133</v>
      </c>
      <c r="D137" t="s">
        <v>4491</v>
      </c>
      <c r="E137" t="s">
        <v>192</v>
      </c>
      <c r="F137">
        <v>1</v>
      </c>
      <c r="G137" t="s">
        <v>193</v>
      </c>
      <c r="H137" t="s">
        <v>194</v>
      </c>
      <c r="I137" t="s">
        <v>4481</v>
      </c>
      <c r="J137" t="s">
        <v>2480</v>
      </c>
      <c r="K137">
        <v>18</v>
      </c>
      <c r="L137" t="s">
        <v>673</v>
      </c>
      <c r="M137" s="28" t="str">
        <f t="shared" si="2"/>
        <v>333107</v>
      </c>
    </row>
    <row r="138" spans="1:13" x14ac:dyDescent="0.25">
      <c r="A138" t="s">
        <v>4484</v>
      </c>
      <c r="B138" t="s">
        <v>4643</v>
      </c>
      <c r="C138" t="s">
        <v>4644</v>
      </c>
      <c r="D138" t="s">
        <v>4486</v>
      </c>
      <c r="E138" t="s">
        <v>192</v>
      </c>
      <c r="F138">
        <v>1</v>
      </c>
      <c r="G138" t="s">
        <v>193</v>
      </c>
      <c r="H138" t="s">
        <v>194</v>
      </c>
      <c r="I138" t="s">
        <v>4498</v>
      </c>
      <c r="J138" t="s">
        <v>253</v>
      </c>
      <c r="K138">
        <v>18</v>
      </c>
      <c r="L138" t="s">
        <v>4645</v>
      </c>
      <c r="M138" s="28" t="str">
        <f t="shared" si="2"/>
        <v>732203</v>
      </c>
    </row>
    <row r="139" spans="1:13" x14ac:dyDescent="0.25">
      <c r="A139" t="s">
        <v>221</v>
      </c>
      <c r="B139" t="s">
        <v>4646</v>
      </c>
      <c r="C139" t="s">
        <v>554</v>
      </c>
      <c r="D139" t="s">
        <v>4491</v>
      </c>
      <c r="E139" t="s">
        <v>192</v>
      </c>
      <c r="F139">
        <v>1</v>
      </c>
      <c r="G139" t="s">
        <v>193</v>
      </c>
      <c r="H139" t="s">
        <v>194</v>
      </c>
      <c r="I139" t="s">
        <v>4495</v>
      </c>
      <c r="J139" t="s">
        <v>223</v>
      </c>
      <c r="K139">
        <v>18</v>
      </c>
      <c r="L139" t="s">
        <v>555</v>
      </c>
      <c r="M139" s="28" t="str">
        <f t="shared" si="2"/>
        <v>311303</v>
      </c>
    </row>
    <row r="140" spans="1:13" x14ac:dyDescent="0.25">
      <c r="A140" t="s">
        <v>824</v>
      </c>
      <c r="B140" t="s">
        <v>2460</v>
      </c>
      <c r="C140" t="s">
        <v>27</v>
      </c>
      <c r="D140" t="s">
        <v>4486</v>
      </c>
      <c r="E140" t="s">
        <v>192</v>
      </c>
      <c r="F140">
        <v>1</v>
      </c>
      <c r="G140" t="s">
        <v>193</v>
      </c>
      <c r="H140" t="s">
        <v>194</v>
      </c>
      <c r="I140" t="s">
        <v>4495</v>
      </c>
      <c r="J140" t="s">
        <v>210</v>
      </c>
      <c r="K140">
        <v>18</v>
      </c>
      <c r="L140" t="s">
        <v>440</v>
      </c>
      <c r="M140" s="28" t="str">
        <f t="shared" si="2"/>
        <v>242307</v>
      </c>
    </row>
    <row r="141" spans="1:13" x14ac:dyDescent="0.25">
      <c r="A141" t="s">
        <v>4647</v>
      </c>
      <c r="B141" t="s">
        <v>4648</v>
      </c>
      <c r="C141" t="s">
        <v>80</v>
      </c>
      <c r="D141" t="s">
        <v>4491</v>
      </c>
      <c r="E141" t="s">
        <v>192</v>
      </c>
      <c r="F141">
        <v>1</v>
      </c>
      <c r="G141" t="s">
        <v>193</v>
      </c>
      <c r="H141" t="s">
        <v>194</v>
      </c>
      <c r="I141" t="s">
        <v>4481</v>
      </c>
      <c r="J141" t="s">
        <v>210</v>
      </c>
      <c r="K141">
        <v>18</v>
      </c>
      <c r="L141" t="s">
        <v>474</v>
      </c>
      <c r="M141" s="28" t="str">
        <f t="shared" si="2"/>
        <v>243304</v>
      </c>
    </row>
    <row r="142" spans="1:13" x14ac:dyDescent="0.25">
      <c r="A142" t="s">
        <v>4649</v>
      </c>
      <c r="B142" t="s">
        <v>4650</v>
      </c>
      <c r="C142" t="s">
        <v>284</v>
      </c>
      <c r="D142" t="s">
        <v>4491</v>
      </c>
      <c r="E142" t="s">
        <v>192</v>
      </c>
      <c r="F142">
        <v>1</v>
      </c>
      <c r="G142" t="s">
        <v>193</v>
      </c>
      <c r="H142" t="s">
        <v>194</v>
      </c>
      <c r="I142" t="s">
        <v>4481</v>
      </c>
      <c r="J142" t="s">
        <v>316</v>
      </c>
      <c r="K142">
        <v>18</v>
      </c>
      <c r="L142" t="s">
        <v>286</v>
      </c>
      <c r="M142" s="28" t="str">
        <f t="shared" si="2"/>
        <v>214109</v>
      </c>
    </row>
    <row r="143" spans="1:13" x14ac:dyDescent="0.25">
      <c r="A143" t="s">
        <v>317</v>
      </c>
      <c r="B143" t="s">
        <v>4651</v>
      </c>
      <c r="C143" t="s">
        <v>420</v>
      </c>
      <c r="D143" t="s">
        <v>4480</v>
      </c>
      <c r="E143" t="s">
        <v>192</v>
      </c>
      <c r="F143">
        <v>1</v>
      </c>
      <c r="G143" t="s">
        <v>193</v>
      </c>
      <c r="H143" t="s">
        <v>194</v>
      </c>
      <c r="I143" t="s">
        <v>4481</v>
      </c>
      <c r="J143" t="s">
        <v>210</v>
      </c>
      <c r="K143">
        <v>18</v>
      </c>
      <c r="L143" t="s">
        <v>421</v>
      </c>
      <c r="M143" s="28" t="str">
        <f t="shared" si="2"/>
        <v>241306</v>
      </c>
    </row>
    <row r="144" spans="1:13" x14ac:dyDescent="0.25">
      <c r="A144" t="s">
        <v>198</v>
      </c>
      <c r="B144" t="s">
        <v>4652</v>
      </c>
      <c r="C144" t="s">
        <v>525</v>
      </c>
      <c r="D144" t="s">
        <v>4480</v>
      </c>
      <c r="E144" t="s">
        <v>192</v>
      </c>
      <c r="F144">
        <v>1</v>
      </c>
      <c r="G144" t="s">
        <v>193</v>
      </c>
      <c r="H144" t="s">
        <v>194</v>
      </c>
      <c r="I144" t="s">
        <v>4481</v>
      </c>
      <c r="J144" t="s">
        <v>202</v>
      </c>
      <c r="K144">
        <v>18</v>
      </c>
      <c r="L144" t="s">
        <v>526</v>
      </c>
      <c r="M144" s="28" t="str">
        <f t="shared" si="2"/>
        <v>263102</v>
      </c>
    </row>
    <row r="145" spans="1:13" x14ac:dyDescent="0.25">
      <c r="A145" t="s">
        <v>4653</v>
      </c>
      <c r="B145" t="s">
        <v>3222</v>
      </c>
      <c r="C145" t="s">
        <v>43</v>
      </c>
      <c r="D145" t="s">
        <v>4486</v>
      </c>
      <c r="E145" t="s">
        <v>192</v>
      </c>
      <c r="F145">
        <v>1</v>
      </c>
      <c r="G145" t="s">
        <v>193</v>
      </c>
      <c r="H145" t="s">
        <v>194</v>
      </c>
      <c r="I145" t="s">
        <v>4495</v>
      </c>
      <c r="J145" t="s">
        <v>2183</v>
      </c>
      <c r="K145">
        <v>18</v>
      </c>
      <c r="L145" t="s">
        <v>452</v>
      </c>
      <c r="M145" s="28" t="str">
        <f t="shared" si="2"/>
        <v>243106</v>
      </c>
    </row>
    <row r="146" spans="1:13" x14ac:dyDescent="0.25">
      <c r="A146" t="s">
        <v>4654</v>
      </c>
      <c r="B146" t="s">
        <v>4655</v>
      </c>
      <c r="C146" t="s">
        <v>43</v>
      </c>
      <c r="D146" t="s">
        <v>4486</v>
      </c>
      <c r="E146" t="s">
        <v>192</v>
      </c>
      <c r="F146">
        <v>1</v>
      </c>
      <c r="G146" t="s">
        <v>193</v>
      </c>
      <c r="H146" t="s">
        <v>194</v>
      </c>
      <c r="I146" t="s">
        <v>4495</v>
      </c>
      <c r="J146" t="s">
        <v>210</v>
      </c>
      <c r="K146">
        <v>18</v>
      </c>
      <c r="L146" t="s">
        <v>452</v>
      </c>
      <c r="M146" s="28" t="str">
        <f t="shared" si="2"/>
        <v>243106</v>
      </c>
    </row>
    <row r="147" spans="1:13" x14ac:dyDescent="0.25">
      <c r="A147" t="s">
        <v>3217</v>
      </c>
      <c r="B147" t="s">
        <v>2512</v>
      </c>
      <c r="C147" t="s">
        <v>80</v>
      </c>
      <c r="D147" t="s">
        <v>4491</v>
      </c>
      <c r="E147" t="s">
        <v>192</v>
      </c>
      <c r="F147">
        <v>1</v>
      </c>
      <c r="G147" t="s">
        <v>193</v>
      </c>
      <c r="H147" t="s">
        <v>194</v>
      </c>
      <c r="I147" t="s">
        <v>4481</v>
      </c>
      <c r="J147" t="s">
        <v>210</v>
      </c>
      <c r="K147">
        <v>18</v>
      </c>
      <c r="L147" t="s">
        <v>474</v>
      </c>
      <c r="M147" s="28" t="str">
        <f t="shared" si="2"/>
        <v>243304</v>
      </c>
    </row>
    <row r="148" spans="1:13" x14ac:dyDescent="0.25">
      <c r="A148" t="s">
        <v>4656</v>
      </c>
      <c r="B148" t="s">
        <v>4657</v>
      </c>
      <c r="C148" t="s">
        <v>23</v>
      </c>
      <c r="D148" t="s">
        <v>4480</v>
      </c>
      <c r="E148" t="s">
        <v>192</v>
      </c>
      <c r="F148">
        <v>1</v>
      </c>
      <c r="G148" t="s">
        <v>193</v>
      </c>
      <c r="H148" t="s">
        <v>194</v>
      </c>
      <c r="I148" t="s">
        <v>4498</v>
      </c>
      <c r="J148" t="s">
        <v>210</v>
      </c>
      <c r="K148">
        <v>18</v>
      </c>
      <c r="L148" t="s">
        <v>985</v>
      </c>
      <c r="M148" s="28" t="str">
        <f t="shared" si="2"/>
        <v>263204</v>
      </c>
    </row>
    <row r="149" spans="1:13" x14ac:dyDescent="0.25">
      <c r="A149" t="s">
        <v>1568</v>
      </c>
      <c r="B149" t="s">
        <v>530</v>
      </c>
      <c r="C149" t="s">
        <v>27</v>
      </c>
      <c r="D149" t="s">
        <v>4491</v>
      </c>
      <c r="E149" t="s">
        <v>192</v>
      </c>
      <c r="F149">
        <v>1</v>
      </c>
      <c r="G149" t="s">
        <v>193</v>
      </c>
      <c r="H149" t="s">
        <v>194</v>
      </c>
      <c r="I149" t="s">
        <v>4495</v>
      </c>
      <c r="J149" t="s">
        <v>276</v>
      </c>
      <c r="K149">
        <v>18</v>
      </c>
      <c r="L149" t="s">
        <v>440</v>
      </c>
      <c r="M149" s="28" t="str">
        <f t="shared" si="2"/>
        <v>242307</v>
      </c>
    </row>
    <row r="150" spans="1:13" x14ac:dyDescent="0.25">
      <c r="A150" t="s">
        <v>2914</v>
      </c>
      <c r="B150" t="s">
        <v>4658</v>
      </c>
      <c r="C150" t="s">
        <v>4018</v>
      </c>
      <c r="D150" t="s">
        <v>4480</v>
      </c>
      <c r="E150" t="s">
        <v>192</v>
      </c>
      <c r="F150">
        <v>1</v>
      </c>
      <c r="G150" t="s">
        <v>193</v>
      </c>
      <c r="H150" t="s">
        <v>194</v>
      </c>
      <c r="I150" t="s">
        <v>4498</v>
      </c>
      <c r="J150" t="s">
        <v>253</v>
      </c>
      <c r="K150">
        <v>18</v>
      </c>
      <c r="L150" t="s">
        <v>4019</v>
      </c>
      <c r="M150" s="28" t="str">
        <f t="shared" si="2"/>
        <v>241105</v>
      </c>
    </row>
    <row r="151" spans="1:13" x14ac:dyDescent="0.25">
      <c r="A151" t="s">
        <v>1568</v>
      </c>
      <c r="B151" t="s">
        <v>4659</v>
      </c>
      <c r="C151" t="s">
        <v>27</v>
      </c>
      <c r="D151" t="s">
        <v>4491</v>
      </c>
      <c r="E151" t="s">
        <v>192</v>
      </c>
      <c r="F151">
        <v>1</v>
      </c>
      <c r="G151" t="s">
        <v>193</v>
      </c>
      <c r="H151" t="s">
        <v>194</v>
      </c>
      <c r="I151" t="s">
        <v>4498</v>
      </c>
      <c r="J151" t="s">
        <v>276</v>
      </c>
      <c r="K151">
        <v>18</v>
      </c>
      <c r="L151" t="s">
        <v>440</v>
      </c>
      <c r="M151" s="28" t="str">
        <f t="shared" si="2"/>
        <v>242307</v>
      </c>
    </row>
    <row r="152" spans="1:13" x14ac:dyDescent="0.25">
      <c r="A152" t="s">
        <v>4594</v>
      </c>
      <c r="B152" t="s">
        <v>4660</v>
      </c>
      <c r="C152" t="s">
        <v>85</v>
      </c>
      <c r="D152" t="s">
        <v>4486</v>
      </c>
      <c r="E152" t="s">
        <v>192</v>
      </c>
      <c r="F152">
        <v>1</v>
      </c>
      <c r="G152" t="s">
        <v>193</v>
      </c>
      <c r="H152" t="s">
        <v>194</v>
      </c>
      <c r="I152" t="s">
        <v>4481</v>
      </c>
      <c r="J152" t="s">
        <v>4661</v>
      </c>
      <c r="K152">
        <v>18</v>
      </c>
      <c r="L152" t="s">
        <v>477</v>
      </c>
      <c r="M152" s="28" t="str">
        <f t="shared" si="2"/>
        <v>243305</v>
      </c>
    </row>
    <row r="153" spans="1:13" x14ac:dyDescent="0.25">
      <c r="A153" t="s">
        <v>4662</v>
      </c>
      <c r="B153" t="s">
        <v>4663</v>
      </c>
      <c r="C153" t="s">
        <v>3219</v>
      </c>
      <c r="D153" t="s">
        <v>4486</v>
      </c>
      <c r="E153" t="s">
        <v>252</v>
      </c>
      <c r="F153">
        <v>1</v>
      </c>
      <c r="G153" t="s">
        <v>193</v>
      </c>
      <c r="H153" t="s">
        <v>194</v>
      </c>
      <c r="I153" t="s">
        <v>4481</v>
      </c>
      <c r="J153" t="s">
        <v>210</v>
      </c>
      <c r="K153">
        <v>18</v>
      </c>
      <c r="L153" t="s">
        <v>3620</v>
      </c>
      <c r="M153" s="28" t="str">
        <f t="shared" si="2"/>
        <v>243109</v>
      </c>
    </row>
    <row r="154" spans="1:13" x14ac:dyDescent="0.25">
      <c r="A154" t="s">
        <v>1209</v>
      </c>
      <c r="B154" t="s">
        <v>4664</v>
      </c>
      <c r="C154" t="s">
        <v>9</v>
      </c>
      <c r="D154" t="s">
        <v>4486</v>
      </c>
      <c r="E154" t="s">
        <v>192</v>
      </c>
      <c r="F154">
        <v>1</v>
      </c>
      <c r="G154" t="s">
        <v>193</v>
      </c>
      <c r="H154" t="s">
        <v>194</v>
      </c>
      <c r="I154" t="s">
        <v>4498</v>
      </c>
      <c r="J154" t="s">
        <v>210</v>
      </c>
      <c r="K154">
        <v>18</v>
      </c>
      <c r="L154" t="s">
        <v>405</v>
      </c>
      <c r="M154" s="28" t="str">
        <f t="shared" si="2"/>
        <v>241304</v>
      </c>
    </row>
    <row r="155" spans="1:13" x14ac:dyDescent="0.25">
      <c r="A155" t="s">
        <v>540</v>
      </c>
      <c r="B155" t="s">
        <v>1288</v>
      </c>
      <c r="C155" t="s">
        <v>85</v>
      </c>
      <c r="D155" t="s">
        <v>4491</v>
      </c>
      <c r="E155" t="s">
        <v>252</v>
      </c>
      <c r="F155">
        <v>1</v>
      </c>
      <c r="G155" t="s">
        <v>193</v>
      </c>
      <c r="H155" t="s">
        <v>194</v>
      </c>
      <c r="I155" t="s">
        <v>4481</v>
      </c>
      <c r="J155" t="s">
        <v>253</v>
      </c>
      <c r="K155">
        <v>18</v>
      </c>
      <c r="L155" t="s">
        <v>477</v>
      </c>
      <c r="M155" s="28" t="str">
        <f t="shared" si="2"/>
        <v>243305</v>
      </c>
    </row>
    <row r="156" spans="1:13" x14ac:dyDescent="0.25">
      <c r="A156" t="s">
        <v>540</v>
      </c>
      <c r="B156" t="s">
        <v>1288</v>
      </c>
      <c r="C156" t="s">
        <v>85</v>
      </c>
      <c r="D156" t="s">
        <v>4491</v>
      </c>
      <c r="E156" t="s">
        <v>252</v>
      </c>
      <c r="F156">
        <v>1</v>
      </c>
      <c r="G156" t="s">
        <v>193</v>
      </c>
      <c r="H156" t="s">
        <v>194</v>
      </c>
      <c r="I156" t="s">
        <v>4481</v>
      </c>
      <c r="J156" t="s">
        <v>408</v>
      </c>
      <c r="K156">
        <v>18</v>
      </c>
      <c r="L156" t="s">
        <v>477</v>
      </c>
      <c r="M156" s="28" t="str">
        <f t="shared" si="2"/>
        <v>243305</v>
      </c>
    </row>
    <row r="157" spans="1:13" x14ac:dyDescent="0.25">
      <c r="A157" t="s">
        <v>3370</v>
      </c>
      <c r="B157" t="s">
        <v>657</v>
      </c>
      <c r="C157" t="s">
        <v>43</v>
      </c>
      <c r="D157" t="s">
        <v>4486</v>
      </c>
      <c r="E157" t="s">
        <v>192</v>
      </c>
      <c r="F157">
        <v>1</v>
      </c>
      <c r="G157" t="s">
        <v>193</v>
      </c>
      <c r="H157" t="s">
        <v>194</v>
      </c>
      <c r="I157" t="s">
        <v>4495</v>
      </c>
      <c r="J157" t="s">
        <v>385</v>
      </c>
      <c r="K157">
        <v>18</v>
      </c>
      <c r="L157" t="s">
        <v>452</v>
      </c>
      <c r="M157" s="28" t="str">
        <f t="shared" si="2"/>
        <v>243106</v>
      </c>
    </row>
    <row r="158" spans="1:13" x14ac:dyDescent="0.25">
      <c r="A158" t="s">
        <v>4665</v>
      </c>
      <c r="B158" t="s">
        <v>4666</v>
      </c>
      <c r="C158" t="s">
        <v>19</v>
      </c>
      <c r="D158" t="s">
        <v>4480</v>
      </c>
      <c r="E158" t="s">
        <v>192</v>
      </c>
      <c r="F158">
        <v>1</v>
      </c>
      <c r="G158" t="s">
        <v>193</v>
      </c>
      <c r="H158" t="s">
        <v>194</v>
      </c>
      <c r="I158" t="s">
        <v>4481</v>
      </c>
      <c r="J158" t="s">
        <v>210</v>
      </c>
      <c r="K158">
        <v>18</v>
      </c>
      <c r="L158" t="s">
        <v>337</v>
      </c>
      <c r="M158" s="28" t="str">
        <f t="shared" si="2"/>
        <v>214903</v>
      </c>
    </row>
    <row r="159" spans="1:13" x14ac:dyDescent="0.25">
      <c r="A159" t="s">
        <v>4433</v>
      </c>
      <c r="B159" t="s">
        <v>4434</v>
      </c>
      <c r="C159" t="s">
        <v>4667</v>
      </c>
      <c r="D159" t="s">
        <v>4480</v>
      </c>
      <c r="E159" t="s">
        <v>192</v>
      </c>
      <c r="F159">
        <v>1</v>
      </c>
      <c r="G159" t="s">
        <v>193</v>
      </c>
      <c r="H159" t="s">
        <v>194</v>
      </c>
      <c r="I159" t="s">
        <v>4498</v>
      </c>
      <c r="J159" t="s">
        <v>210</v>
      </c>
      <c r="K159">
        <v>18</v>
      </c>
      <c r="L159" t="s">
        <v>4668</v>
      </c>
      <c r="M159" s="28" t="str">
        <f t="shared" si="2"/>
        <v>311209</v>
      </c>
    </row>
    <row r="160" spans="1:13" x14ac:dyDescent="0.25">
      <c r="A160" t="s">
        <v>4641</v>
      </c>
      <c r="B160" t="s">
        <v>4669</v>
      </c>
      <c r="C160" t="s">
        <v>21</v>
      </c>
      <c r="D160" t="s">
        <v>4491</v>
      </c>
      <c r="E160" t="s">
        <v>192</v>
      </c>
      <c r="F160">
        <v>1</v>
      </c>
      <c r="G160" t="s">
        <v>193</v>
      </c>
      <c r="H160" t="s">
        <v>194</v>
      </c>
      <c r="I160" t="s">
        <v>4481</v>
      </c>
      <c r="J160" t="s">
        <v>2480</v>
      </c>
      <c r="K160">
        <v>18</v>
      </c>
      <c r="L160" t="s">
        <v>293</v>
      </c>
      <c r="M160" s="28" t="str">
        <f t="shared" si="2"/>
        <v>214202</v>
      </c>
    </row>
    <row r="161" spans="1:13" x14ac:dyDescent="0.25">
      <c r="A161" t="s">
        <v>4070</v>
      </c>
      <c r="B161" t="s">
        <v>4670</v>
      </c>
      <c r="C161" t="s">
        <v>4671</v>
      </c>
      <c r="D161" t="s">
        <v>4491</v>
      </c>
      <c r="E161" t="s">
        <v>192</v>
      </c>
      <c r="F161">
        <v>1</v>
      </c>
      <c r="G161" t="s">
        <v>193</v>
      </c>
      <c r="H161" t="s">
        <v>194</v>
      </c>
      <c r="I161" t="s">
        <v>4495</v>
      </c>
      <c r="J161" t="s">
        <v>316</v>
      </c>
      <c r="K161">
        <v>18</v>
      </c>
      <c r="L161" t="s">
        <v>4672</v>
      </c>
      <c r="M161" s="28" t="str">
        <f t="shared" si="2"/>
        <v>713207</v>
      </c>
    </row>
    <row r="162" spans="1:13" x14ac:dyDescent="0.25">
      <c r="A162" t="s">
        <v>4673</v>
      </c>
      <c r="B162" t="s">
        <v>4674</v>
      </c>
      <c r="C162" t="s">
        <v>525</v>
      </c>
      <c r="D162" t="s">
        <v>4480</v>
      </c>
      <c r="E162" t="s">
        <v>192</v>
      </c>
      <c r="F162">
        <v>1</v>
      </c>
      <c r="G162" t="s">
        <v>193</v>
      </c>
      <c r="H162" t="s">
        <v>194</v>
      </c>
      <c r="I162" t="s">
        <v>4498</v>
      </c>
      <c r="J162" t="s">
        <v>1977</v>
      </c>
      <c r="K162">
        <v>18</v>
      </c>
      <c r="L162" t="s">
        <v>526</v>
      </c>
      <c r="M162" s="28" t="str">
        <f t="shared" si="2"/>
        <v>263102</v>
      </c>
    </row>
    <row r="163" spans="1:13" x14ac:dyDescent="0.25">
      <c r="A163" t="s">
        <v>1471</v>
      </c>
      <c r="B163" t="s">
        <v>4675</v>
      </c>
      <c r="C163" t="s">
        <v>119</v>
      </c>
      <c r="D163" t="s">
        <v>4491</v>
      </c>
      <c r="E163" t="s">
        <v>192</v>
      </c>
      <c r="F163">
        <v>1</v>
      </c>
      <c r="G163" t="s">
        <v>193</v>
      </c>
      <c r="H163" t="s">
        <v>194</v>
      </c>
      <c r="I163" t="s">
        <v>4481</v>
      </c>
      <c r="J163" t="s">
        <v>253</v>
      </c>
      <c r="K163">
        <v>18</v>
      </c>
      <c r="L163" t="s">
        <v>666</v>
      </c>
      <c r="M163" s="28" t="str">
        <f t="shared" si="2"/>
        <v>333105</v>
      </c>
    </row>
    <row r="164" spans="1:13" x14ac:dyDescent="0.25">
      <c r="A164" t="s">
        <v>581</v>
      </c>
      <c r="B164" t="s">
        <v>669</v>
      </c>
      <c r="C164" t="s">
        <v>119</v>
      </c>
      <c r="D164" t="s">
        <v>4486</v>
      </c>
      <c r="E164" t="s">
        <v>217</v>
      </c>
      <c r="F164">
        <v>1</v>
      </c>
      <c r="G164" t="s">
        <v>193</v>
      </c>
      <c r="H164" t="s">
        <v>194</v>
      </c>
      <c r="I164" t="s">
        <v>4481</v>
      </c>
      <c r="J164" t="s">
        <v>253</v>
      </c>
      <c r="K164">
        <v>18</v>
      </c>
      <c r="L164" t="s">
        <v>666</v>
      </c>
      <c r="M164" s="28" t="str">
        <f t="shared" si="2"/>
        <v>333105</v>
      </c>
    </row>
    <row r="165" spans="1:13" x14ac:dyDescent="0.25">
      <c r="A165" t="s">
        <v>581</v>
      </c>
      <c r="B165" t="s">
        <v>669</v>
      </c>
      <c r="C165" t="s">
        <v>119</v>
      </c>
      <c r="D165" t="s">
        <v>4491</v>
      </c>
      <c r="E165" t="s">
        <v>217</v>
      </c>
      <c r="F165">
        <v>1</v>
      </c>
      <c r="G165" t="s">
        <v>193</v>
      </c>
      <c r="H165" t="s">
        <v>194</v>
      </c>
      <c r="I165" t="s">
        <v>4481</v>
      </c>
      <c r="J165" t="s">
        <v>253</v>
      </c>
      <c r="K165">
        <v>18</v>
      </c>
      <c r="L165" t="s">
        <v>666</v>
      </c>
      <c r="M165" s="28" t="str">
        <f t="shared" si="2"/>
        <v>333105</v>
      </c>
    </row>
    <row r="166" spans="1:13" x14ac:dyDescent="0.25">
      <c r="A166" t="s">
        <v>4676</v>
      </c>
      <c r="B166" t="s">
        <v>8</v>
      </c>
      <c r="C166" t="s">
        <v>740</v>
      </c>
      <c r="D166" t="s">
        <v>4491</v>
      </c>
      <c r="E166" t="s">
        <v>192</v>
      </c>
      <c r="F166">
        <v>1</v>
      </c>
      <c r="G166" t="s">
        <v>193</v>
      </c>
      <c r="H166" t="s">
        <v>194</v>
      </c>
      <c r="I166" t="s">
        <v>4507</v>
      </c>
      <c r="J166" t="s">
        <v>210</v>
      </c>
      <c r="K166">
        <v>18</v>
      </c>
      <c r="L166" t="s">
        <v>741</v>
      </c>
      <c r="M166" s="28" t="str">
        <f t="shared" si="2"/>
        <v>522301</v>
      </c>
    </row>
    <row r="167" spans="1:13" x14ac:dyDescent="0.25">
      <c r="A167" t="s">
        <v>4677</v>
      </c>
      <c r="B167" t="s">
        <v>8</v>
      </c>
      <c r="C167" t="s">
        <v>740</v>
      </c>
      <c r="D167" t="s">
        <v>4491</v>
      </c>
      <c r="E167" t="s">
        <v>192</v>
      </c>
      <c r="F167">
        <v>1</v>
      </c>
      <c r="G167" t="s">
        <v>193</v>
      </c>
      <c r="H167" t="s">
        <v>194</v>
      </c>
      <c r="I167" t="s">
        <v>4507</v>
      </c>
      <c r="J167" t="s">
        <v>253</v>
      </c>
      <c r="K167">
        <v>18</v>
      </c>
      <c r="L167" t="s">
        <v>741</v>
      </c>
      <c r="M167" s="28" t="str">
        <f t="shared" si="2"/>
        <v>522301</v>
      </c>
    </row>
    <row r="168" spans="1:13" x14ac:dyDescent="0.25">
      <c r="A168" t="s">
        <v>4678</v>
      </c>
      <c r="B168" t="s">
        <v>4679</v>
      </c>
      <c r="C168" t="s">
        <v>740</v>
      </c>
      <c r="D168" t="s">
        <v>4486</v>
      </c>
      <c r="E168" t="s">
        <v>192</v>
      </c>
      <c r="F168">
        <v>1</v>
      </c>
      <c r="G168" t="s">
        <v>193</v>
      </c>
      <c r="H168" t="s">
        <v>194</v>
      </c>
      <c r="I168" t="s">
        <v>4498</v>
      </c>
      <c r="J168" t="s">
        <v>210</v>
      </c>
      <c r="K168">
        <v>18</v>
      </c>
      <c r="L168" t="s">
        <v>741</v>
      </c>
      <c r="M168" s="28" t="str">
        <f t="shared" si="2"/>
        <v>522301</v>
      </c>
    </row>
    <row r="169" spans="1:13" x14ac:dyDescent="0.25">
      <c r="A169" t="s">
        <v>523</v>
      </c>
      <c r="B169" t="s">
        <v>4680</v>
      </c>
      <c r="C169" t="s">
        <v>525</v>
      </c>
      <c r="D169" t="s">
        <v>4486</v>
      </c>
      <c r="E169" t="s">
        <v>192</v>
      </c>
      <c r="F169">
        <v>1</v>
      </c>
      <c r="G169" t="s">
        <v>193</v>
      </c>
      <c r="H169" t="s">
        <v>194</v>
      </c>
      <c r="I169" t="s">
        <v>4498</v>
      </c>
      <c r="J169" t="s">
        <v>210</v>
      </c>
      <c r="K169">
        <v>18</v>
      </c>
      <c r="L169" t="s">
        <v>526</v>
      </c>
      <c r="M169" s="28" t="str">
        <f t="shared" si="2"/>
        <v>263102</v>
      </c>
    </row>
    <row r="170" spans="1:13" x14ac:dyDescent="0.25">
      <c r="A170" t="s">
        <v>523</v>
      </c>
      <c r="B170" t="s">
        <v>4681</v>
      </c>
      <c r="C170" t="s">
        <v>538</v>
      </c>
      <c r="D170" t="s">
        <v>4480</v>
      </c>
      <c r="E170" t="s">
        <v>192</v>
      </c>
      <c r="F170">
        <v>1</v>
      </c>
      <c r="G170" t="s">
        <v>193</v>
      </c>
      <c r="H170" t="s">
        <v>194</v>
      </c>
      <c r="I170" t="s">
        <v>4498</v>
      </c>
      <c r="J170" t="s">
        <v>210</v>
      </c>
      <c r="K170">
        <v>18</v>
      </c>
      <c r="L170" t="s">
        <v>539</v>
      </c>
      <c r="M170" s="28" t="str">
        <f t="shared" si="2"/>
        <v>263401</v>
      </c>
    </row>
    <row r="171" spans="1:13" x14ac:dyDescent="0.25">
      <c r="A171" t="s">
        <v>523</v>
      </c>
      <c r="B171" t="s">
        <v>4682</v>
      </c>
      <c r="C171" t="s">
        <v>371</v>
      </c>
      <c r="D171" t="s">
        <v>4491</v>
      </c>
      <c r="E171" t="s">
        <v>192</v>
      </c>
      <c r="F171">
        <v>1</v>
      </c>
      <c r="G171" t="s">
        <v>193</v>
      </c>
      <c r="H171" t="s">
        <v>194</v>
      </c>
      <c r="I171" t="s">
        <v>4481</v>
      </c>
      <c r="J171" t="s">
        <v>210</v>
      </c>
      <c r="K171">
        <v>18</v>
      </c>
      <c r="L171" t="s">
        <v>372</v>
      </c>
      <c r="M171" s="28" t="str">
        <f t="shared" si="2"/>
        <v>215202</v>
      </c>
    </row>
    <row r="172" spans="1:13" x14ac:dyDescent="0.25">
      <c r="A172" t="s">
        <v>432</v>
      </c>
      <c r="B172" t="s">
        <v>4683</v>
      </c>
      <c r="C172" t="s">
        <v>43</v>
      </c>
      <c r="D172" t="s">
        <v>4491</v>
      </c>
      <c r="E172" t="s">
        <v>192</v>
      </c>
      <c r="F172">
        <v>1</v>
      </c>
      <c r="G172" t="s">
        <v>193</v>
      </c>
      <c r="H172" t="s">
        <v>194</v>
      </c>
      <c r="I172" t="s">
        <v>4498</v>
      </c>
      <c r="J172" t="s">
        <v>253</v>
      </c>
      <c r="K172">
        <v>18</v>
      </c>
      <c r="L172" t="s">
        <v>452</v>
      </c>
      <c r="M172" s="28" t="str">
        <f t="shared" si="2"/>
        <v>243106</v>
      </c>
    </row>
    <row r="173" spans="1:13" x14ac:dyDescent="0.25">
      <c r="A173" t="s">
        <v>4614</v>
      </c>
      <c r="B173" t="s">
        <v>4684</v>
      </c>
      <c r="C173" t="s">
        <v>4685</v>
      </c>
      <c r="D173" t="s">
        <v>4480</v>
      </c>
      <c r="E173" t="s">
        <v>192</v>
      </c>
      <c r="F173">
        <v>1</v>
      </c>
      <c r="G173" t="s">
        <v>193</v>
      </c>
      <c r="H173" t="s">
        <v>194</v>
      </c>
      <c r="I173" t="s">
        <v>4495</v>
      </c>
      <c r="J173" t="s">
        <v>249</v>
      </c>
      <c r="K173">
        <v>18</v>
      </c>
      <c r="L173" t="s">
        <v>4686</v>
      </c>
      <c r="M173" s="28" t="str">
        <f t="shared" si="2"/>
        <v>722205</v>
      </c>
    </row>
    <row r="174" spans="1:13" x14ac:dyDescent="0.25">
      <c r="A174" t="s">
        <v>4687</v>
      </c>
      <c r="B174" t="s">
        <v>4688</v>
      </c>
      <c r="C174" t="s">
        <v>4689</v>
      </c>
      <c r="D174" t="s">
        <v>4491</v>
      </c>
      <c r="E174" t="s">
        <v>192</v>
      </c>
      <c r="F174">
        <v>1</v>
      </c>
      <c r="G174" t="s">
        <v>193</v>
      </c>
      <c r="H174" t="s">
        <v>194</v>
      </c>
      <c r="I174" t="s">
        <v>4495</v>
      </c>
      <c r="J174" t="s">
        <v>238</v>
      </c>
      <c r="K174">
        <v>18</v>
      </c>
      <c r="L174" t="s">
        <v>4690</v>
      </c>
      <c r="M174" s="28" t="str">
        <f t="shared" si="2"/>
        <v>311103</v>
      </c>
    </row>
    <row r="175" spans="1:13" x14ac:dyDescent="0.25">
      <c r="A175" t="s">
        <v>3078</v>
      </c>
      <c r="B175" t="s">
        <v>4691</v>
      </c>
      <c r="C175" t="s">
        <v>39</v>
      </c>
      <c r="D175" t="s">
        <v>4491</v>
      </c>
      <c r="E175" t="s">
        <v>192</v>
      </c>
      <c r="F175">
        <v>1</v>
      </c>
      <c r="G175" t="s">
        <v>193</v>
      </c>
      <c r="H175" t="s">
        <v>194</v>
      </c>
      <c r="I175" t="s">
        <v>4481</v>
      </c>
      <c r="J175" t="s">
        <v>210</v>
      </c>
      <c r="K175">
        <v>18</v>
      </c>
      <c r="L175" t="s">
        <v>551</v>
      </c>
      <c r="M175" s="28" t="str">
        <f t="shared" si="2"/>
        <v>311204</v>
      </c>
    </row>
    <row r="176" spans="1:13" x14ac:dyDescent="0.25">
      <c r="A176" t="s">
        <v>1945</v>
      </c>
      <c r="B176" t="s">
        <v>4692</v>
      </c>
      <c r="C176" t="s">
        <v>345</v>
      </c>
      <c r="D176" t="s">
        <v>4480</v>
      </c>
      <c r="E176" t="s">
        <v>192</v>
      </c>
      <c r="F176">
        <v>1</v>
      </c>
      <c r="G176" t="s">
        <v>193</v>
      </c>
      <c r="H176" t="s">
        <v>194</v>
      </c>
      <c r="I176" t="s">
        <v>4495</v>
      </c>
      <c r="J176" t="s">
        <v>316</v>
      </c>
      <c r="K176">
        <v>18</v>
      </c>
      <c r="L176" t="s">
        <v>346</v>
      </c>
      <c r="M176" s="28" t="str">
        <f t="shared" si="2"/>
        <v>214931</v>
      </c>
    </row>
    <row r="177" spans="1:13" x14ac:dyDescent="0.25">
      <c r="A177" t="s">
        <v>4693</v>
      </c>
      <c r="B177" t="s">
        <v>4694</v>
      </c>
      <c r="C177" t="s">
        <v>468</v>
      </c>
      <c r="D177" t="s">
        <v>4480</v>
      </c>
      <c r="E177" t="s">
        <v>192</v>
      </c>
      <c r="F177">
        <v>1</v>
      </c>
      <c r="G177" t="s">
        <v>193</v>
      </c>
      <c r="H177" t="s">
        <v>194</v>
      </c>
      <c r="I177" t="s">
        <v>4495</v>
      </c>
      <c r="J177" t="s">
        <v>210</v>
      </c>
      <c r="K177">
        <v>18</v>
      </c>
      <c r="L177" t="s">
        <v>469</v>
      </c>
      <c r="M177" s="28" t="str">
        <f t="shared" si="2"/>
        <v>243303</v>
      </c>
    </row>
    <row r="178" spans="1:13" x14ac:dyDescent="0.25">
      <c r="A178" t="s">
        <v>581</v>
      </c>
      <c r="B178" t="s">
        <v>4695</v>
      </c>
      <c r="C178" t="s">
        <v>2929</v>
      </c>
      <c r="D178" t="s">
        <v>4486</v>
      </c>
      <c r="E178" t="s">
        <v>217</v>
      </c>
      <c r="F178">
        <v>1</v>
      </c>
      <c r="G178" t="s">
        <v>193</v>
      </c>
      <c r="H178" t="s">
        <v>194</v>
      </c>
      <c r="I178" t="s">
        <v>4495</v>
      </c>
      <c r="J178" t="s">
        <v>253</v>
      </c>
      <c r="K178">
        <v>18</v>
      </c>
      <c r="L178" t="s">
        <v>4696</v>
      </c>
      <c r="M178" s="28" t="str">
        <f t="shared" si="2"/>
        <v>722314</v>
      </c>
    </row>
    <row r="179" spans="1:13" s="186" customFormat="1" x14ac:dyDescent="0.25">
      <c r="A179" s="24" t="s">
        <v>4413</v>
      </c>
      <c r="B179" s="24" t="s">
        <v>4697</v>
      </c>
      <c r="C179" s="24" t="s">
        <v>4698</v>
      </c>
      <c r="D179" s="24" t="s">
        <v>4480</v>
      </c>
      <c r="E179" s="24" t="s">
        <v>252</v>
      </c>
      <c r="F179" s="24">
        <v>0</v>
      </c>
      <c r="G179" s="24" t="s">
        <v>194</v>
      </c>
      <c r="H179" s="24" t="s">
        <v>193</v>
      </c>
      <c r="I179" s="24" t="s">
        <v>4495</v>
      </c>
      <c r="J179" s="24" t="s">
        <v>210</v>
      </c>
      <c r="K179" s="24">
        <v>18</v>
      </c>
      <c r="L179" s="24" t="s">
        <v>4699</v>
      </c>
      <c r="M179" s="29" t="str">
        <f t="shared" si="2"/>
        <v>753501</v>
      </c>
    </row>
    <row r="180" spans="1:13" x14ac:dyDescent="0.25">
      <c r="A180" t="s">
        <v>247</v>
      </c>
      <c r="B180" t="s">
        <v>1057</v>
      </c>
      <c r="C180" t="s">
        <v>74</v>
      </c>
      <c r="D180" t="s">
        <v>4491</v>
      </c>
      <c r="E180" t="s">
        <v>192</v>
      </c>
      <c r="F180">
        <v>1</v>
      </c>
      <c r="G180" t="s">
        <v>193</v>
      </c>
      <c r="H180" t="s">
        <v>194</v>
      </c>
      <c r="I180" t="s">
        <v>4495</v>
      </c>
      <c r="J180" t="s">
        <v>367</v>
      </c>
      <c r="K180">
        <v>18</v>
      </c>
      <c r="L180" t="s">
        <v>246</v>
      </c>
      <c r="M180" s="28" t="str">
        <f t="shared" si="2"/>
        <v>142004</v>
      </c>
    </row>
    <row r="181" spans="1:13" x14ac:dyDescent="0.25">
      <c r="A181" t="s">
        <v>4677</v>
      </c>
      <c r="B181" t="s">
        <v>1057</v>
      </c>
      <c r="C181" t="s">
        <v>74</v>
      </c>
      <c r="D181" t="s">
        <v>4491</v>
      </c>
      <c r="E181" t="s">
        <v>192</v>
      </c>
      <c r="F181">
        <v>1</v>
      </c>
      <c r="G181" t="s">
        <v>193</v>
      </c>
      <c r="H181" t="s">
        <v>194</v>
      </c>
      <c r="I181" t="s">
        <v>4495</v>
      </c>
      <c r="J181" t="s">
        <v>253</v>
      </c>
      <c r="K181">
        <v>18</v>
      </c>
      <c r="L181" t="s">
        <v>246</v>
      </c>
      <c r="M181" s="28" t="str">
        <f t="shared" si="2"/>
        <v>142004</v>
      </c>
    </row>
    <row r="275" spans="6:7" s="168" customFormat="1" x14ac:dyDescent="0.25">
      <c r="F275" s="179"/>
      <c r="G275" s="178"/>
    </row>
    <row r="288" spans="6:7" s="168" customFormat="1" x14ac:dyDescent="0.25">
      <c r="F288" s="179"/>
      <c r="G288" s="178"/>
    </row>
    <row r="341" spans="6:7" s="168" customFormat="1" x14ac:dyDescent="0.25">
      <c r="F341" s="179"/>
      <c r="G341" s="178"/>
    </row>
    <row r="352" spans="6:7" s="168" customFormat="1" x14ac:dyDescent="0.25">
      <c r="F352" s="179"/>
      <c r="G352" s="178"/>
    </row>
    <row r="353" spans="6:7" s="168" customFormat="1" x14ac:dyDescent="0.25">
      <c r="F353" s="179"/>
      <c r="G353" s="178"/>
    </row>
    <row r="371" spans="6:7" s="168" customFormat="1" x14ac:dyDescent="0.25">
      <c r="F371" s="179"/>
      <c r="G371" s="178"/>
    </row>
  </sheetData>
  <autoFilter ref="A1:M18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3"/>
  <sheetViews>
    <sheetView zoomScale="80" zoomScaleNormal="80" workbookViewId="0"/>
  </sheetViews>
  <sheetFormatPr defaultRowHeight="15" x14ac:dyDescent="0.25"/>
  <cols>
    <col min="1" max="5" width="9.140625" style="138"/>
    <col min="6" max="6" width="7.28515625" style="196" customWidth="1"/>
    <col min="12" max="12" width="18.42578125" style="28" customWidth="1"/>
    <col min="13" max="13" width="13.5703125" style="238" customWidth="1"/>
    <col min="20" max="20" width="13.5703125" customWidth="1"/>
    <col min="21" max="21" width="3.28515625" customWidth="1"/>
    <col min="22" max="22" width="3" customWidth="1"/>
    <col min="23" max="23" width="10.140625" customWidth="1"/>
    <col min="24" max="24" width="10.7109375" customWidth="1"/>
    <col min="25" max="25" width="2.7109375" customWidth="1"/>
    <col min="26" max="26" width="3.7109375" style="196" customWidth="1"/>
    <col min="27" max="27" width="49" customWidth="1"/>
    <col min="28" max="28" width="1.7109375" customWidth="1"/>
    <col min="30" max="30" width="12.42578125" customWidth="1"/>
    <col min="31" max="31" width="6" style="196" customWidth="1"/>
  </cols>
  <sheetData>
    <row r="1" spans="1:31" s="226" customFormat="1" x14ac:dyDescent="0.25">
      <c r="A1" s="227">
        <v>1</v>
      </c>
      <c r="B1" s="227">
        <v>2</v>
      </c>
      <c r="C1" s="227">
        <v>3</v>
      </c>
      <c r="D1" s="227">
        <v>4</v>
      </c>
      <c r="E1" s="227">
        <v>5</v>
      </c>
      <c r="F1" s="227">
        <v>6</v>
      </c>
      <c r="G1" s="227">
        <v>7</v>
      </c>
      <c r="H1" s="227">
        <v>8</v>
      </c>
      <c r="I1" s="227">
        <v>9</v>
      </c>
      <c r="J1" s="227">
        <v>10</v>
      </c>
      <c r="K1" s="227">
        <v>11</v>
      </c>
      <c r="L1" s="227">
        <v>12</v>
      </c>
      <c r="M1" s="238">
        <v>13</v>
      </c>
      <c r="N1" s="227">
        <v>14</v>
      </c>
      <c r="O1" s="227">
        <v>15</v>
      </c>
      <c r="P1" s="227">
        <v>16</v>
      </c>
      <c r="Q1" s="227">
        <v>17</v>
      </c>
      <c r="R1" s="227">
        <v>18</v>
      </c>
      <c r="S1" s="227">
        <v>19</v>
      </c>
      <c r="T1" s="227">
        <v>20</v>
      </c>
      <c r="Z1" s="28"/>
      <c r="AE1" s="28"/>
    </row>
    <row r="2" spans="1:31" x14ac:dyDescent="0.25">
      <c r="A2" s="228" t="s">
        <v>176</v>
      </c>
      <c r="B2" s="228" t="s">
        <v>177</v>
      </c>
      <c r="C2" s="228" t="s">
        <v>178</v>
      </c>
      <c r="D2" s="228" t="s">
        <v>179</v>
      </c>
      <c r="E2" s="229" t="s">
        <v>900</v>
      </c>
      <c r="F2" s="230" t="s">
        <v>181</v>
      </c>
      <c r="G2" s="231" t="s">
        <v>182</v>
      </c>
      <c r="H2" s="231" t="s">
        <v>183</v>
      </c>
      <c r="I2" s="231" t="s">
        <v>184</v>
      </c>
      <c r="J2" s="231" t="s">
        <v>185</v>
      </c>
      <c r="K2" s="231" t="s">
        <v>186</v>
      </c>
      <c r="L2" s="230" t="s">
        <v>187</v>
      </c>
      <c r="M2" s="239" t="s">
        <v>5760</v>
      </c>
      <c r="N2" s="24" t="s">
        <v>4700</v>
      </c>
      <c r="O2" s="24" t="s">
        <v>4701</v>
      </c>
      <c r="P2" s="24" t="s">
        <v>4702</v>
      </c>
      <c r="Q2" s="24" t="s">
        <v>4703</v>
      </c>
      <c r="R2" s="24" t="s">
        <v>4704</v>
      </c>
      <c r="S2" s="24" t="s">
        <v>4705</v>
      </c>
      <c r="T2" s="24" t="s">
        <v>4706</v>
      </c>
      <c r="AC2" t="s">
        <v>5794</v>
      </c>
    </row>
    <row r="3" spans="1:31" x14ac:dyDescent="0.25">
      <c r="A3" s="138" t="s">
        <v>5585</v>
      </c>
      <c r="B3" s="138" t="s">
        <v>5586</v>
      </c>
      <c r="C3" s="138" t="s">
        <v>103</v>
      </c>
      <c r="D3" s="138" t="s">
        <v>4858</v>
      </c>
      <c r="E3" s="138" t="s">
        <v>192</v>
      </c>
      <c r="F3" s="28">
        <v>1</v>
      </c>
      <c r="G3" t="s">
        <v>193</v>
      </c>
      <c r="H3" t="s">
        <v>194</v>
      </c>
      <c r="I3" t="s">
        <v>5112</v>
      </c>
      <c r="J3" t="s">
        <v>385</v>
      </c>
      <c r="K3">
        <v>18</v>
      </c>
      <c r="L3" s="28" t="s">
        <v>1443</v>
      </c>
      <c r="M3" s="238" t="str">
        <f>MID(L3,8,6)</f>
        <v>132103</v>
      </c>
      <c r="N3" t="s">
        <v>5587</v>
      </c>
      <c r="O3" t="s">
        <v>5588</v>
      </c>
      <c r="P3">
        <v>1861</v>
      </c>
      <c r="Q3">
        <v>1</v>
      </c>
      <c r="T3" t="s">
        <v>4714</v>
      </c>
      <c r="W3" s="187" t="s">
        <v>1071</v>
      </c>
      <c r="X3" s="154">
        <f>COUNTIF(H3:H363,"zaznaczone")</f>
        <v>8</v>
      </c>
      <c r="Z3" s="232">
        <v>1</v>
      </c>
      <c r="AA3" s="232" t="s">
        <v>176</v>
      </c>
      <c r="AC3" s="235">
        <v>10</v>
      </c>
      <c r="AD3" s="234" t="s">
        <v>185</v>
      </c>
      <c r="AE3" s="28">
        <v>1</v>
      </c>
    </row>
    <row r="4" spans="1:31" x14ac:dyDescent="0.25">
      <c r="A4" s="138" t="s">
        <v>5589</v>
      </c>
      <c r="B4" s="138" t="s">
        <v>5590</v>
      </c>
      <c r="C4" s="138" t="s">
        <v>4065</v>
      </c>
      <c r="D4" s="138" t="s">
        <v>4858</v>
      </c>
      <c r="E4" s="138" t="s">
        <v>252</v>
      </c>
      <c r="F4" s="28">
        <v>1</v>
      </c>
      <c r="G4" t="s">
        <v>193</v>
      </c>
      <c r="H4" t="s">
        <v>194</v>
      </c>
      <c r="I4" t="s">
        <v>5112</v>
      </c>
      <c r="J4" t="s">
        <v>210</v>
      </c>
      <c r="K4">
        <v>18</v>
      </c>
      <c r="L4" s="28" t="s">
        <v>4066</v>
      </c>
      <c r="M4" s="238" t="str">
        <f t="shared" ref="M4:M67" si="0">MID(L4,8,6)</f>
        <v>832203</v>
      </c>
      <c r="N4" t="s">
        <v>5591</v>
      </c>
      <c r="O4" t="s">
        <v>4849</v>
      </c>
      <c r="P4">
        <v>1863</v>
      </c>
      <c r="Q4">
        <v>1</v>
      </c>
      <c r="R4" t="s">
        <v>5592</v>
      </c>
      <c r="T4" t="s">
        <v>4714</v>
      </c>
      <c r="W4" s="187" t="s">
        <v>1070</v>
      </c>
      <c r="X4" s="154">
        <f>COUNTIF(H3:H363,"niezaznaczone")</f>
        <v>353</v>
      </c>
      <c r="Z4" s="232">
        <v>2</v>
      </c>
      <c r="AA4" s="232" t="s">
        <v>177</v>
      </c>
      <c r="AC4" s="235">
        <v>14</v>
      </c>
      <c r="AD4" s="234" t="s">
        <v>4700</v>
      </c>
      <c r="AE4" s="28">
        <v>2</v>
      </c>
    </row>
    <row r="5" spans="1:31" x14ac:dyDescent="0.25">
      <c r="A5" s="138" t="s">
        <v>1639</v>
      </c>
      <c r="B5" s="138" t="s">
        <v>5593</v>
      </c>
      <c r="C5" s="138" t="s">
        <v>163</v>
      </c>
      <c r="D5" s="138" t="s">
        <v>4858</v>
      </c>
      <c r="E5" s="138" t="s">
        <v>217</v>
      </c>
      <c r="F5" s="28">
        <v>1</v>
      </c>
      <c r="G5" t="s">
        <v>193</v>
      </c>
      <c r="H5" t="s">
        <v>194</v>
      </c>
      <c r="I5" t="s">
        <v>5112</v>
      </c>
      <c r="J5" t="s">
        <v>210</v>
      </c>
      <c r="K5">
        <v>18</v>
      </c>
      <c r="L5" s="28" t="s">
        <v>697</v>
      </c>
      <c r="M5" s="238" t="str">
        <f>MID(L5,8,6)</f>
        <v>351203</v>
      </c>
      <c r="N5" t="s">
        <v>5594</v>
      </c>
      <c r="O5" t="s">
        <v>5490</v>
      </c>
      <c r="P5">
        <v>1863</v>
      </c>
      <c r="Q5">
        <v>1</v>
      </c>
      <c r="R5" t="s">
        <v>5595</v>
      </c>
      <c r="S5" t="s">
        <v>4904</v>
      </c>
      <c r="T5" t="s">
        <v>4714</v>
      </c>
      <c r="W5" s="189" t="s">
        <v>1072</v>
      </c>
      <c r="X5" s="190">
        <f>SUM(X3:X4)</f>
        <v>361</v>
      </c>
      <c r="Z5" s="232">
        <v>3</v>
      </c>
      <c r="AA5" s="232" t="s">
        <v>178</v>
      </c>
      <c r="AC5" s="235">
        <v>3</v>
      </c>
      <c r="AD5" s="232" t="s">
        <v>178</v>
      </c>
      <c r="AE5" s="28">
        <v>3</v>
      </c>
    </row>
    <row r="6" spans="1:31" x14ac:dyDescent="0.25">
      <c r="A6" s="138" t="s">
        <v>5175</v>
      </c>
      <c r="B6" s="138" t="s">
        <v>5176</v>
      </c>
      <c r="C6" s="138" t="s">
        <v>2644</v>
      </c>
      <c r="D6" s="138" t="s">
        <v>4858</v>
      </c>
      <c r="E6" s="138" t="s">
        <v>192</v>
      </c>
      <c r="F6" s="28">
        <v>1</v>
      </c>
      <c r="G6" t="s">
        <v>193</v>
      </c>
      <c r="H6" t="s">
        <v>194</v>
      </c>
      <c r="I6" t="s">
        <v>5112</v>
      </c>
      <c r="J6" t="s">
        <v>276</v>
      </c>
      <c r="K6">
        <v>18</v>
      </c>
      <c r="L6" s="28" t="s">
        <v>2645</v>
      </c>
      <c r="M6" s="238" t="str">
        <f t="shared" si="0"/>
        <v>311307</v>
      </c>
      <c r="N6" t="s">
        <v>5596</v>
      </c>
      <c r="O6" t="s">
        <v>5202</v>
      </c>
      <c r="P6" t="s">
        <v>5597</v>
      </c>
      <c r="Q6">
        <v>7</v>
      </c>
      <c r="T6" t="s">
        <v>4714</v>
      </c>
      <c r="W6" s="188" t="s">
        <v>1073</v>
      </c>
      <c r="X6" s="154">
        <f>SUM(F3:F363)</f>
        <v>378</v>
      </c>
      <c r="Z6" s="232">
        <v>4</v>
      </c>
      <c r="AA6" s="232" t="s">
        <v>179</v>
      </c>
      <c r="AC6" s="235">
        <v>4</v>
      </c>
      <c r="AD6" s="232" t="s">
        <v>179</v>
      </c>
      <c r="AE6" s="28">
        <v>4</v>
      </c>
    </row>
    <row r="7" spans="1:31" x14ac:dyDescent="0.25">
      <c r="A7" s="138" t="s">
        <v>5518</v>
      </c>
      <c r="B7" s="138" t="s">
        <v>5519</v>
      </c>
      <c r="C7" s="138" t="s">
        <v>740</v>
      </c>
      <c r="D7" s="138" t="s">
        <v>4858</v>
      </c>
      <c r="E7" s="138" t="s">
        <v>192</v>
      </c>
      <c r="F7" s="28">
        <v>4</v>
      </c>
      <c r="G7" t="s">
        <v>193</v>
      </c>
      <c r="H7" t="s">
        <v>194</v>
      </c>
      <c r="I7" t="s">
        <v>5112</v>
      </c>
      <c r="J7" t="s">
        <v>276</v>
      </c>
      <c r="K7">
        <v>18</v>
      </c>
      <c r="L7" s="28" t="s">
        <v>741</v>
      </c>
      <c r="M7" s="238" t="str">
        <f t="shared" si="0"/>
        <v>522301</v>
      </c>
      <c r="N7" t="s">
        <v>5598</v>
      </c>
      <c r="O7" t="s">
        <v>4844</v>
      </c>
      <c r="P7" t="s">
        <v>5599</v>
      </c>
      <c r="Q7">
        <v>4</v>
      </c>
      <c r="T7" t="s">
        <v>4714</v>
      </c>
      <c r="W7" s="189" t="s">
        <v>4475</v>
      </c>
      <c r="X7" s="190">
        <f>ROWS(A3:A363)</f>
        <v>361</v>
      </c>
      <c r="Z7" s="232">
        <v>5</v>
      </c>
      <c r="AA7" s="233" t="s">
        <v>900</v>
      </c>
      <c r="AC7" s="235">
        <v>9</v>
      </c>
      <c r="AD7" s="234" t="s">
        <v>184</v>
      </c>
      <c r="AE7" s="28">
        <v>5</v>
      </c>
    </row>
    <row r="8" spans="1:31" x14ac:dyDescent="0.25">
      <c r="A8" s="138" t="s">
        <v>409</v>
      </c>
      <c r="B8" s="138" t="s">
        <v>537</v>
      </c>
      <c r="C8" s="138" t="s">
        <v>778</v>
      </c>
      <c r="D8" s="138" t="s">
        <v>4858</v>
      </c>
      <c r="E8" s="138" t="s">
        <v>192</v>
      </c>
      <c r="F8" s="28">
        <v>5</v>
      </c>
      <c r="G8" t="s">
        <v>193</v>
      </c>
      <c r="H8" t="s">
        <v>194</v>
      </c>
      <c r="I8" t="s">
        <v>5232</v>
      </c>
      <c r="J8" t="s">
        <v>223</v>
      </c>
      <c r="K8">
        <v>18</v>
      </c>
      <c r="L8" s="28" t="s">
        <v>779</v>
      </c>
      <c r="M8" s="238" t="str">
        <f t="shared" si="0"/>
        <v>524902</v>
      </c>
      <c r="N8" t="s">
        <v>5600</v>
      </c>
      <c r="O8" t="s">
        <v>5588</v>
      </c>
      <c r="P8" t="s">
        <v>5601</v>
      </c>
      <c r="Q8">
        <v>5</v>
      </c>
      <c r="T8" t="s">
        <v>4714</v>
      </c>
      <c r="W8" s="187" t="s">
        <v>5584</v>
      </c>
      <c r="X8" s="154" t="str">
        <f>IF(X5=X7,"zgadza się","Błąd")</f>
        <v>zgadza się</v>
      </c>
      <c r="Z8" s="232">
        <v>6</v>
      </c>
      <c r="AA8" s="232" t="s">
        <v>181</v>
      </c>
      <c r="AC8" s="235">
        <v>15</v>
      </c>
      <c r="AD8" s="234" t="s">
        <v>4701</v>
      </c>
      <c r="AE8" s="28">
        <v>6</v>
      </c>
    </row>
    <row r="9" spans="1:31" x14ac:dyDescent="0.25">
      <c r="A9" s="138" t="s">
        <v>5602</v>
      </c>
      <c r="B9" s="138" t="s">
        <v>2333</v>
      </c>
      <c r="C9" s="138" t="s">
        <v>468</v>
      </c>
      <c r="D9" s="138" t="s">
        <v>4858</v>
      </c>
      <c r="E9" s="138" t="s">
        <v>192</v>
      </c>
      <c r="F9" s="28">
        <v>1</v>
      </c>
      <c r="G9" t="s">
        <v>193</v>
      </c>
      <c r="H9" t="s">
        <v>194</v>
      </c>
      <c r="I9" t="s">
        <v>5112</v>
      </c>
      <c r="J9" t="s">
        <v>223</v>
      </c>
      <c r="K9">
        <v>18</v>
      </c>
      <c r="L9" s="28" t="s">
        <v>469</v>
      </c>
      <c r="M9" s="238" t="str">
        <f t="shared" si="0"/>
        <v>243303</v>
      </c>
      <c r="N9" t="s">
        <v>5603</v>
      </c>
      <c r="O9" t="s">
        <v>5588</v>
      </c>
      <c r="P9" t="s">
        <v>5604</v>
      </c>
      <c r="Q9">
        <v>5</v>
      </c>
      <c r="T9" t="s">
        <v>4714</v>
      </c>
      <c r="Z9" s="232">
        <v>7</v>
      </c>
      <c r="AA9" s="234" t="s">
        <v>182</v>
      </c>
      <c r="AC9" s="235">
        <v>11</v>
      </c>
      <c r="AD9" s="234" t="s">
        <v>186</v>
      </c>
      <c r="AE9" s="28">
        <v>7</v>
      </c>
    </row>
    <row r="10" spans="1:31" x14ac:dyDescent="0.25">
      <c r="A10" s="138" t="s">
        <v>5605</v>
      </c>
      <c r="B10" s="138" t="s">
        <v>5606</v>
      </c>
      <c r="C10" s="138" t="s">
        <v>5607</v>
      </c>
      <c r="D10" s="138" t="s">
        <v>4858</v>
      </c>
      <c r="E10" s="138" t="s">
        <v>192</v>
      </c>
      <c r="F10" s="28">
        <v>1</v>
      </c>
      <c r="G10" t="s">
        <v>193</v>
      </c>
      <c r="H10" t="s">
        <v>194</v>
      </c>
      <c r="I10" t="s">
        <v>5112</v>
      </c>
      <c r="J10" t="s">
        <v>238</v>
      </c>
      <c r="K10">
        <v>18</v>
      </c>
      <c r="L10" s="28" t="s">
        <v>302</v>
      </c>
      <c r="M10" s="238" t="str">
        <f t="shared" si="0"/>
        <v>214402</v>
      </c>
      <c r="N10" t="s">
        <v>5608</v>
      </c>
      <c r="O10" t="s">
        <v>5588</v>
      </c>
      <c r="P10">
        <v>1863</v>
      </c>
      <c r="Q10">
        <v>1</v>
      </c>
      <c r="T10" t="s">
        <v>4714</v>
      </c>
      <c r="Z10" s="232">
        <v>8</v>
      </c>
      <c r="AA10" s="234" t="s">
        <v>183</v>
      </c>
      <c r="AC10" s="235">
        <v>16</v>
      </c>
      <c r="AD10" s="234" t="s">
        <v>4702</v>
      </c>
      <c r="AE10" s="28">
        <v>8</v>
      </c>
    </row>
    <row r="11" spans="1:31" x14ac:dyDescent="0.25">
      <c r="A11" s="138" t="s">
        <v>572</v>
      </c>
      <c r="B11" s="138" t="s">
        <v>1378</v>
      </c>
      <c r="C11" s="138" t="s">
        <v>1379</v>
      </c>
      <c r="D11" s="138" t="s">
        <v>4858</v>
      </c>
      <c r="E11" s="138" t="s">
        <v>192</v>
      </c>
      <c r="F11" s="28">
        <v>1</v>
      </c>
      <c r="G11" t="s">
        <v>193</v>
      </c>
      <c r="H11" t="s">
        <v>194</v>
      </c>
      <c r="I11" t="s">
        <v>5232</v>
      </c>
      <c r="J11" t="s">
        <v>385</v>
      </c>
      <c r="K11">
        <v>18</v>
      </c>
      <c r="L11" s="28" t="s">
        <v>1380</v>
      </c>
      <c r="M11" s="238" t="str">
        <f t="shared" si="0"/>
        <v>713201</v>
      </c>
      <c r="N11" t="s">
        <v>5609</v>
      </c>
      <c r="O11" t="s">
        <v>5588</v>
      </c>
      <c r="P11">
        <v>1861</v>
      </c>
      <c r="Q11">
        <v>1</v>
      </c>
      <c r="T11" t="s">
        <v>4714</v>
      </c>
      <c r="Z11" s="232">
        <v>9</v>
      </c>
      <c r="AA11" s="234" t="s">
        <v>184</v>
      </c>
      <c r="AC11" s="235">
        <v>12</v>
      </c>
      <c r="AD11" s="232" t="s">
        <v>187</v>
      </c>
      <c r="AE11" s="28">
        <v>9</v>
      </c>
    </row>
    <row r="12" spans="1:31" x14ac:dyDescent="0.25">
      <c r="A12" s="138" t="s">
        <v>572</v>
      </c>
      <c r="B12" s="138" t="s">
        <v>1378</v>
      </c>
      <c r="C12" s="138" t="s">
        <v>1379</v>
      </c>
      <c r="D12" s="138" t="s">
        <v>4858</v>
      </c>
      <c r="E12" s="138" t="s">
        <v>192</v>
      </c>
      <c r="F12" s="28">
        <v>1</v>
      </c>
      <c r="G12" t="s">
        <v>193</v>
      </c>
      <c r="H12" t="s">
        <v>194</v>
      </c>
      <c r="I12" t="s">
        <v>5232</v>
      </c>
      <c r="J12" t="s">
        <v>575</v>
      </c>
      <c r="K12">
        <v>18</v>
      </c>
      <c r="L12" s="28" t="s">
        <v>1380</v>
      </c>
      <c r="M12" s="238" t="str">
        <f t="shared" si="0"/>
        <v>713201</v>
      </c>
      <c r="N12" t="s">
        <v>5610</v>
      </c>
      <c r="O12" t="s">
        <v>5588</v>
      </c>
      <c r="P12">
        <v>1816</v>
      </c>
      <c r="Q12">
        <v>1</v>
      </c>
      <c r="T12" t="s">
        <v>4714</v>
      </c>
      <c r="Z12" s="232">
        <v>10</v>
      </c>
      <c r="AA12" s="234" t="s">
        <v>185</v>
      </c>
      <c r="AC12" s="235">
        <v>6</v>
      </c>
      <c r="AD12" s="232" t="s">
        <v>181</v>
      </c>
      <c r="AE12" s="28">
        <v>10</v>
      </c>
    </row>
    <row r="13" spans="1:31" x14ac:dyDescent="0.25">
      <c r="A13" s="138" t="s">
        <v>572</v>
      </c>
      <c r="B13" s="138" t="s">
        <v>5611</v>
      </c>
      <c r="C13" s="138" t="s">
        <v>319</v>
      </c>
      <c r="D13" s="138" t="s">
        <v>4858</v>
      </c>
      <c r="E13" s="138" t="s">
        <v>192</v>
      </c>
      <c r="F13" s="28">
        <v>1</v>
      </c>
      <c r="G13" t="s">
        <v>193</v>
      </c>
      <c r="H13" t="s">
        <v>194</v>
      </c>
      <c r="I13" t="s">
        <v>5112</v>
      </c>
      <c r="J13" t="s">
        <v>385</v>
      </c>
      <c r="K13">
        <v>18</v>
      </c>
      <c r="L13" s="28" t="s">
        <v>320</v>
      </c>
      <c r="M13" s="238" t="str">
        <f t="shared" si="0"/>
        <v>214407</v>
      </c>
      <c r="N13" t="s">
        <v>5612</v>
      </c>
      <c r="O13" t="s">
        <v>5588</v>
      </c>
      <c r="P13">
        <v>1861</v>
      </c>
      <c r="Q13">
        <v>1</v>
      </c>
      <c r="T13" t="s">
        <v>4714</v>
      </c>
      <c r="Z13" s="232">
        <v>11</v>
      </c>
      <c r="AA13" s="234" t="s">
        <v>186</v>
      </c>
      <c r="AC13" s="235">
        <v>17</v>
      </c>
      <c r="AD13" s="234" t="s">
        <v>4703</v>
      </c>
      <c r="AE13" s="28">
        <v>11</v>
      </c>
    </row>
    <row r="14" spans="1:31" x14ac:dyDescent="0.25">
      <c r="A14" s="138" t="s">
        <v>572</v>
      </c>
      <c r="B14" s="138" t="s">
        <v>5613</v>
      </c>
      <c r="C14" s="138" t="s">
        <v>29</v>
      </c>
      <c r="D14" s="138" t="s">
        <v>4858</v>
      </c>
      <c r="E14" s="138" t="s">
        <v>192</v>
      </c>
      <c r="F14" s="28">
        <v>1</v>
      </c>
      <c r="G14" t="s">
        <v>193</v>
      </c>
      <c r="H14" t="s">
        <v>194</v>
      </c>
      <c r="I14" t="s">
        <v>5112</v>
      </c>
      <c r="J14" t="s">
        <v>385</v>
      </c>
      <c r="K14">
        <v>18</v>
      </c>
      <c r="L14" s="28" t="s">
        <v>808</v>
      </c>
      <c r="M14" s="238" t="str">
        <f t="shared" si="0"/>
        <v>722308</v>
      </c>
      <c r="N14" t="s">
        <v>5614</v>
      </c>
      <c r="O14" t="s">
        <v>5588</v>
      </c>
      <c r="P14">
        <v>1861</v>
      </c>
      <c r="Q14">
        <v>1</v>
      </c>
      <c r="T14" t="s">
        <v>4714</v>
      </c>
      <c r="Z14" s="232">
        <v>12</v>
      </c>
      <c r="AA14" s="232" t="s">
        <v>187</v>
      </c>
      <c r="AC14" s="235">
        <v>18</v>
      </c>
      <c r="AD14" s="234" t="s">
        <v>4704</v>
      </c>
      <c r="AE14" s="28">
        <v>12</v>
      </c>
    </row>
    <row r="15" spans="1:31" x14ac:dyDescent="0.25">
      <c r="A15" s="138" t="s">
        <v>572</v>
      </c>
      <c r="B15" s="138" t="s">
        <v>5613</v>
      </c>
      <c r="C15" s="138" t="s">
        <v>29</v>
      </c>
      <c r="D15" s="138" t="s">
        <v>4858</v>
      </c>
      <c r="E15" s="138" t="s">
        <v>192</v>
      </c>
      <c r="F15" s="28">
        <v>1</v>
      </c>
      <c r="G15" t="s">
        <v>193</v>
      </c>
      <c r="H15" t="s">
        <v>194</v>
      </c>
      <c r="I15" t="s">
        <v>5112</v>
      </c>
      <c r="J15" t="s">
        <v>575</v>
      </c>
      <c r="K15">
        <v>18</v>
      </c>
      <c r="L15" s="28" t="s">
        <v>808</v>
      </c>
      <c r="M15" s="238" t="str">
        <f t="shared" si="0"/>
        <v>722308</v>
      </c>
      <c r="N15" t="s">
        <v>5615</v>
      </c>
      <c r="O15" t="s">
        <v>5588</v>
      </c>
      <c r="P15">
        <v>1816</v>
      </c>
      <c r="Q15">
        <v>1</v>
      </c>
      <c r="T15" t="s">
        <v>4714</v>
      </c>
      <c r="Z15" s="236">
        <v>13</v>
      </c>
      <c r="AA15" s="236" t="s">
        <v>5760</v>
      </c>
      <c r="AC15" s="235">
        <v>19</v>
      </c>
      <c r="AD15" s="234" t="s">
        <v>4705</v>
      </c>
      <c r="AE15" s="28">
        <v>13</v>
      </c>
    </row>
    <row r="16" spans="1:31" x14ac:dyDescent="0.25">
      <c r="A16" s="138" t="s">
        <v>572</v>
      </c>
      <c r="B16" s="138" t="s">
        <v>1802</v>
      </c>
      <c r="C16" s="138" t="s">
        <v>118</v>
      </c>
      <c r="D16" s="138" t="s">
        <v>4858</v>
      </c>
      <c r="E16" s="138" t="s">
        <v>192</v>
      </c>
      <c r="F16" s="28">
        <v>1</v>
      </c>
      <c r="G16" t="s">
        <v>193</v>
      </c>
      <c r="H16" t="s">
        <v>194</v>
      </c>
      <c r="I16" t="s">
        <v>5112</v>
      </c>
      <c r="J16" t="s">
        <v>385</v>
      </c>
      <c r="K16">
        <v>18</v>
      </c>
      <c r="L16" s="28" t="s">
        <v>277</v>
      </c>
      <c r="M16" s="238" t="str">
        <f t="shared" si="0"/>
        <v>211302</v>
      </c>
      <c r="N16" t="s">
        <v>5616</v>
      </c>
      <c r="O16" t="s">
        <v>5588</v>
      </c>
      <c r="P16">
        <v>1861</v>
      </c>
      <c r="Q16">
        <v>1</v>
      </c>
      <c r="T16" t="s">
        <v>4714</v>
      </c>
      <c r="Z16" s="232">
        <v>14</v>
      </c>
      <c r="AA16" s="234" t="s">
        <v>4700</v>
      </c>
      <c r="AC16" s="235">
        <v>8</v>
      </c>
      <c r="AD16" s="234" t="s">
        <v>183</v>
      </c>
      <c r="AE16" s="28">
        <v>14</v>
      </c>
    </row>
    <row r="17" spans="1:31" x14ac:dyDescent="0.25">
      <c r="A17" s="138" t="s">
        <v>572</v>
      </c>
      <c r="B17" s="138" t="s">
        <v>1802</v>
      </c>
      <c r="C17" s="138" t="s">
        <v>118</v>
      </c>
      <c r="D17" s="138" t="s">
        <v>4858</v>
      </c>
      <c r="E17" s="138" t="s">
        <v>192</v>
      </c>
      <c r="F17" s="28">
        <v>1</v>
      </c>
      <c r="G17" t="s">
        <v>193</v>
      </c>
      <c r="H17" t="s">
        <v>194</v>
      </c>
      <c r="I17" t="s">
        <v>5112</v>
      </c>
      <c r="J17" t="s">
        <v>575</v>
      </c>
      <c r="K17">
        <v>18</v>
      </c>
      <c r="L17" s="28" t="s">
        <v>277</v>
      </c>
      <c r="M17" s="238" t="str">
        <f t="shared" si="0"/>
        <v>211302</v>
      </c>
      <c r="N17" t="s">
        <v>5617</v>
      </c>
      <c r="O17" t="s">
        <v>5588</v>
      </c>
      <c r="P17">
        <v>1816</v>
      </c>
      <c r="Q17">
        <v>1</v>
      </c>
      <c r="T17" t="s">
        <v>4714</v>
      </c>
      <c r="Z17" s="232">
        <v>15</v>
      </c>
      <c r="AA17" s="234" t="s">
        <v>4701</v>
      </c>
      <c r="AC17" s="235">
        <v>1</v>
      </c>
      <c r="AD17" s="232" t="s">
        <v>176</v>
      </c>
      <c r="AE17" s="28">
        <v>15</v>
      </c>
    </row>
    <row r="18" spans="1:31" x14ac:dyDescent="0.25">
      <c r="A18" s="138" t="s">
        <v>1748</v>
      </c>
      <c r="B18" s="138" t="s">
        <v>5618</v>
      </c>
      <c r="C18" s="138" t="s">
        <v>2993</v>
      </c>
      <c r="D18" s="138" t="s">
        <v>4858</v>
      </c>
      <c r="E18" s="138" t="s">
        <v>192</v>
      </c>
      <c r="F18" s="28">
        <v>1</v>
      </c>
      <c r="G18" t="s">
        <v>193</v>
      </c>
      <c r="H18" t="s">
        <v>194</v>
      </c>
      <c r="I18" t="s">
        <v>5112</v>
      </c>
      <c r="J18" t="s">
        <v>210</v>
      </c>
      <c r="K18">
        <v>18</v>
      </c>
      <c r="L18" s="28" t="s">
        <v>3793</v>
      </c>
      <c r="M18" s="238" t="str">
        <f t="shared" si="0"/>
        <v>251904</v>
      </c>
      <c r="N18" t="s">
        <v>5619</v>
      </c>
      <c r="O18" t="s">
        <v>5588</v>
      </c>
      <c r="P18">
        <v>1863</v>
      </c>
      <c r="Q18">
        <v>1</v>
      </c>
      <c r="T18" t="s">
        <v>4714</v>
      </c>
      <c r="Z18" s="232">
        <v>16</v>
      </c>
      <c r="AA18" s="234" t="s">
        <v>4702</v>
      </c>
      <c r="AC18" s="235">
        <v>2</v>
      </c>
      <c r="AD18" s="232" t="s">
        <v>177</v>
      </c>
      <c r="AE18" s="28">
        <v>16</v>
      </c>
    </row>
    <row r="19" spans="1:31" x14ac:dyDescent="0.25">
      <c r="A19" s="138" t="s">
        <v>888</v>
      </c>
      <c r="B19" s="138" t="s">
        <v>67</v>
      </c>
      <c r="C19" s="138" t="s">
        <v>67</v>
      </c>
      <c r="D19" s="138" t="s">
        <v>4858</v>
      </c>
      <c r="E19" s="138" t="s">
        <v>217</v>
      </c>
      <c r="F19" s="28">
        <v>1</v>
      </c>
      <c r="G19" t="s">
        <v>193</v>
      </c>
      <c r="H19" t="s">
        <v>194</v>
      </c>
      <c r="I19" t="s">
        <v>5112</v>
      </c>
      <c r="J19" t="s">
        <v>385</v>
      </c>
      <c r="K19">
        <v>18</v>
      </c>
      <c r="L19" s="28" t="s">
        <v>709</v>
      </c>
      <c r="M19" s="238" t="str">
        <f t="shared" si="0"/>
        <v>432103</v>
      </c>
      <c r="N19" t="s">
        <v>5277</v>
      </c>
      <c r="O19" t="s">
        <v>5278</v>
      </c>
      <c r="P19">
        <v>1861</v>
      </c>
      <c r="Q19">
        <v>1</v>
      </c>
      <c r="R19" t="s">
        <v>5279</v>
      </c>
      <c r="S19" t="s">
        <v>5280</v>
      </c>
      <c r="T19" t="s">
        <v>4714</v>
      </c>
      <c r="Z19" s="232">
        <v>17</v>
      </c>
      <c r="AA19" s="234" t="s">
        <v>4703</v>
      </c>
      <c r="AC19" s="235">
        <v>20</v>
      </c>
      <c r="AD19" s="234" t="s">
        <v>4706</v>
      </c>
      <c r="AE19" s="28">
        <v>17</v>
      </c>
    </row>
    <row r="20" spans="1:31" x14ac:dyDescent="0.25">
      <c r="A20" s="138" t="s">
        <v>888</v>
      </c>
      <c r="B20" s="138" t="s">
        <v>885</v>
      </c>
      <c r="C20" s="138" t="s">
        <v>886</v>
      </c>
      <c r="D20" s="138" t="s">
        <v>4858</v>
      </c>
      <c r="E20" s="138" t="s">
        <v>217</v>
      </c>
      <c r="F20" s="28">
        <v>1</v>
      </c>
      <c r="G20" t="s">
        <v>193</v>
      </c>
      <c r="H20" t="s">
        <v>194</v>
      </c>
      <c r="I20" t="s">
        <v>5112</v>
      </c>
      <c r="J20" t="s">
        <v>385</v>
      </c>
      <c r="K20">
        <v>18</v>
      </c>
      <c r="L20" s="28" t="s">
        <v>887</v>
      </c>
      <c r="M20" s="238" t="str">
        <f t="shared" si="0"/>
        <v>834401</v>
      </c>
      <c r="N20" t="s">
        <v>5398</v>
      </c>
      <c r="O20" t="s">
        <v>5278</v>
      </c>
      <c r="P20">
        <v>1861</v>
      </c>
      <c r="Q20">
        <v>1</v>
      </c>
      <c r="R20" t="s">
        <v>5399</v>
      </c>
      <c r="S20" t="s">
        <v>5400</v>
      </c>
      <c r="T20" t="s">
        <v>4714</v>
      </c>
      <c r="Z20" s="232">
        <v>18</v>
      </c>
      <c r="AA20" s="234" t="s">
        <v>4704</v>
      </c>
      <c r="AC20" s="235">
        <v>7</v>
      </c>
      <c r="AD20" s="234" t="s">
        <v>182</v>
      </c>
      <c r="AE20" s="28">
        <v>18</v>
      </c>
    </row>
    <row r="21" spans="1:31" x14ac:dyDescent="0.25">
      <c r="A21" s="138" t="s">
        <v>5620</v>
      </c>
      <c r="B21" s="138" t="s">
        <v>1396</v>
      </c>
      <c r="C21" s="138" t="s">
        <v>770</v>
      </c>
      <c r="D21" s="138" t="s">
        <v>4858</v>
      </c>
      <c r="E21" s="138" t="s">
        <v>192</v>
      </c>
      <c r="F21" s="28">
        <v>1</v>
      </c>
      <c r="G21" t="s">
        <v>193</v>
      </c>
      <c r="H21" t="s">
        <v>194</v>
      </c>
      <c r="I21" t="s">
        <v>5112</v>
      </c>
      <c r="J21" t="s">
        <v>253</v>
      </c>
      <c r="K21">
        <v>18</v>
      </c>
      <c r="L21" s="28" t="s">
        <v>772</v>
      </c>
      <c r="M21" s="238" t="str">
        <f t="shared" si="0"/>
        <v>522305</v>
      </c>
      <c r="N21" t="s">
        <v>5621</v>
      </c>
      <c r="O21" t="s">
        <v>5588</v>
      </c>
      <c r="P21">
        <v>1811</v>
      </c>
      <c r="Q21">
        <v>1</v>
      </c>
      <c r="T21" t="s">
        <v>4714</v>
      </c>
      <c r="Z21" s="232">
        <v>19</v>
      </c>
      <c r="AA21" s="234" t="s">
        <v>4705</v>
      </c>
      <c r="AC21" s="235">
        <v>5</v>
      </c>
      <c r="AD21" s="232" t="s">
        <v>900</v>
      </c>
      <c r="AE21" s="28">
        <v>19</v>
      </c>
    </row>
    <row r="22" spans="1:31" x14ac:dyDescent="0.25">
      <c r="A22" s="138" t="s">
        <v>5622</v>
      </c>
      <c r="B22" s="138" t="s">
        <v>5623</v>
      </c>
      <c r="C22" s="138" t="s">
        <v>2644</v>
      </c>
      <c r="D22" s="138" t="s">
        <v>4858</v>
      </c>
      <c r="E22" s="138" t="s">
        <v>217</v>
      </c>
      <c r="F22" s="28">
        <v>1</v>
      </c>
      <c r="G22" t="s">
        <v>193</v>
      </c>
      <c r="H22" t="s">
        <v>194</v>
      </c>
      <c r="I22" t="s">
        <v>5112</v>
      </c>
      <c r="J22" t="s">
        <v>5098</v>
      </c>
      <c r="K22">
        <v>18</v>
      </c>
      <c r="L22" s="28" t="s">
        <v>2645</v>
      </c>
      <c r="M22" s="238" t="str">
        <f t="shared" si="0"/>
        <v>311307</v>
      </c>
      <c r="N22" t="s">
        <v>5624</v>
      </c>
      <c r="O22" t="s">
        <v>5625</v>
      </c>
      <c r="P22">
        <v>1803</v>
      </c>
      <c r="Q22">
        <v>1</v>
      </c>
      <c r="R22" t="s">
        <v>5626</v>
      </c>
      <c r="S22" t="s">
        <v>5627</v>
      </c>
      <c r="T22" t="s">
        <v>4714</v>
      </c>
      <c r="Z22" s="232">
        <v>20</v>
      </c>
      <c r="AA22" s="234" t="s">
        <v>4706</v>
      </c>
      <c r="AC22" s="237">
        <v>13</v>
      </c>
      <c r="AD22" s="236" t="s">
        <v>5760</v>
      </c>
      <c r="AE22" s="227">
        <v>20</v>
      </c>
    </row>
    <row r="23" spans="1:31" x14ac:dyDescent="0.25">
      <c r="A23" s="138" t="s">
        <v>5628</v>
      </c>
      <c r="B23" s="138" t="s">
        <v>5629</v>
      </c>
      <c r="C23" s="138" t="s">
        <v>5236</v>
      </c>
      <c r="D23" s="138" t="s">
        <v>4858</v>
      </c>
      <c r="E23" s="138" t="s">
        <v>233</v>
      </c>
      <c r="F23" s="28">
        <v>1</v>
      </c>
      <c r="G23" t="s">
        <v>193</v>
      </c>
      <c r="H23" t="s">
        <v>194</v>
      </c>
      <c r="I23" t="s">
        <v>5112</v>
      </c>
      <c r="J23" t="s">
        <v>210</v>
      </c>
      <c r="K23">
        <v>18</v>
      </c>
      <c r="L23" s="28" t="s">
        <v>5237</v>
      </c>
      <c r="M23" s="238" t="str">
        <f t="shared" si="0"/>
        <v>712604</v>
      </c>
      <c r="N23" t="s">
        <v>5630</v>
      </c>
      <c r="O23" t="s">
        <v>5631</v>
      </c>
      <c r="P23">
        <v>1863</v>
      </c>
      <c r="Q23">
        <v>1</v>
      </c>
      <c r="R23" t="s">
        <v>5632</v>
      </c>
      <c r="S23" t="s">
        <v>5633</v>
      </c>
      <c r="T23" t="s">
        <v>4714</v>
      </c>
    </row>
    <row r="24" spans="1:31" x14ac:dyDescent="0.25">
      <c r="A24" s="138" t="s">
        <v>5634</v>
      </c>
      <c r="B24" s="138" t="s">
        <v>5635</v>
      </c>
      <c r="C24" s="138" t="s">
        <v>4768</v>
      </c>
      <c r="D24" s="138" t="s">
        <v>4858</v>
      </c>
      <c r="E24" s="138" t="s">
        <v>233</v>
      </c>
      <c r="F24" s="28">
        <v>1</v>
      </c>
      <c r="G24" t="s">
        <v>193</v>
      </c>
      <c r="H24" t="s">
        <v>194</v>
      </c>
      <c r="I24" t="s">
        <v>5112</v>
      </c>
      <c r="J24" t="s">
        <v>196</v>
      </c>
      <c r="K24">
        <v>18</v>
      </c>
      <c r="L24" s="28" t="s">
        <v>2659</v>
      </c>
      <c r="M24" s="238" t="str">
        <f t="shared" si="0"/>
        <v>311508</v>
      </c>
      <c r="N24" t="s">
        <v>5636</v>
      </c>
      <c r="O24" t="s">
        <v>5588</v>
      </c>
      <c r="Q24">
        <v>25</v>
      </c>
      <c r="R24" t="s">
        <v>5637</v>
      </c>
      <c r="S24" t="s">
        <v>5638</v>
      </c>
      <c r="T24" t="s">
        <v>4714</v>
      </c>
    </row>
    <row r="25" spans="1:31" x14ac:dyDescent="0.25">
      <c r="A25" s="138" t="s">
        <v>446</v>
      </c>
      <c r="B25" s="138" t="s">
        <v>4864</v>
      </c>
      <c r="C25" s="138" t="s">
        <v>740</v>
      </c>
      <c r="D25" s="138" t="s">
        <v>4858</v>
      </c>
      <c r="E25" s="138" t="s">
        <v>192</v>
      </c>
      <c r="F25" s="28">
        <v>1</v>
      </c>
      <c r="G25" t="s">
        <v>193</v>
      </c>
      <c r="H25" t="s">
        <v>194</v>
      </c>
      <c r="I25" t="s">
        <v>5112</v>
      </c>
      <c r="J25" t="s">
        <v>1059</v>
      </c>
      <c r="K25">
        <v>18</v>
      </c>
      <c r="L25" s="28" t="s">
        <v>741</v>
      </c>
      <c r="M25" s="238" t="str">
        <f t="shared" si="0"/>
        <v>522301</v>
      </c>
      <c r="N25" t="s">
        <v>5639</v>
      </c>
      <c r="O25" t="s">
        <v>5082</v>
      </c>
      <c r="P25">
        <v>1809</v>
      </c>
      <c r="Q25">
        <v>1</v>
      </c>
      <c r="T25" t="s">
        <v>4714</v>
      </c>
    </row>
    <row r="26" spans="1:31" x14ac:dyDescent="0.25">
      <c r="A26" s="138" t="s">
        <v>382</v>
      </c>
      <c r="B26" s="138" t="s">
        <v>4785</v>
      </c>
      <c r="C26" s="138" t="s">
        <v>67</v>
      </c>
      <c r="D26" s="138" t="s">
        <v>4858</v>
      </c>
      <c r="E26" s="138" t="s">
        <v>233</v>
      </c>
      <c r="F26" s="28">
        <v>1</v>
      </c>
      <c r="G26" t="s">
        <v>193</v>
      </c>
      <c r="H26" t="s">
        <v>194</v>
      </c>
      <c r="I26" t="s">
        <v>5112</v>
      </c>
      <c r="J26" t="s">
        <v>253</v>
      </c>
      <c r="K26">
        <v>18</v>
      </c>
      <c r="L26" s="28" t="s">
        <v>709</v>
      </c>
      <c r="M26" s="238" t="str">
        <f t="shared" si="0"/>
        <v>432103</v>
      </c>
      <c r="N26" t="s">
        <v>5640</v>
      </c>
      <c r="O26" t="s">
        <v>5641</v>
      </c>
      <c r="P26">
        <v>1811</v>
      </c>
      <c r="Q26">
        <v>1</v>
      </c>
      <c r="R26" t="s">
        <v>4788</v>
      </c>
      <c r="S26" t="s">
        <v>4789</v>
      </c>
      <c r="T26" t="s">
        <v>4714</v>
      </c>
    </row>
    <row r="27" spans="1:31" x14ac:dyDescent="0.25">
      <c r="A27" s="138" t="s">
        <v>314</v>
      </c>
      <c r="B27" s="138" t="s">
        <v>5642</v>
      </c>
      <c r="C27" s="138" t="s">
        <v>371</v>
      </c>
      <c r="D27" s="138" t="s">
        <v>4858</v>
      </c>
      <c r="E27" s="138" t="s">
        <v>192</v>
      </c>
      <c r="F27" s="28">
        <v>1</v>
      </c>
      <c r="G27" t="s">
        <v>193</v>
      </c>
      <c r="H27" t="s">
        <v>194</v>
      </c>
      <c r="I27" t="s">
        <v>5112</v>
      </c>
      <c r="J27" t="s">
        <v>316</v>
      </c>
      <c r="K27">
        <v>18</v>
      </c>
      <c r="L27" s="28" t="s">
        <v>372</v>
      </c>
      <c r="M27" s="238" t="str">
        <f t="shared" si="0"/>
        <v>215202</v>
      </c>
      <c r="N27" t="s">
        <v>5643</v>
      </c>
      <c r="O27" t="s">
        <v>5588</v>
      </c>
      <c r="P27">
        <v>1818</v>
      </c>
      <c r="Q27">
        <v>1</v>
      </c>
      <c r="T27" t="s">
        <v>4714</v>
      </c>
    </row>
    <row r="28" spans="1:31" x14ac:dyDescent="0.25">
      <c r="A28" s="138" t="s">
        <v>552</v>
      </c>
      <c r="B28" s="138" t="s">
        <v>657</v>
      </c>
      <c r="C28" s="138" t="s">
        <v>122</v>
      </c>
      <c r="D28" s="138" t="s">
        <v>4858</v>
      </c>
      <c r="E28" s="138" t="s">
        <v>192</v>
      </c>
      <c r="F28" s="28">
        <v>1</v>
      </c>
      <c r="G28" t="s">
        <v>193</v>
      </c>
      <c r="H28" t="s">
        <v>194</v>
      </c>
      <c r="I28" t="s">
        <v>5112</v>
      </c>
      <c r="J28" t="s">
        <v>253</v>
      </c>
      <c r="K28">
        <v>18</v>
      </c>
      <c r="L28" s="28" t="s">
        <v>655</v>
      </c>
      <c r="M28" s="238" t="str">
        <f t="shared" si="0"/>
        <v>332301</v>
      </c>
      <c r="N28" t="s">
        <v>5644</v>
      </c>
      <c r="O28" t="s">
        <v>5588</v>
      </c>
      <c r="P28">
        <v>1811</v>
      </c>
      <c r="Q28">
        <v>1</v>
      </c>
      <c r="T28" t="s">
        <v>4714</v>
      </c>
    </row>
    <row r="29" spans="1:31" x14ac:dyDescent="0.25">
      <c r="A29" s="138" t="s">
        <v>540</v>
      </c>
      <c r="B29" s="138" t="s">
        <v>356</v>
      </c>
      <c r="C29" s="138" t="s">
        <v>863</v>
      </c>
      <c r="D29" s="138" t="s">
        <v>4858</v>
      </c>
      <c r="E29" s="138" t="s">
        <v>217</v>
      </c>
      <c r="F29" s="28">
        <v>1</v>
      </c>
      <c r="G29" t="s">
        <v>193</v>
      </c>
      <c r="H29" t="s">
        <v>194</v>
      </c>
      <c r="I29" t="s">
        <v>5112</v>
      </c>
      <c r="J29" t="s">
        <v>210</v>
      </c>
      <c r="K29">
        <v>18</v>
      </c>
      <c r="L29" s="28" t="s">
        <v>864</v>
      </c>
      <c r="M29" s="238" t="str">
        <f t="shared" si="0"/>
        <v>814208</v>
      </c>
      <c r="N29" t="s">
        <v>5645</v>
      </c>
      <c r="O29" t="s">
        <v>5112</v>
      </c>
      <c r="P29">
        <v>1863</v>
      </c>
      <c r="Q29">
        <v>1</v>
      </c>
      <c r="R29" t="s">
        <v>5646</v>
      </c>
      <c r="S29" t="s">
        <v>5204</v>
      </c>
      <c r="T29" t="s">
        <v>4714</v>
      </c>
    </row>
    <row r="30" spans="1:31" x14ac:dyDescent="0.25">
      <c r="A30" s="138" t="s">
        <v>540</v>
      </c>
      <c r="B30" s="138" t="s">
        <v>4754</v>
      </c>
      <c r="C30" s="138" t="s">
        <v>4565</v>
      </c>
      <c r="D30" s="138" t="s">
        <v>4858</v>
      </c>
      <c r="E30" s="138" t="s">
        <v>217</v>
      </c>
      <c r="F30" s="28">
        <v>1</v>
      </c>
      <c r="G30" t="s">
        <v>193</v>
      </c>
      <c r="H30" t="s">
        <v>194</v>
      </c>
      <c r="I30" t="s">
        <v>5112</v>
      </c>
      <c r="J30" t="s">
        <v>210</v>
      </c>
      <c r="K30">
        <v>18</v>
      </c>
      <c r="L30" s="28" t="s">
        <v>4566</v>
      </c>
      <c r="M30" s="238" t="str">
        <f t="shared" si="0"/>
        <v>311514</v>
      </c>
      <c r="N30" t="s">
        <v>5647</v>
      </c>
      <c r="O30" t="s">
        <v>5648</v>
      </c>
      <c r="P30">
        <v>1863</v>
      </c>
      <c r="Q30">
        <v>1</v>
      </c>
      <c r="R30" t="s">
        <v>5649</v>
      </c>
      <c r="S30" t="s">
        <v>5650</v>
      </c>
      <c r="T30" t="s">
        <v>4714</v>
      </c>
    </row>
    <row r="31" spans="1:31" x14ac:dyDescent="0.25">
      <c r="A31" s="138" t="s">
        <v>5651</v>
      </c>
      <c r="B31" s="138" t="s">
        <v>5652</v>
      </c>
      <c r="C31" s="138" t="s">
        <v>3991</v>
      </c>
      <c r="D31" s="138" t="s">
        <v>4858</v>
      </c>
      <c r="E31" s="138" t="s">
        <v>233</v>
      </c>
      <c r="F31" s="28">
        <v>1</v>
      </c>
      <c r="G31" t="s">
        <v>193</v>
      </c>
      <c r="H31" t="s">
        <v>194</v>
      </c>
      <c r="I31" t="s">
        <v>5112</v>
      </c>
      <c r="J31" t="s">
        <v>5653</v>
      </c>
      <c r="K31">
        <v>18</v>
      </c>
      <c r="L31" s="28" t="s">
        <v>3993</v>
      </c>
      <c r="M31" s="238" t="str">
        <f t="shared" si="0"/>
        <v>222101</v>
      </c>
      <c r="N31" t="s">
        <v>5654</v>
      </c>
      <c r="O31" t="s">
        <v>5655</v>
      </c>
      <c r="P31" t="s">
        <v>5656</v>
      </c>
      <c r="Q31">
        <v>5</v>
      </c>
      <c r="R31" t="s">
        <v>5657</v>
      </c>
      <c r="S31" t="s">
        <v>5658</v>
      </c>
      <c r="T31" t="s">
        <v>4714</v>
      </c>
    </row>
    <row r="32" spans="1:31" x14ac:dyDescent="0.25">
      <c r="A32" s="138" t="s">
        <v>349</v>
      </c>
      <c r="B32" s="138" t="s">
        <v>5659</v>
      </c>
      <c r="C32" s="138" t="s">
        <v>5660</v>
      </c>
      <c r="D32" s="138" t="s">
        <v>4858</v>
      </c>
      <c r="E32" s="138" t="s">
        <v>192</v>
      </c>
      <c r="F32" s="28">
        <v>1</v>
      </c>
      <c r="G32" t="s">
        <v>193</v>
      </c>
      <c r="H32" t="s">
        <v>194</v>
      </c>
      <c r="I32" t="s">
        <v>5112</v>
      </c>
      <c r="J32" t="s">
        <v>210</v>
      </c>
      <c r="K32">
        <v>18</v>
      </c>
      <c r="L32" s="28" t="s">
        <v>5661</v>
      </c>
      <c r="M32" s="238" t="str">
        <f t="shared" si="0"/>
        <v>214208</v>
      </c>
      <c r="N32" t="s">
        <v>5662</v>
      </c>
      <c r="O32" t="s">
        <v>5588</v>
      </c>
      <c r="P32">
        <v>1863</v>
      </c>
      <c r="Q32">
        <v>1</v>
      </c>
      <c r="T32" t="s">
        <v>4714</v>
      </c>
    </row>
    <row r="33" spans="1:20" customFormat="1" x14ac:dyDescent="0.25">
      <c r="A33" s="138" t="s">
        <v>5443</v>
      </c>
      <c r="B33" s="138" t="s">
        <v>5444</v>
      </c>
      <c r="C33" s="138" t="s">
        <v>21</v>
      </c>
      <c r="D33" s="138" t="s">
        <v>4858</v>
      </c>
      <c r="E33" s="138" t="s">
        <v>233</v>
      </c>
      <c r="F33" s="28">
        <v>1</v>
      </c>
      <c r="G33" t="s">
        <v>193</v>
      </c>
      <c r="H33" t="s">
        <v>194</v>
      </c>
      <c r="I33" t="s">
        <v>5112</v>
      </c>
      <c r="J33" t="s">
        <v>196</v>
      </c>
      <c r="K33">
        <v>18</v>
      </c>
      <c r="L33" s="28" t="s">
        <v>293</v>
      </c>
      <c r="M33" s="238" t="str">
        <f t="shared" si="0"/>
        <v>214202</v>
      </c>
      <c r="N33" t="s">
        <v>5663</v>
      </c>
      <c r="O33" t="s">
        <v>5664</v>
      </c>
      <c r="Q33">
        <v>25</v>
      </c>
      <c r="R33" t="s">
        <v>5447</v>
      </c>
      <c r="S33" t="s">
        <v>5448</v>
      </c>
      <c r="T33" t="s">
        <v>4714</v>
      </c>
    </row>
    <row r="34" spans="1:20" customFormat="1" x14ac:dyDescent="0.25">
      <c r="A34" s="138" t="s">
        <v>5443</v>
      </c>
      <c r="B34" s="138" t="s">
        <v>5665</v>
      </c>
      <c r="C34" s="138" t="s">
        <v>63</v>
      </c>
      <c r="D34" s="138" t="s">
        <v>4858</v>
      </c>
      <c r="E34" s="138" t="s">
        <v>233</v>
      </c>
      <c r="F34" s="28">
        <v>1</v>
      </c>
      <c r="G34" t="s">
        <v>193</v>
      </c>
      <c r="H34" t="s">
        <v>194</v>
      </c>
      <c r="I34" t="s">
        <v>5112</v>
      </c>
      <c r="J34" t="s">
        <v>323</v>
      </c>
      <c r="K34">
        <v>18</v>
      </c>
      <c r="L34" s="28" t="s">
        <v>2104</v>
      </c>
      <c r="M34" s="238" t="str">
        <f t="shared" si="0"/>
        <v>311201</v>
      </c>
      <c r="N34" t="s">
        <v>5666</v>
      </c>
      <c r="O34" t="s">
        <v>5655</v>
      </c>
      <c r="P34">
        <v>1812</v>
      </c>
      <c r="Q34">
        <v>1</v>
      </c>
      <c r="R34" t="s">
        <v>5667</v>
      </c>
      <c r="S34" t="s">
        <v>5668</v>
      </c>
      <c r="T34" t="s">
        <v>4714</v>
      </c>
    </row>
    <row r="35" spans="1:20" customFormat="1" x14ac:dyDescent="0.25">
      <c r="A35" s="138" t="s">
        <v>1490</v>
      </c>
      <c r="B35" s="138" t="s">
        <v>5669</v>
      </c>
      <c r="C35" s="138" t="s">
        <v>1957</v>
      </c>
      <c r="D35" s="138" t="s">
        <v>4858</v>
      </c>
      <c r="E35" s="138" t="s">
        <v>192</v>
      </c>
      <c r="F35" s="28">
        <v>1</v>
      </c>
      <c r="G35" t="s">
        <v>193</v>
      </c>
      <c r="H35" t="s">
        <v>194</v>
      </c>
      <c r="I35" t="s">
        <v>5112</v>
      </c>
      <c r="J35" t="s">
        <v>575</v>
      </c>
      <c r="K35">
        <v>18</v>
      </c>
      <c r="L35" s="28" t="s">
        <v>1958</v>
      </c>
      <c r="M35" s="238" t="str">
        <f t="shared" si="0"/>
        <v>214408</v>
      </c>
      <c r="N35" t="s">
        <v>5670</v>
      </c>
      <c r="O35" t="s">
        <v>5588</v>
      </c>
      <c r="P35">
        <v>1816.1863000000001</v>
      </c>
      <c r="Q35">
        <v>2</v>
      </c>
      <c r="T35" t="s">
        <v>4714</v>
      </c>
    </row>
    <row r="36" spans="1:20" customFormat="1" x14ac:dyDescent="0.25">
      <c r="A36" s="138" t="s">
        <v>1168</v>
      </c>
      <c r="B36" s="138" t="s">
        <v>537</v>
      </c>
      <c r="C36" s="138" t="s">
        <v>778</v>
      </c>
      <c r="D36" s="138" t="s">
        <v>4858</v>
      </c>
      <c r="E36" s="138" t="s">
        <v>192</v>
      </c>
      <c r="F36" s="28">
        <v>1</v>
      </c>
      <c r="G36" t="s">
        <v>193</v>
      </c>
      <c r="H36" t="s">
        <v>194</v>
      </c>
      <c r="I36" t="s">
        <v>5232</v>
      </c>
      <c r="J36" t="s">
        <v>253</v>
      </c>
      <c r="K36">
        <v>18</v>
      </c>
      <c r="L36" s="28" t="s">
        <v>779</v>
      </c>
      <c r="M36" s="238" t="str">
        <f t="shared" si="0"/>
        <v>524902</v>
      </c>
      <c r="N36" t="s">
        <v>5671</v>
      </c>
      <c r="O36" t="s">
        <v>5588</v>
      </c>
      <c r="P36">
        <v>1811</v>
      </c>
      <c r="Q36">
        <v>1</v>
      </c>
      <c r="T36" t="s">
        <v>4714</v>
      </c>
    </row>
    <row r="37" spans="1:20" customFormat="1" x14ac:dyDescent="0.25">
      <c r="A37" s="138" t="s">
        <v>5672</v>
      </c>
      <c r="B37" s="138" t="s">
        <v>2952</v>
      </c>
      <c r="C37" s="138" t="s">
        <v>12</v>
      </c>
      <c r="D37" s="138" t="s">
        <v>4858</v>
      </c>
      <c r="E37" s="138" t="s">
        <v>217</v>
      </c>
      <c r="F37" s="28">
        <v>1</v>
      </c>
      <c r="G37" t="s">
        <v>193</v>
      </c>
      <c r="H37" t="s">
        <v>194</v>
      </c>
      <c r="I37" t="s">
        <v>5112</v>
      </c>
      <c r="J37" t="s">
        <v>253</v>
      </c>
      <c r="K37">
        <v>18</v>
      </c>
      <c r="L37" s="28" t="s">
        <v>220</v>
      </c>
      <c r="M37" s="238" t="str">
        <f t="shared" si="0"/>
        <v>132301</v>
      </c>
      <c r="N37" t="s">
        <v>5673</v>
      </c>
      <c r="O37" t="s">
        <v>5625</v>
      </c>
      <c r="P37">
        <v>1811</v>
      </c>
      <c r="Q37">
        <v>1</v>
      </c>
      <c r="R37" t="s">
        <v>4903</v>
      </c>
      <c r="S37" t="s">
        <v>5674</v>
      </c>
      <c r="T37" t="s">
        <v>4714</v>
      </c>
    </row>
    <row r="38" spans="1:20" customFormat="1" x14ac:dyDescent="0.25">
      <c r="A38" s="138" t="s">
        <v>2842</v>
      </c>
      <c r="B38" s="138" t="s">
        <v>8</v>
      </c>
      <c r="C38" s="138" t="s">
        <v>740</v>
      </c>
      <c r="D38" s="138" t="s">
        <v>4858</v>
      </c>
      <c r="E38" s="138" t="s">
        <v>192</v>
      </c>
      <c r="F38" s="28">
        <v>1</v>
      </c>
      <c r="G38" t="s">
        <v>193</v>
      </c>
      <c r="H38" t="s">
        <v>194</v>
      </c>
      <c r="I38" t="s">
        <v>5232</v>
      </c>
      <c r="J38" t="s">
        <v>210</v>
      </c>
      <c r="K38">
        <v>18</v>
      </c>
      <c r="L38" s="28" t="s">
        <v>741</v>
      </c>
      <c r="M38" s="238" t="str">
        <f t="shared" si="0"/>
        <v>522301</v>
      </c>
      <c r="N38" t="s">
        <v>5675</v>
      </c>
      <c r="O38" t="s">
        <v>5588</v>
      </c>
      <c r="P38">
        <v>1863</v>
      </c>
      <c r="Q38">
        <v>1</v>
      </c>
      <c r="T38" t="s">
        <v>4714</v>
      </c>
    </row>
    <row r="39" spans="1:20" customFormat="1" x14ac:dyDescent="0.25">
      <c r="A39" s="138" t="s">
        <v>1621</v>
      </c>
      <c r="B39" s="138" t="s">
        <v>5676</v>
      </c>
      <c r="C39" s="138" t="s">
        <v>5326</v>
      </c>
      <c r="D39" s="138" t="s">
        <v>4858</v>
      </c>
      <c r="E39" s="138" t="s">
        <v>192</v>
      </c>
      <c r="F39" s="28">
        <v>1</v>
      </c>
      <c r="G39" t="s">
        <v>193</v>
      </c>
      <c r="H39" t="s">
        <v>194</v>
      </c>
      <c r="I39" t="s">
        <v>5112</v>
      </c>
      <c r="J39" t="s">
        <v>285</v>
      </c>
      <c r="K39">
        <v>18</v>
      </c>
      <c r="L39" s="28" t="s">
        <v>584</v>
      </c>
      <c r="M39" s="238" t="str">
        <f t="shared" si="0"/>
        <v>311937</v>
      </c>
      <c r="N39" t="s">
        <v>5677</v>
      </c>
      <c r="O39" t="s">
        <v>5588</v>
      </c>
      <c r="P39">
        <v>1815</v>
      </c>
      <c r="Q39">
        <v>1</v>
      </c>
      <c r="T39" t="s">
        <v>4714</v>
      </c>
    </row>
    <row r="40" spans="1:20" customFormat="1" x14ac:dyDescent="0.25">
      <c r="A40" s="138" t="s">
        <v>1621</v>
      </c>
      <c r="B40" s="138" t="s">
        <v>5678</v>
      </c>
      <c r="C40" s="138" t="s">
        <v>721</v>
      </c>
      <c r="D40" s="138" t="s">
        <v>4858</v>
      </c>
      <c r="E40" s="138" t="s">
        <v>192</v>
      </c>
      <c r="F40" s="28">
        <v>1</v>
      </c>
      <c r="G40" t="s">
        <v>193</v>
      </c>
      <c r="H40" t="s">
        <v>194</v>
      </c>
      <c r="I40" t="s">
        <v>5112</v>
      </c>
      <c r="J40" t="s">
        <v>285</v>
      </c>
      <c r="K40">
        <v>18</v>
      </c>
      <c r="L40" s="28" t="s">
        <v>723</v>
      </c>
      <c r="M40" s="238" t="str">
        <f t="shared" si="0"/>
        <v>432201</v>
      </c>
      <c r="N40" t="s">
        <v>5679</v>
      </c>
      <c r="O40" t="s">
        <v>5588</v>
      </c>
      <c r="P40">
        <v>1815</v>
      </c>
      <c r="Q40">
        <v>1</v>
      </c>
      <c r="T40" t="s">
        <v>4714</v>
      </c>
    </row>
    <row r="41" spans="1:20" customFormat="1" x14ac:dyDescent="0.25">
      <c r="A41" s="138" t="s">
        <v>5680</v>
      </c>
      <c r="B41" s="138" t="s">
        <v>5681</v>
      </c>
      <c r="C41" s="138" t="s">
        <v>778</v>
      </c>
      <c r="D41" s="138" t="s">
        <v>4858</v>
      </c>
      <c r="E41" s="138" t="s">
        <v>192</v>
      </c>
      <c r="F41" s="28">
        <v>1</v>
      </c>
      <c r="G41" t="s">
        <v>193</v>
      </c>
      <c r="H41" t="s">
        <v>194</v>
      </c>
      <c r="I41" t="s">
        <v>5112</v>
      </c>
      <c r="J41" t="s">
        <v>210</v>
      </c>
      <c r="K41">
        <v>18</v>
      </c>
      <c r="L41" s="28" t="s">
        <v>779</v>
      </c>
      <c r="M41" s="238" t="str">
        <f t="shared" si="0"/>
        <v>524902</v>
      </c>
      <c r="N41" t="s">
        <v>5682</v>
      </c>
      <c r="O41" t="s">
        <v>5588</v>
      </c>
      <c r="P41">
        <v>1863</v>
      </c>
      <c r="Q41">
        <v>1</v>
      </c>
      <c r="T41" t="s">
        <v>4714</v>
      </c>
    </row>
    <row r="42" spans="1:20" customFormat="1" x14ac:dyDescent="0.25">
      <c r="A42" s="138" t="s">
        <v>5287</v>
      </c>
      <c r="B42" s="138" t="s">
        <v>5683</v>
      </c>
      <c r="C42" s="138" t="s">
        <v>37</v>
      </c>
      <c r="D42" s="138" t="s">
        <v>4858</v>
      </c>
      <c r="E42" s="138" t="s">
        <v>233</v>
      </c>
      <c r="F42" s="28">
        <v>1</v>
      </c>
      <c r="G42" t="s">
        <v>193</v>
      </c>
      <c r="H42" t="s">
        <v>194</v>
      </c>
      <c r="I42" t="s">
        <v>5112</v>
      </c>
      <c r="J42" t="s">
        <v>385</v>
      </c>
      <c r="K42">
        <v>18</v>
      </c>
      <c r="L42" s="28" t="s">
        <v>516</v>
      </c>
      <c r="M42" s="238" t="str">
        <f t="shared" si="0"/>
        <v>252302</v>
      </c>
      <c r="N42" t="s">
        <v>5684</v>
      </c>
      <c r="O42" t="s">
        <v>5655</v>
      </c>
      <c r="P42">
        <v>1861</v>
      </c>
      <c r="Q42">
        <v>1</v>
      </c>
      <c r="R42" t="s">
        <v>5685</v>
      </c>
      <c r="S42" t="s">
        <v>5686</v>
      </c>
      <c r="T42" t="s">
        <v>4714</v>
      </c>
    </row>
    <row r="43" spans="1:20" customFormat="1" x14ac:dyDescent="0.25">
      <c r="A43" s="138" t="s">
        <v>5287</v>
      </c>
      <c r="B43" s="138" t="s">
        <v>5687</v>
      </c>
      <c r="C43" s="138" t="s">
        <v>5688</v>
      </c>
      <c r="D43" s="138" t="s">
        <v>4858</v>
      </c>
      <c r="E43" s="138" t="s">
        <v>233</v>
      </c>
      <c r="F43" s="28">
        <v>1</v>
      </c>
      <c r="G43" t="s">
        <v>193</v>
      </c>
      <c r="H43" t="s">
        <v>194</v>
      </c>
      <c r="I43" t="s">
        <v>5112</v>
      </c>
      <c r="J43" t="s">
        <v>367</v>
      </c>
      <c r="K43">
        <v>18</v>
      </c>
      <c r="L43" s="28" t="s">
        <v>5689</v>
      </c>
      <c r="M43" s="238" t="str">
        <f t="shared" si="0"/>
        <v>244002</v>
      </c>
      <c r="N43" t="s">
        <v>5690</v>
      </c>
      <c r="O43" t="s">
        <v>5655</v>
      </c>
      <c r="P43">
        <v>1805</v>
      </c>
      <c r="Q43">
        <v>1</v>
      </c>
      <c r="S43" t="s">
        <v>5691</v>
      </c>
      <c r="T43" t="s">
        <v>4714</v>
      </c>
    </row>
    <row r="44" spans="1:20" customFormat="1" x14ac:dyDescent="0.25">
      <c r="A44" s="138" t="s">
        <v>827</v>
      </c>
      <c r="B44" s="138" t="s">
        <v>828</v>
      </c>
      <c r="C44" s="138" t="s">
        <v>5692</v>
      </c>
      <c r="D44" s="138" t="s">
        <v>4858</v>
      </c>
      <c r="E44" s="138" t="s">
        <v>192</v>
      </c>
      <c r="F44" s="28">
        <v>1</v>
      </c>
      <c r="G44" t="s">
        <v>193</v>
      </c>
      <c r="H44" t="s">
        <v>194</v>
      </c>
      <c r="I44" t="s">
        <v>5112</v>
      </c>
      <c r="J44" t="s">
        <v>223</v>
      </c>
      <c r="K44">
        <v>18</v>
      </c>
      <c r="L44" s="28" t="s">
        <v>2139</v>
      </c>
      <c r="M44" s="238" t="str">
        <f t="shared" si="0"/>
        <v>723307</v>
      </c>
      <c r="N44" t="s">
        <v>5693</v>
      </c>
      <c r="O44" t="s">
        <v>5588</v>
      </c>
      <c r="P44">
        <v>1804</v>
      </c>
      <c r="Q44">
        <v>1</v>
      </c>
      <c r="T44" t="s">
        <v>4714</v>
      </c>
    </row>
    <row r="45" spans="1:20" customFormat="1" x14ac:dyDescent="0.25">
      <c r="A45" s="138" t="s">
        <v>2777</v>
      </c>
      <c r="B45" s="138" t="s">
        <v>2815</v>
      </c>
      <c r="C45" s="138" t="s">
        <v>420</v>
      </c>
      <c r="D45" s="138" t="s">
        <v>4858</v>
      </c>
      <c r="E45" s="138" t="s">
        <v>192</v>
      </c>
      <c r="F45" s="28">
        <v>1</v>
      </c>
      <c r="G45" t="s">
        <v>193</v>
      </c>
      <c r="H45" t="s">
        <v>194</v>
      </c>
      <c r="I45" t="s">
        <v>5112</v>
      </c>
      <c r="J45" t="s">
        <v>276</v>
      </c>
      <c r="K45">
        <v>18</v>
      </c>
      <c r="L45" s="28" t="s">
        <v>421</v>
      </c>
      <c r="M45" s="238" t="str">
        <f t="shared" si="0"/>
        <v>241306</v>
      </c>
      <c r="N45" t="s">
        <v>5694</v>
      </c>
      <c r="O45" t="s">
        <v>5082</v>
      </c>
      <c r="P45" t="s">
        <v>5516</v>
      </c>
      <c r="Q45">
        <v>4</v>
      </c>
      <c r="T45" t="s">
        <v>4714</v>
      </c>
    </row>
    <row r="46" spans="1:20" customFormat="1" x14ac:dyDescent="0.25">
      <c r="A46" s="138" t="s">
        <v>5695</v>
      </c>
      <c r="B46" s="138" t="s">
        <v>632</v>
      </c>
      <c r="C46" s="138" t="s">
        <v>17</v>
      </c>
      <c r="D46" s="138" t="s">
        <v>4858</v>
      </c>
      <c r="E46" s="138" t="s">
        <v>192</v>
      </c>
      <c r="F46" s="28">
        <v>1</v>
      </c>
      <c r="G46" t="s">
        <v>193</v>
      </c>
      <c r="H46" t="s">
        <v>194</v>
      </c>
      <c r="I46" t="s">
        <v>5232</v>
      </c>
      <c r="J46" t="s">
        <v>196</v>
      </c>
      <c r="K46">
        <v>18</v>
      </c>
      <c r="L46" s="28" t="s">
        <v>624</v>
      </c>
      <c r="M46" s="238" t="str">
        <f t="shared" si="0"/>
        <v>332203</v>
      </c>
      <c r="N46" t="s">
        <v>5696</v>
      </c>
      <c r="O46" t="s">
        <v>5697</v>
      </c>
      <c r="Q46">
        <v>25</v>
      </c>
      <c r="T46" t="s">
        <v>4714</v>
      </c>
    </row>
    <row r="47" spans="1:20" customFormat="1" x14ac:dyDescent="0.25">
      <c r="A47" s="138" t="s">
        <v>5698</v>
      </c>
      <c r="B47" s="138" t="s">
        <v>5699</v>
      </c>
      <c r="C47" s="138" t="s">
        <v>740</v>
      </c>
      <c r="D47" s="138" t="s">
        <v>4858</v>
      </c>
      <c r="E47" s="138" t="s">
        <v>192</v>
      </c>
      <c r="F47" s="28">
        <v>1</v>
      </c>
      <c r="G47" t="s">
        <v>193</v>
      </c>
      <c r="H47" t="s">
        <v>194</v>
      </c>
      <c r="I47" t="s">
        <v>5112</v>
      </c>
      <c r="J47" t="s">
        <v>276</v>
      </c>
      <c r="K47">
        <v>18</v>
      </c>
      <c r="L47" s="28" t="s">
        <v>741</v>
      </c>
      <c r="M47" s="238" t="str">
        <f t="shared" si="0"/>
        <v>522301</v>
      </c>
      <c r="N47" t="s">
        <v>5700</v>
      </c>
      <c r="O47" t="s">
        <v>5588</v>
      </c>
      <c r="P47">
        <v>1803</v>
      </c>
      <c r="Q47">
        <v>1</v>
      </c>
      <c r="T47" t="s">
        <v>4714</v>
      </c>
    </row>
    <row r="48" spans="1:20" customFormat="1" x14ac:dyDescent="0.25">
      <c r="A48" s="138" t="s">
        <v>5701</v>
      </c>
      <c r="B48" s="138" t="s">
        <v>5702</v>
      </c>
      <c r="C48" s="138" t="s">
        <v>5703</v>
      </c>
      <c r="D48" s="138" t="s">
        <v>4858</v>
      </c>
      <c r="E48" s="138" t="s">
        <v>192</v>
      </c>
      <c r="F48" s="28">
        <v>1</v>
      </c>
      <c r="G48" t="s">
        <v>193</v>
      </c>
      <c r="H48" t="s">
        <v>194</v>
      </c>
      <c r="I48" t="s">
        <v>5112</v>
      </c>
      <c r="J48" t="s">
        <v>223</v>
      </c>
      <c r="K48">
        <v>18</v>
      </c>
      <c r="L48" s="28" t="s">
        <v>983</v>
      </c>
      <c r="M48" s="238" t="str">
        <f t="shared" si="0"/>
        <v>213303</v>
      </c>
      <c r="N48" t="s">
        <v>5704</v>
      </c>
      <c r="O48" t="s">
        <v>4858</v>
      </c>
      <c r="P48">
        <v>1804</v>
      </c>
      <c r="Q48">
        <v>1</v>
      </c>
      <c r="T48" t="s">
        <v>4714</v>
      </c>
    </row>
    <row r="49" spans="1:20" customFormat="1" x14ac:dyDescent="0.25">
      <c r="A49" s="138" t="s">
        <v>4007</v>
      </c>
      <c r="B49" s="138" t="s">
        <v>2124</v>
      </c>
      <c r="C49" s="138" t="s">
        <v>2127</v>
      </c>
      <c r="D49" s="138" t="s">
        <v>4858</v>
      </c>
      <c r="E49" s="138" t="s">
        <v>233</v>
      </c>
      <c r="F49" s="28">
        <v>1</v>
      </c>
      <c r="G49" t="s">
        <v>193</v>
      </c>
      <c r="H49" t="s">
        <v>194</v>
      </c>
      <c r="I49" t="s">
        <v>5112</v>
      </c>
      <c r="J49" t="s">
        <v>276</v>
      </c>
      <c r="K49">
        <v>18</v>
      </c>
      <c r="L49" s="28" t="s">
        <v>2128</v>
      </c>
      <c r="M49" s="238" t="str">
        <f t="shared" si="0"/>
        <v>225211</v>
      </c>
      <c r="N49" t="s">
        <v>5705</v>
      </c>
      <c r="O49" t="s">
        <v>5278</v>
      </c>
      <c r="P49">
        <v>1803</v>
      </c>
      <c r="Q49">
        <v>1</v>
      </c>
      <c r="R49" t="s">
        <v>5706</v>
      </c>
      <c r="S49" t="s">
        <v>5707</v>
      </c>
      <c r="T49" t="s">
        <v>4714</v>
      </c>
    </row>
    <row r="50" spans="1:20" customFormat="1" x14ac:dyDescent="0.25">
      <c r="A50" s="138" t="s">
        <v>5307</v>
      </c>
      <c r="B50" s="138" t="s">
        <v>2124</v>
      </c>
      <c r="C50" s="138" t="s">
        <v>2127</v>
      </c>
      <c r="D50" s="138" t="s">
        <v>4858</v>
      </c>
      <c r="E50" s="138" t="s">
        <v>233</v>
      </c>
      <c r="F50" s="28">
        <v>1</v>
      </c>
      <c r="G50" t="s">
        <v>193</v>
      </c>
      <c r="H50" t="s">
        <v>194</v>
      </c>
      <c r="I50" t="s">
        <v>5112</v>
      </c>
      <c r="J50" t="s">
        <v>223</v>
      </c>
      <c r="K50">
        <v>18</v>
      </c>
      <c r="L50" s="28" t="s">
        <v>2128</v>
      </c>
      <c r="M50" s="238" t="str">
        <f t="shared" si="0"/>
        <v>225211</v>
      </c>
      <c r="N50" t="s">
        <v>5708</v>
      </c>
      <c r="O50" t="s">
        <v>4918</v>
      </c>
      <c r="P50">
        <v>1804</v>
      </c>
      <c r="Q50">
        <v>1</v>
      </c>
      <c r="R50" t="s">
        <v>5709</v>
      </c>
      <c r="S50" t="s">
        <v>5710</v>
      </c>
      <c r="T50" t="s">
        <v>4714</v>
      </c>
    </row>
    <row r="51" spans="1:20" customFormat="1" x14ac:dyDescent="0.25">
      <c r="A51" s="138" t="s">
        <v>369</v>
      </c>
      <c r="B51" s="138" t="s">
        <v>5711</v>
      </c>
      <c r="C51" s="138" t="s">
        <v>3738</v>
      </c>
      <c r="D51" s="138" t="s">
        <v>4858</v>
      </c>
      <c r="E51" s="138" t="s">
        <v>192</v>
      </c>
      <c r="F51" s="28">
        <v>1</v>
      </c>
      <c r="G51" t="s">
        <v>193</v>
      </c>
      <c r="H51" t="s">
        <v>194</v>
      </c>
      <c r="I51" t="s">
        <v>5112</v>
      </c>
      <c r="J51" t="s">
        <v>210</v>
      </c>
      <c r="K51">
        <v>18</v>
      </c>
      <c r="L51" s="28" t="s">
        <v>3739</v>
      </c>
      <c r="M51" s="238" t="str">
        <f t="shared" si="0"/>
        <v>713206</v>
      </c>
      <c r="N51" t="s">
        <v>5712</v>
      </c>
      <c r="O51" t="s">
        <v>5588</v>
      </c>
      <c r="P51">
        <v>1863</v>
      </c>
      <c r="Q51">
        <v>1</v>
      </c>
      <c r="T51" t="s">
        <v>4714</v>
      </c>
    </row>
    <row r="52" spans="1:20" customFormat="1" x14ac:dyDescent="0.25">
      <c r="A52" s="138" t="s">
        <v>5713</v>
      </c>
      <c r="B52" s="138" t="s">
        <v>5714</v>
      </c>
      <c r="C52" s="138" t="s">
        <v>2993</v>
      </c>
      <c r="D52" s="138" t="s">
        <v>4858</v>
      </c>
      <c r="E52" s="138" t="s">
        <v>192</v>
      </c>
      <c r="F52" s="28">
        <v>1</v>
      </c>
      <c r="G52" t="s">
        <v>193</v>
      </c>
      <c r="H52" t="s">
        <v>194</v>
      </c>
      <c r="I52" t="s">
        <v>5112</v>
      </c>
      <c r="J52" t="s">
        <v>210</v>
      </c>
      <c r="K52">
        <v>18</v>
      </c>
      <c r="L52" s="28" t="s">
        <v>3793</v>
      </c>
      <c r="M52" s="238" t="str">
        <f t="shared" si="0"/>
        <v>251904</v>
      </c>
      <c r="N52" t="s">
        <v>5715</v>
      </c>
      <c r="O52" t="s">
        <v>5588</v>
      </c>
      <c r="P52">
        <v>1863</v>
      </c>
      <c r="Q52">
        <v>1</v>
      </c>
      <c r="T52" t="s">
        <v>4714</v>
      </c>
    </row>
    <row r="53" spans="1:20" customFormat="1" x14ac:dyDescent="0.25">
      <c r="A53" s="138" t="s">
        <v>5716</v>
      </c>
      <c r="B53" s="138" t="s">
        <v>5717</v>
      </c>
      <c r="C53" s="138" t="s">
        <v>5236</v>
      </c>
      <c r="D53" s="138" t="s">
        <v>4858</v>
      </c>
      <c r="E53" s="138" t="s">
        <v>192</v>
      </c>
      <c r="F53" s="28">
        <v>1</v>
      </c>
      <c r="G53" t="s">
        <v>193</v>
      </c>
      <c r="H53" t="s">
        <v>194</v>
      </c>
      <c r="I53" t="s">
        <v>5112</v>
      </c>
      <c r="J53" t="s">
        <v>385</v>
      </c>
      <c r="K53">
        <v>18</v>
      </c>
      <c r="L53" s="28" t="s">
        <v>5237</v>
      </c>
      <c r="M53" s="238" t="str">
        <f t="shared" si="0"/>
        <v>712604</v>
      </c>
      <c r="N53" t="s">
        <v>5718</v>
      </c>
      <c r="O53" t="s">
        <v>5588</v>
      </c>
      <c r="P53">
        <v>1861</v>
      </c>
      <c r="Q53">
        <v>1</v>
      </c>
      <c r="T53" t="s">
        <v>4714</v>
      </c>
    </row>
    <row r="54" spans="1:20" customFormat="1" x14ac:dyDescent="0.25">
      <c r="A54" s="138" t="s">
        <v>5359</v>
      </c>
      <c r="B54" s="138" t="s">
        <v>248</v>
      </c>
      <c r="C54" s="138" t="s">
        <v>74</v>
      </c>
      <c r="D54" s="138" t="s">
        <v>4858</v>
      </c>
      <c r="E54" s="138" t="s">
        <v>233</v>
      </c>
      <c r="F54" s="28">
        <v>1</v>
      </c>
      <c r="G54" t="s">
        <v>193</v>
      </c>
      <c r="H54" t="s">
        <v>194</v>
      </c>
      <c r="I54" t="s">
        <v>5112</v>
      </c>
      <c r="J54" t="s">
        <v>305</v>
      </c>
      <c r="K54">
        <v>18</v>
      </c>
      <c r="L54" s="28" t="s">
        <v>246</v>
      </c>
      <c r="M54" s="238" t="str">
        <f t="shared" si="0"/>
        <v>142004</v>
      </c>
      <c r="N54" t="s">
        <v>5719</v>
      </c>
      <c r="O54" t="s">
        <v>5655</v>
      </c>
      <c r="P54">
        <v>1814</v>
      </c>
      <c r="Q54">
        <v>1</v>
      </c>
      <c r="R54" t="s">
        <v>5361</v>
      </c>
      <c r="S54" t="s">
        <v>5362</v>
      </c>
      <c r="T54" t="s">
        <v>4714</v>
      </c>
    </row>
    <row r="55" spans="1:20" customFormat="1" x14ac:dyDescent="0.25">
      <c r="A55" s="138" t="s">
        <v>5720</v>
      </c>
      <c r="B55" s="138" t="s">
        <v>1687</v>
      </c>
      <c r="C55" s="138" t="s">
        <v>17</v>
      </c>
      <c r="D55" s="138" t="s">
        <v>4858</v>
      </c>
      <c r="E55" s="138" t="s">
        <v>192</v>
      </c>
      <c r="F55" s="28">
        <v>1</v>
      </c>
      <c r="G55" t="s">
        <v>193</v>
      </c>
      <c r="H55" t="s">
        <v>194</v>
      </c>
      <c r="I55" t="s">
        <v>5112</v>
      </c>
      <c r="J55" t="s">
        <v>316</v>
      </c>
      <c r="K55">
        <v>18</v>
      </c>
      <c r="L55" s="28" t="s">
        <v>624</v>
      </c>
      <c r="M55" s="238" t="str">
        <f t="shared" si="0"/>
        <v>332203</v>
      </c>
      <c r="N55" t="s">
        <v>5721</v>
      </c>
      <c r="O55" t="s">
        <v>5588</v>
      </c>
      <c r="P55">
        <v>1818</v>
      </c>
      <c r="Q55">
        <v>1</v>
      </c>
      <c r="T55" t="s">
        <v>4714</v>
      </c>
    </row>
    <row r="56" spans="1:20" customFormat="1" x14ac:dyDescent="0.25">
      <c r="A56" s="138" t="s">
        <v>5720</v>
      </c>
      <c r="B56" s="138" t="s">
        <v>5722</v>
      </c>
      <c r="C56" s="138" t="s">
        <v>560</v>
      </c>
      <c r="D56" s="138" t="s">
        <v>4858</v>
      </c>
      <c r="E56" s="138" t="s">
        <v>192</v>
      </c>
      <c r="F56" s="28">
        <v>1</v>
      </c>
      <c r="G56" t="s">
        <v>193</v>
      </c>
      <c r="H56" t="s">
        <v>194</v>
      </c>
      <c r="I56" t="s">
        <v>5112</v>
      </c>
      <c r="J56" t="s">
        <v>316</v>
      </c>
      <c r="K56">
        <v>18</v>
      </c>
      <c r="L56" s="28" t="s">
        <v>561</v>
      </c>
      <c r="M56" s="238" t="str">
        <f t="shared" si="0"/>
        <v>311408</v>
      </c>
      <c r="N56" t="s">
        <v>5723</v>
      </c>
      <c r="O56" t="s">
        <v>5588</v>
      </c>
      <c r="P56">
        <v>1818</v>
      </c>
      <c r="Q56">
        <v>1</v>
      </c>
      <c r="T56" t="s">
        <v>4714</v>
      </c>
    </row>
    <row r="57" spans="1:20" customFormat="1" x14ac:dyDescent="0.25">
      <c r="A57" s="138" t="s">
        <v>493</v>
      </c>
      <c r="B57" s="138" t="s">
        <v>5724</v>
      </c>
      <c r="C57" s="138" t="s">
        <v>10</v>
      </c>
      <c r="D57" s="138" t="s">
        <v>4858</v>
      </c>
      <c r="E57" s="138" t="s">
        <v>192</v>
      </c>
      <c r="F57" s="28">
        <v>1</v>
      </c>
      <c r="G57" t="s">
        <v>193</v>
      </c>
      <c r="H57" t="s">
        <v>194</v>
      </c>
      <c r="I57" t="s">
        <v>5112</v>
      </c>
      <c r="J57" t="s">
        <v>210</v>
      </c>
      <c r="K57">
        <v>18</v>
      </c>
      <c r="L57" s="28" t="s">
        <v>484</v>
      </c>
      <c r="M57" s="238" t="str">
        <f t="shared" si="0"/>
        <v>251401</v>
      </c>
      <c r="N57" t="s">
        <v>5725</v>
      </c>
      <c r="O57" t="s">
        <v>5588</v>
      </c>
      <c r="P57">
        <v>1863</v>
      </c>
      <c r="Q57">
        <v>1</v>
      </c>
      <c r="T57" t="s">
        <v>4714</v>
      </c>
    </row>
    <row r="58" spans="1:20" customFormat="1" x14ac:dyDescent="0.25">
      <c r="A58" s="138" t="s">
        <v>3078</v>
      </c>
      <c r="B58" s="138" t="s">
        <v>5726</v>
      </c>
      <c r="C58" s="138" t="s">
        <v>4825</v>
      </c>
      <c r="D58" s="138" t="s">
        <v>4858</v>
      </c>
      <c r="E58" s="138" t="s">
        <v>192</v>
      </c>
      <c r="F58" s="28">
        <v>1</v>
      </c>
      <c r="G58" t="s">
        <v>193</v>
      </c>
      <c r="H58" t="s">
        <v>194</v>
      </c>
      <c r="I58" t="s">
        <v>5232</v>
      </c>
      <c r="J58" t="s">
        <v>276</v>
      </c>
      <c r="K58">
        <v>18</v>
      </c>
      <c r="L58" s="28" t="s">
        <v>4826</v>
      </c>
      <c r="M58" s="238" t="str">
        <f t="shared" si="0"/>
        <v>311929</v>
      </c>
      <c r="N58" t="s">
        <v>5727</v>
      </c>
      <c r="O58" t="s">
        <v>5588</v>
      </c>
      <c r="P58">
        <v>1803</v>
      </c>
      <c r="Q58">
        <v>1</v>
      </c>
      <c r="T58" t="s">
        <v>4714</v>
      </c>
    </row>
    <row r="59" spans="1:20" customFormat="1" x14ac:dyDescent="0.25">
      <c r="A59" s="138" t="s">
        <v>5728</v>
      </c>
      <c r="B59" s="138" t="s">
        <v>5729</v>
      </c>
      <c r="C59" s="138" t="s">
        <v>20</v>
      </c>
      <c r="D59" s="138" t="s">
        <v>4858</v>
      </c>
      <c r="E59" s="138" t="s">
        <v>192</v>
      </c>
      <c r="F59" s="28">
        <v>1</v>
      </c>
      <c r="G59" t="s">
        <v>193</v>
      </c>
      <c r="H59" t="s">
        <v>194</v>
      </c>
      <c r="I59" t="s">
        <v>5112</v>
      </c>
      <c r="J59" t="s">
        <v>672</v>
      </c>
      <c r="K59">
        <v>18</v>
      </c>
      <c r="L59" s="28" t="s">
        <v>286</v>
      </c>
      <c r="M59" s="238" t="str">
        <f t="shared" si="0"/>
        <v>214109</v>
      </c>
      <c r="N59" t="s">
        <v>5730</v>
      </c>
      <c r="O59" t="s">
        <v>5588</v>
      </c>
      <c r="P59">
        <v>1816</v>
      </c>
      <c r="Q59">
        <v>1</v>
      </c>
      <c r="T59" t="s">
        <v>4714</v>
      </c>
    </row>
    <row r="60" spans="1:20" customFormat="1" x14ac:dyDescent="0.25">
      <c r="A60" s="138" t="s">
        <v>5728</v>
      </c>
      <c r="B60" s="138" t="s">
        <v>5731</v>
      </c>
      <c r="C60" s="138" t="s">
        <v>147</v>
      </c>
      <c r="D60" s="138" t="s">
        <v>4858</v>
      </c>
      <c r="E60" s="138" t="s">
        <v>192</v>
      </c>
      <c r="F60" s="28">
        <v>1</v>
      </c>
      <c r="G60" t="s">
        <v>193</v>
      </c>
      <c r="H60" t="s">
        <v>194</v>
      </c>
      <c r="I60" t="s">
        <v>5112</v>
      </c>
      <c r="J60" t="s">
        <v>672</v>
      </c>
      <c r="K60">
        <v>18</v>
      </c>
      <c r="L60" s="28" t="s">
        <v>2030</v>
      </c>
      <c r="M60" s="238" t="str">
        <f t="shared" si="0"/>
        <v>132102</v>
      </c>
      <c r="N60" t="s">
        <v>5732</v>
      </c>
      <c r="O60" t="s">
        <v>5588</v>
      </c>
      <c r="P60">
        <v>1816</v>
      </c>
      <c r="Q60">
        <v>1</v>
      </c>
      <c r="T60" t="s">
        <v>4714</v>
      </c>
    </row>
    <row r="61" spans="1:20" customFormat="1" x14ac:dyDescent="0.25">
      <c r="A61" s="138" t="s">
        <v>5728</v>
      </c>
      <c r="B61" s="138" t="s">
        <v>5733</v>
      </c>
      <c r="C61" s="138" t="s">
        <v>319</v>
      </c>
      <c r="D61" s="138" t="s">
        <v>4858</v>
      </c>
      <c r="E61" s="138" t="s">
        <v>192</v>
      </c>
      <c r="F61" s="28">
        <v>1</v>
      </c>
      <c r="G61" t="s">
        <v>193</v>
      </c>
      <c r="H61" t="s">
        <v>194</v>
      </c>
      <c r="I61" t="s">
        <v>5112</v>
      </c>
      <c r="J61" t="s">
        <v>672</v>
      </c>
      <c r="K61">
        <v>18</v>
      </c>
      <c r="L61" s="28" t="s">
        <v>320</v>
      </c>
      <c r="M61" s="238" t="str">
        <f t="shared" si="0"/>
        <v>214407</v>
      </c>
      <c r="N61" t="s">
        <v>5734</v>
      </c>
      <c r="O61" t="s">
        <v>5588</v>
      </c>
      <c r="P61">
        <v>1816</v>
      </c>
      <c r="Q61">
        <v>1</v>
      </c>
      <c r="T61" t="s">
        <v>4714</v>
      </c>
    </row>
    <row r="62" spans="1:20" customFormat="1" x14ac:dyDescent="0.25">
      <c r="A62" s="138" t="s">
        <v>5728</v>
      </c>
      <c r="B62" s="138" t="s">
        <v>5735</v>
      </c>
      <c r="C62" s="138" t="s">
        <v>19</v>
      </c>
      <c r="D62" s="138" t="s">
        <v>4858</v>
      </c>
      <c r="E62" s="138" t="s">
        <v>192</v>
      </c>
      <c r="F62" s="28">
        <v>1</v>
      </c>
      <c r="G62" t="s">
        <v>193</v>
      </c>
      <c r="H62" t="s">
        <v>194</v>
      </c>
      <c r="I62" t="s">
        <v>5112</v>
      </c>
      <c r="J62" t="s">
        <v>672</v>
      </c>
      <c r="K62">
        <v>18</v>
      </c>
      <c r="L62" s="28" t="s">
        <v>337</v>
      </c>
      <c r="M62" s="238" t="str">
        <f t="shared" si="0"/>
        <v>214903</v>
      </c>
      <c r="N62" t="s">
        <v>5736</v>
      </c>
      <c r="O62" t="s">
        <v>5588</v>
      </c>
      <c r="P62">
        <v>1816</v>
      </c>
      <c r="Q62">
        <v>1</v>
      </c>
      <c r="T62" t="s">
        <v>4714</v>
      </c>
    </row>
    <row r="63" spans="1:20" customFormat="1" x14ac:dyDescent="0.25">
      <c r="A63" s="138" t="s">
        <v>3290</v>
      </c>
      <c r="B63" s="138" t="s">
        <v>5033</v>
      </c>
      <c r="C63" s="138" t="s">
        <v>17</v>
      </c>
      <c r="D63" s="138" t="s">
        <v>4858</v>
      </c>
      <c r="E63" s="138" t="s">
        <v>192</v>
      </c>
      <c r="F63" s="28">
        <v>1</v>
      </c>
      <c r="G63" t="s">
        <v>193</v>
      </c>
      <c r="H63" t="s">
        <v>194</v>
      </c>
      <c r="I63" t="s">
        <v>5112</v>
      </c>
      <c r="J63" t="s">
        <v>276</v>
      </c>
      <c r="K63">
        <v>18</v>
      </c>
      <c r="L63" s="28" t="s">
        <v>624</v>
      </c>
      <c r="M63" s="238" t="str">
        <f t="shared" si="0"/>
        <v>332203</v>
      </c>
      <c r="N63" t="s">
        <v>5737</v>
      </c>
      <c r="O63" t="s">
        <v>5082</v>
      </c>
      <c r="P63">
        <v>1803.1804999999999</v>
      </c>
      <c r="Q63">
        <v>2</v>
      </c>
      <c r="T63" t="s">
        <v>4714</v>
      </c>
    </row>
    <row r="64" spans="1:20" customFormat="1" x14ac:dyDescent="0.25">
      <c r="A64" s="138" t="s">
        <v>1970</v>
      </c>
      <c r="B64" s="138" t="s">
        <v>5738</v>
      </c>
      <c r="C64" s="138" t="s">
        <v>43</v>
      </c>
      <c r="D64" s="138" t="s">
        <v>4858</v>
      </c>
      <c r="E64" s="138" t="s">
        <v>192</v>
      </c>
      <c r="F64" s="28">
        <v>1</v>
      </c>
      <c r="G64" t="s">
        <v>193</v>
      </c>
      <c r="H64" t="s">
        <v>194</v>
      </c>
      <c r="I64" t="s">
        <v>5112</v>
      </c>
      <c r="J64" t="s">
        <v>210</v>
      </c>
      <c r="K64">
        <v>18</v>
      </c>
      <c r="L64" s="28" t="s">
        <v>452</v>
      </c>
      <c r="M64" s="238" t="str">
        <f t="shared" si="0"/>
        <v>243106</v>
      </c>
      <c r="N64" t="s">
        <v>5739</v>
      </c>
      <c r="O64" t="s">
        <v>5588</v>
      </c>
      <c r="P64">
        <v>1863</v>
      </c>
      <c r="Q64">
        <v>1</v>
      </c>
      <c r="T64" t="s">
        <v>4714</v>
      </c>
    </row>
    <row r="65" spans="1:20" customFormat="1" x14ac:dyDescent="0.25">
      <c r="A65" s="138" t="s">
        <v>5577</v>
      </c>
      <c r="B65" s="138" t="s">
        <v>5740</v>
      </c>
      <c r="C65" s="138" t="s">
        <v>366</v>
      </c>
      <c r="D65" s="138" t="s">
        <v>4858</v>
      </c>
      <c r="E65" s="138" t="s">
        <v>192</v>
      </c>
      <c r="F65" s="28">
        <v>1</v>
      </c>
      <c r="G65" t="s">
        <v>193</v>
      </c>
      <c r="H65" t="s">
        <v>194</v>
      </c>
      <c r="I65" t="s">
        <v>5112</v>
      </c>
      <c r="J65" t="s">
        <v>327</v>
      </c>
      <c r="K65">
        <v>18</v>
      </c>
      <c r="L65" s="28" t="s">
        <v>368</v>
      </c>
      <c r="M65" s="238" t="str">
        <f t="shared" si="0"/>
        <v>215201</v>
      </c>
      <c r="N65" t="s">
        <v>5741</v>
      </c>
      <c r="O65" t="s">
        <v>5588</v>
      </c>
      <c r="P65">
        <v>1808</v>
      </c>
      <c r="Q65">
        <v>1</v>
      </c>
      <c r="T65" t="s">
        <v>4714</v>
      </c>
    </row>
    <row r="66" spans="1:20" customFormat="1" x14ac:dyDescent="0.25">
      <c r="A66" s="138" t="s">
        <v>581</v>
      </c>
      <c r="B66" s="138" t="s">
        <v>5742</v>
      </c>
      <c r="C66" s="138" t="s">
        <v>822</v>
      </c>
      <c r="D66" s="138" t="s">
        <v>4858</v>
      </c>
      <c r="E66" s="138" t="s">
        <v>217</v>
      </c>
      <c r="F66" s="28">
        <v>1</v>
      </c>
      <c r="G66" t="s">
        <v>193</v>
      </c>
      <c r="H66" t="s">
        <v>194</v>
      </c>
      <c r="I66" t="s">
        <v>5112</v>
      </c>
      <c r="J66" t="s">
        <v>253</v>
      </c>
      <c r="K66">
        <v>18</v>
      </c>
      <c r="L66" s="28" t="s">
        <v>823</v>
      </c>
      <c r="M66" s="238" t="str">
        <f t="shared" si="0"/>
        <v>741103</v>
      </c>
      <c r="N66" t="s">
        <v>5743</v>
      </c>
      <c r="O66" t="s">
        <v>5490</v>
      </c>
      <c r="P66">
        <v>1811</v>
      </c>
      <c r="Q66">
        <v>1</v>
      </c>
      <c r="R66" t="s">
        <v>4903</v>
      </c>
      <c r="S66" t="s">
        <v>4904</v>
      </c>
      <c r="T66" t="s">
        <v>4714</v>
      </c>
    </row>
    <row r="67" spans="1:20" customFormat="1" x14ac:dyDescent="0.25">
      <c r="A67" s="138" t="s">
        <v>581</v>
      </c>
      <c r="B67" s="138" t="s">
        <v>5200</v>
      </c>
      <c r="C67" s="138" t="s">
        <v>62</v>
      </c>
      <c r="D67" s="138" t="s">
        <v>4858</v>
      </c>
      <c r="E67" s="138" t="s">
        <v>217</v>
      </c>
      <c r="F67" s="28">
        <v>1</v>
      </c>
      <c r="G67" t="s">
        <v>193</v>
      </c>
      <c r="H67" t="s">
        <v>194</v>
      </c>
      <c r="I67" t="s">
        <v>5112</v>
      </c>
      <c r="J67" t="s">
        <v>253</v>
      </c>
      <c r="K67">
        <v>18</v>
      </c>
      <c r="L67" s="28" t="s">
        <v>601</v>
      </c>
      <c r="M67" s="238" t="str">
        <f t="shared" si="0"/>
        <v>313904</v>
      </c>
      <c r="N67" t="s">
        <v>5201</v>
      </c>
      <c r="O67" t="s">
        <v>5202</v>
      </c>
      <c r="P67">
        <v>1811</v>
      </c>
      <c r="Q67">
        <v>1</v>
      </c>
      <c r="R67" t="s">
        <v>4903</v>
      </c>
      <c r="S67" t="s">
        <v>4904</v>
      </c>
      <c r="T67" t="s">
        <v>4714</v>
      </c>
    </row>
    <row r="68" spans="1:20" customFormat="1" x14ac:dyDescent="0.25">
      <c r="A68" s="138" t="s">
        <v>581</v>
      </c>
      <c r="B68" s="138" t="s">
        <v>5744</v>
      </c>
      <c r="C68" s="138" t="s">
        <v>4222</v>
      </c>
      <c r="D68" s="138" t="s">
        <v>4858</v>
      </c>
      <c r="E68" s="138" t="s">
        <v>217</v>
      </c>
      <c r="F68" s="28">
        <v>1</v>
      </c>
      <c r="G68" t="s">
        <v>193</v>
      </c>
      <c r="H68" t="s">
        <v>194</v>
      </c>
      <c r="I68" t="s">
        <v>5112</v>
      </c>
      <c r="J68" t="s">
        <v>253</v>
      </c>
      <c r="K68">
        <v>18</v>
      </c>
      <c r="L68" s="28" t="s">
        <v>4223</v>
      </c>
      <c r="M68" s="238" t="str">
        <f t="shared" ref="M68:M131" si="1">MID(L68,8,6)</f>
        <v>812118</v>
      </c>
      <c r="N68" t="s">
        <v>5745</v>
      </c>
      <c r="O68" t="s">
        <v>5490</v>
      </c>
      <c r="P68">
        <v>1811</v>
      </c>
      <c r="Q68">
        <v>1</v>
      </c>
      <c r="R68" t="s">
        <v>4903</v>
      </c>
      <c r="S68" t="s">
        <v>4904</v>
      </c>
      <c r="T68" t="s">
        <v>4714</v>
      </c>
    </row>
    <row r="69" spans="1:20" customFormat="1" x14ac:dyDescent="0.25">
      <c r="A69" s="138" t="s">
        <v>5746</v>
      </c>
      <c r="B69" s="138" t="s">
        <v>1756</v>
      </c>
      <c r="C69" s="138" t="s">
        <v>50</v>
      </c>
      <c r="D69" s="138" t="s">
        <v>4858</v>
      </c>
      <c r="E69" s="138" t="s">
        <v>217</v>
      </c>
      <c r="F69" s="28">
        <v>1</v>
      </c>
      <c r="G69" t="s">
        <v>193</v>
      </c>
      <c r="H69" t="s">
        <v>194</v>
      </c>
      <c r="I69" t="s">
        <v>5112</v>
      </c>
      <c r="J69" t="s">
        <v>196</v>
      </c>
      <c r="K69">
        <v>18</v>
      </c>
      <c r="L69" s="28" t="s">
        <v>906</v>
      </c>
      <c r="M69" s="238" t="str">
        <f t="shared" si="1"/>
        <v>333101</v>
      </c>
      <c r="N69" t="s">
        <v>5747</v>
      </c>
      <c r="O69" t="s">
        <v>4756</v>
      </c>
      <c r="Q69">
        <v>25</v>
      </c>
      <c r="R69" t="s">
        <v>5748</v>
      </c>
      <c r="S69" t="s">
        <v>5749</v>
      </c>
      <c r="T69" t="s">
        <v>4714</v>
      </c>
    </row>
    <row r="70" spans="1:20" customFormat="1" x14ac:dyDescent="0.25">
      <c r="A70" s="138" t="s">
        <v>5746</v>
      </c>
      <c r="B70" s="138" t="s">
        <v>5750</v>
      </c>
      <c r="C70" s="138" t="s">
        <v>5751</v>
      </c>
      <c r="D70" s="138" t="s">
        <v>4858</v>
      </c>
      <c r="E70" s="138" t="s">
        <v>217</v>
      </c>
      <c r="F70" s="28">
        <v>1</v>
      </c>
      <c r="G70" t="s">
        <v>193</v>
      </c>
      <c r="H70" t="s">
        <v>194</v>
      </c>
      <c r="I70" t="s">
        <v>5112</v>
      </c>
      <c r="J70" t="s">
        <v>253</v>
      </c>
      <c r="K70">
        <v>18</v>
      </c>
      <c r="L70" s="28" t="s">
        <v>5752</v>
      </c>
      <c r="M70" s="238" t="str">
        <f t="shared" si="1"/>
        <v>932907</v>
      </c>
      <c r="N70" t="s">
        <v>5753</v>
      </c>
      <c r="O70" t="s">
        <v>4725</v>
      </c>
      <c r="P70">
        <v>1811</v>
      </c>
      <c r="Q70">
        <v>1</v>
      </c>
      <c r="R70" t="s">
        <v>5754</v>
      </c>
      <c r="S70" t="s">
        <v>5755</v>
      </c>
      <c r="T70" t="s">
        <v>4714</v>
      </c>
    </row>
    <row r="71" spans="1:20" customFormat="1" x14ac:dyDescent="0.25">
      <c r="A71" s="138" t="s">
        <v>5746</v>
      </c>
      <c r="B71" s="138" t="s">
        <v>5756</v>
      </c>
      <c r="C71" s="138" t="s">
        <v>5751</v>
      </c>
      <c r="D71" s="138" t="s">
        <v>4858</v>
      </c>
      <c r="E71" s="138" t="s">
        <v>217</v>
      </c>
      <c r="F71" s="28">
        <v>1</v>
      </c>
      <c r="G71" t="s">
        <v>193</v>
      </c>
      <c r="H71" t="s">
        <v>194</v>
      </c>
      <c r="I71" t="s">
        <v>5112</v>
      </c>
      <c r="J71" t="s">
        <v>253</v>
      </c>
      <c r="K71">
        <v>18</v>
      </c>
      <c r="L71" s="28" t="s">
        <v>5752</v>
      </c>
      <c r="M71" s="238" t="str">
        <f t="shared" si="1"/>
        <v>932907</v>
      </c>
      <c r="N71" t="s">
        <v>5757</v>
      </c>
      <c r="O71" t="s">
        <v>4725</v>
      </c>
      <c r="P71">
        <v>1811</v>
      </c>
      <c r="Q71">
        <v>1</v>
      </c>
      <c r="R71" t="s">
        <v>5758</v>
      </c>
      <c r="S71" t="s">
        <v>5759</v>
      </c>
      <c r="T71" t="s">
        <v>4714</v>
      </c>
    </row>
    <row r="72" spans="1:20" customFormat="1" x14ac:dyDescent="0.25">
      <c r="A72" s="138" t="s">
        <v>708</v>
      </c>
      <c r="B72" s="138" t="s">
        <v>5382</v>
      </c>
      <c r="C72" s="138" t="s">
        <v>237</v>
      </c>
      <c r="D72" s="138" t="s">
        <v>4708</v>
      </c>
      <c r="E72" s="138" t="s">
        <v>192</v>
      </c>
      <c r="F72" s="28">
        <v>1</v>
      </c>
      <c r="G72" t="s">
        <v>193</v>
      </c>
      <c r="H72" t="s">
        <v>194</v>
      </c>
      <c r="I72" t="s">
        <v>4723</v>
      </c>
      <c r="J72" t="s">
        <v>408</v>
      </c>
      <c r="K72">
        <v>18</v>
      </c>
      <c r="L72" s="28" t="s">
        <v>239</v>
      </c>
      <c r="M72" s="238" t="str">
        <f t="shared" si="1"/>
        <v>132404</v>
      </c>
      <c r="N72" t="s">
        <v>5383</v>
      </c>
      <c r="O72" t="s">
        <v>4725</v>
      </c>
      <c r="P72">
        <v>1864</v>
      </c>
      <c r="Q72">
        <v>1</v>
      </c>
      <c r="T72" t="s">
        <v>4714</v>
      </c>
    </row>
    <row r="73" spans="1:20" customFormat="1" x14ac:dyDescent="0.25">
      <c r="A73" s="138" t="s">
        <v>321</v>
      </c>
      <c r="B73" s="138" t="s">
        <v>4575</v>
      </c>
      <c r="C73" s="138" t="s">
        <v>23</v>
      </c>
      <c r="D73" s="138" t="s">
        <v>4708</v>
      </c>
      <c r="E73" s="138" t="s">
        <v>192</v>
      </c>
      <c r="F73" s="28">
        <v>1</v>
      </c>
      <c r="G73" t="s">
        <v>193</v>
      </c>
      <c r="H73" t="s">
        <v>194</v>
      </c>
      <c r="I73" t="s">
        <v>4723</v>
      </c>
      <c r="J73" t="s">
        <v>323</v>
      </c>
      <c r="K73">
        <v>18</v>
      </c>
      <c r="L73" s="28" t="s">
        <v>985</v>
      </c>
      <c r="M73" s="238" t="str">
        <f t="shared" si="1"/>
        <v>263204</v>
      </c>
      <c r="N73" t="s">
        <v>4986</v>
      </c>
      <c r="O73" t="s">
        <v>4725</v>
      </c>
      <c r="P73">
        <v>1812</v>
      </c>
      <c r="Q73">
        <v>1</v>
      </c>
      <c r="T73" t="s">
        <v>4714</v>
      </c>
    </row>
    <row r="74" spans="1:20" customFormat="1" x14ac:dyDescent="0.25">
      <c r="A74" s="138" t="s">
        <v>321</v>
      </c>
      <c r="B74" s="138" t="s">
        <v>5122</v>
      </c>
      <c r="C74" s="138" t="s">
        <v>10</v>
      </c>
      <c r="D74" s="138" t="s">
        <v>4708</v>
      </c>
      <c r="E74" s="138" t="s">
        <v>192</v>
      </c>
      <c r="F74" s="28">
        <v>1</v>
      </c>
      <c r="G74" t="s">
        <v>193</v>
      </c>
      <c r="H74" t="s">
        <v>194</v>
      </c>
      <c r="I74" t="s">
        <v>4709</v>
      </c>
      <c r="J74" t="s">
        <v>323</v>
      </c>
      <c r="K74">
        <v>18</v>
      </c>
      <c r="L74" s="28" t="s">
        <v>484</v>
      </c>
      <c r="M74" s="238" t="str">
        <f t="shared" si="1"/>
        <v>251401</v>
      </c>
      <c r="N74" t="s">
        <v>5136</v>
      </c>
      <c r="O74" t="s">
        <v>4725</v>
      </c>
      <c r="P74">
        <v>1812</v>
      </c>
      <c r="Q74">
        <v>1</v>
      </c>
      <c r="T74" t="s">
        <v>4714</v>
      </c>
    </row>
    <row r="75" spans="1:20" customFormat="1" x14ac:dyDescent="0.25">
      <c r="A75" s="138" t="s">
        <v>5366</v>
      </c>
      <c r="B75" s="138" t="s">
        <v>5423</v>
      </c>
      <c r="C75" s="138" t="s">
        <v>37</v>
      </c>
      <c r="D75" s="138" t="s">
        <v>4708</v>
      </c>
      <c r="E75" s="138" t="s">
        <v>233</v>
      </c>
      <c r="F75" s="28">
        <v>1</v>
      </c>
      <c r="G75" t="s">
        <v>193</v>
      </c>
      <c r="H75" t="s">
        <v>194</v>
      </c>
      <c r="I75" t="s">
        <v>4723</v>
      </c>
      <c r="J75" t="s">
        <v>5368</v>
      </c>
      <c r="K75">
        <v>18</v>
      </c>
      <c r="L75" s="28" t="s">
        <v>516</v>
      </c>
      <c r="M75" s="238" t="str">
        <f t="shared" si="1"/>
        <v>252302</v>
      </c>
      <c r="N75" t="s">
        <v>5424</v>
      </c>
      <c r="O75" t="s">
        <v>4709</v>
      </c>
      <c r="P75">
        <v>1863</v>
      </c>
      <c r="Q75">
        <v>1</v>
      </c>
      <c r="S75" t="s">
        <v>5425</v>
      </c>
      <c r="T75" t="s">
        <v>4714</v>
      </c>
    </row>
    <row r="76" spans="1:20" customFormat="1" x14ac:dyDescent="0.25">
      <c r="A76" s="138" t="s">
        <v>5366</v>
      </c>
      <c r="B76" s="138" t="s">
        <v>5367</v>
      </c>
      <c r="C76" s="138" t="s">
        <v>1541</v>
      </c>
      <c r="D76" s="138" t="s">
        <v>4708</v>
      </c>
      <c r="E76" s="138" t="s">
        <v>233</v>
      </c>
      <c r="F76" s="28">
        <v>1</v>
      </c>
      <c r="G76" t="s">
        <v>193</v>
      </c>
      <c r="H76" t="s">
        <v>194</v>
      </c>
      <c r="I76" t="s">
        <v>4723</v>
      </c>
      <c r="J76" t="s">
        <v>5368</v>
      </c>
      <c r="K76">
        <v>18</v>
      </c>
      <c r="L76" s="28" t="s">
        <v>1542</v>
      </c>
      <c r="M76" s="238" t="str">
        <f t="shared" si="1"/>
        <v>133007</v>
      </c>
      <c r="N76" t="s">
        <v>5369</v>
      </c>
      <c r="O76" t="s">
        <v>4709</v>
      </c>
      <c r="P76">
        <v>1863</v>
      </c>
      <c r="Q76">
        <v>1</v>
      </c>
      <c r="R76" t="s">
        <v>5370</v>
      </c>
      <c r="S76" t="s">
        <v>5371</v>
      </c>
      <c r="T76" t="s">
        <v>4714</v>
      </c>
    </row>
    <row r="77" spans="1:20" customFormat="1" x14ac:dyDescent="0.25">
      <c r="A77" s="138" t="s">
        <v>1386</v>
      </c>
      <c r="B77" s="138" t="s">
        <v>3318</v>
      </c>
      <c r="C77" s="138" t="s">
        <v>1506</v>
      </c>
      <c r="D77" s="138" t="s">
        <v>4708</v>
      </c>
      <c r="E77" s="138" t="s">
        <v>192</v>
      </c>
      <c r="F77" s="28">
        <v>1</v>
      </c>
      <c r="G77" t="s">
        <v>193</v>
      </c>
      <c r="H77" t="s">
        <v>194</v>
      </c>
      <c r="I77" t="s">
        <v>4709</v>
      </c>
      <c r="J77" t="s">
        <v>253</v>
      </c>
      <c r="K77">
        <v>18</v>
      </c>
      <c r="L77" s="28" t="s">
        <v>1507</v>
      </c>
      <c r="M77" s="238" t="str">
        <f t="shared" si="1"/>
        <v>216604</v>
      </c>
      <c r="N77" t="s">
        <v>5100</v>
      </c>
      <c r="O77" t="s">
        <v>4725</v>
      </c>
      <c r="P77">
        <v>1811</v>
      </c>
      <c r="Q77">
        <v>1</v>
      </c>
      <c r="T77" t="s">
        <v>4714</v>
      </c>
    </row>
    <row r="78" spans="1:20" customFormat="1" x14ac:dyDescent="0.25">
      <c r="A78" s="138" t="s">
        <v>5453</v>
      </c>
      <c r="B78" s="138" t="s">
        <v>2770</v>
      </c>
      <c r="C78" s="138" t="s">
        <v>354</v>
      </c>
      <c r="D78" s="138" t="s">
        <v>4708</v>
      </c>
      <c r="E78" s="138" t="s">
        <v>233</v>
      </c>
      <c r="F78" s="28">
        <v>1</v>
      </c>
      <c r="G78" t="s">
        <v>193</v>
      </c>
      <c r="H78" t="s">
        <v>194</v>
      </c>
      <c r="I78" t="s">
        <v>4709</v>
      </c>
      <c r="J78" t="s">
        <v>4751</v>
      </c>
      <c r="K78">
        <v>18</v>
      </c>
      <c r="L78" s="28" t="s">
        <v>355</v>
      </c>
      <c r="M78" s="238" t="str">
        <f t="shared" si="1"/>
        <v>215103</v>
      </c>
      <c r="N78" t="s">
        <v>5454</v>
      </c>
      <c r="O78" t="s">
        <v>4878</v>
      </c>
      <c r="P78">
        <v>1862</v>
      </c>
      <c r="Q78">
        <v>1</v>
      </c>
      <c r="R78" t="s">
        <v>5455</v>
      </c>
      <c r="S78" t="s">
        <v>5456</v>
      </c>
      <c r="T78" t="s">
        <v>4714</v>
      </c>
    </row>
    <row r="79" spans="1:20" customFormat="1" x14ac:dyDescent="0.25">
      <c r="A79" s="138" t="s">
        <v>523</v>
      </c>
      <c r="B79" s="138" t="s">
        <v>5436</v>
      </c>
      <c r="C79" s="138" t="s">
        <v>319</v>
      </c>
      <c r="D79" s="138" t="s">
        <v>4708</v>
      </c>
      <c r="E79" s="138" t="s">
        <v>192</v>
      </c>
      <c r="F79" s="28">
        <v>1</v>
      </c>
      <c r="G79" t="s">
        <v>193</v>
      </c>
      <c r="H79" t="s">
        <v>194</v>
      </c>
      <c r="I79" t="s">
        <v>4709</v>
      </c>
      <c r="J79" t="s">
        <v>210</v>
      </c>
      <c r="K79">
        <v>18</v>
      </c>
      <c r="L79" s="28" t="s">
        <v>320</v>
      </c>
      <c r="M79" s="238" t="str">
        <f t="shared" si="1"/>
        <v>214407</v>
      </c>
      <c r="N79" t="s">
        <v>5437</v>
      </c>
      <c r="O79" t="s">
        <v>4725</v>
      </c>
      <c r="P79">
        <v>1863</v>
      </c>
      <c r="Q79">
        <v>1</v>
      </c>
      <c r="T79" t="s">
        <v>4714</v>
      </c>
    </row>
    <row r="80" spans="1:20" customFormat="1" x14ac:dyDescent="0.25">
      <c r="A80" s="138" t="s">
        <v>523</v>
      </c>
      <c r="B80" s="138" t="s">
        <v>5431</v>
      </c>
      <c r="C80" s="138" t="s">
        <v>371</v>
      </c>
      <c r="D80" s="138" t="s">
        <v>4708</v>
      </c>
      <c r="E80" s="138" t="s">
        <v>192</v>
      </c>
      <c r="F80" s="28">
        <v>1</v>
      </c>
      <c r="G80" t="s">
        <v>193</v>
      </c>
      <c r="H80" t="s">
        <v>194</v>
      </c>
      <c r="I80" t="s">
        <v>4723</v>
      </c>
      <c r="J80" t="s">
        <v>210</v>
      </c>
      <c r="K80">
        <v>18</v>
      </c>
      <c r="L80" s="28" t="s">
        <v>372</v>
      </c>
      <c r="M80" s="238" t="str">
        <f t="shared" si="1"/>
        <v>215202</v>
      </c>
      <c r="N80" t="s">
        <v>5432</v>
      </c>
      <c r="O80" t="s">
        <v>4725</v>
      </c>
      <c r="P80">
        <v>1816.1863000000001</v>
      </c>
      <c r="Q80">
        <v>2</v>
      </c>
      <c r="T80" t="s">
        <v>5109</v>
      </c>
    </row>
    <row r="81" spans="1:21" customFormat="1" x14ac:dyDescent="0.25">
      <c r="A81" s="138" t="s">
        <v>5078</v>
      </c>
      <c r="B81" s="138" t="s">
        <v>5079</v>
      </c>
      <c r="C81" s="138" t="s">
        <v>17</v>
      </c>
      <c r="D81" s="138" t="s">
        <v>4708</v>
      </c>
      <c r="E81" s="138" t="s">
        <v>233</v>
      </c>
      <c r="F81" s="28">
        <v>1</v>
      </c>
      <c r="G81" t="s">
        <v>193</v>
      </c>
      <c r="H81" t="s">
        <v>194</v>
      </c>
      <c r="I81" t="s">
        <v>4709</v>
      </c>
      <c r="J81" t="s">
        <v>5080</v>
      </c>
      <c r="K81">
        <v>18</v>
      </c>
      <c r="L81" s="28" t="s">
        <v>624</v>
      </c>
      <c r="M81" s="238" t="str">
        <f t="shared" si="1"/>
        <v>332203</v>
      </c>
      <c r="N81" t="s">
        <v>5081</v>
      </c>
      <c r="O81" t="s">
        <v>5082</v>
      </c>
      <c r="P81">
        <v>1818.1812</v>
      </c>
      <c r="Q81">
        <v>2</v>
      </c>
      <c r="R81" t="s">
        <v>5083</v>
      </c>
      <c r="S81" t="s">
        <v>5084</v>
      </c>
      <c r="T81" t="s">
        <v>4714</v>
      </c>
    </row>
    <row r="82" spans="1:21" customFormat="1" x14ac:dyDescent="0.25">
      <c r="A82" s="138" t="s">
        <v>5213</v>
      </c>
      <c r="B82" s="138" t="s">
        <v>5214</v>
      </c>
      <c r="C82" s="138" t="s">
        <v>5215</v>
      </c>
      <c r="D82" s="138" t="s">
        <v>4708</v>
      </c>
      <c r="E82" s="138" t="s">
        <v>233</v>
      </c>
      <c r="F82" s="28">
        <v>1</v>
      </c>
      <c r="G82" t="s">
        <v>193</v>
      </c>
      <c r="H82" t="s">
        <v>194</v>
      </c>
      <c r="I82" t="s">
        <v>4709</v>
      </c>
      <c r="J82" t="s">
        <v>909</v>
      </c>
      <c r="K82">
        <v>18</v>
      </c>
      <c r="L82" s="28" t="s">
        <v>5216</v>
      </c>
      <c r="M82" s="238" t="str">
        <f t="shared" si="1"/>
        <v>233015</v>
      </c>
      <c r="N82" t="s">
        <v>5217</v>
      </c>
      <c r="O82" t="s">
        <v>4844</v>
      </c>
      <c r="P82">
        <v>1805.1863000000001</v>
      </c>
      <c r="Q82">
        <v>2</v>
      </c>
      <c r="R82" t="s">
        <v>5218</v>
      </c>
      <c r="S82" t="s">
        <v>5219</v>
      </c>
      <c r="T82" t="s">
        <v>4714</v>
      </c>
    </row>
    <row r="83" spans="1:21" customFormat="1" x14ac:dyDescent="0.25">
      <c r="A83" s="138" t="s">
        <v>5213</v>
      </c>
      <c r="B83" s="138" t="s">
        <v>5224</v>
      </c>
      <c r="C83" s="138" t="s">
        <v>5225</v>
      </c>
      <c r="D83" s="138" t="s">
        <v>4708</v>
      </c>
      <c r="E83" s="138" t="s">
        <v>233</v>
      </c>
      <c r="F83" s="28">
        <v>1</v>
      </c>
      <c r="G83" t="s">
        <v>193</v>
      </c>
      <c r="H83" t="s">
        <v>194</v>
      </c>
      <c r="I83" t="s">
        <v>4709</v>
      </c>
      <c r="J83" t="s">
        <v>909</v>
      </c>
      <c r="K83">
        <v>18</v>
      </c>
      <c r="L83" s="28" t="s">
        <v>5226</v>
      </c>
      <c r="M83" s="238" t="str">
        <f t="shared" si="1"/>
        <v>232001</v>
      </c>
      <c r="N83" t="s">
        <v>5227</v>
      </c>
      <c r="O83" t="s">
        <v>4844</v>
      </c>
      <c r="P83">
        <v>1805.1863000000001</v>
      </c>
      <c r="Q83">
        <v>2</v>
      </c>
      <c r="R83" t="s">
        <v>5218</v>
      </c>
      <c r="S83" t="s">
        <v>5228</v>
      </c>
      <c r="T83" t="s">
        <v>4714</v>
      </c>
    </row>
    <row r="84" spans="1:21" customFormat="1" x14ac:dyDescent="0.25">
      <c r="A84" s="138" t="s">
        <v>4721</v>
      </c>
      <c r="B84" s="138" t="s">
        <v>4722</v>
      </c>
      <c r="C84" s="138" t="s">
        <v>1384</v>
      </c>
      <c r="D84" s="138" t="s">
        <v>4708</v>
      </c>
      <c r="E84" s="138" t="s">
        <v>192</v>
      </c>
      <c r="F84" s="28">
        <v>1</v>
      </c>
      <c r="G84" t="s">
        <v>193</v>
      </c>
      <c r="H84" t="s">
        <v>194</v>
      </c>
      <c r="I84" t="s">
        <v>4723</v>
      </c>
      <c r="J84" t="s">
        <v>210</v>
      </c>
      <c r="K84">
        <v>18</v>
      </c>
      <c r="L84" s="28" t="s">
        <v>1385</v>
      </c>
      <c r="M84" s="238" t="str">
        <f t="shared" si="1"/>
        <v>235915</v>
      </c>
      <c r="N84" t="s">
        <v>4724</v>
      </c>
      <c r="O84" t="s">
        <v>4725</v>
      </c>
      <c r="P84">
        <v>1863</v>
      </c>
      <c r="Q84">
        <v>1</v>
      </c>
      <c r="T84" t="s">
        <v>4714</v>
      </c>
    </row>
    <row r="85" spans="1:21" customFormat="1" x14ac:dyDescent="0.25">
      <c r="A85" s="138" t="s">
        <v>4887</v>
      </c>
      <c r="B85" s="138" t="s">
        <v>4888</v>
      </c>
      <c r="C85" s="138" t="s">
        <v>740</v>
      </c>
      <c r="D85" s="138" t="s">
        <v>4708</v>
      </c>
      <c r="E85" s="138" t="s">
        <v>192</v>
      </c>
      <c r="F85" s="28">
        <v>1</v>
      </c>
      <c r="G85" t="s">
        <v>193</v>
      </c>
      <c r="H85" t="s">
        <v>194</v>
      </c>
      <c r="I85" t="s">
        <v>4723</v>
      </c>
      <c r="J85" t="s">
        <v>276</v>
      </c>
      <c r="K85">
        <v>18</v>
      </c>
      <c r="L85" s="28" t="s">
        <v>741</v>
      </c>
      <c r="M85" s="238" t="str">
        <f t="shared" si="1"/>
        <v>522301</v>
      </c>
      <c r="N85" t="s">
        <v>4889</v>
      </c>
      <c r="O85" t="s">
        <v>4725</v>
      </c>
      <c r="P85">
        <v>1803</v>
      </c>
      <c r="Q85">
        <v>1</v>
      </c>
      <c r="T85" t="s">
        <v>4714</v>
      </c>
    </row>
    <row r="86" spans="1:21" customFormat="1" x14ac:dyDescent="0.25">
      <c r="A86" s="138" t="s">
        <v>5126</v>
      </c>
      <c r="B86" s="138" t="s">
        <v>1406</v>
      </c>
      <c r="C86" s="138" t="s">
        <v>10</v>
      </c>
      <c r="D86" s="138" t="s">
        <v>4708</v>
      </c>
      <c r="E86" s="138" t="s">
        <v>233</v>
      </c>
      <c r="F86" s="28">
        <v>1</v>
      </c>
      <c r="G86" t="s">
        <v>193</v>
      </c>
      <c r="H86" t="s">
        <v>194</v>
      </c>
      <c r="I86" t="s">
        <v>4709</v>
      </c>
      <c r="J86" t="s">
        <v>4744</v>
      </c>
      <c r="K86">
        <v>18</v>
      </c>
      <c r="L86" s="28" t="s">
        <v>484</v>
      </c>
      <c r="M86" s="238" t="str">
        <f t="shared" si="1"/>
        <v>251401</v>
      </c>
      <c r="N86" t="s">
        <v>5127</v>
      </c>
      <c r="O86" t="s">
        <v>5128</v>
      </c>
      <c r="Q86">
        <v>25</v>
      </c>
      <c r="R86" t="s">
        <v>5129</v>
      </c>
      <c r="T86" t="s">
        <v>4714</v>
      </c>
    </row>
    <row r="87" spans="1:21" customFormat="1" x14ac:dyDescent="0.25">
      <c r="A87" s="138" t="s">
        <v>1084</v>
      </c>
      <c r="B87" s="138" t="s">
        <v>8</v>
      </c>
      <c r="C87" s="138" t="s">
        <v>740</v>
      </c>
      <c r="D87" s="138" t="s">
        <v>4708</v>
      </c>
      <c r="E87" s="138" t="s">
        <v>192</v>
      </c>
      <c r="F87" s="28">
        <v>1</v>
      </c>
      <c r="G87" t="s">
        <v>193</v>
      </c>
      <c r="H87" t="s">
        <v>194</v>
      </c>
      <c r="I87" t="s">
        <v>4743</v>
      </c>
      <c r="J87" t="s">
        <v>210</v>
      </c>
      <c r="K87">
        <v>18</v>
      </c>
      <c r="L87" s="28" t="s">
        <v>741</v>
      </c>
      <c r="M87" s="238" t="str">
        <f t="shared" si="1"/>
        <v>522301</v>
      </c>
      <c r="N87" t="s">
        <v>4886</v>
      </c>
      <c r="O87" t="s">
        <v>4725</v>
      </c>
      <c r="P87">
        <v>1863</v>
      </c>
      <c r="Q87">
        <v>1</v>
      </c>
      <c r="T87" t="s">
        <v>4714</v>
      </c>
    </row>
    <row r="88" spans="1:21" customFormat="1" x14ac:dyDescent="0.25">
      <c r="A88" s="138" t="s">
        <v>497</v>
      </c>
      <c r="B88" s="138" t="s">
        <v>3222</v>
      </c>
      <c r="C88" s="138" t="s">
        <v>43</v>
      </c>
      <c r="D88" s="138" t="s">
        <v>4708</v>
      </c>
      <c r="E88" s="138" t="s">
        <v>192</v>
      </c>
      <c r="F88" s="28">
        <v>1</v>
      </c>
      <c r="G88" t="s">
        <v>193</v>
      </c>
      <c r="H88" t="s">
        <v>194</v>
      </c>
      <c r="I88" t="s">
        <v>4709</v>
      </c>
      <c r="J88" t="s">
        <v>210</v>
      </c>
      <c r="K88">
        <v>18</v>
      </c>
      <c r="L88" s="28" t="s">
        <v>452</v>
      </c>
      <c r="M88" s="238" t="str">
        <f t="shared" si="1"/>
        <v>243106</v>
      </c>
      <c r="N88" t="s">
        <v>4934</v>
      </c>
      <c r="O88" t="s">
        <v>4725</v>
      </c>
      <c r="P88">
        <v>1863</v>
      </c>
      <c r="Q88">
        <v>1</v>
      </c>
      <c r="T88" t="s">
        <v>4714</v>
      </c>
    </row>
    <row r="89" spans="1:21" customFormat="1" x14ac:dyDescent="0.25">
      <c r="A89" s="138" t="s">
        <v>4707</v>
      </c>
      <c r="B89" s="138" t="s">
        <v>1586</v>
      </c>
      <c r="C89" s="138"/>
      <c r="D89" s="138" t="s">
        <v>4708</v>
      </c>
      <c r="E89" s="138" t="s">
        <v>233</v>
      </c>
      <c r="F89" s="27">
        <v>0</v>
      </c>
      <c r="G89" s="197" t="s">
        <v>194</v>
      </c>
      <c r="H89" t="s">
        <v>193</v>
      </c>
      <c r="I89" t="s">
        <v>4709</v>
      </c>
      <c r="J89" t="s">
        <v>4710</v>
      </c>
      <c r="K89">
        <v>18</v>
      </c>
      <c r="L89" s="27" t="s">
        <v>474</v>
      </c>
      <c r="M89" s="238" t="str">
        <f>MID(L89,8,6)</f>
        <v>243304</v>
      </c>
      <c r="N89" t="s">
        <v>4711</v>
      </c>
      <c r="O89" t="s">
        <v>4708</v>
      </c>
      <c r="Q89">
        <v>0</v>
      </c>
      <c r="R89" t="s">
        <v>4712</v>
      </c>
      <c r="S89" t="s">
        <v>4713</v>
      </c>
      <c r="T89" t="s">
        <v>4714</v>
      </c>
      <c r="U89" s="25" t="s">
        <v>5761</v>
      </c>
    </row>
    <row r="90" spans="1:21" customFormat="1" x14ac:dyDescent="0.25">
      <c r="A90" s="138" t="s">
        <v>5209</v>
      </c>
      <c r="B90" s="138" t="s">
        <v>5210</v>
      </c>
      <c r="C90" s="138" t="s">
        <v>29</v>
      </c>
      <c r="D90" s="138" t="s">
        <v>4708</v>
      </c>
      <c r="E90" s="138" t="s">
        <v>192</v>
      </c>
      <c r="F90" s="28">
        <v>1</v>
      </c>
      <c r="G90" t="s">
        <v>193</v>
      </c>
      <c r="H90" t="s">
        <v>194</v>
      </c>
      <c r="I90" t="s">
        <v>4709</v>
      </c>
      <c r="J90" t="s">
        <v>5211</v>
      </c>
      <c r="K90">
        <v>18</v>
      </c>
      <c r="L90" s="28" t="s">
        <v>808</v>
      </c>
      <c r="M90" s="238" t="str">
        <f t="shared" si="1"/>
        <v>722308</v>
      </c>
      <c r="N90" t="s">
        <v>5212</v>
      </c>
      <c r="O90" t="s">
        <v>4725</v>
      </c>
      <c r="P90">
        <v>1805</v>
      </c>
      <c r="Q90">
        <v>1</v>
      </c>
      <c r="T90" t="s">
        <v>4714</v>
      </c>
    </row>
    <row r="91" spans="1:21" customFormat="1" x14ac:dyDescent="0.25">
      <c r="A91" s="138" t="s">
        <v>5351</v>
      </c>
      <c r="B91" s="138" t="s">
        <v>5352</v>
      </c>
      <c r="C91" s="138" t="s">
        <v>5353</v>
      </c>
      <c r="D91" s="138" t="s">
        <v>4708</v>
      </c>
      <c r="E91" s="138" t="s">
        <v>192</v>
      </c>
      <c r="F91" s="28">
        <v>1</v>
      </c>
      <c r="G91" t="s">
        <v>193</v>
      </c>
      <c r="H91" t="s">
        <v>194</v>
      </c>
      <c r="I91" t="s">
        <v>4723</v>
      </c>
      <c r="J91" t="s">
        <v>210</v>
      </c>
      <c r="K91">
        <v>18</v>
      </c>
      <c r="L91" s="28" t="s">
        <v>2084</v>
      </c>
      <c r="M91" s="238" t="str">
        <f t="shared" si="1"/>
        <v>524302</v>
      </c>
      <c r="N91" t="s">
        <v>5354</v>
      </c>
      <c r="O91" t="s">
        <v>4725</v>
      </c>
      <c r="P91">
        <v>1863</v>
      </c>
      <c r="Q91">
        <v>1</v>
      </c>
      <c r="T91" t="s">
        <v>4714</v>
      </c>
    </row>
    <row r="92" spans="1:21" customFormat="1" x14ac:dyDescent="0.25">
      <c r="A92" s="138" t="s">
        <v>888</v>
      </c>
      <c r="B92" s="138" t="s">
        <v>67</v>
      </c>
      <c r="C92" s="138" t="s">
        <v>67</v>
      </c>
      <c r="D92" s="138" t="s">
        <v>4708</v>
      </c>
      <c r="E92" s="138" t="s">
        <v>217</v>
      </c>
      <c r="F92" s="28">
        <v>1</v>
      </c>
      <c r="G92" t="s">
        <v>193</v>
      </c>
      <c r="H92" t="s">
        <v>194</v>
      </c>
      <c r="I92" t="s">
        <v>4709</v>
      </c>
      <c r="J92" t="s">
        <v>385</v>
      </c>
      <c r="K92">
        <v>18</v>
      </c>
      <c r="L92" s="28" t="s">
        <v>709</v>
      </c>
      <c r="M92" s="238" t="str">
        <f t="shared" si="1"/>
        <v>432103</v>
      </c>
      <c r="N92" t="s">
        <v>5277</v>
      </c>
      <c r="O92" t="s">
        <v>5278</v>
      </c>
      <c r="P92">
        <v>1861</v>
      </c>
      <c r="Q92">
        <v>1</v>
      </c>
      <c r="R92" t="s">
        <v>5279</v>
      </c>
      <c r="S92" t="s">
        <v>5280</v>
      </c>
      <c r="T92" t="s">
        <v>4714</v>
      </c>
    </row>
    <row r="93" spans="1:21" customFormat="1" x14ac:dyDescent="0.25">
      <c r="A93" s="138" t="s">
        <v>888</v>
      </c>
      <c r="B93" s="138" t="s">
        <v>885</v>
      </c>
      <c r="C93" s="138" t="s">
        <v>886</v>
      </c>
      <c r="D93" s="138" t="s">
        <v>4708</v>
      </c>
      <c r="E93" s="138" t="s">
        <v>217</v>
      </c>
      <c r="F93" s="28">
        <v>1</v>
      </c>
      <c r="G93" t="s">
        <v>193</v>
      </c>
      <c r="H93" t="s">
        <v>194</v>
      </c>
      <c r="I93" t="s">
        <v>4709</v>
      </c>
      <c r="J93" t="s">
        <v>385</v>
      </c>
      <c r="K93">
        <v>18</v>
      </c>
      <c r="L93" s="28" t="s">
        <v>887</v>
      </c>
      <c r="M93" s="238" t="str">
        <f t="shared" si="1"/>
        <v>834401</v>
      </c>
      <c r="N93" t="s">
        <v>5398</v>
      </c>
      <c r="O93" t="s">
        <v>5278</v>
      </c>
      <c r="P93">
        <v>1861</v>
      </c>
      <c r="Q93">
        <v>1</v>
      </c>
      <c r="R93" t="s">
        <v>5399</v>
      </c>
      <c r="S93" t="s">
        <v>5400</v>
      </c>
      <c r="T93" t="s">
        <v>4714</v>
      </c>
    </row>
    <row r="94" spans="1:21" customFormat="1" x14ac:dyDescent="0.25">
      <c r="A94" s="138" t="s">
        <v>5564</v>
      </c>
      <c r="B94" s="138" t="s">
        <v>5565</v>
      </c>
      <c r="C94" s="138" t="s">
        <v>111</v>
      </c>
      <c r="D94" s="138" t="s">
        <v>4708</v>
      </c>
      <c r="E94" s="138" t="s">
        <v>192</v>
      </c>
      <c r="F94" s="28">
        <v>1</v>
      </c>
      <c r="G94" t="s">
        <v>193</v>
      </c>
      <c r="H94" t="s">
        <v>194</v>
      </c>
      <c r="I94" t="s">
        <v>4709</v>
      </c>
      <c r="J94" t="s">
        <v>210</v>
      </c>
      <c r="K94">
        <v>18</v>
      </c>
      <c r="L94" s="28" t="s">
        <v>612</v>
      </c>
      <c r="M94" s="238" t="str">
        <f t="shared" si="1"/>
        <v>332101</v>
      </c>
      <c r="N94" t="s">
        <v>5566</v>
      </c>
      <c r="O94" t="s">
        <v>5112</v>
      </c>
      <c r="P94">
        <v>1863</v>
      </c>
      <c r="Q94">
        <v>1</v>
      </c>
      <c r="T94" t="s">
        <v>4714</v>
      </c>
    </row>
    <row r="95" spans="1:21" customFormat="1" x14ac:dyDescent="0.25">
      <c r="A95" s="138" t="s">
        <v>4624</v>
      </c>
      <c r="B95" s="138" t="s">
        <v>4625</v>
      </c>
      <c r="C95" s="138" t="s">
        <v>17</v>
      </c>
      <c r="D95" s="138" t="s">
        <v>4708</v>
      </c>
      <c r="E95" s="138" t="s">
        <v>192</v>
      </c>
      <c r="F95" s="28">
        <v>1</v>
      </c>
      <c r="G95" t="s">
        <v>193</v>
      </c>
      <c r="H95" t="s">
        <v>194</v>
      </c>
      <c r="I95" t="s">
        <v>4709</v>
      </c>
      <c r="J95" t="s">
        <v>2299</v>
      </c>
      <c r="K95">
        <v>18</v>
      </c>
      <c r="L95" s="28" t="s">
        <v>624</v>
      </c>
      <c r="M95" s="238" t="str">
        <f t="shared" si="1"/>
        <v>332203</v>
      </c>
      <c r="N95" t="s">
        <v>5093</v>
      </c>
      <c r="O95" t="s">
        <v>4725</v>
      </c>
      <c r="P95">
        <v>1807.1804999999999</v>
      </c>
      <c r="Q95">
        <v>2</v>
      </c>
      <c r="T95" t="s">
        <v>4714</v>
      </c>
    </row>
    <row r="96" spans="1:21" customFormat="1" x14ac:dyDescent="0.25">
      <c r="A96" s="138" t="s">
        <v>564</v>
      </c>
      <c r="B96" s="138" t="s">
        <v>2491</v>
      </c>
      <c r="C96" s="138" t="s">
        <v>770</v>
      </c>
      <c r="D96" s="138" t="s">
        <v>4708</v>
      </c>
      <c r="E96" s="138" t="s">
        <v>192</v>
      </c>
      <c r="F96" s="28">
        <v>1</v>
      </c>
      <c r="G96" t="s">
        <v>193</v>
      </c>
      <c r="H96" t="s">
        <v>194</v>
      </c>
      <c r="I96" t="s">
        <v>4709</v>
      </c>
      <c r="J96" t="s">
        <v>4799</v>
      </c>
      <c r="K96">
        <v>18</v>
      </c>
      <c r="L96" s="28" t="s">
        <v>772</v>
      </c>
      <c r="M96" s="238" t="str">
        <f t="shared" si="1"/>
        <v>522305</v>
      </c>
      <c r="N96" t="s">
        <v>4800</v>
      </c>
      <c r="O96" t="s">
        <v>4725</v>
      </c>
      <c r="P96">
        <v>1811</v>
      </c>
      <c r="Q96">
        <v>1</v>
      </c>
      <c r="T96" t="s">
        <v>4714</v>
      </c>
    </row>
    <row r="97" spans="1:20" customFormat="1" x14ac:dyDescent="0.25">
      <c r="A97" s="138" t="s">
        <v>5548</v>
      </c>
      <c r="B97" s="138" t="s">
        <v>2770</v>
      </c>
      <c r="C97" s="138" t="s">
        <v>5549</v>
      </c>
      <c r="D97" s="138" t="s">
        <v>4708</v>
      </c>
      <c r="E97" s="138" t="s">
        <v>233</v>
      </c>
      <c r="F97" s="28">
        <v>1</v>
      </c>
      <c r="G97" t="s">
        <v>193</v>
      </c>
      <c r="H97" t="s">
        <v>194</v>
      </c>
      <c r="I97" t="s">
        <v>4709</v>
      </c>
      <c r="J97" t="s">
        <v>210</v>
      </c>
      <c r="K97">
        <v>18</v>
      </c>
      <c r="L97" s="28" t="s">
        <v>5550</v>
      </c>
      <c r="M97" s="238" t="str">
        <f t="shared" si="1"/>
        <v>213301</v>
      </c>
      <c r="N97" t="s">
        <v>5551</v>
      </c>
      <c r="O97" t="s">
        <v>4746</v>
      </c>
      <c r="P97">
        <v>1863</v>
      </c>
      <c r="Q97">
        <v>1</v>
      </c>
      <c r="R97" t="s">
        <v>5552</v>
      </c>
      <c r="S97" t="s">
        <v>5553</v>
      </c>
      <c r="T97" t="s">
        <v>4714</v>
      </c>
    </row>
    <row r="98" spans="1:20" customFormat="1" x14ac:dyDescent="0.25">
      <c r="A98" s="138" t="s">
        <v>2825</v>
      </c>
      <c r="B98" s="138" t="s">
        <v>5434</v>
      </c>
      <c r="C98" s="138" t="s">
        <v>319</v>
      </c>
      <c r="D98" s="138" t="s">
        <v>4708</v>
      </c>
      <c r="E98" s="138" t="s">
        <v>192</v>
      </c>
      <c r="F98" s="28">
        <v>1</v>
      </c>
      <c r="G98" t="s">
        <v>193</v>
      </c>
      <c r="H98" t="s">
        <v>194</v>
      </c>
      <c r="I98" t="s">
        <v>4709</v>
      </c>
      <c r="J98" t="s">
        <v>385</v>
      </c>
      <c r="K98">
        <v>18</v>
      </c>
      <c r="L98" s="28" t="s">
        <v>320</v>
      </c>
      <c r="M98" s="238" t="str">
        <f t="shared" si="1"/>
        <v>214407</v>
      </c>
      <c r="N98" t="s">
        <v>5435</v>
      </c>
      <c r="O98" t="s">
        <v>4725</v>
      </c>
      <c r="P98">
        <v>1861</v>
      </c>
      <c r="Q98">
        <v>1</v>
      </c>
      <c r="T98" t="s">
        <v>4714</v>
      </c>
    </row>
    <row r="99" spans="1:20" customFormat="1" x14ac:dyDescent="0.25">
      <c r="A99" s="138" t="s">
        <v>5537</v>
      </c>
      <c r="B99" s="138" t="s">
        <v>47</v>
      </c>
      <c r="C99" s="138" t="s">
        <v>5538</v>
      </c>
      <c r="D99" s="138" t="s">
        <v>4708</v>
      </c>
      <c r="E99" s="138" t="s">
        <v>192</v>
      </c>
      <c r="F99" s="28">
        <v>1</v>
      </c>
      <c r="G99" t="s">
        <v>193</v>
      </c>
      <c r="H99" t="s">
        <v>194</v>
      </c>
      <c r="I99" t="s">
        <v>4743</v>
      </c>
      <c r="J99" t="s">
        <v>238</v>
      </c>
      <c r="K99">
        <v>18</v>
      </c>
      <c r="L99" s="28" t="s">
        <v>4213</v>
      </c>
      <c r="M99" s="238" t="str">
        <f t="shared" si="1"/>
        <v>711501</v>
      </c>
      <c r="N99" t="s">
        <v>5539</v>
      </c>
      <c r="O99" t="s">
        <v>4725</v>
      </c>
      <c r="P99">
        <v>1863</v>
      </c>
      <c r="Q99">
        <v>1</v>
      </c>
      <c r="T99" t="s">
        <v>4714</v>
      </c>
    </row>
    <row r="100" spans="1:20" customFormat="1" x14ac:dyDescent="0.25">
      <c r="A100" s="138" t="s">
        <v>3430</v>
      </c>
      <c r="B100" s="138" t="s">
        <v>5014</v>
      </c>
      <c r="C100" s="138" t="s">
        <v>35</v>
      </c>
      <c r="D100" s="138" t="s">
        <v>4708</v>
      </c>
      <c r="E100" s="138" t="s">
        <v>192</v>
      </c>
      <c r="F100" s="28">
        <v>1</v>
      </c>
      <c r="G100" t="s">
        <v>193</v>
      </c>
      <c r="H100" t="s">
        <v>194</v>
      </c>
      <c r="I100" t="s">
        <v>4709</v>
      </c>
      <c r="J100" t="s">
        <v>276</v>
      </c>
      <c r="K100">
        <v>18</v>
      </c>
      <c r="L100" s="28" t="s">
        <v>207</v>
      </c>
      <c r="M100" s="238" t="str">
        <f t="shared" si="1"/>
        <v>122106</v>
      </c>
      <c r="N100" t="s">
        <v>5015</v>
      </c>
      <c r="O100" t="s">
        <v>4844</v>
      </c>
      <c r="P100" t="s">
        <v>5003</v>
      </c>
      <c r="Q100">
        <v>16</v>
      </c>
      <c r="T100" t="s">
        <v>4714</v>
      </c>
    </row>
    <row r="101" spans="1:20" customFormat="1" x14ac:dyDescent="0.25">
      <c r="A101" s="138" t="s">
        <v>4954</v>
      </c>
      <c r="B101" s="138" t="s">
        <v>4955</v>
      </c>
      <c r="C101" s="138" t="s">
        <v>27</v>
      </c>
      <c r="D101" s="138" t="s">
        <v>4708</v>
      </c>
      <c r="E101" s="138" t="s">
        <v>192</v>
      </c>
      <c r="F101" s="28">
        <v>1</v>
      </c>
      <c r="G101" t="s">
        <v>193</v>
      </c>
      <c r="H101" t="s">
        <v>194</v>
      </c>
      <c r="I101" t="s">
        <v>4723</v>
      </c>
      <c r="J101" t="s">
        <v>4751</v>
      </c>
      <c r="K101">
        <v>18</v>
      </c>
      <c r="L101" s="28" t="s">
        <v>440</v>
      </c>
      <c r="M101" s="238" t="str">
        <f t="shared" si="1"/>
        <v>242307</v>
      </c>
      <c r="N101" t="s">
        <v>4956</v>
      </c>
      <c r="O101" t="s">
        <v>4725</v>
      </c>
      <c r="P101">
        <v>1862</v>
      </c>
      <c r="Q101">
        <v>1</v>
      </c>
      <c r="T101" t="s">
        <v>4714</v>
      </c>
    </row>
    <row r="102" spans="1:20" customFormat="1" x14ac:dyDescent="0.25">
      <c r="A102" s="138" t="s">
        <v>5481</v>
      </c>
      <c r="B102" s="138" t="s">
        <v>5482</v>
      </c>
      <c r="C102" s="138" t="s">
        <v>19</v>
      </c>
      <c r="D102" s="138" t="s">
        <v>4708</v>
      </c>
      <c r="E102" s="138" t="s">
        <v>192</v>
      </c>
      <c r="F102" s="28">
        <v>1</v>
      </c>
      <c r="G102" t="s">
        <v>193</v>
      </c>
      <c r="H102" t="s">
        <v>194</v>
      </c>
      <c r="I102" t="s">
        <v>4709</v>
      </c>
      <c r="J102" t="s">
        <v>196</v>
      </c>
      <c r="K102">
        <v>18</v>
      </c>
      <c r="L102" s="28" t="s">
        <v>337</v>
      </c>
      <c r="M102" s="238" t="str">
        <f t="shared" si="1"/>
        <v>214903</v>
      </c>
      <c r="N102" t="s">
        <v>5483</v>
      </c>
      <c r="O102" t="s">
        <v>4725</v>
      </c>
      <c r="Q102">
        <v>25</v>
      </c>
      <c r="T102" t="s">
        <v>4714</v>
      </c>
    </row>
    <row r="103" spans="1:20" customFormat="1" x14ac:dyDescent="0.25">
      <c r="A103" s="138" t="s">
        <v>4909</v>
      </c>
      <c r="B103" s="138" t="s">
        <v>4910</v>
      </c>
      <c r="C103" s="138" t="s">
        <v>4911</v>
      </c>
      <c r="D103" s="138" t="s">
        <v>4708</v>
      </c>
      <c r="E103" s="138" t="s">
        <v>233</v>
      </c>
      <c r="F103" s="28">
        <v>1</v>
      </c>
      <c r="G103" t="s">
        <v>193</v>
      </c>
      <c r="H103" t="s">
        <v>194</v>
      </c>
      <c r="I103" t="s">
        <v>4723</v>
      </c>
      <c r="J103" t="s">
        <v>323</v>
      </c>
      <c r="K103">
        <v>18</v>
      </c>
      <c r="L103" s="28" t="s">
        <v>4912</v>
      </c>
      <c r="M103" s="238" t="str">
        <f t="shared" si="1"/>
        <v>242110</v>
      </c>
      <c r="N103" t="s">
        <v>4913</v>
      </c>
      <c r="O103" t="s">
        <v>4723</v>
      </c>
      <c r="P103">
        <v>1812</v>
      </c>
      <c r="Q103">
        <v>1</v>
      </c>
      <c r="R103" t="s">
        <v>4914</v>
      </c>
      <c r="S103" t="s">
        <v>4915</v>
      </c>
      <c r="T103" t="s">
        <v>4714</v>
      </c>
    </row>
    <row r="104" spans="1:20" customFormat="1" x14ac:dyDescent="0.25">
      <c r="A104" s="138" t="s">
        <v>2769</v>
      </c>
      <c r="B104" s="138" t="s">
        <v>2770</v>
      </c>
      <c r="C104" s="138" t="s">
        <v>82</v>
      </c>
      <c r="D104" s="138" t="s">
        <v>4708</v>
      </c>
      <c r="E104" s="138" t="s">
        <v>233</v>
      </c>
      <c r="F104" s="28">
        <v>1</v>
      </c>
      <c r="G104" t="s">
        <v>193</v>
      </c>
      <c r="H104" t="s">
        <v>194</v>
      </c>
      <c r="I104" t="s">
        <v>4709</v>
      </c>
      <c r="J104" t="s">
        <v>210</v>
      </c>
      <c r="K104">
        <v>18</v>
      </c>
      <c r="L104" s="28" t="s">
        <v>504</v>
      </c>
      <c r="M104" s="238" t="str">
        <f t="shared" si="1"/>
        <v>252101</v>
      </c>
      <c r="N104" t="s">
        <v>5581</v>
      </c>
      <c r="O104" t="s">
        <v>4723</v>
      </c>
      <c r="P104">
        <v>1863</v>
      </c>
      <c r="Q104">
        <v>1</v>
      </c>
      <c r="R104" t="s">
        <v>5582</v>
      </c>
      <c r="S104" t="s">
        <v>5583</v>
      </c>
      <c r="T104" t="s">
        <v>4714</v>
      </c>
    </row>
    <row r="105" spans="1:20" customFormat="1" x14ac:dyDescent="0.25">
      <c r="A105" s="138" t="s">
        <v>2634</v>
      </c>
      <c r="B105" s="138" t="s">
        <v>5085</v>
      </c>
      <c r="C105" s="138" t="s">
        <v>17</v>
      </c>
      <c r="D105" s="138" t="s">
        <v>4708</v>
      </c>
      <c r="E105" s="138" t="s">
        <v>233</v>
      </c>
      <c r="F105" s="28">
        <v>1</v>
      </c>
      <c r="G105" t="s">
        <v>193</v>
      </c>
      <c r="H105" t="s">
        <v>194</v>
      </c>
      <c r="I105" t="s">
        <v>4723</v>
      </c>
      <c r="J105" t="s">
        <v>196</v>
      </c>
      <c r="K105">
        <v>18</v>
      </c>
      <c r="L105" s="28" t="s">
        <v>624</v>
      </c>
      <c r="M105" s="238" t="str">
        <f t="shared" si="1"/>
        <v>332203</v>
      </c>
      <c r="N105" t="s">
        <v>5086</v>
      </c>
      <c r="O105" t="s">
        <v>4725</v>
      </c>
      <c r="Q105">
        <v>25</v>
      </c>
      <c r="R105" t="s">
        <v>5087</v>
      </c>
      <c r="S105" t="s">
        <v>5088</v>
      </c>
      <c r="T105" t="s">
        <v>4714</v>
      </c>
    </row>
    <row r="106" spans="1:20" customFormat="1" x14ac:dyDescent="0.25">
      <c r="A106" s="138" t="s">
        <v>540</v>
      </c>
      <c r="B106" s="138" t="s">
        <v>5293</v>
      </c>
      <c r="C106" s="138" t="s">
        <v>5294</v>
      </c>
      <c r="D106" s="138" t="s">
        <v>4708</v>
      </c>
      <c r="E106" s="138" t="s">
        <v>252</v>
      </c>
      <c r="F106" s="28">
        <v>1</v>
      </c>
      <c r="G106" t="s">
        <v>193</v>
      </c>
      <c r="H106" t="s">
        <v>194</v>
      </c>
      <c r="I106" t="s">
        <v>4709</v>
      </c>
      <c r="J106" t="s">
        <v>223</v>
      </c>
      <c r="K106">
        <v>18</v>
      </c>
      <c r="L106" s="28" t="s">
        <v>5295</v>
      </c>
      <c r="M106" s="238" t="str">
        <f t="shared" si="1"/>
        <v>265603</v>
      </c>
      <c r="N106" t="s">
        <v>5296</v>
      </c>
      <c r="O106" t="s">
        <v>4708</v>
      </c>
      <c r="P106">
        <v>1804</v>
      </c>
      <c r="Q106">
        <v>1</v>
      </c>
      <c r="R106" t="s">
        <v>5297</v>
      </c>
      <c r="S106" t="s">
        <v>5298</v>
      </c>
      <c r="T106" t="s">
        <v>4714</v>
      </c>
    </row>
    <row r="107" spans="1:20" customFormat="1" x14ac:dyDescent="0.25">
      <c r="A107" s="138" t="s">
        <v>540</v>
      </c>
      <c r="B107" s="138" t="s">
        <v>356</v>
      </c>
      <c r="C107" s="138" t="s">
        <v>863</v>
      </c>
      <c r="D107" s="138" t="s">
        <v>4708</v>
      </c>
      <c r="E107" s="138" t="s">
        <v>217</v>
      </c>
      <c r="F107" s="28">
        <v>1</v>
      </c>
      <c r="G107" t="s">
        <v>193</v>
      </c>
      <c r="H107" t="s">
        <v>194</v>
      </c>
      <c r="I107" t="s">
        <v>4709</v>
      </c>
      <c r="J107" t="s">
        <v>210</v>
      </c>
      <c r="K107">
        <v>18</v>
      </c>
      <c r="L107" s="28" t="s">
        <v>864</v>
      </c>
      <c r="M107" s="238" t="str">
        <f t="shared" si="1"/>
        <v>814208</v>
      </c>
      <c r="N107" t="s">
        <v>5203</v>
      </c>
      <c r="O107" t="s">
        <v>4858</v>
      </c>
      <c r="P107">
        <v>1863</v>
      </c>
      <c r="Q107">
        <v>1</v>
      </c>
      <c r="R107" t="s">
        <v>5195</v>
      </c>
      <c r="S107" t="s">
        <v>5204</v>
      </c>
      <c r="T107" t="s">
        <v>4714</v>
      </c>
    </row>
    <row r="108" spans="1:20" customFormat="1" x14ac:dyDescent="0.25">
      <c r="A108" s="138" t="s">
        <v>540</v>
      </c>
      <c r="B108" s="138" t="s">
        <v>4610</v>
      </c>
      <c r="C108" s="138" t="s">
        <v>886</v>
      </c>
      <c r="D108" s="138" t="s">
        <v>4708</v>
      </c>
      <c r="E108" s="138" t="s">
        <v>217</v>
      </c>
      <c r="F108" s="28">
        <v>1</v>
      </c>
      <c r="G108" t="s">
        <v>193</v>
      </c>
      <c r="H108" t="s">
        <v>194</v>
      </c>
      <c r="I108" t="s">
        <v>4723</v>
      </c>
      <c r="J108" t="s">
        <v>210</v>
      </c>
      <c r="K108">
        <v>18</v>
      </c>
      <c r="L108" s="28" t="s">
        <v>887</v>
      </c>
      <c r="M108" s="238" t="str">
        <f t="shared" si="1"/>
        <v>834401</v>
      </c>
      <c r="N108" t="s">
        <v>5407</v>
      </c>
      <c r="O108" t="s">
        <v>4858</v>
      </c>
      <c r="P108">
        <v>1863</v>
      </c>
      <c r="Q108">
        <v>1</v>
      </c>
      <c r="R108" t="s">
        <v>5408</v>
      </c>
      <c r="S108" t="s">
        <v>5409</v>
      </c>
      <c r="T108" t="s">
        <v>4714</v>
      </c>
    </row>
    <row r="109" spans="1:20" customFormat="1" x14ac:dyDescent="0.25">
      <c r="A109" s="138" t="s">
        <v>1935</v>
      </c>
      <c r="B109" s="138" t="s">
        <v>1846</v>
      </c>
      <c r="C109" s="138" t="s">
        <v>1133</v>
      </c>
      <c r="D109" s="138" t="s">
        <v>4708</v>
      </c>
      <c r="E109" s="138" t="s">
        <v>192</v>
      </c>
      <c r="F109" s="28">
        <v>1</v>
      </c>
      <c r="G109" t="s">
        <v>193</v>
      </c>
      <c r="H109" t="s">
        <v>194</v>
      </c>
      <c r="I109" t="s">
        <v>4743</v>
      </c>
      <c r="J109" t="s">
        <v>253</v>
      </c>
      <c r="K109">
        <v>18</v>
      </c>
      <c r="L109" s="28" t="s">
        <v>1134</v>
      </c>
      <c r="M109" s="238" t="str">
        <f t="shared" si="1"/>
        <v>112008</v>
      </c>
      <c r="N109" t="s">
        <v>5517</v>
      </c>
      <c r="O109" t="s">
        <v>4725</v>
      </c>
      <c r="P109">
        <v>1811</v>
      </c>
      <c r="Q109">
        <v>1</v>
      </c>
      <c r="T109" t="s">
        <v>4714</v>
      </c>
    </row>
    <row r="110" spans="1:20" customFormat="1" x14ac:dyDescent="0.25">
      <c r="A110" s="138" t="s">
        <v>4975</v>
      </c>
      <c r="B110" s="138" t="s">
        <v>5469</v>
      </c>
      <c r="C110" s="138" t="s">
        <v>21</v>
      </c>
      <c r="D110" s="138" t="s">
        <v>4708</v>
      </c>
      <c r="E110" s="138" t="s">
        <v>233</v>
      </c>
      <c r="F110" s="28">
        <v>1</v>
      </c>
      <c r="G110" t="s">
        <v>193</v>
      </c>
      <c r="H110" t="s">
        <v>194</v>
      </c>
      <c r="I110" t="s">
        <v>4709</v>
      </c>
      <c r="J110" t="s">
        <v>385</v>
      </c>
      <c r="K110">
        <v>18</v>
      </c>
      <c r="L110" s="28" t="s">
        <v>293</v>
      </c>
      <c r="M110" s="238" t="str">
        <f t="shared" si="1"/>
        <v>214202</v>
      </c>
      <c r="N110" t="s">
        <v>5470</v>
      </c>
      <c r="O110" t="s">
        <v>4725</v>
      </c>
      <c r="P110">
        <v>1861</v>
      </c>
      <c r="Q110">
        <v>1</v>
      </c>
      <c r="R110" t="s">
        <v>5471</v>
      </c>
      <c r="S110" t="s">
        <v>5472</v>
      </c>
      <c r="T110" t="s">
        <v>4714</v>
      </c>
    </row>
    <row r="111" spans="1:20" customFormat="1" x14ac:dyDescent="0.25">
      <c r="A111" s="138" t="s">
        <v>4975</v>
      </c>
      <c r="B111" s="138" t="s">
        <v>4982</v>
      </c>
      <c r="C111" s="138" t="s">
        <v>4977</v>
      </c>
      <c r="D111" s="138" t="s">
        <v>4708</v>
      </c>
      <c r="E111" s="138" t="s">
        <v>233</v>
      </c>
      <c r="F111" s="28">
        <v>1</v>
      </c>
      <c r="G111" t="s">
        <v>193</v>
      </c>
      <c r="H111" t="s">
        <v>194</v>
      </c>
      <c r="I111" t="s">
        <v>4723</v>
      </c>
      <c r="J111" t="s">
        <v>385</v>
      </c>
      <c r="K111">
        <v>18</v>
      </c>
      <c r="L111" s="28" t="s">
        <v>4978</v>
      </c>
      <c r="M111" s="238" t="str">
        <f t="shared" si="1"/>
        <v>242217</v>
      </c>
      <c r="N111" t="s">
        <v>4983</v>
      </c>
      <c r="O111" t="s">
        <v>4725</v>
      </c>
      <c r="P111">
        <v>1861</v>
      </c>
      <c r="Q111">
        <v>1</v>
      </c>
      <c r="R111" t="s">
        <v>4984</v>
      </c>
      <c r="S111" t="s">
        <v>4985</v>
      </c>
      <c r="T111" t="s">
        <v>4714</v>
      </c>
    </row>
    <row r="112" spans="1:20" customFormat="1" x14ac:dyDescent="0.25">
      <c r="A112" s="138" t="s">
        <v>4975</v>
      </c>
      <c r="B112" s="138" t="s">
        <v>4976</v>
      </c>
      <c r="C112" s="138" t="s">
        <v>4977</v>
      </c>
      <c r="D112" s="138" t="s">
        <v>4708</v>
      </c>
      <c r="E112" s="138" t="s">
        <v>233</v>
      </c>
      <c r="F112" s="28">
        <v>1</v>
      </c>
      <c r="G112" t="s">
        <v>193</v>
      </c>
      <c r="H112" t="s">
        <v>194</v>
      </c>
      <c r="I112" t="s">
        <v>4723</v>
      </c>
      <c r="J112" t="s">
        <v>385</v>
      </c>
      <c r="K112">
        <v>18</v>
      </c>
      <c r="L112" s="28" t="s">
        <v>4978</v>
      </c>
      <c r="M112" s="238" t="str">
        <f t="shared" si="1"/>
        <v>242217</v>
      </c>
      <c r="N112" t="s">
        <v>4979</v>
      </c>
      <c r="O112" t="s">
        <v>4725</v>
      </c>
      <c r="P112">
        <v>1861</v>
      </c>
      <c r="Q112">
        <v>1</v>
      </c>
      <c r="R112" t="s">
        <v>4980</v>
      </c>
      <c r="S112" t="s">
        <v>4981</v>
      </c>
      <c r="T112" t="s">
        <v>4714</v>
      </c>
    </row>
    <row r="113" spans="1:20" customFormat="1" x14ac:dyDescent="0.25">
      <c r="A113" s="138" t="s">
        <v>4975</v>
      </c>
      <c r="B113" s="138" t="s">
        <v>5089</v>
      </c>
      <c r="C113" s="138" t="s">
        <v>17</v>
      </c>
      <c r="D113" s="138" t="s">
        <v>4708</v>
      </c>
      <c r="E113" s="138" t="s">
        <v>233</v>
      </c>
      <c r="F113" s="28">
        <v>1</v>
      </c>
      <c r="G113" t="s">
        <v>193</v>
      </c>
      <c r="H113" t="s">
        <v>194</v>
      </c>
      <c r="I113" t="s">
        <v>4709</v>
      </c>
      <c r="J113" t="s">
        <v>385</v>
      </c>
      <c r="K113">
        <v>18</v>
      </c>
      <c r="L113" s="28" t="s">
        <v>624</v>
      </c>
      <c r="M113" s="238" t="str">
        <f t="shared" si="1"/>
        <v>332203</v>
      </c>
      <c r="N113" t="s">
        <v>5090</v>
      </c>
      <c r="O113" t="s">
        <v>4725</v>
      </c>
      <c r="P113">
        <v>1861</v>
      </c>
      <c r="Q113">
        <v>1</v>
      </c>
      <c r="R113" t="s">
        <v>5091</v>
      </c>
      <c r="S113" t="s">
        <v>5092</v>
      </c>
      <c r="T113" t="s">
        <v>4714</v>
      </c>
    </row>
    <row r="114" spans="1:20" customFormat="1" x14ac:dyDescent="0.25">
      <c r="A114" s="138" t="s">
        <v>5133</v>
      </c>
      <c r="B114" s="138" t="s">
        <v>5134</v>
      </c>
      <c r="C114" s="138" t="s">
        <v>10</v>
      </c>
      <c r="D114" s="138" t="s">
        <v>4708</v>
      </c>
      <c r="E114" s="138" t="s">
        <v>192</v>
      </c>
      <c r="F114" s="28">
        <v>1</v>
      </c>
      <c r="G114" t="s">
        <v>193</v>
      </c>
      <c r="H114" t="s">
        <v>194</v>
      </c>
      <c r="I114" t="s">
        <v>4709</v>
      </c>
      <c r="J114" t="s">
        <v>210</v>
      </c>
      <c r="K114">
        <v>18</v>
      </c>
      <c r="L114" s="28" t="s">
        <v>484</v>
      </c>
      <c r="M114" s="238" t="str">
        <f t="shared" si="1"/>
        <v>251401</v>
      </c>
      <c r="N114" t="s">
        <v>5135</v>
      </c>
      <c r="O114" t="s">
        <v>4725</v>
      </c>
      <c r="P114">
        <v>1863</v>
      </c>
      <c r="Q114">
        <v>1</v>
      </c>
      <c r="T114" t="s">
        <v>4714</v>
      </c>
    </row>
    <row r="115" spans="1:20" customFormat="1" x14ac:dyDescent="0.25">
      <c r="A115" s="138" t="s">
        <v>912</v>
      </c>
      <c r="B115" s="138" t="s">
        <v>913</v>
      </c>
      <c r="C115" s="138" t="s">
        <v>740</v>
      </c>
      <c r="D115" s="138" t="s">
        <v>4708</v>
      </c>
      <c r="E115" s="138" t="s">
        <v>233</v>
      </c>
      <c r="F115" s="28">
        <v>1</v>
      </c>
      <c r="G115" t="s">
        <v>193</v>
      </c>
      <c r="H115" t="s">
        <v>194</v>
      </c>
      <c r="I115" t="s">
        <v>4709</v>
      </c>
      <c r="J115" t="s">
        <v>4890</v>
      </c>
      <c r="K115">
        <v>18</v>
      </c>
      <c r="L115" s="28" t="s">
        <v>741</v>
      </c>
      <c r="M115" s="238" t="str">
        <f t="shared" si="1"/>
        <v>522301</v>
      </c>
      <c r="N115" t="s">
        <v>4891</v>
      </c>
      <c r="O115" t="s">
        <v>4844</v>
      </c>
      <c r="P115" t="s">
        <v>4892</v>
      </c>
      <c r="Q115">
        <v>13</v>
      </c>
      <c r="R115" t="s">
        <v>4893</v>
      </c>
      <c r="S115" t="s">
        <v>4894</v>
      </c>
      <c r="T115" t="s">
        <v>4714</v>
      </c>
    </row>
    <row r="116" spans="1:20" customFormat="1" x14ac:dyDescent="0.25">
      <c r="A116" s="138" t="s">
        <v>1490</v>
      </c>
      <c r="B116" s="138" t="s">
        <v>5429</v>
      </c>
      <c r="C116" s="138" t="s">
        <v>371</v>
      </c>
      <c r="D116" s="138" t="s">
        <v>4708</v>
      </c>
      <c r="E116" s="138" t="s">
        <v>192</v>
      </c>
      <c r="F116" s="28">
        <v>1</v>
      </c>
      <c r="G116" t="s">
        <v>193</v>
      </c>
      <c r="H116" t="s">
        <v>194</v>
      </c>
      <c r="I116" t="s">
        <v>4723</v>
      </c>
      <c r="J116" t="s">
        <v>575</v>
      </c>
      <c r="K116">
        <v>18</v>
      </c>
      <c r="L116" s="28" t="s">
        <v>372</v>
      </c>
      <c r="M116" s="238" t="str">
        <f t="shared" si="1"/>
        <v>215202</v>
      </c>
      <c r="N116" t="s">
        <v>5430</v>
      </c>
      <c r="O116" t="s">
        <v>4725</v>
      </c>
      <c r="P116">
        <v>1863.1815999999999</v>
      </c>
      <c r="Q116">
        <v>2</v>
      </c>
      <c r="T116" t="s">
        <v>4714</v>
      </c>
    </row>
    <row r="117" spans="1:20" customFormat="1" x14ac:dyDescent="0.25">
      <c r="A117" s="138" t="s">
        <v>5287</v>
      </c>
      <c r="B117" s="138" t="s">
        <v>5384</v>
      </c>
      <c r="C117" s="138" t="s">
        <v>237</v>
      </c>
      <c r="D117" s="138" t="s">
        <v>4708</v>
      </c>
      <c r="E117" s="138" t="s">
        <v>233</v>
      </c>
      <c r="F117" s="28">
        <v>1</v>
      </c>
      <c r="G117" t="s">
        <v>193</v>
      </c>
      <c r="H117" t="s">
        <v>194</v>
      </c>
      <c r="I117" t="s">
        <v>4709</v>
      </c>
      <c r="J117" t="s">
        <v>367</v>
      </c>
      <c r="K117">
        <v>18</v>
      </c>
      <c r="L117" s="28" t="s">
        <v>239</v>
      </c>
      <c r="M117" s="238" t="str">
        <f t="shared" si="1"/>
        <v>132404</v>
      </c>
      <c r="N117" t="s">
        <v>5385</v>
      </c>
      <c r="O117" t="s">
        <v>4844</v>
      </c>
      <c r="P117">
        <v>1805</v>
      </c>
      <c r="Q117">
        <v>1</v>
      </c>
      <c r="S117" t="s">
        <v>5386</v>
      </c>
      <c r="T117" t="s">
        <v>4714</v>
      </c>
    </row>
    <row r="118" spans="1:20" customFormat="1" x14ac:dyDescent="0.25">
      <c r="A118" s="138" t="s">
        <v>5287</v>
      </c>
      <c r="B118" s="138" t="s">
        <v>5288</v>
      </c>
      <c r="C118" s="138" t="s">
        <v>67</v>
      </c>
      <c r="D118" s="138" t="s">
        <v>4708</v>
      </c>
      <c r="E118" s="138" t="s">
        <v>233</v>
      </c>
      <c r="F118" s="28">
        <v>1</v>
      </c>
      <c r="G118" t="s">
        <v>193</v>
      </c>
      <c r="H118" t="s">
        <v>194</v>
      </c>
      <c r="I118" t="s">
        <v>4709</v>
      </c>
      <c r="J118" t="s">
        <v>367</v>
      </c>
      <c r="K118">
        <v>18</v>
      </c>
      <c r="L118" s="28" t="s">
        <v>709</v>
      </c>
      <c r="M118" s="238" t="str">
        <f t="shared" si="1"/>
        <v>432103</v>
      </c>
      <c r="N118" t="s">
        <v>5289</v>
      </c>
      <c r="O118" t="s">
        <v>4844</v>
      </c>
      <c r="P118">
        <v>1805</v>
      </c>
      <c r="Q118">
        <v>1</v>
      </c>
      <c r="S118" t="s">
        <v>5290</v>
      </c>
      <c r="T118" t="s">
        <v>4714</v>
      </c>
    </row>
    <row r="119" spans="1:20" customFormat="1" x14ac:dyDescent="0.25">
      <c r="A119" s="138" t="s">
        <v>5496</v>
      </c>
      <c r="B119" s="138" t="s">
        <v>1301</v>
      </c>
      <c r="C119" s="138" t="s">
        <v>86</v>
      </c>
      <c r="D119" s="138" t="s">
        <v>4708</v>
      </c>
      <c r="E119" s="138" t="s">
        <v>192</v>
      </c>
      <c r="F119" s="28">
        <v>1</v>
      </c>
      <c r="G119" t="s">
        <v>193</v>
      </c>
      <c r="H119" t="s">
        <v>194</v>
      </c>
      <c r="I119" t="s">
        <v>4709</v>
      </c>
      <c r="J119" t="s">
        <v>196</v>
      </c>
      <c r="K119">
        <v>18</v>
      </c>
      <c r="L119" s="28" t="s">
        <v>1107</v>
      </c>
      <c r="M119" s="238" t="str">
        <f t="shared" si="1"/>
        <v>121101</v>
      </c>
      <c r="N119" t="s">
        <v>5497</v>
      </c>
      <c r="O119" t="s">
        <v>4725</v>
      </c>
      <c r="P119">
        <v>1805</v>
      </c>
      <c r="Q119">
        <v>1</v>
      </c>
      <c r="T119" t="s">
        <v>4714</v>
      </c>
    </row>
    <row r="120" spans="1:20" customFormat="1" x14ac:dyDescent="0.25">
      <c r="A120" s="138" t="s">
        <v>3217</v>
      </c>
      <c r="B120" s="138" t="s">
        <v>4957</v>
      </c>
      <c r="C120" s="138" t="s">
        <v>27</v>
      </c>
      <c r="D120" s="138" t="s">
        <v>4708</v>
      </c>
      <c r="E120" s="138" t="s">
        <v>192</v>
      </c>
      <c r="F120" s="28">
        <v>1</v>
      </c>
      <c r="G120" t="s">
        <v>193</v>
      </c>
      <c r="H120" t="s">
        <v>194</v>
      </c>
      <c r="I120" t="s">
        <v>4723</v>
      </c>
      <c r="J120" t="s">
        <v>2819</v>
      </c>
      <c r="K120">
        <v>18</v>
      </c>
      <c r="L120" s="28" t="s">
        <v>440</v>
      </c>
      <c r="M120" s="238" t="str">
        <f t="shared" si="1"/>
        <v>242307</v>
      </c>
      <c r="N120" t="s">
        <v>4958</v>
      </c>
      <c r="O120" t="s">
        <v>4725</v>
      </c>
      <c r="P120">
        <v>1803</v>
      </c>
      <c r="Q120">
        <v>1</v>
      </c>
      <c r="T120" t="s">
        <v>4714</v>
      </c>
    </row>
    <row r="121" spans="1:20" customFormat="1" x14ac:dyDescent="0.25">
      <c r="A121" s="138" t="s">
        <v>5532</v>
      </c>
      <c r="B121" s="138" t="s">
        <v>2545</v>
      </c>
      <c r="C121" s="138" t="s">
        <v>778</v>
      </c>
      <c r="D121" s="138" t="s">
        <v>4708</v>
      </c>
      <c r="E121" s="138" t="s">
        <v>233</v>
      </c>
      <c r="F121" s="28">
        <v>1</v>
      </c>
      <c r="G121" t="s">
        <v>193</v>
      </c>
      <c r="H121" t="s">
        <v>194</v>
      </c>
      <c r="I121" t="s">
        <v>4723</v>
      </c>
      <c r="J121" t="s">
        <v>5533</v>
      </c>
      <c r="K121">
        <v>18</v>
      </c>
      <c r="L121" s="28" t="s">
        <v>779</v>
      </c>
      <c r="M121" s="238" t="str">
        <f t="shared" si="1"/>
        <v>524902</v>
      </c>
      <c r="N121" t="s">
        <v>5534</v>
      </c>
      <c r="O121" t="s">
        <v>4775</v>
      </c>
      <c r="P121">
        <v>1863.1862000000001</v>
      </c>
      <c r="Q121">
        <v>2</v>
      </c>
      <c r="R121" t="s">
        <v>5535</v>
      </c>
      <c r="S121" t="s">
        <v>5536</v>
      </c>
      <c r="T121" t="s">
        <v>4714</v>
      </c>
    </row>
    <row r="122" spans="1:20" customFormat="1" x14ac:dyDescent="0.25">
      <c r="A122" s="138" t="s">
        <v>5011</v>
      </c>
      <c r="B122" s="138" t="s">
        <v>5012</v>
      </c>
      <c r="C122" s="138" t="s">
        <v>35</v>
      </c>
      <c r="D122" s="138" t="s">
        <v>4708</v>
      </c>
      <c r="E122" s="138" t="s">
        <v>192</v>
      </c>
      <c r="F122" s="28">
        <v>1</v>
      </c>
      <c r="G122" t="s">
        <v>193</v>
      </c>
      <c r="H122" t="s">
        <v>194</v>
      </c>
      <c r="I122" t="s">
        <v>4709</v>
      </c>
      <c r="J122" t="s">
        <v>196</v>
      </c>
      <c r="K122">
        <v>18</v>
      </c>
      <c r="L122" s="28" t="s">
        <v>207</v>
      </c>
      <c r="M122" s="238" t="str">
        <f t="shared" si="1"/>
        <v>122106</v>
      </c>
      <c r="N122" t="s">
        <v>5013</v>
      </c>
      <c r="O122" t="s">
        <v>4725</v>
      </c>
      <c r="Q122">
        <v>25</v>
      </c>
      <c r="T122" t="s">
        <v>4714</v>
      </c>
    </row>
    <row r="123" spans="1:20" customFormat="1" x14ac:dyDescent="0.25">
      <c r="A123" s="138" t="s">
        <v>417</v>
      </c>
      <c r="B123" s="138" t="s">
        <v>5164</v>
      </c>
      <c r="C123" s="138" t="s">
        <v>706</v>
      </c>
      <c r="D123" s="138" t="s">
        <v>4708</v>
      </c>
      <c r="E123" s="138" t="s">
        <v>233</v>
      </c>
      <c r="F123" s="28">
        <v>1</v>
      </c>
      <c r="G123" t="s">
        <v>193</v>
      </c>
      <c r="H123" t="s">
        <v>194</v>
      </c>
      <c r="I123" t="s">
        <v>4709</v>
      </c>
      <c r="J123" t="s">
        <v>210</v>
      </c>
      <c r="K123">
        <v>18</v>
      </c>
      <c r="L123" s="28" t="s">
        <v>707</v>
      </c>
      <c r="M123" s="238" t="str">
        <f t="shared" si="1"/>
        <v>422201</v>
      </c>
      <c r="N123" t="s">
        <v>5165</v>
      </c>
      <c r="O123" t="s">
        <v>4725</v>
      </c>
      <c r="P123">
        <v>1863</v>
      </c>
      <c r="Q123">
        <v>1</v>
      </c>
      <c r="S123" t="s">
        <v>5166</v>
      </c>
      <c r="T123" t="s">
        <v>4714</v>
      </c>
    </row>
    <row r="124" spans="1:20" customFormat="1" x14ac:dyDescent="0.25">
      <c r="A124" s="138" t="s">
        <v>4959</v>
      </c>
      <c r="B124" s="138" t="s">
        <v>1520</v>
      </c>
      <c r="C124" s="138" t="s">
        <v>4960</v>
      </c>
      <c r="D124" s="138" t="s">
        <v>4708</v>
      </c>
      <c r="E124" s="138" t="s">
        <v>233</v>
      </c>
      <c r="F124" s="28">
        <v>1</v>
      </c>
      <c r="G124" t="s">
        <v>193</v>
      </c>
      <c r="H124" t="s">
        <v>194</v>
      </c>
      <c r="I124" t="s">
        <v>4709</v>
      </c>
      <c r="J124" t="s">
        <v>210</v>
      </c>
      <c r="K124">
        <v>18</v>
      </c>
      <c r="L124" s="28" t="s">
        <v>4961</v>
      </c>
      <c r="M124" s="238" t="str">
        <f t="shared" si="1"/>
        <v>242313</v>
      </c>
      <c r="N124" t="s">
        <v>4962</v>
      </c>
      <c r="O124" t="s">
        <v>4963</v>
      </c>
      <c r="P124">
        <v>1863</v>
      </c>
      <c r="Q124">
        <v>1</v>
      </c>
      <c r="R124" t="s">
        <v>4964</v>
      </c>
      <c r="S124" t="s">
        <v>4965</v>
      </c>
      <c r="T124" t="s">
        <v>4714</v>
      </c>
    </row>
    <row r="125" spans="1:20" customFormat="1" x14ac:dyDescent="0.25">
      <c r="A125" s="138" t="s">
        <v>5488</v>
      </c>
      <c r="B125" s="138" t="s">
        <v>1173</v>
      </c>
      <c r="C125" s="138" t="s">
        <v>1173</v>
      </c>
      <c r="D125" s="138" t="s">
        <v>4708</v>
      </c>
      <c r="E125" s="138" t="s">
        <v>233</v>
      </c>
      <c r="F125" s="28">
        <v>1</v>
      </c>
      <c r="G125" t="s">
        <v>193</v>
      </c>
      <c r="H125" t="s">
        <v>194</v>
      </c>
      <c r="I125" t="s">
        <v>4743</v>
      </c>
      <c r="J125" t="s">
        <v>305</v>
      </c>
      <c r="K125">
        <v>18</v>
      </c>
      <c r="L125" s="28" t="s">
        <v>1174</v>
      </c>
      <c r="M125" s="238" t="str">
        <f t="shared" si="1"/>
        <v>242211</v>
      </c>
      <c r="N125" t="s">
        <v>5489</v>
      </c>
      <c r="O125" t="s">
        <v>5490</v>
      </c>
      <c r="P125">
        <v>1814</v>
      </c>
      <c r="Q125">
        <v>1</v>
      </c>
      <c r="R125" t="s">
        <v>5491</v>
      </c>
      <c r="S125" t="s">
        <v>5492</v>
      </c>
      <c r="T125" t="s">
        <v>4714</v>
      </c>
    </row>
    <row r="126" spans="1:20" customFormat="1" x14ac:dyDescent="0.25">
      <c r="A126" s="138" t="s">
        <v>5307</v>
      </c>
      <c r="B126" s="138" t="s">
        <v>2124</v>
      </c>
      <c r="C126" s="138" t="s">
        <v>13</v>
      </c>
      <c r="D126" s="138" t="s">
        <v>4708</v>
      </c>
      <c r="E126" s="138" t="s">
        <v>233</v>
      </c>
      <c r="F126" s="28">
        <v>1</v>
      </c>
      <c r="G126" t="s">
        <v>193</v>
      </c>
      <c r="H126" t="s">
        <v>194</v>
      </c>
      <c r="I126" t="s">
        <v>4709</v>
      </c>
      <c r="J126" t="s">
        <v>223</v>
      </c>
      <c r="K126">
        <v>18</v>
      </c>
      <c r="L126" s="28" t="s">
        <v>2125</v>
      </c>
      <c r="M126" s="238" t="str">
        <f t="shared" si="1"/>
        <v>225101</v>
      </c>
      <c r="N126" t="s">
        <v>5308</v>
      </c>
      <c r="O126" t="s">
        <v>4746</v>
      </c>
      <c r="P126">
        <v>1804</v>
      </c>
      <c r="Q126">
        <v>1</v>
      </c>
      <c r="R126" t="s">
        <v>5309</v>
      </c>
      <c r="S126" t="s">
        <v>5310</v>
      </c>
      <c r="T126" t="s">
        <v>4714</v>
      </c>
    </row>
    <row r="127" spans="1:20" customFormat="1" x14ac:dyDescent="0.25">
      <c r="A127" s="138" t="s">
        <v>5186</v>
      </c>
      <c r="B127" s="138" t="s">
        <v>5187</v>
      </c>
      <c r="C127" s="138" t="s">
        <v>113</v>
      </c>
      <c r="D127" s="138" t="s">
        <v>4708</v>
      </c>
      <c r="E127" s="138" t="s">
        <v>192</v>
      </c>
      <c r="F127" s="28">
        <v>1</v>
      </c>
      <c r="G127" t="s">
        <v>193</v>
      </c>
      <c r="H127" t="s">
        <v>194</v>
      </c>
      <c r="I127" t="s">
        <v>4709</v>
      </c>
      <c r="J127" t="s">
        <v>316</v>
      </c>
      <c r="K127">
        <v>18</v>
      </c>
      <c r="L127" s="28" t="s">
        <v>465</v>
      </c>
      <c r="M127" s="238" t="str">
        <f t="shared" si="1"/>
        <v>243302</v>
      </c>
      <c r="N127" t="s">
        <v>5188</v>
      </c>
      <c r="O127" t="s">
        <v>4725</v>
      </c>
      <c r="P127">
        <v>1818</v>
      </c>
      <c r="Q127">
        <v>1</v>
      </c>
      <c r="T127" t="s">
        <v>4714</v>
      </c>
    </row>
    <row r="128" spans="1:20" customFormat="1" x14ac:dyDescent="0.25">
      <c r="A128" s="138" t="s">
        <v>4742</v>
      </c>
      <c r="B128" s="138" t="s">
        <v>57</v>
      </c>
      <c r="C128" s="138" t="s">
        <v>57</v>
      </c>
      <c r="D128" s="138" t="s">
        <v>4708</v>
      </c>
      <c r="E128" s="138" t="s">
        <v>233</v>
      </c>
      <c r="F128" s="28">
        <v>1</v>
      </c>
      <c r="G128" t="s">
        <v>193</v>
      </c>
      <c r="H128" t="s">
        <v>194</v>
      </c>
      <c r="I128" t="s">
        <v>4743</v>
      </c>
      <c r="J128" t="s">
        <v>4744</v>
      </c>
      <c r="K128">
        <v>18</v>
      </c>
      <c r="L128" s="28" t="s">
        <v>2693</v>
      </c>
      <c r="M128" s="238" t="str">
        <f t="shared" si="1"/>
        <v>524404</v>
      </c>
      <c r="N128" t="s">
        <v>4745</v>
      </c>
      <c r="O128" t="s">
        <v>4746</v>
      </c>
      <c r="Q128">
        <v>25</v>
      </c>
      <c r="R128" t="s">
        <v>4747</v>
      </c>
      <c r="S128" t="s">
        <v>4748</v>
      </c>
      <c r="T128" t="s">
        <v>4714</v>
      </c>
    </row>
    <row r="129" spans="1:20" customFormat="1" x14ac:dyDescent="0.25">
      <c r="A129" s="138" t="s">
        <v>5130</v>
      </c>
      <c r="B129" s="138" t="s">
        <v>5347</v>
      </c>
      <c r="C129" s="138" t="s">
        <v>97</v>
      </c>
      <c r="D129" s="138" t="s">
        <v>4708</v>
      </c>
      <c r="E129" s="138" t="s">
        <v>192</v>
      </c>
      <c r="F129" s="28">
        <v>1</v>
      </c>
      <c r="G129" t="s">
        <v>193</v>
      </c>
      <c r="H129" t="s">
        <v>194</v>
      </c>
      <c r="I129" t="s">
        <v>4709</v>
      </c>
      <c r="J129" t="s">
        <v>210</v>
      </c>
      <c r="K129">
        <v>18</v>
      </c>
      <c r="L129" s="28" t="s">
        <v>2086</v>
      </c>
      <c r="M129" s="238" t="str">
        <f t="shared" si="1"/>
        <v>251102</v>
      </c>
      <c r="N129" t="s">
        <v>5348</v>
      </c>
      <c r="O129" t="s">
        <v>4725</v>
      </c>
      <c r="P129">
        <v>1863</v>
      </c>
      <c r="Q129">
        <v>1</v>
      </c>
      <c r="T129" t="s">
        <v>4714</v>
      </c>
    </row>
    <row r="130" spans="1:20" customFormat="1" x14ac:dyDescent="0.25">
      <c r="A130" s="138" t="s">
        <v>5130</v>
      </c>
      <c r="B130" s="138" t="s">
        <v>5345</v>
      </c>
      <c r="C130" s="138" t="s">
        <v>97</v>
      </c>
      <c r="D130" s="138" t="s">
        <v>4708</v>
      </c>
      <c r="E130" s="138" t="s">
        <v>192</v>
      </c>
      <c r="F130" s="28">
        <v>1</v>
      </c>
      <c r="G130" t="s">
        <v>193</v>
      </c>
      <c r="H130" t="s">
        <v>194</v>
      </c>
      <c r="I130" t="s">
        <v>4709</v>
      </c>
      <c r="J130" t="s">
        <v>210</v>
      </c>
      <c r="K130">
        <v>18</v>
      </c>
      <c r="L130" s="28" t="s">
        <v>2086</v>
      </c>
      <c r="M130" s="238" t="str">
        <f t="shared" si="1"/>
        <v>251102</v>
      </c>
      <c r="N130" t="s">
        <v>5346</v>
      </c>
      <c r="O130" t="s">
        <v>4725</v>
      </c>
      <c r="P130">
        <v>1863</v>
      </c>
      <c r="Q130">
        <v>1</v>
      </c>
      <c r="T130" t="s">
        <v>4714</v>
      </c>
    </row>
    <row r="131" spans="1:20" customFormat="1" x14ac:dyDescent="0.25">
      <c r="A131" s="138" t="s">
        <v>5130</v>
      </c>
      <c r="B131" s="138" t="s">
        <v>5349</v>
      </c>
      <c r="C131" s="138" t="s">
        <v>97</v>
      </c>
      <c r="D131" s="138" t="s">
        <v>4708</v>
      </c>
      <c r="E131" s="138" t="s">
        <v>192</v>
      </c>
      <c r="F131" s="28">
        <v>1</v>
      </c>
      <c r="G131" t="s">
        <v>193</v>
      </c>
      <c r="H131" t="s">
        <v>194</v>
      </c>
      <c r="I131" t="s">
        <v>4709</v>
      </c>
      <c r="J131" t="s">
        <v>210</v>
      </c>
      <c r="K131">
        <v>18</v>
      </c>
      <c r="L131" s="28" t="s">
        <v>2086</v>
      </c>
      <c r="M131" s="238" t="str">
        <f t="shared" si="1"/>
        <v>251102</v>
      </c>
      <c r="N131" t="s">
        <v>5350</v>
      </c>
      <c r="O131" t="s">
        <v>4725</v>
      </c>
      <c r="P131">
        <v>1863</v>
      </c>
      <c r="Q131">
        <v>1</v>
      </c>
      <c r="T131" t="s">
        <v>4714</v>
      </c>
    </row>
    <row r="132" spans="1:20" customFormat="1" x14ac:dyDescent="0.25">
      <c r="A132" s="138" t="s">
        <v>5130</v>
      </c>
      <c r="B132" s="138" t="s">
        <v>5131</v>
      </c>
      <c r="C132" s="138" t="s">
        <v>10</v>
      </c>
      <c r="D132" s="138" t="s">
        <v>4708</v>
      </c>
      <c r="E132" s="138" t="s">
        <v>192</v>
      </c>
      <c r="F132" s="28">
        <v>1</v>
      </c>
      <c r="G132" t="s">
        <v>193</v>
      </c>
      <c r="H132" t="s">
        <v>194</v>
      </c>
      <c r="I132" t="s">
        <v>4709</v>
      </c>
      <c r="J132" t="s">
        <v>210</v>
      </c>
      <c r="K132">
        <v>18</v>
      </c>
      <c r="L132" s="28" t="s">
        <v>484</v>
      </c>
      <c r="M132" s="238" t="str">
        <f t="shared" ref="M132:M195" si="2">MID(L132,8,6)</f>
        <v>251401</v>
      </c>
      <c r="N132" t="s">
        <v>5132</v>
      </c>
      <c r="O132" t="s">
        <v>4725</v>
      </c>
      <c r="P132">
        <v>1863</v>
      </c>
      <c r="Q132">
        <v>1</v>
      </c>
      <c r="T132" t="s">
        <v>4714</v>
      </c>
    </row>
    <row r="133" spans="1:20" customFormat="1" x14ac:dyDescent="0.25">
      <c r="A133" s="138" t="s">
        <v>5130</v>
      </c>
      <c r="B133" s="138" t="s">
        <v>5418</v>
      </c>
      <c r="C133" s="138" t="s">
        <v>69</v>
      </c>
      <c r="D133" s="138" t="s">
        <v>4708</v>
      </c>
      <c r="E133" s="138" t="s">
        <v>192</v>
      </c>
      <c r="F133" s="28">
        <v>1</v>
      </c>
      <c r="G133" t="s">
        <v>193</v>
      </c>
      <c r="H133" t="s">
        <v>194</v>
      </c>
      <c r="I133" t="s">
        <v>4723</v>
      </c>
      <c r="J133" t="s">
        <v>253</v>
      </c>
      <c r="K133">
        <v>18</v>
      </c>
      <c r="L133" s="28" t="s">
        <v>375</v>
      </c>
      <c r="M133" s="238" t="str">
        <f t="shared" si="2"/>
        <v>215301</v>
      </c>
      <c r="N133" t="s">
        <v>5419</v>
      </c>
      <c r="O133" t="s">
        <v>4725</v>
      </c>
      <c r="P133">
        <v>1811</v>
      </c>
      <c r="Q133">
        <v>1</v>
      </c>
      <c r="T133" t="s">
        <v>4714</v>
      </c>
    </row>
    <row r="134" spans="1:20" customFormat="1" x14ac:dyDescent="0.25">
      <c r="A134" s="138" t="s">
        <v>5393</v>
      </c>
      <c r="B134" s="138" t="s">
        <v>216</v>
      </c>
      <c r="C134" s="138" t="s">
        <v>95</v>
      </c>
      <c r="D134" s="138" t="s">
        <v>4708</v>
      </c>
      <c r="E134" s="138" t="s">
        <v>192</v>
      </c>
      <c r="F134" s="28">
        <v>1</v>
      </c>
      <c r="G134" t="s">
        <v>193</v>
      </c>
      <c r="H134" t="s">
        <v>194</v>
      </c>
      <c r="I134" t="s">
        <v>4709</v>
      </c>
      <c r="J134" t="s">
        <v>210</v>
      </c>
      <c r="K134">
        <v>18</v>
      </c>
      <c r="L134" s="28" t="s">
        <v>1015</v>
      </c>
      <c r="M134" s="238" t="str">
        <f t="shared" si="2"/>
        <v>122102</v>
      </c>
      <c r="N134" t="s">
        <v>5394</v>
      </c>
      <c r="O134" t="s">
        <v>5112</v>
      </c>
      <c r="P134">
        <v>1863</v>
      </c>
      <c r="Q134">
        <v>1</v>
      </c>
      <c r="T134" t="s">
        <v>4714</v>
      </c>
    </row>
    <row r="135" spans="1:20" customFormat="1" x14ac:dyDescent="0.25">
      <c r="A135" s="138" t="s">
        <v>5567</v>
      </c>
      <c r="B135" s="138" t="s">
        <v>5568</v>
      </c>
      <c r="C135" s="138" t="s">
        <v>50</v>
      </c>
      <c r="D135" s="138" t="s">
        <v>4708</v>
      </c>
      <c r="E135" s="138" t="s">
        <v>192</v>
      </c>
      <c r="F135" s="28">
        <v>1</v>
      </c>
      <c r="G135" t="s">
        <v>193</v>
      </c>
      <c r="H135" t="s">
        <v>194</v>
      </c>
      <c r="I135" t="s">
        <v>4723</v>
      </c>
      <c r="J135" t="s">
        <v>3631</v>
      </c>
      <c r="K135">
        <v>18</v>
      </c>
      <c r="L135" s="28" t="s">
        <v>906</v>
      </c>
      <c r="M135" s="238" t="str">
        <f t="shared" si="2"/>
        <v>333101</v>
      </c>
      <c r="N135" t="s">
        <v>5569</v>
      </c>
      <c r="O135" t="s">
        <v>4725</v>
      </c>
      <c r="P135">
        <v>1804</v>
      </c>
      <c r="Q135">
        <v>1</v>
      </c>
      <c r="T135" t="s">
        <v>4714</v>
      </c>
    </row>
    <row r="136" spans="1:20" customFormat="1" x14ac:dyDescent="0.25">
      <c r="A136" s="138" t="s">
        <v>5337</v>
      </c>
      <c r="B136" s="138" t="s">
        <v>5338</v>
      </c>
      <c r="C136" s="138" t="s">
        <v>5333</v>
      </c>
      <c r="D136" s="138" t="s">
        <v>4708</v>
      </c>
      <c r="E136" s="138" t="s">
        <v>233</v>
      </c>
      <c r="F136" s="28">
        <v>1</v>
      </c>
      <c r="G136" t="s">
        <v>193</v>
      </c>
      <c r="H136" t="s">
        <v>194</v>
      </c>
      <c r="I136" t="s">
        <v>4709</v>
      </c>
      <c r="J136" t="s">
        <v>210</v>
      </c>
      <c r="K136">
        <v>18</v>
      </c>
      <c r="L136" s="28" t="s">
        <v>1536</v>
      </c>
      <c r="M136" s="238" t="str">
        <f t="shared" si="2"/>
        <v>314401</v>
      </c>
      <c r="N136" t="s">
        <v>5339</v>
      </c>
      <c r="O136" t="s">
        <v>5082</v>
      </c>
      <c r="P136">
        <v>1863</v>
      </c>
      <c r="Q136">
        <v>1</v>
      </c>
      <c r="R136" t="s">
        <v>5340</v>
      </c>
      <c r="S136" t="s">
        <v>5341</v>
      </c>
      <c r="T136" t="s">
        <v>4714</v>
      </c>
    </row>
    <row r="137" spans="1:20" customFormat="1" x14ac:dyDescent="0.25">
      <c r="A137" s="138" t="s">
        <v>5507</v>
      </c>
      <c r="B137" s="138" t="s">
        <v>831</v>
      </c>
      <c r="C137" s="138" t="s">
        <v>829</v>
      </c>
      <c r="D137" s="138" t="s">
        <v>4708</v>
      </c>
      <c r="E137" s="138" t="s">
        <v>192</v>
      </c>
      <c r="F137" s="28">
        <v>1</v>
      </c>
      <c r="G137" t="s">
        <v>193</v>
      </c>
      <c r="H137" t="s">
        <v>194</v>
      </c>
      <c r="I137" t="s">
        <v>4743</v>
      </c>
      <c r="J137" t="s">
        <v>253</v>
      </c>
      <c r="K137">
        <v>18</v>
      </c>
      <c r="L137" s="28" t="s">
        <v>830</v>
      </c>
      <c r="M137" s="238" t="str">
        <f t="shared" si="2"/>
        <v>741201</v>
      </c>
      <c r="N137" t="s">
        <v>5508</v>
      </c>
      <c r="O137" t="s">
        <v>4756</v>
      </c>
      <c r="P137">
        <v>1811</v>
      </c>
      <c r="Q137">
        <v>1</v>
      </c>
      <c r="T137" t="s">
        <v>4714</v>
      </c>
    </row>
    <row r="138" spans="1:20" customFormat="1" x14ac:dyDescent="0.25">
      <c r="A138" s="138" t="s">
        <v>5343</v>
      </c>
      <c r="B138" s="138" t="s">
        <v>2087</v>
      </c>
      <c r="C138" s="138" t="s">
        <v>66</v>
      </c>
      <c r="D138" s="138" t="s">
        <v>4708</v>
      </c>
      <c r="E138" s="138" t="s">
        <v>192</v>
      </c>
      <c r="F138" s="28">
        <v>1</v>
      </c>
      <c r="G138" t="s">
        <v>193</v>
      </c>
      <c r="H138" t="s">
        <v>194</v>
      </c>
      <c r="I138" t="s">
        <v>4743</v>
      </c>
      <c r="J138" t="s">
        <v>4751</v>
      </c>
      <c r="K138">
        <v>18</v>
      </c>
      <c r="L138" s="28" t="s">
        <v>1503</v>
      </c>
      <c r="M138" s="238" t="str">
        <f t="shared" si="2"/>
        <v>241107</v>
      </c>
      <c r="N138" t="s">
        <v>5344</v>
      </c>
      <c r="O138" t="s">
        <v>4725</v>
      </c>
      <c r="P138">
        <v>1862</v>
      </c>
      <c r="Q138">
        <v>1</v>
      </c>
      <c r="T138" t="s">
        <v>4714</v>
      </c>
    </row>
    <row r="139" spans="1:20" customFormat="1" x14ac:dyDescent="0.25">
      <c r="A139" s="138" t="s">
        <v>5180</v>
      </c>
      <c r="B139" s="138" t="s">
        <v>5181</v>
      </c>
      <c r="C139" s="138" t="s">
        <v>113</v>
      </c>
      <c r="D139" s="138" t="s">
        <v>4708</v>
      </c>
      <c r="E139" s="138" t="s">
        <v>233</v>
      </c>
      <c r="F139" s="28">
        <v>1</v>
      </c>
      <c r="G139" t="s">
        <v>193</v>
      </c>
      <c r="H139" t="s">
        <v>194</v>
      </c>
      <c r="I139" t="s">
        <v>4723</v>
      </c>
      <c r="J139" t="s">
        <v>4744</v>
      </c>
      <c r="K139">
        <v>18</v>
      </c>
      <c r="L139" s="28" t="s">
        <v>465</v>
      </c>
      <c r="M139" s="238" t="str">
        <f t="shared" si="2"/>
        <v>243302</v>
      </c>
      <c r="N139" t="s">
        <v>5182</v>
      </c>
      <c r="O139" t="s">
        <v>5183</v>
      </c>
      <c r="Q139">
        <v>25</v>
      </c>
      <c r="R139" t="s">
        <v>5184</v>
      </c>
      <c r="S139" t="s">
        <v>5185</v>
      </c>
      <c r="T139" t="s">
        <v>4714</v>
      </c>
    </row>
    <row r="140" spans="1:20" customFormat="1" x14ac:dyDescent="0.25">
      <c r="A140" s="138" t="s">
        <v>3442</v>
      </c>
      <c r="B140" s="138" t="s">
        <v>5016</v>
      </c>
      <c r="C140" s="138" t="s">
        <v>35</v>
      </c>
      <c r="D140" s="138" t="s">
        <v>4708</v>
      </c>
      <c r="E140" s="138" t="s">
        <v>192</v>
      </c>
      <c r="F140" s="28">
        <v>1</v>
      </c>
      <c r="G140" t="s">
        <v>193</v>
      </c>
      <c r="H140" t="s">
        <v>194</v>
      </c>
      <c r="I140" t="s">
        <v>4709</v>
      </c>
      <c r="J140" t="s">
        <v>196</v>
      </c>
      <c r="K140">
        <v>18</v>
      </c>
      <c r="L140" s="28" t="s">
        <v>207</v>
      </c>
      <c r="M140" s="238" t="str">
        <f t="shared" si="2"/>
        <v>122106</v>
      </c>
      <c r="N140" t="s">
        <v>5017</v>
      </c>
      <c r="O140" t="s">
        <v>4725</v>
      </c>
      <c r="Q140">
        <v>25</v>
      </c>
      <c r="T140" t="s">
        <v>4714</v>
      </c>
    </row>
    <row r="141" spans="1:20" customFormat="1" x14ac:dyDescent="0.25">
      <c r="A141" s="138" t="s">
        <v>358</v>
      </c>
      <c r="B141" s="138" t="s">
        <v>5235</v>
      </c>
      <c r="C141" s="138" t="s">
        <v>5236</v>
      </c>
      <c r="D141" s="138" t="s">
        <v>4708</v>
      </c>
      <c r="E141" s="138" t="s">
        <v>192</v>
      </c>
      <c r="F141" s="28">
        <v>1</v>
      </c>
      <c r="G141" t="s">
        <v>193</v>
      </c>
      <c r="H141" t="s">
        <v>194</v>
      </c>
      <c r="I141" t="s">
        <v>4709</v>
      </c>
      <c r="J141" t="s">
        <v>210</v>
      </c>
      <c r="K141">
        <v>18</v>
      </c>
      <c r="L141" s="28" t="s">
        <v>5237</v>
      </c>
      <c r="M141" s="238" t="str">
        <f t="shared" si="2"/>
        <v>712604</v>
      </c>
      <c r="N141" t="s">
        <v>5238</v>
      </c>
      <c r="O141" t="s">
        <v>4725</v>
      </c>
      <c r="P141">
        <v>1863</v>
      </c>
      <c r="Q141">
        <v>1</v>
      </c>
      <c r="T141" t="s">
        <v>4714</v>
      </c>
    </row>
    <row r="142" spans="1:20" customFormat="1" x14ac:dyDescent="0.25">
      <c r="A142" s="138" t="s">
        <v>2443</v>
      </c>
      <c r="B142" s="138" t="s">
        <v>4883</v>
      </c>
      <c r="C142" s="138" t="s">
        <v>740</v>
      </c>
      <c r="D142" s="138" t="s">
        <v>4708</v>
      </c>
      <c r="E142" s="138" t="s">
        <v>192</v>
      </c>
      <c r="F142" s="28">
        <v>1</v>
      </c>
      <c r="G142" t="s">
        <v>193</v>
      </c>
      <c r="H142" t="s">
        <v>194</v>
      </c>
      <c r="I142" t="s">
        <v>4723</v>
      </c>
      <c r="J142" t="s">
        <v>276</v>
      </c>
      <c r="K142">
        <v>18</v>
      </c>
      <c r="L142" s="28" t="s">
        <v>741</v>
      </c>
      <c r="M142" s="238" t="str">
        <f t="shared" si="2"/>
        <v>522301</v>
      </c>
      <c r="N142" t="s">
        <v>4884</v>
      </c>
      <c r="O142" t="s">
        <v>4885</v>
      </c>
      <c r="P142">
        <v>1803</v>
      </c>
      <c r="Q142">
        <v>1</v>
      </c>
      <c r="T142" t="s">
        <v>4714</v>
      </c>
    </row>
    <row r="143" spans="1:20" customFormat="1" x14ac:dyDescent="0.25">
      <c r="A143" s="138" t="s">
        <v>5577</v>
      </c>
      <c r="B143" s="138" t="s">
        <v>5578</v>
      </c>
      <c r="C143" s="138" t="s">
        <v>46</v>
      </c>
      <c r="D143" s="138" t="s">
        <v>4708</v>
      </c>
      <c r="E143" s="138" t="s">
        <v>192</v>
      </c>
      <c r="F143" s="28">
        <v>1</v>
      </c>
      <c r="G143" t="s">
        <v>193</v>
      </c>
      <c r="H143" t="s">
        <v>194</v>
      </c>
      <c r="I143" t="s">
        <v>4709</v>
      </c>
      <c r="J143" t="s">
        <v>327</v>
      </c>
      <c r="K143">
        <v>18</v>
      </c>
      <c r="L143" s="28" t="s">
        <v>510</v>
      </c>
      <c r="M143" s="238" t="str">
        <f t="shared" si="2"/>
        <v>252201</v>
      </c>
      <c r="N143" t="s">
        <v>5579</v>
      </c>
      <c r="O143" t="s">
        <v>4725</v>
      </c>
      <c r="P143" t="s">
        <v>5580</v>
      </c>
      <c r="Q143">
        <v>4</v>
      </c>
      <c r="T143" t="s">
        <v>4714</v>
      </c>
    </row>
    <row r="144" spans="1:20" customFormat="1" x14ac:dyDescent="0.25">
      <c r="A144" s="138" t="s">
        <v>581</v>
      </c>
      <c r="B144" s="138" t="s">
        <v>2198</v>
      </c>
      <c r="C144" s="138" t="s">
        <v>62</v>
      </c>
      <c r="D144" s="138" t="s">
        <v>4708</v>
      </c>
      <c r="E144" s="138" t="s">
        <v>233</v>
      </c>
      <c r="F144" s="28">
        <v>1</v>
      </c>
      <c r="G144" t="s">
        <v>193</v>
      </c>
      <c r="H144" t="s">
        <v>194</v>
      </c>
      <c r="I144" t="s">
        <v>4709</v>
      </c>
      <c r="J144" t="s">
        <v>253</v>
      </c>
      <c r="K144">
        <v>18</v>
      </c>
      <c r="L144" s="28" t="s">
        <v>601</v>
      </c>
      <c r="M144" s="238" t="str">
        <f t="shared" si="2"/>
        <v>313904</v>
      </c>
      <c r="N144" t="s">
        <v>5197</v>
      </c>
      <c r="O144" t="s">
        <v>5082</v>
      </c>
      <c r="P144">
        <v>1811</v>
      </c>
      <c r="Q144">
        <v>1</v>
      </c>
      <c r="R144" t="s">
        <v>5198</v>
      </c>
      <c r="S144" t="s">
        <v>5199</v>
      </c>
      <c r="T144" t="s">
        <v>4714</v>
      </c>
    </row>
    <row r="145" spans="1:20" customFormat="1" x14ac:dyDescent="0.25">
      <c r="A145" s="138" t="s">
        <v>581</v>
      </c>
      <c r="B145" s="138" t="s">
        <v>5200</v>
      </c>
      <c r="C145" s="138" t="s">
        <v>62</v>
      </c>
      <c r="D145" s="138" t="s">
        <v>4708</v>
      </c>
      <c r="E145" s="138" t="s">
        <v>217</v>
      </c>
      <c r="F145" s="28">
        <v>1</v>
      </c>
      <c r="G145" t="s">
        <v>193</v>
      </c>
      <c r="H145" t="s">
        <v>194</v>
      </c>
      <c r="I145" t="s">
        <v>4709</v>
      </c>
      <c r="J145" t="s">
        <v>253</v>
      </c>
      <c r="K145">
        <v>18</v>
      </c>
      <c r="L145" s="28" t="s">
        <v>601</v>
      </c>
      <c r="M145" s="238" t="str">
        <f t="shared" si="2"/>
        <v>313904</v>
      </c>
      <c r="N145" t="s">
        <v>5201</v>
      </c>
      <c r="O145" t="s">
        <v>5202</v>
      </c>
      <c r="P145">
        <v>1811</v>
      </c>
      <c r="Q145">
        <v>1</v>
      </c>
      <c r="R145" t="s">
        <v>4903</v>
      </c>
      <c r="S145" t="s">
        <v>4904</v>
      </c>
      <c r="T145" t="s">
        <v>4714</v>
      </c>
    </row>
    <row r="146" spans="1:20" customFormat="1" x14ac:dyDescent="0.25">
      <c r="A146" s="138" t="s">
        <v>581</v>
      </c>
      <c r="B146" s="138" t="s">
        <v>5167</v>
      </c>
      <c r="C146" s="138" t="s">
        <v>5168</v>
      </c>
      <c r="D146" s="138" t="s">
        <v>4708</v>
      </c>
      <c r="E146" s="138" t="s">
        <v>233</v>
      </c>
      <c r="F146" s="28">
        <v>1</v>
      </c>
      <c r="G146" t="s">
        <v>193</v>
      </c>
      <c r="H146" t="s">
        <v>194</v>
      </c>
      <c r="I146" t="s">
        <v>4709</v>
      </c>
      <c r="J146" t="s">
        <v>253</v>
      </c>
      <c r="K146">
        <v>18</v>
      </c>
      <c r="L146" s="28" t="s">
        <v>1313</v>
      </c>
      <c r="M146" s="238" t="str">
        <f t="shared" si="2"/>
        <v>813190</v>
      </c>
      <c r="N146" t="s">
        <v>5169</v>
      </c>
      <c r="O146" t="s">
        <v>4844</v>
      </c>
      <c r="P146">
        <v>1811</v>
      </c>
      <c r="Q146">
        <v>1</v>
      </c>
      <c r="R146" t="s">
        <v>5170</v>
      </c>
      <c r="S146" t="s">
        <v>5171</v>
      </c>
      <c r="T146" t="s">
        <v>4714</v>
      </c>
    </row>
    <row r="147" spans="1:20" customFormat="1" x14ac:dyDescent="0.25">
      <c r="A147" s="138" t="s">
        <v>581</v>
      </c>
      <c r="B147" s="138" t="s">
        <v>4842</v>
      </c>
      <c r="C147" s="138" t="s">
        <v>169</v>
      </c>
      <c r="D147" s="138" t="s">
        <v>4708</v>
      </c>
      <c r="E147" s="138" t="s">
        <v>233</v>
      </c>
      <c r="F147" s="28">
        <v>1</v>
      </c>
      <c r="G147" t="s">
        <v>193</v>
      </c>
      <c r="H147" t="s">
        <v>194</v>
      </c>
      <c r="I147" t="s">
        <v>4709</v>
      </c>
      <c r="J147" t="s">
        <v>253</v>
      </c>
      <c r="K147">
        <v>18</v>
      </c>
      <c r="L147" s="28" t="s">
        <v>1370</v>
      </c>
      <c r="M147" s="238" t="str">
        <f t="shared" si="2"/>
        <v>752205</v>
      </c>
      <c r="N147" t="s">
        <v>4843</v>
      </c>
      <c r="O147" t="s">
        <v>4844</v>
      </c>
      <c r="P147">
        <v>1811</v>
      </c>
      <c r="Q147">
        <v>1</v>
      </c>
      <c r="R147" t="s">
        <v>4845</v>
      </c>
      <c r="S147" t="s">
        <v>4846</v>
      </c>
      <c r="T147" t="s">
        <v>4714</v>
      </c>
    </row>
    <row r="148" spans="1:20" customFormat="1" x14ac:dyDescent="0.25">
      <c r="A148" s="138" t="s">
        <v>5006</v>
      </c>
      <c r="B148" s="138" t="s">
        <v>5018</v>
      </c>
      <c r="C148" s="138" t="s">
        <v>17</v>
      </c>
      <c r="D148" s="138" t="s">
        <v>4718</v>
      </c>
      <c r="E148" s="138" t="s">
        <v>192</v>
      </c>
      <c r="F148" s="28">
        <v>1</v>
      </c>
      <c r="G148" t="s">
        <v>193</v>
      </c>
      <c r="H148" t="s">
        <v>194</v>
      </c>
      <c r="I148" t="s">
        <v>4708</v>
      </c>
      <c r="J148" t="s">
        <v>276</v>
      </c>
      <c r="K148">
        <v>18</v>
      </c>
      <c r="L148" s="28" t="s">
        <v>624</v>
      </c>
      <c r="M148" s="238" t="str">
        <f t="shared" si="2"/>
        <v>332203</v>
      </c>
      <c r="N148" t="s">
        <v>5070</v>
      </c>
      <c r="O148" t="s">
        <v>4878</v>
      </c>
      <c r="P148">
        <v>1803.1811</v>
      </c>
      <c r="Q148">
        <v>2</v>
      </c>
      <c r="T148" t="s">
        <v>4714</v>
      </c>
    </row>
    <row r="149" spans="1:20" customFormat="1" x14ac:dyDescent="0.25">
      <c r="A149" s="138" t="s">
        <v>5006</v>
      </c>
      <c r="B149" s="138" t="s">
        <v>5018</v>
      </c>
      <c r="C149" s="138" t="s">
        <v>17</v>
      </c>
      <c r="D149" s="138" t="s">
        <v>4718</v>
      </c>
      <c r="E149" s="138" t="s">
        <v>192</v>
      </c>
      <c r="F149" s="28">
        <v>1</v>
      </c>
      <c r="G149" t="s">
        <v>193</v>
      </c>
      <c r="H149" t="s">
        <v>194</v>
      </c>
      <c r="I149" t="s">
        <v>4708</v>
      </c>
      <c r="J149" t="s">
        <v>367</v>
      </c>
      <c r="K149">
        <v>18</v>
      </c>
      <c r="L149" s="28" t="s">
        <v>624</v>
      </c>
      <c r="M149" s="238" t="str">
        <f t="shared" si="2"/>
        <v>332203</v>
      </c>
      <c r="N149" t="s">
        <v>5071</v>
      </c>
      <c r="O149" t="s">
        <v>4878</v>
      </c>
      <c r="P149">
        <v>1805.1860999999999</v>
      </c>
      <c r="Q149">
        <v>2</v>
      </c>
      <c r="T149" t="s">
        <v>4714</v>
      </c>
    </row>
    <row r="150" spans="1:20" customFormat="1" x14ac:dyDescent="0.25">
      <c r="A150" s="138" t="s">
        <v>5006</v>
      </c>
      <c r="B150" s="138" t="s">
        <v>5018</v>
      </c>
      <c r="C150" s="138" t="s">
        <v>17</v>
      </c>
      <c r="D150" s="138" t="s">
        <v>4718</v>
      </c>
      <c r="E150" s="138" t="s">
        <v>233</v>
      </c>
      <c r="F150" s="28">
        <v>1</v>
      </c>
      <c r="G150" t="s">
        <v>193</v>
      </c>
      <c r="H150" t="s">
        <v>194</v>
      </c>
      <c r="I150" t="s">
        <v>4708</v>
      </c>
      <c r="J150" t="s">
        <v>959</v>
      </c>
      <c r="K150">
        <v>18</v>
      </c>
      <c r="L150" s="28" t="s">
        <v>624</v>
      </c>
      <c r="M150" s="238" t="str">
        <f t="shared" si="2"/>
        <v>332203</v>
      </c>
      <c r="N150" t="s">
        <v>5075</v>
      </c>
      <c r="O150" t="s">
        <v>4878</v>
      </c>
      <c r="P150">
        <v>1805.1860999999999</v>
      </c>
      <c r="Q150">
        <v>2</v>
      </c>
      <c r="R150" t="s">
        <v>5076</v>
      </c>
      <c r="S150" t="s">
        <v>5077</v>
      </c>
      <c r="T150" t="s">
        <v>4714</v>
      </c>
    </row>
    <row r="151" spans="1:20" customFormat="1" x14ac:dyDescent="0.25">
      <c r="A151" s="138" t="s">
        <v>5006</v>
      </c>
      <c r="B151" s="138" t="s">
        <v>5007</v>
      </c>
      <c r="C151" s="138" t="s">
        <v>35</v>
      </c>
      <c r="D151" s="138" t="s">
        <v>4718</v>
      </c>
      <c r="E151" s="138" t="s">
        <v>233</v>
      </c>
      <c r="F151" s="28">
        <v>1</v>
      </c>
      <c r="G151" t="s">
        <v>193</v>
      </c>
      <c r="H151" t="s">
        <v>194</v>
      </c>
      <c r="I151" t="s">
        <v>4708</v>
      </c>
      <c r="J151" t="s">
        <v>210</v>
      </c>
      <c r="K151">
        <v>18</v>
      </c>
      <c r="L151" s="28" t="s">
        <v>207</v>
      </c>
      <c r="M151" s="238" t="str">
        <f t="shared" si="2"/>
        <v>122106</v>
      </c>
      <c r="N151" t="s">
        <v>5008</v>
      </c>
      <c r="O151" t="s">
        <v>4770</v>
      </c>
      <c r="P151">
        <v>1863</v>
      </c>
      <c r="Q151">
        <v>1</v>
      </c>
      <c r="R151" t="s">
        <v>5009</v>
      </c>
      <c r="S151" t="s">
        <v>5010</v>
      </c>
      <c r="T151" t="s">
        <v>4714</v>
      </c>
    </row>
    <row r="152" spans="1:20" customFormat="1" x14ac:dyDescent="0.25">
      <c r="A152" s="138" t="s">
        <v>712</v>
      </c>
      <c r="B152" s="138" t="s">
        <v>8</v>
      </c>
      <c r="C152" s="138" t="s">
        <v>740</v>
      </c>
      <c r="D152" s="138" t="s">
        <v>4718</v>
      </c>
      <c r="E152" s="138" t="s">
        <v>192</v>
      </c>
      <c r="F152" s="28">
        <v>1</v>
      </c>
      <c r="G152" t="s">
        <v>193</v>
      </c>
      <c r="H152" t="s">
        <v>194</v>
      </c>
      <c r="I152" t="s">
        <v>4746</v>
      </c>
      <c r="J152" t="s">
        <v>316</v>
      </c>
      <c r="K152">
        <v>18</v>
      </c>
      <c r="L152" s="28" t="s">
        <v>741</v>
      </c>
      <c r="M152" s="238" t="str">
        <f t="shared" si="2"/>
        <v>522301</v>
      </c>
      <c r="N152" t="s">
        <v>4868</v>
      </c>
      <c r="O152" t="s">
        <v>4746</v>
      </c>
      <c r="P152">
        <v>1818</v>
      </c>
      <c r="Q152">
        <v>1</v>
      </c>
      <c r="T152" t="s">
        <v>4714</v>
      </c>
    </row>
    <row r="153" spans="1:20" customFormat="1" x14ac:dyDescent="0.25">
      <c r="A153" s="138" t="s">
        <v>3171</v>
      </c>
      <c r="B153" s="138" t="s">
        <v>2849</v>
      </c>
      <c r="C153" s="138" t="s">
        <v>10</v>
      </c>
      <c r="D153" s="138" t="s">
        <v>4718</v>
      </c>
      <c r="E153" s="138" t="s">
        <v>192</v>
      </c>
      <c r="F153" s="28">
        <v>1</v>
      </c>
      <c r="G153" t="s">
        <v>193</v>
      </c>
      <c r="H153" t="s">
        <v>194</v>
      </c>
      <c r="I153" t="s">
        <v>4708</v>
      </c>
      <c r="J153" t="s">
        <v>210</v>
      </c>
      <c r="K153">
        <v>18</v>
      </c>
      <c r="L153" s="28" t="s">
        <v>484</v>
      </c>
      <c r="M153" s="238" t="str">
        <f t="shared" si="2"/>
        <v>251401</v>
      </c>
      <c r="N153" t="s">
        <v>5125</v>
      </c>
      <c r="O153" t="s">
        <v>4756</v>
      </c>
      <c r="P153">
        <v>1863</v>
      </c>
      <c r="Q153">
        <v>1</v>
      </c>
      <c r="T153" t="s">
        <v>4714</v>
      </c>
    </row>
    <row r="154" spans="1:20" customFormat="1" x14ac:dyDescent="0.25">
      <c r="A154" s="138" t="s">
        <v>5282</v>
      </c>
      <c r="B154" s="138" t="s">
        <v>5283</v>
      </c>
      <c r="C154" s="138" t="s">
        <v>67</v>
      </c>
      <c r="D154" s="138" t="s">
        <v>4718</v>
      </c>
      <c r="E154" s="138" t="s">
        <v>192</v>
      </c>
      <c r="F154" s="28">
        <v>1</v>
      </c>
      <c r="G154" t="s">
        <v>193</v>
      </c>
      <c r="H154" t="s">
        <v>194</v>
      </c>
      <c r="I154" t="s">
        <v>4708</v>
      </c>
      <c r="J154" t="s">
        <v>253</v>
      </c>
      <c r="K154">
        <v>18</v>
      </c>
      <c r="L154" s="28" t="s">
        <v>709</v>
      </c>
      <c r="M154" s="238" t="str">
        <f t="shared" si="2"/>
        <v>432103</v>
      </c>
      <c r="N154" t="s">
        <v>5284</v>
      </c>
      <c r="O154" t="s">
        <v>4756</v>
      </c>
      <c r="P154">
        <v>1811</v>
      </c>
      <c r="Q154">
        <v>1</v>
      </c>
      <c r="T154" t="s">
        <v>4714</v>
      </c>
    </row>
    <row r="155" spans="1:20" customFormat="1" x14ac:dyDescent="0.25">
      <c r="A155" s="138" t="s">
        <v>1945</v>
      </c>
      <c r="B155" s="138" t="s">
        <v>657</v>
      </c>
      <c r="C155" s="138" t="s">
        <v>1957</v>
      </c>
      <c r="D155" s="138" t="s">
        <v>4718</v>
      </c>
      <c r="E155" s="138" t="s">
        <v>192</v>
      </c>
      <c r="F155" s="28">
        <v>1</v>
      </c>
      <c r="G155" t="s">
        <v>193</v>
      </c>
      <c r="H155" t="s">
        <v>194</v>
      </c>
      <c r="I155" t="s">
        <v>4708</v>
      </c>
      <c r="J155" t="s">
        <v>316</v>
      </c>
      <c r="K155">
        <v>18</v>
      </c>
      <c r="L155" s="28" t="s">
        <v>1958</v>
      </c>
      <c r="M155" s="238" t="str">
        <f t="shared" si="2"/>
        <v>214408</v>
      </c>
      <c r="N155" t="s">
        <v>5433</v>
      </c>
      <c r="O155" t="s">
        <v>4756</v>
      </c>
      <c r="P155">
        <v>1818</v>
      </c>
      <c r="Q155">
        <v>1</v>
      </c>
      <c r="T155" t="s">
        <v>4714</v>
      </c>
    </row>
    <row r="156" spans="1:20" customFormat="1" x14ac:dyDescent="0.25">
      <c r="A156" s="138" t="s">
        <v>3177</v>
      </c>
      <c r="B156" s="138" t="s">
        <v>5095</v>
      </c>
      <c r="C156" s="138" t="s">
        <v>48</v>
      </c>
      <c r="D156" s="138" t="s">
        <v>4718</v>
      </c>
      <c r="E156" s="138" t="s">
        <v>192</v>
      </c>
      <c r="F156" s="28">
        <v>1</v>
      </c>
      <c r="G156" t="s">
        <v>193</v>
      </c>
      <c r="H156" t="s">
        <v>194</v>
      </c>
      <c r="I156" t="s">
        <v>4708</v>
      </c>
      <c r="J156" t="s">
        <v>210</v>
      </c>
      <c r="K156">
        <v>18</v>
      </c>
      <c r="L156" s="28" t="s">
        <v>2296</v>
      </c>
      <c r="M156" s="238" t="str">
        <f t="shared" si="2"/>
        <v>321401</v>
      </c>
      <c r="N156" t="s">
        <v>5096</v>
      </c>
      <c r="O156" t="s">
        <v>4756</v>
      </c>
      <c r="P156">
        <v>1863</v>
      </c>
      <c r="Q156">
        <v>1</v>
      </c>
      <c r="T156" t="s">
        <v>4714</v>
      </c>
    </row>
    <row r="157" spans="1:20" customFormat="1" x14ac:dyDescent="0.25">
      <c r="A157" s="138" t="s">
        <v>3177</v>
      </c>
      <c r="B157" s="138" t="s">
        <v>3374</v>
      </c>
      <c r="C157" s="138" t="s">
        <v>740</v>
      </c>
      <c r="D157" s="138" t="s">
        <v>4718</v>
      </c>
      <c r="E157" s="138" t="s">
        <v>192</v>
      </c>
      <c r="F157" s="28">
        <v>1</v>
      </c>
      <c r="G157" t="s">
        <v>193</v>
      </c>
      <c r="H157" t="s">
        <v>194</v>
      </c>
      <c r="I157" t="s">
        <v>4708</v>
      </c>
      <c r="J157" t="s">
        <v>210</v>
      </c>
      <c r="K157">
        <v>18</v>
      </c>
      <c r="L157" s="28" t="s">
        <v>741</v>
      </c>
      <c r="M157" s="238" t="str">
        <f t="shared" si="2"/>
        <v>522301</v>
      </c>
      <c r="N157" t="s">
        <v>4882</v>
      </c>
      <c r="O157" t="s">
        <v>4756</v>
      </c>
      <c r="P157">
        <v>1863.1864</v>
      </c>
      <c r="Q157">
        <v>2</v>
      </c>
      <c r="T157" t="s">
        <v>4714</v>
      </c>
    </row>
    <row r="158" spans="1:20" customFormat="1" x14ac:dyDescent="0.25">
      <c r="A158" s="138" t="s">
        <v>3177</v>
      </c>
      <c r="B158" s="138" t="s">
        <v>2295</v>
      </c>
      <c r="C158" s="138" t="s">
        <v>48</v>
      </c>
      <c r="D158" s="138" t="s">
        <v>4718</v>
      </c>
      <c r="E158" s="138" t="s">
        <v>192</v>
      </c>
      <c r="F158" s="28">
        <v>2</v>
      </c>
      <c r="G158" t="s">
        <v>193</v>
      </c>
      <c r="H158" t="s">
        <v>194</v>
      </c>
      <c r="I158" t="s">
        <v>4746</v>
      </c>
      <c r="J158" t="s">
        <v>210</v>
      </c>
      <c r="K158">
        <v>18</v>
      </c>
      <c r="L158" s="28" t="s">
        <v>2296</v>
      </c>
      <c r="M158" s="238" t="str">
        <f t="shared" si="2"/>
        <v>321401</v>
      </c>
      <c r="N158" t="s">
        <v>5094</v>
      </c>
      <c r="O158" t="s">
        <v>4756</v>
      </c>
      <c r="P158">
        <v>1863.1864</v>
      </c>
      <c r="Q158">
        <v>2</v>
      </c>
      <c r="T158" t="s">
        <v>4714</v>
      </c>
    </row>
    <row r="159" spans="1:20" customFormat="1" x14ac:dyDescent="0.25">
      <c r="A159" s="138" t="s">
        <v>1386</v>
      </c>
      <c r="B159" s="138" t="s">
        <v>5475</v>
      </c>
      <c r="C159" s="138" t="s">
        <v>19</v>
      </c>
      <c r="D159" s="138" t="s">
        <v>4718</v>
      </c>
      <c r="E159" s="138" t="s">
        <v>192</v>
      </c>
      <c r="F159" s="28">
        <v>1</v>
      </c>
      <c r="G159" t="s">
        <v>193</v>
      </c>
      <c r="H159" t="s">
        <v>194</v>
      </c>
      <c r="I159" t="s">
        <v>4708</v>
      </c>
      <c r="J159" t="s">
        <v>1388</v>
      </c>
      <c r="K159">
        <v>18</v>
      </c>
      <c r="L159" s="28" t="s">
        <v>337</v>
      </c>
      <c r="M159" s="238" t="str">
        <f t="shared" si="2"/>
        <v>214903</v>
      </c>
      <c r="N159" t="s">
        <v>5476</v>
      </c>
      <c r="O159" t="s">
        <v>4918</v>
      </c>
      <c r="P159">
        <v>1811</v>
      </c>
      <c r="Q159">
        <v>1</v>
      </c>
      <c r="T159" t="s">
        <v>4714</v>
      </c>
    </row>
    <row r="160" spans="1:20" customFormat="1" x14ac:dyDescent="0.25">
      <c r="A160" s="138" t="s">
        <v>1207</v>
      </c>
      <c r="B160" s="138" t="s">
        <v>2560</v>
      </c>
      <c r="C160" s="138" t="s">
        <v>113</v>
      </c>
      <c r="D160" s="138" t="s">
        <v>4718</v>
      </c>
      <c r="E160" s="138" t="s">
        <v>192</v>
      </c>
      <c r="F160" s="28">
        <v>1</v>
      </c>
      <c r="G160" t="s">
        <v>193</v>
      </c>
      <c r="H160" t="s">
        <v>194</v>
      </c>
      <c r="I160" t="s">
        <v>4708</v>
      </c>
      <c r="J160" t="s">
        <v>210</v>
      </c>
      <c r="K160">
        <v>18</v>
      </c>
      <c r="L160" s="28" t="s">
        <v>465</v>
      </c>
      <c r="M160" s="238" t="str">
        <f t="shared" si="2"/>
        <v>243302</v>
      </c>
      <c r="N160" t="s">
        <v>5179</v>
      </c>
      <c r="O160" t="s">
        <v>4743</v>
      </c>
      <c r="P160">
        <v>1863</v>
      </c>
      <c r="Q160">
        <v>1</v>
      </c>
      <c r="T160" t="s">
        <v>4714</v>
      </c>
    </row>
    <row r="161" spans="1:21" customFormat="1" x14ac:dyDescent="0.25">
      <c r="A161" s="138" t="s">
        <v>352</v>
      </c>
      <c r="B161" s="138" t="s">
        <v>5205</v>
      </c>
      <c r="C161" s="138" t="s">
        <v>5206</v>
      </c>
      <c r="D161" s="138" t="s">
        <v>4718</v>
      </c>
      <c r="E161" s="138" t="s">
        <v>192</v>
      </c>
      <c r="F161" s="27">
        <v>0</v>
      </c>
      <c r="G161" s="197" t="s">
        <v>194</v>
      </c>
      <c r="H161" t="s">
        <v>193</v>
      </c>
      <c r="I161" t="s">
        <v>4708</v>
      </c>
      <c r="J161" t="s">
        <v>210</v>
      </c>
      <c r="K161">
        <v>18</v>
      </c>
      <c r="L161" s="28" t="s">
        <v>5207</v>
      </c>
      <c r="M161" s="238" t="str">
        <f t="shared" si="2"/>
        <v>814102</v>
      </c>
      <c r="N161" t="s">
        <v>5208</v>
      </c>
      <c r="O161" t="s">
        <v>4709</v>
      </c>
      <c r="P161">
        <v>1863</v>
      </c>
      <c r="Q161">
        <v>1</v>
      </c>
      <c r="T161" t="s">
        <v>4714</v>
      </c>
      <c r="U161" s="25" t="s">
        <v>5761</v>
      </c>
    </row>
    <row r="162" spans="1:21" customFormat="1" x14ac:dyDescent="0.25">
      <c r="A162" s="138" t="s">
        <v>352</v>
      </c>
      <c r="B162" s="138" t="s">
        <v>5150</v>
      </c>
      <c r="C162" s="138" t="s">
        <v>148</v>
      </c>
      <c r="D162" s="138" t="s">
        <v>4718</v>
      </c>
      <c r="E162" s="138" t="s">
        <v>192</v>
      </c>
      <c r="F162" s="27">
        <v>0</v>
      </c>
      <c r="G162" s="197" t="s">
        <v>194</v>
      </c>
      <c r="H162" t="s">
        <v>193</v>
      </c>
      <c r="I162" t="s">
        <v>4708</v>
      </c>
      <c r="J162" t="s">
        <v>210</v>
      </c>
      <c r="K162">
        <v>18</v>
      </c>
      <c r="L162" s="28" t="s">
        <v>661</v>
      </c>
      <c r="M162" s="238" t="str">
        <f t="shared" si="2"/>
        <v>333104</v>
      </c>
      <c r="N162" t="s">
        <v>5151</v>
      </c>
      <c r="O162" t="s">
        <v>4709</v>
      </c>
      <c r="P162">
        <v>1863</v>
      </c>
      <c r="Q162">
        <v>1</v>
      </c>
      <c r="T162" t="s">
        <v>4714</v>
      </c>
      <c r="U162" s="25" t="s">
        <v>5761</v>
      </c>
    </row>
    <row r="163" spans="1:21" customFormat="1" x14ac:dyDescent="0.25">
      <c r="A163" s="138" t="s">
        <v>2137</v>
      </c>
      <c r="B163" s="138" t="s">
        <v>1886</v>
      </c>
      <c r="C163" s="138" t="s">
        <v>33</v>
      </c>
      <c r="D163" s="138" t="s">
        <v>4718</v>
      </c>
      <c r="E163" s="138" t="s">
        <v>192</v>
      </c>
      <c r="F163" s="28">
        <v>1</v>
      </c>
      <c r="G163" t="s">
        <v>193</v>
      </c>
      <c r="H163" t="s">
        <v>194</v>
      </c>
      <c r="I163" t="s">
        <v>4708</v>
      </c>
      <c r="J163" t="s">
        <v>253</v>
      </c>
      <c r="K163">
        <v>18</v>
      </c>
      <c r="L163" s="28" t="s">
        <v>2414</v>
      </c>
      <c r="M163" s="238" t="str">
        <f t="shared" si="2"/>
        <v>515303</v>
      </c>
      <c r="N163" t="s">
        <v>4987</v>
      </c>
      <c r="O163" t="s">
        <v>4756</v>
      </c>
      <c r="P163">
        <v>1811</v>
      </c>
      <c r="Q163">
        <v>1</v>
      </c>
      <c r="T163" t="s">
        <v>4714</v>
      </c>
    </row>
    <row r="164" spans="1:21" customFormat="1" x14ac:dyDescent="0.25">
      <c r="A164" s="138" t="s">
        <v>2137</v>
      </c>
      <c r="B164" s="138" t="s">
        <v>5285</v>
      </c>
      <c r="C164" s="138" t="s">
        <v>67</v>
      </c>
      <c r="D164" s="138" t="s">
        <v>4718</v>
      </c>
      <c r="E164" s="138" t="s">
        <v>192</v>
      </c>
      <c r="F164" s="28">
        <v>1</v>
      </c>
      <c r="G164" t="s">
        <v>193</v>
      </c>
      <c r="H164" t="s">
        <v>194</v>
      </c>
      <c r="I164" t="s">
        <v>4708</v>
      </c>
      <c r="J164" t="s">
        <v>253</v>
      </c>
      <c r="K164">
        <v>18</v>
      </c>
      <c r="L164" s="28" t="s">
        <v>709</v>
      </c>
      <c r="M164" s="238" t="str">
        <f t="shared" si="2"/>
        <v>432103</v>
      </c>
      <c r="N164" t="s">
        <v>5286</v>
      </c>
      <c r="O164" t="s">
        <v>4756</v>
      </c>
      <c r="P164">
        <v>1811</v>
      </c>
      <c r="Q164">
        <v>1</v>
      </c>
      <c r="T164" t="s">
        <v>4714</v>
      </c>
    </row>
    <row r="165" spans="1:21" customFormat="1" x14ac:dyDescent="0.25">
      <c r="A165" s="138" t="s">
        <v>523</v>
      </c>
      <c r="B165" s="138" t="s">
        <v>524</v>
      </c>
      <c r="C165" s="138" t="s">
        <v>66</v>
      </c>
      <c r="D165" s="138" t="s">
        <v>4718</v>
      </c>
      <c r="E165" s="138" t="s">
        <v>192</v>
      </c>
      <c r="F165" s="28">
        <v>1</v>
      </c>
      <c r="G165" t="s">
        <v>193</v>
      </c>
      <c r="H165" t="s">
        <v>194</v>
      </c>
      <c r="I165" t="s">
        <v>4708</v>
      </c>
      <c r="J165" t="s">
        <v>210</v>
      </c>
      <c r="K165">
        <v>18</v>
      </c>
      <c r="L165" s="28" t="s">
        <v>1503</v>
      </c>
      <c r="M165" s="238" t="str">
        <f t="shared" si="2"/>
        <v>241107</v>
      </c>
      <c r="N165" t="s">
        <v>5342</v>
      </c>
      <c r="O165" t="s">
        <v>4709</v>
      </c>
      <c r="P165">
        <v>1863.1815999999999</v>
      </c>
      <c r="Q165">
        <v>2</v>
      </c>
      <c r="T165" t="s">
        <v>4714</v>
      </c>
    </row>
    <row r="166" spans="1:21" customFormat="1" x14ac:dyDescent="0.25">
      <c r="A166" s="138" t="s">
        <v>4869</v>
      </c>
      <c r="B166" s="138" t="s">
        <v>4870</v>
      </c>
      <c r="C166" s="138" t="s">
        <v>740</v>
      </c>
      <c r="D166" s="138" t="s">
        <v>4718</v>
      </c>
      <c r="E166" s="138" t="s">
        <v>233</v>
      </c>
      <c r="F166" s="28">
        <v>1</v>
      </c>
      <c r="G166" t="s">
        <v>193</v>
      </c>
      <c r="H166" t="s">
        <v>194</v>
      </c>
      <c r="I166" t="s">
        <v>4708</v>
      </c>
      <c r="J166" t="s">
        <v>210</v>
      </c>
      <c r="K166">
        <v>18</v>
      </c>
      <c r="L166" s="28" t="s">
        <v>741</v>
      </c>
      <c r="M166" s="238" t="str">
        <f t="shared" si="2"/>
        <v>522301</v>
      </c>
      <c r="N166" t="s">
        <v>4871</v>
      </c>
      <c r="O166" t="s">
        <v>4756</v>
      </c>
      <c r="P166">
        <v>1863</v>
      </c>
      <c r="Q166">
        <v>1</v>
      </c>
      <c r="R166" t="s">
        <v>4872</v>
      </c>
      <c r="S166" t="s">
        <v>4873</v>
      </c>
      <c r="T166" t="s">
        <v>4714</v>
      </c>
    </row>
    <row r="167" spans="1:21" customFormat="1" x14ac:dyDescent="0.25">
      <c r="A167" s="138" t="s">
        <v>5570</v>
      </c>
      <c r="B167" s="138" t="s">
        <v>5575</v>
      </c>
      <c r="C167" s="138" t="s">
        <v>46</v>
      </c>
      <c r="D167" s="138" t="s">
        <v>4718</v>
      </c>
      <c r="E167" s="138" t="s">
        <v>192</v>
      </c>
      <c r="F167" s="28">
        <v>1</v>
      </c>
      <c r="G167" t="s">
        <v>193</v>
      </c>
      <c r="H167" t="s">
        <v>194</v>
      </c>
      <c r="I167" t="s">
        <v>4708</v>
      </c>
      <c r="J167" t="s">
        <v>210</v>
      </c>
      <c r="K167">
        <v>18</v>
      </c>
      <c r="L167" s="28" t="s">
        <v>510</v>
      </c>
      <c r="M167" s="238" t="str">
        <f t="shared" si="2"/>
        <v>252201</v>
      </c>
      <c r="N167" t="s">
        <v>5576</v>
      </c>
      <c r="O167" t="s">
        <v>4709</v>
      </c>
      <c r="P167">
        <v>1863</v>
      </c>
      <c r="Q167">
        <v>1</v>
      </c>
      <c r="T167" t="s">
        <v>4714</v>
      </c>
    </row>
    <row r="168" spans="1:21" customFormat="1" x14ac:dyDescent="0.25">
      <c r="A168" s="138" t="s">
        <v>5570</v>
      </c>
      <c r="B168" s="138" t="s">
        <v>5573</v>
      </c>
      <c r="C168" s="138" t="s">
        <v>46</v>
      </c>
      <c r="D168" s="138" t="s">
        <v>4718</v>
      </c>
      <c r="E168" s="138" t="s">
        <v>192</v>
      </c>
      <c r="F168" s="28">
        <v>1</v>
      </c>
      <c r="G168" t="s">
        <v>193</v>
      </c>
      <c r="H168" t="s">
        <v>194</v>
      </c>
      <c r="I168" t="s">
        <v>4708</v>
      </c>
      <c r="J168" t="s">
        <v>210</v>
      </c>
      <c r="K168">
        <v>18</v>
      </c>
      <c r="L168" s="28" t="s">
        <v>510</v>
      </c>
      <c r="M168" s="238" t="str">
        <f t="shared" si="2"/>
        <v>252201</v>
      </c>
      <c r="N168" t="s">
        <v>5574</v>
      </c>
      <c r="O168" t="s">
        <v>4709</v>
      </c>
      <c r="P168">
        <v>1863</v>
      </c>
      <c r="Q168">
        <v>1</v>
      </c>
      <c r="T168" t="s">
        <v>4714</v>
      </c>
    </row>
    <row r="169" spans="1:21" customFormat="1" x14ac:dyDescent="0.25">
      <c r="A169" s="138" t="s">
        <v>5570</v>
      </c>
      <c r="B169" s="138" t="s">
        <v>5571</v>
      </c>
      <c r="C169" s="138" t="s">
        <v>46</v>
      </c>
      <c r="D169" s="138" t="s">
        <v>4718</v>
      </c>
      <c r="E169" s="138" t="s">
        <v>192</v>
      </c>
      <c r="F169" s="28">
        <v>1</v>
      </c>
      <c r="G169" t="s">
        <v>193</v>
      </c>
      <c r="H169" t="s">
        <v>194</v>
      </c>
      <c r="I169" t="s">
        <v>4708</v>
      </c>
      <c r="J169" t="s">
        <v>210</v>
      </c>
      <c r="K169">
        <v>18</v>
      </c>
      <c r="L169" s="28" t="s">
        <v>510</v>
      </c>
      <c r="M169" s="238" t="str">
        <f t="shared" si="2"/>
        <v>252201</v>
      </c>
      <c r="N169" t="s">
        <v>5572</v>
      </c>
      <c r="O169" t="s">
        <v>4709</v>
      </c>
      <c r="P169">
        <v>1863</v>
      </c>
      <c r="Q169">
        <v>1</v>
      </c>
      <c r="T169" t="s">
        <v>4714</v>
      </c>
    </row>
    <row r="170" spans="1:21" customFormat="1" x14ac:dyDescent="0.25">
      <c r="A170" s="138" t="s">
        <v>5420</v>
      </c>
      <c r="B170" s="138" t="s">
        <v>5421</v>
      </c>
      <c r="C170" s="138" t="s">
        <v>378</v>
      </c>
      <c r="D170" s="138" t="s">
        <v>4718</v>
      </c>
      <c r="E170" s="138" t="s">
        <v>192</v>
      </c>
      <c r="F170" s="28">
        <v>1</v>
      </c>
      <c r="G170" t="s">
        <v>193</v>
      </c>
      <c r="H170" t="s">
        <v>194</v>
      </c>
      <c r="I170" t="s">
        <v>4708</v>
      </c>
      <c r="J170" t="s">
        <v>210</v>
      </c>
      <c r="K170">
        <v>18</v>
      </c>
      <c r="L170" s="28" t="s">
        <v>379</v>
      </c>
      <c r="M170" s="238" t="str">
        <f t="shared" si="2"/>
        <v>215303</v>
      </c>
      <c r="N170" t="s">
        <v>5422</v>
      </c>
      <c r="O170" t="s">
        <v>4918</v>
      </c>
      <c r="P170">
        <v>1863</v>
      </c>
      <c r="Q170">
        <v>1</v>
      </c>
      <c r="T170" t="s">
        <v>4714</v>
      </c>
    </row>
    <row r="171" spans="1:21" customFormat="1" x14ac:dyDescent="0.25">
      <c r="A171" s="138" t="s">
        <v>713</v>
      </c>
      <c r="B171" s="138" t="s">
        <v>5122</v>
      </c>
      <c r="C171" s="138" t="s">
        <v>10</v>
      </c>
      <c r="D171" s="138" t="s">
        <v>4718</v>
      </c>
      <c r="E171" s="138" t="s">
        <v>192</v>
      </c>
      <c r="F171" s="28">
        <v>1</v>
      </c>
      <c r="G171" t="s">
        <v>193</v>
      </c>
      <c r="H171" t="s">
        <v>194</v>
      </c>
      <c r="I171" t="s">
        <v>4746</v>
      </c>
      <c r="J171" t="s">
        <v>253</v>
      </c>
      <c r="K171">
        <v>18</v>
      </c>
      <c r="L171" s="28" t="s">
        <v>484</v>
      </c>
      <c r="M171" s="238" t="str">
        <f t="shared" si="2"/>
        <v>251401</v>
      </c>
      <c r="N171" t="s">
        <v>5124</v>
      </c>
      <c r="O171" t="s">
        <v>4756</v>
      </c>
      <c r="P171">
        <v>1811</v>
      </c>
      <c r="Q171">
        <v>1</v>
      </c>
      <c r="T171" t="s">
        <v>4714</v>
      </c>
    </row>
    <row r="172" spans="1:21" customFormat="1" x14ac:dyDescent="0.25">
      <c r="A172" s="138" t="s">
        <v>1748</v>
      </c>
      <c r="B172" s="138" t="s">
        <v>5546</v>
      </c>
      <c r="C172" s="138" t="s">
        <v>1799</v>
      </c>
      <c r="D172" s="138" t="s">
        <v>4718</v>
      </c>
      <c r="E172" s="138" t="s">
        <v>192</v>
      </c>
      <c r="F172" s="28">
        <v>1</v>
      </c>
      <c r="G172" t="s">
        <v>193</v>
      </c>
      <c r="H172" t="s">
        <v>194</v>
      </c>
      <c r="I172" t="s">
        <v>4708</v>
      </c>
      <c r="J172" t="s">
        <v>210</v>
      </c>
      <c r="K172">
        <v>18</v>
      </c>
      <c r="L172" s="28" t="s">
        <v>1800</v>
      </c>
      <c r="M172" s="238" t="str">
        <f t="shared" si="2"/>
        <v>242204</v>
      </c>
      <c r="N172" t="s">
        <v>5547</v>
      </c>
      <c r="O172" t="s">
        <v>4756</v>
      </c>
      <c r="P172">
        <v>1863</v>
      </c>
      <c r="Q172">
        <v>1</v>
      </c>
      <c r="T172" t="s">
        <v>5109</v>
      </c>
    </row>
    <row r="173" spans="1:21" customFormat="1" x14ac:dyDescent="0.25">
      <c r="A173" s="138" t="s">
        <v>4945</v>
      </c>
      <c r="B173" s="138" t="s">
        <v>4946</v>
      </c>
      <c r="C173" s="138" t="s">
        <v>27</v>
      </c>
      <c r="D173" s="138" t="s">
        <v>4718</v>
      </c>
      <c r="E173" s="138" t="s">
        <v>192</v>
      </c>
      <c r="F173" s="28">
        <v>1</v>
      </c>
      <c r="G173" t="s">
        <v>193</v>
      </c>
      <c r="H173" t="s">
        <v>194</v>
      </c>
      <c r="I173" t="s">
        <v>4708</v>
      </c>
      <c r="J173" t="s">
        <v>210</v>
      </c>
      <c r="K173">
        <v>18</v>
      </c>
      <c r="L173" s="28" t="s">
        <v>440</v>
      </c>
      <c r="M173" s="238" t="str">
        <f t="shared" si="2"/>
        <v>242307</v>
      </c>
      <c r="N173" t="s">
        <v>4947</v>
      </c>
      <c r="O173" t="s">
        <v>4918</v>
      </c>
      <c r="P173">
        <v>1863</v>
      </c>
      <c r="Q173">
        <v>1</v>
      </c>
      <c r="T173" t="s">
        <v>4714</v>
      </c>
    </row>
    <row r="174" spans="1:21" customFormat="1" x14ac:dyDescent="0.25">
      <c r="A174" s="138" t="s">
        <v>888</v>
      </c>
      <c r="B174" s="138" t="s">
        <v>5335</v>
      </c>
      <c r="C174" s="138" t="s">
        <v>5333</v>
      </c>
      <c r="D174" s="138" t="s">
        <v>4718</v>
      </c>
      <c r="E174" s="138" t="s">
        <v>192</v>
      </c>
      <c r="F174" s="28">
        <v>1</v>
      </c>
      <c r="G174" t="s">
        <v>193</v>
      </c>
      <c r="H174" t="s">
        <v>194</v>
      </c>
      <c r="I174" t="s">
        <v>4708</v>
      </c>
      <c r="J174" t="s">
        <v>385</v>
      </c>
      <c r="K174">
        <v>18</v>
      </c>
      <c r="L174" s="28" t="s">
        <v>1536</v>
      </c>
      <c r="M174" s="238" t="str">
        <f t="shared" si="2"/>
        <v>314401</v>
      </c>
      <c r="N174" t="s">
        <v>5336</v>
      </c>
      <c r="O174" t="s">
        <v>4756</v>
      </c>
      <c r="P174">
        <v>1861</v>
      </c>
      <c r="Q174">
        <v>1</v>
      </c>
      <c r="T174" t="s">
        <v>4714</v>
      </c>
    </row>
    <row r="175" spans="1:21" customFormat="1" x14ac:dyDescent="0.25">
      <c r="A175" s="138" t="s">
        <v>5311</v>
      </c>
      <c r="B175" s="138" t="s">
        <v>5312</v>
      </c>
      <c r="C175" s="138" t="s">
        <v>5312</v>
      </c>
      <c r="D175" s="138" t="s">
        <v>4718</v>
      </c>
      <c r="E175" s="138" t="s">
        <v>233</v>
      </c>
      <c r="F175" s="28">
        <v>1</v>
      </c>
      <c r="G175" t="s">
        <v>193</v>
      </c>
      <c r="H175" t="s">
        <v>194</v>
      </c>
      <c r="I175" t="s">
        <v>4746</v>
      </c>
      <c r="J175" t="s">
        <v>367</v>
      </c>
      <c r="K175">
        <v>18</v>
      </c>
      <c r="L175" s="28" t="s">
        <v>5313</v>
      </c>
      <c r="M175" s="238" t="str">
        <f t="shared" si="2"/>
        <v>221101</v>
      </c>
      <c r="N175" t="s">
        <v>5314</v>
      </c>
      <c r="O175" t="s">
        <v>5128</v>
      </c>
      <c r="P175">
        <v>1805</v>
      </c>
      <c r="Q175">
        <v>1</v>
      </c>
      <c r="R175" t="s">
        <v>5315</v>
      </c>
      <c r="S175" t="s">
        <v>5316</v>
      </c>
      <c r="T175" t="s">
        <v>4714</v>
      </c>
    </row>
    <row r="176" spans="1:21" customFormat="1" x14ac:dyDescent="0.25">
      <c r="A176" s="138" t="s">
        <v>710</v>
      </c>
      <c r="B176" s="138" t="s">
        <v>5097</v>
      </c>
      <c r="C176" s="138" t="s">
        <v>1506</v>
      </c>
      <c r="D176" s="138" t="s">
        <v>4718</v>
      </c>
      <c r="E176" s="138" t="s">
        <v>192</v>
      </c>
      <c r="F176" s="28">
        <v>1</v>
      </c>
      <c r="G176" t="s">
        <v>193</v>
      </c>
      <c r="H176" t="s">
        <v>194</v>
      </c>
      <c r="I176" t="s">
        <v>4708</v>
      </c>
      <c r="J176" t="s">
        <v>5098</v>
      </c>
      <c r="K176">
        <v>18</v>
      </c>
      <c r="L176" s="28" t="s">
        <v>1507</v>
      </c>
      <c r="M176" s="238" t="str">
        <f t="shared" si="2"/>
        <v>216604</v>
      </c>
      <c r="N176" t="s">
        <v>5099</v>
      </c>
      <c r="O176" t="s">
        <v>4756</v>
      </c>
      <c r="P176">
        <v>1803</v>
      </c>
      <c r="Q176">
        <v>1</v>
      </c>
      <c r="T176" t="s">
        <v>4714</v>
      </c>
    </row>
    <row r="177" spans="1:20" customFormat="1" x14ac:dyDescent="0.25">
      <c r="A177" s="138" t="s">
        <v>5457</v>
      </c>
      <c r="B177" s="138" t="s">
        <v>2770</v>
      </c>
      <c r="C177" s="138" t="s">
        <v>30</v>
      </c>
      <c r="D177" s="138" t="s">
        <v>4718</v>
      </c>
      <c r="E177" s="138" t="s">
        <v>233</v>
      </c>
      <c r="F177" s="28">
        <v>1</v>
      </c>
      <c r="G177" t="s">
        <v>193</v>
      </c>
      <c r="H177" t="s">
        <v>194</v>
      </c>
      <c r="I177" t="s">
        <v>4708</v>
      </c>
      <c r="J177" t="s">
        <v>210</v>
      </c>
      <c r="K177">
        <v>18</v>
      </c>
      <c r="L177" s="28" t="s">
        <v>1025</v>
      </c>
      <c r="M177" s="238" t="str">
        <f t="shared" si="2"/>
        <v>214207</v>
      </c>
      <c r="N177" t="s">
        <v>5458</v>
      </c>
      <c r="O177" t="s">
        <v>4718</v>
      </c>
      <c r="P177">
        <v>1863</v>
      </c>
      <c r="Q177">
        <v>1</v>
      </c>
      <c r="R177" t="s">
        <v>5459</v>
      </c>
      <c r="S177" t="s">
        <v>5460</v>
      </c>
      <c r="T177" t="s">
        <v>4714</v>
      </c>
    </row>
    <row r="178" spans="1:20" customFormat="1" x14ac:dyDescent="0.25">
      <c r="A178" s="138" t="s">
        <v>5066</v>
      </c>
      <c r="B178" s="138" t="s">
        <v>5067</v>
      </c>
      <c r="C178" s="138" t="s">
        <v>17</v>
      </c>
      <c r="D178" s="138" t="s">
        <v>4718</v>
      </c>
      <c r="E178" s="138" t="s">
        <v>192</v>
      </c>
      <c r="F178" s="28">
        <v>1</v>
      </c>
      <c r="G178" t="s">
        <v>193</v>
      </c>
      <c r="H178" t="s">
        <v>194</v>
      </c>
      <c r="I178" t="s">
        <v>4708</v>
      </c>
      <c r="J178" t="s">
        <v>276</v>
      </c>
      <c r="K178">
        <v>18</v>
      </c>
      <c r="L178" s="28" t="s">
        <v>624</v>
      </c>
      <c r="M178" s="238" t="str">
        <f t="shared" si="2"/>
        <v>332203</v>
      </c>
      <c r="N178" t="s">
        <v>5068</v>
      </c>
      <c r="O178" t="s">
        <v>4756</v>
      </c>
      <c r="P178" t="s">
        <v>5069</v>
      </c>
      <c r="Q178">
        <v>18</v>
      </c>
      <c r="T178" t="s">
        <v>4714</v>
      </c>
    </row>
    <row r="179" spans="1:20" customFormat="1" x14ac:dyDescent="0.25">
      <c r="A179" s="138" t="s">
        <v>800</v>
      </c>
      <c r="B179" s="138" t="s">
        <v>5395</v>
      </c>
      <c r="C179" s="138" t="s">
        <v>147</v>
      </c>
      <c r="D179" s="138" t="s">
        <v>4718</v>
      </c>
      <c r="E179" s="138" t="s">
        <v>192</v>
      </c>
      <c r="F179" s="28">
        <v>1</v>
      </c>
      <c r="G179" t="s">
        <v>193</v>
      </c>
      <c r="H179" t="s">
        <v>194</v>
      </c>
      <c r="I179" t="s">
        <v>4708</v>
      </c>
      <c r="J179" t="s">
        <v>473</v>
      </c>
      <c r="K179">
        <v>18</v>
      </c>
      <c r="L179" s="28" t="s">
        <v>2030</v>
      </c>
      <c r="M179" s="238" t="str">
        <f t="shared" si="2"/>
        <v>132102</v>
      </c>
      <c r="N179" t="s">
        <v>5396</v>
      </c>
      <c r="O179" t="s">
        <v>4756</v>
      </c>
      <c r="P179">
        <v>1803</v>
      </c>
      <c r="Q179">
        <v>1</v>
      </c>
      <c r="T179" t="s">
        <v>4714</v>
      </c>
    </row>
    <row r="180" spans="1:20" customFormat="1" x14ac:dyDescent="0.25">
      <c r="A180" s="138" t="s">
        <v>4543</v>
      </c>
      <c r="B180" s="138" t="s">
        <v>2031</v>
      </c>
      <c r="C180" s="138" t="s">
        <v>95</v>
      </c>
      <c r="D180" s="138" t="s">
        <v>4718</v>
      </c>
      <c r="E180" s="138" t="s">
        <v>192</v>
      </c>
      <c r="F180" s="28">
        <v>1</v>
      </c>
      <c r="G180" t="s">
        <v>193</v>
      </c>
      <c r="H180" t="s">
        <v>194</v>
      </c>
      <c r="I180" t="s">
        <v>4708</v>
      </c>
      <c r="J180" t="s">
        <v>210</v>
      </c>
      <c r="K180">
        <v>18</v>
      </c>
      <c r="L180" s="28" t="s">
        <v>1015</v>
      </c>
      <c r="M180" s="238" t="str">
        <f t="shared" si="2"/>
        <v>122102</v>
      </c>
      <c r="N180" t="s">
        <v>5390</v>
      </c>
      <c r="O180" t="s">
        <v>5020</v>
      </c>
      <c r="P180">
        <v>1863</v>
      </c>
      <c r="Q180">
        <v>1</v>
      </c>
      <c r="T180" t="s">
        <v>4714</v>
      </c>
    </row>
    <row r="181" spans="1:20" customFormat="1" x14ac:dyDescent="0.25">
      <c r="A181" s="138" t="s">
        <v>4940</v>
      </c>
      <c r="B181" s="138" t="s">
        <v>1644</v>
      </c>
      <c r="C181" s="138" t="s">
        <v>80</v>
      </c>
      <c r="D181" s="138" t="s">
        <v>4718</v>
      </c>
      <c r="E181" s="138" t="s">
        <v>192</v>
      </c>
      <c r="F181" s="28">
        <v>1</v>
      </c>
      <c r="G181" t="s">
        <v>193</v>
      </c>
      <c r="H181" t="s">
        <v>194</v>
      </c>
      <c r="I181" t="s">
        <v>4708</v>
      </c>
      <c r="J181" t="s">
        <v>210</v>
      </c>
      <c r="K181">
        <v>18</v>
      </c>
      <c r="L181" s="28" t="s">
        <v>474</v>
      </c>
      <c r="M181" s="238" t="str">
        <f t="shared" si="2"/>
        <v>243304</v>
      </c>
      <c r="N181" t="s">
        <v>4941</v>
      </c>
      <c r="O181" t="s">
        <v>4756</v>
      </c>
      <c r="P181">
        <v>1863</v>
      </c>
      <c r="Q181">
        <v>1</v>
      </c>
      <c r="T181" t="s">
        <v>4714</v>
      </c>
    </row>
    <row r="182" spans="1:20" customFormat="1" x14ac:dyDescent="0.25">
      <c r="A182" s="138" t="s">
        <v>446</v>
      </c>
      <c r="B182" s="138" t="s">
        <v>761</v>
      </c>
      <c r="C182" s="138" t="s">
        <v>740</v>
      </c>
      <c r="D182" s="138" t="s">
        <v>4718</v>
      </c>
      <c r="E182" s="138" t="s">
        <v>192</v>
      </c>
      <c r="F182" s="28">
        <v>1</v>
      </c>
      <c r="G182" t="s">
        <v>193</v>
      </c>
      <c r="H182" t="s">
        <v>194</v>
      </c>
      <c r="I182" t="s">
        <v>4708</v>
      </c>
      <c r="J182" t="s">
        <v>4879</v>
      </c>
      <c r="K182">
        <v>18</v>
      </c>
      <c r="L182" s="28" t="s">
        <v>741</v>
      </c>
      <c r="M182" s="238" t="str">
        <f t="shared" si="2"/>
        <v>522301</v>
      </c>
      <c r="N182" t="s">
        <v>4881</v>
      </c>
      <c r="O182" t="s">
        <v>4756</v>
      </c>
      <c r="P182">
        <v>1813</v>
      </c>
      <c r="Q182">
        <v>1</v>
      </c>
      <c r="T182" t="s">
        <v>4714</v>
      </c>
    </row>
    <row r="183" spans="1:20" customFormat="1" x14ac:dyDescent="0.25">
      <c r="A183" s="138" t="s">
        <v>446</v>
      </c>
      <c r="B183" s="138" t="s">
        <v>4864</v>
      </c>
      <c r="C183" s="138" t="s">
        <v>740</v>
      </c>
      <c r="D183" s="138" t="s">
        <v>4718</v>
      </c>
      <c r="E183" s="138" t="s">
        <v>192</v>
      </c>
      <c r="F183" s="28">
        <v>1</v>
      </c>
      <c r="G183" t="s">
        <v>193</v>
      </c>
      <c r="H183" t="s">
        <v>194</v>
      </c>
      <c r="I183" t="s">
        <v>4708</v>
      </c>
      <c r="J183" t="s">
        <v>4879</v>
      </c>
      <c r="K183">
        <v>18</v>
      </c>
      <c r="L183" s="28" t="s">
        <v>741</v>
      </c>
      <c r="M183" s="238" t="str">
        <f t="shared" si="2"/>
        <v>522301</v>
      </c>
      <c r="N183" t="s">
        <v>4880</v>
      </c>
      <c r="O183" t="s">
        <v>4756</v>
      </c>
      <c r="P183">
        <v>1813</v>
      </c>
      <c r="Q183">
        <v>1</v>
      </c>
      <c r="T183" t="s">
        <v>4714</v>
      </c>
    </row>
    <row r="184" spans="1:20" customFormat="1" x14ac:dyDescent="0.25">
      <c r="A184" s="138" t="s">
        <v>5030</v>
      </c>
      <c r="B184" s="138" t="s">
        <v>5031</v>
      </c>
      <c r="C184" s="138" t="s">
        <v>468</v>
      </c>
      <c r="D184" s="138" t="s">
        <v>4718</v>
      </c>
      <c r="E184" s="138" t="s">
        <v>192</v>
      </c>
      <c r="F184" s="28">
        <v>1</v>
      </c>
      <c r="G184" t="s">
        <v>193</v>
      </c>
      <c r="H184" t="s">
        <v>194</v>
      </c>
      <c r="I184" t="s">
        <v>4708</v>
      </c>
      <c r="J184" t="s">
        <v>196</v>
      </c>
      <c r="K184">
        <v>18</v>
      </c>
      <c r="L184" s="28" t="s">
        <v>469</v>
      </c>
      <c r="M184" s="238" t="str">
        <f t="shared" si="2"/>
        <v>243303</v>
      </c>
      <c r="N184" t="s">
        <v>5032</v>
      </c>
      <c r="O184" t="s">
        <v>4756</v>
      </c>
      <c r="Q184">
        <v>25</v>
      </c>
      <c r="T184" t="s">
        <v>4714</v>
      </c>
    </row>
    <row r="185" spans="1:20" customFormat="1" x14ac:dyDescent="0.25">
      <c r="A185" s="138" t="s">
        <v>5062</v>
      </c>
      <c r="B185" s="138" t="s">
        <v>2298</v>
      </c>
      <c r="C185" s="138" t="s">
        <v>17</v>
      </c>
      <c r="D185" s="138" t="s">
        <v>4718</v>
      </c>
      <c r="E185" s="138" t="s">
        <v>233</v>
      </c>
      <c r="F185" s="28">
        <v>1</v>
      </c>
      <c r="G185" t="s">
        <v>193</v>
      </c>
      <c r="H185" t="s">
        <v>194</v>
      </c>
      <c r="I185" t="s">
        <v>4708</v>
      </c>
      <c r="J185" t="s">
        <v>253</v>
      </c>
      <c r="K185">
        <v>18</v>
      </c>
      <c r="L185" s="28" t="s">
        <v>624</v>
      </c>
      <c r="M185" s="238" t="str">
        <f t="shared" si="2"/>
        <v>332203</v>
      </c>
      <c r="N185" t="s">
        <v>5063</v>
      </c>
      <c r="O185" t="s">
        <v>4902</v>
      </c>
      <c r="P185">
        <v>1811</v>
      </c>
      <c r="Q185">
        <v>1</v>
      </c>
      <c r="R185" t="s">
        <v>5064</v>
      </c>
      <c r="S185" t="s">
        <v>5065</v>
      </c>
      <c r="T185" t="s">
        <v>4714</v>
      </c>
    </row>
    <row r="186" spans="1:20" customFormat="1" x14ac:dyDescent="0.25">
      <c r="A186" s="138" t="s">
        <v>1471</v>
      </c>
      <c r="B186" s="138" t="s">
        <v>4952</v>
      </c>
      <c r="C186" s="138" t="s">
        <v>27</v>
      </c>
      <c r="D186" s="138" t="s">
        <v>4718</v>
      </c>
      <c r="E186" s="138" t="s">
        <v>192</v>
      </c>
      <c r="F186" s="28">
        <v>1</v>
      </c>
      <c r="G186" t="s">
        <v>193</v>
      </c>
      <c r="H186" t="s">
        <v>194</v>
      </c>
      <c r="I186" t="s">
        <v>4708</v>
      </c>
      <c r="J186" t="s">
        <v>253</v>
      </c>
      <c r="K186">
        <v>18</v>
      </c>
      <c r="L186" s="28" t="s">
        <v>440</v>
      </c>
      <c r="M186" s="238" t="str">
        <f t="shared" si="2"/>
        <v>242307</v>
      </c>
      <c r="N186" t="s">
        <v>4953</v>
      </c>
      <c r="O186" t="s">
        <v>4756</v>
      </c>
      <c r="P186">
        <v>1811</v>
      </c>
      <c r="Q186">
        <v>1</v>
      </c>
      <c r="T186" t="s">
        <v>4714</v>
      </c>
    </row>
    <row r="187" spans="1:20" customFormat="1" x14ac:dyDescent="0.25">
      <c r="A187" s="138" t="s">
        <v>4776</v>
      </c>
      <c r="B187" s="138" t="s">
        <v>4777</v>
      </c>
      <c r="C187" s="138" t="s">
        <v>566</v>
      </c>
      <c r="D187" s="138" t="s">
        <v>4718</v>
      </c>
      <c r="E187" s="138" t="s">
        <v>233</v>
      </c>
      <c r="F187" s="28">
        <v>1</v>
      </c>
      <c r="G187" t="s">
        <v>193</v>
      </c>
      <c r="H187" t="s">
        <v>194</v>
      </c>
      <c r="I187" t="s">
        <v>4708</v>
      </c>
      <c r="J187" t="s">
        <v>253</v>
      </c>
      <c r="K187">
        <v>18</v>
      </c>
      <c r="L187" s="28" t="s">
        <v>567</v>
      </c>
      <c r="M187" s="238" t="str">
        <f t="shared" si="2"/>
        <v>311504</v>
      </c>
      <c r="N187" t="s">
        <v>4778</v>
      </c>
      <c r="O187" t="s">
        <v>4756</v>
      </c>
      <c r="P187">
        <v>1811</v>
      </c>
      <c r="Q187">
        <v>1</v>
      </c>
      <c r="R187" t="s">
        <v>4779</v>
      </c>
      <c r="S187" t="s">
        <v>4780</v>
      </c>
      <c r="T187" t="s">
        <v>4714</v>
      </c>
    </row>
    <row r="188" spans="1:20" customFormat="1" x14ac:dyDescent="0.25">
      <c r="A188" s="138" t="s">
        <v>382</v>
      </c>
      <c r="B188" s="138" t="s">
        <v>4790</v>
      </c>
      <c r="C188" s="138" t="s">
        <v>133</v>
      </c>
      <c r="D188" s="138" t="s">
        <v>4718</v>
      </c>
      <c r="E188" s="138" t="s">
        <v>233</v>
      </c>
      <c r="F188" s="28">
        <v>1</v>
      </c>
      <c r="G188" t="s">
        <v>193</v>
      </c>
      <c r="H188" t="s">
        <v>194</v>
      </c>
      <c r="I188" t="s">
        <v>4708</v>
      </c>
      <c r="J188" t="s">
        <v>253</v>
      </c>
      <c r="K188">
        <v>18</v>
      </c>
      <c r="L188" s="28" t="s">
        <v>673</v>
      </c>
      <c r="M188" s="238" t="str">
        <f t="shared" si="2"/>
        <v>333107</v>
      </c>
      <c r="N188" t="s">
        <v>4791</v>
      </c>
      <c r="O188" t="s">
        <v>4737</v>
      </c>
      <c r="P188">
        <v>1811</v>
      </c>
      <c r="Q188">
        <v>1</v>
      </c>
      <c r="R188" t="s">
        <v>4792</v>
      </c>
      <c r="S188" t="s">
        <v>4793</v>
      </c>
      <c r="T188" t="s">
        <v>4714</v>
      </c>
    </row>
    <row r="189" spans="1:20" customFormat="1" x14ac:dyDescent="0.25">
      <c r="A189" s="138" t="s">
        <v>382</v>
      </c>
      <c r="B189" s="138" t="s">
        <v>4785</v>
      </c>
      <c r="C189" s="138" t="s">
        <v>133</v>
      </c>
      <c r="D189" s="138" t="s">
        <v>4718</v>
      </c>
      <c r="E189" s="138" t="s">
        <v>233</v>
      </c>
      <c r="F189" s="28">
        <v>1</v>
      </c>
      <c r="G189" t="s">
        <v>193</v>
      </c>
      <c r="H189" t="s">
        <v>194</v>
      </c>
      <c r="I189" t="s">
        <v>4708</v>
      </c>
      <c r="J189" t="s">
        <v>4786</v>
      </c>
      <c r="K189">
        <v>18</v>
      </c>
      <c r="L189" s="28" t="s">
        <v>673</v>
      </c>
      <c r="M189" s="238" t="str">
        <f t="shared" si="2"/>
        <v>333107</v>
      </c>
      <c r="N189" t="s">
        <v>4787</v>
      </c>
      <c r="O189" t="s">
        <v>4775</v>
      </c>
      <c r="P189">
        <v>1816</v>
      </c>
      <c r="Q189">
        <v>1</v>
      </c>
      <c r="R189" t="s">
        <v>4788</v>
      </c>
      <c r="S189" t="s">
        <v>4789</v>
      </c>
      <c r="T189" t="s">
        <v>4714</v>
      </c>
    </row>
    <row r="190" spans="1:20" customFormat="1" x14ac:dyDescent="0.25">
      <c r="A190" s="138" t="s">
        <v>2932</v>
      </c>
      <c r="B190" s="138" t="s">
        <v>5412</v>
      </c>
      <c r="C190" s="138" t="s">
        <v>51</v>
      </c>
      <c r="D190" s="138" t="s">
        <v>4718</v>
      </c>
      <c r="E190" s="138" t="s">
        <v>192</v>
      </c>
      <c r="F190" s="28">
        <v>1</v>
      </c>
      <c r="G190" t="s">
        <v>193</v>
      </c>
      <c r="H190" t="s">
        <v>194</v>
      </c>
      <c r="I190" t="s">
        <v>4708</v>
      </c>
      <c r="J190" t="s">
        <v>1995</v>
      </c>
      <c r="K190">
        <v>18</v>
      </c>
      <c r="L190" s="28" t="s">
        <v>904</v>
      </c>
      <c r="M190" s="238" t="str">
        <f t="shared" si="2"/>
        <v>523002</v>
      </c>
      <c r="N190" t="s">
        <v>5413</v>
      </c>
      <c r="O190" t="s">
        <v>4743</v>
      </c>
      <c r="P190" t="s">
        <v>5414</v>
      </c>
      <c r="Q190">
        <v>3</v>
      </c>
      <c r="T190" t="s">
        <v>4714</v>
      </c>
    </row>
    <row r="191" spans="1:20" customFormat="1" x14ac:dyDescent="0.25">
      <c r="A191" s="138" t="s">
        <v>5072</v>
      </c>
      <c r="B191" s="138" t="s">
        <v>632</v>
      </c>
      <c r="C191" s="138" t="s">
        <v>17</v>
      </c>
      <c r="D191" s="138" t="s">
        <v>4718</v>
      </c>
      <c r="E191" s="138" t="s">
        <v>192</v>
      </c>
      <c r="F191" s="28">
        <v>1</v>
      </c>
      <c r="G191" t="s">
        <v>193</v>
      </c>
      <c r="H191" t="s">
        <v>194</v>
      </c>
      <c r="I191" t="s">
        <v>4746</v>
      </c>
      <c r="J191" t="s">
        <v>3891</v>
      </c>
      <c r="K191">
        <v>18</v>
      </c>
      <c r="L191" s="28" t="s">
        <v>624</v>
      </c>
      <c r="M191" s="238" t="str">
        <f t="shared" si="2"/>
        <v>332203</v>
      </c>
      <c r="N191" t="s">
        <v>5073</v>
      </c>
      <c r="O191" t="s">
        <v>4756</v>
      </c>
      <c r="P191" t="s">
        <v>5074</v>
      </c>
      <c r="Q191">
        <v>4</v>
      </c>
      <c r="T191" t="s">
        <v>4714</v>
      </c>
    </row>
    <row r="192" spans="1:20" customFormat="1" x14ac:dyDescent="0.25">
      <c r="A192" s="138" t="s">
        <v>5324</v>
      </c>
      <c r="B192" s="138" t="s">
        <v>3904</v>
      </c>
      <c r="C192" s="138" t="s">
        <v>36</v>
      </c>
      <c r="D192" s="138" t="s">
        <v>4718</v>
      </c>
      <c r="E192" s="138" t="s">
        <v>192</v>
      </c>
      <c r="F192" s="28">
        <v>1</v>
      </c>
      <c r="G192" t="s">
        <v>193</v>
      </c>
      <c r="H192" t="s">
        <v>194</v>
      </c>
      <c r="I192" t="s">
        <v>4708</v>
      </c>
      <c r="J192" t="s">
        <v>210</v>
      </c>
      <c r="K192">
        <v>18</v>
      </c>
      <c r="L192" s="28" t="s">
        <v>609</v>
      </c>
      <c r="M192" s="238" t="str">
        <f t="shared" si="2"/>
        <v>331301</v>
      </c>
      <c r="N192" t="s">
        <v>5325</v>
      </c>
      <c r="O192" t="s">
        <v>4756</v>
      </c>
      <c r="P192">
        <v>1863</v>
      </c>
      <c r="Q192">
        <v>1</v>
      </c>
      <c r="T192" t="s">
        <v>4714</v>
      </c>
    </row>
    <row r="193" spans="1:20" customFormat="1" x14ac:dyDescent="0.25">
      <c r="A193" s="138" t="s">
        <v>5324</v>
      </c>
      <c r="B193" s="138" t="s">
        <v>1863</v>
      </c>
      <c r="C193" s="138" t="s">
        <v>86</v>
      </c>
      <c r="D193" s="138" t="s">
        <v>4718</v>
      </c>
      <c r="E193" s="138" t="s">
        <v>192</v>
      </c>
      <c r="F193" s="28">
        <v>1</v>
      </c>
      <c r="G193" t="s">
        <v>193</v>
      </c>
      <c r="H193" t="s">
        <v>194</v>
      </c>
      <c r="I193" t="s">
        <v>4708</v>
      </c>
      <c r="J193" t="s">
        <v>210</v>
      </c>
      <c r="K193">
        <v>18</v>
      </c>
      <c r="L193" s="28" t="s">
        <v>1107</v>
      </c>
      <c r="M193" s="238" t="str">
        <f t="shared" si="2"/>
        <v>121101</v>
      </c>
      <c r="N193" t="s">
        <v>5495</v>
      </c>
      <c r="O193" t="s">
        <v>4756</v>
      </c>
      <c r="P193">
        <v>1863</v>
      </c>
      <c r="Q193">
        <v>1</v>
      </c>
      <c r="T193" t="s">
        <v>4714</v>
      </c>
    </row>
    <row r="194" spans="1:20" customFormat="1" x14ac:dyDescent="0.25">
      <c r="A194" s="138" t="s">
        <v>260</v>
      </c>
      <c r="B194" s="138" t="s">
        <v>261</v>
      </c>
      <c r="C194" s="138" t="s">
        <v>74</v>
      </c>
      <c r="D194" s="138" t="s">
        <v>4718</v>
      </c>
      <c r="E194" s="138" t="s">
        <v>233</v>
      </c>
      <c r="F194" s="28">
        <v>1</v>
      </c>
      <c r="G194" t="s">
        <v>193</v>
      </c>
      <c r="H194" t="s">
        <v>194</v>
      </c>
      <c r="I194" t="s">
        <v>4708</v>
      </c>
      <c r="J194" t="s">
        <v>210</v>
      </c>
      <c r="K194">
        <v>18</v>
      </c>
      <c r="L194" s="28" t="s">
        <v>246</v>
      </c>
      <c r="M194" s="238" t="str">
        <f t="shared" si="2"/>
        <v>142004</v>
      </c>
      <c r="N194" t="s">
        <v>5363</v>
      </c>
      <c r="O194" t="s">
        <v>4720</v>
      </c>
      <c r="P194">
        <v>1863</v>
      </c>
      <c r="Q194">
        <v>1</v>
      </c>
      <c r="R194" t="s">
        <v>5364</v>
      </c>
      <c r="S194" t="s">
        <v>5365</v>
      </c>
      <c r="T194" t="s">
        <v>4714</v>
      </c>
    </row>
    <row r="195" spans="1:20" customFormat="1" x14ac:dyDescent="0.25">
      <c r="A195" s="138" t="s">
        <v>5415</v>
      </c>
      <c r="B195" s="138" t="s">
        <v>5416</v>
      </c>
      <c r="C195" s="138" t="s">
        <v>69</v>
      </c>
      <c r="D195" s="138" t="s">
        <v>4718</v>
      </c>
      <c r="E195" s="138" t="s">
        <v>192</v>
      </c>
      <c r="F195" s="28">
        <v>1</v>
      </c>
      <c r="G195" t="s">
        <v>193</v>
      </c>
      <c r="H195" t="s">
        <v>194</v>
      </c>
      <c r="I195" t="s">
        <v>4708</v>
      </c>
      <c r="J195" t="s">
        <v>196</v>
      </c>
      <c r="K195">
        <v>18</v>
      </c>
      <c r="L195" s="28" t="s">
        <v>375</v>
      </c>
      <c r="M195" s="238" t="str">
        <f t="shared" si="2"/>
        <v>215301</v>
      </c>
      <c r="N195" t="s">
        <v>5417</v>
      </c>
      <c r="O195" t="s">
        <v>4756</v>
      </c>
      <c r="Q195">
        <v>25</v>
      </c>
      <c r="T195" t="s">
        <v>4714</v>
      </c>
    </row>
    <row r="196" spans="1:20" customFormat="1" x14ac:dyDescent="0.25">
      <c r="A196" s="138" t="s">
        <v>5319</v>
      </c>
      <c r="B196" s="138" t="s">
        <v>5320</v>
      </c>
      <c r="C196" s="138" t="s">
        <v>36</v>
      </c>
      <c r="D196" s="138" t="s">
        <v>4718</v>
      </c>
      <c r="E196" s="138" t="s">
        <v>233</v>
      </c>
      <c r="F196" s="28">
        <v>1</v>
      </c>
      <c r="G196" t="s">
        <v>193</v>
      </c>
      <c r="H196" t="s">
        <v>194</v>
      </c>
      <c r="I196" t="s">
        <v>4708</v>
      </c>
      <c r="J196" t="s">
        <v>210</v>
      </c>
      <c r="K196">
        <v>18</v>
      </c>
      <c r="L196" s="28" t="s">
        <v>609</v>
      </c>
      <c r="M196" s="238" t="str">
        <f t="shared" ref="M196:M259" si="3">MID(L196,8,6)</f>
        <v>331301</v>
      </c>
      <c r="N196" t="s">
        <v>5321</v>
      </c>
      <c r="O196" t="s">
        <v>4756</v>
      </c>
      <c r="P196">
        <v>1863</v>
      </c>
      <c r="Q196">
        <v>1</v>
      </c>
      <c r="R196" t="s">
        <v>5322</v>
      </c>
      <c r="S196" t="s">
        <v>5323</v>
      </c>
      <c r="T196" t="s">
        <v>4714</v>
      </c>
    </row>
    <row r="197" spans="1:20" customFormat="1" x14ac:dyDescent="0.25">
      <c r="A197" s="138" t="s">
        <v>1904</v>
      </c>
      <c r="B197" s="138" t="s">
        <v>4221</v>
      </c>
      <c r="C197" s="138" t="s">
        <v>560</v>
      </c>
      <c r="D197" s="138" t="s">
        <v>4718</v>
      </c>
      <c r="E197" s="138" t="s">
        <v>192</v>
      </c>
      <c r="F197" s="28">
        <v>1</v>
      </c>
      <c r="G197" t="s">
        <v>193</v>
      </c>
      <c r="H197" t="s">
        <v>194</v>
      </c>
      <c r="I197" t="s">
        <v>4708</v>
      </c>
      <c r="J197" t="s">
        <v>210</v>
      </c>
      <c r="K197">
        <v>18</v>
      </c>
      <c r="L197" s="28" t="s">
        <v>561</v>
      </c>
      <c r="M197" s="238" t="str">
        <f t="shared" si="3"/>
        <v>311408</v>
      </c>
      <c r="N197" t="s">
        <v>4814</v>
      </c>
      <c r="O197" t="s">
        <v>4756</v>
      </c>
      <c r="P197">
        <v>1863</v>
      </c>
      <c r="Q197">
        <v>1</v>
      </c>
      <c r="T197" t="s">
        <v>4714</v>
      </c>
    </row>
    <row r="198" spans="1:20" customFormat="1" x14ac:dyDescent="0.25">
      <c r="A198" s="138" t="s">
        <v>5220</v>
      </c>
      <c r="B198" s="138" t="s">
        <v>5221</v>
      </c>
      <c r="C198" s="138" t="s">
        <v>2172</v>
      </c>
      <c r="D198" s="138" t="s">
        <v>4718</v>
      </c>
      <c r="E198" s="138" t="s">
        <v>192</v>
      </c>
      <c r="F198" s="28">
        <v>1</v>
      </c>
      <c r="G198" t="s">
        <v>193</v>
      </c>
      <c r="H198" t="s">
        <v>194</v>
      </c>
      <c r="I198" t="s">
        <v>4708</v>
      </c>
      <c r="J198" t="s">
        <v>5222</v>
      </c>
      <c r="K198">
        <v>18</v>
      </c>
      <c r="L198" s="28" t="s">
        <v>2173</v>
      </c>
      <c r="M198" s="238" t="str">
        <f t="shared" si="3"/>
        <v>235106</v>
      </c>
      <c r="N198" t="s">
        <v>5223</v>
      </c>
      <c r="O198" t="s">
        <v>4709</v>
      </c>
      <c r="P198">
        <v>1862.1863000000001</v>
      </c>
      <c r="Q198">
        <v>2</v>
      </c>
      <c r="T198" t="s">
        <v>4714</v>
      </c>
    </row>
    <row r="199" spans="1:20" customFormat="1" x14ac:dyDescent="0.25">
      <c r="A199" s="138" t="s">
        <v>4905</v>
      </c>
      <c r="B199" s="138" t="s">
        <v>4906</v>
      </c>
      <c r="C199" s="138" t="s">
        <v>119</v>
      </c>
      <c r="D199" s="138" t="s">
        <v>4718</v>
      </c>
      <c r="E199" s="138" t="s">
        <v>192</v>
      </c>
      <c r="F199" s="28">
        <v>1</v>
      </c>
      <c r="G199" t="s">
        <v>193</v>
      </c>
      <c r="H199" t="s">
        <v>194</v>
      </c>
      <c r="I199" t="s">
        <v>4708</v>
      </c>
      <c r="J199" t="s">
        <v>4907</v>
      </c>
      <c r="K199">
        <v>18</v>
      </c>
      <c r="L199" s="28" t="s">
        <v>666</v>
      </c>
      <c r="M199" s="238" t="str">
        <f t="shared" si="3"/>
        <v>333105</v>
      </c>
      <c r="N199" t="s">
        <v>4908</v>
      </c>
      <c r="O199" t="s">
        <v>4756</v>
      </c>
      <c r="P199">
        <v>1810</v>
      </c>
      <c r="Q199">
        <v>1</v>
      </c>
      <c r="T199" t="s">
        <v>4714</v>
      </c>
    </row>
    <row r="200" spans="1:20" customFormat="1" x14ac:dyDescent="0.25">
      <c r="A200" s="138" t="s">
        <v>5372</v>
      </c>
      <c r="B200" s="138" t="s">
        <v>2952</v>
      </c>
      <c r="C200" s="138" t="s">
        <v>129</v>
      </c>
      <c r="D200" s="138" t="s">
        <v>4718</v>
      </c>
      <c r="E200" s="138" t="s">
        <v>233</v>
      </c>
      <c r="F200" s="28">
        <v>1</v>
      </c>
      <c r="G200" t="s">
        <v>193</v>
      </c>
      <c r="H200" t="s">
        <v>194</v>
      </c>
      <c r="I200" t="s">
        <v>4746</v>
      </c>
      <c r="J200" t="s">
        <v>196</v>
      </c>
      <c r="K200">
        <v>18</v>
      </c>
      <c r="L200" s="28" t="s">
        <v>203</v>
      </c>
      <c r="M200" s="238" t="str">
        <f t="shared" si="3"/>
        <v>121904</v>
      </c>
      <c r="N200" t="s">
        <v>5373</v>
      </c>
      <c r="O200" t="s">
        <v>4918</v>
      </c>
      <c r="Q200">
        <v>25</v>
      </c>
      <c r="R200" t="s">
        <v>5374</v>
      </c>
      <c r="S200" t="s">
        <v>5375</v>
      </c>
      <c r="T200" t="s">
        <v>4714</v>
      </c>
    </row>
    <row r="201" spans="1:20" customFormat="1" x14ac:dyDescent="0.25">
      <c r="A201" s="138" t="s">
        <v>2842</v>
      </c>
      <c r="B201" s="138" t="s">
        <v>5391</v>
      </c>
      <c r="C201" s="138" t="s">
        <v>95</v>
      </c>
      <c r="D201" s="138" t="s">
        <v>4718</v>
      </c>
      <c r="E201" s="138" t="s">
        <v>192</v>
      </c>
      <c r="F201" s="28">
        <v>1</v>
      </c>
      <c r="G201" t="s">
        <v>193</v>
      </c>
      <c r="H201" t="s">
        <v>194</v>
      </c>
      <c r="I201" t="s">
        <v>4708</v>
      </c>
      <c r="J201" t="s">
        <v>210</v>
      </c>
      <c r="K201">
        <v>18</v>
      </c>
      <c r="L201" s="28" t="s">
        <v>1015</v>
      </c>
      <c r="M201" s="238" t="str">
        <f t="shared" si="3"/>
        <v>122102</v>
      </c>
      <c r="N201" t="s">
        <v>5392</v>
      </c>
      <c r="O201" t="s">
        <v>4756</v>
      </c>
      <c r="P201">
        <v>1863</v>
      </c>
      <c r="Q201">
        <v>1</v>
      </c>
      <c r="T201" t="s">
        <v>4714</v>
      </c>
    </row>
    <row r="202" spans="1:20" customFormat="1" x14ac:dyDescent="0.25">
      <c r="A202" s="138" t="s">
        <v>1622</v>
      </c>
      <c r="B202" s="138" t="s">
        <v>1623</v>
      </c>
      <c r="C202" s="138" t="s">
        <v>770</v>
      </c>
      <c r="D202" s="138" t="s">
        <v>4718</v>
      </c>
      <c r="E202" s="138" t="s">
        <v>233</v>
      </c>
      <c r="F202" s="28">
        <v>1</v>
      </c>
      <c r="G202" t="s">
        <v>193</v>
      </c>
      <c r="H202" t="s">
        <v>194</v>
      </c>
      <c r="I202" t="s">
        <v>4708</v>
      </c>
      <c r="J202" t="s">
        <v>210</v>
      </c>
      <c r="K202">
        <v>18</v>
      </c>
      <c r="L202" s="28" t="s">
        <v>772</v>
      </c>
      <c r="M202" s="238" t="str">
        <f t="shared" si="3"/>
        <v>522305</v>
      </c>
      <c r="N202" t="s">
        <v>4796</v>
      </c>
      <c r="O202" t="s">
        <v>4743</v>
      </c>
      <c r="P202">
        <v>1863</v>
      </c>
      <c r="Q202">
        <v>1</v>
      </c>
      <c r="R202" t="s">
        <v>4797</v>
      </c>
      <c r="S202" t="s">
        <v>4798</v>
      </c>
      <c r="T202" t="s">
        <v>4714</v>
      </c>
    </row>
    <row r="203" spans="1:20" customFormat="1" x14ac:dyDescent="0.25">
      <c r="A203" s="138" t="s">
        <v>5229</v>
      </c>
      <c r="B203" s="138" t="s">
        <v>5230</v>
      </c>
      <c r="C203" s="138" t="s">
        <v>3639</v>
      </c>
      <c r="D203" s="138" t="s">
        <v>4718</v>
      </c>
      <c r="E203" s="138" t="s">
        <v>233</v>
      </c>
      <c r="F203" s="28">
        <v>1</v>
      </c>
      <c r="G203" t="s">
        <v>193</v>
      </c>
      <c r="H203" t="s">
        <v>194</v>
      </c>
      <c r="I203" t="s">
        <v>4708</v>
      </c>
      <c r="J203" t="s">
        <v>196</v>
      </c>
      <c r="K203">
        <v>18</v>
      </c>
      <c r="L203" s="28" t="s">
        <v>3641</v>
      </c>
      <c r="M203" s="238" t="str">
        <f t="shared" si="3"/>
        <v>711903</v>
      </c>
      <c r="N203" t="s">
        <v>5231</v>
      </c>
      <c r="O203" t="s">
        <v>5232</v>
      </c>
      <c r="Q203">
        <v>25</v>
      </c>
      <c r="R203" t="s">
        <v>5233</v>
      </c>
      <c r="S203" t="s">
        <v>5234</v>
      </c>
      <c r="T203" t="s">
        <v>4714</v>
      </c>
    </row>
    <row r="204" spans="1:20" customFormat="1" x14ac:dyDescent="0.25">
      <c r="A204" s="138" t="s">
        <v>417</v>
      </c>
      <c r="B204" s="138" t="s">
        <v>418</v>
      </c>
      <c r="C204" s="138" t="s">
        <v>4966</v>
      </c>
      <c r="D204" s="138" t="s">
        <v>4718</v>
      </c>
      <c r="E204" s="138" t="s">
        <v>233</v>
      </c>
      <c r="F204" s="28">
        <v>1</v>
      </c>
      <c r="G204" t="s">
        <v>193</v>
      </c>
      <c r="H204" t="s">
        <v>194</v>
      </c>
      <c r="I204" t="s">
        <v>4708</v>
      </c>
      <c r="J204" t="s">
        <v>253</v>
      </c>
      <c r="K204">
        <v>18</v>
      </c>
      <c r="L204" s="28" t="s">
        <v>405</v>
      </c>
      <c r="M204" s="238" t="str">
        <f t="shared" si="3"/>
        <v>241304</v>
      </c>
      <c r="N204" t="s">
        <v>4973</v>
      </c>
      <c r="O204" t="s">
        <v>4770</v>
      </c>
      <c r="P204">
        <v>1811</v>
      </c>
      <c r="Q204">
        <v>1</v>
      </c>
      <c r="S204" t="s">
        <v>4974</v>
      </c>
      <c r="T204" t="s">
        <v>4714</v>
      </c>
    </row>
    <row r="205" spans="1:20" customFormat="1" x14ac:dyDescent="0.25">
      <c r="A205" s="138" t="s">
        <v>432</v>
      </c>
      <c r="B205" s="138" t="s">
        <v>1768</v>
      </c>
      <c r="C205" s="138" t="s">
        <v>420</v>
      </c>
      <c r="D205" s="138" t="s">
        <v>4718</v>
      </c>
      <c r="E205" s="138" t="s">
        <v>192</v>
      </c>
      <c r="F205" s="28">
        <v>1</v>
      </c>
      <c r="G205" t="s">
        <v>193</v>
      </c>
      <c r="H205" t="s">
        <v>194</v>
      </c>
      <c r="I205" t="s">
        <v>4746</v>
      </c>
      <c r="J205" t="s">
        <v>253</v>
      </c>
      <c r="K205">
        <v>18</v>
      </c>
      <c r="L205" s="28" t="s">
        <v>421</v>
      </c>
      <c r="M205" s="238" t="str">
        <f t="shared" si="3"/>
        <v>241306</v>
      </c>
      <c r="N205" t="s">
        <v>5561</v>
      </c>
      <c r="O205" t="s">
        <v>4756</v>
      </c>
      <c r="P205">
        <v>1811</v>
      </c>
      <c r="Q205">
        <v>1</v>
      </c>
      <c r="T205" t="s">
        <v>4714</v>
      </c>
    </row>
    <row r="206" spans="1:20" customFormat="1" x14ac:dyDescent="0.25">
      <c r="A206" s="138" t="s">
        <v>5465</v>
      </c>
      <c r="B206" s="138" t="s">
        <v>1520</v>
      </c>
      <c r="C206" s="138" t="s">
        <v>21</v>
      </c>
      <c r="D206" s="138" t="s">
        <v>4718</v>
      </c>
      <c r="E206" s="138" t="s">
        <v>233</v>
      </c>
      <c r="F206" s="28">
        <v>1</v>
      </c>
      <c r="G206" t="s">
        <v>193</v>
      </c>
      <c r="H206" t="s">
        <v>194</v>
      </c>
      <c r="I206" t="s">
        <v>4708</v>
      </c>
      <c r="J206" t="s">
        <v>4751</v>
      </c>
      <c r="K206">
        <v>18</v>
      </c>
      <c r="L206" s="28" t="s">
        <v>293</v>
      </c>
      <c r="M206" s="238" t="str">
        <f t="shared" si="3"/>
        <v>214202</v>
      </c>
      <c r="N206" t="s">
        <v>5466</v>
      </c>
      <c r="O206" t="s">
        <v>4718</v>
      </c>
      <c r="P206">
        <v>1862</v>
      </c>
      <c r="Q206">
        <v>1</v>
      </c>
      <c r="R206" t="s">
        <v>5467</v>
      </c>
      <c r="S206" t="s">
        <v>5468</v>
      </c>
      <c r="T206" t="s">
        <v>4714</v>
      </c>
    </row>
    <row r="207" spans="1:20" customFormat="1" x14ac:dyDescent="0.25">
      <c r="A207" s="138" t="s">
        <v>5137</v>
      </c>
      <c r="B207" s="138" t="s">
        <v>1000</v>
      </c>
      <c r="C207" s="138" t="s">
        <v>117</v>
      </c>
      <c r="D207" s="138" t="s">
        <v>4718</v>
      </c>
      <c r="E207" s="138" t="s">
        <v>233</v>
      </c>
      <c r="F207" s="28">
        <v>1</v>
      </c>
      <c r="G207" t="s">
        <v>193</v>
      </c>
      <c r="H207" t="s">
        <v>194</v>
      </c>
      <c r="I207" t="s">
        <v>4708</v>
      </c>
      <c r="J207" t="s">
        <v>962</v>
      </c>
      <c r="K207">
        <v>18</v>
      </c>
      <c r="L207" s="28" t="s">
        <v>2242</v>
      </c>
      <c r="M207" s="238" t="str">
        <f t="shared" si="3"/>
        <v>431301</v>
      </c>
      <c r="N207" t="s">
        <v>5138</v>
      </c>
      <c r="O207" t="s">
        <v>4723</v>
      </c>
      <c r="P207">
        <v>1806</v>
      </c>
      <c r="Q207">
        <v>1</v>
      </c>
      <c r="R207" t="s">
        <v>5139</v>
      </c>
      <c r="S207" t="s">
        <v>5140</v>
      </c>
      <c r="T207" t="s">
        <v>4714</v>
      </c>
    </row>
    <row r="208" spans="1:20" customFormat="1" x14ac:dyDescent="0.25">
      <c r="A208" s="138" t="s">
        <v>5302</v>
      </c>
      <c r="B208" s="138" t="s">
        <v>2124</v>
      </c>
      <c r="C208" s="138" t="s">
        <v>13</v>
      </c>
      <c r="D208" s="138" t="s">
        <v>4718</v>
      </c>
      <c r="E208" s="138" t="s">
        <v>233</v>
      </c>
      <c r="F208" s="28">
        <v>1</v>
      </c>
      <c r="G208" t="s">
        <v>193</v>
      </c>
      <c r="H208" t="s">
        <v>194</v>
      </c>
      <c r="I208" t="s">
        <v>4708</v>
      </c>
      <c r="J208" t="s">
        <v>305</v>
      </c>
      <c r="K208">
        <v>18</v>
      </c>
      <c r="L208" s="28" t="s">
        <v>2125</v>
      </c>
      <c r="M208" s="238" t="str">
        <f t="shared" si="3"/>
        <v>225101</v>
      </c>
      <c r="N208" t="s">
        <v>5303</v>
      </c>
      <c r="O208" t="s">
        <v>5304</v>
      </c>
      <c r="P208">
        <v>1814</v>
      </c>
      <c r="Q208">
        <v>1</v>
      </c>
      <c r="R208" t="s">
        <v>5305</v>
      </c>
      <c r="S208" t="s">
        <v>5306</v>
      </c>
      <c r="T208" t="s">
        <v>4714</v>
      </c>
    </row>
    <row r="209" spans="1:20" customFormat="1" x14ac:dyDescent="0.25">
      <c r="A209" s="138" t="s">
        <v>5058</v>
      </c>
      <c r="B209" s="138" t="s">
        <v>2309</v>
      </c>
      <c r="C209" s="138" t="s">
        <v>17</v>
      </c>
      <c r="D209" s="138" t="s">
        <v>4718</v>
      </c>
      <c r="E209" s="138" t="s">
        <v>233</v>
      </c>
      <c r="F209" s="28">
        <v>1</v>
      </c>
      <c r="G209" t="s">
        <v>193</v>
      </c>
      <c r="H209" t="s">
        <v>194</v>
      </c>
      <c r="I209" t="s">
        <v>4708</v>
      </c>
      <c r="J209" t="s">
        <v>196</v>
      </c>
      <c r="K209">
        <v>18</v>
      </c>
      <c r="L209" s="28" t="s">
        <v>624</v>
      </c>
      <c r="M209" s="238" t="str">
        <f t="shared" si="3"/>
        <v>332203</v>
      </c>
      <c r="N209" t="s">
        <v>5059</v>
      </c>
      <c r="O209" t="s">
        <v>4770</v>
      </c>
      <c r="Q209">
        <v>25</v>
      </c>
      <c r="R209" t="s">
        <v>5060</v>
      </c>
      <c r="S209" t="s">
        <v>5061</v>
      </c>
      <c r="T209" t="s">
        <v>4714</v>
      </c>
    </row>
    <row r="210" spans="1:20" customFormat="1" x14ac:dyDescent="0.25">
      <c r="A210" s="138" t="s">
        <v>4928</v>
      </c>
      <c r="B210" s="138" t="s">
        <v>2516</v>
      </c>
      <c r="C210" s="138" t="s">
        <v>85</v>
      </c>
      <c r="D210" s="138" t="s">
        <v>4718</v>
      </c>
      <c r="E210" s="138" t="s">
        <v>192</v>
      </c>
      <c r="F210" s="28">
        <v>1</v>
      </c>
      <c r="G210" t="s">
        <v>193</v>
      </c>
      <c r="H210" t="s">
        <v>194</v>
      </c>
      <c r="I210" t="s">
        <v>4708</v>
      </c>
      <c r="J210" t="s">
        <v>210</v>
      </c>
      <c r="K210">
        <v>18</v>
      </c>
      <c r="L210" s="28" t="s">
        <v>477</v>
      </c>
      <c r="M210" s="238" t="str">
        <f t="shared" si="3"/>
        <v>243305</v>
      </c>
      <c r="N210" t="s">
        <v>4929</v>
      </c>
      <c r="O210" t="s">
        <v>4756</v>
      </c>
      <c r="P210">
        <v>1863</v>
      </c>
      <c r="Q210">
        <v>1</v>
      </c>
      <c r="T210" t="s">
        <v>4714</v>
      </c>
    </row>
    <row r="211" spans="1:20" customFormat="1" x14ac:dyDescent="0.25">
      <c r="A211" s="138" t="s">
        <v>4022</v>
      </c>
      <c r="B211" s="138" t="s">
        <v>5477</v>
      </c>
      <c r="C211" s="138" t="s">
        <v>19</v>
      </c>
      <c r="D211" s="138" t="s">
        <v>4718</v>
      </c>
      <c r="E211" s="138" t="s">
        <v>233</v>
      </c>
      <c r="F211" s="28">
        <v>1</v>
      </c>
      <c r="G211" t="s">
        <v>193</v>
      </c>
      <c r="H211" t="s">
        <v>194</v>
      </c>
      <c r="I211" t="s">
        <v>4708</v>
      </c>
      <c r="J211" t="s">
        <v>196</v>
      </c>
      <c r="K211">
        <v>18</v>
      </c>
      <c r="L211" s="28" t="s">
        <v>337</v>
      </c>
      <c r="M211" s="238" t="str">
        <f t="shared" si="3"/>
        <v>214903</v>
      </c>
      <c r="N211" t="s">
        <v>5478</v>
      </c>
      <c r="O211" t="s">
        <v>4756</v>
      </c>
      <c r="Q211">
        <v>25</v>
      </c>
      <c r="R211" t="s">
        <v>5479</v>
      </c>
      <c r="S211" t="s">
        <v>5480</v>
      </c>
      <c r="T211" t="s">
        <v>4714</v>
      </c>
    </row>
    <row r="212" spans="1:20" customFormat="1" x14ac:dyDescent="0.25">
      <c r="A212" s="138" t="s">
        <v>5359</v>
      </c>
      <c r="B212" s="138" t="s">
        <v>248</v>
      </c>
      <c r="C212" s="138" t="s">
        <v>74</v>
      </c>
      <c r="D212" s="138" t="s">
        <v>4718</v>
      </c>
      <c r="E212" s="138" t="s">
        <v>233</v>
      </c>
      <c r="F212" s="28">
        <v>1</v>
      </c>
      <c r="G212" t="s">
        <v>193</v>
      </c>
      <c r="H212" t="s">
        <v>194</v>
      </c>
      <c r="I212" t="s">
        <v>4708</v>
      </c>
      <c r="J212" t="s">
        <v>223</v>
      </c>
      <c r="K212">
        <v>18</v>
      </c>
      <c r="L212" s="28" t="s">
        <v>246</v>
      </c>
      <c r="M212" s="238" t="str">
        <f t="shared" si="3"/>
        <v>142004</v>
      </c>
      <c r="N212" t="s">
        <v>5360</v>
      </c>
      <c r="O212" t="s">
        <v>4918</v>
      </c>
      <c r="P212">
        <v>1804</v>
      </c>
      <c r="Q212">
        <v>1</v>
      </c>
      <c r="R212" t="s">
        <v>5361</v>
      </c>
      <c r="S212" t="s">
        <v>5362</v>
      </c>
      <c r="T212" t="s">
        <v>4714</v>
      </c>
    </row>
    <row r="213" spans="1:20" customFormat="1" x14ac:dyDescent="0.25">
      <c r="A213" s="138" t="s">
        <v>529</v>
      </c>
      <c r="B213" s="138" t="s">
        <v>4754</v>
      </c>
      <c r="C213" s="138" t="s">
        <v>4565</v>
      </c>
      <c r="D213" s="138" t="s">
        <v>4718</v>
      </c>
      <c r="E213" s="138" t="s">
        <v>192</v>
      </c>
      <c r="F213" s="28">
        <v>1</v>
      </c>
      <c r="G213" t="s">
        <v>193</v>
      </c>
      <c r="H213" t="s">
        <v>194</v>
      </c>
      <c r="I213" t="s">
        <v>4746</v>
      </c>
      <c r="J213" t="s">
        <v>309</v>
      </c>
      <c r="K213">
        <v>18</v>
      </c>
      <c r="L213" s="28" t="s">
        <v>4566</v>
      </c>
      <c r="M213" s="238" t="str">
        <f t="shared" si="3"/>
        <v>311514</v>
      </c>
      <c r="N213" t="s">
        <v>4755</v>
      </c>
      <c r="O213" t="s">
        <v>4756</v>
      </c>
      <c r="P213">
        <v>1815</v>
      </c>
      <c r="Q213">
        <v>1</v>
      </c>
      <c r="T213" t="s">
        <v>4714</v>
      </c>
    </row>
    <row r="214" spans="1:20" customFormat="1" x14ac:dyDescent="0.25">
      <c r="A214" s="138" t="s">
        <v>835</v>
      </c>
      <c r="B214" s="138" t="s">
        <v>5376</v>
      </c>
      <c r="C214" s="138" t="s">
        <v>103</v>
      </c>
      <c r="D214" s="138" t="s">
        <v>4718</v>
      </c>
      <c r="E214" s="138" t="s">
        <v>233</v>
      </c>
      <c r="F214" s="28">
        <v>1</v>
      </c>
      <c r="G214" t="s">
        <v>193</v>
      </c>
      <c r="H214" t="s">
        <v>194</v>
      </c>
      <c r="I214" t="s">
        <v>4708</v>
      </c>
      <c r="J214" t="s">
        <v>276</v>
      </c>
      <c r="K214">
        <v>18</v>
      </c>
      <c r="L214" s="28" t="s">
        <v>1443</v>
      </c>
      <c r="M214" s="238" t="str">
        <f t="shared" si="3"/>
        <v>132103</v>
      </c>
      <c r="N214" t="s">
        <v>5377</v>
      </c>
      <c r="O214" t="s">
        <v>5128</v>
      </c>
      <c r="P214">
        <v>1803</v>
      </c>
      <c r="Q214">
        <v>1</v>
      </c>
      <c r="R214" t="s">
        <v>5378</v>
      </c>
      <c r="S214" t="s">
        <v>5379</v>
      </c>
      <c r="T214" t="s">
        <v>4714</v>
      </c>
    </row>
    <row r="215" spans="1:20" customFormat="1" x14ac:dyDescent="0.25">
      <c r="A215" s="138" t="s">
        <v>835</v>
      </c>
      <c r="B215" s="138" t="s">
        <v>565</v>
      </c>
      <c r="C215" s="138" t="s">
        <v>4768</v>
      </c>
      <c r="D215" s="138" t="s">
        <v>4718</v>
      </c>
      <c r="E215" s="138" t="s">
        <v>233</v>
      </c>
      <c r="F215" s="28">
        <v>1</v>
      </c>
      <c r="G215" t="s">
        <v>193</v>
      </c>
      <c r="H215" t="s">
        <v>194</v>
      </c>
      <c r="I215" t="s">
        <v>4708</v>
      </c>
      <c r="J215" t="s">
        <v>276</v>
      </c>
      <c r="K215">
        <v>18</v>
      </c>
      <c r="L215" s="28" t="s">
        <v>2659</v>
      </c>
      <c r="M215" s="238" t="str">
        <f t="shared" si="3"/>
        <v>311508</v>
      </c>
      <c r="N215" t="s">
        <v>4769</v>
      </c>
      <c r="O215" t="s">
        <v>4770</v>
      </c>
      <c r="P215">
        <v>1803</v>
      </c>
      <c r="Q215">
        <v>1</v>
      </c>
      <c r="R215" t="s">
        <v>4771</v>
      </c>
      <c r="S215" t="s">
        <v>4772</v>
      </c>
      <c r="T215" t="s">
        <v>4714</v>
      </c>
    </row>
    <row r="216" spans="1:20" customFormat="1" x14ac:dyDescent="0.25">
      <c r="A216" s="138" t="s">
        <v>835</v>
      </c>
      <c r="B216" s="138" t="s">
        <v>5403</v>
      </c>
      <c r="C216" s="138" t="s">
        <v>886</v>
      </c>
      <c r="D216" s="138" t="s">
        <v>4718</v>
      </c>
      <c r="E216" s="138" t="s">
        <v>233</v>
      </c>
      <c r="F216" s="28">
        <v>1</v>
      </c>
      <c r="G216" t="s">
        <v>193</v>
      </c>
      <c r="H216" t="s">
        <v>194</v>
      </c>
      <c r="I216" t="s">
        <v>4708</v>
      </c>
      <c r="J216" t="s">
        <v>276</v>
      </c>
      <c r="K216">
        <v>18</v>
      </c>
      <c r="L216" s="28" t="s">
        <v>887</v>
      </c>
      <c r="M216" s="238" t="str">
        <f t="shared" si="3"/>
        <v>834401</v>
      </c>
      <c r="N216" t="s">
        <v>5404</v>
      </c>
      <c r="O216" t="s">
        <v>5128</v>
      </c>
      <c r="P216">
        <v>1803</v>
      </c>
      <c r="Q216">
        <v>1</v>
      </c>
      <c r="R216" t="s">
        <v>5405</v>
      </c>
      <c r="S216" t="s">
        <v>5406</v>
      </c>
      <c r="T216" t="s">
        <v>4714</v>
      </c>
    </row>
    <row r="217" spans="1:20" customFormat="1" x14ac:dyDescent="0.25">
      <c r="A217" s="138" t="s">
        <v>358</v>
      </c>
      <c r="B217" s="138" t="s">
        <v>5484</v>
      </c>
      <c r="C217" s="138" t="s">
        <v>5485</v>
      </c>
      <c r="D217" s="138" t="s">
        <v>4718</v>
      </c>
      <c r="E217" s="138" t="s">
        <v>192</v>
      </c>
      <c r="F217" s="28">
        <v>1</v>
      </c>
      <c r="G217" t="s">
        <v>193</v>
      </c>
      <c r="H217" t="s">
        <v>194</v>
      </c>
      <c r="I217" t="s">
        <v>4708</v>
      </c>
      <c r="J217" t="s">
        <v>210</v>
      </c>
      <c r="K217">
        <v>18</v>
      </c>
      <c r="L217" s="28" t="s">
        <v>5486</v>
      </c>
      <c r="M217" s="238" t="str">
        <f t="shared" si="3"/>
        <v>311402</v>
      </c>
      <c r="N217" t="s">
        <v>5487</v>
      </c>
      <c r="O217" t="s">
        <v>4756</v>
      </c>
      <c r="P217">
        <v>1863</v>
      </c>
      <c r="Q217">
        <v>1</v>
      </c>
      <c r="T217" t="s">
        <v>4714</v>
      </c>
    </row>
    <row r="218" spans="1:20" customFormat="1" x14ac:dyDescent="0.25">
      <c r="A218" s="138" t="s">
        <v>5505</v>
      </c>
      <c r="B218" s="138" t="s">
        <v>565</v>
      </c>
      <c r="C218" s="138" t="s">
        <v>829</v>
      </c>
      <c r="D218" s="138" t="s">
        <v>4718</v>
      </c>
      <c r="E218" s="138" t="s">
        <v>192</v>
      </c>
      <c r="F218" s="28">
        <v>1</v>
      </c>
      <c r="G218" t="s">
        <v>193</v>
      </c>
      <c r="H218" t="s">
        <v>194</v>
      </c>
      <c r="I218" t="s">
        <v>4708</v>
      </c>
      <c r="J218" t="s">
        <v>276</v>
      </c>
      <c r="K218">
        <v>18</v>
      </c>
      <c r="L218" s="28" t="s">
        <v>830</v>
      </c>
      <c r="M218" s="238" t="str">
        <f t="shared" si="3"/>
        <v>741201</v>
      </c>
      <c r="N218" t="s">
        <v>5506</v>
      </c>
      <c r="O218" t="s">
        <v>4756</v>
      </c>
      <c r="P218">
        <v>1803</v>
      </c>
      <c r="Q218">
        <v>1</v>
      </c>
      <c r="T218" t="s">
        <v>4714</v>
      </c>
    </row>
    <row r="219" spans="1:20" customFormat="1" x14ac:dyDescent="0.25">
      <c r="A219" s="138" t="s">
        <v>347</v>
      </c>
      <c r="B219" s="138" t="s">
        <v>5122</v>
      </c>
      <c r="C219" s="138" t="s">
        <v>10</v>
      </c>
      <c r="D219" s="138" t="s">
        <v>4718</v>
      </c>
      <c r="E219" s="138" t="s">
        <v>192</v>
      </c>
      <c r="F219" s="28">
        <v>1</v>
      </c>
      <c r="G219" t="s">
        <v>193</v>
      </c>
      <c r="H219" t="s">
        <v>194</v>
      </c>
      <c r="I219" t="s">
        <v>4746</v>
      </c>
      <c r="J219" t="s">
        <v>316</v>
      </c>
      <c r="K219">
        <v>18</v>
      </c>
      <c r="L219" s="28" t="s">
        <v>484</v>
      </c>
      <c r="M219" s="238" t="str">
        <f t="shared" si="3"/>
        <v>251401</v>
      </c>
      <c r="N219" t="s">
        <v>5123</v>
      </c>
      <c r="O219" t="s">
        <v>4756</v>
      </c>
      <c r="P219">
        <v>1818</v>
      </c>
      <c r="Q219">
        <v>1</v>
      </c>
      <c r="T219" t="s">
        <v>4714</v>
      </c>
    </row>
    <row r="220" spans="1:20" customFormat="1" x14ac:dyDescent="0.25">
      <c r="A220" s="138" t="s">
        <v>581</v>
      </c>
      <c r="B220" s="138" t="s">
        <v>4781</v>
      </c>
      <c r="C220" s="138" t="s">
        <v>566</v>
      </c>
      <c r="D220" s="138" t="s">
        <v>4718</v>
      </c>
      <c r="E220" s="138" t="s">
        <v>233</v>
      </c>
      <c r="F220" s="28">
        <v>1</v>
      </c>
      <c r="G220" t="s">
        <v>193</v>
      </c>
      <c r="H220" t="s">
        <v>194</v>
      </c>
      <c r="I220" t="s">
        <v>4708</v>
      </c>
      <c r="J220" t="s">
        <v>253</v>
      </c>
      <c r="K220">
        <v>18</v>
      </c>
      <c r="L220" s="28" t="s">
        <v>567</v>
      </c>
      <c r="M220" s="238" t="str">
        <f t="shared" si="3"/>
        <v>311504</v>
      </c>
      <c r="N220" t="s">
        <v>4782</v>
      </c>
      <c r="O220" t="s">
        <v>4720</v>
      </c>
      <c r="P220">
        <v>1811</v>
      </c>
      <c r="Q220">
        <v>1</v>
      </c>
      <c r="R220" t="s">
        <v>4783</v>
      </c>
      <c r="S220" t="s">
        <v>4784</v>
      </c>
      <c r="T220" t="s">
        <v>4714</v>
      </c>
    </row>
    <row r="221" spans="1:20" customFormat="1" x14ac:dyDescent="0.25">
      <c r="A221" s="138" t="s">
        <v>4926</v>
      </c>
      <c r="B221" s="138" t="s">
        <v>1069</v>
      </c>
      <c r="C221" s="138" t="s">
        <v>2946</v>
      </c>
      <c r="D221" s="138" t="s">
        <v>4718</v>
      </c>
      <c r="E221" s="138" t="s">
        <v>192</v>
      </c>
      <c r="F221" s="28">
        <v>1</v>
      </c>
      <c r="G221" t="s">
        <v>193</v>
      </c>
      <c r="H221" t="s">
        <v>194</v>
      </c>
      <c r="I221" t="s">
        <v>4708</v>
      </c>
      <c r="J221" t="s">
        <v>210</v>
      </c>
      <c r="K221">
        <v>18</v>
      </c>
      <c r="L221" s="28" t="s">
        <v>4922</v>
      </c>
      <c r="M221" s="238" t="str">
        <f t="shared" si="3"/>
        <v>241308</v>
      </c>
      <c r="N221" t="s">
        <v>4927</v>
      </c>
      <c r="O221" t="s">
        <v>4709</v>
      </c>
      <c r="P221">
        <v>1863</v>
      </c>
      <c r="Q221">
        <v>1</v>
      </c>
      <c r="T221" t="s">
        <v>4714</v>
      </c>
    </row>
    <row r="222" spans="1:20" customFormat="1" x14ac:dyDescent="0.25">
      <c r="A222" s="138" t="s">
        <v>4948</v>
      </c>
      <c r="B222" s="138" t="s">
        <v>1520</v>
      </c>
      <c r="C222" s="138" t="s">
        <v>27</v>
      </c>
      <c r="D222" s="138" t="s">
        <v>4718</v>
      </c>
      <c r="E222" s="138" t="s">
        <v>233</v>
      </c>
      <c r="F222" s="28">
        <v>1</v>
      </c>
      <c r="G222" t="s">
        <v>193</v>
      </c>
      <c r="H222" t="s">
        <v>194</v>
      </c>
      <c r="I222" t="s">
        <v>4708</v>
      </c>
      <c r="J222" t="s">
        <v>210</v>
      </c>
      <c r="K222">
        <v>18</v>
      </c>
      <c r="L222" s="28" t="s">
        <v>440</v>
      </c>
      <c r="M222" s="238" t="str">
        <f t="shared" si="3"/>
        <v>242307</v>
      </c>
      <c r="N222" t="s">
        <v>4949</v>
      </c>
      <c r="O222" t="s">
        <v>4765</v>
      </c>
      <c r="P222">
        <v>1863</v>
      </c>
      <c r="Q222">
        <v>1</v>
      </c>
      <c r="R222" t="s">
        <v>4950</v>
      </c>
      <c r="S222" t="s">
        <v>4951</v>
      </c>
      <c r="T222" t="s">
        <v>4714</v>
      </c>
    </row>
    <row r="223" spans="1:20" customFormat="1" x14ac:dyDescent="0.25">
      <c r="A223" s="138" t="s">
        <v>3766</v>
      </c>
      <c r="B223" s="138" t="s">
        <v>2675</v>
      </c>
      <c r="C223" s="138" t="s">
        <v>3438</v>
      </c>
      <c r="D223" s="138" t="s">
        <v>4718</v>
      </c>
      <c r="E223" s="138" t="s">
        <v>233</v>
      </c>
      <c r="F223" s="28">
        <v>1</v>
      </c>
      <c r="G223" t="s">
        <v>193</v>
      </c>
      <c r="H223" t="s">
        <v>194</v>
      </c>
      <c r="I223" t="s">
        <v>4708</v>
      </c>
      <c r="J223" t="s">
        <v>210</v>
      </c>
      <c r="K223">
        <v>18</v>
      </c>
      <c r="L223" s="28" t="s">
        <v>3439</v>
      </c>
      <c r="M223" s="238" t="str">
        <f t="shared" si="3"/>
        <v>334306</v>
      </c>
      <c r="N223" t="s">
        <v>4839</v>
      </c>
      <c r="O223" t="s">
        <v>4775</v>
      </c>
      <c r="P223">
        <v>1863</v>
      </c>
      <c r="Q223">
        <v>1</v>
      </c>
      <c r="R223" t="s">
        <v>4840</v>
      </c>
      <c r="S223" t="s">
        <v>4841</v>
      </c>
      <c r="T223" t="s">
        <v>4714</v>
      </c>
    </row>
    <row r="224" spans="1:20" customFormat="1" x14ac:dyDescent="0.25">
      <c r="A224" s="138" t="s">
        <v>4874</v>
      </c>
      <c r="B224" s="138" t="s">
        <v>4875</v>
      </c>
      <c r="C224" s="138" t="s">
        <v>740</v>
      </c>
      <c r="D224" s="138" t="s">
        <v>4718</v>
      </c>
      <c r="E224" s="138" t="s">
        <v>252</v>
      </c>
      <c r="F224" s="28">
        <v>1</v>
      </c>
      <c r="G224" t="s">
        <v>193</v>
      </c>
      <c r="H224" t="s">
        <v>194</v>
      </c>
      <c r="I224" t="s">
        <v>4708</v>
      </c>
      <c r="J224" t="s">
        <v>4876</v>
      </c>
      <c r="K224">
        <v>18</v>
      </c>
      <c r="L224" s="28" t="s">
        <v>741</v>
      </c>
      <c r="M224" s="238" t="str">
        <f t="shared" si="3"/>
        <v>522301</v>
      </c>
      <c r="N224" t="s">
        <v>4877</v>
      </c>
      <c r="O224" t="s">
        <v>4878</v>
      </c>
      <c r="P224">
        <v>1863</v>
      </c>
      <c r="Q224">
        <v>1</v>
      </c>
      <c r="T224" t="s">
        <v>4714</v>
      </c>
    </row>
    <row r="225" spans="1:20" customFormat="1" x14ac:dyDescent="0.25">
      <c r="A225" s="138" t="s">
        <v>4715</v>
      </c>
      <c r="B225" s="138" t="s">
        <v>4167</v>
      </c>
      <c r="C225" s="138" t="s">
        <v>17</v>
      </c>
      <c r="D225" s="138" t="s">
        <v>4718</v>
      </c>
      <c r="E225" s="138" t="s">
        <v>233</v>
      </c>
      <c r="F225" s="28">
        <v>1</v>
      </c>
      <c r="G225" t="s">
        <v>193</v>
      </c>
      <c r="H225" t="s">
        <v>194</v>
      </c>
      <c r="I225" t="s">
        <v>4746</v>
      </c>
      <c r="J225" t="s">
        <v>2183</v>
      </c>
      <c r="K225">
        <v>18</v>
      </c>
      <c r="L225" s="28" t="s">
        <v>624</v>
      </c>
      <c r="M225" s="238" t="str">
        <f t="shared" si="3"/>
        <v>332203</v>
      </c>
      <c r="N225" t="s">
        <v>5043</v>
      </c>
      <c r="O225" t="s">
        <v>4963</v>
      </c>
      <c r="P225">
        <v>1820</v>
      </c>
      <c r="Q225">
        <v>1</v>
      </c>
      <c r="R225" t="s">
        <v>5044</v>
      </c>
      <c r="T225" t="s">
        <v>4714</v>
      </c>
    </row>
    <row r="226" spans="1:20" customFormat="1" x14ac:dyDescent="0.25">
      <c r="A226" s="138" t="s">
        <v>4715</v>
      </c>
      <c r="B226" s="138" t="s">
        <v>4167</v>
      </c>
      <c r="C226" s="138" t="s">
        <v>17</v>
      </c>
      <c r="D226" s="138" t="s">
        <v>4718</v>
      </c>
      <c r="E226" s="138" t="s">
        <v>233</v>
      </c>
      <c r="F226" s="28">
        <v>1</v>
      </c>
      <c r="G226" t="s">
        <v>193</v>
      </c>
      <c r="H226" t="s">
        <v>194</v>
      </c>
      <c r="I226" t="s">
        <v>4746</v>
      </c>
      <c r="J226" t="s">
        <v>408</v>
      </c>
      <c r="K226">
        <v>18</v>
      </c>
      <c r="L226" s="28" t="s">
        <v>624</v>
      </c>
      <c r="M226" s="238" t="str">
        <f t="shared" si="3"/>
        <v>332203</v>
      </c>
      <c r="N226" t="s">
        <v>5045</v>
      </c>
      <c r="O226" t="s">
        <v>4963</v>
      </c>
      <c r="P226">
        <v>1864</v>
      </c>
      <c r="Q226">
        <v>1</v>
      </c>
      <c r="R226" t="s">
        <v>5044</v>
      </c>
      <c r="T226" t="s">
        <v>4714</v>
      </c>
    </row>
    <row r="227" spans="1:20" customFormat="1" x14ac:dyDescent="0.25">
      <c r="A227" s="138" t="s">
        <v>4715</v>
      </c>
      <c r="B227" s="138" t="s">
        <v>4167</v>
      </c>
      <c r="C227" s="138" t="s">
        <v>17</v>
      </c>
      <c r="D227" s="138" t="s">
        <v>4718</v>
      </c>
      <c r="E227" s="138" t="s">
        <v>233</v>
      </c>
      <c r="F227" s="28">
        <v>1</v>
      </c>
      <c r="G227" t="s">
        <v>193</v>
      </c>
      <c r="H227" t="s">
        <v>194</v>
      </c>
      <c r="I227" t="s">
        <v>4746</v>
      </c>
      <c r="J227" t="s">
        <v>316</v>
      </c>
      <c r="K227">
        <v>18</v>
      </c>
      <c r="L227" s="28" t="s">
        <v>624</v>
      </c>
      <c r="M227" s="238" t="str">
        <f t="shared" si="3"/>
        <v>332203</v>
      </c>
      <c r="N227" t="s">
        <v>5046</v>
      </c>
      <c r="O227" t="s">
        <v>4963</v>
      </c>
      <c r="P227">
        <v>1818</v>
      </c>
      <c r="Q227">
        <v>1</v>
      </c>
      <c r="R227" t="s">
        <v>5044</v>
      </c>
      <c r="T227" t="s">
        <v>4714</v>
      </c>
    </row>
    <row r="228" spans="1:20" customFormat="1" x14ac:dyDescent="0.25">
      <c r="A228" s="138" t="s">
        <v>4715</v>
      </c>
      <c r="B228" s="138" t="s">
        <v>4167</v>
      </c>
      <c r="C228" s="138" t="s">
        <v>17</v>
      </c>
      <c r="D228" s="138" t="s">
        <v>4718</v>
      </c>
      <c r="E228" s="138" t="s">
        <v>233</v>
      </c>
      <c r="F228" s="28">
        <v>1</v>
      </c>
      <c r="G228" t="s">
        <v>193</v>
      </c>
      <c r="H228" t="s">
        <v>194</v>
      </c>
      <c r="I228" t="s">
        <v>4746</v>
      </c>
      <c r="J228" t="s">
        <v>210</v>
      </c>
      <c r="K228">
        <v>18</v>
      </c>
      <c r="L228" s="28" t="s">
        <v>624</v>
      </c>
      <c r="M228" s="238" t="str">
        <f t="shared" si="3"/>
        <v>332203</v>
      </c>
      <c r="N228" t="s">
        <v>5047</v>
      </c>
      <c r="O228" t="s">
        <v>4963</v>
      </c>
      <c r="P228">
        <v>1863</v>
      </c>
      <c r="Q228">
        <v>1</v>
      </c>
      <c r="R228" t="s">
        <v>5044</v>
      </c>
      <c r="T228" t="s">
        <v>4714</v>
      </c>
    </row>
    <row r="229" spans="1:20" customFormat="1" x14ac:dyDescent="0.25">
      <c r="A229" s="138" t="s">
        <v>4715</v>
      </c>
      <c r="B229" s="138" t="s">
        <v>4167</v>
      </c>
      <c r="C229" s="138" t="s">
        <v>17</v>
      </c>
      <c r="D229" s="138" t="s">
        <v>4718</v>
      </c>
      <c r="E229" s="138" t="s">
        <v>233</v>
      </c>
      <c r="F229" s="28">
        <v>1</v>
      </c>
      <c r="G229" t="s">
        <v>193</v>
      </c>
      <c r="H229" t="s">
        <v>194</v>
      </c>
      <c r="I229" t="s">
        <v>4746</v>
      </c>
      <c r="J229" t="s">
        <v>309</v>
      </c>
      <c r="K229">
        <v>18</v>
      </c>
      <c r="L229" s="28" t="s">
        <v>624</v>
      </c>
      <c r="M229" s="238" t="str">
        <f t="shared" si="3"/>
        <v>332203</v>
      </c>
      <c r="N229" t="s">
        <v>5048</v>
      </c>
      <c r="O229" t="s">
        <v>4963</v>
      </c>
      <c r="P229">
        <v>1815</v>
      </c>
      <c r="Q229">
        <v>1</v>
      </c>
      <c r="R229" t="s">
        <v>5044</v>
      </c>
      <c r="T229" t="s">
        <v>4714</v>
      </c>
    </row>
    <row r="230" spans="1:20" customFormat="1" x14ac:dyDescent="0.25">
      <c r="A230" s="138" t="s">
        <v>4715</v>
      </c>
      <c r="B230" s="138" t="s">
        <v>4167</v>
      </c>
      <c r="C230" s="138" t="s">
        <v>17</v>
      </c>
      <c r="D230" s="138" t="s">
        <v>4718</v>
      </c>
      <c r="E230" s="138" t="s">
        <v>233</v>
      </c>
      <c r="F230" s="28">
        <v>1</v>
      </c>
      <c r="G230" t="s">
        <v>193</v>
      </c>
      <c r="H230" t="s">
        <v>194</v>
      </c>
      <c r="I230" t="s">
        <v>4746</v>
      </c>
      <c r="J230" t="s">
        <v>367</v>
      </c>
      <c r="K230">
        <v>18</v>
      </c>
      <c r="L230" s="28" t="s">
        <v>624</v>
      </c>
      <c r="M230" s="238" t="str">
        <f t="shared" si="3"/>
        <v>332203</v>
      </c>
      <c r="N230" t="s">
        <v>5049</v>
      </c>
      <c r="O230" t="s">
        <v>4963</v>
      </c>
      <c r="P230">
        <v>1805</v>
      </c>
      <c r="Q230">
        <v>1</v>
      </c>
      <c r="R230" t="s">
        <v>5044</v>
      </c>
      <c r="T230" t="s">
        <v>4714</v>
      </c>
    </row>
    <row r="231" spans="1:20" customFormat="1" x14ac:dyDescent="0.25">
      <c r="A231" s="138" t="s">
        <v>4715</v>
      </c>
      <c r="B231" s="138" t="s">
        <v>4167</v>
      </c>
      <c r="C231" s="138" t="s">
        <v>17</v>
      </c>
      <c r="D231" s="138" t="s">
        <v>4718</v>
      </c>
      <c r="E231" s="138" t="s">
        <v>233</v>
      </c>
      <c r="F231" s="28">
        <v>1</v>
      </c>
      <c r="G231" t="s">
        <v>193</v>
      </c>
      <c r="H231" t="s">
        <v>194</v>
      </c>
      <c r="I231" t="s">
        <v>4746</v>
      </c>
      <c r="J231" t="s">
        <v>2956</v>
      </c>
      <c r="K231">
        <v>18</v>
      </c>
      <c r="L231" s="28" t="s">
        <v>624</v>
      </c>
      <c r="M231" s="238" t="str">
        <f t="shared" si="3"/>
        <v>332203</v>
      </c>
      <c r="N231" t="s">
        <v>5050</v>
      </c>
      <c r="O231" t="s">
        <v>4963</v>
      </c>
      <c r="P231">
        <v>1809</v>
      </c>
      <c r="Q231">
        <v>1</v>
      </c>
      <c r="R231" t="s">
        <v>5044</v>
      </c>
      <c r="T231" t="s">
        <v>4714</v>
      </c>
    </row>
    <row r="232" spans="1:20" customFormat="1" x14ac:dyDescent="0.25">
      <c r="A232" s="138" t="s">
        <v>4715</v>
      </c>
      <c r="B232" s="138" t="s">
        <v>4167</v>
      </c>
      <c r="C232" s="138" t="s">
        <v>17</v>
      </c>
      <c r="D232" s="138" t="s">
        <v>4718</v>
      </c>
      <c r="E232" s="138" t="s">
        <v>233</v>
      </c>
      <c r="F232" s="28">
        <v>1</v>
      </c>
      <c r="G232" t="s">
        <v>193</v>
      </c>
      <c r="H232" t="s">
        <v>194</v>
      </c>
      <c r="I232" t="s">
        <v>4746</v>
      </c>
      <c r="J232" t="s">
        <v>5051</v>
      </c>
      <c r="K232">
        <v>18</v>
      </c>
      <c r="L232" s="28" t="s">
        <v>624</v>
      </c>
      <c r="M232" s="238" t="str">
        <f t="shared" si="3"/>
        <v>332203</v>
      </c>
      <c r="N232" t="s">
        <v>5052</v>
      </c>
      <c r="O232" t="s">
        <v>4963</v>
      </c>
      <c r="P232">
        <v>1806</v>
      </c>
      <c r="Q232">
        <v>1</v>
      </c>
      <c r="R232" t="s">
        <v>5044</v>
      </c>
      <c r="T232" t="s">
        <v>4714</v>
      </c>
    </row>
    <row r="233" spans="1:20" customFormat="1" x14ac:dyDescent="0.25">
      <c r="A233" s="138" t="s">
        <v>4715</v>
      </c>
      <c r="B233" s="138" t="s">
        <v>4167</v>
      </c>
      <c r="C233" s="138" t="s">
        <v>17</v>
      </c>
      <c r="D233" s="138" t="s">
        <v>4718</v>
      </c>
      <c r="E233" s="138" t="s">
        <v>233</v>
      </c>
      <c r="F233" s="28">
        <v>1</v>
      </c>
      <c r="G233" t="s">
        <v>193</v>
      </c>
      <c r="H233" t="s">
        <v>194</v>
      </c>
      <c r="I233" t="s">
        <v>4746</v>
      </c>
      <c r="J233" t="s">
        <v>5053</v>
      </c>
      <c r="K233">
        <v>18</v>
      </c>
      <c r="L233" s="28" t="s">
        <v>624</v>
      </c>
      <c r="M233" s="238" t="str">
        <f t="shared" si="3"/>
        <v>332203</v>
      </c>
      <c r="N233" t="s">
        <v>5054</v>
      </c>
      <c r="O233" t="s">
        <v>4963</v>
      </c>
      <c r="P233">
        <v>1806</v>
      </c>
      <c r="Q233">
        <v>1</v>
      </c>
      <c r="R233" t="s">
        <v>5044</v>
      </c>
      <c r="T233" t="s">
        <v>4714</v>
      </c>
    </row>
    <row r="234" spans="1:20" customFormat="1" x14ac:dyDescent="0.25">
      <c r="A234" s="138" t="s">
        <v>4715</v>
      </c>
      <c r="B234" s="138" t="s">
        <v>4167</v>
      </c>
      <c r="C234" s="138" t="s">
        <v>17</v>
      </c>
      <c r="D234" s="138" t="s">
        <v>4718</v>
      </c>
      <c r="E234" s="138" t="s">
        <v>233</v>
      </c>
      <c r="F234" s="28">
        <v>1</v>
      </c>
      <c r="G234" t="s">
        <v>193</v>
      </c>
      <c r="H234" t="s">
        <v>194</v>
      </c>
      <c r="I234" t="s">
        <v>4746</v>
      </c>
      <c r="J234" t="s">
        <v>385</v>
      </c>
      <c r="K234">
        <v>18</v>
      </c>
      <c r="L234" s="28" t="s">
        <v>624</v>
      </c>
      <c r="M234" s="238" t="str">
        <f t="shared" si="3"/>
        <v>332203</v>
      </c>
      <c r="N234" t="s">
        <v>5055</v>
      </c>
      <c r="O234" t="s">
        <v>4963</v>
      </c>
      <c r="P234">
        <v>1861</v>
      </c>
      <c r="Q234">
        <v>1</v>
      </c>
      <c r="R234" t="s">
        <v>5044</v>
      </c>
      <c r="T234" t="s">
        <v>4714</v>
      </c>
    </row>
    <row r="235" spans="1:20" customFormat="1" x14ac:dyDescent="0.25">
      <c r="A235" s="138" t="s">
        <v>4715</v>
      </c>
      <c r="B235" s="138" t="s">
        <v>4167</v>
      </c>
      <c r="C235" s="138" t="s">
        <v>17</v>
      </c>
      <c r="D235" s="138" t="s">
        <v>4718</v>
      </c>
      <c r="E235" s="138" t="s">
        <v>233</v>
      </c>
      <c r="F235" s="28">
        <v>1</v>
      </c>
      <c r="G235" t="s">
        <v>193</v>
      </c>
      <c r="H235" t="s">
        <v>194</v>
      </c>
      <c r="I235" t="s">
        <v>4746</v>
      </c>
      <c r="J235" t="s">
        <v>1995</v>
      </c>
      <c r="K235">
        <v>18</v>
      </c>
      <c r="L235" s="28" t="s">
        <v>624</v>
      </c>
      <c r="M235" s="238" t="str">
        <f t="shared" si="3"/>
        <v>332203</v>
      </c>
      <c r="N235" t="s">
        <v>5056</v>
      </c>
      <c r="O235" t="s">
        <v>4963</v>
      </c>
      <c r="P235">
        <v>1821</v>
      </c>
      <c r="Q235">
        <v>1</v>
      </c>
      <c r="R235" t="s">
        <v>5044</v>
      </c>
      <c r="T235" t="s">
        <v>4714</v>
      </c>
    </row>
    <row r="236" spans="1:20" customFormat="1" x14ac:dyDescent="0.25">
      <c r="A236" s="138" t="s">
        <v>4715</v>
      </c>
      <c r="B236" s="138" t="s">
        <v>4167</v>
      </c>
      <c r="C236" s="138" t="s">
        <v>17</v>
      </c>
      <c r="D236" s="138" t="s">
        <v>4718</v>
      </c>
      <c r="E236" s="138" t="s">
        <v>233</v>
      </c>
      <c r="F236" s="28">
        <v>1</v>
      </c>
      <c r="G236" t="s">
        <v>193</v>
      </c>
      <c r="H236" t="s">
        <v>194</v>
      </c>
      <c r="I236" t="s">
        <v>4746</v>
      </c>
      <c r="J236" t="s">
        <v>323</v>
      </c>
      <c r="K236">
        <v>18</v>
      </c>
      <c r="L236" s="28" t="s">
        <v>624</v>
      </c>
      <c r="M236" s="238" t="str">
        <f t="shared" si="3"/>
        <v>332203</v>
      </c>
      <c r="N236" t="s">
        <v>5057</v>
      </c>
      <c r="O236" t="s">
        <v>4963</v>
      </c>
      <c r="P236">
        <v>1812</v>
      </c>
      <c r="Q236">
        <v>1</v>
      </c>
      <c r="R236" t="s">
        <v>5044</v>
      </c>
      <c r="T236" t="s">
        <v>4714</v>
      </c>
    </row>
    <row r="237" spans="1:20" customFormat="1" x14ac:dyDescent="0.25">
      <c r="A237" s="138" t="s">
        <v>5006</v>
      </c>
      <c r="B237" s="138" t="s">
        <v>5018</v>
      </c>
      <c r="C237" s="138" t="s">
        <v>468</v>
      </c>
      <c r="D237" s="138" t="s">
        <v>4717</v>
      </c>
      <c r="E237" s="138" t="s">
        <v>192</v>
      </c>
      <c r="F237" s="28">
        <v>1</v>
      </c>
      <c r="G237" t="s">
        <v>193</v>
      </c>
      <c r="H237" t="s">
        <v>194</v>
      </c>
      <c r="I237" t="s">
        <v>4738</v>
      </c>
      <c r="J237" t="s">
        <v>196</v>
      </c>
      <c r="K237">
        <v>18</v>
      </c>
      <c r="L237" s="28" t="s">
        <v>469</v>
      </c>
      <c r="M237" s="238" t="str">
        <f t="shared" si="3"/>
        <v>243303</v>
      </c>
      <c r="N237" t="s">
        <v>5019</v>
      </c>
      <c r="O237" t="s">
        <v>5020</v>
      </c>
      <c r="P237">
        <v>1863</v>
      </c>
      <c r="Q237">
        <v>1</v>
      </c>
      <c r="T237" t="s">
        <v>4714</v>
      </c>
    </row>
    <row r="238" spans="1:20" customFormat="1" x14ac:dyDescent="0.25">
      <c r="A238" s="138" t="s">
        <v>258</v>
      </c>
      <c r="B238" s="138" t="s">
        <v>537</v>
      </c>
      <c r="C238" s="138" t="s">
        <v>778</v>
      </c>
      <c r="D238" s="138" t="s">
        <v>4717</v>
      </c>
      <c r="E238" s="138" t="s">
        <v>192</v>
      </c>
      <c r="F238" s="28">
        <v>1</v>
      </c>
      <c r="G238" t="s">
        <v>193</v>
      </c>
      <c r="H238" t="s">
        <v>194</v>
      </c>
      <c r="I238" t="s">
        <v>4738</v>
      </c>
      <c r="J238" t="s">
        <v>962</v>
      </c>
      <c r="K238">
        <v>18</v>
      </c>
      <c r="L238" s="28" t="s">
        <v>779</v>
      </c>
      <c r="M238" s="238" t="str">
        <f t="shared" si="3"/>
        <v>524902</v>
      </c>
      <c r="N238" t="s">
        <v>5523</v>
      </c>
      <c r="O238" t="s">
        <v>5142</v>
      </c>
      <c r="P238">
        <v>1806</v>
      </c>
      <c r="Q238">
        <v>1</v>
      </c>
      <c r="T238" t="s">
        <v>4714</v>
      </c>
    </row>
    <row r="239" spans="1:20" customFormat="1" x14ac:dyDescent="0.25">
      <c r="A239" s="138" t="s">
        <v>919</v>
      </c>
      <c r="B239" s="138" t="s">
        <v>1200</v>
      </c>
      <c r="C239" s="138" t="s">
        <v>4966</v>
      </c>
      <c r="D239" s="138" t="s">
        <v>4717</v>
      </c>
      <c r="E239" s="138" t="s">
        <v>192</v>
      </c>
      <c r="F239" s="28">
        <v>1</v>
      </c>
      <c r="G239" t="s">
        <v>193</v>
      </c>
      <c r="H239" t="s">
        <v>194</v>
      </c>
      <c r="I239" t="s">
        <v>4738</v>
      </c>
      <c r="J239" t="s">
        <v>210</v>
      </c>
      <c r="K239">
        <v>18</v>
      </c>
      <c r="L239" s="28" t="s">
        <v>405</v>
      </c>
      <c r="M239" s="238" t="str">
        <f t="shared" si="3"/>
        <v>241304</v>
      </c>
      <c r="N239" t="s">
        <v>4968</v>
      </c>
      <c r="O239" t="s">
        <v>4737</v>
      </c>
      <c r="P239">
        <v>1863.1811</v>
      </c>
      <c r="Q239">
        <v>2</v>
      </c>
      <c r="T239" t="s">
        <v>4714</v>
      </c>
    </row>
    <row r="240" spans="1:20" customFormat="1" x14ac:dyDescent="0.25">
      <c r="A240" s="138" t="s">
        <v>919</v>
      </c>
      <c r="B240" s="138" t="s">
        <v>4815</v>
      </c>
      <c r="C240" s="138" t="s">
        <v>2771</v>
      </c>
      <c r="D240" s="138" t="s">
        <v>4717</v>
      </c>
      <c r="E240" s="138" t="s">
        <v>192</v>
      </c>
      <c r="F240" s="28">
        <v>1</v>
      </c>
      <c r="G240" t="s">
        <v>193</v>
      </c>
      <c r="H240" t="s">
        <v>194</v>
      </c>
      <c r="I240" t="s">
        <v>4720</v>
      </c>
      <c r="J240" t="s">
        <v>210</v>
      </c>
      <c r="K240">
        <v>18</v>
      </c>
      <c r="L240" s="28" t="s">
        <v>4816</v>
      </c>
      <c r="M240" s="238" t="str">
        <f t="shared" si="3"/>
        <v>331403</v>
      </c>
      <c r="N240" t="s">
        <v>4817</v>
      </c>
      <c r="O240" t="s">
        <v>4775</v>
      </c>
      <c r="P240">
        <v>1863</v>
      </c>
      <c r="Q240">
        <v>1</v>
      </c>
      <c r="T240" t="s">
        <v>4714</v>
      </c>
    </row>
    <row r="241" spans="1:21" customFormat="1" x14ac:dyDescent="0.25">
      <c r="A241" s="138" t="s">
        <v>4602</v>
      </c>
      <c r="B241" s="138" t="s">
        <v>5500</v>
      </c>
      <c r="C241" s="138" t="s">
        <v>822</v>
      </c>
      <c r="D241" s="138" t="s">
        <v>4717</v>
      </c>
      <c r="E241" s="138" t="s">
        <v>217</v>
      </c>
      <c r="F241" s="27">
        <v>0</v>
      </c>
      <c r="G241" s="197" t="s">
        <v>194</v>
      </c>
      <c r="H241" t="s">
        <v>193</v>
      </c>
      <c r="I241" t="s">
        <v>4720</v>
      </c>
      <c r="J241" t="s">
        <v>2671</v>
      </c>
      <c r="K241">
        <v>18</v>
      </c>
      <c r="L241" s="28" t="s">
        <v>823</v>
      </c>
      <c r="M241" s="238" t="str">
        <f t="shared" si="3"/>
        <v>741103</v>
      </c>
      <c r="N241" t="s">
        <v>5501</v>
      </c>
      <c r="O241" t="s">
        <v>4709</v>
      </c>
      <c r="Q241">
        <v>0</v>
      </c>
      <c r="R241" t="s">
        <v>5502</v>
      </c>
      <c r="S241" t="s">
        <v>5503</v>
      </c>
      <c r="T241" t="s">
        <v>4714</v>
      </c>
      <c r="U241" s="25" t="s">
        <v>5761</v>
      </c>
    </row>
    <row r="242" spans="1:21" customFormat="1" x14ac:dyDescent="0.25">
      <c r="A242" s="138" t="s">
        <v>4602</v>
      </c>
      <c r="B242" s="138" t="s">
        <v>4895</v>
      </c>
      <c r="C242" s="138" t="s">
        <v>4896</v>
      </c>
      <c r="D242" s="138" t="s">
        <v>4717</v>
      </c>
      <c r="E242" s="138" t="s">
        <v>217</v>
      </c>
      <c r="F242" s="27">
        <v>0</v>
      </c>
      <c r="G242" s="197" t="s">
        <v>194</v>
      </c>
      <c r="H242" t="s">
        <v>193</v>
      </c>
      <c r="I242" t="s">
        <v>4720</v>
      </c>
      <c r="J242" t="s">
        <v>4897</v>
      </c>
      <c r="K242">
        <v>18</v>
      </c>
      <c r="L242" s="28" t="s">
        <v>2538</v>
      </c>
      <c r="M242" s="238" t="str">
        <f t="shared" si="3"/>
        <v>911207</v>
      </c>
      <c r="N242" t="s">
        <v>4898</v>
      </c>
      <c r="O242" t="s">
        <v>4746</v>
      </c>
      <c r="Q242">
        <v>0</v>
      </c>
      <c r="R242" t="s">
        <v>4899</v>
      </c>
      <c r="S242" t="s">
        <v>4900</v>
      </c>
      <c r="T242" t="s">
        <v>4714</v>
      </c>
      <c r="U242" s="25" t="s">
        <v>5761</v>
      </c>
    </row>
    <row r="243" spans="1:21" customFormat="1" x14ac:dyDescent="0.25">
      <c r="A243" s="138" t="s">
        <v>5426</v>
      </c>
      <c r="B243" s="138" t="s">
        <v>5427</v>
      </c>
      <c r="C243" s="138" t="s">
        <v>935</v>
      </c>
      <c r="D243" s="138" t="s">
        <v>4717</v>
      </c>
      <c r="E243" s="138" t="s">
        <v>192</v>
      </c>
      <c r="F243" s="28">
        <v>1</v>
      </c>
      <c r="G243" t="s">
        <v>193</v>
      </c>
      <c r="H243" t="s">
        <v>194</v>
      </c>
      <c r="I243" t="s">
        <v>4720</v>
      </c>
      <c r="J243" t="s">
        <v>276</v>
      </c>
      <c r="K243">
        <v>18</v>
      </c>
      <c r="L243" s="28" t="s">
        <v>936</v>
      </c>
      <c r="M243" s="238" t="str">
        <f t="shared" si="3"/>
        <v>213205</v>
      </c>
      <c r="N243" t="s">
        <v>5428</v>
      </c>
      <c r="O243" t="s">
        <v>4753</v>
      </c>
      <c r="P243">
        <v>1803</v>
      </c>
      <c r="Q243">
        <v>1</v>
      </c>
      <c r="T243" t="s">
        <v>4714</v>
      </c>
    </row>
    <row r="244" spans="1:21" customFormat="1" x14ac:dyDescent="0.25">
      <c r="A244" s="138" t="s">
        <v>1201</v>
      </c>
      <c r="B244" s="138" t="s">
        <v>4830</v>
      </c>
      <c r="C244" s="138" t="s">
        <v>39</v>
      </c>
      <c r="D244" s="138" t="s">
        <v>4717</v>
      </c>
      <c r="E244" s="138" t="s">
        <v>233</v>
      </c>
      <c r="F244" s="28">
        <v>1</v>
      </c>
      <c r="G244" t="s">
        <v>193</v>
      </c>
      <c r="H244" t="s">
        <v>194</v>
      </c>
      <c r="I244" t="s">
        <v>4720</v>
      </c>
      <c r="J244" t="s">
        <v>210</v>
      </c>
      <c r="K244">
        <v>18</v>
      </c>
      <c r="L244" s="28" t="s">
        <v>551</v>
      </c>
      <c r="M244" s="238" t="str">
        <f t="shared" si="3"/>
        <v>311204</v>
      </c>
      <c r="N244" t="s">
        <v>4831</v>
      </c>
      <c r="O244" t="s">
        <v>4775</v>
      </c>
      <c r="P244">
        <v>1863</v>
      </c>
      <c r="Q244">
        <v>1</v>
      </c>
      <c r="R244" t="s">
        <v>4832</v>
      </c>
      <c r="S244" t="s">
        <v>4833</v>
      </c>
      <c r="T244" t="s">
        <v>4714</v>
      </c>
    </row>
    <row r="245" spans="1:21" customFormat="1" x14ac:dyDescent="0.25">
      <c r="A245" s="138" t="s">
        <v>1201</v>
      </c>
      <c r="B245" s="138" t="s">
        <v>4803</v>
      </c>
      <c r="C245" s="138" t="s">
        <v>554</v>
      </c>
      <c r="D245" s="138" t="s">
        <v>4717</v>
      </c>
      <c r="E245" s="138" t="s">
        <v>233</v>
      </c>
      <c r="F245" s="28">
        <v>1</v>
      </c>
      <c r="G245" t="s">
        <v>193</v>
      </c>
      <c r="H245" t="s">
        <v>194</v>
      </c>
      <c r="I245" t="s">
        <v>4720</v>
      </c>
      <c r="J245" t="s">
        <v>210</v>
      </c>
      <c r="K245">
        <v>18</v>
      </c>
      <c r="L245" s="28" t="s">
        <v>555</v>
      </c>
      <c r="M245" s="238" t="str">
        <f t="shared" si="3"/>
        <v>311303</v>
      </c>
      <c r="N245" t="s">
        <v>4804</v>
      </c>
      <c r="O245" t="s">
        <v>4708</v>
      </c>
      <c r="P245">
        <v>1863</v>
      </c>
      <c r="Q245">
        <v>1</v>
      </c>
      <c r="R245" t="s">
        <v>4805</v>
      </c>
      <c r="S245" t="s">
        <v>4806</v>
      </c>
      <c r="T245" t="s">
        <v>4714</v>
      </c>
    </row>
    <row r="246" spans="1:21" customFormat="1" x14ac:dyDescent="0.25">
      <c r="A246" s="138" t="s">
        <v>4391</v>
      </c>
      <c r="B246" s="138" t="s">
        <v>607</v>
      </c>
      <c r="C246" s="138" t="s">
        <v>86</v>
      </c>
      <c r="D246" s="138" t="s">
        <v>4717</v>
      </c>
      <c r="E246" s="138" t="s">
        <v>192</v>
      </c>
      <c r="F246" s="28">
        <v>1</v>
      </c>
      <c r="G246" t="s">
        <v>193</v>
      </c>
      <c r="H246" t="s">
        <v>194</v>
      </c>
      <c r="I246" t="s">
        <v>4720</v>
      </c>
      <c r="J246" t="s">
        <v>210</v>
      </c>
      <c r="K246">
        <v>18</v>
      </c>
      <c r="L246" s="28" t="s">
        <v>1107</v>
      </c>
      <c r="M246" s="238" t="str">
        <f t="shared" si="3"/>
        <v>121101</v>
      </c>
      <c r="N246" t="s">
        <v>5494</v>
      </c>
      <c r="O246" t="s">
        <v>4858</v>
      </c>
      <c r="P246">
        <v>1863</v>
      </c>
      <c r="Q246">
        <v>1</v>
      </c>
      <c r="T246" t="s">
        <v>4714</v>
      </c>
    </row>
    <row r="247" spans="1:21" customFormat="1" x14ac:dyDescent="0.25">
      <c r="A247" s="138" t="s">
        <v>321</v>
      </c>
      <c r="B247" s="138" t="s">
        <v>5387</v>
      </c>
      <c r="C247" s="138" t="s">
        <v>227</v>
      </c>
      <c r="D247" s="138" t="s">
        <v>4717</v>
      </c>
      <c r="E247" s="138" t="s">
        <v>192</v>
      </c>
      <c r="F247" s="28">
        <v>1</v>
      </c>
      <c r="G247" t="s">
        <v>193</v>
      </c>
      <c r="H247" t="s">
        <v>194</v>
      </c>
      <c r="I247" t="s">
        <v>4718</v>
      </c>
      <c r="J247" t="s">
        <v>323</v>
      </c>
      <c r="K247">
        <v>18</v>
      </c>
      <c r="L247" s="28" t="s">
        <v>229</v>
      </c>
      <c r="M247" s="238" t="str">
        <f t="shared" si="3"/>
        <v>132401</v>
      </c>
      <c r="N247" t="s">
        <v>5388</v>
      </c>
      <c r="O247" t="s">
        <v>5020</v>
      </c>
      <c r="P247">
        <v>1812</v>
      </c>
      <c r="Q247">
        <v>1</v>
      </c>
      <c r="T247" t="s">
        <v>4714</v>
      </c>
    </row>
    <row r="248" spans="1:21" customFormat="1" x14ac:dyDescent="0.25">
      <c r="A248" s="138" t="s">
        <v>4994</v>
      </c>
      <c r="B248" s="138" t="s">
        <v>270</v>
      </c>
      <c r="C248" s="138" t="s">
        <v>35</v>
      </c>
      <c r="D248" s="138" t="s">
        <v>4717</v>
      </c>
      <c r="E248" s="138" t="s">
        <v>192</v>
      </c>
      <c r="F248" s="28">
        <v>1</v>
      </c>
      <c r="G248" t="s">
        <v>193</v>
      </c>
      <c r="H248" t="s">
        <v>194</v>
      </c>
      <c r="I248" t="s">
        <v>4720</v>
      </c>
      <c r="J248" t="s">
        <v>276</v>
      </c>
      <c r="K248">
        <v>18</v>
      </c>
      <c r="L248" s="28" t="s">
        <v>207</v>
      </c>
      <c r="M248" s="238" t="str">
        <f t="shared" si="3"/>
        <v>122106</v>
      </c>
      <c r="N248" t="s">
        <v>4995</v>
      </c>
      <c r="O248" t="s">
        <v>4709</v>
      </c>
      <c r="P248" t="s">
        <v>4996</v>
      </c>
      <c r="Q248">
        <v>19</v>
      </c>
      <c r="T248" t="s">
        <v>4714</v>
      </c>
    </row>
    <row r="249" spans="1:21" customFormat="1" x14ac:dyDescent="0.25">
      <c r="A249" s="138" t="s">
        <v>5175</v>
      </c>
      <c r="B249" s="138" t="s">
        <v>5176</v>
      </c>
      <c r="C249" s="138" t="s">
        <v>113</v>
      </c>
      <c r="D249" s="138" t="s">
        <v>4717</v>
      </c>
      <c r="E249" s="138" t="s">
        <v>192</v>
      </c>
      <c r="F249" s="28">
        <v>1</v>
      </c>
      <c r="G249" t="s">
        <v>193</v>
      </c>
      <c r="H249" t="s">
        <v>194</v>
      </c>
      <c r="I249" t="s">
        <v>4718</v>
      </c>
      <c r="J249" t="s">
        <v>276</v>
      </c>
      <c r="K249">
        <v>18</v>
      </c>
      <c r="L249" s="28" t="s">
        <v>465</v>
      </c>
      <c r="M249" s="238" t="str">
        <f t="shared" si="3"/>
        <v>243302</v>
      </c>
      <c r="N249" t="s">
        <v>5177</v>
      </c>
      <c r="O249" t="s">
        <v>5020</v>
      </c>
      <c r="P249" t="s">
        <v>5178</v>
      </c>
      <c r="Q249">
        <v>7</v>
      </c>
      <c r="T249" t="s">
        <v>4714</v>
      </c>
    </row>
    <row r="250" spans="1:21" customFormat="1" x14ac:dyDescent="0.25">
      <c r="A250" s="138" t="s">
        <v>5518</v>
      </c>
      <c r="B250" s="138" t="s">
        <v>5519</v>
      </c>
      <c r="C250" s="138" t="s">
        <v>778</v>
      </c>
      <c r="D250" s="138" t="s">
        <v>4717</v>
      </c>
      <c r="E250" s="138" t="s">
        <v>192</v>
      </c>
      <c r="F250" s="28">
        <v>1</v>
      </c>
      <c r="G250" t="s">
        <v>193</v>
      </c>
      <c r="H250" t="s">
        <v>194</v>
      </c>
      <c r="I250" t="s">
        <v>4718</v>
      </c>
      <c r="J250" t="s">
        <v>276</v>
      </c>
      <c r="K250">
        <v>18</v>
      </c>
      <c r="L250" s="28" t="s">
        <v>779</v>
      </c>
      <c r="M250" s="238" t="str">
        <f t="shared" si="3"/>
        <v>524902</v>
      </c>
      <c r="N250" t="s">
        <v>5520</v>
      </c>
      <c r="O250" t="s">
        <v>4720</v>
      </c>
      <c r="P250" t="s">
        <v>5521</v>
      </c>
      <c r="Q250">
        <v>3</v>
      </c>
      <c r="T250" t="s">
        <v>4714</v>
      </c>
    </row>
    <row r="251" spans="1:21" customFormat="1" x14ac:dyDescent="0.25">
      <c r="A251" s="138" t="s">
        <v>5527</v>
      </c>
      <c r="B251" s="138" t="s">
        <v>778</v>
      </c>
      <c r="C251" s="138" t="s">
        <v>778</v>
      </c>
      <c r="D251" s="138" t="s">
        <v>4717</v>
      </c>
      <c r="E251" s="138" t="s">
        <v>233</v>
      </c>
      <c r="F251" s="28">
        <v>1</v>
      </c>
      <c r="G251" t="s">
        <v>193</v>
      </c>
      <c r="H251" t="s">
        <v>194</v>
      </c>
      <c r="I251" t="s">
        <v>4738</v>
      </c>
      <c r="J251" t="s">
        <v>210</v>
      </c>
      <c r="K251">
        <v>18</v>
      </c>
      <c r="L251" s="28" t="s">
        <v>779</v>
      </c>
      <c r="M251" s="238" t="str">
        <f t="shared" si="3"/>
        <v>524902</v>
      </c>
      <c r="N251" t="s">
        <v>5528</v>
      </c>
      <c r="O251" t="s">
        <v>4753</v>
      </c>
      <c r="P251">
        <v>1863</v>
      </c>
      <c r="Q251">
        <v>1</v>
      </c>
      <c r="R251" t="s">
        <v>5529</v>
      </c>
      <c r="S251" t="s">
        <v>5530</v>
      </c>
      <c r="T251" t="s">
        <v>4714</v>
      </c>
    </row>
    <row r="252" spans="1:21" customFormat="1" x14ac:dyDescent="0.25">
      <c r="A252" s="138" t="s">
        <v>4726</v>
      </c>
      <c r="B252" s="138" t="s">
        <v>4332</v>
      </c>
      <c r="C252" s="138" t="s">
        <v>4090</v>
      </c>
      <c r="D252" s="138" t="s">
        <v>4717</v>
      </c>
      <c r="E252" s="138" t="s">
        <v>233</v>
      </c>
      <c r="F252" s="28">
        <v>1</v>
      </c>
      <c r="G252" t="s">
        <v>193</v>
      </c>
      <c r="H252" t="s">
        <v>194</v>
      </c>
      <c r="I252" t="s">
        <v>4720</v>
      </c>
      <c r="J252" t="s">
        <v>4727</v>
      </c>
      <c r="K252">
        <v>18</v>
      </c>
      <c r="L252" s="28" t="s">
        <v>4091</v>
      </c>
      <c r="M252" s="238" t="str">
        <f t="shared" si="3"/>
        <v>421403</v>
      </c>
      <c r="N252" t="s">
        <v>4728</v>
      </c>
      <c r="O252" t="s">
        <v>4718</v>
      </c>
      <c r="P252" t="s">
        <v>4729</v>
      </c>
      <c r="Q252">
        <v>15</v>
      </c>
      <c r="R252" t="s">
        <v>4730</v>
      </c>
      <c r="S252" t="s">
        <v>4731</v>
      </c>
      <c r="T252" t="s">
        <v>4714</v>
      </c>
    </row>
    <row r="253" spans="1:21" customFormat="1" x14ac:dyDescent="0.25">
      <c r="A253" s="138" t="s">
        <v>415</v>
      </c>
      <c r="B253" s="138" t="s">
        <v>537</v>
      </c>
      <c r="C253" s="138" t="s">
        <v>778</v>
      </c>
      <c r="D253" s="138" t="s">
        <v>4717</v>
      </c>
      <c r="E253" s="138" t="s">
        <v>192</v>
      </c>
      <c r="F253" s="28">
        <v>1</v>
      </c>
      <c r="G253" t="s">
        <v>193</v>
      </c>
      <c r="H253" t="s">
        <v>194</v>
      </c>
      <c r="I253" t="s">
        <v>4738</v>
      </c>
      <c r="J253" t="s">
        <v>367</v>
      </c>
      <c r="K253">
        <v>18</v>
      </c>
      <c r="L253" s="28" t="s">
        <v>779</v>
      </c>
      <c r="M253" s="238" t="str">
        <f t="shared" si="3"/>
        <v>524902</v>
      </c>
      <c r="N253" t="s">
        <v>5524</v>
      </c>
      <c r="O253" t="s">
        <v>4775</v>
      </c>
      <c r="P253">
        <v>1805</v>
      </c>
      <c r="Q253">
        <v>1</v>
      </c>
      <c r="T253" t="s">
        <v>4714</v>
      </c>
    </row>
    <row r="254" spans="1:21" customFormat="1" x14ac:dyDescent="0.25">
      <c r="A254" s="138" t="s">
        <v>415</v>
      </c>
      <c r="B254" s="138" t="s">
        <v>404</v>
      </c>
      <c r="C254" s="138" t="s">
        <v>4966</v>
      </c>
      <c r="D254" s="138" t="s">
        <v>4717</v>
      </c>
      <c r="E254" s="138" t="s">
        <v>192</v>
      </c>
      <c r="F254" s="28">
        <v>1</v>
      </c>
      <c r="G254" t="s">
        <v>193</v>
      </c>
      <c r="H254" t="s">
        <v>194</v>
      </c>
      <c r="I254" t="s">
        <v>4718</v>
      </c>
      <c r="J254" t="s">
        <v>316</v>
      </c>
      <c r="K254">
        <v>18</v>
      </c>
      <c r="L254" s="28" t="s">
        <v>405</v>
      </c>
      <c r="M254" s="238" t="str">
        <f t="shared" si="3"/>
        <v>241304</v>
      </c>
      <c r="N254" t="s">
        <v>4967</v>
      </c>
      <c r="O254" t="s">
        <v>4775</v>
      </c>
      <c r="P254">
        <v>1818</v>
      </c>
      <c r="Q254">
        <v>1</v>
      </c>
      <c r="T254" t="s">
        <v>4714</v>
      </c>
    </row>
    <row r="255" spans="1:21" customFormat="1" x14ac:dyDescent="0.25">
      <c r="A255" s="138" t="s">
        <v>5267</v>
      </c>
      <c r="B255" s="138" t="s">
        <v>5268</v>
      </c>
      <c r="C255" s="138" t="s">
        <v>67</v>
      </c>
      <c r="D255" s="138" t="s">
        <v>4717</v>
      </c>
      <c r="E255" s="138" t="s">
        <v>233</v>
      </c>
      <c r="F255" s="28">
        <v>1</v>
      </c>
      <c r="G255" t="s">
        <v>193</v>
      </c>
      <c r="H255" t="s">
        <v>194</v>
      </c>
      <c r="I255" t="s">
        <v>4720</v>
      </c>
      <c r="J255" t="s">
        <v>210</v>
      </c>
      <c r="K255">
        <v>18</v>
      </c>
      <c r="L255" s="28" t="s">
        <v>709</v>
      </c>
      <c r="M255" s="238" t="str">
        <f t="shared" si="3"/>
        <v>432103</v>
      </c>
      <c r="N255" t="s">
        <v>5269</v>
      </c>
      <c r="O255" t="s">
        <v>4753</v>
      </c>
      <c r="P255">
        <v>1863</v>
      </c>
      <c r="Q255">
        <v>1</v>
      </c>
      <c r="R255" t="s">
        <v>5270</v>
      </c>
      <c r="S255" t="s">
        <v>5271</v>
      </c>
      <c r="T255" t="s">
        <v>4714</v>
      </c>
    </row>
    <row r="256" spans="1:21" customFormat="1" x14ac:dyDescent="0.25">
      <c r="A256" s="138" t="s">
        <v>303</v>
      </c>
      <c r="B256" s="138" t="s">
        <v>304</v>
      </c>
      <c r="C256" s="138" t="s">
        <v>5440</v>
      </c>
      <c r="D256" s="138" t="s">
        <v>4717</v>
      </c>
      <c r="E256" s="138" t="s">
        <v>192</v>
      </c>
      <c r="F256" s="28">
        <v>1</v>
      </c>
      <c r="G256" t="s">
        <v>193</v>
      </c>
      <c r="H256" t="s">
        <v>194</v>
      </c>
      <c r="I256" t="s">
        <v>4720</v>
      </c>
      <c r="J256" t="s">
        <v>305</v>
      </c>
      <c r="K256">
        <v>18</v>
      </c>
      <c r="L256" s="28" t="s">
        <v>310</v>
      </c>
      <c r="M256" s="238" t="str">
        <f t="shared" si="3"/>
        <v>214404</v>
      </c>
      <c r="N256" t="s">
        <v>5442</v>
      </c>
      <c r="O256" t="s">
        <v>4753</v>
      </c>
      <c r="P256">
        <v>1814</v>
      </c>
      <c r="Q256">
        <v>1</v>
      </c>
      <c r="T256" t="s">
        <v>4714</v>
      </c>
    </row>
    <row r="257" spans="1:20" customFormat="1" x14ac:dyDescent="0.25">
      <c r="A257" s="138" t="s">
        <v>218</v>
      </c>
      <c r="B257" s="138" t="s">
        <v>5451</v>
      </c>
      <c r="C257" s="138" t="s">
        <v>354</v>
      </c>
      <c r="D257" s="138" t="s">
        <v>4717</v>
      </c>
      <c r="E257" s="138" t="s">
        <v>192</v>
      </c>
      <c r="F257" s="28">
        <v>1</v>
      </c>
      <c r="G257" t="s">
        <v>193</v>
      </c>
      <c r="H257" t="s">
        <v>194</v>
      </c>
      <c r="I257" t="s">
        <v>4720</v>
      </c>
      <c r="J257" t="s">
        <v>747</v>
      </c>
      <c r="K257">
        <v>18</v>
      </c>
      <c r="L257" s="28" t="s">
        <v>355</v>
      </c>
      <c r="M257" s="238" t="str">
        <f t="shared" si="3"/>
        <v>215103</v>
      </c>
      <c r="N257" t="s">
        <v>5452</v>
      </c>
      <c r="O257" t="s">
        <v>4753</v>
      </c>
      <c r="P257">
        <v>1817</v>
      </c>
      <c r="Q257">
        <v>1</v>
      </c>
      <c r="T257" t="s">
        <v>4714</v>
      </c>
    </row>
    <row r="258" spans="1:20" customFormat="1" x14ac:dyDescent="0.25">
      <c r="A258" s="138" t="s">
        <v>5161</v>
      </c>
      <c r="B258" s="138" t="s">
        <v>5162</v>
      </c>
      <c r="C258" s="138" t="s">
        <v>706</v>
      </c>
      <c r="D258" s="138" t="s">
        <v>4717</v>
      </c>
      <c r="E258" s="138" t="s">
        <v>192</v>
      </c>
      <c r="F258" s="28">
        <v>5</v>
      </c>
      <c r="G258" t="s">
        <v>193</v>
      </c>
      <c r="H258" t="s">
        <v>194</v>
      </c>
      <c r="I258" t="s">
        <v>4718</v>
      </c>
      <c r="J258" t="s">
        <v>210</v>
      </c>
      <c r="K258">
        <v>18</v>
      </c>
      <c r="L258" s="28" t="s">
        <v>707</v>
      </c>
      <c r="M258" s="238" t="str">
        <f t="shared" si="3"/>
        <v>422201</v>
      </c>
      <c r="N258" t="s">
        <v>5163</v>
      </c>
      <c r="O258" t="s">
        <v>4775</v>
      </c>
      <c r="P258">
        <v>1863</v>
      </c>
      <c r="Q258">
        <v>1</v>
      </c>
      <c r="T258" t="s">
        <v>5109</v>
      </c>
    </row>
    <row r="259" spans="1:20" customFormat="1" x14ac:dyDescent="0.25">
      <c r="A259" s="138" t="s">
        <v>5024</v>
      </c>
      <c r="B259" s="138" t="s">
        <v>5025</v>
      </c>
      <c r="C259" s="138" t="s">
        <v>468</v>
      </c>
      <c r="D259" s="138" t="s">
        <v>4717</v>
      </c>
      <c r="E259" s="138" t="s">
        <v>192</v>
      </c>
      <c r="F259" s="28">
        <v>12</v>
      </c>
      <c r="G259" t="s">
        <v>193</v>
      </c>
      <c r="H259" t="s">
        <v>194</v>
      </c>
      <c r="I259" t="s">
        <v>4718</v>
      </c>
      <c r="J259" t="s">
        <v>196</v>
      </c>
      <c r="K259">
        <v>18</v>
      </c>
      <c r="L259" s="28" t="s">
        <v>469</v>
      </c>
      <c r="M259" s="238" t="str">
        <f t="shared" si="3"/>
        <v>243303</v>
      </c>
      <c r="N259" t="s">
        <v>5026</v>
      </c>
      <c r="O259" t="s">
        <v>4775</v>
      </c>
      <c r="Q259">
        <v>25</v>
      </c>
      <c r="T259" t="s">
        <v>4714</v>
      </c>
    </row>
    <row r="260" spans="1:20" customFormat="1" x14ac:dyDescent="0.25">
      <c r="A260" s="138" t="s">
        <v>5027</v>
      </c>
      <c r="B260" s="138" t="s">
        <v>5028</v>
      </c>
      <c r="C260" s="138" t="s">
        <v>468</v>
      </c>
      <c r="D260" s="138" t="s">
        <v>4717</v>
      </c>
      <c r="E260" s="138" t="s">
        <v>192</v>
      </c>
      <c r="F260" s="28">
        <v>1</v>
      </c>
      <c r="G260" t="s">
        <v>193</v>
      </c>
      <c r="H260" t="s">
        <v>194</v>
      </c>
      <c r="I260" t="s">
        <v>4720</v>
      </c>
      <c r="J260" t="s">
        <v>210</v>
      </c>
      <c r="K260">
        <v>18</v>
      </c>
      <c r="L260" s="28" t="s">
        <v>469</v>
      </c>
      <c r="M260" s="238" t="str">
        <f t="shared" ref="M260:M323" si="4">MID(L260,8,6)</f>
        <v>243303</v>
      </c>
      <c r="N260" t="s">
        <v>5029</v>
      </c>
      <c r="O260" t="s">
        <v>5020</v>
      </c>
      <c r="P260">
        <v>1863</v>
      </c>
      <c r="Q260">
        <v>1</v>
      </c>
      <c r="T260" t="s">
        <v>4714</v>
      </c>
    </row>
    <row r="261" spans="1:20" customFormat="1" x14ac:dyDescent="0.25">
      <c r="A261" s="138" t="s">
        <v>1748</v>
      </c>
      <c r="B261" s="138" t="s">
        <v>2287</v>
      </c>
      <c r="C261" s="138" t="s">
        <v>102</v>
      </c>
      <c r="D261" s="138" t="s">
        <v>4717</v>
      </c>
      <c r="E261" s="138" t="s">
        <v>192</v>
      </c>
      <c r="F261" s="28">
        <v>1</v>
      </c>
      <c r="G261" t="s">
        <v>193</v>
      </c>
      <c r="H261" t="s">
        <v>194</v>
      </c>
      <c r="I261" t="s">
        <v>4718</v>
      </c>
      <c r="J261" t="s">
        <v>210</v>
      </c>
      <c r="K261">
        <v>18</v>
      </c>
      <c r="L261" s="28" t="s">
        <v>1890</v>
      </c>
      <c r="M261" s="238" t="str">
        <f t="shared" si="4"/>
        <v>216601</v>
      </c>
      <c r="N261" t="s">
        <v>5493</v>
      </c>
      <c r="O261" t="s">
        <v>5020</v>
      </c>
      <c r="P261">
        <v>1863</v>
      </c>
      <c r="Q261">
        <v>1</v>
      </c>
      <c r="T261" t="s">
        <v>4714</v>
      </c>
    </row>
    <row r="262" spans="1:20" customFormat="1" x14ac:dyDescent="0.25">
      <c r="A262" s="138" t="s">
        <v>1651</v>
      </c>
      <c r="B262" s="138" t="s">
        <v>353</v>
      </c>
      <c r="C262" s="138" t="s">
        <v>227</v>
      </c>
      <c r="D262" s="138" t="s">
        <v>4717</v>
      </c>
      <c r="E262" s="138" t="s">
        <v>192</v>
      </c>
      <c r="F262" s="28">
        <v>1</v>
      </c>
      <c r="G262" t="s">
        <v>193</v>
      </c>
      <c r="H262" t="s">
        <v>194</v>
      </c>
      <c r="I262" t="s">
        <v>4720</v>
      </c>
      <c r="J262" t="s">
        <v>210</v>
      </c>
      <c r="K262">
        <v>18</v>
      </c>
      <c r="L262" s="28" t="s">
        <v>229</v>
      </c>
      <c r="M262" s="238" t="str">
        <f t="shared" si="4"/>
        <v>132401</v>
      </c>
      <c r="N262" t="s">
        <v>5389</v>
      </c>
      <c r="O262" t="s">
        <v>4753</v>
      </c>
      <c r="P262">
        <v>1863</v>
      </c>
      <c r="Q262">
        <v>1</v>
      </c>
      <c r="T262" t="s">
        <v>4714</v>
      </c>
    </row>
    <row r="263" spans="1:20" customFormat="1" x14ac:dyDescent="0.25">
      <c r="A263" s="138" t="s">
        <v>4823</v>
      </c>
      <c r="B263" s="138" t="s">
        <v>4824</v>
      </c>
      <c r="C263" s="138" t="s">
        <v>4825</v>
      </c>
      <c r="D263" s="138" t="s">
        <v>4717</v>
      </c>
      <c r="E263" s="138" t="s">
        <v>233</v>
      </c>
      <c r="F263" s="28">
        <v>1</v>
      </c>
      <c r="G263" t="s">
        <v>193</v>
      </c>
      <c r="H263" t="s">
        <v>194</v>
      </c>
      <c r="I263" t="s">
        <v>4720</v>
      </c>
      <c r="J263" t="s">
        <v>196</v>
      </c>
      <c r="K263">
        <v>18</v>
      </c>
      <c r="L263" s="28" t="s">
        <v>4826</v>
      </c>
      <c r="M263" s="238" t="str">
        <f t="shared" si="4"/>
        <v>311929</v>
      </c>
      <c r="N263" t="s">
        <v>4827</v>
      </c>
      <c r="O263" t="s">
        <v>4775</v>
      </c>
      <c r="Q263">
        <v>25</v>
      </c>
      <c r="R263" t="s">
        <v>4828</v>
      </c>
      <c r="S263" t="s">
        <v>4829</v>
      </c>
      <c r="T263" t="s">
        <v>4714</v>
      </c>
    </row>
    <row r="264" spans="1:20" customFormat="1" x14ac:dyDescent="0.25">
      <c r="A264" s="138" t="s">
        <v>4807</v>
      </c>
      <c r="B264" s="138" t="s">
        <v>2491</v>
      </c>
      <c r="C264" s="138" t="s">
        <v>554</v>
      </c>
      <c r="D264" s="138" t="s">
        <v>4717</v>
      </c>
      <c r="E264" s="138" t="s">
        <v>192</v>
      </c>
      <c r="F264" s="28">
        <v>1</v>
      </c>
      <c r="G264" t="s">
        <v>193</v>
      </c>
      <c r="H264" t="s">
        <v>194</v>
      </c>
      <c r="I264" t="s">
        <v>4720</v>
      </c>
      <c r="J264" t="s">
        <v>316</v>
      </c>
      <c r="K264">
        <v>18</v>
      </c>
      <c r="L264" s="28" t="s">
        <v>555</v>
      </c>
      <c r="M264" s="238" t="str">
        <f t="shared" si="4"/>
        <v>311303</v>
      </c>
      <c r="N264" t="s">
        <v>4808</v>
      </c>
      <c r="O264" t="s">
        <v>4753</v>
      </c>
      <c r="P264">
        <v>1818</v>
      </c>
      <c r="Q264">
        <v>1</v>
      </c>
      <c r="T264" t="s">
        <v>4714</v>
      </c>
    </row>
    <row r="265" spans="1:20" customFormat="1" x14ac:dyDescent="0.25">
      <c r="A265" s="138" t="s">
        <v>888</v>
      </c>
      <c r="B265" s="138" t="s">
        <v>67</v>
      </c>
      <c r="C265" s="138" t="s">
        <v>67</v>
      </c>
      <c r="D265" s="138" t="s">
        <v>4717</v>
      </c>
      <c r="E265" s="138" t="s">
        <v>217</v>
      </c>
      <c r="F265" s="28">
        <v>1</v>
      </c>
      <c r="G265" t="s">
        <v>193</v>
      </c>
      <c r="H265" t="s">
        <v>194</v>
      </c>
      <c r="I265" t="s">
        <v>4720</v>
      </c>
      <c r="J265" t="s">
        <v>385</v>
      </c>
      <c r="K265">
        <v>18</v>
      </c>
      <c r="L265" s="28" t="s">
        <v>709</v>
      </c>
      <c r="M265" s="238" t="str">
        <f t="shared" si="4"/>
        <v>432103</v>
      </c>
      <c r="N265" t="s">
        <v>5277</v>
      </c>
      <c r="O265" t="s">
        <v>5278</v>
      </c>
      <c r="P265">
        <v>1861</v>
      </c>
      <c r="Q265">
        <v>1</v>
      </c>
      <c r="R265" t="s">
        <v>5279</v>
      </c>
      <c r="S265" t="s">
        <v>5280</v>
      </c>
      <c r="T265" t="s">
        <v>4714</v>
      </c>
    </row>
    <row r="266" spans="1:20" customFormat="1" x14ac:dyDescent="0.25">
      <c r="A266" s="138" t="s">
        <v>888</v>
      </c>
      <c r="B266" s="138" t="s">
        <v>885</v>
      </c>
      <c r="C266" s="138" t="s">
        <v>886</v>
      </c>
      <c r="D266" s="138" t="s">
        <v>4717</v>
      </c>
      <c r="E266" s="138" t="s">
        <v>217</v>
      </c>
      <c r="F266" s="28">
        <v>1</v>
      </c>
      <c r="G266" t="s">
        <v>193</v>
      </c>
      <c r="H266" t="s">
        <v>194</v>
      </c>
      <c r="I266" t="s">
        <v>4720</v>
      </c>
      <c r="J266" t="s">
        <v>385</v>
      </c>
      <c r="K266">
        <v>18</v>
      </c>
      <c r="L266" s="28" t="s">
        <v>887</v>
      </c>
      <c r="M266" s="238" t="str">
        <f t="shared" si="4"/>
        <v>834401</v>
      </c>
      <c r="N266" t="s">
        <v>5398</v>
      </c>
      <c r="O266" t="s">
        <v>5278</v>
      </c>
      <c r="P266">
        <v>1861</v>
      </c>
      <c r="Q266">
        <v>1</v>
      </c>
      <c r="R266" t="s">
        <v>5399</v>
      </c>
      <c r="S266" t="s">
        <v>5400</v>
      </c>
      <c r="T266" t="s">
        <v>4714</v>
      </c>
    </row>
    <row r="267" spans="1:20" customFormat="1" x14ac:dyDescent="0.25">
      <c r="A267" s="138" t="s">
        <v>5317</v>
      </c>
      <c r="B267" s="138" t="s">
        <v>3929</v>
      </c>
      <c r="C267" s="138" t="s">
        <v>36</v>
      </c>
      <c r="D267" s="138" t="s">
        <v>4717</v>
      </c>
      <c r="E267" s="138" t="s">
        <v>192</v>
      </c>
      <c r="F267" s="28">
        <v>1</v>
      </c>
      <c r="G267" t="s">
        <v>193</v>
      </c>
      <c r="H267" t="s">
        <v>194</v>
      </c>
      <c r="I267" t="s">
        <v>4718</v>
      </c>
      <c r="J267" t="s">
        <v>210</v>
      </c>
      <c r="K267">
        <v>18</v>
      </c>
      <c r="L267" s="28" t="s">
        <v>609</v>
      </c>
      <c r="M267" s="238" t="str">
        <f t="shared" si="4"/>
        <v>331301</v>
      </c>
      <c r="N267" t="s">
        <v>5318</v>
      </c>
      <c r="O267" t="s">
        <v>5020</v>
      </c>
      <c r="P267">
        <v>1863</v>
      </c>
      <c r="Q267">
        <v>1</v>
      </c>
      <c r="T267" t="s">
        <v>4714</v>
      </c>
    </row>
    <row r="268" spans="1:20" customFormat="1" x14ac:dyDescent="0.25">
      <c r="A268" s="138" t="s">
        <v>4932</v>
      </c>
      <c r="B268" s="138" t="s">
        <v>3624</v>
      </c>
      <c r="C268" s="138" t="s">
        <v>43</v>
      </c>
      <c r="D268" s="138" t="s">
        <v>4717</v>
      </c>
      <c r="E268" s="138" t="s">
        <v>192</v>
      </c>
      <c r="F268" s="28">
        <v>1</v>
      </c>
      <c r="G268" t="s">
        <v>193</v>
      </c>
      <c r="H268" t="s">
        <v>194</v>
      </c>
      <c r="I268" t="s">
        <v>4720</v>
      </c>
      <c r="J268" t="s">
        <v>367</v>
      </c>
      <c r="K268">
        <v>18</v>
      </c>
      <c r="L268" s="28" t="s">
        <v>452</v>
      </c>
      <c r="M268" s="238" t="str">
        <f t="shared" si="4"/>
        <v>243106</v>
      </c>
      <c r="N268" t="s">
        <v>4933</v>
      </c>
      <c r="O268" t="s">
        <v>4753</v>
      </c>
      <c r="P268">
        <v>1805</v>
      </c>
      <c r="Q268">
        <v>1</v>
      </c>
      <c r="T268" t="s">
        <v>4714</v>
      </c>
    </row>
    <row r="269" spans="1:20" customFormat="1" x14ac:dyDescent="0.25">
      <c r="A269" s="138" t="s">
        <v>4809</v>
      </c>
      <c r="B269" s="138" t="s">
        <v>4810</v>
      </c>
      <c r="C269" s="138" t="s">
        <v>4811</v>
      </c>
      <c r="D269" s="138" t="s">
        <v>4717</v>
      </c>
      <c r="E269" s="138" t="s">
        <v>192</v>
      </c>
      <c r="F269" s="28">
        <v>1</v>
      </c>
      <c r="G269" t="s">
        <v>193</v>
      </c>
      <c r="H269" t="s">
        <v>194</v>
      </c>
      <c r="I269" t="s">
        <v>4738</v>
      </c>
      <c r="J269" t="s">
        <v>253</v>
      </c>
      <c r="K269">
        <v>18</v>
      </c>
      <c r="L269" s="28" t="s">
        <v>4812</v>
      </c>
      <c r="M269" s="238" t="str">
        <f t="shared" si="4"/>
        <v>321103</v>
      </c>
      <c r="N269" t="s">
        <v>4813</v>
      </c>
      <c r="O269" t="s">
        <v>4753</v>
      </c>
      <c r="P269">
        <v>1811</v>
      </c>
      <c r="Q269">
        <v>1</v>
      </c>
      <c r="T269" t="s">
        <v>4714</v>
      </c>
    </row>
    <row r="270" spans="1:20" customFormat="1" x14ac:dyDescent="0.25">
      <c r="A270" s="138" t="s">
        <v>5105</v>
      </c>
      <c r="B270" s="138" t="s">
        <v>5106</v>
      </c>
      <c r="C270" s="138" t="s">
        <v>10</v>
      </c>
      <c r="D270" s="138" t="s">
        <v>4717</v>
      </c>
      <c r="E270" s="138" t="s">
        <v>192</v>
      </c>
      <c r="F270" s="28">
        <v>1</v>
      </c>
      <c r="G270" t="s">
        <v>193</v>
      </c>
      <c r="H270" t="s">
        <v>194</v>
      </c>
      <c r="I270" t="s">
        <v>4720</v>
      </c>
      <c r="J270" t="s">
        <v>276</v>
      </c>
      <c r="K270">
        <v>18</v>
      </c>
      <c r="L270" s="28" t="s">
        <v>484</v>
      </c>
      <c r="M270" s="238" t="str">
        <f t="shared" si="4"/>
        <v>251401</v>
      </c>
      <c r="N270" t="s">
        <v>5107</v>
      </c>
      <c r="O270" t="s">
        <v>4723</v>
      </c>
      <c r="P270" t="s">
        <v>5108</v>
      </c>
      <c r="Q270">
        <v>5</v>
      </c>
      <c r="T270" t="s">
        <v>5109</v>
      </c>
    </row>
    <row r="271" spans="1:20" customFormat="1" x14ac:dyDescent="0.25">
      <c r="A271" s="138" t="s">
        <v>1976</v>
      </c>
      <c r="B271" s="138" t="s">
        <v>4938</v>
      </c>
      <c r="C271" s="138" t="s">
        <v>80</v>
      </c>
      <c r="D271" s="138" t="s">
        <v>4717</v>
      </c>
      <c r="E271" s="138" t="s">
        <v>192</v>
      </c>
      <c r="F271" s="28">
        <v>1</v>
      </c>
      <c r="G271" t="s">
        <v>193</v>
      </c>
      <c r="H271" t="s">
        <v>194</v>
      </c>
      <c r="I271" t="s">
        <v>4720</v>
      </c>
      <c r="J271" t="s">
        <v>210</v>
      </c>
      <c r="K271">
        <v>18</v>
      </c>
      <c r="L271" s="28" t="s">
        <v>474</v>
      </c>
      <c r="M271" s="238" t="str">
        <f t="shared" si="4"/>
        <v>243304</v>
      </c>
      <c r="N271" t="s">
        <v>4939</v>
      </c>
      <c r="O271" t="s">
        <v>4753</v>
      </c>
      <c r="P271">
        <v>1863</v>
      </c>
      <c r="Q271">
        <v>1</v>
      </c>
      <c r="T271" t="s">
        <v>4714</v>
      </c>
    </row>
    <row r="272" spans="1:20" customFormat="1" x14ac:dyDescent="0.25">
      <c r="A272" s="138" t="s">
        <v>5158</v>
      </c>
      <c r="B272" s="138" t="s">
        <v>5159</v>
      </c>
      <c r="C272" s="138" t="s">
        <v>706</v>
      </c>
      <c r="D272" s="138" t="s">
        <v>4717</v>
      </c>
      <c r="E272" s="138" t="s">
        <v>192</v>
      </c>
      <c r="F272" s="28">
        <v>1</v>
      </c>
      <c r="G272" t="s">
        <v>193</v>
      </c>
      <c r="H272" t="s">
        <v>194</v>
      </c>
      <c r="I272" t="s">
        <v>4718</v>
      </c>
      <c r="J272" t="s">
        <v>4751</v>
      </c>
      <c r="K272">
        <v>18</v>
      </c>
      <c r="L272" s="28" t="s">
        <v>707</v>
      </c>
      <c r="M272" s="238" t="str">
        <f t="shared" si="4"/>
        <v>422201</v>
      </c>
      <c r="N272" t="s">
        <v>5160</v>
      </c>
      <c r="O272" t="s">
        <v>4765</v>
      </c>
      <c r="P272">
        <v>1862</v>
      </c>
      <c r="Q272">
        <v>1</v>
      </c>
      <c r="T272" t="s">
        <v>4714</v>
      </c>
    </row>
    <row r="273" spans="1:21" customFormat="1" x14ac:dyDescent="0.25">
      <c r="A273" s="138" t="s">
        <v>1446</v>
      </c>
      <c r="B273" s="138" t="s">
        <v>3136</v>
      </c>
      <c r="C273" s="138" t="s">
        <v>5326</v>
      </c>
      <c r="D273" s="138" t="s">
        <v>4717</v>
      </c>
      <c r="E273" s="138" t="s">
        <v>192</v>
      </c>
      <c r="F273" s="28">
        <v>1</v>
      </c>
      <c r="G273" t="s">
        <v>193</v>
      </c>
      <c r="H273" t="s">
        <v>194</v>
      </c>
      <c r="I273" t="s">
        <v>4718</v>
      </c>
      <c r="J273" t="s">
        <v>672</v>
      </c>
      <c r="K273">
        <v>18</v>
      </c>
      <c r="L273" s="28" t="s">
        <v>584</v>
      </c>
      <c r="M273" s="238" t="str">
        <f t="shared" si="4"/>
        <v>311937</v>
      </c>
      <c r="N273" t="s">
        <v>5327</v>
      </c>
      <c r="O273" t="s">
        <v>4737</v>
      </c>
      <c r="P273">
        <v>1816</v>
      </c>
      <c r="Q273">
        <v>1</v>
      </c>
      <c r="T273" t="s">
        <v>4714</v>
      </c>
    </row>
    <row r="274" spans="1:21" customFormat="1" x14ac:dyDescent="0.25">
      <c r="A274" s="138" t="s">
        <v>5035</v>
      </c>
      <c r="B274" s="138" t="s">
        <v>632</v>
      </c>
      <c r="C274" s="138" t="s">
        <v>17</v>
      </c>
      <c r="D274" s="138" t="s">
        <v>4717</v>
      </c>
      <c r="E274" s="138" t="s">
        <v>192</v>
      </c>
      <c r="F274" s="28">
        <v>1</v>
      </c>
      <c r="G274" t="s">
        <v>193</v>
      </c>
      <c r="H274" t="s">
        <v>194</v>
      </c>
      <c r="I274" t="s">
        <v>4738</v>
      </c>
      <c r="J274" t="s">
        <v>210</v>
      </c>
      <c r="K274">
        <v>18</v>
      </c>
      <c r="L274" s="28" t="s">
        <v>624</v>
      </c>
      <c r="M274" s="238" t="str">
        <f t="shared" si="4"/>
        <v>332203</v>
      </c>
      <c r="N274" t="s">
        <v>5036</v>
      </c>
      <c r="O274" t="s">
        <v>4709</v>
      </c>
      <c r="P274">
        <v>1863</v>
      </c>
      <c r="Q274">
        <v>1</v>
      </c>
      <c r="T274" t="s">
        <v>4714</v>
      </c>
    </row>
    <row r="275" spans="1:21" customFormat="1" x14ac:dyDescent="0.25">
      <c r="A275" s="138" t="s">
        <v>2310</v>
      </c>
      <c r="B275" s="138" t="s">
        <v>1687</v>
      </c>
      <c r="C275" s="138" t="s">
        <v>566</v>
      </c>
      <c r="D275" s="138" t="s">
        <v>4717</v>
      </c>
      <c r="E275" s="138" t="s">
        <v>192</v>
      </c>
      <c r="F275" s="28">
        <v>1</v>
      </c>
      <c r="G275" t="s">
        <v>193</v>
      </c>
      <c r="H275" t="s">
        <v>194</v>
      </c>
      <c r="I275" t="s">
        <v>4718</v>
      </c>
      <c r="J275" t="s">
        <v>196</v>
      </c>
      <c r="K275">
        <v>18</v>
      </c>
      <c r="L275" s="28" t="s">
        <v>567</v>
      </c>
      <c r="M275" s="238" t="str">
        <f t="shared" si="4"/>
        <v>311504</v>
      </c>
      <c r="N275" t="s">
        <v>4774</v>
      </c>
      <c r="O275" t="s">
        <v>4775</v>
      </c>
      <c r="Q275">
        <v>25</v>
      </c>
      <c r="T275" t="s">
        <v>4714</v>
      </c>
    </row>
    <row r="276" spans="1:21" customFormat="1" x14ac:dyDescent="0.25">
      <c r="A276" s="138" t="s">
        <v>1147</v>
      </c>
      <c r="B276" s="138" t="s">
        <v>5172</v>
      </c>
      <c r="C276" s="138" t="s">
        <v>5173</v>
      </c>
      <c r="D276" s="138" t="s">
        <v>4717</v>
      </c>
      <c r="E276" s="138" t="s">
        <v>192</v>
      </c>
      <c r="F276" s="28">
        <v>1</v>
      </c>
      <c r="G276" t="s">
        <v>193</v>
      </c>
      <c r="H276" t="s">
        <v>194</v>
      </c>
      <c r="I276" t="s">
        <v>4720</v>
      </c>
      <c r="J276" t="s">
        <v>210</v>
      </c>
      <c r="K276">
        <v>18</v>
      </c>
      <c r="L276" s="28" t="s">
        <v>1150</v>
      </c>
      <c r="M276" s="238" t="str">
        <f t="shared" si="4"/>
        <v>244001</v>
      </c>
      <c r="N276" t="s">
        <v>5174</v>
      </c>
      <c r="O276" t="s">
        <v>4708</v>
      </c>
      <c r="P276">
        <v>1863</v>
      </c>
      <c r="Q276">
        <v>1</v>
      </c>
      <c r="T276" t="s">
        <v>4714</v>
      </c>
    </row>
    <row r="277" spans="1:21" customFormat="1" x14ac:dyDescent="0.25">
      <c r="A277" s="138" t="s">
        <v>4969</v>
      </c>
      <c r="B277" s="138" t="s">
        <v>4970</v>
      </c>
      <c r="C277" s="138" t="s">
        <v>4966</v>
      </c>
      <c r="D277" s="138" t="s">
        <v>4717</v>
      </c>
      <c r="E277" s="138" t="s">
        <v>192</v>
      </c>
      <c r="F277" s="28">
        <v>1</v>
      </c>
      <c r="G277" t="s">
        <v>193</v>
      </c>
      <c r="H277" t="s">
        <v>194</v>
      </c>
      <c r="I277" t="s">
        <v>4720</v>
      </c>
      <c r="J277" t="s">
        <v>276</v>
      </c>
      <c r="K277">
        <v>18</v>
      </c>
      <c r="L277" s="28" t="s">
        <v>405</v>
      </c>
      <c r="M277" s="238" t="str">
        <f t="shared" si="4"/>
        <v>241304</v>
      </c>
      <c r="N277" t="s">
        <v>4971</v>
      </c>
      <c r="O277" t="s">
        <v>4723</v>
      </c>
      <c r="P277" t="s">
        <v>4972</v>
      </c>
      <c r="Q277">
        <v>8</v>
      </c>
      <c r="T277" t="s">
        <v>4714</v>
      </c>
    </row>
    <row r="278" spans="1:21" customFormat="1" x14ac:dyDescent="0.25">
      <c r="A278" s="138" t="s">
        <v>5272</v>
      </c>
      <c r="B278" s="138" t="s">
        <v>5273</v>
      </c>
      <c r="C278" s="138" t="s">
        <v>67</v>
      </c>
      <c r="D278" s="138" t="s">
        <v>4717</v>
      </c>
      <c r="E278" s="138" t="s">
        <v>217</v>
      </c>
      <c r="F278" s="27">
        <v>0</v>
      </c>
      <c r="G278" s="197" t="s">
        <v>194</v>
      </c>
      <c r="H278" t="s">
        <v>193</v>
      </c>
      <c r="I278" t="s">
        <v>4720</v>
      </c>
      <c r="J278" t="s">
        <v>5274</v>
      </c>
      <c r="K278">
        <v>18</v>
      </c>
      <c r="L278" s="28" t="s">
        <v>709</v>
      </c>
      <c r="M278" s="238" t="str">
        <f t="shared" si="4"/>
        <v>432103</v>
      </c>
      <c r="N278" t="s">
        <v>5275</v>
      </c>
      <c r="O278" t="s">
        <v>4918</v>
      </c>
      <c r="Q278">
        <v>0</v>
      </c>
      <c r="R278" t="s">
        <v>4903</v>
      </c>
      <c r="S278" t="s">
        <v>5276</v>
      </c>
      <c r="T278" t="s">
        <v>4714</v>
      </c>
      <c r="U278" s="25" t="s">
        <v>5761</v>
      </c>
    </row>
    <row r="279" spans="1:21" customFormat="1" x14ac:dyDescent="0.25">
      <c r="A279" s="138" t="s">
        <v>4852</v>
      </c>
      <c r="B279" s="138" t="s">
        <v>8</v>
      </c>
      <c r="C279" s="138" t="s">
        <v>740</v>
      </c>
      <c r="D279" s="138" t="s">
        <v>4717</v>
      </c>
      <c r="E279" s="138" t="s">
        <v>192</v>
      </c>
      <c r="F279" s="28">
        <v>1</v>
      </c>
      <c r="G279" t="s">
        <v>193</v>
      </c>
      <c r="H279" t="s">
        <v>194</v>
      </c>
      <c r="I279" t="s">
        <v>4738</v>
      </c>
      <c r="J279" t="s">
        <v>210</v>
      </c>
      <c r="K279">
        <v>18</v>
      </c>
      <c r="L279" s="28" t="s">
        <v>741</v>
      </c>
      <c r="M279" s="238" t="str">
        <f t="shared" si="4"/>
        <v>522301</v>
      </c>
      <c r="N279" t="s">
        <v>4853</v>
      </c>
      <c r="O279" t="s">
        <v>4737</v>
      </c>
      <c r="P279">
        <v>1863</v>
      </c>
      <c r="Q279">
        <v>1</v>
      </c>
      <c r="T279" t="s">
        <v>4714</v>
      </c>
    </row>
    <row r="280" spans="1:21" customFormat="1" x14ac:dyDescent="0.25">
      <c r="A280" s="138" t="s">
        <v>2093</v>
      </c>
      <c r="B280" s="138" t="s">
        <v>2675</v>
      </c>
      <c r="C280" s="138" t="s">
        <v>3438</v>
      </c>
      <c r="D280" s="138" t="s">
        <v>4717</v>
      </c>
      <c r="E280" s="138" t="s">
        <v>233</v>
      </c>
      <c r="F280" s="28">
        <v>1</v>
      </c>
      <c r="G280" t="s">
        <v>193</v>
      </c>
      <c r="H280" t="s">
        <v>194</v>
      </c>
      <c r="I280" t="s">
        <v>4720</v>
      </c>
      <c r="J280" t="s">
        <v>747</v>
      </c>
      <c r="K280">
        <v>18</v>
      </c>
      <c r="L280" s="28" t="s">
        <v>3439</v>
      </c>
      <c r="M280" s="238" t="str">
        <f t="shared" si="4"/>
        <v>334306</v>
      </c>
      <c r="N280" t="s">
        <v>4836</v>
      </c>
      <c r="O280" t="s">
        <v>4720</v>
      </c>
      <c r="P280">
        <v>1817</v>
      </c>
      <c r="Q280">
        <v>1</v>
      </c>
      <c r="R280" t="s">
        <v>4837</v>
      </c>
      <c r="S280" t="s">
        <v>4838</v>
      </c>
      <c r="T280" t="s">
        <v>4714</v>
      </c>
    </row>
    <row r="281" spans="1:21" customFormat="1" x14ac:dyDescent="0.25">
      <c r="A281" s="138" t="s">
        <v>3643</v>
      </c>
      <c r="B281" s="138" t="s">
        <v>1606</v>
      </c>
      <c r="C281" s="138" t="s">
        <v>22</v>
      </c>
      <c r="D281" s="138" t="s">
        <v>4717</v>
      </c>
      <c r="E281" s="138" t="s">
        <v>192</v>
      </c>
      <c r="F281" s="28">
        <v>1</v>
      </c>
      <c r="G281" t="s">
        <v>193</v>
      </c>
      <c r="H281" t="s">
        <v>194</v>
      </c>
      <c r="I281" t="s">
        <v>4718</v>
      </c>
      <c r="J281" t="s">
        <v>408</v>
      </c>
      <c r="K281">
        <v>18</v>
      </c>
      <c r="L281" s="28" t="s">
        <v>1608</v>
      </c>
      <c r="M281" s="238" t="str">
        <f t="shared" si="4"/>
        <v>228101</v>
      </c>
      <c r="N281" t="s">
        <v>5498</v>
      </c>
      <c r="O281" t="s">
        <v>4765</v>
      </c>
      <c r="P281">
        <v>1864</v>
      </c>
      <c r="Q281">
        <v>1</v>
      </c>
      <c r="T281" t="s">
        <v>4714</v>
      </c>
    </row>
    <row r="282" spans="1:21" customFormat="1" x14ac:dyDescent="0.25">
      <c r="A282" s="138" t="s">
        <v>446</v>
      </c>
      <c r="B282" s="138" t="s">
        <v>4864</v>
      </c>
      <c r="C282" s="138" t="s">
        <v>740</v>
      </c>
      <c r="D282" s="138" t="s">
        <v>4717</v>
      </c>
      <c r="E282" s="138" t="s">
        <v>192</v>
      </c>
      <c r="F282" s="28">
        <v>1</v>
      </c>
      <c r="G282" t="s">
        <v>193</v>
      </c>
      <c r="H282" t="s">
        <v>194</v>
      </c>
      <c r="I282" t="s">
        <v>4720</v>
      </c>
      <c r="J282" t="s">
        <v>4751</v>
      </c>
      <c r="K282">
        <v>18</v>
      </c>
      <c r="L282" s="28" t="s">
        <v>741</v>
      </c>
      <c r="M282" s="238" t="str">
        <f t="shared" si="4"/>
        <v>522301</v>
      </c>
      <c r="N282" t="s">
        <v>4865</v>
      </c>
      <c r="O282" t="s">
        <v>4753</v>
      </c>
      <c r="P282">
        <v>1862</v>
      </c>
      <c r="Q282">
        <v>1</v>
      </c>
      <c r="T282" t="s">
        <v>4714</v>
      </c>
    </row>
    <row r="283" spans="1:21" customFormat="1" x14ac:dyDescent="0.25">
      <c r="A283" s="138" t="s">
        <v>4861</v>
      </c>
      <c r="B283" s="138" t="s">
        <v>2590</v>
      </c>
      <c r="C283" s="138" t="s">
        <v>740</v>
      </c>
      <c r="D283" s="138" t="s">
        <v>4717</v>
      </c>
      <c r="E283" s="138" t="s">
        <v>192</v>
      </c>
      <c r="F283" s="28">
        <v>1</v>
      </c>
      <c r="G283" t="s">
        <v>193</v>
      </c>
      <c r="H283" t="s">
        <v>194</v>
      </c>
      <c r="I283" t="s">
        <v>4738</v>
      </c>
      <c r="J283" t="s">
        <v>367</v>
      </c>
      <c r="K283">
        <v>18</v>
      </c>
      <c r="L283" s="28" t="s">
        <v>741</v>
      </c>
      <c r="M283" s="238" t="str">
        <f t="shared" si="4"/>
        <v>522301</v>
      </c>
      <c r="N283" t="s">
        <v>4862</v>
      </c>
      <c r="O283" t="s">
        <v>4753</v>
      </c>
      <c r="P283" t="s">
        <v>4863</v>
      </c>
      <c r="Q283">
        <v>6</v>
      </c>
      <c r="T283" t="s">
        <v>4714</v>
      </c>
    </row>
    <row r="284" spans="1:21" customFormat="1" x14ac:dyDescent="0.25">
      <c r="A284" s="138" t="s">
        <v>5115</v>
      </c>
      <c r="B284" s="138" t="s">
        <v>2873</v>
      </c>
      <c r="C284" s="138" t="s">
        <v>10</v>
      </c>
      <c r="D284" s="138" t="s">
        <v>4717</v>
      </c>
      <c r="E284" s="138" t="s">
        <v>217</v>
      </c>
      <c r="F284" s="27">
        <v>0</v>
      </c>
      <c r="G284" s="197" t="s">
        <v>194</v>
      </c>
      <c r="H284" t="s">
        <v>193</v>
      </c>
      <c r="I284" t="s">
        <v>4720</v>
      </c>
      <c r="J284" t="s">
        <v>5116</v>
      </c>
      <c r="K284">
        <v>18</v>
      </c>
      <c r="L284" s="28" t="s">
        <v>484</v>
      </c>
      <c r="M284" s="238" t="str">
        <f t="shared" si="4"/>
        <v>251401</v>
      </c>
      <c r="N284" t="s">
        <v>5117</v>
      </c>
      <c r="O284" t="s">
        <v>4775</v>
      </c>
      <c r="Q284">
        <v>0</v>
      </c>
      <c r="R284" t="s">
        <v>5118</v>
      </c>
      <c r="S284" t="s">
        <v>5119</v>
      </c>
      <c r="T284" t="s">
        <v>4714</v>
      </c>
      <c r="U284" s="25" t="s">
        <v>5761</v>
      </c>
    </row>
    <row r="285" spans="1:21" customFormat="1" x14ac:dyDescent="0.25">
      <c r="A285" s="138" t="s">
        <v>4866</v>
      </c>
      <c r="B285" s="138" t="s">
        <v>4487</v>
      </c>
      <c r="C285" s="138" t="s">
        <v>740</v>
      </c>
      <c r="D285" s="138" t="s">
        <v>4717</v>
      </c>
      <c r="E285" s="138" t="s">
        <v>192</v>
      </c>
      <c r="F285" s="28">
        <v>1</v>
      </c>
      <c r="G285" t="s">
        <v>193</v>
      </c>
      <c r="H285" t="s">
        <v>194</v>
      </c>
      <c r="I285" t="s">
        <v>4738</v>
      </c>
      <c r="J285" t="s">
        <v>253</v>
      </c>
      <c r="K285">
        <v>18</v>
      </c>
      <c r="L285" s="28" t="s">
        <v>741</v>
      </c>
      <c r="M285" s="238" t="str">
        <f t="shared" si="4"/>
        <v>522301</v>
      </c>
      <c r="N285" t="s">
        <v>4867</v>
      </c>
      <c r="O285" t="s">
        <v>4753</v>
      </c>
      <c r="P285">
        <v>1811</v>
      </c>
      <c r="Q285">
        <v>1</v>
      </c>
      <c r="T285" t="s">
        <v>4714</v>
      </c>
    </row>
    <row r="286" spans="1:21" customFormat="1" x14ac:dyDescent="0.25">
      <c r="A286" s="138" t="s">
        <v>5145</v>
      </c>
      <c r="B286" s="138" t="s">
        <v>1000</v>
      </c>
      <c r="C286" s="138" t="s">
        <v>700</v>
      </c>
      <c r="D286" s="138" t="s">
        <v>4717</v>
      </c>
      <c r="E286" s="138" t="s">
        <v>233</v>
      </c>
      <c r="F286" s="28">
        <v>1</v>
      </c>
      <c r="G286" t="s">
        <v>193</v>
      </c>
      <c r="H286" t="s">
        <v>194</v>
      </c>
      <c r="I286" t="s">
        <v>4720</v>
      </c>
      <c r="J286" t="s">
        <v>5146</v>
      </c>
      <c r="K286">
        <v>18</v>
      </c>
      <c r="L286" s="28" t="s">
        <v>701</v>
      </c>
      <c r="M286" s="238" t="str">
        <f t="shared" si="4"/>
        <v>411003</v>
      </c>
      <c r="N286" t="s">
        <v>5147</v>
      </c>
      <c r="O286" t="s">
        <v>4765</v>
      </c>
      <c r="P286">
        <v>1813</v>
      </c>
      <c r="Q286">
        <v>1</v>
      </c>
      <c r="R286" t="s">
        <v>5148</v>
      </c>
      <c r="S286" t="s">
        <v>5149</v>
      </c>
      <c r="T286" t="s">
        <v>4714</v>
      </c>
    </row>
    <row r="287" spans="1:21" customFormat="1" x14ac:dyDescent="0.25">
      <c r="A287" s="138" t="s">
        <v>5245</v>
      </c>
      <c r="B287" s="138" t="s">
        <v>5246</v>
      </c>
      <c r="C287" s="138" t="s">
        <v>5247</v>
      </c>
      <c r="D287" s="138" t="s">
        <v>4717</v>
      </c>
      <c r="E287" s="138" t="s">
        <v>233</v>
      </c>
      <c r="F287" s="28">
        <v>1</v>
      </c>
      <c r="G287" t="s">
        <v>193</v>
      </c>
      <c r="H287" t="s">
        <v>194</v>
      </c>
      <c r="I287" t="s">
        <v>4720</v>
      </c>
      <c r="J287" t="s">
        <v>196</v>
      </c>
      <c r="K287">
        <v>18</v>
      </c>
      <c r="L287" s="28" t="s">
        <v>5248</v>
      </c>
      <c r="M287" s="238" t="str">
        <f t="shared" si="4"/>
        <v>723302</v>
      </c>
      <c r="N287" t="s">
        <v>5249</v>
      </c>
      <c r="O287" t="s">
        <v>4709</v>
      </c>
      <c r="Q287">
        <v>25</v>
      </c>
      <c r="R287" t="s">
        <v>5250</v>
      </c>
      <c r="S287" t="s">
        <v>5251</v>
      </c>
      <c r="T287" t="s">
        <v>4714</v>
      </c>
    </row>
    <row r="288" spans="1:21" customFormat="1" x14ac:dyDescent="0.25">
      <c r="A288" s="138" t="s">
        <v>716</v>
      </c>
      <c r="B288" s="138" t="s">
        <v>4847</v>
      </c>
      <c r="C288" s="138" t="s">
        <v>740</v>
      </c>
      <c r="D288" s="138" t="s">
        <v>4717</v>
      </c>
      <c r="E288" s="138" t="s">
        <v>252</v>
      </c>
      <c r="F288" s="28">
        <v>1</v>
      </c>
      <c r="G288" t="s">
        <v>193</v>
      </c>
      <c r="H288" t="s">
        <v>194</v>
      </c>
      <c r="I288" t="s">
        <v>4738</v>
      </c>
      <c r="J288" t="s">
        <v>210</v>
      </c>
      <c r="K288">
        <v>18</v>
      </c>
      <c r="L288" s="28" t="s">
        <v>741</v>
      </c>
      <c r="M288" s="238" t="str">
        <f t="shared" si="4"/>
        <v>522301</v>
      </c>
      <c r="N288" t="s">
        <v>4848</v>
      </c>
      <c r="O288" t="s">
        <v>4849</v>
      </c>
      <c r="P288">
        <v>1863</v>
      </c>
      <c r="Q288">
        <v>1</v>
      </c>
      <c r="R288" t="s">
        <v>4850</v>
      </c>
      <c r="S288" t="s">
        <v>4851</v>
      </c>
      <c r="T288" t="s">
        <v>4714</v>
      </c>
    </row>
    <row r="289" spans="1:21" customFormat="1" x14ac:dyDescent="0.25">
      <c r="A289" s="138" t="s">
        <v>716</v>
      </c>
      <c r="B289" s="138" t="s">
        <v>5256</v>
      </c>
      <c r="C289" s="138" t="s">
        <v>67</v>
      </c>
      <c r="D289" s="138" t="s">
        <v>4717</v>
      </c>
      <c r="E289" s="138" t="s">
        <v>252</v>
      </c>
      <c r="F289" s="28">
        <v>1</v>
      </c>
      <c r="G289" t="s">
        <v>193</v>
      </c>
      <c r="H289" t="s">
        <v>194</v>
      </c>
      <c r="I289" t="s">
        <v>4738</v>
      </c>
      <c r="J289" t="s">
        <v>210</v>
      </c>
      <c r="K289">
        <v>18</v>
      </c>
      <c r="L289" s="28" t="s">
        <v>709</v>
      </c>
      <c r="M289" s="238" t="str">
        <f t="shared" si="4"/>
        <v>432103</v>
      </c>
      <c r="N289" t="s">
        <v>5257</v>
      </c>
      <c r="O289" t="s">
        <v>4849</v>
      </c>
      <c r="P289">
        <v>1863</v>
      </c>
      <c r="Q289">
        <v>1</v>
      </c>
      <c r="R289" t="s">
        <v>5258</v>
      </c>
      <c r="S289" t="s">
        <v>4851</v>
      </c>
      <c r="T289" t="s">
        <v>4714</v>
      </c>
    </row>
    <row r="290" spans="1:21" customFormat="1" x14ac:dyDescent="0.25">
      <c r="A290" s="138" t="s">
        <v>4749</v>
      </c>
      <c r="B290" s="138" t="s">
        <v>4750</v>
      </c>
      <c r="C290" s="138" t="s">
        <v>2684</v>
      </c>
      <c r="D290" s="138" t="s">
        <v>4717</v>
      </c>
      <c r="E290" s="138" t="s">
        <v>192</v>
      </c>
      <c r="F290" s="28">
        <v>1</v>
      </c>
      <c r="G290" t="s">
        <v>193</v>
      </c>
      <c r="H290" t="s">
        <v>194</v>
      </c>
      <c r="I290" t="s">
        <v>4720</v>
      </c>
      <c r="J290" t="s">
        <v>4751</v>
      </c>
      <c r="K290">
        <v>18</v>
      </c>
      <c r="L290" s="28" t="s">
        <v>2685</v>
      </c>
      <c r="M290" s="238" t="str">
        <f t="shared" si="4"/>
        <v>324002</v>
      </c>
      <c r="N290" t="s">
        <v>4752</v>
      </c>
      <c r="O290" t="s">
        <v>4753</v>
      </c>
      <c r="P290">
        <v>1862</v>
      </c>
      <c r="Q290">
        <v>1</v>
      </c>
      <c r="T290" t="s">
        <v>4714</v>
      </c>
    </row>
    <row r="291" spans="1:21" customFormat="1" x14ac:dyDescent="0.25">
      <c r="A291" s="138" t="s">
        <v>540</v>
      </c>
      <c r="B291" s="138" t="s">
        <v>356</v>
      </c>
      <c r="C291" s="138" t="s">
        <v>62</v>
      </c>
      <c r="D291" s="138" t="s">
        <v>4717</v>
      </c>
      <c r="E291" s="138" t="s">
        <v>217</v>
      </c>
      <c r="F291" s="28">
        <v>1</v>
      </c>
      <c r="G291" t="s">
        <v>193</v>
      </c>
      <c r="H291" t="s">
        <v>194</v>
      </c>
      <c r="I291" t="s">
        <v>4720</v>
      </c>
      <c r="J291" t="s">
        <v>210</v>
      </c>
      <c r="K291">
        <v>18</v>
      </c>
      <c r="L291" s="28" t="s">
        <v>601</v>
      </c>
      <c r="M291" s="238" t="str">
        <f t="shared" si="4"/>
        <v>313904</v>
      </c>
      <c r="N291" t="s">
        <v>5194</v>
      </c>
      <c r="O291" t="s">
        <v>4717</v>
      </c>
      <c r="P291">
        <v>1863</v>
      </c>
      <c r="Q291">
        <v>1</v>
      </c>
      <c r="R291" t="s">
        <v>5195</v>
      </c>
      <c r="S291" t="s">
        <v>5196</v>
      </c>
      <c r="T291" t="s">
        <v>4714</v>
      </c>
    </row>
    <row r="292" spans="1:21" customFormat="1" x14ac:dyDescent="0.25">
      <c r="A292" s="138" t="s">
        <v>1675</v>
      </c>
      <c r="B292" s="138" t="s">
        <v>5380</v>
      </c>
      <c r="C292" s="138" t="s">
        <v>1497</v>
      </c>
      <c r="D292" s="138" t="s">
        <v>4717</v>
      </c>
      <c r="E292" s="138" t="s">
        <v>192</v>
      </c>
      <c r="F292" s="28">
        <v>1</v>
      </c>
      <c r="G292" t="s">
        <v>193</v>
      </c>
      <c r="H292" t="s">
        <v>194</v>
      </c>
      <c r="I292" t="s">
        <v>4718</v>
      </c>
      <c r="J292" t="s">
        <v>253</v>
      </c>
      <c r="K292">
        <v>18</v>
      </c>
      <c r="L292" s="28" t="s">
        <v>1498</v>
      </c>
      <c r="M292" s="238" t="str">
        <f t="shared" si="4"/>
        <v>134605</v>
      </c>
      <c r="N292" t="s">
        <v>5381</v>
      </c>
      <c r="O292" t="s">
        <v>4765</v>
      </c>
      <c r="P292">
        <v>1811</v>
      </c>
      <c r="Q292">
        <v>1</v>
      </c>
      <c r="T292" t="s">
        <v>4714</v>
      </c>
    </row>
    <row r="293" spans="1:21" customFormat="1" x14ac:dyDescent="0.25">
      <c r="A293" s="138" t="s">
        <v>1289</v>
      </c>
      <c r="B293" s="138" t="s">
        <v>5001</v>
      </c>
      <c r="C293" s="138" t="s">
        <v>35</v>
      </c>
      <c r="D293" s="138" t="s">
        <v>4717</v>
      </c>
      <c r="E293" s="138" t="s">
        <v>192</v>
      </c>
      <c r="F293" s="28">
        <v>1</v>
      </c>
      <c r="G293" t="s">
        <v>193</v>
      </c>
      <c r="H293" t="s">
        <v>194</v>
      </c>
      <c r="I293" t="s">
        <v>4738</v>
      </c>
      <c r="J293" t="s">
        <v>276</v>
      </c>
      <c r="K293">
        <v>18</v>
      </c>
      <c r="L293" s="28" t="s">
        <v>207</v>
      </c>
      <c r="M293" s="238" t="str">
        <f t="shared" si="4"/>
        <v>122106</v>
      </c>
      <c r="N293" t="s">
        <v>5002</v>
      </c>
      <c r="O293" t="s">
        <v>4753</v>
      </c>
      <c r="P293" t="s">
        <v>5003</v>
      </c>
      <c r="Q293">
        <v>16</v>
      </c>
      <c r="T293" t="s">
        <v>4714</v>
      </c>
    </row>
    <row r="294" spans="1:21" customFormat="1" x14ac:dyDescent="0.25">
      <c r="A294" s="138" t="s">
        <v>5259</v>
      </c>
      <c r="B294" s="138" t="s">
        <v>67</v>
      </c>
      <c r="C294" s="138" t="s">
        <v>67</v>
      </c>
      <c r="D294" s="138" t="s">
        <v>4717</v>
      </c>
      <c r="E294" s="138" t="s">
        <v>192</v>
      </c>
      <c r="F294" s="28">
        <v>1</v>
      </c>
      <c r="G294" t="s">
        <v>193</v>
      </c>
      <c r="H294" t="s">
        <v>194</v>
      </c>
      <c r="I294" t="s">
        <v>4738</v>
      </c>
      <c r="J294" t="s">
        <v>253</v>
      </c>
      <c r="K294">
        <v>18</v>
      </c>
      <c r="L294" s="28" t="s">
        <v>709</v>
      </c>
      <c r="M294" s="238" t="str">
        <f t="shared" si="4"/>
        <v>432103</v>
      </c>
      <c r="N294" t="s">
        <v>5260</v>
      </c>
      <c r="O294" t="s">
        <v>4720</v>
      </c>
      <c r="P294">
        <v>1811</v>
      </c>
      <c r="Q294">
        <v>1</v>
      </c>
      <c r="T294" t="s">
        <v>4714</v>
      </c>
    </row>
    <row r="295" spans="1:21" customFormat="1" x14ac:dyDescent="0.25">
      <c r="A295" s="138" t="s">
        <v>5525</v>
      </c>
      <c r="B295" s="138" t="s">
        <v>537</v>
      </c>
      <c r="C295" s="138" t="s">
        <v>778</v>
      </c>
      <c r="D295" s="138" t="s">
        <v>4717</v>
      </c>
      <c r="E295" s="138" t="s">
        <v>192</v>
      </c>
      <c r="F295" s="28">
        <v>1</v>
      </c>
      <c r="G295" t="s">
        <v>193</v>
      </c>
      <c r="H295" t="s">
        <v>194</v>
      </c>
      <c r="I295" t="s">
        <v>4738</v>
      </c>
      <c r="J295" t="s">
        <v>210</v>
      </c>
      <c r="K295">
        <v>18</v>
      </c>
      <c r="L295" s="28" t="s">
        <v>779</v>
      </c>
      <c r="M295" s="238" t="str">
        <f t="shared" si="4"/>
        <v>524902</v>
      </c>
      <c r="N295" t="s">
        <v>5526</v>
      </c>
      <c r="O295" t="s">
        <v>4746</v>
      </c>
      <c r="P295">
        <v>1863</v>
      </c>
      <c r="Q295">
        <v>1</v>
      </c>
      <c r="T295" t="s">
        <v>4714</v>
      </c>
    </row>
    <row r="296" spans="1:21" customFormat="1" x14ac:dyDescent="0.25">
      <c r="A296" s="138" t="s">
        <v>5004</v>
      </c>
      <c r="B296" s="138" t="s">
        <v>216</v>
      </c>
      <c r="C296" s="138" t="s">
        <v>35</v>
      </c>
      <c r="D296" s="138" t="s">
        <v>4717</v>
      </c>
      <c r="E296" s="138" t="s">
        <v>192</v>
      </c>
      <c r="F296" s="28">
        <v>1</v>
      </c>
      <c r="G296" t="s">
        <v>193</v>
      </c>
      <c r="H296" t="s">
        <v>194</v>
      </c>
      <c r="I296" t="s">
        <v>4720</v>
      </c>
      <c r="J296" t="s">
        <v>238</v>
      </c>
      <c r="K296">
        <v>18</v>
      </c>
      <c r="L296" s="28" t="s">
        <v>207</v>
      </c>
      <c r="M296" s="238" t="str">
        <f t="shared" si="4"/>
        <v>122106</v>
      </c>
      <c r="N296" t="s">
        <v>5005</v>
      </c>
      <c r="O296" t="s">
        <v>4753</v>
      </c>
      <c r="P296">
        <v>1863</v>
      </c>
      <c r="Q296">
        <v>1</v>
      </c>
      <c r="T296" t="s">
        <v>4714</v>
      </c>
    </row>
    <row r="297" spans="1:21" customFormat="1" x14ac:dyDescent="0.25">
      <c r="A297" s="138" t="s">
        <v>3276</v>
      </c>
      <c r="B297" s="138" t="s">
        <v>5540</v>
      </c>
      <c r="C297" s="138" t="s">
        <v>5541</v>
      </c>
      <c r="D297" s="138" t="s">
        <v>4717</v>
      </c>
      <c r="E297" s="138" t="s">
        <v>217</v>
      </c>
      <c r="F297" s="27">
        <v>0</v>
      </c>
      <c r="G297" s="197" t="s">
        <v>194</v>
      </c>
      <c r="H297" t="s">
        <v>193</v>
      </c>
      <c r="I297" t="s">
        <v>4720</v>
      </c>
      <c r="J297" t="s">
        <v>5542</v>
      </c>
      <c r="K297">
        <v>18</v>
      </c>
      <c r="L297" s="28" t="s">
        <v>5543</v>
      </c>
      <c r="M297" s="238" t="str">
        <f t="shared" si="4"/>
        <v>962102</v>
      </c>
      <c r="N297" t="s">
        <v>5544</v>
      </c>
      <c r="O297" t="s">
        <v>4753</v>
      </c>
      <c r="Q297">
        <v>0</v>
      </c>
      <c r="R297" t="s">
        <v>4903</v>
      </c>
      <c r="S297" t="s">
        <v>5545</v>
      </c>
      <c r="T297" t="s">
        <v>4714</v>
      </c>
      <c r="U297" s="25" t="s">
        <v>5761</v>
      </c>
    </row>
    <row r="298" spans="1:21" customFormat="1" x14ac:dyDescent="0.25">
      <c r="A298" s="138" t="s">
        <v>3980</v>
      </c>
      <c r="B298" s="138" t="s">
        <v>4834</v>
      </c>
      <c r="C298" s="138" t="s">
        <v>42</v>
      </c>
      <c r="D298" s="138" t="s">
        <v>4717</v>
      </c>
      <c r="E298" s="138" t="s">
        <v>192</v>
      </c>
      <c r="F298" s="28">
        <v>1</v>
      </c>
      <c r="G298" t="s">
        <v>193</v>
      </c>
      <c r="H298" t="s">
        <v>194</v>
      </c>
      <c r="I298" t="s">
        <v>4718</v>
      </c>
      <c r="J298" t="s">
        <v>223</v>
      </c>
      <c r="K298">
        <v>18</v>
      </c>
      <c r="L298" s="28" t="s">
        <v>2628</v>
      </c>
      <c r="M298" s="238" t="str">
        <f t="shared" si="4"/>
        <v>325509</v>
      </c>
      <c r="N298" t="s">
        <v>4835</v>
      </c>
      <c r="O298" t="s">
        <v>4737</v>
      </c>
      <c r="P298">
        <v>1804</v>
      </c>
      <c r="Q298">
        <v>1</v>
      </c>
      <c r="T298" t="s">
        <v>4714</v>
      </c>
    </row>
    <row r="299" spans="1:21" customFormat="1" x14ac:dyDescent="0.25">
      <c r="A299" s="138" t="s">
        <v>3980</v>
      </c>
      <c r="B299" s="138" t="s">
        <v>5332</v>
      </c>
      <c r="C299" s="138" t="s">
        <v>5333</v>
      </c>
      <c r="D299" s="138" t="s">
        <v>4717</v>
      </c>
      <c r="E299" s="138" t="s">
        <v>192</v>
      </c>
      <c r="F299" s="28">
        <v>1</v>
      </c>
      <c r="G299" t="s">
        <v>193</v>
      </c>
      <c r="H299" t="s">
        <v>194</v>
      </c>
      <c r="I299" t="s">
        <v>4720</v>
      </c>
      <c r="J299" t="s">
        <v>223</v>
      </c>
      <c r="K299">
        <v>18</v>
      </c>
      <c r="L299" s="28" t="s">
        <v>1536</v>
      </c>
      <c r="M299" s="238" t="str">
        <f t="shared" si="4"/>
        <v>314401</v>
      </c>
      <c r="N299" t="s">
        <v>5334</v>
      </c>
      <c r="O299" t="s">
        <v>4753</v>
      </c>
      <c r="P299">
        <v>1804</v>
      </c>
      <c r="Q299">
        <v>1</v>
      </c>
      <c r="T299" t="s">
        <v>4714</v>
      </c>
    </row>
    <row r="300" spans="1:21" customFormat="1" x14ac:dyDescent="0.25">
      <c r="A300" s="138" t="s">
        <v>5443</v>
      </c>
      <c r="B300" s="138" t="s">
        <v>5461</v>
      </c>
      <c r="C300" s="138" t="s">
        <v>21</v>
      </c>
      <c r="D300" s="138" t="s">
        <v>4717</v>
      </c>
      <c r="E300" s="138" t="s">
        <v>233</v>
      </c>
      <c r="F300" s="28">
        <v>1</v>
      </c>
      <c r="G300" t="s">
        <v>193</v>
      </c>
      <c r="H300" t="s">
        <v>194</v>
      </c>
      <c r="I300" t="s">
        <v>4720</v>
      </c>
      <c r="J300" t="s">
        <v>253</v>
      </c>
      <c r="K300">
        <v>18</v>
      </c>
      <c r="L300" s="28" t="s">
        <v>293</v>
      </c>
      <c r="M300" s="238" t="str">
        <f t="shared" si="4"/>
        <v>214202</v>
      </c>
      <c r="N300" t="s">
        <v>5462</v>
      </c>
      <c r="O300" t="s">
        <v>4709</v>
      </c>
      <c r="P300">
        <v>1811</v>
      </c>
      <c r="Q300">
        <v>1</v>
      </c>
      <c r="R300" t="s">
        <v>5463</v>
      </c>
      <c r="S300" t="s">
        <v>5464</v>
      </c>
      <c r="T300" t="s">
        <v>4714</v>
      </c>
    </row>
    <row r="301" spans="1:21" customFormat="1" x14ac:dyDescent="0.25">
      <c r="A301" s="138" t="s">
        <v>5443</v>
      </c>
      <c r="B301" s="138" t="s">
        <v>5444</v>
      </c>
      <c r="C301" s="138" t="s">
        <v>5445</v>
      </c>
      <c r="D301" s="138" t="s">
        <v>4717</v>
      </c>
      <c r="E301" s="138" t="s">
        <v>233</v>
      </c>
      <c r="F301" s="28">
        <v>1</v>
      </c>
      <c r="G301" t="s">
        <v>193</v>
      </c>
      <c r="H301" t="s">
        <v>194</v>
      </c>
      <c r="I301" t="s">
        <v>4720</v>
      </c>
      <c r="J301" t="s">
        <v>196</v>
      </c>
      <c r="K301">
        <v>18</v>
      </c>
      <c r="L301" s="28" t="s">
        <v>1571</v>
      </c>
      <c r="M301" s="238" t="str">
        <f t="shared" si="4"/>
        <v>214303</v>
      </c>
      <c r="N301" t="s">
        <v>5446</v>
      </c>
      <c r="O301" t="s">
        <v>4746</v>
      </c>
      <c r="Q301">
        <v>25</v>
      </c>
      <c r="R301" t="s">
        <v>5447</v>
      </c>
      <c r="S301" t="s">
        <v>5448</v>
      </c>
      <c r="T301" t="s">
        <v>4714</v>
      </c>
    </row>
    <row r="302" spans="1:21" customFormat="1" x14ac:dyDescent="0.25">
      <c r="A302" s="138" t="s">
        <v>912</v>
      </c>
      <c r="B302" s="138" t="s">
        <v>913</v>
      </c>
      <c r="C302" s="138" t="s">
        <v>17</v>
      </c>
      <c r="D302" s="138" t="s">
        <v>4717</v>
      </c>
      <c r="E302" s="138" t="s">
        <v>233</v>
      </c>
      <c r="F302" s="28">
        <v>1</v>
      </c>
      <c r="G302" t="s">
        <v>193</v>
      </c>
      <c r="H302" t="s">
        <v>194</v>
      </c>
      <c r="I302" t="s">
        <v>4738</v>
      </c>
      <c r="J302" t="s">
        <v>4890</v>
      </c>
      <c r="K302">
        <v>18</v>
      </c>
      <c r="L302" s="28" t="s">
        <v>624</v>
      </c>
      <c r="M302" s="238" t="str">
        <f t="shared" si="4"/>
        <v>332203</v>
      </c>
      <c r="N302" t="s">
        <v>5037</v>
      </c>
      <c r="O302" t="s">
        <v>4717</v>
      </c>
      <c r="P302" t="s">
        <v>5038</v>
      </c>
      <c r="Q302">
        <v>13</v>
      </c>
      <c r="R302" t="s">
        <v>4893</v>
      </c>
      <c r="S302" t="s">
        <v>4894</v>
      </c>
      <c r="T302" t="s">
        <v>4714</v>
      </c>
    </row>
    <row r="303" spans="1:21" customFormat="1" x14ac:dyDescent="0.25">
      <c r="A303" s="138" t="s">
        <v>4999</v>
      </c>
      <c r="B303" s="138" t="s">
        <v>212</v>
      </c>
      <c r="C303" s="138" t="s">
        <v>35</v>
      </c>
      <c r="D303" s="138" t="s">
        <v>4717</v>
      </c>
      <c r="E303" s="138" t="s">
        <v>192</v>
      </c>
      <c r="F303" s="28">
        <v>1</v>
      </c>
      <c r="G303" t="s">
        <v>193</v>
      </c>
      <c r="H303" t="s">
        <v>194</v>
      </c>
      <c r="I303" t="s">
        <v>4738</v>
      </c>
      <c r="J303" t="s">
        <v>210</v>
      </c>
      <c r="K303">
        <v>18</v>
      </c>
      <c r="L303" s="28" t="s">
        <v>207</v>
      </c>
      <c r="M303" s="238" t="str">
        <f t="shared" si="4"/>
        <v>122106</v>
      </c>
      <c r="N303" t="s">
        <v>5000</v>
      </c>
      <c r="O303" t="s">
        <v>4753</v>
      </c>
      <c r="P303">
        <v>1863</v>
      </c>
      <c r="Q303">
        <v>1</v>
      </c>
      <c r="T303" t="s">
        <v>4714</v>
      </c>
    </row>
    <row r="304" spans="1:21" customFormat="1" x14ac:dyDescent="0.25">
      <c r="A304" s="138" t="s">
        <v>1490</v>
      </c>
      <c r="B304" s="138" t="s">
        <v>5473</v>
      </c>
      <c r="C304" s="138" t="s">
        <v>19</v>
      </c>
      <c r="D304" s="138" t="s">
        <v>4717</v>
      </c>
      <c r="E304" s="138" t="s">
        <v>192</v>
      </c>
      <c r="F304" s="28">
        <v>1</v>
      </c>
      <c r="G304" t="s">
        <v>193</v>
      </c>
      <c r="H304" t="s">
        <v>194</v>
      </c>
      <c r="I304" t="s">
        <v>4720</v>
      </c>
      <c r="J304" t="s">
        <v>210</v>
      </c>
      <c r="K304">
        <v>18</v>
      </c>
      <c r="L304" s="28" t="s">
        <v>337</v>
      </c>
      <c r="M304" s="238" t="str">
        <f t="shared" si="4"/>
        <v>214903</v>
      </c>
      <c r="N304" t="s">
        <v>5474</v>
      </c>
      <c r="O304" t="s">
        <v>4753</v>
      </c>
      <c r="P304">
        <v>1863</v>
      </c>
      <c r="Q304">
        <v>1</v>
      </c>
      <c r="T304" t="s">
        <v>4714</v>
      </c>
    </row>
    <row r="305" spans="1:20" customFormat="1" x14ac:dyDescent="0.25">
      <c r="A305" s="138" t="s">
        <v>1490</v>
      </c>
      <c r="B305" s="138" t="s">
        <v>5120</v>
      </c>
      <c r="C305" s="138" t="s">
        <v>10</v>
      </c>
      <c r="D305" s="138" t="s">
        <v>4717</v>
      </c>
      <c r="E305" s="138" t="s">
        <v>192</v>
      </c>
      <c r="F305" s="28">
        <v>1</v>
      </c>
      <c r="G305" t="s">
        <v>193</v>
      </c>
      <c r="H305" t="s">
        <v>194</v>
      </c>
      <c r="I305" t="s">
        <v>4720</v>
      </c>
      <c r="J305" t="s">
        <v>575</v>
      </c>
      <c r="K305">
        <v>18</v>
      </c>
      <c r="L305" s="28" t="s">
        <v>484</v>
      </c>
      <c r="M305" s="238" t="str">
        <f t="shared" si="4"/>
        <v>251401</v>
      </c>
      <c r="N305" t="s">
        <v>5121</v>
      </c>
      <c r="O305" t="s">
        <v>4753</v>
      </c>
      <c r="P305">
        <v>1816</v>
      </c>
      <c r="Q305">
        <v>1</v>
      </c>
      <c r="T305" t="s">
        <v>4714</v>
      </c>
    </row>
    <row r="306" spans="1:20" customFormat="1" x14ac:dyDescent="0.25">
      <c r="A306" s="138" t="s">
        <v>615</v>
      </c>
      <c r="B306" s="138" t="s">
        <v>4935</v>
      </c>
      <c r="C306" s="138" t="s">
        <v>80</v>
      </c>
      <c r="D306" s="138" t="s">
        <v>4717</v>
      </c>
      <c r="E306" s="138" t="s">
        <v>233</v>
      </c>
      <c r="F306" s="28">
        <v>1</v>
      </c>
      <c r="G306" t="s">
        <v>193</v>
      </c>
      <c r="H306" t="s">
        <v>194</v>
      </c>
      <c r="I306" t="s">
        <v>4738</v>
      </c>
      <c r="J306" t="s">
        <v>316</v>
      </c>
      <c r="K306">
        <v>18</v>
      </c>
      <c r="L306" s="28" t="s">
        <v>474</v>
      </c>
      <c r="M306" s="238" t="str">
        <f t="shared" si="4"/>
        <v>243304</v>
      </c>
      <c r="N306" t="s">
        <v>4936</v>
      </c>
      <c r="O306" t="s">
        <v>4775</v>
      </c>
      <c r="P306">
        <v>1818</v>
      </c>
      <c r="Q306">
        <v>1</v>
      </c>
      <c r="R306" t="s">
        <v>4924</v>
      </c>
      <c r="S306" t="s">
        <v>4937</v>
      </c>
      <c r="T306" t="s">
        <v>4714</v>
      </c>
    </row>
    <row r="307" spans="1:20" customFormat="1" x14ac:dyDescent="0.25">
      <c r="A307" s="138" t="s">
        <v>615</v>
      </c>
      <c r="B307" s="138" t="s">
        <v>4921</v>
      </c>
      <c r="C307" s="138" t="s">
        <v>2946</v>
      </c>
      <c r="D307" s="138" t="s">
        <v>4717</v>
      </c>
      <c r="E307" s="138" t="s">
        <v>233</v>
      </c>
      <c r="F307" s="28">
        <v>1</v>
      </c>
      <c r="G307" t="s">
        <v>193</v>
      </c>
      <c r="H307" t="s">
        <v>194</v>
      </c>
      <c r="I307" t="s">
        <v>4720</v>
      </c>
      <c r="J307" t="s">
        <v>316</v>
      </c>
      <c r="K307">
        <v>18</v>
      </c>
      <c r="L307" s="28" t="s">
        <v>4922</v>
      </c>
      <c r="M307" s="238" t="str">
        <f t="shared" si="4"/>
        <v>241308</v>
      </c>
      <c r="N307" t="s">
        <v>4923</v>
      </c>
      <c r="O307" t="s">
        <v>4775</v>
      </c>
      <c r="P307">
        <v>1818</v>
      </c>
      <c r="Q307">
        <v>1</v>
      </c>
      <c r="R307" t="s">
        <v>4924</v>
      </c>
      <c r="S307" t="s">
        <v>4925</v>
      </c>
      <c r="T307" t="s">
        <v>4714</v>
      </c>
    </row>
    <row r="308" spans="1:20" customFormat="1" x14ac:dyDescent="0.25">
      <c r="A308" s="138" t="s">
        <v>1168</v>
      </c>
      <c r="B308" s="138" t="s">
        <v>537</v>
      </c>
      <c r="C308" s="138" t="s">
        <v>778</v>
      </c>
      <c r="D308" s="138" t="s">
        <v>4717</v>
      </c>
      <c r="E308" s="138" t="s">
        <v>192</v>
      </c>
      <c r="F308" s="28">
        <v>1</v>
      </c>
      <c r="G308" t="s">
        <v>193</v>
      </c>
      <c r="H308" t="s">
        <v>194</v>
      </c>
      <c r="I308" t="s">
        <v>4738</v>
      </c>
      <c r="J308" t="s">
        <v>962</v>
      </c>
      <c r="K308">
        <v>18</v>
      </c>
      <c r="L308" s="28" t="s">
        <v>779</v>
      </c>
      <c r="M308" s="238" t="str">
        <f t="shared" si="4"/>
        <v>524902</v>
      </c>
      <c r="N308" t="s">
        <v>5522</v>
      </c>
      <c r="O308" t="s">
        <v>4746</v>
      </c>
      <c r="P308">
        <v>1806</v>
      </c>
      <c r="Q308">
        <v>1</v>
      </c>
      <c r="T308" t="s">
        <v>4714</v>
      </c>
    </row>
    <row r="309" spans="1:20" customFormat="1" x14ac:dyDescent="0.25">
      <c r="A309" s="138" t="s">
        <v>1823</v>
      </c>
      <c r="B309" s="138" t="s">
        <v>4859</v>
      </c>
      <c r="C309" s="138" t="s">
        <v>740</v>
      </c>
      <c r="D309" s="138" t="s">
        <v>4717</v>
      </c>
      <c r="E309" s="138" t="s">
        <v>192</v>
      </c>
      <c r="F309" s="28">
        <v>1</v>
      </c>
      <c r="G309" t="s">
        <v>193</v>
      </c>
      <c r="H309" t="s">
        <v>194</v>
      </c>
      <c r="I309" t="s">
        <v>4720</v>
      </c>
      <c r="J309" t="s">
        <v>210</v>
      </c>
      <c r="K309">
        <v>18</v>
      </c>
      <c r="L309" s="28" t="s">
        <v>741</v>
      </c>
      <c r="M309" s="238" t="str">
        <f t="shared" si="4"/>
        <v>522301</v>
      </c>
      <c r="N309" t="s">
        <v>4860</v>
      </c>
      <c r="O309" t="s">
        <v>4775</v>
      </c>
      <c r="P309">
        <v>1863</v>
      </c>
      <c r="Q309">
        <v>1</v>
      </c>
      <c r="T309" t="s">
        <v>4714</v>
      </c>
    </row>
    <row r="310" spans="1:20" customFormat="1" x14ac:dyDescent="0.25">
      <c r="A310" s="138" t="s">
        <v>2777</v>
      </c>
      <c r="B310" s="138" t="s">
        <v>1688</v>
      </c>
      <c r="C310" s="138" t="s">
        <v>3191</v>
      </c>
      <c r="D310" s="138" t="s">
        <v>4717</v>
      </c>
      <c r="E310" s="138" t="s">
        <v>192</v>
      </c>
      <c r="F310" s="28">
        <v>1</v>
      </c>
      <c r="G310" t="s">
        <v>193</v>
      </c>
      <c r="H310" t="s">
        <v>194</v>
      </c>
      <c r="I310" t="s">
        <v>4738</v>
      </c>
      <c r="J310" t="s">
        <v>276</v>
      </c>
      <c r="K310">
        <v>18</v>
      </c>
      <c r="L310" s="28" t="s">
        <v>4041</v>
      </c>
      <c r="M310" s="238" t="str">
        <f t="shared" si="4"/>
        <v>112011</v>
      </c>
      <c r="N310" t="s">
        <v>5515</v>
      </c>
      <c r="O310" t="s">
        <v>4708</v>
      </c>
      <c r="P310" t="s">
        <v>5516</v>
      </c>
      <c r="Q310">
        <v>4</v>
      </c>
      <c r="T310" t="s">
        <v>4714</v>
      </c>
    </row>
    <row r="311" spans="1:20" customFormat="1" x14ac:dyDescent="0.25">
      <c r="A311" s="138" t="s">
        <v>2777</v>
      </c>
      <c r="B311" s="138" t="s">
        <v>2815</v>
      </c>
      <c r="C311" s="138" t="s">
        <v>420</v>
      </c>
      <c r="D311" s="138" t="s">
        <v>4717</v>
      </c>
      <c r="E311" s="138" t="s">
        <v>192</v>
      </c>
      <c r="F311" s="28">
        <v>1</v>
      </c>
      <c r="G311" t="s">
        <v>193</v>
      </c>
      <c r="H311" t="s">
        <v>194</v>
      </c>
      <c r="I311" t="s">
        <v>4738</v>
      </c>
      <c r="J311" t="s">
        <v>276</v>
      </c>
      <c r="K311">
        <v>18</v>
      </c>
      <c r="L311" s="28" t="s">
        <v>421</v>
      </c>
      <c r="M311" s="238" t="str">
        <f t="shared" si="4"/>
        <v>241306</v>
      </c>
      <c r="N311" t="s">
        <v>5557</v>
      </c>
      <c r="O311" t="s">
        <v>4718</v>
      </c>
      <c r="P311" t="s">
        <v>5558</v>
      </c>
      <c r="Q311">
        <v>4</v>
      </c>
      <c r="T311" t="s">
        <v>4714</v>
      </c>
    </row>
    <row r="312" spans="1:20" customFormat="1" x14ac:dyDescent="0.25">
      <c r="A312" s="138" t="s">
        <v>2777</v>
      </c>
      <c r="B312" s="138" t="s">
        <v>4988</v>
      </c>
      <c r="C312" s="138" t="s">
        <v>35</v>
      </c>
      <c r="D312" s="138" t="s">
        <v>4717</v>
      </c>
      <c r="E312" s="138" t="s">
        <v>192</v>
      </c>
      <c r="F312" s="28">
        <v>1</v>
      </c>
      <c r="G312" t="s">
        <v>193</v>
      </c>
      <c r="H312" t="s">
        <v>194</v>
      </c>
      <c r="I312" t="s">
        <v>4718</v>
      </c>
      <c r="J312" t="s">
        <v>276</v>
      </c>
      <c r="K312">
        <v>18</v>
      </c>
      <c r="L312" s="28" t="s">
        <v>207</v>
      </c>
      <c r="M312" s="238" t="str">
        <f t="shared" si="4"/>
        <v>122106</v>
      </c>
      <c r="N312" t="s">
        <v>4989</v>
      </c>
      <c r="O312" t="s">
        <v>4708</v>
      </c>
      <c r="P312">
        <v>1803</v>
      </c>
      <c r="Q312">
        <v>1</v>
      </c>
      <c r="T312" t="s">
        <v>4714</v>
      </c>
    </row>
    <row r="313" spans="1:20" customFormat="1" x14ac:dyDescent="0.25">
      <c r="A313" s="138" t="s">
        <v>4942</v>
      </c>
      <c r="B313" s="138" t="s">
        <v>4943</v>
      </c>
      <c r="C313" s="138" t="s">
        <v>27</v>
      </c>
      <c r="D313" s="138" t="s">
        <v>4717</v>
      </c>
      <c r="E313" s="138" t="s">
        <v>192</v>
      </c>
      <c r="F313" s="28">
        <v>1</v>
      </c>
      <c r="G313" t="s">
        <v>193</v>
      </c>
      <c r="H313" t="s">
        <v>194</v>
      </c>
      <c r="I313" t="s">
        <v>4718</v>
      </c>
      <c r="J313" t="s">
        <v>210</v>
      </c>
      <c r="K313">
        <v>18</v>
      </c>
      <c r="L313" s="28" t="s">
        <v>440</v>
      </c>
      <c r="M313" s="238" t="str">
        <f t="shared" si="4"/>
        <v>242307</v>
      </c>
      <c r="N313" t="s">
        <v>4944</v>
      </c>
      <c r="O313" t="s">
        <v>4746</v>
      </c>
      <c r="P313">
        <v>1863</v>
      </c>
      <c r="Q313">
        <v>1</v>
      </c>
      <c r="T313" t="s">
        <v>4714</v>
      </c>
    </row>
    <row r="314" spans="1:20" customFormat="1" x14ac:dyDescent="0.25">
      <c r="A314" s="138" t="s">
        <v>2679</v>
      </c>
      <c r="B314" s="138" t="s">
        <v>67</v>
      </c>
      <c r="C314" s="138" t="s">
        <v>67</v>
      </c>
      <c r="D314" s="138" t="s">
        <v>4717</v>
      </c>
      <c r="E314" s="138" t="s">
        <v>233</v>
      </c>
      <c r="F314" s="28">
        <v>1</v>
      </c>
      <c r="G314" t="s">
        <v>193</v>
      </c>
      <c r="H314" t="s">
        <v>194</v>
      </c>
      <c r="I314" t="s">
        <v>4738</v>
      </c>
      <c r="J314" t="s">
        <v>5261</v>
      </c>
      <c r="K314">
        <v>18</v>
      </c>
      <c r="L314" s="28" t="s">
        <v>709</v>
      </c>
      <c r="M314" s="238" t="str">
        <f t="shared" si="4"/>
        <v>432103</v>
      </c>
      <c r="N314" t="s">
        <v>5262</v>
      </c>
      <c r="O314" t="s">
        <v>4708</v>
      </c>
      <c r="P314">
        <v>1816</v>
      </c>
      <c r="Q314">
        <v>1</v>
      </c>
      <c r="R314" t="s">
        <v>5263</v>
      </c>
      <c r="T314" t="s">
        <v>4714</v>
      </c>
    </row>
    <row r="315" spans="1:20" customFormat="1" x14ac:dyDescent="0.25">
      <c r="A315" s="138" t="s">
        <v>4818</v>
      </c>
      <c r="B315" s="138" t="s">
        <v>4819</v>
      </c>
      <c r="C315" s="138" t="s">
        <v>4820</v>
      </c>
      <c r="D315" s="138" t="s">
        <v>4717</v>
      </c>
      <c r="E315" s="138" t="s">
        <v>192</v>
      </c>
      <c r="F315" s="28">
        <v>1</v>
      </c>
      <c r="G315" t="s">
        <v>193</v>
      </c>
      <c r="H315" t="s">
        <v>194</v>
      </c>
      <c r="I315" t="s">
        <v>4720</v>
      </c>
      <c r="J315" t="s">
        <v>316</v>
      </c>
      <c r="K315">
        <v>18</v>
      </c>
      <c r="L315" s="28" t="s">
        <v>4821</v>
      </c>
      <c r="M315" s="238" t="str">
        <f t="shared" si="4"/>
        <v>311206</v>
      </c>
      <c r="N315" t="s">
        <v>4822</v>
      </c>
      <c r="O315" t="s">
        <v>4753</v>
      </c>
      <c r="P315">
        <v>1818</v>
      </c>
      <c r="Q315">
        <v>1</v>
      </c>
      <c r="T315" t="s">
        <v>4714</v>
      </c>
    </row>
    <row r="316" spans="1:20" customFormat="1" x14ac:dyDescent="0.25">
      <c r="A316" s="138" t="s">
        <v>2622</v>
      </c>
      <c r="B316" s="138" t="s">
        <v>4916</v>
      </c>
      <c r="C316" s="138" t="s">
        <v>20</v>
      </c>
      <c r="D316" s="138" t="s">
        <v>4717</v>
      </c>
      <c r="E316" s="138" t="s">
        <v>233</v>
      </c>
      <c r="F316" s="28">
        <v>1</v>
      </c>
      <c r="G316" t="s">
        <v>193</v>
      </c>
      <c r="H316" t="s">
        <v>194</v>
      </c>
      <c r="I316" t="s">
        <v>4738</v>
      </c>
      <c r="J316" t="s">
        <v>2183</v>
      </c>
      <c r="K316">
        <v>18</v>
      </c>
      <c r="L316" s="28" t="s">
        <v>286</v>
      </c>
      <c r="M316" s="238" t="str">
        <f t="shared" si="4"/>
        <v>214109</v>
      </c>
      <c r="N316" t="s">
        <v>4917</v>
      </c>
      <c r="O316" t="s">
        <v>4918</v>
      </c>
      <c r="P316">
        <v>1820</v>
      </c>
      <c r="Q316">
        <v>1</v>
      </c>
      <c r="R316" t="s">
        <v>4919</v>
      </c>
      <c r="S316" t="s">
        <v>4920</v>
      </c>
      <c r="T316" t="s">
        <v>4714</v>
      </c>
    </row>
    <row r="317" spans="1:20" customFormat="1" x14ac:dyDescent="0.25">
      <c r="A317" s="138" t="s">
        <v>4007</v>
      </c>
      <c r="B317" s="138" t="s">
        <v>2124</v>
      </c>
      <c r="C317" s="138" t="s">
        <v>13</v>
      </c>
      <c r="D317" s="138" t="s">
        <v>4717</v>
      </c>
      <c r="E317" s="138" t="s">
        <v>233</v>
      </c>
      <c r="F317" s="28">
        <v>1</v>
      </c>
      <c r="G317" t="s">
        <v>193</v>
      </c>
      <c r="H317" t="s">
        <v>194</v>
      </c>
      <c r="I317" t="s">
        <v>4720</v>
      </c>
      <c r="J317" t="s">
        <v>276</v>
      </c>
      <c r="K317">
        <v>18</v>
      </c>
      <c r="L317" s="28" t="s">
        <v>2125</v>
      </c>
      <c r="M317" s="238" t="str">
        <f t="shared" si="4"/>
        <v>225101</v>
      </c>
      <c r="N317" t="s">
        <v>5299</v>
      </c>
      <c r="O317" t="s">
        <v>4720</v>
      </c>
      <c r="P317">
        <v>1803</v>
      </c>
      <c r="Q317">
        <v>1</v>
      </c>
      <c r="R317" t="s">
        <v>5300</v>
      </c>
      <c r="S317" t="s">
        <v>5301</v>
      </c>
      <c r="T317" t="s">
        <v>4714</v>
      </c>
    </row>
    <row r="318" spans="1:20" customFormat="1" x14ac:dyDescent="0.25">
      <c r="A318" s="138" t="s">
        <v>5291</v>
      </c>
      <c r="B318" s="138" t="s">
        <v>49</v>
      </c>
      <c r="C318" s="138" t="s">
        <v>396</v>
      </c>
      <c r="D318" s="138" t="s">
        <v>4717</v>
      </c>
      <c r="E318" s="138" t="s">
        <v>192</v>
      </c>
      <c r="F318" s="28">
        <v>1</v>
      </c>
      <c r="G318" t="s">
        <v>193</v>
      </c>
      <c r="H318" t="s">
        <v>194</v>
      </c>
      <c r="I318" t="s">
        <v>4720</v>
      </c>
      <c r="J318" t="s">
        <v>210</v>
      </c>
      <c r="K318">
        <v>18</v>
      </c>
      <c r="L318" s="28" t="s">
        <v>397</v>
      </c>
      <c r="M318" s="238" t="str">
        <f t="shared" si="4"/>
        <v>235301</v>
      </c>
      <c r="N318" t="s">
        <v>5292</v>
      </c>
      <c r="O318" t="s">
        <v>4753</v>
      </c>
      <c r="P318">
        <v>1863</v>
      </c>
      <c r="Q318">
        <v>1</v>
      </c>
      <c r="T318" t="s">
        <v>4714</v>
      </c>
    </row>
    <row r="319" spans="1:20" customFormat="1" x14ac:dyDescent="0.25">
      <c r="A319" s="138" t="s">
        <v>1826</v>
      </c>
      <c r="B319" s="138" t="s">
        <v>4997</v>
      </c>
      <c r="C319" s="138" t="s">
        <v>35</v>
      </c>
      <c r="D319" s="138" t="s">
        <v>4717</v>
      </c>
      <c r="E319" s="138" t="s">
        <v>192</v>
      </c>
      <c r="F319" s="28">
        <v>1</v>
      </c>
      <c r="G319" t="s">
        <v>193</v>
      </c>
      <c r="H319" t="s">
        <v>194</v>
      </c>
      <c r="I319" t="s">
        <v>4720</v>
      </c>
      <c r="J319" t="s">
        <v>385</v>
      </c>
      <c r="K319">
        <v>18</v>
      </c>
      <c r="L319" s="28" t="s">
        <v>207</v>
      </c>
      <c r="M319" s="238" t="str">
        <f t="shared" si="4"/>
        <v>122106</v>
      </c>
      <c r="N319" t="s">
        <v>4998</v>
      </c>
      <c r="O319" t="s">
        <v>4753</v>
      </c>
      <c r="P319">
        <v>1861</v>
      </c>
      <c r="Q319">
        <v>1</v>
      </c>
      <c r="T319" t="s">
        <v>4714</v>
      </c>
    </row>
    <row r="320" spans="1:20" customFormat="1" x14ac:dyDescent="0.25">
      <c r="A320" s="138" t="s">
        <v>5438</v>
      </c>
      <c r="B320" s="138" t="s">
        <v>5439</v>
      </c>
      <c r="C320" s="138" t="s">
        <v>5440</v>
      </c>
      <c r="D320" s="138" t="s">
        <v>4717</v>
      </c>
      <c r="E320" s="138" t="s">
        <v>192</v>
      </c>
      <c r="F320" s="28">
        <v>1</v>
      </c>
      <c r="G320" t="s">
        <v>193</v>
      </c>
      <c r="H320" t="s">
        <v>194</v>
      </c>
      <c r="I320" t="s">
        <v>4720</v>
      </c>
      <c r="J320" t="s">
        <v>196</v>
      </c>
      <c r="K320">
        <v>18</v>
      </c>
      <c r="L320" s="28" t="s">
        <v>310</v>
      </c>
      <c r="M320" s="238" t="str">
        <f t="shared" si="4"/>
        <v>214404</v>
      </c>
      <c r="N320" t="s">
        <v>5441</v>
      </c>
      <c r="O320" t="s">
        <v>4753</v>
      </c>
      <c r="Q320">
        <v>25</v>
      </c>
      <c r="T320" t="s">
        <v>4714</v>
      </c>
    </row>
    <row r="321" spans="1:20" customFormat="1" x14ac:dyDescent="0.25">
      <c r="A321" s="138" t="s">
        <v>2404</v>
      </c>
      <c r="B321" s="138" t="s">
        <v>5509</v>
      </c>
      <c r="C321" s="138" t="s">
        <v>525</v>
      </c>
      <c r="D321" s="138" t="s">
        <v>4717</v>
      </c>
      <c r="E321" s="138" t="s">
        <v>233</v>
      </c>
      <c r="F321" s="28">
        <v>1</v>
      </c>
      <c r="G321" t="s">
        <v>193</v>
      </c>
      <c r="H321" t="s">
        <v>194</v>
      </c>
      <c r="I321" t="s">
        <v>4720</v>
      </c>
      <c r="J321" t="s">
        <v>399</v>
      </c>
      <c r="K321">
        <v>18</v>
      </c>
      <c r="L321" s="28" t="s">
        <v>526</v>
      </c>
      <c r="M321" s="238" t="str">
        <f t="shared" si="4"/>
        <v>263102</v>
      </c>
      <c r="N321" t="s">
        <v>5510</v>
      </c>
      <c r="O321" t="s">
        <v>5112</v>
      </c>
      <c r="P321">
        <v>1802</v>
      </c>
      <c r="Q321">
        <v>1</v>
      </c>
      <c r="R321" t="s">
        <v>5511</v>
      </c>
      <c r="S321" t="s">
        <v>5512</v>
      </c>
      <c r="T321" t="s">
        <v>4714</v>
      </c>
    </row>
    <row r="322" spans="1:20" customFormat="1" x14ac:dyDescent="0.25">
      <c r="A322" s="138" t="s">
        <v>2404</v>
      </c>
      <c r="B322" s="138" t="s">
        <v>5509</v>
      </c>
      <c r="C322" s="138" t="s">
        <v>525</v>
      </c>
      <c r="D322" s="138" t="s">
        <v>4717</v>
      </c>
      <c r="E322" s="138" t="s">
        <v>233</v>
      </c>
      <c r="F322" s="28">
        <v>1</v>
      </c>
      <c r="G322" t="s">
        <v>193</v>
      </c>
      <c r="H322" t="s">
        <v>194</v>
      </c>
      <c r="I322" t="s">
        <v>4720</v>
      </c>
      <c r="J322" t="s">
        <v>5513</v>
      </c>
      <c r="K322">
        <v>18</v>
      </c>
      <c r="L322" s="28" t="s">
        <v>526</v>
      </c>
      <c r="M322" s="238" t="str">
        <f t="shared" si="4"/>
        <v>263102</v>
      </c>
      <c r="N322" t="s">
        <v>5514</v>
      </c>
      <c r="O322" t="s">
        <v>5112</v>
      </c>
      <c r="Q322">
        <v>25</v>
      </c>
      <c r="R322" t="s">
        <v>5511</v>
      </c>
      <c r="S322" t="s">
        <v>5512</v>
      </c>
      <c r="T322" t="s">
        <v>4714</v>
      </c>
    </row>
    <row r="323" spans="1:20" customFormat="1" x14ac:dyDescent="0.25">
      <c r="A323" s="138" t="s">
        <v>4856</v>
      </c>
      <c r="B323" s="138" t="s">
        <v>2571</v>
      </c>
      <c r="C323" s="138" t="s">
        <v>740</v>
      </c>
      <c r="D323" s="138" t="s">
        <v>4717</v>
      </c>
      <c r="E323" s="138" t="s">
        <v>192</v>
      </c>
      <c r="F323" s="28">
        <v>1</v>
      </c>
      <c r="G323" t="s">
        <v>193</v>
      </c>
      <c r="H323" t="s">
        <v>194</v>
      </c>
      <c r="I323" t="s">
        <v>4720</v>
      </c>
      <c r="J323" t="s">
        <v>210</v>
      </c>
      <c r="K323">
        <v>18</v>
      </c>
      <c r="L323" s="28" t="s">
        <v>741</v>
      </c>
      <c r="M323" s="238" t="str">
        <f t="shared" si="4"/>
        <v>522301</v>
      </c>
      <c r="N323" t="s">
        <v>4857</v>
      </c>
      <c r="O323" t="s">
        <v>4858</v>
      </c>
      <c r="P323">
        <v>1863</v>
      </c>
      <c r="Q323">
        <v>1</v>
      </c>
      <c r="T323" t="s">
        <v>4714</v>
      </c>
    </row>
    <row r="324" spans="1:20" customFormat="1" x14ac:dyDescent="0.25">
      <c r="A324" s="138" t="s">
        <v>4762</v>
      </c>
      <c r="B324" s="138" t="s">
        <v>1024</v>
      </c>
      <c r="C324" s="138" t="s">
        <v>4763</v>
      </c>
      <c r="D324" s="138" t="s">
        <v>4717</v>
      </c>
      <c r="E324" s="138" t="s">
        <v>233</v>
      </c>
      <c r="F324" s="28">
        <v>1</v>
      </c>
      <c r="G324" t="s">
        <v>193</v>
      </c>
      <c r="H324" t="s">
        <v>194</v>
      </c>
      <c r="I324" t="s">
        <v>4720</v>
      </c>
      <c r="J324" t="s">
        <v>210</v>
      </c>
      <c r="K324">
        <v>18</v>
      </c>
      <c r="L324" s="28" t="s">
        <v>1339</v>
      </c>
      <c r="M324" s="238" t="str">
        <f t="shared" ref="M324:M363" si="5">MID(L324,8,6)</f>
        <v>325511</v>
      </c>
      <c r="N324" t="s">
        <v>4764</v>
      </c>
      <c r="O324" t="s">
        <v>4765</v>
      </c>
      <c r="P324">
        <v>1863</v>
      </c>
      <c r="Q324">
        <v>1</v>
      </c>
      <c r="R324" t="s">
        <v>4766</v>
      </c>
      <c r="S324" t="s">
        <v>4767</v>
      </c>
      <c r="T324" t="s">
        <v>4714</v>
      </c>
    </row>
    <row r="325" spans="1:20" customFormat="1" x14ac:dyDescent="0.25">
      <c r="A325" s="138" t="s">
        <v>1534</v>
      </c>
      <c r="B325" s="138" t="s">
        <v>4801</v>
      </c>
      <c r="C325" s="138" t="s">
        <v>554</v>
      </c>
      <c r="D325" s="138" t="s">
        <v>4717</v>
      </c>
      <c r="E325" s="138" t="s">
        <v>192</v>
      </c>
      <c r="F325" s="28">
        <v>1</v>
      </c>
      <c r="G325" t="s">
        <v>193</v>
      </c>
      <c r="H325" t="s">
        <v>194</v>
      </c>
      <c r="I325" t="s">
        <v>4718</v>
      </c>
      <c r="J325" t="s">
        <v>210</v>
      </c>
      <c r="K325">
        <v>18</v>
      </c>
      <c r="L325" s="28" t="s">
        <v>555</v>
      </c>
      <c r="M325" s="238" t="str">
        <f t="shared" si="5"/>
        <v>311303</v>
      </c>
      <c r="N325" t="s">
        <v>4802</v>
      </c>
      <c r="O325" t="s">
        <v>4737</v>
      </c>
      <c r="P325">
        <v>1863</v>
      </c>
      <c r="Q325">
        <v>1</v>
      </c>
      <c r="T325" t="s">
        <v>4714</v>
      </c>
    </row>
    <row r="326" spans="1:20" customFormat="1" x14ac:dyDescent="0.25">
      <c r="A326" s="138" t="s">
        <v>1534</v>
      </c>
      <c r="B326" s="138" t="s">
        <v>5252</v>
      </c>
      <c r="C326" s="138" t="s">
        <v>5253</v>
      </c>
      <c r="D326" s="138" t="s">
        <v>4717</v>
      </c>
      <c r="E326" s="138" t="s">
        <v>192</v>
      </c>
      <c r="F326" s="28">
        <v>1</v>
      </c>
      <c r="G326" t="s">
        <v>193</v>
      </c>
      <c r="H326" t="s">
        <v>194</v>
      </c>
      <c r="I326" t="s">
        <v>4718</v>
      </c>
      <c r="J326" t="s">
        <v>210</v>
      </c>
      <c r="K326">
        <v>18</v>
      </c>
      <c r="L326" s="28" t="s">
        <v>5254</v>
      </c>
      <c r="M326" s="238" t="str">
        <f t="shared" si="5"/>
        <v>313202</v>
      </c>
      <c r="N326" t="s">
        <v>5255</v>
      </c>
      <c r="O326" t="s">
        <v>4737</v>
      </c>
      <c r="P326">
        <v>1863</v>
      </c>
      <c r="Q326">
        <v>1</v>
      </c>
      <c r="T326" t="s">
        <v>4714</v>
      </c>
    </row>
    <row r="327" spans="1:20" customFormat="1" x14ac:dyDescent="0.25">
      <c r="A327" s="138" t="s">
        <v>1534</v>
      </c>
      <c r="B327" s="138" t="s">
        <v>4564</v>
      </c>
      <c r="C327" s="138" t="s">
        <v>566</v>
      </c>
      <c r="D327" s="138" t="s">
        <v>4717</v>
      </c>
      <c r="E327" s="138" t="s">
        <v>192</v>
      </c>
      <c r="F327" s="28">
        <v>1</v>
      </c>
      <c r="G327" t="s">
        <v>193</v>
      </c>
      <c r="H327" t="s">
        <v>194</v>
      </c>
      <c r="I327" t="s">
        <v>4718</v>
      </c>
      <c r="J327" t="s">
        <v>210</v>
      </c>
      <c r="K327">
        <v>18</v>
      </c>
      <c r="L327" s="28" t="s">
        <v>567</v>
      </c>
      <c r="M327" s="238" t="str">
        <f t="shared" si="5"/>
        <v>311504</v>
      </c>
      <c r="N327" t="s">
        <v>4773</v>
      </c>
      <c r="O327" t="s">
        <v>4737</v>
      </c>
      <c r="P327">
        <v>1863</v>
      </c>
      <c r="Q327">
        <v>1</v>
      </c>
      <c r="T327" t="s">
        <v>4714</v>
      </c>
    </row>
    <row r="328" spans="1:20" customFormat="1" x14ac:dyDescent="0.25">
      <c r="A328" s="138" t="s">
        <v>1534</v>
      </c>
      <c r="B328" s="138" t="s">
        <v>4794</v>
      </c>
      <c r="C328" s="138" t="s">
        <v>770</v>
      </c>
      <c r="D328" s="138" t="s">
        <v>4717</v>
      </c>
      <c r="E328" s="138" t="s">
        <v>192</v>
      </c>
      <c r="F328" s="28">
        <v>1</v>
      </c>
      <c r="G328" t="s">
        <v>193</v>
      </c>
      <c r="H328" t="s">
        <v>194</v>
      </c>
      <c r="I328" t="s">
        <v>4718</v>
      </c>
      <c r="J328" t="s">
        <v>210</v>
      </c>
      <c r="K328">
        <v>18</v>
      </c>
      <c r="L328" s="28" t="s">
        <v>772</v>
      </c>
      <c r="M328" s="238" t="str">
        <f t="shared" si="5"/>
        <v>522305</v>
      </c>
      <c r="N328" t="s">
        <v>4795</v>
      </c>
      <c r="O328" t="s">
        <v>4737</v>
      </c>
      <c r="P328">
        <v>1863</v>
      </c>
      <c r="Q328">
        <v>1</v>
      </c>
      <c r="T328" t="s">
        <v>4714</v>
      </c>
    </row>
    <row r="329" spans="1:20" customFormat="1" x14ac:dyDescent="0.25">
      <c r="A329" s="138" t="s">
        <v>1534</v>
      </c>
      <c r="B329" s="138" t="s">
        <v>4930</v>
      </c>
      <c r="C329" s="138" t="s">
        <v>43</v>
      </c>
      <c r="D329" s="138" t="s">
        <v>4717</v>
      </c>
      <c r="E329" s="138" t="s">
        <v>192</v>
      </c>
      <c r="F329" s="28">
        <v>1</v>
      </c>
      <c r="G329" t="s">
        <v>193</v>
      </c>
      <c r="H329" t="s">
        <v>194</v>
      </c>
      <c r="I329" t="s">
        <v>4738</v>
      </c>
      <c r="J329" t="s">
        <v>210</v>
      </c>
      <c r="K329">
        <v>18</v>
      </c>
      <c r="L329" s="28" t="s">
        <v>452</v>
      </c>
      <c r="M329" s="238" t="str">
        <f t="shared" si="5"/>
        <v>243106</v>
      </c>
      <c r="N329" t="s">
        <v>4931</v>
      </c>
      <c r="O329" t="s">
        <v>4737</v>
      </c>
      <c r="P329">
        <v>1863</v>
      </c>
      <c r="Q329">
        <v>1</v>
      </c>
      <c r="T329" t="s">
        <v>4714</v>
      </c>
    </row>
    <row r="330" spans="1:20" customFormat="1" x14ac:dyDescent="0.25">
      <c r="A330" s="138" t="s">
        <v>1534</v>
      </c>
      <c r="B330" s="138" t="s">
        <v>5449</v>
      </c>
      <c r="C330" s="138" t="s">
        <v>362</v>
      </c>
      <c r="D330" s="138" t="s">
        <v>4717</v>
      </c>
      <c r="E330" s="138" t="s">
        <v>192</v>
      </c>
      <c r="F330" s="28">
        <v>1</v>
      </c>
      <c r="G330" t="s">
        <v>193</v>
      </c>
      <c r="H330" t="s">
        <v>194</v>
      </c>
      <c r="I330" t="s">
        <v>4738</v>
      </c>
      <c r="J330" t="s">
        <v>210</v>
      </c>
      <c r="K330">
        <v>18</v>
      </c>
      <c r="L330" s="28" t="s">
        <v>363</v>
      </c>
      <c r="M330" s="238" t="str">
        <f t="shared" si="5"/>
        <v>215104</v>
      </c>
      <c r="N330" t="s">
        <v>5450</v>
      </c>
      <c r="O330" t="s">
        <v>4737</v>
      </c>
      <c r="P330">
        <v>1863</v>
      </c>
      <c r="Q330">
        <v>1</v>
      </c>
      <c r="T330" t="s">
        <v>4714</v>
      </c>
    </row>
    <row r="331" spans="1:20" customFormat="1" x14ac:dyDescent="0.25">
      <c r="A331" s="138" t="s">
        <v>4990</v>
      </c>
      <c r="B331" s="138" t="s">
        <v>212</v>
      </c>
      <c r="C331" s="138" t="s">
        <v>35</v>
      </c>
      <c r="D331" s="138" t="s">
        <v>4717</v>
      </c>
      <c r="E331" s="138" t="s">
        <v>233</v>
      </c>
      <c r="F331" s="28">
        <v>1</v>
      </c>
      <c r="G331" t="s">
        <v>193</v>
      </c>
      <c r="H331" t="s">
        <v>194</v>
      </c>
      <c r="I331" t="s">
        <v>4738</v>
      </c>
      <c r="J331" t="s">
        <v>210</v>
      </c>
      <c r="K331">
        <v>18</v>
      </c>
      <c r="L331" s="28" t="s">
        <v>207</v>
      </c>
      <c r="M331" s="238" t="str">
        <f t="shared" si="5"/>
        <v>122106</v>
      </c>
      <c r="N331" t="s">
        <v>4991</v>
      </c>
      <c r="O331" t="s">
        <v>4753</v>
      </c>
      <c r="P331">
        <v>1863</v>
      </c>
      <c r="Q331">
        <v>1</v>
      </c>
      <c r="R331" t="s">
        <v>4992</v>
      </c>
      <c r="S331" t="s">
        <v>4993</v>
      </c>
      <c r="T331" t="s">
        <v>4714</v>
      </c>
    </row>
    <row r="332" spans="1:20" customFormat="1" x14ac:dyDescent="0.25">
      <c r="A332" s="138" t="s">
        <v>4757</v>
      </c>
      <c r="B332" s="138" t="s">
        <v>4758</v>
      </c>
      <c r="C332" s="138" t="s">
        <v>4759</v>
      </c>
      <c r="D332" s="138" t="s">
        <v>4717</v>
      </c>
      <c r="E332" s="138" t="s">
        <v>192</v>
      </c>
      <c r="F332" s="28">
        <v>1</v>
      </c>
      <c r="G332" t="s">
        <v>193</v>
      </c>
      <c r="H332" t="s">
        <v>194</v>
      </c>
      <c r="I332" t="s">
        <v>4718</v>
      </c>
      <c r="J332" t="s">
        <v>210</v>
      </c>
      <c r="K332">
        <v>18</v>
      </c>
      <c r="L332" s="28" t="s">
        <v>4760</v>
      </c>
      <c r="M332" s="238" t="str">
        <f t="shared" si="5"/>
        <v>311604</v>
      </c>
      <c r="N332" t="s">
        <v>4761</v>
      </c>
      <c r="O332" t="s">
        <v>4738</v>
      </c>
      <c r="P332">
        <v>1863</v>
      </c>
      <c r="Q332">
        <v>1</v>
      </c>
      <c r="T332" t="s">
        <v>4714</v>
      </c>
    </row>
    <row r="333" spans="1:20" customFormat="1" x14ac:dyDescent="0.25">
      <c r="A333" s="138" t="s">
        <v>619</v>
      </c>
      <c r="B333" s="138" t="s">
        <v>620</v>
      </c>
      <c r="C333" s="138" t="s">
        <v>17</v>
      </c>
      <c r="D333" s="138" t="s">
        <v>4717</v>
      </c>
      <c r="E333" s="138" t="s">
        <v>192</v>
      </c>
      <c r="F333" s="28">
        <v>1</v>
      </c>
      <c r="G333" t="s">
        <v>193</v>
      </c>
      <c r="H333" t="s">
        <v>194</v>
      </c>
      <c r="I333" t="s">
        <v>4720</v>
      </c>
      <c r="J333" t="s">
        <v>408</v>
      </c>
      <c r="K333">
        <v>18</v>
      </c>
      <c r="L333" s="28" t="s">
        <v>624</v>
      </c>
      <c r="M333" s="238" t="str">
        <f t="shared" si="5"/>
        <v>332203</v>
      </c>
      <c r="N333" t="s">
        <v>5042</v>
      </c>
      <c r="O333" t="s">
        <v>4753</v>
      </c>
      <c r="P333">
        <v>1864</v>
      </c>
      <c r="Q333">
        <v>1</v>
      </c>
      <c r="T333" t="s">
        <v>4714</v>
      </c>
    </row>
    <row r="334" spans="1:20" customFormat="1" x14ac:dyDescent="0.25">
      <c r="A334" s="138" t="s">
        <v>457</v>
      </c>
      <c r="B334" s="138" t="s">
        <v>5559</v>
      </c>
      <c r="C334" s="138" t="s">
        <v>420</v>
      </c>
      <c r="D334" s="138" t="s">
        <v>4717</v>
      </c>
      <c r="E334" s="138" t="s">
        <v>192</v>
      </c>
      <c r="F334" s="28">
        <v>1</v>
      </c>
      <c r="G334" t="s">
        <v>193</v>
      </c>
      <c r="H334" t="s">
        <v>194</v>
      </c>
      <c r="I334" t="s">
        <v>4718</v>
      </c>
      <c r="J334" t="s">
        <v>210</v>
      </c>
      <c r="K334">
        <v>18</v>
      </c>
      <c r="L334" s="28" t="s">
        <v>421</v>
      </c>
      <c r="M334" s="238" t="str">
        <f t="shared" si="5"/>
        <v>241306</v>
      </c>
      <c r="N334" t="s">
        <v>5560</v>
      </c>
      <c r="O334" t="s">
        <v>5020</v>
      </c>
      <c r="P334">
        <v>1863</v>
      </c>
      <c r="Q334">
        <v>1</v>
      </c>
      <c r="T334" t="s">
        <v>4714</v>
      </c>
    </row>
    <row r="335" spans="1:20" customFormat="1" x14ac:dyDescent="0.25">
      <c r="A335" s="138" t="s">
        <v>493</v>
      </c>
      <c r="B335" s="138" t="s">
        <v>5103</v>
      </c>
      <c r="C335" s="138" t="s">
        <v>10</v>
      </c>
      <c r="D335" s="138" t="s">
        <v>4717</v>
      </c>
      <c r="E335" s="138" t="s">
        <v>192</v>
      </c>
      <c r="F335" s="28">
        <v>1</v>
      </c>
      <c r="G335" t="s">
        <v>193</v>
      </c>
      <c r="H335" t="s">
        <v>194</v>
      </c>
      <c r="I335" t="s">
        <v>4720</v>
      </c>
      <c r="J335" t="s">
        <v>210</v>
      </c>
      <c r="K335">
        <v>18</v>
      </c>
      <c r="L335" s="28" t="s">
        <v>484</v>
      </c>
      <c r="M335" s="238" t="str">
        <f t="shared" si="5"/>
        <v>251401</v>
      </c>
      <c r="N335" t="s">
        <v>5104</v>
      </c>
      <c r="O335" t="s">
        <v>4775</v>
      </c>
      <c r="P335">
        <v>1863</v>
      </c>
      <c r="Q335">
        <v>1</v>
      </c>
      <c r="T335" t="s">
        <v>4714</v>
      </c>
    </row>
    <row r="336" spans="1:20" customFormat="1" x14ac:dyDescent="0.25">
      <c r="A336" s="138" t="s">
        <v>493</v>
      </c>
      <c r="B336" s="138" t="s">
        <v>5101</v>
      </c>
      <c r="C336" s="138" t="s">
        <v>10</v>
      </c>
      <c r="D336" s="138" t="s">
        <v>4717</v>
      </c>
      <c r="E336" s="138" t="s">
        <v>192</v>
      </c>
      <c r="F336" s="28">
        <v>1</v>
      </c>
      <c r="G336" t="s">
        <v>193</v>
      </c>
      <c r="H336" t="s">
        <v>194</v>
      </c>
      <c r="I336" t="s">
        <v>4718</v>
      </c>
      <c r="J336" t="s">
        <v>210</v>
      </c>
      <c r="K336">
        <v>18</v>
      </c>
      <c r="L336" s="28" t="s">
        <v>484</v>
      </c>
      <c r="M336" s="238" t="str">
        <f t="shared" si="5"/>
        <v>251401</v>
      </c>
      <c r="N336" t="s">
        <v>5102</v>
      </c>
      <c r="O336" t="s">
        <v>4775</v>
      </c>
      <c r="P336">
        <v>1863</v>
      </c>
      <c r="Q336">
        <v>1</v>
      </c>
      <c r="T336" t="s">
        <v>4714</v>
      </c>
    </row>
    <row r="337" spans="1:20" customFormat="1" x14ac:dyDescent="0.25">
      <c r="A337" s="138" t="s">
        <v>2118</v>
      </c>
      <c r="B337" s="138" t="s">
        <v>821</v>
      </c>
      <c r="C337" s="138" t="s">
        <v>822</v>
      </c>
      <c r="D337" s="138" t="s">
        <v>4717</v>
      </c>
      <c r="E337" s="138" t="s">
        <v>192</v>
      </c>
      <c r="F337" s="28">
        <v>1</v>
      </c>
      <c r="G337" t="s">
        <v>193</v>
      </c>
      <c r="H337" t="s">
        <v>194</v>
      </c>
      <c r="I337" t="s">
        <v>4738</v>
      </c>
      <c r="J337" t="s">
        <v>238</v>
      </c>
      <c r="K337">
        <v>18</v>
      </c>
      <c r="L337" s="28" t="s">
        <v>823</v>
      </c>
      <c r="M337" s="238" t="str">
        <f t="shared" si="5"/>
        <v>741103</v>
      </c>
      <c r="N337" t="s">
        <v>5499</v>
      </c>
      <c r="O337" t="s">
        <v>4746</v>
      </c>
      <c r="P337">
        <v>1816</v>
      </c>
      <c r="Q337">
        <v>1</v>
      </c>
      <c r="T337" t="s">
        <v>4714</v>
      </c>
    </row>
    <row r="338" spans="1:20" customFormat="1" x14ac:dyDescent="0.25">
      <c r="A338" s="138" t="s">
        <v>992</v>
      </c>
      <c r="B338" s="138" t="s">
        <v>943</v>
      </c>
      <c r="C338" s="138" t="s">
        <v>62</v>
      </c>
      <c r="D338" s="138" t="s">
        <v>4717</v>
      </c>
      <c r="E338" s="138" t="s">
        <v>192</v>
      </c>
      <c r="F338" s="28">
        <v>1</v>
      </c>
      <c r="G338" t="s">
        <v>193</v>
      </c>
      <c r="H338" t="s">
        <v>194</v>
      </c>
      <c r="I338" t="s">
        <v>4718</v>
      </c>
      <c r="J338" t="s">
        <v>210</v>
      </c>
      <c r="K338">
        <v>18</v>
      </c>
      <c r="L338" s="28" t="s">
        <v>601</v>
      </c>
      <c r="M338" s="238" t="str">
        <f t="shared" si="5"/>
        <v>313904</v>
      </c>
      <c r="N338" t="s">
        <v>5193</v>
      </c>
      <c r="O338" t="s">
        <v>4737</v>
      </c>
      <c r="P338">
        <v>1863</v>
      </c>
      <c r="Q338">
        <v>1</v>
      </c>
      <c r="T338" t="s">
        <v>4714</v>
      </c>
    </row>
    <row r="339" spans="1:20" customFormat="1" x14ac:dyDescent="0.25">
      <c r="A339" s="138" t="s">
        <v>2567</v>
      </c>
      <c r="B339" s="138" t="s">
        <v>1344</v>
      </c>
      <c r="C339" s="138" t="s">
        <v>51</v>
      </c>
      <c r="D339" s="138" t="s">
        <v>4717</v>
      </c>
      <c r="E339" s="138" t="s">
        <v>192</v>
      </c>
      <c r="F339" s="28">
        <v>1</v>
      </c>
      <c r="G339" t="s">
        <v>193</v>
      </c>
      <c r="H339" t="s">
        <v>194</v>
      </c>
      <c r="I339" t="s">
        <v>4718</v>
      </c>
      <c r="J339" t="s">
        <v>2183</v>
      </c>
      <c r="K339">
        <v>18</v>
      </c>
      <c r="L339" s="28" t="s">
        <v>904</v>
      </c>
      <c r="M339" s="238" t="str">
        <f t="shared" si="5"/>
        <v>523002</v>
      </c>
      <c r="N339" t="s">
        <v>5410</v>
      </c>
      <c r="O339" t="s">
        <v>4885</v>
      </c>
      <c r="P339" t="s">
        <v>5411</v>
      </c>
      <c r="Q339">
        <v>7</v>
      </c>
      <c r="T339" t="s">
        <v>4714</v>
      </c>
    </row>
    <row r="340" spans="1:20" customFormat="1" x14ac:dyDescent="0.25">
      <c r="A340" s="138" t="s">
        <v>2567</v>
      </c>
      <c r="B340" s="138" t="s">
        <v>2015</v>
      </c>
      <c r="C340" s="138" t="s">
        <v>875</v>
      </c>
      <c r="D340" s="138" t="s">
        <v>4717</v>
      </c>
      <c r="E340" s="138" t="s">
        <v>192</v>
      </c>
      <c r="F340" s="28">
        <v>1</v>
      </c>
      <c r="G340" t="s">
        <v>193</v>
      </c>
      <c r="H340" t="s">
        <v>194</v>
      </c>
      <c r="I340" t="s">
        <v>4718</v>
      </c>
      <c r="J340" t="s">
        <v>408</v>
      </c>
      <c r="K340">
        <v>18</v>
      </c>
      <c r="L340" s="28" t="s">
        <v>876</v>
      </c>
      <c r="M340" s="238" t="str">
        <f t="shared" si="5"/>
        <v>833203</v>
      </c>
      <c r="N340" t="s">
        <v>5397</v>
      </c>
      <c r="O340" t="s">
        <v>4885</v>
      </c>
      <c r="P340">
        <v>1864</v>
      </c>
      <c r="Q340">
        <v>1</v>
      </c>
      <c r="T340" t="s">
        <v>4714</v>
      </c>
    </row>
    <row r="341" spans="1:20" customFormat="1" x14ac:dyDescent="0.25">
      <c r="A341" s="138" t="s">
        <v>2567</v>
      </c>
      <c r="B341" s="138" t="s">
        <v>261</v>
      </c>
      <c r="C341" s="138" t="s">
        <v>74</v>
      </c>
      <c r="D341" s="138" t="s">
        <v>4717</v>
      </c>
      <c r="E341" s="138" t="s">
        <v>192</v>
      </c>
      <c r="F341" s="28">
        <v>1</v>
      </c>
      <c r="G341" t="s">
        <v>193</v>
      </c>
      <c r="H341" t="s">
        <v>194</v>
      </c>
      <c r="I341" t="s">
        <v>4720</v>
      </c>
      <c r="J341" t="s">
        <v>5357</v>
      </c>
      <c r="K341">
        <v>18</v>
      </c>
      <c r="L341" s="28" t="s">
        <v>246</v>
      </c>
      <c r="M341" s="238" t="str">
        <f t="shared" si="5"/>
        <v>142004</v>
      </c>
      <c r="N341" t="s">
        <v>5358</v>
      </c>
      <c r="O341" t="s">
        <v>4709</v>
      </c>
      <c r="P341">
        <v>1804</v>
      </c>
      <c r="Q341">
        <v>1</v>
      </c>
      <c r="T341" t="s">
        <v>4714</v>
      </c>
    </row>
    <row r="342" spans="1:20" customFormat="1" x14ac:dyDescent="0.25">
      <c r="A342" s="138" t="s">
        <v>2567</v>
      </c>
      <c r="B342" s="138" t="s">
        <v>67</v>
      </c>
      <c r="C342" s="138" t="s">
        <v>67</v>
      </c>
      <c r="D342" s="138" t="s">
        <v>4717</v>
      </c>
      <c r="E342" s="138" t="s">
        <v>192</v>
      </c>
      <c r="F342" s="28">
        <v>1</v>
      </c>
      <c r="G342" t="s">
        <v>193</v>
      </c>
      <c r="H342" t="s">
        <v>194</v>
      </c>
      <c r="I342" t="s">
        <v>4738</v>
      </c>
      <c r="J342" t="s">
        <v>408</v>
      </c>
      <c r="K342">
        <v>18</v>
      </c>
      <c r="L342" s="28" t="s">
        <v>709</v>
      </c>
      <c r="M342" s="238" t="str">
        <f t="shared" si="5"/>
        <v>432103</v>
      </c>
      <c r="N342" t="s">
        <v>5281</v>
      </c>
      <c r="O342" t="s">
        <v>4885</v>
      </c>
      <c r="P342">
        <v>1864</v>
      </c>
      <c r="Q342">
        <v>1</v>
      </c>
      <c r="T342" t="s">
        <v>4714</v>
      </c>
    </row>
    <row r="343" spans="1:20" customFormat="1" x14ac:dyDescent="0.25">
      <c r="A343" s="138" t="s">
        <v>2567</v>
      </c>
      <c r="B343" s="138" t="s">
        <v>1616</v>
      </c>
      <c r="C343" s="138" t="s">
        <v>740</v>
      </c>
      <c r="D343" s="138" t="s">
        <v>4717</v>
      </c>
      <c r="E343" s="138" t="s">
        <v>192</v>
      </c>
      <c r="F343" s="28">
        <v>1</v>
      </c>
      <c r="G343" t="s">
        <v>193</v>
      </c>
      <c r="H343" t="s">
        <v>194</v>
      </c>
      <c r="I343" t="s">
        <v>4720</v>
      </c>
      <c r="J343" t="s">
        <v>2183</v>
      </c>
      <c r="K343">
        <v>18</v>
      </c>
      <c r="L343" s="28" t="s">
        <v>741</v>
      </c>
      <c r="M343" s="238" t="str">
        <f t="shared" si="5"/>
        <v>522301</v>
      </c>
      <c r="N343" t="s">
        <v>4854</v>
      </c>
      <c r="O343" t="s">
        <v>4709</v>
      </c>
      <c r="P343" t="s">
        <v>4855</v>
      </c>
      <c r="Q343">
        <v>7</v>
      </c>
      <c r="T343" t="s">
        <v>4714</v>
      </c>
    </row>
    <row r="344" spans="1:20" customFormat="1" x14ac:dyDescent="0.25">
      <c r="A344" s="138" t="s">
        <v>2567</v>
      </c>
      <c r="B344" s="138" t="s">
        <v>1057</v>
      </c>
      <c r="C344" s="138" t="s">
        <v>74</v>
      </c>
      <c r="D344" s="138" t="s">
        <v>4717</v>
      </c>
      <c r="E344" s="138" t="s">
        <v>192</v>
      </c>
      <c r="F344" s="28">
        <v>3</v>
      </c>
      <c r="G344" t="s">
        <v>193</v>
      </c>
      <c r="H344" t="s">
        <v>194</v>
      </c>
      <c r="I344" t="s">
        <v>4738</v>
      </c>
      <c r="J344" t="s">
        <v>385</v>
      </c>
      <c r="K344">
        <v>18</v>
      </c>
      <c r="L344" s="28" t="s">
        <v>246</v>
      </c>
      <c r="M344" s="238" t="str">
        <f t="shared" si="5"/>
        <v>142004</v>
      </c>
      <c r="N344" t="s">
        <v>5355</v>
      </c>
      <c r="O344" t="s">
        <v>5128</v>
      </c>
      <c r="P344" t="s">
        <v>5356</v>
      </c>
      <c r="Q344">
        <v>3</v>
      </c>
      <c r="T344" t="s">
        <v>4714</v>
      </c>
    </row>
    <row r="345" spans="1:20" customFormat="1" x14ac:dyDescent="0.25">
      <c r="A345" s="138" t="s">
        <v>4732</v>
      </c>
      <c r="B345" s="138" t="s">
        <v>4733</v>
      </c>
      <c r="C345" s="138" t="s">
        <v>4734</v>
      </c>
      <c r="D345" s="138" t="s">
        <v>4717</v>
      </c>
      <c r="E345" s="138" t="s">
        <v>192</v>
      </c>
      <c r="F345" s="28">
        <v>1</v>
      </c>
      <c r="G345" t="s">
        <v>193</v>
      </c>
      <c r="H345" t="s">
        <v>194</v>
      </c>
      <c r="I345" t="s">
        <v>4718</v>
      </c>
      <c r="J345" t="s">
        <v>210</v>
      </c>
      <c r="K345">
        <v>18</v>
      </c>
      <c r="L345" s="28" t="s">
        <v>4735</v>
      </c>
      <c r="M345" s="238" t="str">
        <f t="shared" si="5"/>
        <v>214110</v>
      </c>
      <c r="N345" t="s">
        <v>4736</v>
      </c>
      <c r="O345" t="s">
        <v>4737</v>
      </c>
      <c r="P345">
        <v>1863</v>
      </c>
      <c r="Q345">
        <v>1</v>
      </c>
      <c r="T345" t="s">
        <v>4714</v>
      </c>
    </row>
    <row r="346" spans="1:20" customFormat="1" x14ac:dyDescent="0.25">
      <c r="A346" s="138" t="s">
        <v>3290</v>
      </c>
      <c r="B346" s="138" t="s">
        <v>5033</v>
      </c>
      <c r="C346" s="138" t="s">
        <v>17</v>
      </c>
      <c r="D346" s="138" t="s">
        <v>4717</v>
      </c>
      <c r="E346" s="138" t="s">
        <v>192</v>
      </c>
      <c r="F346" s="28">
        <v>1</v>
      </c>
      <c r="G346" t="s">
        <v>193</v>
      </c>
      <c r="H346" t="s">
        <v>194</v>
      </c>
      <c r="I346" t="s">
        <v>4718</v>
      </c>
      <c r="J346" t="s">
        <v>276</v>
      </c>
      <c r="K346">
        <v>18</v>
      </c>
      <c r="L346" s="28" t="s">
        <v>624</v>
      </c>
      <c r="M346" s="238" t="str">
        <f t="shared" si="5"/>
        <v>332203</v>
      </c>
      <c r="N346" t="s">
        <v>5034</v>
      </c>
      <c r="O346" t="s">
        <v>4737</v>
      </c>
      <c r="P346">
        <v>1803.1804999999999</v>
      </c>
      <c r="Q346">
        <v>2</v>
      </c>
      <c r="T346" t="s">
        <v>4714</v>
      </c>
    </row>
    <row r="347" spans="1:20" customFormat="1" x14ac:dyDescent="0.25">
      <c r="A347" s="138" t="s">
        <v>1568</v>
      </c>
      <c r="B347" s="138" t="s">
        <v>831</v>
      </c>
      <c r="C347" s="138" t="s">
        <v>829</v>
      </c>
      <c r="D347" s="138" t="s">
        <v>4717</v>
      </c>
      <c r="E347" s="138" t="s">
        <v>192</v>
      </c>
      <c r="F347" s="28">
        <v>1</v>
      </c>
      <c r="G347" t="s">
        <v>193</v>
      </c>
      <c r="H347" t="s">
        <v>194</v>
      </c>
      <c r="I347" t="s">
        <v>4738</v>
      </c>
      <c r="J347" t="s">
        <v>276</v>
      </c>
      <c r="K347">
        <v>18</v>
      </c>
      <c r="L347" s="28" t="s">
        <v>830</v>
      </c>
      <c r="M347" s="238" t="str">
        <f t="shared" si="5"/>
        <v>741201</v>
      </c>
      <c r="N347" t="s">
        <v>5504</v>
      </c>
      <c r="O347" t="s">
        <v>4775</v>
      </c>
      <c r="P347">
        <v>1803</v>
      </c>
      <c r="Q347">
        <v>1</v>
      </c>
      <c r="T347" t="s">
        <v>4714</v>
      </c>
    </row>
    <row r="348" spans="1:20" customFormat="1" x14ac:dyDescent="0.25">
      <c r="A348" s="138" t="s">
        <v>2259</v>
      </c>
      <c r="B348" s="138" t="s">
        <v>5110</v>
      </c>
      <c r="C348" s="138" t="s">
        <v>10</v>
      </c>
      <c r="D348" s="138" t="s">
        <v>4717</v>
      </c>
      <c r="E348" s="138" t="s">
        <v>233</v>
      </c>
      <c r="F348" s="28">
        <v>1</v>
      </c>
      <c r="G348" t="s">
        <v>193</v>
      </c>
      <c r="H348" t="s">
        <v>194</v>
      </c>
      <c r="I348" t="s">
        <v>4720</v>
      </c>
      <c r="J348" t="s">
        <v>210</v>
      </c>
      <c r="K348">
        <v>18</v>
      </c>
      <c r="L348" s="28" t="s">
        <v>484</v>
      </c>
      <c r="M348" s="238" t="str">
        <f t="shared" si="5"/>
        <v>251401</v>
      </c>
      <c r="N348" t="s">
        <v>5111</v>
      </c>
      <c r="O348" t="s">
        <v>5112</v>
      </c>
      <c r="P348">
        <v>1863</v>
      </c>
      <c r="Q348">
        <v>1</v>
      </c>
      <c r="R348" t="s">
        <v>5113</v>
      </c>
      <c r="S348" t="s">
        <v>5114</v>
      </c>
      <c r="T348" t="s">
        <v>4714</v>
      </c>
    </row>
    <row r="349" spans="1:20" customFormat="1" x14ac:dyDescent="0.25">
      <c r="A349" s="138" t="s">
        <v>263</v>
      </c>
      <c r="B349" s="138" t="s">
        <v>537</v>
      </c>
      <c r="C349" s="138" t="s">
        <v>778</v>
      </c>
      <c r="D349" s="138" t="s">
        <v>4717</v>
      </c>
      <c r="E349" s="138" t="s">
        <v>217</v>
      </c>
      <c r="F349" s="28">
        <v>1</v>
      </c>
      <c r="G349" t="s">
        <v>193</v>
      </c>
      <c r="H349" t="s">
        <v>194</v>
      </c>
      <c r="I349" t="s">
        <v>4738</v>
      </c>
      <c r="J349" t="s">
        <v>316</v>
      </c>
      <c r="K349">
        <v>18</v>
      </c>
      <c r="L349" s="28" t="s">
        <v>779</v>
      </c>
      <c r="M349" s="238" t="str">
        <f t="shared" si="5"/>
        <v>524902</v>
      </c>
      <c r="N349" t="s">
        <v>5531</v>
      </c>
      <c r="O349" t="s">
        <v>5278</v>
      </c>
      <c r="P349">
        <v>1818</v>
      </c>
      <c r="Q349">
        <v>1</v>
      </c>
      <c r="R349" t="s">
        <v>4903</v>
      </c>
      <c r="S349" t="s">
        <v>4904</v>
      </c>
      <c r="T349" t="s">
        <v>4714</v>
      </c>
    </row>
    <row r="350" spans="1:20" customFormat="1" x14ac:dyDescent="0.25">
      <c r="A350" s="138" t="s">
        <v>581</v>
      </c>
      <c r="B350" s="138" t="s">
        <v>5328</v>
      </c>
      <c r="C350" s="138" t="s">
        <v>5326</v>
      </c>
      <c r="D350" s="138" t="s">
        <v>4717</v>
      </c>
      <c r="E350" s="138" t="s">
        <v>233</v>
      </c>
      <c r="F350" s="28">
        <v>1</v>
      </c>
      <c r="G350" t="s">
        <v>193</v>
      </c>
      <c r="H350" t="s">
        <v>194</v>
      </c>
      <c r="I350" t="s">
        <v>4718</v>
      </c>
      <c r="J350" t="s">
        <v>253</v>
      </c>
      <c r="K350">
        <v>18</v>
      </c>
      <c r="L350" s="28" t="s">
        <v>584</v>
      </c>
      <c r="M350" s="238" t="str">
        <f t="shared" si="5"/>
        <v>311937</v>
      </c>
      <c r="N350" t="s">
        <v>5329</v>
      </c>
      <c r="O350" t="s">
        <v>4720</v>
      </c>
      <c r="P350">
        <v>1811</v>
      </c>
      <c r="Q350">
        <v>1</v>
      </c>
      <c r="R350" t="s">
        <v>5330</v>
      </c>
      <c r="S350" t="s">
        <v>5331</v>
      </c>
      <c r="T350" t="s">
        <v>4714</v>
      </c>
    </row>
    <row r="351" spans="1:20" customFormat="1" x14ac:dyDescent="0.25">
      <c r="A351" s="138" t="s">
        <v>581</v>
      </c>
      <c r="B351" s="138" t="s">
        <v>3710</v>
      </c>
      <c r="C351" s="138" t="s">
        <v>67</v>
      </c>
      <c r="D351" s="138" t="s">
        <v>4717</v>
      </c>
      <c r="E351" s="138" t="s">
        <v>233</v>
      </c>
      <c r="F351" s="28">
        <v>1</v>
      </c>
      <c r="G351" t="s">
        <v>193</v>
      </c>
      <c r="H351" t="s">
        <v>194</v>
      </c>
      <c r="I351" t="s">
        <v>4718</v>
      </c>
      <c r="J351" t="s">
        <v>253</v>
      </c>
      <c r="K351">
        <v>18</v>
      </c>
      <c r="L351" s="28" t="s">
        <v>709</v>
      </c>
      <c r="M351" s="238" t="str">
        <f t="shared" si="5"/>
        <v>432103</v>
      </c>
      <c r="N351" t="s">
        <v>5264</v>
      </c>
      <c r="O351" t="s">
        <v>4720</v>
      </c>
      <c r="P351">
        <v>1811</v>
      </c>
      <c r="Q351">
        <v>1</v>
      </c>
      <c r="R351" t="s">
        <v>5265</v>
      </c>
      <c r="S351" t="s">
        <v>5266</v>
      </c>
      <c r="T351" t="s">
        <v>4714</v>
      </c>
    </row>
    <row r="352" spans="1:20" customFormat="1" x14ac:dyDescent="0.25">
      <c r="A352" s="138" t="s">
        <v>581</v>
      </c>
      <c r="B352" s="138" t="s">
        <v>5189</v>
      </c>
      <c r="C352" s="138" t="s">
        <v>4293</v>
      </c>
      <c r="D352" s="138" t="s">
        <v>4717</v>
      </c>
      <c r="E352" s="138" t="s">
        <v>233</v>
      </c>
      <c r="F352" s="28">
        <v>1</v>
      </c>
      <c r="G352" t="s">
        <v>193</v>
      </c>
      <c r="H352" t="s">
        <v>194</v>
      </c>
      <c r="I352" t="s">
        <v>4718</v>
      </c>
      <c r="J352" t="s">
        <v>253</v>
      </c>
      <c r="K352">
        <v>18</v>
      </c>
      <c r="L352" s="28" t="s">
        <v>4295</v>
      </c>
      <c r="M352" s="238" t="str">
        <f t="shared" si="5"/>
        <v>834317</v>
      </c>
      <c r="N352" t="s">
        <v>5190</v>
      </c>
      <c r="O352" t="s">
        <v>4720</v>
      </c>
      <c r="P352">
        <v>1811</v>
      </c>
      <c r="Q352">
        <v>1</v>
      </c>
      <c r="R352" t="s">
        <v>5191</v>
      </c>
      <c r="S352" t="s">
        <v>5192</v>
      </c>
      <c r="T352" t="s">
        <v>4714</v>
      </c>
    </row>
    <row r="353" spans="1:20" customFormat="1" x14ac:dyDescent="0.25">
      <c r="A353" s="138" t="s">
        <v>581</v>
      </c>
      <c r="B353" s="138" t="s">
        <v>5239</v>
      </c>
      <c r="C353" s="138" t="s">
        <v>5240</v>
      </c>
      <c r="D353" s="138" t="s">
        <v>4717</v>
      </c>
      <c r="E353" s="138" t="s">
        <v>233</v>
      </c>
      <c r="F353" s="28">
        <v>1</v>
      </c>
      <c r="G353" t="s">
        <v>193</v>
      </c>
      <c r="H353" t="s">
        <v>194</v>
      </c>
      <c r="I353" t="s">
        <v>4718</v>
      </c>
      <c r="J353" t="s">
        <v>253</v>
      </c>
      <c r="K353">
        <v>18</v>
      </c>
      <c r="L353" s="28" t="s">
        <v>5241</v>
      </c>
      <c r="M353" s="238" t="str">
        <f t="shared" si="5"/>
        <v>751401</v>
      </c>
      <c r="N353" t="s">
        <v>5242</v>
      </c>
      <c r="O353" t="s">
        <v>4720</v>
      </c>
      <c r="P353">
        <v>1811</v>
      </c>
      <c r="Q353">
        <v>1</v>
      </c>
      <c r="R353" t="s">
        <v>5243</v>
      </c>
      <c r="S353" t="s">
        <v>5244</v>
      </c>
      <c r="T353" t="s">
        <v>4714</v>
      </c>
    </row>
    <row r="354" spans="1:20" customFormat="1" x14ac:dyDescent="0.25">
      <c r="A354" s="138" t="s">
        <v>581</v>
      </c>
      <c r="B354" s="138" t="s">
        <v>5401</v>
      </c>
      <c r="C354" s="138" t="s">
        <v>886</v>
      </c>
      <c r="D354" s="138" t="s">
        <v>4717</v>
      </c>
      <c r="E354" s="138" t="s">
        <v>217</v>
      </c>
      <c r="F354" s="28">
        <v>1</v>
      </c>
      <c r="G354" t="s">
        <v>193</v>
      </c>
      <c r="H354" t="s">
        <v>194</v>
      </c>
      <c r="I354" t="s">
        <v>4718</v>
      </c>
      <c r="J354" t="s">
        <v>253</v>
      </c>
      <c r="K354">
        <v>18</v>
      </c>
      <c r="L354" s="28" t="s">
        <v>887</v>
      </c>
      <c r="M354" s="238" t="str">
        <f t="shared" si="5"/>
        <v>834401</v>
      </c>
      <c r="N354" t="s">
        <v>5402</v>
      </c>
      <c r="O354" t="s">
        <v>4902</v>
      </c>
      <c r="P354">
        <v>1811</v>
      </c>
      <c r="Q354">
        <v>1</v>
      </c>
      <c r="R354" t="s">
        <v>4903</v>
      </c>
      <c r="S354" t="s">
        <v>4904</v>
      </c>
      <c r="T354" t="s">
        <v>4714</v>
      </c>
    </row>
    <row r="355" spans="1:20" customFormat="1" x14ac:dyDescent="0.25">
      <c r="A355" s="138" t="s">
        <v>581</v>
      </c>
      <c r="B355" s="138" t="s">
        <v>669</v>
      </c>
      <c r="C355" s="138" t="s">
        <v>119</v>
      </c>
      <c r="D355" s="138" t="s">
        <v>4717</v>
      </c>
      <c r="E355" s="138" t="s">
        <v>217</v>
      </c>
      <c r="F355" s="28">
        <v>1</v>
      </c>
      <c r="G355" t="s">
        <v>193</v>
      </c>
      <c r="H355" t="s">
        <v>194</v>
      </c>
      <c r="I355" t="s">
        <v>4718</v>
      </c>
      <c r="J355" t="s">
        <v>253</v>
      </c>
      <c r="K355">
        <v>18</v>
      </c>
      <c r="L355" s="28" t="s">
        <v>666</v>
      </c>
      <c r="M355" s="238" t="str">
        <f t="shared" si="5"/>
        <v>333105</v>
      </c>
      <c r="N355" t="s">
        <v>4901</v>
      </c>
      <c r="O355" t="s">
        <v>4902</v>
      </c>
      <c r="P355">
        <v>1811</v>
      </c>
      <c r="Q355">
        <v>1</v>
      </c>
      <c r="R355" t="s">
        <v>4903</v>
      </c>
      <c r="S355" t="s">
        <v>4904</v>
      </c>
      <c r="T355" t="s">
        <v>4714</v>
      </c>
    </row>
    <row r="356" spans="1:20" customFormat="1" x14ac:dyDescent="0.25">
      <c r="A356" s="138" t="s">
        <v>581</v>
      </c>
      <c r="B356" s="138" t="s">
        <v>4695</v>
      </c>
      <c r="C356" s="138" t="s">
        <v>2929</v>
      </c>
      <c r="D356" s="138" t="s">
        <v>4717</v>
      </c>
      <c r="E356" s="138" t="s">
        <v>233</v>
      </c>
      <c r="F356" s="28">
        <v>1</v>
      </c>
      <c r="G356" t="s">
        <v>193</v>
      </c>
      <c r="H356" t="s">
        <v>194</v>
      </c>
      <c r="I356" t="s">
        <v>4738</v>
      </c>
      <c r="J356" t="s">
        <v>253</v>
      </c>
      <c r="K356">
        <v>18</v>
      </c>
      <c r="L356" s="28" t="s">
        <v>4696</v>
      </c>
      <c r="M356" s="238" t="str">
        <f t="shared" si="5"/>
        <v>722314</v>
      </c>
      <c r="N356" t="s">
        <v>4739</v>
      </c>
      <c r="O356" t="s">
        <v>4720</v>
      </c>
      <c r="P356">
        <v>1811</v>
      </c>
      <c r="Q356">
        <v>1</v>
      </c>
      <c r="R356" t="s">
        <v>4740</v>
      </c>
      <c r="S356" t="s">
        <v>4741</v>
      </c>
      <c r="T356" t="s">
        <v>4714</v>
      </c>
    </row>
    <row r="357" spans="1:20" customFormat="1" x14ac:dyDescent="0.25">
      <c r="A357" s="138" t="s">
        <v>613</v>
      </c>
      <c r="B357" s="138" t="s">
        <v>1069</v>
      </c>
      <c r="C357" s="138" t="s">
        <v>5152</v>
      </c>
      <c r="D357" s="138" t="s">
        <v>4717</v>
      </c>
      <c r="E357" s="138" t="s">
        <v>233</v>
      </c>
      <c r="F357" s="28">
        <v>1</v>
      </c>
      <c r="G357" t="s">
        <v>193</v>
      </c>
      <c r="H357" t="s">
        <v>194</v>
      </c>
      <c r="I357" t="s">
        <v>4720</v>
      </c>
      <c r="J357" t="s">
        <v>210</v>
      </c>
      <c r="K357">
        <v>18</v>
      </c>
      <c r="L357" s="28" t="s">
        <v>5153</v>
      </c>
      <c r="M357" s="238" t="str">
        <f t="shared" si="5"/>
        <v>431202</v>
      </c>
      <c r="N357" t="s">
        <v>5154</v>
      </c>
      <c r="O357" t="s">
        <v>5155</v>
      </c>
      <c r="P357">
        <v>1863</v>
      </c>
      <c r="Q357">
        <v>1</v>
      </c>
      <c r="R357" t="s">
        <v>5156</v>
      </c>
      <c r="S357" t="s">
        <v>5157</v>
      </c>
      <c r="T357" t="s">
        <v>4714</v>
      </c>
    </row>
    <row r="358" spans="1:20" customFormat="1" x14ac:dyDescent="0.25">
      <c r="A358" s="138" t="s">
        <v>4926</v>
      </c>
      <c r="B358" s="138" t="s">
        <v>5562</v>
      </c>
      <c r="C358" s="138" t="s">
        <v>111</v>
      </c>
      <c r="D358" s="138" t="s">
        <v>4717</v>
      </c>
      <c r="E358" s="138" t="s">
        <v>192</v>
      </c>
      <c r="F358" s="28">
        <v>1</v>
      </c>
      <c r="G358" t="s">
        <v>193</v>
      </c>
      <c r="H358" t="s">
        <v>194</v>
      </c>
      <c r="I358" t="s">
        <v>4738</v>
      </c>
      <c r="J358" t="s">
        <v>210</v>
      </c>
      <c r="K358">
        <v>18</v>
      </c>
      <c r="L358" s="28" t="s">
        <v>612</v>
      </c>
      <c r="M358" s="238" t="str">
        <f t="shared" si="5"/>
        <v>332101</v>
      </c>
      <c r="N358" t="s">
        <v>5563</v>
      </c>
      <c r="O358" t="s">
        <v>4765</v>
      </c>
      <c r="P358">
        <v>1863</v>
      </c>
      <c r="Q358">
        <v>1</v>
      </c>
      <c r="T358" t="s">
        <v>4714</v>
      </c>
    </row>
    <row r="359" spans="1:20" customFormat="1" x14ac:dyDescent="0.25">
      <c r="A359" s="138" t="s">
        <v>5021</v>
      </c>
      <c r="B359" s="138" t="s">
        <v>5022</v>
      </c>
      <c r="C359" s="138" t="s">
        <v>468</v>
      </c>
      <c r="D359" s="138" t="s">
        <v>4717</v>
      </c>
      <c r="E359" s="138" t="s">
        <v>192</v>
      </c>
      <c r="F359" s="28">
        <v>1</v>
      </c>
      <c r="G359" t="s">
        <v>193</v>
      </c>
      <c r="H359" t="s">
        <v>194</v>
      </c>
      <c r="I359" t="s">
        <v>4718</v>
      </c>
      <c r="J359" t="s">
        <v>210</v>
      </c>
      <c r="K359">
        <v>18</v>
      </c>
      <c r="L359" s="28" t="s">
        <v>469</v>
      </c>
      <c r="M359" s="238" t="str">
        <f t="shared" si="5"/>
        <v>243303</v>
      </c>
      <c r="N359" t="s">
        <v>5023</v>
      </c>
      <c r="O359" t="s">
        <v>4775</v>
      </c>
      <c r="P359">
        <v>1863</v>
      </c>
      <c r="Q359">
        <v>1</v>
      </c>
      <c r="T359" t="s">
        <v>4714</v>
      </c>
    </row>
    <row r="360" spans="1:20" customFormat="1" x14ac:dyDescent="0.25">
      <c r="A360" s="138" t="s">
        <v>5039</v>
      </c>
      <c r="B360" s="138" t="s">
        <v>5040</v>
      </c>
      <c r="C360" s="138" t="s">
        <v>17</v>
      </c>
      <c r="D360" s="138" t="s">
        <v>4717</v>
      </c>
      <c r="E360" s="138" t="s">
        <v>192</v>
      </c>
      <c r="F360" s="28">
        <v>1</v>
      </c>
      <c r="G360" t="s">
        <v>193</v>
      </c>
      <c r="H360" t="s">
        <v>194</v>
      </c>
      <c r="I360" t="s">
        <v>4720</v>
      </c>
      <c r="J360" t="s">
        <v>238</v>
      </c>
      <c r="K360">
        <v>18</v>
      </c>
      <c r="L360" s="28" t="s">
        <v>624</v>
      </c>
      <c r="M360" s="238" t="str">
        <f t="shared" si="5"/>
        <v>332203</v>
      </c>
      <c r="N360" t="s">
        <v>5041</v>
      </c>
      <c r="O360" t="s">
        <v>4753</v>
      </c>
      <c r="Q360">
        <v>25</v>
      </c>
      <c r="T360" t="s">
        <v>4714</v>
      </c>
    </row>
    <row r="361" spans="1:20" customFormat="1" x14ac:dyDescent="0.25">
      <c r="A361" s="138" t="s">
        <v>999</v>
      </c>
      <c r="B361" s="138" t="s">
        <v>1000</v>
      </c>
      <c r="C361" s="138" t="s">
        <v>521</v>
      </c>
      <c r="D361" s="138" t="s">
        <v>4717</v>
      </c>
      <c r="E361" s="138" t="s">
        <v>233</v>
      </c>
      <c r="F361" s="28">
        <v>1</v>
      </c>
      <c r="G361" t="s">
        <v>193</v>
      </c>
      <c r="H361" t="s">
        <v>194</v>
      </c>
      <c r="I361" t="s">
        <v>4720</v>
      </c>
      <c r="J361" t="s">
        <v>210</v>
      </c>
      <c r="K361">
        <v>18</v>
      </c>
      <c r="L361" s="28" t="s">
        <v>522</v>
      </c>
      <c r="M361" s="238" t="str">
        <f t="shared" si="5"/>
        <v>261901</v>
      </c>
      <c r="N361" t="s">
        <v>5554</v>
      </c>
      <c r="O361" t="s">
        <v>5142</v>
      </c>
      <c r="P361">
        <v>1863</v>
      </c>
      <c r="Q361">
        <v>1</v>
      </c>
      <c r="R361" t="s">
        <v>5555</v>
      </c>
      <c r="S361" t="s">
        <v>5556</v>
      </c>
      <c r="T361" t="s">
        <v>4714</v>
      </c>
    </row>
    <row r="362" spans="1:20" customFormat="1" x14ac:dyDescent="0.25">
      <c r="A362" s="138" t="s">
        <v>999</v>
      </c>
      <c r="B362" s="138" t="s">
        <v>2675</v>
      </c>
      <c r="C362" s="138" t="s">
        <v>700</v>
      </c>
      <c r="D362" s="138" t="s">
        <v>4717</v>
      </c>
      <c r="E362" s="138" t="s">
        <v>233</v>
      </c>
      <c r="F362" s="28">
        <v>1</v>
      </c>
      <c r="G362" t="s">
        <v>193</v>
      </c>
      <c r="H362" t="s">
        <v>194</v>
      </c>
      <c r="I362" t="s">
        <v>4720</v>
      </c>
      <c r="J362" t="s">
        <v>4751</v>
      </c>
      <c r="K362">
        <v>18</v>
      </c>
      <c r="L362" s="28" t="s">
        <v>701</v>
      </c>
      <c r="M362" s="238" t="str">
        <f t="shared" si="5"/>
        <v>411003</v>
      </c>
      <c r="N362" t="s">
        <v>5141</v>
      </c>
      <c r="O362" t="s">
        <v>5142</v>
      </c>
      <c r="P362">
        <v>1862</v>
      </c>
      <c r="Q362">
        <v>1</v>
      </c>
      <c r="R362" t="s">
        <v>5143</v>
      </c>
      <c r="S362" t="s">
        <v>5144</v>
      </c>
      <c r="T362" t="s">
        <v>4714</v>
      </c>
    </row>
    <row r="363" spans="1:20" customFormat="1" x14ac:dyDescent="0.25">
      <c r="A363" s="138" t="s">
        <v>4715</v>
      </c>
      <c r="B363" s="138" t="s">
        <v>4716</v>
      </c>
      <c r="C363" s="138" t="s">
        <v>1384</v>
      </c>
      <c r="D363" s="138" t="s">
        <v>4717</v>
      </c>
      <c r="E363" s="138" t="s">
        <v>192</v>
      </c>
      <c r="F363" s="28">
        <v>1</v>
      </c>
      <c r="G363" t="s">
        <v>193</v>
      </c>
      <c r="H363" t="s">
        <v>194</v>
      </c>
      <c r="I363" t="s">
        <v>4718</v>
      </c>
      <c r="J363" t="s">
        <v>210</v>
      </c>
      <c r="K363">
        <v>18</v>
      </c>
      <c r="L363" s="28" t="s">
        <v>1385</v>
      </c>
      <c r="M363" s="238" t="str">
        <f t="shared" si="5"/>
        <v>235915</v>
      </c>
      <c r="N363" t="s">
        <v>4719</v>
      </c>
      <c r="O363" t="s">
        <v>4720</v>
      </c>
      <c r="P363">
        <v>1863</v>
      </c>
      <c r="Q363">
        <v>1</v>
      </c>
      <c r="T363" t="s">
        <v>4714</v>
      </c>
    </row>
  </sheetData>
  <autoFilter ref="A2:U363"/>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240" customWidth="1"/>
    <col min="2" max="2" width="9.140625" style="240"/>
    <col min="3" max="3" width="26.5703125" style="240" customWidth="1"/>
    <col min="4" max="5" width="9.140625" style="240"/>
    <col min="6" max="6" width="5.140625" style="241" customWidth="1"/>
    <col min="7" max="7" width="15.85546875" style="258" customWidth="1"/>
    <col min="8" max="8" width="17.5703125" style="261" customWidth="1"/>
    <col min="9" max="9" width="9.140625" style="261"/>
    <col min="10" max="10" width="9.140625" style="259"/>
    <col min="11" max="11" width="9.140625" style="261"/>
    <col min="12" max="12" width="12" style="240" customWidth="1"/>
    <col min="13" max="13" width="10" style="240" customWidth="1"/>
    <col min="14" max="14" width="14.28515625" style="261" customWidth="1"/>
    <col min="15" max="18" width="9.140625" style="261"/>
    <col min="19" max="19" width="9.140625" style="259"/>
    <col min="20" max="20" width="13.5703125" style="261" customWidth="1"/>
    <col min="21" max="21" width="20.28515625" style="241" customWidth="1"/>
    <col min="22" max="22" width="2.5703125" style="192" customWidth="1"/>
    <col min="23" max="23" width="10.140625" style="192" customWidth="1"/>
    <col min="24" max="24" width="10.7109375" style="192" customWidth="1"/>
    <col min="25" max="25" width="2.7109375" style="192" customWidth="1"/>
    <col min="26" max="26" width="4.28515625" style="248" customWidth="1"/>
    <col min="27" max="27" width="48" style="192" customWidth="1"/>
    <col min="28" max="28" width="3" style="192" customWidth="1"/>
    <col min="29" max="29" width="16" style="192" customWidth="1"/>
    <col min="30" max="30" width="47.5703125" style="248" customWidth="1"/>
    <col min="31" max="31" width="5.28515625" style="192" customWidth="1"/>
    <col min="32" max="32" width="5.85546875" style="192" customWidth="1"/>
    <col min="33" max="33" width="6.42578125" style="192" customWidth="1"/>
    <col min="34" max="34" width="5.5703125" style="192" customWidth="1"/>
    <col min="35" max="35" width="5.85546875" style="192" customWidth="1"/>
    <col min="36" max="16384" width="9.140625" style="192"/>
  </cols>
  <sheetData>
    <row r="1" spans="1:31" s="261" customFormat="1" x14ac:dyDescent="0.25">
      <c r="A1" s="263">
        <v>1</v>
      </c>
      <c r="B1" s="263">
        <v>2</v>
      </c>
      <c r="C1" s="263">
        <v>3</v>
      </c>
      <c r="D1" s="263">
        <v>4</v>
      </c>
      <c r="E1" s="263">
        <v>5</v>
      </c>
      <c r="F1" s="263">
        <v>6</v>
      </c>
      <c r="G1" s="263">
        <v>7</v>
      </c>
      <c r="H1" s="263">
        <v>8</v>
      </c>
      <c r="I1" s="263">
        <v>9</v>
      </c>
      <c r="J1" s="263">
        <v>10</v>
      </c>
      <c r="K1" s="263">
        <v>11</v>
      </c>
      <c r="L1" s="263">
        <v>12</v>
      </c>
      <c r="M1" s="263">
        <v>13</v>
      </c>
      <c r="N1" s="263">
        <v>14</v>
      </c>
      <c r="O1" s="263">
        <v>15</v>
      </c>
      <c r="P1" s="263">
        <v>16</v>
      </c>
      <c r="Q1" s="263">
        <v>17</v>
      </c>
      <c r="R1" s="263">
        <v>18</v>
      </c>
      <c r="S1" s="263">
        <v>19</v>
      </c>
      <c r="T1" s="263">
        <v>20</v>
      </c>
      <c r="U1" s="262">
        <v>21</v>
      </c>
      <c r="Z1" s="284" t="s">
        <v>6537</v>
      </c>
      <c r="AA1" s="285"/>
      <c r="AB1" s="286"/>
      <c r="AC1" s="287" t="s">
        <v>6538</v>
      </c>
      <c r="AD1" s="284"/>
      <c r="AE1" s="286"/>
    </row>
    <row r="2" spans="1:31" x14ac:dyDescent="0.25">
      <c r="A2" s="251" t="s">
        <v>176</v>
      </c>
      <c r="B2" s="251" t="s">
        <v>177</v>
      </c>
      <c r="C2" s="264" t="s">
        <v>6524</v>
      </c>
      <c r="D2" s="251" t="s">
        <v>179</v>
      </c>
      <c r="E2" s="251" t="s">
        <v>900</v>
      </c>
      <c r="F2" s="255" t="s">
        <v>181</v>
      </c>
      <c r="G2" s="257" t="s">
        <v>182</v>
      </c>
      <c r="H2" s="260" t="s">
        <v>183</v>
      </c>
      <c r="I2" s="260" t="s">
        <v>184</v>
      </c>
      <c r="J2" s="252" t="s">
        <v>185</v>
      </c>
      <c r="K2" s="260" t="s">
        <v>186</v>
      </c>
      <c r="L2" s="252" t="s">
        <v>4700</v>
      </c>
      <c r="M2" s="264" t="s">
        <v>6391</v>
      </c>
      <c r="N2" s="265" t="s">
        <v>4702</v>
      </c>
      <c r="O2" s="265" t="s">
        <v>187</v>
      </c>
      <c r="P2" s="265" t="s">
        <v>4703</v>
      </c>
      <c r="Q2" s="265" t="s">
        <v>4704</v>
      </c>
      <c r="R2" s="265" t="s">
        <v>4705</v>
      </c>
      <c r="S2" s="264" t="s">
        <v>4706</v>
      </c>
      <c r="T2" s="265" t="s">
        <v>4701</v>
      </c>
      <c r="U2" s="250" t="s">
        <v>6525</v>
      </c>
      <c r="Z2" s="293" t="s">
        <v>6536</v>
      </c>
      <c r="AA2" s="254" t="s">
        <v>6531</v>
      </c>
      <c r="AB2" s="286"/>
      <c r="AC2" s="254" t="s">
        <v>6535</v>
      </c>
      <c r="AD2" s="253" t="s">
        <v>6531</v>
      </c>
      <c r="AE2" s="293" t="s">
        <v>6534</v>
      </c>
    </row>
    <row r="3" spans="1:31" x14ac:dyDescent="0.25">
      <c r="A3" s="266" t="s">
        <v>712</v>
      </c>
      <c r="B3" s="266" t="s">
        <v>5992</v>
      </c>
      <c r="C3" s="266" t="s">
        <v>74</v>
      </c>
      <c r="D3" s="266" t="s">
        <v>5989</v>
      </c>
      <c r="E3" s="266" t="s">
        <v>192</v>
      </c>
      <c r="F3" s="267">
        <v>1</v>
      </c>
      <c r="G3" s="268" t="s">
        <v>193</v>
      </c>
      <c r="H3" s="267" t="s">
        <v>194</v>
      </c>
      <c r="I3" s="267" t="s">
        <v>5990</v>
      </c>
      <c r="J3" s="266" t="s">
        <v>316</v>
      </c>
      <c r="K3" s="267">
        <v>18</v>
      </c>
      <c r="L3" s="266" t="s">
        <v>5993</v>
      </c>
      <c r="M3" s="266" t="s">
        <v>6251</v>
      </c>
      <c r="N3" s="267">
        <v>1818</v>
      </c>
      <c r="O3" s="267" t="s">
        <v>246</v>
      </c>
      <c r="P3" s="267">
        <v>1</v>
      </c>
      <c r="Q3" s="267"/>
      <c r="R3" s="267"/>
      <c r="S3" s="266" t="s">
        <v>4714</v>
      </c>
      <c r="T3" s="267" t="s">
        <v>5994</v>
      </c>
      <c r="U3" s="245" t="str">
        <f>MID(O3,8,6)</f>
        <v>142004</v>
      </c>
      <c r="W3" s="187" t="s">
        <v>1071</v>
      </c>
      <c r="X3" s="154">
        <f>COUNTIF(H3:H251,"zaznaczone")</f>
        <v>4</v>
      </c>
      <c r="Z3" s="263">
        <v>1</v>
      </c>
      <c r="AA3" s="282" t="s">
        <v>176</v>
      </c>
      <c r="AB3" s="286"/>
      <c r="AC3" s="288">
        <v>10</v>
      </c>
      <c r="AD3" s="283" t="s">
        <v>185</v>
      </c>
      <c r="AE3" s="263">
        <v>1</v>
      </c>
    </row>
    <row r="4" spans="1:31" x14ac:dyDescent="0.25">
      <c r="A4" s="266" t="s">
        <v>5634</v>
      </c>
      <c r="B4" s="266" t="s">
        <v>5635</v>
      </c>
      <c r="C4" s="266" t="s">
        <v>6108</v>
      </c>
      <c r="D4" s="266" t="s">
        <v>5989</v>
      </c>
      <c r="E4" s="266" t="s">
        <v>233</v>
      </c>
      <c r="F4" s="267">
        <v>1</v>
      </c>
      <c r="G4" s="268" t="s">
        <v>193</v>
      </c>
      <c r="H4" s="267" t="s">
        <v>194</v>
      </c>
      <c r="I4" s="267" t="s">
        <v>5990</v>
      </c>
      <c r="J4" s="266" t="s">
        <v>196</v>
      </c>
      <c r="K4" s="267">
        <v>18</v>
      </c>
      <c r="L4" s="266" t="s">
        <v>6109</v>
      </c>
      <c r="M4" s="266" t="s">
        <v>6275</v>
      </c>
      <c r="N4" s="269" t="s">
        <v>6540</v>
      </c>
      <c r="O4" s="267" t="s">
        <v>3727</v>
      </c>
      <c r="P4" s="267">
        <v>25</v>
      </c>
      <c r="Q4" s="267" t="s">
        <v>5637</v>
      </c>
      <c r="R4" s="267" t="s">
        <v>5638</v>
      </c>
      <c r="S4" s="266" t="s">
        <v>4714</v>
      </c>
      <c r="T4" s="267" t="s">
        <v>5965</v>
      </c>
      <c r="U4" s="245" t="str">
        <f t="shared" ref="U4:U67" si="0">MID(O4,8,6)</f>
        <v>311511</v>
      </c>
      <c r="W4" s="187" t="s">
        <v>1070</v>
      </c>
      <c r="X4" s="154">
        <f>COUNTIF(H3:H251,"niezaznaczone")</f>
        <v>245</v>
      </c>
      <c r="Z4" s="263">
        <v>2</v>
      </c>
      <c r="AA4" s="282" t="s">
        <v>177</v>
      </c>
      <c r="AB4" s="286"/>
      <c r="AC4" s="288">
        <v>12</v>
      </c>
      <c r="AD4" s="283" t="s">
        <v>4700</v>
      </c>
      <c r="AE4" s="263">
        <v>2</v>
      </c>
    </row>
    <row r="5" spans="1:31" x14ac:dyDescent="0.25">
      <c r="A5" s="266" t="s">
        <v>6171</v>
      </c>
      <c r="B5" s="266" t="s">
        <v>6172</v>
      </c>
      <c r="C5" s="266" t="s">
        <v>85</v>
      </c>
      <c r="D5" s="266" t="s">
        <v>5989</v>
      </c>
      <c r="E5" s="266" t="s">
        <v>233</v>
      </c>
      <c r="F5" s="267">
        <v>1</v>
      </c>
      <c r="G5" s="268" t="s">
        <v>193</v>
      </c>
      <c r="H5" s="267" t="s">
        <v>194</v>
      </c>
      <c r="I5" s="267" t="s">
        <v>5990</v>
      </c>
      <c r="J5" s="266" t="s">
        <v>6173</v>
      </c>
      <c r="K5" s="267">
        <v>18</v>
      </c>
      <c r="L5" s="266" t="s">
        <v>6174</v>
      </c>
      <c r="M5" s="266" t="s">
        <v>6249</v>
      </c>
      <c r="N5" s="267">
        <v>1863</v>
      </c>
      <c r="O5" s="267" t="s">
        <v>477</v>
      </c>
      <c r="P5" s="267">
        <v>1</v>
      </c>
      <c r="Q5" s="267" t="s">
        <v>6365</v>
      </c>
      <c r="R5" s="267" t="s">
        <v>6366</v>
      </c>
      <c r="S5" s="266" t="s">
        <v>4714</v>
      </c>
      <c r="T5" s="267" t="s">
        <v>5965</v>
      </c>
      <c r="U5" s="245" t="str">
        <f t="shared" si="0"/>
        <v>243305</v>
      </c>
      <c r="W5" s="189" t="s">
        <v>1072</v>
      </c>
      <c r="X5" s="190">
        <f>SUM(X3:X4)</f>
        <v>249</v>
      </c>
      <c r="Z5" s="263">
        <v>3</v>
      </c>
      <c r="AA5" s="289" t="s">
        <v>6532</v>
      </c>
      <c r="AB5" s="286"/>
      <c r="AC5" s="291">
        <v>3</v>
      </c>
      <c r="AD5" s="292" t="s">
        <v>6532</v>
      </c>
      <c r="AE5" s="291">
        <v>3</v>
      </c>
    </row>
    <row r="6" spans="1:31" x14ac:dyDescent="0.25">
      <c r="A6" s="266" t="s">
        <v>406</v>
      </c>
      <c r="B6" s="266" t="s">
        <v>4342</v>
      </c>
      <c r="C6" s="266" t="s">
        <v>1661</v>
      </c>
      <c r="D6" s="266" t="s">
        <v>5989</v>
      </c>
      <c r="E6" s="266" t="s">
        <v>233</v>
      </c>
      <c r="F6" s="267">
        <v>1</v>
      </c>
      <c r="G6" s="268" t="s">
        <v>193</v>
      </c>
      <c r="H6" s="267" t="s">
        <v>194</v>
      </c>
      <c r="I6" s="267" t="s">
        <v>5966</v>
      </c>
      <c r="J6" s="266" t="s">
        <v>1043</v>
      </c>
      <c r="K6" s="267">
        <v>18</v>
      </c>
      <c r="L6" s="266" t="s">
        <v>6214</v>
      </c>
      <c r="M6" s="266" t="s">
        <v>6254</v>
      </c>
      <c r="N6" s="267">
        <v>1863</v>
      </c>
      <c r="O6" s="267" t="s">
        <v>1662</v>
      </c>
      <c r="P6" s="267">
        <v>1</v>
      </c>
      <c r="Q6" s="267" t="s">
        <v>6541</v>
      </c>
      <c r="R6" s="267" t="s">
        <v>6542</v>
      </c>
      <c r="S6" s="266" t="s">
        <v>4714</v>
      </c>
      <c r="T6" s="267" t="s">
        <v>5965</v>
      </c>
      <c r="U6" s="245" t="str">
        <f t="shared" si="0"/>
        <v>241202</v>
      </c>
      <c r="W6" s="188" t="s">
        <v>1073</v>
      </c>
      <c r="X6" s="154">
        <f>SUM(F3:F251)</f>
        <v>258</v>
      </c>
      <c r="Z6" s="263">
        <v>4</v>
      </c>
      <c r="AA6" s="282" t="s">
        <v>179</v>
      </c>
      <c r="AB6" s="286"/>
      <c r="AC6" s="288">
        <v>4</v>
      </c>
      <c r="AD6" s="282" t="s">
        <v>179</v>
      </c>
      <c r="AE6" s="263">
        <v>4</v>
      </c>
    </row>
    <row r="7" spans="1:31" x14ac:dyDescent="0.25">
      <c r="A7" s="266" t="s">
        <v>6110</v>
      </c>
      <c r="B7" s="266" t="s">
        <v>6111</v>
      </c>
      <c r="C7" s="266" t="s">
        <v>468</v>
      </c>
      <c r="D7" s="266" t="s">
        <v>5989</v>
      </c>
      <c r="E7" s="266" t="s">
        <v>233</v>
      </c>
      <c r="F7" s="267">
        <v>1</v>
      </c>
      <c r="G7" s="268" t="s">
        <v>193</v>
      </c>
      <c r="H7" s="267" t="s">
        <v>194</v>
      </c>
      <c r="I7" s="267" t="s">
        <v>5990</v>
      </c>
      <c r="J7" s="266" t="s">
        <v>196</v>
      </c>
      <c r="K7" s="267">
        <v>18</v>
      </c>
      <c r="L7" s="266" t="s">
        <v>6112</v>
      </c>
      <c r="M7" s="266" t="s">
        <v>6288</v>
      </c>
      <c r="N7" s="269" t="s">
        <v>6540</v>
      </c>
      <c r="O7" s="267" t="s">
        <v>469</v>
      </c>
      <c r="P7" s="267">
        <v>25</v>
      </c>
      <c r="Q7" s="267" t="s">
        <v>6345</v>
      </c>
      <c r="R7" s="267" t="s">
        <v>6346</v>
      </c>
      <c r="S7" s="266" t="s">
        <v>4714</v>
      </c>
      <c r="T7" s="267" t="s">
        <v>5965</v>
      </c>
      <c r="U7" s="245" t="str">
        <f t="shared" si="0"/>
        <v>243303</v>
      </c>
      <c r="W7" s="189" t="s">
        <v>4475</v>
      </c>
      <c r="X7" s="190">
        <f>ROWS(A3:A251)</f>
        <v>249</v>
      </c>
      <c r="Z7" s="263">
        <v>5</v>
      </c>
      <c r="AA7" s="282" t="s">
        <v>900</v>
      </c>
      <c r="AB7" s="286"/>
      <c r="AC7" s="288">
        <v>9</v>
      </c>
      <c r="AD7" s="283" t="s">
        <v>184</v>
      </c>
      <c r="AE7" s="263">
        <v>5</v>
      </c>
    </row>
    <row r="8" spans="1:31" x14ac:dyDescent="0.25">
      <c r="A8" s="266" t="s">
        <v>1692</v>
      </c>
      <c r="B8" s="266" t="s">
        <v>1693</v>
      </c>
      <c r="C8" s="266" t="s">
        <v>17</v>
      </c>
      <c r="D8" s="266" t="s">
        <v>5989</v>
      </c>
      <c r="E8" s="266" t="s">
        <v>192</v>
      </c>
      <c r="F8" s="267">
        <v>1</v>
      </c>
      <c r="G8" s="268" t="s">
        <v>193</v>
      </c>
      <c r="H8" s="267" t="s">
        <v>194</v>
      </c>
      <c r="I8" s="267" t="s">
        <v>6009</v>
      </c>
      <c r="J8" s="266" t="s">
        <v>276</v>
      </c>
      <c r="K8" s="267">
        <v>18</v>
      </c>
      <c r="L8" s="266" t="s">
        <v>6204</v>
      </c>
      <c r="M8" s="266" t="s">
        <v>6269</v>
      </c>
      <c r="N8" s="267" t="s">
        <v>6381</v>
      </c>
      <c r="O8" s="267" t="s">
        <v>624</v>
      </c>
      <c r="P8" s="267">
        <v>7</v>
      </c>
      <c r="Q8" s="267"/>
      <c r="R8" s="267"/>
      <c r="S8" s="266" t="s">
        <v>4714</v>
      </c>
      <c r="T8" s="267" t="s">
        <v>5990</v>
      </c>
      <c r="U8" s="245" t="str">
        <f t="shared" si="0"/>
        <v>332203</v>
      </c>
      <c r="W8" s="187" t="s">
        <v>5584</v>
      </c>
      <c r="X8" s="154" t="str">
        <f>IF(X5=X7,"zgadza się","Błąd")</f>
        <v>zgadza się</v>
      </c>
      <c r="Z8" s="263">
        <v>6</v>
      </c>
      <c r="AA8" s="282" t="s">
        <v>181</v>
      </c>
      <c r="AB8" s="286"/>
      <c r="AC8" s="288">
        <v>20</v>
      </c>
      <c r="AD8" s="283" t="s">
        <v>4701</v>
      </c>
      <c r="AE8" s="263">
        <v>6</v>
      </c>
    </row>
    <row r="9" spans="1:31" x14ac:dyDescent="0.25">
      <c r="A9" s="266" t="s">
        <v>5941</v>
      </c>
      <c r="B9" s="266" t="s">
        <v>6237</v>
      </c>
      <c r="C9" s="266" t="s">
        <v>4034</v>
      </c>
      <c r="D9" s="266" t="s">
        <v>5989</v>
      </c>
      <c r="E9" s="266" t="s">
        <v>192</v>
      </c>
      <c r="F9" s="267">
        <v>1</v>
      </c>
      <c r="G9" s="268" t="s">
        <v>193</v>
      </c>
      <c r="H9" s="267" t="s">
        <v>194</v>
      </c>
      <c r="I9" s="267" t="s">
        <v>5966</v>
      </c>
      <c r="J9" s="266" t="s">
        <v>210</v>
      </c>
      <c r="K9" s="267">
        <v>18</v>
      </c>
      <c r="L9" s="266" t="s">
        <v>6238</v>
      </c>
      <c r="M9" s="266" t="s">
        <v>6286</v>
      </c>
      <c r="N9" s="267">
        <v>1863</v>
      </c>
      <c r="O9" s="267" t="s">
        <v>4035</v>
      </c>
      <c r="P9" s="267">
        <v>1</v>
      </c>
      <c r="Q9" s="267"/>
      <c r="R9" s="267"/>
      <c r="S9" s="266" t="s">
        <v>4714</v>
      </c>
      <c r="T9" s="267" t="s">
        <v>5990</v>
      </c>
      <c r="U9" s="245" t="str">
        <f t="shared" si="0"/>
        <v>422602</v>
      </c>
      <c r="Z9" s="263">
        <v>7</v>
      </c>
      <c r="AA9" s="283" t="s">
        <v>182</v>
      </c>
      <c r="AB9" s="286"/>
      <c r="AC9" s="288">
        <v>11</v>
      </c>
      <c r="AD9" s="283" t="s">
        <v>186</v>
      </c>
      <c r="AE9" s="263">
        <v>7</v>
      </c>
    </row>
    <row r="10" spans="1:31" x14ac:dyDescent="0.25">
      <c r="A10" s="266" t="s">
        <v>1970</v>
      </c>
      <c r="B10" s="266" t="s">
        <v>6221</v>
      </c>
      <c r="C10" s="266" t="s">
        <v>39</v>
      </c>
      <c r="D10" s="266" t="s">
        <v>5989</v>
      </c>
      <c r="E10" s="266" t="s">
        <v>192</v>
      </c>
      <c r="F10" s="267">
        <v>1</v>
      </c>
      <c r="G10" s="268" t="s">
        <v>193</v>
      </c>
      <c r="H10" s="267" t="s">
        <v>194</v>
      </c>
      <c r="I10" s="267" t="s">
        <v>5966</v>
      </c>
      <c r="J10" s="266" t="s">
        <v>210</v>
      </c>
      <c r="K10" s="267">
        <v>18</v>
      </c>
      <c r="L10" s="266" t="s">
        <v>6222</v>
      </c>
      <c r="M10" s="266" t="s">
        <v>6256</v>
      </c>
      <c r="N10" s="267">
        <v>1863</v>
      </c>
      <c r="O10" s="267" t="s">
        <v>551</v>
      </c>
      <c r="P10" s="267">
        <v>1</v>
      </c>
      <c r="Q10" s="267"/>
      <c r="R10" s="267"/>
      <c r="S10" s="266" t="s">
        <v>4714</v>
      </c>
      <c r="T10" s="267" t="s">
        <v>5990</v>
      </c>
      <c r="U10" s="245" t="str">
        <f t="shared" si="0"/>
        <v>311204</v>
      </c>
      <c r="Z10" s="263">
        <v>8</v>
      </c>
      <c r="AA10" s="283" t="s">
        <v>183</v>
      </c>
      <c r="AB10" s="286"/>
      <c r="AC10" s="288">
        <v>14</v>
      </c>
      <c r="AD10" s="283" t="s">
        <v>4702</v>
      </c>
      <c r="AE10" s="263">
        <v>8</v>
      </c>
    </row>
    <row r="11" spans="1:31" x14ac:dyDescent="0.25">
      <c r="A11" s="266" t="s">
        <v>493</v>
      </c>
      <c r="B11" s="266" t="s">
        <v>6207</v>
      </c>
      <c r="C11" s="266" t="s">
        <v>6208</v>
      </c>
      <c r="D11" s="266" t="s">
        <v>5989</v>
      </c>
      <c r="E11" s="266" t="s">
        <v>192</v>
      </c>
      <c r="F11" s="267">
        <v>1</v>
      </c>
      <c r="G11" s="268" t="s">
        <v>193</v>
      </c>
      <c r="H11" s="267" t="s">
        <v>194</v>
      </c>
      <c r="I11" s="267" t="s">
        <v>5990</v>
      </c>
      <c r="J11" s="266" t="s">
        <v>210</v>
      </c>
      <c r="K11" s="267">
        <v>18</v>
      </c>
      <c r="L11" s="266" t="s">
        <v>6209</v>
      </c>
      <c r="M11" s="266" t="s">
        <v>6245</v>
      </c>
      <c r="N11" s="267">
        <v>1863</v>
      </c>
      <c r="O11" s="267" t="s">
        <v>346</v>
      </c>
      <c r="P11" s="267">
        <v>1</v>
      </c>
      <c r="Q11" s="267"/>
      <c r="R11" s="267"/>
      <c r="S11" s="266" t="s">
        <v>4714</v>
      </c>
      <c r="T11" s="267" t="s">
        <v>5990</v>
      </c>
      <c r="U11" s="245" t="str">
        <f t="shared" si="0"/>
        <v>214931</v>
      </c>
      <c r="Z11" s="263">
        <v>9</v>
      </c>
      <c r="AA11" s="283" t="s">
        <v>184</v>
      </c>
      <c r="AB11" s="286"/>
      <c r="AC11" s="291">
        <v>15</v>
      </c>
      <c r="AD11" s="292" t="s">
        <v>187</v>
      </c>
      <c r="AE11" s="291">
        <v>9</v>
      </c>
    </row>
    <row r="12" spans="1:31" x14ac:dyDescent="0.25">
      <c r="A12" s="266" t="s">
        <v>1426</v>
      </c>
      <c r="B12" s="266" t="s">
        <v>6074</v>
      </c>
      <c r="C12" s="266" t="s">
        <v>5326</v>
      </c>
      <c r="D12" s="266" t="s">
        <v>5989</v>
      </c>
      <c r="E12" s="266" t="s">
        <v>192</v>
      </c>
      <c r="F12" s="267">
        <v>1</v>
      </c>
      <c r="G12" s="268" t="s">
        <v>193</v>
      </c>
      <c r="H12" s="267" t="s">
        <v>194</v>
      </c>
      <c r="I12" s="267" t="s">
        <v>5990</v>
      </c>
      <c r="J12" s="266" t="s">
        <v>253</v>
      </c>
      <c r="K12" s="267">
        <v>18</v>
      </c>
      <c r="L12" s="266" t="s">
        <v>6077</v>
      </c>
      <c r="M12" s="266" t="s">
        <v>6279</v>
      </c>
      <c r="N12" s="267">
        <v>1811</v>
      </c>
      <c r="O12" s="267" t="s">
        <v>584</v>
      </c>
      <c r="P12" s="267">
        <v>1</v>
      </c>
      <c r="Q12" s="267"/>
      <c r="R12" s="267"/>
      <c r="S12" s="266" t="s">
        <v>4714</v>
      </c>
      <c r="T12" s="267" t="s">
        <v>5990</v>
      </c>
      <c r="U12" s="245" t="str">
        <f t="shared" si="0"/>
        <v>311937</v>
      </c>
      <c r="Z12" s="263">
        <v>10</v>
      </c>
      <c r="AA12" s="283" t="s">
        <v>185</v>
      </c>
      <c r="AB12" s="286"/>
      <c r="AC12" s="288">
        <v>6</v>
      </c>
      <c r="AD12" s="282" t="s">
        <v>181</v>
      </c>
      <c r="AE12" s="263">
        <v>10</v>
      </c>
    </row>
    <row r="13" spans="1:31" x14ac:dyDescent="0.25">
      <c r="A13" s="266" t="s">
        <v>406</v>
      </c>
      <c r="B13" s="266" t="s">
        <v>4342</v>
      </c>
      <c r="C13" s="266" t="s">
        <v>1661</v>
      </c>
      <c r="D13" s="266" t="s">
        <v>5989</v>
      </c>
      <c r="E13" s="266" t="s">
        <v>233</v>
      </c>
      <c r="F13" s="267">
        <v>1</v>
      </c>
      <c r="G13" s="268" t="s">
        <v>193</v>
      </c>
      <c r="H13" s="267" t="s">
        <v>194</v>
      </c>
      <c r="I13" s="267" t="s">
        <v>5966</v>
      </c>
      <c r="J13" s="266" t="s">
        <v>301</v>
      </c>
      <c r="K13" s="267">
        <v>18</v>
      </c>
      <c r="L13" s="266" t="s">
        <v>6215</v>
      </c>
      <c r="M13" s="266" t="s">
        <v>6254</v>
      </c>
      <c r="N13" s="267">
        <v>1810</v>
      </c>
      <c r="O13" s="267" t="s">
        <v>1662</v>
      </c>
      <c r="P13" s="267">
        <v>1</v>
      </c>
      <c r="Q13" s="267" t="s">
        <v>6541</v>
      </c>
      <c r="R13" s="267" t="s">
        <v>6542</v>
      </c>
      <c r="S13" s="266" t="s">
        <v>4714</v>
      </c>
      <c r="T13" s="267" t="s">
        <v>5965</v>
      </c>
      <c r="U13" s="245" t="str">
        <f t="shared" si="0"/>
        <v>241202</v>
      </c>
      <c r="Z13" s="263">
        <v>11</v>
      </c>
      <c r="AA13" s="283" t="s">
        <v>186</v>
      </c>
      <c r="AB13" s="286"/>
      <c r="AC13" s="288">
        <v>16</v>
      </c>
      <c r="AD13" s="283" t="s">
        <v>4703</v>
      </c>
      <c r="AE13" s="263">
        <v>11</v>
      </c>
    </row>
    <row r="14" spans="1:31" x14ac:dyDescent="0.25">
      <c r="A14" s="266" t="s">
        <v>6073</v>
      </c>
      <c r="B14" s="266" t="s">
        <v>1462</v>
      </c>
      <c r="C14" s="266" t="s">
        <v>29</v>
      </c>
      <c r="D14" s="266" t="s">
        <v>5989</v>
      </c>
      <c r="E14" s="266" t="s">
        <v>192</v>
      </c>
      <c r="F14" s="267">
        <v>1</v>
      </c>
      <c r="G14" s="268" t="s">
        <v>193</v>
      </c>
      <c r="H14" s="267" t="s">
        <v>194</v>
      </c>
      <c r="I14" s="267" t="s">
        <v>5990</v>
      </c>
      <c r="J14" s="266" t="s">
        <v>962</v>
      </c>
      <c r="K14" s="267">
        <v>18</v>
      </c>
      <c r="L14" s="266" t="s">
        <v>6076</v>
      </c>
      <c r="M14" s="266" t="s">
        <v>6245</v>
      </c>
      <c r="N14" s="267">
        <v>1806</v>
      </c>
      <c r="O14" s="267" t="s">
        <v>808</v>
      </c>
      <c r="P14" s="267">
        <v>1</v>
      </c>
      <c r="Q14" s="267"/>
      <c r="R14" s="267"/>
      <c r="S14" s="266" t="s">
        <v>4714</v>
      </c>
      <c r="T14" s="267" t="s">
        <v>6009</v>
      </c>
      <c r="U14" s="245" t="str">
        <f t="shared" si="0"/>
        <v>722308</v>
      </c>
      <c r="Z14" s="263">
        <v>12</v>
      </c>
      <c r="AA14" s="283" t="s">
        <v>4700</v>
      </c>
      <c r="AB14" s="286"/>
      <c r="AC14" s="288">
        <v>17</v>
      </c>
      <c r="AD14" s="283" t="s">
        <v>4704</v>
      </c>
      <c r="AE14" s="263">
        <v>12</v>
      </c>
    </row>
    <row r="15" spans="1:31" x14ac:dyDescent="0.25">
      <c r="A15" s="266" t="s">
        <v>6073</v>
      </c>
      <c r="B15" s="266" t="s">
        <v>6074</v>
      </c>
      <c r="C15" s="266" t="s">
        <v>5326</v>
      </c>
      <c r="D15" s="266" t="s">
        <v>5989</v>
      </c>
      <c r="E15" s="266" t="s">
        <v>192</v>
      </c>
      <c r="F15" s="267">
        <v>1</v>
      </c>
      <c r="G15" s="268" t="s">
        <v>193</v>
      </c>
      <c r="H15" s="267" t="s">
        <v>194</v>
      </c>
      <c r="I15" s="267" t="s">
        <v>5990</v>
      </c>
      <c r="J15" s="266" t="s">
        <v>962</v>
      </c>
      <c r="K15" s="267">
        <v>18</v>
      </c>
      <c r="L15" s="266" t="s">
        <v>6075</v>
      </c>
      <c r="M15" s="266" t="s">
        <v>6279</v>
      </c>
      <c r="N15" s="267">
        <v>1806</v>
      </c>
      <c r="O15" s="267" t="s">
        <v>584</v>
      </c>
      <c r="P15" s="267">
        <v>1</v>
      </c>
      <c r="Q15" s="267"/>
      <c r="R15" s="267"/>
      <c r="S15" s="266" t="s">
        <v>4714</v>
      </c>
      <c r="T15" s="267" t="s">
        <v>6009</v>
      </c>
      <c r="U15" s="245" t="str">
        <f t="shared" si="0"/>
        <v>311937</v>
      </c>
      <c r="Z15" s="263">
        <v>13</v>
      </c>
      <c r="AA15" s="289" t="s">
        <v>6391</v>
      </c>
      <c r="AB15" s="286"/>
      <c r="AC15" s="288">
        <v>18</v>
      </c>
      <c r="AD15" s="283" t="s">
        <v>4705</v>
      </c>
      <c r="AE15" s="263">
        <v>13</v>
      </c>
    </row>
    <row r="16" spans="1:31" x14ac:dyDescent="0.25">
      <c r="A16" s="266" t="s">
        <v>6085</v>
      </c>
      <c r="B16" s="266" t="s">
        <v>6086</v>
      </c>
      <c r="C16" s="266" t="s">
        <v>17</v>
      </c>
      <c r="D16" s="266" t="s">
        <v>5989</v>
      </c>
      <c r="E16" s="266" t="s">
        <v>192</v>
      </c>
      <c r="F16" s="267">
        <v>1</v>
      </c>
      <c r="G16" s="268" t="s">
        <v>193</v>
      </c>
      <c r="H16" s="267" t="s">
        <v>194</v>
      </c>
      <c r="I16" s="267" t="s">
        <v>5990</v>
      </c>
      <c r="J16" s="266" t="s">
        <v>210</v>
      </c>
      <c r="K16" s="267">
        <v>18</v>
      </c>
      <c r="L16" s="266" t="s">
        <v>6087</v>
      </c>
      <c r="M16" s="266" t="s">
        <v>6249</v>
      </c>
      <c r="N16" s="267">
        <v>1863</v>
      </c>
      <c r="O16" s="267" t="s">
        <v>624</v>
      </c>
      <c r="P16" s="267">
        <v>1</v>
      </c>
      <c r="Q16" s="267"/>
      <c r="R16" s="267"/>
      <c r="S16" s="266" t="s">
        <v>4714</v>
      </c>
      <c r="T16" s="267" t="s">
        <v>6009</v>
      </c>
      <c r="U16" s="245" t="str">
        <f t="shared" si="0"/>
        <v>332203</v>
      </c>
      <c r="Z16" s="263">
        <v>14</v>
      </c>
      <c r="AA16" s="283" t="s">
        <v>4702</v>
      </c>
      <c r="AB16" s="286"/>
      <c r="AC16" s="288">
        <v>8</v>
      </c>
      <c r="AD16" s="283" t="s">
        <v>183</v>
      </c>
      <c r="AE16" s="263">
        <v>14</v>
      </c>
    </row>
    <row r="17" spans="1:31" x14ac:dyDescent="0.25">
      <c r="A17" s="266" t="s">
        <v>2656</v>
      </c>
      <c r="B17" s="266" t="s">
        <v>6189</v>
      </c>
      <c r="C17" s="266" t="s">
        <v>6190</v>
      </c>
      <c r="D17" s="266" t="s">
        <v>5989</v>
      </c>
      <c r="E17" s="266" t="s">
        <v>192</v>
      </c>
      <c r="F17" s="267">
        <v>1</v>
      </c>
      <c r="G17" s="268" t="s">
        <v>193</v>
      </c>
      <c r="H17" s="267" t="s">
        <v>194</v>
      </c>
      <c r="I17" s="267" t="s">
        <v>5966</v>
      </c>
      <c r="J17" s="266" t="s">
        <v>210</v>
      </c>
      <c r="K17" s="267">
        <v>18</v>
      </c>
      <c r="L17" s="266" t="s">
        <v>6191</v>
      </c>
      <c r="M17" s="266" t="s">
        <v>6245</v>
      </c>
      <c r="N17" s="267">
        <v>1863</v>
      </c>
      <c r="O17" s="267" t="s">
        <v>6192</v>
      </c>
      <c r="P17" s="267">
        <v>1</v>
      </c>
      <c r="Q17" s="267"/>
      <c r="R17" s="267"/>
      <c r="S17" s="266" t="s">
        <v>4714</v>
      </c>
      <c r="T17" s="267" t="s">
        <v>6009</v>
      </c>
      <c r="U17" s="245" t="str">
        <f t="shared" si="0"/>
        <v>821110</v>
      </c>
      <c r="Z17" s="263">
        <v>15</v>
      </c>
      <c r="AA17" s="289" t="s">
        <v>187</v>
      </c>
      <c r="AB17" s="286"/>
      <c r="AC17" s="288">
        <v>1</v>
      </c>
      <c r="AD17" s="282" t="s">
        <v>176</v>
      </c>
      <c r="AE17" s="263">
        <v>15</v>
      </c>
    </row>
    <row r="18" spans="1:31" x14ac:dyDescent="0.25">
      <c r="A18" s="266" t="s">
        <v>564</v>
      </c>
      <c r="B18" s="266" t="s">
        <v>4351</v>
      </c>
      <c r="C18" s="266" t="s">
        <v>1492</v>
      </c>
      <c r="D18" s="266" t="s">
        <v>5989</v>
      </c>
      <c r="E18" s="266" t="s">
        <v>192</v>
      </c>
      <c r="F18" s="267">
        <v>1</v>
      </c>
      <c r="G18" s="268" t="s">
        <v>193</v>
      </c>
      <c r="H18" s="267" t="s">
        <v>194</v>
      </c>
      <c r="I18" s="267" t="s">
        <v>5966</v>
      </c>
      <c r="J18" s="266" t="s">
        <v>4799</v>
      </c>
      <c r="K18" s="267">
        <v>18</v>
      </c>
      <c r="L18" s="266" t="s">
        <v>6079</v>
      </c>
      <c r="M18" s="266" t="s">
        <v>6251</v>
      </c>
      <c r="N18" s="267">
        <v>1811</v>
      </c>
      <c r="O18" s="267" t="s">
        <v>1493</v>
      </c>
      <c r="P18" s="267">
        <v>1</v>
      </c>
      <c r="Q18" s="267"/>
      <c r="R18" s="267"/>
      <c r="S18" s="266" t="s">
        <v>4714</v>
      </c>
      <c r="T18" s="267" t="s">
        <v>6009</v>
      </c>
      <c r="U18" s="245" t="str">
        <f t="shared" si="0"/>
        <v>214104</v>
      </c>
      <c r="Z18" s="263">
        <v>16</v>
      </c>
      <c r="AA18" s="283" t="s">
        <v>4703</v>
      </c>
      <c r="AB18" s="286"/>
      <c r="AC18" s="288">
        <v>2</v>
      </c>
      <c r="AD18" s="282" t="s">
        <v>177</v>
      </c>
      <c r="AE18" s="263">
        <v>16</v>
      </c>
    </row>
    <row r="19" spans="1:31" x14ac:dyDescent="0.25">
      <c r="A19" s="266" t="s">
        <v>564</v>
      </c>
      <c r="B19" s="266" t="s">
        <v>1399</v>
      </c>
      <c r="C19" s="266" t="s">
        <v>27</v>
      </c>
      <c r="D19" s="266" t="s">
        <v>5989</v>
      </c>
      <c r="E19" s="266" t="s">
        <v>192</v>
      </c>
      <c r="F19" s="267">
        <v>1</v>
      </c>
      <c r="G19" s="268" t="s">
        <v>193</v>
      </c>
      <c r="H19" s="267" t="s">
        <v>194</v>
      </c>
      <c r="I19" s="267" t="s">
        <v>5966</v>
      </c>
      <c r="J19" s="266" t="s">
        <v>2983</v>
      </c>
      <c r="K19" s="267">
        <v>18</v>
      </c>
      <c r="L19" s="266" t="s">
        <v>6078</v>
      </c>
      <c r="M19" s="266" t="s">
        <v>6340</v>
      </c>
      <c r="N19" s="267">
        <v>1811</v>
      </c>
      <c r="O19" s="267" t="s">
        <v>440</v>
      </c>
      <c r="P19" s="267">
        <v>1</v>
      </c>
      <c r="Q19" s="267"/>
      <c r="R19" s="267"/>
      <c r="S19" s="266" t="s">
        <v>4714</v>
      </c>
      <c r="T19" s="267" t="s">
        <v>6009</v>
      </c>
      <c r="U19" s="245" t="str">
        <f t="shared" si="0"/>
        <v>242307</v>
      </c>
      <c r="Z19" s="263">
        <v>17</v>
      </c>
      <c r="AA19" s="283" t="s">
        <v>4704</v>
      </c>
      <c r="AB19" s="286"/>
      <c r="AC19" s="288">
        <v>19</v>
      </c>
      <c r="AD19" s="283" t="s">
        <v>4706</v>
      </c>
      <c r="AE19" s="263">
        <v>17</v>
      </c>
    </row>
    <row r="20" spans="1:31" x14ac:dyDescent="0.25">
      <c r="A20" s="266" t="s">
        <v>6121</v>
      </c>
      <c r="B20" s="266" t="s">
        <v>6122</v>
      </c>
      <c r="C20" s="266" t="s">
        <v>806</v>
      </c>
      <c r="D20" s="266" t="s">
        <v>5989</v>
      </c>
      <c r="E20" s="266" t="s">
        <v>192</v>
      </c>
      <c r="F20" s="267">
        <v>1</v>
      </c>
      <c r="G20" s="268" t="s">
        <v>193</v>
      </c>
      <c r="H20" s="267" t="s">
        <v>194</v>
      </c>
      <c r="I20" s="267" t="s">
        <v>5966</v>
      </c>
      <c r="J20" s="266" t="s">
        <v>301</v>
      </c>
      <c r="K20" s="267">
        <v>18</v>
      </c>
      <c r="L20" s="266" t="s">
        <v>6123</v>
      </c>
      <c r="M20" s="266" t="s">
        <v>6245</v>
      </c>
      <c r="N20" s="267">
        <v>1810</v>
      </c>
      <c r="O20" s="267" t="s">
        <v>807</v>
      </c>
      <c r="P20" s="267">
        <v>1</v>
      </c>
      <c r="Q20" s="267"/>
      <c r="R20" s="267"/>
      <c r="S20" s="266" t="s">
        <v>4714</v>
      </c>
      <c r="T20" s="267" t="s">
        <v>6009</v>
      </c>
      <c r="U20" s="245" t="str">
        <f t="shared" si="0"/>
        <v>722303</v>
      </c>
      <c r="Z20" s="263">
        <v>18</v>
      </c>
      <c r="AA20" s="283" t="s">
        <v>4705</v>
      </c>
      <c r="AB20" s="286"/>
      <c r="AC20" s="288">
        <v>7</v>
      </c>
      <c r="AD20" s="283" t="s">
        <v>182</v>
      </c>
      <c r="AE20" s="263">
        <v>18</v>
      </c>
    </row>
    <row r="21" spans="1:31" x14ac:dyDescent="0.25">
      <c r="A21" s="266" t="s">
        <v>1040</v>
      </c>
      <c r="B21" s="266" t="s">
        <v>6117</v>
      </c>
      <c r="C21" s="266" t="s">
        <v>3359</v>
      </c>
      <c r="D21" s="266" t="s">
        <v>5989</v>
      </c>
      <c r="E21" s="266" t="s">
        <v>233</v>
      </c>
      <c r="F21" s="267">
        <v>1</v>
      </c>
      <c r="G21" s="268" t="s">
        <v>193</v>
      </c>
      <c r="H21" s="267" t="s">
        <v>194</v>
      </c>
      <c r="I21" s="267" t="s">
        <v>5994</v>
      </c>
      <c r="J21" s="266" t="s">
        <v>253</v>
      </c>
      <c r="K21" s="267">
        <v>18</v>
      </c>
      <c r="L21" s="266" t="s">
        <v>6118</v>
      </c>
      <c r="M21" s="266" t="s">
        <v>6288</v>
      </c>
      <c r="N21" s="267">
        <v>1811</v>
      </c>
      <c r="O21" s="267" t="s">
        <v>3361</v>
      </c>
      <c r="P21" s="267">
        <v>1</v>
      </c>
      <c r="Q21" s="267" t="s">
        <v>6347</v>
      </c>
      <c r="R21" s="267" t="s">
        <v>6348</v>
      </c>
      <c r="S21" s="266" t="s">
        <v>4714</v>
      </c>
      <c r="T21" s="267" t="s">
        <v>5990</v>
      </c>
      <c r="U21" s="245" t="str">
        <f t="shared" si="0"/>
        <v>142005</v>
      </c>
      <c r="Z21" s="263">
        <v>19</v>
      </c>
      <c r="AA21" s="283" t="s">
        <v>4706</v>
      </c>
      <c r="AB21" s="286"/>
      <c r="AC21" s="288">
        <v>5</v>
      </c>
      <c r="AD21" s="282" t="s">
        <v>900</v>
      </c>
      <c r="AE21" s="263">
        <v>19</v>
      </c>
    </row>
    <row r="22" spans="1:31" x14ac:dyDescent="0.25">
      <c r="A22" s="266" t="s">
        <v>6048</v>
      </c>
      <c r="B22" s="266" t="s">
        <v>6049</v>
      </c>
      <c r="C22" s="266" t="s">
        <v>6050</v>
      </c>
      <c r="D22" s="266" t="s">
        <v>5989</v>
      </c>
      <c r="E22" s="266" t="s">
        <v>192</v>
      </c>
      <c r="F22" s="267">
        <v>1</v>
      </c>
      <c r="G22" s="268" t="s">
        <v>193</v>
      </c>
      <c r="H22" s="267" t="s">
        <v>194</v>
      </c>
      <c r="I22" s="267" t="s">
        <v>5990</v>
      </c>
      <c r="J22" s="266" t="s">
        <v>238</v>
      </c>
      <c r="K22" s="267">
        <v>18</v>
      </c>
      <c r="L22" s="266" t="s">
        <v>6051</v>
      </c>
      <c r="M22" s="266" t="s">
        <v>6261</v>
      </c>
      <c r="N22" s="267">
        <v>1816</v>
      </c>
      <c r="O22" s="267" t="s">
        <v>6052</v>
      </c>
      <c r="P22" s="267">
        <v>1</v>
      </c>
      <c r="Q22" s="267"/>
      <c r="R22" s="267"/>
      <c r="S22" s="266" t="s">
        <v>4714</v>
      </c>
      <c r="T22" s="267" t="s">
        <v>6250</v>
      </c>
      <c r="U22" s="245" t="str">
        <f t="shared" si="0"/>
        <v>251101</v>
      </c>
      <c r="Z22" s="263">
        <v>20</v>
      </c>
      <c r="AA22" s="283" t="s">
        <v>4701</v>
      </c>
      <c r="AB22" s="286"/>
      <c r="AC22" s="291">
        <v>13</v>
      </c>
      <c r="AD22" s="290" t="s">
        <v>6391</v>
      </c>
      <c r="AE22" s="291">
        <v>20</v>
      </c>
    </row>
    <row r="23" spans="1:31" x14ac:dyDescent="0.25">
      <c r="A23" s="266" t="s">
        <v>6048</v>
      </c>
      <c r="B23" s="266" t="s">
        <v>6059</v>
      </c>
      <c r="C23" s="266" t="s">
        <v>1420</v>
      </c>
      <c r="D23" s="266" t="s">
        <v>5989</v>
      </c>
      <c r="E23" s="266" t="s">
        <v>192</v>
      </c>
      <c r="F23" s="267">
        <v>1</v>
      </c>
      <c r="G23" s="268" t="s">
        <v>193</v>
      </c>
      <c r="H23" s="267" t="s">
        <v>194</v>
      </c>
      <c r="I23" s="267" t="s">
        <v>5966</v>
      </c>
      <c r="J23" s="266" t="s">
        <v>238</v>
      </c>
      <c r="K23" s="267">
        <v>18</v>
      </c>
      <c r="L23" s="266" t="s">
        <v>6060</v>
      </c>
      <c r="M23" s="266" t="s">
        <v>6290</v>
      </c>
      <c r="N23" s="267">
        <v>1863</v>
      </c>
      <c r="O23" s="267" t="s">
        <v>1421</v>
      </c>
      <c r="P23" s="267">
        <v>1</v>
      </c>
      <c r="Q23" s="267"/>
      <c r="R23" s="267"/>
      <c r="S23" s="266" t="s">
        <v>4714</v>
      </c>
      <c r="T23" s="267" t="s">
        <v>6250</v>
      </c>
      <c r="U23" s="245" t="str">
        <f t="shared" si="0"/>
        <v>251303</v>
      </c>
      <c r="Z23" s="263">
        <v>21</v>
      </c>
      <c r="AA23" s="253" t="s">
        <v>6533</v>
      </c>
      <c r="AB23" s="286"/>
      <c r="AC23" s="263"/>
      <c r="AD23" s="253" t="s">
        <v>6533</v>
      </c>
      <c r="AE23" s="263">
        <v>21</v>
      </c>
    </row>
    <row r="24" spans="1:31" x14ac:dyDescent="0.25">
      <c r="A24" s="266" t="s">
        <v>5922</v>
      </c>
      <c r="B24" s="266" t="s">
        <v>6187</v>
      </c>
      <c r="C24" s="266" t="s">
        <v>5247</v>
      </c>
      <c r="D24" s="266" t="s">
        <v>5989</v>
      </c>
      <c r="E24" s="266" t="s">
        <v>192</v>
      </c>
      <c r="F24" s="267">
        <v>1</v>
      </c>
      <c r="G24" s="268" t="s">
        <v>193</v>
      </c>
      <c r="H24" s="267" t="s">
        <v>194</v>
      </c>
      <c r="I24" s="267" t="s">
        <v>5966</v>
      </c>
      <c r="J24" s="266" t="s">
        <v>276</v>
      </c>
      <c r="K24" s="267">
        <v>18</v>
      </c>
      <c r="L24" s="266" t="s">
        <v>6188</v>
      </c>
      <c r="M24" s="266" t="s">
        <v>6245</v>
      </c>
      <c r="N24" s="267">
        <v>1803</v>
      </c>
      <c r="O24" s="267" t="s">
        <v>5248</v>
      </c>
      <c r="P24" s="267">
        <v>1</v>
      </c>
      <c r="Q24" s="267"/>
      <c r="R24" s="267"/>
      <c r="S24" s="266" t="s">
        <v>4714</v>
      </c>
      <c r="T24" s="267" t="s">
        <v>6250</v>
      </c>
      <c r="U24" s="245" t="str">
        <f t="shared" si="0"/>
        <v>723302</v>
      </c>
    </row>
    <row r="25" spans="1:31" x14ac:dyDescent="0.25">
      <c r="A25" s="266" t="s">
        <v>6048</v>
      </c>
      <c r="B25" s="266" t="s">
        <v>6055</v>
      </c>
      <c r="C25" s="266" t="s">
        <v>10</v>
      </c>
      <c r="D25" s="266" t="s">
        <v>5989</v>
      </c>
      <c r="E25" s="266" t="s">
        <v>192</v>
      </c>
      <c r="F25" s="267">
        <v>1</v>
      </c>
      <c r="G25" s="268" t="s">
        <v>193</v>
      </c>
      <c r="H25" s="267" t="s">
        <v>194</v>
      </c>
      <c r="I25" s="267" t="s">
        <v>5990</v>
      </c>
      <c r="J25" s="266" t="s">
        <v>826</v>
      </c>
      <c r="K25" s="267">
        <v>18</v>
      </c>
      <c r="L25" s="266" t="s">
        <v>6056</v>
      </c>
      <c r="M25" s="266" t="s">
        <v>6261</v>
      </c>
      <c r="N25" s="267">
        <v>1816</v>
      </c>
      <c r="O25" s="267" t="s">
        <v>484</v>
      </c>
      <c r="P25" s="267">
        <v>1</v>
      </c>
      <c r="Q25" s="267"/>
      <c r="R25" s="267"/>
      <c r="S25" s="266" t="s">
        <v>4714</v>
      </c>
      <c r="T25" s="267" t="s">
        <v>6250</v>
      </c>
      <c r="U25" s="245" t="str">
        <f t="shared" si="0"/>
        <v>251401</v>
      </c>
    </row>
    <row r="26" spans="1:31" x14ac:dyDescent="0.25">
      <c r="A26" s="266" t="s">
        <v>6048</v>
      </c>
      <c r="B26" s="266" t="s">
        <v>6057</v>
      </c>
      <c r="C26" s="266" t="s">
        <v>10</v>
      </c>
      <c r="D26" s="266" t="s">
        <v>5989</v>
      </c>
      <c r="E26" s="266" t="s">
        <v>192</v>
      </c>
      <c r="F26" s="267">
        <v>1</v>
      </c>
      <c r="G26" s="268" t="s">
        <v>193</v>
      </c>
      <c r="H26" s="267" t="s">
        <v>194</v>
      </c>
      <c r="I26" s="267" t="s">
        <v>5990</v>
      </c>
      <c r="J26" s="266" t="s">
        <v>826</v>
      </c>
      <c r="K26" s="267">
        <v>18</v>
      </c>
      <c r="L26" s="266" t="s">
        <v>6058</v>
      </c>
      <c r="M26" s="266" t="s">
        <v>6261</v>
      </c>
      <c r="N26" s="267">
        <v>1816</v>
      </c>
      <c r="O26" s="267" t="s">
        <v>484</v>
      </c>
      <c r="P26" s="267">
        <v>1</v>
      </c>
      <c r="Q26" s="267"/>
      <c r="R26" s="267"/>
      <c r="S26" s="266" t="s">
        <v>4714</v>
      </c>
      <c r="T26" s="267" t="s">
        <v>6250</v>
      </c>
      <c r="U26" s="245" t="str">
        <f t="shared" si="0"/>
        <v>251401</v>
      </c>
    </row>
    <row r="27" spans="1:31" x14ac:dyDescent="0.25">
      <c r="A27" s="266" t="s">
        <v>6048</v>
      </c>
      <c r="B27" s="266" t="s">
        <v>6053</v>
      </c>
      <c r="C27" s="266" t="s">
        <v>3654</v>
      </c>
      <c r="D27" s="266" t="s">
        <v>5989</v>
      </c>
      <c r="E27" s="266" t="s">
        <v>192</v>
      </c>
      <c r="F27" s="267">
        <v>1</v>
      </c>
      <c r="G27" s="268" t="s">
        <v>193</v>
      </c>
      <c r="H27" s="267" t="s">
        <v>194</v>
      </c>
      <c r="I27" s="267" t="s">
        <v>5966</v>
      </c>
      <c r="J27" s="266" t="s">
        <v>210</v>
      </c>
      <c r="K27" s="267">
        <v>18</v>
      </c>
      <c r="L27" s="266" t="s">
        <v>6054</v>
      </c>
      <c r="M27" s="266" t="s">
        <v>6302</v>
      </c>
      <c r="N27" s="267">
        <v>1863</v>
      </c>
      <c r="O27" s="267" t="s">
        <v>3655</v>
      </c>
      <c r="P27" s="267">
        <v>1</v>
      </c>
      <c r="Q27" s="267"/>
      <c r="R27" s="267"/>
      <c r="S27" s="266" t="s">
        <v>4714</v>
      </c>
      <c r="T27" s="267" t="s">
        <v>6250</v>
      </c>
      <c r="U27" s="245" t="str">
        <f t="shared" si="0"/>
        <v>122101</v>
      </c>
    </row>
    <row r="28" spans="1:31" x14ac:dyDescent="0.25">
      <c r="A28" s="266" t="s">
        <v>6033</v>
      </c>
      <c r="B28" s="266" t="s">
        <v>6034</v>
      </c>
      <c r="C28" s="266" t="s">
        <v>43</v>
      </c>
      <c r="D28" s="266" t="s">
        <v>5989</v>
      </c>
      <c r="E28" s="266" t="s">
        <v>192</v>
      </c>
      <c r="F28" s="267">
        <v>1</v>
      </c>
      <c r="G28" s="268" t="s">
        <v>193</v>
      </c>
      <c r="H28" s="267" t="s">
        <v>194</v>
      </c>
      <c r="I28" s="267" t="s">
        <v>5966</v>
      </c>
      <c r="J28" s="266" t="s">
        <v>238</v>
      </c>
      <c r="K28" s="267">
        <v>18</v>
      </c>
      <c r="L28" s="266" t="s">
        <v>6035</v>
      </c>
      <c r="M28" s="266" t="s">
        <v>6290</v>
      </c>
      <c r="N28" s="267">
        <v>1863</v>
      </c>
      <c r="O28" s="267" t="s">
        <v>452</v>
      </c>
      <c r="P28" s="267">
        <v>1</v>
      </c>
      <c r="Q28" s="267"/>
      <c r="R28" s="267"/>
      <c r="S28" s="266" t="s">
        <v>4714</v>
      </c>
      <c r="T28" s="267" t="s">
        <v>4849</v>
      </c>
      <c r="U28" s="245" t="str">
        <f t="shared" si="0"/>
        <v>243106</v>
      </c>
    </row>
    <row r="29" spans="1:31" x14ac:dyDescent="0.25">
      <c r="A29" s="266" t="s">
        <v>5996</v>
      </c>
      <c r="B29" s="266" t="s">
        <v>632</v>
      </c>
      <c r="C29" s="266" t="s">
        <v>17</v>
      </c>
      <c r="D29" s="266" t="s">
        <v>5989</v>
      </c>
      <c r="E29" s="266" t="s">
        <v>192</v>
      </c>
      <c r="F29" s="267">
        <v>1</v>
      </c>
      <c r="G29" s="268" t="s">
        <v>193</v>
      </c>
      <c r="H29" s="267" t="s">
        <v>194</v>
      </c>
      <c r="I29" s="267" t="s">
        <v>5994</v>
      </c>
      <c r="J29" s="266" t="s">
        <v>210</v>
      </c>
      <c r="K29" s="267">
        <v>18</v>
      </c>
      <c r="L29" s="266" t="s">
        <v>5997</v>
      </c>
      <c r="M29" s="266" t="s">
        <v>6249</v>
      </c>
      <c r="N29" s="267">
        <v>1863</v>
      </c>
      <c r="O29" s="267" t="s">
        <v>624</v>
      </c>
      <c r="P29" s="267">
        <v>1</v>
      </c>
      <c r="Q29" s="267"/>
      <c r="R29" s="267"/>
      <c r="S29" s="266" t="s">
        <v>4714</v>
      </c>
      <c r="T29" s="267" t="s">
        <v>6250</v>
      </c>
      <c r="U29" s="245" t="str">
        <f t="shared" si="0"/>
        <v>332203</v>
      </c>
    </row>
    <row r="30" spans="1:31" x14ac:dyDescent="0.25">
      <c r="A30" s="266" t="s">
        <v>1147</v>
      </c>
      <c r="B30" s="266" t="s">
        <v>5172</v>
      </c>
      <c r="C30" s="266" t="s">
        <v>5173</v>
      </c>
      <c r="D30" s="266" t="s">
        <v>5989</v>
      </c>
      <c r="E30" s="266" t="s">
        <v>192</v>
      </c>
      <c r="F30" s="267">
        <v>1</v>
      </c>
      <c r="G30" s="268" t="s">
        <v>193</v>
      </c>
      <c r="H30" s="267" t="s">
        <v>194</v>
      </c>
      <c r="I30" s="267" t="s">
        <v>5966</v>
      </c>
      <c r="J30" s="266" t="s">
        <v>210</v>
      </c>
      <c r="K30" s="267">
        <v>18</v>
      </c>
      <c r="L30" s="266" t="s">
        <v>6097</v>
      </c>
      <c r="M30" s="266" t="s">
        <v>6324</v>
      </c>
      <c r="N30" s="267">
        <v>1863</v>
      </c>
      <c r="O30" s="267" t="s">
        <v>1150</v>
      </c>
      <c r="P30" s="267">
        <v>1</v>
      </c>
      <c r="Q30" s="267"/>
      <c r="R30" s="267"/>
      <c r="S30" s="266" t="s">
        <v>4714</v>
      </c>
      <c r="T30" s="267" t="s">
        <v>6250</v>
      </c>
      <c r="U30" s="245" t="str">
        <f t="shared" si="0"/>
        <v>244001</v>
      </c>
    </row>
    <row r="31" spans="1:31" x14ac:dyDescent="0.25">
      <c r="A31" s="266" t="s">
        <v>6026</v>
      </c>
      <c r="B31" s="266" t="s">
        <v>6027</v>
      </c>
      <c r="C31" s="266" t="s">
        <v>574</v>
      </c>
      <c r="D31" s="266" t="s">
        <v>5989</v>
      </c>
      <c r="E31" s="266" t="s">
        <v>192</v>
      </c>
      <c r="F31" s="267">
        <v>1</v>
      </c>
      <c r="G31" s="268" t="s">
        <v>193</v>
      </c>
      <c r="H31" s="267" t="s">
        <v>194</v>
      </c>
      <c r="I31" s="267" t="s">
        <v>5966</v>
      </c>
      <c r="J31" s="266" t="s">
        <v>6028</v>
      </c>
      <c r="K31" s="267">
        <v>18</v>
      </c>
      <c r="L31" s="266" t="s">
        <v>6029</v>
      </c>
      <c r="M31" s="266" t="s">
        <v>6251</v>
      </c>
      <c r="N31" s="267">
        <v>1811</v>
      </c>
      <c r="O31" s="267" t="s">
        <v>576</v>
      </c>
      <c r="P31" s="267">
        <v>1</v>
      </c>
      <c r="Q31" s="267"/>
      <c r="R31" s="267"/>
      <c r="S31" s="266" t="s">
        <v>4714</v>
      </c>
      <c r="T31" s="267" t="s">
        <v>6250</v>
      </c>
      <c r="U31" s="245" t="str">
        <f t="shared" si="0"/>
        <v>311509</v>
      </c>
    </row>
    <row r="32" spans="1:31" x14ac:dyDescent="0.25">
      <c r="A32" s="266" t="s">
        <v>5922</v>
      </c>
      <c r="B32" s="266" t="s">
        <v>5246</v>
      </c>
      <c r="C32" s="266" t="s">
        <v>5247</v>
      </c>
      <c r="D32" s="266" t="s">
        <v>5989</v>
      </c>
      <c r="E32" s="266" t="s">
        <v>192</v>
      </c>
      <c r="F32" s="267">
        <v>1</v>
      </c>
      <c r="G32" s="268" t="s">
        <v>193</v>
      </c>
      <c r="H32" s="267" t="s">
        <v>194</v>
      </c>
      <c r="I32" s="267" t="s">
        <v>5966</v>
      </c>
      <c r="J32" s="266" t="s">
        <v>276</v>
      </c>
      <c r="K32" s="267">
        <v>18</v>
      </c>
      <c r="L32" s="266" t="s">
        <v>6186</v>
      </c>
      <c r="M32" s="266" t="s">
        <v>6275</v>
      </c>
      <c r="N32" s="267">
        <v>1803.1811</v>
      </c>
      <c r="O32" s="267" t="s">
        <v>5248</v>
      </c>
      <c r="P32" s="267">
        <v>2</v>
      </c>
      <c r="Q32" s="267"/>
      <c r="R32" s="267"/>
      <c r="S32" s="266" t="s">
        <v>4714</v>
      </c>
      <c r="T32" s="267" t="s">
        <v>6250</v>
      </c>
      <c r="U32" s="245" t="str">
        <f t="shared" si="0"/>
        <v>723302</v>
      </c>
    </row>
    <row r="33" spans="1:30" x14ac:dyDescent="0.25">
      <c r="A33" s="270" t="s">
        <v>5999</v>
      </c>
      <c r="B33" s="270" t="s">
        <v>6002</v>
      </c>
      <c r="C33" s="270"/>
      <c r="D33" s="270" t="s">
        <v>5989</v>
      </c>
      <c r="E33" s="270" t="s">
        <v>192</v>
      </c>
      <c r="F33" s="271">
        <v>0</v>
      </c>
      <c r="G33" s="272" t="s">
        <v>194</v>
      </c>
      <c r="H33" s="273" t="s">
        <v>193</v>
      </c>
      <c r="I33" s="271" t="s">
        <v>5990</v>
      </c>
      <c r="J33" s="270" t="s">
        <v>385</v>
      </c>
      <c r="K33" s="274">
        <v>18</v>
      </c>
      <c r="L33" s="270" t="s">
        <v>6003</v>
      </c>
      <c r="M33" s="270" t="s">
        <v>6266</v>
      </c>
      <c r="N33" s="273">
        <v>1861</v>
      </c>
      <c r="O33" s="271" t="s">
        <v>6528</v>
      </c>
      <c r="P33" s="273">
        <v>0</v>
      </c>
      <c r="Q33" s="271"/>
      <c r="R33" s="271"/>
      <c r="S33" s="270" t="s">
        <v>4714</v>
      </c>
      <c r="T33" s="271" t="s">
        <v>6250</v>
      </c>
      <c r="U33" s="256" t="str">
        <f t="shared" si="0"/>
        <v>832202</v>
      </c>
    </row>
    <row r="34" spans="1:30" x14ac:dyDescent="0.25">
      <c r="A34" s="266" t="s">
        <v>3980</v>
      </c>
      <c r="B34" s="266" t="s">
        <v>4754</v>
      </c>
      <c r="C34" s="266" t="s">
        <v>4565</v>
      </c>
      <c r="D34" s="266" t="s">
        <v>5989</v>
      </c>
      <c r="E34" s="266" t="s">
        <v>192</v>
      </c>
      <c r="F34" s="267">
        <v>1</v>
      </c>
      <c r="G34" s="268" t="s">
        <v>193</v>
      </c>
      <c r="H34" s="267" t="s">
        <v>194</v>
      </c>
      <c r="I34" s="267" t="s">
        <v>5994</v>
      </c>
      <c r="J34" s="266" t="s">
        <v>223</v>
      </c>
      <c r="K34" s="267">
        <v>18</v>
      </c>
      <c r="L34" s="266" t="s">
        <v>6143</v>
      </c>
      <c r="M34" s="266" t="s">
        <v>6245</v>
      </c>
      <c r="N34" s="267">
        <v>1804</v>
      </c>
      <c r="O34" s="267" t="s">
        <v>4566</v>
      </c>
      <c r="P34" s="267">
        <v>1</v>
      </c>
      <c r="Q34" s="267"/>
      <c r="R34" s="267"/>
      <c r="S34" s="266" t="s">
        <v>4714</v>
      </c>
      <c r="T34" s="267" t="s">
        <v>6250</v>
      </c>
      <c r="U34" s="245" t="str">
        <f t="shared" si="0"/>
        <v>311514</v>
      </c>
    </row>
    <row r="35" spans="1:30" x14ac:dyDescent="0.25">
      <c r="A35" s="266" t="s">
        <v>4555</v>
      </c>
      <c r="B35" s="266" t="s">
        <v>6103</v>
      </c>
      <c r="C35" s="266" t="s">
        <v>43</v>
      </c>
      <c r="D35" s="266" t="s">
        <v>5989</v>
      </c>
      <c r="E35" s="266" t="s">
        <v>192</v>
      </c>
      <c r="F35" s="267">
        <v>1</v>
      </c>
      <c r="G35" s="268" t="s">
        <v>193</v>
      </c>
      <c r="H35" s="267" t="s">
        <v>194</v>
      </c>
      <c r="I35" s="267" t="s">
        <v>5966</v>
      </c>
      <c r="J35" s="266" t="s">
        <v>4751</v>
      </c>
      <c r="K35" s="267">
        <v>18</v>
      </c>
      <c r="L35" s="266" t="s">
        <v>6104</v>
      </c>
      <c r="M35" s="266" t="s">
        <v>6302</v>
      </c>
      <c r="N35" s="267">
        <v>1862</v>
      </c>
      <c r="O35" s="267" t="s">
        <v>452</v>
      </c>
      <c r="P35" s="267">
        <v>1</v>
      </c>
      <c r="Q35" s="267"/>
      <c r="R35" s="267"/>
      <c r="S35" s="266" t="s">
        <v>4714</v>
      </c>
      <c r="T35" s="267" t="s">
        <v>6250</v>
      </c>
      <c r="U35" s="245" t="str">
        <f t="shared" si="0"/>
        <v>243106</v>
      </c>
    </row>
    <row r="36" spans="1:30" x14ac:dyDescent="0.25">
      <c r="A36" s="275" t="s">
        <v>5999</v>
      </c>
      <c r="B36" s="275" t="s">
        <v>6000</v>
      </c>
      <c r="C36" s="275"/>
      <c r="D36" s="275" t="s">
        <v>5989</v>
      </c>
      <c r="E36" s="275" t="s">
        <v>192</v>
      </c>
      <c r="F36" s="274">
        <v>1</v>
      </c>
      <c r="G36" s="276" t="s">
        <v>193</v>
      </c>
      <c r="H36" s="277" t="s">
        <v>194</v>
      </c>
      <c r="I36" s="277" t="s">
        <v>5990</v>
      </c>
      <c r="J36" s="275" t="s">
        <v>385</v>
      </c>
      <c r="K36" s="277">
        <v>18</v>
      </c>
      <c r="L36" s="275" t="s">
        <v>6001</v>
      </c>
      <c r="M36" s="275" t="s">
        <v>6266</v>
      </c>
      <c r="N36" s="278">
        <v>186118621863</v>
      </c>
      <c r="O36" s="277" t="s">
        <v>6528</v>
      </c>
      <c r="P36" s="277">
        <v>3</v>
      </c>
      <c r="Q36" s="277"/>
      <c r="R36" s="277"/>
      <c r="S36" s="275" t="s">
        <v>4714</v>
      </c>
      <c r="T36" s="277" t="s">
        <v>6250</v>
      </c>
      <c r="U36" s="249" t="str">
        <f t="shared" si="0"/>
        <v>832202</v>
      </c>
    </row>
    <row r="37" spans="1:30" x14ac:dyDescent="0.25">
      <c r="A37" s="266" t="s">
        <v>6023</v>
      </c>
      <c r="B37" s="266" t="s">
        <v>6024</v>
      </c>
      <c r="C37" s="266" t="s">
        <v>35</v>
      </c>
      <c r="D37" s="266" t="s">
        <v>5989</v>
      </c>
      <c r="E37" s="266" t="s">
        <v>192</v>
      </c>
      <c r="F37" s="267">
        <v>1</v>
      </c>
      <c r="G37" s="268" t="s">
        <v>193</v>
      </c>
      <c r="H37" s="267" t="s">
        <v>194</v>
      </c>
      <c r="I37" s="267" t="s">
        <v>5990</v>
      </c>
      <c r="J37" s="266" t="s">
        <v>385</v>
      </c>
      <c r="K37" s="267">
        <v>18</v>
      </c>
      <c r="L37" s="266" t="s">
        <v>6025</v>
      </c>
      <c r="M37" s="266" t="s">
        <v>6249</v>
      </c>
      <c r="N37" s="267">
        <v>1861</v>
      </c>
      <c r="O37" s="267" t="s">
        <v>207</v>
      </c>
      <c r="P37" s="267">
        <v>1</v>
      </c>
      <c r="Q37" s="267"/>
      <c r="R37" s="267"/>
      <c r="S37" s="266" t="s">
        <v>4714</v>
      </c>
      <c r="T37" s="267" t="s">
        <v>6250</v>
      </c>
      <c r="U37" s="245" t="str">
        <f t="shared" si="0"/>
        <v>122106</v>
      </c>
    </row>
    <row r="38" spans="1:30" x14ac:dyDescent="0.25">
      <c r="A38" s="266" t="s">
        <v>717</v>
      </c>
      <c r="B38" s="266" t="s">
        <v>6217</v>
      </c>
      <c r="C38" s="266" t="s">
        <v>706</v>
      </c>
      <c r="D38" s="266" t="s">
        <v>5989</v>
      </c>
      <c r="E38" s="266" t="s">
        <v>192</v>
      </c>
      <c r="F38" s="267">
        <v>1</v>
      </c>
      <c r="G38" s="268" t="s">
        <v>193</v>
      </c>
      <c r="H38" s="267" t="s">
        <v>194</v>
      </c>
      <c r="I38" s="267" t="s">
        <v>5966</v>
      </c>
      <c r="J38" s="266" t="s">
        <v>6218</v>
      </c>
      <c r="K38" s="267">
        <v>18</v>
      </c>
      <c r="L38" s="266" t="s">
        <v>6219</v>
      </c>
      <c r="M38" s="266" t="s">
        <v>6251</v>
      </c>
      <c r="N38" s="267">
        <v>1816</v>
      </c>
      <c r="O38" s="267" t="s">
        <v>707</v>
      </c>
      <c r="P38" s="267">
        <v>1</v>
      </c>
      <c r="Q38" s="267"/>
      <c r="R38" s="267"/>
      <c r="S38" s="266" t="s">
        <v>4714</v>
      </c>
      <c r="T38" s="267" t="s">
        <v>6250</v>
      </c>
      <c r="U38" s="245" t="str">
        <f t="shared" si="0"/>
        <v>422201</v>
      </c>
    </row>
    <row r="39" spans="1:30" x14ac:dyDescent="0.25">
      <c r="A39" s="266" t="s">
        <v>1168</v>
      </c>
      <c r="B39" s="266" t="s">
        <v>1051</v>
      </c>
      <c r="C39" s="266" t="s">
        <v>740</v>
      </c>
      <c r="D39" s="266" t="s">
        <v>5989</v>
      </c>
      <c r="E39" s="266" t="s">
        <v>192</v>
      </c>
      <c r="F39" s="267">
        <v>1</v>
      </c>
      <c r="G39" s="268" t="s">
        <v>193</v>
      </c>
      <c r="H39" s="267" t="s">
        <v>194</v>
      </c>
      <c r="I39" s="267" t="s">
        <v>5990</v>
      </c>
      <c r="J39" s="266" t="s">
        <v>210</v>
      </c>
      <c r="K39" s="267">
        <v>18</v>
      </c>
      <c r="L39" s="266" t="s">
        <v>6153</v>
      </c>
      <c r="M39" s="266" t="s">
        <v>6249</v>
      </c>
      <c r="N39" s="267">
        <v>1863</v>
      </c>
      <c r="O39" s="267" t="s">
        <v>741</v>
      </c>
      <c r="P39" s="267">
        <v>1</v>
      </c>
      <c r="Q39" s="267"/>
      <c r="R39" s="267"/>
      <c r="S39" s="266" t="s">
        <v>4714</v>
      </c>
      <c r="T39" s="267" t="s">
        <v>6250</v>
      </c>
      <c r="U39" s="245" t="str">
        <f t="shared" si="0"/>
        <v>522301</v>
      </c>
    </row>
    <row r="40" spans="1:30" x14ac:dyDescent="0.25">
      <c r="A40" s="266" t="s">
        <v>820</v>
      </c>
      <c r="B40" s="266" t="s">
        <v>67</v>
      </c>
      <c r="C40" s="266" t="s">
        <v>67</v>
      </c>
      <c r="D40" s="266" t="s">
        <v>5989</v>
      </c>
      <c r="E40" s="266" t="s">
        <v>192</v>
      </c>
      <c r="F40" s="267">
        <v>1</v>
      </c>
      <c r="G40" s="268" t="s">
        <v>193</v>
      </c>
      <c r="H40" s="267" t="s">
        <v>194</v>
      </c>
      <c r="I40" s="267" t="s">
        <v>5994</v>
      </c>
      <c r="J40" s="266" t="s">
        <v>276</v>
      </c>
      <c r="K40" s="267">
        <v>18</v>
      </c>
      <c r="L40" s="266" t="s">
        <v>5995</v>
      </c>
      <c r="M40" s="266" t="s">
        <v>6275</v>
      </c>
      <c r="N40" s="267">
        <v>1803</v>
      </c>
      <c r="O40" s="267" t="s">
        <v>709</v>
      </c>
      <c r="P40" s="267">
        <v>1</v>
      </c>
      <c r="Q40" s="267"/>
      <c r="R40" s="267"/>
      <c r="S40" s="266" t="s">
        <v>4714</v>
      </c>
      <c r="T40" s="267" t="s">
        <v>6250</v>
      </c>
      <c r="U40" s="245" t="str">
        <f t="shared" si="0"/>
        <v>432103</v>
      </c>
    </row>
    <row r="41" spans="1:30" x14ac:dyDescent="0.25">
      <c r="A41" s="266" t="s">
        <v>2034</v>
      </c>
      <c r="B41" s="266" t="s">
        <v>5988</v>
      </c>
      <c r="C41" s="266" t="s">
        <v>74</v>
      </c>
      <c r="D41" s="266" t="s">
        <v>5989</v>
      </c>
      <c r="E41" s="266" t="s">
        <v>192</v>
      </c>
      <c r="F41" s="267">
        <v>1</v>
      </c>
      <c r="G41" s="268" t="s">
        <v>193</v>
      </c>
      <c r="H41" s="267" t="s">
        <v>194</v>
      </c>
      <c r="I41" s="267" t="s">
        <v>5990</v>
      </c>
      <c r="J41" s="266" t="s">
        <v>210</v>
      </c>
      <c r="K41" s="267">
        <v>18</v>
      </c>
      <c r="L41" s="266" t="s">
        <v>5991</v>
      </c>
      <c r="M41" s="266" t="s">
        <v>6251</v>
      </c>
      <c r="N41" s="267">
        <v>1863</v>
      </c>
      <c r="O41" s="267" t="s">
        <v>246</v>
      </c>
      <c r="P41" s="267">
        <v>1</v>
      </c>
      <c r="Q41" s="267"/>
      <c r="R41" s="267"/>
      <c r="S41" s="266" t="s">
        <v>4714</v>
      </c>
      <c r="T41" s="267" t="s">
        <v>6250</v>
      </c>
      <c r="U41" s="245" t="str">
        <f t="shared" si="0"/>
        <v>142004</v>
      </c>
    </row>
    <row r="42" spans="1:30" x14ac:dyDescent="0.25">
      <c r="A42" s="266" t="s">
        <v>667</v>
      </c>
      <c r="B42" s="266" t="s">
        <v>668</v>
      </c>
      <c r="C42" s="266" t="s">
        <v>119</v>
      </c>
      <c r="D42" s="266" t="s">
        <v>5989</v>
      </c>
      <c r="E42" s="266" t="s">
        <v>192</v>
      </c>
      <c r="F42" s="267">
        <v>1</v>
      </c>
      <c r="G42" s="268" t="s">
        <v>193</v>
      </c>
      <c r="H42" s="267" t="s">
        <v>194</v>
      </c>
      <c r="I42" s="267" t="s">
        <v>5990</v>
      </c>
      <c r="J42" s="266" t="s">
        <v>210</v>
      </c>
      <c r="K42" s="267">
        <v>18</v>
      </c>
      <c r="L42" s="266" t="s">
        <v>6244</v>
      </c>
      <c r="M42" s="266" t="s">
        <v>6266</v>
      </c>
      <c r="N42" s="267">
        <v>1863</v>
      </c>
      <c r="O42" s="267" t="s">
        <v>666</v>
      </c>
      <c r="P42" s="267">
        <v>1</v>
      </c>
      <c r="Q42" s="267"/>
      <c r="R42" s="267"/>
      <c r="S42" s="266" t="s">
        <v>4714</v>
      </c>
      <c r="T42" s="267" t="s">
        <v>6250</v>
      </c>
      <c r="U42" s="245" t="str">
        <f t="shared" si="0"/>
        <v>333105</v>
      </c>
    </row>
    <row r="43" spans="1:30" x14ac:dyDescent="0.25">
      <c r="A43" s="266" t="s">
        <v>4975</v>
      </c>
      <c r="B43" s="266" t="s">
        <v>67</v>
      </c>
      <c r="C43" s="266" t="s">
        <v>67</v>
      </c>
      <c r="D43" s="266" t="s">
        <v>5989</v>
      </c>
      <c r="E43" s="266" t="s">
        <v>233</v>
      </c>
      <c r="F43" s="267">
        <v>1</v>
      </c>
      <c r="G43" s="268" t="s">
        <v>193</v>
      </c>
      <c r="H43" s="267" t="s">
        <v>194</v>
      </c>
      <c r="I43" s="267" t="s">
        <v>5994</v>
      </c>
      <c r="J43" s="266" t="s">
        <v>367</v>
      </c>
      <c r="K43" s="267">
        <v>18</v>
      </c>
      <c r="L43" s="266" t="s">
        <v>6138</v>
      </c>
      <c r="M43" s="266" t="s">
        <v>6266</v>
      </c>
      <c r="N43" s="267">
        <v>1805</v>
      </c>
      <c r="O43" s="267" t="s">
        <v>709</v>
      </c>
      <c r="P43" s="267">
        <v>1</v>
      </c>
      <c r="Q43" s="267" t="s">
        <v>6356</v>
      </c>
      <c r="R43" s="267" t="s">
        <v>6357</v>
      </c>
      <c r="S43" s="266" t="s">
        <v>4714</v>
      </c>
      <c r="T43" s="267" t="s">
        <v>5797</v>
      </c>
      <c r="U43" s="245" t="str">
        <f t="shared" si="0"/>
        <v>432103</v>
      </c>
    </row>
    <row r="44" spans="1:30" x14ac:dyDescent="0.25">
      <c r="A44" s="266" t="s">
        <v>4975</v>
      </c>
      <c r="B44" s="266" t="s">
        <v>8</v>
      </c>
      <c r="C44" s="266" t="s">
        <v>740</v>
      </c>
      <c r="D44" s="266" t="s">
        <v>5989</v>
      </c>
      <c r="E44" s="266" t="s">
        <v>233</v>
      </c>
      <c r="F44" s="267">
        <v>1</v>
      </c>
      <c r="G44" s="268" t="s">
        <v>193</v>
      </c>
      <c r="H44" s="267" t="s">
        <v>194</v>
      </c>
      <c r="I44" s="267" t="s">
        <v>5994</v>
      </c>
      <c r="J44" s="266" t="s">
        <v>367</v>
      </c>
      <c r="K44" s="267">
        <v>18</v>
      </c>
      <c r="L44" s="266" t="s">
        <v>6139</v>
      </c>
      <c r="M44" s="266" t="s">
        <v>6275</v>
      </c>
      <c r="N44" s="267">
        <v>1805</v>
      </c>
      <c r="O44" s="267" t="s">
        <v>741</v>
      </c>
      <c r="P44" s="267">
        <v>1</v>
      </c>
      <c r="Q44" s="267" t="s">
        <v>6358</v>
      </c>
      <c r="R44" s="267" t="s">
        <v>6359</v>
      </c>
      <c r="S44" s="266" t="s">
        <v>4714</v>
      </c>
      <c r="T44" s="267" t="s">
        <v>5797</v>
      </c>
      <c r="U44" s="245" t="str">
        <f t="shared" si="0"/>
        <v>522301</v>
      </c>
    </row>
    <row r="45" spans="1:30" x14ac:dyDescent="0.25">
      <c r="A45" s="266" t="s">
        <v>5287</v>
      </c>
      <c r="B45" s="266" t="s">
        <v>4655</v>
      </c>
      <c r="C45" s="266" t="s">
        <v>43</v>
      </c>
      <c r="D45" s="266" t="s">
        <v>5989</v>
      </c>
      <c r="E45" s="266" t="s">
        <v>233</v>
      </c>
      <c r="F45" s="267">
        <v>1</v>
      </c>
      <c r="G45" s="268" t="s">
        <v>193</v>
      </c>
      <c r="H45" s="267" t="s">
        <v>194</v>
      </c>
      <c r="I45" s="267" t="s">
        <v>5966</v>
      </c>
      <c r="J45" s="266" t="s">
        <v>367</v>
      </c>
      <c r="K45" s="267">
        <v>18</v>
      </c>
      <c r="L45" s="266" t="s">
        <v>6161</v>
      </c>
      <c r="M45" s="266" t="s">
        <v>6290</v>
      </c>
      <c r="N45" s="267">
        <v>1805</v>
      </c>
      <c r="O45" s="267" t="s">
        <v>452</v>
      </c>
      <c r="P45" s="267">
        <v>1</v>
      </c>
      <c r="Q45" s="267"/>
      <c r="R45" s="267" t="s">
        <v>6362</v>
      </c>
      <c r="S45" s="266" t="s">
        <v>4714</v>
      </c>
      <c r="T45" s="267" t="s">
        <v>5797</v>
      </c>
      <c r="U45" s="245" t="str">
        <f t="shared" si="0"/>
        <v>243106</v>
      </c>
    </row>
    <row r="46" spans="1:30" x14ac:dyDescent="0.25">
      <c r="A46" s="266" t="s">
        <v>260</v>
      </c>
      <c r="B46" s="266" t="s">
        <v>761</v>
      </c>
      <c r="C46" s="266" t="s">
        <v>740</v>
      </c>
      <c r="D46" s="266" t="s">
        <v>5989</v>
      </c>
      <c r="E46" s="266" t="s">
        <v>233</v>
      </c>
      <c r="F46" s="267">
        <v>1</v>
      </c>
      <c r="G46" s="268" t="s">
        <v>193</v>
      </c>
      <c r="H46" s="267" t="s">
        <v>194</v>
      </c>
      <c r="I46" s="267" t="s">
        <v>5990</v>
      </c>
      <c r="J46" s="266" t="s">
        <v>6128</v>
      </c>
      <c r="K46" s="267">
        <v>18</v>
      </c>
      <c r="L46" s="266" t="s">
        <v>6129</v>
      </c>
      <c r="M46" s="266" t="s">
        <v>6249</v>
      </c>
      <c r="N46" s="267">
        <v>1862</v>
      </c>
      <c r="O46" s="267" t="s">
        <v>741</v>
      </c>
      <c r="P46" s="267">
        <v>1</v>
      </c>
      <c r="Q46" s="267" t="s">
        <v>6351</v>
      </c>
      <c r="R46" s="267" t="s">
        <v>6352</v>
      </c>
      <c r="S46" s="266" t="s">
        <v>4714</v>
      </c>
      <c r="T46" s="267" t="s">
        <v>5797</v>
      </c>
      <c r="U46" s="245" t="str">
        <f t="shared" si="0"/>
        <v>522301</v>
      </c>
    </row>
    <row r="47" spans="1:30" x14ac:dyDescent="0.25">
      <c r="A47" s="266" t="s">
        <v>4975</v>
      </c>
      <c r="B47" s="266" t="s">
        <v>901</v>
      </c>
      <c r="C47" s="266" t="s">
        <v>51</v>
      </c>
      <c r="D47" s="266" t="s">
        <v>5989</v>
      </c>
      <c r="E47" s="266" t="s">
        <v>233</v>
      </c>
      <c r="F47" s="267">
        <v>1</v>
      </c>
      <c r="G47" s="268" t="s">
        <v>193</v>
      </c>
      <c r="H47" s="267" t="s">
        <v>194</v>
      </c>
      <c r="I47" s="267" t="s">
        <v>5990</v>
      </c>
      <c r="J47" s="266" t="s">
        <v>223</v>
      </c>
      <c r="K47" s="267">
        <v>18</v>
      </c>
      <c r="L47" s="266" t="s">
        <v>6137</v>
      </c>
      <c r="M47" s="266" t="s">
        <v>6275</v>
      </c>
      <c r="N47" s="267">
        <v>1804</v>
      </c>
      <c r="O47" s="267" t="s">
        <v>904</v>
      </c>
      <c r="P47" s="267">
        <v>1</v>
      </c>
      <c r="Q47" s="267" t="s">
        <v>6354</v>
      </c>
      <c r="R47" s="267" t="s">
        <v>6355</v>
      </c>
      <c r="S47" s="266" t="s">
        <v>4714</v>
      </c>
      <c r="T47" s="267" t="s">
        <v>5797</v>
      </c>
      <c r="U47" s="245" t="str">
        <f t="shared" si="0"/>
        <v>523002</v>
      </c>
      <c r="Z47" s="192"/>
      <c r="AD47" s="192"/>
    </row>
    <row r="48" spans="1:30" x14ac:dyDescent="0.25">
      <c r="A48" s="266" t="s">
        <v>2957</v>
      </c>
      <c r="B48" s="266" t="s">
        <v>6175</v>
      </c>
      <c r="C48" s="266" t="s">
        <v>1046</v>
      </c>
      <c r="D48" s="266" t="s">
        <v>5989</v>
      </c>
      <c r="E48" s="266" t="s">
        <v>233</v>
      </c>
      <c r="F48" s="267">
        <v>1</v>
      </c>
      <c r="G48" s="268" t="s">
        <v>193</v>
      </c>
      <c r="H48" s="267" t="s">
        <v>194</v>
      </c>
      <c r="I48" s="267" t="s">
        <v>5966</v>
      </c>
      <c r="J48" s="266" t="s">
        <v>4751</v>
      </c>
      <c r="K48" s="267">
        <v>18</v>
      </c>
      <c r="L48" s="266" t="s">
        <v>6176</v>
      </c>
      <c r="M48" s="266" t="s">
        <v>6275</v>
      </c>
      <c r="N48" s="267">
        <v>1862</v>
      </c>
      <c r="O48" s="267" t="s">
        <v>1047</v>
      </c>
      <c r="P48" s="267">
        <v>1</v>
      </c>
      <c r="Q48" s="267" t="s">
        <v>6367</v>
      </c>
      <c r="R48" s="267" t="s">
        <v>6368</v>
      </c>
      <c r="S48" s="266" t="s">
        <v>4714</v>
      </c>
      <c r="T48" s="267" t="s">
        <v>5797</v>
      </c>
      <c r="U48" s="245" t="str">
        <f t="shared" si="0"/>
        <v>352203</v>
      </c>
      <c r="Z48" s="192"/>
      <c r="AD48" s="192"/>
    </row>
    <row r="49" spans="1:30" x14ac:dyDescent="0.25">
      <c r="A49" s="266" t="s">
        <v>6063</v>
      </c>
      <c r="B49" s="266" t="s">
        <v>6064</v>
      </c>
      <c r="C49" s="266" t="s">
        <v>17</v>
      </c>
      <c r="D49" s="266" t="s">
        <v>5989</v>
      </c>
      <c r="E49" s="266" t="s">
        <v>233</v>
      </c>
      <c r="F49" s="267">
        <v>1</v>
      </c>
      <c r="G49" s="268" t="s">
        <v>193</v>
      </c>
      <c r="H49" s="267" t="s">
        <v>194</v>
      </c>
      <c r="I49" s="267" t="s">
        <v>5990</v>
      </c>
      <c r="J49" s="266" t="s">
        <v>6065</v>
      </c>
      <c r="K49" s="267">
        <v>18</v>
      </c>
      <c r="L49" s="266" t="s">
        <v>6066</v>
      </c>
      <c r="M49" s="266" t="s">
        <v>6249</v>
      </c>
      <c r="N49" s="267">
        <v>1803.1863000000001</v>
      </c>
      <c r="O49" s="267" t="s">
        <v>624</v>
      </c>
      <c r="P49" s="267">
        <v>2</v>
      </c>
      <c r="Q49" s="267" t="s">
        <v>6337</v>
      </c>
      <c r="R49" s="267" t="s">
        <v>6338</v>
      </c>
      <c r="S49" s="266" t="s">
        <v>4714</v>
      </c>
      <c r="T49" s="267" t="s">
        <v>5797</v>
      </c>
      <c r="U49" s="245" t="str">
        <f t="shared" si="0"/>
        <v>332203</v>
      </c>
      <c r="Z49" s="192"/>
      <c r="AD49" s="192"/>
    </row>
    <row r="50" spans="1:30" x14ac:dyDescent="0.25">
      <c r="A50" s="266" t="s">
        <v>1675</v>
      </c>
      <c r="B50" s="266" t="s">
        <v>6131</v>
      </c>
      <c r="C50" s="266" t="s">
        <v>4966</v>
      </c>
      <c r="D50" s="266" t="s">
        <v>5989</v>
      </c>
      <c r="E50" s="266" t="s">
        <v>233</v>
      </c>
      <c r="F50" s="267">
        <v>1</v>
      </c>
      <c r="G50" s="268" t="s">
        <v>193</v>
      </c>
      <c r="H50" s="267" t="s">
        <v>194</v>
      </c>
      <c r="I50" s="267" t="s">
        <v>5966</v>
      </c>
      <c r="J50" s="266" t="s">
        <v>210</v>
      </c>
      <c r="K50" s="267">
        <v>18</v>
      </c>
      <c r="L50" s="266" t="s">
        <v>6132</v>
      </c>
      <c r="M50" s="266" t="s">
        <v>6254</v>
      </c>
      <c r="N50" s="267">
        <v>1863</v>
      </c>
      <c r="O50" s="267" t="s">
        <v>405</v>
      </c>
      <c r="P50" s="267">
        <v>1</v>
      </c>
      <c r="Q50" s="267" t="s">
        <v>6543</v>
      </c>
      <c r="R50" s="267" t="s">
        <v>6353</v>
      </c>
      <c r="S50" s="266" t="s">
        <v>4714</v>
      </c>
      <c r="T50" s="267" t="s">
        <v>5797</v>
      </c>
      <c r="U50" s="245" t="str">
        <f t="shared" si="0"/>
        <v>241304</v>
      </c>
      <c r="Z50" s="192"/>
      <c r="AD50" s="192"/>
    </row>
    <row r="51" spans="1:30" x14ac:dyDescent="0.25">
      <c r="A51" s="266" t="s">
        <v>6178</v>
      </c>
      <c r="B51" s="266" t="s">
        <v>6180</v>
      </c>
      <c r="C51" s="266" t="s">
        <v>156</v>
      </c>
      <c r="D51" s="266" t="s">
        <v>5989</v>
      </c>
      <c r="E51" s="266" t="s">
        <v>233</v>
      </c>
      <c r="F51" s="267">
        <v>1</v>
      </c>
      <c r="G51" s="268" t="s">
        <v>193</v>
      </c>
      <c r="H51" s="267" t="s">
        <v>194</v>
      </c>
      <c r="I51" s="267" t="s">
        <v>5966</v>
      </c>
      <c r="J51" s="266" t="s">
        <v>399</v>
      </c>
      <c r="K51" s="267">
        <v>18</v>
      </c>
      <c r="L51" s="266" t="s">
        <v>6181</v>
      </c>
      <c r="M51" s="266" t="s">
        <v>6266</v>
      </c>
      <c r="N51" s="267">
        <v>1802</v>
      </c>
      <c r="O51" s="267" t="s">
        <v>659</v>
      </c>
      <c r="P51" s="267">
        <v>1</v>
      </c>
      <c r="Q51" s="267" t="s">
        <v>6372</v>
      </c>
      <c r="R51" s="267" t="s">
        <v>6373</v>
      </c>
      <c r="S51" s="266" t="s">
        <v>4714</v>
      </c>
      <c r="T51" s="267" t="s">
        <v>5797</v>
      </c>
      <c r="U51" s="245" t="str">
        <f t="shared" si="0"/>
        <v>332302</v>
      </c>
      <c r="Z51" s="192"/>
      <c r="AD51" s="192"/>
    </row>
    <row r="52" spans="1:30" x14ac:dyDescent="0.25">
      <c r="A52" s="266" t="s">
        <v>6178</v>
      </c>
      <c r="B52" s="266" t="s">
        <v>821</v>
      </c>
      <c r="C52" s="266" t="s">
        <v>822</v>
      </c>
      <c r="D52" s="266" t="s">
        <v>5989</v>
      </c>
      <c r="E52" s="266" t="s">
        <v>233</v>
      </c>
      <c r="F52" s="267">
        <v>1</v>
      </c>
      <c r="G52" s="268" t="s">
        <v>193</v>
      </c>
      <c r="H52" s="267" t="s">
        <v>194</v>
      </c>
      <c r="I52" s="267" t="s">
        <v>5994</v>
      </c>
      <c r="J52" s="266" t="s">
        <v>399</v>
      </c>
      <c r="K52" s="267">
        <v>18</v>
      </c>
      <c r="L52" s="266" t="s">
        <v>6179</v>
      </c>
      <c r="M52" s="266" t="s">
        <v>6275</v>
      </c>
      <c r="N52" s="267">
        <v>1802</v>
      </c>
      <c r="O52" s="267" t="s">
        <v>823</v>
      </c>
      <c r="P52" s="267">
        <v>1</v>
      </c>
      <c r="Q52" s="267" t="s">
        <v>6370</v>
      </c>
      <c r="R52" s="267" t="s">
        <v>6371</v>
      </c>
      <c r="S52" s="266" t="s">
        <v>4714</v>
      </c>
      <c r="T52" s="267" t="s">
        <v>5797</v>
      </c>
      <c r="U52" s="245" t="str">
        <f t="shared" si="0"/>
        <v>741103</v>
      </c>
      <c r="Z52" s="192"/>
      <c r="AD52" s="192"/>
    </row>
    <row r="53" spans="1:30" x14ac:dyDescent="0.25">
      <c r="A53" s="266" t="s">
        <v>6234</v>
      </c>
      <c r="B53" s="266" t="s">
        <v>6235</v>
      </c>
      <c r="C53" s="266" t="s">
        <v>42</v>
      </c>
      <c r="D53" s="266" t="s">
        <v>5989</v>
      </c>
      <c r="E53" s="266" t="s">
        <v>233</v>
      </c>
      <c r="F53" s="267">
        <v>1</v>
      </c>
      <c r="G53" s="268" t="s">
        <v>193</v>
      </c>
      <c r="H53" s="267" t="s">
        <v>194</v>
      </c>
      <c r="I53" s="267" t="s">
        <v>5990</v>
      </c>
      <c r="J53" s="266" t="s">
        <v>210</v>
      </c>
      <c r="K53" s="267">
        <v>18</v>
      </c>
      <c r="L53" s="266" t="s">
        <v>6236</v>
      </c>
      <c r="M53" s="266" t="s">
        <v>6327</v>
      </c>
      <c r="N53" s="267">
        <v>1863</v>
      </c>
      <c r="O53" s="267" t="s">
        <v>2628</v>
      </c>
      <c r="P53" s="267">
        <v>1</v>
      </c>
      <c r="Q53" s="267" t="s">
        <v>6387</v>
      </c>
      <c r="R53" s="267" t="s">
        <v>6388</v>
      </c>
      <c r="S53" s="266" t="s">
        <v>4714</v>
      </c>
      <c r="T53" s="267" t="s">
        <v>5797</v>
      </c>
      <c r="U53" s="245" t="str">
        <f t="shared" si="0"/>
        <v>325509</v>
      </c>
      <c r="Z53" s="192"/>
      <c r="AD53" s="192"/>
    </row>
    <row r="54" spans="1:30" x14ac:dyDescent="0.25">
      <c r="A54" s="266" t="s">
        <v>5287</v>
      </c>
      <c r="B54" s="266" t="s">
        <v>6159</v>
      </c>
      <c r="C54" s="266" t="s">
        <v>740</v>
      </c>
      <c r="D54" s="266" t="s">
        <v>5989</v>
      </c>
      <c r="E54" s="266" t="s">
        <v>233</v>
      </c>
      <c r="F54" s="267">
        <v>1</v>
      </c>
      <c r="G54" s="268" t="s">
        <v>193</v>
      </c>
      <c r="H54" s="267" t="s">
        <v>194</v>
      </c>
      <c r="I54" s="267" t="s">
        <v>5966</v>
      </c>
      <c r="J54" s="266" t="s">
        <v>367</v>
      </c>
      <c r="K54" s="267">
        <v>18</v>
      </c>
      <c r="L54" s="266" t="s">
        <v>6160</v>
      </c>
      <c r="M54" s="266" t="s">
        <v>6249</v>
      </c>
      <c r="N54" s="267">
        <v>1805</v>
      </c>
      <c r="O54" s="267" t="s">
        <v>741</v>
      </c>
      <c r="P54" s="267">
        <v>1</v>
      </c>
      <c r="Q54" s="267" t="s">
        <v>6360</v>
      </c>
      <c r="R54" s="267" t="s">
        <v>6361</v>
      </c>
      <c r="S54" s="266" t="s">
        <v>4714</v>
      </c>
      <c r="T54" s="267" t="s">
        <v>5990</v>
      </c>
      <c r="U54" s="245" t="str">
        <f t="shared" si="0"/>
        <v>522301</v>
      </c>
      <c r="Z54" s="192"/>
      <c r="AD54" s="192"/>
    </row>
    <row r="55" spans="1:30" x14ac:dyDescent="0.25">
      <c r="A55" s="270" t="s">
        <v>890</v>
      </c>
      <c r="B55" s="270" t="s">
        <v>494</v>
      </c>
      <c r="C55" s="270"/>
      <c r="D55" s="270" t="s">
        <v>5989</v>
      </c>
      <c r="E55" s="270" t="s">
        <v>192</v>
      </c>
      <c r="F55" s="271">
        <v>0</v>
      </c>
      <c r="G55" s="279" t="s">
        <v>194</v>
      </c>
      <c r="H55" s="280" t="s">
        <v>193</v>
      </c>
      <c r="I55" s="271" t="s">
        <v>5990</v>
      </c>
      <c r="J55" s="270" t="s">
        <v>6080</v>
      </c>
      <c r="K55" s="274">
        <v>18</v>
      </c>
      <c r="L55" s="270" t="s">
        <v>6081</v>
      </c>
      <c r="M55" s="270" t="s">
        <v>6261</v>
      </c>
      <c r="N55" s="281" t="s">
        <v>3573</v>
      </c>
      <c r="O55" s="271" t="s">
        <v>6529</v>
      </c>
      <c r="P55" s="280">
        <v>0</v>
      </c>
      <c r="Q55" s="271"/>
      <c r="R55" s="271"/>
      <c r="S55" s="270" t="s">
        <v>4714</v>
      </c>
      <c r="T55" s="271" t="s">
        <v>5797</v>
      </c>
      <c r="U55" s="256" t="str">
        <f t="shared" si="0"/>
        <v>251202</v>
      </c>
      <c r="Z55" s="192"/>
      <c r="AD55" s="192"/>
    </row>
    <row r="56" spans="1:30" x14ac:dyDescent="0.25">
      <c r="A56" s="266" t="s">
        <v>6007</v>
      </c>
      <c r="B56" s="266" t="s">
        <v>6008</v>
      </c>
      <c r="C56" s="266" t="s">
        <v>17</v>
      </c>
      <c r="D56" s="266" t="s">
        <v>5989</v>
      </c>
      <c r="E56" s="266" t="s">
        <v>192</v>
      </c>
      <c r="F56" s="267">
        <v>1</v>
      </c>
      <c r="G56" s="268" t="s">
        <v>193</v>
      </c>
      <c r="H56" s="267" t="s">
        <v>194</v>
      </c>
      <c r="I56" s="267" t="s">
        <v>6009</v>
      </c>
      <c r="J56" s="266" t="s">
        <v>196</v>
      </c>
      <c r="K56" s="267">
        <v>18</v>
      </c>
      <c r="L56" s="266" t="s">
        <v>6010</v>
      </c>
      <c r="M56" s="266" t="s">
        <v>6251</v>
      </c>
      <c r="N56" s="269" t="s">
        <v>6526</v>
      </c>
      <c r="O56" s="267" t="s">
        <v>624</v>
      </c>
      <c r="P56" s="267">
        <v>25</v>
      </c>
      <c r="Q56" s="267"/>
      <c r="R56" s="267"/>
      <c r="S56" s="266" t="s">
        <v>4714</v>
      </c>
      <c r="T56" s="267" t="s">
        <v>6326</v>
      </c>
      <c r="U56" s="245" t="str">
        <f t="shared" si="0"/>
        <v>332203</v>
      </c>
      <c r="Z56" s="192"/>
      <c r="AD56" s="192"/>
    </row>
    <row r="57" spans="1:30" x14ac:dyDescent="0.25">
      <c r="A57" s="266" t="s">
        <v>800</v>
      </c>
      <c r="B57" s="266" t="s">
        <v>332</v>
      </c>
      <c r="C57" s="266" t="s">
        <v>5440</v>
      </c>
      <c r="D57" s="266" t="s">
        <v>5989</v>
      </c>
      <c r="E57" s="266" t="s">
        <v>192</v>
      </c>
      <c r="F57" s="267">
        <v>1</v>
      </c>
      <c r="G57" s="268" t="s">
        <v>193</v>
      </c>
      <c r="H57" s="267" t="s">
        <v>194</v>
      </c>
      <c r="I57" s="267" t="s">
        <v>5966</v>
      </c>
      <c r="J57" s="266" t="s">
        <v>276</v>
      </c>
      <c r="K57" s="267">
        <v>18</v>
      </c>
      <c r="L57" s="266" t="s">
        <v>6098</v>
      </c>
      <c r="M57" s="266" t="s">
        <v>6245</v>
      </c>
      <c r="N57" s="267" t="s">
        <v>6342</v>
      </c>
      <c r="O57" s="267" t="s">
        <v>310</v>
      </c>
      <c r="P57" s="267">
        <v>3</v>
      </c>
      <c r="Q57" s="267"/>
      <c r="R57" s="267"/>
      <c r="S57" s="266" t="s">
        <v>4714</v>
      </c>
      <c r="T57" s="267" t="s">
        <v>6326</v>
      </c>
      <c r="U57" s="245" t="str">
        <f t="shared" si="0"/>
        <v>214404</v>
      </c>
      <c r="Z57" s="192"/>
      <c r="AD57" s="192"/>
    </row>
    <row r="58" spans="1:30" x14ac:dyDescent="0.25">
      <c r="A58" s="266" t="s">
        <v>6113</v>
      </c>
      <c r="B58" s="266" t="s">
        <v>6114</v>
      </c>
      <c r="C58" s="266" t="s">
        <v>43</v>
      </c>
      <c r="D58" s="266" t="s">
        <v>5989</v>
      </c>
      <c r="E58" s="266" t="s">
        <v>192</v>
      </c>
      <c r="F58" s="267">
        <v>1</v>
      </c>
      <c r="G58" s="268" t="s">
        <v>193</v>
      </c>
      <c r="H58" s="267" t="s">
        <v>194</v>
      </c>
      <c r="I58" s="267" t="s">
        <v>5990</v>
      </c>
      <c r="J58" s="266" t="s">
        <v>210</v>
      </c>
      <c r="K58" s="267">
        <v>18</v>
      </c>
      <c r="L58" s="266" t="s">
        <v>6115</v>
      </c>
      <c r="M58" s="266" t="s">
        <v>6340</v>
      </c>
      <c r="N58" s="267">
        <v>1863</v>
      </c>
      <c r="O58" s="267" t="s">
        <v>452</v>
      </c>
      <c r="P58" s="267">
        <v>1</v>
      </c>
      <c r="Q58" s="267"/>
      <c r="R58" s="267"/>
      <c r="S58" s="266" t="s">
        <v>4714</v>
      </c>
      <c r="T58" s="267" t="s">
        <v>6326</v>
      </c>
      <c r="U58" s="245" t="str">
        <f t="shared" si="0"/>
        <v>243106</v>
      </c>
      <c r="Z58" s="192"/>
      <c r="AD58" s="192"/>
    </row>
    <row r="59" spans="1:30" x14ac:dyDescent="0.25">
      <c r="A59" s="266" t="s">
        <v>6154</v>
      </c>
      <c r="B59" s="266" t="s">
        <v>6155</v>
      </c>
      <c r="C59" s="266" t="s">
        <v>6156</v>
      </c>
      <c r="D59" s="266" t="s">
        <v>5989</v>
      </c>
      <c r="E59" s="266" t="s">
        <v>192</v>
      </c>
      <c r="F59" s="267">
        <v>1</v>
      </c>
      <c r="G59" s="268" t="s">
        <v>193</v>
      </c>
      <c r="H59" s="267" t="s">
        <v>194</v>
      </c>
      <c r="I59" s="267" t="s">
        <v>5966</v>
      </c>
      <c r="J59" s="266" t="s">
        <v>210</v>
      </c>
      <c r="K59" s="267">
        <v>18</v>
      </c>
      <c r="L59" s="266" t="s">
        <v>6157</v>
      </c>
      <c r="M59" s="266" t="s">
        <v>6254</v>
      </c>
      <c r="N59" s="267">
        <v>1863</v>
      </c>
      <c r="O59" s="267" t="s">
        <v>6158</v>
      </c>
      <c r="P59" s="267">
        <v>1</v>
      </c>
      <c r="Q59" s="267"/>
      <c r="R59" s="267"/>
      <c r="S59" s="266" t="s">
        <v>4714</v>
      </c>
      <c r="T59" s="267" t="s">
        <v>6009</v>
      </c>
      <c r="U59" s="245" t="str">
        <f t="shared" si="0"/>
        <v>241204</v>
      </c>
      <c r="Z59" s="192"/>
      <c r="AD59" s="192"/>
    </row>
    <row r="60" spans="1:30" x14ac:dyDescent="0.25">
      <c r="A60" s="266" t="s">
        <v>6088</v>
      </c>
      <c r="B60" s="266" t="s">
        <v>632</v>
      </c>
      <c r="C60" s="266" t="s">
        <v>17</v>
      </c>
      <c r="D60" s="266" t="s">
        <v>5989</v>
      </c>
      <c r="E60" s="266" t="s">
        <v>192</v>
      </c>
      <c r="F60" s="267">
        <v>1</v>
      </c>
      <c r="G60" s="268" t="s">
        <v>193</v>
      </c>
      <c r="H60" s="267" t="s">
        <v>194</v>
      </c>
      <c r="I60" s="267" t="s">
        <v>5994</v>
      </c>
      <c r="J60" s="266" t="s">
        <v>210</v>
      </c>
      <c r="K60" s="267">
        <v>18</v>
      </c>
      <c r="L60" s="266" t="s">
        <v>6089</v>
      </c>
      <c r="M60" s="266" t="s">
        <v>6290</v>
      </c>
      <c r="N60" s="267">
        <v>1863</v>
      </c>
      <c r="O60" s="267" t="s">
        <v>624</v>
      </c>
      <c r="P60" s="267">
        <v>1</v>
      </c>
      <c r="Q60" s="267"/>
      <c r="R60" s="267"/>
      <c r="S60" s="266" t="s">
        <v>4714</v>
      </c>
      <c r="T60" s="267" t="s">
        <v>6009</v>
      </c>
      <c r="U60" s="245" t="str">
        <f t="shared" si="0"/>
        <v>332203</v>
      </c>
      <c r="Z60" s="192"/>
      <c r="AD60" s="192"/>
    </row>
    <row r="61" spans="1:30" x14ac:dyDescent="0.25">
      <c r="A61" s="266" t="s">
        <v>406</v>
      </c>
      <c r="B61" s="266" t="s">
        <v>4342</v>
      </c>
      <c r="C61" s="266" t="s">
        <v>1661</v>
      </c>
      <c r="D61" s="266" t="s">
        <v>5989</v>
      </c>
      <c r="E61" s="266" t="s">
        <v>233</v>
      </c>
      <c r="F61" s="267">
        <v>1</v>
      </c>
      <c r="G61" s="268" t="s">
        <v>193</v>
      </c>
      <c r="H61" s="267" t="s">
        <v>194</v>
      </c>
      <c r="I61" s="267" t="s">
        <v>5966</v>
      </c>
      <c r="J61" s="266" t="s">
        <v>316</v>
      </c>
      <c r="K61" s="267">
        <v>18</v>
      </c>
      <c r="L61" s="266" t="s">
        <v>6216</v>
      </c>
      <c r="M61" s="266" t="s">
        <v>6254</v>
      </c>
      <c r="N61" s="267">
        <v>1818</v>
      </c>
      <c r="O61" s="267" t="s">
        <v>1662</v>
      </c>
      <c r="P61" s="267">
        <v>1</v>
      </c>
      <c r="Q61" s="267" t="s">
        <v>6541</v>
      </c>
      <c r="R61" s="267" t="s">
        <v>6542</v>
      </c>
      <c r="S61" s="266" t="s">
        <v>4714</v>
      </c>
      <c r="T61" s="267" t="s">
        <v>5965</v>
      </c>
      <c r="U61" s="245" t="str">
        <f t="shared" si="0"/>
        <v>241202</v>
      </c>
      <c r="Z61" s="192"/>
      <c r="AD61" s="192"/>
    </row>
    <row r="62" spans="1:30" x14ac:dyDescent="0.25">
      <c r="A62" s="266" t="s">
        <v>2135</v>
      </c>
      <c r="B62" s="266" t="s">
        <v>2136</v>
      </c>
      <c r="C62" s="266" t="s">
        <v>67</v>
      </c>
      <c r="D62" s="266" t="s">
        <v>5989</v>
      </c>
      <c r="E62" s="266" t="s">
        <v>192</v>
      </c>
      <c r="F62" s="267">
        <v>1</v>
      </c>
      <c r="G62" s="268" t="s">
        <v>193</v>
      </c>
      <c r="H62" s="267" t="s">
        <v>194</v>
      </c>
      <c r="I62" s="267" t="s">
        <v>5990</v>
      </c>
      <c r="J62" s="266" t="s">
        <v>210</v>
      </c>
      <c r="K62" s="267">
        <v>18</v>
      </c>
      <c r="L62" s="266" t="s">
        <v>6116</v>
      </c>
      <c r="M62" s="266" t="s">
        <v>6266</v>
      </c>
      <c r="N62" s="267">
        <v>1863</v>
      </c>
      <c r="O62" s="267" t="s">
        <v>709</v>
      </c>
      <c r="P62" s="267">
        <v>1</v>
      </c>
      <c r="Q62" s="267"/>
      <c r="R62" s="267"/>
      <c r="S62" s="266" t="s">
        <v>4714</v>
      </c>
      <c r="T62" s="267" t="s">
        <v>5800</v>
      </c>
      <c r="U62" s="245" t="str">
        <f t="shared" si="0"/>
        <v>432103</v>
      </c>
      <c r="Z62" s="192"/>
      <c r="AD62" s="192"/>
    </row>
    <row r="63" spans="1:30" x14ac:dyDescent="0.25">
      <c r="A63" s="266" t="s">
        <v>615</v>
      </c>
      <c r="B63" s="266" t="s">
        <v>4921</v>
      </c>
      <c r="C63" s="266" t="s">
        <v>111</v>
      </c>
      <c r="D63" s="266" t="s">
        <v>5989</v>
      </c>
      <c r="E63" s="266" t="s">
        <v>233</v>
      </c>
      <c r="F63" s="267">
        <v>1</v>
      </c>
      <c r="G63" s="268" t="s">
        <v>193</v>
      </c>
      <c r="H63" s="267" t="s">
        <v>194</v>
      </c>
      <c r="I63" s="267" t="s">
        <v>5966</v>
      </c>
      <c r="J63" s="266" t="s">
        <v>210</v>
      </c>
      <c r="K63" s="267">
        <v>18</v>
      </c>
      <c r="L63" s="266" t="s">
        <v>6151</v>
      </c>
      <c r="M63" s="266" t="s">
        <v>6249</v>
      </c>
      <c r="N63" s="267">
        <v>1863</v>
      </c>
      <c r="O63" s="267" t="s">
        <v>612</v>
      </c>
      <c r="P63" s="267">
        <v>1</v>
      </c>
      <c r="Q63" s="267" t="s">
        <v>4924</v>
      </c>
      <c r="R63" s="267" t="s">
        <v>4925</v>
      </c>
      <c r="S63" s="266" t="s">
        <v>4714</v>
      </c>
      <c r="T63" s="267" t="s">
        <v>5797</v>
      </c>
      <c r="U63" s="245" t="str">
        <f t="shared" si="0"/>
        <v>332101</v>
      </c>
      <c r="Z63" s="192"/>
      <c r="AD63" s="192"/>
    </row>
    <row r="64" spans="1:30" x14ac:dyDescent="0.25">
      <c r="A64" s="266" t="s">
        <v>615</v>
      </c>
      <c r="B64" s="266" t="s">
        <v>4921</v>
      </c>
      <c r="C64" s="266" t="s">
        <v>111</v>
      </c>
      <c r="D64" s="266" t="s">
        <v>5989</v>
      </c>
      <c r="E64" s="266" t="s">
        <v>233</v>
      </c>
      <c r="F64" s="267">
        <v>1</v>
      </c>
      <c r="G64" s="268" t="s">
        <v>193</v>
      </c>
      <c r="H64" s="267" t="s">
        <v>194</v>
      </c>
      <c r="I64" s="267" t="s">
        <v>5966</v>
      </c>
      <c r="J64" s="266" t="s">
        <v>316</v>
      </c>
      <c r="K64" s="267">
        <v>18</v>
      </c>
      <c r="L64" s="266" t="s">
        <v>6152</v>
      </c>
      <c r="M64" s="266" t="s">
        <v>6249</v>
      </c>
      <c r="N64" s="267">
        <v>1818</v>
      </c>
      <c r="O64" s="267" t="s">
        <v>612</v>
      </c>
      <c r="P64" s="267">
        <v>1</v>
      </c>
      <c r="Q64" s="267" t="s">
        <v>4924</v>
      </c>
      <c r="R64" s="267" t="s">
        <v>4925</v>
      </c>
      <c r="S64" s="266" t="s">
        <v>4714</v>
      </c>
      <c r="T64" s="267" t="s">
        <v>5797</v>
      </c>
      <c r="U64" s="245" t="str">
        <f t="shared" si="0"/>
        <v>332101</v>
      </c>
      <c r="Z64" s="192"/>
      <c r="AD64" s="192"/>
    </row>
    <row r="65" spans="1:30" x14ac:dyDescent="0.25">
      <c r="A65" s="266" t="s">
        <v>1201</v>
      </c>
      <c r="B65" s="266" t="s">
        <v>4830</v>
      </c>
      <c r="C65" s="266" t="s">
        <v>12</v>
      </c>
      <c r="D65" s="266" t="s">
        <v>5989</v>
      </c>
      <c r="E65" s="266" t="s">
        <v>233</v>
      </c>
      <c r="F65" s="267">
        <v>1</v>
      </c>
      <c r="G65" s="268" t="s">
        <v>193</v>
      </c>
      <c r="H65" s="267" t="s">
        <v>194</v>
      </c>
      <c r="I65" s="267" t="s">
        <v>5990</v>
      </c>
      <c r="J65" s="266" t="s">
        <v>210</v>
      </c>
      <c r="K65" s="267">
        <v>18</v>
      </c>
      <c r="L65" s="266" t="s">
        <v>5998</v>
      </c>
      <c r="M65" s="266" t="s">
        <v>6324</v>
      </c>
      <c r="N65" s="267">
        <v>1863</v>
      </c>
      <c r="O65" s="267" t="s">
        <v>220</v>
      </c>
      <c r="P65" s="267">
        <v>1</v>
      </c>
      <c r="Q65" s="267" t="s">
        <v>4832</v>
      </c>
      <c r="R65" s="267" t="s">
        <v>4833</v>
      </c>
      <c r="S65" s="266" t="s">
        <v>4714</v>
      </c>
      <c r="T65" s="267" t="s">
        <v>5797</v>
      </c>
      <c r="U65" s="245" t="str">
        <f t="shared" si="0"/>
        <v>132301</v>
      </c>
      <c r="Z65" s="192"/>
      <c r="AD65" s="192"/>
    </row>
    <row r="66" spans="1:30" x14ac:dyDescent="0.25">
      <c r="A66" s="266" t="s">
        <v>615</v>
      </c>
      <c r="B66" s="266" t="s">
        <v>4935</v>
      </c>
      <c r="C66" s="266" t="s">
        <v>80</v>
      </c>
      <c r="D66" s="266" t="s">
        <v>5989</v>
      </c>
      <c r="E66" s="266" t="s">
        <v>233</v>
      </c>
      <c r="F66" s="267">
        <v>1</v>
      </c>
      <c r="G66" s="268" t="s">
        <v>193</v>
      </c>
      <c r="H66" s="267" t="s">
        <v>194</v>
      </c>
      <c r="I66" s="267" t="s">
        <v>5990</v>
      </c>
      <c r="J66" s="266" t="s">
        <v>316</v>
      </c>
      <c r="K66" s="267">
        <v>18</v>
      </c>
      <c r="L66" s="266" t="s">
        <v>6149</v>
      </c>
      <c r="M66" s="266" t="s">
        <v>6249</v>
      </c>
      <c r="N66" s="267">
        <v>1818</v>
      </c>
      <c r="O66" s="267" t="s">
        <v>474</v>
      </c>
      <c r="P66" s="267">
        <v>1</v>
      </c>
      <c r="Q66" s="267" t="s">
        <v>4924</v>
      </c>
      <c r="R66" s="267" t="s">
        <v>4937</v>
      </c>
      <c r="S66" s="266" t="s">
        <v>4714</v>
      </c>
      <c r="T66" s="267" t="s">
        <v>5797</v>
      </c>
      <c r="U66" s="245" t="str">
        <f t="shared" si="0"/>
        <v>243304</v>
      </c>
      <c r="Z66" s="192"/>
      <c r="AD66" s="192"/>
    </row>
    <row r="67" spans="1:30" x14ac:dyDescent="0.25">
      <c r="A67" s="266" t="s">
        <v>615</v>
      </c>
      <c r="B67" s="266" t="s">
        <v>4935</v>
      </c>
      <c r="C67" s="266" t="s">
        <v>80</v>
      </c>
      <c r="D67" s="266" t="s">
        <v>5989</v>
      </c>
      <c r="E67" s="266" t="s">
        <v>233</v>
      </c>
      <c r="F67" s="267">
        <v>1</v>
      </c>
      <c r="G67" s="268" t="s">
        <v>193</v>
      </c>
      <c r="H67" s="267" t="s">
        <v>194</v>
      </c>
      <c r="I67" s="267" t="s">
        <v>5990</v>
      </c>
      <c r="J67" s="266" t="s">
        <v>210</v>
      </c>
      <c r="K67" s="267">
        <v>18</v>
      </c>
      <c r="L67" s="266" t="s">
        <v>6150</v>
      </c>
      <c r="M67" s="266" t="s">
        <v>6249</v>
      </c>
      <c r="N67" s="267">
        <v>1863</v>
      </c>
      <c r="O67" s="267" t="s">
        <v>474</v>
      </c>
      <c r="P67" s="267">
        <v>1</v>
      </c>
      <c r="Q67" s="267" t="s">
        <v>4924</v>
      </c>
      <c r="R67" s="267" t="s">
        <v>4937</v>
      </c>
      <c r="S67" s="266" t="s">
        <v>4714</v>
      </c>
      <c r="T67" s="267" t="s">
        <v>5797</v>
      </c>
      <c r="U67" s="245" t="str">
        <f t="shared" si="0"/>
        <v>243304</v>
      </c>
      <c r="Z67" s="192"/>
      <c r="AD67" s="192"/>
    </row>
    <row r="68" spans="1:30" x14ac:dyDescent="0.25">
      <c r="A68" s="266" t="s">
        <v>6099</v>
      </c>
      <c r="B68" s="266" t="s">
        <v>4338</v>
      </c>
      <c r="C68" s="266" t="s">
        <v>688</v>
      </c>
      <c r="D68" s="266" t="s">
        <v>5989</v>
      </c>
      <c r="E68" s="266" t="s">
        <v>192</v>
      </c>
      <c r="F68" s="267">
        <v>1</v>
      </c>
      <c r="G68" s="268" t="s">
        <v>193</v>
      </c>
      <c r="H68" s="267" t="s">
        <v>194</v>
      </c>
      <c r="I68" s="267" t="s">
        <v>5990</v>
      </c>
      <c r="J68" s="266" t="s">
        <v>408</v>
      </c>
      <c r="K68" s="267">
        <v>18</v>
      </c>
      <c r="L68" s="266" t="s">
        <v>6100</v>
      </c>
      <c r="M68" s="266" t="s">
        <v>6343</v>
      </c>
      <c r="N68" s="267">
        <v>1864</v>
      </c>
      <c r="O68" s="267" t="s">
        <v>689</v>
      </c>
      <c r="P68" s="267">
        <v>1</v>
      </c>
      <c r="Q68" s="267"/>
      <c r="R68" s="267"/>
      <c r="S68" s="266" t="s">
        <v>4714</v>
      </c>
      <c r="T68" s="267" t="s">
        <v>5800</v>
      </c>
      <c r="U68" s="245" t="str">
        <f t="shared" ref="U68:U131" si="1">MID(O68,8,6)</f>
        <v>343402</v>
      </c>
      <c r="Z68" s="192"/>
      <c r="AD68" s="192"/>
    </row>
    <row r="69" spans="1:30" x14ac:dyDescent="0.25">
      <c r="A69" s="266" t="s">
        <v>2813</v>
      </c>
      <c r="B69" s="266" t="s">
        <v>647</v>
      </c>
      <c r="C69" s="266" t="s">
        <v>17</v>
      </c>
      <c r="D69" s="266" t="s">
        <v>5989</v>
      </c>
      <c r="E69" s="266" t="s">
        <v>192</v>
      </c>
      <c r="F69" s="267">
        <v>1</v>
      </c>
      <c r="G69" s="268" t="s">
        <v>193</v>
      </c>
      <c r="H69" s="267" t="s">
        <v>194</v>
      </c>
      <c r="I69" s="267" t="s">
        <v>5966</v>
      </c>
      <c r="J69" s="266" t="s">
        <v>276</v>
      </c>
      <c r="K69" s="267">
        <v>18</v>
      </c>
      <c r="L69" s="266" t="s">
        <v>6067</v>
      </c>
      <c r="M69" s="266" t="s">
        <v>6251</v>
      </c>
      <c r="N69" s="267">
        <v>1803</v>
      </c>
      <c r="O69" s="267" t="s">
        <v>624</v>
      </c>
      <c r="P69" s="267">
        <v>1</v>
      </c>
      <c r="Q69" s="267"/>
      <c r="R69" s="267"/>
      <c r="S69" s="266" t="s">
        <v>4714</v>
      </c>
      <c r="T69" s="267" t="s">
        <v>6339</v>
      </c>
      <c r="U69" s="245" t="str">
        <f t="shared" si="1"/>
        <v>332203</v>
      </c>
      <c r="Z69" s="192"/>
      <c r="AD69" s="192"/>
    </row>
    <row r="70" spans="1:30" x14ac:dyDescent="0.25">
      <c r="A70" s="266" t="s">
        <v>2777</v>
      </c>
      <c r="B70" s="266" t="s">
        <v>2815</v>
      </c>
      <c r="C70" s="266" t="s">
        <v>420</v>
      </c>
      <c r="D70" s="266" t="s">
        <v>5989</v>
      </c>
      <c r="E70" s="266" t="s">
        <v>192</v>
      </c>
      <c r="F70" s="267">
        <v>1</v>
      </c>
      <c r="G70" s="268" t="s">
        <v>193</v>
      </c>
      <c r="H70" s="267" t="s">
        <v>194</v>
      </c>
      <c r="I70" s="267" t="s">
        <v>6009</v>
      </c>
      <c r="J70" s="266" t="s">
        <v>276</v>
      </c>
      <c r="K70" s="267">
        <v>18</v>
      </c>
      <c r="L70" s="266" t="s">
        <v>6169</v>
      </c>
      <c r="M70" s="266" t="s">
        <v>6251</v>
      </c>
      <c r="N70" s="267">
        <v>1803</v>
      </c>
      <c r="O70" s="267" t="s">
        <v>421</v>
      </c>
      <c r="P70" s="267">
        <v>1</v>
      </c>
      <c r="Q70" s="267"/>
      <c r="R70" s="267"/>
      <c r="S70" s="266" t="s">
        <v>4714</v>
      </c>
      <c r="T70" s="267" t="s">
        <v>6250</v>
      </c>
      <c r="U70" s="245" t="str">
        <f t="shared" si="1"/>
        <v>241306</v>
      </c>
      <c r="Z70" s="192"/>
      <c r="AD70" s="192"/>
    </row>
    <row r="71" spans="1:30" x14ac:dyDescent="0.25">
      <c r="A71" s="266" t="s">
        <v>1386</v>
      </c>
      <c r="B71" s="266" t="s">
        <v>6011</v>
      </c>
      <c r="C71" s="266" t="s">
        <v>19</v>
      </c>
      <c r="D71" s="266" t="s">
        <v>5989</v>
      </c>
      <c r="E71" s="266" t="s">
        <v>192</v>
      </c>
      <c r="F71" s="267">
        <v>1</v>
      </c>
      <c r="G71" s="268" t="s">
        <v>193</v>
      </c>
      <c r="H71" s="267" t="s">
        <v>194</v>
      </c>
      <c r="I71" s="267" t="s">
        <v>5966</v>
      </c>
      <c r="J71" s="266" t="s">
        <v>1388</v>
      </c>
      <c r="K71" s="267">
        <v>18</v>
      </c>
      <c r="L71" s="266" t="s">
        <v>6012</v>
      </c>
      <c r="M71" s="266" t="s">
        <v>6245</v>
      </c>
      <c r="N71" s="267">
        <v>1811</v>
      </c>
      <c r="O71" s="267" t="s">
        <v>337</v>
      </c>
      <c r="P71" s="267">
        <v>1</v>
      </c>
      <c r="Q71" s="267"/>
      <c r="R71" s="267"/>
      <c r="S71" s="266" t="s">
        <v>4714</v>
      </c>
      <c r="T71" s="267" t="s">
        <v>6326</v>
      </c>
      <c r="U71" s="245" t="str">
        <f t="shared" si="1"/>
        <v>214903</v>
      </c>
      <c r="Z71" s="192"/>
      <c r="AD71" s="192"/>
    </row>
    <row r="72" spans="1:30" x14ac:dyDescent="0.25">
      <c r="A72" s="266" t="s">
        <v>1707</v>
      </c>
      <c r="B72" s="266" t="s">
        <v>632</v>
      </c>
      <c r="C72" s="266" t="s">
        <v>17</v>
      </c>
      <c r="D72" s="266" t="s">
        <v>5989</v>
      </c>
      <c r="E72" s="266" t="s">
        <v>192</v>
      </c>
      <c r="F72" s="267">
        <v>5</v>
      </c>
      <c r="G72" s="268" t="s">
        <v>193</v>
      </c>
      <c r="H72" s="267" t="s">
        <v>194</v>
      </c>
      <c r="I72" s="267" t="s">
        <v>5994</v>
      </c>
      <c r="J72" s="266" t="s">
        <v>385</v>
      </c>
      <c r="K72" s="267">
        <v>18</v>
      </c>
      <c r="L72" s="266" t="s">
        <v>6220</v>
      </c>
      <c r="M72" s="266" t="s">
        <v>6251</v>
      </c>
      <c r="N72" s="267" t="s">
        <v>6382</v>
      </c>
      <c r="O72" s="267" t="s">
        <v>624</v>
      </c>
      <c r="P72" s="267">
        <v>5</v>
      </c>
      <c r="Q72" s="267"/>
      <c r="R72" s="267"/>
      <c r="S72" s="266" t="s">
        <v>4714</v>
      </c>
      <c r="T72" s="267" t="s">
        <v>5797</v>
      </c>
      <c r="U72" s="245" t="str">
        <f t="shared" si="1"/>
        <v>332203</v>
      </c>
      <c r="Z72" s="192"/>
      <c r="AD72" s="192"/>
    </row>
    <row r="73" spans="1:30" x14ac:dyDescent="0.25">
      <c r="A73" s="266" t="s">
        <v>2777</v>
      </c>
      <c r="B73" s="266" t="s">
        <v>4988</v>
      </c>
      <c r="C73" s="266" t="s">
        <v>111</v>
      </c>
      <c r="D73" s="266" t="s">
        <v>5989</v>
      </c>
      <c r="E73" s="266" t="s">
        <v>192</v>
      </c>
      <c r="F73" s="267">
        <v>1</v>
      </c>
      <c r="G73" s="268" t="s">
        <v>193</v>
      </c>
      <c r="H73" s="267" t="s">
        <v>194</v>
      </c>
      <c r="I73" s="267" t="s">
        <v>6009</v>
      </c>
      <c r="J73" s="266" t="s">
        <v>276</v>
      </c>
      <c r="K73" s="267">
        <v>18</v>
      </c>
      <c r="L73" s="266" t="s">
        <v>6170</v>
      </c>
      <c r="M73" s="266" t="s">
        <v>6249</v>
      </c>
      <c r="N73" s="267" t="s">
        <v>5516</v>
      </c>
      <c r="O73" s="267" t="s">
        <v>612</v>
      </c>
      <c r="P73" s="267">
        <v>4</v>
      </c>
      <c r="Q73" s="267"/>
      <c r="R73" s="267"/>
      <c r="S73" s="266" t="s">
        <v>4714</v>
      </c>
      <c r="T73" s="267" t="s">
        <v>6323</v>
      </c>
      <c r="U73" s="245" t="str">
        <f t="shared" si="1"/>
        <v>332101</v>
      </c>
      <c r="Z73" s="192"/>
      <c r="AD73" s="192"/>
    </row>
    <row r="74" spans="1:30" x14ac:dyDescent="0.25">
      <c r="A74" s="266" t="s">
        <v>581</v>
      </c>
      <c r="B74" s="266" t="s">
        <v>6230</v>
      </c>
      <c r="C74" s="266" t="s">
        <v>6231</v>
      </c>
      <c r="D74" s="266" t="s">
        <v>5989</v>
      </c>
      <c r="E74" s="266" t="s">
        <v>233</v>
      </c>
      <c r="F74" s="267">
        <v>1</v>
      </c>
      <c r="G74" s="268" t="s">
        <v>193</v>
      </c>
      <c r="H74" s="267" t="s">
        <v>194</v>
      </c>
      <c r="I74" s="267" t="s">
        <v>5966</v>
      </c>
      <c r="J74" s="266" t="s">
        <v>253</v>
      </c>
      <c r="K74" s="267">
        <v>18</v>
      </c>
      <c r="L74" s="266" t="s">
        <v>6232</v>
      </c>
      <c r="M74" s="266" t="s">
        <v>6275</v>
      </c>
      <c r="N74" s="267">
        <v>1811</v>
      </c>
      <c r="O74" s="267" t="s">
        <v>6233</v>
      </c>
      <c r="P74" s="267">
        <v>1</v>
      </c>
      <c r="Q74" s="267" t="s">
        <v>6385</v>
      </c>
      <c r="R74" s="267" t="s">
        <v>6386</v>
      </c>
      <c r="S74" s="266" t="s">
        <v>4714</v>
      </c>
      <c r="T74" s="267" t="s">
        <v>6314</v>
      </c>
      <c r="U74" s="245" t="str">
        <f t="shared" si="1"/>
        <v>834207</v>
      </c>
      <c r="Z74" s="192"/>
      <c r="AD74" s="192"/>
    </row>
    <row r="75" spans="1:30" x14ac:dyDescent="0.25">
      <c r="A75" s="266" t="s">
        <v>581</v>
      </c>
      <c r="B75" s="266" t="s">
        <v>5742</v>
      </c>
      <c r="C75" s="266" t="s">
        <v>822</v>
      </c>
      <c r="D75" s="266" t="s">
        <v>5989</v>
      </c>
      <c r="E75" s="266" t="s">
        <v>233</v>
      </c>
      <c r="F75" s="267">
        <v>1</v>
      </c>
      <c r="G75" s="268" t="s">
        <v>193</v>
      </c>
      <c r="H75" s="267" t="s">
        <v>194</v>
      </c>
      <c r="I75" s="267" t="s">
        <v>5990</v>
      </c>
      <c r="J75" s="266" t="s">
        <v>253</v>
      </c>
      <c r="K75" s="267">
        <v>18</v>
      </c>
      <c r="L75" s="266" t="s">
        <v>6226</v>
      </c>
      <c r="M75" s="266" t="s">
        <v>6275</v>
      </c>
      <c r="N75" s="267">
        <v>1811</v>
      </c>
      <c r="O75" s="267" t="s">
        <v>823</v>
      </c>
      <c r="P75" s="267">
        <v>1</v>
      </c>
      <c r="Q75" s="267" t="s">
        <v>6383</v>
      </c>
      <c r="R75" s="267" t="s">
        <v>6384</v>
      </c>
      <c r="S75" s="266" t="s">
        <v>4714</v>
      </c>
      <c r="T75" s="267" t="s">
        <v>6314</v>
      </c>
      <c r="U75" s="245" t="str">
        <f t="shared" si="1"/>
        <v>741103</v>
      </c>
      <c r="Z75" s="192"/>
      <c r="AD75" s="192"/>
    </row>
    <row r="76" spans="1:30" x14ac:dyDescent="0.25">
      <c r="A76" s="266" t="s">
        <v>581</v>
      </c>
      <c r="B76" s="266" t="s">
        <v>4781</v>
      </c>
      <c r="C76" s="266" t="s">
        <v>6227</v>
      </c>
      <c r="D76" s="266" t="s">
        <v>5989</v>
      </c>
      <c r="E76" s="266" t="s">
        <v>233</v>
      </c>
      <c r="F76" s="267">
        <v>1</v>
      </c>
      <c r="G76" s="268" t="s">
        <v>193</v>
      </c>
      <c r="H76" s="267" t="s">
        <v>194</v>
      </c>
      <c r="I76" s="267" t="s">
        <v>6009</v>
      </c>
      <c r="J76" s="266" t="s">
        <v>253</v>
      </c>
      <c r="K76" s="267">
        <v>18</v>
      </c>
      <c r="L76" s="266" t="s">
        <v>6228</v>
      </c>
      <c r="M76" s="266" t="s">
        <v>6275</v>
      </c>
      <c r="N76" s="267">
        <v>1811</v>
      </c>
      <c r="O76" s="267" t="s">
        <v>6229</v>
      </c>
      <c r="P76" s="267">
        <v>1</v>
      </c>
      <c r="Q76" s="267" t="s">
        <v>4783</v>
      </c>
      <c r="R76" s="267" t="s">
        <v>4784</v>
      </c>
      <c r="S76" s="266" t="s">
        <v>4714</v>
      </c>
      <c r="T76" s="267" t="s">
        <v>6314</v>
      </c>
      <c r="U76" s="245" t="str">
        <f t="shared" si="1"/>
        <v>821109</v>
      </c>
      <c r="Z76" s="192"/>
      <c r="AD76" s="192"/>
    </row>
    <row r="77" spans="1:30" x14ac:dyDescent="0.25">
      <c r="A77" s="266" t="s">
        <v>415</v>
      </c>
      <c r="B77" s="266" t="s">
        <v>6017</v>
      </c>
      <c r="C77" s="266" t="s">
        <v>4966</v>
      </c>
      <c r="D77" s="266" t="s">
        <v>5989</v>
      </c>
      <c r="E77" s="266" t="s">
        <v>192</v>
      </c>
      <c r="F77" s="267">
        <v>1</v>
      </c>
      <c r="G77" s="268" t="s">
        <v>193</v>
      </c>
      <c r="H77" s="267" t="s">
        <v>194</v>
      </c>
      <c r="I77" s="267" t="s">
        <v>5966</v>
      </c>
      <c r="J77" s="266" t="s">
        <v>385</v>
      </c>
      <c r="K77" s="267">
        <v>18</v>
      </c>
      <c r="L77" s="266" t="s">
        <v>6018</v>
      </c>
      <c r="M77" s="266" t="s">
        <v>6254</v>
      </c>
      <c r="N77" s="267">
        <v>1861</v>
      </c>
      <c r="O77" s="267" t="s">
        <v>405</v>
      </c>
      <c r="P77" s="267">
        <v>1</v>
      </c>
      <c r="Q77" s="267"/>
      <c r="R77" s="267"/>
      <c r="S77" s="266" t="s">
        <v>4714</v>
      </c>
      <c r="T77" s="267" t="s">
        <v>6314</v>
      </c>
      <c r="U77" s="245" t="str">
        <f t="shared" si="1"/>
        <v>241304</v>
      </c>
      <c r="Z77" s="192"/>
      <c r="AD77" s="192"/>
    </row>
    <row r="78" spans="1:30" x14ac:dyDescent="0.25">
      <c r="A78" s="266" t="s">
        <v>6210</v>
      </c>
      <c r="B78" s="266" t="s">
        <v>1396</v>
      </c>
      <c r="C78" s="266" t="s">
        <v>706</v>
      </c>
      <c r="D78" s="266" t="s">
        <v>5989</v>
      </c>
      <c r="E78" s="266" t="s">
        <v>192</v>
      </c>
      <c r="F78" s="267">
        <v>1</v>
      </c>
      <c r="G78" s="268" t="s">
        <v>193</v>
      </c>
      <c r="H78" s="267" t="s">
        <v>194</v>
      </c>
      <c r="I78" s="267" t="s">
        <v>6009</v>
      </c>
      <c r="J78" s="266" t="s">
        <v>210</v>
      </c>
      <c r="K78" s="267">
        <v>18</v>
      </c>
      <c r="L78" s="266" t="s">
        <v>6211</v>
      </c>
      <c r="M78" s="266" t="s">
        <v>6251</v>
      </c>
      <c r="N78" s="267">
        <v>1863</v>
      </c>
      <c r="O78" s="267" t="s">
        <v>707</v>
      </c>
      <c r="P78" s="267">
        <v>1</v>
      </c>
      <c r="Q78" s="267"/>
      <c r="R78" s="267"/>
      <c r="S78" s="266" t="s">
        <v>4714</v>
      </c>
      <c r="T78" s="267" t="s">
        <v>6314</v>
      </c>
      <c r="U78" s="245" t="str">
        <f t="shared" si="1"/>
        <v>422201</v>
      </c>
      <c r="Z78" s="192"/>
      <c r="AD78" s="192"/>
    </row>
    <row r="79" spans="1:30" x14ac:dyDescent="0.25">
      <c r="A79" s="266" t="s">
        <v>6210</v>
      </c>
      <c r="B79" s="266" t="s">
        <v>6212</v>
      </c>
      <c r="C79" s="266" t="s">
        <v>6208</v>
      </c>
      <c r="D79" s="266" t="s">
        <v>5989</v>
      </c>
      <c r="E79" s="266" t="s">
        <v>192</v>
      </c>
      <c r="F79" s="267">
        <v>1</v>
      </c>
      <c r="G79" s="268" t="s">
        <v>193</v>
      </c>
      <c r="H79" s="267" t="s">
        <v>194</v>
      </c>
      <c r="I79" s="267" t="s">
        <v>5966</v>
      </c>
      <c r="J79" s="266" t="s">
        <v>210</v>
      </c>
      <c r="K79" s="267">
        <v>18</v>
      </c>
      <c r="L79" s="266" t="s">
        <v>6213</v>
      </c>
      <c r="M79" s="266" t="s">
        <v>6258</v>
      </c>
      <c r="N79" s="267">
        <v>1863</v>
      </c>
      <c r="O79" s="267" t="s">
        <v>346</v>
      </c>
      <c r="P79" s="267">
        <v>1</v>
      </c>
      <c r="Q79" s="267"/>
      <c r="R79" s="267"/>
      <c r="S79" s="266" t="s">
        <v>4714</v>
      </c>
      <c r="T79" s="267" t="s">
        <v>6314</v>
      </c>
      <c r="U79" s="245" t="str">
        <f t="shared" si="1"/>
        <v>214931</v>
      </c>
      <c r="Z79" s="192"/>
      <c r="AD79" s="192"/>
    </row>
    <row r="80" spans="1:30" x14ac:dyDescent="0.25">
      <c r="A80" s="266" t="s">
        <v>3150</v>
      </c>
      <c r="B80" s="266" t="s">
        <v>6182</v>
      </c>
      <c r="C80" s="266" t="s">
        <v>6183</v>
      </c>
      <c r="D80" s="266" t="s">
        <v>5989</v>
      </c>
      <c r="E80" s="266" t="s">
        <v>192</v>
      </c>
      <c r="F80" s="267">
        <v>1</v>
      </c>
      <c r="G80" s="268" t="s">
        <v>193</v>
      </c>
      <c r="H80" s="267" t="s">
        <v>194</v>
      </c>
      <c r="I80" s="267" t="s">
        <v>5990</v>
      </c>
      <c r="J80" s="266" t="s">
        <v>385</v>
      </c>
      <c r="K80" s="267">
        <v>18</v>
      </c>
      <c r="L80" s="266" t="s">
        <v>6184</v>
      </c>
      <c r="M80" s="266" t="s">
        <v>6374</v>
      </c>
      <c r="N80" s="267">
        <v>1861</v>
      </c>
      <c r="O80" s="267" t="s">
        <v>6185</v>
      </c>
      <c r="P80" s="267">
        <v>1</v>
      </c>
      <c r="Q80" s="267"/>
      <c r="R80" s="267"/>
      <c r="S80" s="266" t="s">
        <v>4714</v>
      </c>
      <c r="T80" s="267" t="s">
        <v>5797</v>
      </c>
      <c r="U80" s="245" t="str">
        <f t="shared" si="1"/>
        <v>712603</v>
      </c>
      <c r="Z80" s="192"/>
      <c r="AD80" s="192"/>
    </row>
    <row r="81" spans="1:30" x14ac:dyDescent="0.25">
      <c r="A81" s="266" t="s">
        <v>6036</v>
      </c>
      <c r="B81" s="266" t="s">
        <v>6040</v>
      </c>
      <c r="C81" s="266" t="s">
        <v>10</v>
      </c>
      <c r="D81" s="266" t="s">
        <v>5989</v>
      </c>
      <c r="E81" s="266" t="s">
        <v>233</v>
      </c>
      <c r="F81" s="267">
        <v>1</v>
      </c>
      <c r="G81" s="268" t="s">
        <v>193</v>
      </c>
      <c r="H81" s="267" t="s">
        <v>194</v>
      </c>
      <c r="I81" s="267" t="s">
        <v>5990</v>
      </c>
      <c r="J81" s="266" t="s">
        <v>6038</v>
      </c>
      <c r="K81" s="267">
        <v>18</v>
      </c>
      <c r="L81" s="266" t="s">
        <v>6041</v>
      </c>
      <c r="M81" s="266" t="s">
        <v>6261</v>
      </c>
      <c r="N81" s="267">
        <v>1816</v>
      </c>
      <c r="O81" s="267" t="s">
        <v>484</v>
      </c>
      <c r="P81" s="267">
        <v>1</v>
      </c>
      <c r="Q81" s="267" t="s">
        <v>6330</v>
      </c>
      <c r="R81" s="267" t="s">
        <v>6331</v>
      </c>
      <c r="S81" s="266" t="s">
        <v>4714</v>
      </c>
      <c r="T81" s="267" t="s">
        <v>6325</v>
      </c>
      <c r="U81" s="245" t="str">
        <f t="shared" si="1"/>
        <v>251401</v>
      </c>
      <c r="Z81" s="192"/>
      <c r="AD81" s="192"/>
    </row>
    <row r="82" spans="1:30" x14ac:dyDescent="0.25">
      <c r="A82" s="266" t="s">
        <v>6036</v>
      </c>
      <c r="B82" s="266" t="s">
        <v>6042</v>
      </c>
      <c r="C82" s="266" t="s">
        <v>10</v>
      </c>
      <c r="D82" s="266" t="s">
        <v>5989</v>
      </c>
      <c r="E82" s="266" t="s">
        <v>233</v>
      </c>
      <c r="F82" s="267">
        <v>1</v>
      </c>
      <c r="G82" s="268" t="s">
        <v>193</v>
      </c>
      <c r="H82" s="267" t="s">
        <v>194</v>
      </c>
      <c r="I82" s="267" t="s">
        <v>5990</v>
      </c>
      <c r="J82" s="266" t="s">
        <v>6038</v>
      </c>
      <c r="K82" s="267">
        <v>18</v>
      </c>
      <c r="L82" s="266" t="s">
        <v>6043</v>
      </c>
      <c r="M82" s="266" t="s">
        <v>6261</v>
      </c>
      <c r="N82" s="267">
        <v>1816</v>
      </c>
      <c r="O82" s="267" t="s">
        <v>484</v>
      </c>
      <c r="P82" s="267">
        <v>1</v>
      </c>
      <c r="Q82" s="267" t="s">
        <v>6332</v>
      </c>
      <c r="R82" s="267" t="s">
        <v>6333</v>
      </c>
      <c r="S82" s="266" t="s">
        <v>4714</v>
      </c>
      <c r="T82" s="267" t="s">
        <v>6325</v>
      </c>
      <c r="U82" s="245" t="str">
        <f t="shared" si="1"/>
        <v>251401</v>
      </c>
      <c r="Z82" s="192"/>
      <c r="AD82" s="192"/>
    </row>
    <row r="83" spans="1:30" x14ac:dyDescent="0.25">
      <c r="A83" s="266" t="s">
        <v>6036</v>
      </c>
      <c r="B83" s="266" t="s">
        <v>6044</v>
      </c>
      <c r="C83" s="266" t="s">
        <v>129</v>
      </c>
      <c r="D83" s="266" t="s">
        <v>5989</v>
      </c>
      <c r="E83" s="266" t="s">
        <v>233</v>
      </c>
      <c r="F83" s="267">
        <v>1</v>
      </c>
      <c r="G83" s="268" t="s">
        <v>193</v>
      </c>
      <c r="H83" s="267" t="s">
        <v>194</v>
      </c>
      <c r="I83" s="267" t="s">
        <v>5966</v>
      </c>
      <c r="J83" s="266" t="s">
        <v>6038</v>
      </c>
      <c r="K83" s="267">
        <v>18</v>
      </c>
      <c r="L83" s="266" t="s">
        <v>6045</v>
      </c>
      <c r="M83" s="266" t="s">
        <v>6277</v>
      </c>
      <c r="N83" s="267">
        <v>1816</v>
      </c>
      <c r="O83" s="267" t="s">
        <v>203</v>
      </c>
      <c r="P83" s="267">
        <v>1</v>
      </c>
      <c r="Q83" s="267" t="s">
        <v>6544</v>
      </c>
      <c r="R83" s="267" t="s">
        <v>6334</v>
      </c>
      <c r="S83" s="266" t="s">
        <v>4714</v>
      </c>
      <c r="T83" s="267" t="s">
        <v>4849</v>
      </c>
      <c r="U83" s="245" t="str">
        <f t="shared" si="1"/>
        <v>121904</v>
      </c>
      <c r="Z83" s="192"/>
      <c r="AD83" s="192"/>
    </row>
    <row r="84" spans="1:30" x14ac:dyDescent="0.25">
      <c r="A84" s="266" t="s">
        <v>6036</v>
      </c>
      <c r="B84" s="266" t="s">
        <v>6037</v>
      </c>
      <c r="C84" s="266" t="s">
        <v>10</v>
      </c>
      <c r="D84" s="266" t="s">
        <v>5989</v>
      </c>
      <c r="E84" s="266" t="s">
        <v>233</v>
      </c>
      <c r="F84" s="267">
        <v>1</v>
      </c>
      <c r="G84" s="268" t="s">
        <v>193</v>
      </c>
      <c r="H84" s="267" t="s">
        <v>194</v>
      </c>
      <c r="I84" s="267" t="s">
        <v>5990</v>
      </c>
      <c r="J84" s="266" t="s">
        <v>6038</v>
      </c>
      <c r="K84" s="267">
        <v>18</v>
      </c>
      <c r="L84" s="266" t="s">
        <v>6039</v>
      </c>
      <c r="M84" s="266" t="s">
        <v>6261</v>
      </c>
      <c r="N84" s="267">
        <v>1816</v>
      </c>
      <c r="O84" s="267" t="s">
        <v>484</v>
      </c>
      <c r="P84" s="267">
        <v>1</v>
      </c>
      <c r="Q84" s="267" t="s">
        <v>6328</v>
      </c>
      <c r="R84" s="267" t="s">
        <v>6329</v>
      </c>
      <c r="S84" s="266" t="s">
        <v>4714</v>
      </c>
      <c r="T84" s="267" t="s">
        <v>6325</v>
      </c>
      <c r="U84" s="245" t="str">
        <f t="shared" si="1"/>
        <v>251401</v>
      </c>
      <c r="Z84" s="192"/>
      <c r="AD84" s="192"/>
    </row>
    <row r="85" spans="1:30" x14ac:dyDescent="0.25">
      <c r="A85" s="266" t="s">
        <v>6036</v>
      </c>
      <c r="B85" s="266" t="s">
        <v>6046</v>
      </c>
      <c r="C85" s="266" t="s">
        <v>10</v>
      </c>
      <c r="D85" s="266" t="s">
        <v>5989</v>
      </c>
      <c r="E85" s="266" t="s">
        <v>233</v>
      </c>
      <c r="F85" s="267">
        <v>1</v>
      </c>
      <c r="G85" s="268" t="s">
        <v>193</v>
      </c>
      <c r="H85" s="267" t="s">
        <v>194</v>
      </c>
      <c r="I85" s="267" t="s">
        <v>5990</v>
      </c>
      <c r="J85" s="266" t="s">
        <v>6038</v>
      </c>
      <c r="K85" s="267">
        <v>18</v>
      </c>
      <c r="L85" s="266" t="s">
        <v>6047</v>
      </c>
      <c r="M85" s="266" t="s">
        <v>6261</v>
      </c>
      <c r="N85" s="267">
        <v>1863</v>
      </c>
      <c r="O85" s="267" t="s">
        <v>484</v>
      </c>
      <c r="P85" s="267">
        <v>1</v>
      </c>
      <c r="Q85" s="267" t="s">
        <v>6335</v>
      </c>
      <c r="R85" s="267" t="s">
        <v>6336</v>
      </c>
      <c r="S85" s="266" t="s">
        <v>4714</v>
      </c>
      <c r="T85" s="267" t="s">
        <v>6325</v>
      </c>
      <c r="U85" s="245" t="str">
        <f t="shared" si="1"/>
        <v>251401</v>
      </c>
      <c r="Z85" s="192"/>
      <c r="AD85" s="192"/>
    </row>
    <row r="86" spans="1:30" x14ac:dyDescent="0.25">
      <c r="A86" s="266" t="s">
        <v>6193</v>
      </c>
      <c r="B86" s="266" t="s">
        <v>6198</v>
      </c>
      <c r="C86" s="266" t="s">
        <v>4293</v>
      </c>
      <c r="D86" s="266" t="s">
        <v>5989</v>
      </c>
      <c r="E86" s="266" t="s">
        <v>233</v>
      </c>
      <c r="F86" s="267">
        <v>1</v>
      </c>
      <c r="G86" s="268" t="s">
        <v>193</v>
      </c>
      <c r="H86" s="267" t="s">
        <v>194</v>
      </c>
      <c r="I86" s="267" t="s">
        <v>6009</v>
      </c>
      <c r="J86" s="266" t="s">
        <v>276</v>
      </c>
      <c r="K86" s="267">
        <v>18</v>
      </c>
      <c r="L86" s="266" t="s">
        <v>6199</v>
      </c>
      <c r="M86" s="266" t="s">
        <v>6256</v>
      </c>
      <c r="N86" s="267">
        <v>1803</v>
      </c>
      <c r="O86" s="267" t="s">
        <v>4295</v>
      </c>
      <c r="P86" s="267">
        <v>1</v>
      </c>
      <c r="Q86" s="267" t="s">
        <v>6379</v>
      </c>
      <c r="R86" s="267" t="s">
        <v>6380</v>
      </c>
      <c r="S86" s="266" t="s">
        <v>4714</v>
      </c>
      <c r="T86" s="267" t="s">
        <v>5798</v>
      </c>
      <c r="U86" s="245" t="str">
        <f t="shared" si="1"/>
        <v>834317</v>
      </c>
      <c r="Z86" s="192"/>
      <c r="AD86" s="192"/>
    </row>
    <row r="87" spans="1:30" x14ac:dyDescent="0.25">
      <c r="A87" s="266" t="s">
        <v>6193</v>
      </c>
      <c r="B87" s="266" t="s">
        <v>6196</v>
      </c>
      <c r="C87" s="266" t="s">
        <v>12</v>
      </c>
      <c r="D87" s="266" t="s">
        <v>5989</v>
      </c>
      <c r="E87" s="266" t="s">
        <v>233</v>
      </c>
      <c r="F87" s="267">
        <v>1</v>
      </c>
      <c r="G87" s="268" t="s">
        <v>193</v>
      </c>
      <c r="H87" s="267" t="s">
        <v>194</v>
      </c>
      <c r="I87" s="267" t="s">
        <v>5966</v>
      </c>
      <c r="J87" s="266" t="s">
        <v>276</v>
      </c>
      <c r="K87" s="267">
        <v>18</v>
      </c>
      <c r="L87" s="266" t="s">
        <v>6197</v>
      </c>
      <c r="M87" s="266" t="s">
        <v>6256</v>
      </c>
      <c r="N87" s="267">
        <v>1803</v>
      </c>
      <c r="O87" s="267" t="s">
        <v>220</v>
      </c>
      <c r="P87" s="267">
        <v>1</v>
      </c>
      <c r="Q87" s="267" t="s">
        <v>6377</v>
      </c>
      <c r="R87" s="267" t="s">
        <v>6378</v>
      </c>
      <c r="S87" s="266" t="s">
        <v>4714</v>
      </c>
      <c r="T87" s="267" t="s">
        <v>5798</v>
      </c>
      <c r="U87" s="245" t="str">
        <f t="shared" si="1"/>
        <v>132301</v>
      </c>
      <c r="Z87" s="192"/>
      <c r="AD87" s="192"/>
    </row>
    <row r="88" spans="1:30" x14ac:dyDescent="0.25">
      <c r="A88" s="266" t="s">
        <v>6193</v>
      </c>
      <c r="B88" s="266" t="s">
        <v>6194</v>
      </c>
      <c r="C88" s="266" t="s">
        <v>12</v>
      </c>
      <c r="D88" s="266" t="s">
        <v>5989</v>
      </c>
      <c r="E88" s="266" t="s">
        <v>233</v>
      </c>
      <c r="F88" s="267">
        <v>1</v>
      </c>
      <c r="G88" s="268" t="s">
        <v>193</v>
      </c>
      <c r="H88" s="267" t="s">
        <v>194</v>
      </c>
      <c r="I88" s="267" t="s">
        <v>5990</v>
      </c>
      <c r="J88" s="266" t="s">
        <v>276</v>
      </c>
      <c r="K88" s="267">
        <v>18</v>
      </c>
      <c r="L88" s="266" t="s">
        <v>6195</v>
      </c>
      <c r="M88" s="266" t="s">
        <v>6256</v>
      </c>
      <c r="N88" s="267">
        <v>1803</v>
      </c>
      <c r="O88" s="267" t="s">
        <v>220</v>
      </c>
      <c r="P88" s="267">
        <v>1</v>
      </c>
      <c r="Q88" s="267" t="s">
        <v>6375</v>
      </c>
      <c r="R88" s="267" t="s">
        <v>6376</v>
      </c>
      <c r="S88" s="266" t="s">
        <v>4714</v>
      </c>
      <c r="T88" s="267" t="s">
        <v>5798</v>
      </c>
      <c r="U88" s="245" t="str">
        <f t="shared" si="1"/>
        <v>132301</v>
      </c>
      <c r="Z88" s="192"/>
      <c r="AD88" s="192"/>
    </row>
    <row r="89" spans="1:30" x14ac:dyDescent="0.25">
      <c r="A89" s="266" t="s">
        <v>260</v>
      </c>
      <c r="B89" s="266" t="s">
        <v>761</v>
      </c>
      <c r="C89" s="266" t="s">
        <v>740</v>
      </c>
      <c r="D89" s="266" t="s">
        <v>5989</v>
      </c>
      <c r="E89" s="266" t="s">
        <v>233</v>
      </c>
      <c r="F89" s="267">
        <v>1</v>
      </c>
      <c r="G89" s="268" t="s">
        <v>193</v>
      </c>
      <c r="H89" s="267" t="s">
        <v>194</v>
      </c>
      <c r="I89" s="267" t="s">
        <v>5990</v>
      </c>
      <c r="J89" s="266" t="s">
        <v>210</v>
      </c>
      <c r="K89" s="267">
        <v>18</v>
      </c>
      <c r="L89" s="266" t="s">
        <v>6130</v>
      </c>
      <c r="M89" s="266" t="s">
        <v>6249</v>
      </c>
      <c r="N89" s="267">
        <v>1863</v>
      </c>
      <c r="O89" s="267" t="s">
        <v>741</v>
      </c>
      <c r="P89" s="267">
        <v>1</v>
      </c>
      <c r="Q89" s="267" t="s">
        <v>6351</v>
      </c>
      <c r="R89" s="267" t="s">
        <v>6352</v>
      </c>
      <c r="S89" s="266" t="s">
        <v>4714</v>
      </c>
      <c r="T89" s="267" t="s">
        <v>6325</v>
      </c>
      <c r="U89" s="245" t="str">
        <f t="shared" si="1"/>
        <v>522301</v>
      </c>
      <c r="Z89" s="192"/>
      <c r="AD89" s="192"/>
    </row>
    <row r="90" spans="1:30" x14ac:dyDescent="0.25">
      <c r="A90" s="266" t="s">
        <v>5913</v>
      </c>
      <c r="B90" s="266" t="s">
        <v>5916</v>
      </c>
      <c r="C90" s="266" t="s">
        <v>22</v>
      </c>
      <c r="D90" s="266" t="s">
        <v>5989</v>
      </c>
      <c r="E90" s="266" t="s">
        <v>217</v>
      </c>
      <c r="F90" s="267">
        <v>1</v>
      </c>
      <c r="G90" s="268" t="s">
        <v>193</v>
      </c>
      <c r="H90" s="267" t="s">
        <v>194</v>
      </c>
      <c r="I90" s="267" t="s">
        <v>5966</v>
      </c>
      <c r="J90" s="266" t="s">
        <v>2183</v>
      </c>
      <c r="K90" s="267">
        <v>18</v>
      </c>
      <c r="L90" s="266" t="s">
        <v>6177</v>
      </c>
      <c r="M90" s="266" t="s">
        <v>6269</v>
      </c>
      <c r="N90" s="267">
        <v>1820</v>
      </c>
      <c r="O90" s="267" t="s">
        <v>1608</v>
      </c>
      <c r="P90" s="267">
        <v>1</v>
      </c>
      <c r="Q90" s="267" t="s">
        <v>4903</v>
      </c>
      <c r="R90" s="267" t="s">
        <v>6369</v>
      </c>
      <c r="S90" s="266" t="s">
        <v>4714</v>
      </c>
      <c r="T90" s="267" t="s">
        <v>5797</v>
      </c>
      <c r="U90" s="245" t="str">
        <f t="shared" si="1"/>
        <v>228101</v>
      </c>
      <c r="Z90" s="192"/>
      <c r="AD90" s="192"/>
    </row>
    <row r="91" spans="1:30" x14ac:dyDescent="0.25">
      <c r="A91" s="266" t="s">
        <v>6223</v>
      </c>
      <c r="B91" s="266" t="s">
        <v>6224</v>
      </c>
      <c r="C91" s="266" t="s">
        <v>119</v>
      </c>
      <c r="D91" s="266" t="s">
        <v>5989</v>
      </c>
      <c r="E91" s="266" t="s">
        <v>192</v>
      </c>
      <c r="F91" s="267">
        <v>1</v>
      </c>
      <c r="G91" s="268" t="s">
        <v>193</v>
      </c>
      <c r="H91" s="267" t="s">
        <v>194</v>
      </c>
      <c r="I91" s="267" t="s">
        <v>5966</v>
      </c>
      <c r="J91" s="266" t="s">
        <v>210</v>
      </c>
      <c r="K91" s="267">
        <v>18</v>
      </c>
      <c r="L91" s="266" t="s">
        <v>6225</v>
      </c>
      <c r="M91" s="266" t="s">
        <v>6266</v>
      </c>
      <c r="N91" s="267">
        <v>1863</v>
      </c>
      <c r="O91" s="267" t="s">
        <v>666</v>
      </c>
      <c r="P91" s="267">
        <v>1</v>
      </c>
      <c r="Q91" s="267"/>
      <c r="R91" s="267"/>
      <c r="S91" s="266" t="s">
        <v>4714</v>
      </c>
      <c r="T91" s="267" t="s">
        <v>6314</v>
      </c>
      <c r="U91" s="245" t="str">
        <f t="shared" si="1"/>
        <v>333105</v>
      </c>
      <c r="Z91" s="192"/>
      <c r="AD91" s="192"/>
    </row>
    <row r="92" spans="1:30" x14ac:dyDescent="0.25">
      <c r="A92" s="266" t="s">
        <v>6082</v>
      </c>
      <c r="B92" s="266" t="s">
        <v>6083</v>
      </c>
      <c r="C92" s="266" t="s">
        <v>17</v>
      </c>
      <c r="D92" s="266" t="s">
        <v>5989</v>
      </c>
      <c r="E92" s="266" t="s">
        <v>192</v>
      </c>
      <c r="F92" s="267">
        <v>1</v>
      </c>
      <c r="G92" s="268" t="s">
        <v>193</v>
      </c>
      <c r="H92" s="267" t="s">
        <v>194</v>
      </c>
      <c r="I92" s="267" t="s">
        <v>5966</v>
      </c>
      <c r="J92" s="266" t="s">
        <v>323</v>
      </c>
      <c r="K92" s="267">
        <v>18</v>
      </c>
      <c r="L92" s="266" t="s">
        <v>6084</v>
      </c>
      <c r="M92" s="266" t="s">
        <v>6249</v>
      </c>
      <c r="N92" s="267">
        <v>1812</v>
      </c>
      <c r="O92" s="267" t="s">
        <v>624</v>
      </c>
      <c r="P92" s="267">
        <v>1</v>
      </c>
      <c r="Q92" s="267"/>
      <c r="R92" s="267"/>
      <c r="S92" s="266" t="s">
        <v>4714</v>
      </c>
      <c r="T92" s="267" t="s">
        <v>6325</v>
      </c>
      <c r="U92" s="245" t="str">
        <f t="shared" si="1"/>
        <v>332203</v>
      </c>
      <c r="Z92" s="192"/>
      <c r="AD92" s="192"/>
    </row>
    <row r="93" spans="1:30" x14ac:dyDescent="0.25">
      <c r="A93" s="266" t="s">
        <v>6061</v>
      </c>
      <c r="B93" s="266" t="s">
        <v>458</v>
      </c>
      <c r="C93" s="266" t="s">
        <v>113</v>
      </c>
      <c r="D93" s="266" t="s">
        <v>5989</v>
      </c>
      <c r="E93" s="266" t="s">
        <v>192</v>
      </c>
      <c r="F93" s="267">
        <v>1</v>
      </c>
      <c r="G93" s="268" t="s">
        <v>193</v>
      </c>
      <c r="H93" s="267" t="s">
        <v>194</v>
      </c>
      <c r="I93" s="267" t="s">
        <v>5966</v>
      </c>
      <c r="J93" s="266" t="s">
        <v>276</v>
      </c>
      <c r="K93" s="267">
        <v>18</v>
      </c>
      <c r="L93" s="266" t="s">
        <v>6062</v>
      </c>
      <c r="M93" s="266" t="s">
        <v>6302</v>
      </c>
      <c r="N93" s="267">
        <v>1803</v>
      </c>
      <c r="O93" s="267" t="s">
        <v>465</v>
      </c>
      <c r="P93" s="267">
        <v>1</v>
      </c>
      <c r="Q93" s="267"/>
      <c r="R93" s="267"/>
      <c r="S93" s="266" t="s">
        <v>4714</v>
      </c>
      <c r="T93" s="267" t="s">
        <v>6325</v>
      </c>
      <c r="U93" s="245" t="str">
        <f t="shared" si="1"/>
        <v>243302</v>
      </c>
      <c r="Z93" s="192"/>
      <c r="AD93" s="192"/>
    </row>
    <row r="94" spans="1:30" x14ac:dyDescent="0.25">
      <c r="A94" s="266" t="s">
        <v>6090</v>
      </c>
      <c r="B94" s="266" t="s">
        <v>538</v>
      </c>
      <c r="C94" s="266" t="s">
        <v>538</v>
      </c>
      <c r="D94" s="266" t="s">
        <v>5989</v>
      </c>
      <c r="E94" s="266" t="s">
        <v>192</v>
      </c>
      <c r="F94" s="267">
        <v>3</v>
      </c>
      <c r="G94" s="268" t="s">
        <v>193</v>
      </c>
      <c r="H94" s="267" t="s">
        <v>194</v>
      </c>
      <c r="I94" s="267" t="s">
        <v>5994</v>
      </c>
      <c r="J94" s="266" t="s">
        <v>367</v>
      </c>
      <c r="K94" s="267">
        <v>18</v>
      </c>
      <c r="L94" s="266" t="s">
        <v>6096</v>
      </c>
      <c r="M94" s="266" t="s">
        <v>6312</v>
      </c>
      <c r="N94" s="267" t="s">
        <v>6341</v>
      </c>
      <c r="O94" s="267" t="s">
        <v>539</v>
      </c>
      <c r="P94" s="267">
        <v>3</v>
      </c>
      <c r="Q94" s="267"/>
      <c r="R94" s="267"/>
      <c r="S94" s="266" t="s">
        <v>4714</v>
      </c>
      <c r="T94" s="267" t="s">
        <v>6325</v>
      </c>
      <c r="U94" s="245" t="str">
        <f t="shared" si="1"/>
        <v>263401</v>
      </c>
      <c r="Z94" s="192"/>
      <c r="AD94" s="192"/>
    </row>
    <row r="95" spans="1:30" x14ac:dyDescent="0.25">
      <c r="A95" s="266" t="s">
        <v>6162</v>
      </c>
      <c r="B95" s="266" t="s">
        <v>6163</v>
      </c>
      <c r="C95" s="266" t="s">
        <v>6164</v>
      </c>
      <c r="D95" s="266" t="s">
        <v>5989</v>
      </c>
      <c r="E95" s="266" t="s">
        <v>192</v>
      </c>
      <c r="F95" s="267">
        <v>1</v>
      </c>
      <c r="G95" s="268" t="s">
        <v>193</v>
      </c>
      <c r="H95" s="267" t="s">
        <v>194</v>
      </c>
      <c r="I95" s="267" t="s">
        <v>5966</v>
      </c>
      <c r="J95" s="266" t="s">
        <v>223</v>
      </c>
      <c r="K95" s="267">
        <v>18</v>
      </c>
      <c r="L95" s="266" t="s">
        <v>6165</v>
      </c>
      <c r="M95" s="266" t="s">
        <v>6363</v>
      </c>
      <c r="N95" s="267">
        <v>1804</v>
      </c>
      <c r="O95" s="267" t="s">
        <v>6166</v>
      </c>
      <c r="P95" s="267">
        <v>1</v>
      </c>
      <c r="Q95" s="267"/>
      <c r="R95" s="267"/>
      <c r="S95" s="266" t="s">
        <v>4714</v>
      </c>
      <c r="T95" s="267" t="s">
        <v>6325</v>
      </c>
      <c r="U95" s="245" t="str">
        <f t="shared" si="1"/>
        <v>818101</v>
      </c>
      <c r="Z95" s="192"/>
      <c r="AD95" s="192"/>
    </row>
    <row r="96" spans="1:30" x14ac:dyDescent="0.25">
      <c r="A96" s="266" t="s">
        <v>6090</v>
      </c>
      <c r="B96" s="266" t="s">
        <v>6092</v>
      </c>
      <c r="C96" s="266" t="s">
        <v>6093</v>
      </c>
      <c r="D96" s="266" t="s">
        <v>5989</v>
      </c>
      <c r="E96" s="266" t="s">
        <v>192</v>
      </c>
      <c r="F96" s="267">
        <v>1</v>
      </c>
      <c r="G96" s="268" t="s">
        <v>193</v>
      </c>
      <c r="H96" s="267" t="s">
        <v>194</v>
      </c>
      <c r="I96" s="267" t="s">
        <v>5966</v>
      </c>
      <c r="J96" s="266" t="s">
        <v>367</v>
      </c>
      <c r="K96" s="267">
        <v>18</v>
      </c>
      <c r="L96" s="266" t="s">
        <v>6094</v>
      </c>
      <c r="M96" s="266" t="s">
        <v>6312</v>
      </c>
      <c r="N96" s="267" t="s">
        <v>6341</v>
      </c>
      <c r="O96" s="267" t="s">
        <v>6095</v>
      </c>
      <c r="P96" s="267">
        <v>3</v>
      </c>
      <c r="Q96" s="267"/>
      <c r="R96" s="267"/>
      <c r="S96" s="266" t="s">
        <v>4714</v>
      </c>
      <c r="T96" s="267" t="s">
        <v>6325</v>
      </c>
      <c r="U96" s="245" t="str">
        <f t="shared" si="1"/>
        <v>235919</v>
      </c>
      <c r="Z96" s="192"/>
      <c r="AD96" s="192"/>
    </row>
    <row r="97" spans="1:30" x14ac:dyDescent="0.25">
      <c r="A97" s="266" t="s">
        <v>6105</v>
      </c>
      <c r="B97" s="266" t="s">
        <v>6106</v>
      </c>
      <c r="C97" s="266" t="s">
        <v>5440</v>
      </c>
      <c r="D97" s="266" t="s">
        <v>5989</v>
      </c>
      <c r="E97" s="266" t="s">
        <v>192</v>
      </c>
      <c r="F97" s="267">
        <v>3</v>
      </c>
      <c r="G97" s="268" t="s">
        <v>193</v>
      </c>
      <c r="H97" s="267" t="s">
        <v>194</v>
      </c>
      <c r="I97" s="267" t="s">
        <v>5990</v>
      </c>
      <c r="J97" s="266" t="s">
        <v>196</v>
      </c>
      <c r="K97" s="267">
        <v>18</v>
      </c>
      <c r="L97" s="266" t="s">
        <v>6107</v>
      </c>
      <c r="M97" s="266" t="s">
        <v>6245</v>
      </c>
      <c r="N97" s="267" t="s">
        <v>6344</v>
      </c>
      <c r="O97" s="267" t="s">
        <v>310</v>
      </c>
      <c r="P97" s="267">
        <v>3</v>
      </c>
      <c r="Q97" s="267"/>
      <c r="R97" s="267"/>
      <c r="S97" s="266" t="s">
        <v>4714</v>
      </c>
      <c r="T97" s="267" t="s">
        <v>6325</v>
      </c>
      <c r="U97" s="245" t="str">
        <f t="shared" si="1"/>
        <v>214404</v>
      </c>
      <c r="Z97" s="192"/>
      <c r="AD97" s="192"/>
    </row>
    <row r="98" spans="1:30" x14ac:dyDescent="0.25">
      <c r="A98" s="266" t="s">
        <v>269</v>
      </c>
      <c r="B98" s="266" t="s">
        <v>270</v>
      </c>
      <c r="C98" s="266" t="s">
        <v>35</v>
      </c>
      <c r="D98" s="266" t="s">
        <v>5989</v>
      </c>
      <c r="E98" s="266" t="s">
        <v>192</v>
      </c>
      <c r="F98" s="267">
        <v>1</v>
      </c>
      <c r="G98" s="268" t="s">
        <v>193</v>
      </c>
      <c r="H98" s="267" t="s">
        <v>194</v>
      </c>
      <c r="I98" s="267" t="s">
        <v>6009</v>
      </c>
      <c r="J98" s="266" t="s">
        <v>4751</v>
      </c>
      <c r="K98" s="267">
        <v>18</v>
      </c>
      <c r="L98" s="266" t="s">
        <v>6168</v>
      </c>
      <c r="M98" s="266" t="s">
        <v>6251</v>
      </c>
      <c r="N98" s="267" t="s">
        <v>6364</v>
      </c>
      <c r="O98" s="267" t="s">
        <v>207</v>
      </c>
      <c r="P98" s="267">
        <v>3</v>
      </c>
      <c r="Q98" s="267"/>
      <c r="R98" s="267"/>
      <c r="S98" s="266" t="s">
        <v>4714</v>
      </c>
      <c r="T98" s="267" t="s">
        <v>6325</v>
      </c>
      <c r="U98" s="245" t="str">
        <f t="shared" si="1"/>
        <v>122106</v>
      </c>
      <c r="Z98" s="192"/>
      <c r="AD98" s="192"/>
    </row>
    <row r="99" spans="1:30" x14ac:dyDescent="0.25">
      <c r="A99" s="266" t="s">
        <v>6239</v>
      </c>
      <c r="B99" s="266" t="s">
        <v>6240</v>
      </c>
      <c r="C99" s="266" t="s">
        <v>6241</v>
      </c>
      <c r="D99" s="266" t="s">
        <v>5989</v>
      </c>
      <c r="E99" s="266" t="s">
        <v>192</v>
      </c>
      <c r="F99" s="267">
        <v>1</v>
      </c>
      <c r="G99" s="268" t="s">
        <v>193</v>
      </c>
      <c r="H99" s="267" t="s">
        <v>194</v>
      </c>
      <c r="I99" s="267" t="s">
        <v>5990</v>
      </c>
      <c r="J99" s="266" t="s">
        <v>210</v>
      </c>
      <c r="K99" s="267">
        <v>18</v>
      </c>
      <c r="L99" s="266" t="s">
        <v>6242</v>
      </c>
      <c r="M99" s="266" t="s">
        <v>6389</v>
      </c>
      <c r="N99" s="267">
        <v>1863</v>
      </c>
      <c r="O99" s="267" t="s">
        <v>6243</v>
      </c>
      <c r="P99" s="267">
        <v>1</v>
      </c>
      <c r="Q99" s="267"/>
      <c r="R99" s="267"/>
      <c r="S99" s="266" t="s">
        <v>4714</v>
      </c>
      <c r="T99" s="267" t="s">
        <v>6390</v>
      </c>
      <c r="U99" s="245" t="str">
        <f t="shared" si="1"/>
        <v>264104</v>
      </c>
      <c r="Z99" s="192"/>
      <c r="AD99" s="192"/>
    </row>
    <row r="100" spans="1:30" x14ac:dyDescent="0.25">
      <c r="A100" s="266" t="s">
        <v>6140</v>
      </c>
      <c r="B100" s="266" t="s">
        <v>6141</v>
      </c>
      <c r="C100" s="266" t="s">
        <v>886</v>
      </c>
      <c r="D100" s="266" t="s">
        <v>5989</v>
      </c>
      <c r="E100" s="266" t="s">
        <v>192</v>
      </c>
      <c r="F100" s="267">
        <v>1</v>
      </c>
      <c r="G100" s="268" t="s">
        <v>193</v>
      </c>
      <c r="H100" s="267" t="s">
        <v>194</v>
      </c>
      <c r="I100" s="267" t="s">
        <v>5966</v>
      </c>
      <c r="J100" s="266" t="s">
        <v>210</v>
      </c>
      <c r="K100" s="267">
        <v>18</v>
      </c>
      <c r="L100" s="266" t="s">
        <v>6142</v>
      </c>
      <c r="M100" s="266" t="s">
        <v>6266</v>
      </c>
      <c r="N100" s="267">
        <v>1863</v>
      </c>
      <c r="O100" s="267" t="s">
        <v>887</v>
      </c>
      <c r="P100" s="267">
        <v>1</v>
      </c>
      <c r="Q100" s="267"/>
      <c r="R100" s="267"/>
      <c r="S100" s="266" t="s">
        <v>4714</v>
      </c>
      <c r="T100" s="267" t="s">
        <v>6325</v>
      </c>
      <c r="U100" s="245" t="str">
        <f t="shared" si="1"/>
        <v>834401</v>
      </c>
      <c r="Z100" s="192"/>
      <c r="AD100" s="192"/>
    </row>
    <row r="101" spans="1:30" x14ac:dyDescent="0.25">
      <c r="A101" s="266" t="s">
        <v>570</v>
      </c>
      <c r="B101" s="266" t="s">
        <v>6019</v>
      </c>
      <c r="C101" s="266" t="s">
        <v>566</v>
      </c>
      <c r="D101" s="266" t="s">
        <v>5989</v>
      </c>
      <c r="E101" s="266" t="s">
        <v>192</v>
      </c>
      <c r="F101" s="267">
        <v>1</v>
      </c>
      <c r="G101" s="268" t="s">
        <v>193</v>
      </c>
      <c r="H101" s="267" t="s">
        <v>194</v>
      </c>
      <c r="I101" s="267" t="s">
        <v>5966</v>
      </c>
      <c r="J101" s="266" t="s">
        <v>672</v>
      </c>
      <c r="K101" s="267">
        <v>18</v>
      </c>
      <c r="L101" s="266" t="s">
        <v>6020</v>
      </c>
      <c r="M101" s="266" t="s">
        <v>6275</v>
      </c>
      <c r="N101" s="267">
        <v>1816</v>
      </c>
      <c r="O101" s="267" t="s">
        <v>567</v>
      </c>
      <c r="P101" s="267">
        <v>1</v>
      </c>
      <c r="Q101" s="267"/>
      <c r="R101" s="267"/>
      <c r="S101" s="266" t="s">
        <v>4714</v>
      </c>
      <c r="T101" s="267" t="s">
        <v>6325</v>
      </c>
      <c r="U101" s="245" t="str">
        <f t="shared" si="1"/>
        <v>311504</v>
      </c>
      <c r="Z101" s="192"/>
      <c r="AD101" s="192"/>
    </row>
    <row r="102" spans="1:30" x14ac:dyDescent="0.25">
      <c r="A102" s="266" t="s">
        <v>314</v>
      </c>
      <c r="B102" s="266" t="s">
        <v>6126</v>
      </c>
      <c r="C102" s="266" t="s">
        <v>156</v>
      </c>
      <c r="D102" s="266" t="s">
        <v>5989</v>
      </c>
      <c r="E102" s="266" t="s">
        <v>192</v>
      </c>
      <c r="F102" s="267">
        <v>1</v>
      </c>
      <c r="G102" s="268" t="s">
        <v>193</v>
      </c>
      <c r="H102" s="267" t="s">
        <v>194</v>
      </c>
      <c r="I102" s="267" t="s">
        <v>5966</v>
      </c>
      <c r="J102" s="266" t="s">
        <v>316</v>
      </c>
      <c r="K102" s="267">
        <v>18</v>
      </c>
      <c r="L102" s="266" t="s">
        <v>6127</v>
      </c>
      <c r="M102" s="266" t="s">
        <v>6245</v>
      </c>
      <c r="N102" s="267">
        <v>1818</v>
      </c>
      <c r="O102" s="267" t="s">
        <v>659</v>
      </c>
      <c r="P102" s="267">
        <v>1</v>
      </c>
      <c r="Q102" s="267"/>
      <c r="R102" s="267"/>
      <c r="S102" s="266" t="s">
        <v>4714</v>
      </c>
      <c r="T102" s="267" t="s">
        <v>6325</v>
      </c>
      <c r="U102" s="245" t="str">
        <f t="shared" si="1"/>
        <v>332302</v>
      </c>
      <c r="Z102" s="192"/>
      <c r="AD102" s="192"/>
    </row>
    <row r="103" spans="1:30" x14ac:dyDescent="0.25">
      <c r="A103" s="266" t="s">
        <v>6004</v>
      </c>
      <c r="B103" s="266" t="s">
        <v>6005</v>
      </c>
      <c r="C103" s="266" t="s">
        <v>80</v>
      </c>
      <c r="D103" s="266" t="s">
        <v>5989</v>
      </c>
      <c r="E103" s="266" t="s">
        <v>192</v>
      </c>
      <c r="F103" s="267">
        <v>1</v>
      </c>
      <c r="G103" s="268" t="s">
        <v>193</v>
      </c>
      <c r="H103" s="267" t="s">
        <v>194</v>
      </c>
      <c r="I103" s="267" t="s">
        <v>5990</v>
      </c>
      <c r="J103" s="266" t="s">
        <v>196</v>
      </c>
      <c r="K103" s="267">
        <v>18</v>
      </c>
      <c r="L103" s="266" t="s">
        <v>6006</v>
      </c>
      <c r="M103" s="266" t="s">
        <v>6251</v>
      </c>
      <c r="N103" s="269" t="s">
        <v>6526</v>
      </c>
      <c r="O103" s="267" t="s">
        <v>474</v>
      </c>
      <c r="P103" s="267">
        <v>25</v>
      </c>
      <c r="Q103" s="267"/>
      <c r="R103" s="267"/>
      <c r="S103" s="266" t="s">
        <v>4714</v>
      </c>
      <c r="T103" s="267" t="s">
        <v>6325</v>
      </c>
      <c r="U103" s="245" t="str">
        <f t="shared" si="1"/>
        <v>243304</v>
      </c>
      <c r="Z103" s="192"/>
      <c r="AD103" s="192"/>
    </row>
    <row r="104" spans="1:30" x14ac:dyDescent="0.25">
      <c r="A104" s="266" t="s">
        <v>1738</v>
      </c>
      <c r="B104" s="266" t="s">
        <v>6101</v>
      </c>
      <c r="C104" s="266" t="s">
        <v>37</v>
      </c>
      <c r="D104" s="266" t="s">
        <v>5989</v>
      </c>
      <c r="E104" s="266" t="s">
        <v>192</v>
      </c>
      <c r="F104" s="267">
        <v>1</v>
      </c>
      <c r="G104" s="268" t="s">
        <v>193</v>
      </c>
      <c r="H104" s="267" t="s">
        <v>194</v>
      </c>
      <c r="I104" s="267" t="s">
        <v>5966</v>
      </c>
      <c r="J104" s="266" t="s">
        <v>309</v>
      </c>
      <c r="K104" s="267">
        <v>18</v>
      </c>
      <c r="L104" s="266" t="s">
        <v>6102</v>
      </c>
      <c r="M104" s="266" t="s">
        <v>6258</v>
      </c>
      <c r="N104" s="267">
        <v>1815</v>
      </c>
      <c r="O104" s="267" t="s">
        <v>516</v>
      </c>
      <c r="P104" s="267">
        <v>1</v>
      </c>
      <c r="Q104" s="267"/>
      <c r="R104" s="267"/>
      <c r="S104" s="266" t="s">
        <v>4714</v>
      </c>
      <c r="T104" s="267" t="s">
        <v>6325</v>
      </c>
      <c r="U104" s="245" t="str">
        <f t="shared" si="1"/>
        <v>252302</v>
      </c>
      <c r="Z104" s="192"/>
      <c r="AD104" s="192"/>
    </row>
    <row r="105" spans="1:30" x14ac:dyDescent="0.25">
      <c r="A105" s="266" t="s">
        <v>6068</v>
      </c>
      <c r="B105" s="266" t="s">
        <v>6071</v>
      </c>
      <c r="C105" s="266" t="s">
        <v>119</v>
      </c>
      <c r="D105" s="266" t="s">
        <v>5989</v>
      </c>
      <c r="E105" s="266" t="s">
        <v>192</v>
      </c>
      <c r="F105" s="267">
        <v>1</v>
      </c>
      <c r="G105" s="268" t="s">
        <v>193</v>
      </c>
      <c r="H105" s="267" t="s">
        <v>194</v>
      </c>
      <c r="I105" s="267" t="s">
        <v>5990</v>
      </c>
      <c r="J105" s="266" t="s">
        <v>210</v>
      </c>
      <c r="K105" s="267">
        <v>18</v>
      </c>
      <c r="L105" s="266" t="s">
        <v>6072</v>
      </c>
      <c r="M105" s="266" t="s">
        <v>6266</v>
      </c>
      <c r="N105" s="267">
        <v>1816.1863000000001</v>
      </c>
      <c r="O105" s="267" t="s">
        <v>666</v>
      </c>
      <c r="P105" s="267">
        <v>2</v>
      </c>
      <c r="Q105" s="267"/>
      <c r="R105" s="267"/>
      <c r="S105" s="266" t="s">
        <v>4714</v>
      </c>
      <c r="T105" s="267" t="s">
        <v>6325</v>
      </c>
      <c r="U105" s="245" t="str">
        <f t="shared" si="1"/>
        <v>333105</v>
      </c>
      <c r="Z105" s="192"/>
      <c r="AD105" s="192"/>
    </row>
    <row r="106" spans="1:30" x14ac:dyDescent="0.25">
      <c r="A106" s="266" t="s">
        <v>269</v>
      </c>
      <c r="B106" s="266" t="s">
        <v>426</v>
      </c>
      <c r="C106" s="266" t="s">
        <v>111</v>
      </c>
      <c r="D106" s="266" t="s">
        <v>5989</v>
      </c>
      <c r="E106" s="266" t="s">
        <v>192</v>
      </c>
      <c r="F106" s="267">
        <v>1</v>
      </c>
      <c r="G106" s="268" t="s">
        <v>193</v>
      </c>
      <c r="H106" s="267" t="s">
        <v>194</v>
      </c>
      <c r="I106" s="267" t="s">
        <v>5966</v>
      </c>
      <c r="J106" s="266" t="s">
        <v>4751</v>
      </c>
      <c r="K106" s="267">
        <v>18</v>
      </c>
      <c r="L106" s="266" t="s">
        <v>6167</v>
      </c>
      <c r="M106" s="266" t="s">
        <v>6251</v>
      </c>
      <c r="N106" s="267">
        <v>1862</v>
      </c>
      <c r="O106" s="267" t="s">
        <v>612</v>
      </c>
      <c r="P106" s="267">
        <v>1</v>
      </c>
      <c r="Q106" s="267"/>
      <c r="R106" s="267"/>
      <c r="S106" s="266" t="s">
        <v>4714</v>
      </c>
      <c r="T106" s="267" t="s">
        <v>6325</v>
      </c>
      <c r="U106" s="245" t="str">
        <f t="shared" si="1"/>
        <v>332101</v>
      </c>
      <c r="Z106" s="192"/>
      <c r="AD106" s="192"/>
    </row>
    <row r="107" spans="1:30" x14ac:dyDescent="0.25">
      <c r="A107" s="266" t="s">
        <v>493</v>
      </c>
      <c r="B107" s="266" t="s">
        <v>6205</v>
      </c>
      <c r="C107" s="266" t="s">
        <v>10</v>
      </c>
      <c r="D107" s="266" t="s">
        <v>5989</v>
      </c>
      <c r="E107" s="266" t="s">
        <v>192</v>
      </c>
      <c r="F107" s="267">
        <v>1</v>
      </c>
      <c r="G107" s="268" t="s">
        <v>193</v>
      </c>
      <c r="H107" s="267" t="s">
        <v>194</v>
      </c>
      <c r="I107" s="267" t="s">
        <v>5990</v>
      </c>
      <c r="J107" s="266" t="s">
        <v>210</v>
      </c>
      <c r="K107" s="267">
        <v>18</v>
      </c>
      <c r="L107" s="266" t="s">
        <v>6206</v>
      </c>
      <c r="M107" s="266" t="s">
        <v>6269</v>
      </c>
      <c r="N107" s="267">
        <v>1863</v>
      </c>
      <c r="O107" s="267" t="s">
        <v>484</v>
      </c>
      <c r="P107" s="267">
        <v>1</v>
      </c>
      <c r="Q107" s="267"/>
      <c r="R107" s="267"/>
      <c r="S107" s="266" t="s">
        <v>4714</v>
      </c>
      <c r="T107" s="267" t="s">
        <v>6325</v>
      </c>
      <c r="U107" s="245" t="str">
        <f t="shared" si="1"/>
        <v>251401</v>
      </c>
      <c r="Z107" s="192"/>
      <c r="AD107" s="192"/>
    </row>
    <row r="108" spans="1:30" x14ac:dyDescent="0.25">
      <c r="A108" s="266" t="s">
        <v>349</v>
      </c>
      <c r="B108" s="266" t="s">
        <v>6144</v>
      </c>
      <c r="C108" s="266" t="s">
        <v>12</v>
      </c>
      <c r="D108" s="266" t="s">
        <v>5989</v>
      </c>
      <c r="E108" s="266" t="s">
        <v>192</v>
      </c>
      <c r="F108" s="267">
        <v>1</v>
      </c>
      <c r="G108" s="268" t="s">
        <v>193</v>
      </c>
      <c r="H108" s="267" t="s">
        <v>194</v>
      </c>
      <c r="I108" s="267" t="s">
        <v>5990</v>
      </c>
      <c r="J108" s="266" t="s">
        <v>6145</v>
      </c>
      <c r="K108" s="267">
        <v>18</v>
      </c>
      <c r="L108" s="266" t="s">
        <v>6146</v>
      </c>
      <c r="M108" s="266" t="s">
        <v>6256</v>
      </c>
      <c r="N108" s="267">
        <v>1812</v>
      </c>
      <c r="O108" s="267" t="s">
        <v>220</v>
      </c>
      <c r="P108" s="267">
        <v>1</v>
      </c>
      <c r="Q108" s="267"/>
      <c r="R108" s="267"/>
      <c r="S108" s="266" t="s">
        <v>4714</v>
      </c>
      <c r="T108" s="267" t="s">
        <v>6325</v>
      </c>
      <c r="U108" s="245" t="str">
        <f t="shared" si="1"/>
        <v>132301</v>
      </c>
      <c r="Z108" s="192"/>
      <c r="AD108" s="192"/>
    </row>
    <row r="109" spans="1:30" x14ac:dyDescent="0.25">
      <c r="A109" s="266" t="s">
        <v>6068</v>
      </c>
      <c r="B109" s="266" t="s">
        <v>6069</v>
      </c>
      <c r="C109" s="266" t="s">
        <v>100</v>
      </c>
      <c r="D109" s="266" t="s">
        <v>5989</v>
      </c>
      <c r="E109" s="266" t="s">
        <v>192</v>
      </c>
      <c r="F109" s="267">
        <v>1</v>
      </c>
      <c r="G109" s="268" t="s">
        <v>193</v>
      </c>
      <c r="H109" s="267" t="s">
        <v>194</v>
      </c>
      <c r="I109" s="267" t="s">
        <v>5966</v>
      </c>
      <c r="J109" s="266" t="s">
        <v>210</v>
      </c>
      <c r="K109" s="267">
        <v>18</v>
      </c>
      <c r="L109" s="266" t="s">
        <v>6070</v>
      </c>
      <c r="M109" s="266" t="s">
        <v>6266</v>
      </c>
      <c r="N109" s="267">
        <v>1863</v>
      </c>
      <c r="O109" s="267" t="s">
        <v>429</v>
      </c>
      <c r="P109" s="267">
        <v>1</v>
      </c>
      <c r="Q109" s="267"/>
      <c r="R109" s="267"/>
      <c r="S109" s="266" t="s">
        <v>4714</v>
      </c>
      <c r="T109" s="267" t="s">
        <v>6325</v>
      </c>
      <c r="U109" s="245" t="str">
        <f t="shared" si="1"/>
        <v>242108</v>
      </c>
      <c r="Z109" s="192"/>
      <c r="AD109" s="192"/>
    </row>
    <row r="110" spans="1:30" x14ac:dyDescent="0.25">
      <c r="A110" s="266" t="s">
        <v>5860</v>
      </c>
      <c r="B110" s="266" t="s">
        <v>6119</v>
      </c>
      <c r="C110" s="266" t="s">
        <v>147</v>
      </c>
      <c r="D110" s="266" t="s">
        <v>5989</v>
      </c>
      <c r="E110" s="266" t="s">
        <v>192</v>
      </c>
      <c r="F110" s="267">
        <v>1</v>
      </c>
      <c r="G110" s="268" t="s">
        <v>193</v>
      </c>
      <c r="H110" s="267" t="s">
        <v>194</v>
      </c>
      <c r="I110" s="267" t="s">
        <v>5966</v>
      </c>
      <c r="J110" s="266" t="s">
        <v>253</v>
      </c>
      <c r="K110" s="267">
        <v>18</v>
      </c>
      <c r="L110" s="266" t="s">
        <v>6120</v>
      </c>
      <c r="M110" s="266" t="s">
        <v>6279</v>
      </c>
      <c r="N110" s="267">
        <v>1811</v>
      </c>
      <c r="O110" s="267" t="s">
        <v>2030</v>
      </c>
      <c r="P110" s="267">
        <v>1</v>
      </c>
      <c r="Q110" s="267"/>
      <c r="R110" s="267"/>
      <c r="S110" s="266" t="s">
        <v>4714</v>
      </c>
      <c r="T110" s="267" t="s">
        <v>6325</v>
      </c>
      <c r="U110" s="245" t="str">
        <f t="shared" si="1"/>
        <v>132102</v>
      </c>
      <c r="Z110" s="192"/>
      <c r="AD110" s="192"/>
    </row>
    <row r="111" spans="1:30" x14ac:dyDescent="0.25">
      <c r="A111" s="266" t="s">
        <v>6133</v>
      </c>
      <c r="B111" s="266" t="s">
        <v>6134</v>
      </c>
      <c r="C111" s="266" t="s">
        <v>3051</v>
      </c>
      <c r="D111" s="266" t="s">
        <v>5989</v>
      </c>
      <c r="E111" s="266" t="s">
        <v>192</v>
      </c>
      <c r="F111" s="267">
        <v>1</v>
      </c>
      <c r="G111" s="268" t="s">
        <v>193</v>
      </c>
      <c r="H111" s="267" t="s">
        <v>194</v>
      </c>
      <c r="I111" s="267" t="s">
        <v>5966</v>
      </c>
      <c r="J111" s="266" t="s">
        <v>210</v>
      </c>
      <c r="K111" s="267">
        <v>18</v>
      </c>
      <c r="L111" s="266" t="s">
        <v>6135</v>
      </c>
      <c r="M111" s="266" t="s">
        <v>6286</v>
      </c>
      <c r="N111" s="267">
        <v>1863</v>
      </c>
      <c r="O111" s="267" t="s">
        <v>6136</v>
      </c>
      <c r="P111" s="267">
        <v>1</v>
      </c>
      <c r="Q111" s="267"/>
      <c r="R111" s="267"/>
      <c r="S111" s="266" t="s">
        <v>4714</v>
      </c>
      <c r="T111" s="267" t="s">
        <v>6325</v>
      </c>
      <c r="U111" s="245" t="str">
        <f t="shared" si="1"/>
        <v>134204</v>
      </c>
      <c r="Z111" s="192"/>
      <c r="AD111" s="192"/>
    </row>
    <row r="112" spans="1:30" x14ac:dyDescent="0.25">
      <c r="A112" s="266" t="s">
        <v>6090</v>
      </c>
      <c r="B112" s="266" t="s">
        <v>392</v>
      </c>
      <c r="C112" s="266" t="s">
        <v>392</v>
      </c>
      <c r="D112" s="266" t="s">
        <v>5989</v>
      </c>
      <c r="E112" s="266" t="s">
        <v>192</v>
      </c>
      <c r="F112" s="267">
        <v>3</v>
      </c>
      <c r="G112" s="268" t="s">
        <v>193</v>
      </c>
      <c r="H112" s="267" t="s">
        <v>194</v>
      </c>
      <c r="I112" s="267" t="s">
        <v>5994</v>
      </c>
      <c r="J112" s="266" t="s">
        <v>367</v>
      </c>
      <c r="K112" s="267">
        <v>18</v>
      </c>
      <c r="L112" s="266" t="s">
        <v>6091</v>
      </c>
      <c r="M112" s="266" t="s">
        <v>6312</v>
      </c>
      <c r="N112" s="267" t="s">
        <v>6341</v>
      </c>
      <c r="O112" s="267" t="s">
        <v>393</v>
      </c>
      <c r="P112" s="267">
        <v>3</v>
      </c>
      <c r="Q112" s="267"/>
      <c r="R112" s="267"/>
      <c r="S112" s="266" t="s">
        <v>4714</v>
      </c>
      <c r="T112" s="267" t="s">
        <v>6325</v>
      </c>
      <c r="U112" s="245" t="str">
        <f t="shared" si="1"/>
        <v>229402</v>
      </c>
      <c r="Z112" s="192"/>
      <c r="AD112" s="192"/>
    </row>
    <row r="113" spans="1:30" x14ac:dyDescent="0.25">
      <c r="A113" s="266" t="s">
        <v>6200</v>
      </c>
      <c r="B113" s="266" t="s">
        <v>6201</v>
      </c>
      <c r="C113" s="266" t="s">
        <v>6202</v>
      </c>
      <c r="D113" s="266" t="s">
        <v>5989</v>
      </c>
      <c r="E113" s="266" t="s">
        <v>192</v>
      </c>
      <c r="F113" s="267">
        <v>1</v>
      </c>
      <c r="G113" s="268" t="s">
        <v>193</v>
      </c>
      <c r="H113" s="267" t="s">
        <v>194</v>
      </c>
      <c r="I113" s="267" t="s">
        <v>5966</v>
      </c>
      <c r="J113" s="266" t="s">
        <v>473</v>
      </c>
      <c r="K113" s="267">
        <v>18</v>
      </c>
      <c r="L113" s="266" t="s">
        <v>6203</v>
      </c>
      <c r="M113" s="266" t="s">
        <v>6275</v>
      </c>
      <c r="N113" s="267">
        <v>1803</v>
      </c>
      <c r="O113" s="267" t="s">
        <v>846</v>
      </c>
      <c r="P113" s="267">
        <v>1</v>
      </c>
      <c r="Q113" s="267"/>
      <c r="R113" s="267"/>
      <c r="S113" s="266" t="s">
        <v>4714</v>
      </c>
      <c r="T113" s="267" t="s">
        <v>6325</v>
      </c>
      <c r="U113" s="245" t="str">
        <f t="shared" si="1"/>
        <v>811405</v>
      </c>
      <c r="Z113" s="192"/>
      <c r="AD113" s="192"/>
    </row>
    <row r="114" spans="1:30" x14ac:dyDescent="0.25">
      <c r="A114" s="266" t="s">
        <v>1490</v>
      </c>
      <c r="B114" s="266" t="s">
        <v>6147</v>
      </c>
      <c r="C114" s="266" t="s">
        <v>20</v>
      </c>
      <c r="D114" s="266" t="s">
        <v>5989</v>
      </c>
      <c r="E114" s="266" t="s">
        <v>192</v>
      </c>
      <c r="F114" s="267">
        <v>1</v>
      </c>
      <c r="G114" s="268" t="s">
        <v>193</v>
      </c>
      <c r="H114" s="267" t="s">
        <v>194</v>
      </c>
      <c r="I114" s="267" t="s">
        <v>5966</v>
      </c>
      <c r="J114" s="266" t="s">
        <v>575</v>
      </c>
      <c r="K114" s="267">
        <v>18</v>
      </c>
      <c r="L114" s="266" t="s">
        <v>6148</v>
      </c>
      <c r="M114" s="266" t="s">
        <v>6279</v>
      </c>
      <c r="N114" s="267">
        <v>1816</v>
      </c>
      <c r="O114" s="267" t="s">
        <v>286</v>
      </c>
      <c r="P114" s="267">
        <v>1</v>
      </c>
      <c r="Q114" s="267"/>
      <c r="R114" s="267"/>
      <c r="S114" s="266" t="s">
        <v>4714</v>
      </c>
      <c r="T114" s="267" t="s">
        <v>6325</v>
      </c>
      <c r="U114" s="245" t="str">
        <f t="shared" si="1"/>
        <v>214109</v>
      </c>
      <c r="Z114" s="192"/>
      <c r="AD114" s="192"/>
    </row>
    <row r="115" spans="1:30" x14ac:dyDescent="0.25">
      <c r="A115" s="275" t="s">
        <v>523</v>
      </c>
      <c r="B115" s="275" t="s">
        <v>6021</v>
      </c>
      <c r="C115" s="275" t="s">
        <v>1451</v>
      </c>
      <c r="D115" s="275" t="s">
        <v>5989</v>
      </c>
      <c r="E115" s="275" t="s">
        <v>192</v>
      </c>
      <c r="F115" s="277">
        <v>1</v>
      </c>
      <c r="G115" s="276" t="s">
        <v>193</v>
      </c>
      <c r="H115" s="277" t="s">
        <v>194</v>
      </c>
      <c r="I115" s="277" t="s">
        <v>5966</v>
      </c>
      <c r="J115" s="275" t="s">
        <v>210</v>
      </c>
      <c r="K115" s="277">
        <v>18</v>
      </c>
      <c r="L115" s="275" t="s">
        <v>6022</v>
      </c>
      <c r="M115" s="275" t="s">
        <v>6295</v>
      </c>
      <c r="N115" s="277">
        <v>1863</v>
      </c>
      <c r="O115" s="277" t="s">
        <v>1452</v>
      </c>
      <c r="P115" s="277">
        <v>1</v>
      </c>
      <c r="Q115" s="277"/>
      <c r="R115" s="277"/>
      <c r="S115" s="275" t="s">
        <v>5109</v>
      </c>
      <c r="T115" s="277" t="s">
        <v>6325</v>
      </c>
      <c r="U115" s="249" t="str">
        <f t="shared" si="1"/>
        <v>311410</v>
      </c>
      <c r="Z115" s="192"/>
      <c r="AD115" s="192"/>
    </row>
    <row r="116" spans="1:30" x14ac:dyDescent="0.25">
      <c r="A116" s="266" t="s">
        <v>1209</v>
      </c>
      <c r="B116" s="266" t="s">
        <v>6013</v>
      </c>
      <c r="C116" s="266" t="s">
        <v>1661</v>
      </c>
      <c r="D116" s="266" t="s">
        <v>5989</v>
      </c>
      <c r="E116" s="266" t="s">
        <v>192</v>
      </c>
      <c r="F116" s="267">
        <v>1</v>
      </c>
      <c r="G116" s="268" t="s">
        <v>193</v>
      </c>
      <c r="H116" s="267" t="s">
        <v>194</v>
      </c>
      <c r="I116" s="267" t="s">
        <v>5966</v>
      </c>
      <c r="J116" s="266" t="s">
        <v>210</v>
      </c>
      <c r="K116" s="267">
        <v>18</v>
      </c>
      <c r="L116" s="266" t="s">
        <v>6014</v>
      </c>
      <c r="M116" s="266" t="s">
        <v>6327</v>
      </c>
      <c r="N116" s="267">
        <v>1863</v>
      </c>
      <c r="O116" s="267" t="s">
        <v>1662</v>
      </c>
      <c r="P116" s="267">
        <v>1</v>
      </c>
      <c r="Q116" s="267"/>
      <c r="R116" s="267"/>
      <c r="S116" s="266" t="s">
        <v>5109</v>
      </c>
      <c r="T116" s="267" t="s">
        <v>6325</v>
      </c>
      <c r="U116" s="245" t="str">
        <f t="shared" si="1"/>
        <v>241202</v>
      </c>
      <c r="Z116" s="192"/>
      <c r="AD116" s="192"/>
    </row>
    <row r="117" spans="1:30" x14ac:dyDescent="0.25">
      <c r="A117" s="266" t="s">
        <v>6015</v>
      </c>
      <c r="B117" s="266" t="s">
        <v>17</v>
      </c>
      <c r="C117" s="266" t="s">
        <v>17</v>
      </c>
      <c r="D117" s="266" t="s">
        <v>5989</v>
      </c>
      <c r="E117" s="266" t="s">
        <v>192</v>
      </c>
      <c r="F117" s="267">
        <v>1</v>
      </c>
      <c r="G117" s="268" t="s">
        <v>193</v>
      </c>
      <c r="H117" s="267" t="s">
        <v>194</v>
      </c>
      <c r="I117" s="267" t="s">
        <v>5994</v>
      </c>
      <c r="J117" s="266" t="s">
        <v>305</v>
      </c>
      <c r="K117" s="267">
        <v>18</v>
      </c>
      <c r="L117" s="266" t="s">
        <v>6016</v>
      </c>
      <c r="M117" s="266" t="s">
        <v>6249</v>
      </c>
      <c r="N117" s="267">
        <v>1814</v>
      </c>
      <c r="O117" s="267" t="s">
        <v>624</v>
      </c>
      <c r="P117" s="267">
        <v>1</v>
      </c>
      <c r="Q117" s="267"/>
      <c r="R117" s="267"/>
      <c r="S117" s="266" t="s">
        <v>4714</v>
      </c>
      <c r="T117" s="267" t="s">
        <v>6325</v>
      </c>
      <c r="U117" s="245" t="str">
        <f t="shared" si="1"/>
        <v>332203</v>
      </c>
      <c r="Z117" s="192"/>
      <c r="AD117" s="192"/>
    </row>
    <row r="118" spans="1:30" x14ac:dyDescent="0.25">
      <c r="A118" s="266" t="s">
        <v>6030</v>
      </c>
      <c r="B118" s="266" t="s">
        <v>6031</v>
      </c>
      <c r="C118" s="266" t="s">
        <v>35</v>
      </c>
      <c r="D118" s="266" t="s">
        <v>5989</v>
      </c>
      <c r="E118" s="266" t="s">
        <v>192</v>
      </c>
      <c r="F118" s="267">
        <v>1</v>
      </c>
      <c r="G118" s="268" t="s">
        <v>193</v>
      </c>
      <c r="H118" s="267" t="s">
        <v>194</v>
      </c>
      <c r="I118" s="267" t="s">
        <v>5966</v>
      </c>
      <c r="J118" s="266" t="s">
        <v>210</v>
      </c>
      <c r="K118" s="267">
        <v>18</v>
      </c>
      <c r="L118" s="266" t="s">
        <v>6032</v>
      </c>
      <c r="M118" s="266" t="s">
        <v>6249</v>
      </c>
      <c r="N118" s="267">
        <v>1863</v>
      </c>
      <c r="O118" s="267" t="s">
        <v>207</v>
      </c>
      <c r="P118" s="267">
        <v>1</v>
      </c>
      <c r="Q118" s="267"/>
      <c r="R118" s="267"/>
      <c r="S118" s="266" t="s">
        <v>4714</v>
      </c>
      <c r="T118" s="267" t="s">
        <v>6325</v>
      </c>
      <c r="U118" s="245" t="str">
        <f t="shared" si="1"/>
        <v>122106</v>
      </c>
      <c r="Z118" s="192"/>
      <c r="AD118" s="192"/>
    </row>
    <row r="119" spans="1:30" x14ac:dyDescent="0.25">
      <c r="A119" s="266" t="s">
        <v>382</v>
      </c>
      <c r="B119" s="266" t="s">
        <v>6124</v>
      </c>
      <c r="C119" s="266" t="s">
        <v>778</v>
      </c>
      <c r="D119" s="266" t="s">
        <v>5989</v>
      </c>
      <c r="E119" s="266" t="s">
        <v>233</v>
      </c>
      <c r="F119" s="267">
        <v>1</v>
      </c>
      <c r="G119" s="268" t="s">
        <v>193</v>
      </c>
      <c r="H119" s="267" t="s">
        <v>194</v>
      </c>
      <c r="I119" s="267" t="s">
        <v>5990</v>
      </c>
      <c r="J119" s="266" t="s">
        <v>253</v>
      </c>
      <c r="K119" s="267">
        <v>18</v>
      </c>
      <c r="L119" s="266" t="s">
        <v>6125</v>
      </c>
      <c r="M119" s="266" t="s">
        <v>6249</v>
      </c>
      <c r="N119" s="267">
        <v>1811</v>
      </c>
      <c r="O119" s="267" t="s">
        <v>779</v>
      </c>
      <c r="P119" s="267">
        <v>1</v>
      </c>
      <c r="Q119" s="267" t="s">
        <v>6349</v>
      </c>
      <c r="R119" s="267" t="s">
        <v>6350</v>
      </c>
      <c r="S119" s="266" t="s">
        <v>4714</v>
      </c>
      <c r="T119" s="267" t="s">
        <v>6253</v>
      </c>
      <c r="U119" s="245" t="str">
        <f t="shared" si="1"/>
        <v>524902</v>
      </c>
      <c r="Z119" s="192"/>
      <c r="AD119" s="192"/>
    </row>
    <row r="120" spans="1:30" x14ac:dyDescent="0.25">
      <c r="A120" s="266" t="s">
        <v>417</v>
      </c>
      <c r="B120" s="266" t="s">
        <v>418</v>
      </c>
      <c r="C120" s="266" t="s">
        <v>4966</v>
      </c>
      <c r="D120" s="266" t="s">
        <v>5965</v>
      </c>
      <c r="E120" s="266" t="s">
        <v>233</v>
      </c>
      <c r="F120" s="267">
        <v>1</v>
      </c>
      <c r="G120" s="268" t="s">
        <v>193</v>
      </c>
      <c r="H120" s="267" t="s">
        <v>194</v>
      </c>
      <c r="I120" s="267" t="s">
        <v>5966</v>
      </c>
      <c r="J120" s="266" t="s">
        <v>4751</v>
      </c>
      <c r="K120" s="267">
        <v>18</v>
      </c>
      <c r="L120" s="266" t="s">
        <v>5974</v>
      </c>
      <c r="M120" s="266" t="s">
        <v>6254</v>
      </c>
      <c r="N120" s="267">
        <v>1862</v>
      </c>
      <c r="O120" s="267" t="s">
        <v>405</v>
      </c>
      <c r="P120" s="267">
        <v>1</v>
      </c>
      <c r="Q120" s="267"/>
      <c r="R120" s="267" t="s">
        <v>6313</v>
      </c>
      <c r="S120" s="266" t="s">
        <v>4714</v>
      </c>
      <c r="T120" s="267" t="s">
        <v>6314</v>
      </c>
      <c r="U120" s="245" t="str">
        <f t="shared" si="1"/>
        <v>241304</v>
      </c>
      <c r="Z120" s="192"/>
      <c r="AD120" s="192"/>
    </row>
    <row r="121" spans="1:30" x14ac:dyDescent="0.25">
      <c r="A121" s="266" t="s">
        <v>5979</v>
      </c>
      <c r="B121" s="266" t="s">
        <v>5980</v>
      </c>
      <c r="C121" s="266" t="s">
        <v>12</v>
      </c>
      <c r="D121" s="266" t="s">
        <v>5965</v>
      </c>
      <c r="E121" s="266" t="s">
        <v>233</v>
      </c>
      <c r="F121" s="267">
        <v>1</v>
      </c>
      <c r="G121" s="268" t="s">
        <v>193</v>
      </c>
      <c r="H121" s="267" t="s">
        <v>194</v>
      </c>
      <c r="I121" s="267" t="s">
        <v>5966</v>
      </c>
      <c r="J121" s="266" t="s">
        <v>210</v>
      </c>
      <c r="K121" s="267">
        <v>18</v>
      </c>
      <c r="L121" s="266" t="s">
        <v>5981</v>
      </c>
      <c r="M121" s="266" t="s">
        <v>6256</v>
      </c>
      <c r="N121" s="267">
        <v>1863</v>
      </c>
      <c r="O121" s="267" t="s">
        <v>220</v>
      </c>
      <c r="P121" s="267">
        <v>1</v>
      </c>
      <c r="Q121" s="267" t="s">
        <v>6318</v>
      </c>
      <c r="R121" s="267" t="s">
        <v>6319</v>
      </c>
      <c r="S121" s="266" t="s">
        <v>4714</v>
      </c>
      <c r="T121" s="267" t="s">
        <v>6314</v>
      </c>
      <c r="U121" s="245" t="str">
        <f t="shared" si="1"/>
        <v>132301</v>
      </c>
      <c r="Z121" s="192"/>
      <c r="AD121" s="192"/>
    </row>
    <row r="122" spans="1:30" x14ac:dyDescent="0.25">
      <c r="A122" s="266" t="s">
        <v>5810</v>
      </c>
      <c r="B122" s="266" t="s">
        <v>1053</v>
      </c>
      <c r="C122" s="266" t="s">
        <v>10</v>
      </c>
      <c r="D122" s="266" t="s">
        <v>5965</v>
      </c>
      <c r="E122" s="266" t="s">
        <v>233</v>
      </c>
      <c r="F122" s="267">
        <v>1</v>
      </c>
      <c r="G122" s="268" t="s">
        <v>193</v>
      </c>
      <c r="H122" s="267" t="s">
        <v>194</v>
      </c>
      <c r="I122" s="267" t="s">
        <v>5966</v>
      </c>
      <c r="J122" s="266" t="s">
        <v>5967</v>
      </c>
      <c r="K122" s="267">
        <v>18</v>
      </c>
      <c r="L122" s="266" t="s">
        <v>5968</v>
      </c>
      <c r="M122" s="266" t="s">
        <v>6261</v>
      </c>
      <c r="N122" s="269" t="s">
        <v>6540</v>
      </c>
      <c r="O122" s="267" t="s">
        <v>484</v>
      </c>
      <c r="P122" s="267">
        <v>25</v>
      </c>
      <c r="Q122" s="267" t="s">
        <v>6308</v>
      </c>
      <c r="R122" s="267" t="s">
        <v>6309</v>
      </c>
      <c r="S122" s="266" t="s">
        <v>4714</v>
      </c>
      <c r="T122" s="267" t="s">
        <v>6301</v>
      </c>
      <c r="U122" s="245" t="str">
        <f t="shared" si="1"/>
        <v>251401</v>
      </c>
      <c r="Z122" s="192"/>
      <c r="AD122" s="192"/>
    </row>
    <row r="123" spans="1:30" x14ac:dyDescent="0.25">
      <c r="A123" s="266" t="s">
        <v>5975</v>
      </c>
      <c r="B123" s="266" t="s">
        <v>5976</v>
      </c>
      <c r="C123" s="266" t="s">
        <v>17</v>
      </c>
      <c r="D123" s="266" t="s">
        <v>5965</v>
      </c>
      <c r="E123" s="266" t="s">
        <v>233</v>
      </c>
      <c r="F123" s="267">
        <v>1</v>
      </c>
      <c r="G123" s="268" t="s">
        <v>193</v>
      </c>
      <c r="H123" s="267" t="s">
        <v>194</v>
      </c>
      <c r="I123" s="267" t="s">
        <v>5966</v>
      </c>
      <c r="J123" s="266" t="s">
        <v>5977</v>
      </c>
      <c r="K123" s="267">
        <v>18</v>
      </c>
      <c r="L123" s="266" t="s">
        <v>5978</v>
      </c>
      <c r="M123" s="266" t="s">
        <v>6249</v>
      </c>
      <c r="N123" s="267" t="s">
        <v>6317</v>
      </c>
      <c r="O123" s="267" t="s">
        <v>624</v>
      </c>
      <c r="P123" s="267">
        <v>7</v>
      </c>
      <c r="Q123" s="267" t="s">
        <v>6315</v>
      </c>
      <c r="R123" s="267" t="s">
        <v>6316</v>
      </c>
      <c r="S123" s="266" t="s">
        <v>4714</v>
      </c>
      <c r="T123" s="267" t="s">
        <v>6301</v>
      </c>
      <c r="U123" s="245" t="str">
        <f t="shared" si="1"/>
        <v>332203</v>
      </c>
      <c r="Z123" s="192"/>
      <c r="AD123" s="192"/>
    </row>
    <row r="124" spans="1:30" x14ac:dyDescent="0.25">
      <c r="A124" s="266" t="s">
        <v>1040</v>
      </c>
      <c r="B124" s="266" t="s">
        <v>5970</v>
      </c>
      <c r="C124" s="266" t="s">
        <v>5971</v>
      </c>
      <c r="D124" s="266" t="s">
        <v>5965</v>
      </c>
      <c r="E124" s="266" t="s">
        <v>233</v>
      </c>
      <c r="F124" s="267">
        <v>1</v>
      </c>
      <c r="G124" s="268" t="s">
        <v>193</v>
      </c>
      <c r="H124" s="267" t="s">
        <v>194</v>
      </c>
      <c r="I124" s="267" t="s">
        <v>5966</v>
      </c>
      <c r="J124" s="266" t="s">
        <v>210</v>
      </c>
      <c r="K124" s="267">
        <v>18</v>
      </c>
      <c r="L124" s="266" t="s">
        <v>5972</v>
      </c>
      <c r="M124" s="266" t="s">
        <v>6312</v>
      </c>
      <c r="N124" s="267">
        <v>1863</v>
      </c>
      <c r="O124" s="267" t="s">
        <v>5973</v>
      </c>
      <c r="P124" s="267">
        <v>1</v>
      </c>
      <c r="Q124" s="267" t="s">
        <v>6310</v>
      </c>
      <c r="R124" s="267" t="s">
        <v>6311</v>
      </c>
      <c r="S124" s="266" t="s">
        <v>4714</v>
      </c>
      <c r="T124" s="267" t="s">
        <v>6301</v>
      </c>
      <c r="U124" s="245" t="str">
        <f t="shared" si="1"/>
        <v>134104</v>
      </c>
      <c r="Z124" s="192"/>
      <c r="AD124" s="192"/>
    </row>
    <row r="125" spans="1:30" x14ac:dyDescent="0.25">
      <c r="A125" s="266" t="s">
        <v>5982</v>
      </c>
      <c r="B125" s="266" t="s">
        <v>5983</v>
      </c>
      <c r="C125" s="266" t="s">
        <v>740</v>
      </c>
      <c r="D125" s="266" t="s">
        <v>5965</v>
      </c>
      <c r="E125" s="266" t="s">
        <v>233</v>
      </c>
      <c r="F125" s="267">
        <v>1</v>
      </c>
      <c r="G125" s="268" t="s">
        <v>193</v>
      </c>
      <c r="H125" s="267" t="s">
        <v>194</v>
      </c>
      <c r="I125" s="267" t="s">
        <v>5966</v>
      </c>
      <c r="J125" s="266" t="s">
        <v>5984</v>
      </c>
      <c r="K125" s="267">
        <v>18</v>
      </c>
      <c r="L125" s="266" t="s">
        <v>5985</v>
      </c>
      <c r="M125" s="266" t="s">
        <v>6249</v>
      </c>
      <c r="N125" s="267">
        <v>1863</v>
      </c>
      <c r="O125" s="267" t="s">
        <v>741</v>
      </c>
      <c r="P125" s="267">
        <v>1</v>
      </c>
      <c r="Q125" s="267" t="s">
        <v>6320</v>
      </c>
      <c r="R125" s="267" t="s">
        <v>6321</v>
      </c>
      <c r="S125" s="266" t="s">
        <v>4714</v>
      </c>
      <c r="T125" s="267" t="s">
        <v>6301</v>
      </c>
      <c r="U125" s="245" t="str">
        <f t="shared" si="1"/>
        <v>522301</v>
      </c>
      <c r="Z125" s="192"/>
      <c r="AD125" s="192"/>
    </row>
    <row r="126" spans="1:30" x14ac:dyDescent="0.25">
      <c r="A126" s="266" t="s">
        <v>5986</v>
      </c>
      <c r="B126" s="266" t="s">
        <v>86</v>
      </c>
      <c r="C126" s="266" t="s">
        <v>86</v>
      </c>
      <c r="D126" s="266" t="s">
        <v>5965</v>
      </c>
      <c r="E126" s="266" t="s">
        <v>233</v>
      </c>
      <c r="F126" s="267">
        <v>1</v>
      </c>
      <c r="G126" s="268" t="s">
        <v>193</v>
      </c>
      <c r="H126" s="267" t="s">
        <v>194</v>
      </c>
      <c r="I126" s="267" t="s">
        <v>5966</v>
      </c>
      <c r="J126" s="266" t="s">
        <v>210</v>
      </c>
      <c r="K126" s="267">
        <v>18</v>
      </c>
      <c r="L126" s="266" t="s">
        <v>5987</v>
      </c>
      <c r="M126" s="266" t="s">
        <v>6306</v>
      </c>
      <c r="N126" s="267">
        <v>1863</v>
      </c>
      <c r="O126" s="267" t="s">
        <v>1107</v>
      </c>
      <c r="P126" s="267">
        <v>1</v>
      </c>
      <c r="Q126" s="267" t="s">
        <v>6322</v>
      </c>
      <c r="R126" s="267" t="s">
        <v>6545</v>
      </c>
      <c r="S126" s="266" t="s">
        <v>4714</v>
      </c>
      <c r="T126" s="267" t="s">
        <v>6323</v>
      </c>
      <c r="U126" s="245" t="str">
        <f t="shared" si="1"/>
        <v>121101</v>
      </c>
      <c r="Z126" s="192"/>
      <c r="AD126" s="192"/>
    </row>
    <row r="127" spans="1:30" x14ac:dyDescent="0.25">
      <c r="A127" s="266" t="s">
        <v>5527</v>
      </c>
      <c r="B127" s="266" t="s">
        <v>778</v>
      </c>
      <c r="C127" s="266" t="s">
        <v>778</v>
      </c>
      <c r="D127" s="266" t="s">
        <v>5965</v>
      </c>
      <c r="E127" s="266" t="s">
        <v>233</v>
      </c>
      <c r="F127" s="267">
        <v>1</v>
      </c>
      <c r="G127" s="268" t="s">
        <v>193</v>
      </c>
      <c r="H127" s="267" t="s">
        <v>194</v>
      </c>
      <c r="I127" s="267" t="s">
        <v>5966</v>
      </c>
      <c r="J127" s="266" t="s">
        <v>253</v>
      </c>
      <c r="K127" s="267">
        <v>18</v>
      </c>
      <c r="L127" s="266" t="s">
        <v>5969</v>
      </c>
      <c r="M127" s="266" t="s">
        <v>6254</v>
      </c>
      <c r="N127" s="267">
        <v>1811</v>
      </c>
      <c r="O127" s="267" t="s">
        <v>779</v>
      </c>
      <c r="P127" s="267">
        <v>1</v>
      </c>
      <c r="Q127" s="267" t="s">
        <v>5529</v>
      </c>
      <c r="R127" s="267" t="s">
        <v>5530</v>
      </c>
      <c r="S127" s="266" t="s">
        <v>4714</v>
      </c>
      <c r="T127" s="267" t="s">
        <v>6255</v>
      </c>
      <c r="U127" s="245" t="str">
        <f t="shared" si="1"/>
        <v>524902</v>
      </c>
      <c r="Z127" s="192"/>
      <c r="AD127" s="192"/>
    </row>
    <row r="128" spans="1:30" x14ac:dyDescent="0.25">
      <c r="A128" s="266" t="s">
        <v>540</v>
      </c>
      <c r="B128" s="266" t="s">
        <v>5870</v>
      </c>
      <c r="C128" s="266" t="s">
        <v>62</v>
      </c>
      <c r="D128" s="266" t="s">
        <v>5797</v>
      </c>
      <c r="E128" s="266" t="s">
        <v>252</v>
      </c>
      <c r="F128" s="267">
        <v>1</v>
      </c>
      <c r="G128" s="268" t="s">
        <v>193</v>
      </c>
      <c r="H128" s="267" t="s">
        <v>194</v>
      </c>
      <c r="I128" s="267" t="s">
        <v>5798</v>
      </c>
      <c r="J128" s="266" t="s">
        <v>5261</v>
      </c>
      <c r="K128" s="267">
        <v>18</v>
      </c>
      <c r="L128" s="266" t="s">
        <v>5871</v>
      </c>
      <c r="M128" s="266" t="s">
        <v>6275</v>
      </c>
      <c r="N128" s="267">
        <v>1816</v>
      </c>
      <c r="O128" s="267" t="s">
        <v>601</v>
      </c>
      <c r="P128" s="267">
        <v>1</v>
      </c>
      <c r="Q128" s="267" t="s">
        <v>6282</v>
      </c>
      <c r="R128" s="267" t="s">
        <v>6283</v>
      </c>
      <c r="S128" s="266" t="s">
        <v>4714</v>
      </c>
      <c r="T128" s="267" t="s">
        <v>4849</v>
      </c>
      <c r="U128" s="245" t="str">
        <f t="shared" si="1"/>
        <v>313904</v>
      </c>
      <c r="Z128" s="192"/>
      <c r="AD128" s="192"/>
    </row>
    <row r="129" spans="1:30" x14ac:dyDescent="0.25">
      <c r="A129" s="266" t="s">
        <v>540</v>
      </c>
      <c r="B129" s="266" t="s">
        <v>5870</v>
      </c>
      <c r="C129" s="266" t="s">
        <v>62</v>
      </c>
      <c r="D129" s="266" t="s">
        <v>5797</v>
      </c>
      <c r="E129" s="266" t="s">
        <v>252</v>
      </c>
      <c r="F129" s="267">
        <v>1</v>
      </c>
      <c r="G129" s="268" t="s">
        <v>193</v>
      </c>
      <c r="H129" s="267" t="s">
        <v>194</v>
      </c>
      <c r="I129" s="267" t="s">
        <v>5798</v>
      </c>
      <c r="J129" s="266" t="s">
        <v>210</v>
      </c>
      <c r="K129" s="267">
        <v>18</v>
      </c>
      <c r="L129" s="266" t="s">
        <v>5872</v>
      </c>
      <c r="M129" s="266" t="s">
        <v>6275</v>
      </c>
      <c r="N129" s="267">
        <v>1863</v>
      </c>
      <c r="O129" s="267" t="s">
        <v>601</v>
      </c>
      <c r="P129" s="267">
        <v>1</v>
      </c>
      <c r="Q129" s="267" t="s">
        <v>6282</v>
      </c>
      <c r="R129" s="267" t="s">
        <v>6283</v>
      </c>
      <c r="S129" s="266" t="s">
        <v>4714</v>
      </c>
      <c r="T129" s="267" t="s">
        <v>4849</v>
      </c>
      <c r="U129" s="245" t="str">
        <f t="shared" si="1"/>
        <v>313904</v>
      </c>
      <c r="Z129" s="192"/>
      <c r="AD129" s="192"/>
    </row>
    <row r="130" spans="1:30" x14ac:dyDescent="0.25">
      <c r="A130" s="266" t="s">
        <v>258</v>
      </c>
      <c r="B130" s="266" t="s">
        <v>537</v>
      </c>
      <c r="C130" s="266" t="s">
        <v>778</v>
      </c>
      <c r="D130" s="266" t="s">
        <v>5797</v>
      </c>
      <c r="E130" s="266" t="s">
        <v>233</v>
      </c>
      <c r="F130" s="267">
        <v>1</v>
      </c>
      <c r="G130" s="268" t="s">
        <v>193</v>
      </c>
      <c r="H130" s="267" t="s">
        <v>194</v>
      </c>
      <c r="I130" s="267" t="s">
        <v>5800</v>
      </c>
      <c r="J130" s="266" t="s">
        <v>5801</v>
      </c>
      <c r="K130" s="267">
        <v>18</v>
      </c>
      <c r="L130" s="266" t="s">
        <v>5802</v>
      </c>
      <c r="M130" s="266" t="s">
        <v>6249</v>
      </c>
      <c r="N130" s="267">
        <v>1803.1804999999999</v>
      </c>
      <c r="O130" s="267" t="s">
        <v>779</v>
      </c>
      <c r="P130" s="267">
        <v>2</v>
      </c>
      <c r="Q130" s="267" t="s">
        <v>6247</v>
      </c>
      <c r="R130" s="267" t="s">
        <v>6248</v>
      </c>
      <c r="S130" s="266" t="s">
        <v>4714</v>
      </c>
      <c r="T130" s="267" t="s">
        <v>6250</v>
      </c>
      <c r="U130" s="245" t="str">
        <f t="shared" si="1"/>
        <v>524902</v>
      </c>
      <c r="Z130" s="192"/>
      <c r="AD130" s="192"/>
    </row>
    <row r="131" spans="1:30" x14ac:dyDescent="0.25">
      <c r="A131" s="266" t="s">
        <v>5895</v>
      </c>
      <c r="B131" s="266" t="s">
        <v>5896</v>
      </c>
      <c r="C131" s="266" t="s">
        <v>43</v>
      </c>
      <c r="D131" s="266" t="s">
        <v>5797</v>
      </c>
      <c r="E131" s="266" t="s">
        <v>192</v>
      </c>
      <c r="F131" s="267">
        <v>1</v>
      </c>
      <c r="G131" s="268" t="s">
        <v>193</v>
      </c>
      <c r="H131" s="267" t="s">
        <v>194</v>
      </c>
      <c r="I131" s="267" t="s">
        <v>5798</v>
      </c>
      <c r="J131" s="266" t="s">
        <v>385</v>
      </c>
      <c r="K131" s="267">
        <v>18</v>
      </c>
      <c r="L131" s="266" t="s">
        <v>5897</v>
      </c>
      <c r="M131" s="266" t="s">
        <v>6290</v>
      </c>
      <c r="N131" s="267" t="s">
        <v>6292</v>
      </c>
      <c r="O131" s="267" t="s">
        <v>452</v>
      </c>
      <c r="P131" s="267">
        <v>4</v>
      </c>
      <c r="Q131" s="267"/>
      <c r="R131" s="267"/>
      <c r="S131" s="266" t="s">
        <v>4714</v>
      </c>
      <c r="T131" s="267" t="s">
        <v>6293</v>
      </c>
      <c r="U131" s="245" t="str">
        <f t="shared" si="1"/>
        <v>243106</v>
      </c>
      <c r="Z131" s="192"/>
      <c r="AD131" s="192"/>
    </row>
    <row r="132" spans="1:30" x14ac:dyDescent="0.25">
      <c r="A132" s="266" t="s">
        <v>5902</v>
      </c>
      <c r="B132" s="266" t="s">
        <v>5903</v>
      </c>
      <c r="C132" s="266" t="s">
        <v>85</v>
      </c>
      <c r="D132" s="266" t="s">
        <v>5797</v>
      </c>
      <c r="E132" s="266" t="s">
        <v>192</v>
      </c>
      <c r="F132" s="267">
        <v>1</v>
      </c>
      <c r="G132" s="268" t="s">
        <v>193</v>
      </c>
      <c r="H132" s="267" t="s">
        <v>194</v>
      </c>
      <c r="I132" s="267" t="s">
        <v>5798</v>
      </c>
      <c r="J132" s="266" t="s">
        <v>210</v>
      </c>
      <c r="K132" s="267">
        <v>18</v>
      </c>
      <c r="L132" s="266" t="s">
        <v>5904</v>
      </c>
      <c r="M132" s="266" t="s">
        <v>6245</v>
      </c>
      <c r="N132" s="267">
        <v>1863</v>
      </c>
      <c r="O132" s="267" t="s">
        <v>477</v>
      </c>
      <c r="P132" s="267">
        <v>1</v>
      </c>
      <c r="Q132" s="267"/>
      <c r="R132" s="267"/>
      <c r="S132" s="266" t="s">
        <v>4714</v>
      </c>
      <c r="T132" s="267" t="s">
        <v>6253</v>
      </c>
      <c r="U132" s="245" t="str">
        <f t="shared" ref="U132:U195" si="2">MID(O132,8,6)</f>
        <v>243305</v>
      </c>
      <c r="Z132" s="192"/>
      <c r="AD132" s="192"/>
    </row>
    <row r="133" spans="1:30" x14ac:dyDescent="0.25">
      <c r="A133" s="266" t="s">
        <v>5919</v>
      </c>
      <c r="B133" s="266" t="s">
        <v>5920</v>
      </c>
      <c r="C133" s="266" t="s">
        <v>2771</v>
      </c>
      <c r="D133" s="266" t="s">
        <v>5797</v>
      </c>
      <c r="E133" s="266" t="s">
        <v>192</v>
      </c>
      <c r="F133" s="267">
        <v>1</v>
      </c>
      <c r="G133" s="268" t="s">
        <v>193</v>
      </c>
      <c r="H133" s="267" t="s">
        <v>194</v>
      </c>
      <c r="I133" s="267" t="s">
        <v>5798</v>
      </c>
      <c r="J133" s="266" t="s">
        <v>210</v>
      </c>
      <c r="K133" s="267">
        <v>18</v>
      </c>
      <c r="L133" s="266" t="s">
        <v>5921</v>
      </c>
      <c r="M133" s="266" t="s">
        <v>6258</v>
      </c>
      <c r="N133" s="267">
        <v>1863</v>
      </c>
      <c r="O133" s="267" t="s">
        <v>4816</v>
      </c>
      <c r="P133" s="267">
        <v>1</v>
      </c>
      <c r="Q133" s="267"/>
      <c r="R133" s="267"/>
      <c r="S133" s="266" t="s">
        <v>4714</v>
      </c>
      <c r="T133" s="267" t="s">
        <v>6253</v>
      </c>
      <c r="U133" s="245" t="str">
        <f t="shared" si="2"/>
        <v>331403</v>
      </c>
      <c r="Z133" s="192"/>
      <c r="AD133" s="192"/>
    </row>
    <row r="134" spans="1:30" x14ac:dyDescent="0.25">
      <c r="A134" s="266" t="s">
        <v>491</v>
      </c>
      <c r="B134" s="266" t="s">
        <v>2860</v>
      </c>
      <c r="C134" s="266" t="s">
        <v>3427</v>
      </c>
      <c r="D134" s="266" t="s">
        <v>5797</v>
      </c>
      <c r="E134" s="266" t="s">
        <v>192</v>
      </c>
      <c r="F134" s="267">
        <v>1</v>
      </c>
      <c r="G134" s="268" t="s">
        <v>193</v>
      </c>
      <c r="H134" s="267" t="s">
        <v>194</v>
      </c>
      <c r="I134" s="267" t="s">
        <v>5798</v>
      </c>
      <c r="J134" s="266" t="s">
        <v>210</v>
      </c>
      <c r="K134" s="267">
        <v>18</v>
      </c>
      <c r="L134" s="266" t="s">
        <v>5909</v>
      </c>
      <c r="M134" s="266" t="s">
        <v>6261</v>
      </c>
      <c r="N134" s="267">
        <v>1863</v>
      </c>
      <c r="O134" s="267" t="s">
        <v>3428</v>
      </c>
      <c r="P134" s="267">
        <v>1</v>
      </c>
      <c r="Q134" s="267"/>
      <c r="R134" s="267"/>
      <c r="S134" s="266" t="s">
        <v>4714</v>
      </c>
      <c r="T134" s="267" t="s">
        <v>6253</v>
      </c>
      <c r="U134" s="245" t="str">
        <f t="shared" si="2"/>
        <v>251202</v>
      </c>
      <c r="Z134" s="192"/>
      <c r="AD134" s="192"/>
    </row>
    <row r="135" spans="1:30" x14ac:dyDescent="0.25">
      <c r="A135" s="266" t="s">
        <v>5815</v>
      </c>
      <c r="B135" s="266" t="s">
        <v>5816</v>
      </c>
      <c r="C135" s="266" t="s">
        <v>35</v>
      </c>
      <c r="D135" s="266" t="s">
        <v>5797</v>
      </c>
      <c r="E135" s="266" t="s">
        <v>233</v>
      </c>
      <c r="F135" s="267">
        <v>1</v>
      </c>
      <c r="G135" s="268" t="s">
        <v>193</v>
      </c>
      <c r="H135" s="267" t="s">
        <v>194</v>
      </c>
      <c r="I135" s="267" t="s">
        <v>5798</v>
      </c>
      <c r="J135" s="266" t="s">
        <v>5817</v>
      </c>
      <c r="K135" s="267">
        <v>18</v>
      </c>
      <c r="L135" s="266" t="s">
        <v>5818</v>
      </c>
      <c r="M135" s="266" t="s">
        <v>6254</v>
      </c>
      <c r="N135" s="267" t="s">
        <v>6264</v>
      </c>
      <c r="O135" s="267" t="s">
        <v>207</v>
      </c>
      <c r="P135" s="267">
        <v>6</v>
      </c>
      <c r="Q135" s="267" t="s">
        <v>6263</v>
      </c>
      <c r="R135" s="267"/>
      <c r="S135" s="266" t="s">
        <v>4714</v>
      </c>
      <c r="T135" s="267" t="s">
        <v>6265</v>
      </c>
      <c r="U135" s="245" t="str">
        <f t="shared" si="2"/>
        <v>122106</v>
      </c>
      <c r="Z135" s="192"/>
      <c r="AD135" s="192"/>
    </row>
    <row r="136" spans="1:30" x14ac:dyDescent="0.25">
      <c r="A136" s="266" t="s">
        <v>5860</v>
      </c>
      <c r="B136" s="266" t="s">
        <v>5861</v>
      </c>
      <c r="C136" s="266" t="s">
        <v>3359</v>
      </c>
      <c r="D136" s="266" t="s">
        <v>5797</v>
      </c>
      <c r="E136" s="266" t="s">
        <v>192</v>
      </c>
      <c r="F136" s="267">
        <v>1</v>
      </c>
      <c r="G136" s="268" t="s">
        <v>193</v>
      </c>
      <c r="H136" s="267" t="s">
        <v>194</v>
      </c>
      <c r="I136" s="267" t="s">
        <v>5798</v>
      </c>
      <c r="J136" s="266" t="s">
        <v>210</v>
      </c>
      <c r="K136" s="267">
        <v>18</v>
      </c>
      <c r="L136" s="266" t="s">
        <v>5862</v>
      </c>
      <c r="M136" s="266" t="s">
        <v>6251</v>
      </c>
      <c r="N136" s="267">
        <v>1863</v>
      </c>
      <c r="O136" s="267" t="s">
        <v>3361</v>
      </c>
      <c r="P136" s="267">
        <v>1</v>
      </c>
      <c r="Q136" s="267"/>
      <c r="R136" s="267"/>
      <c r="S136" s="266" t="s">
        <v>4714</v>
      </c>
      <c r="T136" s="267" t="s">
        <v>6265</v>
      </c>
      <c r="U136" s="245" t="str">
        <f t="shared" si="2"/>
        <v>142005</v>
      </c>
      <c r="Z136" s="192"/>
      <c r="AD136" s="192"/>
    </row>
    <row r="137" spans="1:30" x14ac:dyDescent="0.25">
      <c r="A137" s="266" t="s">
        <v>5828</v>
      </c>
      <c r="B137" s="266" t="s">
        <v>5829</v>
      </c>
      <c r="C137" s="266" t="s">
        <v>12</v>
      </c>
      <c r="D137" s="266" t="s">
        <v>5797</v>
      </c>
      <c r="E137" s="266" t="s">
        <v>233</v>
      </c>
      <c r="F137" s="267">
        <v>1</v>
      </c>
      <c r="G137" s="268" t="s">
        <v>193</v>
      </c>
      <c r="H137" s="267" t="s">
        <v>194</v>
      </c>
      <c r="I137" s="267" t="s">
        <v>5798</v>
      </c>
      <c r="J137" s="266" t="s">
        <v>196</v>
      </c>
      <c r="K137" s="267">
        <v>18</v>
      </c>
      <c r="L137" s="266" t="s">
        <v>5830</v>
      </c>
      <c r="M137" s="266" t="s">
        <v>6256</v>
      </c>
      <c r="N137" s="269" t="s">
        <v>6540</v>
      </c>
      <c r="O137" s="267" t="s">
        <v>220</v>
      </c>
      <c r="P137" s="267">
        <v>25</v>
      </c>
      <c r="Q137" s="267" t="s">
        <v>6267</v>
      </c>
      <c r="R137" s="267"/>
      <c r="S137" s="266" t="s">
        <v>4714</v>
      </c>
      <c r="T137" s="267" t="s">
        <v>6268</v>
      </c>
      <c r="U137" s="245" t="str">
        <f t="shared" si="2"/>
        <v>132301</v>
      </c>
      <c r="Z137" s="192"/>
      <c r="AD137" s="192"/>
    </row>
    <row r="138" spans="1:30" x14ac:dyDescent="0.25">
      <c r="A138" s="266" t="s">
        <v>491</v>
      </c>
      <c r="B138" s="266" t="s">
        <v>5905</v>
      </c>
      <c r="C138" s="266" t="s">
        <v>5906</v>
      </c>
      <c r="D138" s="266" t="s">
        <v>5797</v>
      </c>
      <c r="E138" s="266" t="s">
        <v>192</v>
      </c>
      <c r="F138" s="267">
        <v>1</v>
      </c>
      <c r="G138" s="268" t="s">
        <v>193</v>
      </c>
      <c r="H138" s="267" t="s">
        <v>194</v>
      </c>
      <c r="I138" s="267" t="s">
        <v>5798</v>
      </c>
      <c r="J138" s="266" t="s">
        <v>210</v>
      </c>
      <c r="K138" s="267">
        <v>18</v>
      </c>
      <c r="L138" s="266" t="s">
        <v>5907</v>
      </c>
      <c r="M138" s="266" t="s">
        <v>6261</v>
      </c>
      <c r="N138" s="267">
        <v>1863</v>
      </c>
      <c r="O138" s="267" t="s">
        <v>5908</v>
      </c>
      <c r="P138" s="267">
        <v>1</v>
      </c>
      <c r="Q138" s="267"/>
      <c r="R138" s="267"/>
      <c r="S138" s="266" t="s">
        <v>4714</v>
      </c>
      <c r="T138" s="267" t="s">
        <v>6255</v>
      </c>
      <c r="U138" s="245" t="str">
        <f t="shared" si="2"/>
        <v>133005</v>
      </c>
      <c r="Z138" s="192"/>
      <c r="AD138" s="192"/>
    </row>
    <row r="139" spans="1:30" x14ac:dyDescent="0.25">
      <c r="A139" s="266" t="s">
        <v>5835</v>
      </c>
      <c r="B139" s="266" t="s">
        <v>5836</v>
      </c>
      <c r="C139" s="266" t="s">
        <v>17</v>
      </c>
      <c r="D139" s="266" t="s">
        <v>5797</v>
      </c>
      <c r="E139" s="266" t="s">
        <v>192</v>
      </c>
      <c r="F139" s="267">
        <v>1</v>
      </c>
      <c r="G139" s="268" t="s">
        <v>193</v>
      </c>
      <c r="H139" s="267" t="s">
        <v>194</v>
      </c>
      <c r="I139" s="267" t="s">
        <v>5798</v>
      </c>
      <c r="J139" s="266" t="s">
        <v>399</v>
      </c>
      <c r="K139" s="267">
        <v>18</v>
      </c>
      <c r="L139" s="266" t="s">
        <v>5837</v>
      </c>
      <c r="M139" s="266" t="s">
        <v>6269</v>
      </c>
      <c r="N139" s="267" t="s">
        <v>6270</v>
      </c>
      <c r="O139" s="267" t="s">
        <v>624</v>
      </c>
      <c r="P139" s="267">
        <v>20</v>
      </c>
      <c r="Q139" s="267"/>
      <c r="R139" s="267"/>
      <c r="S139" s="266" t="s">
        <v>4714</v>
      </c>
      <c r="T139" s="267" t="s">
        <v>6255</v>
      </c>
      <c r="U139" s="245" t="str">
        <f t="shared" si="2"/>
        <v>332203</v>
      </c>
      <c r="Z139" s="192"/>
      <c r="AD139" s="192"/>
    </row>
    <row r="140" spans="1:30" x14ac:dyDescent="0.25">
      <c r="A140" s="266" t="s">
        <v>919</v>
      </c>
      <c r="B140" s="266" t="s">
        <v>5804</v>
      </c>
      <c r="C140" s="266" t="s">
        <v>706</v>
      </c>
      <c r="D140" s="266" t="s">
        <v>5797</v>
      </c>
      <c r="E140" s="266" t="s">
        <v>192</v>
      </c>
      <c r="F140" s="267">
        <v>1</v>
      </c>
      <c r="G140" s="268" t="s">
        <v>193</v>
      </c>
      <c r="H140" s="267" t="s">
        <v>194</v>
      </c>
      <c r="I140" s="267" t="s">
        <v>5798</v>
      </c>
      <c r="J140" s="266" t="s">
        <v>210</v>
      </c>
      <c r="K140" s="267">
        <v>18</v>
      </c>
      <c r="L140" s="266" t="s">
        <v>5805</v>
      </c>
      <c r="M140" s="266" t="s">
        <v>6254</v>
      </c>
      <c r="N140" s="267">
        <v>1863</v>
      </c>
      <c r="O140" s="267" t="s">
        <v>707</v>
      </c>
      <c r="P140" s="267">
        <v>1</v>
      </c>
      <c r="Q140" s="267"/>
      <c r="R140" s="267"/>
      <c r="S140" s="266" t="s">
        <v>4714</v>
      </c>
      <c r="T140" s="267" t="s">
        <v>6255</v>
      </c>
      <c r="U140" s="245" t="str">
        <f t="shared" si="2"/>
        <v>422201</v>
      </c>
      <c r="Z140" s="192"/>
      <c r="AD140" s="192"/>
    </row>
    <row r="141" spans="1:30" x14ac:dyDescent="0.25">
      <c r="A141" s="266" t="s">
        <v>446</v>
      </c>
      <c r="B141" s="266" t="s">
        <v>4864</v>
      </c>
      <c r="C141" s="266" t="s">
        <v>740</v>
      </c>
      <c r="D141" s="266" t="s">
        <v>5797</v>
      </c>
      <c r="E141" s="266" t="s">
        <v>192</v>
      </c>
      <c r="F141" s="267">
        <v>1</v>
      </c>
      <c r="G141" s="268" t="s">
        <v>193</v>
      </c>
      <c r="H141" s="267" t="s">
        <v>194</v>
      </c>
      <c r="I141" s="267" t="s">
        <v>5798</v>
      </c>
      <c r="J141" s="266" t="s">
        <v>1059</v>
      </c>
      <c r="K141" s="267">
        <v>18</v>
      </c>
      <c r="L141" s="266" t="s">
        <v>5859</v>
      </c>
      <c r="M141" s="266" t="s">
        <v>6251</v>
      </c>
      <c r="N141" s="267">
        <v>1809</v>
      </c>
      <c r="O141" s="267" t="s">
        <v>741</v>
      </c>
      <c r="P141" s="267">
        <v>1</v>
      </c>
      <c r="Q141" s="267"/>
      <c r="R141" s="267"/>
      <c r="S141" s="266" t="s">
        <v>4714</v>
      </c>
      <c r="T141" s="267" t="s">
        <v>6255</v>
      </c>
      <c r="U141" s="245" t="str">
        <f t="shared" si="2"/>
        <v>522301</v>
      </c>
      <c r="Z141" s="192"/>
      <c r="AD141" s="192"/>
    </row>
    <row r="142" spans="1:30" x14ac:dyDescent="0.25">
      <c r="A142" s="266" t="s">
        <v>4975</v>
      </c>
      <c r="B142" s="266" t="s">
        <v>5887</v>
      </c>
      <c r="C142" s="266" t="s">
        <v>74</v>
      </c>
      <c r="D142" s="266" t="s">
        <v>5797</v>
      </c>
      <c r="E142" s="266" t="s">
        <v>233</v>
      </c>
      <c r="F142" s="267">
        <v>1</v>
      </c>
      <c r="G142" s="268" t="s">
        <v>193</v>
      </c>
      <c r="H142" s="267" t="s">
        <v>194</v>
      </c>
      <c r="I142" s="267" t="s">
        <v>5798</v>
      </c>
      <c r="J142" s="266" t="s">
        <v>253</v>
      </c>
      <c r="K142" s="267">
        <v>18</v>
      </c>
      <c r="L142" s="266" t="s">
        <v>5888</v>
      </c>
      <c r="M142" s="266" t="s">
        <v>6277</v>
      </c>
      <c r="N142" s="267">
        <v>1811</v>
      </c>
      <c r="O142" s="267" t="s">
        <v>246</v>
      </c>
      <c r="P142" s="267">
        <v>1</v>
      </c>
      <c r="Q142" s="267" t="s">
        <v>6291</v>
      </c>
      <c r="R142" s="267"/>
      <c r="S142" s="266" t="s">
        <v>4714</v>
      </c>
      <c r="T142" s="267" t="s">
        <v>6253</v>
      </c>
      <c r="U142" s="245" t="str">
        <f t="shared" si="2"/>
        <v>142004</v>
      </c>
      <c r="Z142" s="192"/>
      <c r="AD142" s="192"/>
    </row>
    <row r="143" spans="1:30" x14ac:dyDescent="0.25">
      <c r="A143" s="266" t="s">
        <v>4975</v>
      </c>
      <c r="B143" s="266" t="s">
        <v>5887</v>
      </c>
      <c r="C143" s="266" t="s">
        <v>74</v>
      </c>
      <c r="D143" s="266" t="s">
        <v>5797</v>
      </c>
      <c r="E143" s="266" t="s">
        <v>233</v>
      </c>
      <c r="F143" s="267">
        <v>1</v>
      </c>
      <c r="G143" s="268" t="s">
        <v>193</v>
      </c>
      <c r="H143" s="267" t="s">
        <v>194</v>
      </c>
      <c r="I143" s="267" t="s">
        <v>5798</v>
      </c>
      <c r="J143" s="266" t="s">
        <v>223</v>
      </c>
      <c r="K143" s="267">
        <v>18</v>
      </c>
      <c r="L143" s="266" t="s">
        <v>5889</v>
      </c>
      <c r="M143" s="266" t="s">
        <v>6277</v>
      </c>
      <c r="N143" s="267">
        <v>1804</v>
      </c>
      <c r="O143" s="267" t="s">
        <v>246</v>
      </c>
      <c r="P143" s="267">
        <v>1</v>
      </c>
      <c r="Q143" s="267" t="s">
        <v>6291</v>
      </c>
      <c r="R143" s="267"/>
      <c r="S143" s="266" t="s">
        <v>4714</v>
      </c>
      <c r="T143" s="267" t="s">
        <v>6253</v>
      </c>
      <c r="U143" s="245" t="str">
        <f t="shared" si="2"/>
        <v>142004</v>
      </c>
      <c r="Z143" s="192"/>
      <c r="AD143" s="192"/>
    </row>
    <row r="144" spans="1:30" x14ac:dyDescent="0.25">
      <c r="A144" s="266" t="s">
        <v>446</v>
      </c>
      <c r="B144" s="266" t="s">
        <v>5856</v>
      </c>
      <c r="C144" s="266" t="s">
        <v>100</v>
      </c>
      <c r="D144" s="266" t="s">
        <v>5797</v>
      </c>
      <c r="E144" s="266" t="s">
        <v>233</v>
      </c>
      <c r="F144" s="267">
        <v>1</v>
      </c>
      <c r="G144" s="268" t="s">
        <v>193</v>
      </c>
      <c r="H144" s="267" t="s">
        <v>194</v>
      </c>
      <c r="I144" s="267" t="s">
        <v>5798</v>
      </c>
      <c r="J144" s="266" t="s">
        <v>5857</v>
      </c>
      <c r="K144" s="267">
        <v>18</v>
      </c>
      <c r="L144" s="266" t="s">
        <v>5858</v>
      </c>
      <c r="M144" s="266" t="s">
        <v>6277</v>
      </c>
      <c r="N144" s="267">
        <v>1862.1863000000001</v>
      </c>
      <c r="O144" s="267" t="s">
        <v>429</v>
      </c>
      <c r="P144" s="267">
        <v>2</v>
      </c>
      <c r="Q144" s="267" t="s">
        <v>6276</v>
      </c>
      <c r="R144" s="267"/>
      <c r="S144" s="266" t="s">
        <v>4714</v>
      </c>
      <c r="T144" s="267" t="s">
        <v>6278</v>
      </c>
      <c r="U144" s="245" t="str">
        <f t="shared" si="2"/>
        <v>242108</v>
      </c>
      <c r="Z144" s="192"/>
      <c r="AD144" s="192"/>
    </row>
    <row r="145" spans="1:30" x14ac:dyDescent="0.25">
      <c r="A145" s="266" t="s">
        <v>5651</v>
      </c>
      <c r="B145" s="266" t="s">
        <v>5875</v>
      </c>
      <c r="C145" s="266" t="s">
        <v>4034</v>
      </c>
      <c r="D145" s="266" t="s">
        <v>5797</v>
      </c>
      <c r="E145" s="266" t="s">
        <v>233</v>
      </c>
      <c r="F145" s="267">
        <v>1</v>
      </c>
      <c r="G145" s="268" t="s">
        <v>193</v>
      </c>
      <c r="H145" s="267" t="s">
        <v>194</v>
      </c>
      <c r="I145" s="267" t="s">
        <v>5798</v>
      </c>
      <c r="J145" s="266" t="s">
        <v>210</v>
      </c>
      <c r="K145" s="267">
        <v>18</v>
      </c>
      <c r="L145" s="266" t="s">
        <v>5876</v>
      </c>
      <c r="M145" s="266" t="s">
        <v>6286</v>
      </c>
      <c r="N145" s="267">
        <v>1863</v>
      </c>
      <c r="O145" s="267" t="s">
        <v>4035</v>
      </c>
      <c r="P145" s="267">
        <v>1</v>
      </c>
      <c r="Q145" s="267" t="s">
        <v>6285</v>
      </c>
      <c r="R145" s="267"/>
      <c r="S145" s="266" t="s">
        <v>4714</v>
      </c>
      <c r="T145" s="267" t="s">
        <v>6246</v>
      </c>
      <c r="U145" s="245" t="str">
        <f t="shared" si="2"/>
        <v>422602</v>
      </c>
      <c r="Z145" s="192"/>
      <c r="AD145" s="192"/>
    </row>
    <row r="146" spans="1:30" x14ac:dyDescent="0.25">
      <c r="A146" s="266" t="s">
        <v>5651</v>
      </c>
      <c r="B146" s="266" t="s">
        <v>5877</v>
      </c>
      <c r="C146" s="266" t="s">
        <v>4811</v>
      </c>
      <c r="D146" s="266" t="s">
        <v>5797</v>
      </c>
      <c r="E146" s="266" t="s">
        <v>233</v>
      </c>
      <c r="F146" s="267">
        <v>1</v>
      </c>
      <c r="G146" s="268" t="s">
        <v>193</v>
      </c>
      <c r="H146" s="267" t="s">
        <v>194</v>
      </c>
      <c r="I146" s="267" t="s">
        <v>5798</v>
      </c>
      <c r="J146" s="266" t="s">
        <v>210</v>
      </c>
      <c r="K146" s="267">
        <v>18</v>
      </c>
      <c r="L146" s="266" t="s">
        <v>5878</v>
      </c>
      <c r="M146" s="266" t="s">
        <v>6288</v>
      </c>
      <c r="N146" s="267">
        <v>1863</v>
      </c>
      <c r="O146" s="267" t="s">
        <v>4812</v>
      </c>
      <c r="P146" s="267">
        <v>1</v>
      </c>
      <c r="Q146" s="267" t="s">
        <v>6287</v>
      </c>
      <c r="R146" s="267"/>
      <c r="S146" s="266" t="s">
        <v>4714</v>
      </c>
      <c r="T146" s="267" t="s">
        <v>6246</v>
      </c>
      <c r="U146" s="245" t="str">
        <f t="shared" si="2"/>
        <v>321103</v>
      </c>
      <c r="Z146" s="192"/>
      <c r="AD146" s="192"/>
    </row>
    <row r="147" spans="1:30" x14ac:dyDescent="0.25">
      <c r="A147" s="266" t="s">
        <v>615</v>
      </c>
      <c r="B147" s="266" t="s">
        <v>5892</v>
      </c>
      <c r="C147" s="266" t="s">
        <v>111</v>
      </c>
      <c r="D147" s="266" t="s">
        <v>5797</v>
      </c>
      <c r="E147" s="266" t="s">
        <v>233</v>
      </c>
      <c r="F147" s="267">
        <v>1</v>
      </c>
      <c r="G147" s="268" t="s">
        <v>193</v>
      </c>
      <c r="H147" s="267" t="s">
        <v>194</v>
      </c>
      <c r="I147" s="267" t="s">
        <v>5798</v>
      </c>
      <c r="J147" s="266" t="s">
        <v>210</v>
      </c>
      <c r="K147" s="267">
        <v>18</v>
      </c>
      <c r="L147" s="266" t="s">
        <v>5893</v>
      </c>
      <c r="M147" s="266" t="s">
        <v>6249</v>
      </c>
      <c r="N147" s="267">
        <v>1863</v>
      </c>
      <c r="O147" s="267" t="s">
        <v>612</v>
      </c>
      <c r="P147" s="267">
        <v>1</v>
      </c>
      <c r="Q147" s="267" t="s">
        <v>4924</v>
      </c>
      <c r="R147" s="267"/>
      <c r="S147" s="266" t="s">
        <v>4714</v>
      </c>
      <c r="T147" s="267" t="s">
        <v>6265</v>
      </c>
      <c r="U147" s="245" t="str">
        <f t="shared" si="2"/>
        <v>332101</v>
      </c>
      <c r="Z147" s="192"/>
      <c r="AD147" s="192"/>
    </row>
    <row r="148" spans="1:30" x14ac:dyDescent="0.25">
      <c r="A148" s="266" t="s">
        <v>615</v>
      </c>
      <c r="B148" s="266" t="s">
        <v>5892</v>
      </c>
      <c r="C148" s="266" t="s">
        <v>111</v>
      </c>
      <c r="D148" s="266" t="s">
        <v>5797</v>
      </c>
      <c r="E148" s="266" t="s">
        <v>233</v>
      </c>
      <c r="F148" s="267">
        <v>1</v>
      </c>
      <c r="G148" s="268" t="s">
        <v>193</v>
      </c>
      <c r="H148" s="267" t="s">
        <v>194</v>
      </c>
      <c r="I148" s="267" t="s">
        <v>5798</v>
      </c>
      <c r="J148" s="266" t="s">
        <v>316</v>
      </c>
      <c r="K148" s="267">
        <v>18</v>
      </c>
      <c r="L148" s="266" t="s">
        <v>5894</v>
      </c>
      <c r="M148" s="266" t="s">
        <v>6249</v>
      </c>
      <c r="N148" s="267">
        <v>1818</v>
      </c>
      <c r="O148" s="267" t="s">
        <v>612</v>
      </c>
      <c r="P148" s="267">
        <v>1</v>
      </c>
      <c r="Q148" s="267" t="s">
        <v>4924</v>
      </c>
      <c r="R148" s="267"/>
      <c r="S148" s="266" t="s">
        <v>4714</v>
      </c>
      <c r="T148" s="267" t="s">
        <v>6265</v>
      </c>
      <c r="U148" s="245" t="str">
        <f t="shared" si="2"/>
        <v>332101</v>
      </c>
      <c r="Z148" s="192"/>
      <c r="AD148" s="192"/>
    </row>
    <row r="149" spans="1:30" x14ac:dyDescent="0.25">
      <c r="A149" s="270" t="s">
        <v>894</v>
      </c>
      <c r="B149" s="270" t="s">
        <v>5933</v>
      </c>
      <c r="C149" s="270"/>
      <c r="D149" s="270" t="s">
        <v>5797</v>
      </c>
      <c r="E149" s="270" t="s">
        <v>217</v>
      </c>
      <c r="F149" s="271">
        <v>0</v>
      </c>
      <c r="G149" s="279" t="s">
        <v>194</v>
      </c>
      <c r="H149" s="280" t="s">
        <v>193</v>
      </c>
      <c r="I149" s="271" t="s">
        <v>5798</v>
      </c>
      <c r="J149" s="270" t="s">
        <v>5934</v>
      </c>
      <c r="K149" s="274">
        <v>18</v>
      </c>
      <c r="L149" s="270" t="s">
        <v>5935</v>
      </c>
      <c r="M149" s="270" t="s">
        <v>6256</v>
      </c>
      <c r="N149" s="281" t="s">
        <v>3573</v>
      </c>
      <c r="O149" s="271" t="s">
        <v>6527</v>
      </c>
      <c r="P149" s="280">
        <v>0</v>
      </c>
      <c r="Q149" s="271" t="s">
        <v>6304</v>
      </c>
      <c r="R149" s="271" t="s">
        <v>4904</v>
      </c>
      <c r="S149" s="270" t="s">
        <v>4714</v>
      </c>
      <c r="T149" s="271" t="s">
        <v>6284</v>
      </c>
      <c r="U149" s="256" t="str">
        <f>MID(O149,8,6)</f>
        <v>712101</v>
      </c>
      <c r="Z149" s="192"/>
      <c r="AD149" s="192"/>
    </row>
    <row r="150" spans="1:30" x14ac:dyDescent="0.25">
      <c r="A150" s="266" t="s">
        <v>5960</v>
      </c>
      <c r="B150" s="266" t="s">
        <v>5961</v>
      </c>
      <c r="C150" s="266" t="s">
        <v>147</v>
      </c>
      <c r="D150" s="266" t="s">
        <v>5797</v>
      </c>
      <c r="E150" s="266" t="s">
        <v>217</v>
      </c>
      <c r="F150" s="267">
        <v>1</v>
      </c>
      <c r="G150" s="268" t="s">
        <v>193</v>
      </c>
      <c r="H150" s="267" t="s">
        <v>194</v>
      </c>
      <c r="I150" s="267" t="s">
        <v>5798</v>
      </c>
      <c r="J150" s="266" t="s">
        <v>5845</v>
      </c>
      <c r="K150" s="267">
        <v>18</v>
      </c>
      <c r="L150" s="266" t="s">
        <v>5962</v>
      </c>
      <c r="M150" s="266" t="s">
        <v>6258</v>
      </c>
      <c r="N150" s="267">
        <v>1816</v>
      </c>
      <c r="O150" s="267" t="s">
        <v>2030</v>
      </c>
      <c r="P150" s="267">
        <v>1</v>
      </c>
      <c r="Q150" s="267" t="s">
        <v>6307</v>
      </c>
      <c r="R150" s="267" t="s">
        <v>4904</v>
      </c>
      <c r="S150" s="266" t="s">
        <v>4714</v>
      </c>
      <c r="T150" s="267" t="s">
        <v>5800</v>
      </c>
      <c r="U150" s="245" t="str">
        <f t="shared" si="2"/>
        <v>132102</v>
      </c>
      <c r="Z150" s="192"/>
      <c r="AD150" s="192"/>
    </row>
    <row r="151" spans="1:30" x14ac:dyDescent="0.25">
      <c r="A151" s="266" t="s">
        <v>1113</v>
      </c>
      <c r="B151" s="266" t="s">
        <v>569</v>
      </c>
      <c r="C151" s="266" t="s">
        <v>5440</v>
      </c>
      <c r="D151" s="266" t="s">
        <v>5797</v>
      </c>
      <c r="E151" s="266" t="s">
        <v>217</v>
      </c>
      <c r="F151" s="267">
        <v>1</v>
      </c>
      <c r="G151" s="268" t="s">
        <v>193</v>
      </c>
      <c r="H151" s="267" t="s">
        <v>194</v>
      </c>
      <c r="I151" s="267" t="s">
        <v>5798</v>
      </c>
      <c r="J151" s="266" t="s">
        <v>316</v>
      </c>
      <c r="K151" s="267">
        <v>18</v>
      </c>
      <c r="L151" s="266" t="s">
        <v>5807</v>
      </c>
      <c r="M151" s="266" t="s">
        <v>6258</v>
      </c>
      <c r="N151" s="267">
        <v>1818</v>
      </c>
      <c r="O151" s="267" t="s">
        <v>310</v>
      </c>
      <c r="P151" s="267">
        <v>1</v>
      </c>
      <c r="Q151" s="267" t="s">
        <v>6257</v>
      </c>
      <c r="R151" s="267" t="s">
        <v>4904</v>
      </c>
      <c r="S151" s="266" t="s">
        <v>4714</v>
      </c>
      <c r="T151" s="267" t="s">
        <v>6259</v>
      </c>
      <c r="U151" s="245" t="str">
        <f t="shared" si="2"/>
        <v>214404</v>
      </c>
      <c r="Z151" s="192"/>
      <c r="AD151" s="192"/>
    </row>
    <row r="152" spans="1:30" x14ac:dyDescent="0.25">
      <c r="A152" s="266" t="s">
        <v>5843</v>
      </c>
      <c r="B152" s="266" t="s">
        <v>5844</v>
      </c>
      <c r="C152" s="266" t="s">
        <v>166</v>
      </c>
      <c r="D152" s="266" t="s">
        <v>5797</v>
      </c>
      <c r="E152" s="266" t="s">
        <v>217</v>
      </c>
      <c r="F152" s="267">
        <v>1</v>
      </c>
      <c r="G152" s="268" t="s">
        <v>193</v>
      </c>
      <c r="H152" s="267" t="s">
        <v>194</v>
      </c>
      <c r="I152" s="267" t="s">
        <v>5798</v>
      </c>
      <c r="J152" s="266" t="s">
        <v>5845</v>
      </c>
      <c r="K152" s="267">
        <v>18</v>
      </c>
      <c r="L152" s="266" t="s">
        <v>5846</v>
      </c>
      <c r="M152" s="266" t="s">
        <v>6258</v>
      </c>
      <c r="N152" s="267">
        <v>1816</v>
      </c>
      <c r="O152" s="267" t="s">
        <v>580</v>
      </c>
      <c r="P152" s="267">
        <v>1</v>
      </c>
      <c r="Q152" s="267" t="s">
        <v>6271</v>
      </c>
      <c r="R152" s="267" t="s">
        <v>4904</v>
      </c>
      <c r="S152" s="266" t="s">
        <v>4714</v>
      </c>
      <c r="T152" s="267" t="s">
        <v>5800</v>
      </c>
      <c r="U152" s="245" t="str">
        <f t="shared" si="2"/>
        <v>311513</v>
      </c>
      <c r="Z152" s="192"/>
      <c r="AD152" s="192"/>
    </row>
    <row r="153" spans="1:30" x14ac:dyDescent="0.25">
      <c r="A153" s="266" t="s">
        <v>5913</v>
      </c>
      <c r="B153" s="266" t="s">
        <v>5916</v>
      </c>
      <c r="C153" s="266" t="s">
        <v>22</v>
      </c>
      <c r="D153" s="266" t="s">
        <v>5797</v>
      </c>
      <c r="E153" s="266" t="s">
        <v>217</v>
      </c>
      <c r="F153" s="267">
        <v>1</v>
      </c>
      <c r="G153" s="268" t="s">
        <v>193</v>
      </c>
      <c r="H153" s="267" t="s">
        <v>194</v>
      </c>
      <c r="I153" s="267" t="s">
        <v>5798</v>
      </c>
      <c r="J153" s="266" t="s">
        <v>2183</v>
      </c>
      <c r="K153" s="267">
        <v>18</v>
      </c>
      <c r="L153" s="266" t="s">
        <v>5917</v>
      </c>
      <c r="M153" s="266" t="s">
        <v>6269</v>
      </c>
      <c r="N153" s="267">
        <v>1820</v>
      </c>
      <c r="O153" s="267" t="s">
        <v>1608</v>
      </c>
      <c r="P153" s="267">
        <v>1</v>
      </c>
      <c r="Q153" s="267" t="s">
        <v>6298</v>
      </c>
      <c r="R153" s="267" t="s">
        <v>4904</v>
      </c>
      <c r="S153" s="266" t="s">
        <v>4714</v>
      </c>
      <c r="T153" s="267" t="s">
        <v>6246</v>
      </c>
      <c r="U153" s="245" t="str">
        <f t="shared" si="2"/>
        <v>228101</v>
      </c>
      <c r="Z153" s="192"/>
      <c r="AD153" s="192"/>
    </row>
    <row r="154" spans="1:30" x14ac:dyDescent="0.25">
      <c r="A154" s="266" t="s">
        <v>5913</v>
      </c>
      <c r="B154" s="266" t="s">
        <v>5914</v>
      </c>
      <c r="C154" s="266" t="s">
        <v>273</v>
      </c>
      <c r="D154" s="266" t="s">
        <v>5797</v>
      </c>
      <c r="E154" s="266" t="s">
        <v>217</v>
      </c>
      <c r="F154" s="267">
        <v>1</v>
      </c>
      <c r="G154" s="268" t="s">
        <v>193</v>
      </c>
      <c r="H154" s="267" t="s">
        <v>194</v>
      </c>
      <c r="I154" s="267" t="s">
        <v>5798</v>
      </c>
      <c r="J154" s="266" t="s">
        <v>2183</v>
      </c>
      <c r="K154" s="267">
        <v>18</v>
      </c>
      <c r="L154" s="266" t="s">
        <v>5915</v>
      </c>
      <c r="M154" s="266" t="s">
        <v>6269</v>
      </c>
      <c r="N154" s="267">
        <v>1820</v>
      </c>
      <c r="O154" s="267" t="s">
        <v>274</v>
      </c>
      <c r="P154" s="267">
        <v>1</v>
      </c>
      <c r="Q154" s="267" t="s">
        <v>6297</v>
      </c>
      <c r="R154" s="267" t="s">
        <v>4904</v>
      </c>
      <c r="S154" s="266" t="s">
        <v>4714</v>
      </c>
      <c r="T154" s="267" t="s">
        <v>6246</v>
      </c>
      <c r="U154" s="245" t="str">
        <f t="shared" si="2"/>
        <v>211301</v>
      </c>
      <c r="Z154" s="192"/>
      <c r="AD154" s="192"/>
    </row>
    <row r="155" spans="1:30" x14ac:dyDescent="0.25">
      <c r="A155" s="266" t="s">
        <v>5847</v>
      </c>
      <c r="B155" s="266" t="s">
        <v>5848</v>
      </c>
      <c r="C155" s="266" t="s">
        <v>10</v>
      </c>
      <c r="D155" s="266" t="s">
        <v>5797</v>
      </c>
      <c r="E155" s="266" t="s">
        <v>217</v>
      </c>
      <c r="F155" s="267">
        <v>1</v>
      </c>
      <c r="G155" s="268" t="s">
        <v>193</v>
      </c>
      <c r="H155" s="267" t="s">
        <v>194</v>
      </c>
      <c r="I155" s="267" t="s">
        <v>5798</v>
      </c>
      <c r="J155" s="266" t="s">
        <v>210</v>
      </c>
      <c r="K155" s="267">
        <v>18</v>
      </c>
      <c r="L155" s="266" t="s">
        <v>5849</v>
      </c>
      <c r="M155" s="266" t="s">
        <v>6261</v>
      </c>
      <c r="N155" s="267">
        <v>1863</v>
      </c>
      <c r="O155" s="267" t="s">
        <v>484</v>
      </c>
      <c r="P155" s="267">
        <v>1</v>
      </c>
      <c r="Q155" s="267" t="s">
        <v>6272</v>
      </c>
      <c r="R155" s="267" t="s">
        <v>4904</v>
      </c>
      <c r="S155" s="266" t="s">
        <v>4714</v>
      </c>
      <c r="T155" s="267" t="s">
        <v>6273</v>
      </c>
      <c r="U155" s="245" t="str">
        <f t="shared" si="2"/>
        <v>251401</v>
      </c>
      <c r="Z155" s="192"/>
      <c r="AD155" s="192"/>
    </row>
    <row r="156" spans="1:30" x14ac:dyDescent="0.25">
      <c r="A156" s="266" t="s">
        <v>1471</v>
      </c>
      <c r="B156" s="266" t="s">
        <v>5863</v>
      </c>
      <c r="C156" s="266" t="s">
        <v>100</v>
      </c>
      <c r="D156" s="266" t="s">
        <v>5797</v>
      </c>
      <c r="E156" s="266" t="s">
        <v>192</v>
      </c>
      <c r="F156" s="267">
        <v>1</v>
      </c>
      <c r="G156" s="268" t="s">
        <v>193</v>
      </c>
      <c r="H156" s="267" t="s">
        <v>194</v>
      </c>
      <c r="I156" s="267" t="s">
        <v>5798</v>
      </c>
      <c r="J156" s="266" t="s">
        <v>253</v>
      </c>
      <c r="K156" s="267">
        <v>18</v>
      </c>
      <c r="L156" s="266" t="s">
        <v>5864</v>
      </c>
      <c r="M156" s="266" t="s">
        <v>6279</v>
      </c>
      <c r="N156" s="267">
        <v>1811</v>
      </c>
      <c r="O156" s="267" t="s">
        <v>429</v>
      </c>
      <c r="P156" s="267">
        <v>1</v>
      </c>
      <c r="Q156" s="267"/>
      <c r="R156" s="267"/>
      <c r="S156" s="266" t="s">
        <v>4714</v>
      </c>
      <c r="T156" s="267" t="s">
        <v>6280</v>
      </c>
      <c r="U156" s="245" t="str">
        <f t="shared" si="2"/>
        <v>242108</v>
      </c>
      <c r="Z156" s="192"/>
      <c r="AD156" s="192"/>
    </row>
    <row r="157" spans="1:30" x14ac:dyDescent="0.25">
      <c r="A157" s="266" t="s">
        <v>244</v>
      </c>
      <c r="B157" s="266" t="s">
        <v>5873</v>
      </c>
      <c r="C157" s="266" t="s">
        <v>737</v>
      </c>
      <c r="D157" s="266" t="s">
        <v>5797</v>
      </c>
      <c r="E157" s="266" t="s">
        <v>192</v>
      </c>
      <c r="F157" s="267">
        <v>1</v>
      </c>
      <c r="G157" s="268" t="s">
        <v>193</v>
      </c>
      <c r="H157" s="267" t="s">
        <v>194</v>
      </c>
      <c r="I157" s="267" t="s">
        <v>5798</v>
      </c>
      <c r="J157" s="266" t="s">
        <v>276</v>
      </c>
      <c r="K157" s="267">
        <v>18</v>
      </c>
      <c r="L157" s="266" t="s">
        <v>5874</v>
      </c>
      <c r="M157" s="266" t="s">
        <v>6251</v>
      </c>
      <c r="N157" s="267">
        <v>1803</v>
      </c>
      <c r="O157" s="267" t="s">
        <v>738</v>
      </c>
      <c r="P157" s="267">
        <v>1</v>
      </c>
      <c r="Q157" s="267"/>
      <c r="R157" s="267"/>
      <c r="S157" s="266" t="s">
        <v>4714</v>
      </c>
      <c r="T157" s="267" t="s">
        <v>6284</v>
      </c>
      <c r="U157" s="245" t="str">
        <f t="shared" si="2"/>
        <v>522201</v>
      </c>
      <c r="Z157" s="192"/>
      <c r="AD157" s="192"/>
    </row>
    <row r="158" spans="1:30" x14ac:dyDescent="0.25">
      <c r="A158" s="266" t="s">
        <v>5890</v>
      </c>
      <c r="B158" s="266" t="s">
        <v>1406</v>
      </c>
      <c r="C158" s="266" t="s">
        <v>10</v>
      </c>
      <c r="D158" s="266" t="s">
        <v>5797</v>
      </c>
      <c r="E158" s="266" t="s">
        <v>192</v>
      </c>
      <c r="F158" s="267">
        <v>1</v>
      </c>
      <c r="G158" s="268" t="s">
        <v>193</v>
      </c>
      <c r="H158" s="267" t="s">
        <v>194</v>
      </c>
      <c r="I158" s="267" t="s">
        <v>5798</v>
      </c>
      <c r="J158" s="266" t="s">
        <v>210</v>
      </c>
      <c r="K158" s="267">
        <v>18</v>
      </c>
      <c r="L158" s="266" t="s">
        <v>5891</v>
      </c>
      <c r="M158" s="266" t="s">
        <v>6261</v>
      </c>
      <c r="N158" s="267">
        <v>1863</v>
      </c>
      <c r="O158" s="267" t="s">
        <v>484</v>
      </c>
      <c r="P158" s="267">
        <v>1</v>
      </c>
      <c r="Q158" s="267"/>
      <c r="R158" s="267"/>
      <c r="S158" s="266" t="s">
        <v>4714</v>
      </c>
      <c r="T158" s="267" t="s">
        <v>6255</v>
      </c>
      <c r="U158" s="245" t="str">
        <f t="shared" si="2"/>
        <v>251401</v>
      </c>
      <c r="Z158" s="192"/>
      <c r="AD158" s="192"/>
    </row>
    <row r="159" spans="1:30" x14ac:dyDescent="0.25">
      <c r="A159" s="266" t="s">
        <v>1537</v>
      </c>
      <c r="B159" s="266" t="s">
        <v>5926</v>
      </c>
      <c r="C159" s="266" t="s">
        <v>86</v>
      </c>
      <c r="D159" s="266" t="s">
        <v>5797</v>
      </c>
      <c r="E159" s="266" t="s">
        <v>192</v>
      </c>
      <c r="F159" s="267">
        <v>1</v>
      </c>
      <c r="G159" s="268" t="s">
        <v>193</v>
      </c>
      <c r="H159" s="267" t="s">
        <v>194</v>
      </c>
      <c r="I159" s="267" t="s">
        <v>5798</v>
      </c>
      <c r="J159" s="266" t="s">
        <v>301</v>
      </c>
      <c r="K159" s="267">
        <v>18</v>
      </c>
      <c r="L159" s="266" t="s">
        <v>5927</v>
      </c>
      <c r="M159" s="266" t="s">
        <v>6254</v>
      </c>
      <c r="N159" s="267">
        <v>1810</v>
      </c>
      <c r="O159" s="267" t="s">
        <v>1107</v>
      </c>
      <c r="P159" s="267">
        <v>1</v>
      </c>
      <c r="Q159" s="267"/>
      <c r="R159" s="267"/>
      <c r="S159" s="266" t="s">
        <v>4714</v>
      </c>
      <c r="T159" s="267" t="s">
        <v>6301</v>
      </c>
      <c r="U159" s="245" t="str">
        <f t="shared" si="2"/>
        <v>121101</v>
      </c>
      <c r="Z159" s="192"/>
      <c r="AD159" s="192"/>
    </row>
    <row r="160" spans="1:30" x14ac:dyDescent="0.25">
      <c r="A160" s="266" t="s">
        <v>529</v>
      </c>
      <c r="B160" s="266" t="s">
        <v>5931</v>
      </c>
      <c r="C160" s="266" t="s">
        <v>69</v>
      </c>
      <c r="D160" s="266" t="s">
        <v>5797</v>
      </c>
      <c r="E160" s="266" t="s">
        <v>192</v>
      </c>
      <c r="F160" s="267">
        <v>1</v>
      </c>
      <c r="G160" s="268" t="s">
        <v>193</v>
      </c>
      <c r="H160" s="267" t="s">
        <v>194</v>
      </c>
      <c r="I160" s="267" t="s">
        <v>5798</v>
      </c>
      <c r="J160" s="266" t="s">
        <v>309</v>
      </c>
      <c r="K160" s="267">
        <v>18</v>
      </c>
      <c r="L160" s="266" t="s">
        <v>5932</v>
      </c>
      <c r="M160" s="266" t="s">
        <v>6261</v>
      </c>
      <c r="N160" s="267">
        <v>1815</v>
      </c>
      <c r="O160" s="267" t="s">
        <v>375</v>
      </c>
      <c r="P160" s="267">
        <v>1</v>
      </c>
      <c r="Q160" s="267"/>
      <c r="R160" s="267"/>
      <c r="S160" s="266" t="s">
        <v>4714</v>
      </c>
      <c r="T160" s="267" t="s">
        <v>6303</v>
      </c>
      <c r="U160" s="245" t="str">
        <f t="shared" si="2"/>
        <v>215301</v>
      </c>
      <c r="Z160" s="192"/>
      <c r="AD160" s="192"/>
    </row>
    <row r="161" spans="1:30" x14ac:dyDescent="0.25">
      <c r="A161" s="266" t="s">
        <v>1721</v>
      </c>
      <c r="B161" s="266" t="s">
        <v>537</v>
      </c>
      <c r="C161" s="266" t="s">
        <v>778</v>
      </c>
      <c r="D161" s="266" t="s">
        <v>5797</v>
      </c>
      <c r="E161" s="266" t="s">
        <v>192</v>
      </c>
      <c r="F161" s="267">
        <v>1</v>
      </c>
      <c r="G161" s="268" t="s">
        <v>193</v>
      </c>
      <c r="H161" s="267" t="s">
        <v>194</v>
      </c>
      <c r="I161" s="267" t="s">
        <v>5798</v>
      </c>
      <c r="J161" s="266" t="s">
        <v>747</v>
      </c>
      <c r="K161" s="267">
        <v>18</v>
      </c>
      <c r="L161" s="266" t="s">
        <v>5930</v>
      </c>
      <c r="M161" s="266" t="s">
        <v>6249</v>
      </c>
      <c r="N161" s="267">
        <v>1817.1818000000001</v>
      </c>
      <c r="O161" s="267" t="s">
        <v>779</v>
      </c>
      <c r="P161" s="267">
        <v>2</v>
      </c>
      <c r="Q161" s="267"/>
      <c r="R161" s="267"/>
      <c r="S161" s="266" t="s">
        <v>4714</v>
      </c>
      <c r="T161" s="267" t="s">
        <v>6246</v>
      </c>
      <c r="U161" s="245" t="str">
        <f t="shared" si="2"/>
        <v>524902</v>
      </c>
      <c r="Z161" s="192"/>
      <c r="AD161" s="192"/>
    </row>
    <row r="162" spans="1:30" x14ac:dyDescent="0.25">
      <c r="A162" s="266" t="s">
        <v>5941</v>
      </c>
      <c r="B162" s="266" t="s">
        <v>5942</v>
      </c>
      <c r="C162" s="266" t="s">
        <v>4034</v>
      </c>
      <c r="D162" s="266" t="s">
        <v>5797</v>
      </c>
      <c r="E162" s="266" t="s">
        <v>192</v>
      </c>
      <c r="F162" s="267">
        <v>1</v>
      </c>
      <c r="G162" s="268" t="s">
        <v>193</v>
      </c>
      <c r="H162" s="267" t="s">
        <v>194</v>
      </c>
      <c r="I162" s="267" t="s">
        <v>5798</v>
      </c>
      <c r="J162" s="266" t="s">
        <v>210</v>
      </c>
      <c r="K162" s="267">
        <v>18</v>
      </c>
      <c r="L162" s="266" t="s">
        <v>5943</v>
      </c>
      <c r="M162" s="266" t="s">
        <v>6286</v>
      </c>
      <c r="N162" s="267">
        <v>1863</v>
      </c>
      <c r="O162" s="267" t="s">
        <v>4035</v>
      </c>
      <c r="P162" s="267">
        <v>1</v>
      </c>
      <c r="Q162" s="267"/>
      <c r="R162" s="267"/>
      <c r="S162" s="266" t="s">
        <v>4714</v>
      </c>
      <c r="T162" s="267" t="s">
        <v>6246</v>
      </c>
      <c r="U162" s="245" t="str">
        <f t="shared" si="2"/>
        <v>422602</v>
      </c>
      <c r="Z162" s="192"/>
      <c r="AD162" s="192"/>
    </row>
    <row r="163" spans="1:30" x14ac:dyDescent="0.25">
      <c r="A163" s="266" t="s">
        <v>2962</v>
      </c>
      <c r="B163" s="266" t="s">
        <v>5928</v>
      </c>
      <c r="C163" s="266" t="s">
        <v>5884</v>
      </c>
      <c r="D163" s="266" t="s">
        <v>5797</v>
      </c>
      <c r="E163" s="266" t="s">
        <v>192</v>
      </c>
      <c r="F163" s="267">
        <v>1</v>
      </c>
      <c r="G163" s="268" t="s">
        <v>193</v>
      </c>
      <c r="H163" s="267" t="s">
        <v>194</v>
      </c>
      <c r="I163" s="267" t="s">
        <v>5798</v>
      </c>
      <c r="J163" s="266" t="s">
        <v>210</v>
      </c>
      <c r="K163" s="267">
        <v>18</v>
      </c>
      <c r="L163" s="266" t="s">
        <v>5929</v>
      </c>
      <c r="M163" s="266" t="s">
        <v>6302</v>
      </c>
      <c r="N163" s="267">
        <v>1863</v>
      </c>
      <c r="O163" s="267" t="s">
        <v>5886</v>
      </c>
      <c r="P163" s="267">
        <v>1</v>
      </c>
      <c r="Q163" s="267"/>
      <c r="R163" s="267"/>
      <c r="S163" s="266" t="s">
        <v>4714</v>
      </c>
      <c r="T163" s="267" t="s">
        <v>6246</v>
      </c>
      <c r="U163" s="245" t="str">
        <f t="shared" si="2"/>
        <v>243107</v>
      </c>
      <c r="Z163" s="192"/>
      <c r="AD163" s="192"/>
    </row>
    <row r="164" spans="1:30" x14ac:dyDescent="0.25">
      <c r="A164" s="266" t="s">
        <v>5944</v>
      </c>
      <c r="B164" s="266" t="s">
        <v>5945</v>
      </c>
      <c r="C164" s="266" t="s">
        <v>2993</v>
      </c>
      <c r="D164" s="266" t="s">
        <v>5797</v>
      </c>
      <c r="E164" s="266" t="s">
        <v>192</v>
      </c>
      <c r="F164" s="267">
        <v>1</v>
      </c>
      <c r="G164" s="268" t="s">
        <v>193</v>
      </c>
      <c r="H164" s="267" t="s">
        <v>194</v>
      </c>
      <c r="I164" s="267" t="s">
        <v>5798</v>
      </c>
      <c r="J164" s="266" t="s">
        <v>316</v>
      </c>
      <c r="K164" s="267">
        <v>18</v>
      </c>
      <c r="L164" s="266" t="s">
        <v>5946</v>
      </c>
      <c r="M164" s="266" t="s">
        <v>6261</v>
      </c>
      <c r="N164" s="267">
        <v>1818.1812</v>
      </c>
      <c r="O164" s="267" t="s">
        <v>3793</v>
      </c>
      <c r="P164" s="267">
        <v>2</v>
      </c>
      <c r="Q164" s="267"/>
      <c r="R164" s="267"/>
      <c r="S164" s="266" t="s">
        <v>4714</v>
      </c>
      <c r="T164" s="267" t="s">
        <v>6246</v>
      </c>
      <c r="U164" s="245" t="str">
        <f t="shared" si="2"/>
        <v>251904</v>
      </c>
      <c r="Z164" s="192"/>
      <c r="AD164" s="192"/>
    </row>
    <row r="165" spans="1:30" x14ac:dyDescent="0.25">
      <c r="A165" s="266" t="s">
        <v>1935</v>
      </c>
      <c r="B165" s="266" t="s">
        <v>5879</v>
      </c>
      <c r="C165" s="266" t="s">
        <v>554</v>
      </c>
      <c r="D165" s="266" t="s">
        <v>5797</v>
      </c>
      <c r="E165" s="266" t="s">
        <v>192</v>
      </c>
      <c r="F165" s="267">
        <v>1</v>
      </c>
      <c r="G165" s="268" t="s">
        <v>193</v>
      </c>
      <c r="H165" s="267" t="s">
        <v>194</v>
      </c>
      <c r="I165" s="267" t="s">
        <v>5798</v>
      </c>
      <c r="J165" s="266" t="s">
        <v>253</v>
      </c>
      <c r="K165" s="267">
        <v>18</v>
      </c>
      <c r="L165" s="266" t="s">
        <v>5880</v>
      </c>
      <c r="M165" s="266" t="s">
        <v>6245</v>
      </c>
      <c r="N165" s="267">
        <v>1811</v>
      </c>
      <c r="O165" s="267" t="s">
        <v>555</v>
      </c>
      <c r="P165" s="267">
        <v>1</v>
      </c>
      <c r="Q165" s="267"/>
      <c r="R165" s="267"/>
      <c r="S165" s="266" t="s">
        <v>4714</v>
      </c>
      <c r="T165" s="267" t="s">
        <v>6246</v>
      </c>
      <c r="U165" s="245" t="str">
        <f t="shared" si="2"/>
        <v>311303</v>
      </c>
      <c r="Z165" s="192"/>
      <c r="AD165" s="192"/>
    </row>
    <row r="166" spans="1:30" x14ac:dyDescent="0.25">
      <c r="A166" s="266" t="s">
        <v>5963</v>
      </c>
      <c r="B166" s="266" t="s">
        <v>632</v>
      </c>
      <c r="C166" s="266" t="s">
        <v>17</v>
      </c>
      <c r="D166" s="266" t="s">
        <v>5797</v>
      </c>
      <c r="E166" s="266" t="s">
        <v>192</v>
      </c>
      <c r="F166" s="267">
        <v>1</v>
      </c>
      <c r="G166" s="268" t="s">
        <v>193</v>
      </c>
      <c r="H166" s="267" t="s">
        <v>194</v>
      </c>
      <c r="I166" s="267" t="s">
        <v>5798</v>
      </c>
      <c r="J166" s="266" t="s">
        <v>196</v>
      </c>
      <c r="K166" s="267">
        <v>18</v>
      </c>
      <c r="L166" s="266" t="s">
        <v>5964</v>
      </c>
      <c r="M166" s="266" t="s">
        <v>6251</v>
      </c>
      <c r="N166" s="269" t="s">
        <v>6526</v>
      </c>
      <c r="O166" s="267" t="s">
        <v>624</v>
      </c>
      <c r="P166" s="267">
        <v>25</v>
      </c>
      <c r="Q166" s="267"/>
      <c r="R166" s="267"/>
      <c r="S166" s="266" t="s">
        <v>4714</v>
      </c>
      <c r="T166" s="267" t="s">
        <v>6246</v>
      </c>
      <c r="U166" s="245" t="str">
        <f t="shared" si="2"/>
        <v>332203</v>
      </c>
      <c r="Z166" s="192"/>
      <c r="AD166" s="192"/>
    </row>
    <row r="167" spans="1:30" x14ac:dyDescent="0.25">
      <c r="A167" s="266" t="s">
        <v>5813</v>
      </c>
      <c r="B167" s="266" t="s">
        <v>404</v>
      </c>
      <c r="C167" s="266" t="s">
        <v>4966</v>
      </c>
      <c r="D167" s="266" t="s">
        <v>5797</v>
      </c>
      <c r="E167" s="266" t="s">
        <v>192</v>
      </c>
      <c r="F167" s="267">
        <v>1</v>
      </c>
      <c r="G167" s="268" t="s">
        <v>193</v>
      </c>
      <c r="H167" s="267" t="s">
        <v>194</v>
      </c>
      <c r="I167" s="267" t="s">
        <v>5798</v>
      </c>
      <c r="J167" s="266" t="s">
        <v>210</v>
      </c>
      <c r="K167" s="267">
        <v>18</v>
      </c>
      <c r="L167" s="266" t="s">
        <v>5814</v>
      </c>
      <c r="M167" s="266" t="s">
        <v>6254</v>
      </c>
      <c r="N167" s="267">
        <v>1863</v>
      </c>
      <c r="O167" s="267" t="s">
        <v>405</v>
      </c>
      <c r="P167" s="267">
        <v>1</v>
      </c>
      <c r="Q167" s="267"/>
      <c r="R167" s="267"/>
      <c r="S167" s="266" t="s">
        <v>4714</v>
      </c>
      <c r="T167" s="267" t="s">
        <v>6246</v>
      </c>
      <c r="U167" s="245" t="str">
        <f t="shared" si="2"/>
        <v>241304</v>
      </c>
      <c r="Z167" s="192"/>
      <c r="AD167" s="192"/>
    </row>
    <row r="168" spans="1:30" x14ac:dyDescent="0.25">
      <c r="A168" s="266" t="s">
        <v>3401</v>
      </c>
      <c r="B168" s="266" t="s">
        <v>632</v>
      </c>
      <c r="C168" s="266" t="s">
        <v>17</v>
      </c>
      <c r="D168" s="266" t="s">
        <v>5797</v>
      </c>
      <c r="E168" s="266" t="s">
        <v>192</v>
      </c>
      <c r="F168" s="267">
        <v>1</v>
      </c>
      <c r="G168" s="268" t="s">
        <v>193</v>
      </c>
      <c r="H168" s="267" t="s">
        <v>194</v>
      </c>
      <c r="I168" s="267" t="s">
        <v>5800</v>
      </c>
      <c r="J168" s="266" t="s">
        <v>238</v>
      </c>
      <c r="K168" s="267">
        <v>18</v>
      </c>
      <c r="L168" s="266" t="s">
        <v>5823</v>
      </c>
      <c r="M168" s="266" t="s">
        <v>6249</v>
      </c>
      <c r="N168" s="267">
        <v>1863</v>
      </c>
      <c r="O168" s="267" t="s">
        <v>624</v>
      </c>
      <c r="P168" s="267">
        <v>1</v>
      </c>
      <c r="Q168" s="267"/>
      <c r="R168" s="267"/>
      <c r="S168" s="266" t="s">
        <v>4714</v>
      </c>
      <c r="T168" s="267" t="s">
        <v>6246</v>
      </c>
      <c r="U168" s="245" t="str">
        <f t="shared" si="2"/>
        <v>332203</v>
      </c>
      <c r="Z168" s="192"/>
      <c r="AD168" s="192"/>
    </row>
    <row r="169" spans="1:30" x14ac:dyDescent="0.25">
      <c r="A169" s="266" t="s">
        <v>1471</v>
      </c>
      <c r="B169" s="266" t="s">
        <v>5865</v>
      </c>
      <c r="C169" s="266" t="s">
        <v>86</v>
      </c>
      <c r="D169" s="266" t="s">
        <v>5797</v>
      </c>
      <c r="E169" s="266" t="s">
        <v>192</v>
      </c>
      <c r="F169" s="267">
        <v>1</v>
      </c>
      <c r="G169" s="268" t="s">
        <v>193</v>
      </c>
      <c r="H169" s="267" t="s">
        <v>194</v>
      </c>
      <c r="I169" s="267" t="s">
        <v>5798</v>
      </c>
      <c r="J169" s="266" t="s">
        <v>253</v>
      </c>
      <c r="K169" s="267">
        <v>18</v>
      </c>
      <c r="L169" s="266" t="s">
        <v>5866</v>
      </c>
      <c r="M169" s="266" t="s">
        <v>6254</v>
      </c>
      <c r="N169" s="267">
        <v>1811</v>
      </c>
      <c r="O169" s="267" t="s">
        <v>1107</v>
      </c>
      <c r="P169" s="267">
        <v>1</v>
      </c>
      <c r="Q169" s="267"/>
      <c r="R169" s="267"/>
      <c r="S169" s="266" t="s">
        <v>4714</v>
      </c>
      <c r="T169" s="267" t="s">
        <v>6246</v>
      </c>
      <c r="U169" s="245" t="str">
        <f t="shared" si="2"/>
        <v>121101</v>
      </c>
      <c r="Z169" s="192"/>
      <c r="AD169" s="192"/>
    </row>
    <row r="170" spans="1:30" x14ac:dyDescent="0.25">
      <c r="A170" s="266" t="s">
        <v>1750</v>
      </c>
      <c r="B170" s="266" t="s">
        <v>5854</v>
      </c>
      <c r="C170" s="266" t="s">
        <v>37</v>
      </c>
      <c r="D170" s="266" t="s">
        <v>5797</v>
      </c>
      <c r="E170" s="266" t="s">
        <v>192</v>
      </c>
      <c r="F170" s="267">
        <v>1</v>
      </c>
      <c r="G170" s="268" t="s">
        <v>193</v>
      </c>
      <c r="H170" s="267" t="s">
        <v>194</v>
      </c>
      <c r="I170" s="267" t="s">
        <v>5798</v>
      </c>
      <c r="J170" s="266" t="s">
        <v>210</v>
      </c>
      <c r="K170" s="267">
        <v>18</v>
      </c>
      <c r="L170" s="266" t="s">
        <v>5855</v>
      </c>
      <c r="M170" s="266" t="s">
        <v>6261</v>
      </c>
      <c r="N170" s="267">
        <v>1863</v>
      </c>
      <c r="O170" s="267" t="s">
        <v>516</v>
      </c>
      <c r="P170" s="267">
        <v>1</v>
      </c>
      <c r="Q170" s="267"/>
      <c r="R170" s="267"/>
      <c r="S170" s="266" t="s">
        <v>4714</v>
      </c>
      <c r="T170" s="267" t="s">
        <v>6246</v>
      </c>
      <c r="U170" s="245" t="str">
        <f t="shared" si="2"/>
        <v>252302</v>
      </c>
      <c r="Z170" s="192"/>
      <c r="AD170" s="192"/>
    </row>
    <row r="171" spans="1:30" x14ac:dyDescent="0.25">
      <c r="A171" s="266" t="s">
        <v>5922</v>
      </c>
      <c r="B171" s="266" t="s">
        <v>1404</v>
      </c>
      <c r="C171" s="266" t="s">
        <v>12</v>
      </c>
      <c r="D171" s="266" t="s">
        <v>5797</v>
      </c>
      <c r="E171" s="266" t="s">
        <v>192</v>
      </c>
      <c r="F171" s="267">
        <v>1</v>
      </c>
      <c r="G171" s="268" t="s">
        <v>193</v>
      </c>
      <c r="H171" s="267" t="s">
        <v>194</v>
      </c>
      <c r="I171" s="267" t="s">
        <v>5798</v>
      </c>
      <c r="J171" s="266" t="s">
        <v>196</v>
      </c>
      <c r="K171" s="267">
        <v>18</v>
      </c>
      <c r="L171" s="266" t="s">
        <v>5923</v>
      </c>
      <c r="M171" s="266" t="s">
        <v>6256</v>
      </c>
      <c r="N171" s="269" t="s">
        <v>6526</v>
      </c>
      <c r="O171" s="267" t="s">
        <v>220</v>
      </c>
      <c r="P171" s="267">
        <v>25</v>
      </c>
      <c r="Q171" s="267"/>
      <c r="R171" s="267"/>
      <c r="S171" s="266" t="s">
        <v>4714</v>
      </c>
      <c r="T171" s="267" t="s">
        <v>6246</v>
      </c>
      <c r="U171" s="245" t="str">
        <f t="shared" si="2"/>
        <v>132301</v>
      </c>
      <c r="Z171" s="192"/>
      <c r="AD171" s="192"/>
    </row>
    <row r="172" spans="1:30" x14ac:dyDescent="0.25">
      <c r="A172" s="266" t="s">
        <v>2656</v>
      </c>
      <c r="B172" s="266" t="s">
        <v>5924</v>
      </c>
      <c r="C172" s="266" t="s">
        <v>525</v>
      </c>
      <c r="D172" s="266" t="s">
        <v>5797</v>
      </c>
      <c r="E172" s="266" t="s">
        <v>192</v>
      </c>
      <c r="F172" s="267">
        <v>1</v>
      </c>
      <c r="G172" s="268" t="s">
        <v>193</v>
      </c>
      <c r="H172" s="267" t="s">
        <v>194</v>
      </c>
      <c r="I172" s="267" t="s">
        <v>5798</v>
      </c>
      <c r="J172" s="266" t="s">
        <v>210</v>
      </c>
      <c r="K172" s="267">
        <v>18</v>
      </c>
      <c r="L172" s="266" t="s">
        <v>5925</v>
      </c>
      <c r="M172" s="266" t="s">
        <v>6286</v>
      </c>
      <c r="N172" s="267">
        <v>1863</v>
      </c>
      <c r="O172" s="267" t="s">
        <v>526</v>
      </c>
      <c r="P172" s="267">
        <v>1</v>
      </c>
      <c r="Q172" s="267"/>
      <c r="R172" s="267"/>
      <c r="S172" s="266" t="s">
        <v>4714</v>
      </c>
      <c r="T172" s="267" t="s">
        <v>6246</v>
      </c>
      <c r="U172" s="245" t="str">
        <f t="shared" si="2"/>
        <v>263102</v>
      </c>
      <c r="Z172" s="192"/>
      <c r="AD172" s="192"/>
    </row>
    <row r="173" spans="1:30" x14ac:dyDescent="0.25">
      <c r="A173" s="266" t="s">
        <v>729</v>
      </c>
      <c r="B173" s="266" t="s">
        <v>2952</v>
      </c>
      <c r="C173" s="266" t="s">
        <v>129</v>
      </c>
      <c r="D173" s="266" t="s">
        <v>5797</v>
      </c>
      <c r="E173" s="266" t="s">
        <v>192</v>
      </c>
      <c r="F173" s="267">
        <v>1</v>
      </c>
      <c r="G173" s="268" t="s">
        <v>193</v>
      </c>
      <c r="H173" s="267" t="s">
        <v>194</v>
      </c>
      <c r="I173" s="267" t="s">
        <v>5800</v>
      </c>
      <c r="J173" s="266" t="s">
        <v>196</v>
      </c>
      <c r="K173" s="267">
        <v>18</v>
      </c>
      <c r="L173" s="266" t="s">
        <v>5806</v>
      </c>
      <c r="M173" s="266" t="s">
        <v>6256</v>
      </c>
      <c r="N173" s="269" t="s">
        <v>6526</v>
      </c>
      <c r="O173" s="267" t="s">
        <v>203</v>
      </c>
      <c r="P173" s="267">
        <v>25</v>
      </c>
      <c r="Q173" s="267"/>
      <c r="R173" s="267"/>
      <c r="S173" s="266" t="s">
        <v>4714</v>
      </c>
      <c r="T173" s="267" t="s">
        <v>6246</v>
      </c>
      <c r="U173" s="245" t="str">
        <f t="shared" si="2"/>
        <v>121904</v>
      </c>
      <c r="Z173" s="192"/>
      <c r="AD173" s="192"/>
    </row>
    <row r="174" spans="1:30" x14ac:dyDescent="0.25">
      <c r="A174" s="266" t="s">
        <v>258</v>
      </c>
      <c r="B174" s="266" t="s">
        <v>537</v>
      </c>
      <c r="C174" s="266" t="s">
        <v>778</v>
      </c>
      <c r="D174" s="266" t="s">
        <v>5797</v>
      </c>
      <c r="E174" s="266" t="s">
        <v>192</v>
      </c>
      <c r="F174" s="267">
        <v>1</v>
      </c>
      <c r="G174" s="268" t="s">
        <v>193</v>
      </c>
      <c r="H174" s="267" t="s">
        <v>194</v>
      </c>
      <c r="I174" s="267" t="s">
        <v>5800</v>
      </c>
      <c r="J174" s="266" t="s">
        <v>223</v>
      </c>
      <c r="K174" s="267">
        <v>18</v>
      </c>
      <c r="L174" s="266" t="s">
        <v>5803</v>
      </c>
      <c r="M174" s="266" t="s">
        <v>6251</v>
      </c>
      <c r="N174" s="267" t="s">
        <v>6252</v>
      </c>
      <c r="O174" s="267" t="s">
        <v>779</v>
      </c>
      <c r="P174" s="267">
        <v>8</v>
      </c>
      <c r="Q174" s="267"/>
      <c r="R174" s="267"/>
      <c r="S174" s="266" t="s">
        <v>4714</v>
      </c>
      <c r="T174" s="267" t="s">
        <v>6253</v>
      </c>
      <c r="U174" s="245" t="str">
        <f t="shared" si="2"/>
        <v>524902</v>
      </c>
      <c r="Z174" s="192"/>
      <c r="AD174" s="192"/>
    </row>
    <row r="175" spans="1:30" x14ac:dyDescent="0.25">
      <c r="A175" s="266" t="s">
        <v>5947</v>
      </c>
      <c r="B175" s="266" t="s">
        <v>5948</v>
      </c>
      <c r="C175" s="266" t="s">
        <v>5703</v>
      </c>
      <c r="D175" s="266" t="s">
        <v>5797</v>
      </c>
      <c r="E175" s="266" t="s">
        <v>192</v>
      </c>
      <c r="F175" s="267">
        <v>1</v>
      </c>
      <c r="G175" s="268" t="s">
        <v>193</v>
      </c>
      <c r="H175" s="267" t="s">
        <v>194</v>
      </c>
      <c r="I175" s="267" t="s">
        <v>5798</v>
      </c>
      <c r="J175" s="266" t="s">
        <v>210</v>
      </c>
      <c r="K175" s="267">
        <v>18</v>
      </c>
      <c r="L175" s="266" t="s">
        <v>5949</v>
      </c>
      <c r="M175" s="266" t="s">
        <v>6256</v>
      </c>
      <c r="N175" s="267">
        <v>1863</v>
      </c>
      <c r="O175" s="267" t="s">
        <v>983</v>
      </c>
      <c r="P175" s="267">
        <v>1</v>
      </c>
      <c r="Q175" s="267"/>
      <c r="R175" s="267"/>
      <c r="S175" s="266" t="s">
        <v>4714</v>
      </c>
      <c r="T175" s="267" t="s">
        <v>6246</v>
      </c>
      <c r="U175" s="245" t="str">
        <f t="shared" si="2"/>
        <v>213303</v>
      </c>
      <c r="Z175" s="192"/>
      <c r="AD175" s="192"/>
    </row>
    <row r="176" spans="1:30" x14ac:dyDescent="0.25">
      <c r="A176" s="266" t="s">
        <v>5838</v>
      </c>
      <c r="B176" s="266" t="s">
        <v>5841</v>
      </c>
      <c r="C176" s="266" t="s">
        <v>4825</v>
      </c>
      <c r="D176" s="266" t="s">
        <v>5797</v>
      </c>
      <c r="E176" s="266" t="s">
        <v>192</v>
      </c>
      <c r="F176" s="267">
        <v>1</v>
      </c>
      <c r="G176" s="268" t="s">
        <v>193</v>
      </c>
      <c r="H176" s="267" t="s">
        <v>194</v>
      </c>
      <c r="I176" s="267" t="s">
        <v>5798</v>
      </c>
      <c r="J176" s="266" t="s">
        <v>210</v>
      </c>
      <c r="K176" s="267">
        <v>18</v>
      </c>
      <c r="L176" s="266" t="s">
        <v>5842</v>
      </c>
      <c r="M176" s="266" t="s">
        <v>6245</v>
      </c>
      <c r="N176" s="267">
        <v>1863</v>
      </c>
      <c r="O176" s="267" t="s">
        <v>4826</v>
      </c>
      <c r="P176" s="267">
        <v>1</v>
      </c>
      <c r="Q176" s="267"/>
      <c r="R176" s="267"/>
      <c r="S176" s="266" t="s">
        <v>4714</v>
      </c>
      <c r="T176" s="267" t="s">
        <v>6246</v>
      </c>
      <c r="U176" s="245" t="str">
        <f t="shared" si="2"/>
        <v>311929</v>
      </c>
      <c r="Z176" s="192"/>
      <c r="AD176" s="192"/>
    </row>
    <row r="177" spans="1:30" x14ac:dyDescent="0.25">
      <c r="A177" s="266" t="s">
        <v>5838</v>
      </c>
      <c r="B177" s="266" t="s">
        <v>5839</v>
      </c>
      <c r="C177" s="266" t="s">
        <v>4580</v>
      </c>
      <c r="D177" s="266" t="s">
        <v>5797</v>
      </c>
      <c r="E177" s="266" t="s">
        <v>192</v>
      </c>
      <c r="F177" s="267">
        <v>1</v>
      </c>
      <c r="G177" s="268" t="s">
        <v>193</v>
      </c>
      <c r="H177" s="267" t="s">
        <v>194</v>
      </c>
      <c r="I177" s="267" t="s">
        <v>5798</v>
      </c>
      <c r="J177" s="266" t="s">
        <v>210</v>
      </c>
      <c r="K177" s="267">
        <v>18</v>
      </c>
      <c r="L177" s="266" t="s">
        <v>5840</v>
      </c>
      <c r="M177" s="266" t="s">
        <v>6245</v>
      </c>
      <c r="N177" s="267">
        <v>1863</v>
      </c>
      <c r="O177" s="267" t="s">
        <v>4581</v>
      </c>
      <c r="P177" s="267">
        <v>1</v>
      </c>
      <c r="Q177" s="267"/>
      <c r="R177" s="267"/>
      <c r="S177" s="266" t="s">
        <v>4714</v>
      </c>
      <c r="T177" s="267" t="s">
        <v>6246</v>
      </c>
      <c r="U177" s="245" t="str">
        <f t="shared" si="2"/>
        <v>712703</v>
      </c>
      <c r="Z177" s="192"/>
      <c r="AD177" s="192"/>
    </row>
    <row r="178" spans="1:30" x14ac:dyDescent="0.25">
      <c r="A178" s="266" t="s">
        <v>843</v>
      </c>
      <c r="B178" s="266" t="s">
        <v>879</v>
      </c>
      <c r="C178" s="266" t="s">
        <v>880</v>
      </c>
      <c r="D178" s="266" t="s">
        <v>5797</v>
      </c>
      <c r="E178" s="266" t="s">
        <v>192</v>
      </c>
      <c r="F178" s="267">
        <v>1</v>
      </c>
      <c r="G178" s="268" t="s">
        <v>193</v>
      </c>
      <c r="H178" s="267" t="s">
        <v>194</v>
      </c>
      <c r="I178" s="267" t="s">
        <v>5798</v>
      </c>
      <c r="J178" s="266" t="s">
        <v>210</v>
      </c>
      <c r="K178" s="267">
        <v>18</v>
      </c>
      <c r="L178" s="266" t="s">
        <v>5881</v>
      </c>
      <c r="M178" s="266" t="s">
        <v>6275</v>
      </c>
      <c r="N178" s="267">
        <v>1863</v>
      </c>
      <c r="O178" s="267" t="s">
        <v>881</v>
      </c>
      <c r="P178" s="267">
        <v>1</v>
      </c>
      <c r="Q178" s="267"/>
      <c r="R178" s="267"/>
      <c r="S178" s="266" t="s">
        <v>4714</v>
      </c>
      <c r="T178" s="267" t="s">
        <v>6246</v>
      </c>
      <c r="U178" s="245" t="str">
        <f t="shared" si="2"/>
        <v>834204</v>
      </c>
      <c r="Z178" s="192"/>
      <c r="AD178" s="192"/>
    </row>
    <row r="179" spans="1:30" x14ac:dyDescent="0.25">
      <c r="A179" s="266" t="s">
        <v>843</v>
      </c>
      <c r="B179" s="266" t="s">
        <v>844</v>
      </c>
      <c r="C179" s="266" t="s">
        <v>880</v>
      </c>
      <c r="D179" s="266" t="s">
        <v>5797</v>
      </c>
      <c r="E179" s="266" t="s">
        <v>192</v>
      </c>
      <c r="F179" s="267">
        <v>1</v>
      </c>
      <c r="G179" s="268" t="s">
        <v>193</v>
      </c>
      <c r="H179" s="267" t="s">
        <v>194</v>
      </c>
      <c r="I179" s="267" t="s">
        <v>5798</v>
      </c>
      <c r="J179" s="266" t="s">
        <v>210</v>
      </c>
      <c r="K179" s="267">
        <v>18</v>
      </c>
      <c r="L179" s="266" t="s">
        <v>5882</v>
      </c>
      <c r="M179" s="266" t="s">
        <v>6275</v>
      </c>
      <c r="N179" s="267">
        <v>1863</v>
      </c>
      <c r="O179" s="267" t="s">
        <v>881</v>
      </c>
      <c r="P179" s="267">
        <v>1</v>
      </c>
      <c r="Q179" s="267"/>
      <c r="R179" s="267"/>
      <c r="S179" s="266" t="s">
        <v>4714</v>
      </c>
      <c r="T179" s="267" t="s">
        <v>6246</v>
      </c>
      <c r="U179" s="245" t="str">
        <f t="shared" si="2"/>
        <v>834204</v>
      </c>
      <c r="Z179" s="192"/>
      <c r="AD179" s="192"/>
    </row>
    <row r="180" spans="1:30" x14ac:dyDescent="0.25">
      <c r="A180" s="266" t="s">
        <v>5825</v>
      </c>
      <c r="B180" s="266" t="s">
        <v>5826</v>
      </c>
      <c r="C180" s="266" t="s">
        <v>420</v>
      </c>
      <c r="D180" s="266" t="s">
        <v>5797</v>
      </c>
      <c r="E180" s="266" t="s">
        <v>192</v>
      </c>
      <c r="F180" s="267">
        <v>1</v>
      </c>
      <c r="G180" s="268" t="s">
        <v>193</v>
      </c>
      <c r="H180" s="267" t="s">
        <v>194</v>
      </c>
      <c r="I180" s="267" t="s">
        <v>5798</v>
      </c>
      <c r="J180" s="266" t="s">
        <v>210</v>
      </c>
      <c r="K180" s="267">
        <v>18</v>
      </c>
      <c r="L180" s="266" t="s">
        <v>5827</v>
      </c>
      <c r="M180" s="266" t="s">
        <v>6261</v>
      </c>
      <c r="N180" s="267">
        <v>1863</v>
      </c>
      <c r="O180" s="267" t="s">
        <v>421</v>
      </c>
      <c r="P180" s="267">
        <v>1</v>
      </c>
      <c r="Q180" s="267"/>
      <c r="R180" s="267"/>
      <c r="S180" s="266" t="s">
        <v>4714</v>
      </c>
      <c r="T180" s="267" t="s">
        <v>6246</v>
      </c>
      <c r="U180" s="245" t="str">
        <f t="shared" si="2"/>
        <v>241306</v>
      </c>
      <c r="Z180" s="192"/>
      <c r="AD180" s="192"/>
    </row>
    <row r="181" spans="1:30" x14ac:dyDescent="0.25">
      <c r="A181" s="266" t="s">
        <v>5936</v>
      </c>
      <c r="B181" s="266" t="s">
        <v>5937</v>
      </c>
      <c r="C181" s="266" t="s">
        <v>85</v>
      </c>
      <c r="D181" s="266" t="s">
        <v>5797</v>
      </c>
      <c r="E181" s="266" t="s">
        <v>192</v>
      </c>
      <c r="F181" s="267">
        <v>1</v>
      </c>
      <c r="G181" s="268" t="s">
        <v>193</v>
      </c>
      <c r="H181" s="267" t="s">
        <v>194</v>
      </c>
      <c r="I181" s="267" t="s">
        <v>5798</v>
      </c>
      <c r="J181" s="266" t="s">
        <v>210</v>
      </c>
      <c r="K181" s="267">
        <v>18</v>
      </c>
      <c r="L181" s="266" t="s">
        <v>5938</v>
      </c>
      <c r="M181" s="266" t="s">
        <v>6249</v>
      </c>
      <c r="N181" s="267">
        <v>1863</v>
      </c>
      <c r="O181" s="267" t="s">
        <v>477</v>
      </c>
      <c r="P181" s="267">
        <v>1</v>
      </c>
      <c r="Q181" s="267"/>
      <c r="R181" s="267"/>
      <c r="S181" s="266" t="s">
        <v>4714</v>
      </c>
      <c r="T181" s="267" t="s">
        <v>6246</v>
      </c>
      <c r="U181" s="245" t="str">
        <f t="shared" si="2"/>
        <v>243305</v>
      </c>
      <c r="Z181" s="192"/>
      <c r="AD181" s="192"/>
    </row>
    <row r="182" spans="1:30" x14ac:dyDescent="0.25">
      <c r="A182" s="266" t="s">
        <v>1639</v>
      </c>
      <c r="B182" s="266" t="s">
        <v>5808</v>
      </c>
      <c r="C182" s="266" t="s">
        <v>46</v>
      </c>
      <c r="D182" s="266" t="s">
        <v>5797</v>
      </c>
      <c r="E182" s="266" t="s">
        <v>192</v>
      </c>
      <c r="F182" s="267">
        <v>1</v>
      </c>
      <c r="G182" s="268" t="s">
        <v>193</v>
      </c>
      <c r="H182" s="267" t="s">
        <v>194</v>
      </c>
      <c r="I182" s="267" t="s">
        <v>5798</v>
      </c>
      <c r="J182" s="266" t="s">
        <v>210</v>
      </c>
      <c r="K182" s="267">
        <v>18</v>
      </c>
      <c r="L182" s="266" t="s">
        <v>5809</v>
      </c>
      <c r="M182" s="266" t="s">
        <v>6258</v>
      </c>
      <c r="N182" s="267">
        <v>1863</v>
      </c>
      <c r="O182" s="267" t="s">
        <v>510</v>
      </c>
      <c r="P182" s="267">
        <v>1</v>
      </c>
      <c r="Q182" s="267"/>
      <c r="R182" s="267"/>
      <c r="S182" s="266" t="s">
        <v>4714</v>
      </c>
      <c r="T182" s="267" t="s">
        <v>6246</v>
      </c>
      <c r="U182" s="245" t="str">
        <f t="shared" si="2"/>
        <v>252201</v>
      </c>
      <c r="Z182" s="192"/>
      <c r="AD182" s="192"/>
    </row>
    <row r="183" spans="1:30" x14ac:dyDescent="0.25">
      <c r="A183" s="266" t="s">
        <v>303</v>
      </c>
      <c r="B183" s="266" t="s">
        <v>304</v>
      </c>
      <c r="C183" s="266" t="s">
        <v>319</v>
      </c>
      <c r="D183" s="266" t="s">
        <v>5797</v>
      </c>
      <c r="E183" s="266" t="s">
        <v>192</v>
      </c>
      <c r="F183" s="267">
        <v>1</v>
      </c>
      <c r="G183" s="268" t="s">
        <v>193</v>
      </c>
      <c r="H183" s="267" t="s">
        <v>194</v>
      </c>
      <c r="I183" s="267" t="s">
        <v>5798</v>
      </c>
      <c r="J183" s="266" t="s">
        <v>305</v>
      </c>
      <c r="K183" s="267">
        <v>18</v>
      </c>
      <c r="L183" s="266" t="s">
        <v>5822</v>
      </c>
      <c r="M183" s="266" t="s">
        <v>6245</v>
      </c>
      <c r="N183" s="267">
        <v>1814</v>
      </c>
      <c r="O183" s="267" t="s">
        <v>320</v>
      </c>
      <c r="P183" s="267">
        <v>1</v>
      </c>
      <c r="Q183" s="267"/>
      <c r="R183" s="267"/>
      <c r="S183" s="266" t="s">
        <v>4714</v>
      </c>
      <c r="T183" s="267" t="s">
        <v>6246</v>
      </c>
      <c r="U183" s="245" t="str">
        <f t="shared" si="2"/>
        <v>214407</v>
      </c>
      <c r="Z183" s="192"/>
      <c r="AD183" s="192"/>
    </row>
    <row r="184" spans="1:30" x14ac:dyDescent="0.25">
      <c r="A184" s="266" t="s">
        <v>5795</v>
      </c>
      <c r="B184" s="266" t="s">
        <v>5796</v>
      </c>
      <c r="C184" s="266" t="s">
        <v>554</v>
      </c>
      <c r="D184" s="266" t="s">
        <v>5797</v>
      </c>
      <c r="E184" s="266" t="s">
        <v>192</v>
      </c>
      <c r="F184" s="267">
        <v>1</v>
      </c>
      <c r="G184" s="268" t="s">
        <v>193</v>
      </c>
      <c r="H184" s="267" t="s">
        <v>194</v>
      </c>
      <c r="I184" s="267" t="s">
        <v>5798</v>
      </c>
      <c r="J184" s="266" t="s">
        <v>210</v>
      </c>
      <c r="K184" s="267">
        <v>18</v>
      </c>
      <c r="L184" s="266" t="s">
        <v>5799</v>
      </c>
      <c r="M184" s="266" t="s">
        <v>6245</v>
      </c>
      <c r="N184" s="267">
        <v>1863.1818000000001</v>
      </c>
      <c r="O184" s="267" t="s">
        <v>555</v>
      </c>
      <c r="P184" s="267">
        <v>2</v>
      </c>
      <c r="Q184" s="267"/>
      <c r="R184" s="267"/>
      <c r="S184" s="266" t="s">
        <v>4714</v>
      </c>
      <c r="T184" s="267" t="s">
        <v>6246</v>
      </c>
      <c r="U184" s="245" t="str">
        <f t="shared" si="2"/>
        <v>311303</v>
      </c>
      <c r="Z184" s="192"/>
      <c r="AD184" s="192"/>
    </row>
    <row r="185" spans="1:30" x14ac:dyDescent="0.25">
      <c r="A185" s="266" t="s">
        <v>235</v>
      </c>
      <c r="B185" s="266" t="s">
        <v>67</v>
      </c>
      <c r="C185" s="266" t="s">
        <v>67</v>
      </c>
      <c r="D185" s="266" t="s">
        <v>5797</v>
      </c>
      <c r="E185" s="266" t="s">
        <v>192</v>
      </c>
      <c r="F185" s="267">
        <v>1</v>
      </c>
      <c r="G185" s="268" t="s">
        <v>193</v>
      </c>
      <c r="H185" s="267" t="s">
        <v>194</v>
      </c>
      <c r="I185" s="267" t="s">
        <v>5798</v>
      </c>
      <c r="J185" s="266" t="s">
        <v>210</v>
      </c>
      <c r="K185" s="267">
        <v>18</v>
      </c>
      <c r="L185" s="266" t="s">
        <v>5824</v>
      </c>
      <c r="M185" s="266" t="s">
        <v>6266</v>
      </c>
      <c r="N185" s="267">
        <v>1863</v>
      </c>
      <c r="O185" s="267" t="s">
        <v>709</v>
      </c>
      <c r="P185" s="267">
        <v>1</v>
      </c>
      <c r="Q185" s="267"/>
      <c r="R185" s="267"/>
      <c r="S185" s="266" t="s">
        <v>4714</v>
      </c>
      <c r="T185" s="267" t="s">
        <v>6246</v>
      </c>
      <c r="U185" s="245" t="str">
        <f t="shared" si="2"/>
        <v>432103</v>
      </c>
      <c r="Z185" s="192"/>
      <c r="AD185" s="192"/>
    </row>
    <row r="186" spans="1:30" x14ac:dyDescent="0.25">
      <c r="A186" s="266" t="s">
        <v>5819</v>
      </c>
      <c r="B186" s="266" t="s">
        <v>5820</v>
      </c>
      <c r="C186" s="266" t="s">
        <v>371</v>
      </c>
      <c r="D186" s="266" t="s">
        <v>5797</v>
      </c>
      <c r="E186" s="266" t="s">
        <v>192</v>
      </c>
      <c r="F186" s="267">
        <v>1</v>
      </c>
      <c r="G186" s="268" t="s">
        <v>193</v>
      </c>
      <c r="H186" s="267" t="s">
        <v>194</v>
      </c>
      <c r="I186" s="267" t="s">
        <v>5798</v>
      </c>
      <c r="J186" s="266" t="s">
        <v>210</v>
      </c>
      <c r="K186" s="267">
        <v>18</v>
      </c>
      <c r="L186" s="266" t="s">
        <v>5821</v>
      </c>
      <c r="M186" s="266" t="s">
        <v>6245</v>
      </c>
      <c r="N186" s="267">
        <v>1863</v>
      </c>
      <c r="O186" s="267" t="s">
        <v>372</v>
      </c>
      <c r="P186" s="267">
        <v>1</v>
      </c>
      <c r="Q186" s="267"/>
      <c r="R186" s="267"/>
      <c r="S186" s="266" t="s">
        <v>4714</v>
      </c>
      <c r="T186" s="267" t="s">
        <v>6246</v>
      </c>
      <c r="U186" s="245" t="str">
        <f t="shared" si="2"/>
        <v>215202</v>
      </c>
      <c r="Z186" s="192"/>
      <c r="AD186" s="192"/>
    </row>
    <row r="187" spans="1:30" x14ac:dyDescent="0.25">
      <c r="A187" s="266" t="s">
        <v>5831</v>
      </c>
      <c r="B187" s="266" t="s">
        <v>5832</v>
      </c>
      <c r="C187" s="266" t="s">
        <v>740</v>
      </c>
      <c r="D187" s="266" t="s">
        <v>5797</v>
      </c>
      <c r="E187" s="266" t="s">
        <v>192</v>
      </c>
      <c r="F187" s="267">
        <v>1</v>
      </c>
      <c r="G187" s="268" t="s">
        <v>193</v>
      </c>
      <c r="H187" s="267" t="s">
        <v>194</v>
      </c>
      <c r="I187" s="267" t="s">
        <v>5798</v>
      </c>
      <c r="J187" s="266" t="s">
        <v>210</v>
      </c>
      <c r="K187" s="267">
        <v>18</v>
      </c>
      <c r="L187" s="266" t="s">
        <v>5833</v>
      </c>
      <c r="M187" s="266" t="s">
        <v>6251</v>
      </c>
      <c r="N187" s="267">
        <v>1863</v>
      </c>
      <c r="O187" s="267" t="s">
        <v>741</v>
      </c>
      <c r="P187" s="267">
        <v>1</v>
      </c>
      <c r="Q187" s="267"/>
      <c r="R187" s="267"/>
      <c r="S187" s="266" t="s">
        <v>4714</v>
      </c>
      <c r="T187" s="267" t="s">
        <v>6246</v>
      </c>
      <c r="U187" s="245" t="str">
        <f t="shared" si="2"/>
        <v>522301</v>
      </c>
      <c r="Z187" s="192"/>
      <c r="AD187" s="192"/>
    </row>
    <row r="188" spans="1:30" x14ac:dyDescent="0.25">
      <c r="A188" s="266" t="s">
        <v>5950</v>
      </c>
      <c r="B188" s="266" t="s">
        <v>5951</v>
      </c>
      <c r="C188" s="266" t="s">
        <v>5952</v>
      </c>
      <c r="D188" s="266" t="s">
        <v>5797</v>
      </c>
      <c r="E188" s="266" t="s">
        <v>192</v>
      </c>
      <c r="F188" s="267">
        <v>1</v>
      </c>
      <c r="G188" s="268" t="s">
        <v>193</v>
      </c>
      <c r="H188" s="267" t="s">
        <v>194</v>
      </c>
      <c r="I188" s="267" t="s">
        <v>5798</v>
      </c>
      <c r="J188" s="266" t="s">
        <v>210</v>
      </c>
      <c r="K188" s="267">
        <v>18</v>
      </c>
      <c r="L188" s="266" t="s">
        <v>5953</v>
      </c>
      <c r="M188" s="266" t="s">
        <v>6256</v>
      </c>
      <c r="N188" s="267">
        <v>1863</v>
      </c>
      <c r="O188" s="267" t="s">
        <v>5954</v>
      </c>
      <c r="P188" s="267">
        <v>1</v>
      </c>
      <c r="Q188" s="267"/>
      <c r="R188" s="267"/>
      <c r="S188" s="266" t="s">
        <v>4714</v>
      </c>
      <c r="T188" s="267" t="s">
        <v>6303</v>
      </c>
      <c r="U188" s="245" t="str">
        <f t="shared" si="2"/>
        <v>712612</v>
      </c>
      <c r="Z188" s="192"/>
      <c r="AD188" s="192"/>
    </row>
    <row r="189" spans="1:30" x14ac:dyDescent="0.25">
      <c r="A189" s="266" t="s">
        <v>5850</v>
      </c>
      <c r="B189" s="266" t="s">
        <v>4258</v>
      </c>
      <c r="C189" s="266" t="s">
        <v>5851</v>
      </c>
      <c r="D189" s="266" t="s">
        <v>5797</v>
      </c>
      <c r="E189" s="266" t="s">
        <v>233</v>
      </c>
      <c r="F189" s="267">
        <v>1</v>
      </c>
      <c r="G189" s="268" t="s">
        <v>193</v>
      </c>
      <c r="H189" s="267" t="s">
        <v>194</v>
      </c>
      <c r="I189" s="267" t="s">
        <v>5798</v>
      </c>
      <c r="J189" s="266" t="s">
        <v>385</v>
      </c>
      <c r="K189" s="267">
        <v>18</v>
      </c>
      <c r="L189" s="266" t="s">
        <v>5852</v>
      </c>
      <c r="M189" s="266" t="s">
        <v>6275</v>
      </c>
      <c r="N189" s="267">
        <v>1861</v>
      </c>
      <c r="O189" s="267" t="s">
        <v>5853</v>
      </c>
      <c r="P189" s="267">
        <v>1</v>
      </c>
      <c r="Q189" s="267" t="s">
        <v>6274</v>
      </c>
      <c r="R189" s="267"/>
      <c r="S189" s="266" t="s">
        <v>4714</v>
      </c>
      <c r="T189" s="267" t="s">
        <v>6259</v>
      </c>
      <c r="U189" s="245" t="str">
        <f t="shared" si="2"/>
        <v>711701</v>
      </c>
      <c r="Z189" s="192"/>
      <c r="AD189" s="192"/>
    </row>
    <row r="190" spans="1:30" x14ac:dyDescent="0.25">
      <c r="A190" s="270" t="s">
        <v>4707</v>
      </c>
      <c r="B190" s="270" t="s">
        <v>1586</v>
      </c>
      <c r="C190" s="270"/>
      <c r="D190" s="270" t="s">
        <v>5797</v>
      </c>
      <c r="E190" s="270" t="s">
        <v>233</v>
      </c>
      <c r="F190" s="271">
        <v>0</v>
      </c>
      <c r="G190" s="279" t="s">
        <v>194</v>
      </c>
      <c r="H190" s="280" t="s">
        <v>193</v>
      </c>
      <c r="I190" s="271" t="s">
        <v>5798</v>
      </c>
      <c r="J190" s="270" t="s">
        <v>4710</v>
      </c>
      <c r="K190" s="274">
        <v>18</v>
      </c>
      <c r="L190" s="270" t="s">
        <v>5834</v>
      </c>
      <c r="M190" s="270" t="s">
        <v>6249</v>
      </c>
      <c r="N190" s="281" t="s">
        <v>3573</v>
      </c>
      <c r="O190" s="271" t="s">
        <v>6530</v>
      </c>
      <c r="P190" s="280">
        <v>0</v>
      </c>
      <c r="Q190" s="271" t="s">
        <v>4712</v>
      </c>
      <c r="R190" s="271"/>
      <c r="S190" s="270" t="s">
        <v>4714</v>
      </c>
      <c r="T190" s="271" t="s">
        <v>6259</v>
      </c>
      <c r="U190" s="256" t="str">
        <f t="shared" si="2"/>
        <v>332203</v>
      </c>
      <c r="Z190" s="192"/>
      <c r="AD190" s="192"/>
    </row>
    <row r="191" spans="1:30" x14ac:dyDescent="0.25">
      <c r="A191" s="266" t="s">
        <v>5910</v>
      </c>
      <c r="B191" s="266" t="s">
        <v>5911</v>
      </c>
      <c r="C191" s="266" t="s">
        <v>5440</v>
      </c>
      <c r="D191" s="266" t="s">
        <v>5797</v>
      </c>
      <c r="E191" s="266" t="s">
        <v>233</v>
      </c>
      <c r="F191" s="267">
        <v>1</v>
      </c>
      <c r="G191" s="268" t="s">
        <v>193</v>
      </c>
      <c r="H191" s="267" t="s">
        <v>194</v>
      </c>
      <c r="I191" s="267" t="s">
        <v>5798</v>
      </c>
      <c r="J191" s="266" t="s">
        <v>202</v>
      </c>
      <c r="K191" s="267">
        <v>18</v>
      </c>
      <c r="L191" s="266" t="s">
        <v>5912</v>
      </c>
      <c r="M191" s="266" t="s">
        <v>6256</v>
      </c>
      <c r="N191" s="267">
        <v>1807</v>
      </c>
      <c r="O191" s="267" t="s">
        <v>310</v>
      </c>
      <c r="P191" s="267">
        <v>1</v>
      </c>
      <c r="Q191" s="267" t="s">
        <v>6296</v>
      </c>
      <c r="R191" s="267"/>
      <c r="S191" s="266" t="s">
        <v>4714</v>
      </c>
      <c r="T191" s="267" t="s">
        <v>6259</v>
      </c>
      <c r="U191" s="245" t="str">
        <f t="shared" si="2"/>
        <v>214404</v>
      </c>
      <c r="Z191" s="192"/>
      <c r="AD191" s="192"/>
    </row>
    <row r="192" spans="1:30" x14ac:dyDescent="0.25">
      <c r="A192" s="266" t="s">
        <v>5810</v>
      </c>
      <c r="B192" s="266" t="s">
        <v>1406</v>
      </c>
      <c r="C192" s="266" t="s">
        <v>10</v>
      </c>
      <c r="D192" s="266" t="s">
        <v>5797</v>
      </c>
      <c r="E192" s="266" t="s">
        <v>233</v>
      </c>
      <c r="F192" s="267">
        <v>1</v>
      </c>
      <c r="G192" s="268" t="s">
        <v>193</v>
      </c>
      <c r="H192" s="267" t="s">
        <v>194</v>
      </c>
      <c r="I192" s="267" t="s">
        <v>5798</v>
      </c>
      <c r="J192" s="266" t="s">
        <v>5811</v>
      </c>
      <c r="K192" s="267">
        <v>18</v>
      </c>
      <c r="L192" s="266" t="s">
        <v>5812</v>
      </c>
      <c r="M192" s="266" t="s">
        <v>6261</v>
      </c>
      <c r="N192" s="267" t="s">
        <v>6262</v>
      </c>
      <c r="O192" s="267" t="s">
        <v>484</v>
      </c>
      <c r="P192" s="267">
        <v>23</v>
      </c>
      <c r="Q192" s="267" t="s">
        <v>6260</v>
      </c>
      <c r="R192" s="267"/>
      <c r="S192" s="266" t="s">
        <v>4714</v>
      </c>
      <c r="T192" s="267" t="s">
        <v>6259</v>
      </c>
      <c r="U192" s="245" t="str">
        <f t="shared" si="2"/>
        <v>251401</v>
      </c>
      <c r="Z192" s="192"/>
      <c r="AD192" s="192"/>
    </row>
    <row r="193" spans="1:30" x14ac:dyDescent="0.25">
      <c r="A193" s="266" t="s">
        <v>4975</v>
      </c>
      <c r="B193" s="266" t="s">
        <v>5883</v>
      </c>
      <c r="C193" s="266" t="s">
        <v>5884</v>
      </c>
      <c r="D193" s="266" t="s">
        <v>5797</v>
      </c>
      <c r="E193" s="266" t="s">
        <v>233</v>
      </c>
      <c r="F193" s="267">
        <v>1</v>
      </c>
      <c r="G193" s="268" t="s">
        <v>193</v>
      </c>
      <c r="H193" s="267" t="s">
        <v>194</v>
      </c>
      <c r="I193" s="267" t="s">
        <v>5798</v>
      </c>
      <c r="J193" s="266" t="s">
        <v>385</v>
      </c>
      <c r="K193" s="267">
        <v>18</v>
      </c>
      <c r="L193" s="266" t="s">
        <v>5885</v>
      </c>
      <c r="M193" s="266" t="s">
        <v>6290</v>
      </c>
      <c r="N193" s="267">
        <v>1861</v>
      </c>
      <c r="O193" s="267" t="s">
        <v>5886</v>
      </c>
      <c r="P193" s="267">
        <v>1</v>
      </c>
      <c r="Q193" s="267" t="s">
        <v>6289</v>
      </c>
      <c r="R193" s="267"/>
      <c r="S193" s="266" t="s">
        <v>4714</v>
      </c>
      <c r="T193" s="267" t="s">
        <v>6259</v>
      </c>
      <c r="U193" s="245" t="str">
        <f t="shared" si="2"/>
        <v>243107</v>
      </c>
      <c r="Z193" s="192"/>
      <c r="AD193" s="192"/>
    </row>
    <row r="194" spans="1:30" x14ac:dyDescent="0.25">
      <c r="A194" s="266" t="s">
        <v>5372</v>
      </c>
      <c r="B194" s="266" t="s">
        <v>5898</v>
      </c>
      <c r="C194" s="266" t="s">
        <v>5899</v>
      </c>
      <c r="D194" s="266" t="s">
        <v>5797</v>
      </c>
      <c r="E194" s="266" t="s">
        <v>233</v>
      </c>
      <c r="F194" s="267">
        <v>1</v>
      </c>
      <c r="G194" s="268" t="s">
        <v>193</v>
      </c>
      <c r="H194" s="267" t="s">
        <v>194</v>
      </c>
      <c r="I194" s="267" t="s">
        <v>5798</v>
      </c>
      <c r="J194" s="266" t="s">
        <v>210</v>
      </c>
      <c r="K194" s="267">
        <v>18</v>
      </c>
      <c r="L194" s="266" t="s">
        <v>5900</v>
      </c>
      <c r="M194" s="266" t="s">
        <v>6295</v>
      </c>
      <c r="N194" s="267">
        <v>1863</v>
      </c>
      <c r="O194" s="267" t="s">
        <v>5901</v>
      </c>
      <c r="P194" s="267">
        <v>1</v>
      </c>
      <c r="Q194" s="267" t="s">
        <v>6294</v>
      </c>
      <c r="R194" s="267"/>
      <c r="S194" s="266" t="s">
        <v>4714</v>
      </c>
      <c r="T194" s="267" t="s">
        <v>6259</v>
      </c>
      <c r="U194" s="245" t="str">
        <f t="shared" si="2"/>
        <v>122302</v>
      </c>
      <c r="Z194" s="192"/>
      <c r="AD194" s="192"/>
    </row>
    <row r="195" spans="1:30" x14ac:dyDescent="0.25">
      <c r="A195" s="266" t="s">
        <v>5867</v>
      </c>
      <c r="B195" s="266" t="s">
        <v>5868</v>
      </c>
      <c r="C195" s="266" t="s">
        <v>4768</v>
      </c>
      <c r="D195" s="266" t="s">
        <v>5797</v>
      </c>
      <c r="E195" s="266" t="s">
        <v>233</v>
      </c>
      <c r="F195" s="267">
        <v>1</v>
      </c>
      <c r="G195" s="268" t="s">
        <v>193</v>
      </c>
      <c r="H195" s="267" t="s">
        <v>194</v>
      </c>
      <c r="I195" s="267" t="s">
        <v>5798</v>
      </c>
      <c r="J195" s="266" t="s">
        <v>316</v>
      </c>
      <c r="K195" s="267">
        <v>18</v>
      </c>
      <c r="L195" s="266" t="s">
        <v>5869</v>
      </c>
      <c r="M195" s="266" t="s">
        <v>6245</v>
      </c>
      <c r="N195" s="267">
        <v>1818</v>
      </c>
      <c r="O195" s="267" t="s">
        <v>2659</v>
      </c>
      <c r="P195" s="267">
        <v>1</v>
      </c>
      <c r="Q195" s="267" t="s">
        <v>6281</v>
      </c>
      <c r="R195" s="267"/>
      <c r="S195" s="266" t="s">
        <v>4714</v>
      </c>
      <c r="T195" s="267" t="s">
        <v>6259</v>
      </c>
      <c r="U195" s="245" t="str">
        <f t="shared" si="2"/>
        <v>311508</v>
      </c>
      <c r="Z195" s="192"/>
      <c r="AD195" s="192"/>
    </row>
    <row r="196" spans="1:30" x14ac:dyDescent="0.25">
      <c r="A196" s="266" t="s">
        <v>5955</v>
      </c>
      <c r="B196" s="266" t="s">
        <v>1024</v>
      </c>
      <c r="C196" s="266" t="s">
        <v>5956</v>
      </c>
      <c r="D196" s="266" t="s">
        <v>5797</v>
      </c>
      <c r="E196" s="266" t="s">
        <v>233</v>
      </c>
      <c r="F196" s="267">
        <v>4</v>
      </c>
      <c r="G196" s="268" t="s">
        <v>193</v>
      </c>
      <c r="H196" s="267" t="s">
        <v>194</v>
      </c>
      <c r="I196" s="267" t="s">
        <v>5798</v>
      </c>
      <c r="J196" s="266" t="s">
        <v>4751</v>
      </c>
      <c r="K196" s="267">
        <v>18</v>
      </c>
      <c r="L196" s="266" t="s">
        <v>5957</v>
      </c>
      <c r="M196" s="266" t="s">
        <v>6306</v>
      </c>
      <c r="N196" s="267">
        <v>1862</v>
      </c>
      <c r="O196" s="267" t="s">
        <v>5958</v>
      </c>
      <c r="P196" s="267">
        <v>1</v>
      </c>
      <c r="Q196" s="267" t="s">
        <v>6305</v>
      </c>
      <c r="R196" s="267"/>
      <c r="S196" s="266" t="s">
        <v>4714</v>
      </c>
      <c r="T196" s="267" t="s">
        <v>6273</v>
      </c>
      <c r="U196" s="245" t="str">
        <f t="shared" ref="U196:U251" si="3">MID(O196,8,6)</f>
        <v>325504</v>
      </c>
      <c r="Z196" s="192"/>
      <c r="AD196" s="192"/>
    </row>
    <row r="197" spans="1:30" x14ac:dyDescent="0.25">
      <c r="A197" s="266" t="s">
        <v>5955</v>
      </c>
      <c r="B197" s="266" t="s">
        <v>1024</v>
      </c>
      <c r="C197" s="266" t="s">
        <v>5956</v>
      </c>
      <c r="D197" s="266" t="s">
        <v>5797</v>
      </c>
      <c r="E197" s="266" t="s">
        <v>233</v>
      </c>
      <c r="F197" s="267">
        <v>1</v>
      </c>
      <c r="G197" s="268" t="s">
        <v>193</v>
      </c>
      <c r="H197" s="267" t="s">
        <v>194</v>
      </c>
      <c r="I197" s="267" t="s">
        <v>5798</v>
      </c>
      <c r="J197" s="266" t="s">
        <v>210</v>
      </c>
      <c r="K197" s="267">
        <v>18</v>
      </c>
      <c r="L197" s="266" t="s">
        <v>5959</v>
      </c>
      <c r="M197" s="266" t="s">
        <v>6306</v>
      </c>
      <c r="N197" s="267">
        <v>1863</v>
      </c>
      <c r="O197" s="267" t="s">
        <v>5958</v>
      </c>
      <c r="P197" s="267">
        <v>1</v>
      </c>
      <c r="Q197" s="267" t="s">
        <v>6305</v>
      </c>
      <c r="R197" s="267"/>
      <c r="S197" s="266" t="s">
        <v>4714</v>
      </c>
      <c r="T197" s="267" t="s">
        <v>6273</v>
      </c>
      <c r="U197" s="245" t="str">
        <f t="shared" si="3"/>
        <v>325504</v>
      </c>
      <c r="Z197" s="192"/>
      <c r="AD197" s="192"/>
    </row>
    <row r="198" spans="1:30" x14ac:dyDescent="0.25">
      <c r="A198" s="266" t="s">
        <v>2622</v>
      </c>
      <c r="B198" s="266" t="s">
        <v>5916</v>
      </c>
      <c r="C198" s="266" t="s">
        <v>22</v>
      </c>
      <c r="D198" s="266" t="s">
        <v>5797</v>
      </c>
      <c r="E198" s="266" t="s">
        <v>233</v>
      </c>
      <c r="F198" s="267">
        <v>1</v>
      </c>
      <c r="G198" s="268" t="s">
        <v>193</v>
      </c>
      <c r="H198" s="267" t="s">
        <v>194</v>
      </c>
      <c r="I198" s="267" t="s">
        <v>5798</v>
      </c>
      <c r="J198" s="266" t="s">
        <v>2183</v>
      </c>
      <c r="K198" s="267">
        <v>18</v>
      </c>
      <c r="L198" s="266" t="s">
        <v>5918</v>
      </c>
      <c r="M198" s="266" t="s">
        <v>6295</v>
      </c>
      <c r="N198" s="267">
        <v>1820</v>
      </c>
      <c r="O198" s="267" t="s">
        <v>1608</v>
      </c>
      <c r="P198" s="267">
        <v>1</v>
      </c>
      <c r="Q198" s="267" t="s">
        <v>6299</v>
      </c>
      <c r="R198" s="267"/>
      <c r="S198" s="266" t="s">
        <v>4714</v>
      </c>
      <c r="T198" s="267" t="s">
        <v>6300</v>
      </c>
      <c r="U198" s="245" t="str">
        <f t="shared" si="3"/>
        <v>228101</v>
      </c>
      <c r="Z198" s="192"/>
      <c r="AD198" s="192"/>
    </row>
    <row r="199" spans="1:30" x14ac:dyDescent="0.25">
      <c r="A199" s="266" t="s">
        <v>406</v>
      </c>
      <c r="B199" s="266" t="s">
        <v>4342</v>
      </c>
      <c r="C199" s="266" t="s">
        <v>113</v>
      </c>
      <c r="D199" s="266" t="s">
        <v>5797</v>
      </c>
      <c r="E199" s="266" t="s">
        <v>233</v>
      </c>
      <c r="F199" s="267">
        <v>1</v>
      </c>
      <c r="G199" s="268" t="s">
        <v>193</v>
      </c>
      <c r="H199" s="267" t="s">
        <v>194</v>
      </c>
      <c r="I199" s="267" t="s">
        <v>5798</v>
      </c>
      <c r="J199" s="266" t="s">
        <v>316</v>
      </c>
      <c r="K199" s="267">
        <v>18</v>
      </c>
      <c r="L199" s="266" t="s">
        <v>5939</v>
      </c>
      <c r="M199" s="266" t="s">
        <v>6254</v>
      </c>
      <c r="N199" s="267">
        <v>1818</v>
      </c>
      <c r="O199" s="267" t="s">
        <v>465</v>
      </c>
      <c r="P199" s="267">
        <v>1</v>
      </c>
      <c r="Q199" s="267" t="s">
        <v>6541</v>
      </c>
      <c r="R199" s="267"/>
      <c r="S199" s="266" t="s">
        <v>4714</v>
      </c>
      <c r="T199" s="267" t="s">
        <v>6303</v>
      </c>
      <c r="U199" s="245" t="str">
        <f t="shared" si="3"/>
        <v>243302</v>
      </c>
      <c r="Z199" s="192"/>
      <c r="AD199" s="192"/>
    </row>
    <row r="200" spans="1:30" x14ac:dyDescent="0.25">
      <c r="A200" s="266" t="s">
        <v>406</v>
      </c>
      <c r="B200" s="266" t="s">
        <v>4342</v>
      </c>
      <c r="C200" s="266" t="s">
        <v>113</v>
      </c>
      <c r="D200" s="266" t="s">
        <v>5797</v>
      </c>
      <c r="E200" s="266" t="s">
        <v>233</v>
      </c>
      <c r="F200" s="267">
        <v>1</v>
      </c>
      <c r="G200" s="268" t="s">
        <v>193</v>
      </c>
      <c r="H200" s="267" t="s">
        <v>194</v>
      </c>
      <c r="I200" s="267" t="s">
        <v>5798</v>
      </c>
      <c r="J200" s="266" t="s">
        <v>210</v>
      </c>
      <c r="K200" s="267">
        <v>18</v>
      </c>
      <c r="L200" s="266" t="s">
        <v>5940</v>
      </c>
      <c r="M200" s="266" t="s">
        <v>6254</v>
      </c>
      <c r="N200" s="267">
        <v>1863</v>
      </c>
      <c r="O200" s="267" t="s">
        <v>465</v>
      </c>
      <c r="P200" s="267">
        <v>1</v>
      </c>
      <c r="Q200" s="267" t="s">
        <v>6541</v>
      </c>
      <c r="R200" s="267"/>
      <c r="S200" s="266" t="s">
        <v>4714</v>
      </c>
      <c r="T200" s="267" t="s">
        <v>6303</v>
      </c>
      <c r="U200" s="245" t="str">
        <f t="shared" si="3"/>
        <v>243302</v>
      </c>
      <c r="Z200" s="192"/>
      <c r="AD200" s="192"/>
    </row>
    <row r="201" spans="1:30" x14ac:dyDescent="0.25">
      <c r="A201" s="266" t="s">
        <v>540</v>
      </c>
      <c r="B201" s="266" t="s">
        <v>6395</v>
      </c>
      <c r="C201" s="266" t="s">
        <v>886</v>
      </c>
      <c r="D201" s="266" t="s">
        <v>5798</v>
      </c>
      <c r="E201" s="266" t="s">
        <v>252</v>
      </c>
      <c r="F201" s="267">
        <v>1</v>
      </c>
      <c r="G201" s="268" t="s">
        <v>193</v>
      </c>
      <c r="H201" s="267" t="s">
        <v>194</v>
      </c>
      <c r="I201" s="267" t="s">
        <v>6255</v>
      </c>
      <c r="J201" s="266" t="s">
        <v>6396</v>
      </c>
      <c r="K201" s="267">
        <v>18</v>
      </c>
      <c r="L201" s="266" t="s">
        <v>6397</v>
      </c>
      <c r="M201" s="266" t="s">
        <v>6275</v>
      </c>
      <c r="N201" s="267">
        <v>1816</v>
      </c>
      <c r="O201" s="267" t="s">
        <v>887</v>
      </c>
      <c r="P201" s="267">
        <v>1</v>
      </c>
      <c r="Q201" s="267" t="s">
        <v>6398</v>
      </c>
      <c r="R201" s="267" t="s">
        <v>6399</v>
      </c>
      <c r="S201" s="266" t="s">
        <v>4714</v>
      </c>
      <c r="T201" s="267" t="s">
        <v>4849</v>
      </c>
      <c r="U201" s="245" t="str">
        <f t="shared" si="3"/>
        <v>834401</v>
      </c>
      <c r="Z201" s="192"/>
      <c r="AD201" s="192"/>
    </row>
    <row r="202" spans="1:30" x14ac:dyDescent="0.25">
      <c r="A202" s="266" t="s">
        <v>540</v>
      </c>
      <c r="B202" s="266" t="s">
        <v>6395</v>
      </c>
      <c r="C202" s="266" t="s">
        <v>886</v>
      </c>
      <c r="D202" s="266" t="s">
        <v>5798</v>
      </c>
      <c r="E202" s="266" t="s">
        <v>252</v>
      </c>
      <c r="F202" s="267">
        <v>1</v>
      </c>
      <c r="G202" s="268" t="s">
        <v>193</v>
      </c>
      <c r="H202" s="267" t="s">
        <v>194</v>
      </c>
      <c r="I202" s="267" t="s">
        <v>6255</v>
      </c>
      <c r="J202" s="266" t="s">
        <v>210</v>
      </c>
      <c r="K202" s="267">
        <v>18</v>
      </c>
      <c r="L202" s="266" t="s">
        <v>6400</v>
      </c>
      <c r="M202" s="266" t="s">
        <v>6275</v>
      </c>
      <c r="N202" s="267">
        <v>1863</v>
      </c>
      <c r="O202" s="267" t="s">
        <v>887</v>
      </c>
      <c r="P202" s="267">
        <v>1</v>
      </c>
      <c r="Q202" s="267" t="s">
        <v>6398</v>
      </c>
      <c r="R202" s="267" t="s">
        <v>6399</v>
      </c>
      <c r="S202" s="266" t="s">
        <v>4714</v>
      </c>
      <c r="T202" s="267" t="s">
        <v>4849</v>
      </c>
      <c r="U202" s="245" t="str">
        <f t="shared" si="3"/>
        <v>834401</v>
      </c>
      <c r="Z202" s="192"/>
      <c r="AD202" s="192"/>
    </row>
    <row r="203" spans="1:30" x14ac:dyDescent="0.25">
      <c r="A203" s="266" t="s">
        <v>540</v>
      </c>
      <c r="B203" s="266" t="s">
        <v>6395</v>
      </c>
      <c r="C203" s="266" t="s">
        <v>886</v>
      </c>
      <c r="D203" s="266" t="s">
        <v>5798</v>
      </c>
      <c r="E203" s="266" t="s">
        <v>252</v>
      </c>
      <c r="F203" s="267">
        <v>1</v>
      </c>
      <c r="G203" s="268" t="s">
        <v>193</v>
      </c>
      <c r="H203" s="267" t="s">
        <v>194</v>
      </c>
      <c r="I203" s="267" t="s">
        <v>6255</v>
      </c>
      <c r="J203" s="266" t="s">
        <v>309</v>
      </c>
      <c r="K203" s="267">
        <v>18</v>
      </c>
      <c r="L203" s="266" t="s">
        <v>6401</v>
      </c>
      <c r="M203" s="266" t="s">
        <v>6275</v>
      </c>
      <c r="N203" s="267">
        <v>1815</v>
      </c>
      <c r="O203" s="267" t="s">
        <v>887</v>
      </c>
      <c r="P203" s="267">
        <v>1</v>
      </c>
      <c r="Q203" s="267" t="s">
        <v>6398</v>
      </c>
      <c r="R203" s="267" t="s">
        <v>6399</v>
      </c>
      <c r="S203" s="266" t="s">
        <v>4714</v>
      </c>
      <c r="T203" s="267" t="s">
        <v>4849</v>
      </c>
      <c r="U203" s="245" t="str">
        <f t="shared" si="3"/>
        <v>834401</v>
      </c>
      <c r="Z203" s="192"/>
      <c r="AD203" s="192"/>
    </row>
    <row r="204" spans="1:30" x14ac:dyDescent="0.25">
      <c r="A204" s="266" t="s">
        <v>540</v>
      </c>
      <c r="B204" s="266" t="s">
        <v>6395</v>
      </c>
      <c r="C204" s="266" t="s">
        <v>886</v>
      </c>
      <c r="D204" s="266" t="s">
        <v>5798</v>
      </c>
      <c r="E204" s="266" t="s">
        <v>252</v>
      </c>
      <c r="F204" s="267">
        <v>1</v>
      </c>
      <c r="G204" s="268" t="s">
        <v>193</v>
      </c>
      <c r="H204" s="267" t="s">
        <v>194</v>
      </c>
      <c r="I204" s="267" t="s">
        <v>6255</v>
      </c>
      <c r="J204" s="266" t="s">
        <v>5261</v>
      </c>
      <c r="K204" s="267">
        <v>18</v>
      </c>
      <c r="L204" s="266" t="s">
        <v>6402</v>
      </c>
      <c r="M204" s="266" t="s">
        <v>6275</v>
      </c>
      <c r="N204" s="267">
        <v>1816</v>
      </c>
      <c r="O204" s="267" t="s">
        <v>887</v>
      </c>
      <c r="P204" s="267">
        <v>1</v>
      </c>
      <c r="Q204" s="267" t="s">
        <v>6398</v>
      </c>
      <c r="R204" s="267" t="s">
        <v>6399</v>
      </c>
      <c r="S204" s="266" t="s">
        <v>4714</v>
      </c>
      <c r="T204" s="267" t="s">
        <v>4849</v>
      </c>
      <c r="U204" s="245" t="str">
        <f t="shared" si="3"/>
        <v>834401</v>
      </c>
      <c r="Z204" s="192"/>
      <c r="AD204" s="192"/>
    </row>
    <row r="205" spans="1:30" x14ac:dyDescent="0.25">
      <c r="A205" s="266" t="s">
        <v>382</v>
      </c>
      <c r="B205" s="266" t="s">
        <v>537</v>
      </c>
      <c r="C205" s="266" t="s">
        <v>778</v>
      </c>
      <c r="D205" s="266" t="s">
        <v>5798</v>
      </c>
      <c r="E205" s="266" t="s">
        <v>233</v>
      </c>
      <c r="F205" s="267">
        <v>1</v>
      </c>
      <c r="G205" s="268" t="s">
        <v>193</v>
      </c>
      <c r="H205" s="267" t="s">
        <v>194</v>
      </c>
      <c r="I205" s="267" t="s">
        <v>6403</v>
      </c>
      <c r="J205" s="266" t="s">
        <v>6404</v>
      </c>
      <c r="K205" s="267">
        <v>18</v>
      </c>
      <c r="L205" s="266" t="s">
        <v>6405</v>
      </c>
      <c r="M205" s="266" t="s">
        <v>6249</v>
      </c>
      <c r="N205" s="267">
        <v>1863</v>
      </c>
      <c r="O205" s="267" t="s">
        <v>779</v>
      </c>
      <c r="P205" s="267">
        <v>1</v>
      </c>
      <c r="Q205" s="267" t="s">
        <v>6406</v>
      </c>
      <c r="R205" s="267" t="s">
        <v>6407</v>
      </c>
      <c r="S205" s="266" t="s">
        <v>4714</v>
      </c>
      <c r="T205" s="267" t="s">
        <v>5800</v>
      </c>
      <c r="U205" s="245" t="str">
        <f t="shared" si="3"/>
        <v>524902</v>
      </c>
      <c r="Z205" s="192"/>
      <c r="AD205" s="192"/>
    </row>
    <row r="206" spans="1:30" x14ac:dyDescent="0.25">
      <c r="A206" s="266" t="s">
        <v>6408</v>
      </c>
      <c r="B206" s="266" t="s">
        <v>537</v>
      </c>
      <c r="C206" s="266" t="s">
        <v>778</v>
      </c>
      <c r="D206" s="266" t="s">
        <v>5798</v>
      </c>
      <c r="E206" s="266" t="s">
        <v>233</v>
      </c>
      <c r="F206" s="267">
        <v>1</v>
      </c>
      <c r="G206" s="268" t="s">
        <v>193</v>
      </c>
      <c r="H206" s="267" t="s">
        <v>194</v>
      </c>
      <c r="I206" s="267" t="s">
        <v>6403</v>
      </c>
      <c r="J206" s="266" t="s">
        <v>962</v>
      </c>
      <c r="K206" s="267">
        <v>18</v>
      </c>
      <c r="L206" s="266" t="s">
        <v>6409</v>
      </c>
      <c r="M206" s="266" t="s">
        <v>6249</v>
      </c>
      <c r="N206" s="267">
        <v>1806</v>
      </c>
      <c r="O206" s="267" t="s">
        <v>779</v>
      </c>
      <c r="P206" s="267">
        <v>1</v>
      </c>
      <c r="Q206" s="267" t="s">
        <v>6546</v>
      </c>
      <c r="R206" s="267"/>
      <c r="S206" s="266" t="s">
        <v>4714</v>
      </c>
      <c r="T206" s="267" t="s">
        <v>5800</v>
      </c>
      <c r="U206" s="245" t="str">
        <f t="shared" si="3"/>
        <v>524902</v>
      </c>
      <c r="Z206" s="192"/>
      <c r="AD206" s="192"/>
    </row>
    <row r="207" spans="1:30" x14ac:dyDescent="0.25">
      <c r="A207" s="266" t="s">
        <v>4508</v>
      </c>
      <c r="B207" s="266" t="s">
        <v>537</v>
      </c>
      <c r="C207" s="266" t="s">
        <v>2926</v>
      </c>
      <c r="D207" s="266" t="s">
        <v>5798</v>
      </c>
      <c r="E207" s="266" t="s">
        <v>192</v>
      </c>
      <c r="F207" s="267">
        <v>1</v>
      </c>
      <c r="G207" s="268" t="s">
        <v>193</v>
      </c>
      <c r="H207" s="267" t="s">
        <v>194</v>
      </c>
      <c r="I207" s="267" t="s">
        <v>6403</v>
      </c>
      <c r="J207" s="266" t="s">
        <v>210</v>
      </c>
      <c r="K207" s="267">
        <v>18</v>
      </c>
      <c r="L207" s="266" t="s">
        <v>6410</v>
      </c>
      <c r="M207" s="266" t="s">
        <v>6251</v>
      </c>
      <c r="N207" s="267">
        <v>1863</v>
      </c>
      <c r="O207" s="267" t="s">
        <v>6411</v>
      </c>
      <c r="P207" s="267">
        <v>1</v>
      </c>
      <c r="Q207" s="267"/>
      <c r="R207" s="267"/>
      <c r="S207" s="266" t="s">
        <v>4714</v>
      </c>
      <c r="T207" s="267" t="s">
        <v>6412</v>
      </c>
      <c r="U207" s="245" t="str">
        <f t="shared" si="3"/>
        <v>215101</v>
      </c>
      <c r="Z207" s="192"/>
      <c r="AD207" s="192"/>
    </row>
    <row r="208" spans="1:30" x14ac:dyDescent="0.25">
      <c r="A208" s="266" t="s">
        <v>6413</v>
      </c>
      <c r="B208" s="266" t="s">
        <v>6414</v>
      </c>
      <c r="C208" s="266" t="s">
        <v>6415</v>
      </c>
      <c r="D208" s="266" t="s">
        <v>5798</v>
      </c>
      <c r="E208" s="266" t="s">
        <v>192</v>
      </c>
      <c r="F208" s="267">
        <v>1</v>
      </c>
      <c r="G208" s="268" t="s">
        <v>193</v>
      </c>
      <c r="H208" s="267" t="s">
        <v>194</v>
      </c>
      <c r="I208" s="267" t="s">
        <v>6255</v>
      </c>
      <c r="J208" s="266" t="s">
        <v>399</v>
      </c>
      <c r="K208" s="267">
        <v>18</v>
      </c>
      <c r="L208" s="266" t="s">
        <v>6416</v>
      </c>
      <c r="M208" s="266" t="s">
        <v>6251</v>
      </c>
      <c r="N208" s="267" t="s">
        <v>6417</v>
      </c>
      <c r="O208" s="267" t="s">
        <v>6418</v>
      </c>
      <c r="P208" s="267">
        <v>19</v>
      </c>
      <c r="Q208" s="267"/>
      <c r="R208" s="267"/>
      <c r="S208" s="266" t="s">
        <v>5109</v>
      </c>
      <c r="T208" s="267" t="s">
        <v>6280</v>
      </c>
      <c r="U208" s="245" t="str">
        <f t="shared" si="3"/>
        <v>261906</v>
      </c>
      <c r="Z208" s="192"/>
      <c r="AD208" s="192"/>
    </row>
    <row r="209" spans="1:30" x14ac:dyDescent="0.25">
      <c r="A209" s="266" t="s">
        <v>6419</v>
      </c>
      <c r="B209" s="266" t="s">
        <v>6420</v>
      </c>
      <c r="C209" s="266" t="s">
        <v>5173</v>
      </c>
      <c r="D209" s="266" t="s">
        <v>5798</v>
      </c>
      <c r="E209" s="266" t="s">
        <v>192</v>
      </c>
      <c r="F209" s="267">
        <v>1</v>
      </c>
      <c r="G209" s="268" t="s">
        <v>193</v>
      </c>
      <c r="H209" s="267" t="s">
        <v>194</v>
      </c>
      <c r="I209" s="267" t="s">
        <v>6255</v>
      </c>
      <c r="J209" s="266" t="s">
        <v>210</v>
      </c>
      <c r="K209" s="267">
        <v>18</v>
      </c>
      <c r="L209" s="266" t="s">
        <v>6421</v>
      </c>
      <c r="M209" s="266" t="s">
        <v>6324</v>
      </c>
      <c r="N209" s="267">
        <v>1863</v>
      </c>
      <c r="O209" s="267" t="s">
        <v>1150</v>
      </c>
      <c r="P209" s="267">
        <v>1</v>
      </c>
      <c r="Q209" s="267"/>
      <c r="R209" s="267"/>
      <c r="S209" s="266" t="s">
        <v>4714</v>
      </c>
      <c r="T209" s="267" t="s">
        <v>6280</v>
      </c>
      <c r="U209" s="245" t="str">
        <f t="shared" si="3"/>
        <v>244001</v>
      </c>
      <c r="Z209" s="192"/>
      <c r="AD209" s="192"/>
    </row>
    <row r="210" spans="1:30" x14ac:dyDescent="0.25">
      <c r="A210" s="266" t="s">
        <v>6422</v>
      </c>
      <c r="B210" s="266" t="s">
        <v>5014</v>
      </c>
      <c r="C210" s="266" t="s">
        <v>17</v>
      </c>
      <c r="D210" s="266" t="s">
        <v>5798</v>
      </c>
      <c r="E210" s="266" t="s">
        <v>192</v>
      </c>
      <c r="F210" s="267">
        <v>1</v>
      </c>
      <c r="G210" s="268" t="s">
        <v>193</v>
      </c>
      <c r="H210" s="267" t="s">
        <v>194</v>
      </c>
      <c r="I210" s="267" t="s">
        <v>6255</v>
      </c>
      <c r="J210" s="266" t="s">
        <v>276</v>
      </c>
      <c r="K210" s="267">
        <v>18</v>
      </c>
      <c r="L210" s="266" t="s">
        <v>6423</v>
      </c>
      <c r="M210" s="266" t="s">
        <v>6269</v>
      </c>
      <c r="N210" s="267" t="s">
        <v>5069</v>
      </c>
      <c r="O210" s="267" t="s">
        <v>624</v>
      </c>
      <c r="P210" s="267">
        <v>18</v>
      </c>
      <c r="Q210" s="267"/>
      <c r="R210" s="267"/>
      <c r="S210" s="266" t="s">
        <v>4714</v>
      </c>
      <c r="T210" s="267" t="s">
        <v>6280</v>
      </c>
      <c r="U210" s="245" t="str">
        <f t="shared" si="3"/>
        <v>332203</v>
      </c>
      <c r="Z210" s="192"/>
      <c r="AD210" s="192"/>
    </row>
    <row r="211" spans="1:30" x14ac:dyDescent="0.25">
      <c r="A211" s="266" t="s">
        <v>1499</v>
      </c>
      <c r="B211" s="266" t="s">
        <v>2815</v>
      </c>
      <c r="C211" s="266" t="s">
        <v>420</v>
      </c>
      <c r="D211" s="266" t="s">
        <v>5798</v>
      </c>
      <c r="E211" s="266" t="s">
        <v>192</v>
      </c>
      <c r="F211" s="267">
        <v>1</v>
      </c>
      <c r="G211" s="268" t="s">
        <v>193</v>
      </c>
      <c r="H211" s="267" t="s">
        <v>194</v>
      </c>
      <c r="I211" s="267" t="s">
        <v>6255</v>
      </c>
      <c r="J211" s="266" t="s">
        <v>210</v>
      </c>
      <c r="K211" s="267">
        <v>18</v>
      </c>
      <c r="L211" s="266" t="s">
        <v>6424</v>
      </c>
      <c r="M211" s="266" t="s">
        <v>6251</v>
      </c>
      <c r="N211" s="267">
        <v>1863</v>
      </c>
      <c r="O211" s="267" t="s">
        <v>421</v>
      </c>
      <c r="P211" s="267">
        <v>1</v>
      </c>
      <c r="Q211" s="267"/>
      <c r="R211" s="267"/>
      <c r="S211" s="266" t="s">
        <v>4714</v>
      </c>
      <c r="T211" s="267" t="s">
        <v>6280</v>
      </c>
      <c r="U211" s="245" t="str">
        <f t="shared" si="3"/>
        <v>241306</v>
      </c>
      <c r="Z211" s="192"/>
      <c r="AD211" s="192"/>
    </row>
    <row r="212" spans="1:30" x14ac:dyDescent="0.25">
      <c r="A212" s="266" t="s">
        <v>540</v>
      </c>
      <c r="B212" s="266" t="s">
        <v>5870</v>
      </c>
      <c r="C212" s="266" t="s">
        <v>62</v>
      </c>
      <c r="D212" s="266" t="s">
        <v>5798</v>
      </c>
      <c r="E212" s="266" t="s">
        <v>252</v>
      </c>
      <c r="F212" s="267">
        <v>1</v>
      </c>
      <c r="G212" s="268" t="s">
        <v>193</v>
      </c>
      <c r="H212" s="267" t="s">
        <v>194</v>
      </c>
      <c r="I212" s="267" t="s">
        <v>6255</v>
      </c>
      <c r="J212" s="266" t="s">
        <v>210</v>
      </c>
      <c r="K212" s="267">
        <v>18</v>
      </c>
      <c r="L212" s="266" t="s">
        <v>6425</v>
      </c>
      <c r="M212" s="266" t="s">
        <v>6275</v>
      </c>
      <c r="N212" s="267">
        <v>1863</v>
      </c>
      <c r="O212" s="267" t="s">
        <v>601</v>
      </c>
      <c r="P212" s="267">
        <v>1</v>
      </c>
      <c r="Q212" s="267" t="s">
        <v>6282</v>
      </c>
      <c r="R212" s="267"/>
      <c r="S212" s="266" t="s">
        <v>4714</v>
      </c>
      <c r="T212" s="267" t="s">
        <v>4849</v>
      </c>
      <c r="U212" s="245" t="str">
        <f t="shared" si="3"/>
        <v>313904</v>
      </c>
      <c r="Z212" s="192"/>
      <c r="AD212" s="192"/>
    </row>
    <row r="213" spans="1:30" x14ac:dyDescent="0.25">
      <c r="A213" s="266" t="s">
        <v>540</v>
      </c>
      <c r="B213" s="266" t="s">
        <v>5870</v>
      </c>
      <c r="C213" s="266" t="s">
        <v>62</v>
      </c>
      <c r="D213" s="266" t="s">
        <v>5798</v>
      </c>
      <c r="E213" s="266" t="s">
        <v>252</v>
      </c>
      <c r="F213" s="267">
        <v>1</v>
      </c>
      <c r="G213" s="268" t="s">
        <v>193</v>
      </c>
      <c r="H213" s="267" t="s">
        <v>194</v>
      </c>
      <c r="I213" s="267" t="s">
        <v>6255</v>
      </c>
      <c r="J213" s="266" t="s">
        <v>5261</v>
      </c>
      <c r="K213" s="267">
        <v>18</v>
      </c>
      <c r="L213" s="266" t="s">
        <v>6426</v>
      </c>
      <c r="M213" s="266" t="s">
        <v>6275</v>
      </c>
      <c r="N213" s="267">
        <v>1816</v>
      </c>
      <c r="O213" s="267" t="s">
        <v>601</v>
      </c>
      <c r="P213" s="267">
        <v>1</v>
      </c>
      <c r="Q213" s="267" t="s">
        <v>6282</v>
      </c>
      <c r="R213" s="267"/>
      <c r="S213" s="266" t="s">
        <v>4714</v>
      </c>
      <c r="T213" s="267" t="s">
        <v>4849</v>
      </c>
      <c r="U213" s="245" t="str">
        <f t="shared" si="3"/>
        <v>313904</v>
      </c>
      <c r="Z213" s="192"/>
      <c r="AD213" s="192"/>
    </row>
    <row r="214" spans="1:30" x14ac:dyDescent="0.25">
      <c r="A214" s="266" t="s">
        <v>6427</v>
      </c>
      <c r="B214" s="266" t="s">
        <v>6428</v>
      </c>
      <c r="C214" s="266" t="s">
        <v>17</v>
      </c>
      <c r="D214" s="266" t="s">
        <v>5798</v>
      </c>
      <c r="E214" s="266" t="s">
        <v>217</v>
      </c>
      <c r="F214" s="267">
        <v>1</v>
      </c>
      <c r="G214" s="268" t="s">
        <v>193</v>
      </c>
      <c r="H214" s="267" t="s">
        <v>194</v>
      </c>
      <c r="I214" s="267" t="s">
        <v>6255</v>
      </c>
      <c r="J214" s="266" t="s">
        <v>6429</v>
      </c>
      <c r="K214" s="267">
        <v>18</v>
      </c>
      <c r="L214" s="266" t="s">
        <v>6430</v>
      </c>
      <c r="M214" s="266" t="s">
        <v>6269</v>
      </c>
      <c r="N214" s="269" t="s">
        <v>6526</v>
      </c>
      <c r="O214" s="267" t="s">
        <v>624</v>
      </c>
      <c r="P214" s="267">
        <v>25</v>
      </c>
      <c r="Q214" s="267" t="s">
        <v>4903</v>
      </c>
      <c r="R214" s="267" t="s">
        <v>4904</v>
      </c>
      <c r="S214" s="266" t="s">
        <v>4714</v>
      </c>
      <c r="T214" s="267" t="s">
        <v>6431</v>
      </c>
      <c r="U214" s="245" t="str">
        <f t="shared" si="3"/>
        <v>332203</v>
      </c>
      <c r="Z214" s="192"/>
      <c r="AD214" s="192"/>
    </row>
    <row r="215" spans="1:30" x14ac:dyDescent="0.25">
      <c r="A215" s="266" t="s">
        <v>1334</v>
      </c>
      <c r="B215" s="266" t="s">
        <v>614</v>
      </c>
      <c r="C215" s="266" t="s">
        <v>111</v>
      </c>
      <c r="D215" s="266" t="s">
        <v>5798</v>
      </c>
      <c r="E215" s="266" t="s">
        <v>192</v>
      </c>
      <c r="F215" s="267">
        <v>1</v>
      </c>
      <c r="G215" s="268" t="s">
        <v>193</v>
      </c>
      <c r="H215" s="267" t="s">
        <v>194</v>
      </c>
      <c r="I215" s="267" t="s">
        <v>6403</v>
      </c>
      <c r="J215" s="266" t="s">
        <v>399</v>
      </c>
      <c r="K215" s="267">
        <v>18</v>
      </c>
      <c r="L215" s="266" t="s">
        <v>6432</v>
      </c>
      <c r="M215" s="266" t="s">
        <v>6249</v>
      </c>
      <c r="N215" s="267" t="s">
        <v>6433</v>
      </c>
      <c r="O215" s="267" t="s">
        <v>612</v>
      </c>
      <c r="P215" s="267">
        <v>21</v>
      </c>
      <c r="Q215" s="267"/>
      <c r="R215" s="267"/>
      <c r="S215" s="266" t="s">
        <v>4714</v>
      </c>
      <c r="T215" s="267" t="s">
        <v>6434</v>
      </c>
      <c r="U215" s="245" t="str">
        <f t="shared" si="3"/>
        <v>332101</v>
      </c>
      <c r="Z215" s="192"/>
      <c r="AD215" s="192"/>
    </row>
    <row r="216" spans="1:30" x14ac:dyDescent="0.25">
      <c r="A216" s="266" t="s">
        <v>6435</v>
      </c>
      <c r="B216" s="266" t="s">
        <v>6436</v>
      </c>
      <c r="C216" s="266" t="s">
        <v>153</v>
      </c>
      <c r="D216" s="266" t="s">
        <v>5798</v>
      </c>
      <c r="E216" s="266" t="s">
        <v>192</v>
      </c>
      <c r="F216" s="267">
        <v>1</v>
      </c>
      <c r="G216" s="268" t="s">
        <v>193</v>
      </c>
      <c r="H216" s="267" t="s">
        <v>194</v>
      </c>
      <c r="I216" s="267" t="s">
        <v>6403</v>
      </c>
      <c r="J216" s="266" t="s">
        <v>276</v>
      </c>
      <c r="K216" s="267">
        <v>18</v>
      </c>
      <c r="L216" s="266" t="s">
        <v>6437</v>
      </c>
      <c r="M216" s="266" t="s">
        <v>6269</v>
      </c>
      <c r="N216" s="267" t="s">
        <v>6438</v>
      </c>
      <c r="O216" s="267" t="s">
        <v>2293</v>
      </c>
      <c r="P216" s="267">
        <v>11</v>
      </c>
      <c r="Q216" s="267"/>
      <c r="R216" s="267"/>
      <c r="S216" s="266" t="s">
        <v>4714</v>
      </c>
      <c r="T216" s="267" t="s">
        <v>6439</v>
      </c>
      <c r="U216" s="245" t="str">
        <f t="shared" si="3"/>
        <v>333903</v>
      </c>
      <c r="Z216" s="192"/>
      <c r="AD216" s="192"/>
    </row>
    <row r="217" spans="1:30" x14ac:dyDescent="0.25">
      <c r="A217" s="266" t="s">
        <v>6440</v>
      </c>
      <c r="B217" s="266" t="s">
        <v>632</v>
      </c>
      <c r="C217" s="266" t="s">
        <v>17</v>
      </c>
      <c r="D217" s="266" t="s">
        <v>5798</v>
      </c>
      <c r="E217" s="266" t="s">
        <v>192</v>
      </c>
      <c r="F217" s="267">
        <v>1</v>
      </c>
      <c r="G217" s="268" t="s">
        <v>193</v>
      </c>
      <c r="H217" s="267" t="s">
        <v>194</v>
      </c>
      <c r="I217" s="267" t="s">
        <v>6403</v>
      </c>
      <c r="J217" s="266" t="s">
        <v>210</v>
      </c>
      <c r="K217" s="267">
        <v>18</v>
      </c>
      <c r="L217" s="266" t="s">
        <v>6441</v>
      </c>
      <c r="M217" s="266" t="s">
        <v>6251</v>
      </c>
      <c r="N217" s="267">
        <v>1863</v>
      </c>
      <c r="O217" s="267" t="s">
        <v>624</v>
      </c>
      <c r="P217" s="267">
        <v>1</v>
      </c>
      <c r="Q217" s="267"/>
      <c r="R217" s="267"/>
      <c r="S217" s="266" t="s">
        <v>4714</v>
      </c>
      <c r="T217" s="267" t="s">
        <v>6255</v>
      </c>
      <c r="U217" s="245" t="str">
        <f t="shared" si="3"/>
        <v>332203</v>
      </c>
      <c r="Z217" s="192"/>
      <c r="AD217" s="192"/>
    </row>
    <row r="218" spans="1:30" x14ac:dyDescent="0.25">
      <c r="A218" s="266" t="s">
        <v>6442</v>
      </c>
      <c r="B218" s="266" t="s">
        <v>6443</v>
      </c>
      <c r="C218" s="266" t="s">
        <v>85</v>
      </c>
      <c r="D218" s="266" t="s">
        <v>5798</v>
      </c>
      <c r="E218" s="266" t="s">
        <v>192</v>
      </c>
      <c r="F218" s="267">
        <v>1</v>
      </c>
      <c r="G218" s="268" t="s">
        <v>193</v>
      </c>
      <c r="H218" s="267" t="s">
        <v>194</v>
      </c>
      <c r="I218" s="267" t="s">
        <v>6255</v>
      </c>
      <c r="J218" s="266" t="s">
        <v>276</v>
      </c>
      <c r="K218" s="267">
        <v>18</v>
      </c>
      <c r="L218" s="266" t="s">
        <v>6444</v>
      </c>
      <c r="M218" s="266" t="s">
        <v>6249</v>
      </c>
      <c r="N218" s="267" t="s">
        <v>6445</v>
      </c>
      <c r="O218" s="267" t="s">
        <v>477</v>
      </c>
      <c r="P218" s="267">
        <v>4</v>
      </c>
      <c r="Q218" s="267"/>
      <c r="R218" s="267"/>
      <c r="S218" s="266" t="s">
        <v>4714</v>
      </c>
      <c r="T218" s="267" t="s">
        <v>6434</v>
      </c>
      <c r="U218" s="245" t="str">
        <f t="shared" si="3"/>
        <v>243305</v>
      </c>
      <c r="Z218" s="192"/>
      <c r="AD218" s="192"/>
    </row>
    <row r="219" spans="1:30" x14ac:dyDescent="0.25">
      <c r="A219" s="266" t="s">
        <v>6061</v>
      </c>
      <c r="B219" s="266" t="s">
        <v>488</v>
      </c>
      <c r="C219" s="266" t="s">
        <v>3427</v>
      </c>
      <c r="D219" s="266" t="s">
        <v>5798</v>
      </c>
      <c r="E219" s="266" t="s">
        <v>192</v>
      </c>
      <c r="F219" s="267">
        <v>1</v>
      </c>
      <c r="G219" s="268" t="s">
        <v>193</v>
      </c>
      <c r="H219" s="267" t="s">
        <v>194</v>
      </c>
      <c r="I219" s="267" t="s">
        <v>6255</v>
      </c>
      <c r="J219" s="266" t="s">
        <v>276</v>
      </c>
      <c r="K219" s="267">
        <v>18</v>
      </c>
      <c r="L219" s="266" t="s">
        <v>6446</v>
      </c>
      <c r="M219" s="266" t="s">
        <v>6261</v>
      </c>
      <c r="N219" s="267">
        <v>1803</v>
      </c>
      <c r="O219" s="267" t="s">
        <v>3428</v>
      </c>
      <c r="P219" s="267">
        <v>1</v>
      </c>
      <c r="Q219" s="267"/>
      <c r="R219" s="267"/>
      <c r="S219" s="266" t="s">
        <v>4714</v>
      </c>
      <c r="T219" s="267" t="s">
        <v>6255</v>
      </c>
      <c r="U219" s="245" t="str">
        <f t="shared" si="3"/>
        <v>251202</v>
      </c>
      <c r="Z219" s="192"/>
      <c r="AD219" s="192"/>
    </row>
    <row r="220" spans="1:30" x14ac:dyDescent="0.25">
      <c r="A220" s="266" t="s">
        <v>6447</v>
      </c>
      <c r="B220" s="266" t="s">
        <v>6448</v>
      </c>
      <c r="C220" s="266" t="s">
        <v>113</v>
      </c>
      <c r="D220" s="266" t="s">
        <v>5798</v>
      </c>
      <c r="E220" s="266" t="s">
        <v>192</v>
      </c>
      <c r="F220" s="267">
        <v>1</v>
      </c>
      <c r="G220" s="268" t="s">
        <v>193</v>
      </c>
      <c r="H220" s="267" t="s">
        <v>194</v>
      </c>
      <c r="I220" s="267" t="s">
        <v>6255</v>
      </c>
      <c r="J220" s="266" t="s">
        <v>210</v>
      </c>
      <c r="K220" s="267">
        <v>18</v>
      </c>
      <c r="L220" s="266" t="s">
        <v>6449</v>
      </c>
      <c r="M220" s="266" t="s">
        <v>6249</v>
      </c>
      <c r="N220" s="267">
        <v>1863</v>
      </c>
      <c r="O220" s="267" t="s">
        <v>465</v>
      </c>
      <c r="P220" s="267">
        <v>1</v>
      </c>
      <c r="Q220" s="267"/>
      <c r="R220" s="267"/>
      <c r="S220" s="266" t="s">
        <v>4714</v>
      </c>
      <c r="T220" s="267" t="s">
        <v>6434</v>
      </c>
      <c r="U220" s="245" t="str">
        <f t="shared" si="3"/>
        <v>243302</v>
      </c>
      <c r="Z220" s="192"/>
      <c r="AD220" s="192"/>
    </row>
    <row r="221" spans="1:30" x14ac:dyDescent="0.25">
      <c r="A221" s="266" t="s">
        <v>1959</v>
      </c>
      <c r="B221" s="266" t="s">
        <v>4535</v>
      </c>
      <c r="C221" s="266" t="s">
        <v>480</v>
      </c>
      <c r="D221" s="266" t="s">
        <v>5798</v>
      </c>
      <c r="E221" s="266" t="s">
        <v>192</v>
      </c>
      <c r="F221" s="267">
        <v>1</v>
      </c>
      <c r="G221" s="268" t="s">
        <v>193</v>
      </c>
      <c r="H221" s="267" t="s">
        <v>194</v>
      </c>
      <c r="I221" s="267" t="s">
        <v>6255</v>
      </c>
      <c r="J221" s="266" t="s">
        <v>6450</v>
      </c>
      <c r="K221" s="267">
        <v>18</v>
      </c>
      <c r="L221" s="266" t="s">
        <v>6451</v>
      </c>
      <c r="M221" s="266" t="s">
        <v>6261</v>
      </c>
      <c r="N221" s="267">
        <v>1863.1815999999999</v>
      </c>
      <c r="O221" s="267" t="s">
        <v>481</v>
      </c>
      <c r="P221" s="267">
        <v>2</v>
      </c>
      <c r="Q221" s="267"/>
      <c r="R221" s="267"/>
      <c r="S221" s="266" t="s">
        <v>4714</v>
      </c>
      <c r="T221" s="267" t="s">
        <v>6434</v>
      </c>
      <c r="U221" s="245" t="str">
        <f t="shared" si="3"/>
        <v>251201</v>
      </c>
      <c r="Z221" s="192"/>
      <c r="AD221" s="192"/>
    </row>
    <row r="222" spans="1:30" x14ac:dyDescent="0.25">
      <c r="A222" s="266" t="s">
        <v>6154</v>
      </c>
      <c r="B222" s="266" t="s">
        <v>6155</v>
      </c>
      <c r="C222" s="266" t="s">
        <v>4966</v>
      </c>
      <c r="D222" s="266" t="s">
        <v>5798</v>
      </c>
      <c r="E222" s="266" t="s">
        <v>192</v>
      </c>
      <c r="F222" s="267">
        <v>1</v>
      </c>
      <c r="G222" s="268" t="s">
        <v>193</v>
      </c>
      <c r="H222" s="267" t="s">
        <v>194</v>
      </c>
      <c r="I222" s="267" t="s">
        <v>6255</v>
      </c>
      <c r="J222" s="266" t="s">
        <v>210</v>
      </c>
      <c r="K222" s="267">
        <v>18</v>
      </c>
      <c r="L222" s="266" t="s">
        <v>6452</v>
      </c>
      <c r="M222" s="266" t="s">
        <v>6254</v>
      </c>
      <c r="N222" s="267">
        <v>1863</v>
      </c>
      <c r="O222" s="267" t="s">
        <v>405</v>
      </c>
      <c r="P222" s="267">
        <v>1</v>
      </c>
      <c r="Q222" s="267"/>
      <c r="R222" s="267"/>
      <c r="S222" s="266" t="s">
        <v>4714</v>
      </c>
      <c r="T222" s="267" t="s">
        <v>6453</v>
      </c>
      <c r="U222" s="245" t="str">
        <f t="shared" si="3"/>
        <v>241304</v>
      </c>
      <c r="Z222" s="192"/>
      <c r="AD222" s="192"/>
    </row>
    <row r="223" spans="1:30" x14ac:dyDescent="0.25">
      <c r="A223" s="266" t="s">
        <v>3980</v>
      </c>
      <c r="B223" s="266" t="s">
        <v>6454</v>
      </c>
      <c r="C223" s="266" t="s">
        <v>560</v>
      </c>
      <c r="D223" s="266" t="s">
        <v>5798</v>
      </c>
      <c r="E223" s="266" t="s">
        <v>192</v>
      </c>
      <c r="F223" s="267">
        <v>1</v>
      </c>
      <c r="G223" s="268" t="s">
        <v>193</v>
      </c>
      <c r="H223" s="267" t="s">
        <v>194</v>
      </c>
      <c r="I223" s="267" t="s">
        <v>6255</v>
      </c>
      <c r="J223" s="266" t="s">
        <v>223</v>
      </c>
      <c r="K223" s="267">
        <v>18</v>
      </c>
      <c r="L223" s="266" t="s">
        <v>6455</v>
      </c>
      <c r="M223" s="266" t="s">
        <v>6245</v>
      </c>
      <c r="N223" s="267">
        <v>1804</v>
      </c>
      <c r="O223" s="267" t="s">
        <v>561</v>
      </c>
      <c r="P223" s="267">
        <v>1</v>
      </c>
      <c r="Q223" s="267"/>
      <c r="R223" s="267"/>
      <c r="S223" s="266" t="s">
        <v>4714</v>
      </c>
      <c r="T223" s="267" t="s">
        <v>6434</v>
      </c>
      <c r="U223" s="245" t="str">
        <f t="shared" si="3"/>
        <v>311408</v>
      </c>
      <c r="Z223" s="192"/>
      <c r="AD223" s="192"/>
    </row>
    <row r="224" spans="1:30" x14ac:dyDescent="0.25">
      <c r="A224" s="266" t="s">
        <v>6456</v>
      </c>
      <c r="B224" s="266" t="s">
        <v>6457</v>
      </c>
      <c r="C224" s="266" t="s">
        <v>1947</v>
      </c>
      <c r="D224" s="266" t="s">
        <v>5798</v>
      </c>
      <c r="E224" s="266" t="s">
        <v>192</v>
      </c>
      <c r="F224" s="267">
        <v>1</v>
      </c>
      <c r="G224" s="268" t="s">
        <v>193</v>
      </c>
      <c r="H224" s="267" t="s">
        <v>194</v>
      </c>
      <c r="I224" s="267" t="s">
        <v>6255</v>
      </c>
      <c r="J224" s="266" t="s">
        <v>238</v>
      </c>
      <c r="K224" s="267">
        <v>18</v>
      </c>
      <c r="L224" s="266" t="s">
        <v>6458</v>
      </c>
      <c r="M224" s="266" t="s">
        <v>6269</v>
      </c>
      <c r="N224" s="267">
        <v>1863</v>
      </c>
      <c r="O224" s="267" t="s">
        <v>1948</v>
      </c>
      <c r="P224" s="267">
        <v>1</v>
      </c>
      <c r="Q224" s="267"/>
      <c r="R224" s="267"/>
      <c r="S224" s="266" t="s">
        <v>4714</v>
      </c>
      <c r="T224" s="267" t="s">
        <v>6434</v>
      </c>
      <c r="U224" s="245" t="str">
        <f t="shared" si="3"/>
        <v>214405</v>
      </c>
      <c r="Z224" s="192"/>
      <c r="AD224" s="192"/>
    </row>
    <row r="225" spans="1:30" x14ac:dyDescent="0.25">
      <c r="A225" s="266" t="s">
        <v>6033</v>
      </c>
      <c r="B225" s="266" t="s">
        <v>6459</v>
      </c>
      <c r="C225" s="266" t="s">
        <v>6460</v>
      </c>
      <c r="D225" s="266" t="s">
        <v>5798</v>
      </c>
      <c r="E225" s="266" t="s">
        <v>192</v>
      </c>
      <c r="F225" s="267">
        <v>1</v>
      </c>
      <c r="G225" s="268" t="s">
        <v>193</v>
      </c>
      <c r="H225" s="267" t="s">
        <v>194</v>
      </c>
      <c r="I225" s="267" t="s">
        <v>6255</v>
      </c>
      <c r="J225" s="266" t="s">
        <v>238</v>
      </c>
      <c r="K225" s="267">
        <v>18</v>
      </c>
      <c r="L225" s="266" t="s">
        <v>6461</v>
      </c>
      <c r="M225" s="266" t="s">
        <v>6462</v>
      </c>
      <c r="N225" s="267">
        <v>1863.1815999999999</v>
      </c>
      <c r="O225" s="267" t="s">
        <v>6463</v>
      </c>
      <c r="P225" s="267">
        <v>2</v>
      </c>
      <c r="Q225" s="267"/>
      <c r="R225" s="267"/>
      <c r="S225" s="266" t="s">
        <v>4714</v>
      </c>
      <c r="T225" s="267" t="s">
        <v>6255</v>
      </c>
      <c r="U225" s="245" t="str">
        <f t="shared" si="3"/>
        <v>333204</v>
      </c>
      <c r="Z225" s="192"/>
      <c r="AD225" s="192"/>
    </row>
    <row r="226" spans="1:30" x14ac:dyDescent="0.25">
      <c r="A226" s="266" t="s">
        <v>6464</v>
      </c>
      <c r="B226" s="266" t="s">
        <v>6465</v>
      </c>
      <c r="C226" s="266" t="s">
        <v>6156</v>
      </c>
      <c r="D226" s="266" t="s">
        <v>5798</v>
      </c>
      <c r="E226" s="266" t="s">
        <v>192</v>
      </c>
      <c r="F226" s="267">
        <v>1</v>
      </c>
      <c r="G226" s="268" t="s">
        <v>193</v>
      </c>
      <c r="H226" s="267" t="s">
        <v>194</v>
      </c>
      <c r="I226" s="267" t="s">
        <v>6255</v>
      </c>
      <c r="J226" s="266" t="s">
        <v>210</v>
      </c>
      <c r="K226" s="267">
        <v>18</v>
      </c>
      <c r="L226" s="266" t="s">
        <v>6466</v>
      </c>
      <c r="M226" s="266" t="s">
        <v>6254</v>
      </c>
      <c r="N226" s="267">
        <v>1863</v>
      </c>
      <c r="O226" s="267" t="s">
        <v>6158</v>
      </c>
      <c r="P226" s="267">
        <v>1</v>
      </c>
      <c r="Q226" s="267"/>
      <c r="R226" s="267"/>
      <c r="S226" s="266" t="s">
        <v>4714</v>
      </c>
      <c r="T226" s="267" t="s">
        <v>6434</v>
      </c>
      <c r="U226" s="245" t="str">
        <f t="shared" si="3"/>
        <v>241204</v>
      </c>
      <c r="Z226" s="192"/>
      <c r="AD226" s="192"/>
    </row>
    <row r="227" spans="1:30" x14ac:dyDescent="0.25">
      <c r="A227" s="266" t="s">
        <v>4457</v>
      </c>
      <c r="B227" s="266" t="s">
        <v>6467</v>
      </c>
      <c r="C227" s="266" t="s">
        <v>6468</v>
      </c>
      <c r="D227" s="266" t="s">
        <v>5798</v>
      </c>
      <c r="E227" s="266" t="s">
        <v>192</v>
      </c>
      <c r="F227" s="267">
        <v>1</v>
      </c>
      <c r="G227" s="268" t="s">
        <v>193</v>
      </c>
      <c r="H227" s="267" t="s">
        <v>194</v>
      </c>
      <c r="I227" s="267" t="s">
        <v>6255</v>
      </c>
      <c r="J227" s="266" t="s">
        <v>6469</v>
      </c>
      <c r="K227" s="267">
        <v>18</v>
      </c>
      <c r="L227" s="266" t="s">
        <v>6470</v>
      </c>
      <c r="M227" s="266" t="s">
        <v>6256</v>
      </c>
      <c r="N227" s="267">
        <v>1863.1815999999999</v>
      </c>
      <c r="O227" s="267" t="s">
        <v>6471</v>
      </c>
      <c r="P227" s="267">
        <v>2</v>
      </c>
      <c r="Q227" s="267"/>
      <c r="R227" s="267"/>
      <c r="S227" s="266" t="s">
        <v>4714</v>
      </c>
      <c r="T227" s="267" t="s">
        <v>6434</v>
      </c>
      <c r="U227" s="245" t="str">
        <f t="shared" si="3"/>
        <v>216201</v>
      </c>
      <c r="Z227" s="192"/>
      <c r="AD227" s="192"/>
    </row>
    <row r="228" spans="1:30" x14ac:dyDescent="0.25">
      <c r="A228" s="266" t="s">
        <v>1935</v>
      </c>
      <c r="B228" s="266" t="s">
        <v>1942</v>
      </c>
      <c r="C228" s="266" t="s">
        <v>6472</v>
      </c>
      <c r="D228" s="266" t="s">
        <v>5798</v>
      </c>
      <c r="E228" s="266" t="s">
        <v>192</v>
      </c>
      <c r="F228" s="267">
        <v>1</v>
      </c>
      <c r="G228" s="268" t="s">
        <v>193</v>
      </c>
      <c r="H228" s="267" t="s">
        <v>194</v>
      </c>
      <c r="I228" s="267" t="s">
        <v>6255</v>
      </c>
      <c r="J228" s="266" t="s">
        <v>253</v>
      </c>
      <c r="K228" s="267">
        <v>18</v>
      </c>
      <c r="L228" s="266" t="s">
        <v>6473</v>
      </c>
      <c r="M228" s="266" t="s">
        <v>6245</v>
      </c>
      <c r="N228" s="267">
        <v>1811</v>
      </c>
      <c r="O228" s="267" t="s">
        <v>1938</v>
      </c>
      <c r="P228" s="267">
        <v>1</v>
      </c>
      <c r="Q228" s="267"/>
      <c r="R228" s="267"/>
      <c r="S228" s="266" t="s">
        <v>4714</v>
      </c>
      <c r="T228" s="267" t="s">
        <v>6434</v>
      </c>
      <c r="U228" s="245" t="str">
        <f t="shared" si="3"/>
        <v>214406</v>
      </c>
      <c r="Z228" s="192"/>
      <c r="AD228" s="192"/>
    </row>
    <row r="229" spans="1:30" x14ac:dyDescent="0.25">
      <c r="A229" s="266" t="s">
        <v>2772</v>
      </c>
      <c r="B229" s="266" t="s">
        <v>6474</v>
      </c>
      <c r="C229" s="266" t="s">
        <v>3438</v>
      </c>
      <c r="D229" s="266" t="s">
        <v>5798</v>
      </c>
      <c r="E229" s="266" t="s">
        <v>192</v>
      </c>
      <c r="F229" s="267">
        <v>1</v>
      </c>
      <c r="G229" s="268" t="s">
        <v>193</v>
      </c>
      <c r="H229" s="267" t="s">
        <v>194</v>
      </c>
      <c r="I229" s="267" t="s">
        <v>6255</v>
      </c>
      <c r="J229" s="266" t="s">
        <v>210</v>
      </c>
      <c r="K229" s="267">
        <v>18</v>
      </c>
      <c r="L229" s="266" t="s">
        <v>6475</v>
      </c>
      <c r="M229" s="266" t="s">
        <v>6251</v>
      </c>
      <c r="N229" s="267">
        <v>1863</v>
      </c>
      <c r="O229" s="267" t="s">
        <v>3439</v>
      </c>
      <c r="P229" s="267">
        <v>1</v>
      </c>
      <c r="Q229" s="267"/>
      <c r="R229" s="267"/>
      <c r="S229" s="266" t="s">
        <v>4714</v>
      </c>
      <c r="T229" s="267" t="s">
        <v>6434</v>
      </c>
      <c r="U229" s="245" t="str">
        <f t="shared" si="3"/>
        <v>334306</v>
      </c>
      <c r="Z229" s="192"/>
      <c r="AD229" s="192"/>
    </row>
    <row r="230" spans="1:30" x14ac:dyDescent="0.25">
      <c r="A230" s="266" t="s">
        <v>977</v>
      </c>
      <c r="B230" s="266" t="s">
        <v>6476</v>
      </c>
      <c r="C230" s="266" t="s">
        <v>29</v>
      </c>
      <c r="D230" s="266" t="s">
        <v>5798</v>
      </c>
      <c r="E230" s="266" t="s">
        <v>192</v>
      </c>
      <c r="F230" s="267">
        <v>1</v>
      </c>
      <c r="G230" s="268" t="s">
        <v>193</v>
      </c>
      <c r="H230" s="267" t="s">
        <v>194</v>
      </c>
      <c r="I230" s="267" t="s">
        <v>6255</v>
      </c>
      <c r="J230" s="266" t="s">
        <v>253</v>
      </c>
      <c r="K230" s="267">
        <v>18</v>
      </c>
      <c r="L230" s="266" t="s">
        <v>6477</v>
      </c>
      <c r="M230" s="266" t="s">
        <v>6275</v>
      </c>
      <c r="N230" s="267">
        <v>1811</v>
      </c>
      <c r="O230" s="267" t="s">
        <v>808</v>
      </c>
      <c r="P230" s="267">
        <v>1</v>
      </c>
      <c r="Q230" s="267"/>
      <c r="R230" s="267"/>
      <c r="S230" s="266" t="s">
        <v>4714</v>
      </c>
      <c r="T230" s="267" t="s">
        <v>6434</v>
      </c>
      <c r="U230" s="245" t="str">
        <f t="shared" si="3"/>
        <v>722308</v>
      </c>
      <c r="Z230" s="192"/>
      <c r="AD230" s="192"/>
    </row>
    <row r="231" spans="1:30" x14ac:dyDescent="0.25">
      <c r="A231" s="266" t="s">
        <v>369</v>
      </c>
      <c r="B231" s="266" t="s">
        <v>6478</v>
      </c>
      <c r="C231" s="266" t="s">
        <v>5326</v>
      </c>
      <c r="D231" s="266" t="s">
        <v>5798</v>
      </c>
      <c r="E231" s="266" t="s">
        <v>192</v>
      </c>
      <c r="F231" s="267">
        <v>1</v>
      </c>
      <c r="G231" s="268" t="s">
        <v>193</v>
      </c>
      <c r="H231" s="267" t="s">
        <v>194</v>
      </c>
      <c r="I231" s="267" t="s">
        <v>6255</v>
      </c>
      <c r="J231" s="266" t="s">
        <v>210</v>
      </c>
      <c r="K231" s="267">
        <v>18</v>
      </c>
      <c r="L231" s="266" t="s">
        <v>6479</v>
      </c>
      <c r="M231" s="266" t="s">
        <v>6279</v>
      </c>
      <c r="N231" s="267">
        <v>1863</v>
      </c>
      <c r="O231" s="267" t="s">
        <v>584</v>
      </c>
      <c r="P231" s="267">
        <v>1</v>
      </c>
      <c r="Q231" s="267"/>
      <c r="R231" s="267"/>
      <c r="S231" s="266" t="s">
        <v>4714</v>
      </c>
      <c r="T231" s="267" t="s">
        <v>6434</v>
      </c>
      <c r="U231" s="245" t="str">
        <f t="shared" si="3"/>
        <v>311937</v>
      </c>
      <c r="Z231" s="192"/>
      <c r="AD231" s="192"/>
    </row>
    <row r="232" spans="1:30" x14ac:dyDescent="0.25">
      <c r="A232" s="266" t="s">
        <v>1945</v>
      </c>
      <c r="B232" s="266" t="s">
        <v>6480</v>
      </c>
      <c r="C232" s="266" t="s">
        <v>566</v>
      </c>
      <c r="D232" s="266" t="s">
        <v>5798</v>
      </c>
      <c r="E232" s="266" t="s">
        <v>192</v>
      </c>
      <c r="F232" s="267">
        <v>1</v>
      </c>
      <c r="G232" s="268" t="s">
        <v>193</v>
      </c>
      <c r="H232" s="267" t="s">
        <v>194</v>
      </c>
      <c r="I232" s="267" t="s">
        <v>6255</v>
      </c>
      <c r="J232" s="266" t="s">
        <v>316</v>
      </c>
      <c r="K232" s="267">
        <v>18</v>
      </c>
      <c r="L232" s="266" t="s">
        <v>6481</v>
      </c>
      <c r="M232" s="266" t="s">
        <v>6275</v>
      </c>
      <c r="N232" s="267">
        <v>1818</v>
      </c>
      <c r="O232" s="267" t="s">
        <v>567</v>
      </c>
      <c r="P232" s="267">
        <v>1</v>
      </c>
      <c r="Q232" s="267"/>
      <c r="R232" s="267"/>
      <c r="S232" s="266" t="s">
        <v>4714</v>
      </c>
      <c r="T232" s="267" t="s">
        <v>6434</v>
      </c>
      <c r="U232" s="245" t="str">
        <f t="shared" si="3"/>
        <v>311504</v>
      </c>
      <c r="Z232" s="192"/>
      <c r="AD232" s="192"/>
    </row>
    <row r="233" spans="1:30" x14ac:dyDescent="0.25">
      <c r="A233" s="266" t="s">
        <v>6482</v>
      </c>
      <c r="B233" s="266" t="s">
        <v>6483</v>
      </c>
      <c r="C233" s="266" t="s">
        <v>566</v>
      </c>
      <c r="D233" s="266" t="s">
        <v>5798</v>
      </c>
      <c r="E233" s="266" t="s">
        <v>192</v>
      </c>
      <c r="F233" s="267">
        <v>1</v>
      </c>
      <c r="G233" s="268" t="s">
        <v>193</v>
      </c>
      <c r="H233" s="267" t="s">
        <v>194</v>
      </c>
      <c r="I233" s="267" t="s">
        <v>6255</v>
      </c>
      <c r="J233" s="266" t="s">
        <v>210</v>
      </c>
      <c r="K233" s="267">
        <v>18</v>
      </c>
      <c r="L233" s="266" t="s">
        <v>6484</v>
      </c>
      <c r="M233" s="266" t="s">
        <v>6245</v>
      </c>
      <c r="N233" s="267">
        <v>1863</v>
      </c>
      <c r="O233" s="267" t="s">
        <v>567</v>
      </c>
      <c r="P233" s="267">
        <v>1</v>
      </c>
      <c r="Q233" s="267"/>
      <c r="R233" s="267"/>
      <c r="S233" s="266" t="s">
        <v>4714</v>
      </c>
      <c r="T233" s="267" t="s">
        <v>6434</v>
      </c>
      <c r="U233" s="245" t="str">
        <f t="shared" si="3"/>
        <v>311504</v>
      </c>
      <c r="Z233" s="192"/>
      <c r="AD233" s="192"/>
    </row>
    <row r="234" spans="1:30" x14ac:dyDescent="0.25">
      <c r="A234" s="266" t="s">
        <v>4457</v>
      </c>
      <c r="B234" s="266" t="s">
        <v>1760</v>
      </c>
      <c r="C234" s="266" t="s">
        <v>156</v>
      </c>
      <c r="D234" s="266" t="s">
        <v>5798</v>
      </c>
      <c r="E234" s="266" t="s">
        <v>192</v>
      </c>
      <c r="F234" s="267">
        <v>1</v>
      </c>
      <c r="G234" s="268" t="s">
        <v>193</v>
      </c>
      <c r="H234" s="267" t="s">
        <v>194</v>
      </c>
      <c r="I234" s="267" t="s">
        <v>6255</v>
      </c>
      <c r="J234" s="266" t="s">
        <v>6469</v>
      </c>
      <c r="K234" s="267">
        <v>18</v>
      </c>
      <c r="L234" s="266" t="s">
        <v>6485</v>
      </c>
      <c r="M234" s="266" t="s">
        <v>6266</v>
      </c>
      <c r="N234" s="267">
        <v>1816.1863000000001</v>
      </c>
      <c r="O234" s="267" t="s">
        <v>659</v>
      </c>
      <c r="P234" s="267">
        <v>2</v>
      </c>
      <c r="Q234" s="267"/>
      <c r="R234" s="267"/>
      <c r="S234" s="266" t="s">
        <v>4714</v>
      </c>
      <c r="T234" s="267" t="s">
        <v>6434</v>
      </c>
      <c r="U234" s="245" t="str">
        <f t="shared" si="3"/>
        <v>332302</v>
      </c>
      <c r="Z234" s="192"/>
      <c r="AD234" s="192"/>
    </row>
    <row r="235" spans="1:30" x14ac:dyDescent="0.25">
      <c r="A235" s="266" t="s">
        <v>6048</v>
      </c>
      <c r="B235" s="266" t="s">
        <v>6059</v>
      </c>
      <c r="C235" s="266" t="s">
        <v>5884</v>
      </c>
      <c r="D235" s="266" t="s">
        <v>5798</v>
      </c>
      <c r="E235" s="266" t="s">
        <v>192</v>
      </c>
      <c r="F235" s="267">
        <v>1</v>
      </c>
      <c r="G235" s="268" t="s">
        <v>193</v>
      </c>
      <c r="H235" s="267" t="s">
        <v>194</v>
      </c>
      <c r="I235" s="267" t="s">
        <v>6255</v>
      </c>
      <c r="J235" s="266" t="s">
        <v>826</v>
      </c>
      <c r="K235" s="267">
        <v>18</v>
      </c>
      <c r="L235" s="266" t="s">
        <v>6486</v>
      </c>
      <c r="M235" s="266" t="s">
        <v>6302</v>
      </c>
      <c r="N235" s="267">
        <v>1816</v>
      </c>
      <c r="O235" s="267" t="s">
        <v>5886</v>
      </c>
      <c r="P235" s="267">
        <v>1</v>
      </c>
      <c r="Q235" s="267"/>
      <c r="R235" s="267"/>
      <c r="S235" s="266" t="s">
        <v>4714</v>
      </c>
      <c r="T235" s="267" t="s">
        <v>6434</v>
      </c>
      <c r="U235" s="245" t="str">
        <f t="shared" si="3"/>
        <v>243107</v>
      </c>
      <c r="Z235" s="192"/>
      <c r="AD235" s="192"/>
    </row>
    <row r="236" spans="1:30" x14ac:dyDescent="0.25">
      <c r="A236" s="266" t="s">
        <v>4457</v>
      </c>
      <c r="B236" s="266" t="s">
        <v>6487</v>
      </c>
      <c r="C236" s="266" t="s">
        <v>6488</v>
      </c>
      <c r="D236" s="266" t="s">
        <v>5798</v>
      </c>
      <c r="E236" s="266" t="s">
        <v>192</v>
      </c>
      <c r="F236" s="267">
        <v>1</v>
      </c>
      <c r="G236" s="268" t="s">
        <v>193</v>
      </c>
      <c r="H236" s="267" t="s">
        <v>194</v>
      </c>
      <c r="I236" s="267" t="s">
        <v>6255</v>
      </c>
      <c r="J236" s="266" t="s">
        <v>6469</v>
      </c>
      <c r="K236" s="267">
        <v>18</v>
      </c>
      <c r="L236" s="266" t="s">
        <v>6489</v>
      </c>
      <c r="M236" s="266" t="s">
        <v>6256</v>
      </c>
      <c r="N236" s="267">
        <v>1816</v>
      </c>
      <c r="O236" s="267" t="s">
        <v>4273</v>
      </c>
      <c r="P236" s="267">
        <v>1</v>
      </c>
      <c r="Q236" s="267"/>
      <c r="R236" s="267"/>
      <c r="S236" s="266" t="s">
        <v>4714</v>
      </c>
      <c r="T236" s="267" t="s">
        <v>6434</v>
      </c>
      <c r="U236" s="245" t="str">
        <f t="shared" si="3"/>
        <v>216507</v>
      </c>
      <c r="Z236" s="192"/>
      <c r="AD236" s="192"/>
    </row>
    <row r="237" spans="1:30" x14ac:dyDescent="0.25">
      <c r="A237" s="266" t="s">
        <v>5713</v>
      </c>
      <c r="B237" s="266" t="s">
        <v>6490</v>
      </c>
      <c r="C237" s="266" t="s">
        <v>36</v>
      </c>
      <c r="D237" s="266" t="s">
        <v>5798</v>
      </c>
      <c r="E237" s="266" t="s">
        <v>192</v>
      </c>
      <c r="F237" s="267">
        <v>1</v>
      </c>
      <c r="G237" s="268" t="s">
        <v>193</v>
      </c>
      <c r="H237" s="267" t="s">
        <v>194</v>
      </c>
      <c r="I237" s="267" t="s">
        <v>6255</v>
      </c>
      <c r="J237" s="266" t="s">
        <v>6491</v>
      </c>
      <c r="K237" s="267">
        <v>18</v>
      </c>
      <c r="L237" s="266" t="s">
        <v>6492</v>
      </c>
      <c r="M237" s="266" t="s">
        <v>6254</v>
      </c>
      <c r="N237" s="267">
        <v>1816</v>
      </c>
      <c r="O237" s="267" t="s">
        <v>609</v>
      </c>
      <c r="P237" s="267">
        <v>1</v>
      </c>
      <c r="Q237" s="267"/>
      <c r="R237" s="267"/>
      <c r="S237" s="266" t="s">
        <v>4714</v>
      </c>
      <c r="T237" s="267" t="s">
        <v>6255</v>
      </c>
      <c r="U237" s="245" t="str">
        <f t="shared" si="3"/>
        <v>331301</v>
      </c>
      <c r="Z237" s="192"/>
      <c r="AD237" s="192"/>
    </row>
    <row r="238" spans="1:30" x14ac:dyDescent="0.25">
      <c r="A238" s="266" t="s">
        <v>4457</v>
      </c>
      <c r="B238" s="266" t="s">
        <v>1396</v>
      </c>
      <c r="C238" s="266" t="s">
        <v>1402</v>
      </c>
      <c r="D238" s="266" t="s">
        <v>5798</v>
      </c>
      <c r="E238" s="266" t="s">
        <v>192</v>
      </c>
      <c r="F238" s="267">
        <v>1</v>
      </c>
      <c r="G238" s="268" t="s">
        <v>193</v>
      </c>
      <c r="H238" s="267" t="s">
        <v>194</v>
      </c>
      <c r="I238" s="267" t="s">
        <v>6255</v>
      </c>
      <c r="J238" s="266" t="s">
        <v>6469</v>
      </c>
      <c r="K238" s="267">
        <v>18</v>
      </c>
      <c r="L238" s="266" t="s">
        <v>6493</v>
      </c>
      <c r="M238" s="266" t="s">
        <v>6249</v>
      </c>
      <c r="N238" s="267">
        <v>1816</v>
      </c>
      <c r="O238" s="267" t="s">
        <v>1403</v>
      </c>
      <c r="P238" s="267">
        <v>1</v>
      </c>
      <c r="Q238" s="267"/>
      <c r="R238" s="267"/>
      <c r="S238" s="266" t="s">
        <v>4714</v>
      </c>
      <c r="T238" s="267" t="s">
        <v>6434</v>
      </c>
      <c r="U238" s="245" t="str">
        <f t="shared" si="3"/>
        <v>242228</v>
      </c>
      <c r="Z238" s="192"/>
      <c r="AD238" s="192"/>
    </row>
    <row r="239" spans="1:30" x14ac:dyDescent="0.25">
      <c r="A239" s="266" t="s">
        <v>6494</v>
      </c>
      <c r="B239" s="266" t="s">
        <v>4381</v>
      </c>
      <c r="C239" s="266" t="s">
        <v>6495</v>
      </c>
      <c r="D239" s="266" t="s">
        <v>5798</v>
      </c>
      <c r="E239" s="266" t="s">
        <v>192</v>
      </c>
      <c r="F239" s="267">
        <v>1</v>
      </c>
      <c r="G239" s="268" t="s">
        <v>193</v>
      </c>
      <c r="H239" s="267" t="s">
        <v>194</v>
      </c>
      <c r="I239" s="267" t="s">
        <v>6255</v>
      </c>
      <c r="J239" s="266" t="s">
        <v>210</v>
      </c>
      <c r="K239" s="267">
        <v>18</v>
      </c>
      <c r="L239" s="266" t="s">
        <v>6496</v>
      </c>
      <c r="M239" s="266" t="s">
        <v>6343</v>
      </c>
      <c r="N239" s="267">
        <v>1863</v>
      </c>
      <c r="O239" s="267" t="s">
        <v>6497</v>
      </c>
      <c r="P239" s="267">
        <v>1</v>
      </c>
      <c r="Q239" s="267"/>
      <c r="R239" s="267"/>
      <c r="S239" s="266" t="s">
        <v>4714</v>
      </c>
      <c r="T239" s="267" t="s">
        <v>6434</v>
      </c>
      <c r="U239" s="245" t="str">
        <f t="shared" si="3"/>
        <v>141203</v>
      </c>
      <c r="Z239" s="192"/>
      <c r="AD239" s="192"/>
    </row>
    <row r="240" spans="1:30" x14ac:dyDescent="0.25">
      <c r="A240" s="266" t="s">
        <v>6498</v>
      </c>
      <c r="B240" s="266" t="s">
        <v>2821</v>
      </c>
      <c r="C240" s="266" t="s">
        <v>103</v>
      </c>
      <c r="D240" s="266" t="s">
        <v>5798</v>
      </c>
      <c r="E240" s="266" t="s">
        <v>192</v>
      </c>
      <c r="F240" s="267">
        <v>1</v>
      </c>
      <c r="G240" s="268" t="s">
        <v>193</v>
      </c>
      <c r="H240" s="267" t="s">
        <v>194</v>
      </c>
      <c r="I240" s="267" t="s">
        <v>6255</v>
      </c>
      <c r="J240" s="266" t="s">
        <v>962</v>
      </c>
      <c r="K240" s="267">
        <v>18</v>
      </c>
      <c r="L240" s="266" t="s">
        <v>6499</v>
      </c>
      <c r="M240" s="266" t="s">
        <v>6275</v>
      </c>
      <c r="N240" s="267">
        <v>1806</v>
      </c>
      <c r="O240" s="267" t="s">
        <v>1443</v>
      </c>
      <c r="P240" s="267">
        <v>1</v>
      </c>
      <c r="Q240" s="267"/>
      <c r="R240" s="267"/>
      <c r="S240" s="266" t="s">
        <v>4714</v>
      </c>
      <c r="T240" s="267" t="s">
        <v>6434</v>
      </c>
      <c r="U240" s="245" t="str">
        <f t="shared" si="3"/>
        <v>132103</v>
      </c>
      <c r="Z240" s="192"/>
      <c r="AD240" s="192"/>
    </row>
    <row r="241" spans="1:30" x14ac:dyDescent="0.25">
      <c r="A241" s="266" t="s">
        <v>1923</v>
      </c>
      <c r="B241" s="266" t="s">
        <v>6500</v>
      </c>
      <c r="C241" s="266" t="s">
        <v>27</v>
      </c>
      <c r="D241" s="266" t="s">
        <v>5798</v>
      </c>
      <c r="E241" s="266" t="s">
        <v>192</v>
      </c>
      <c r="F241" s="267">
        <v>1</v>
      </c>
      <c r="G241" s="268" t="s">
        <v>193</v>
      </c>
      <c r="H241" s="267" t="s">
        <v>194</v>
      </c>
      <c r="I241" s="267" t="s">
        <v>6255</v>
      </c>
      <c r="J241" s="266" t="s">
        <v>285</v>
      </c>
      <c r="K241" s="267">
        <v>18</v>
      </c>
      <c r="L241" s="266" t="s">
        <v>6501</v>
      </c>
      <c r="M241" s="266" t="s">
        <v>6286</v>
      </c>
      <c r="N241" s="267">
        <v>1815</v>
      </c>
      <c r="O241" s="267" t="s">
        <v>440</v>
      </c>
      <c r="P241" s="267">
        <v>1</v>
      </c>
      <c r="Q241" s="267"/>
      <c r="R241" s="267"/>
      <c r="S241" s="266" t="s">
        <v>4714</v>
      </c>
      <c r="T241" s="267" t="s">
        <v>6434</v>
      </c>
      <c r="U241" s="245" t="str">
        <f t="shared" si="3"/>
        <v>242307</v>
      </c>
      <c r="Z241" s="192"/>
      <c r="AD241" s="192"/>
    </row>
    <row r="242" spans="1:30" x14ac:dyDescent="0.25">
      <c r="A242" s="266" t="s">
        <v>1675</v>
      </c>
      <c r="B242" s="266" t="s">
        <v>6502</v>
      </c>
      <c r="C242" s="266" t="s">
        <v>525</v>
      </c>
      <c r="D242" s="266" t="s">
        <v>5798</v>
      </c>
      <c r="E242" s="266" t="s">
        <v>192</v>
      </c>
      <c r="F242" s="267">
        <v>1</v>
      </c>
      <c r="G242" s="268" t="s">
        <v>193</v>
      </c>
      <c r="H242" s="267" t="s">
        <v>194</v>
      </c>
      <c r="I242" s="267" t="s">
        <v>6255</v>
      </c>
      <c r="J242" s="266" t="s">
        <v>408</v>
      </c>
      <c r="K242" s="267">
        <v>18</v>
      </c>
      <c r="L242" s="266" t="s">
        <v>6503</v>
      </c>
      <c r="M242" s="266" t="s">
        <v>6254</v>
      </c>
      <c r="N242" s="267">
        <v>1864</v>
      </c>
      <c r="O242" s="267" t="s">
        <v>526</v>
      </c>
      <c r="P242" s="267">
        <v>1</v>
      </c>
      <c r="Q242" s="267"/>
      <c r="R242" s="267"/>
      <c r="S242" s="266" t="s">
        <v>4714</v>
      </c>
      <c r="T242" s="267" t="s">
        <v>6434</v>
      </c>
      <c r="U242" s="245" t="str">
        <f t="shared" si="3"/>
        <v>263102</v>
      </c>
      <c r="Z242" s="192"/>
      <c r="AD242" s="192"/>
    </row>
    <row r="243" spans="1:30" x14ac:dyDescent="0.25">
      <c r="A243" s="266" t="s">
        <v>5713</v>
      </c>
      <c r="B243" s="266" t="s">
        <v>6504</v>
      </c>
      <c r="C243" s="266" t="s">
        <v>1136</v>
      </c>
      <c r="D243" s="266" t="s">
        <v>5798</v>
      </c>
      <c r="E243" s="266" t="s">
        <v>192</v>
      </c>
      <c r="F243" s="267">
        <v>1</v>
      </c>
      <c r="G243" s="268" t="s">
        <v>193</v>
      </c>
      <c r="H243" s="267" t="s">
        <v>194</v>
      </c>
      <c r="I243" s="267" t="s">
        <v>6255</v>
      </c>
      <c r="J243" s="266" t="s">
        <v>6491</v>
      </c>
      <c r="K243" s="267">
        <v>18</v>
      </c>
      <c r="L243" s="266" t="s">
        <v>6505</v>
      </c>
      <c r="M243" s="266" t="s">
        <v>6286</v>
      </c>
      <c r="N243" s="267">
        <v>1816</v>
      </c>
      <c r="O243" s="267" t="s">
        <v>1137</v>
      </c>
      <c r="P243" s="267">
        <v>1</v>
      </c>
      <c r="Q243" s="267"/>
      <c r="R243" s="267"/>
      <c r="S243" s="266" t="s">
        <v>4714</v>
      </c>
      <c r="T243" s="267" t="s">
        <v>6255</v>
      </c>
      <c r="U243" s="245" t="str">
        <f t="shared" si="3"/>
        <v>121201</v>
      </c>
      <c r="Z243" s="192"/>
      <c r="AD243" s="192"/>
    </row>
    <row r="244" spans="1:30" x14ac:dyDescent="0.25">
      <c r="A244" s="266" t="s">
        <v>2567</v>
      </c>
      <c r="B244" s="266" t="s">
        <v>1057</v>
      </c>
      <c r="C244" s="266" t="s">
        <v>74</v>
      </c>
      <c r="D244" s="266" t="s">
        <v>5798</v>
      </c>
      <c r="E244" s="266" t="s">
        <v>192</v>
      </c>
      <c r="F244" s="267">
        <v>1</v>
      </c>
      <c r="G244" s="268" t="s">
        <v>193</v>
      </c>
      <c r="H244" s="267" t="s">
        <v>194</v>
      </c>
      <c r="I244" s="267" t="s">
        <v>6255</v>
      </c>
      <c r="J244" s="266" t="s">
        <v>747</v>
      </c>
      <c r="K244" s="267">
        <v>18</v>
      </c>
      <c r="L244" s="266" t="s">
        <v>6506</v>
      </c>
      <c r="M244" s="266" t="s">
        <v>6249</v>
      </c>
      <c r="N244" s="267" t="s">
        <v>6507</v>
      </c>
      <c r="O244" s="267" t="s">
        <v>246</v>
      </c>
      <c r="P244" s="267">
        <v>3</v>
      </c>
      <c r="Q244" s="267"/>
      <c r="R244" s="267"/>
      <c r="S244" s="266" t="s">
        <v>4714</v>
      </c>
      <c r="T244" s="267" t="s">
        <v>6439</v>
      </c>
      <c r="U244" s="245" t="str">
        <f t="shared" si="3"/>
        <v>142004</v>
      </c>
      <c r="Z244" s="192"/>
      <c r="AD244" s="192"/>
    </row>
    <row r="245" spans="1:30" x14ac:dyDescent="0.25">
      <c r="A245" s="266" t="s">
        <v>1168</v>
      </c>
      <c r="B245" s="266" t="s">
        <v>537</v>
      </c>
      <c r="C245" s="266" t="s">
        <v>778</v>
      </c>
      <c r="D245" s="266" t="s">
        <v>5798</v>
      </c>
      <c r="E245" s="266" t="s">
        <v>192</v>
      </c>
      <c r="F245" s="267">
        <v>1</v>
      </c>
      <c r="G245" s="268" t="s">
        <v>193</v>
      </c>
      <c r="H245" s="267" t="s">
        <v>194</v>
      </c>
      <c r="I245" s="267" t="s">
        <v>6403</v>
      </c>
      <c r="J245" s="266" t="s">
        <v>301</v>
      </c>
      <c r="K245" s="267">
        <v>18</v>
      </c>
      <c r="L245" s="266" t="s">
        <v>6508</v>
      </c>
      <c r="M245" s="266" t="s">
        <v>6249</v>
      </c>
      <c r="N245" s="267">
        <v>1810</v>
      </c>
      <c r="O245" s="267" t="s">
        <v>779</v>
      </c>
      <c r="P245" s="267">
        <v>1</v>
      </c>
      <c r="Q245" s="267"/>
      <c r="R245" s="267"/>
      <c r="S245" s="266" t="s">
        <v>4714</v>
      </c>
      <c r="T245" s="267" t="s">
        <v>6434</v>
      </c>
      <c r="U245" s="245" t="str">
        <f t="shared" si="3"/>
        <v>524902</v>
      </c>
      <c r="Z245" s="192"/>
      <c r="AD245" s="192"/>
    </row>
    <row r="246" spans="1:30" x14ac:dyDescent="0.25">
      <c r="A246" s="266" t="s">
        <v>1675</v>
      </c>
      <c r="B246" s="266" t="s">
        <v>6509</v>
      </c>
      <c r="C246" s="266" t="s">
        <v>778</v>
      </c>
      <c r="D246" s="266" t="s">
        <v>5798</v>
      </c>
      <c r="E246" s="266" t="s">
        <v>192</v>
      </c>
      <c r="F246" s="267">
        <v>1</v>
      </c>
      <c r="G246" s="268" t="s">
        <v>193</v>
      </c>
      <c r="H246" s="267" t="s">
        <v>194</v>
      </c>
      <c r="I246" s="267" t="s">
        <v>6255</v>
      </c>
      <c r="J246" s="266" t="s">
        <v>210</v>
      </c>
      <c r="K246" s="267">
        <v>18</v>
      </c>
      <c r="L246" s="266" t="s">
        <v>6510</v>
      </c>
      <c r="M246" s="266" t="s">
        <v>6254</v>
      </c>
      <c r="N246" s="267">
        <v>1863</v>
      </c>
      <c r="O246" s="267" t="s">
        <v>779</v>
      </c>
      <c r="P246" s="267">
        <v>1</v>
      </c>
      <c r="Q246" s="267"/>
      <c r="R246" s="267"/>
      <c r="S246" s="266" t="s">
        <v>4714</v>
      </c>
      <c r="T246" s="267" t="s">
        <v>6434</v>
      </c>
      <c r="U246" s="245" t="str">
        <f t="shared" si="3"/>
        <v>524902</v>
      </c>
      <c r="Z246" s="192"/>
      <c r="AD246" s="192"/>
    </row>
    <row r="247" spans="1:30" x14ac:dyDescent="0.25">
      <c r="A247" s="266" t="s">
        <v>369</v>
      </c>
      <c r="B247" s="266" t="s">
        <v>6511</v>
      </c>
      <c r="C247" s="266" t="s">
        <v>83</v>
      </c>
      <c r="D247" s="266" t="s">
        <v>5798</v>
      </c>
      <c r="E247" s="266" t="s">
        <v>192</v>
      </c>
      <c r="F247" s="267">
        <v>1</v>
      </c>
      <c r="G247" s="268" t="s">
        <v>193</v>
      </c>
      <c r="H247" s="267" t="s">
        <v>194</v>
      </c>
      <c r="I247" s="267" t="s">
        <v>6255</v>
      </c>
      <c r="J247" s="266" t="s">
        <v>210</v>
      </c>
      <c r="K247" s="267">
        <v>18</v>
      </c>
      <c r="L247" s="266" t="s">
        <v>6512</v>
      </c>
      <c r="M247" s="266" t="s">
        <v>6245</v>
      </c>
      <c r="N247" s="267">
        <v>1863</v>
      </c>
      <c r="O247" s="267" t="s">
        <v>791</v>
      </c>
      <c r="P247" s="267">
        <v>1</v>
      </c>
      <c r="Q247" s="267"/>
      <c r="R247" s="267"/>
      <c r="S247" s="266" t="s">
        <v>4714</v>
      </c>
      <c r="T247" s="267" t="s">
        <v>6434</v>
      </c>
      <c r="U247" s="245" t="str">
        <f t="shared" si="3"/>
        <v>721204</v>
      </c>
      <c r="Z247" s="192"/>
      <c r="AD247" s="192"/>
    </row>
    <row r="248" spans="1:30" x14ac:dyDescent="0.25">
      <c r="A248" s="266" t="s">
        <v>6513</v>
      </c>
      <c r="B248" s="266" t="s">
        <v>212</v>
      </c>
      <c r="C248" s="266" t="s">
        <v>35</v>
      </c>
      <c r="D248" s="266" t="s">
        <v>5798</v>
      </c>
      <c r="E248" s="266" t="s">
        <v>192</v>
      </c>
      <c r="F248" s="267">
        <v>1</v>
      </c>
      <c r="G248" s="268" t="s">
        <v>193</v>
      </c>
      <c r="H248" s="267" t="s">
        <v>194</v>
      </c>
      <c r="I248" s="267" t="s">
        <v>6403</v>
      </c>
      <c r="J248" s="266" t="s">
        <v>210</v>
      </c>
      <c r="K248" s="267">
        <v>18</v>
      </c>
      <c r="L248" s="266" t="s">
        <v>6514</v>
      </c>
      <c r="M248" s="266" t="s">
        <v>6249</v>
      </c>
      <c r="N248" s="267">
        <v>1863</v>
      </c>
      <c r="O248" s="267" t="s">
        <v>207</v>
      </c>
      <c r="P248" s="267">
        <v>1</v>
      </c>
      <c r="Q248" s="267"/>
      <c r="R248" s="267"/>
      <c r="S248" s="266" t="s">
        <v>4714</v>
      </c>
      <c r="T248" s="267" t="s">
        <v>6434</v>
      </c>
      <c r="U248" s="245" t="str">
        <f t="shared" si="3"/>
        <v>122106</v>
      </c>
      <c r="Z248" s="192"/>
      <c r="AD248" s="192"/>
    </row>
    <row r="249" spans="1:30" x14ac:dyDescent="0.25">
      <c r="A249" s="266" t="s">
        <v>6515</v>
      </c>
      <c r="B249" s="266" t="s">
        <v>6516</v>
      </c>
      <c r="C249" s="266" t="s">
        <v>4977</v>
      </c>
      <c r="D249" s="266" t="s">
        <v>5798</v>
      </c>
      <c r="E249" s="266" t="s">
        <v>192</v>
      </c>
      <c r="F249" s="267">
        <v>1</v>
      </c>
      <c r="G249" s="268" t="s">
        <v>193</v>
      </c>
      <c r="H249" s="267" t="s">
        <v>194</v>
      </c>
      <c r="I249" s="267" t="s">
        <v>6255</v>
      </c>
      <c r="J249" s="266" t="s">
        <v>210</v>
      </c>
      <c r="K249" s="267">
        <v>18</v>
      </c>
      <c r="L249" s="266" t="s">
        <v>6517</v>
      </c>
      <c r="M249" s="266" t="s">
        <v>6286</v>
      </c>
      <c r="N249" s="267">
        <v>1863</v>
      </c>
      <c r="O249" s="267" t="s">
        <v>4978</v>
      </c>
      <c r="P249" s="267">
        <v>1</v>
      </c>
      <c r="Q249" s="267"/>
      <c r="R249" s="267"/>
      <c r="S249" s="266" t="s">
        <v>4714</v>
      </c>
      <c r="T249" s="267" t="s">
        <v>6434</v>
      </c>
      <c r="U249" s="245" t="str">
        <f t="shared" si="3"/>
        <v>242217</v>
      </c>
      <c r="Z249" s="192"/>
      <c r="AD249" s="192"/>
    </row>
    <row r="250" spans="1:30" x14ac:dyDescent="0.25">
      <c r="A250" s="266" t="s">
        <v>2093</v>
      </c>
      <c r="B250" s="266" t="s">
        <v>6518</v>
      </c>
      <c r="C250" s="266" t="s">
        <v>7</v>
      </c>
      <c r="D250" s="266" t="s">
        <v>5798</v>
      </c>
      <c r="E250" s="266" t="s">
        <v>233</v>
      </c>
      <c r="F250" s="267">
        <v>1</v>
      </c>
      <c r="G250" s="268" t="s">
        <v>193</v>
      </c>
      <c r="H250" s="267" t="s">
        <v>194</v>
      </c>
      <c r="I250" s="267" t="s">
        <v>6255</v>
      </c>
      <c r="J250" s="266" t="s">
        <v>210</v>
      </c>
      <c r="K250" s="267">
        <v>18</v>
      </c>
      <c r="L250" s="266" t="s">
        <v>6519</v>
      </c>
      <c r="M250" s="266" t="s">
        <v>6306</v>
      </c>
      <c r="N250" s="267">
        <v>1863</v>
      </c>
      <c r="O250" s="267" t="s">
        <v>2698</v>
      </c>
      <c r="P250" s="267">
        <v>1</v>
      </c>
      <c r="Q250" s="267" t="s">
        <v>6520</v>
      </c>
      <c r="R250" s="267"/>
      <c r="S250" s="266" t="s">
        <v>4714</v>
      </c>
      <c r="T250" s="267" t="s">
        <v>6521</v>
      </c>
      <c r="U250" s="245" t="str">
        <f t="shared" si="3"/>
        <v>335203</v>
      </c>
      <c r="Z250" s="192"/>
      <c r="AD250" s="192"/>
    </row>
    <row r="251" spans="1:30" x14ac:dyDescent="0.25">
      <c r="A251" s="266" t="s">
        <v>5457</v>
      </c>
      <c r="B251" s="266" t="s">
        <v>2770</v>
      </c>
      <c r="C251" s="266" t="s">
        <v>21</v>
      </c>
      <c r="D251" s="266" t="s">
        <v>5798</v>
      </c>
      <c r="E251" s="266" t="s">
        <v>233</v>
      </c>
      <c r="F251" s="267">
        <v>1</v>
      </c>
      <c r="G251" s="268" t="s">
        <v>193</v>
      </c>
      <c r="H251" s="267" t="s">
        <v>194</v>
      </c>
      <c r="I251" s="267" t="s">
        <v>6255</v>
      </c>
      <c r="J251" s="266" t="s">
        <v>210</v>
      </c>
      <c r="K251" s="267">
        <v>18</v>
      </c>
      <c r="L251" s="266" t="s">
        <v>6522</v>
      </c>
      <c r="M251" s="266" t="s">
        <v>6306</v>
      </c>
      <c r="N251" s="267">
        <v>1863</v>
      </c>
      <c r="O251" s="267" t="s">
        <v>293</v>
      </c>
      <c r="P251" s="267">
        <v>1</v>
      </c>
      <c r="Q251" s="267" t="s">
        <v>6523</v>
      </c>
      <c r="R251" s="267"/>
      <c r="S251" s="266" t="s">
        <v>4714</v>
      </c>
      <c r="T251" s="267" t="s">
        <v>6273</v>
      </c>
      <c r="U251" s="245" t="str">
        <f t="shared" si="3"/>
        <v>214202</v>
      </c>
      <c r="Z251" s="192"/>
      <c r="AD251" s="192"/>
    </row>
    <row r="252" spans="1:30" x14ac:dyDescent="0.25">
      <c r="M252" s="240" t="str">
        <f t="shared" ref="M252:M257" si="4">MID(L252,8,6)</f>
        <v/>
      </c>
      <c r="Z252" s="192"/>
      <c r="AD252" s="192"/>
    </row>
    <row r="253" spans="1:30" x14ac:dyDescent="0.25">
      <c r="M253" s="240" t="str">
        <f t="shared" si="4"/>
        <v/>
      </c>
      <c r="Z253" s="192"/>
      <c r="AD253" s="192"/>
    </row>
    <row r="254" spans="1:30" x14ac:dyDescent="0.25">
      <c r="M254" s="240" t="str">
        <f t="shared" si="4"/>
        <v/>
      </c>
      <c r="Z254" s="192"/>
      <c r="AD254" s="192"/>
    </row>
    <row r="255" spans="1:30" x14ac:dyDescent="0.25">
      <c r="M255" s="240" t="str">
        <f t="shared" si="4"/>
        <v/>
      </c>
      <c r="Z255" s="192"/>
      <c r="AD255" s="192"/>
    </row>
    <row r="256" spans="1:30" x14ac:dyDescent="0.25">
      <c r="M256" s="240" t="str">
        <f t="shared" si="4"/>
        <v/>
      </c>
      <c r="Z256" s="192"/>
      <c r="AD256" s="192"/>
    </row>
    <row r="257" spans="13:21" s="192" customFormat="1" x14ac:dyDescent="0.25">
      <c r="M257" s="240" t="str">
        <f t="shared" si="4"/>
        <v/>
      </c>
      <c r="N257" s="261"/>
      <c r="O257" s="261"/>
      <c r="P257" s="261"/>
      <c r="Q257" s="261"/>
      <c r="R257" s="261"/>
      <c r="S257" s="259"/>
      <c r="T257" s="261"/>
      <c r="U257" s="241"/>
    </row>
    <row r="258" spans="13:21" s="192" customFormat="1" x14ac:dyDescent="0.25">
      <c r="M258" s="240" t="str">
        <f t="shared" ref="M258:M321" si="5">MID(L258,8,6)</f>
        <v/>
      </c>
      <c r="N258" s="261"/>
      <c r="O258" s="261"/>
      <c r="P258" s="261"/>
      <c r="Q258" s="261"/>
      <c r="R258" s="261"/>
      <c r="S258" s="259"/>
      <c r="T258" s="261"/>
      <c r="U258" s="241"/>
    </row>
    <row r="259" spans="13:21" s="192" customFormat="1" x14ac:dyDescent="0.25">
      <c r="M259" s="240" t="str">
        <f t="shared" si="5"/>
        <v/>
      </c>
      <c r="N259" s="261"/>
      <c r="O259" s="261"/>
      <c r="P259" s="261"/>
      <c r="Q259" s="261"/>
      <c r="R259" s="261"/>
      <c r="S259" s="259"/>
      <c r="T259" s="261"/>
      <c r="U259" s="241"/>
    </row>
    <row r="260" spans="13:21" s="192" customFormat="1" x14ac:dyDescent="0.25">
      <c r="M260" s="240" t="str">
        <f t="shared" si="5"/>
        <v/>
      </c>
      <c r="N260" s="261"/>
      <c r="O260" s="261"/>
      <c r="P260" s="261"/>
      <c r="Q260" s="261"/>
      <c r="R260" s="261"/>
      <c r="S260" s="259"/>
      <c r="T260" s="261"/>
      <c r="U260" s="241"/>
    </row>
    <row r="261" spans="13:21" s="192" customFormat="1" x14ac:dyDescent="0.25">
      <c r="M261" s="240" t="str">
        <f t="shared" si="5"/>
        <v/>
      </c>
      <c r="N261" s="261"/>
      <c r="O261" s="261"/>
      <c r="P261" s="261"/>
      <c r="Q261" s="261"/>
      <c r="R261" s="261"/>
      <c r="S261" s="259"/>
      <c r="T261" s="261"/>
      <c r="U261" s="241"/>
    </row>
    <row r="262" spans="13:21" s="192" customFormat="1" x14ac:dyDescent="0.25">
      <c r="M262" s="240" t="str">
        <f t="shared" si="5"/>
        <v/>
      </c>
      <c r="N262" s="261"/>
      <c r="O262" s="261"/>
      <c r="P262" s="261"/>
      <c r="Q262" s="261"/>
      <c r="R262" s="261"/>
      <c r="S262" s="259"/>
      <c r="T262" s="261"/>
      <c r="U262" s="241"/>
    </row>
    <row r="263" spans="13:21" s="192" customFormat="1" x14ac:dyDescent="0.25">
      <c r="M263" s="240" t="str">
        <f t="shared" si="5"/>
        <v/>
      </c>
      <c r="N263" s="261"/>
      <c r="O263" s="261"/>
      <c r="P263" s="261"/>
      <c r="Q263" s="261"/>
      <c r="R263" s="261"/>
      <c r="S263" s="259"/>
      <c r="T263" s="261"/>
      <c r="U263" s="241"/>
    </row>
    <row r="264" spans="13:21" s="192" customFormat="1" x14ac:dyDescent="0.25">
      <c r="M264" s="240" t="str">
        <f t="shared" si="5"/>
        <v/>
      </c>
      <c r="N264" s="261"/>
      <c r="O264" s="261"/>
      <c r="P264" s="261"/>
      <c r="Q264" s="261"/>
      <c r="R264" s="261"/>
      <c r="S264" s="259"/>
      <c r="T264" s="261"/>
      <c r="U264" s="241"/>
    </row>
    <row r="265" spans="13:21" s="192" customFormat="1" x14ac:dyDescent="0.25">
      <c r="M265" s="240" t="str">
        <f t="shared" si="5"/>
        <v/>
      </c>
      <c r="N265" s="261"/>
      <c r="O265" s="261"/>
      <c r="P265" s="261"/>
      <c r="Q265" s="261"/>
      <c r="R265" s="261"/>
      <c r="S265" s="259"/>
      <c r="T265" s="261"/>
      <c r="U265" s="241"/>
    </row>
    <row r="266" spans="13:21" s="192" customFormat="1" x14ac:dyDescent="0.25">
      <c r="M266" s="240" t="str">
        <f t="shared" si="5"/>
        <v/>
      </c>
      <c r="N266" s="261"/>
      <c r="O266" s="261"/>
      <c r="P266" s="261"/>
      <c r="Q266" s="261"/>
      <c r="R266" s="261"/>
      <c r="S266" s="259"/>
      <c r="T266" s="261"/>
      <c r="U266" s="241"/>
    </row>
    <row r="267" spans="13:21" s="192" customFormat="1" x14ac:dyDescent="0.25">
      <c r="M267" s="240" t="str">
        <f t="shared" si="5"/>
        <v/>
      </c>
      <c r="N267" s="261"/>
      <c r="O267" s="261"/>
      <c r="P267" s="261"/>
      <c r="Q267" s="261"/>
      <c r="R267" s="261"/>
      <c r="S267" s="259"/>
      <c r="T267" s="261"/>
      <c r="U267" s="241"/>
    </row>
    <row r="268" spans="13:21" s="192" customFormat="1" x14ac:dyDescent="0.25">
      <c r="M268" s="240" t="str">
        <f t="shared" si="5"/>
        <v/>
      </c>
      <c r="N268" s="261"/>
      <c r="O268" s="261"/>
      <c r="P268" s="261"/>
      <c r="Q268" s="261"/>
      <c r="R268" s="261"/>
      <c r="S268" s="259"/>
      <c r="T268" s="261"/>
      <c r="U268" s="241"/>
    </row>
    <row r="269" spans="13:21" s="192" customFormat="1" x14ac:dyDescent="0.25">
      <c r="M269" s="240" t="str">
        <f t="shared" si="5"/>
        <v/>
      </c>
      <c r="N269" s="261"/>
      <c r="O269" s="261"/>
      <c r="P269" s="261"/>
      <c r="Q269" s="261"/>
      <c r="R269" s="261"/>
      <c r="S269" s="259"/>
      <c r="T269" s="261"/>
      <c r="U269" s="241"/>
    </row>
    <row r="270" spans="13:21" s="192" customFormat="1" x14ac:dyDescent="0.25">
      <c r="M270" s="240" t="str">
        <f t="shared" si="5"/>
        <v/>
      </c>
      <c r="N270" s="261"/>
      <c r="O270" s="261"/>
      <c r="P270" s="261"/>
      <c r="Q270" s="261"/>
      <c r="R270" s="261"/>
      <c r="S270" s="259"/>
      <c r="T270" s="261"/>
      <c r="U270" s="241"/>
    </row>
    <row r="271" spans="13:21" s="192" customFormat="1" x14ac:dyDescent="0.25">
      <c r="M271" s="240" t="str">
        <f t="shared" si="5"/>
        <v/>
      </c>
      <c r="N271" s="261"/>
      <c r="O271" s="261"/>
      <c r="P271" s="261"/>
      <c r="Q271" s="261"/>
      <c r="R271" s="261"/>
      <c r="S271" s="259"/>
      <c r="T271" s="261"/>
      <c r="U271" s="241"/>
    </row>
    <row r="272" spans="13:21" s="192" customFormat="1" x14ac:dyDescent="0.25">
      <c r="M272" s="240" t="str">
        <f t="shared" si="5"/>
        <v/>
      </c>
      <c r="N272" s="261"/>
      <c r="O272" s="261"/>
      <c r="P272" s="261"/>
      <c r="Q272" s="261"/>
      <c r="R272" s="261"/>
      <c r="S272" s="259"/>
      <c r="T272" s="261"/>
      <c r="U272" s="241"/>
    </row>
    <row r="273" spans="13:21" s="192" customFormat="1" x14ac:dyDescent="0.25">
      <c r="M273" s="240" t="str">
        <f t="shared" si="5"/>
        <v/>
      </c>
      <c r="N273" s="261"/>
      <c r="O273" s="261"/>
      <c r="P273" s="261"/>
      <c r="Q273" s="261"/>
      <c r="R273" s="261"/>
      <c r="S273" s="259"/>
      <c r="T273" s="261"/>
      <c r="U273" s="241"/>
    </row>
    <row r="274" spans="13:21" s="192" customFormat="1" x14ac:dyDescent="0.25">
      <c r="M274" s="240" t="str">
        <f t="shared" si="5"/>
        <v/>
      </c>
      <c r="N274" s="261"/>
      <c r="O274" s="261"/>
      <c r="P274" s="261"/>
      <c r="Q274" s="261"/>
      <c r="R274" s="261"/>
      <c r="S274" s="259"/>
      <c r="T274" s="261"/>
      <c r="U274" s="241"/>
    </row>
    <row r="275" spans="13:21" s="192" customFormat="1" x14ac:dyDescent="0.25">
      <c r="M275" s="240" t="str">
        <f t="shared" si="5"/>
        <v/>
      </c>
      <c r="N275" s="261"/>
      <c r="O275" s="261"/>
      <c r="P275" s="261"/>
      <c r="Q275" s="261"/>
      <c r="R275" s="261"/>
      <c r="S275" s="259"/>
      <c r="T275" s="261"/>
      <c r="U275" s="241"/>
    </row>
    <row r="276" spans="13:21" s="192" customFormat="1" x14ac:dyDescent="0.25">
      <c r="M276" s="240" t="str">
        <f t="shared" si="5"/>
        <v/>
      </c>
      <c r="N276" s="261"/>
      <c r="O276" s="261"/>
      <c r="P276" s="261"/>
      <c r="Q276" s="261"/>
      <c r="R276" s="261"/>
      <c r="S276" s="259"/>
      <c r="T276" s="261"/>
      <c r="U276" s="241"/>
    </row>
    <row r="277" spans="13:21" s="192" customFormat="1" x14ac:dyDescent="0.25">
      <c r="M277" s="240" t="str">
        <f t="shared" si="5"/>
        <v/>
      </c>
      <c r="N277" s="261"/>
      <c r="O277" s="261"/>
      <c r="P277" s="261"/>
      <c r="Q277" s="261"/>
      <c r="R277" s="261"/>
      <c r="S277" s="259"/>
      <c r="T277" s="261"/>
      <c r="U277" s="241"/>
    </row>
    <row r="278" spans="13:21" s="192" customFormat="1" x14ac:dyDescent="0.25">
      <c r="M278" s="240" t="str">
        <f t="shared" si="5"/>
        <v/>
      </c>
      <c r="N278" s="261"/>
      <c r="O278" s="261"/>
      <c r="P278" s="261"/>
      <c r="Q278" s="261"/>
      <c r="R278" s="261"/>
      <c r="S278" s="259"/>
      <c r="T278" s="261"/>
      <c r="U278" s="241"/>
    </row>
    <row r="279" spans="13:21" s="192" customFormat="1" x14ac:dyDescent="0.25">
      <c r="M279" s="240" t="str">
        <f t="shared" si="5"/>
        <v/>
      </c>
      <c r="N279" s="261"/>
      <c r="O279" s="261"/>
      <c r="P279" s="261"/>
      <c r="Q279" s="261"/>
      <c r="R279" s="261"/>
      <c r="S279" s="259"/>
      <c r="T279" s="261"/>
      <c r="U279" s="241"/>
    </row>
    <row r="280" spans="13:21" s="192" customFormat="1" x14ac:dyDescent="0.25">
      <c r="M280" s="240" t="str">
        <f t="shared" si="5"/>
        <v/>
      </c>
      <c r="N280" s="261"/>
      <c r="O280" s="261"/>
      <c r="P280" s="261"/>
      <c r="Q280" s="261"/>
      <c r="R280" s="261"/>
      <c r="S280" s="259"/>
      <c r="T280" s="261"/>
      <c r="U280" s="241"/>
    </row>
    <row r="281" spans="13:21" s="192" customFormat="1" x14ac:dyDescent="0.25">
      <c r="M281" s="240" t="str">
        <f t="shared" si="5"/>
        <v/>
      </c>
      <c r="N281" s="261"/>
      <c r="O281" s="261"/>
      <c r="P281" s="261"/>
      <c r="Q281" s="261"/>
      <c r="R281" s="261"/>
      <c r="S281" s="259"/>
      <c r="T281" s="261"/>
      <c r="U281" s="241"/>
    </row>
    <row r="282" spans="13:21" s="192" customFormat="1" x14ac:dyDescent="0.25">
      <c r="M282" s="240" t="str">
        <f t="shared" si="5"/>
        <v/>
      </c>
      <c r="N282" s="261"/>
      <c r="O282" s="261"/>
      <c r="P282" s="261"/>
      <c r="Q282" s="261"/>
      <c r="R282" s="261"/>
      <c r="S282" s="259"/>
      <c r="T282" s="261"/>
      <c r="U282" s="241"/>
    </row>
    <row r="283" spans="13:21" s="192" customFormat="1" x14ac:dyDescent="0.25">
      <c r="M283" s="240" t="str">
        <f t="shared" si="5"/>
        <v/>
      </c>
      <c r="N283" s="261"/>
      <c r="O283" s="261"/>
      <c r="P283" s="261"/>
      <c r="Q283" s="261"/>
      <c r="R283" s="261"/>
      <c r="S283" s="259"/>
      <c r="T283" s="261"/>
      <c r="U283" s="241"/>
    </row>
    <row r="284" spans="13:21" s="192" customFormat="1" x14ac:dyDescent="0.25">
      <c r="M284" s="240" t="str">
        <f t="shared" si="5"/>
        <v/>
      </c>
      <c r="N284" s="261"/>
      <c r="O284" s="261"/>
      <c r="P284" s="261"/>
      <c r="Q284" s="261"/>
      <c r="R284" s="261"/>
      <c r="S284" s="259"/>
      <c r="T284" s="261"/>
      <c r="U284" s="241"/>
    </row>
    <row r="285" spans="13:21" s="192" customFormat="1" x14ac:dyDescent="0.25">
      <c r="M285" s="240" t="str">
        <f t="shared" si="5"/>
        <v/>
      </c>
      <c r="N285" s="261"/>
      <c r="O285" s="261"/>
      <c r="P285" s="261"/>
      <c r="Q285" s="261"/>
      <c r="R285" s="261"/>
      <c r="S285" s="259"/>
      <c r="T285" s="261"/>
      <c r="U285" s="241"/>
    </row>
    <row r="286" spans="13:21" s="192" customFormat="1" x14ac:dyDescent="0.25">
      <c r="M286" s="240" t="str">
        <f t="shared" si="5"/>
        <v/>
      </c>
      <c r="N286" s="261"/>
      <c r="O286" s="261"/>
      <c r="P286" s="261"/>
      <c r="Q286" s="261"/>
      <c r="R286" s="261"/>
      <c r="S286" s="259"/>
      <c r="T286" s="261"/>
      <c r="U286" s="241"/>
    </row>
    <row r="287" spans="13:21" s="192" customFormat="1" x14ac:dyDescent="0.25">
      <c r="M287" s="240" t="str">
        <f t="shared" si="5"/>
        <v/>
      </c>
      <c r="N287" s="261"/>
      <c r="O287" s="261"/>
      <c r="P287" s="261"/>
      <c r="Q287" s="261"/>
      <c r="R287" s="261"/>
      <c r="S287" s="259"/>
      <c r="T287" s="261"/>
      <c r="U287" s="241"/>
    </row>
    <row r="288" spans="13:21" s="192" customFormat="1" x14ac:dyDescent="0.25">
      <c r="M288" s="240" t="str">
        <f t="shared" si="5"/>
        <v/>
      </c>
      <c r="N288" s="261"/>
      <c r="O288" s="261"/>
      <c r="P288" s="261"/>
      <c r="Q288" s="261"/>
      <c r="R288" s="261"/>
      <c r="S288" s="259"/>
      <c r="T288" s="261"/>
      <c r="U288" s="241"/>
    </row>
    <row r="289" spans="13:21" s="192" customFormat="1" x14ac:dyDescent="0.25">
      <c r="M289" s="240" t="str">
        <f t="shared" si="5"/>
        <v/>
      </c>
      <c r="N289" s="261"/>
      <c r="O289" s="261"/>
      <c r="P289" s="261"/>
      <c r="Q289" s="261"/>
      <c r="R289" s="261"/>
      <c r="S289" s="259"/>
      <c r="T289" s="261"/>
      <c r="U289" s="241"/>
    </row>
    <row r="290" spans="13:21" s="192" customFormat="1" x14ac:dyDescent="0.25">
      <c r="M290" s="240" t="str">
        <f t="shared" si="5"/>
        <v/>
      </c>
      <c r="N290" s="261"/>
      <c r="O290" s="261"/>
      <c r="P290" s="261"/>
      <c r="Q290" s="261"/>
      <c r="R290" s="261"/>
      <c r="S290" s="259"/>
      <c r="T290" s="261"/>
      <c r="U290" s="241"/>
    </row>
    <row r="291" spans="13:21" s="192" customFormat="1" x14ac:dyDescent="0.25">
      <c r="M291" s="240" t="str">
        <f t="shared" si="5"/>
        <v/>
      </c>
      <c r="N291" s="261"/>
      <c r="O291" s="261"/>
      <c r="P291" s="261"/>
      <c r="Q291" s="261"/>
      <c r="R291" s="261"/>
      <c r="S291" s="259"/>
      <c r="T291" s="261"/>
      <c r="U291" s="241"/>
    </row>
    <row r="292" spans="13:21" s="192" customFormat="1" x14ac:dyDescent="0.25">
      <c r="M292" s="240" t="str">
        <f t="shared" si="5"/>
        <v/>
      </c>
      <c r="N292" s="261"/>
      <c r="O292" s="261"/>
      <c r="P292" s="261"/>
      <c r="Q292" s="261"/>
      <c r="R292" s="261"/>
      <c r="S292" s="259"/>
      <c r="T292" s="261"/>
      <c r="U292" s="241"/>
    </row>
    <row r="293" spans="13:21" s="192" customFormat="1" x14ac:dyDescent="0.25">
      <c r="M293" s="240" t="str">
        <f t="shared" si="5"/>
        <v/>
      </c>
      <c r="N293" s="261"/>
      <c r="O293" s="261"/>
      <c r="P293" s="261"/>
      <c r="Q293" s="261"/>
      <c r="R293" s="261"/>
      <c r="S293" s="259"/>
      <c r="T293" s="261"/>
      <c r="U293" s="241"/>
    </row>
    <row r="294" spans="13:21" s="192" customFormat="1" x14ac:dyDescent="0.25">
      <c r="M294" s="240" t="str">
        <f t="shared" si="5"/>
        <v/>
      </c>
      <c r="N294" s="261"/>
      <c r="O294" s="261"/>
      <c r="P294" s="261"/>
      <c r="Q294" s="261"/>
      <c r="R294" s="261"/>
      <c r="S294" s="259"/>
      <c r="T294" s="261"/>
      <c r="U294" s="241"/>
    </row>
    <row r="295" spans="13:21" s="192" customFormat="1" x14ac:dyDescent="0.25">
      <c r="M295" s="240" t="str">
        <f t="shared" si="5"/>
        <v/>
      </c>
      <c r="N295" s="261"/>
      <c r="O295" s="261"/>
      <c r="P295" s="261"/>
      <c r="Q295" s="261"/>
      <c r="R295" s="261"/>
      <c r="S295" s="259"/>
      <c r="T295" s="261"/>
      <c r="U295" s="241"/>
    </row>
    <row r="296" spans="13:21" s="192" customFormat="1" x14ac:dyDescent="0.25">
      <c r="M296" s="240" t="str">
        <f t="shared" si="5"/>
        <v/>
      </c>
      <c r="N296" s="261"/>
      <c r="O296" s="261"/>
      <c r="P296" s="261"/>
      <c r="Q296" s="261"/>
      <c r="R296" s="261"/>
      <c r="S296" s="259"/>
      <c r="T296" s="261"/>
      <c r="U296" s="241"/>
    </row>
    <row r="297" spans="13:21" s="192" customFormat="1" x14ac:dyDescent="0.25">
      <c r="M297" s="240" t="str">
        <f t="shared" si="5"/>
        <v/>
      </c>
      <c r="N297" s="261"/>
      <c r="O297" s="261"/>
      <c r="P297" s="261"/>
      <c r="Q297" s="261"/>
      <c r="R297" s="261"/>
      <c r="S297" s="259"/>
      <c r="T297" s="261"/>
      <c r="U297" s="241"/>
    </row>
    <row r="298" spans="13:21" s="192" customFormat="1" x14ac:dyDescent="0.25">
      <c r="M298" s="240" t="str">
        <f t="shared" si="5"/>
        <v/>
      </c>
      <c r="N298" s="261"/>
      <c r="O298" s="261"/>
      <c r="P298" s="261"/>
      <c r="Q298" s="261"/>
      <c r="R298" s="261"/>
      <c r="S298" s="259"/>
      <c r="T298" s="261"/>
      <c r="U298" s="241"/>
    </row>
    <row r="299" spans="13:21" s="192" customFormat="1" x14ac:dyDescent="0.25">
      <c r="M299" s="240" t="str">
        <f t="shared" si="5"/>
        <v/>
      </c>
      <c r="N299" s="261"/>
      <c r="O299" s="261"/>
      <c r="P299" s="261"/>
      <c r="Q299" s="261"/>
      <c r="R299" s="261"/>
      <c r="S299" s="259"/>
      <c r="T299" s="261"/>
      <c r="U299" s="241"/>
    </row>
    <row r="300" spans="13:21" s="192" customFormat="1" x14ac:dyDescent="0.25">
      <c r="M300" s="240" t="str">
        <f t="shared" si="5"/>
        <v/>
      </c>
      <c r="N300" s="261"/>
      <c r="O300" s="261"/>
      <c r="P300" s="261"/>
      <c r="Q300" s="261"/>
      <c r="R300" s="261"/>
      <c r="S300" s="259"/>
      <c r="T300" s="261"/>
      <c r="U300" s="241"/>
    </row>
    <row r="301" spans="13:21" s="192" customFormat="1" x14ac:dyDescent="0.25">
      <c r="M301" s="240" t="str">
        <f t="shared" si="5"/>
        <v/>
      </c>
      <c r="N301" s="261"/>
      <c r="O301" s="261"/>
      <c r="P301" s="261"/>
      <c r="Q301" s="261"/>
      <c r="R301" s="261"/>
      <c r="S301" s="259"/>
      <c r="T301" s="261"/>
      <c r="U301" s="241"/>
    </row>
    <row r="302" spans="13:21" s="192" customFormat="1" x14ac:dyDescent="0.25">
      <c r="M302" s="240" t="str">
        <f t="shared" si="5"/>
        <v/>
      </c>
      <c r="N302" s="261"/>
      <c r="O302" s="261"/>
      <c r="P302" s="261"/>
      <c r="Q302" s="261"/>
      <c r="R302" s="261"/>
      <c r="S302" s="259"/>
      <c r="T302" s="261"/>
      <c r="U302" s="241"/>
    </row>
    <row r="303" spans="13:21" s="192" customFormat="1" x14ac:dyDescent="0.25">
      <c r="M303" s="240" t="str">
        <f t="shared" si="5"/>
        <v/>
      </c>
      <c r="N303" s="261"/>
      <c r="O303" s="261"/>
      <c r="P303" s="261"/>
      <c r="Q303" s="261"/>
      <c r="R303" s="261"/>
      <c r="S303" s="259"/>
      <c r="T303" s="261"/>
      <c r="U303" s="241"/>
    </row>
    <row r="304" spans="13:21" s="192" customFormat="1" x14ac:dyDescent="0.25">
      <c r="M304" s="240" t="str">
        <f t="shared" si="5"/>
        <v/>
      </c>
      <c r="N304" s="261"/>
      <c r="O304" s="261"/>
      <c r="P304" s="261"/>
      <c r="Q304" s="261"/>
      <c r="R304" s="261"/>
      <c r="S304" s="259"/>
      <c r="T304" s="261"/>
      <c r="U304" s="241"/>
    </row>
    <row r="305" spans="13:21" s="192" customFormat="1" x14ac:dyDescent="0.25">
      <c r="M305" s="240" t="str">
        <f t="shared" si="5"/>
        <v/>
      </c>
      <c r="N305" s="261"/>
      <c r="O305" s="261"/>
      <c r="P305" s="261"/>
      <c r="Q305" s="261"/>
      <c r="R305" s="261"/>
      <c r="S305" s="259"/>
      <c r="T305" s="261"/>
      <c r="U305" s="241"/>
    </row>
    <row r="306" spans="13:21" s="192" customFormat="1" x14ac:dyDescent="0.25">
      <c r="M306" s="240" t="str">
        <f t="shared" si="5"/>
        <v/>
      </c>
      <c r="N306" s="261"/>
      <c r="O306" s="261"/>
      <c r="P306" s="261"/>
      <c r="Q306" s="261"/>
      <c r="R306" s="261"/>
      <c r="S306" s="259"/>
      <c r="T306" s="261"/>
      <c r="U306" s="241"/>
    </row>
    <row r="307" spans="13:21" s="192" customFormat="1" x14ac:dyDescent="0.25">
      <c r="M307" s="240" t="str">
        <f t="shared" si="5"/>
        <v/>
      </c>
      <c r="N307" s="261"/>
      <c r="O307" s="261"/>
      <c r="P307" s="261"/>
      <c r="Q307" s="261"/>
      <c r="R307" s="261"/>
      <c r="S307" s="259"/>
      <c r="T307" s="261"/>
      <c r="U307" s="241"/>
    </row>
    <row r="308" spans="13:21" s="192" customFormat="1" x14ac:dyDescent="0.25">
      <c r="M308" s="240" t="str">
        <f t="shared" si="5"/>
        <v/>
      </c>
      <c r="N308" s="261"/>
      <c r="O308" s="261"/>
      <c r="P308" s="261"/>
      <c r="Q308" s="261"/>
      <c r="R308" s="261"/>
      <c r="S308" s="259"/>
      <c r="T308" s="261"/>
      <c r="U308" s="241"/>
    </row>
    <row r="309" spans="13:21" s="192" customFormat="1" x14ac:dyDescent="0.25">
      <c r="M309" s="240" t="str">
        <f t="shared" si="5"/>
        <v/>
      </c>
      <c r="N309" s="261"/>
      <c r="O309" s="261"/>
      <c r="P309" s="261"/>
      <c r="Q309" s="261"/>
      <c r="R309" s="261"/>
      <c r="S309" s="259"/>
      <c r="T309" s="261"/>
      <c r="U309" s="241"/>
    </row>
    <row r="310" spans="13:21" s="192" customFormat="1" x14ac:dyDescent="0.25">
      <c r="M310" s="240" t="str">
        <f t="shared" si="5"/>
        <v/>
      </c>
      <c r="N310" s="261"/>
      <c r="O310" s="261"/>
      <c r="P310" s="261"/>
      <c r="Q310" s="261"/>
      <c r="R310" s="261"/>
      <c r="S310" s="259"/>
      <c r="T310" s="261"/>
      <c r="U310" s="241"/>
    </row>
    <row r="311" spans="13:21" s="192" customFormat="1" x14ac:dyDescent="0.25">
      <c r="M311" s="240" t="str">
        <f t="shared" si="5"/>
        <v/>
      </c>
      <c r="N311" s="261"/>
      <c r="O311" s="261"/>
      <c r="P311" s="261"/>
      <c r="Q311" s="261"/>
      <c r="R311" s="261"/>
      <c r="S311" s="259"/>
      <c r="T311" s="261"/>
      <c r="U311" s="241"/>
    </row>
    <row r="312" spans="13:21" s="192" customFormat="1" x14ac:dyDescent="0.25">
      <c r="M312" s="240" t="str">
        <f t="shared" si="5"/>
        <v/>
      </c>
      <c r="N312" s="261"/>
      <c r="O312" s="261"/>
      <c r="P312" s="261"/>
      <c r="Q312" s="261"/>
      <c r="R312" s="261"/>
      <c r="S312" s="259"/>
      <c r="T312" s="261"/>
      <c r="U312" s="241"/>
    </row>
    <row r="313" spans="13:21" s="192" customFormat="1" x14ac:dyDescent="0.25">
      <c r="M313" s="240" t="str">
        <f t="shared" si="5"/>
        <v/>
      </c>
      <c r="N313" s="261"/>
      <c r="O313" s="261"/>
      <c r="P313" s="261"/>
      <c r="Q313" s="261"/>
      <c r="R313" s="261"/>
      <c r="S313" s="259"/>
      <c r="T313" s="261"/>
      <c r="U313" s="241"/>
    </row>
    <row r="314" spans="13:21" s="192" customFormat="1" x14ac:dyDescent="0.25">
      <c r="M314" s="240" t="str">
        <f t="shared" si="5"/>
        <v/>
      </c>
      <c r="N314" s="261"/>
      <c r="O314" s="261"/>
      <c r="P314" s="261"/>
      <c r="Q314" s="261"/>
      <c r="R314" s="261"/>
      <c r="S314" s="259"/>
      <c r="T314" s="261"/>
      <c r="U314" s="241"/>
    </row>
    <row r="315" spans="13:21" s="192" customFormat="1" x14ac:dyDescent="0.25">
      <c r="M315" s="240" t="str">
        <f t="shared" si="5"/>
        <v/>
      </c>
      <c r="N315" s="261"/>
      <c r="O315" s="261"/>
      <c r="P315" s="261"/>
      <c r="Q315" s="261"/>
      <c r="R315" s="261"/>
      <c r="S315" s="259"/>
      <c r="T315" s="261"/>
      <c r="U315" s="241"/>
    </row>
    <row r="316" spans="13:21" s="192" customFormat="1" x14ac:dyDescent="0.25">
      <c r="M316" s="240" t="str">
        <f t="shared" si="5"/>
        <v/>
      </c>
      <c r="N316" s="261"/>
      <c r="O316" s="261"/>
      <c r="P316" s="261"/>
      <c r="Q316" s="261"/>
      <c r="R316" s="261"/>
      <c r="S316" s="259"/>
      <c r="T316" s="261"/>
      <c r="U316" s="241"/>
    </row>
    <row r="317" spans="13:21" s="192" customFormat="1" x14ac:dyDescent="0.25">
      <c r="M317" s="240" t="str">
        <f t="shared" si="5"/>
        <v/>
      </c>
      <c r="N317" s="261"/>
      <c r="O317" s="261"/>
      <c r="P317" s="261"/>
      <c r="Q317" s="261"/>
      <c r="R317" s="261"/>
      <c r="S317" s="259"/>
      <c r="T317" s="261"/>
      <c r="U317" s="241"/>
    </row>
    <row r="318" spans="13:21" s="192" customFormat="1" x14ac:dyDescent="0.25">
      <c r="M318" s="240" t="str">
        <f t="shared" si="5"/>
        <v/>
      </c>
      <c r="N318" s="261"/>
      <c r="O318" s="261"/>
      <c r="P318" s="261"/>
      <c r="Q318" s="261"/>
      <c r="R318" s="261"/>
      <c r="S318" s="259"/>
      <c r="T318" s="261"/>
      <c r="U318" s="241"/>
    </row>
    <row r="319" spans="13:21" s="192" customFormat="1" x14ac:dyDescent="0.25">
      <c r="M319" s="240" t="str">
        <f t="shared" si="5"/>
        <v/>
      </c>
      <c r="N319" s="261"/>
      <c r="O319" s="261"/>
      <c r="P319" s="261"/>
      <c r="Q319" s="261"/>
      <c r="R319" s="261"/>
      <c r="S319" s="259"/>
      <c r="T319" s="261"/>
      <c r="U319" s="241"/>
    </row>
    <row r="320" spans="13:21" s="192" customFormat="1" x14ac:dyDescent="0.25">
      <c r="M320" s="240" t="str">
        <f t="shared" si="5"/>
        <v/>
      </c>
      <c r="N320" s="261"/>
      <c r="O320" s="261"/>
      <c r="P320" s="261"/>
      <c r="Q320" s="261"/>
      <c r="R320" s="261"/>
      <c r="S320" s="259"/>
      <c r="T320" s="261"/>
      <c r="U320" s="241"/>
    </row>
    <row r="321" spans="13:21" s="192" customFormat="1" x14ac:dyDescent="0.25">
      <c r="M321" s="240" t="str">
        <f t="shared" si="5"/>
        <v/>
      </c>
      <c r="N321" s="261"/>
      <c r="O321" s="261"/>
      <c r="P321" s="261"/>
      <c r="Q321" s="261"/>
      <c r="R321" s="261"/>
      <c r="S321" s="259"/>
      <c r="T321" s="261"/>
      <c r="U321" s="241"/>
    </row>
    <row r="322" spans="13:21" s="192" customFormat="1" x14ac:dyDescent="0.25">
      <c r="M322" s="240" t="str">
        <f t="shared" ref="M322:M361" si="6">MID(L322,8,6)</f>
        <v/>
      </c>
      <c r="N322" s="261"/>
      <c r="O322" s="261"/>
      <c r="P322" s="261"/>
      <c r="Q322" s="261"/>
      <c r="R322" s="261"/>
      <c r="S322" s="259"/>
      <c r="T322" s="261"/>
      <c r="U322" s="241"/>
    </row>
    <row r="323" spans="13:21" s="192" customFormat="1" x14ac:dyDescent="0.25">
      <c r="M323" s="240" t="str">
        <f t="shared" si="6"/>
        <v/>
      </c>
      <c r="N323" s="261"/>
      <c r="O323" s="261"/>
      <c r="P323" s="261"/>
      <c r="Q323" s="261"/>
      <c r="R323" s="261"/>
      <c r="S323" s="259"/>
      <c r="T323" s="261"/>
      <c r="U323" s="241"/>
    </row>
    <row r="324" spans="13:21" s="192" customFormat="1" x14ac:dyDescent="0.25">
      <c r="M324" s="240" t="str">
        <f t="shared" si="6"/>
        <v/>
      </c>
      <c r="N324" s="261"/>
      <c r="O324" s="261"/>
      <c r="P324" s="261"/>
      <c r="Q324" s="261"/>
      <c r="R324" s="261"/>
      <c r="S324" s="259"/>
      <c r="T324" s="261"/>
      <c r="U324" s="241"/>
    </row>
    <row r="325" spans="13:21" s="192" customFormat="1" x14ac:dyDescent="0.25">
      <c r="M325" s="240" t="str">
        <f t="shared" si="6"/>
        <v/>
      </c>
      <c r="N325" s="261"/>
      <c r="O325" s="261"/>
      <c r="P325" s="261"/>
      <c r="Q325" s="261"/>
      <c r="R325" s="261"/>
      <c r="S325" s="259"/>
      <c r="T325" s="261"/>
      <c r="U325" s="241"/>
    </row>
    <row r="326" spans="13:21" s="192" customFormat="1" x14ac:dyDescent="0.25">
      <c r="M326" s="240" t="str">
        <f t="shared" si="6"/>
        <v/>
      </c>
      <c r="N326" s="261"/>
      <c r="O326" s="261"/>
      <c r="P326" s="261"/>
      <c r="Q326" s="261"/>
      <c r="R326" s="261"/>
      <c r="S326" s="259"/>
      <c r="T326" s="261"/>
      <c r="U326" s="241"/>
    </row>
    <row r="327" spans="13:21" s="192" customFormat="1" x14ac:dyDescent="0.25">
      <c r="M327" s="240" t="str">
        <f t="shared" si="6"/>
        <v/>
      </c>
      <c r="N327" s="261"/>
      <c r="O327" s="261"/>
      <c r="P327" s="261"/>
      <c r="Q327" s="261"/>
      <c r="R327" s="261"/>
      <c r="S327" s="259"/>
      <c r="T327" s="261"/>
      <c r="U327" s="241"/>
    </row>
    <row r="328" spans="13:21" s="192" customFormat="1" x14ac:dyDescent="0.25">
      <c r="M328" s="240" t="str">
        <f t="shared" si="6"/>
        <v/>
      </c>
      <c r="N328" s="261"/>
      <c r="O328" s="261"/>
      <c r="P328" s="261"/>
      <c r="Q328" s="261"/>
      <c r="R328" s="261"/>
      <c r="S328" s="259"/>
      <c r="T328" s="261"/>
      <c r="U328" s="241"/>
    </row>
    <row r="329" spans="13:21" s="192" customFormat="1" x14ac:dyDescent="0.25">
      <c r="M329" s="240" t="str">
        <f t="shared" si="6"/>
        <v/>
      </c>
      <c r="N329" s="261"/>
      <c r="O329" s="261"/>
      <c r="P329" s="261"/>
      <c r="Q329" s="261"/>
      <c r="R329" s="261"/>
      <c r="S329" s="259"/>
      <c r="T329" s="261"/>
      <c r="U329" s="241"/>
    </row>
    <row r="330" spans="13:21" s="192" customFormat="1" x14ac:dyDescent="0.25">
      <c r="M330" s="240" t="str">
        <f t="shared" si="6"/>
        <v/>
      </c>
      <c r="N330" s="261"/>
      <c r="O330" s="261"/>
      <c r="P330" s="261"/>
      <c r="Q330" s="261"/>
      <c r="R330" s="261"/>
      <c r="S330" s="259"/>
      <c r="T330" s="261"/>
      <c r="U330" s="241"/>
    </row>
    <row r="331" spans="13:21" s="192" customFormat="1" x14ac:dyDescent="0.25">
      <c r="M331" s="240" t="str">
        <f t="shared" si="6"/>
        <v/>
      </c>
      <c r="N331" s="261"/>
      <c r="O331" s="261"/>
      <c r="P331" s="261"/>
      <c r="Q331" s="261"/>
      <c r="R331" s="261"/>
      <c r="S331" s="259"/>
      <c r="T331" s="261"/>
      <c r="U331" s="241"/>
    </row>
    <row r="332" spans="13:21" s="192" customFormat="1" x14ac:dyDescent="0.25">
      <c r="M332" s="240" t="str">
        <f t="shared" si="6"/>
        <v/>
      </c>
      <c r="N332" s="261"/>
      <c r="O332" s="261"/>
      <c r="P332" s="261"/>
      <c r="Q332" s="261"/>
      <c r="R332" s="261"/>
      <c r="S332" s="259"/>
      <c r="T332" s="261"/>
      <c r="U332" s="241"/>
    </row>
    <row r="333" spans="13:21" s="192" customFormat="1" x14ac:dyDescent="0.25">
      <c r="M333" s="240" t="str">
        <f t="shared" si="6"/>
        <v/>
      </c>
      <c r="N333" s="261"/>
      <c r="O333" s="261"/>
      <c r="P333" s="261"/>
      <c r="Q333" s="261"/>
      <c r="R333" s="261"/>
      <c r="S333" s="259"/>
      <c r="T333" s="261"/>
      <c r="U333" s="241"/>
    </row>
    <row r="334" spans="13:21" s="192" customFormat="1" x14ac:dyDescent="0.25">
      <c r="M334" s="240" t="str">
        <f t="shared" si="6"/>
        <v/>
      </c>
      <c r="N334" s="261"/>
      <c r="O334" s="261"/>
      <c r="P334" s="261"/>
      <c r="Q334" s="261"/>
      <c r="R334" s="261"/>
      <c r="S334" s="259"/>
      <c r="T334" s="261"/>
      <c r="U334" s="241"/>
    </row>
    <row r="335" spans="13:21" s="192" customFormat="1" x14ac:dyDescent="0.25">
      <c r="M335" s="240" t="str">
        <f t="shared" si="6"/>
        <v/>
      </c>
      <c r="N335" s="261"/>
      <c r="O335" s="261"/>
      <c r="P335" s="261"/>
      <c r="Q335" s="261"/>
      <c r="R335" s="261"/>
      <c r="S335" s="259"/>
      <c r="T335" s="261"/>
      <c r="U335" s="241"/>
    </row>
    <row r="336" spans="13:21" s="192" customFormat="1" x14ac:dyDescent="0.25">
      <c r="M336" s="240" t="str">
        <f t="shared" si="6"/>
        <v/>
      </c>
      <c r="N336" s="261"/>
      <c r="O336" s="261"/>
      <c r="P336" s="261"/>
      <c r="Q336" s="261"/>
      <c r="R336" s="261"/>
      <c r="S336" s="259"/>
      <c r="T336" s="261"/>
      <c r="U336" s="241"/>
    </row>
    <row r="337" spans="13:21" s="192" customFormat="1" x14ac:dyDescent="0.25">
      <c r="M337" s="240" t="str">
        <f t="shared" si="6"/>
        <v/>
      </c>
      <c r="N337" s="261"/>
      <c r="O337" s="261"/>
      <c r="P337" s="261"/>
      <c r="Q337" s="261"/>
      <c r="R337" s="261"/>
      <c r="S337" s="259"/>
      <c r="T337" s="261"/>
      <c r="U337" s="241"/>
    </row>
    <row r="338" spans="13:21" s="192" customFormat="1" x14ac:dyDescent="0.25">
      <c r="M338" s="240" t="str">
        <f t="shared" si="6"/>
        <v/>
      </c>
      <c r="N338" s="261"/>
      <c r="O338" s="261"/>
      <c r="P338" s="261"/>
      <c r="Q338" s="261"/>
      <c r="R338" s="261"/>
      <c r="S338" s="259"/>
      <c r="T338" s="261"/>
      <c r="U338" s="241"/>
    </row>
    <row r="339" spans="13:21" s="192" customFormat="1" x14ac:dyDescent="0.25">
      <c r="M339" s="240" t="str">
        <f t="shared" si="6"/>
        <v/>
      </c>
      <c r="N339" s="261"/>
      <c r="O339" s="261"/>
      <c r="P339" s="261"/>
      <c r="Q339" s="261"/>
      <c r="R339" s="261"/>
      <c r="S339" s="259"/>
      <c r="T339" s="261"/>
      <c r="U339" s="241"/>
    </row>
    <row r="340" spans="13:21" s="192" customFormat="1" x14ac:dyDescent="0.25">
      <c r="M340" s="240" t="str">
        <f t="shared" si="6"/>
        <v/>
      </c>
      <c r="N340" s="261"/>
      <c r="O340" s="261"/>
      <c r="P340" s="261"/>
      <c r="Q340" s="261"/>
      <c r="R340" s="261"/>
      <c r="S340" s="259"/>
      <c r="T340" s="261"/>
      <c r="U340" s="241"/>
    </row>
    <row r="341" spans="13:21" s="192" customFormat="1" x14ac:dyDescent="0.25">
      <c r="M341" s="240" t="str">
        <f t="shared" si="6"/>
        <v/>
      </c>
      <c r="N341" s="261"/>
      <c r="O341" s="261"/>
      <c r="P341" s="261"/>
      <c r="Q341" s="261"/>
      <c r="R341" s="261"/>
      <c r="S341" s="259"/>
      <c r="T341" s="261"/>
      <c r="U341" s="241"/>
    </row>
    <row r="342" spans="13:21" s="192" customFormat="1" x14ac:dyDescent="0.25">
      <c r="M342" s="240" t="str">
        <f t="shared" si="6"/>
        <v/>
      </c>
      <c r="N342" s="261"/>
      <c r="O342" s="261"/>
      <c r="P342" s="261"/>
      <c r="Q342" s="261"/>
      <c r="R342" s="261"/>
      <c r="S342" s="259"/>
      <c r="T342" s="261"/>
      <c r="U342" s="241"/>
    </row>
    <row r="343" spans="13:21" s="192" customFormat="1" x14ac:dyDescent="0.25">
      <c r="M343" s="240" t="str">
        <f t="shared" si="6"/>
        <v/>
      </c>
      <c r="N343" s="261"/>
      <c r="O343" s="261"/>
      <c r="P343" s="261"/>
      <c r="Q343" s="261"/>
      <c r="R343" s="261"/>
      <c r="S343" s="259"/>
      <c r="T343" s="261"/>
      <c r="U343" s="241"/>
    </row>
    <row r="344" spans="13:21" s="192" customFormat="1" x14ac:dyDescent="0.25">
      <c r="M344" s="240" t="str">
        <f t="shared" si="6"/>
        <v/>
      </c>
      <c r="N344" s="261"/>
      <c r="O344" s="261"/>
      <c r="P344" s="261"/>
      <c r="Q344" s="261"/>
      <c r="R344" s="261"/>
      <c r="S344" s="259"/>
      <c r="T344" s="261"/>
      <c r="U344" s="241"/>
    </row>
    <row r="345" spans="13:21" s="192" customFormat="1" x14ac:dyDescent="0.25">
      <c r="M345" s="240" t="str">
        <f t="shared" si="6"/>
        <v/>
      </c>
      <c r="N345" s="261"/>
      <c r="O345" s="261"/>
      <c r="P345" s="261"/>
      <c r="Q345" s="261"/>
      <c r="R345" s="261"/>
      <c r="S345" s="259"/>
      <c r="T345" s="261"/>
      <c r="U345" s="241"/>
    </row>
    <row r="346" spans="13:21" s="192" customFormat="1" x14ac:dyDescent="0.25">
      <c r="M346" s="240" t="str">
        <f t="shared" si="6"/>
        <v/>
      </c>
      <c r="N346" s="261"/>
      <c r="O346" s="261"/>
      <c r="P346" s="261"/>
      <c r="Q346" s="261"/>
      <c r="R346" s="261"/>
      <c r="S346" s="259"/>
      <c r="T346" s="261"/>
      <c r="U346" s="241"/>
    </row>
    <row r="347" spans="13:21" s="192" customFormat="1" x14ac:dyDescent="0.25">
      <c r="M347" s="240" t="str">
        <f t="shared" si="6"/>
        <v/>
      </c>
      <c r="N347" s="261"/>
      <c r="O347" s="261"/>
      <c r="P347" s="261"/>
      <c r="Q347" s="261"/>
      <c r="R347" s="261"/>
      <c r="S347" s="259"/>
      <c r="T347" s="261"/>
      <c r="U347" s="241"/>
    </row>
    <row r="348" spans="13:21" s="192" customFormat="1" x14ac:dyDescent="0.25">
      <c r="M348" s="240" t="str">
        <f t="shared" si="6"/>
        <v/>
      </c>
      <c r="N348" s="261"/>
      <c r="O348" s="261"/>
      <c r="P348" s="261"/>
      <c r="Q348" s="261"/>
      <c r="R348" s="261"/>
      <c r="S348" s="259"/>
      <c r="T348" s="261"/>
      <c r="U348" s="241"/>
    </row>
    <row r="349" spans="13:21" s="192" customFormat="1" x14ac:dyDescent="0.25">
      <c r="M349" s="240" t="str">
        <f t="shared" si="6"/>
        <v/>
      </c>
      <c r="N349" s="261"/>
      <c r="O349" s="261"/>
      <c r="P349" s="261"/>
      <c r="Q349" s="261"/>
      <c r="R349" s="261"/>
      <c r="S349" s="259"/>
      <c r="T349" s="261"/>
      <c r="U349" s="241"/>
    </row>
    <row r="350" spans="13:21" s="192" customFormat="1" x14ac:dyDescent="0.25">
      <c r="M350" s="240" t="str">
        <f t="shared" si="6"/>
        <v/>
      </c>
      <c r="N350" s="261"/>
      <c r="O350" s="261"/>
      <c r="P350" s="261"/>
      <c r="Q350" s="261"/>
      <c r="R350" s="261"/>
      <c r="S350" s="259"/>
      <c r="T350" s="261"/>
      <c r="U350" s="241"/>
    </row>
    <row r="351" spans="13:21" s="192" customFormat="1" x14ac:dyDescent="0.25">
      <c r="M351" s="240" t="str">
        <f t="shared" si="6"/>
        <v/>
      </c>
      <c r="N351" s="261"/>
      <c r="O351" s="261"/>
      <c r="P351" s="261"/>
      <c r="Q351" s="261"/>
      <c r="R351" s="261"/>
      <c r="S351" s="259"/>
      <c r="T351" s="261"/>
      <c r="U351" s="241"/>
    </row>
    <row r="352" spans="13:21" s="192" customFormat="1" x14ac:dyDescent="0.25">
      <c r="M352" s="240" t="str">
        <f t="shared" si="6"/>
        <v/>
      </c>
      <c r="N352" s="261"/>
      <c r="O352" s="261"/>
      <c r="P352" s="261"/>
      <c r="Q352" s="261"/>
      <c r="R352" s="261"/>
      <c r="S352" s="259"/>
      <c r="T352" s="261"/>
      <c r="U352" s="241"/>
    </row>
    <row r="353" spans="11:30" s="192" customFormat="1" x14ac:dyDescent="0.25">
      <c r="K353" s="261"/>
      <c r="L353" s="240"/>
      <c r="M353" s="240" t="str">
        <f t="shared" si="6"/>
        <v/>
      </c>
      <c r="N353" s="261"/>
      <c r="O353" s="261"/>
      <c r="P353" s="261"/>
      <c r="Q353" s="261"/>
      <c r="R353" s="261"/>
      <c r="S353" s="259"/>
      <c r="T353" s="261"/>
      <c r="U353" s="241"/>
    </row>
    <row r="354" spans="11:30" s="192" customFormat="1" x14ac:dyDescent="0.25">
      <c r="K354" s="261"/>
      <c r="L354" s="240"/>
      <c r="M354" s="240" t="str">
        <f t="shared" si="6"/>
        <v/>
      </c>
      <c r="N354" s="261"/>
      <c r="O354" s="261"/>
      <c r="P354" s="261"/>
      <c r="Q354" s="261"/>
      <c r="R354" s="261"/>
      <c r="S354" s="259"/>
      <c r="T354" s="261"/>
      <c r="U354" s="241"/>
    </row>
    <row r="355" spans="11:30" s="192" customFormat="1" x14ac:dyDescent="0.25">
      <c r="K355" s="261"/>
      <c r="L355" s="240"/>
      <c r="M355" s="240" t="str">
        <f t="shared" si="6"/>
        <v/>
      </c>
      <c r="N355" s="261"/>
      <c r="O355" s="261"/>
      <c r="P355" s="261"/>
      <c r="Q355" s="261"/>
      <c r="R355" s="261"/>
      <c r="S355" s="259"/>
      <c r="T355" s="261"/>
      <c r="U355" s="241"/>
    </row>
    <row r="356" spans="11:30" s="192" customFormat="1" x14ac:dyDescent="0.25">
      <c r="K356" s="261"/>
      <c r="L356" s="240"/>
      <c r="M356" s="240" t="str">
        <f t="shared" si="6"/>
        <v/>
      </c>
      <c r="N356" s="261"/>
      <c r="O356" s="261"/>
      <c r="P356" s="261"/>
      <c r="Q356" s="261"/>
      <c r="R356" s="261"/>
      <c r="S356" s="259"/>
      <c r="T356" s="261"/>
      <c r="U356" s="241"/>
    </row>
    <row r="357" spans="11:30" s="192" customFormat="1" x14ac:dyDescent="0.25">
      <c r="K357" s="261"/>
      <c r="L357" s="240"/>
      <c r="M357" s="240" t="str">
        <f t="shared" si="6"/>
        <v/>
      </c>
      <c r="N357" s="261"/>
      <c r="O357" s="261"/>
      <c r="P357" s="261"/>
      <c r="Q357" s="261"/>
      <c r="R357" s="261"/>
      <c r="S357" s="259"/>
      <c r="T357" s="261"/>
      <c r="U357" s="241"/>
    </row>
    <row r="358" spans="11:30" s="192" customFormat="1" x14ac:dyDescent="0.25">
      <c r="K358" s="261"/>
      <c r="L358" s="240"/>
      <c r="M358" s="240" t="str">
        <f t="shared" si="6"/>
        <v/>
      </c>
      <c r="N358" s="261"/>
      <c r="O358" s="261"/>
      <c r="P358" s="261"/>
      <c r="Q358" s="261"/>
      <c r="R358" s="261"/>
      <c r="S358" s="259"/>
      <c r="T358" s="261"/>
      <c r="U358" s="241"/>
    </row>
    <row r="359" spans="11:30" s="192" customFormat="1" x14ac:dyDescent="0.25">
      <c r="K359" s="261"/>
      <c r="L359" s="240"/>
      <c r="M359" s="240" t="str">
        <f t="shared" si="6"/>
        <v/>
      </c>
      <c r="N359" s="261"/>
      <c r="O359" s="261"/>
      <c r="P359" s="261"/>
      <c r="Q359" s="261"/>
      <c r="R359" s="261"/>
      <c r="S359" s="259"/>
      <c r="T359" s="261"/>
      <c r="U359" s="241"/>
    </row>
    <row r="360" spans="11:30" s="192" customFormat="1" x14ac:dyDescent="0.25">
      <c r="K360" s="261"/>
      <c r="L360" s="240"/>
      <c r="M360" s="240" t="str">
        <f t="shared" si="6"/>
        <v/>
      </c>
      <c r="N360" s="261"/>
      <c r="O360" s="261"/>
      <c r="P360" s="261"/>
      <c r="Q360" s="261"/>
      <c r="R360" s="261"/>
      <c r="S360" s="259"/>
      <c r="T360" s="261"/>
      <c r="U360" s="241"/>
    </row>
    <row r="361" spans="11:30" s="192" customFormat="1" x14ac:dyDescent="0.25">
      <c r="K361" s="261"/>
      <c r="L361" s="240"/>
      <c r="M361" s="240" t="str">
        <f t="shared" si="6"/>
        <v/>
      </c>
      <c r="N361" s="261"/>
      <c r="O361" s="261"/>
      <c r="P361" s="261"/>
      <c r="Q361" s="261"/>
      <c r="R361" s="261"/>
      <c r="S361" s="259"/>
      <c r="T361" s="261"/>
      <c r="U361" s="241"/>
    </row>
    <row r="362" spans="11:30" s="192" customFormat="1" x14ac:dyDescent="0.25">
      <c r="K362" s="241">
        <f>SUBTOTAL(9,K3:K251)</f>
        <v>4482</v>
      </c>
      <c r="L362" s="240"/>
      <c r="M362" s="240"/>
      <c r="N362" s="261"/>
      <c r="O362" s="261"/>
      <c r="P362" s="261"/>
      <c r="Q362" s="261"/>
      <c r="R362" s="261"/>
      <c r="S362" s="259"/>
      <c r="T362" s="261"/>
      <c r="U362" s="241"/>
      <c r="Z362" s="248"/>
      <c r="AD362" s="248"/>
    </row>
  </sheetData>
  <autoFilter ref="A1:U361"/>
  <sortState ref="A3:U200">
    <sortCondition ref="C3:C200"/>
  </sortState>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240" customWidth="1"/>
    <col min="2" max="2" width="9.140625" style="240"/>
    <col min="3" max="3" width="7.85546875" style="240" customWidth="1"/>
    <col min="4" max="5" width="9.140625" style="240"/>
    <col min="6" max="6" width="5.140625" style="241" customWidth="1"/>
    <col min="7" max="7" width="12.28515625" style="258" customWidth="1"/>
    <col min="8" max="8" width="14.42578125" style="261" customWidth="1"/>
    <col min="9" max="9" width="9.140625" style="261"/>
    <col min="10" max="10" width="9.140625" style="259"/>
    <col min="11" max="11" width="8.28515625" style="261" customWidth="1"/>
    <col min="12" max="12" width="12" style="240" customWidth="1"/>
    <col min="13" max="13" width="10" style="240" customWidth="1"/>
    <col min="14" max="14" width="14.28515625" style="261" customWidth="1"/>
    <col min="15" max="18" width="9.140625" style="261"/>
    <col min="19" max="19" width="9.140625" style="259"/>
    <col min="20" max="20" width="9" style="261" customWidth="1"/>
    <col min="21" max="21" width="8.5703125" style="336" customWidth="1"/>
    <col min="22" max="22" width="2.5703125" style="192" customWidth="1"/>
    <col min="23" max="23" width="10.140625" style="192" customWidth="1"/>
    <col min="24" max="24" width="10.7109375" style="192" customWidth="1"/>
    <col min="25" max="25" width="2.7109375" style="192" customWidth="1"/>
    <col min="26" max="26" width="4.28515625" style="248" customWidth="1"/>
    <col min="27" max="27" width="48" style="192" customWidth="1"/>
    <col min="28" max="28" width="3" style="192" customWidth="1"/>
    <col min="29" max="29" width="16" style="192" customWidth="1"/>
    <col min="30" max="30" width="47.5703125" style="248" customWidth="1"/>
    <col min="31" max="31" width="5.28515625" style="192" customWidth="1"/>
    <col min="32" max="32" width="5.85546875" style="192" customWidth="1"/>
    <col min="33" max="33" width="6.42578125" style="192" customWidth="1"/>
    <col min="34" max="34" width="5.5703125" style="192" customWidth="1"/>
    <col min="35" max="35" width="5.85546875" style="192" customWidth="1"/>
    <col min="36" max="16384" width="9.140625" style="192"/>
  </cols>
  <sheetData>
    <row r="1" spans="1:31" s="261" customFormat="1" x14ac:dyDescent="0.25">
      <c r="A1" s="263">
        <v>1</v>
      </c>
      <c r="B1" s="263">
        <v>2</v>
      </c>
      <c r="C1" s="263">
        <v>3</v>
      </c>
      <c r="D1" s="263">
        <v>4</v>
      </c>
      <c r="E1" s="263">
        <v>5</v>
      </c>
      <c r="F1" s="263">
        <v>6</v>
      </c>
      <c r="G1" s="263">
        <v>7</v>
      </c>
      <c r="H1" s="263">
        <v>8</v>
      </c>
      <c r="I1" s="263">
        <v>9</v>
      </c>
      <c r="J1" s="263">
        <v>10</v>
      </c>
      <c r="K1" s="263">
        <v>11</v>
      </c>
      <c r="L1" s="263">
        <v>12</v>
      </c>
      <c r="M1" s="263">
        <v>13</v>
      </c>
      <c r="N1" s="263">
        <v>14</v>
      </c>
      <c r="O1" s="263">
        <v>15</v>
      </c>
      <c r="P1" s="263">
        <v>16</v>
      </c>
      <c r="Q1" s="263">
        <v>17</v>
      </c>
      <c r="R1" s="263">
        <v>18</v>
      </c>
      <c r="S1" s="263">
        <v>19</v>
      </c>
      <c r="T1" s="263">
        <v>20</v>
      </c>
      <c r="U1" s="332">
        <v>21</v>
      </c>
      <c r="Z1" s="284" t="s">
        <v>6537</v>
      </c>
      <c r="AA1" s="285"/>
      <c r="AB1" s="286"/>
      <c r="AC1" s="287" t="s">
        <v>6538</v>
      </c>
      <c r="AD1" s="284"/>
      <c r="AE1" s="286"/>
    </row>
    <row r="2" spans="1:31" x14ac:dyDescent="0.25">
      <c r="A2" s="23" t="s">
        <v>176</v>
      </c>
      <c r="B2" s="23" t="s">
        <v>177</v>
      </c>
      <c r="C2" s="23" t="s">
        <v>178</v>
      </c>
      <c r="D2" s="23" t="s">
        <v>179</v>
      </c>
      <c r="E2" s="23" t="s">
        <v>900</v>
      </c>
      <c r="F2" s="23" t="s">
        <v>181</v>
      </c>
      <c r="G2" s="23" t="s">
        <v>182</v>
      </c>
      <c r="H2" s="23" t="s">
        <v>183</v>
      </c>
      <c r="I2" s="23" t="s">
        <v>184</v>
      </c>
      <c r="J2" s="23" t="s">
        <v>185</v>
      </c>
      <c r="K2" s="23" t="s">
        <v>186</v>
      </c>
      <c r="L2" s="23" t="s">
        <v>4700</v>
      </c>
      <c r="M2" s="289" t="s">
        <v>6391</v>
      </c>
      <c r="N2" s="30" t="s">
        <v>4702</v>
      </c>
      <c r="O2" s="23" t="s">
        <v>187</v>
      </c>
      <c r="P2" s="23" t="s">
        <v>4703</v>
      </c>
      <c r="Q2" s="23" t="s">
        <v>4704</v>
      </c>
      <c r="R2" s="23" t="s">
        <v>4705</v>
      </c>
      <c r="S2" s="23" t="s">
        <v>4706</v>
      </c>
      <c r="T2" s="23" t="s">
        <v>4701</v>
      </c>
      <c r="U2" s="332"/>
      <c r="Z2" s="293" t="s">
        <v>6536</v>
      </c>
      <c r="AA2" s="254" t="s">
        <v>6531</v>
      </c>
      <c r="AB2" s="286"/>
      <c r="AC2" s="254" t="s">
        <v>6535</v>
      </c>
      <c r="AD2" s="253" t="s">
        <v>6531</v>
      </c>
      <c r="AE2" s="293" t="s">
        <v>6534</v>
      </c>
    </row>
    <row r="3" spans="1:31" x14ac:dyDescent="0.25">
      <c r="A3" s="23" t="s">
        <v>3171</v>
      </c>
      <c r="B3" s="23" t="s">
        <v>6547</v>
      </c>
      <c r="C3" s="23" t="s">
        <v>10</v>
      </c>
      <c r="D3" s="23" t="s">
        <v>6548</v>
      </c>
      <c r="E3" s="23" t="s">
        <v>233</v>
      </c>
      <c r="F3" s="23">
        <v>1</v>
      </c>
      <c r="G3" s="23" t="s">
        <v>193</v>
      </c>
      <c r="H3" s="23" t="s">
        <v>194</v>
      </c>
      <c r="I3" s="23" t="s">
        <v>6549</v>
      </c>
      <c r="J3" s="23" t="s">
        <v>210</v>
      </c>
      <c r="K3" s="23">
        <v>18</v>
      </c>
      <c r="L3" s="23" t="s">
        <v>6550</v>
      </c>
      <c r="M3" s="298" t="s">
        <v>6261</v>
      </c>
      <c r="N3" s="30">
        <v>1863</v>
      </c>
      <c r="O3" s="23" t="s">
        <v>484</v>
      </c>
      <c r="P3" s="23">
        <v>1</v>
      </c>
      <c r="Q3" s="23" t="s">
        <v>6552</v>
      </c>
      <c r="R3" s="23"/>
      <c r="S3" s="23" t="s">
        <v>4714</v>
      </c>
      <c r="T3" s="23" t="s">
        <v>6551</v>
      </c>
      <c r="U3" s="333" t="str">
        <f>MID(O3,8,6)</f>
        <v>251401</v>
      </c>
      <c r="W3" s="187" t="s">
        <v>1071</v>
      </c>
      <c r="X3" s="154">
        <f>COUNTIF(H3:H175,"zaznaczone")</f>
        <v>4</v>
      </c>
      <c r="Z3" s="263">
        <v>1</v>
      </c>
      <c r="AA3" s="282" t="s">
        <v>176</v>
      </c>
      <c r="AB3" s="286"/>
      <c r="AC3" s="288">
        <v>10</v>
      </c>
      <c r="AD3" s="283" t="s">
        <v>185</v>
      </c>
      <c r="AE3" s="263">
        <v>1</v>
      </c>
    </row>
    <row r="4" spans="1:31" x14ac:dyDescent="0.25">
      <c r="A4" s="23" t="s">
        <v>218</v>
      </c>
      <c r="B4" s="23" t="s">
        <v>6553</v>
      </c>
      <c r="C4" s="23" t="s">
        <v>12</v>
      </c>
      <c r="D4" s="23" t="s">
        <v>6548</v>
      </c>
      <c r="E4" s="23" t="s">
        <v>233</v>
      </c>
      <c r="F4" s="23">
        <v>1</v>
      </c>
      <c r="G4" s="23" t="s">
        <v>193</v>
      </c>
      <c r="H4" s="23" t="s">
        <v>194</v>
      </c>
      <c r="I4" s="23" t="s">
        <v>6549</v>
      </c>
      <c r="J4" s="23" t="s">
        <v>210</v>
      </c>
      <c r="K4" s="23">
        <v>18</v>
      </c>
      <c r="L4" s="23" t="s">
        <v>6554</v>
      </c>
      <c r="M4" s="298" t="s">
        <v>6256</v>
      </c>
      <c r="N4" s="30">
        <v>1863</v>
      </c>
      <c r="O4" s="23" t="s">
        <v>220</v>
      </c>
      <c r="P4" s="23">
        <v>1</v>
      </c>
      <c r="Q4" s="23" t="s">
        <v>6556</v>
      </c>
      <c r="R4" s="23"/>
      <c r="S4" s="23" t="s">
        <v>4714</v>
      </c>
      <c r="T4" s="23" t="s">
        <v>6555</v>
      </c>
      <c r="U4" s="333" t="str">
        <f t="shared" ref="U4:U67" si="0">MID(O4,8,6)</f>
        <v>132301</v>
      </c>
      <c r="W4" s="187" t="s">
        <v>1070</v>
      </c>
      <c r="X4" s="154">
        <f>COUNTIF(H3:H175,"niezaznaczone")</f>
        <v>169</v>
      </c>
      <c r="Z4" s="263">
        <v>2</v>
      </c>
      <c r="AA4" s="282" t="s">
        <v>177</v>
      </c>
      <c r="AB4" s="286"/>
      <c r="AC4" s="288">
        <v>12</v>
      </c>
      <c r="AD4" s="283" t="s">
        <v>4700</v>
      </c>
      <c r="AE4" s="263">
        <v>2</v>
      </c>
    </row>
    <row r="5" spans="1:31" x14ac:dyDescent="0.25">
      <c r="A5" s="23" t="s">
        <v>6557</v>
      </c>
      <c r="B5" s="23" t="s">
        <v>6558</v>
      </c>
      <c r="C5" s="23" t="s">
        <v>2116</v>
      </c>
      <c r="D5" s="23" t="s">
        <v>6548</v>
      </c>
      <c r="E5" s="23" t="s">
        <v>192</v>
      </c>
      <c r="F5" s="23">
        <v>1</v>
      </c>
      <c r="G5" s="23" t="s">
        <v>193</v>
      </c>
      <c r="H5" s="23" t="s">
        <v>194</v>
      </c>
      <c r="I5" s="23" t="s">
        <v>6549</v>
      </c>
      <c r="J5" s="23" t="s">
        <v>385</v>
      </c>
      <c r="K5" s="23">
        <v>18</v>
      </c>
      <c r="L5" s="23" t="s">
        <v>6559</v>
      </c>
      <c r="M5" s="298" t="s">
        <v>6275</v>
      </c>
      <c r="N5" s="30">
        <v>1861</v>
      </c>
      <c r="O5" s="23" t="s">
        <v>2117</v>
      </c>
      <c r="P5" s="23">
        <v>1</v>
      </c>
      <c r="Q5" s="23"/>
      <c r="R5" s="23"/>
      <c r="S5" s="23" t="s">
        <v>4714</v>
      </c>
      <c r="T5" s="23" t="s">
        <v>6560</v>
      </c>
      <c r="U5" s="333" t="str">
        <f t="shared" si="0"/>
        <v>713202</v>
      </c>
      <c r="W5" s="189" t="s">
        <v>1072</v>
      </c>
      <c r="X5" s="190">
        <f>SUM(X3:X4)</f>
        <v>173</v>
      </c>
      <c r="Z5" s="263">
        <v>3</v>
      </c>
      <c r="AA5" s="289" t="s">
        <v>6532</v>
      </c>
      <c r="AB5" s="286"/>
      <c r="AC5" s="291">
        <v>3</v>
      </c>
      <c r="AD5" s="292" t="s">
        <v>6532</v>
      </c>
      <c r="AE5" s="291">
        <v>3</v>
      </c>
    </row>
    <row r="6" spans="1:31" x14ac:dyDescent="0.25">
      <c r="A6" s="23" t="s">
        <v>2093</v>
      </c>
      <c r="B6" s="23" t="s">
        <v>2675</v>
      </c>
      <c r="C6" s="23" t="s">
        <v>25</v>
      </c>
      <c r="D6" s="23" t="s">
        <v>6548</v>
      </c>
      <c r="E6" s="23" t="s">
        <v>233</v>
      </c>
      <c r="F6" s="23">
        <v>1</v>
      </c>
      <c r="G6" s="23" t="s">
        <v>193</v>
      </c>
      <c r="H6" s="23" t="s">
        <v>194</v>
      </c>
      <c r="I6" s="23" t="s">
        <v>6549</v>
      </c>
      <c r="J6" s="23" t="s">
        <v>210</v>
      </c>
      <c r="K6" s="23">
        <v>18</v>
      </c>
      <c r="L6" s="23" t="s">
        <v>6561</v>
      </c>
      <c r="M6" s="298" t="s">
        <v>6306</v>
      </c>
      <c r="N6" s="30">
        <v>1863</v>
      </c>
      <c r="O6" s="23" t="s">
        <v>2095</v>
      </c>
      <c r="P6" s="23">
        <v>1</v>
      </c>
      <c r="Q6" s="23" t="s">
        <v>6563</v>
      </c>
      <c r="R6" s="23"/>
      <c r="S6" s="23" t="s">
        <v>4714</v>
      </c>
      <c r="T6" s="23" t="s">
        <v>6562</v>
      </c>
      <c r="U6" s="333" t="str">
        <f t="shared" si="0"/>
        <v>335201</v>
      </c>
      <c r="W6" s="188" t="s">
        <v>1073</v>
      </c>
      <c r="X6" s="154">
        <f>SUM(F3:F175)</f>
        <v>197</v>
      </c>
      <c r="Z6" s="263">
        <v>4</v>
      </c>
      <c r="AA6" s="282" t="s">
        <v>179</v>
      </c>
      <c r="AB6" s="286"/>
      <c r="AC6" s="288">
        <v>4</v>
      </c>
      <c r="AD6" s="282" t="s">
        <v>179</v>
      </c>
      <c r="AE6" s="263">
        <v>4</v>
      </c>
    </row>
    <row r="7" spans="1:31" x14ac:dyDescent="0.25">
      <c r="A7" s="23" t="s">
        <v>2093</v>
      </c>
      <c r="B7" s="23" t="s">
        <v>2675</v>
      </c>
      <c r="C7" s="23" t="s">
        <v>25</v>
      </c>
      <c r="D7" s="23" t="s">
        <v>6548</v>
      </c>
      <c r="E7" s="23" t="s">
        <v>233</v>
      </c>
      <c r="F7" s="23">
        <v>1</v>
      </c>
      <c r="G7" s="23" t="s">
        <v>193</v>
      </c>
      <c r="H7" s="23" t="s">
        <v>194</v>
      </c>
      <c r="I7" s="23" t="s">
        <v>6549</v>
      </c>
      <c r="J7" s="23" t="s">
        <v>367</v>
      </c>
      <c r="K7" s="23">
        <v>18</v>
      </c>
      <c r="L7" s="23" t="s">
        <v>6564</v>
      </c>
      <c r="M7" s="298" t="s">
        <v>6306</v>
      </c>
      <c r="N7" s="30">
        <v>1805</v>
      </c>
      <c r="O7" s="23" t="s">
        <v>2095</v>
      </c>
      <c r="P7" s="23">
        <v>1</v>
      </c>
      <c r="Q7" s="23" t="s">
        <v>6563</v>
      </c>
      <c r="R7" s="23"/>
      <c r="S7" s="23" t="s">
        <v>4714</v>
      </c>
      <c r="T7" s="23" t="s">
        <v>6562</v>
      </c>
      <c r="U7" s="333" t="str">
        <f t="shared" si="0"/>
        <v>335201</v>
      </c>
      <c r="W7" s="189" t="s">
        <v>4475</v>
      </c>
      <c r="X7" s="190">
        <f>ROWS(A3:A175)</f>
        <v>173</v>
      </c>
      <c r="Z7" s="263">
        <v>5</v>
      </c>
      <c r="AA7" s="282" t="s">
        <v>900</v>
      </c>
      <c r="AB7" s="286"/>
      <c r="AC7" s="288">
        <v>9</v>
      </c>
      <c r="AD7" s="283" t="s">
        <v>184</v>
      </c>
      <c r="AE7" s="263">
        <v>5</v>
      </c>
    </row>
    <row r="8" spans="1:31" x14ac:dyDescent="0.25">
      <c r="A8" s="23" t="s">
        <v>1154</v>
      </c>
      <c r="B8" s="23" t="s">
        <v>6565</v>
      </c>
      <c r="C8" s="23" t="s">
        <v>6566</v>
      </c>
      <c r="D8" s="23" t="s">
        <v>6548</v>
      </c>
      <c r="E8" s="23" t="s">
        <v>252</v>
      </c>
      <c r="F8" s="23">
        <v>1</v>
      </c>
      <c r="G8" s="23" t="s">
        <v>194</v>
      </c>
      <c r="H8" s="23" t="s">
        <v>193</v>
      </c>
      <c r="I8" s="23" t="s">
        <v>6549</v>
      </c>
      <c r="J8" s="23" t="s">
        <v>750</v>
      </c>
      <c r="K8" s="23">
        <v>18</v>
      </c>
      <c r="L8" s="23" t="s">
        <v>6567</v>
      </c>
      <c r="M8" s="298" t="s">
        <v>6256</v>
      </c>
      <c r="N8" s="30">
        <v>1804</v>
      </c>
      <c r="O8" s="23" t="s">
        <v>6568</v>
      </c>
      <c r="P8" s="23">
        <v>1</v>
      </c>
      <c r="Q8" s="23"/>
      <c r="R8" s="23"/>
      <c r="S8" s="23" t="s">
        <v>4714</v>
      </c>
      <c r="T8" s="23" t="s">
        <v>6569</v>
      </c>
      <c r="U8" s="333" t="str">
        <f t="shared" si="0"/>
        <v>312390</v>
      </c>
      <c r="W8" s="187" t="s">
        <v>5584</v>
      </c>
      <c r="X8" s="154" t="str">
        <f>IF(X5=X7,"zgadza się","Błąd")</f>
        <v>zgadza się</v>
      </c>
      <c r="Z8" s="263">
        <v>6</v>
      </c>
      <c r="AA8" s="282" t="s">
        <v>181</v>
      </c>
      <c r="AB8" s="286"/>
      <c r="AC8" s="288">
        <v>20</v>
      </c>
      <c r="AD8" s="283" t="s">
        <v>4701</v>
      </c>
      <c r="AE8" s="263">
        <v>6</v>
      </c>
    </row>
    <row r="9" spans="1:31" x14ac:dyDescent="0.25">
      <c r="A9" s="23" t="s">
        <v>260</v>
      </c>
      <c r="B9" s="23" t="s">
        <v>8</v>
      </c>
      <c r="C9" s="23" t="s">
        <v>740</v>
      </c>
      <c r="D9" s="23" t="s">
        <v>6548</v>
      </c>
      <c r="E9" s="23" t="s">
        <v>233</v>
      </c>
      <c r="F9" s="23">
        <v>1</v>
      </c>
      <c r="G9" s="23" t="s">
        <v>193</v>
      </c>
      <c r="H9" s="23" t="s">
        <v>194</v>
      </c>
      <c r="I9" s="23" t="s">
        <v>6549</v>
      </c>
      <c r="J9" s="23" t="s">
        <v>210</v>
      </c>
      <c r="K9" s="23">
        <v>18</v>
      </c>
      <c r="L9" s="23" t="s">
        <v>6570</v>
      </c>
      <c r="M9" s="298" t="s">
        <v>6249</v>
      </c>
      <c r="N9" s="30">
        <v>1863</v>
      </c>
      <c r="O9" s="23" t="s">
        <v>741</v>
      </c>
      <c r="P9" s="23">
        <v>1</v>
      </c>
      <c r="Q9" s="23" t="s">
        <v>6571</v>
      </c>
      <c r="R9" s="23"/>
      <c r="S9" s="23" t="s">
        <v>4714</v>
      </c>
      <c r="T9" s="23" t="s">
        <v>6555</v>
      </c>
      <c r="U9" s="333" t="str">
        <f t="shared" si="0"/>
        <v>522301</v>
      </c>
      <c r="Z9" s="263">
        <v>7</v>
      </c>
      <c r="AA9" s="283" t="s">
        <v>182</v>
      </c>
      <c r="AB9" s="286"/>
      <c r="AC9" s="288">
        <v>11</v>
      </c>
      <c r="AD9" s="283" t="s">
        <v>186</v>
      </c>
      <c r="AE9" s="263">
        <v>7</v>
      </c>
    </row>
    <row r="10" spans="1:31" x14ac:dyDescent="0.25">
      <c r="A10" s="23" t="s">
        <v>4975</v>
      </c>
      <c r="B10" s="23" t="s">
        <v>6572</v>
      </c>
      <c r="C10" s="23" t="s">
        <v>163</v>
      </c>
      <c r="D10" s="23" t="s">
        <v>6548</v>
      </c>
      <c r="E10" s="23" t="s">
        <v>233</v>
      </c>
      <c r="F10" s="23">
        <v>1</v>
      </c>
      <c r="G10" s="23" t="s">
        <v>193</v>
      </c>
      <c r="H10" s="23" t="s">
        <v>194</v>
      </c>
      <c r="I10" s="23" t="s">
        <v>6549</v>
      </c>
      <c r="J10" s="23" t="s">
        <v>385</v>
      </c>
      <c r="K10" s="23">
        <v>18</v>
      </c>
      <c r="L10" s="23" t="s">
        <v>6573</v>
      </c>
      <c r="M10" s="298" t="s">
        <v>6921</v>
      </c>
      <c r="N10" s="30">
        <v>1861</v>
      </c>
      <c r="O10" s="23" t="s">
        <v>697</v>
      </c>
      <c r="P10" s="23">
        <v>1</v>
      </c>
      <c r="Q10" s="23" t="s">
        <v>6574</v>
      </c>
      <c r="R10" s="23"/>
      <c r="S10" s="23" t="s">
        <v>4714</v>
      </c>
      <c r="T10" s="23" t="s">
        <v>6555</v>
      </c>
      <c r="U10" s="333" t="str">
        <f t="shared" si="0"/>
        <v>351203</v>
      </c>
      <c r="Z10" s="263">
        <v>8</v>
      </c>
      <c r="AA10" s="283" t="s">
        <v>183</v>
      </c>
      <c r="AB10" s="286"/>
      <c r="AC10" s="288">
        <v>14</v>
      </c>
      <c r="AD10" s="283" t="s">
        <v>4702</v>
      </c>
      <c r="AE10" s="263">
        <v>8</v>
      </c>
    </row>
    <row r="11" spans="1:31" x14ac:dyDescent="0.25">
      <c r="A11" s="23" t="s">
        <v>4975</v>
      </c>
      <c r="B11" s="23" t="s">
        <v>6575</v>
      </c>
      <c r="C11" s="23" t="s">
        <v>3671</v>
      </c>
      <c r="D11" s="23" t="s">
        <v>6548</v>
      </c>
      <c r="E11" s="23" t="s">
        <v>233</v>
      </c>
      <c r="F11" s="23">
        <v>1</v>
      </c>
      <c r="G11" s="23" t="s">
        <v>193</v>
      </c>
      <c r="H11" s="23" t="s">
        <v>194</v>
      </c>
      <c r="I11" s="23" t="s">
        <v>6549</v>
      </c>
      <c r="J11" s="23" t="s">
        <v>276</v>
      </c>
      <c r="K11" s="23">
        <v>18</v>
      </c>
      <c r="L11" s="23" t="s">
        <v>6576</v>
      </c>
      <c r="M11" s="298" t="s">
        <v>6275</v>
      </c>
      <c r="N11" s="30">
        <v>1803</v>
      </c>
      <c r="O11" s="23" t="s">
        <v>3672</v>
      </c>
      <c r="P11" s="23">
        <v>1</v>
      </c>
      <c r="Q11" s="23" t="s">
        <v>6358</v>
      </c>
      <c r="R11" s="23"/>
      <c r="S11" s="23" t="s">
        <v>4714</v>
      </c>
      <c r="T11" s="23" t="s">
        <v>6555</v>
      </c>
      <c r="U11" s="333" t="str">
        <f t="shared" si="0"/>
        <v>522303</v>
      </c>
      <c r="Z11" s="263">
        <v>9</v>
      </c>
      <c r="AA11" s="283" t="s">
        <v>184</v>
      </c>
      <c r="AB11" s="286"/>
      <c r="AC11" s="291">
        <v>15</v>
      </c>
      <c r="AD11" s="292" t="s">
        <v>187</v>
      </c>
      <c r="AE11" s="291">
        <v>9</v>
      </c>
    </row>
    <row r="12" spans="1:31" x14ac:dyDescent="0.25">
      <c r="A12" s="23" t="s">
        <v>6577</v>
      </c>
      <c r="B12" s="23" t="s">
        <v>6578</v>
      </c>
      <c r="C12" s="23" t="s">
        <v>2050</v>
      </c>
      <c r="D12" s="23" t="s">
        <v>6548</v>
      </c>
      <c r="E12" s="23" t="s">
        <v>233</v>
      </c>
      <c r="F12" s="23">
        <v>1</v>
      </c>
      <c r="G12" s="23" t="s">
        <v>193</v>
      </c>
      <c r="H12" s="23" t="s">
        <v>194</v>
      </c>
      <c r="I12" s="23" t="s">
        <v>6549</v>
      </c>
      <c r="J12" s="23" t="s">
        <v>6579</v>
      </c>
      <c r="K12" s="23">
        <v>18</v>
      </c>
      <c r="L12" s="23" t="s">
        <v>6580</v>
      </c>
      <c r="M12" s="298" t="s">
        <v>6277</v>
      </c>
      <c r="N12" s="30">
        <v>1810</v>
      </c>
      <c r="O12" s="23" t="s">
        <v>2051</v>
      </c>
      <c r="P12" s="23">
        <v>1</v>
      </c>
      <c r="Q12" s="23" t="s">
        <v>6581</v>
      </c>
      <c r="R12" s="23"/>
      <c r="S12" s="23" t="s">
        <v>4714</v>
      </c>
      <c r="T12" s="23" t="s">
        <v>6551</v>
      </c>
      <c r="U12" s="333" t="str">
        <f t="shared" si="0"/>
        <v>132402</v>
      </c>
      <c r="Z12" s="263">
        <v>10</v>
      </c>
      <c r="AA12" s="283" t="s">
        <v>185</v>
      </c>
      <c r="AB12" s="286"/>
      <c r="AC12" s="288">
        <v>6</v>
      </c>
      <c r="AD12" s="282" t="s">
        <v>181</v>
      </c>
      <c r="AE12" s="263">
        <v>10</v>
      </c>
    </row>
    <row r="13" spans="1:31" x14ac:dyDescent="0.25">
      <c r="A13" s="23" t="s">
        <v>6577</v>
      </c>
      <c r="B13" s="23" t="s">
        <v>6582</v>
      </c>
      <c r="C13" s="23" t="s">
        <v>27</v>
      </c>
      <c r="D13" s="23" t="s">
        <v>6548</v>
      </c>
      <c r="E13" s="23" t="s">
        <v>233</v>
      </c>
      <c r="F13" s="23">
        <v>1</v>
      </c>
      <c r="G13" s="23" t="s">
        <v>193</v>
      </c>
      <c r="H13" s="23" t="s">
        <v>194</v>
      </c>
      <c r="I13" s="23" t="s">
        <v>6549</v>
      </c>
      <c r="J13" s="23" t="s">
        <v>6579</v>
      </c>
      <c r="K13" s="23">
        <v>18</v>
      </c>
      <c r="L13" s="23" t="s">
        <v>6583</v>
      </c>
      <c r="M13" s="298" t="s">
        <v>6340</v>
      </c>
      <c r="N13" s="30">
        <v>1810</v>
      </c>
      <c r="O13" s="23" t="s">
        <v>440</v>
      </c>
      <c r="P13" s="23">
        <v>1</v>
      </c>
      <c r="Q13" s="23" t="s">
        <v>6584</v>
      </c>
      <c r="R13" s="23"/>
      <c r="S13" s="23" t="s">
        <v>4714</v>
      </c>
      <c r="T13" s="23" t="s">
        <v>6551</v>
      </c>
      <c r="U13" s="333" t="str">
        <f t="shared" si="0"/>
        <v>242307</v>
      </c>
      <c r="Z13" s="263">
        <v>11</v>
      </c>
      <c r="AA13" s="283" t="s">
        <v>186</v>
      </c>
      <c r="AB13" s="286"/>
      <c r="AC13" s="288">
        <v>16</v>
      </c>
      <c r="AD13" s="283" t="s">
        <v>4703</v>
      </c>
      <c r="AE13" s="263">
        <v>11</v>
      </c>
    </row>
    <row r="14" spans="1:31" x14ac:dyDescent="0.25">
      <c r="A14" s="23" t="s">
        <v>6585</v>
      </c>
      <c r="B14" s="23" t="s">
        <v>6586</v>
      </c>
      <c r="C14" s="23" t="s">
        <v>6587</v>
      </c>
      <c r="D14" s="23" t="s">
        <v>6548</v>
      </c>
      <c r="E14" s="23" t="s">
        <v>233</v>
      </c>
      <c r="F14" s="23">
        <v>1</v>
      </c>
      <c r="G14" s="23" t="s">
        <v>193</v>
      </c>
      <c r="H14" s="23" t="s">
        <v>194</v>
      </c>
      <c r="I14" s="23" t="s">
        <v>6549</v>
      </c>
      <c r="J14" s="23" t="s">
        <v>210</v>
      </c>
      <c r="K14" s="23">
        <v>18</v>
      </c>
      <c r="L14" s="23" t="s">
        <v>6588</v>
      </c>
      <c r="M14" s="298" t="s">
        <v>6922</v>
      </c>
      <c r="N14" s="30">
        <v>1863</v>
      </c>
      <c r="O14" s="23" t="s">
        <v>6589</v>
      </c>
      <c r="P14" s="23">
        <v>1</v>
      </c>
      <c r="Q14" s="23" t="s">
        <v>6590</v>
      </c>
      <c r="R14" s="23"/>
      <c r="S14" s="23" t="s">
        <v>4714</v>
      </c>
      <c r="T14" s="23" t="s">
        <v>6555</v>
      </c>
      <c r="U14" s="333" t="str">
        <f t="shared" si="0"/>
        <v>541314</v>
      </c>
      <c r="Z14" s="263">
        <v>12</v>
      </c>
      <c r="AA14" s="283" t="s">
        <v>4700</v>
      </c>
      <c r="AB14" s="286"/>
      <c r="AC14" s="288">
        <v>17</v>
      </c>
      <c r="AD14" s="283" t="s">
        <v>4704</v>
      </c>
      <c r="AE14" s="263">
        <v>12</v>
      </c>
    </row>
    <row r="15" spans="1:31" x14ac:dyDescent="0.25">
      <c r="A15" s="23" t="s">
        <v>581</v>
      </c>
      <c r="B15" s="23" t="s">
        <v>6591</v>
      </c>
      <c r="C15" s="23" t="s">
        <v>6592</v>
      </c>
      <c r="D15" s="23" t="s">
        <v>6548</v>
      </c>
      <c r="E15" s="23" t="s">
        <v>252</v>
      </c>
      <c r="F15" s="23">
        <v>1</v>
      </c>
      <c r="G15" s="23" t="s">
        <v>193</v>
      </c>
      <c r="H15" s="23" t="s">
        <v>194</v>
      </c>
      <c r="I15" s="23" t="s">
        <v>6549</v>
      </c>
      <c r="J15" s="23" t="s">
        <v>6593</v>
      </c>
      <c r="K15" s="23">
        <v>18</v>
      </c>
      <c r="L15" s="23" t="s">
        <v>6594</v>
      </c>
      <c r="M15" s="298" t="s">
        <v>6275</v>
      </c>
      <c r="N15" s="30">
        <v>1811</v>
      </c>
      <c r="O15" s="23" t="s">
        <v>6595</v>
      </c>
      <c r="P15" s="23">
        <v>1</v>
      </c>
      <c r="Q15" s="23" t="s">
        <v>6597</v>
      </c>
      <c r="R15" s="23"/>
      <c r="S15" s="23" t="s">
        <v>4714</v>
      </c>
      <c r="T15" s="23" t="s">
        <v>6596</v>
      </c>
      <c r="U15" s="333" t="str">
        <f t="shared" si="0"/>
        <v>753105</v>
      </c>
      <c r="Z15" s="263">
        <v>13</v>
      </c>
      <c r="AA15" s="289" t="s">
        <v>6391</v>
      </c>
      <c r="AB15" s="286"/>
      <c r="AC15" s="288">
        <v>18</v>
      </c>
      <c r="AD15" s="283" t="s">
        <v>4705</v>
      </c>
      <c r="AE15" s="263">
        <v>13</v>
      </c>
    </row>
    <row r="16" spans="1:31" x14ac:dyDescent="0.25">
      <c r="A16" s="23" t="s">
        <v>1639</v>
      </c>
      <c r="B16" s="23" t="s">
        <v>6598</v>
      </c>
      <c r="C16" s="23" t="s">
        <v>10</v>
      </c>
      <c r="D16" s="23" t="s">
        <v>6599</v>
      </c>
      <c r="E16" s="23" t="s">
        <v>233</v>
      </c>
      <c r="F16" s="23">
        <v>1</v>
      </c>
      <c r="G16" s="23" t="s">
        <v>193</v>
      </c>
      <c r="H16" s="23" t="s">
        <v>194</v>
      </c>
      <c r="I16" s="23" t="s">
        <v>6548</v>
      </c>
      <c r="J16" s="23" t="s">
        <v>196</v>
      </c>
      <c r="K16" s="23">
        <v>18</v>
      </c>
      <c r="L16" s="23" t="s">
        <v>6600</v>
      </c>
      <c r="M16" s="298" t="s">
        <v>6261</v>
      </c>
      <c r="N16" s="30"/>
      <c r="O16" s="23" t="s">
        <v>484</v>
      </c>
      <c r="P16" s="23">
        <v>25</v>
      </c>
      <c r="Q16" s="23" t="s">
        <v>6602</v>
      </c>
      <c r="R16" s="23"/>
      <c r="S16" s="23" t="s">
        <v>4714</v>
      </c>
      <c r="T16" s="23" t="s">
        <v>6601</v>
      </c>
      <c r="U16" s="333" t="str">
        <f t="shared" si="0"/>
        <v>251401</v>
      </c>
      <c r="Z16" s="263">
        <v>14</v>
      </c>
      <c r="AA16" s="283" t="s">
        <v>4702</v>
      </c>
      <c r="AB16" s="286"/>
      <c r="AC16" s="288">
        <v>8</v>
      </c>
      <c r="AD16" s="283" t="s">
        <v>183</v>
      </c>
      <c r="AE16" s="263">
        <v>14</v>
      </c>
    </row>
    <row r="17" spans="1:31" x14ac:dyDescent="0.25">
      <c r="A17" s="23" t="s">
        <v>6603</v>
      </c>
      <c r="B17" s="23" t="s">
        <v>6604</v>
      </c>
      <c r="C17" s="23" t="s">
        <v>1402</v>
      </c>
      <c r="D17" s="23" t="s">
        <v>6599</v>
      </c>
      <c r="E17" s="23" t="s">
        <v>252</v>
      </c>
      <c r="F17" s="23">
        <v>1</v>
      </c>
      <c r="G17" s="23" t="s">
        <v>193</v>
      </c>
      <c r="H17" s="23" t="s">
        <v>194</v>
      </c>
      <c r="I17" s="23" t="s">
        <v>6548</v>
      </c>
      <c r="J17" s="23" t="s">
        <v>210</v>
      </c>
      <c r="K17" s="23">
        <v>18</v>
      </c>
      <c r="L17" s="23" t="s">
        <v>6605</v>
      </c>
      <c r="M17" s="298" t="s">
        <v>6286</v>
      </c>
      <c r="N17" s="30">
        <v>1863</v>
      </c>
      <c r="O17" s="23" t="s">
        <v>1403</v>
      </c>
      <c r="P17" s="23">
        <v>1</v>
      </c>
      <c r="Q17" s="23"/>
      <c r="R17" s="23"/>
      <c r="S17" s="23" t="s">
        <v>4714</v>
      </c>
      <c r="T17" s="23" t="s">
        <v>6606</v>
      </c>
      <c r="U17" s="333" t="str">
        <f t="shared" si="0"/>
        <v>242228</v>
      </c>
      <c r="Z17" s="263">
        <v>15</v>
      </c>
      <c r="AA17" s="289" t="s">
        <v>187</v>
      </c>
      <c r="AB17" s="286"/>
      <c r="AC17" s="288">
        <v>1</v>
      </c>
      <c r="AD17" s="282" t="s">
        <v>176</v>
      </c>
      <c r="AE17" s="263">
        <v>15</v>
      </c>
    </row>
    <row r="18" spans="1:31" x14ac:dyDescent="0.25">
      <c r="A18" s="23" t="s">
        <v>780</v>
      </c>
      <c r="B18" s="23" t="s">
        <v>418</v>
      </c>
      <c r="C18" s="23" t="s">
        <v>778</v>
      </c>
      <c r="D18" s="23" t="s">
        <v>6599</v>
      </c>
      <c r="E18" s="23" t="s">
        <v>233</v>
      </c>
      <c r="F18" s="23">
        <v>1</v>
      </c>
      <c r="G18" s="23" t="s">
        <v>193</v>
      </c>
      <c r="H18" s="23" t="s">
        <v>194</v>
      </c>
      <c r="I18" s="23" t="s">
        <v>6548</v>
      </c>
      <c r="J18" s="23" t="s">
        <v>747</v>
      </c>
      <c r="K18" s="23">
        <v>18</v>
      </c>
      <c r="L18" s="23" t="s">
        <v>6607</v>
      </c>
      <c r="M18" s="298" t="s">
        <v>6254</v>
      </c>
      <c r="N18" s="30">
        <v>1817</v>
      </c>
      <c r="O18" s="23" t="s">
        <v>779</v>
      </c>
      <c r="P18" s="23">
        <v>1</v>
      </c>
      <c r="Q18" s="23" t="s">
        <v>6608</v>
      </c>
      <c r="R18" s="23"/>
      <c r="S18" s="23" t="s">
        <v>4714</v>
      </c>
      <c r="T18" s="23" t="s">
        <v>6601</v>
      </c>
      <c r="U18" s="333" t="str">
        <f t="shared" si="0"/>
        <v>524902</v>
      </c>
      <c r="Z18" s="263">
        <v>16</v>
      </c>
      <c r="AA18" s="283" t="s">
        <v>4703</v>
      </c>
      <c r="AB18" s="286"/>
      <c r="AC18" s="288">
        <v>2</v>
      </c>
      <c r="AD18" s="282" t="s">
        <v>177</v>
      </c>
      <c r="AE18" s="263">
        <v>16</v>
      </c>
    </row>
    <row r="19" spans="1:31" x14ac:dyDescent="0.25">
      <c r="A19" s="23" t="s">
        <v>751</v>
      </c>
      <c r="B19" s="23" t="s">
        <v>752</v>
      </c>
      <c r="C19" s="23" t="s">
        <v>5353</v>
      </c>
      <c r="D19" s="23" t="s">
        <v>6599</v>
      </c>
      <c r="E19" s="23" t="s">
        <v>233</v>
      </c>
      <c r="F19" s="23">
        <v>1</v>
      </c>
      <c r="G19" s="23" t="s">
        <v>193</v>
      </c>
      <c r="H19" s="23" t="s">
        <v>194</v>
      </c>
      <c r="I19" s="23" t="s">
        <v>6548</v>
      </c>
      <c r="J19" s="23" t="s">
        <v>4751</v>
      </c>
      <c r="K19" s="23">
        <v>18</v>
      </c>
      <c r="L19" s="23" t="s">
        <v>6609</v>
      </c>
      <c r="M19" s="298" t="s">
        <v>6249</v>
      </c>
      <c r="N19" s="30">
        <v>1862</v>
      </c>
      <c r="O19" s="23" t="s">
        <v>2084</v>
      </c>
      <c r="P19" s="23">
        <v>1</v>
      </c>
      <c r="Q19" s="23" t="s">
        <v>6610</v>
      </c>
      <c r="R19" s="23"/>
      <c r="S19" s="23" t="s">
        <v>4714</v>
      </c>
      <c r="T19" s="23" t="s">
        <v>6601</v>
      </c>
      <c r="U19" s="333" t="str">
        <f t="shared" si="0"/>
        <v>524302</v>
      </c>
      <c r="Z19" s="263">
        <v>17</v>
      </c>
      <c r="AA19" s="283" t="s">
        <v>4704</v>
      </c>
      <c r="AB19" s="286"/>
      <c r="AC19" s="288">
        <v>19</v>
      </c>
      <c r="AD19" s="283" t="s">
        <v>4706</v>
      </c>
      <c r="AE19" s="263">
        <v>17</v>
      </c>
    </row>
    <row r="20" spans="1:31" x14ac:dyDescent="0.25">
      <c r="A20" s="23" t="s">
        <v>382</v>
      </c>
      <c r="B20" s="23" t="s">
        <v>537</v>
      </c>
      <c r="C20" s="23" t="s">
        <v>778</v>
      </c>
      <c r="D20" s="23" t="s">
        <v>6599</v>
      </c>
      <c r="E20" s="23" t="s">
        <v>192</v>
      </c>
      <c r="F20" s="23">
        <v>1</v>
      </c>
      <c r="G20" s="23" t="s">
        <v>193</v>
      </c>
      <c r="H20" s="23" t="s">
        <v>194</v>
      </c>
      <c r="I20" s="23" t="s">
        <v>6548</v>
      </c>
      <c r="J20" s="23" t="s">
        <v>385</v>
      </c>
      <c r="K20" s="23">
        <v>18</v>
      </c>
      <c r="L20" s="23" t="s">
        <v>6611</v>
      </c>
      <c r="M20" s="298" t="s">
        <v>6249</v>
      </c>
      <c r="N20" s="30" t="s">
        <v>6613</v>
      </c>
      <c r="O20" s="23" t="s">
        <v>779</v>
      </c>
      <c r="P20" s="23">
        <v>3</v>
      </c>
      <c r="Q20" s="23"/>
      <c r="R20" s="23"/>
      <c r="S20" s="23" t="s">
        <v>4714</v>
      </c>
      <c r="T20" s="23" t="s">
        <v>6612</v>
      </c>
      <c r="U20" s="333" t="str">
        <f t="shared" si="0"/>
        <v>524902</v>
      </c>
      <c r="Z20" s="263">
        <v>18</v>
      </c>
      <c r="AA20" s="283" t="s">
        <v>4705</v>
      </c>
      <c r="AB20" s="286"/>
      <c r="AC20" s="288">
        <v>7</v>
      </c>
      <c r="AD20" s="283" t="s">
        <v>182</v>
      </c>
      <c r="AE20" s="263">
        <v>18</v>
      </c>
    </row>
    <row r="21" spans="1:31" x14ac:dyDescent="0.25">
      <c r="A21" s="23" t="s">
        <v>382</v>
      </c>
      <c r="B21" s="23" t="s">
        <v>2654</v>
      </c>
      <c r="C21" s="23" t="s">
        <v>133</v>
      </c>
      <c r="D21" s="23" t="s">
        <v>6599</v>
      </c>
      <c r="E21" s="23" t="s">
        <v>192</v>
      </c>
      <c r="F21" s="23">
        <v>1</v>
      </c>
      <c r="G21" s="23" t="s">
        <v>193</v>
      </c>
      <c r="H21" s="23" t="s">
        <v>194</v>
      </c>
      <c r="I21" s="23" t="s">
        <v>6548</v>
      </c>
      <c r="J21" s="23" t="s">
        <v>385</v>
      </c>
      <c r="K21" s="23">
        <v>18</v>
      </c>
      <c r="L21" s="23" t="s">
        <v>6614</v>
      </c>
      <c r="M21" s="298" t="s">
        <v>6266</v>
      </c>
      <c r="N21" s="30">
        <v>1861</v>
      </c>
      <c r="O21" s="23" t="s">
        <v>673</v>
      </c>
      <c r="P21" s="23">
        <v>1</v>
      </c>
      <c r="Q21" s="23"/>
      <c r="R21" s="23"/>
      <c r="S21" s="23" t="s">
        <v>4714</v>
      </c>
      <c r="T21" s="23" t="s">
        <v>6612</v>
      </c>
      <c r="U21" s="333" t="str">
        <f t="shared" si="0"/>
        <v>333107</v>
      </c>
      <c r="Z21" s="263">
        <v>19</v>
      </c>
      <c r="AA21" s="283" t="s">
        <v>4706</v>
      </c>
      <c r="AB21" s="286"/>
      <c r="AC21" s="288">
        <v>5</v>
      </c>
      <c r="AD21" s="282" t="s">
        <v>900</v>
      </c>
      <c r="AE21" s="263">
        <v>19</v>
      </c>
    </row>
    <row r="22" spans="1:31" x14ac:dyDescent="0.25">
      <c r="A22" s="23" t="s">
        <v>6615</v>
      </c>
      <c r="B22" s="23" t="s">
        <v>6616</v>
      </c>
      <c r="C22" s="23" t="s">
        <v>6617</v>
      </c>
      <c r="D22" s="23" t="s">
        <v>6599</v>
      </c>
      <c r="E22" s="23" t="s">
        <v>233</v>
      </c>
      <c r="F22" s="23">
        <v>1</v>
      </c>
      <c r="G22" s="23" t="s">
        <v>193</v>
      </c>
      <c r="H22" s="23" t="s">
        <v>194</v>
      </c>
      <c r="I22" s="23" t="s">
        <v>6548</v>
      </c>
      <c r="J22" s="23" t="s">
        <v>210</v>
      </c>
      <c r="K22" s="23">
        <v>18</v>
      </c>
      <c r="L22" s="23" t="s">
        <v>6618</v>
      </c>
      <c r="M22" s="298" t="s">
        <v>6266</v>
      </c>
      <c r="N22" s="30">
        <v>1863</v>
      </c>
      <c r="O22" s="23" t="s">
        <v>990</v>
      </c>
      <c r="P22" s="23">
        <v>1</v>
      </c>
      <c r="Q22" s="23" t="s">
        <v>6619</v>
      </c>
      <c r="R22" s="23"/>
      <c r="S22" s="23" t="s">
        <v>4714</v>
      </c>
      <c r="T22" s="23" t="s">
        <v>6601</v>
      </c>
      <c r="U22" s="333" t="str">
        <f t="shared" si="0"/>
        <v>833202</v>
      </c>
      <c r="Z22" s="263">
        <v>20</v>
      </c>
      <c r="AA22" s="283" t="s">
        <v>4701</v>
      </c>
      <c r="AB22" s="286"/>
      <c r="AC22" s="291">
        <v>13</v>
      </c>
      <c r="AD22" s="290" t="s">
        <v>6391</v>
      </c>
      <c r="AE22" s="291">
        <v>20</v>
      </c>
    </row>
    <row r="23" spans="1:31" x14ac:dyDescent="0.25">
      <c r="A23" s="23" t="s">
        <v>964</v>
      </c>
      <c r="B23" s="23" t="s">
        <v>537</v>
      </c>
      <c r="C23" s="23" t="s">
        <v>778</v>
      </c>
      <c r="D23" s="23" t="s">
        <v>6599</v>
      </c>
      <c r="E23" s="23" t="s">
        <v>233</v>
      </c>
      <c r="F23" s="23">
        <v>1</v>
      </c>
      <c r="G23" s="23" t="s">
        <v>193</v>
      </c>
      <c r="H23" s="23" t="s">
        <v>194</v>
      </c>
      <c r="I23" s="23" t="s">
        <v>6548</v>
      </c>
      <c r="J23" s="23" t="s">
        <v>285</v>
      </c>
      <c r="K23" s="23">
        <v>18</v>
      </c>
      <c r="L23" s="23" t="s">
        <v>6620</v>
      </c>
      <c r="M23" s="298" t="s">
        <v>6249</v>
      </c>
      <c r="N23" s="30">
        <v>1815</v>
      </c>
      <c r="O23" s="23" t="s">
        <v>779</v>
      </c>
      <c r="P23" s="23">
        <v>1</v>
      </c>
      <c r="Q23" s="23" t="s">
        <v>6621</v>
      </c>
      <c r="R23" s="23"/>
      <c r="S23" s="23" t="s">
        <v>4714</v>
      </c>
      <c r="T23" s="23" t="s">
        <v>6599</v>
      </c>
      <c r="U23" s="333" t="str">
        <f t="shared" si="0"/>
        <v>524902</v>
      </c>
      <c r="Z23" s="263">
        <v>21</v>
      </c>
      <c r="AA23" s="253" t="s">
        <v>6533</v>
      </c>
      <c r="AB23" s="286"/>
      <c r="AC23" s="263"/>
      <c r="AD23" s="253" t="s">
        <v>6533</v>
      </c>
      <c r="AE23" s="263">
        <v>21</v>
      </c>
    </row>
    <row r="24" spans="1:31" x14ac:dyDescent="0.25">
      <c r="A24" s="23" t="s">
        <v>964</v>
      </c>
      <c r="B24" s="23" t="s">
        <v>537</v>
      </c>
      <c r="C24" s="23" t="s">
        <v>778</v>
      </c>
      <c r="D24" s="23" t="s">
        <v>6599</v>
      </c>
      <c r="E24" s="23" t="s">
        <v>233</v>
      </c>
      <c r="F24" s="23">
        <v>1</v>
      </c>
      <c r="G24" s="23" t="s">
        <v>193</v>
      </c>
      <c r="H24" s="23" t="s">
        <v>194</v>
      </c>
      <c r="I24" s="23" t="s">
        <v>6548</v>
      </c>
      <c r="J24" s="23" t="s">
        <v>327</v>
      </c>
      <c r="K24" s="23">
        <v>18</v>
      </c>
      <c r="L24" s="23" t="s">
        <v>6622</v>
      </c>
      <c r="M24" s="298" t="s">
        <v>6249</v>
      </c>
      <c r="N24" s="30">
        <v>1808</v>
      </c>
      <c r="O24" s="23" t="s">
        <v>779</v>
      </c>
      <c r="P24" s="23">
        <v>1</v>
      </c>
      <c r="Q24" s="23" t="s">
        <v>6621</v>
      </c>
      <c r="R24" s="23"/>
      <c r="S24" s="23" t="s">
        <v>4714</v>
      </c>
      <c r="T24" s="23" t="s">
        <v>6599</v>
      </c>
      <c r="U24" s="333" t="str">
        <f t="shared" si="0"/>
        <v>524902</v>
      </c>
    </row>
    <row r="25" spans="1:31" x14ac:dyDescent="0.25">
      <c r="A25" s="23" t="s">
        <v>964</v>
      </c>
      <c r="B25" s="23" t="s">
        <v>537</v>
      </c>
      <c r="C25" s="23" t="s">
        <v>778</v>
      </c>
      <c r="D25" s="23" t="s">
        <v>6599</v>
      </c>
      <c r="E25" s="23" t="s">
        <v>233</v>
      </c>
      <c r="F25" s="23">
        <v>1</v>
      </c>
      <c r="G25" s="23" t="s">
        <v>193</v>
      </c>
      <c r="H25" s="23" t="s">
        <v>194</v>
      </c>
      <c r="I25" s="23" t="s">
        <v>6548</v>
      </c>
      <c r="J25" s="23" t="s">
        <v>408</v>
      </c>
      <c r="K25" s="23">
        <v>18</v>
      </c>
      <c r="L25" s="23" t="s">
        <v>6623</v>
      </c>
      <c r="M25" s="298" t="s">
        <v>6249</v>
      </c>
      <c r="N25" s="30">
        <v>1864</v>
      </c>
      <c r="O25" s="23" t="s">
        <v>779</v>
      </c>
      <c r="P25" s="23">
        <v>1</v>
      </c>
      <c r="Q25" s="23" t="s">
        <v>6621</v>
      </c>
      <c r="R25" s="23"/>
      <c r="S25" s="23" t="s">
        <v>4714</v>
      </c>
      <c r="T25" s="23" t="s">
        <v>6599</v>
      </c>
      <c r="U25" s="333" t="str">
        <f t="shared" si="0"/>
        <v>524902</v>
      </c>
    </row>
    <row r="26" spans="1:31" x14ac:dyDescent="0.25">
      <c r="A26" s="23" t="s">
        <v>4975</v>
      </c>
      <c r="B26" s="23" t="s">
        <v>6624</v>
      </c>
      <c r="C26" s="23" t="s">
        <v>85</v>
      </c>
      <c r="D26" s="23" t="s">
        <v>6599</v>
      </c>
      <c r="E26" s="23" t="s">
        <v>233</v>
      </c>
      <c r="F26" s="23">
        <v>1</v>
      </c>
      <c r="G26" s="23" t="s">
        <v>193</v>
      </c>
      <c r="H26" s="23" t="s">
        <v>194</v>
      </c>
      <c r="I26" s="23" t="s">
        <v>6548</v>
      </c>
      <c r="J26" s="23" t="s">
        <v>385</v>
      </c>
      <c r="K26" s="23">
        <v>18</v>
      </c>
      <c r="L26" s="23" t="s">
        <v>6625</v>
      </c>
      <c r="M26" s="298" t="s">
        <v>6302</v>
      </c>
      <c r="N26" s="30">
        <v>1861</v>
      </c>
      <c r="O26" s="23" t="s">
        <v>477</v>
      </c>
      <c r="P26" s="23">
        <v>1</v>
      </c>
      <c r="Q26" s="23" t="s">
        <v>6627</v>
      </c>
      <c r="R26" s="23"/>
      <c r="S26" s="23" t="s">
        <v>4714</v>
      </c>
      <c r="T26" s="23" t="s">
        <v>6626</v>
      </c>
      <c r="U26" s="333" t="str">
        <f t="shared" si="0"/>
        <v>243305</v>
      </c>
    </row>
    <row r="27" spans="1:31" x14ac:dyDescent="0.25">
      <c r="A27" s="23" t="s">
        <v>413</v>
      </c>
      <c r="B27" s="23" t="s">
        <v>6628</v>
      </c>
      <c r="C27" s="23" t="s">
        <v>1649</v>
      </c>
      <c r="D27" s="23" t="s">
        <v>6599</v>
      </c>
      <c r="E27" s="23" t="s">
        <v>233</v>
      </c>
      <c r="F27" s="23">
        <v>1</v>
      </c>
      <c r="G27" s="23" t="s">
        <v>193</v>
      </c>
      <c r="H27" s="23" t="s">
        <v>194</v>
      </c>
      <c r="I27" s="23" t="s">
        <v>6548</v>
      </c>
      <c r="J27" s="23" t="s">
        <v>196</v>
      </c>
      <c r="K27" s="23">
        <v>18</v>
      </c>
      <c r="L27" s="23" t="s">
        <v>6629</v>
      </c>
      <c r="M27" s="298" t="s">
        <v>6254</v>
      </c>
      <c r="N27" s="30"/>
      <c r="O27" s="23" t="s">
        <v>1650</v>
      </c>
      <c r="P27" s="23">
        <v>25</v>
      </c>
      <c r="Q27" s="23" t="s">
        <v>6630</v>
      </c>
      <c r="R27" s="23"/>
      <c r="S27" s="23" t="s">
        <v>4714</v>
      </c>
      <c r="T27" s="23" t="s">
        <v>6626</v>
      </c>
      <c r="U27" s="333" t="str">
        <f t="shared" si="0"/>
        <v>134603</v>
      </c>
    </row>
    <row r="28" spans="1:31" x14ac:dyDescent="0.25">
      <c r="A28" s="23" t="s">
        <v>6631</v>
      </c>
      <c r="B28" s="23" t="s">
        <v>6632</v>
      </c>
      <c r="C28" s="23" t="s">
        <v>3855</v>
      </c>
      <c r="D28" s="23" t="s">
        <v>6599</v>
      </c>
      <c r="E28" s="23" t="s">
        <v>233</v>
      </c>
      <c r="F28" s="23">
        <v>1</v>
      </c>
      <c r="G28" s="23" t="s">
        <v>193</v>
      </c>
      <c r="H28" s="23" t="s">
        <v>194</v>
      </c>
      <c r="I28" s="23" t="s">
        <v>6548</v>
      </c>
      <c r="J28" s="23" t="s">
        <v>196</v>
      </c>
      <c r="K28" s="23">
        <v>18</v>
      </c>
      <c r="L28" s="23" t="s">
        <v>6633</v>
      </c>
      <c r="M28" s="298" t="s">
        <v>6256</v>
      </c>
      <c r="N28" s="30"/>
      <c r="O28" s="23" t="s">
        <v>3856</v>
      </c>
      <c r="P28" s="23">
        <v>25</v>
      </c>
      <c r="Q28" s="23" t="s">
        <v>6634</v>
      </c>
      <c r="R28" s="23"/>
      <c r="S28" s="23" t="s">
        <v>4714</v>
      </c>
      <c r="T28" s="23" t="s">
        <v>6601</v>
      </c>
      <c r="U28" s="333" t="str">
        <f t="shared" si="0"/>
        <v>311207</v>
      </c>
    </row>
    <row r="29" spans="1:31" x14ac:dyDescent="0.25">
      <c r="A29" s="23" t="s">
        <v>2622</v>
      </c>
      <c r="B29" s="23" t="s">
        <v>5916</v>
      </c>
      <c r="C29" s="23" t="s">
        <v>20</v>
      </c>
      <c r="D29" s="23" t="s">
        <v>6599</v>
      </c>
      <c r="E29" s="23" t="s">
        <v>233</v>
      </c>
      <c r="F29" s="23">
        <v>1</v>
      </c>
      <c r="G29" s="23" t="s">
        <v>193</v>
      </c>
      <c r="H29" s="23" t="s">
        <v>194</v>
      </c>
      <c r="I29" s="23" t="s">
        <v>6548</v>
      </c>
      <c r="J29" s="23" t="s">
        <v>2183</v>
      </c>
      <c r="K29" s="23">
        <v>18</v>
      </c>
      <c r="L29" s="23" t="s">
        <v>6635</v>
      </c>
      <c r="M29" s="298" t="s">
        <v>6295</v>
      </c>
      <c r="N29" s="30">
        <v>1820</v>
      </c>
      <c r="O29" s="23" t="s">
        <v>286</v>
      </c>
      <c r="P29" s="23">
        <v>1</v>
      </c>
      <c r="Q29" s="23" t="s">
        <v>6636</v>
      </c>
      <c r="R29" s="23"/>
      <c r="S29" s="23" t="s">
        <v>4714</v>
      </c>
      <c r="T29" s="23" t="s">
        <v>6601</v>
      </c>
      <c r="U29" s="333" t="str">
        <f t="shared" si="0"/>
        <v>214109</v>
      </c>
    </row>
    <row r="30" spans="1:31" x14ac:dyDescent="0.25">
      <c r="A30" s="23" t="s">
        <v>4007</v>
      </c>
      <c r="B30" s="23" t="s">
        <v>2124</v>
      </c>
      <c r="C30" s="23" t="s">
        <v>2127</v>
      </c>
      <c r="D30" s="23" t="s">
        <v>6599</v>
      </c>
      <c r="E30" s="23" t="s">
        <v>233</v>
      </c>
      <c r="F30" s="23">
        <v>1</v>
      </c>
      <c r="G30" s="23" t="s">
        <v>193</v>
      </c>
      <c r="H30" s="23" t="s">
        <v>194</v>
      </c>
      <c r="I30" s="23" t="s">
        <v>6548</v>
      </c>
      <c r="J30" s="23" t="s">
        <v>276</v>
      </c>
      <c r="K30" s="23">
        <v>18</v>
      </c>
      <c r="L30" s="23" t="s">
        <v>6637</v>
      </c>
      <c r="M30" s="298" t="s">
        <v>6306</v>
      </c>
      <c r="N30" s="30">
        <v>1803</v>
      </c>
      <c r="O30" s="23" t="s">
        <v>2128</v>
      </c>
      <c r="P30" s="23">
        <v>1</v>
      </c>
      <c r="Q30" s="23" t="s">
        <v>5706</v>
      </c>
      <c r="R30" s="23"/>
      <c r="S30" s="23" t="s">
        <v>4714</v>
      </c>
      <c r="T30" s="23" t="s">
        <v>6638</v>
      </c>
      <c r="U30" s="333" t="str">
        <f t="shared" si="0"/>
        <v>225211</v>
      </c>
    </row>
    <row r="31" spans="1:31" x14ac:dyDescent="0.25">
      <c r="A31" s="23" t="s">
        <v>6639</v>
      </c>
      <c r="B31" s="23" t="s">
        <v>6640</v>
      </c>
      <c r="C31" s="23" t="s">
        <v>5236</v>
      </c>
      <c r="D31" s="23" t="s">
        <v>6599</v>
      </c>
      <c r="E31" s="23" t="s">
        <v>233</v>
      </c>
      <c r="F31" s="23">
        <v>1</v>
      </c>
      <c r="G31" s="23" t="s">
        <v>193</v>
      </c>
      <c r="H31" s="23" t="s">
        <v>194</v>
      </c>
      <c r="I31" s="23" t="s">
        <v>6548</v>
      </c>
      <c r="J31" s="23" t="s">
        <v>1043</v>
      </c>
      <c r="K31" s="23">
        <v>18</v>
      </c>
      <c r="L31" s="23" t="s">
        <v>6641</v>
      </c>
      <c r="M31" s="298" t="s">
        <v>6256</v>
      </c>
      <c r="N31" s="30">
        <v>1863</v>
      </c>
      <c r="O31" s="23" t="s">
        <v>5237</v>
      </c>
      <c r="P31" s="23">
        <v>1</v>
      </c>
      <c r="Q31" s="23" t="s">
        <v>6642</v>
      </c>
      <c r="R31" s="23"/>
      <c r="S31" s="23" t="s">
        <v>4714</v>
      </c>
      <c r="T31" s="23" t="s">
        <v>6626</v>
      </c>
      <c r="U31" s="333" t="str">
        <f t="shared" si="0"/>
        <v>712604</v>
      </c>
    </row>
    <row r="32" spans="1:31" x14ac:dyDescent="0.25">
      <c r="A32" s="23" t="s">
        <v>6643</v>
      </c>
      <c r="B32" s="23" t="s">
        <v>632</v>
      </c>
      <c r="C32" s="23" t="s">
        <v>17</v>
      </c>
      <c r="D32" s="23" t="s">
        <v>6599</v>
      </c>
      <c r="E32" s="23" t="s">
        <v>192</v>
      </c>
      <c r="F32" s="23">
        <v>1</v>
      </c>
      <c r="G32" s="23" t="s">
        <v>193</v>
      </c>
      <c r="H32" s="23" t="s">
        <v>194</v>
      </c>
      <c r="I32" s="23" t="s">
        <v>6548</v>
      </c>
      <c r="J32" s="23" t="s">
        <v>276</v>
      </c>
      <c r="K32" s="23">
        <v>18</v>
      </c>
      <c r="L32" s="23" t="s">
        <v>6644</v>
      </c>
      <c r="M32" s="298" t="s">
        <v>6290</v>
      </c>
      <c r="N32" s="30">
        <v>1803</v>
      </c>
      <c r="O32" s="23" t="s">
        <v>624</v>
      </c>
      <c r="P32" s="23">
        <v>1</v>
      </c>
      <c r="Q32" s="23"/>
      <c r="R32" s="23"/>
      <c r="S32" s="23" t="s">
        <v>4714</v>
      </c>
      <c r="T32" s="23" t="s">
        <v>6645</v>
      </c>
      <c r="U32" s="333" t="str">
        <f t="shared" si="0"/>
        <v>332203</v>
      </c>
    </row>
    <row r="33" spans="1:30" x14ac:dyDescent="0.25">
      <c r="A33" s="23" t="s">
        <v>6643</v>
      </c>
      <c r="B33" s="23" t="s">
        <v>632</v>
      </c>
      <c r="C33" s="23" t="s">
        <v>17</v>
      </c>
      <c r="D33" s="23" t="s">
        <v>6599</v>
      </c>
      <c r="E33" s="23" t="s">
        <v>192</v>
      </c>
      <c r="F33" s="23">
        <v>1</v>
      </c>
      <c r="G33" s="23" t="s">
        <v>193</v>
      </c>
      <c r="H33" s="23" t="s">
        <v>194</v>
      </c>
      <c r="I33" s="23" t="s">
        <v>6548</v>
      </c>
      <c r="J33" s="23" t="s">
        <v>253</v>
      </c>
      <c r="K33" s="23">
        <v>18</v>
      </c>
      <c r="L33" s="23" t="s">
        <v>6646</v>
      </c>
      <c r="M33" s="298" t="s">
        <v>6290</v>
      </c>
      <c r="N33" s="30">
        <v>1811</v>
      </c>
      <c r="O33" s="23" t="s">
        <v>624</v>
      </c>
      <c r="P33" s="23">
        <v>1</v>
      </c>
      <c r="Q33" s="23"/>
      <c r="R33" s="23"/>
      <c r="S33" s="23" t="s">
        <v>4714</v>
      </c>
      <c r="T33" s="23" t="s">
        <v>6645</v>
      </c>
      <c r="U33" s="333" t="str">
        <f t="shared" si="0"/>
        <v>332203</v>
      </c>
    </row>
    <row r="34" spans="1:30" x14ac:dyDescent="0.25">
      <c r="A34" s="23" t="s">
        <v>6643</v>
      </c>
      <c r="B34" s="23" t="s">
        <v>632</v>
      </c>
      <c r="C34" s="23" t="s">
        <v>17</v>
      </c>
      <c r="D34" s="23" t="s">
        <v>6599</v>
      </c>
      <c r="E34" s="23" t="s">
        <v>192</v>
      </c>
      <c r="F34" s="23">
        <v>1</v>
      </c>
      <c r="G34" s="23" t="s">
        <v>193</v>
      </c>
      <c r="H34" s="23" t="s">
        <v>194</v>
      </c>
      <c r="I34" s="23" t="s">
        <v>6548</v>
      </c>
      <c r="J34" s="23" t="s">
        <v>323</v>
      </c>
      <c r="K34" s="23">
        <v>18</v>
      </c>
      <c r="L34" s="23" t="s">
        <v>6647</v>
      </c>
      <c r="M34" s="298" t="s">
        <v>6290</v>
      </c>
      <c r="N34" s="30">
        <v>1812</v>
      </c>
      <c r="O34" s="23" t="s">
        <v>624</v>
      </c>
      <c r="P34" s="23">
        <v>1</v>
      </c>
      <c r="Q34" s="23"/>
      <c r="R34" s="23"/>
      <c r="S34" s="23" t="s">
        <v>4714</v>
      </c>
      <c r="T34" s="23" t="s">
        <v>6645</v>
      </c>
      <c r="U34" s="333" t="str">
        <f t="shared" si="0"/>
        <v>332203</v>
      </c>
    </row>
    <row r="35" spans="1:30" x14ac:dyDescent="0.25">
      <c r="A35" s="23" t="s">
        <v>6643</v>
      </c>
      <c r="B35" s="23" t="s">
        <v>632</v>
      </c>
      <c r="C35" s="23" t="s">
        <v>17</v>
      </c>
      <c r="D35" s="23" t="s">
        <v>6599</v>
      </c>
      <c r="E35" s="23" t="s">
        <v>192</v>
      </c>
      <c r="F35" s="23">
        <v>1</v>
      </c>
      <c r="G35" s="23" t="s">
        <v>193</v>
      </c>
      <c r="H35" s="23" t="s">
        <v>194</v>
      </c>
      <c r="I35" s="23" t="s">
        <v>6548</v>
      </c>
      <c r="J35" s="23" t="s">
        <v>4751</v>
      </c>
      <c r="K35" s="23">
        <v>18</v>
      </c>
      <c r="L35" s="23" t="s">
        <v>6648</v>
      </c>
      <c r="M35" s="298" t="s">
        <v>6290</v>
      </c>
      <c r="N35" s="30">
        <v>1862</v>
      </c>
      <c r="O35" s="23" t="s">
        <v>624</v>
      </c>
      <c r="P35" s="23">
        <v>1</v>
      </c>
      <c r="Q35" s="23"/>
      <c r="R35" s="23"/>
      <c r="S35" s="23" t="s">
        <v>4714</v>
      </c>
      <c r="T35" s="23" t="s">
        <v>6645</v>
      </c>
      <c r="U35" s="333" t="str">
        <f t="shared" si="0"/>
        <v>332203</v>
      </c>
    </row>
    <row r="36" spans="1:30" x14ac:dyDescent="0.25">
      <c r="A36" s="23" t="s">
        <v>6643</v>
      </c>
      <c r="B36" s="23" t="s">
        <v>632</v>
      </c>
      <c r="C36" s="23" t="s">
        <v>17</v>
      </c>
      <c r="D36" s="23" t="s">
        <v>6599</v>
      </c>
      <c r="E36" s="23" t="s">
        <v>192</v>
      </c>
      <c r="F36" s="23">
        <v>1</v>
      </c>
      <c r="G36" s="23" t="s">
        <v>193</v>
      </c>
      <c r="H36" s="23" t="s">
        <v>194</v>
      </c>
      <c r="I36" s="23" t="s">
        <v>6548</v>
      </c>
      <c r="J36" s="23" t="s">
        <v>305</v>
      </c>
      <c r="K36" s="23">
        <v>18</v>
      </c>
      <c r="L36" s="23" t="s">
        <v>6649</v>
      </c>
      <c r="M36" s="298" t="s">
        <v>6290</v>
      </c>
      <c r="N36" s="30">
        <v>1814</v>
      </c>
      <c r="O36" s="23" t="s">
        <v>624</v>
      </c>
      <c r="P36" s="23">
        <v>1</v>
      </c>
      <c r="Q36" s="23"/>
      <c r="R36" s="23"/>
      <c r="S36" s="23" t="s">
        <v>4714</v>
      </c>
      <c r="T36" s="23" t="s">
        <v>6645</v>
      </c>
      <c r="U36" s="334" t="str">
        <f t="shared" si="0"/>
        <v>332203</v>
      </c>
    </row>
    <row r="37" spans="1:30" x14ac:dyDescent="0.25">
      <c r="A37" s="23" t="s">
        <v>6643</v>
      </c>
      <c r="B37" s="23" t="s">
        <v>632</v>
      </c>
      <c r="C37" s="23" t="s">
        <v>17</v>
      </c>
      <c r="D37" s="23" t="s">
        <v>6599</v>
      </c>
      <c r="E37" s="23" t="s">
        <v>192</v>
      </c>
      <c r="F37" s="23">
        <v>1</v>
      </c>
      <c r="G37" s="23" t="s">
        <v>193</v>
      </c>
      <c r="H37" s="23" t="s">
        <v>194</v>
      </c>
      <c r="I37" s="23" t="s">
        <v>6548</v>
      </c>
      <c r="J37" s="23" t="s">
        <v>285</v>
      </c>
      <c r="K37" s="23">
        <v>18</v>
      </c>
      <c r="L37" s="23" t="s">
        <v>6650</v>
      </c>
      <c r="M37" s="298" t="s">
        <v>6290</v>
      </c>
      <c r="N37" s="30">
        <v>1815</v>
      </c>
      <c r="O37" s="23" t="s">
        <v>624</v>
      </c>
      <c r="P37" s="23">
        <v>1</v>
      </c>
      <c r="Q37" s="23"/>
      <c r="R37" s="23"/>
      <c r="S37" s="23" t="s">
        <v>4714</v>
      </c>
      <c r="T37" s="23" t="s">
        <v>6645</v>
      </c>
      <c r="U37" s="333" t="str">
        <f t="shared" si="0"/>
        <v>332203</v>
      </c>
    </row>
    <row r="38" spans="1:30" x14ac:dyDescent="0.25">
      <c r="A38" s="23" t="s">
        <v>6643</v>
      </c>
      <c r="B38" s="23" t="s">
        <v>632</v>
      </c>
      <c r="C38" s="23" t="s">
        <v>17</v>
      </c>
      <c r="D38" s="23" t="s">
        <v>6599</v>
      </c>
      <c r="E38" s="23" t="s">
        <v>192</v>
      </c>
      <c r="F38" s="23">
        <v>1</v>
      </c>
      <c r="G38" s="23" t="s">
        <v>193</v>
      </c>
      <c r="H38" s="23" t="s">
        <v>194</v>
      </c>
      <c r="I38" s="23" t="s">
        <v>6548</v>
      </c>
      <c r="J38" s="23" t="s">
        <v>210</v>
      </c>
      <c r="K38" s="23">
        <v>18</v>
      </c>
      <c r="L38" s="23" t="s">
        <v>6651</v>
      </c>
      <c r="M38" s="298" t="s">
        <v>6290</v>
      </c>
      <c r="N38" s="30">
        <v>1863</v>
      </c>
      <c r="O38" s="23" t="s">
        <v>624</v>
      </c>
      <c r="P38" s="23">
        <v>1</v>
      </c>
      <c r="Q38" s="23"/>
      <c r="R38" s="23"/>
      <c r="S38" s="23" t="s">
        <v>4714</v>
      </c>
      <c r="T38" s="23" t="s">
        <v>6645</v>
      </c>
      <c r="U38" s="333" t="str">
        <f t="shared" si="0"/>
        <v>332203</v>
      </c>
    </row>
    <row r="39" spans="1:30" x14ac:dyDescent="0.25">
      <c r="A39" s="23" t="s">
        <v>6643</v>
      </c>
      <c r="B39" s="23" t="s">
        <v>632</v>
      </c>
      <c r="C39" s="23" t="s">
        <v>17</v>
      </c>
      <c r="D39" s="23" t="s">
        <v>6599</v>
      </c>
      <c r="E39" s="23" t="s">
        <v>192</v>
      </c>
      <c r="F39" s="23">
        <v>1</v>
      </c>
      <c r="G39" s="23" t="s">
        <v>193</v>
      </c>
      <c r="H39" s="23" t="s">
        <v>194</v>
      </c>
      <c r="I39" s="23" t="s">
        <v>6548</v>
      </c>
      <c r="J39" s="23" t="s">
        <v>408</v>
      </c>
      <c r="K39" s="23">
        <v>18</v>
      </c>
      <c r="L39" s="23" t="s">
        <v>6652</v>
      </c>
      <c r="M39" s="298" t="s">
        <v>6290</v>
      </c>
      <c r="N39" s="30">
        <v>1864</v>
      </c>
      <c r="O39" s="23" t="s">
        <v>624</v>
      </c>
      <c r="P39" s="23">
        <v>1</v>
      </c>
      <c r="Q39" s="23"/>
      <c r="R39" s="23"/>
      <c r="S39" s="23" t="s">
        <v>4714</v>
      </c>
      <c r="T39" s="23" t="s">
        <v>6645</v>
      </c>
      <c r="U39" s="333" t="str">
        <f t="shared" si="0"/>
        <v>332203</v>
      </c>
    </row>
    <row r="40" spans="1:30" x14ac:dyDescent="0.25">
      <c r="A40" s="23" t="s">
        <v>6643</v>
      </c>
      <c r="B40" s="23" t="s">
        <v>632</v>
      </c>
      <c r="C40" s="23" t="s">
        <v>17</v>
      </c>
      <c r="D40" s="23" t="s">
        <v>6599</v>
      </c>
      <c r="E40" s="23" t="s">
        <v>192</v>
      </c>
      <c r="F40" s="23">
        <v>1</v>
      </c>
      <c r="G40" s="23" t="s">
        <v>193</v>
      </c>
      <c r="H40" s="23" t="s">
        <v>194</v>
      </c>
      <c r="I40" s="23" t="s">
        <v>6548</v>
      </c>
      <c r="J40" s="23" t="s">
        <v>6653</v>
      </c>
      <c r="K40" s="23">
        <v>18</v>
      </c>
      <c r="L40" s="23" t="s">
        <v>6654</v>
      </c>
      <c r="M40" s="298" t="s">
        <v>6290</v>
      </c>
      <c r="N40" s="30">
        <v>1812</v>
      </c>
      <c r="O40" s="23" t="s">
        <v>624</v>
      </c>
      <c r="P40" s="23">
        <v>1</v>
      </c>
      <c r="Q40" s="23"/>
      <c r="R40" s="23"/>
      <c r="S40" s="23" t="s">
        <v>4714</v>
      </c>
      <c r="T40" s="23" t="s">
        <v>6645</v>
      </c>
      <c r="U40" s="333" t="str">
        <f t="shared" si="0"/>
        <v>332203</v>
      </c>
    </row>
    <row r="41" spans="1:30" x14ac:dyDescent="0.25">
      <c r="A41" s="23" t="s">
        <v>4180</v>
      </c>
      <c r="B41" s="23" t="s">
        <v>6655</v>
      </c>
      <c r="C41" s="23" t="s">
        <v>6617</v>
      </c>
      <c r="D41" s="23" t="s">
        <v>6599</v>
      </c>
      <c r="E41" s="23" t="s">
        <v>252</v>
      </c>
      <c r="F41" s="23">
        <v>1</v>
      </c>
      <c r="G41" s="23" t="s">
        <v>193</v>
      </c>
      <c r="H41" s="23" t="s">
        <v>194</v>
      </c>
      <c r="I41" s="23" t="s">
        <v>6548</v>
      </c>
      <c r="J41" s="23" t="s">
        <v>1486</v>
      </c>
      <c r="K41" s="23">
        <v>18</v>
      </c>
      <c r="L41" s="23" t="s">
        <v>6656</v>
      </c>
      <c r="M41" s="298" t="s">
        <v>6266</v>
      </c>
      <c r="N41" s="30"/>
      <c r="O41" s="23" t="s">
        <v>990</v>
      </c>
      <c r="P41" s="23">
        <v>25</v>
      </c>
      <c r="Q41" s="23" t="s">
        <v>6657</v>
      </c>
      <c r="R41" s="23"/>
      <c r="S41" s="23" t="s">
        <v>4714</v>
      </c>
      <c r="T41" s="23" t="s">
        <v>6606</v>
      </c>
      <c r="U41" s="333" t="str">
        <f t="shared" si="0"/>
        <v>833202</v>
      </c>
    </row>
    <row r="42" spans="1:30" x14ac:dyDescent="0.25">
      <c r="A42" s="23" t="s">
        <v>6658</v>
      </c>
      <c r="B42" s="23" t="s">
        <v>6659</v>
      </c>
      <c r="C42" s="23" t="s">
        <v>1652</v>
      </c>
      <c r="D42" s="23" t="s">
        <v>6660</v>
      </c>
      <c r="E42" s="23" t="s">
        <v>233</v>
      </c>
      <c r="F42" s="23">
        <v>1</v>
      </c>
      <c r="G42" s="23" t="s">
        <v>193</v>
      </c>
      <c r="H42" s="23" t="s">
        <v>194</v>
      </c>
      <c r="I42" s="23" t="s">
        <v>6661</v>
      </c>
      <c r="J42" s="23" t="s">
        <v>309</v>
      </c>
      <c r="K42" s="23">
        <v>18</v>
      </c>
      <c r="L42" s="23" t="s">
        <v>6662</v>
      </c>
      <c r="M42" s="298" t="s">
        <v>6266</v>
      </c>
      <c r="N42" s="30">
        <v>1815</v>
      </c>
      <c r="O42" s="23" t="s">
        <v>1653</v>
      </c>
      <c r="P42" s="23">
        <v>1</v>
      </c>
      <c r="Q42" s="23" t="s">
        <v>6664</v>
      </c>
      <c r="R42" s="23"/>
      <c r="S42" s="23" t="s">
        <v>4714</v>
      </c>
      <c r="T42" s="23" t="s">
        <v>6663</v>
      </c>
      <c r="U42" s="333" t="str">
        <f t="shared" si="0"/>
        <v>441202</v>
      </c>
    </row>
    <row r="43" spans="1:30" x14ac:dyDescent="0.25">
      <c r="A43" s="23" t="s">
        <v>6658</v>
      </c>
      <c r="B43" s="23" t="s">
        <v>6659</v>
      </c>
      <c r="C43" s="23" t="s">
        <v>1652</v>
      </c>
      <c r="D43" s="23" t="s">
        <v>6660</v>
      </c>
      <c r="E43" s="23" t="s">
        <v>233</v>
      </c>
      <c r="F43" s="23">
        <v>1</v>
      </c>
      <c r="G43" s="23" t="s">
        <v>193</v>
      </c>
      <c r="H43" s="23" t="s">
        <v>194</v>
      </c>
      <c r="I43" s="23" t="s">
        <v>6661</v>
      </c>
      <c r="J43" s="23" t="s">
        <v>1829</v>
      </c>
      <c r="K43" s="23">
        <v>18</v>
      </c>
      <c r="L43" s="23" t="s">
        <v>6665</v>
      </c>
      <c r="M43" s="298" t="s">
        <v>6266</v>
      </c>
      <c r="N43" s="30">
        <v>1816</v>
      </c>
      <c r="O43" s="23" t="s">
        <v>1653</v>
      </c>
      <c r="P43" s="23">
        <v>1</v>
      </c>
      <c r="Q43" s="23" t="s">
        <v>6664</v>
      </c>
      <c r="R43" s="23"/>
      <c r="S43" s="23" t="s">
        <v>4714</v>
      </c>
      <c r="T43" s="23" t="s">
        <v>6663</v>
      </c>
      <c r="U43" s="333" t="str">
        <f t="shared" si="0"/>
        <v>441202</v>
      </c>
    </row>
    <row r="44" spans="1:30" x14ac:dyDescent="0.25">
      <c r="A44" s="23" t="s">
        <v>6658</v>
      </c>
      <c r="B44" s="23" t="s">
        <v>6666</v>
      </c>
      <c r="C44" s="23" t="s">
        <v>4065</v>
      </c>
      <c r="D44" s="23" t="s">
        <v>6660</v>
      </c>
      <c r="E44" s="23" t="s">
        <v>233</v>
      </c>
      <c r="F44" s="23">
        <v>1</v>
      </c>
      <c r="G44" s="23" t="s">
        <v>193</v>
      </c>
      <c r="H44" s="23" t="s">
        <v>194</v>
      </c>
      <c r="I44" s="23" t="s">
        <v>6661</v>
      </c>
      <c r="J44" s="23" t="s">
        <v>276</v>
      </c>
      <c r="K44" s="23">
        <v>18</v>
      </c>
      <c r="L44" s="23" t="s">
        <v>6667</v>
      </c>
      <c r="M44" s="298" t="s">
        <v>6266</v>
      </c>
      <c r="N44" s="30">
        <v>1803</v>
      </c>
      <c r="O44" s="23" t="s">
        <v>4066</v>
      </c>
      <c r="P44" s="23">
        <v>1</v>
      </c>
      <c r="Q44" s="23" t="s">
        <v>6668</v>
      </c>
      <c r="R44" s="23"/>
      <c r="S44" s="23" t="s">
        <v>4714</v>
      </c>
      <c r="T44" s="23" t="s">
        <v>6663</v>
      </c>
      <c r="U44" s="333" t="str">
        <f t="shared" si="0"/>
        <v>832203</v>
      </c>
    </row>
    <row r="45" spans="1:30" x14ac:dyDescent="0.25">
      <c r="A45" s="23" t="s">
        <v>6193</v>
      </c>
      <c r="B45" s="23" t="s">
        <v>6196</v>
      </c>
      <c r="C45" s="23" t="s">
        <v>12</v>
      </c>
      <c r="D45" s="23" t="s">
        <v>6660</v>
      </c>
      <c r="E45" s="23" t="s">
        <v>233</v>
      </c>
      <c r="F45" s="23">
        <v>1</v>
      </c>
      <c r="G45" s="23" t="s">
        <v>193</v>
      </c>
      <c r="H45" s="23" t="s">
        <v>194</v>
      </c>
      <c r="I45" s="23" t="s">
        <v>6661</v>
      </c>
      <c r="J45" s="23" t="s">
        <v>196</v>
      </c>
      <c r="K45" s="23">
        <v>18</v>
      </c>
      <c r="L45" s="23" t="s">
        <v>6669</v>
      </c>
      <c r="M45" s="298" t="s">
        <v>6256</v>
      </c>
      <c r="N45" s="30"/>
      <c r="O45" s="23" t="s">
        <v>220</v>
      </c>
      <c r="P45" s="23">
        <v>25</v>
      </c>
      <c r="Q45" s="23" t="s">
        <v>6377</v>
      </c>
      <c r="R45" s="23"/>
      <c r="S45" s="23" t="s">
        <v>4714</v>
      </c>
      <c r="T45" s="23" t="s">
        <v>6663</v>
      </c>
      <c r="U45" s="333" t="str">
        <f t="shared" si="0"/>
        <v>132301</v>
      </c>
    </row>
    <row r="46" spans="1:30" x14ac:dyDescent="0.25">
      <c r="A46" s="23" t="s">
        <v>6670</v>
      </c>
      <c r="B46" s="23" t="s">
        <v>1886</v>
      </c>
      <c r="C46" s="23" t="s">
        <v>33</v>
      </c>
      <c r="D46" s="23" t="s">
        <v>6660</v>
      </c>
      <c r="E46" s="23" t="s">
        <v>233</v>
      </c>
      <c r="F46" s="23">
        <v>2</v>
      </c>
      <c r="G46" s="23" t="s">
        <v>193</v>
      </c>
      <c r="H46" s="23" t="s">
        <v>194</v>
      </c>
      <c r="I46" s="23" t="s">
        <v>6661</v>
      </c>
      <c r="J46" s="23" t="s">
        <v>385</v>
      </c>
      <c r="K46" s="23">
        <v>18</v>
      </c>
      <c r="L46" s="23" t="s">
        <v>6671</v>
      </c>
      <c r="M46" s="298" t="s">
        <v>6275</v>
      </c>
      <c r="N46" s="30">
        <v>1861</v>
      </c>
      <c r="O46" s="23" t="s">
        <v>2414</v>
      </c>
      <c r="P46" s="23">
        <v>1</v>
      </c>
      <c r="Q46" s="23" t="s">
        <v>6672</v>
      </c>
      <c r="R46" s="23"/>
      <c r="S46" s="23" t="s">
        <v>4714</v>
      </c>
      <c r="T46" s="23" t="s">
        <v>6663</v>
      </c>
      <c r="U46" s="333" t="str">
        <f t="shared" si="0"/>
        <v>515303</v>
      </c>
    </row>
    <row r="47" spans="1:30" x14ac:dyDescent="0.25">
      <c r="A47" s="23" t="s">
        <v>782</v>
      </c>
      <c r="B47" s="23" t="s">
        <v>6673</v>
      </c>
      <c r="C47" s="23" t="s">
        <v>4966</v>
      </c>
      <c r="D47" s="23" t="s">
        <v>6660</v>
      </c>
      <c r="E47" s="23" t="s">
        <v>192</v>
      </c>
      <c r="F47" s="23">
        <v>1</v>
      </c>
      <c r="G47" s="23" t="s">
        <v>193</v>
      </c>
      <c r="H47" s="23" t="s">
        <v>194</v>
      </c>
      <c r="I47" s="23" t="s">
        <v>6661</v>
      </c>
      <c r="J47" s="23" t="s">
        <v>276</v>
      </c>
      <c r="K47" s="23">
        <v>18</v>
      </c>
      <c r="L47" s="23" t="s">
        <v>6674</v>
      </c>
      <c r="M47" s="298" t="s">
        <v>6254</v>
      </c>
      <c r="N47" s="30">
        <v>1803</v>
      </c>
      <c r="O47" s="23" t="s">
        <v>405</v>
      </c>
      <c r="P47" s="23">
        <v>1</v>
      </c>
      <c r="Q47" s="23"/>
      <c r="R47" s="23"/>
      <c r="S47" s="23" t="s">
        <v>4714</v>
      </c>
      <c r="T47" s="23" t="s">
        <v>6663</v>
      </c>
      <c r="U47" s="333" t="str">
        <f t="shared" si="0"/>
        <v>241304</v>
      </c>
      <c r="Z47" s="192"/>
      <c r="AD47" s="192"/>
    </row>
    <row r="48" spans="1:30" x14ac:dyDescent="0.25">
      <c r="A48" s="23" t="s">
        <v>782</v>
      </c>
      <c r="B48" s="23" t="s">
        <v>6673</v>
      </c>
      <c r="C48" s="23" t="s">
        <v>4966</v>
      </c>
      <c r="D48" s="23" t="s">
        <v>6660</v>
      </c>
      <c r="E48" s="23" t="s">
        <v>192</v>
      </c>
      <c r="F48" s="23">
        <v>1</v>
      </c>
      <c r="G48" s="23" t="s">
        <v>193</v>
      </c>
      <c r="H48" s="23" t="s">
        <v>194</v>
      </c>
      <c r="I48" s="23" t="s">
        <v>6661</v>
      </c>
      <c r="J48" s="23" t="s">
        <v>223</v>
      </c>
      <c r="K48" s="23">
        <v>18</v>
      </c>
      <c r="L48" s="23" t="s">
        <v>6675</v>
      </c>
      <c r="M48" s="298" t="s">
        <v>6254</v>
      </c>
      <c r="N48" s="30">
        <v>1804</v>
      </c>
      <c r="O48" s="23" t="s">
        <v>405</v>
      </c>
      <c r="P48" s="23">
        <v>1</v>
      </c>
      <c r="Q48" s="23"/>
      <c r="R48" s="23"/>
      <c r="S48" s="23" t="s">
        <v>4714</v>
      </c>
      <c r="T48" s="23" t="s">
        <v>6663</v>
      </c>
      <c r="U48" s="333" t="str">
        <f t="shared" si="0"/>
        <v>241304</v>
      </c>
      <c r="Z48" s="192"/>
      <c r="AD48" s="192"/>
    </row>
    <row r="49" spans="1:30" x14ac:dyDescent="0.25">
      <c r="A49" s="23" t="s">
        <v>782</v>
      </c>
      <c r="B49" s="23" t="s">
        <v>6673</v>
      </c>
      <c r="C49" s="23" t="s">
        <v>4966</v>
      </c>
      <c r="D49" s="23" t="s">
        <v>6660</v>
      </c>
      <c r="E49" s="23" t="s">
        <v>192</v>
      </c>
      <c r="F49" s="23">
        <v>1</v>
      </c>
      <c r="G49" s="23" t="s">
        <v>193</v>
      </c>
      <c r="H49" s="23" t="s">
        <v>194</v>
      </c>
      <c r="I49" s="23" t="s">
        <v>6661</v>
      </c>
      <c r="J49" s="23" t="s">
        <v>367</v>
      </c>
      <c r="K49" s="23">
        <v>18</v>
      </c>
      <c r="L49" s="23" t="s">
        <v>6676</v>
      </c>
      <c r="M49" s="298" t="s">
        <v>6254</v>
      </c>
      <c r="N49" s="30">
        <v>1805</v>
      </c>
      <c r="O49" s="23" t="s">
        <v>405</v>
      </c>
      <c r="P49" s="23">
        <v>1</v>
      </c>
      <c r="Q49" s="23"/>
      <c r="R49" s="23"/>
      <c r="S49" s="23" t="s">
        <v>4714</v>
      </c>
      <c r="T49" s="23" t="s">
        <v>6663</v>
      </c>
      <c r="U49" s="333" t="str">
        <f t="shared" si="0"/>
        <v>241304</v>
      </c>
      <c r="Z49" s="192"/>
      <c r="AD49" s="192"/>
    </row>
    <row r="50" spans="1:30" x14ac:dyDescent="0.25">
      <c r="A50" s="23" t="s">
        <v>782</v>
      </c>
      <c r="B50" s="23" t="s">
        <v>6673</v>
      </c>
      <c r="C50" s="23" t="s">
        <v>4966</v>
      </c>
      <c r="D50" s="23" t="s">
        <v>6660</v>
      </c>
      <c r="E50" s="23" t="s">
        <v>192</v>
      </c>
      <c r="F50" s="23">
        <v>1</v>
      </c>
      <c r="G50" s="23" t="s">
        <v>193</v>
      </c>
      <c r="H50" s="23" t="s">
        <v>194</v>
      </c>
      <c r="I50" s="23" t="s">
        <v>6661</v>
      </c>
      <c r="J50" s="23" t="s">
        <v>962</v>
      </c>
      <c r="K50" s="23">
        <v>18</v>
      </c>
      <c r="L50" s="23" t="s">
        <v>6677</v>
      </c>
      <c r="M50" s="298" t="s">
        <v>6254</v>
      </c>
      <c r="N50" s="30">
        <v>1806</v>
      </c>
      <c r="O50" s="23" t="s">
        <v>405</v>
      </c>
      <c r="P50" s="23">
        <v>1</v>
      </c>
      <c r="Q50" s="23"/>
      <c r="R50" s="23"/>
      <c r="S50" s="23" t="s">
        <v>4714</v>
      </c>
      <c r="T50" s="23" t="s">
        <v>6663</v>
      </c>
      <c r="U50" s="333" t="str">
        <f t="shared" si="0"/>
        <v>241304</v>
      </c>
      <c r="Z50" s="192"/>
      <c r="AD50" s="192"/>
    </row>
    <row r="51" spans="1:30" x14ac:dyDescent="0.25">
      <c r="A51" s="23" t="s">
        <v>782</v>
      </c>
      <c r="B51" s="23" t="s">
        <v>6673</v>
      </c>
      <c r="C51" s="23" t="s">
        <v>4966</v>
      </c>
      <c r="D51" s="23" t="s">
        <v>6660</v>
      </c>
      <c r="E51" s="23" t="s">
        <v>192</v>
      </c>
      <c r="F51" s="23">
        <v>1</v>
      </c>
      <c r="G51" s="23" t="s">
        <v>193</v>
      </c>
      <c r="H51" s="23" t="s">
        <v>194</v>
      </c>
      <c r="I51" s="23" t="s">
        <v>6661</v>
      </c>
      <c r="J51" s="23" t="s">
        <v>385</v>
      </c>
      <c r="K51" s="23">
        <v>18</v>
      </c>
      <c r="L51" s="23" t="s">
        <v>6678</v>
      </c>
      <c r="M51" s="298" t="s">
        <v>6254</v>
      </c>
      <c r="N51" s="30">
        <v>1861</v>
      </c>
      <c r="O51" s="23" t="s">
        <v>405</v>
      </c>
      <c r="P51" s="23">
        <v>1</v>
      </c>
      <c r="Q51" s="23"/>
      <c r="R51" s="23"/>
      <c r="S51" s="23" t="s">
        <v>4714</v>
      </c>
      <c r="T51" s="23" t="s">
        <v>6663</v>
      </c>
      <c r="U51" s="333" t="str">
        <f t="shared" si="0"/>
        <v>241304</v>
      </c>
      <c r="Z51" s="192"/>
      <c r="AD51" s="192"/>
    </row>
    <row r="52" spans="1:30" x14ac:dyDescent="0.25">
      <c r="A52" s="23" t="s">
        <v>782</v>
      </c>
      <c r="B52" s="23" t="s">
        <v>6673</v>
      </c>
      <c r="C52" s="23" t="s">
        <v>4966</v>
      </c>
      <c r="D52" s="23" t="s">
        <v>6660</v>
      </c>
      <c r="E52" s="23" t="s">
        <v>192</v>
      </c>
      <c r="F52" s="23">
        <v>1</v>
      </c>
      <c r="G52" s="23" t="s">
        <v>193</v>
      </c>
      <c r="H52" s="23" t="s">
        <v>194</v>
      </c>
      <c r="I52" s="23" t="s">
        <v>6661</v>
      </c>
      <c r="J52" s="23" t="s">
        <v>1995</v>
      </c>
      <c r="K52" s="23">
        <v>18</v>
      </c>
      <c r="L52" s="23" t="s">
        <v>6679</v>
      </c>
      <c r="M52" s="298" t="s">
        <v>6254</v>
      </c>
      <c r="N52" s="30">
        <v>1821</v>
      </c>
      <c r="O52" s="23" t="s">
        <v>405</v>
      </c>
      <c r="P52" s="23">
        <v>1</v>
      </c>
      <c r="Q52" s="23"/>
      <c r="R52" s="23"/>
      <c r="S52" s="23" t="s">
        <v>4714</v>
      </c>
      <c r="T52" s="23" t="s">
        <v>6663</v>
      </c>
      <c r="U52" s="333" t="str">
        <f t="shared" si="0"/>
        <v>241304</v>
      </c>
      <c r="Z52" s="192"/>
      <c r="AD52" s="192"/>
    </row>
    <row r="53" spans="1:30" x14ac:dyDescent="0.25">
      <c r="A53" s="23" t="s">
        <v>782</v>
      </c>
      <c r="B53" s="23" t="s">
        <v>6673</v>
      </c>
      <c r="C53" s="23" t="s">
        <v>4966</v>
      </c>
      <c r="D53" s="23" t="s">
        <v>6660</v>
      </c>
      <c r="E53" s="23" t="s">
        <v>192</v>
      </c>
      <c r="F53" s="23">
        <v>24</v>
      </c>
      <c r="G53" s="23" t="s">
        <v>193</v>
      </c>
      <c r="H53" s="23" t="s">
        <v>194</v>
      </c>
      <c r="I53" s="23" t="s">
        <v>6661</v>
      </c>
      <c r="J53" s="23" t="s">
        <v>1059</v>
      </c>
      <c r="K53" s="23">
        <v>18</v>
      </c>
      <c r="L53" s="23" t="s">
        <v>6680</v>
      </c>
      <c r="M53" s="298" t="s">
        <v>6254</v>
      </c>
      <c r="N53" s="30">
        <v>1809</v>
      </c>
      <c r="O53" s="23" t="s">
        <v>405</v>
      </c>
      <c r="P53" s="23">
        <v>1</v>
      </c>
      <c r="Q53" s="23"/>
      <c r="R53" s="23"/>
      <c r="S53" s="23" t="s">
        <v>4714</v>
      </c>
      <c r="T53" s="23" t="s">
        <v>6663</v>
      </c>
      <c r="U53" s="333" t="str">
        <f t="shared" si="0"/>
        <v>241304</v>
      </c>
      <c r="Z53" s="192"/>
      <c r="AD53" s="192"/>
    </row>
    <row r="54" spans="1:30" x14ac:dyDescent="0.25">
      <c r="A54" s="23" t="s">
        <v>782</v>
      </c>
      <c r="B54" s="23" t="s">
        <v>6673</v>
      </c>
      <c r="C54" s="23" t="s">
        <v>4966</v>
      </c>
      <c r="D54" s="23" t="s">
        <v>6660</v>
      </c>
      <c r="E54" s="23" t="s">
        <v>192</v>
      </c>
      <c r="F54" s="23">
        <v>1</v>
      </c>
      <c r="G54" s="23" t="s">
        <v>193</v>
      </c>
      <c r="H54" s="23" t="s">
        <v>194</v>
      </c>
      <c r="I54" s="23" t="s">
        <v>6661</v>
      </c>
      <c r="J54" s="23" t="s">
        <v>301</v>
      </c>
      <c r="K54" s="23">
        <v>18</v>
      </c>
      <c r="L54" s="23" t="s">
        <v>6681</v>
      </c>
      <c r="M54" s="298" t="s">
        <v>6254</v>
      </c>
      <c r="N54" s="30">
        <v>1810</v>
      </c>
      <c r="O54" s="23" t="s">
        <v>405</v>
      </c>
      <c r="P54" s="23">
        <v>1</v>
      </c>
      <c r="Q54" s="23"/>
      <c r="R54" s="23"/>
      <c r="S54" s="23" t="s">
        <v>4714</v>
      </c>
      <c r="T54" s="23" t="s">
        <v>6663</v>
      </c>
      <c r="U54" s="333" t="str">
        <f t="shared" si="0"/>
        <v>241304</v>
      </c>
      <c r="Z54" s="192"/>
      <c r="AD54" s="192"/>
    </row>
    <row r="55" spans="1:30" x14ac:dyDescent="0.25">
      <c r="A55" s="23" t="s">
        <v>782</v>
      </c>
      <c r="B55" s="23" t="s">
        <v>6673</v>
      </c>
      <c r="C55" s="23" t="s">
        <v>4966</v>
      </c>
      <c r="D55" s="23" t="s">
        <v>6660</v>
      </c>
      <c r="E55" s="23" t="s">
        <v>192</v>
      </c>
      <c r="F55" s="23">
        <v>1</v>
      </c>
      <c r="G55" s="23" t="s">
        <v>193</v>
      </c>
      <c r="H55" s="23" t="s">
        <v>194</v>
      </c>
      <c r="I55" s="23" t="s">
        <v>6661</v>
      </c>
      <c r="J55" s="23" t="s">
        <v>253</v>
      </c>
      <c r="K55" s="23">
        <v>18</v>
      </c>
      <c r="L55" s="23" t="s">
        <v>6682</v>
      </c>
      <c r="M55" s="298" t="s">
        <v>6254</v>
      </c>
      <c r="N55" s="30">
        <v>1811</v>
      </c>
      <c r="O55" s="23" t="s">
        <v>405</v>
      </c>
      <c r="P55" s="23">
        <v>1</v>
      </c>
      <c r="Q55" s="23"/>
      <c r="R55" s="23"/>
      <c r="S55" s="23" t="s">
        <v>4714</v>
      </c>
      <c r="T55" s="23" t="s">
        <v>6663</v>
      </c>
      <c r="U55" s="333" t="str">
        <f t="shared" si="0"/>
        <v>241304</v>
      </c>
      <c r="Z55" s="192"/>
      <c r="AD55" s="192"/>
    </row>
    <row r="56" spans="1:30" x14ac:dyDescent="0.25">
      <c r="A56" s="23" t="s">
        <v>782</v>
      </c>
      <c r="B56" s="23" t="s">
        <v>6673</v>
      </c>
      <c r="C56" s="23" t="s">
        <v>4966</v>
      </c>
      <c r="D56" s="23" t="s">
        <v>6660</v>
      </c>
      <c r="E56" s="23" t="s">
        <v>192</v>
      </c>
      <c r="F56" s="23">
        <v>1</v>
      </c>
      <c r="G56" s="23" t="s">
        <v>193</v>
      </c>
      <c r="H56" s="23" t="s">
        <v>194</v>
      </c>
      <c r="I56" s="23" t="s">
        <v>6661</v>
      </c>
      <c r="J56" s="23" t="s">
        <v>323</v>
      </c>
      <c r="K56" s="23">
        <v>18</v>
      </c>
      <c r="L56" s="23" t="s">
        <v>6683</v>
      </c>
      <c r="M56" s="298" t="s">
        <v>6254</v>
      </c>
      <c r="N56" s="30">
        <v>1812</v>
      </c>
      <c r="O56" s="23" t="s">
        <v>405</v>
      </c>
      <c r="P56" s="23">
        <v>1</v>
      </c>
      <c r="Q56" s="23"/>
      <c r="R56" s="23"/>
      <c r="S56" s="23" t="s">
        <v>4714</v>
      </c>
      <c r="T56" s="23" t="s">
        <v>6663</v>
      </c>
      <c r="U56" s="333" t="str">
        <f t="shared" si="0"/>
        <v>241304</v>
      </c>
      <c r="Z56" s="192"/>
      <c r="AD56" s="192"/>
    </row>
    <row r="57" spans="1:30" x14ac:dyDescent="0.25">
      <c r="A57" s="23" t="s">
        <v>782</v>
      </c>
      <c r="B57" s="23" t="s">
        <v>6673</v>
      </c>
      <c r="C57" s="23" t="s">
        <v>4966</v>
      </c>
      <c r="D57" s="23" t="s">
        <v>6660</v>
      </c>
      <c r="E57" s="23" t="s">
        <v>192</v>
      </c>
      <c r="F57" s="23">
        <v>1</v>
      </c>
      <c r="G57" s="23" t="s">
        <v>193</v>
      </c>
      <c r="H57" s="23" t="s">
        <v>194</v>
      </c>
      <c r="I57" s="23" t="s">
        <v>6661</v>
      </c>
      <c r="J57" s="23" t="s">
        <v>2183</v>
      </c>
      <c r="K57" s="23">
        <v>18</v>
      </c>
      <c r="L57" s="23" t="s">
        <v>6684</v>
      </c>
      <c r="M57" s="298" t="s">
        <v>6254</v>
      </c>
      <c r="N57" s="30">
        <v>1820</v>
      </c>
      <c r="O57" s="23" t="s">
        <v>405</v>
      </c>
      <c r="P57" s="23">
        <v>1</v>
      </c>
      <c r="Q57" s="23"/>
      <c r="R57" s="23"/>
      <c r="S57" s="23" t="s">
        <v>4714</v>
      </c>
      <c r="T57" s="23" t="s">
        <v>6663</v>
      </c>
      <c r="U57" s="333" t="str">
        <f t="shared" si="0"/>
        <v>241304</v>
      </c>
      <c r="Z57" s="192"/>
      <c r="AD57" s="192"/>
    </row>
    <row r="58" spans="1:30" x14ac:dyDescent="0.25">
      <c r="A58" s="23" t="s">
        <v>782</v>
      </c>
      <c r="B58" s="23" t="s">
        <v>6673</v>
      </c>
      <c r="C58" s="23" t="s">
        <v>4966</v>
      </c>
      <c r="D58" s="23" t="s">
        <v>6660</v>
      </c>
      <c r="E58" s="23" t="s">
        <v>192</v>
      </c>
      <c r="F58" s="23">
        <v>1</v>
      </c>
      <c r="G58" s="23" t="s">
        <v>193</v>
      </c>
      <c r="H58" s="23" t="s">
        <v>194</v>
      </c>
      <c r="I58" s="23" t="s">
        <v>6661</v>
      </c>
      <c r="J58" s="23" t="s">
        <v>4751</v>
      </c>
      <c r="K58" s="23">
        <v>18</v>
      </c>
      <c r="L58" s="23" t="s">
        <v>6685</v>
      </c>
      <c r="M58" s="298" t="s">
        <v>6254</v>
      </c>
      <c r="N58" s="30">
        <v>1862</v>
      </c>
      <c r="O58" s="23" t="s">
        <v>405</v>
      </c>
      <c r="P58" s="23">
        <v>1</v>
      </c>
      <c r="Q58" s="23"/>
      <c r="R58" s="23"/>
      <c r="S58" s="23" t="s">
        <v>4714</v>
      </c>
      <c r="T58" s="23" t="s">
        <v>6663</v>
      </c>
      <c r="U58" s="333" t="str">
        <f t="shared" si="0"/>
        <v>241304</v>
      </c>
      <c r="Z58" s="192"/>
      <c r="AD58" s="192"/>
    </row>
    <row r="59" spans="1:30" x14ac:dyDescent="0.25">
      <c r="A59" s="23" t="s">
        <v>782</v>
      </c>
      <c r="B59" s="23" t="s">
        <v>6673</v>
      </c>
      <c r="C59" s="23" t="s">
        <v>4966</v>
      </c>
      <c r="D59" s="23" t="s">
        <v>6660</v>
      </c>
      <c r="E59" s="23" t="s">
        <v>192</v>
      </c>
      <c r="F59" s="23">
        <v>1</v>
      </c>
      <c r="G59" s="23" t="s">
        <v>193</v>
      </c>
      <c r="H59" s="23" t="s">
        <v>194</v>
      </c>
      <c r="I59" s="23" t="s">
        <v>6661</v>
      </c>
      <c r="J59" s="23" t="s">
        <v>210</v>
      </c>
      <c r="K59" s="23">
        <v>18</v>
      </c>
      <c r="L59" s="23" t="s">
        <v>6686</v>
      </c>
      <c r="M59" s="298" t="s">
        <v>6254</v>
      </c>
      <c r="N59" s="30">
        <v>1863</v>
      </c>
      <c r="O59" s="23" t="s">
        <v>405</v>
      </c>
      <c r="P59" s="23">
        <v>1</v>
      </c>
      <c r="Q59" s="23"/>
      <c r="R59" s="23"/>
      <c r="S59" s="23" t="s">
        <v>4714</v>
      </c>
      <c r="T59" s="23" t="s">
        <v>6663</v>
      </c>
      <c r="U59" s="333" t="str">
        <f t="shared" si="0"/>
        <v>241304</v>
      </c>
      <c r="Z59" s="192"/>
      <c r="AD59" s="192"/>
    </row>
    <row r="60" spans="1:30" x14ac:dyDescent="0.25">
      <c r="A60" s="23" t="s">
        <v>782</v>
      </c>
      <c r="B60" s="23" t="s">
        <v>6673</v>
      </c>
      <c r="C60" s="23" t="s">
        <v>4966</v>
      </c>
      <c r="D60" s="23" t="s">
        <v>6660</v>
      </c>
      <c r="E60" s="23" t="s">
        <v>192</v>
      </c>
      <c r="F60" s="23">
        <v>1</v>
      </c>
      <c r="G60" s="23" t="s">
        <v>193</v>
      </c>
      <c r="H60" s="23" t="s">
        <v>194</v>
      </c>
      <c r="I60" s="23" t="s">
        <v>6661</v>
      </c>
      <c r="J60" s="23" t="s">
        <v>747</v>
      </c>
      <c r="K60" s="23">
        <v>18</v>
      </c>
      <c r="L60" s="23" t="s">
        <v>6687</v>
      </c>
      <c r="M60" s="298" t="s">
        <v>6254</v>
      </c>
      <c r="N60" s="30">
        <v>1817</v>
      </c>
      <c r="O60" s="23" t="s">
        <v>405</v>
      </c>
      <c r="P60" s="23">
        <v>1</v>
      </c>
      <c r="Q60" s="23"/>
      <c r="R60" s="23"/>
      <c r="S60" s="23" t="s">
        <v>4714</v>
      </c>
      <c r="T60" s="23" t="s">
        <v>6663</v>
      </c>
      <c r="U60" s="333" t="str">
        <f t="shared" si="0"/>
        <v>241304</v>
      </c>
      <c r="Z60" s="192"/>
      <c r="AD60" s="192"/>
    </row>
    <row r="61" spans="1:30" x14ac:dyDescent="0.25">
      <c r="A61" s="23" t="s">
        <v>782</v>
      </c>
      <c r="B61" s="23" t="s">
        <v>6673</v>
      </c>
      <c r="C61" s="23" t="s">
        <v>4966</v>
      </c>
      <c r="D61" s="23" t="s">
        <v>6660</v>
      </c>
      <c r="E61" s="23" t="s">
        <v>192</v>
      </c>
      <c r="F61" s="23">
        <v>1</v>
      </c>
      <c r="G61" s="23" t="s">
        <v>193</v>
      </c>
      <c r="H61" s="23" t="s">
        <v>194</v>
      </c>
      <c r="I61" s="23" t="s">
        <v>6661</v>
      </c>
      <c r="J61" s="23" t="s">
        <v>316</v>
      </c>
      <c r="K61" s="23">
        <v>18</v>
      </c>
      <c r="L61" s="23" t="s">
        <v>6688</v>
      </c>
      <c r="M61" s="298" t="s">
        <v>6254</v>
      </c>
      <c r="N61" s="30">
        <v>1818</v>
      </c>
      <c r="O61" s="23" t="s">
        <v>405</v>
      </c>
      <c r="P61" s="23">
        <v>1</v>
      </c>
      <c r="Q61" s="23"/>
      <c r="R61" s="23"/>
      <c r="S61" s="23" t="s">
        <v>4714</v>
      </c>
      <c r="T61" s="23" t="s">
        <v>6663</v>
      </c>
      <c r="U61" s="333" t="str">
        <f t="shared" si="0"/>
        <v>241304</v>
      </c>
      <c r="Z61" s="192"/>
      <c r="AD61" s="192"/>
    </row>
    <row r="62" spans="1:30" x14ac:dyDescent="0.25">
      <c r="A62" s="23" t="s">
        <v>782</v>
      </c>
      <c r="B62" s="23" t="s">
        <v>6673</v>
      </c>
      <c r="C62" s="23" t="s">
        <v>4966</v>
      </c>
      <c r="D62" s="23" t="s">
        <v>6660</v>
      </c>
      <c r="E62" s="23" t="s">
        <v>192</v>
      </c>
      <c r="F62" s="23">
        <v>1</v>
      </c>
      <c r="G62" s="23" t="s">
        <v>193</v>
      </c>
      <c r="H62" s="23" t="s">
        <v>194</v>
      </c>
      <c r="I62" s="23" t="s">
        <v>6661</v>
      </c>
      <c r="J62" s="23" t="s">
        <v>259</v>
      </c>
      <c r="K62" s="23">
        <v>18</v>
      </c>
      <c r="L62" s="23" t="s">
        <v>6689</v>
      </c>
      <c r="M62" s="298" t="s">
        <v>6254</v>
      </c>
      <c r="N62" s="30">
        <v>1801</v>
      </c>
      <c r="O62" s="23" t="s">
        <v>405</v>
      </c>
      <c r="P62" s="23">
        <v>1</v>
      </c>
      <c r="Q62" s="23"/>
      <c r="R62" s="23"/>
      <c r="S62" s="23" t="s">
        <v>4714</v>
      </c>
      <c r="T62" s="23" t="s">
        <v>6663</v>
      </c>
      <c r="U62" s="333" t="str">
        <f t="shared" si="0"/>
        <v>241304</v>
      </c>
      <c r="Z62" s="192"/>
      <c r="AD62" s="192"/>
    </row>
    <row r="63" spans="1:30" x14ac:dyDescent="0.25">
      <c r="A63" s="23" t="s">
        <v>782</v>
      </c>
      <c r="B63" s="23" t="s">
        <v>6673</v>
      </c>
      <c r="C63" s="23" t="s">
        <v>4966</v>
      </c>
      <c r="D63" s="23" t="s">
        <v>6660</v>
      </c>
      <c r="E63" s="23" t="s">
        <v>192</v>
      </c>
      <c r="F63" s="23">
        <v>1</v>
      </c>
      <c r="G63" s="23" t="s">
        <v>193</v>
      </c>
      <c r="H63" s="23" t="s">
        <v>194</v>
      </c>
      <c r="I63" s="23" t="s">
        <v>6661</v>
      </c>
      <c r="J63" s="23" t="s">
        <v>6690</v>
      </c>
      <c r="K63" s="23">
        <v>18</v>
      </c>
      <c r="L63" s="23" t="s">
        <v>6691</v>
      </c>
      <c r="M63" s="298" t="s">
        <v>6254</v>
      </c>
      <c r="N63" s="30">
        <v>1821</v>
      </c>
      <c r="O63" s="23" t="s">
        <v>405</v>
      </c>
      <c r="P63" s="23">
        <v>1</v>
      </c>
      <c r="Q63" s="23"/>
      <c r="R63" s="23"/>
      <c r="S63" s="23" t="s">
        <v>4714</v>
      </c>
      <c r="T63" s="23" t="s">
        <v>6663</v>
      </c>
      <c r="U63" s="333" t="str">
        <f t="shared" si="0"/>
        <v>241304</v>
      </c>
      <c r="Z63" s="192"/>
      <c r="AD63" s="192"/>
    </row>
    <row r="64" spans="1:30" x14ac:dyDescent="0.25">
      <c r="A64" s="23" t="s">
        <v>782</v>
      </c>
      <c r="B64" s="23" t="s">
        <v>6673</v>
      </c>
      <c r="C64" s="23" t="s">
        <v>4966</v>
      </c>
      <c r="D64" s="23" t="s">
        <v>6660</v>
      </c>
      <c r="E64" s="23" t="s">
        <v>192</v>
      </c>
      <c r="F64" s="23">
        <v>1</v>
      </c>
      <c r="G64" s="23" t="s">
        <v>193</v>
      </c>
      <c r="H64" s="23" t="s">
        <v>194</v>
      </c>
      <c r="I64" s="23" t="s">
        <v>6661</v>
      </c>
      <c r="J64" s="23" t="s">
        <v>6692</v>
      </c>
      <c r="K64" s="23">
        <v>18</v>
      </c>
      <c r="L64" s="23" t="s">
        <v>6693</v>
      </c>
      <c r="M64" s="298" t="s">
        <v>6254</v>
      </c>
      <c r="N64" s="30">
        <v>1821</v>
      </c>
      <c r="O64" s="23" t="s">
        <v>405</v>
      </c>
      <c r="P64" s="23">
        <v>1</v>
      </c>
      <c r="Q64" s="23"/>
      <c r="R64" s="23"/>
      <c r="S64" s="23" t="s">
        <v>4714</v>
      </c>
      <c r="T64" s="23" t="s">
        <v>6663</v>
      </c>
      <c r="U64" s="333" t="str">
        <f t="shared" si="0"/>
        <v>241304</v>
      </c>
      <c r="Z64" s="192"/>
      <c r="AD64" s="192"/>
    </row>
    <row r="65" spans="1:30" x14ac:dyDescent="0.25">
      <c r="A65" s="23" t="s">
        <v>782</v>
      </c>
      <c r="B65" s="23" t="s">
        <v>6673</v>
      </c>
      <c r="C65" s="23" t="s">
        <v>6694</v>
      </c>
      <c r="D65" s="23" t="s">
        <v>6660</v>
      </c>
      <c r="E65" s="23" t="s">
        <v>192</v>
      </c>
      <c r="F65" s="23">
        <v>1</v>
      </c>
      <c r="G65" s="23" t="s">
        <v>193</v>
      </c>
      <c r="H65" s="23" t="s">
        <v>194</v>
      </c>
      <c r="I65" s="23" t="s">
        <v>6661</v>
      </c>
      <c r="J65" s="23" t="s">
        <v>6695</v>
      </c>
      <c r="K65" s="23">
        <v>18</v>
      </c>
      <c r="L65" s="23" t="s">
        <v>6696</v>
      </c>
      <c r="M65" s="298" t="s">
        <v>6254</v>
      </c>
      <c r="N65" s="30">
        <v>1812</v>
      </c>
      <c r="O65" s="23" t="s">
        <v>6697</v>
      </c>
      <c r="P65" s="23">
        <v>1</v>
      </c>
      <c r="Q65" s="23"/>
      <c r="R65" s="23"/>
      <c r="S65" s="23" t="s">
        <v>4714</v>
      </c>
      <c r="T65" s="23" t="s">
        <v>6663</v>
      </c>
      <c r="U65" s="333" t="str">
        <f t="shared" si="0"/>
        <v>211304</v>
      </c>
      <c r="Z65" s="192"/>
      <c r="AD65" s="192"/>
    </row>
    <row r="66" spans="1:30" x14ac:dyDescent="0.25">
      <c r="A66" s="23" t="s">
        <v>782</v>
      </c>
      <c r="B66" s="23" t="s">
        <v>6673</v>
      </c>
      <c r="C66" s="23" t="s">
        <v>4966</v>
      </c>
      <c r="D66" s="23" t="s">
        <v>6660</v>
      </c>
      <c r="E66" s="23" t="s">
        <v>192</v>
      </c>
      <c r="F66" s="23">
        <v>1</v>
      </c>
      <c r="G66" s="23" t="s">
        <v>193</v>
      </c>
      <c r="H66" s="23" t="s">
        <v>194</v>
      </c>
      <c r="I66" s="23" t="s">
        <v>6661</v>
      </c>
      <c r="J66" s="23" t="s">
        <v>6698</v>
      </c>
      <c r="K66" s="23">
        <v>18</v>
      </c>
      <c r="L66" s="23" t="s">
        <v>6699</v>
      </c>
      <c r="M66" s="298" t="s">
        <v>6254</v>
      </c>
      <c r="N66" s="30">
        <v>1814</v>
      </c>
      <c r="O66" s="23" t="s">
        <v>405</v>
      </c>
      <c r="P66" s="23">
        <v>1</v>
      </c>
      <c r="Q66" s="23"/>
      <c r="R66" s="23"/>
      <c r="S66" s="23" t="s">
        <v>4714</v>
      </c>
      <c r="T66" s="23" t="s">
        <v>6663</v>
      </c>
      <c r="U66" s="333" t="str">
        <f t="shared" si="0"/>
        <v>241304</v>
      </c>
      <c r="Z66" s="192"/>
      <c r="AD66" s="192"/>
    </row>
    <row r="67" spans="1:30" x14ac:dyDescent="0.25">
      <c r="A67" s="23" t="s">
        <v>782</v>
      </c>
      <c r="B67" s="23" t="s">
        <v>6673</v>
      </c>
      <c r="C67" s="23" t="s">
        <v>4966</v>
      </c>
      <c r="D67" s="23" t="s">
        <v>6660</v>
      </c>
      <c r="E67" s="23" t="s">
        <v>192</v>
      </c>
      <c r="F67" s="23">
        <v>1</v>
      </c>
      <c r="G67" s="23" t="s">
        <v>193</v>
      </c>
      <c r="H67" s="23" t="s">
        <v>194</v>
      </c>
      <c r="I67" s="23" t="s">
        <v>6661</v>
      </c>
      <c r="J67" s="23" t="s">
        <v>6700</v>
      </c>
      <c r="K67" s="23">
        <v>18</v>
      </c>
      <c r="L67" s="23" t="s">
        <v>6701</v>
      </c>
      <c r="M67" s="298" t="s">
        <v>6254</v>
      </c>
      <c r="N67" s="30">
        <v>1809</v>
      </c>
      <c r="O67" s="23" t="s">
        <v>405</v>
      </c>
      <c r="P67" s="23">
        <v>1</v>
      </c>
      <c r="Q67" s="23"/>
      <c r="R67" s="23"/>
      <c r="S67" s="23" t="s">
        <v>4714</v>
      </c>
      <c r="T67" s="23" t="s">
        <v>6663</v>
      </c>
      <c r="U67" s="333" t="str">
        <f t="shared" si="0"/>
        <v>241304</v>
      </c>
      <c r="Z67" s="192"/>
      <c r="AD67" s="192"/>
    </row>
    <row r="68" spans="1:30" x14ac:dyDescent="0.25">
      <c r="A68" s="23" t="s">
        <v>782</v>
      </c>
      <c r="B68" s="23" t="s">
        <v>6673</v>
      </c>
      <c r="C68" s="23" t="s">
        <v>4966</v>
      </c>
      <c r="D68" s="23" t="s">
        <v>6660</v>
      </c>
      <c r="E68" s="23" t="s">
        <v>192</v>
      </c>
      <c r="F68" s="23">
        <v>1</v>
      </c>
      <c r="G68" s="23" t="s">
        <v>193</v>
      </c>
      <c r="H68" s="23" t="s">
        <v>194</v>
      </c>
      <c r="I68" s="23" t="s">
        <v>6661</v>
      </c>
      <c r="J68" s="23" t="s">
        <v>408</v>
      </c>
      <c r="K68" s="23">
        <v>18</v>
      </c>
      <c r="L68" s="23" t="s">
        <v>6702</v>
      </c>
      <c r="M68" s="298" t="s">
        <v>6254</v>
      </c>
      <c r="N68" s="30">
        <v>1864</v>
      </c>
      <c r="O68" s="23" t="s">
        <v>405</v>
      </c>
      <c r="P68" s="23">
        <v>1</v>
      </c>
      <c r="Q68" s="23"/>
      <c r="R68" s="23"/>
      <c r="S68" s="23" t="s">
        <v>4714</v>
      </c>
      <c r="T68" s="23" t="s">
        <v>6663</v>
      </c>
      <c r="U68" s="333" t="str">
        <f t="shared" ref="U68:U131" si="1">MID(O68,8,6)</f>
        <v>241304</v>
      </c>
      <c r="Z68" s="192"/>
      <c r="AD68" s="192"/>
    </row>
    <row r="69" spans="1:30" x14ac:dyDescent="0.25">
      <c r="A69" s="23" t="s">
        <v>6703</v>
      </c>
      <c r="B69" s="23" t="s">
        <v>733</v>
      </c>
      <c r="C69" s="23" t="s">
        <v>733</v>
      </c>
      <c r="D69" s="23" t="s">
        <v>6660</v>
      </c>
      <c r="E69" s="23" t="s">
        <v>233</v>
      </c>
      <c r="F69" s="23">
        <v>1</v>
      </c>
      <c r="G69" s="23" t="s">
        <v>193</v>
      </c>
      <c r="H69" s="23" t="s">
        <v>194</v>
      </c>
      <c r="I69" s="23" t="s">
        <v>6661</v>
      </c>
      <c r="J69" s="23" t="s">
        <v>210</v>
      </c>
      <c r="K69" s="23">
        <v>18</v>
      </c>
      <c r="L69" s="23" t="s">
        <v>6704</v>
      </c>
      <c r="M69" s="298" t="s">
        <v>6269</v>
      </c>
      <c r="N69" s="30">
        <v>1863</v>
      </c>
      <c r="O69" s="23" t="s">
        <v>734</v>
      </c>
      <c r="P69" s="23">
        <v>1</v>
      </c>
      <c r="Q69" s="23" t="s">
        <v>6706</v>
      </c>
      <c r="R69" s="23"/>
      <c r="S69" s="23" t="s">
        <v>4714</v>
      </c>
      <c r="T69" s="23" t="s">
        <v>6705</v>
      </c>
      <c r="U69" s="333" t="str">
        <f t="shared" si="1"/>
        <v>514202</v>
      </c>
      <c r="Z69" s="192"/>
      <c r="AD69" s="192"/>
    </row>
    <row r="70" spans="1:30" x14ac:dyDescent="0.25">
      <c r="A70" s="23" t="s">
        <v>406</v>
      </c>
      <c r="B70" s="23" t="s">
        <v>6707</v>
      </c>
      <c r="C70" s="23" t="s">
        <v>1497</v>
      </c>
      <c r="D70" s="23" t="s">
        <v>6660</v>
      </c>
      <c r="E70" s="23" t="s">
        <v>233</v>
      </c>
      <c r="F70" s="23">
        <v>1</v>
      </c>
      <c r="G70" s="23" t="s">
        <v>193</v>
      </c>
      <c r="H70" s="23" t="s">
        <v>194</v>
      </c>
      <c r="I70" s="23" t="s">
        <v>6661</v>
      </c>
      <c r="J70" s="23" t="s">
        <v>253</v>
      </c>
      <c r="K70" s="23">
        <v>18</v>
      </c>
      <c r="L70" s="23" t="s">
        <v>6708</v>
      </c>
      <c r="M70" s="298" t="s">
        <v>6254</v>
      </c>
      <c r="N70" s="30">
        <v>1811</v>
      </c>
      <c r="O70" s="23" t="s">
        <v>1498</v>
      </c>
      <c r="P70" s="23">
        <v>1</v>
      </c>
      <c r="Q70" s="23" t="s">
        <v>6709</v>
      </c>
      <c r="R70" s="23"/>
      <c r="S70" s="23" t="s">
        <v>4714</v>
      </c>
      <c r="T70" s="23" t="s">
        <v>6663</v>
      </c>
      <c r="U70" s="333" t="str">
        <f t="shared" si="1"/>
        <v>134605</v>
      </c>
      <c r="Z70" s="192"/>
      <c r="AD70" s="192"/>
    </row>
    <row r="71" spans="1:30" x14ac:dyDescent="0.25">
      <c r="A71" s="23" t="s">
        <v>581</v>
      </c>
      <c r="B71" s="23" t="s">
        <v>6710</v>
      </c>
      <c r="C71" s="23" t="s">
        <v>6711</v>
      </c>
      <c r="D71" s="23" t="s">
        <v>6660</v>
      </c>
      <c r="E71" s="23" t="s">
        <v>252</v>
      </c>
      <c r="F71" s="23">
        <v>1</v>
      </c>
      <c r="G71" s="23" t="s">
        <v>193</v>
      </c>
      <c r="H71" s="23" t="s">
        <v>194</v>
      </c>
      <c r="I71" s="23" t="s">
        <v>6661</v>
      </c>
      <c r="J71" s="23" t="s">
        <v>253</v>
      </c>
      <c r="K71" s="23">
        <v>18</v>
      </c>
      <c r="L71" s="23" t="s">
        <v>6712</v>
      </c>
      <c r="M71" s="298" t="s">
        <v>6275</v>
      </c>
      <c r="N71" s="30">
        <v>1811</v>
      </c>
      <c r="O71" s="23" t="s">
        <v>6713</v>
      </c>
      <c r="P71" s="23">
        <v>1</v>
      </c>
      <c r="Q71" s="23" t="s">
        <v>6715</v>
      </c>
      <c r="R71" s="23"/>
      <c r="S71" s="23" t="s">
        <v>4714</v>
      </c>
      <c r="T71" s="23" t="s">
        <v>6714</v>
      </c>
      <c r="U71" s="333" t="str">
        <f t="shared" si="1"/>
        <v>932908</v>
      </c>
      <c r="Z71" s="192"/>
      <c r="AD71" s="192"/>
    </row>
    <row r="72" spans="1:30" x14ac:dyDescent="0.25">
      <c r="A72" s="23" t="s">
        <v>6716</v>
      </c>
      <c r="B72" s="23" t="s">
        <v>1606</v>
      </c>
      <c r="C72" s="23" t="s">
        <v>22</v>
      </c>
      <c r="D72" s="23" t="s">
        <v>6717</v>
      </c>
      <c r="E72" s="23" t="s">
        <v>233</v>
      </c>
      <c r="F72" s="23">
        <v>1</v>
      </c>
      <c r="G72" s="23" t="s">
        <v>193</v>
      </c>
      <c r="H72" s="23" t="s">
        <v>194</v>
      </c>
      <c r="I72" s="23" t="s">
        <v>6718</v>
      </c>
      <c r="J72" s="23" t="s">
        <v>408</v>
      </c>
      <c r="K72" s="23">
        <v>18</v>
      </c>
      <c r="L72" s="23" t="s">
        <v>6719</v>
      </c>
      <c r="M72" s="298" t="s">
        <v>6288</v>
      </c>
      <c r="N72" s="30">
        <v>1864</v>
      </c>
      <c r="O72" s="23" t="s">
        <v>1608</v>
      </c>
      <c r="P72" s="23">
        <v>1</v>
      </c>
      <c r="Q72" s="23" t="s">
        <v>6720</v>
      </c>
      <c r="R72" s="23"/>
      <c r="S72" s="23" t="s">
        <v>4714</v>
      </c>
      <c r="T72" s="23" t="s">
        <v>6638</v>
      </c>
      <c r="U72" s="333" t="str">
        <f t="shared" si="1"/>
        <v>228101</v>
      </c>
      <c r="Z72" s="192"/>
      <c r="AD72" s="192"/>
    </row>
    <row r="73" spans="1:30" x14ac:dyDescent="0.25">
      <c r="A73" s="23" t="s">
        <v>6721</v>
      </c>
      <c r="B73" s="23" t="s">
        <v>6722</v>
      </c>
      <c r="C73" s="23" t="s">
        <v>156</v>
      </c>
      <c r="D73" s="23" t="s">
        <v>6717</v>
      </c>
      <c r="E73" s="23" t="s">
        <v>217</v>
      </c>
      <c r="F73" s="23">
        <v>1</v>
      </c>
      <c r="G73" s="23" t="s">
        <v>193</v>
      </c>
      <c r="H73" s="23" t="s">
        <v>194</v>
      </c>
      <c r="I73" s="23" t="s">
        <v>6723</v>
      </c>
      <c r="J73" s="23" t="s">
        <v>196</v>
      </c>
      <c r="K73" s="23">
        <v>18</v>
      </c>
      <c r="L73" s="23" t="s">
        <v>6724</v>
      </c>
      <c r="M73" s="298" t="s">
        <v>6363</v>
      </c>
      <c r="N73" s="30"/>
      <c r="O73" s="23" t="s">
        <v>659</v>
      </c>
      <c r="P73" s="23">
        <v>25</v>
      </c>
      <c r="Q73" s="23" t="s">
        <v>6725</v>
      </c>
      <c r="R73" s="23" t="s">
        <v>4904</v>
      </c>
      <c r="S73" s="23" t="s">
        <v>4714</v>
      </c>
      <c r="T73" s="23" t="s">
        <v>6714</v>
      </c>
      <c r="U73" s="333" t="str">
        <f t="shared" si="1"/>
        <v>332302</v>
      </c>
      <c r="Z73" s="192"/>
      <c r="AD73" s="192"/>
    </row>
    <row r="74" spans="1:30" x14ac:dyDescent="0.25">
      <c r="A74" s="23" t="s">
        <v>415</v>
      </c>
      <c r="B74" s="23" t="s">
        <v>6726</v>
      </c>
      <c r="C74" s="23" t="s">
        <v>778</v>
      </c>
      <c r="D74" s="23" t="s">
        <v>6717</v>
      </c>
      <c r="E74" s="23" t="s">
        <v>192</v>
      </c>
      <c r="F74" s="23">
        <v>1</v>
      </c>
      <c r="G74" s="23" t="s">
        <v>193</v>
      </c>
      <c r="H74" s="23" t="s">
        <v>194</v>
      </c>
      <c r="I74" s="23" t="s">
        <v>6718</v>
      </c>
      <c r="J74" s="23" t="s">
        <v>323</v>
      </c>
      <c r="K74" s="23">
        <v>18</v>
      </c>
      <c r="L74" s="23" t="s">
        <v>6727</v>
      </c>
      <c r="M74" s="298" t="s">
        <v>6254</v>
      </c>
      <c r="N74" s="30">
        <v>1812</v>
      </c>
      <c r="O74" s="23" t="s">
        <v>779</v>
      </c>
      <c r="P74" s="23">
        <v>1</v>
      </c>
      <c r="Q74" s="23"/>
      <c r="R74" s="23"/>
      <c r="S74" s="23" t="s">
        <v>4714</v>
      </c>
      <c r="T74" s="23" t="s">
        <v>6728</v>
      </c>
      <c r="U74" s="333" t="str">
        <f t="shared" si="1"/>
        <v>524902</v>
      </c>
      <c r="Z74" s="192"/>
      <c r="AD74" s="192"/>
    </row>
    <row r="75" spans="1:30" x14ac:dyDescent="0.25">
      <c r="A75" s="23" t="s">
        <v>303</v>
      </c>
      <c r="B75" s="23" t="s">
        <v>2430</v>
      </c>
      <c r="C75" s="23" t="s">
        <v>83</v>
      </c>
      <c r="D75" s="23" t="s">
        <v>6717</v>
      </c>
      <c r="E75" s="23" t="s">
        <v>192</v>
      </c>
      <c r="F75" s="23">
        <v>1</v>
      </c>
      <c r="G75" s="23" t="s">
        <v>193</v>
      </c>
      <c r="H75" s="23" t="s">
        <v>194</v>
      </c>
      <c r="I75" s="23" t="s">
        <v>6718</v>
      </c>
      <c r="J75" s="23" t="s">
        <v>305</v>
      </c>
      <c r="K75" s="23">
        <v>18</v>
      </c>
      <c r="L75" s="23" t="s">
        <v>6729</v>
      </c>
      <c r="M75" s="298" t="s">
        <v>6275</v>
      </c>
      <c r="N75" s="30">
        <v>1814</v>
      </c>
      <c r="O75" s="23" t="s">
        <v>791</v>
      </c>
      <c r="P75" s="23">
        <v>1</v>
      </c>
      <c r="Q75" s="23"/>
      <c r="R75" s="23"/>
      <c r="S75" s="23" t="s">
        <v>4714</v>
      </c>
      <c r="T75" s="23" t="s">
        <v>6728</v>
      </c>
      <c r="U75" s="333" t="str">
        <f t="shared" si="1"/>
        <v>721204</v>
      </c>
      <c r="Z75" s="192"/>
      <c r="AD75" s="192"/>
    </row>
    <row r="76" spans="1:30" x14ac:dyDescent="0.25">
      <c r="A76" s="23" t="s">
        <v>6730</v>
      </c>
      <c r="B76" s="23" t="s">
        <v>6731</v>
      </c>
      <c r="C76" s="23" t="s">
        <v>706</v>
      </c>
      <c r="D76" s="23" t="s">
        <v>6717</v>
      </c>
      <c r="E76" s="23" t="s">
        <v>233</v>
      </c>
      <c r="F76" s="23">
        <v>1</v>
      </c>
      <c r="G76" s="23" t="s">
        <v>193</v>
      </c>
      <c r="H76" s="23" t="s">
        <v>194</v>
      </c>
      <c r="I76" s="23" t="s">
        <v>6718</v>
      </c>
      <c r="J76" s="23" t="s">
        <v>210</v>
      </c>
      <c r="K76" s="23">
        <v>18</v>
      </c>
      <c r="L76" s="23" t="s">
        <v>6732</v>
      </c>
      <c r="M76" s="298" t="s">
        <v>6249</v>
      </c>
      <c r="N76" s="30">
        <v>1863</v>
      </c>
      <c r="O76" s="23" t="s">
        <v>707</v>
      </c>
      <c r="P76" s="23">
        <v>1</v>
      </c>
      <c r="Q76" s="23" t="s">
        <v>6734</v>
      </c>
      <c r="R76" s="23"/>
      <c r="S76" s="23" t="s">
        <v>4714</v>
      </c>
      <c r="T76" s="23" t="s">
        <v>6733</v>
      </c>
      <c r="U76" s="333" t="str">
        <f t="shared" si="1"/>
        <v>422201</v>
      </c>
      <c r="Z76" s="192"/>
      <c r="AD76" s="192"/>
    </row>
    <row r="77" spans="1:30" x14ac:dyDescent="0.25">
      <c r="A77" s="23" t="s">
        <v>5213</v>
      </c>
      <c r="B77" s="23" t="s">
        <v>6735</v>
      </c>
      <c r="C77" s="23" t="s">
        <v>102</v>
      </c>
      <c r="D77" s="23" t="s">
        <v>6717</v>
      </c>
      <c r="E77" s="23" t="s">
        <v>233</v>
      </c>
      <c r="F77" s="23">
        <v>1</v>
      </c>
      <c r="G77" s="23" t="s">
        <v>193</v>
      </c>
      <c r="H77" s="23" t="s">
        <v>194</v>
      </c>
      <c r="I77" s="23" t="s">
        <v>6718</v>
      </c>
      <c r="J77" s="23" t="s">
        <v>909</v>
      </c>
      <c r="K77" s="23">
        <v>18</v>
      </c>
      <c r="L77" s="23" t="s">
        <v>6736</v>
      </c>
      <c r="M77" s="298" t="s">
        <v>6312</v>
      </c>
      <c r="N77" s="30">
        <v>1805.1863000000001</v>
      </c>
      <c r="O77" s="23" t="s">
        <v>1890</v>
      </c>
      <c r="P77" s="23">
        <v>2</v>
      </c>
      <c r="Q77" s="23" t="s">
        <v>6738</v>
      </c>
      <c r="R77" s="23"/>
      <c r="S77" s="23" t="s">
        <v>4714</v>
      </c>
      <c r="T77" s="23" t="s">
        <v>6737</v>
      </c>
      <c r="U77" s="333" t="str">
        <f t="shared" si="1"/>
        <v>216601</v>
      </c>
      <c r="Z77" s="192"/>
      <c r="AD77" s="192"/>
    </row>
    <row r="78" spans="1:30" x14ac:dyDescent="0.25">
      <c r="A78" s="23" t="s">
        <v>5213</v>
      </c>
      <c r="B78" s="23" t="s">
        <v>6739</v>
      </c>
      <c r="C78" s="23" t="s">
        <v>6740</v>
      </c>
      <c r="D78" s="23" t="s">
        <v>6717</v>
      </c>
      <c r="E78" s="23" t="s">
        <v>233</v>
      </c>
      <c r="F78" s="23">
        <v>1</v>
      </c>
      <c r="G78" s="23" t="s">
        <v>193</v>
      </c>
      <c r="H78" s="23" t="s">
        <v>194</v>
      </c>
      <c r="I78" s="23" t="s">
        <v>6718</v>
      </c>
      <c r="J78" s="23" t="s">
        <v>909</v>
      </c>
      <c r="K78" s="23">
        <v>18</v>
      </c>
      <c r="L78" s="23" t="s">
        <v>6741</v>
      </c>
      <c r="M78" s="298" t="s">
        <v>6312</v>
      </c>
      <c r="N78" s="30">
        <v>1805.1863000000001</v>
      </c>
      <c r="O78" s="23" t="s">
        <v>6742</v>
      </c>
      <c r="P78" s="23">
        <v>2</v>
      </c>
      <c r="Q78" s="23" t="s">
        <v>6738</v>
      </c>
      <c r="R78" s="23"/>
      <c r="S78" s="23" t="s">
        <v>4714</v>
      </c>
      <c r="T78" s="23" t="s">
        <v>6737</v>
      </c>
      <c r="U78" s="333" t="str">
        <f t="shared" si="1"/>
        <v>264310</v>
      </c>
      <c r="Z78" s="192"/>
      <c r="AD78" s="192"/>
    </row>
    <row r="79" spans="1:30" x14ac:dyDescent="0.25">
      <c r="A79" s="23" t="s">
        <v>5213</v>
      </c>
      <c r="B79" s="23" t="s">
        <v>6743</v>
      </c>
      <c r="C79" s="23" t="s">
        <v>6744</v>
      </c>
      <c r="D79" s="23" t="s">
        <v>6717</v>
      </c>
      <c r="E79" s="23" t="s">
        <v>233</v>
      </c>
      <c r="F79" s="23">
        <v>1</v>
      </c>
      <c r="G79" s="23" t="s">
        <v>193</v>
      </c>
      <c r="H79" s="23" t="s">
        <v>194</v>
      </c>
      <c r="I79" s="23" t="s">
        <v>6718</v>
      </c>
      <c r="J79" s="23" t="s">
        <v>909</v>
      </c>
      <c r="K79" s="23">
        <v>18</v>
      </c>
      <c r="L79" s="23" t="s">
        <v>6745</v>
      </c>
      <c r="M79" s="298" t="s">
        <v>6312</v>
      </c>
      <c r="N79" s="30">
        <v>1805.1863000000001</v>
      </c>
      <c r="O79" s="23" t="s">
        <v>6746</v>
      </c>
      <c r="P79" s="23">
        <v>2</v>
      </c>
      <c r="Q79" s="23" t="s">
        <v>6738</v>
      </c>
      <c r="R79" s="23"/>
      <c r="S79" s="23" t="s">
        <v>4714</v>
      </c>
      <c r="T79" s="23" t="s">
        <v>6737</v>
      </c>
      <c r="U79" s="333" t="str">
        <f t="shared" si="1"/>
        <v>422603</v>
      </c>
      <c r="Z79" s="192"/>
      <c r="AD79" s="192"/>
    </row>
    <row r="80" spans="1:30" x14ac:dyDescent="0.25">
      <c r="A80" s="23" t="s">
        <v>5213</v>
      </c>
      <c r="B80" s="23" t="s">
        <v>6747</v>
      </c>
      <c r="C80" s="23" t="s">
        <v>1384</v>
      </c>
      <c r="D80" s="23" t="s">
        <v>6717</v>
      </c>
      <c r="E80" s="23" t="s">
        <v>233</v>
      </c>
      <c r="F80" s="23">
        <v>1</v>
      </c>
      <c r="G80" s="23" t="s">
        <v>193</v>
      </c>
      <c r="H80" s="23" t="s">
        <v>194</v>
      </c>
      <c r="I80" s="23" t="s">
        <v>6718</v>
      </c>
      <c r="J80" s="23" t="s">
        <v>909</v>
      </c>
      <c r="K80" s="23">
        <v>18</v>
      </c>
      <c r="L80" s="23" t="s">
        <v>6748</v>
      </c>
      <c r="M80" s="298" t="s">
        <v>6312</v>
      </c>
      <c r="N80" s="30">
        <v>1805.1863000000001</v>
      </c>
      <c r="O80" s="23" t="s">
        <v>1385</v>
      </c>
      <c r="P80" s="23">
        <v>2</v>
      </c>
      <c r="Q80" s="23" t="s">
        <v>6738</v>
      </c>
      <c r="R80" s="23"/>
      <c r="S80" s="23" t="s">
        <v>4714</v>
      </c>
      <c r="T80" s="23" t="s">
        <v>6638</v>
      </c>
      <c r="U80" s="333" t="str">
        <f t="shared" si="1"/>
        <v>235915</v>
      </c>
      <c r="Z80" s="192"/>
      <c r="AD80" s="192"/>
    </row>
    <row r="81" spans="1:30" x14ac:dyDescent="0.25">
      <c r="A81" s="23" t="s">
        <v>5213</v>
      </c>
      <c r="B81" s="23" t="s">
        <v>6749</v>
      </c>
      <c r="C81" s="23" t="s">
        <v>161</v>
      </c>
      <c r="D81" s="23" t="s">
        <v>6717</v>
      </c>
      <c r="E81" s="23" t="s">
        <v>233</v>
      </c>
      <c r="F81" s="23">
        <v>1</v>
      </c>
      <c r="G81" s="23" t="s">
        <v>193</v>
      </c>
      <c r="H81" s="23" t="s">
        <v>194</v>
      </c>
      <c r="I81" s="23" t="s">
        <v>6718</v>
      </c>
      <c r="J81" s="23" t="s">
        <v>909</v>
      </c>
      <c r="K81" s="23">
        <v>18</v>
      </c>
      <c r="L81" s="23" t="s">
        <v>6750</v>
      </c>
      <c r="M81" s="298" t="s">
        <v>6312</v>
      </c>
      <c r="N81" s="30">
        <v>1805.1863000000001</v>
      </c>
      <c r="O81" s="23" t="s">
        <v>2290</v>
      </c>
      <c r="P81" s="23">
        <v>2</v>
      </c>
      <c r="Q81" s="23" t="s">
        <v>6738</v>
      </c>
      <c r="R81" s="23"/>
      <c r="S81" s="23" t="s">
        <v>4714</v>
      </c>
      <c r="T81" s="23" t="s">
        <v>6737</v>
      </c>
      <c r="U81" s="333" t="str">
        <f t="shared" si="1"/>
        <v>216303</v>
      </c>
      <c r="Z81" s="192"/>
      <c r="AD81" s="192"/>
    </row>
    <row r="82" spans="1:30" x14ac:dyDescent="0.25">
      <c r="A82" s="23" t="s">
        <v>6422</v>
      </c>
      <c r="B82" s="23" t="s">
        <v>6751</v>
      </c>
      <c r="C82" s="23" t="s">
        <v>10</v>
      </c>
      <c r="D82" s="23" t="s">
        <v>6717</v>
      </c>
      <c r="E82" s="23" t="s">
        <v>192</v>
      </c>
      <c r="F82" s="23">
        <v>1</v>
      </c>
      <c r="G82" s="23" t="s">
        <v>193</v>
      </c>
      <c r="H82" s="23" t="s">
        <v>194</v>
      </c>
      <c r="I82" s="23" t="s">
        <v>6718</v>
      </c>
      <c r="J82" s="23" t="s">
        <v>276</v>
      </c>
      <c r="K82" s="23">
        <v>18</v>
      </c>
      <c r="L82" s="23" t="s">
        <v>6752</v>
      </c>
      <c r="M82" s="298" t="s">
        <v>6261</v>
      </c>
      <c r="N82" s="30" t="s">
        <v>6753</v>
      </c>
      <c r="O82" s="23" t="s">
        <v>484</v>
      </c>
      <c r="P82" s="23">
        <v>20</v>
      </c>
      <c r="Q82" s="23"/>
      <c r="R82" s="23"/>
      <c r="S82" s="23" t="s">
        <v>4714</v>
      </c>
      <c r="T82" s="23" t="s">
        <v>6728</v>
      </c>
      <c r="U82" s="333" t="str">
        <f t="shared" si="1"/>
        <v>251401</v>
      </c>
      <c r="Z82" s="192"/>
      <c r="AD82" s="192"/>
    </row>
    <row r="83" spans="1:30" x14ac:dyDescent="0.25">
      <c r="A83" s="23" t="s">
        <v>6422</v>
      </c>
      <c r="B83" s="23" t="s">
        <v>5014</v>
      </c>
      <c r="C83" s="23" t="s">
        <v>17</v>
      </c>
      <c r="D83" s="23" t="s">
        <v>6717</v>
      </c>
      <c r="E83" s="23" t="s">
        <v>192</v>
      </c>
      <c r="F83" s="23">
        <v>1</v>
      </c>
      <c r="G83" s="23" t="s">
        <v>193</v>
      </c>
      <c r="H83" s="23" t="s">
        <v>194</v>
      </c>
      <c r="I83" s="23" t="s">
        <v>6723</v>
      </c>
      <c r="J83" s="23" t="s">
        <v>276</v>
      </c>
      <c r="K83" s="23">
        <v>18</v>
      </c>
      <c r="L83" s="23" t="s">
        <v>6754</v>
      </c>
      <c r="M83" s="298" t="s">
        <v>6269</v>
      </c>
      <c r="N83" s="30" t="s">
        <v>6755</v>
      </c>
      <c r="O83" s="23" t="s">
        <v>624</v>
      </c>
      <c r="P83" s="23">
        <v>19</v>
      </c>
      <c r="Q83" s="23"/>
      <c r="R83" s="23"/>
      <c r="S83" s="23" t="s">
        <v>4714</v>
      </c>
      <c r="T83" s="23" t="s">
        <v>6728</v>
      </c>
      <c r="U83" s="333" t="str">
        <f t="shared" si="1"/>
        <v>332203</v>
      </c>
      <c r="Z83" s="192"/>
      <c r="AD83" s="192"/>
    </row>
    <row r="84" spans="1:30" x14ac:dyDescent="0.25">
      <c r="A84" s="23" t="s">
        <v>1748</v>
      </c>
      <c r="B84" s="23" t="s">
        <v>6756</v>
      </c>
      <c r="C84" s="23" t="s">
        <v>1799</v>
      </c>
      <c r="D84" s="23" t="s">
        <v>6717</v>
      </c>
      <c r="E84" s="23" t="s">
        <v>192</v>
      </c>
      <c r="F84" s="23">
        <v>1</v>
      </c>
      <c r="G84" s="23" t="s">
        <v>193</v>
      </c>
      <c r="H84" s="23" t="s">
        <v>194</v>
      </c>
      <c r="I84" s="23" t="s">
        <v>6718</v>
      </c>
      <c r="J84" s="23" t="s">
        <v>210</v>
      </c>
      <c r="K84" s="23">
        <v>18</v>
      </c>
      <c r="L84" s="23" t="s">
        <v>6757</v>
      </c>
      <c r="M84" s="298" t="s">
        <v>6254</v>
      </c>
      <c r="N84" s="30">
        <v>1863</v>
      </c>
      <c r="O84" s="23" t="s">
        <v>1800</v>
      </c>
      <c r="P84" s="23">
        <v>1</v>
      </c>
      <c r="Q84" s="23"/>
      <c r="R84" s="23"/>
      <c r="S84" s="23" t="s">
        <v>4714</v>
      </c>
      <c r="T84" s="23" t="s">
        <v>6728</v>
      </c>
      <c r="U84" s="333" t="str">
        <f t="shared" si="1"/>
        <v>242204</v>
      </c>
      <c r="Z84" s="192"/>
      <c r="AD84" s="192"/>
    </row>
    <row r="85" spans="1:30" x14ac:dyDescent="0.25">
      <c r="A85" s="23" t="s">
        <v>1748</v>
      </c>
      <c r="B85" s="23" t="s">
        <v>6758</v>
      </c>
      <c r="C85" s="23" t="s">
        <v>420</v>
      </c>
      <c r="D85" s="23" t="s">
        <v>6717</v>
      </c>
      <c r="E85" s="23" t="s">
        <v>192</v>
      </c>
      <c r="F85" s="23">
        <v>1</v>
      </c>
      <c r="G85" s="23" t="s">
        <v>193</v>
      </c>
      <c r="H85" s="23" t="s">
        <v>194</v>
      </c>
      <c r="I85" s="23" t="s">
        <v>6718</v>
      </c>
      <c r="J85" s="23" t="s">
        <v>210</v>
      </c>
      <c r="K85" s="23">
        <v>18</v>
      </c>
      <c r="L85" s="23" t="s">
        <v>6759</v>
      </c>
      <c r="M85" s="298" t="s">
        <v>6254</v>
      </c>
      <c r="N85" s="30">
        <v>1863</v>
      </c>
      <c r="O85" s="23" t="s">
        <v>421</v>
      </c>
      <c r="P85" s="23">
        <v>1</v>
      </c>
      <c r="Q85" s="23"/>
      <c r="R85" s="23"/>
      <c r="S85" s="23" t="s">
        <v>4714</v>
      </c>
      <c r="T85" s="23" t="s">
        <v>6728</v>
      </c>
      <c r="U85" s="333" t="str">
        <f t="shared" si="1"/>
        <v>241306</v>
      </c>
      <c r="Z85" s="192"/>
      <c r="AD85" s="192"/>
    </row>
    <row r="86" spans="1:30" x14ac:dyDescent="0.25">
      <c r="A86" s="23" t="s">
        <v>1748</v>
      </c>
      <c r="B86" s="23" t="s">
        <v>6760</v>
      </c>
      <c r="C86" s="23" t="s">
        <v>1799</v>
      </c>
      <c r="D86" s="23" t="s">
        <v>6717</v>
      </c>
      <c r="E86" s="23" t="s">
        <v>192</v>
      </c>
      <c r="F86" s="23">
        <v>1</v>
      </c>
      <c r="G86" s="23" t="s">
        <v>193</v>
      </c>
      <c r="H86" s="23" t="s">
        <v>194</v>
      </c>
      <c r="I86" s="23" t="s">
        <v>6718</v>
      </c>
      <c r="J86" s="23" t="s">
        <v>210</v>
      </c>
      <c r="K86" s="23">
        <v>18</v>
      </c>
      <c r="L86" s="23" t="s">
        <v>6761</v>
      </c>
      <c r="M86" s="298" t="s">
        <v>6254</v>
      </c>
      <c r="N86" s="30">
        <v>1863</v>
      </c>
      <c r="O86" s="23" t="s">
        <v>1800</v>
      </c>
      <c r="P86" s="23">
        <v>1</v>
      </c>
      <c r="Q86" s="23"/>
      <c r="R86" s="23"/>
      <c r="S86" s="23" t="s">
        <v>5109</v>
      </c>
      <c r="T86" s="23" t="s">
        <v>6728</v>
      </c>
      <c r="U86" s="333" t="str">
        <f t="shared" si="1"/>
        <v>242204</v>
      </c>
      <c r="Z86" s="192"/>
      <c r="AD86" s="192"/>
    </row>
    <row r="87" spans="1:30" x14ac:dyDescent="0.25">
      <c r="A87" s="23" t="s">
        <v>6762</v>
      </c>
      <c r="B87" s="23" t="s">
        <v>6763</v>
      </c>
      <c r="C87" s="23" t="s">
        <v>3416</v>
      </c>
      <c r="D87" s="23" t="s">
        <v>6717</v>
      </c>
      <c r="E87" s="23" t="s">
        <v>192</v>
      </c>
      <c r="F87" s="23">
        <v>1</v>
      </c>
      <c r="G87" s="23" t="s">
        <v>193</v>
      </c>
      <c r="H87" s="23" t="s">
        <v>194</v>
      </c>
      <c r="I87" s="23" t="s">
        <v>6723</v>
      </c>
      <c r="J87" s="23" t="s">
        <v>6764</v>
      </c>
      <c r="K87" s="23">
        <v>18</v>
      </c>
      <c r="L87" s="23" t="s">
        <v>6765</v>
      </c>
      <c r="M87" s="298" t="s">
        <v>6249</v>
      </c>
      <c r="N87" s="30">
        <v>1811</v>
      </c>
      <c r="O87" s="23" t="s">
        <v>3417</v>
      </c>
      <c r="P87" s="23">
        <v>1</v>
      </c>
      <c r="Q87" s="23"/>
      <c r="R87" s="23"/>
      <c r="S87" s="23" t="s">
        <v>4714</v>
      </c>
      <c r="T87" s="23" t="s">
        <v>6728</v>
      </c>
      <c r="U87" s="333" t="str">
        <f t="shared" si="1"/>
        <v>243105</v>
      </c>
      <c r="Z87" s="192"/>
      <c r="AD87" s="192"/>
    </row>
    <row r="88" spans="1:30" x14ac:dyDescent="0.25">
      <c r="A88" s="23" t="s">
        <v>317</v>
      </c>
      <c r="B88" s="23" t="s">
        <v>6766</v>
      </c>
      <c r="C88" s="23" t="s">
        <v>18</v>
      </c>
      <c r="D88" s="23" t="s">
        <v>6717</v>
      </c>
      <c r="E88" s="23" t="s">
        <v>192</v>
      </c>
      <c r="F88" s="23">
        <v>1</v>
      </c>
      <c r="G88" s="23" t="s">
        <v>193</v>
      </c>
      <c r="H88" s="23" t="s">
        <v>194</v>
      </c>
      <c r="I88" s="23" t="s">
        <v>6723</v>
      </c>
      <c r="J88" s="23" t="s">
        <v>210</v>
      </c>
      <c r="K88" s="23">
        <v>18</v>
      </c>
      <c r="L88" s="23" t="s">
        <v>6767</v>
      </c>
      <c r="M88" s="298" t="s">
        <v>6245</v>
      </c>
      <c r="N88" s="30">
        <v>1863.1815999999999</v>
      </c>
      <c r="O88" s="23" t="s">
        <v>1476</v>
      </c>
      <c r="P88" s="23">
        <v>2</v>
      </c>
      <c r="Q88" s="23"/>
      <c r="R88" s="23"/>
      <c r="S88" s="23" t="s">
        <v>4714</v>
      </c>
      <c r="T88" s="23" t="s">
        <v>6728</v>
      </c>
      <c r="U88" s="333" t="str">
        <f t="shared" si="1"/>
        <v>242309</v>
      </c>
      <c r="Z88" s="192"/>
      <c r="AD88" s="192"/>
    </row>
    <row r="89" spans="1:30" x14ac:dyDescent="0.25">
      <c r="A89" s="23" t="s">
        <v>6768</v>
      </c>
      <c r="B89" s="23" t="s">
        <v>6769</v>
      </c>
      <c r="C89" s="23" t="s">
        <v>829</v>
      </c>
      <c r="D89" s="23" t="s">
        <v>6717</v>
      </c>
      <c r="E89" s="23" t="s">
        <v>192</v>
      </c>
      <c r="F89" s="23">
        <v>1</v>
      </c>
      <c r="G89" s="23" t="s">
        <v>193</v>
      </c>
      <c r="H89" s="23" t="s">
        <v>194</v>
      </c>
      <c r="I89" s="23" t="s">
        <v>6723</v>
      </c>
      <c r="J89" s="23" t="s">
        <v>301</v>
      </c>
      <c r="K89" s="23">
        <v>18</v>
      </c>
      <c r="L89" s="23" t="s">
        <v>6770</v>
      </c>
      <c r="M89" s="298" t="s">
        <v>6363</v>
      </c>
      <c r="N89" s="30">
        <v>1810</v>
      </c>
      <c r="O89" s="23" t="s">
        <v>830</v>
      </c>
      <c r="P89" s="23">
        <v>1</v>
      </c>
      <c r="Q89" s="23"/>
      <c r="R89" s="23"/>
      <c r="S89" s="23" t="s">
        <v>4714</v>
      </c>
      <c r="T89" s="23" t="s">
        <v>6728</v>
      </c>
      <c r="U89" s="333" t="str">
        <f t="shared" si="1"/>
        <v>741201</v>
      </c>
      <c r="Z89" s="192"/>
      <c r="AD89" s="192"/>
    </row>
    <row r="90" spans="1:30" x14ac:dyDescent="0.25">
      <c r="A90" s="23" t="s">
        <v>6771</v>
      </c>
      <c r="B90" s="23" t="s">
        <v>6772</v>
      </c>
      <c r="C90" s="23" t="s">
        <v>227</v>
      </c>
      <c r="D90" s="23" t="s">
        <v>6717</v>
      </c>
      <c r="E90" s="23" t="s">
        <v>233</v>
      </c>
      <c r="F90" s="23">
        <v>1</v>
      </c>
      <c r="G90" s="23" t="s">
        <v>193</v>
      </c>
      <c r="H90" s="23" t="s">
        <v>194</v>
      </c>
      <c r="I90" s="23" t="s">
        <v>6723</v>
      </c>
      <c r="J90" s="23" t="s">
        <v>4751</v>
      </c>
      <c r="K90" s="23">
        <v>18</v>
      </c>
      <c r="L90" s="23" t="s">
        <v>6773</v>
      </c>
      <c r="M90" s="298" t="s">
        <v>6277</v>
      </c>
      <c r="N90" s="30">
        <v>1862</v>
      </c>
      <c r="O90" s="23" t="s">
        <v>229</v>
      </c>
      <c r="P90" s="23">
        <v>1</v>
      </c>
      <c r="Q90" s="23" t="s">
        <v>6775</v>
      </c>
      <c r="R90" s="23"/>
      <c r="S90" s="23" t="s">
        <v>4714</v>
      </c>
      <c r="T90" s="23" t="s">
        <v>6774</v>
      </c>
      <c r="U90" s="333" t="str">
        <f t="shared" si="1"/>
        <v>132401</v>
      </c>
      <c r="Z90" s="192"/>
      <c r="AD90" s="192"/>
    </row>
    <row r="91" spans="1:30" x14ac:dyDescent="0.25">
      <c r="A91" s="23" t="s">
        <v>6776</v>
      </c>
      <c r="B91" s="23" t="s">
        <v>6777</v>
      </c>
      <c r="C91" s="23" t="s">
        <v>384</v>
      </c>
      <c r="D91" s="23" t="s">
        <v>6717</v>
      </c>
      <c r="E91" s="23" t="s">
        <v>233</v>
      </c>
      <c r="F91" s="23">
        <v>1</v>
      </c>
      <c r="G91" s="23" t="s">
        <v>194</v>
      </c>
      <c r="H91" s="23" t="s">
        <v>193</v>
      </c>
      <c r="I91" s="23" t="s">
        <v>6718</v>
      </c>
      <c r="J91" s="23" t="s">
        <v>196</v>
      </c>
      <c r="K91" s="23">
        <v>18</v>
      </c>
      <c r="L91" s="23" t="s">
        <v>6778</v>
      </c>
      <c r="M91" s="298" t="s">
        <v>6923</v>
      </c>
      <c r="N91" s="30"/>
      <c r="O91" s="23" t="s">
        <v>386</v>
      </c>
      <c r="P91" s="23">
        <v>0</v>
      </c>
      <c r="Q91" s="23" t="s">
        <v>6780</v>
      </c>
      <c r="R91" s="23"/>
      <c r="S91" s="23" t="s">
        <v>4714</v>
      </c>
      <c r="T91" s="23" t="s">
        <v>6779</v>
      </c>
      <c r="U91" s="333" t="str">
        <f t="shared" si="1"/>
        <v>216102</v>
      </c>
      <c r="Z91" s="192"/>
      <c r="AD91" s="192"/>
    </row>
    <row r="92" spans="1:30" x14ac:dyDescent="0.25">
      <c r="A92" s="23" t="s">
        <v>5843</v>
      </c>
      <c r="B92" s="23" t="s">
        <v>6781</v>
      </c>
      <c r="C92" s="23" t="s">
        <v>566</v>
      </c>
      <c r="D92" s="23" t="s">
        <v>6717</v>
      </c>
      <c r="E92" s="23" t="s">
        <v>217</v>
      </c>
      <c r="F92" s="23">
        <v>1</v>
      </c>
      <c r="G92" s="23" t="s">
        <v>193</v>
      </c>
      <c r="H92" s="23" t="s">
        <v>194</v>
      </c>
      <c r="I92" s="23" t="s">
        <v>6723</v>
      </c>
      <c r="J92" s="23" t="s">
        <v>210</v>
      </c>
      <c r="K92" s="23">
        <v>18</v>
      </c>
      <c r="L92" s="23" t="s">
        <v>6782</v>
      </c>
      <c r="M92" s="298" t="s">
        <v>6249</v>
      </c>
      <c r="N92" s="30">
        <v>1863</v>
      </c>
      <c r="O92" s="23" t="s">
        <v>567</v>
      </c>
      <c r="P92" s="23">
        <v>1</v>
      </c>
      <c r="Q92" s="23" t="s">
        <v>6783</v>
      </c>
      <c r="R92" s="23" t="s">
        <v>4904</v>
      </c>
      <c r="S92" s="23" t="s">
        <v>4714</v>
      </c>
      <c r="T92" s="23" t="s">
        <v>6723</v>
      </c>
      <c r="U92" s="333" t="str">
        <f t="shared" si="1"/>
        <v>311504</v>
      </c>
      <c r="Z92" s="192"/>
      <c r="AD92" s="192"/>
    </row>
    <row r="93" spans="1:30" x14ac:dyDescent="0.25">
      <c r="A93" s="23" t="s">
        <v>1446</v>
      </c>
      <c r="B93" s="23" t="s">
        <v>6784</v>
      </c>
      <c r="C93" s="23" t="s">
        <v>100</v>
      </c>
      <c r="D93" s="23" t="s">
        <v>6717</v>
      </c>
      <c r="E93" s="23" t="s">
        <v>192</v>
      </c>
      <c r="F93" s="23">
        <v>1</v>
      </c>
      <c r="G93" s="23" t="s">
        <v>193</v>
      </c>
      <c r="H93" s="23" t="s">
        <v>194</v>
      </c>
      <c r="I93" s="23" t="s">
        <v>6723</v>
      </c>
      <c r="J93" s="23" t="s">
        <v>672</v>
      </c>
      <c r="K93" s="23">
        <v>18</v>
      </c>
      <c r="L93" s="23" t="s">
        <v>6785</v>
      </c>
      <c r="M93" s="298" t="s">
        <v>6266</v>
      </c>
      <c r="N93" s="30">
        <v>1816</v>
      </c>
      <c r="O93" s="23" t="s">
        <v>429</v>
      </c>
      <c r="P93" s="23">
        <v>1</v>
      </c>
      <c r="Q93" s="23"/>
      <c r="R93" s="23"/>
      <c r="S93" s="23" t="s">
        <v>4714</v>
      </c>
      <c r="T93" s="23" t="s">
        <v>6728</v>
      </c>
      <c r="U93" s="333" t="str">
        <f t="shared" si="1"/>
        <v>242108</v>
      </c>
      <c r="Z93" s="192"/>
      <c r="AD93" s="192"/>
    </row>
    <row r="94" spans="1:30" x14ac:dyDescent="0.25">
      <c r="A94" s="23" t="s">
        <v>6786</v>
      </c>
      <c r="B94" s="23" t="s">
        <v>6787</v>
      </c>
      <c r="C94" s="23" t="s">
        <v>354</v>
      </c>
      <c r="D94" s="23" t="s">
        <v>6717</v>
      </c>
      <c r="E94" s="23" t="s">
        <v>217</v>
      </c>
      <c r="F94" s="23">
        <v>1</v>
      </c>
      <c r="G94" s="23" t="s">
        <v>193</v>
      </c>
      <c r="H94" s="23" t="s">
        <v>194</v>
      </c>
      <c r="I94" s="23" t="s">
        <v>6723</v>
      </c>
      <c r="J94" s="23" t="s">
        <v>196</v>
      </c>
      <c r="K94" s="23">
        <v>18</v>
      </c>
      <c r="L94" s="23" t="s">
        <v>6788</v>
      </c>
      <c r="M94" s="298" t="s">
        <v>6258</v>
      </c>
      <c r="N94" s="30"/>
      <c r="O94" s="23" t="s">
        <v>355</v>
      </c>
      <c r="P94" s="23">
        <v>25</v>
      </c>
      <c r="Q94" s="23" t="s">
        <v>6790</v>
      </c>
      <c r="R94" s="23" t="s">
        <v>4904</v>
      </c>
      <c r="S94" s="23" t="s">
        <v>4714</v>
      </c>
      <c r="T94" s="23" t="s">
        <v>6789</v>
      </c>
      <c r="U94" s="333" t="str">
        <f t="shared" si="1"/>
        <v>215103</v>
      </c>
      <c r="Z94" s="192"/>
      <c r="AD94" s="192"/>
    </row>
    <row r="95" spans="1:30" x14ac:dyDescent="0.25">
      <c r="A95" s="23" t="s">
        <v>6786</v>
      </c>
      <c r="B95" s="23" t="s">
        <v>6791</v>
      </c>
      <c r="C95" s="23" t="s">
        <v>17</v>
      </c>
      <c r="D95" s="23" t="s">
        <v>6717</v>
      </c>
      <c r="E95" s="23" t="s">
        <v>217</v>
      </c>
      <c r="F95" s="23">
        <v>1</v>
      </c>
      <c r="G95" s="23" t="s">
        <v>193</v>
      </c>
      <c r="H95" s="23" t="s">
        <v>194</v>
      </c>
      <c r="I95" s="23" t="s">
        <v>6718</v>
      </c>
      <c r="J95" s="23" t="s">
        <v>210</v>
      </c>
      <c r="K95" s="23">
        <v>18</v>
      </c>
      <c r="L95" s="23" t="s">
        <v>6792</v>
      </c>
      <c r="M95" s="298" t="s">
        <v>6251</v>
      </c>
      <c r="N95" s="30">
        <v>1863</v>
      </c>
      <c r="O95" s="23" t="s">
        <v>624</v>
      </c>
      <c r="P95" s="23">
        <v>1</v>
      </c>
      <c r="Q95" s="23" t="s">
        <v>6794</v>
      </c>
      <c r="R95" s="23" t="s">
        <v>4904</v>
      </c>
      <c r="S95" s="23" t="s">
        <v>4714</v>
      </c>
      <c r="T95" s="23" t="s">
        <v>6793</v>
      </c>
      <c r="U95" s="333" t="str">
        <f t="shared" si="1"/>
        <v>332203</v>
      </c>
      <c r="Z95" s="192"/>
      <c r="AD95" s="192"/>
    </row>
    <row r="96" spans="1:30" x14ac:dyDescent="0.25">
      <c r="A96" s="23" t="s">
        <v>946</v>
      </c>
      <c r="B96" s="23" t="s">
        <v>6795</v>
      </c>
      <c r="C96" s="23" t="s">
        <v>5173</v>
      </c>
      <c r="D96" s="23" t="s">
        <v>6717</v>
      </c>
      <c r="E96" s="23" t="s">
        <v>192</v>
      </c>
      <c r="F96" s="23">
        <v>1</v>
      </c>
      <c r="G96" s="23" t="s">
        <v>193</v>
      </c>
      <c r="H96" s="23" t="s">
        <v>194</v>
      </c>
      <c r="I96" s="23" t="s">
        <v>6723</v>
      </c>
      <c r="J96" s="23" t="s">
        <v>385</v>
      </c>
      <c r="K96" s="23">
        <v>18</v>
      </c>
      <c r="L96" s="23" t="s">
        <v>6796</v>
      </c>
      <c r="M96" s="298" t="s">
        <v>6324</v>
      </c>
      <c r="N96" s="30" t="s">
        <v>6797</v>
      </c>
      <c r="O96" s="23" t="s">
        <v>1150</v>
      </c>
      <c r="P96" s="23">
        <v>4</v>
      </c>
      <c r="Q96" s="23"/>
      <c r="R96" s="23"/>
      <c r="S96" s="23" t="s">
        <v>4714</v>
      </c>
      <c r="T96" s="23" t="s">
        <v>6728</v>
      </c>
      <c r="U96" s="333" t="str">
        <f t="shared" si="1"/>
        <v>244001</v>
      </c>
      <c r="Z96" s="192"/>
      <c r="AD96" s="192"/>
    </row>
    <row r="97" spans="1:30" x14ac:dyDescent="0.25">
      <c r="A97" s="23" t="s">
        <v>4435</v>
      </c>
      <c r="B97" s="23" t="s">
        <v>4436</v>
      </c>
      <c r="C97" s="23" t="s">
        <v>36</v>
      </c>
      <c r="D97" s="23" t="s">
        <v>6717</v>
      </c>
      <c r="E97" s="23" t="s">
        <v>192</v>
      </c>
      <c r="F97" s="23">
        <v>1</v>
      </c>
      <c r="G97" s="23" t="s">
        <v>193</v>
      </c>
      <c r="H97" s="23" t="s">
        <v>194</v>
      </c>
      <c r="I97" s="23" t="s">
        <v>6718</v>
      </c>
      <c r="J97" s="23" t="s">
        <v>249</v>
      </c>
      <c r="K97" s="23">
        <v>18</v>
      </c>
      <c r="L97" s="23" t="s">
        <v>6798</v>
      </c>
      <c r="M97" s="298" t="s">
        <v>6254</v>
      </c>
      <c r="N97" s="30" t="s">
        <v>6799</v>
      </c>
      <c r="O97" s="23" t="s">
        <v>609</v>
      </c>
      <c r="P97" s="23">
        <v>23</v>
      </c>
      <c r="Q97" s="23"/>
      <c r="R97" s="23"/>
      <c r="S97" s="23" t="s">
        <v>4714</v>
      </c>
      <c r="T97" s="23" t="s">
        <v>6728</v>
      </c>
      <c r="U97" s="333" t="str">
        <f t="shared" si="1"/>
        <v>331301</v>
      </c>
      <c r="Z97" s="192"/>
      <c r="AD97" s="192"/>
    </row>
    <row r="98" spans="1:30" x14ac:dyDescent="0.25">
      <c r="A98" s="23" t="s">
        <v>3430</v>
      </c>
      <c r="B98" s="23" t="s">
        <v>6800</v>
      </c>
      <c r="C98" s="23" t="s">
        <v>17</v>
      </c>
      <c r="D98" s="23" t="s">
        <v>6717</v>
      </c>
      <c r="E98" s="23" t="s">
        <v>192</v>
      </c>
      <c r="F98" s="23">
        <v>1</v>
      </c>
      <c r="G98" s="23" t="s">
        <v>193</v>
      </c>
      <c r="H98" s="23" t="s">
        <v>194</v>
      </c>
      <c r="I98" s="23" t="s">
        <v>6723</v>
      </c>
      <c r="J98" s="23" t="s">
        <v>276</v>
      </c>
      <c r="K98" s="23">
        <v>18</v>
      </c>
      <c r="L98" s="23" t="s">
        <v>6801</v>
      </c>
      <c r="M98" s="298" t="s">
        <v>6269</v>
      </c>
      <c r="N98" s="30" t="s">
        <v>6802</v>
      </c>
      <c r="O98" s="23" t="s">
        <v>624</v>
      </c>
      <c r="P98" s="23">
        <v>15</v>
      </c>
      <c r="Q98" s="23"/>
      <c r="R98" s="23"/>
      <c r="S98" s="23" t="s">
        <v>4714</v>
      </c>
      <c r="T98" s="23" t="s">
        <v>6728</v>
      </c>
      <c r="U98" s="333" t="str">
        <f t="shared" si="1"/>
        <v>332203</v>
      </c>
      <c r="Z98" s="192"/>
      <c r="AD98" s="192"/>
    </row>
    <row r="99" spans="1:30" x14ac:dyDescent="0.25">
      <c r="A99" s="23" t="s">
        <v>6803</v>
      </c>
      <c r="B99" s="23" t="s">
        <v>1742</v>
      </c>
      <c r="C99" s="23" t="s">
        <v>46</v>
      </c>
      <c r="D99" s="23" t="s">
        <v>6717</v>
      </c>
      <c r="E99" s="23" t="s">
        <v>233</v>
      </c>
      <c r="F99" s="23">
        <v>1</v>
      </c>
      <c r="G99" s="23" t="s">
        <v>193</v>
      </c>
      <c r="H99" s="23" t="s">
        <v>194</v>
      </c>
      <c r="I99" s="23" t="s">
        <v>6718</v>
      </c>
      <c r="J99" s="23" t="s">
        <v>210</v>
      </c>
      <c r="K99" s="23">
        <v>18</v>
      </c>
      <c r="L99" s="23" t="s">
        <v>6804</v>
      </c>
      <c r="M99" s="298" t="s">
        <v>6921</v>
      </c>
      <c r="N99" s="30">
        <v>1863</v>
      </c>
      <c r="O99" s="23" t="s">
        <v>510</v>
      </c>
      <c r="P99" s="23">
        <v>1</v>
      </c>
      <c r="Q99" s="23" t="s">
        <v>6806</v>
      </c>
      <c r="R99" s="23"/>
      <c r="S99" s="23" t="s">
        <v>4714</v>
      </c>
      <c r="T99" s="23" t="s">
        <v>6805</v>
      </c>
      <c r="U99" s="333" t="str">
        <f t="shared" si="1"/>
        <v>252201</v>
      </c>
      <c r="Z99" s="192"/>
      <c r="AD99" s="192"/>
    </row>
    <row r="100" spans="1:30" x14ac:dyDescent="0.25">
      <c r="A100" s="23" t="s">
        <v>6807</v>
      </c>
      <c r="B100" s="23" t="s">
        <v>2635</v>
      </c>
      <c r="C100" s="23" t="s">
        <v>560</v>
      </c>
      <c r="D100" s="23" t="s">
        <v>6717</v>
      </c>
      <c r="E100" s="23" t="s">
        <v>192</v>
      </c>
      <c r="F100" s="23">
        <v>1</v>
      </c>
      <c r="G100" s="23" t="s">
        <v>193</v>
      </c>
      <c r="H100" s="23" t="s">
        <v>194</v>
      </c>
      <c r="I100" s="23" t="s">
        <v>6723</v>
      </c>
      <c r="J100" s="23" t="s">
        <v>210</v>
      </c>
      <c r="K100" s="23">
        <v>18</v>
      </c>
      <c r="L100" s="23" t="s">
        <v>6808</v>
      </c>
      <c r="M100" s="298" t="s">
        <v>6245</v>
      </c>
      <c r="N100" s="30">
        <v>1863</v>
      </c>
      <c r="O100" s="23" t="s">
        <v>561</v>
      </c>
      <c r="P100" s="23">
        <v>1</v>
      </c>
      <c r="Q100" s="23"/>
      <c r="R100" s="23"/>
      <c r="S100" s="23" t="s">
        <v>4714</v>
      </c>
      <c r="T100" s="23" t="s">
        <v>6728</v>
      </c>
      <c r="U100" s="333" t="str">
        <f t="shared" si="1"/>
        <v>311408</v>
      </c>
      <c r="Z100" s="192"/>
      <c r="AD100" s="192"/>
    </row>
    <row r="101" spans="1:30" x14ac:dyDescent="0.25">
      <c r="A101" s="23" t="s">
        <v>244</v>
      </c>
      <c r="B101" s="23" t="s">
        <v>537</v>
      </c>
      <c r="C101" s="23" t="s">
        <v>778</v>
      </c>
      <c r="D101" s="23" t="s">
        <v>6717</v>
      </c>
      <c r="E101" s="23" t="s">
        <v>192</v>
      </c>
      <c r="F101" s="23">
        <v>1</v>
      </c>
      <c r="G101" s="23" t="s">
        <v>193</v>
      </c>
      <c r="H101" s="23" t="s">
        <v>194</v>
      </c>
      <c r="I101" s="23" t="s">
        <v>6779</v>
      </c>
      <c r="J101" s="23" t="s">
        <v>1995</v>
      </c>
      <c r="K101" s="23">
        <v>18</v>
      </c>
      <c r="L101" s="23" t="s">
        <v>6809</v>
      </c>
      <c r="M101" s="298" t="s">
        <v>6251</v>
      </c>
      <c r="N101" s="30" t="s">
        <v>6810</v>
      </c>
      <c r="O101" s="23" t="s">
        <v>779</v>
      </c>
      <c r="P101" s="23">
        <v>3</v>
      </c>
      <c r="Q101" s="23"/>
      <c r="R101" s="23"/>
      <c r="S101" s="23" t="s">
        <v>4714</v>
      </c>
      <c r="T101" s="23" t="s">
        <v>6728</v>
      </c>
      <c r="U101" s="333" t="str">
        <f t="shared" si="1"/>
        <v>524902</v>
      </c>
      <c r="Z101" s="192"/>
      <c r="AD101" s="192"/>
    </row>
    <row r="102" spans="1:30" x14ac:dyDescent="0.25">
      <c r="A102" s="23" t="s">
        <v>6413</v>
      </c>
      <c r="B102" s="23" t="s">
        <v>6414</v>
      </c>
      <c r="C102" s="23" t="s">
        <v>101</v>
      </c>
      <c r="D102" s="23" t="s">
        <v>6717</v>
      </c>
      <c r="E102" s="23" t="s">
        <v>192</v>
      </c>
      <c r="F102" s="23">
        <v>1</v>
      </c>
      <c r="G102" s="23" t="s">
        <v>193</v>
      </c>
      <c r="H102" s="23" t="s">
        <v>194</v>
      </c>
      <c r="I102" s="23" t="s">
        <v>6718</v>
      </c>
      <c r="J102" s="23" t="s">
        <v>399</v>
      </c>
      <c r="K102" s="23">
        <v>18</v>
      </c>
      <c r="L102" s="23" t="s">
        <v>6811</v>
      </c>
      <c r="M102" s="298" t="s">
        <v>6251</v>
      </c>
      <c r="N102" s="30">
        <v>1802</v>
      </c>
      <c r="O102" s="23" t="s">
        <v>519</v>
      </c>
      <c r="P102" s="23">
        <v>1</v>
      </c>
      <c r="Q102" s="23"/>
      <c r="R102" s="23"/>
      <c r="S102" s="23" t="s">
        <v>4714</v>
      </c>
      <c r="T102" s="23" t="s">
        <v>6737</v>
      </c>
      <c r="U102" s="333" t="str">
        <f t="shared" si="1"/>
        <v>261103</v>
      </c>
      <c r="Z102" s="192"/>
      <c r="AD102" s="192"/>
    </row>
    <row r="103" spans="1:30" x14ac:dyDescent="0.25">
      <c r="A103" s="23" t="s">
        <v>6413</v>
      </c>
      <c r="B103" s="23" t="s">
        <v>6414</v>
      </c>
      <c r="C103" s="23" t="s">
        <v>101</v>
      </c>
      <c r="D103" s="23" t="s">
        <v>6717</v>
      </c>
      <c r="E103" s="23" t="s">
        <v>192</v>
      </c>
      <c r="F103" s="23">
        <v>1</v>
      </c>
      <c r="G103" s="23" t="s">
        <v>193</v>
      </c>
      <c r="H103" s="23" t="s">
        <v>194</v>
      </c>
      <c r="I103" s="23" t="s">
        <v>6718</v>
      </c>
      <c r="J103" s="23" t="s">
        <v>276</v>
      </c>
      <c r="K103" s="23">
        <v>18</v>
      </c>
      <c r="L103" s="23" t="s">
        <v>6812</v>
      </c>
      <c r="M103" s="298" t="s">
        <v>6251</v>
      </c>
      <c r="N103" s="30">
        <v>1803</v>
      </c>
      <c r="O103" s="23" t="s">
        <v>519</v>
      </c>
      <c r="P103" s="23">
        <v>1</v>
      </c>
      <c r="Q103" s="23"/>
      <c r="R103" s="23"/>
      <c r="S103" s="23" t="s">
        <v>4714</v>
      </c>
      <c r="T103" s="23" t="s">
        <v>6737</v>
      </c>
      <c r="U103" s="333" t="str">
        <f t="shared" si="1"/>
        <v>261103</v>
      </c>
      <c r="Z103" s="192"/>
      <c r="AD103" s="192"/>
    </row>
    <row r="104" spans="1:30" x14ac:dyDescent="0.25">
      <c r="A104" s="23" t="s">
        <v>6413</v>
      </c>
      <c r="B104" s="23" t="s">
        <v>6414</v>
      </c>
      <c r="C104" s="23" t="s">
        <v>101</v>
      </c>
      <c r="D104" s="23" t="s">
        <v>6717</v>
      </c>
      <c r="E104" s="23" t="s">
        <v>192</v>
      </c>
      <c r="F104" s="23">
        <v>1</v>
      </c>
      <c r="G104" s="23" t="s">
        <v>193</v>
      </c>
      <c r="H104" s="23" t="s">
        <v>194</v>
      </c>
      <c r="I104" s="23" t="s">
        <v>6718</v>
      </c>
      <c r="J104" s="23" t="s">
        <v>223</v>
      </c>
      <c r="K104" s="23">
        <v>18</v>
      </c>
      <c r="L104" s="23" t="s">
        <v>6813</v>
      </c>
      <c r="M104" s="298" t="s">
        <v>6251</v>
      </c>
      <c r="N104" s="30">
        <v>1804</v>
      </c>
      <c r="O104" s="23" t="s">
        <v>519</v>
      </c>
      <c r="P104" s="23">
        <v>1</v>
      </c>
      <c r="Q104" s="23"/>
      <c r="R104" s="23"/>
      <c r="S104" s="23" t="s">
        <v>4714</v>
      </c>
      <c r="T104" s="23" t="s">
        <v>6737</v>
      </c>
      <c r="U104" s="333" t="str">
        <f t="shared" si="1"/>
        <v>261103</v>
      </c>
      <c r="Z104" s="192"/>
      <c r="AD104" s="192"/>
    </row>
    <row r="105" spans="1:30" x14ac:dyDescent="0.25">
      <c r="A105" s="23" t="s">
        <v>6413</v>
      </c>
      <c r="B105" s="23" t="s">
        <v>6414</v>
      </c>
      <c r="C105" s="23" t="s">
        <v>101</v>
      </c>
      <c r="D105" s="23" t="s">
        <v>6717</v>
      </c>
      <c r="E105" s="23" t="s">
        <v>192</v>
      </c>
      <c r="F105" s="23">
        <v>1</v>
      </c>
      <c r="G105" s="23" t="s">
        <v>193</v>
      </c>
      <c r="H105" s="23" t="s">
        <v>194</v>
      </c>
      <c r="I105" s="23" t="s">
        <v>6718</v>
      </c>
      <c r="J105" s="23" t="s">
        <v>367</v>
      </c>
      <c r="K105" s="23">
        <v>18</v>
      </c>
      <c r="L105" s="23" t="s">
        <v>6814</v>
      </c>
      <c r="M105" s="298" t="s">
        <v>6251</v>
      </c>
      <c r="N105" s="30">
        <v>1805</v>
      </c>
      <c r="O105" s="23" t="s">
        <v>519</v>
      </c>
      <c r="P105" s="23">
        <v>1</v>
      </c>
      <c r="Q105" s="23"/>
      <c r="R105" s="23"/>
      <c r="S105" s="23" t="s">
        <v>4714</v>
      </c>
      <c r="T105" s="23" t="s">
        <v>6737</v>
      </c>
      <c r="U105" s="333" t="str">
        <f t="shared" si="1"/>
        <v>261103</v>
      </c>
      <c r="Z105" s="192"/>
      <c r="AD105" s="192"/>
    </row>
    <row r="106" spans="1:30" x14ac:dyDescent="0.25">
      <c r="A106" s="23" t="s">
        <v>6413</v>
      </c>
      <c r="B106" s="23" t="s">
        <v>6414</v>
      </c>
      <c r="C106" s="23" t="s">
        <v>101</v>
      </c>
      <c r="D106" s="23" t="s">
        <v>6717</v>
      </c>
      <c r="E106" s="23" t="s">
        <v>192</v>
      </c>
      <c r="F106" s="23">
        <v>1</v>
      </c>
      <c r="G106" s="23" t="s">
        <v>193</v>
      </c>
      <c r="H106" s="23" t="s">
        <v>194</v>
      </c>
      <c r="I106" s="23" t="s">
        <v>6718</v>
      </c>
      <c r="J106" s="23" t="s">
        <v>962</v>
      </c>
      <c r="K106" s="23">
        <v>18</v>
      </c>
      <c r="L106" s="23" t="s">
        <v>6815</v>
      </c>
      <c r="M106" s="298" t="s">
        <v>6251</v>
      </c>
      <c r="N106" s="30">
        <v>1806</v>
      </c>
      <c r="O106" s="23" t="s">
        <v>519</v>
      </c>
      <c r="P106" s="23">
        <v>1</v>
      </c>
      <c r="Q106" s="23"/>
      <c r="R106" s="23"/>
      <c r="S106" s="23" t="s">
        <v>4714</v>
      </c>
      <c r="T106" s="23" t="s">
        <v>6737</v>
      </c>
      <c r="U106" s="333" t="str">
        <f t="shared" si="1"/>
        <v>261103</v>
      </c>
      <c r="Z106" s="192"/>
      <c r="AD106" s="192"/>
    </row>
    <row r="107" spans="1:30" x14ac:dyDescent="0.25">
      <c r="A107" s="23" t="s">
        <v>6413</v>
      </c>
      <c r="B107" s="23" t="s">
        <v>6414</v>
      </c>
      <c r="C107" s="23" t="s">
        <v>101</v>
      </c>
      <c r="D107" s="23" t="s">
        <v>6717</v>
      </c>
      <c r="E107" s="23" t="s">
        <v>192</v>
      </c>
      <c r="F107" s="23">
        <v>1</v>
      </c>
      <c r="G107" s="23" t="s">
        <v>193</v>
      </c>
      <c r="H107" s="23" t="s">
        <v>194</v>
      </c>
      <c r="I107" s="23" t="s">
        <v>6718</v>
      </c>
      <c r="J107" s="23" t="s">
        <v>385</v>
      </c>
      <c r="K107" s="23">
        <v>18</v>
      </c>
      <c r="L107" s="23" t="s">
        <v>6816</v>
      </c>
      <c r="M107" s="298" t="s">
        <v>6251</v>
      </c>
      <c r="N107" s="30">
        <v>1861</v>
      </c>
      <c r="O107" s="23" t="s">
        <v>519</v>
      </c>
      <c r="P107" s="23">
        <v>1</v>
      </c>
      <c r="Q107" s="23"/>
      <c r="R107" s="23"/>
      <c r="S107" s="23" t="s">
        <v>4714</v>
      </c>
      <c r="T107" s="23" t="s">
        <v>6737</v>
      </c>
      <c r="U107" s="333" t="str">
        <f t="shared" si="1"/>
        <v>261103</v>
      </c>
      <c r="Z107" s="192"/>
      <c r="AD107" s="192"/>
    </row>
    <row r="108" spans="1:30" x14ac:dyDescent="0.25">
      <c r="A108" s="23" t="s">
        <v>6413</v>
      </c>
      <c r="B108" s="23" t="s">
        <v>6414</v>
      </c>
      <c r="C108" s="23" t="s">
        <v>101</v>
      </c>
      <c r="D108" s="23" t="s">
        <v>6717</v>
      </c>
      <c r="E108" s="23" t="s">
        <v>192</v>
      </c>
      <c r="F108" s="23">
        <v>1</v>
      </c>
      <c r="G108" s="23" t="s">
        <v>193</v>
      </c>
      <c r="H108" s="23" t="s">
        <v>194</v>
      </c>
      <c r="I108" s="23" t="s">
        <v>6718</v>
      </c>
      <c r="J108" s="23" t="s">
        <v>1995</v>
      </c>
      <c r="K108" s="23">
        <v>18</v>
      </c>
      <c r="L108" s="23" t="s">
        <v>6817</v>
      </c>
      <c r="M108" s="298" t="s">
        <v>6251</v>
      </c>
      <c r="N108" s="30">
        <v>1821</v>
      </c>
      <c r="O108" s="23" t="s">
        <v>519</v>
      </c>
      <c r="P108" s="23">
        <v>1</v>
      </c>
      <c r="Q108" s="23"/>
      <c r="R108" s="23"/>
      <c r="S108" s="23" t="s">
        <v>4714</v>
      </c>
      <c r="T108" s="23" t="s">
        <v>6737</v>
      </c>
      <c r="U108" s="333" t="str">
        <f t="shared" si="1"/>
        <v>261103</v>
      </c>
      <c r="Z108" s="192"/>
      <c r="AD108" s="192"/>
    </row>
    <row r="109" spans="1:30" x14ac:dyDescent="0.25">
      <c r="A109" s="23" t="s">
        <v>6413</v>
      </c>
      <c r="B109" s="23" t="s">
        <v>6414</v>
      </c>
      <c r="C109" s="23" t="s">
        <v>101</v>
      </c>
      <c r="D109" s="23" t="s">
        <v>6717</v>
      </c>
      <c r="E109" s="23" t="s">
        <v>192</v>
      </c>
      <c r="F109" s="23">
        <v>1</v>
      </c>
      <c r="G109" s="23" t="s">
        <v>193</v>
      </c>
      <c r="H109" s="23" t="s">
        <v>194</v>
      </c>
      <c r="I109" s="23" t="s">
        <v>6718</v>
      </c>
      <c r="J109" s="23" t="s">
        <v>327</v>
      </c>
      <c r="K109" s="23">
        <v>18</v>
      </c>
      <c r="L109" s="23" t="s">
        <v>6818</v>
      </c>
      <c r="M109" s="298" t="s">
        <v>6251</v>
      </c>
      <c r="N109" s="30">
        <v>1808</v>
      </c>
      <c r="O109" s="23" t="s">
        <v>519</v>
      </c>
      <c r="P109" s="23">
        <v>1</v>
      </c>
      <c r="Q109" s="23"/>
      <c r="R109" s="23"/>
      <c r="S109" s="23" t="s">
        <v>4714</v>
      </c>
      <c r="T109" s="23" t="s">
        <v>6737</v>
      </c>
      <c r="U109" s="333" t="str">
        <f t="shared" si="1"/>
        <v>261103</v>
      </c>
      <c r="Z109" s="192"/>
      <c r="AD109" s="192"/>
    </row>
    <row r="110" spans="1:30" x14ac:dyDescent="0.25">
      <c r="A110" s="23" t="s">
        <v>6413</v>
      </c>
      <c r="B110" s="23" t="s">
        <v>6414</v>
      </c>
      <c r="C110" s="23" t="s">
        <v>101</v>
      </c>
      <c r="D110" s="23" t="s">
        <v>6717</v>
      </c>
      <c r="E110" s="23" t="s">
        <v>192</v>
      </c>
      <c r="F110" s="23">
        <v>1</v>
      </c>
      <c r="G110" s="23" t="s">
        <v>193</v>
      </c>
      <c r="H110" s="23" t="s">
        <v>194</v>
      </c>
      <c r="I110" s="23" t="s">
        <v>6718</v>
      </c>
      <c r="J110" s="23" t="s">
        <v>1059</v>
      </c>
      <c r="K110" s="23">
        <v>18</v>
      </c>
      <c r="L110" s="23" t="s">
        <v>6819</v>
      </c>
      <c r="M110" s="298" t="s">
        <v>6251</v>
      </c>
      <c r="N110" s="30">
        <v>1809</v>
      </c>
      <c r="O110" s="23" t="s">
        <v>519</v>
      </c>
      <c r="P110" s="23">
        <v>1</v>
      </c>
      <c r="Q110" s="23"/>
      <c r="R110" s="23"/>
      <c r="S110" s="23" t="s">
        <v>4714</v>
      </c>
      <c r="T110" s="23" t="s">
        <v>6737</v>
      </c>
      <c r="U110" s="333" t="str">
        <f t="shared" si="1"/>
        <v>261103</v>
      </c>
      <c r="Z110" s="192"/>
      <c r="AD110" s="192"/>
    </row>
    <row r="111" spans="1:30" x14ac:dyDescent="0.25">
      <c r="A111" s="23" t="s">
        <v>6413</v>
      </c>
      <c r="B111" s="23" t="s">
        <v>6414</v>
      </c>
      <c r="C111" s="23" t="s">
        <v>101</v>
      </c>
      <c r="D111" s="23" t="s">
        <v>6717</v>
      </c>
      <c r="E111" s="23" t="s">
        <v>192</v>
      </c>
      <c r="F111" s="23">
        <v>1</v>
      </c>
      <c r="G111" s="23" t="s">
        <v>193</v>
      </c>
      <c r="H111" s="23" t="s">
        <v>194</v>
      </c>
      <c r="I111" s="23" t="s">
        <v>6718</v>
      </c>
      <c r="J111" s="23" t="s">
        <v>301</v>
      </c>
      <c r="K111" s="23">
        <v>18</v>
      </c>
      <c r="L111" s="23" t="s">
        <v>6820</v>
      </c>
      <c r="M111" s="298" t="s">
        <v>6251</v>
      </c>
      <c r="N111" s="30">
        <v>1810</v>
      </c>
      <c r="O111" s="23" t="s">
        <v>519</v>
      </c>
      <c r="P111" s="23">
        <v>1</v>
      </c>
      <c r="Q111" s="23"/>
      <c r="R111" s="23"/>
      <c r="S111" s="23" t="s">
        <v>4714</v>
      </c>
      <c r="T111" s="23" t="s">
        <v>6737</v>
      </c>
      <c r="U111" s="333" t="str">
        <f t="shared" si="1"/>
        <v>261103</v>
      </c>
      <c r="Z111" s="192"/>
      <c r="AD111" s="192"/>
    </row>
    <row r="112" spans="1:30" x14ac:dyDescent="0.25">
      <c r="A112" s="23" t="s">
        <v>6413</v>
      </c>
      <c r="B112" s="23" t="s">
        <v>6414</v>
      </c>
      <c r="C112" s="23" t="s">
        <v>101</v>
      </c>
      <c r="D112" s="23" t="s">
        <v>6717</v>
      </c>
      <c r="E112" s="23" t="s">
        <v>192</v>
      </c>
      <c r="F112" s="23">
        <v>1</v>
      </c>
      <c r="G112" s="23" t="s">
        <v>193</v>
      </c>
      <c r="H112" s="23" t="s">
        <v>194</v>
      </c>
      <c r="I112" s="23" t="s">
        <v>6718</v>
      </c>
      <c r="J112" s="23" t="s">
        <v>253</v>
      </c>
      <c r="K112" s="23">
        <v>18</v>
      </c>
      <c r="L112" s="23" t="s">
        <v>6821</v>
      </c>
      <c r="M112" s="298" t="s">
        <v>6251</v>
      </c>
      <c r="N112" s="30">
        <v>1811</v>
      </c>
      <c r="O112" s="23" t="s">
        <v>519</v>
      </c>
      <c r="P112" s="23">
        <v>1</v>
      </c>
      <c r="Q112" s="23"/>
      <c r="R112" s="23"/>
      <c r="S112" s="23" t="s">
        <v>4714</v>
      </c>
      <c r="T112" s="23" t="s">
        <v>6737</v>
      </c>
      <c r="U112" s="333" t="str">
        <f t="shared" si="1"/>
        <v>261103</v>
      </c>
      <c r="Z112" s="192"/>
      <c r="AD112" s="192"/>
    </row>
    <row r="113" spans="1:30" x14ac:dyDescent="0.25">
      <c r="A113" s="23" t="s">
        <v>6413</v>
      </c>
      <c r="B113" s="23" t="s">
        <v>6414</v>
      </c>
      <c r="C113" s="23" t="s">
        <v>101</v>
      </c>
      <c r="D113" s="23" t="s">
        <v>6717</v>
      </c>
      <c r="E113" s="23" t="s">
        <v>192</v>
      </c>
      <c r="F113" s="23">
        <v>1</v>
      </c>
      <c r="G113" s="23" t="s">
        <v>193</v>
      </c>
      <c r="H113" s="23" t="s">
        <v>194</v>
      </c>
      <c r="I113" s="23" t="s">
        <v>6718</v>
      </c>
      <c r="J113" s="23" t="s">
        <v>323</v>
      </c>
      <c r="K113" s="23">
        <v>18</v>
      </c>
      <c r="L113" s="23" t="s">
        <v>6822</v>
      </c>
      <c r="M113" s="298" t="s">
        <v>6251</v>
      </c>
      <c r="N113" s="30">
        <v>1812</v>
      </c>
      <c r="O113" s="23" t="s">
        <v>519</v>
      </c>
      <c r="P113" s="23">
        <v>1</v>
      </c>
      <c r="Q113" s="23"/>
      <c r="R113" s="23"/>
      <c r="S113" s="23" t="s">
        <v>4714</v>
      </c>
      <c r="T113" s="23" t="s">
        <v>6737</v>
      </c>
      <c r="U113" s="333" t="str">
        <f t="shared" si="1"/>
        <v>261103</v>
      </c>
      <c r="Z113" s="192"/>
      <c r="AD113" s="192"/>
    </row>
    <row r="114" spans="1:30" x14ac:dyDescent="0.25">
      <c r="A114" s="23" t="s">
        <v>6413</v>
      </c>
      <c r="B114" s="23" t="s">
        <v>6414</v>
      </c>
      <c r="C114" s="23" t="s">
        <v>101</v>
      </c>
      <c r="D114" s="23" t="s">
        <v>6717</v>
      </c>
      <c r="E114" s="23" t="s">
        <v>192</v>
      </c>
      <c r="F114" s="23">
        <v>1</v>
      </c>
      <c r="G114" s="23" t="s">
        <v>193</v>
      </c>
      <c r="H114" s="23" t="s">
        <v>194</v>
      </c>
      <c r="I114" s="23" t="s">
        <v>6718</v>
      </c>
      <c r="J114" s="23" t="s">
        <v>4751</v>
      </c>
      <c r="K114" s="23">
        <v>18</v>
      </c>
      <c r="L114" s="23" t="s">
        <v>6823</v>
      </c>
      <c r="M114" s="298" t="s">
        <v>6251</v>
      </c>
      <c r="N114" s="30">
        <v>1862</v>
      </c>
      <c r="O114" s="23" t="s">
        <v>519</v>
      </c>
      <c r="P114" s="23">
        <v>1</v>
      </c>
      <c r="Q114" s="23"/>
      <c r="R114" s="23"/>
      <c r="S114" s="23" t="s">
        <v>4714</v>
      </c>
      <c r="T114" s="23" t="s">
        <v>6737</v>
      </c>
      <c r="U114" s="333" t="str">
        <f t="shared" si="1"/>
        <v>261103</v>
      </c>
      <c r="Z114" s="192"/>
      <c r="AD114" s="192"/>
    </row>
    <row r="115" spans="1:30" x14ac:dyDescent="0.25">
      <c r="A115" s="23" t="s">
        <v>6413</v>
      </c>
      <c r="B115" s="23" t="s">
        <v>6414</v>
      </c>
      <c r="C115" s="23" t="s">
        <v>101</v>
      </c>
      <c r="D115" s="23" t="s">
        <v>6717</v>
      </c>
      <c r="E115" s="23" t="s">
        <v>192</v>
      </c>
      <c r="F115" s="23">
        <v>1</v>
      </c>
      <c r="G115" s="23" t="s">
        <v>193</v>
      </c>
      <c r="H115" s="23" t="s">
        <v>194</v>
      </c>
      <c r="I115" s="23" t="s">
        <v>6718</v>
      </c>
      <c r="J115" s="23" t="s">
        <v>305</v>
      </c>
      <c r="K115" s="23">
        <v>18</v>
      </c>
      <c r="L115" s="23" t="s">
        <v>6824</v>
      </c>
      <c r="M115" s="298" t="s">
        <v>6251</v>
      </c>
      <c r="N115" s="30">
        <v>1814</v>
      </c>
      <c r="O115" s="23" t="s">
        <v>519</v>
      </c>
      <c r="P115" s="23">
        <v>1</v>
      </c>
      <c r="Q115" s="23"/>
      <c r="R115" s="23"/>
      <c r="S115" s="23" t="s">
        <v>4714</v>
      </c>
      <c r="T115" s="23" t="s">
        <v>6737</v>
      </c>
      <c r="U115" s="334" t="str">
        <f t="shared" si="1"/>
        <v>261103</v>
      </c>
      <c r="Z115" s="192"/>
      <c r="AD115" s="192"/>
    </row>
    <row r="116" spans="1:30" x14ac:dyDescent="0.25">
      <c r="A116" s="23" t="s">
        <v>6413</v>
      </c>
      <c r="B116" s="23" t="s">
        <v>6414</v>
      </c>
      <c r="C116" s="23" t="s">
        <v>101</v>
      </c>
      <c r="D116" s="23" t="s">
        <v>6717</v>
      </c>
      <c r="E116" s="23" t="s">
        <v>192</v>
      </c>
      <c r="F116" s="23">
        <v>1</v>
      </c>
      <c r="G116" s="23" t="s">
        <v>193</v>
      </c>
      <c r="H116" s="23" t="s">
        <v>194</v>
      </c>
      <c r="I116" s="23" t="s">
        <v>6718</v>
      </c>
      <c r="J116" s="23" t="s">
        <v>285</v>
      </c>
      <c r="K116" s="23">
        <v>18</v>
      </c>
      <c r="L116" s="23" t="s">
        <v>6825</v>
      </c>
      <c r="M116" s="298" t="s">
        <v>6251</v>
      </c>
      <c r="N116" s="30">
        <v>1815</v>
      </c>
      <c r="O116" s="23" t="s">
        <v>519</v>
      </c>
      <c r="P116" s="23">
        <v>1</v>
      </c>
      <c r="Q116" s="23"/>
      <c r="R116" s="23"/>
      <c r="S116" s="23" t="s">
        <v>4714</v>
      </c>
      <c r="T116" s="23" t="s">
        <v>6737</v>
      </c>
      <c r="U116" s="333" t="str">
        <f t="shared" si="1"/>
        <v>261103</v>
      </c>
      <c r="Z116" s="192"/>
      <c r="AD116" s="192"/>
    </row>
    <row r="117" spans="1:30" x14ac:dyDescent="0.25">
      <c r="A117" s="23" t="s">
        <v>6413</v>
      </c>
      <c r="B117" s="23" t="s">
        <v>6414</v>
      </c>
      <c r="C117" s="23" t="s">
        <v>101</v>
      </c>
      <c r="D117" s="23" t="s">
        <v>6717</v>
      </c>
      <c r="E117" s="23" t="s">
        <v>192</v>
      </c>
      <c r="F117" s="23">
        <v>1</v>
      </c>
      <c r="G117" s="23" t="s">
        <v>193</v>
      </c>
      <c r="H117" s="23" t="s">
        <v>194</v>
      </c>
      <c r="I117" s="23" t="s">
        <v>6718</v>
      </c>
      <c r="J117" s="23" t="s">
        <v>210</v>
      </c>
      <c r="K117" s="23">
        <v>18</v>
      </c>
      <c r="L117" s="23" t="s">
        <v>6826</v>
      </c>
      <c r="M117" s="298" t="s">
        <v>6251</v>
      </c>
      <c r="N117" s="30">
        <v>1863</v>
      </c>
      <c r="O117" s="23" t="s">
        <v>519</v>
      </c>
      <c r="P117" s="23">
        <v>1</v>
      </c>
      <c r="Q117" s="23"/>
      <c r="R117" s="23"/>
      <c r="S117" s="23" t="s">
        <v>4714</v>
      </c>
      <c r="T117" s="23" t="s">
        <v>6737</v>
      </c>
      <c r="U117" s="333" t="str">
        <f t="shared" si="1"/>
        <v>261103</v>
      </c>
      <c r="Z117" s="192"/>
      <c r="AD117" s="192"/>
    </row>
    <row r="118" spans="1:30" x14ac:dyDescent="0.25">
      <c r="A118" s="23" t="s">
        <v>6413</v>
      </c>
      <c r="B118" s="23" t="s">
        <v>6414</v>
      </c>
      <c r="C118" s="23" t="s">
        <v>101</v>
      </c>
      <c r="D118" s="23" t="s">
        <v>6717</v>
      </c>
      <c r="E118" s="23" t="s">
        <v>192</v>
      </c>
      <c r="F118" s="23">
        <v>1</v>
      </c>
      <c r="G118" s="23" t="s">
        <v>193</v>
      </c>
      <c r="H118" s="23" t="s">
        <v>194</v>
      </c>
      <c r="I118" s="23" t="s">
        <v>6718</v>
      </c>
      <c r="J118" s="23" t="s">
        <v>747</v>
      </c>
      <c r="K118" s="23">
        <v>18</v>
      </c>
      <c r="L118" s="23" t="s">
        <v>6827</v>
      </c>
      <c r="M118" s="298" t="s">
        <v>6251</v>
      </c>
      <c r="N118" s="30">
        <v>1817</v>
      </c>
      <c r="O118" s="23" t="s">
        <v>519</v>
      </c>
      <c r="P118" s="23">
        <v>1</v>
      </c>
      <c r="Q118" s="23"/>
      <c r="R118" s="23"/>
      <c r="S118" s="23" t="s">
        <v>4714</v>
      </c>
      <c r="T118" s="23" t="s">
        <v>6737</v>
      </c>
      <c r="U118" s="333" t="str">
        <f t="shared" si="1"/>
        <v>261103</v>
      </c>
      <c r="Z118" s="192"/>
      <c r="AD118" s="192"/>
    </row>
    <row r="119" spans="1:30" x14ac:dyDescent="0.25">
      <c r="A119" s="23" t="s">
        <v>6413</v>
      </c>
      <c r="B119" s="23" t="s">
        <v>6414</v>
      </c>
      <c r="C119" s="23" t="s">
        <v>101</v>
      </c>
      <c r="D119" s="23" t="s">
        <v>6717</v>
      </c>
      <c r="E119" s="23" t="s">
        <v>192</v>
      </c>
      <c r="F119" s="23">
        <v>1</v>
      </c>
      <c r="G119" s="23" t="s">
        <v>193</v>
      </c>
      <c r="H119" s="23" t="s">
        <v>194</v>
      </c>
      <c r="I119" s="23" t="s">
        <v>6718</v>
      </c>
      <c r="J119" s="23" t="s">
        <v>316</v>
      </c>
      <c r="K119" s="23">
        <v>18</v>
      </c>
      <c r="L119" s="23" t="s">
        <v>6828</v>
      </c>
      <c r="M119" s="298" t="s">
        <v>6251</v>
      </c>
      <c r="N119" s="30">
        <v>1818</v>
      </c>
      <c r="O119" s="23" t="s">
        <v>519</v>
      </c>
      <c r="P119" s="23">
        <v>1</v>
      </c>
      <c r="Q119" s="23"/>
      <c r="R119" s="23"/>
      <c r="S119" s="23" t="s">
        <v>4714</v>
      </c>
      <c r="T119" s="23" t="s">
        <v>6737</v>
      </c>
      <c r="U119" s="333" t="str">
        <f t="shared" si="1"/>
        <v>261103</v>
      </c>
      <c r="Z119" s="192"/>
      <c r="AD119" s="192"/>
    </row>
    <row r="120" spans="1:30" x14ac:dyDescent="0.25">
      <c r="A120" s="23" t="s">
        <v>6413</v>
      </c>
      <c r="B120" s="23" t="s">
        <v>6414</v>
      </c>
      <c r="C120" s="23" t="s">
        <v>101</v>
      </c>
      <c r="D120" s="23" t="s">
        <v>6717</v>
      </c>
      <c r="E120" s="23" t="s">
        <v>192</v>
      </c>
      <c r="F120" s="23">
        <v>1</v>
      </c>
      <c r="G120" s="23" t="s">
        <v>193</v>
      </c>
      <c r="H120" s="23" t="s">
        <v>194</v>
      </c>
      <c r="I120" s="23" t="s">
        <v>6718</v>
      </c>
      <c r="J120" s="23" t="s">
        <v>408</v>
      </c>
      <c r="K120" s="23">
        <v>18</v>
      </c>
      <c r="L120" s="23" t="s">
        <v>6829</v>
      </c>
      <c r="M120" s="298" t="s">
        <v>6251</v>
      </c>
      <c r="N120" s="30">
        <v>1864</v>
      </c>
      <c r="O120" s="23" t="s">
        <v>519</v>
      </c>
      <c r="P120" s="23">
        <v>1</v>
      </c>
      <c r="Q120" s="23"/>
      <c r="R120" s="23"/>
      <c r="S120" s="23" t="s">
        <v>4714</v>
      </c>
      <c r="T120" s="23" t="s">
        <v>6737</v>
      </c>
      <c r="U120" s="333" t="str">
        <f t="shared" si="1"/>
        <v>261103</v>
      </c>
      <c r="Z120" s="192"/>
      <c r="AD120" s="192"/>
    </row>
    <row r="121" spans="1:30" x14ac:dyDescent="0.25">
      <c r="A121" s="23" t="s">
        <v>6413</v>
      </c>
      <c r="B121" s="23" t="s">
        <v>6414</v>
      </c>
      <c r="C121" s="23" t="s">
        <v>101</v>
      </c>
      <c r="D121" s="23" t="s">
        <v>6717</v>
      </c>
      <c r="E121" s="23" t="s">
        <v>192</v>
      </c>
      <c r="F121" s="23">
        <v>1</v>
      </c>
      <c r="G121" s="23" t="s">
        <v>193</v>
      </c>
      <c r="H121" s="23" t="s">
        <v>194</v>
      </c>
      <c r="I121" s="23" t="s">
        <v>6718</v>
      </c>
      <c r="J121" s="23" t="s">
        <v>259</v>
      </c>
      <c r="K121" s="23">
        <v>18</v>
      </c>
      <c r="L121" s="23" t="s">
        <v>6830</v>
      </c>
      <c r="M121" s="298" t="s">
        <v>6251</v>
      </c>
      <c r="N121" s="30">
        <v>1801</v>
      </c>
      <c r="O121" s="23" t="s">
        <v>519</v>
      </c>
      <c r="P121" s="23">
        <v>1</v>
      </c>
      <c r="Q121" s="23"/>
      <c r="R121" s="23"/>
      <c r="S121" s="23" t="s">
        <v>4714</v>
      </c>
      <c r="T121" s="23" t="s">
        <v>6737</v>
      </c>
      <c r="U121" s="333" t="str">
        <f t="shared" si="1"/>
        <v>261103</v>
      </c>
      <c r="Z121" s="192"/>
      <c r="AD121" s="192"/>
    </row>
    <row r="122" spans="1:30" x14ac:dyDescent="0.25">
      <c r="A122" s="23" t="s">
        <v>2679</v>
      </c>
      <c r="B122" s="23" t="s">
        <v>67</v>
      </c>
      <c r="C122" s="23" t="s">
        <v>67</v>
      </c>
      <c r="D122" s="23" t="s">
        <v>6717</v>
      </c>
      <c r="E122" s="23" t="s">
        <v>192</v>
      </c>
      <c r="F122" s="23">
        <v>1</v>
      </c>
      <c r="G122" s="23" t="s">
        <v>193</v>
      </c>
      <c r="H122" s="23" t="s">
        <v>194</v>
      </c>
      <c r="I122" s="23" t="s">
        <v>6779</v>
      </c>
      <c r="J122" s="23" t="s">
        <v>6491</v>
      </c>
      <c r="K122" s="23">
        <v>18</v>
      </c>
      <c r="L122" s="23" t="s">
        <v>6831</v>
      </c>
      <c r="M122" s="298" t="s">
        <v>6266</v>
      </c>
      <c r="N122" s="30">
        <v>1816</v>
      </c>
      <c r="O122" s="23" t="s">
        <v>709</v>
      </c>
      <c r="P122" s="23">
        <v>1</v>
      </c>
      <c r="Q122" s="23"/>
      <c r="R122" s="23"/>
      <c r="S122" s="23" t="s">
        <v>4714</v>
      </c>
      <c r="T122" s="23" t="s">
        <v>6728</v>
      </c>
      <c r="U122" s="333" t="str">
        <f t="shared" si="1"/>
        <v>432103</v>
      </c>
      <c r="Z122" s="192"/>
      <c r="AD122" s="192"/>
    </row>
    <row r="123" spans="1:30" x14ac:dyDescent="0.25">
      <c r="A123" s="23" t="s">
        <v>3680</v>
      </c>
      <c r="B123" s="23" t="s">
        <v>6832</v>
      </c>
      <c r="C123" s="23" t="s">
        <v>12</v>
      </c>
      <c r="D123" s="23" t="s">
        <v>6717</v>
      </c>
      <c r="E123" s="23" t="s">
        <v>192</v>
      </c>
      <c r="F123" s="23">
        <v>1</v>
      </c>
      <c r="G123" s="23" t="s">
        <v>193</v>
      </c>
      <c r="H123" s="23" t="s">
        <v>194</v>
      </c>
      <c r="I123" s="23" t="s">
        <v>6723</v>
      </c>
      <c r="J123" s="23" t="s">
        <v>196</v>
      </c>
      <c r="K123" s="23">
        <v>18</v>
      </c>
      <c r="L123" s="23" t="s">
        <v>6833</v>
      </c>
      <c r="M123" s="298" t="s">
        <v>6256</v>
      </c>
      <c r="N123" s="30">
        <v>1861</v>
      </c>
      <c r="O123" s="23" t="s">
        <v>220</v>
      </c>
      <c r="P123" s="23">
        <v>1</v>
      </c>
      <c r="Q123" s="23"/>
      <c r="R123" s="23"/>
      <c r="S123" s="23" t="s">
        <v>4714</v>
      </c>
      <c r="T123" s="23" t="s">
        <v>6728</v>
      </c>
      <c r="U123" s="333" t="str">
        <f t="shared" si="1"/>
        <v>132301</v>
      </c>
      <c r="Z123" s="192"/>
      <c r="AD123" s="192"/>
    </row>
    <row r="124" spans="1:30" x14ac:dyDescent="0.25">
      <c r="A124" s="23" t="s">
        <v>6834</v>
      </c>
      <c r="B124" s="23" t="s">
        <v>6835</v>
      </c>
      <c r="C124" s="23" t="s">
        <v>1325</v>
      </c>
      <c r="D124" s="23" t="s">
        <v>6717</v>
      </c>
      <c r="E124" s="23" t="s">
        <v>252</v>
      </c>
      <c r="F124" s="23">
        <v>1</v>
      </c>
      <c r="G124" s="23" t="s">
        <v>194</v>
      </c>
      <c r="H124" s="23" t="s">
        <v>193</v>
      </c>
      <c r="I124" s="23" t="s">
        <v>6723</v>
      </c>
      <c r="J124" s="23" t="s">
        <v>3838</v>
      </c>
      <c r="K124" s="23">
        <v>18</v>
      </c>
      <c r="L124" s="23" t="s">
        <v>6836</v>
      </c>
      <c r="M124" s="298" t="s">
        <v>6256</v>
      </c>
      <c r="N124" s="30"/>
      <c r="O124" s="23" t="s">
        <v>1327</v>
      </c>
      <c r="P124" s="23">
        <v>0</v>
      </c>
      <c r="Q124" s="23"/>
      <c r="R124" s="23"/>
      <c r="S124" s="23" t="s">
        <v>4714</v>
      </c>
      <c r="T124" s="23" t="s">
        <v>6717</v>
      </c>
      <c r="U124" s="333" t="str">
        <f t="shared" si="1"/>
        <v>931301</v>
      </c>
      <c r="Z124" s="192"/>
      <c r="AD124" s="192"/>
    </row>
    <row r="125" spans="1:30" x14ac:dyDescent="0.25">
      <c r="A125" s="23" t="s">
        <v>6837</v>
      </c>
      <c r="B125" s="23" t="s">
        <v>460</v>
      </c>
      <c r="C125" s="23" t="s">
        <v>136</v>
      </c>
      <c r="D125" s="23" t="s">
        <v>6717</v>
      </c>
      <c r="E125" s="23" t="s">
        <v>233</v>
      </c>
      <c r="F125" s="23">
        <v>1</v>
      </c>
      <c r="G125" s="23" t="s">
        <v>193</v>
      </c>
      <c r="H125" s="23" t="s">
        <v>194</v>
      </c>
      <c r="I125" s="23" t="s">
        <v>6779</v>
      </c>
      <c r="J125" s="23" t="s">
        <v>276</v>
      </c>
      <c r="K125" s="23">
        <v>18</v>
      </c>
      <c r="L125" s="23" t="s">
        <v>6838</v>
      </c>
      <c r="M125" s="298" t="s">
        <v>6258</v>
      </c>
      <c r="N125" s="30">
        <v>1803</v>
      </c>
      <c r="O125" s="23" t="s">
        <v>461</v>
      </c>
      <c r="P125" s="23">
        <v>1</v>
      </c>
      <c r="Q125" s="23" t="s">
        <v>6839</v>
      </c>
      <c r="R125" s="23"/>
      <c r="S125" s="23" t="s">
        <v>4714</v>
      </c>
      <c r="T125" s="23" t="s">
        <v>6793</v>
      </c>
      <c r="U125" s="333" t="str">
        <f t="shared" si="1"/>
        <v>243301</v>
      </c>
      <c r="Z125" s="192"/>
      <c r="AD125" s="192"/>
    </row>
    <row r="126" spans="1:30" x14ac:dyDescent="0.25">
      <c r="A126" s="23" t="s">
        <v>6840</v>
      </c>
      <c r="B126" s="23" t="s">
        <v>6841</v>
      </c>
      <c r="C126" s="23" t="s">
        <v>6472</v>
      </c>
      <c r="D126" s="23" t="s">
        <v>6717</v>
      </c>
      <c r="E126" s="23" t="s">
        <v>192</v>
      </c>
      <c r="F126" s="23">
        <v>1</v>
      </c>
      <c r="G126" s="23" t="s">
        <v>193</v>
      </c>
      <c r="H126" s="23" t="s">
        <v>194</v>
      </c>
      <c r="I126" s="23" t="s">
        <v>6718</v>
      </c>
      <c r="J126" s="23" t="s">
        <v>2532</v>
      </c>
      <c r="K126" s="23">
        <v>18</v>
      </c>
      <c r="L126" s="23" t="s">
        <v>6842</v>
      </c>
      <c r="M126" s="298" t="s">
        <v>6245</v>
      </c>
      <c r="N126" s="30">
        <v>1820</v>
      </c>
      <c r="O126" s="23" t="s">
        <v>1938</v>
      </c>
      <c r="P126" s="23">
        <v>1</v>
      </c>
      <c r="Q126" s="23"/>
      <c r="R126" s="23"/>
      <c r="S126" s="23" t="s">
        <v>4714</v>
      </c>
      <c r="T126" s="23" t="s">
        <v>6728</v>
      </c>
      <c r="U126" s="333" t="str">
        <f t="shared" si="1"/>
        <v>214406</v>
      </c>
      <c r="Z126" s="192"/>
      <c r="AD126" s="192"/>
    </row>
    <row r="127" spans="1:30" x14ac:dyDescent="0.25">
      <c r="A127" s="23" t="s">
        <v>5393</v>
      </c>
      <c r="B127" s="23" t="s">
        <v>5509</v>
      </c>
      <c r="C127" s="23" t="s">
        <v>617</v>
      </c>
      <c r="D127" s="23" t="s">
        <v>6717</v>
      </c>
      <c r="E127" s="23" t="s">
        <v>192</v>
      </c>
      <c r="F127" s="23">
        <v>1</v>
      </c>
      <c r="G127" s="23" t="s">
        <v>193</v>
      </c>
      <c r="H127" s="23" t="s">
        <v>194</v>
      </c>
      <c r="I127" s="23" t="s">
        <v>6718</v>
      </c>
      <c r="J127" s="23" t="s">
        <v>3148</v>
      </c>
      <c r="K127" s="23">
        <v>18</v>
      </c>
      <c r="L127" s="23" t="s">
        <v>6843</v>
      </c>
      <c r="M127" s="298" t="s">
        <v>6254</v>
      </c>
      <c r="N127" s="30">
        <v>1820</v>
      </c>
      <c r="O127" s="23" t="s">
        <v>618</v>
      </c>
      <c r="P127" s="23">
        <v>1</v>
      </c>
      <c r="Q127" s="23"/>
      <c r="R127" s="23"/>
      <c r="S127" s="23" t="s">
        <v>4714</v>
      </c>
      <c r="T127" s="23" t="s">
        <v>6737</v>
      </c>
      <c r="U127" s="333" t="str">
        <f t="shared" si="1"/>
        <v>332104</v>
      </c>
      <c r="Z127" s="192"/>
      <c r="AD127" s="192"/>
    </row>
    <row r="128" spans="1:30" x14ac:dyDescent="0.25">
      <c r="A128" s="23" t="s">
        <v>5393</v>
      </c>
      <c r="B128" s="23" t="s">
        <v>5509</v>
      </c>
      <c r="C128" s="23" t="s">
        <v>617</v>
      </c>
      <c r="D128" s="23" t="s">
        <v>6717</v>
      </c>
      <c r="E128" s="23" t="s">
        <v>192</v>
      </c>
      <c r="F128" s="23">
        <v>1</v>
      </c>
      <c r="G128" s="23" t="s">
        <v>193</v>
      </c>
      <c r="H128" s="23" t="s">
        <v>194</v>
      </c>
      <c r="I128" s="23" t="s">
        <v>6718</v>
      </c>
      <c r="J128" s="23" t="s">
        <v>399</v>
      </c>
      <c r="K128" s="23">
        <v>18</v>
      </c>
      <c r="L128" s="23" t="s">
        <v>6844</v>
      </c>
      <c r="M128" s="298" t="s">
        <v>6254</v>
      </c>
      <c r="N128" s="30">
        <v>1802</v>
      </c>
      <c r="O128" s="23" t="s">
        <v>618</v>
      </c>
      <c r="P128" s="23">
        <v>1</v>
      </c>
      <c r="Q128" s="23"/>
      <c r="R128" s="23"/>
      <c r="S128" s="23" t="s">
        <v>4714</v>
      </c>
      <c r="T128" s="23" t="s">
        <v>6737</v>
      </c>
      <c r="U128" s="333" t="str">
        <f t="shared" si="1"/>
        <v>332104</v>
      </c>
      <c r="Z128" s="192"/>
      <c r="AD128" s="192"/>
    </row>
    <row r="129" spans="1:30" x14ac:dyDescent="0.25">
      <c r="A129" s="23" t="s">
        <v>5393</v>
      </c>
      <c r="B129" s="23" t="s">
        <v>5509</v>
      </c>
      <c r="C129" s="23" t="s">
        <v>617</v>
      </c>
      <c r="D129" s="23" t="s">
        <v>6717</v>
      </c>
      <c r="E129" s="23" t="s">
        <v>192</v>
      </c>
      <c r="F129" s="23">
        <v>1</v>
      </c>
      <c r="G129" s="23" t="s">
        <v>193</v>
      </c>
      <c r="H129" s="23" t="s">
        <v>194</v>
      </c>
      <c r="I129" s="23" t="s">
        <v>6718</v>
      </c>
      <c r="J129" s="23" t="s">
        <v>6845</v>
      </c>
      <c r="K129" s="23">
        <v>18</v>
      </c>
      <c r="L129" s="23" t="s">
        <v>6846</v>
      </c>
      <c r="M129" s="298" t="s">
        <v>6254</v>
      </c>
      <c r="N129" s="30">
        <v>1809</v>
      </c>
      <c r="O129" s="23" t="s">
        <v>618</v>
      </c>
      <c r="P129" s="23">
        <v>1</v>
      </c>
      <c r="Q129" s="23"/>
      <c r="R129" s="23"/>
      <c r="S129" s="23" t="s">
        <v>4714</v>
      </c>
      <c r="T129" s="23" t="s">
        <v>6737</v>
      </c>
      <c r="U129" s="333" t="str">
        <f t="shared" si="1"/>
        <v>332104</v>
      </c>
      <c r="Z129" s="192"/>
      <c r="AD129" s="192"/>
    </row>
    <row r="130" spans="1:30" x14ac:dyDescent="0.25">
      <c r="A130" s="23" t="s">
        <v>5393</v>
      </c>
      <c r="B130" s="23" t="s">
        <v>5509</v>
      </c>
      <c r="C130" s="23" t="s">
        <v>617</v>
      </c>
      <c r="D130" s="23" t="s">
        <v>6717</v>
      </c>
      <c r="E130" s="23" t="s">
        <v>192</v>
      </c>
      <c r="F130" s="23">
        <v>1</v>
      </c>
      <c r="G130" s="23" t="s">
        <v>193</v>
      </c>
      <c r="H130" s="23" t="s">
        <v>194</v>
      </c>
      <c r="I130" s="23" t="s">
        <v>6718</v>
      </c>
      <c r="J130" s="23" t="s">
        <v>276</v>
      </c>
      <c r="K130" s="23">
        <v>18</v>
      </c>
      <c r="L130" s="23" t="s">
        <v>6847</v>
      </c>
      <c r="M130" s="298" t="s">
        <v>6254</v>
      </c>
      <c r="N130" s="30">
        <v>1803</v>
      </c>
      <c r="O130" s="23" t="s">
        <v>618</v>
      </c>
      <c r="P130" s="23">
        <v>1</v>
      </c>
      <c r="Q130" s="23"/>
      <c r="R130" s="23"/>
      <c r="S130" s="23" t="s">
        <v>4714</v>
      </c>
      <c r="T130" s="23" t="s">
        <v>6737</v>
      </c>
      <c r="U130" s="333" t="str">
        <f t="shared" si="1"/>
        <v>332104</v>
      </c>
      <c r="Z130" s="192"/>
      <c r="AD130" s="192"/>
    </row>
    <row r="131" spans="1:30" x14ac:dyDescent="0.25">
      <c r="A131" s="23" t="s">
        <v>5393</v>
      </c>
      <c r="B131" s="23" t="s">
        <v>5509</v>
      </c>
      <c r="C131" s="23" t="s">
        <v>617</v>
      </c>
      <c r="D131" s="23" t="s">
        <v>6717</v>
      </c>
      <c r="E131" s="23" t="s">
        <v>192</v>
      </c>
      <c r="F131" s="23">
        <v>1</v>
      </c>
      <c r="G131" s="23" t="s">
        <v>193</v>
      </c>
      <c r="H131" s="23" t="s">
        <v>194</v>
      </c>
      <c r="I131" s="23" t="s">
        <v>6718</v>
      </c>
      <c r="J131" s="23" t="s">
        <v>2299</v>
      </c>
      <c r="K131" s="23">
        <v>18</v>
      </c>
      <c r="L131" s="23" t="s">
        <v>6848</v>
      </c>
      <c r="M131" s="298" t="s">
        <v>6254</v>
      </c>
      <c r="N131" s="30">
        <v>1807</v>
      </c>
      <c r="O131" s="23" t="s">
        <v>618</v>
      </c>
      <c r="P131" s="23">
        <v>1</v>
      </c>
      <c r="Q131" s="23"/>
      <c r="R131" s="23"/>
      <c r="S131" s="23" t="s">
        <v>4714</v>
      </c>
      <c r="T131" s="23" t="s">
        <v>6737</v>
      </c>
      <c r="U131" s="333" t="str">
        <f t="shared" si="1"/>
        <v>332104</v>
      </c>
      <c r="Z131" s="192"/>
      <c r="AD131" s="192"/>
    </row>
    <row r="132" spans="1:30" x14ac:dyDescent="0.25">
      <c r="A132" s="23" t="s">
        <v>5393</v>
      </c>
      <c r="B132" s="23" t="s">
        <v>5509</v>
      </c>
      <c r="C132" s="23" t="s">
        <v>617</v>
      </c>
      <c r="D132" s="23" t="s">
        <v>6717</v>
      </c>
      <c r="E132" s="23" t="s">
        <v>192</v>
      </c>
      <c r="F132" s="23">
        <v>1</v>
      </c>
      <c r="G132" s="23" t="s">
        <v>193</v>
      </c>
      <c r="H132" s="23" t="s">
        <v>194</v>
      </c>
      <c r="I132" s="23" t="s">
        <v>6718</v>
      </c>
      <c r="J132" s="23" t="s">
        <v>3891</v>
      </c>
      <c r="K132" s="23">
        <v>18</v>
      </c>
      <c r="L132" s="23" t="s">
        <v>6849</v>
      </c>
      <c r="M132" s="298" t="s">
        <v>6254</v>
      </c>
      <c r="N132" s="30">
        <v>1816</v>
      </c>
      <c r="O132" s="23" t="s">
        <v>618</v>
      </c>
      <c r="P132" s="23">
        <v>1</v>
      </c>
      <c r="Q132" s="23"/>
      <c r="R132" s="23"/>
      <c r="S132" s="23" t="s">
        <v>4714</v>
      </c>
      <c r="T132" s="23" t="s">
        <v>6737</v>
      </c>
      <c r="U132" s="333" t="str">
        <f t="shared" ref="U132:U175" si="2">MID(O132,8,6)</f>
        <v>332104</v>
      </c>
      <c r="Z132" s="192"/>
      <c r="AD132" s="192"/>
    </row>
    <row r="133" spans="1:30" x14ac:dyDescent="0.25">
      <c r="A133" s="23" t="s">
        <v>5393</v>
      </c>
      <c r="B133" s="23" t="s">
        <v>5509</v>
      </c>
      <c r="C133" s="23" t="s">
        <v>617</v>
      </c>
      <c r="D133" s="23" t="s">
        <v>6717</v>
      </c>
      <c r="E133" s="23" t="s">
        <v>192</v>
      </c>
      <c r="F133" s="23">
        <v>1</v>
      </c>
      <c r="G133" s="23" t="s">
        <v>193</v>
      </c>
      <c r="H133" s="23" t="s">
        <v>194</v>
      </c>
      <c r="I133" s="23" t="s">
        <v>6718</v>
      </c>
      <c r="J133" s="23" t="s">
        <v>6850</v>
      </c>
      <c r="K133" s="23">
        <v>18</v>
      </c>
      <c r="L133" s="23" t="s">
        <v>6851</v>
      </c>
      <c r="M133" s="298" t="s">
        <v>6254</v>
      </c>
      <c r="N133" s="30">
        <v>1807</v>
      </c>
      <c r="O133" s="23" t="s">
        <v>618</v>
      </c>
      <c r="P133" s="23">
        <v>1</v>
      </c>
      <c r="Q133" s="23"/>
      <c r="R133" s="23"/>
      <c r="S133" s="23" t="s">
        <v>4714</v>
      </c>
      <c r="T133" s="23" t="s">
        <v>6737</v>
      </c>
      <c r="U133" s="333" t="str">
        <f t="shared" si="2"/>
        <v>332104</v>
      </c>
      <c r="Z133" s="192"/>
      <c r="AD133" s="192"/>
    </row>
    <row r="134" spans="1:30" x14ac:dyDescent="0.25">
      <c r="A134" s="23" t="s">
        <v>5393</v>
      </c>
      <c r="B134" s="23" t="s">
        <v>5509</v>
      </c>
      <c r="C134" s="23" t="s">
        <v>617</v>
      </c>
      <c r="D134" s="23" t="s">
        <v>6717</v>
      </c>
      <c r="E134" s="23" t="s">
        <v>192</v>
      </c>
      <c r="F134" s="23">
        <v>1</v>
      </c>
      <c r="G134" s="23" t="s">
        <v>193</v>
      </c>
      <c r="H134" s="23" t="s">
        <v>194</v>
      </c>
      <c r="I134" s="23" t="s">
        <v>6718</v>
      </c>
      <c r="J134" s="23" t="s">
        <v>223</v>
      </c>
      <c r="K134" s="23">
        <v>18</v>
      </c>
      <c r="L134" s="23" t="s">
        <v>6852</v>
      </c>
      <c r="M134" s="298" t="s">
        <v>6254</v>
      </c>
      <c r="N134" s="30">
        <v>1804</v>
      </c>
      <c r="O134" s="23" t="s">
        <v>618</v>
      </c>
      <c r="P134" s="23">
        <v>1</v>
      </c>
      <c r="Q134" s="23"/>
      <c r="R134" s="23"/>
      <c r="S134" s="23" t="s">
        <v>4714</v>
      </c>
      <c r="T134" s="23" t="s">
        <v>6737</v>
      </c>
      <c r="U134" s="333" t="str">
        <f t="shared" si="2"/>
        <v>332104</v>
      </c>
      <c r="Z134" s="192"/>
      <c r="AD134" s="192"/>
    </row>
    <row r="135" spans="1:30" x14ac:dyDescent="0.25">
      <c r="A135" s="23" t="s">
        <v>5393</v>
      </c>
      <c r="B135" s="23" t="s">
        <v>5509</v>
      </c>
      <c r="C135" s="23" t="s">
        <v>617</v>
      </c>
      <c r="D135" s="23" t="s">
        <v>6717</v>
      </c>
      <c r="E135" s="23" t="s">
        <v>192</v>
      </c>
      <c r="F135" s="23">
        <v>1</v>
      </c>
      <c r="G135" s="23" t="s">
        <v>193</v>
      </c>
      <c r="H135" s="23" t="s">
        <v>194</v>
      </c>
      <c r="I135" s="23" t="s">
        <v>6718</v>
      </c>
      <c r="J135" s="23" t="s">
        <v>367</v>
      </c>
      <c r="K135" s="23">
        <v>18</v>
      </c>
      <c r="L135" s="23" t="s">
        <v>6853</v>
      </c>
      <c r="M135" s="298" t="s">
        <v>6254</v>
      </c>
      <c r="N135" s="30">
        <v>1805</v>
      </c>
      <c r="O135" s="23" t="s">
        <v>618</v>
      </c>
      <c r="P135" s="23">
        <v>1</v>
      </c>
      <c r="Q135" s="23"/>
      <c r="R135" s="23"/>
      <c r="S135" s="23" t="s">
        <v>4714</v>
      </c>
      <c r="T135" s="23" t="s">
        <v>6737</v>
      </c>
      <c r="U135" s="333" t="str">
        <f t="shared" si="2"/>
        <v>332104</v>
      </c>
      <c r="Z135" s="192"/>
      <c r="AD135" s="192"/>
    </row>
    <row r="136" spans="1:30" x14ac:dyDescent="0.25">
      <c r="A136" s="23" t="s">
        <v>5393</v>
      </c>
      <c r="B136" s="23" t="s">
        <v>5509</v>
      </c>
      <c r="C136" s="23" t="s">
        <v>617</v>
      </c>
      <c r="D136" s="23" t="s">
        <v>6717</v>
      </c>
      <c r="E136" s="23" t="s">
        <v>192</v>
      </c>
      <c r="F136" s="23">
        <v>1</v>
      </c>
      <c r="G136" s="23" t="s">
        <v>193</v>
      </c>
      <c r="H136" s="23" t="s">
        <v>194</v>
      </c>
      <c r="I136" s="23" t="s">
        <v>6718</v>
      </c>
      <c r="J136" s="23" t="s">
        <v>962</v>
      </c>
      <c r="K136" s="23">
        <v>18</v>
      </c>
      <c r="L136" s="23" t="s">
        <v>6854</v>
      </c>
      <c r="M136" s="298" t="s">
        <v>6254</v>
      </c>
      <c r="N136" s="30">
        <v>1806</v>
      </c>
      <c r="O136" s="23" t="s">
        <v>618</v>
      </c>
      <c r="P136" s="23">
        <v>1</v>
      </c>
      <c r="Q136" s="23"/>
      <c r="R136" s="23"/>
      <c r="S136" s="23" t="s">
        <v>4714</v>
      </c>
      <c r="T136" s="23" t="s">
        <v>6737</v>
      </c>
      <c r="U136" s="333" t="str">
        <f t="shared" si="2"/>
        <v>332104</v>
      </c>
      <c r="Z136" s="192"/>
      <c r="AD136" s="192"/>
    </row>
    <row r="137" spans="1:30" x14ac:dyDescent="0.25">
      <c r="A137" s="23" t="s">
        <v>5393</v>
      </c>
      <c r="B137" s="23" t="s">
        <v>5509</v>
      </c>
      <c r="C137" s="23" t="s">
        <v>617</v>
      </c>
      <c r="D137" s="23" t="s">
        <v>6717</v>
      </c>
      <c r="E137" s="23" t="s">
        <v>192</v>
      </c>
      <c r="F137" s="23">
        <v>1</v>
      </c>
      <c r="G137" s="23" t="s">
        <v>193</v>
      </c>
      <c r="H137" s="23" t="s">
        <v>194</v>
      </c>
      <c r="I137" s="23" t="s">
        <v>6718</v>
      </c>
      <c r="J137" s="23" t="s">
        <v>385</v>
      </c>
      <c r="K137" s="23">
        <v>18</v>
      </c>
      <c r="L137" s="23" t="s">
        <v>6855</v>
      </c>
      <c r="M137" s="298" t="s">
        <v>6254</v>
      </c>
      <c r="N137" s="30">
        <v>1861</v>
      </c>
      <c r="O137" s="23" t="s">
        <v>618</v>
      </c>
      <c r="P137" s="23">
        <v>1</v>
      </c>
      <c r="Q137" s="23"/>
      <c r="R137" s="23"/>
      <c r="S137" s="23" t="s">
        <v>4714</v>
      </c>
      <c r="T137" s="23" t="s">
        <v>6737</v>
      </c>
      <c r="U137" s="333" t="str">
        <f t="shared" si="2"/>
        <v>332104</v>
      </c>
      <c r="Z137" s="192"/>
      <c r="AD137" s="192"/>
    </row>
    <row r="138" spans="1:30" x14ac:dyDescent="0.25">
      <c r="A138" s="23" t="s">
        <v>5393</v>
      </c>
      <c r="B138" s="23" t="s">
        <v>5509</v>
      </c>
      <c r="C138" s="23" t="s">
        <v>617</v>
      </c>
      <c r="D138" s="23" t="s">
        <v>6717</v>
      </c>
      <c r="E138" s="23" t="s">
        <v>192</v>
      </c>
      <c r="F138" s="23">
        <v>1</v>
      </c>
      <c r="G138" s="23" t="s">
        <v>193</v>
      </c>
      <c r="H138" s="23" t="s">
        <v>194</v>
      </c>
      <c r="I138" s="23" t="s">
        <v>6718</v>
      </c>
      <c r="J138" s="23" t="s">
        <v>1995</v>
      </c>
      <c r="K138" s="23">
        <v>18</v>
      </c>
      <c r="L138" s="23" t="s">
        <v>6856</v>
      </c>
      <c r="M138" s="298" t="s">
        <v>6254</v>
      </c>
      <c r="N138" s="30">
        <v>1821</v>
      </c>
      <c r="O138" s="23" t="s">
        <v>618</v>
      </c>
      <c r="P138" s="23">
        <v>1</v>
      </c>
      <c r="Q138" s="23"/>
      <c r="R138" s="23"/>
      <c r="S138" s="23" t="s">
        <v>4714</v>
      </c>
      <c r="T138" s="23" t="s">
        <v>6737</v>
      </c>
      <c r="U138" s="333" t="str">
        <f t="shared" si="2"/>
        <v>332104</v>
      </c>
      <c r="Z138" s="192"/>
      <c r="AD138" s="192"/>
    </row>
    <row r="139" spans="1:30" x14ac:dyDescent="0.25">
      <c r="A139" s="23" t="s">
        <v>5393</v>
      </c>
      <c r="B139" s="23" t="s">
        <v>5509</v>
      </c>
      <c r="C139" s="23" t="s">
        <v>617</v>
      </c>
      <c r="D139" s="23" t="s">
        <v>6717</v>
      </c>
      <c r="E139" s="23" t="s">
        <v>192</v>
      </c>
      <c r="F139" s="23">
        <v>1</v>
      </c>
      <c r="G139" s="23" t="s">
        <v>193</v>
      </c>
      <c r="H139" s="23" t="s">
        <v>194</v>
      </c>
      <c r="I139" s="23" t="s">
        <v>6718</v>
      </c>
      <c r="J139" s="23" t="s">
        <v>327</v>
      </c>
      <c r="K139" s="23">
        <v>18</v>
      </c>
      <c r="L139" s="23" t="s">
        <v>6857</v>
      </c>
      <c r="M139" s="298" t="s">
        <v>6254</v>
      </c>
      <c r="N139" s="30">
        <v>1808</v>
      </c>
      <c r="O139" s="23" t="s">
        <v>618</v>
      </c>
      <c r="P139" s="23">
        <v>1</v>
      </c>
      <c r="Q139" s="23"/>
      <c r="R139" s="23"/>
      <c r="S139" s="23" t="s">
        <v>4714</v>
      </c>
      <c r="T139" s="23" t="s">
        <v>6737</v>
      </c>
      <c r="U139" s="333" t="str">
        <f t="shared" si="2"/>
        <v>332104</v>
      </c>
      <c r="Z139" s="192"/>
      <c r="AD139" s="192"/>
    </row>
    <row r="140" spans="1:30" x14ac:dyDescent="0.25">
      <c r="A140" s="23" t="s">
        <v>5393</v>
      </c>
      <c r="B140" s="23" t="s">
        <v>5509</v>
      </c>
      <c r="C140" s="23" t="s">
        <v>617</v>
      </c>
      <c r="D140" s="23" t="s">
        <v>6717</v>
      </c>
      <c r="E140" s="23" t="s">
        <v>192</v>
      </c>
      <c r="F140" s="23">
        <v>1</v>
      </c>
      <c r="G140" s="23" t="s">
        <v>193</v>
      </c>
      <c r="H140" s="23" t="s">
        <v>194</v>
      </c>
      <c r="I140" s="23" t="s">
        <v>6718</v>
      </c>
      <c r="J140" s="23" t="s">
        <v>1059</v>
      </c>
      <c r="K140" s="23">
        <v>18</v>
      </c>
      <c r="L140" s="23" t="s">
        <v>6858</v>
      </c>
      <c r="M140" s="298" t="s">
        <v>6254</v>
      </c>
      <c r="N140" s="30">
        <v>1809</v>
      </c>
      <c r="O140" s="23" t="s">
        <v>618</v>
      </c>
      <c r="P140" s="23">
        <v>1</v>
      </c>
      <c r="Q140" s="23"/>
      <c r="R140" s="23"/>
      <c r="S140" s="23" t="s">
        <v>4714</v>
      </c>
      <c r="T140" s="23" t="s">
        <v>6737</v>
      </c>
      <c r="U140" s="333" t="str">
        <f t="shared" si="2"/>
        <v>332104</v>
      </c>
      <c r="Z140" s="192"/>
      <c r="AD140" s="192"/>
    </row>
    <row r="141" spans="1:30" x14ac:dyDescent="0.25">
      <c r="A141" s="23" t="s">
        <v>5393</v>
      </c>
      <c r="B141" s="23" t="s">
        <v>5509</v>
      </c>
      <c r="C141" s="23" t="s">
        <v>617</v>
      </c>
      <c r="D141" s="23" t="s">
        <v>6717</v>
      </c>
      <c r="E141" s="23" t="s">
        <v>192</v>
      </c>
      <c r="F141" s="23">
        <v>1</v>
      </c>
      <c r="G141" s="23" t="s">
        <v>193</v>
      </c>
      <c r="H141" s="23" t="s">
        <v>194</v>
      </c>
      <c r="I141" s="23" t="s">
        <v>6718</v>
      </c>
      <c r="J141" s="23" t="s">
        <v>301</v>
      </c>
      <c r="K141" s="23">
        <v>18</v>
      </c>
      <c r="L141" s="23" t="s">
        <v>6859</v>
      </c>
      <c r="M141" s="298" t="s">
        <v>6254</v>
      </c>
      <c r="N141" s="30">
        <v>1810</v>
      </c>
      <c r="O141" s="23" t="s">
        <v>618</v>
      </c>
      <c r="P141" s="23">
        <v>1</v>
      </c>
      <c r="Q141" s="23"/>
      <c r="R141" s="23"/>
      <c r="S141" s="23" t="s">
        <v>4714</v>
      </c>
      <c r="T141" s="23" t="s">
        <v>6737</v>
      </c>
      <c r="U141" s="333" t="str">
        <f t="shared" si="2"/>
        <v>332104</v>
      </c>
      <c r="Z141" s="192"/>
      <c r="AD141" s="192"/>
    </row>
    <row r="142" spans="1:30" x14ac:dyDescent="0.25">
      <c r="A142" s="23" t="s">
        <v>5393</v>
      </c>
      <c r="B142" s="23" t="s">
        <v>5509</v>
      </c>
      <c r="C142" s="23" t="s">
        <v>617</v>
      </c>
      <c r="D142" s="23" t="s">
        <v>6717</v>
      </c>
      <c r="E142" s="23" t="s">
        <v>192</v>
      </c>
      <c r="F142" s="23">
        <v>1</v>
      </c>
      <c r="G142" s="23" t="s">
        <v>193</v>
      </c>
      <c r="H142" s="23" t="s">
        <v>194</v>
      </c>
      <c r="I142" s="23" t="s">
        <v>6718</v>
      </c>
      <c r="J142" s="23" t="s">
        <v>253</v>
      </c>
      <c r="K142" s="23">
        <v>18</v>
      </c>
      <c r="L142" s="23" t="s">
        <v>6860</v>
      </c>
      <c r="M142" s="298" t="s">
        <v>6254</v>
      </c>
      <c r="N142" s="30">
        <v>1811</v>
      </c>
      <c r="O142" s="23" t="s">
        <v>618</v>
      </c>
      <c r="P142" s="23">
        <v>1</v>
      </c>
      <c r="Q142" s="23"/>
      <c r="R142" s="23"/>
      <c r="S142" s="23" t="s">
        <v>4714</v>
      </c>
      <c r="T142" s="23" t="s">
        <v>6737</v>
      </c>
      <c r="U142" s="333" t="str">
        <f t="shared" si="2"/>
        <v>332104</v>
      </c>
      <c r="Z142" s="192"/>
      <c r="AD142" s="192"/>
    </row>
    <row r="143" spans="1:30" x14ac:dyDescent="0.25">
      <c r="A143" s="23" t="s">
        <v>5393</v>
      </c>
      <c r="B143" s="23" t="s">
        <v>5509</v>
      </c>
      <c r="C143" s="23" t="s">
        <v>617</v>
      </c>
      <c r="D143" s="23" t="s">
        <v>6717</v>
      </c>
      <c r="E143" s="23" t="s">
        <v>192</v>
      </c>
      <c r="F143" s="23">
        <v>1</v>
      </c>
      <c r="G143" s="23" t="s">
        <v>193</v>
      </c>
      <c r="H143" s="23" t="s">
        <v>194</v>
      </c>
      <c r="I143" s="23" t="s">
        <v>6718</v>
      </c>
      <c r="J143" s="23" t="s">
        <v>323</v>
      </c>
      <c r="K143" s="23">
        <v>18</v>
      </c>
      <c r="L143" s="23" t="s">
        <v>6861</v>
      </c>
      <c r="M143" s="298" t="s">
        <v>6254</v>
      </c>
      <c r="N143" s="30">
        <v>1812</v>
      </c>
      <c r="O143" s="23" t="s">
        <v>618</v>
      </c>
      <c r="P143" s="23">
        <v>1</v>
      </c>
      <c r="Q143" s="23"/>
      <c r="R143" s="23"/>
      <c r="S143" s="23" t="s">
        <v>4714</v>
      </c>
      <c r="T143" s="23" t="s">
        <v>6737</v>
      </c>
      <c r="U143" s="333" t="str">
        <f t="shared" si="2"/>
        <v>332104</v>
      </c>
      <c r="Z143" s="192"/>
      <c r="AD143" s="192"/>
    </row>
    <row r="144" spans="1:30" x14ac:dyDescent="0.25">
      <c r="A144" s="23" t="s">
        <v>5393</v>
      </c>
      <c r="B144" s="23" t="s">
        <v>5509</v>
      </c>
      <c r="C144" s="23" t="s">
        <v>617</v>
      </c>
      <c r="D144" s="23" t="s">
        <v>6717</v>
      </c>
      <c r="E144" s="23" t="s">
        <v>192</v>
      </c>
      <c r="F144" s="23">
        <v>1</v>
      </c>
      <c r="G144" s="23" t="s">
        <v>193</v>
      </c>
      <c r="H144" s="23" t="s">
        <v>194</v>
      </c>
      <c r="I144" s="23" t="s">
        <v>6718</v>
      </c>
      <c r="J144" s="23" t="s">
        <v>1977</v>
      </c>
      <c r="K144" s="23">
        <v>18</v>
      </c>
      <c r="L144" s="23" t="s">
        <v>6862</v>
      </c>
      <c r="M144" s="298" t="s">
        <v>6254</v>
      </c>
      <c r="N144" s="30">
        <v>1808</v>
      </c>
      <c r="O144" s="23" t="s">
        <v>618</v>
      </c>
      <c r="P144" s="23">
        <v>1</v>
      </c>
      <c r="Q144" s="23"/>
      <c r="R144" s="23"/>
      <c r="S144" s="23" t="s">
        <v>4714</v>
      </c>
      <c r="T144" s="23" t="s">
        <v>6737</v>
      </c>
      <c r="U144" s="333" t="str">
        <f t="shared" si="2"/>
        <v>332104</v>
      </c>
      <c r="Z144" s="192"/>
      <c r="AD144" s="192"/>
    </row>
    <row r="145" spans="1:30" x14ac:dyDescent="0.25">
      <c r="A145" s="23" t="s">
        <v>5393</v>
      </c>
      <c r="B145" s="23" t="s">
        <v>5509</v>
      </c>
      <c r="C145" s="23" t="s">
        <v>617</v>
      </c>
      <c r="D145" s="23" t="s">
        <v>6717</v>
      </c>
      <c r="E145" s="23" t="s">
        <v>192</v>
      </c>
      <c r="F145" s="23">
        <v>1</v>
      </c>
      <c r="G145" s="23" t="s">
        <v>193</v>
      </c>
      <c r="H145" s="23" t="s">
        <v>194</v>
      </c>
      <c r="I145" s="23" t="s">
        <v>6718</v>
      </c>
      <c r="J145" s="23" t="s">
        <v>4751</v>
      </c>
      <c r="K145" s="23">
        <v>18</v>
      </c>
      <c r="L145" s="23" t="s">
        <v>6863</v>
      </c>
      <c r="M145" s="298" t="s">
        <v>6254</v>
      </c>
      <c r="N145" s="30">
        <v>1862</v>
      </c>
      <c r="O145" s="23" t="s">
        <v>618</v>
      </c>
      <c r="P145" s="23">
        <v>1</v>
      </c>
      <c r="Q145" s="23"/>
      <c r="R145" s="23"/>
      <c r="S145" s="23" t="s">
        <v>4714</v>
      </c>
      <c r="T145" s="23" t="s">
        <v>6737</v>
      </c>
      <c r="U145" s="333" t="str">
        <f t="shared" si="2"/>
        <v>332104</v>
      </c>
      <c r="Z145" s="192"/>
      <c r="AD145" s="192"/>
    </row>
    <row r="146" spans="1:30" x14ac:dyDescent="0.25">
      <c r="A146" s="23" t="s">
        <v>5393</v>
      </c>
      <c r="B146" s="23" t="s">
        <v>5509</v>
      </c>
      <c r="C146" s="23" t="s">
        <v>617</v>
      </c>
      <c r="D146" s="23" t="s">
        <v>6717</v>
      </c>
      <c r="E146" s="23" t="s">
        <v>192</v>
      </c>
      <c r="F146" s="23">
        <v>1</v>
      </c>
      <c r="G146" s="23" t="s">
        <v>193</v>
      </c>
      <c r="H146" s="23" t="s">
        <v>194</v>
      </c>
      <c r="I146" s="23" t="s">
        <v>6718</v>
      </c>
      <c r="J146" s="23" t="s">
        <v>305</v>
      </c>
      <c r="K146" s="23">
        <v>18</v>
      </c>
      <c r="L146" s="23" t="s">
        <v>6864</v>
      </c>
      <c r="M146" s="298" t="s">
        <v>6254</v>
      </c>
      <c r="N146" s="30">
        <v>1814</v>
      </c>
      <c r="O146" s="23" t="s">
        <v>618</v>
      </c>
      <c r="P146" s="23">
        <v>1</v>
      </c>
      <c r="Q146" s="23"/>
      <c r="R146" s="23"/>
      <c r="S146" s="23" t="s">
        <v>4714</v>
      </c>
      <c r="T146" s="23" t="s">
        <v>6737</v>
      </c>
      <c r="U146" s="333" t="str">
        <f t="shared" si="2"/>
        <v>332104</v>
      </c>
      <c r="Z146" s="192"/>
      <c r="AD146" s="192"/>
    </row>
    <row r="147" spans="1:30" x14ac:dyDescent="0.25">
      <c r="A147" s="23" t="s">
        <v>5393</v>
      </c>
      <c r="B147" s="23" t="s">
        <v>5509</v>
      </c>
      <c r="C147" s="23" t="s">
        <v>617</v>
      </c>
      <c r="D147" s="23" t="s">
        <v>6717</v>
      </c>
      <c r="E147" s="23" t="s">
        <v>192</v>
      </c>
      <c r="F147" s="23">
        <v>1</v>
      </c>
      <c r="G147" s="23" t="s">
        <v>193</v>
      </c>
      <c r="H147" s="23" t="s">
        <v>194</v>
      </c>
      <c r="I147" s="23" t="s">
        <v>6718</v>
      </c>
      <c r="J147" s="23" t="s">
        <v>2439</v>
      </c>
      <c r="K147" s="23">
        <v>18</v>
      </c>
      <c r="L147" s="23" t="s">
        <v>6865</v>
      </c>
      <c r="M147" s="298" t="s">
        <v>6254</v>
      </c>
      <c r="N147" s="30">
        <v>1804</v>
      </c>
      <c r="O147" s="23" t="s">
        <v>618</v>
      </c>
      <c r="P147" s="23">
        <v>1</v>
      </c>
      <c r="Q147" s="23"/>
      <c r="R147" s="23"/>
      <c r="S147" s="23" t="s">
        <v>4714</v>
      </c>
      <c r="T147" s="23" t="s">
        <v>6737</v>
      </c>
      <c r="U147" s="333" t="str">
        <f t="shared" si="2"/>
        <v>332104</v>
      </c>
      <c r="Z147" s="192"/>
      <c r="AD147" s="192"/>
    </row>
    <row r="148" spans="1:30" x14ac:dyDescent="0.25">
      <c r="A148" s="23" t="s">
        <v>5393</v>
      </c>
      <c r="B148" s="23" t="s">
        <v>5509</v>
      </c>
      <c r="C148" s="23" t="s">
        <v>617</v>
      </c>
      <c r="D148" s="23" t="s">
        <v>6717</v>
      </c>
      <c r="E148" s="23" t="s">
        <v>192</v>
      </c>
      <c r="F148" s="23">
        <v>1</v>
      </c>
      <c r="G148" s="23" t="s">
        <v>193</v>
      </c>
      <c r="H148" s="23" t="s">
        <v>194</v>
      </c>
      <c r="I148" s="23" t="s">
        <v>6718</v>
      </c>
      <c r="J148" s="23" t="s">
        <v>285</v>
      </c>
      <c r="K148" s="23">
        <v>18</v>
      </c>
      <c r="L148" s="23" t="s">
        <v>6866</v>
      </c>
      <c r="M148" s="298" t="s">
        <v>6254</v>
      </c>
      <c r="N148" s="30">
        <v>1815</v>
      </c>
      <c r="O148" s="23" t="s">
        <v>618</v>
      </c>
      <c r="P148" s="23">
        <v>1</v>
      </c>
      <c r="Q148" s="23"/>
      <c r="R148" s="23"/>
      <c r="S148" s="23" t="s">
        <v>4714</v>
      </c>
      <c r="T148" s="23" t="s">
        <v>6737</v>
      </c>
      <c r="U148" s="333" t="str">
        <f t="shared" si="2"/>
        <v>332104</v>
      </c>
      <c r="Z148" s="192"/>
      <c r="AD148" s="192"/>
    </row>
    <row r="149" spans="1:30" x14ac:dyDescent="0.25">
      <c r="A149" s="23" t="s">
        <v>5393</v>
      </c>
      <c r="B149" s="23" t="s">
        <v>5509</v>
      </c>
      <c r="C149" s="23" t="s">
        <v>617</v>
      </c>
      <c r="D149" s="23" t="s">
        <v>6717</v>
      </c>
      <c r="E149" s="23" t="s">
        <v>192</v>
      </c>
      <c r="F149" s="23">
        <v>1</v>
      </c>
      <c r="G149" s="23" t="s">
        <v>193</v>
      </c>
      <c r="H149" s="23" t="s">
        <v>194</v>
      </c>
      <c r="I149" s="23" t="s">
        <v>6718</v>
      </c>
      <c r="J149" s="23" t="s">
        <v>210</v>
      </c>
      <c r="K149" s="23">
        <v>18</v>
      </c>
      <c r="L149" s="23" t="s">
        <v>6867</v>
      </c>
      <c r="M149" s="298" t="s">
        <v>6254</v>
      </c>
      <c r="N149" s="30">
        <v>1863</v>
      </c>
      <c r="O149" s="23" t="s">
        <v>618</v>
      </c>
      <c r="P149" s="23">
        <v>1</v>
      </c>
      <c r="Q149" s="23"/>
      <c r="R149" s="23"/>
      <c r="S149" s="23" t="s">
        <v>4714</v>
      </c>
      <c r="T149" s="23" t="s">
        <v>6737</v>
      </c>
      <c r="U149" s="333" t="str">
        <f t="shared" si="2"/>
        <v>332104</v>
      </c>
      <c r="Z149" s="192"/>
      <c r="AD149" s="192"/>
    </row>
    <row r="150" spans="1:30" x14ac:dyDescent="0.25">
      <c r="A150" s="23" t="s">
        <v>5393</v>
      </c>
      <c r="B150" s="23" t="s">
        <v>5509</v>
      </c>
      <c r="C150" s="23" t="s">
        <v>617</v>
      </c>
      <c r="D150" s="23" t="s">
        <v>6717</v>
      </c>
      <c r="E150" s="23" t="s">
        <v>192</v>
      </c>
      <c r="F150" s="23">
        <v>1</v>
      </c>
      <c r="G150" s="23" t="s">
        <v>193</v>
      </c>
      <c r="H150" s="23" t="s">
        <v>194</v>
      </c>
      <c r="I150" s="23" t="s">
        <v>6718</v>
      </c>
      <c r="J150" s="23" t="s">
        <v>747</v>
      </c>
      <c r="K150" s="23">
        <v>18</v>
      </c>
      <c r="L150" s="23" t="s">
        <v>6868</v>
      </c>
      <c r="M150" s="298" t="s">
        <v>6254</v>
      </c>
      <c r="N150" s="30">
        <v>1817</v>
      </c>
      <c r="O150" s="23" t="s">
        <v>618</v>
      </c>
      <c r="P150" s="23">
        <v>1</v>
      </c>
      <c r="Q150" s="23"/>
      <c r="R150" s="23"/>
      <c r="S150" s="23" t="s">
        <v>4714</v>
      </c>
      <c r="T150" s="23" t="s">
        <v>6737</v>
      </c>
      <c r="U150" s="333" t="str">
        <f t="shared" si="2"/>
        <v>332104</v>
      </c>
      <c r="Z150" s="192"/>
      <c r="AD150" s="192"/>
    </row>
    <row r="151" spans="1:30" x14ac:dyDescent="0.25">
      <c r="A151" s="23" t="s">
        <v>5393</v>
      </c>
      <c r="B151" s="23" t="s">
        <v>5509</v>
      </c>
      <c r="C151" s="23" t="s">
        <v>617</v>
      </c>
      <c r="D151" s="23" t="s">
        <v>6717</v>
      </c>
      <c r="E151" s="23" t="s">
        <v>192</v>
      </c>
      <c r="F151" s="23">
        <v>1</v>
      </c>
      <c r="G151" s="23" t="s">
        <v>193</v>
      </c>
      <c r="H151" s="23" t="s">
        <v>194</v>
      </c>
      <c r="I151" s="23" t="s">
        <v>6718</v>
      </c>
      <c r="J151" s="23" t="s">
        <v>309</v>
      </c>
      <c r="K151" s="23">
        <v>18</v>
      </c>
      <c r="L151" s="23" t="s">
        <v>6869</v>
      </c>
      <c r="M151" s="298" t="s">
        <v>6254</v>
      </c>
      <c r="N151" s="30">
        <v>1815</v>
      </c>
      <c r="O151" s="23" t="s">
        <v>618</v>
      </c>
      <c r="P151" s="23">
        <v>1</v>
      </c>
      <c r="Q151" s="23"/>
      <c r="R151" s="23"/>
      <c r="S151" s="23" t="s">
        <v>4714</v>
      </c>
      <c r="T151" s="23" t="s">
        <v>6737</v>
      </c>
      <c r="U151" s="333" t="str">
        <f t="shared" si="2"/>
        <v>332104</v>
      </c>
      <c r="Z151" s="192"/>
      <c r="AD151" s="192"/>
    </row>
    <row r="152" spans="1:30" x14ac:dyDescent="0.25">
      <c r="A152" s="23" t="s">
        <v>5393</v>
      </c>
      <c r="B152" s="23" t="s">
        <v>5509</v>
      </c>
      <c r="C152" s="23" t="s">
        <v>617</v>
      </c>
      <c r="D152" s="23" t="s">
        <v>6717</v>
      </c>
      <c r="E152" s="23" t="s">
        <v>192</v>
      </c>
      <c r="F152" s="23">
        <v>1</v>
      </c>
      <c r="G152" s="23" t="s">
        <v>193</v>
      </c>
      <c r="H152" s="23" t="s">
        <v>194</v>
      </c>
      <c r="I152" s="23" t="s">
        <v>6718</v>
      </c>
      <c r="J152" s="23" t="s">
        <v>2582</v>
      </c>
      <c r="K152" s="23">
        <v>18</v>
      </c>
      <c r="L152" s="23" t="s">
        <v>6870</v>
      </c>
      <c r="M152" s="298" t="s">
        <v>6254</v>
      </c>
      <c r="N152" s="30">
        <v>1814</v>
      </c>
      <c r="O152" s="23" t="s">
        <v>618</v>
      </c>
      <c r="P152" s="23">
        <v>1</v>
      </c>
      <c r="Q152" s="23"/>
      <c r="R152" s="23"/>
      <c r="S152" s="23" t="s">
        <v>4714</v>
      </c>
      <c r="T152" s="23" t="s">
        <v>6737</v>
      </c>
      <c r="U152" s="333" t="str">
        <f t="shared" si="2"/>
        <v>332104</v>
      </c>
      <c r="Z152" s="192"/>
      <c r="AD152" s="192"/>
    </row>
    <row r="153" spans="1:30" x14ac:dyDescent="0.25">
      <c r="A153" s="23" t="s">
        <v>5393</v>
      </c>
      <c r="B153" s="23" t="s">
        <v>5509</v>
      </c>
      <c r="C153" s="23" t="s">
        <v>617</v>
      </c>
      <c r="D153" s="23" t="s">
        <v>6717</v>
      </c>
      <c r="E153" s="23" t="s">
        <v>192</v>
      </c>
      <c r="F153" s="23">
        <v>1</v>
      </c>
      <c r="G153" s="23" t="s">
        <v>193</v>
      </c>
      <c r="H153" s="23" t="s">
        <v>194</v>
      </c>
      <c r="I153" s="23" t="s">
        <v>6718</v>
      </c>
      <c r="J153" s="23" t="s">
        <v>316</v>
      </c>
      <c r="K153" s="23">
        <v>18</v>
      </c>
      <c r="L153" s="23" t="s">
        <v>6871</v>
      </c>
      <c r="M153" s="298" t="s">
        <v>6254</v>
      </c>
      <c r="N153" s="30">
        <v>1818</v>
      </c>
      <c r="O153" s="23" t="s">
        <v>618</v>
      </c>
      <c r="P153" s="23">
        <v>1</v>
      </c>
      <c r="Q153" s="23"/>
      <c r="R153" s="23"/>
      <c r="S153" s="23" t="s">
        <v>4714</v>
      </c>
      <c r="T153" s="23" t="s">
        <v>6737</v>
      </c>
      <c r="U153" s="333" t="str">
        <f t="shared" si="2"/>
        <v>332104</v>
      </c>
      <c r="Z153" s="192"/>
      <c r="AD153" s="192"/>
    </row>
    <row r="154" spans="1:30" x14ac:dyDescent="0.25">
      <c r="A154" s="23" t="s">
        <v>5393</v>
      </c>
      <c r="B154" s="23" t="s">
        <v>5509</v>
      </c>
      <c r="C154" s="23" t="s">
        <v>617</v>
      </c>
      <c r="D154" s="23" t="s">
        <v>6717</v>
      </c>
      <c r="E154" s="23" t="s">
        <v>192</v>
      </c>
      <c r="F154" s="23">
        <v>1</v>
      </c>
      <c r="G154" s="23" t="s">
        <v>193</v>
      </c>
      <c r="H154" s="23" t="s">
        <v>194</v>
      </c>
      <c r="I154" s="23" t="s">
        <v>6718</v>
      </c>
      <c r="J154" s="23" t="s">
        <v>2131</v>
      </c>
      <c r="K154" s="23">
        <v>18</v>
      </c>
      <c r="L154" s="23" t="s">
        <v>6872</v>
      </c>
      <c r="M154" s="298" t="s">
        <v>6254</v>
      </c>
      <c r="N154" s="30">
        <v>1819</v>
      </c>
      <c r="O154" s="23" t="s">
        <v>618</v>
      </c>
      <c r="P154" s="23">
        <v>1</v>
      </c>
      <c r="Q154" s="23"/>
      <c r="R154" s="23"/>
      <c r="S154" s="23" t="s">
        <v>4714</v>
      </c>
      <c r="T154" s="23" t="s">
        <v>6737</v>
      </c>
      <c r="U154" s="333" t="str">
        <f t="shared" si="2"/>
        <v>332104</v>
      </c>
      <c r="Z154" s="192"/>
      <c r="AD154" s="192"/>
    </row>
    <row r="155" spans="1:30" x14ac:dyDescent="0.25">
      <c r="A155" s="23" t="s">
        <v>5393</v>
      </c>
      <c r="B155" s="23" t="s">
        <v>5509</v>
      </c>
      <c r="C155" s="23" t="s">
        <v>617</v>
      </c>
      <c r="D155" s="23" t="s">
        <v>6717</v>
      </c>
      <c r="E155" s="23" t="s">
        <v>192</v>
      </c>
      <c r="F155" s="23">
        <v>1</v>
      </c>
      <c r="G155" s="23" t="s">
        <v>193</v>
      </c>
      <c r="H155" s="23" t="s">
        <v>194</v>
      </c>
      <c r="I155" s="23" t="s">
        <v>6718</v>
      </c>
      <c r="J155" s="23" t="s">
        <v>408</v>
      </c>
      <c r="K155" s="23">
        <v>18</v>
      </c>
      <c r="L155" s="23" t="s">
        <v>6873</v>
      </c>
      <c r="M155" s="298" t="s">
        <v>6254</v>
      </c>
      <c r="N155" s="30">
        <v>1864</v>
      </c>
      <c r="O155" s="23" t="s">
        <v>618</v>
      </c>
      <c r="P155" s="23">
        <v>1</v>
      </c>
      <c r="Q155" s="23"/>
      <c r="R155" s="23"/>
      <c r="S155" s="23" t="s">
        <v>4714</v>
      </c>
      <c r="T155" s="23" t="s">
        <v>6737</v>
      </c>
      <c r="U155" s="333" t="str">
        <f t="shared" si="2"/>
        <v>332104</v>
      </c>
      <c r="Z155" s="192"/>
      <c r="AD155" s="192"/>
    </row>
    <row r="156" spans="1:30" x14ac:dyDescent="0.25">
      <c r="A156" s="23" t="s">
        <v>5393</v>
      </c>
      <c r="B156" s="23" t="s">
        <v>5509</v>
      </c>
      <c r="C156" s="23" t="s">
        <v>617</v>
      </c>
      <c r="D156" s="23" t="s">
        <v>6717</v>
      </c>
      <c r="E156" s="23" t="s">
        <v>192</v>
      </c>
      <c r="F156" s="23">
        <v>1</v>
      </c>
      <c r="G156" s="23" t="s">
        <v>193</v>
      </c>
      <c r="H156" s="23" t="s">
        <v>194</v>
      </c>
      <c r="I156" s="23" t="s">
        <v>6718</v>
      </c>
      <c r="J156" s="23" t="s">
        <v>259</v>
      </c>
      <c r="K156" s="23">
        <v>18</v>
      </c>
      <c r="L156" s="23" t="s">
        <v>6874</v>
      </c>
      <c r="M156" s="298" t="s">
        <v>6254</v>
      </c>
      <c r="N156" s="30">
        <v>1801</v>
      </c>
      <c r="O156" s="23" t="s">
        <v>618</v>
      </c>
      <c r="P156" s="23">
        <v>1</v>
      </c>
      <c r="Q156" s="23"/>
      <c r="R156" s="23"/>
      <c r="S156" s="23" t="s">
        <v>4714</v>
      </c>
      <c r="T156" s="23" t="s">
        <v>6737</v>
      </c>
      <c r="U156" s="333" t="str">
        <f t="shared" si="2"/>
        <v>332104</v>
      </c>
      <c r="Z156" s="192"/>
      <c r="AD156" s="192"/>
    </row>
    <row r="157" spans="1:30" x14ac:dyDescent="0.25">
      <c r="A157" s="23" t="s">
        <v>5393</v>
      </c>
      <c r="B157" s="23" t="s">
        <v>5509</v>
      </c>
      <c r="C157" s="23" t="s">
        <v>617</v>
      </c>
      <c r="D157" s="23" t="s">
        <v>6717</v>
      </c>
      <c r="E157" s="23" t="s">
        <v>192</v>
      </c>
      <c r="F157" s="23">
        <v>1</v>
      </c>
      <c r="G157" s="23" t="s">
        <v>193</v>
      </c>
      <c r="H157" s="23" t="s">
        <v>194</v>
      </c>
      <c r="I157" s="23" t="s">
        <v>6718</v>
      </c>
      <c r="J157" s="23" t="s">
        <v>4347</v>
      </c>
      <c r="K157" s="23">
        <v>18</v>
      </c>
      <c r="L157" s="23" t="s">
        <v>6875</v>
      </c>
      <c r="M157" s="298" t="s">
        <v>6254</v>
      </c>
      <c r="N157" s="30">
        <v>1817</v>
      </c>
      <c r="O157" s="23" t="s">
        <v>618</v>
      </c>
      <c r="P157" s="23">
        <v>1</v>
      </c>
      <c r="Q157" s="23"/>
      <c r="R157" s="23"/>
      <c r="S157" s="23" t="s">
        <v>4714</v>
      </c>
      <c r="T157" s="23" t="s">
        <v>6737</v>
      </c>
      <c r="U157" s="333" t="str">
        <f t="shared" si="2"/>
        <v>332104</v>
      </c>
      <c r="Z157" s="192"/>
      <c r="AD157" s="192"/>
    </row>
    <row r="158" spans="1:30" x14ac:dyDescent="0.25">
      <c r="A158" s="23" t="s">
        <v>5393</v>
      </c>
      <c r="B158" s="23" t="s">
        <v>5509</v>
      </c>
      <c r="C158" s="23" t="s">
        <v>617</v>
      </c>
      <c r="D158" s="23" t="s">
        <v>6717</v>
      </c>
      <c r="E158" s="23" t="s">
        <v>192</v>
      </c>
      <c r="F158" s="23">
        <v>1</v>
      </c>
      <c r="G158" s="23" t="s">
        <v>193</v>
      </c>
      <c r="H158" s="23" t="s">
        <v>194</v>
      </c>
      <c r="I158" s="23" t="s">
        <v>6718</v>
      </c>
      <c r="J158" s="23" t="s">
        <v>6653</v>
      </c>
      <c r="K158" s="23">
        <v>18</v>
      </c>
      <c r="L158" s="23" t="s">
        <v>6876</v>
      </c>
      <c r="M158" s="298" t="s">
        <v>6254</v>
      </c>
      <c r="N158" s="30">
        <v>1812</v>
      </c>
      <c r="O158" s="23" t="s">
        <v>618</v>
      </c>
      <c r="P158" s="23">
        <v>1</v>
      </c>
      <c r="Q158" s="23"/>
      <c r="R158" s="23"/>
      <c r="S158" s="23" t="s">
        <v>4714</v>
      </c>
      <c r="T158" s="23" t="s">
        <v>6737</v>
      </c>
      <c r="U158" s="333" t="str">
        <f t="shared" si="2"/>
        <v>332104</v>
      </c>
      <c r="Z158" s="192"/>
      <c r="AD158" s="192"/>
    </row>
    <row r="159" spans="1:30" x14ac:dyDescent="0.25">
      <c r="A159" s="23" t="s">
        <v>5393</v>
      </c>
      <c r="B159" s="23" t="s">
        <v>5509</v>
      </c>
      <c r="C159" s="23" t="s">
        <v>617</v>
      </c>
      <c r="D159" s="23" t="s">
        <v>6717</v>
      </c>
      <c r="E159" s="23" t="s">
        <v>192</v>
      </c>
      <c r="F159" s="23">
        <v>1</v>
      </c>
      <c r="G159" s="23" t="s">
        <v>193</v>
      </c>
      <c r="H159" s="23" t="s">
        <v>194</v>
      </c>
      <c r="I159" s="23" t="s">
        <v>6718</v>
      </c>
      <c r="J159" s="23" t="s">
        <v>2607</v>
      </c>
      <c r="K159" s="23">
        <v>18</v>
      </c>
      <c r="L159" s="23" t="s">
        <v>6877</v>
      </c>
      <c r="M159" s="298" t="s">
        <v>6254</v>
      </c>
      <c r="N159" s="30">
        <v>1805</v>
      </c>
      <c r="O159" s="23" t="s">
        <v>618</v>
      </c>
      <c r="P159" s="23">
        <v>1</v>
      </c>
      <c r="Q159" s="23"/>
      <c r="R159" s="23"/>
      <c r="S159" s="23" t="s">
        <v>4714</v>
      </c>
      <c r="T159" s="23" t="s">
        <v>6737</v>
      </c>
      <c r="U159" s="333" t="str">
        <f t="shared" si="2"/>
        <v>332104</v>
      </c>
      <c r="Z159" s="192"/>
      <c r="AD159" s="192"/>
    </row>
    <row r="160" spans="1:30" x14ac:dyDescent="0.25">
      <c r="A160" s="23" t="s">
        <v>5393</v>
      </c>
      <c r="B160" s="23" t="s">
        <v>5509</v>
      </c>
      <c r="C160" s="23" t="s">
        <v>617</v>
      </c>
      <c r="D160" s="23" t="s">
        <v>6717</v>
      </c>
      <c r="E160" s="23" t="s">
        <v>192</v>
      </c>
      <c r="F160" s="23">
        <v>1</v>
      </c>
      <c r="G160" s="23" t="s">
        <v>193</v>
      </c>
      <c r="H160" s="23" t="s">
        <v>194</v>
      </c>
      <c r="I160" s="23" t="s">
        <v>6718</v>
      </c>
      <c r="J160" s="23" t="s">
        <v>6878</v>
      </c>
      <c r="K160" s="23">
        <v>18</v>
      </c>
      <c r="L160" s="23" t="s">
        <v>6879</v>
      </c>
      <c r="M160" s="298" t="s">
        <v>6254</v>
      </c>
      <c r="N160" s="30">
        <v>1811</v>
      </c>
      <c r="O160" s="23" t="s">
        <v>618</v>
      </c>
      <c r="P160" s="23">
        <v>1</v>
      </c>
      <c r="Q160" s="23"/>
      <c r="R160" s="23"/>
      <c r="S160" s="23" t="s">
        <v>4714</v>
      </c>
      <c r="T160" s="23" t="s">
        <v>6737</v>
      </c>
      <c r="U160" s="333" t="str">
        <f t="shared" si="2"/>
        <v>332104</v>
      </c>
      <c r="Z160" s="192"/>
      <c r="AD160" s="192"/>
    </row>
    <row r="161" spans="1:30" x14ac:dyDescent="0.25">
      <c r="A161" s="23" t="s">
        <v>5393</v>
      </c>
      <c r="B161" s="23" t="s">
        <v>5509</v>
      </c>
      <c r="C161" s="23" t="s">
        <v>617</v>
      </c>
      <c r="D161" s="23" t="s">
        <v>6717</v>
      </c>
      <c r="E161" s="23" t="s">
        <v>192</v>
      </c>
      <c r="F161" s="23">
        <v>1</v>
      </c>
      <c r="G161" s="23" t="s">
        <v>193</v>
      </c>
      <c r="H161" s="23" t="s">
        <v>194</v>
      </c>
      <c r="I161" s="23" t="s">
        <v>6718</v>
      </c>
      <c r="J161" s="23" t="s">
        <v>6880</v>
      </c>
      <c r="K161" s="23">
        <v>18</v>
      </c>
      <c r="L161" s="23" t="s">
        <v>6881</v>
      </c>
      <c r="M161" s="298" t="s">
        <v>6254</v>
      </c>
      <c r="N161" s="30">
        <v>1818</v>
      </c>
      <c r="O161" s="23" t="s">
        <v>618</v>
      </c>
      <c r="P161" s="23">
        <v>1</v>
      </c>
      <c r="Q161" s="23"/>
      <c r="R161" s="23"/>
      <c r="S161" s="23" t="s">
        <v>4714</v>
      </c>
      <c r="T161" s="23" t="s">
        <v>6737</v>
      </c>
      <c r="U161" s="333" t="str">
        <f t="shared" si="2"/>
        <v>332104</v>
      </c>
      <c r="Z161" s="192"/>
      <c r="AD161" s="192"/>
    </row>
    <row r="162" spans="1:30" x14ac:dyDescent="0.25">
      <c r="A162" s="23" t="s">
        <v>4022</v>
      </c>
      <c r="B162" s="23" t="s">
        <v>6882</v>
      </c>
      <c r="C162" s="23" t="s">
        <v>3438</v>
      </c>
      <c r="D162" s="23" t="s">
        <v>6717</v>
      </c>
      <c r="E162" s="23" t="s">
        <v>217</v>
      </c>
      <c r="F162" s="23">
        <v>1</v>
      </c>
      <c r="G162" s="23" t="s">
        <v>194</v>
      </c>
      <c r="H162" s="23" t="s">
        <v>193</v>
      </c>
      <c r="I162" s="23" t="s">
        <v>6723</v>
      </c>
      <c r="J162" s="23" t="s">
        <v>6883</v>
      </c>
      <c r="K162" s="23">
        <v>18</v>
      </c>
      <c r="L162" s="23" t="s">
        <v>6884</v>
      </c>
      <c r="M162" s="298" t="s">
        <v>6286</v>
      </c>
      <c r="N162" s="30"/>
      <c r="O162" s="23" t="s">
        <v>3439</v>
      </c>
      <c r="P162" s="23">
        <v>0</v>
      </c>
      <c r="Q162" s="23" t="s">
        <v>4903</v>
      </c>
      <c r="R162" s="23" t="s">
        <v>4904</v>
      </c>
      <c r="S162" s="23" t="s">
        <v>4714</v>
      </c>
      <c r="T162" s="23" t="s">
        <v>6548</v>
      </c>
      <c r="U162" s="333" t="str">
        <f t="shared" si="2"/>
        <v>334306</v>
      </c>
      <c r="Z162" s="192"/>
      <c r="AD162" s="192"/>
    </row>
    <row r="163" spans="1:30" x14ac:dyDescent="0.25">
      <c r="A163" s="23" t="s">
        <v>247</v>
      </c>
      <c r="B163" s="23" t="s">
        <v>6885</v>
      </c>
      <c r="C163" s="23" t="s">
        <v>74</v>
      </c>
      <c r="D163" s="23" t="s">
        <v>6717</v>
      </c>
      <c r="E163" s="23" t="s">
        <v>192</v>
      </c>
      <c r="F163" s="23">
        <v>1</v>
      </c>
      <c r="G163" s="23" t="s">
        <v>193</v>
      </c>
      <c r="H163" s="23" t="s">
        <v>194</v>
      </c>
      <c r="I163" s="23" t="s">
        <v>6718</v>
      </c>
      <c r="J163" s="23" t="s">
        <v>305</v>
      </c>
      <c r="K163" s="23">
        <v>18</v>
      </c>
      <c r="L163" s="23" t="s">
        <v>6886</v>
      </c>
      <c r="M163" s="298" t="s">
        <v>6249</v>
      </c>
      <c r="N163" s="30">
        <v>1814</v>
      </c>
      <c r="O163" s="23" t="s">
        <v>246</v>
      </c>
      <c r="P163" s="23">
        <v>1</v>
      </c>
      <c r="Q163" s="23"/>
      <c r="R163" s="23"/>
      <c r="S163" s="23" t="s">
        <v>4714</v>
      </c>
      <c r="T163" s="23" t="s">
        <v>6728</v>
      </c>
      <c r="U163" s="333" t="str">
        <f t="shared" si="2"/>
        <v>142004</v>
      </c>
      <c r="Z163" s="192"/>
      <c r="AD163" s="192"/>
    </row>
    <row r="164" spans="1:30" x14ac:dyDescent="0.25">
      <c r="A164" s="23" t="s">
        <v>5359</v>
      </c>
      <c r="B164" s="23" t="s">
        <v>6887</v>
      </c>
      <c r="C164" s="23" t="s">
        <v>74</v>
      </c>
      <c r="D164" s="23" t="s">
        <v>6717</v>
      </c>
      <c r="E164" s="23" t="s">
        <v>233</v>
      </c>
      <c r="F164" s="23">
        <v>1</v>
      </c>
      <c r="G164" s="23" t="s">
        <v>193</v>
      </c>
      <c r="H164" s="23" t="s">
        <v>194</v>
      </c>
      <c r="I164" s="23" t="s">
        <v>6718</v>
      </c>
      <c r="J164" s="23" t="s">
        <v>1977</v>
      </c>
      <c r="K164" s="23">
        <v>18</v>
      </c>
      <c r="L164" s="23" t="s">
        <v>6888</v>
      </c>
      <c r="M164" s="298" t="s">
        <v>6249</v>
      </c>
      <c r="N164" s="30">
        <v>1808</v>
      </c>
      <c r="O164" s="23" t="s">
        <v>246</v>
      </c>
      <c r="P164" s="23">
        <v>1</v>
      </c>
      <c r="Q164" s="23" t="s">
        <v>5361</v>
      </c>
      <c r="R164" s="23"/>
      <c r="S164" s="23" t="s">
        <v>4714</v>
      </c>
      <c r="T164" s="23" t="s">
        <v>6793</v>
      </c>
      <c r="U164" s="333" t="str">
        <f t="shared" si="2"/>
        <v>142004</v>
      </c>
      <c r="Z164" s="192"/>
      <c r="AD164" s="192"/>
    </row>
    <row r="165" spans="1:30" x14ac:dyDescent="0.25">
      <c r="A165" s="23" t="s">
        <v>5359</v>
      </c>
      <c r="B165" s="23" t="s">
        <v>6887</v>
      </c>
      <c r="C165" s="23" t="s">
        <v>74</v>
      </c>
      <c r="D165" s="23" t="s">
        <v>6717</v>
      </c>
      <c r="E165" s="23" t="s">
        <v>233</v>
      </c>
      <c r="F165" s="23">
        <v>1</v>
      </c>
      <c r="G165" s="23" t="s">
        <v>193</v>
      </c>
      <c r="H165" s="23" t="s">
        <v>194</v>
      </c>
      <c r="I165" s="23" t="s">
        <v>6718</v>
      </c>
      <c r="J165" s="23" t="s">
        <v>755</v>
      </c>
      <c r="K165" s="23">
        <v>18</v>
      </c>
      <c r="L165" s="23" t="s">
        <v>6889</v>
      </c>
      <c r="M165" s="298" t="s">
        <v>6249</v>
      </c>
      <c r="N165" s="30">
        <v>1816</v>
      </c>
      <c r="O165" s="23" t="s">
        <v>246</v>
      </c>
      <c r="P165" s="23">
        <v>1</v>
      </c>
      <c r="Q165" s="23" t="s">
        <v>5361</v>
      </c>
      <c r="R165" s="23"/>
      <c r="S165" s="23" t="s">
        <v>4714</v>
      </c>
      <c r="T165" s="23" t="s">
        <v>6793</v>
      </c>
      <c r="U165" s="333" t="str">
        <f t="shared" si="2"/>
        <v>142004</v>
      </c>
      <c r="Z165" s="192"/>
      <c r="AD165" s="192"/>
    </row>
    <row r="166" spans="1:30" x14ac:dyDescent="0.25">
      <c r="A166" s="23" t="s">
        <v>5359</v>
      </c>
      <c r="B166" s="23" t="s">
        <v>6890</v>
      </c>
      <c r="C166" s="23" t="s">
        <v>740</v>
      </c>
      <c r="D166" s="23" t="s">
        <v>6717</v>
      </c>
      <c r="E166" s="23" t="s">
        <v>233</v>
      </c>
      <c r="F166" s="23">
        <v>1</v>
      </c>
      <c r="G166" s="23" t="s">
        <v>193</v>
      </c>
      <c r="H166" s="23" t="s">
        <v>194</v>
      </c>
      <c r="I166" s="23" t="s">
        <v>6718</v>
      </c>
      <c r="J166" s="23" t="s">
        <v>4799</v>
      </c>
      <c r="K166" s="23">
        <v>18</v>
      </c>
      <c r="L166" s="23" t="s">
        <v>6891</v>
      </c>
      <c r="M166" s="298" t="s">
        <v>6249</v>
      </c>
      <c r="N166" s="30">
        <v>1811</v>
      </c>
      <c r="O166" s="23" t="s">
        <v>741</v>
      </c>
      <c r="P166" s="23">
        <v>1</v>
      </c>
      <c r="Q166" s="23" t="s">
        <v>6893</v>
      </c>
      <c r="R166" s="23"/>
      <c r="S166" s="23" t="s">
        <v>4714</v>
      </c>
      <c r="T166" s="23" t="s">
        <v>6892</v>
      </c>
      <c r="U166" s="333" t="str">
        <f t="shared" si="2"/>
        <v>522301</v>
      </c>
      <c r="Z166" s="192"/>
      <c r="AD166" s="192"/>
    </row>
    <row r="167" spans="1:30" x14ac:dyDescent="0.25">
      <c r="A167" s="23" t="s">
        <v>5359</v>
      </c>
      <c r="B167" s="23" t="s">
        <v>6890</v>
      </c>
      <c r="C167" s="23" t="s">
        <v>740</v>
      </c>
      <c r="D167" s="23" t="s">
        <v>6717</v>
      </c>
      <c r="E167" s="23" t="s">
        <v>233</v>
      </c>
      <c r="F167" s="23">
        <v>1</v>
      </c>
      <c r="G167" s="23" t="s">
        <v>193</v>
      </c>
      <c r="H167" s="23" t="s">
        <v>194</v>
      </c>
      <c r="I167" s="23" t="s">
        <v>6718</v>
      </c>
      <c r="J167" s="23" t="s">
        <v>1977</v>
      </c>
      <c r="K167" s="23">
        <v>18</v>
      </c>
      <c r="L167" s="23" t="s">
        <v>6894</v>
      </c>
      <c r="M167" s="298" t="s">
        <v>6249</v>
      </c>
      <c r="N167" s="30">
        <v>1808</v>
      </c>
      <c r="O167" s="23" t="s">
        <v>741</v>
      </c>
      <c r="P167" s="23">
        <v>1</v>
      </c>
      <c r="Q167" s="23" t="s">
        <v>6893</v>
      </c>
      <c r="R167" s="23"/>
      <c r="S167" s="23" t="s">
        <v>4714</v>
      </c>
      <c r="T167" s="23" t="s">
        <v>6793</v>
      </c>
      <c r="U167" s="333" t="str">
        <f t="shared" si="2"/>
        <v>522301</v>
      </c>
      <c r="Z167" s="192"/>
      <c r="AD167" s="192"/>
    </row>
    <row r="168" spans="1:30" x14ac:dyDescent="0.25">
      <c r="A168" s="23" t="s">
        <v>5359</v>
      </c>
      <c r="B168" s="23" t="s">
        <v>6890</v>
      </c>
      <c r="C168" s="23" t="s">
        <v>740</v>
      </c>
      <c r="D168" s="23" t="s">
        <v>6717</v>
      </c>
      <c r="E168" s="23" t="s">
        <v>233</v>
      </c>
      <c r="F168" s="23">
        <v>1</v>
      </c>
      <c r="G168" s="23" t="s">
        <v>193</v>
      </c>
      <c r="H168" s="23" t="s">
        <v>194</v>
      </c>
      <c r="I168" s="23" t="s">
        <v>6718</v>
      </c>
      <c r="J168" s="23" t="s">
        <v>755</v>
      </c>
      <c r="K168" s="23">
        <v>18</v>
      </c>
      <c r="L168" s="23" t="s">
        <v>6895</v>
      </c>
      <c r="M168" s="298" t="s">
        <v>6249</v>
      </c>
      <c r="N168" s="30">
        <v>1816</v>
      </c>
      <c r="O168" s="23" t="s">
        <v>741</v>
      </c>
      <c r="P168" s="23">
        <v>1</v>
      </c>
      <c r="Q168" s="23" t="s">
        <v>6893</v>
      </c>
      <c r="R168" s="23"/>
      <c r="S168" s="23" t="s">
        <v>4714</v>
      </c>
      <c r="T168" s="23" t="s">
        <v>6793</v>
      </c>
      <c r="U168" s="333" t="str">
        <f t="shared" si="2"/>
        <v>522301</v>
      </c>
      <c r="Z168" s="192"/>
      <c r="AD168" s="192"/>
    </row>
    <row r="169" spans="1:30" x14ac:dyDescent="0.25">
      <c r="A169" s="23" t="s">
        <v>5359</v>
      </c>
      <c r="B169" s="23" t="s">
        <v>6896</v>
      </c>
      <c r="C169" s="23" t="s">
        <v>74</v>
      </c>
      <c r="D169" s="23" t="s">
        <v>6717</v>
      </c>
      <c r="E169" s="23" t="s">
        <v>233</v>
      </c>
      <c r="F169" s="23">
        <v>1</v>
      </c>
      <c r="G169" s="23" t="s">
        <v>193</v>
      </c>
      <c r="H169" s="23" t="s">
        <v>194</v>
      </c>
      <c r="I169" s="23" t="s">
        <v>6718</v>
      </c>
      <c r="J169" s="23" t="s">
        <v>755</v>
      </c>
      <c r="K169" s="23">
        <v>18</v>
      </c>
      <c r="L169" s="23" t="s">
        <v>6897</v>
      </c>
      <c r="M169" s="298" t="s">
        <v>6277</v>
      </c>
      <c r="N169" s="30">
        <v>1816</v>
      </c>
      <c r="O169" s="23" t="s">
        <v>246</v>
      </c>
      <c r="P169" s="23">
        <v>1</v>
      </c>
      <c r="Q169" s="23" t="s">
        <v>6898</v>
      </c>
      <c r="R169" s="23"/>
      <c r="S169" s="23" t="s">
        <v>4714</v>
      </c>
      <c r="T169" s="23" t="s">
        <v>6793</v>
      </c>
      <c r="U169" s="333" t="str">
        <f t="shared" si="2"/>
        <v>142004</v>
      </c>
      <c r="Z169" s="192"/>
      <c r="AD169" s="192"/>
    </row>
    <row r="170" spans="1:30" x14ac:dyDescent="0.25">
      <c r="A170" s="23" t="s">
        <v>5359</v>
      </c>
      <c r="B170" s="23" t="s">
        <v>6896</v>
      </c>
      <c r="C170" s="23" t="s">
        <v>74</v>
      </c>
      <c r="D170" s="23" t="s">
        <v>6717</v>
      </c>
      <c r="E170" s="23" t="s">
        <v>233</v>
      </c>
      <c r="F170" s="23">
        <v>1</v>
      </c>
      <c r="G170" s="23" t="s">
        <v>193</v>
      </c>
      <c r="H170" s="23" t="s">
        <v>194</v>
      </c>
      <c r="I170" s="23" t="s">
        <v>6718</v>
      </c>
      <c r="J170" s="23" t="s">
        <v>1977</v>
      </c>
      <c r="K170" s="23">
        <v>18</v>
      </c>
      <c r="L170" s="23" t="s">
        <v>6899</v>
      </c>
      <c r="M170" s="298" t="s">
        <v>6277</v>
      </c>
      <c r="N170" s="30">
        <v>1808</v>
      </c>
      <c r="O170" s="23" t="s">
        <v>246</v>
      </c>
      <c r="P170" s="23">
        <v>1</v>
      </c>
      <c r="Q170" s="23" t="s">
        <v>6898</v>
      </c>
      <c r="R170" s="23"/>
      <c r="S170" s="23" t="s">
        <v>4714</v>
      </c>
      <c r="T170" s="23" t="s">
        <v>6793</v>
      </c>
      <c r="U170" s="333" t="str">
        <f t="shared" si="2"/>
        <v>142004</v>
      </c>
      <c r="Z170" s="192"/>
      <c r="AD170" s="192"/>
    </row>
    <row r="171" spans="1:30" x14ac:dyDescent="0.25">
      <c r="A171" s="23" t="s">
        <v>2259</v>
      </c>
      <c r="B171" s="23" t="s">
        <v>6900</v>
      </c>
      <c r="C171" s="23" t="s">
        <v>10</v>
      </c>
      <c r="D171" s="23" t="s">
        <v>6717</v>
      </c>
      <c r="E171" s="23" t="s">
        <v>233</v>
      </c>
      <c r="F171" s="23">
        <v>1</v>
      </c>
      <c r="G171" s="23" t="s">
        <v>193</v>
      </c>
      <c r="H171" s="23" t="s">
        <v>194</v>
      </c>
      <c r="I171" s="23" t="s">
        <v>6723</v>
      </c>
      <c r="J171" s="23" t="s">
        <v>210</v>
      </c>
      <c r="K171" s="23">
        <v>18</v>
      </c>
      <c r="L171" s="23" t="s">
        <v>6901</v>
      </c>
      <c r="M171" s="298" t="s">
        <v>6261</v>
      </c>
      <c r="N171" s="30">
        <v>1863</v>
      </c>
      <c r="O171" s="23" t="s">
        <v>484</v>
      </c>
      <c r="P171" s="23">
        <v>1</v>
      </c>
      <c r="Q171" s="23" t="s">
        <v>6902</v>
      </c>
      <c r="R171" s="23"/>
      <c r="S171" s="23" t="s">
        <v>4714</v>
      </c>
      <c r="T171" s="23" t="s">
        <v>6737</v>
      </c>
      <c r="U171" s="333" t="str">
        <f t="shared" si="2"/>
        <v>251401</v>
      </c>
      <c r="Z171" s="192"/>
      <c r="AD171" s="192"/>
    </row>
    <row r="172" spans="1:30" x14ac:dyDescent="0.25">
      <c r="A172" s="23" t="s">
        <v>1574</v>
      </c>
      <c r="B172" s="23" t="s">
        <v>6903</v>
      </c>
      <c r="C172" s="23" t="s">
        <v>74</v>
      </c>
      <c r="D172" s="23" t="s">
        <v>6717</v>
      </c>
      <c r="E172" s="23" t="s">
        <v>233</v>
      </c>
      <c r="F172" s="23">
        <v>1</v>
      </c>
      <c r="G172" s="23" t="s">
        <v>193</v>
      </c>
      <c r="H172" s="23" t="s">
        <v>194</v>
      </c>
      <c r="I172" s="23" t="s">
        <v>6723</v>
      </c>
      <c r="J172" s="23" t="s">
        <v>6904</v>
      </c>
      <c r="K172" s="23">
        <v>18</v>
      </c>
      <c r="L172" s="23" t="s">
        <v>6905</v>
      </c>
      <c r="M172" s="298" t="s">
        <v>6277</v>
      </c>
      <c r="N172" s="30">
        <v>1821</v>
      </c>
      <c r="O172" s="23" t="s">
        <v>246</v>
      </c>
      <c r="P172" s="23">
        <v>1</v>
      </c>
      <c r="Q172" s="23" t="s">
        <v>6906</v>
      </c>
      <c r="R172" s="23"/>
      <c r="S172" s="23" t="s">
        <v>4714</v>
      </c>
      <c r="T172" s="23" t="s">
        <v>6774</v>
      </c>
      <c r="U172" s="333" t="str">
        <f t="shared" si="2"/>
        <v>142004</v>
      </c>
      <c r="Z172" s="192"/>
      <c r="AD172" s="192"/>
    </row>
    <row r="173" spans="1:30" x14ac:dyDescent="0.25">
      <c r="A173" s="23" t="s">
        <v>271</v>
      </c>
      <c r="B173" s="23" t="s">
        <v>6907</v>
      </c>
      <c r="C173" s="23" t="s">
        <v>100</v>
      </c>
      <c r="D173" s="23" t="s">
        <v>6717</v>
      </c>
      <c r="E173" s="23" t="s">
        <v>192</v>
      </c>
      <c r="F173" s="23">
        <v>1</v>
      </c>
      <c r="G173" s="23" t="s">
        <v>193</v>
      </c>
      <c r="H173" s="23" t="s">
        <v>194</v>
      </c>
      <c r="I173" s="23" t="s">
        <v>6723</v>
      </c>
      <c r="J173" s="23" t="s">
        <v>276</v>
      </c>
      <c r="K173" s="23">
        <v>18</v>
      </c>
      <c r="L173" s="23" t="s">
        <v>6908</v>
      </c>
      <c r="M173" s="298" t="s">
        <v>6254</v>
      </c>
      <c r="N173" s="30">
        <v>1803</v>
      </c>
      <c r="O173" s="23" t="s">
        <v>429</v>
      </c>
      <c r="P173" s="23">
        <v>1</v>
      </c>
      <c r="Q173" s="23"/>
      <c r="R173" s="23"/>
      <c r="S173" s="23" t="s">
        <v>4714</v>
      </c>
      <c r="T173" s="23" t="s">
        <v>6728</v>
      </c>
      <c r="U173" s="333" t="str">
        <f t="shared" si="2"/>
        <v>242108</v>
      </c>
      <c r="Z173" s="192"/>
      <c r="AD173" s="192"/>
    </row>
    <row r="174" spans="1:30" x14ac:dyDescent="0.25">
      <c r="A174" s="23" t="s">
        <v>6909</v>
      </c>
      <c r="B174" s="23" t="s">
        <v>6910</v>
      </c>
      <c r="C174" s="23" t="s">
        <v>6911</v>
      </c>
      <c r="D174" s="23" t="s">
        <v>6717</v>
      </c>
      <c r="E174" s="23" t="s">
        <v>252</v>
      </c>
      <c r="F174" s="23">
        <v>1</v>
      </c>
      <c r="G174" s="23" t="s">
        <v>193</v>
      </c>
      <c r="H174" s="23" t="s">
        <v>194</v>
      </c>
      <c r="I174" s="23" t="s">
        <v>6718</v>
      </c>
      <c r="J174" s="23" t="s">
        <v>6912</v>
      </c>
      <c r="K174" s="23">
        <v>18</v>
      </c>
      <c r="L174" s="23" t="s">
        <v>6913</v>
      </c>
      <c r="M174" s="298" t="s">
        <v>6269</v>
      </c>
      <c r="N174" s="30">
        <v>1821</v>
      </c>
      <c r="O174" s="23" t="s">
        <v>6914</v>
      </c>
      <c r="P174" s="23">
        <v>1</v>
      </c>
      <c r="Q174" s="23"/>
      <c r="R174" s="23"/>
      <c r="S174" s="23" t="s">
        <v>4714</v>
      </c>
      <c r="T174" s="23" t="s">
        <v>6779</v>
      </c>
      <c r="U174" s="333" t="str">
        <f t="shared" si="2"/>
        <v>513202</v>
      </c>
      <c r="Z174" s="192"/>
      <c r="AD174" s="192"/>
    </row>
    <row r="175" spans="1:30" x14ac:dyDescent="0.25">
      <c r="A175" s="23" t="s">
        <v>6915</v>
      </c>
      <c r="B175" s="23" t="s">
        <v>6916</v>
      </c>
      <c r="C175" s="23" t="s">
        <v>1379</v>
      </c>
      <c r="D175" s="23" t="s">
        <v>6717</v>
      </c>
      <c r="E175" s="23" t="s">
        <v>217</v>
      </c>
      <c r="F175" s="23">
        <v>1</v>
      </c>
      <c r="G175" s="23" t="s">
        <v>193</v>
      </c>
      <c r="H175" s="23" t="s">
        <v>194</v>
      </c>
      <c r="I175" s="23" t="s">
        <v>6718</v>
      </c>
      <c r="J175" s="23" t="s">
        <v>6917</v>
      </c>
      <c r="K175" s="23">
        <v>18</v>
      </c>
      <c r="L175" s="23" t="s">
        <v>6918</v>
      </c>
      <c r="M175" s="298" t="s">
        <v>6258</v>
      </c>
      <c r="N175" s="30">
        <v>1816</v>
      </c>
      <c r="O175" s="23" t="s">
        <v>1380</v>
      </c>
      <c r="P175" s="23">
        <v>1</v>
      </c>
      <c r="Q175" s="23" t="s">
        <v>6920</v>
      </c>
      <c r="R175" s="23" t="s">
        <v>4904</v>
      </c>
      <c r="S175" s="23" t="s">
        <v>4714</v>
      </c>
      <c r="T175" s="23" t="s">
        <v>6919</v>
      </c>
      <c r="U175" s="333" t="str">
        <f t="shared" si="2"/>
        <v>713201</v>
      </c>
      <c r="Z175" s="192"/>
      <c r="AD175" s="192"/>
    </row>
    <row r="176" spans="1:30" x14ac:dyDescent="0.25">
      <c r="A176" s="295"/>
      <c r="B176" s="295"/>
      <c r="C176" s="295"/>
      <c r="D176" s="295"/>
      <c r="E176" s="295"/>
      <c r="F176" s="294"/>
      <c r="G176" s="296"/>
      <c r="H176" s="294"/>
      <c r="I176" s="294"/>
      <c r="J176" s="295"/>
      <c r="K176" s="294"/>
      <c r="L176" s="295"/>
      <c r="M176" s="295"/>
      <c r="N176" s="294"/>
      <c r="O176" s="294"/>
      <c r="P176" s="294"/>
      <c r="Q176" s="294"/>
      <c r="R176" s="294"/>
      <c r="S176" s="295"/>
      <c r="T176" s="294"/>
      <c r="U176" s="335"/>
      <c r="Z176" s="192"/>
      <c r="AD176" s="192"/>
    </row>
    <row r="177" spans="1:30" x14ac:dyDescent="0.25">
      <c r="A177" s="295"/>
      <c r="B177" s="295"/>
      <c r="C177" s="295"/>
      <c r="D177" s="295"/>
      <c r="E177" s="295"/>
      <c r="F177" s="294"/>
      <c r="G177" s="296"/>
      <c r="H177" s="294"/>
      <c r="I177" s="294"/>
      <c r="J177" s="295"/>
      <c r="K177" s="294"/>
      <c r="L177" s="295"/>
      <c r="M177" s="295"/>
      <c r="N177" s="294"/>
      <c r="O177" s="294"/>
      <c r="P177" s="294"/>
      <c r="Q177" s="294"/>
      <c r="R177" s="294"/>
      <c r="S177" s="295"/>
      <c r="T177" s="294"/>
      <c r="U177" s="335"/>
      <c r="Z177" s="192"/>
      <c r="AD177" s="192"/>
    </row>
    <row r="178" spans="1:30" x14ac:dyDescent="0.25">
      <c r="A178" s="295"/>
      <c r="B178" s="295"/>
      <c r="C178" s="295"/>
      <c r="D178" s="295"/>
      <c r="E178" s="295"/>
      <c r="F178" s="294"/>
      <c r="G178" s="296"/>
      <c r="H178" s="294"/>
      <c r="I178" s="294"/>
      <c r="J178" s="295"/>
      <c r="K178" s="294"/>
      <c r="L178" s="295"/>
      <c r="M178" s="295"/>
      <c r="N178" s="294"/>
      <c r="O178" s="294"/>
      <c r="P178" s="294"/>
      <c r="Q178" s="294"/>
      <c r="R178" s="294"/>
      <c r="S178" s="295"/>
      <c r="T178" s="294"/>
      <c r="U178" s="335"/>
      <c r="Z178" s="192"/>
      <c r="AD178" s="192"/>
    </row>
    <row r="179" spans="1:30" x14ac:dyDescent="0.25">
      <c r="A179" s="295"/>
      <c r="B179" s="295"/>
      <c r="C179" s="295"/>
      <c r="D179" s="295"/>
      <c r="E179" s="295"/>
      <c r="F179" s="294"/>
      <c r="G179" s="296"/>
      <c r="H179" s="294"/>
      <c r="I179" s="294"/>
      <c r="J179" s="295"/>
      <c r="K179" s="294"/>
      <c r="L179" s="295"/>
      <c r="M179" s="295"/>
      <c r="N179" s="294"/>
      <c r="O179" s="294"/>
      <c r="P179" s="294"/>
      <c r="Q179" s="294"/>
      <c r="R179" s="294"/>
      <c r="S179" s="295"/>
      <c r="T179" s="294"/>
      <c r="U179" s="335"/>
      <c r="Z179" s="192"/>
      <c r="AD179" s="192"/>
    </row>
    <row r="180" spans="1:30" x14ac:dyDescent="0.25">
      <c r="A180" s="295"/>
      <c r="B180" s="295"/>
      <c r="C180" s="295"/>
      <c r="D180" s="295"/>
      <c r="E180" s="295"/>
      <c r="F180" s="294"/>
      <c r="G180" s="296"/>
      <c r="H180" s="294"/>
      <c r="I180" s="294"/>
      <c r="J180" s="295"/>
      <c r="K180" s="294"/>
      <c r="L180" s="295"/>
      <c r="M180" s="295"/>
      <c r="N180" s="294"/>
      <c r="O180" s="294"/>
      <c r="P180" s="294"/>
      <c r="Q180" s="294"/>
      <c r="R180" s="294"/>
      <c r="S180" s="295"/>
      <c r="T180" s="294"/>
      <c r="U180" s="335"/>
      <c r="Z180" s="192"/>
      <c r="AD180" s="192"/>
    </row>
    <row r="181" spans="1:30" x14ac:dyDescent="0.25">
      <c r="A181" s="295"/>
      <c r="B181" s="295"/>
      <c r="C181" s="295"/>
      <c r="D181" s="295"/>
      <c r="E181" s="295"/>
      <c r="F181" s="294"/>
      <c r="G181" s="296"/>
      <c r="H181" s="294"/>
      <c r="I181" s="294"/>
      <c r="J181" s="295"/>
      <c r="K181" s="294"/>
      <c r="L181" s="295"/>
      <c r="M181" s="295"/>
      <c r="N181" s="294"/>
      <c r="O181" s="294"/>
      <c r="P181" s="294"/>
      <c r="Q181" s="294"/>
      <c r="R181" s="294"/>
      <c r="S181" s="295"/>
      <c r="T181" s="294"/>
      <c r="U181" s="335"/>
      <c r="Z181" s="192"/>
      <c r="AD181" s="192"/>
    </row>
    <row r="182" spans="1:30" x14ac:dyDescent="0.25">
      <c r="A182" s="295"/>
      <c r="B182" s="295"/>
      <c r="C182" s="295"/>
      <c r="D182" s="295"/>
      <c r="E182" s="295"/>
      <c r="F182" s="294"/>
      <c r="G182" s="296"/>
      <c r="H182" s="294"/>
      <c r="I182" s="294"/>
      <c r="J182" s="295"/>
      <c r="K182" s="294"/>
      <c r="L182" s="295"/>
      <c r="M182" s="295"/>
      <c r="N182" s="294"/>
      <c r="O182" s="294"/>
      <c r="P182" s="294"/>
      <c r="Q182" s="294"/>
      <c r="R182" s="294"/>
      <c r="S182" s="295"/>
      <c r="T182" s="294"/>
      <c r="U182" s="335"/>
      <c r="Z182" s="192"/>
      <c r="AD182" s="192"/>
    </row>
    <row r="183" spans="1:30" x14ac:dyDescent="0.25">
      <c r="A183" s="295"/>
      <c r="B183" s="295"/>
      <c r="C183" s="295"/>
      <c r="D183" s="295"/>
      <c r="E183" s="295"/>
      <c r="F183" s="294"/>
      <c r="G183" s="296"/>
      <c r="H183" s="294"/>
      <c r="I183" s="294"/>
      <c r="J183" s="295"/>
      <c r="K183" s="294"/>
      <c r="L183" s="295"/>
      <c r="M183" s="295"/>
      <c r="N183" s="294"/>
      <c r="O183" s="294"/>
      <c r="P183" s="294"/>
      <c r="Q183" s="294"/>
      <c r="R183" s="294"/>
      <c r="S183" s="295"/>
      <c r="T183" s="294"/>
      <c r="U183" s="335"/>
      <c r="Z183" s="192"/>
      <c r="AD183" s="192"/>
    </row>
    <row r="184" spans="1:30" x14ac:dyDescent="0.25">
      <c r="A184" s="295"/>
      <c r="B184" s="295"/>
      <c r="C184" s="295"/>
      <c r="D184" s="295"/>
      <c r="E184" s="295"/>
      <c r="F184" s="294"/>
      <c r="G184" s="296"/>
      <c r="H184" s="294"/>
      <c r="I184" s="294"/>
      <c r="J184" s="295"/>
      <c r="K184" s="294"/>
      <c r="L184" s="295"/>
      <c r="M184" s="295"/>
      <c r="N184" s="294"/>
      <c r="O184" s="294"/>
      <c r="P184" s="294"/>
      <c r="Q184" s="294"/>
      <c r="R184" s="294"/>
      <c r="S184" s="295"/>
      <c r="T184" s="294"/>
      <c r="U184" s="335"/>
      <c r="Z184" s="192"/>
      <c r="AD184" s="192"/>
    </row>
    <row r="185" spans="1:30" x14ac:dyDescent="0.25">
      <c r="A185" s="295"/>
      <c r="B185" s="295"/>
      <c r="C185" s="295"/>
      <c r="D185" s="295"/>
      <c r="E185" s="295"/>
      <c r="F185" s="294"/>
      <c r="G185" s="296"/>
      <c r="H185" s="294"/>
      <c r="I185" s="294"/>
      <c r="J185" s="295"/>
      <c r="K185" s="294"/>
      <c r="L185" s="295"/>
      <c r="M185" s="295"/>
      <c r="N185" s="294"/>
      <c r="O185" s="294"/>
      <c r="P185" s="294"/>
      <c r="Q185" s="294"/>
      <c r="R185" s="294"/>
      <c r="S185" s="295"/>
      <c r="T185" s="294"/>
      <c r="U185" s="335"/>
      <c r="Z185" s="192"/>
      <c r="AD185" s="192"/>
    </row>
    <row r="186" spans="1:30" x14ac:dyDescent="0.25">
      <c r="A186" s="295"/>
      <c r="B186" s="295"/>
      <c r="C186" s="295"/>
      <c r="D186" s="295"/>
      <c r="E186" s="295"/>
      <c r="F186" s="294"/>
      <c r="G186" s="296"/>
      <c r="H186" s="294"/>
      <c r="I186" s="294"/>
      <c r="J186" s="295"/>
      <c r="K186" s="294"/>
      <c r="L186" s="295"/>
      <c r="M186" s="295"/>
      <c r="N186" s="294"/>
      <c r="O186" s="294"/>
      <c r="P186" s="294"/>
      <c r="Q186" s="294"/>
      <c r="R186" s="294"/>
      <c r="S186" s="295"/>
      <c r="T186" s="294"/>
      <c r="U186" s="335"/>
      <c r="Z186" s="192"/>
      <c r="AD186" s="192"/>
    </row>
    <row r="187" spans="1:30" x14ac:dyDescent="0.25">
      <c r="A187" s="295"/>
      <c r="B187" s="295"/>
      <c r="C187" s="295"/>
      <c r="D187" s="295"/>
      <c r="E187" s="295"/>
      <c r="F187" s="294"/>
      <c r="G187" s="296"/>
      <c r="H187" s="294"/>
      <c r="I187" s="294"/>
      <c r="J187" s="295"/>
      <c r="K187" s="294"/>
      <c r="L187" s="295"/>
      <c r="M187" s="295"/>
      <c r="N187" s="294"/>
      <c r="O187" s="294"/>
      <c r="P187" s="294"/>
      <c r="Q187" s="294"/>
      <c r="R187" s="294"/>
      <c r="S187" s="295"/>
      <c r="T187" s="294"/>
      <c r="U187" s="335"/>
      <c r="Z187" s="192"/>
      <c r="AD187" s="192"/>
    </row>
    <row r="188" spans="1:30" x14ac:dyDescent="0.25">
      <c r="A188" s="295"/>
      <c r="B188" s="295"/>
      <c r="C188" s="295"/>
      <c r="D188" s="295"/>
      <c r="E188" s="295"/>
      <c r="F188" s="294"/>
      <c r="G188" s="296"/>
      <c r="H188" s="294"/>
      <c r="I188" s="294"/>
      <c r="J188" s="295"/>
      <c r="K188" s="294"/>
      <c r="L188" s="295"/>
      <c r="M188" s="295"/>
      <c r="N188" s="294"/>
      <c r="O188" s="294"/>
      <c r="P188" s="294"/>
      <c r="Q188" s="294"/>
      <c r="R188" s="294"/>
      <c r="S188" s="295"/>
      <c r="T188" s="294"/>
      <c r="U188" s="335"/>
      <c r="Z188" s="192"/>
      <c r="AD188" s="192"/>
    </row>
    <row r="189" spans="1:30" x14ac:dyDescent="0.25">
      <c r="A189" s="295"/>
      <c r="B189" s="295"/>
      <c r="C189" s="295"/>
      <c r="D189" s="295"/>
      <c r="E189" s="295"/>
      <c r="F189" s="294"/>
      <c r="G189" s="296"/>
      <c r="H189" s="294"/>
      <c r="I189" s="294"/>
      <c r="J189" s="295"/>
      <c r="K189" s="294"/>
      <c r="L189" s="295"/>
      <c r="M189" s="295"/>
      <c r="N189" s="294"/>
      <c r="O189" s="294"/>
      <c r="P189" s="294"/>
      <c r="Q189" s="294"/>
      <c r="R189" s="294"/>
      <c r="S189" s="295"/>
      <c r="T189" s="294"/>
      <c r="U189" s="335"/>
      <c r="Z189" s="192"/>
      <c r="AD189" s="192"/>
    </row>
    <row r="190" spans="1:30" x14ac:dyDescent="0.25">
      <c r="A190" s="295"/>
      <c r="B190" s="295"/>
      <c r="C190" s="295"/>
      <c r="D190" s="295"/>
      <c r="E190" s="295"/>
      <c r="F190" s="294"/>
      <c r="G190" s="296"/>
      <c r="H190" s="294"/>
      <c r="I190" s="294"/>
      <c r="J190" s="295"/>
      <c r="K190" s="294"/>
      <c r="L190" s="295"/>
      <c r="M190" s="295"/>
      <c r="N190" s="297"/>
      <c r="O190" s="294"/>
      <c r="P190" s="294"/>
      <c r="Q190" s="294"/>
      <c r="R190" s="294"/>
      <c r="S190" s="295"/>
      <c r="T190" s="294"/>
      <c r="U190" s="335"/>
      <c r="Z190" s="192"/>
      <c r="AD190" s="192"/>
    </row>
    <row r="191" spans="1:30" x14ac:dyDescent="0.25">
      <c r="A191" s="295"/>
      <c r="B191" s="295"/>
      <c r="C191" s="295"/>
      <c r="D191" s="295"/>
      <c r="E191" s="295"/>
      <c r="F191" s="294"/>
      <c r="G191" s="296"/>
      <c r="H191" s="294"/>
      <c r="I191" s="294"/>
      <c r="J191" s="295"/>
      <c r="K191" s="294"/>
      <c r="L191" s="295"/>
      <c r="M191" s="295"/>
      <c r="N191" s="294"/>
      <c r="O191" s="294"/>
      <c r="P191" s="294"/>
      <c r="Q191" s="294"/>
      <c r="R191" s="294"/>
      <c r="S191" s="295"/>
      <c r="T191" s="294"/>
      <c r="U191" s="335"/>
      <c r="Z191" s="192"/>
      <c r="AD191" s="192"/>
    </row>
    <row r="192" spans="1:30" x14ac:dyDescent="0.25">
      <c r="A192" s="295"/>
      <c r="B192" s="295"/>
      <c r="C192" s="295"/>
      <c r="D192" s="295"/>
      <c r="E192" s="295"/>
      <c r="F192" s="294"/>
      <c r="G192" s="296"/>
      <c r="H192" s="294"/>
      <c r="I192" s="294"/>
      <c r="J192" s="295"/>
      <c r="K192" s="294"/>
      <c r="L192" s="295"/>
      <c r="M192" s="295"/>
      <c r="N192" s="294"/>
      <c r="O192" s="294"/>
      <c r="P192" s="294"/>
      <c r="Q192" s="294"/>
      <c r="R192" s="294"/>
      <c r="S192" s="295"/>
      <c r="T192" s="294"/>
      <c r="U192" s="335"/>
      <c r="Z192" s="192"/>
      <c r="AD192" s="192"/>
    </row>
    <row r="193" spans="1:30" x14ac:dyDescent="0.25">
      <c r="A193" s="295"/>
      <c r="B193" s="295"/>
      <c r="C193" s="295"/>
      <c r="D193" s="295"/>
      <c r="E193" s="295"/>
      <c r="F193" s="294"/>
      <c r="G193" s="296"/>
      <c r="H193" s="294"/>
      <c r="I193" s="294"/>
      <c r="J193" s="295"/>
      <c r="K193" s="294"/>
      <c r="L193" s="295"/>
      <c r="M193" s="295"/>
      <c r="N193" s="294"/>
      <c r="O193" s="294"/>
      <c r="P193" s="294"/>
      <c r="Q193" s="294"/>
      <c r="R193" s="294"/>
      <c r="S193" s="295"/>
      <c r="T193" s="294"/>
      <c r="U193" s="335"/>
      <c r="Z193" s="192"/>
      <c r="AD193" s="192"/>
    </row>
    <row r="194" spans="1:30" x14ac:dyDescent="0.25">
      <c r="A194" s="295"/>
      <c r="B194" s="295"/>
      <c r="C194" s="295"/>
      <c r="D194" s="295"/>
      <c r="E194" s="295"/>
      <c r="F194" s="294"/>
      <c r="G194" s="296"/>
      <c r="H194" s="294"/>
      <c r="I194" s="294"/>
      <c r="J194" s="295"/>
      <c r="K194" s="294"/>
      <c r="L194" s="295"/>
      <c r="M194" s="295"/>
      <c r="N194" s="294"/>
      <c r="O194" s="294"/>
      <c r="P194" s="294"/>
      <c r="Q194" s="294"/>
      <c r="R194" s="294"/>
      <c r="S194" s="295"/>
      <c r="T194" s="294"/>
      <c r="U194" s="335"/>
      <c r="Z194" s="192"/>
      <c r="AD194" s="192"/>
    </row>
    <row r="195" spans="1:30" x14ac:dyDescent="0.25">
      <c r="A195" s="295"/>
      <c r="B195" s="295"/>
      <c r="C195" s="295"/>
      <c r="D195" s="295"/>
      <c r="E195" s="295"/>
      <c r="F195" s="294"/>
      <c r="G195" s="296"/>
      <c r="H195" s="294"/>
      <c r="I195" s="294"/>
      <c r="J195" s="295"/>
      <c r="K195" s="294"/>
      <c r="L195" s="295"/>
      <c r="M195" s="295"/>
      <c r="N195" s="294"/>
      <c r="O195" s="294"/>
      <c r="P195" s="294"/>
      <c r="Q195" s="294"/>
      <c r="R195" s="294"/>
      <c r="S195" s="295"/>
      <c r="T195" s="294"/>
      <c r="U195" s="335"/>
      <c r="Z195" s="192"/>
      <c r="AD195" s="192"/>
    </row>
    <row r="196" spans="1:30" x14ac:dyDescent="0.25">
      <c r="A196" s="295"/>
      <c r="B196" s="295"/>
      <c r="C196" s="295"/>
      <c r="D196" s="295"/>
      <c r="E196" s="295"/>
      <c r="F196" s="294"/>
      <c r="G196" s="296"/>
      <c r="H196" s="294"/>
      <c r="I196" s="294"/>
      <c r="J196" s="295"/>
      <c r="K196" s="294"/>
      <c r="L196" s="295"/>
      <c r="M196" s="295"/>
      <c r="N196" s="294"/>
      <c r="O196" s="294"/>
      <c r="P196" s="294"/>
      <c r="Q196" s="294"/>
      <c r="R196" s="294"/>
      <c r="S196" s="295"/>
      <c r="T196" s="294"/>
      <c r="U196" s="335"/>
      <c r="Z196" s="192"/>
      <c r="AD196" s="192"/>
    </row>
    <row r="197" spans="1:30" x14ac:dyDescent="0.25">
      <c r="A197" s="295"/>
      <c r="B197" s="295"/>
      <c r="C197" s="295"/>
      <c r="D197" s="295"/>
      <c r="E197" s="295"/>
      <c r="F197" s="294"/>
      <c r="G197" s="296"/>
      <c r="H197" s="294"/>
      <c r="I197" s="294"/>
      <c r="J197" s="295"/>
      <c r="K197" s="294"/>
      <c r="L197" s="295"/>
      <c r="M197" s="295"/>
      <c r="N197" s="294"/>
      <c r="O197" s="294"/>
      <c r="P197" s="294"/>
      <c r="Q197" s="294"/>
      <c r="R197" s="294"/>
      <c r="S197" s="295"/>
      <c r="T197" s="294"/>
      <c r="U197" s="335"/>
      <c r="Z197" s="192"/>
      <c r="AD197" s="192"/>
    </row>
    <row r="198" spans="1:30" x14ac:dyDescent="0.25">
      <c r="A198" s="295"/>
      <c r="B198" s="295"/>
      <c r="C198" s="295"/>
      <c r="D198" s="295"/>
      <c r="E198" s="295"/>
      <c r="F198" s="294"/>
      <c r="G198" s="296"/>
      <c r="H198" s="294"/>
      <c r="I198" s="294"/>
      <c r="J198" s="295"/>
      <c r="K198" s="294"/>
      <c r="L198" s="295"/>
      <c r="M198" s="295"/>
      <c r="N198" s="294"/>
      <c r="O198" s="294"/>
      <c r="P198" s="294"/>
      <c r="Q198" s="294"/>
      <c r="R198" s="294"/>
      <c r="S198" s="295"/>
      <c r="T198" s="294"/>
      <c r="U198" s="335"/>
      <c r="Z198" s="192"/>
      <c r="AD198" s="192"/>
    </row>
    <row r="199" spans="1:30" x14ac:dyDescent="0.25">
      <c r="A199" s="295"/>
      <c r="B199" s="295"/>
      <c r="C199" s="295"/>
      <c r="D199" s="295"/>
      <c r="E199" s="295"/>
      <c r="F199" s="294"/>
      <c r="G199" s="296"/>
      <c r="H199" s="294"/>
      <c r="I199" s="294"/>
      <c r="J199" s="295"/>
      <c r="K199" s="294"/>
      <c r="L199" s="295"/>
      <c r="M199" s="295"/>
      <c r="N199" s="294"/>
      <c r="O199" s="294"/>
      <c r="P199" s="294"/>
      <c r="Q199" s="294"/>
      <c r="R199" s="294"/>
      <c r="S199" s="295"/>
      <c r="T199" s="294"/>
      <c r="U199" s="335"/>
      <c r="Z199" s="192"/>
      <c r="AD199" s="192"/>
    </row>
    <row r="200" spans="1:30" x14ac:dyDescent="0.25">
      <c r="A200" s="295"/>
      <c r="B200" s="295"/>
      <c r="C200" s="295"/>
      <c r="D200" s="295"/>
      <c r="E200" s="295"/>
      <c r="F200" s="294"/>
      <c r="G200" s="296"/>
      <c r="H200" s="294"/>
      <c r="I200" s="294"/>
      <c r="J200" s="295"/>
      <c r="K200" s="294"/>
      <c r="L200" s="295"/>
      <c r="M200" s="295"/>
      <c r="N200" s="294"/>
      <c r="O200" s="294"/>
      <c r="P200" s="294"/>
      <c r="Q200" s="294"/>
      <c r="R200" s="294"/>
      <c r="S200" s="295"/>
      <c r="T200" s="294"/>
      <c r="U200" s="335"/>
      <c r="Z200" s="192"/>
      <c r="AD200" s="192"/>
    </row>
    <row r="201" spans="1:30" x14ac:dyDescent="0.25">
      <c r="A201" s="295"/>
      <c r="B201" s="295"/>
      <c r="C201" s="295"/>
      <c r="D201" s="295"/>
      <c r="E201" s="295"/>
      <c r="F201" s="294"/>
      <c r="G201" s="296"/>
      <c r="H201" s="294"/>
      <c r="I201" s="294"/>
      <c r="J201" s="295"/>
      <c r="K201" s="294"/>
      <c r="L201" s="295"/>
      <c r="M201" s="295"/>
      <c r="N201" s="294"/>
      <c r="O201" s="294"/>
      <c r="P201" s="294"/>
      <c r="Q201" s="294"/>
      <c r="R201" s="294"/>
      <c r="S201" s="295"/>
      <c r="T201" s="294"/>
      <c r="U201" s="335"/>
      <c r="Z201" s="192"/>
      <c r="AD201" s="192"/>
    </row>
    <row r="202" spans="1:30" x14ac:dyDescent="0.25">
      <c r="A202" s="295"/>
      <c r="B202" s="295"/>
      <c r="C202" s="295"/>
      <c r="D202" s="295"/>
      <c r="E202" s="295"/>
      <c r="F202" s="294"/>
      <c r="G202" s="296"/>
      <c r="H202" s="294"/>
      <c r="I202" s="294"/>
      <c r="J202" s="295"/>
      <c r="K202" s="294"/>
      <c r="L202" s="295"/>
      <c r="M202" s="295"/>
      <c r="N202" s="294"/>
      <c r="O202" s="294"/>
      <c r="P202" s="294"/>
      <c r="Q202" s="294"/>
      <c r="R202" s="294"/>
      <c r="S202" s="295"/>
      <c r="T202" s="294"/>
      <c r="U202" s="335"/>
      <c r="Z202" s="192"/>
      <c r="AD202" s="192"/>
    </row>
    <row r="203" spans="1:30" x14ac:dyDescent="0.25">
      <c r="A203" s="295"/>
      <c r="B203" s="295"/>
      <c r="C203" s="295"/>
      <c r="D203" s="295"/>
      <c r="E203" s="295"/>
      <c r="F203" s="294"/>
      <c r="G203" s="296"/>
      <c r="H203" s="294"/>
      <c r="I203" s="294"/>
      <c r="J203" s="295"/>
      <c r="K203" s="294"/>
      <c r="L203" s="295"/>
      <c r="M203" s="295"/>
      <c r="N203" s="294"/>
      <c r="O203" s="294"/>
      <c r="P203" s="294"/>
      <c r="Q203" s="294"/>
      <c r="R203" s="294"/>
      <c r="S203" s="295"/>
      <c r="T203" s="294"/>
      <c r="U203" s="335"/>
      <c r="Z203" s="192"/>
      <c r="AD203" s="192"/>
    </row>
    <row r="204" spans="1:30" x14ac:dyDescent="0.25">
      <c r="A204" s="295"/>
      <c r="B204" s="295"/>
      <c r="C204" s="295"/>
      <c r="D204" s="295"/>
      <c r="E204" s="295"/>
      <c r="F204" s="294"/>
      <c r="G204" s="296"/>
      <c r="H204" s="294"/>
      <c r="I204" s="294"/>
      <c r="J204" s="295"/>
      <c r="K204" s="294"/>
      <c r="L204" s="295"/>
      <c r="M204" s="295"/>
      <c r="N204" s="294"/>
      <c r="O204" s="294"/>
      <c r="P204" s="294"/>
      <c r="Q204" s="294"/>
      <c r="R204" s="294"/>
      <c r="S204" s="295"/>
      <c r="T204" s="294"/>
      <c r="U204" s="335"/>
      <c r="Z204" s="192"/>
      <c r="AD204" s="192"/>
    </row>
    <row r="205" spans="1:30" x14ac:dyDescent="0.25">
      <c r="A205" s="295"/>
      <c r="B205" s="295"/>
      <c r="C205" s="295"/>
      <c r="D205" s="295"/>
      <c r="E205" s="295"/>
      <c r="F205" s="294"/>
      <c r="G205" s="296"/>
      <c r="H205" s="294"/>
      <c r="I205" s="294"/>
      <c r="J205" s="295"/>
      <c r="K205" s="294"/>
      <c r="L205" s="295"/>
      <c r="M205" s="295"/>
      <c r="N205" s="294"/>
      <c r="O205" s="294"/>
      <c r="P205" s="294"/>
      <c r="Q205" s="294"/>
      <c r="R205" s="294"/>
      <c r="S205" s="295"/>
      <c r="T205" s="294"/>
      <c r="U205" s="335"/>
      <c r="Z205" s="192"/>
      <c r="AD205" s="192"/>
    </row>
    <row r="206" spans="1:30" x14ac:dyDescent="0.25">
      <c r="A206" s="295"/>
      <c r="B206" s="295"/>
      <c r="C206" s="295"/>
      <c r="D206" s="295"/>
      <c r="E206" s="295"/>
      <c r="F206" s="294"/>
      <c r="G206" s="296"/>
      <c r="H206" s="294"/>
      <c r="I206" s="294"/>
      <c r="J206" s="295"/>
      <c r="K206" s="294"/>
      <c r="L206" s="295"/>
      <c r="M206" s="295"/>
      <c r="N206" s="294"/>
      <c r="O206" s="294"/>
      <c r="P206" s="294"/>
      <c r="Q206" s="294"/>
      <c r="R206" s="294"/>
      <c r="S206" s="295"/>
      <c r="T206" s="294"/>
      <c r="U206" s="335"/>
      <c r="Z206" s="192"/>
      <c r="AD206" s="192"/>
    </row>
    <row r="207" spans="1:30" x14ac:dyDescent="0.25">
      <c r="A207" s="295"/>
      <c r="B207" s="295"/>
      <c r="C207" s="295"/>
      <c r="D207" s="295"/>
      <c r="E207" s="295"/>
      <c r="F207" s="294"/>
      <c r="G207" s="296"/>
      <c r="H207" s="294"/>
      <c r="I207" s="294"/>
      <c r="J207" s="295"/>
      <c r="K207" s="294"/>
      <c r="L207" s="295"/>
      <c r="M207" s="295"/>
      <c r="N207" s="294"/>
      <c r="O207" s="294"/>
      <c r="P207" s="294"/>
      <c r="Q207" s="294"/>
      <c r="R207" s="294"/>
      <c r="S207" s="295"/>
      <c r="T207" s="294"/>
      <c r="U207" s="335"/>
      <c r="Z207" s="192"/>
      <c r="AD207" s="192"/>
    </row>
    <row r="208" spans="1:30" x14ac:dyDescent="0.25">
      <c r="A208" s="295"/>
      <c r="B208" s="295"/>
      <c r="C208" s="295"/>
      <c r="D208" s="295"/>
      <c r="E208" s="295"/>
      <c r="F208" s="294"/>
      <c r="G208" s="296"/>
      <c r="H208" s="294"/>
      <c r="I208" s="294"/>
      <c r="J208" s="295"/>
      <c r="K208" s="294"/>
      <c r="L208" s="295"/>
      <c r="M208" s="295"/>
      <c r="N208" s="294"/>
      <c r="O208" s="294"/>
      <c r="P208" s="294"/>
      <c r="Q208" s="294"/>
      <c r="R208" s="294"/>
      <c r="S208" s="295"/>
      <c r="T208" s="294"/>
      <c r="U208" s="335"/>
      <c r="Z208" s="192"/>
      <c r="AD208" s="192"/>
    </row>
    <row r="209" spans="1:30" x14ac:dyDescent="0.25">
      <c r="A209" s="295"/>
      <c r="B209" s="295"/>
      <c r="C209" s="295"/>
      <c r="D209" s="295"/>
      <c r="E209" s="295"/>
      <c r="F209" s="294"/>
      <c r="G209" s="296"/>
      <c r="H209" s="294"/>
      <c r="I209" s="294"/>
      <c r="J209" s="295"/>
      <c r="K209" s="294"/>
      <c r="L209" s="295"/>
      <c r="M209" s="295"/>
      <c r="N209" s="294"/>
      <c r="O209" s="294"/>
      <c r="P209" s="294"/>
      <c r="Q209" s="294"/>
      <c r="R209" s="294"/>
      <c r="S209" s="295"/>
      <c r="T209" s="294"/>
      <c r="U209" s="335"/>
      <c r="Z209" s="192"/>
      <c r="AD209" s="192"/>
    </row>
    <row r="210" spans="1:30" x14ac:dyDescent="0.25">
      <c r="A210" s="295"/>
      <c r="B210" s="295"/>
      <c r="C210" s="295"/>
      <c r="D210" s="295"/>
      <c r="E210" s="295"/>
      <c r="F210" s="294"/>
      <c r="G210" s="296"/>
      <c r="H210" s="294"/>
      <c r="I210" s="294"/>
      <c r="J210" s="295"/>
      <c r="K210" s="294"/>
      <c r="L210" s="295"/>
      <c r="M210" s="295"/>
      <c r="N210" s="294"/>
      <c r="O210" s="294"/>
      <c r="P210" s="294"/>
      <c r="Q210" s="294"/>
      <c r="R210" s="294"/>
      <c r="S210" s="295"/>
      <c r="T210" s="294"/>
      <c r="U210" s="335"/>
      <c r="Z210" s="192"/>
      <c r="AD210" s="192"/>
    </row>
    <row r="211" spans="1:30" x14ac:dyDescent="0.25">
      <c r="A211" s="295"/>
      <c r="B211" s="295"/>
      <c r="C211" s="295"/>
      <c r="D211" s="295"/>
      <c r="E211" s="295"/>
      <c r="F211" s="294"/>
      <c r="G211" s="296"/>
      <c r="H211" s="294"/>
      <c r="I211" s="294"/>
      <c r="J211" s="295"/>
      <c r="K211" s="294"/>
      <c r="L211" s="295"/>
      <c r="M211" s="295"/>
      <c r="N211" s="294"/>
      <c r="O211" s="294"/>
      <c r="P211" s="294"/>
      <c r="Q211" s="294"/>
      <c r="R211" s="294"/>
      <c r="S211" s="295"/>
      <c r="T211" s="294"/>
      <c r="U211" s="335"/>
      <c r="Z211" s="192"/>
      <c r="AD211" s="192"/>
    </row>
    <row r="212" spans="1:30" x14ac:dyDescent="0.25">
      <c r="A212" s="295"/>
      <c r="B212" s="295"/>
      <c r="C212" s="295"/>
      <c r="D212" s="295"/>
      <c r="E212" s="295"/>
      <c r="F212" s="294"/>
      <c r="G212" s="296"/>
      <c r="H212" s="294"/>
      <c r="I212" s="294"/>
      <c r="J212" s="295"/>
      <c r="K212" s="294"/>
      <c r="L212" s="295"/>
      <c r="M212" s="295"/>
      <c r="N212" s="294"/>
      <c r="O212" s="294"/>
      <c r="P212" s="294"/>
      <c r="Q212" s="294"/>
      <c r="R212" s="294"/>
      <c r="S212" s="295"/>
      <c r="T212" s="294"/>
      <c r="U212" s="335"/>
      <c r="Z212" s="192"/>
      <c r="AD212" s="192"/>
    </row>
    <row r="213" spans="1:30" x14ac:dyDescent="0.25">
      <c r="A213" s="295"/>
      <c r="B213" s="295"/>
      <c r="C213" s="295"/>
      <c r="D213" s="295"/>
      <c r="E213" s="295"/>
      <c r="F213" s="294"/>
      <c r="G213" s="296"/>
      <c r="H213" s="294"/>
      <c r="I213" s="294"/>
      <c r="J213" s="295"/>
      <c r="K213" s="294"/>
      <c r="L213" s="295"/>
      <c r="M213" s="295"/>
      <c r="N213" s="294"/>
      <c r="O213" s="294"/>
      <c r="P213" s="294"/>
      <c r="Q213" s="294"/>
      <c r="R213" s="294"/>
      <c r="S213" s="295"/>
      <c r="T213" s="294"/>
      <c r="U213" s="335"/>
      <c r="Z213" s="192"/>
      <c r="AD213" s="192"/>
    </row>
    <row r="214" spans="1:30" x14ac:dyDescent="0.25">
      <c r="A214" s="295"/>
      <c r="B214" s="295"/>
      <c r="C214" s="295"/>
      <c r="D214" s="295"/>
      <c r="E214" s="295"/>
      <c r="F214" s="294"/>
      <c r="G214" s="296"/>
      <c r="H214" s="294"/>
      <c r="I214" s="294"/>
      <c r="J214" s="295"/>
      <c r="K214" s="294"/>
      <c r="L214" s="295"/>
      <c r="M214" s="295"/>
      <c r="N214" s="294"/>
      <c r="O214" s="294"/>
      <c r="P214" s="294"/>
      <c r="Q214" s="294"/>
      <c r="R214" s="294"/>
      <c r="S214" s="295"/>
      <c r="T214" s="294"/>
      <c r="U214" s="335"/>
      <c r="Z214" s="192"/>
      <c r="AD214" s="192"/>
    </row>
    <row r="215" spans="1:30" x14ac:dyDescent="0.25">
      <c r="A215" s="295"/>
      <c r="B215" s="295"/>
      <c r="C215" s="295"/>
      <c r="D215" s="295"/>
      <c r="E215" s="295"/>
      <c r="F215" s="294"/>
      <c r="G215" s="296"/>
      <c r="H215" s="294"/>
      <c r="I215" s="294"/>
      <c r="J215" s="295"/>
      <c r="K215" s="294"/>
      <c r="L215" s="295"/>
      <c r="M215" s="295"/>
      <c r="N215" s="294"/>
      <c r="O215" s="294"/>
      <c r="P215" s="294"/>
      <c r="Q215" s="294"/>
      <c r="R215" s="294"/>
      <c r="S215" s="295"/>
      <c r="T215" s="294"/>
      <c r="U215" s="335"/>
      <c r="Z215" s="192"/>
      <c r="AD215" s="192"/>
    </row>
    <row r="216" spans="1:30" x14ac:dyDescent="0.25">
      <c r="A216" s="295"/>
      <c r="B216" s="295"/>
      <c r="C216" s="295"/>
      <c r="D216" s="295"/>
      <c r="E216" s="295"/>
      <c r="F216" s="294"/>
      <c r="G216" s="296"/>
      <c r="H216" s="294"/>
      <c r="I216" s="294"/>
      <c r="J216" s="295"/>
      <c r="K216" s="294"/>
      <c r="L216" s="295"/>
      <c r="M216" s="295"/>
      <c r="N216" s="294"/>
      <c r="O216" s="294"/>
      <c r="P216" s="294"/>
      <c r="Q216" s="294"/>
      <c r="R216" s="294"/>
      <c r="S216" s="295"/>
      <c r="T216" s="294"/>
      <c r="U216" s="335"/>
      <c r="Z216" s="192"/>
      <c r="AD216" s="192"/>
    </row>
    <row r="217" spans="1:30" x14ac:dyDescent="0.25">
      <c r="A217" s="295"/>
      <c r="B217" s="295"/>
      <c r="C217" s="295"/>
      <c r="D217" s="295"/>
      <c r="E217" s="295"/>
      <c r="F217" s="294"/>
      <c r="G217" s="296"/>
      <c r="H217" s="294"/>
      <c r="I217" s="294"/>
      <c r="J217" s="295"/>
      <c r="K217" s="294"/>
      <c r="L217" s="295"/>
      <c r="M217" s="295"/>
      <c r="N217" s="294"/>
      <c r="O217" s="294"/>
      <c r="P217" s="294"/>
      <c r="Q217" s="294"/>
      <c r="R217" s="294"/>
      <c r="S217" s="295"/>
      <c r="T217" s="294"/>
      <c r="U217" s="335"/>
      <c r="Z217" s="192"/>
      <c r="AD217" s="192"/>
    </row>
    <row r="218" spans="1:30" x14ac:dyDescent="0.25">
      <c r="A218" s="295"/>
      <c r="B218" s="295"/>
      <c r="C218" s="295"/>
      <c r="D218" s="295"/>
      <c r="E218" s="295"/>
      <c r="F218" s="294"/>
      <c r="G218" s="296"/>
      <c r="H218" s="294"/>
      <c r="I218" s="294"/>
      <c r="J218" s="295"/>
      <c r="K218" s="294"/>
      <c r="L218" s="295"/>
      <c r="M218" s="295"/>
      <c r="N218" s="294"/>
      <c r="O218" s="294"/>
      <c r="P218" s="294"/>
      <c r="Q218" s="294"/>
      <c r="R218" s="294"/>
      <c r="S218" s="295"/>
      <c r="T218" s="294"/>
      <c r="U218" s="335"/>
      <c r="Z218" s="192"/>
      <c r="AD218" s="192"/>
    </row>
    <row r="219" spans="1:30" x14ac:dyDescent="0.25">
      <c r="A219" s="295"/>
      <c r="B219" s="295"/>
      <c r="C219" s="295"/>
      <c r="D219" s="295"/>
      <c r="E219" s="295"/>
      <c r="F219" s="294"/>
      <c r="G219" s="296"/>
      <c r="H219" s="294"/>
      <c r="I219" s="294"/>
      <c r="J219" s="295"/>
      <c r="K219" s="294"/>
      <c r="L219" s="295"/>
      <c r="M219" s="295"/>
      <c r="N219" s="294"/>
      <c r="O219" s="294"/>
      <c r="P219" s="294"/>
      <c r="Q219" s="294"/>
      <c r="R219" s="294"/>
      <c r="S219" s="295"/>
      <c r="T219" s="294"/>
      <c r="U219" s="335"/>
      <c r="Z219" s="192"/>
      <c r="AD219" s="192"/>
    </row>
    <row r="220" spans="1:30" x14ac:dyDescent="0.25">
      <c r="A220" s="295"/>
      <c r="B220" s="295"/>
      <c r="C220" s="295"/>
      <c r="D220" s="295"/>
      <c r="E220" s="295"/>
      <c r="F220" s="294"/>
      <c r="G220" s="296"/>
      <c r="H220" s="294"/>
      <c r="I220" s="294"/>
      <c r="J220" s="295"/>
      <c r="K220" s="294"/>
      <c r="L220" s="295"/>
      <c r="M220" s="295"/>
      <c r="N220" s="294"/>
      <c r="O220" s="294"/>
      <c r="P220" s="294"/>
      <c r="Q220" s="294"/>
      <c r="R220" s="294"/>
      <c r="S220" s="295"/>
      <c r="T220" s="294"/>
      <c r="U220" s="335"/>
      <c r="Z220" s="192"/>
      <c r="AD220" s="192"/>
    </row>
    <row r="221" spans="1:30" x14ac:dyDescent="0.25">
      <c r="A221" s="295"/>
      <c r="B221" s="295"/>
      <c r="C221" s="295"/>
      <c r="D221" s="295"/>
      <c r="E221" s="295"/>
      <c r="F221" s="294"/>
      <c r="G221" s="296"/>
      <c r="H221" s="294"/>
      <c r="I221" s="294"/>
      <c r="J221" s="295"/>
      <c r="K221" s="294"/>
      <c r="L221" s="295"/>
      <c r="M221" s="295"/>
      <c r="N221" s="294"/>
      <c r="O221" s="294"/>
      <c r="P221" s="294"/>
      <c r="Q221" s="294"/>
      <c r="R221" s="294"/>
      <c r="S221" s="295"/>
      <c r="T221" s="294"/>
      <c r="U221" s="335"/>
      <c r="Z221" s="192"/>
      <c r="AD221" s="192"/>
    </row>
    <row r="222" spans="1:30" x14ac:dyDescent="0.25">
      <c r="A222" s="295"/>
      <c r="B222" s="295"/>
      <c r="C222" s="295"/>
      <c r="D222" s="295"/>
      <c r="E222" s="295"/>
      <c r="F222" s="294"/>
      <c r="G222" s="296"/>
      <c r="H222" s="294"/>
      <c r="I222" s="294"/>
      <c r="J222" s="295"/>
      <c r="K222" s="294"/>
      <c r="L222" s="295"/>
      <c r="M222" s="295"/>
      <c r="N222" s="294"/>
      <c r="O222" s="294"/>
      <c r="P222" s="294"/>
      <c r="Q222" s="294"/>
      <c r="R222" s="294"/>
      <c r="S222" s="295"/>
      <c r="T222" s="294"/>
      <c r="U222" s="335"/>
      <c r="Z222" s="192"/>
      <c r="AD222" s="192"/>
    </row>
    <row r="223" spans="1:30" x14ac:dyDescent="0.25">
      <c r="A223" s="295"/>
      <c r="B223" s="295"/>
      <c r="C223" s="295"/>
      <c r="D223" s="295"/>
      <c r="E223" s="295"/>
      <c r="F223" s="294"/>
      <c r="G223" s="296"/>
      <c r="H223" s="294"/>
      <c r="I223" s="294"/>
      <c r="J223" s="295"/>
      <c r="K223" s="294"/>
      <c r="L223" s="295"/>
      <c r="M223" s="295"/>
      <c r="N223" s="294"/>
      <c r="O223" s="294"/>
      <c r="P223" s="294"/>
      <c r="Q223" s="294"/>
      <c r="R223" s="294"/>
      <c r="S223" s="295"/>
      <c r="T223" s="294"/>
      <c r="U223" s="335"/>
      <c r="Z223" s="192"/>
      <c r="AD223" s="192"/>
    </row>
    <row r="224" spans="1:30" x14ac:dyDescent="0.25">
      <c r="A224" s="295"/>
      <c r="B224" s="295"/>
      <c r="C224" s="295"/>
      <c r="D224" s="295"/>
      <c r="E224" s="295"/>
      <c r="F224" s="294"/>
      <c r="G224" s="296"/>
      <c r="H224" s="294"/>
      <c r="I224" s="294"/>
      <c r="J224" s="295"/>
      <c r="K224" s="294"/>
      <c r="L224" s="295"/>
      <c r="M224" s="295"/>
      <c r="N224" s="294"/>
      <c r="O224" s="294"/>
      <c r="P224" s="294"/>
      <c r="Q224" s="294"/>
      <c r="R224" s="294"/>
      <c r="S224" s="295"/>
      <c r="T224" s="294"/>
      <c r="U224" s="335"/>
      <c r="Z224" s="192"/>
      <c r="AD224" s="192"/>
    </row>
    <row r="225" spans="1:30" x14ac:dyDescent="0.25">
      <c r="A225" s="295"/>
      <c r="B225" s="295"/>
      <c r="C225" s="295"/>
      <c r="D225" s="295"/>
      <c r="E225" s="295"/>
      <c r="F225" s="294"/>
      <c r="G225" s="296"/>
      <c r="H225" s="294"/>
      <c r="I225" s="294"/>
      <c r="J225" s="295"/>
      <c r="K225" s="294"/>
      <c r="L225" s="295"/>
      <c r="M225" s="295"/>
      <c r="N225" s="294"/>
      <c r="O225" s="294"/>
      <c r="P225" s="294"/>
      <c r="Q225" s="294"/>
      <c r="R225" s="294"/>
      <c r="S225" s="295"/>
      <c r="T225" s="294"/>
      <c r="U225" s="335"/>
      <c r="Z225" s="192"/>
      <c r="AD225" s="192"/>
    </row>
    <row r="226" spans="1:30" x14ac:dyDescent="0.25">
      <c r="A226" s="295"/>
      <c r="B226" s="295"/>
      <c r="C226" s="295"/>
      <c r="D226" s="295"/>
      <c r="E226" s="295"/>
      <c r="F226" s="294"/>
      <c r="G226" s="296"/>
      <c r="H226" s="294"/>
      <c r="I226" s="294"/>
      <c r="J226" s="295"/>
      <c r="K226" s="294"/>
      <c r="L226" s="295"/>
      <c r="M226" s="295"/>
      <c r="N226" s="294"/>
      <c r="O226" s="294"/>
      <c r="P226" s="294"/>
      <c r="Q226" s="294"/>
      <c r="R226" s="294"/>
      <c r="S226" s="295"/>
      <c r="T226" s="294"/>
      <c r="U226" s="335"/>
      <c r="Z226" s="192"/>
      <c r="AD226" s="192"/>
    </row>
    <row r="227" spans="1:30" x14ac:dyDescent="0.25">
      <c r="A227" s="295"/>
      <c r="B227" s="295"/>
      <c r="C227" s="295"/>
      <c r="D227" s="295"/>
      <c r="E227" s="295"/>
      <c r="F227" s="294"/>
      <c r="G227" s="296"/>
      <c r="H227" s="294"/>
      <c r="I227" s="294"/>
      <c r="J227" s="295"/>
      <c r="K227" s="294"/>
      <c r="L227" s="295"/>
      <c r="M227" s="295"/>
      <c r="N227" s="294"/>
      <c r="O227" s="294"/>
      <c r="P227" s="294"/>
      <c r="Q227" s="294"/>
      <c r="R227" s="294"/>
      <c r="S227" s="295"/>
      <c r="T227" s="294"/>
      <c r="U227" s="335"/>
      <c r="Z227" s="192"/>
      <c r="AD227" s="192"/>
    </row>
    <row r="228" spans="1:30" x14ac:dyDescent="0.25">
      <c r="A228" s="295"/>
      <c r="B228" s="295"/>
      <c r="C228" s="295"/>
      <c r="D228" s="295"/>
      <c r="E228" s="295"/>
      <c r="F228" s="294"/>
      <c r="G228" s="296"/>
      <c r="H228" s="294"/>
      <c r="I228" s="294"/>
      <c r="J228" s="295"/>
      <c r="K228" s="294"/>
      <c r="L228" s="295"/>
      <c r="M228" s="295"/>
      <c r="N228" s="294"/>
      <c r="O228" s="294"/>
      <c r="P228" s="294"/>
      <c r="Q228" s="294"/>
      <c r="R228" s="294"/>
      <c r="S228" s="295"/>
      <c r="T228" s="294"/>
      <c r="U228" s="335"/>
      <c r="Z228" s="192"/>
      <c r="AD228" s="192"/>
    </row>
    <row r="229" spans="1:30" x14ac:dyDescent="0.25">
      <c r="A229" s="295"/>
      <c r="B229" s="295"/>
      <c r="C229" s="295"/>
      <c r="D229" s="295"/>
      <c r="E229" s="295"/>
      <c r="F229" s="294"/>
      <c r="G229" s="296"/>
      <c r="H229" s="294"/>
      <c r="I229" s="294"/>
      <c r="J229" s="295"/>
      <c r="K229" s="294"/>
      <c r="L229" s="295"/>
      <c r="M229" s="295"/>
      <c r="N229" s="294"/>
      <c r="O229" s="294"/>
      <c r="P229" s="294"/>
      <c r="Q229" s="294"/>
      <c r="R229" s="294"/>
      <c r="S229" s="295"/>
      <c r="T229" s="294"/>
      <c r="U229" s="335"/>
      <c r="Z229" s="192"/>
      <c r="AD229" s="192"/>
    </row>
    <row r="230" spans="1:30" x14ac:dyDescent="0.25">
      <c r="A230" s="295"/>
      <c r="B230" s="295"/>
      <c r="C230" s="295"/>
      <c r="D230" s="295"/>
      <c r="E230" s="295"/>
      <c r="F230" s="294"/>
      <c r="G230" s="296"/>
      <c r="H230" s="294"/>
      <c r="I230" s="294"/>
      <c r="J230" s="295"/>
      <c r="K230" s="294"/>
      <c r="L230" s="295"/>
      <c r="M230" s="295"/>
      <c r="N230" s="294"/>
      <c r="O230" s="294"/>
      <c r="P230" s="294"/>
      <c r="Q230" s="294"/>
      <c r="R230" s="294"/>
      <c r="S230" s="295"/>
      <c r="T230" s="294"/>
      <c r="U230" s="335"/>
      <c r="Z230" s="192"/>
      <c r="AD230" s="192"/>
    </row>
    <row r="231" spans="1:30" x14ac:dyDescent="0.25">
      <c r="A231" s="295"/>
      <c r="B231" s="295"/>
      <c r="C231" s="295"/>
      <c r="D231" s="295"/>
      <c r="E231" s="295"/>
      <c r="F231" s="294"/>
      <c r="G231" s="296"/>
      <c r="H231" s="294"/>
      <c r="I231" s="294"/>
      <c r="J231" s="295"/>
      <c r="K231" s="294"/>
      <c r="L231" s="295"/>
      <c r="M231" s="295"/>
      <c r="N231" s="294"/>
      <c r="O231" s="294"/>
      <c r="P231" s="294"/>
      <c r="Q231" s="294"/>
      <c r="R231" s="294"/>
      <c r="S231" s="295"/>
      <c r="T231" s="294"/>
      <c r="U231" s="335"/>
      <c r="Z231" s="192"/>
      <c r="AD231" s="192"/>
    </row>
    <row r="232" spans="1:30" x14ac:dyDescent="0.25">
      <c r="A232" s="295"/>
      <c r="B232" s="295"/>
      <c r="C232" s="295"/>
      <c r="D232" s="295"/>
      <c r="E232" s="295"/>
      <c r="F232" s="294"/>
      <c r="G232" s="296"/>
      <c r="H232" s="294"/>
      <c r="I232" s="294"/>
      <c r="J232" s="295"/>
      <c r="K232" s="294"/>
      <c r="L232" s="295"/>
      <c r="M232" s="295"/>
      <c r="N232" s="294"/>
      <c r="O232" s="294"/>
      <c r="P232" s="294"/>
      <c r="Q232" s="294"/>
      <c r="R232" s="294"/>
      <c r="S232" s="295"/>
      <c r="T232" s="294"/>
      <c r="U232" s="335"/>
      <c r="Z232" s="192"/>
      <c r="AD232" s="192"/>
    </row>
    <row r="233" spans="1:30" x14ac:dyDescent="0.25">
      <c r="A233" s="295"/>
      <c r="B233" s="295"/>
      <c r="C233" s="295"/>
      <c r="D233" s="295"/>
      <c r="E233" s="295"/>
      <c r="F233" s="294"/>
      <c r="G233" s="296"/>
      <c r="H233" s="294"/>
      <c r="I233" s="294"/>
      <c r="J233" s="295"/>
      <c r="K233" s="294"/>
      <c r="L233" s="295"/>
      <c r="M233" s="295"/>
      <c r="N233" s="294"/>
      <c r="O233" s="294"/>
      <c r="P233" s="294"/>
      <c r="Q233" s="294"/>
      <c r="R233" s="294"/>
      <c r="S233" s="295"/>
      <c r="T233" s="294"/>
      <c r="U233" s="335"/>
      <c r="Z233" s="192"/>
      <c r="AD233" s="192"/>
    </row>
    <row r="234" spans="1:30" x14ac:dyDescent="0.25">
      <c r="A234" s="295"/>
      <c r="B234" s="295"/>
      <c r="C234" s="295"/>
      <c r="D234" s="295"/>
      <c r="E234" s="295"/>
      <c r="F234" s="294"/>
      <c r="G234" s="296"/>
      <c r="H234" s="294"/>
      <c r="I234" s="294"/>
      <c r="J234" s="295"/>
      <c r="K234" s="294"/>
      <c r="L234" s="295"/>
      <c r="M234" s="295"/>
      <c r="N234" s="294"/>
      <c r="O234" s="294"/>
      <c r="P234" s="294"/>
      <c r="Q234" s="294"/>
      <c r="R234" s="294"/>
      <c r="S234" s="295"/>
      <c r="T234" s="294"/>
      <c r="U234" s="335"/>
      <c r="Z234" s="192"/>
      <c r="AD234" s="192"/>
    </row>
    <row r="235" spans="1:30" x14ac:dyDescent="0.25">
      <c r="A235" s="295"/>
      <c r="B235" s="295"/>
      <c r="C235" s="295"/>
      <c r="D235" s="295"/>
      <c r="E235" s="295"/>
      <c r="F235" s="294"/>
      <c r="G235" s="296"/>
      <c r="H235" s="294"/>
      <c r="I235" s="294"/>
      <c r="J235" s="295"/>
      <c r="K235" s="294"/>
      <c r="L235" s="295"/>
      <c r="M235" s="295"/>
      <c r="N235" s="294"/>
      <c r="O235" s="294"/>
      <c r="P235" s="294"/>
      <c r="Q235" s="294"/>
      <c r="R235" s="294"/>
      <c r="S235" s="295"/>
      <c r="T235" s="294"/>
      <c r="U235" s="335"/>
      <c r="Z235" s="192"/>
      <c r="AD235" s="192"/>
    </row>
    <row r="236" spans="1:30" x14ac:dyDescent="0.25">
      <c r="A236" s="295"/>
      <c r="B236" s="295"/>
      <c r="C236" s="295"/>
      <c r="D236" s="295"/>
      <c r="E236" s="295"/>
      <c r="F236" s="294"/>
      <c r="G236" s="296"/>
      <c r="H236" s="294"/>
      <c r="I236" s="294"/>
      <c r="J236" s="295"/>
      <c r="K236" s="294"/>
      <c r="L236" s="295"/>
      <c r="M236" s="295"/>
      <c r="N236" s="294"/>
      <c r="O236" s="294"/>
      <c r="P236" s="294"/>
      <c r="Q236" s="294"/>
      <c r="R236" s="294"/>
      <c r="S236" s="295"/>
      <c r="T236" s="294"/>
      <c r="U236" s="335"/>
      <c r="Z236" s="192"/>
      <c r="AD236" s="192"/>
    </row>
    <row r="237" spans="1:30" x14ac:dyDescent="0.25">
      <c r="A237" s="295"/>
      <c r="B237" s="295"/>
      <c r="C237" s="295"/>
      <c r="D237" s="295"/>
      <c r="E237" s="295"/>
      <c r="F237" s="294"/>
      <c r="G237" s="296"/>
      <c r="H237" s="294"/>
      <c r="I237" s="294"/>
      <c r="J237" s="295"/>
      <c r="K237" s="294"/>
      <c r="L237" s="295"/>
      <c r="M237" s="295"/>
      <c r="N237" s="294"/>
      <c r="O237" s="294"/>
      <c r="P237" s="294"/>
      <c r="Q237" s="294"/>
      <c r="R237" s="294"/>
      <c r="S237" s="295"/>
      <c r="T237" s="294"/>
      <c r="U237" s="335"/>
      <c r="Z237" s="192"/>
      <c r="AD237" s="192"/>
    </row>
    <row r="238" spans="1:30" x14ac:dyDescent="0.25">
      <c r="A238" s="295"/>
      <c r="B238" s="295"/>
      <c r="C238" s="295"/>
      <c r="D238" s="295"/>
      <c r="E238" s="295"/>
      <c r="F238" s="294"/>
      <c r="G238" s="296"/>
      <c r="H238" s="294"/>
      <c r="I238" s="294"/>
      <c r="J238" s="295"/>
      <c r="K238" s="294"/>
      <c r="L238" s="295"/>
      <c r="M238" s="295"/>
      <c r="N238" s="294"/>
      <c r="O238" s="294"/>
      <c r="P238" s="294"/>
      <c r="Q238" s="294"/>
      <c r="R238" s="294"/>
      <c r="S238" s="295"/>
      <c r="T238" s="294"/>
      <c r="U238" s="335"/>
      <c r="Z238" s="192"/>
      <c r="AD238" s="192"/>
    </row>
    <row r="239" spans="1:30" x14ac:dyDescent="0.25">
      <c r="A239" s="295"/>
      <c r="B239" s="295"/>
      <c r="C239" s="295"/>
      <c r="D239" s="295"/>
      <c r="E239" s="295"/>
      <c r="F239" s="294"/>
      <c r="G239" s="296"/>
      <c r="H239" s="294"/>
      <c r="I239" s="294"/>
      <c r="J239" s="295"/>
      <c r="K239" s="294"/>
      <c r="L239" s="295"/>
      <c r="M239" s="295"/>
      <c r="N239" s="294"/>
      <c r="O239" s="294"/>
      <c r="P239" s="294"/>
      <c r="Q239" s="294"/>
      <c r="R239" s="294"/>
      <c r="S239" s="295"/>
      <c r="T239" s="294"/>
      <c r="U239" s="335"/>
      <c r="Z239" s="192"/>
      <c r="AD239" s="192"/>
    </row>
    <row r="240" spans="1:30" x14ac:dyDescent="0.25">
      <c r="A240" s="295"/>
      <c r="B240" s="295"/>
      <c r="C240" s="295"/>
      <c r="D240" s="295"/>
      <c r="E240" s="295"/>
      <c r="F240" s="294"/>
      <c r="G240" s="296"/>
      <c r="H240" s="294"/>
      <c r="I240" s="294"/>
      <c r="J240" s="295"/>
      <c r="K240" s="294"/>
      <c r="L240" s="295"/>
      <c r="M240" s="295"/>
      <c r="N240" s="294"/>
      <c r="O240" s="294"/>
      <c r="P240" s="294"/>
      <c r="Q240" s="294"/>
      <c r="R240" s="294"/>
      <c r="S240" s="295"/>
      <c r="T240" s="294"/>
      <c r="U240" s="335"/>
      <c r="Z240" s="192"/>
      <c r="AD240" s="192"/>
    </row>
    <row r="241" spans="1:30" x14ac:dyDescent="0.25">
      <c r="A241" s="295"/>
      <c r="B241" s="295"/>
      <c r="C241" s="295"/>
      <c r="D241" s="295"/>
      <c r="E241" s="295"/>
      <c r="F241" s="294"/>
      <c r="G241" s="296"/>
      <c r="H241" s="294"/>
      <c r="I241" s="294"/>
      <c r="J241" s="295"/>
      <c r="K241" s="294"/>
      <c r="L241" s="295"/>
      <c r="M241" s="295"/>
      <c r="N241" s="294"/>
      <c r="O241" s="294"/>
      <c r="P241" s="294"/>
      <c r="Q241" s="294"/>
      <c r="R241" s="294"/>
      <c r="S241" s="295"/>
      <c r="T241" s="294"/>
      <c r="U241" s="335"/>
      <c r="Z241" s="192"/>
      <c r="AD241" s="192"/>
    </row>
    <row r="242" spans="1:30" x14ac:dyDescent="0.25">
      <c r="A242" s="295"/>
      <c r="B242" s="295"/>
      <c r="C242" s="295"/>
      <c r="D242" s="295"/>
      <c r="E242" s="295"/>
      <c r="F242" s="294"/>
      <c r="G242" s="296"/>
      <c r="H242" s="294"/>
      <c r="I242" s="294"/>
      <c r="J242" s="295"/>
      <c r="K242" s="294"/>
      <c r="L242" s="295"/>
      <c r="M242" s="295"/>
      <c r="N242" s="294"/>
      <c r="O242" s="294"/>
      <c r="P242" s="294"/>
      <c r="Q242" s="294"/>
      <c r="R242" s="294"/>
      <c r="S242" s="295"/>
      <c r="T242" s="294"/>
      <c r="U242" s="335"/>
      <c r="Z242" s="192"/>
      <c r="AD242" s="192"/>
    </row>
    <row r="243" spans="1:30" x14ac:dyDescent="0.25">
      <c r="A243" s="295"/>
      <c r="B243" s="295"/>
      <c r="C243" s="295"/>
      <c r="D243" s="295"/>
      <c r="E243" s="295"/>
      <c r="F243" s="294"/>
      <c r="G243" s="296"/>
      <c r="H243" s="294"/>
      <c r="I243" s="294"/>
      <c r="J243" s="295"/>
      <c r="K243" s="294"/>
      <c r="L243" s="295"/>
      <c r="M243" s="295"/>
      <c r="N243" s="294"/>
      <c r="O243" s="294"/>
      <c r="P243" s="294"/>
      <c r="Q243" s="294"/>
      <c r="R243" s="294"/>
      <c r="S243" s="295"/>
      <c r="T243" s="294"/>
      <c r="U243" s="335"/>
      <c r="Z243" s="192"/>
      <c r="AD243" s="192"/>
    </row>
    <row r="244" spans="1:30" x14ac:dyDescent="0.25">
      <c r="A244" s="295"/>
      <c r="B244" s="295"/>
      <c r="C244" s="295"/>
      <c r="D244" s="295"/>
      <c r="E244" s="295"/>
      <c r="F244" s="294"/>
      <c r="G244" s="296"/>
      <c r="H244" s="294"/>
      <c r="I244" s="294"/>
      <c r="J244" s="295"/>
      <c r="K244" s="294"/>
      <c r="L244" s="295"/>
      <c r="M244" s="295"/>
      <c r="N244" s="294"/>
      <c r="O244" s="294"/>
      <c r="P244" s="294"/>
      <c r="Q244" s="294"/>
      <c r="R244" s="294"/>
      <c r="S244" s="295"/>
      <c r="T244" s="294"/>
      <c r="U244" s="335"/>
      <c r="Z244" s="192"/>
      <c r="AD244" s="192"/>
    </row>
    <row r="245" spans="1:30" x14ac:dyDescent="0.25">
      <c r="A245" s="295"/>
      <c r="B245" s="295"/>
      <c r="C245" s="295"/>
      <c r="D245" s="295"/>
      <c r="E245" s="295"/>
      <c r="F245" s="294"/>
      <c r="G245" s="296"/>
      <c r="H245" s="294"/>
      <c r="I245" s="294"/>
      <c r="J245" s="295"/>
      <c r="K245" s="294"/>
      <c r="L245" s="295"/>
      <c r="M245" s="295"/>
      <c r="N245" s="294"/>
      <c r="O245" s="294"/>
      <c r="P245" s="294"/>
      <c r="Q245" s="294"/>
      <c r="R245" s="294"/>
      <c r="S245" s="295"/>
      <c r="T245" s="294"/>
      <c r="U245" s="335"/>
      <c r="Z245" s="192"/>
      <c r="AD245" s="192"/>
    </row>
    <row r="246" spans="1:30" x14ac:dyDescent="0.25">
      <c r="A246" s="295"/>
      <c r="B246" s="295"/>
      <c r="C246" s="295"/>
      <c r="D246" s="295"/>
      <c r="E246" s="295"/>
      <c r="F246" s="294"/>
      <c r="G246" s="296"/>
      <c r="H246" s="294"/>
      <c r="I246" s="294"/>
      <c r="J246" s="295"/>
      <c r="K246" s="294"/>
      <c r="L246" s="295"/>
      <c r="M246" s="295"/>
      <c r="N246" s="294"/>
      <c r="O246" s="294"/>
      <c r="P246" s="294"/>
      <c r="Q246" s="294"/>
      <c r="R246" s="294"/>
      <c r="S246" s="295"/>
      <c r="T246" s="294"/>
      <c r="U246" s="335"/>
      <c r="Z246" s="192"/>
      <c r="AD246" s="192"/>
    </row>
    <row r="247" spans="1:30" x14ac:dyDescent="0.25">
      <c r="A247" s="295"/>
      <c r="B247" s="295"/>
      <c r="C247" s="295"/>
      <c r="D247" s="295"/>
      <c r="E247" s="295"/>
      <c r="F247" s="294"/>
      <c r="G247" s="296"/>
      <c r="H247" s="294"/>
      <c r="I247" s="294"/>
      <c r="J247" s="295"/>
      <c r="K247" s="294"/>
      <c r="L247" s="295"/>
      <c r="M247" s="295"/>
      <c r="N247" s="294"/>
      <c r="O247" s="294"/>
      <c r="P247" s="294"/>
      <c r="Q247" s="294"/>
      <c r="R247" s="294"/>
      <c r="S247" s="295"/>
      <c r="T247" s="294"/>
      <c r="U247" s="335"/>
      <c r="Z247" s="192"/>
      <c r="AD247" s="192"/>
    </row>
    <row r="248" spans="1:30" x14ac:dyDescent="0.25">
      <c r="A248" s="295"/>
      <c r="B248" s="295"/>
      <c r="C248" s="295"/>
      <c r="D248" s="295"/>
      <c r="E248" s="295"/>
      <c r="F248" s="294"/>
      <c r="G248" s="296"/>
      <c r="H248" s="294"/>
      <c r="I248" s="294"/>
      <c r="J248" s="295"/>
      <c r="K248" s="294"/>
      <c r="L248" s="295"/>
      <c r="M248" s="295"/>
      <c r="N248" s="294"/>
      <c r="O248" s="294"/>
      <c r="P248" s="294"/>
      <c r="Q248" s="294"/>
      <c r="R248" s="294"/>
      <c r="S248" s="295"/>
      <c r="T248" s="294"/>
      <c r="U248" s="335"/>
      <c r="Z248" s="192"/>
      <c r="AD248" s="192"/>
    </row>
    <row r="249" spans="1:30" x14ac:dyDescent="0.25">
      <c r="A249" s="295"/>
      <c r="B249" s="295"/>
      <c r="C249" s="295"/>
      <c r="D249" s="295"/>
      <c r="E249" s="295"/>
      <c r="F249" s="294"/>
      <c r="G249" s="296"/>
      <c r="H249" s="294"/>
      <c r="I249" s="294"/>
      <c r="J249" s="295"/>
      <c r="K249" s="294"/>
      <c r="L249" s="295"/>
      <c r="M249" s="295"/>
      <c r="N249" s="294"/>
      <c r="O249" s="294"/>
      <c r="P249" s="294"/>
      <c r="Q249" s="294"/>
      <c r="R249" s="294"/>
      <c r="S249" s="295"/>
      <c r="T249" s="294"/>
      <c r="U249" s="335"/>
      <c r="Z249" s="192"/>
      <c r="AD249" s="192"/>
    </row>
    <row r="250" spans="1:30" x14ac:dyDescent="0.25">
      <c r="A250" s="295"/>
      <c r="B250" s="295"/>
      <c r="C250" s="295"/>
      <c r="D250" s="295"/>
      <c r="E250" s="295"/>
      <c r="F250" s="294"/>
      <c r="G250" s="296"/>
      <c r="H250" s="294"/>
      <c r="I250" s="294"/>
      <c r="J250" s="295"/>
      <c r="K250" s="294"/>
      <c r="L250" s="295"/>
      <c r="M250" s="295"/>
      <c r="N250" s="294"/>
      <c r="O250" s="294"/>
      <c r="P250" s="294"/>
      <c r="Q250" s="294"/>
      <c r="R250" s="294"/>
      <c r="S250" s="295"/>
      <c r="T250" s="294"/>
      <c r="U250" s="335"/>
      <c r="Z250" s="192"/>
      <c r="AD250" s="192"/>
    </row>
    <row r="251" spans="1:30" x14ac:dyDescent="0.25">
      <c r="A251" s="295"/>
      <c r="B251" s="295"/>
      <c r="C251" s="295"/>
      <c r="D251" s="295"/>
      <c r="E251" s="295"/>
      <c r="F251" s="294"/>
      <c r="G251" s="296"/>
      <c r="H251" s="294"/>
      <c r="I251" s="294"/>
      <c r="J251" s="295"/>
      <c r="K251" s="294"/>
      <c r="L251" s="295"/>
      <c r="M251" s="295"/>
      <c r="N251" s="294"/>
      <c r="O251" s="294"/>
      <c r="P251" s="294"/>
      <c r="Q251" s="294"/>
      <c r="R251" s="294"/>
      <c r="S251" s="295"/>
      <c r="T251" s="294"/>
      <c r="U251" s="335"/>
      <c r="Z251" s="192"/>
      <c r="AD251" s="192"/>
    </row>
    <row r="252" spans="1:30" x14ac:dyDescent="0.25">
      <c r="M252" s="240" t="str">
        <f t="shared" ref="M252:M315" si="3">MID(L252,8,6)</f>
        <v/>
      </c>
      <c r="Z252" s="192"/>
      <c r="AD252" s="192"/>
    </row>
    <row r="253" spans="1:30" x14ac:dyDescent="0.25">
      <c r="M253" s="240" t="str">
        <f t="shared" si="3"/>
        <v/>
      </c>
      <c r="Z253" s="192"/>
      <c r="AD253" s="192"/>
    </row>
    <row r="254" spans="1:30" x14ac:dyDescent="0.25">
      <c r="M254" s="240" t="str">
        <f t="shared" si="3"/>
        <v/>
      </c>
      <c r="Z254" s="192"/>
      <c r="AD254" s="192"/>
    </row>
    <row r="255" spans="1:30" x14ac:dyDescent="0.25">
      <c r="M255" s="240" t="str">
        <f t="shared" si="3"/>
        <v/>
      </c>
      <c r="Z255" s="192"/>
      <c r="AD255" s="192"/>
    </row>
    <row r="256" spans="1:30" x14ac:dyDescent="0.25">
      <c r="M256" s="240" t="str">
        <f t="shared" si="3"/>
        <v/>
      </c>
      <c r="Z256" s="192"/>
      <c r="AD256" s="192"/>
    </row>
    <row r="257" spans="13:21" s="192" customFormat="1" x14ac:dyDescent="0.25">
      <c r="M257" s="240" t="str">
        <f t="shared" si="3"/>
        <v/>
      </c>
      <c r="N257" s="261"/>
      <c r="O257" s="261"/>
      <c r="P257" s="261"/>
      <c r="Q257" s="261"/>
      <c r="R257" s="261"/>
      <c r="S257" s="259"/>
      <c r="T257" s="261"/>
      <c r="U257" s="336"/>
    </row>
    <row r="258" spans="13:21" s="192" customFormat="1" x14ac:dyDescent="0.25">
      <c r="M258" s="240" t="str">
        <f t="shared" si="3"/>
        <v/>
      </c>
      <c r="N258" s="261"/>
      <c r="O258" s="261"/>
      <c r="P258" s="261"/>
      <c r="Q258" s="261"/>
      <c r="R258" s="261"/>
      <c r="S258" s="259"/>
      <c r="T258" s="261"/>
      <c r="U258" s="336"/>
    </row>
    <row r="259" spans="13:21" s="192" customFormat="1" x14ac:dyDescent="0.25">
      <c r="M259" s="240" t="str">
        <f t="shared" si="3"/>
        <v/>
      </c>
      <c r="N259" s="261"/>
      <c r="O259" s="261"/>
      <c r="P259" s="261"/>
      <c r="Q259" s="261"/>
      <c r="R259" s="261"/>
      <c r="S259" s="259"/>
      <c r="T259" s="261"/>
      <c r="U259" s="336"/>
    </row>
    <row r="260" spans="13:21" s="192" customFormat="1" x14ac:dyDescent="0.25">
      <c r="M260" s="240" t="str">
        <f t="shared" si="3"/>
        <v/>
      </c>
      <c r="N260" s="261"/>
      <c r="O260" s="261"/>
      <c r="P260" s="261"/>
      <c r="Q260" s="261"/>
      <c r="R260" s="261"/>
      <c r="S260" s="259"/>
      <c r="T260" s="261"/>
      <c r="U260" s="336"/>
    </row>
    <row r="261" spans="13:21" s="192" customFormat="1" x14ac:dyDescent="0.25">
      <c r="M261" s="240" t="str">
        <f t="shared" si="3"/>
        <v/>
      </c>
      <c r="N261" s="261"/>
      <c r="O261" s="261"/>
      <c r="P261" s="261"/>
      <c r="Q261" s="261"/>
      <c r="R261" s="261"/>
      <c r="S261" s="259"/>
      <c r="T261" s="261"/>
      <c r="U261" s="336"/>
    </row>
    <row r="262" spans="13:21" s="192" customFormat="1" x14ac:dyDescent="0.25">
      <c r="M262" s="240" t="str">
        <f t="shared" si="3"/>
        <v/>
      </c>
      <c r="N262" s="261"/>
      <c r="O262" s="261"/>
      <c r="P262" s="261"/>
      <c r="Q262" s="261"/>
      <c r="R262" s="261"/>
      <c r="S262" s="259"/>
      <c r="T262" s="261"/>
      <c r="U262" s="336"/>
    </row>
    <row r="263" spans="13:21" s="192" customFormat="1" x14ac:dyDescent="0.25">
      <c r="M263" s="240" t="str">
        <f t="shared" si="3"/>
        <v/>
      </c>
      <c r="N263" s="261"/>
      <c r="O263" s="261"/>
      <c r="P263" s="261"/>
      <c r="Q263" s="261"/>
      <c r="R263" s="261"/>
      <c r="S263" s="259"/>
      <c r="T263" s="261"/>
      <c r="U263" s="336"/>
    </row>
    <row r="264" spans="13:21" s="192" customFormat="1" x14ac:dyDescent="0.25">
      <c r="M264" s="240" t="str">
        <f t="shared" si="3"/>
        <v/>
      </c>
      <c r="N264" s="261"/>
      <c r="O264" s="261"/>
      <c r="P264" s="261"/>
      <c r="Q264" s="261"/>
      <c r="R264" s="261"/>
      <c r="S264" s="259"/>
      <c r="T264" s="261"/>
      <c r="U264" s="336"/>
    </row>
    <row r="265" spans="13:21" s="192" customFormat="1" x14ac:dyDescent="0.25">
      <c r="M265" s="240" t="str">
        <f t="shared" si="3"/>
        <v/>
      </c>
      <c r="N265" s="261"/>
      <c r="O265" s="261"/>
      <c r="P265" s="261"/>
      <c r="Q265" s="261"/>
      <c r="R265" s="261"/>
      <c r="S265" s="259"/>
      <c r="T265" s="261"/>
      <c r="U265" s="336"/>
    </row>
    <row r="266" spans="13:21" s="192" customFormat="1" x14ac:dyDescent="0.25">
      <c r="M266" s="240" t="str">
        <f t="shared" si="3"/>
        <v/>
      </c>
      <c r="N266" s="261"/>
      <c r="O266" s="261"/>
      <c r="P266" s="261"/>
      <c r="Q266" s="261"/>
      <c r="R266" s="261"/>
      <c r="S266" s="259"/>
      <c r="T266" s="261"/>
      <c r="U266" s="336"/>
    </row>
    <row r="267" spans="13:21" s="192" customFormat="1" x14ac:dyDescent="0.25">
      <c r="M267" s="240" t="str">
        <f t="shared" si="3"/>
        <v/>
      </c>
      <c r="N267" s="261"/>
      <c r="O267" s="261"/>
      <c r="P267" s="261"/>
      <c r="Q267" s="261"/>
      <c r="R267" s="261"/>
      <c r="S267" s="259"/>
      <c r="T267" s="261"/>
      <c r="U267" s="336"/>
    </row>
    <row r="268" spans="13:21" s="192" customFormat="1" x14ac:dyDescent="0.25">
      <c r="M268" s="240" t="str">
        <f t="shared" si="3"/>
        <v/>
      </c>
      <c r="N268" s="261"/>
      <c r="O268" s="261"/>
      <c r="P268" s="261"/>
      <c r="Q268" s="261"/>
      <c r="R268" s="261"/>
      <c r="S268" s="259"/>
      <c r="T268" s="261"/>
      <c r="U268" s="336"/>
    </row>
    <row r="269" spans="13:21" s="192" customFormat="1" x14ac:dyDescent="0.25">
      <c r="M269" s="240" t="str">
        <f t="shared" si="3"/>
        <v/>
      </c>
      <c r="N269" s="261"/>
      <c r="O269" s="261"/>
      <c r="P269" s="261"/>
      <c r="Q269" s="261"/>
      <c r="R269" s="261"/>
      <c r="S269" s="259"/>
      <c r="T269" s="261"/>
      <c r="U269" s="336"/>
    </row>
    <row r="270" spans="13:21" s="192" customFormat="1" x14ac:dyDescent="0.25">
      <c r="M270" s="240" t="str">
        <f t="shared" si="3"/>
        <v/>
      </c>
      <c r="N270" s="261"/>
      <c r="O270" s="261"/>
      <c r="P270" s="261"/>
      <c r="Q270" s="261"/>
      <c r="R270" s="261"/>
      <c r="S270" s="259"/>
      <c r="T270" s="261"/>
      <c r="U270" s="336"/>
    </row>
    <row r="271" spans="13:21" s="192" customFormat="1" x14ac:dyDescent="0.25">
      <c r="M271" s="240" t="str">
        <f t="shared" si="3"/>
        <v/>
      </c>
      <c r="N271" s="261"/>
      <c r="O271" s="261"/>
      <c r="P271" s="261"/>
      <c r="Q271" s="261"/>
      <c r="R271" s="261"/>
      <c r="S271" s="259"/>
      <c r="T271" s="261"/>
      <c r="U271" s="336"/>
    </row>
    <row r="272" spans="13:21" s="192" customFormat="1" x14ac:dyDescent="0.25">
      <c r="M272" s="240" t="str">
        <f t="shared" si="3"/>
        <v/>
      </c>
      <c r="N272" s="261"/>
      <c r="O272" s="261"/>
      <c r="P272" s="261"/>
      <c r="Q272" s="261"/>
      <c r="R272" s="261"/>
      <c r="S272" s="259"/>
      <c r="T272" s="261"/>
      <c r="U272" s="336"/>
    </row>
    <row r="273" spans="13:21" s="192" customFormat="1" x14ac:dyDescent="0.25">
      <c r="M273" s="240" t="str">
        <f t="shared" si="3"/>
        <v/>
      </c>
      <c r="N273" s="261"/>
      <c r="O273" s="261"/>
      <c r="P273" s="261"/>
      <c r="Q273" s="261"/>
      <c r="R273" s="261"/>
      <c r="S273" s="259"/>
      <c r="T273" s="261"/>
      <c r="U273" s="336"/>
    </row>
    <row r="274" spans="13:21" s="192" customFormat="1" x14ac:dyDescent="0.25">
      <c r="M274" s="240" t="str">
        <f t="shared" si="3"/>
        <v/>
      </c>
      <c r="N274" s="261"/>
      <c r="O274" s="261"/>
      <c r="P274" s="261"/>
      <c r="Q274" s="261"/>
      <c r="R274" s="261"/>
      <c r="S274" s="259"/>
      <c r="T274" s="261"/>
      <c r="U274" s="336"/>
    </row>
    <row r="275" spans="13:21" s="192" customFormat="1" x14ac:dyDescent="0.25">
      <c r="M275" s="240" t="str">
        <f t="shared" si="3"/>
        <v/>
      </c>
      <c r="N275" s="261"/>
      <c r="O275" s="261"/>
      <c r="P275" s="261"/>
      <c r="Q275" s="261"/>
      <c r="R275" s="261"/>
      <c r="S275" s="259"/>
      <c r="T275" s="261"/>
      <c r="U275" s="336"/>
    </row>
    <row r="276" spans="13:21" s="192" customFormat="1" x14ac:dyDescent="0.25">
      <c r="M276" s="240" t="str">
        <f t="shared" si="3"/>
        <v/>
      </c>
      <c r="N276" s="261"/>
      <c r="O276" s="261"/>
      <c r="P276" s="261"/>
      <c r="Q276" s="261"/>
      <c r="R276" s="261"/>
      <c r="S276" s="259"/>
      <c r="T276" s="261"/>
      <c r="U276" s="336"/>
    </row>
    <row r="277" spans="13:21" s="192" customFormat="1" x14ac:dyDescent="0.25">
      <c r="M277" s="240" t="str">
        <f t="shared" si="3"/>
        <v/>
      </c>
      <c r="N277" s="261"/>
      <c r="O277" s="261"/>
      <c r="P277" s="261"/>
      <c r="Q277" s="261"/>
      <c r="R277" s="261"/>
      <c r="S277" s="259"/>
      <c r="T277" s="261"/>
      <c r="U277" s="336"/>
    </row>
    <row r="278" spans="13:21" s="192" customFormat="1" x14ac:dyDescent="0.25">
      <c r="M278" s="240" t="str">
        <f t="shared" si="3"/>
        <v/>
      </c>
      <c r="N278" s="261"/>
      <c r="O278" s="261"/>
      <c r="P278" s="261"/>
      <c r="Q278" s="261"/>
      <c r="R278" s="261"/>
      <c r="S278" s="259"/>
      <c r="T278" s="261"/>
      <c r="U278" s="336"/>
    </row>
    <row r="279" spans="13:21" s="192" customFormat="1" x14ac:dyDescent="0.25">
      <c r="M279" s="240" t="str">
        <f t="shared" si="3"/>
        <v/>
      </c>
      <c r="N279" s="261"/>
      <c r="O279" s="261"/>
      <c r="P279" s="261"/>
      <c r="Q279" s="261"/>
      <c r="R279" s="261"/>
      <c r="S279" s="259"/>
      <c r="T279" s="261"/>
      <c r="U279" s="336"/>
    </row>
    <row r="280" spans="13:21" s="192" customFormat="1" x14ac:dyDescent="0.25">
      <c r="M280" s="240" t="str">
        <f t="shared" si="3"/>
        <v/>
      </c>
      <c r="N280" s="261"/>
      <c r="O280" s="261"/>
      <c r="P280" s="261"/>
      <c r="Q280" s="261"/>
      <c r="R280" s="261"/>
      <c r="S280" s="259"/>
      <c r="T280" s="261"/>
      <c r="U280" s="336"/>
    </row>
    <row r="281" spans="13:21" s="192" customFormat="1" x14ac:dyDescent="0.25">
      <c r="M281" s="240" t="str">
        <f t="shared" si="3"/>
        <v/>
      </c>
      <c r="N281" s="261"/>
      <c r="O281" s="261"/>
      <c r="P281" s="261"/>
      <c r="Q281" s="261"/>
      <c r="R281" s="261"/>
      <c r="S281" s="259"/>
      <c r="T281" s="261"/>
      <c r="U281" s="336"/>
    </row>
    <row r="282" spans="13:21" s="192" customFormat="1" x14ac:dyDescent="0.25">
      <c r="M282" s="240" t="str">
        <f t="shared" si="3"/>
        <v/>
      </c>
      <c r="N282" s="261"/>
      <c r="O282" s="261"/>
      <c r="P282" s="261"/>
      <c r="Q282" s="261"/>
      <c r="R282" s="261"/>
      <c r="S282" s="259"/>
      <c r="T282" s="261"/>
      <c r="U282" s="336"/>
    </row>
    <row r="283" spans="13:21" s="192" customFormat="1" x14ac:dyDescent="0.25">
      <c r="M283" s="240" t="str">
        <f t="shared" si="3"/>
        <v/>
      </c>
      <c r="N283" s="261"/>
      <c r="O283" s="261"/>
      <c r="P283" s="261"/>
      <c r="Q283" s="261"/>
      <c r="R283" s="261"/>
      <c r="S283" s="259"/>
      <c r="T283" s="261"/>
      <c r="U283" s="336"/>
    </row>
    <row r="284" spans="13:21" s="192" customFormat="1" x14ac:dyDescent="0.25">
      <c r="M284" s="240" t="str">
        <f t="shared" si="3"/>
        <v/>
      </c>
      <c r="N284" s="261"/>
      <c r="O284" s="261"/>
      <c r="P284" s="261"/>
      <c r="Q284" s="261"/>
      <c r="R284" s="261"/>
      <c r="S284" s="259"/>
      <c r="T284" s="261"/>
      <c r="U284" s="336"/>
    </row>
    <row r="285" spans="13:21" s="192" customFormat="1" x14ac:dyDescent="0.25">
      <c r="M285" s="240" t="str">
        <f t="shared" si="3"/>
        <v/>
      </c>
      <c r="N285" s="261"/>
      <c r="O285" s="261"/>
      <c r="P285" s="261"/>
      <c r="Q285" s="261"/>
      <c r="R285" s="261"/>
      <c r="S285" s="259"/>
      <c r="T285" s="261"/>
      <c r="U285" s="336"/>
    </row>
    <row r="286" spans="13:21" s="192" customFormat="1" x14ac:dyDescent="0.25">
      <c r="M286" s="240" t="str">
        <f t="shared" si="3"/>
        <v/>
      </c>
      <c r="N286" s="261"/>
      <c r="O286" s="261"/>
      <c r="P286" s="261"/>
      <c r="Q286" s="261"/>
      <c r="R286" s="261"/>
      <c r="S286" s="259"/>
      <c r="T286" s="261"/>
      <c r="U286" s="336"/>
    </row>
    <row r="287" spans="13:21" s="192" customFormat="1" x14ac:dyDescent="0.25">
      <c r="M287" s="240" t="str">
        <f t="shared" si="3"/>
        <v/>
      </c>
      <c r="N287" s="261"/>
      <c r="O287" s="261"/>
      <c r="P287" s="261"/>
      <c r="Q287" s="261"/>
      <c r="R287" s="261"/>
      <c r="S287" s="259"/>
      <c r="T287" s="261"/>
      <c r="U287" s="336"/>
    </row>
    <row r="288" spans="13:21" s="192" customFormat="1" x14ac:dyDescent="0.25">
      <c r="M288" s="240" t="str">
        <f t="shared" si="3"/>
        <v/>
      </c>
      <c r="N288" s="261"/>
      <c r="O288" s="261"/>
      <c r="P288" s="261"/>
      <c r="Q288" s="261"/>
      <c r="R288" s="261"/>
      <c r="S288" s="259"/>
      <c r="T288" s="261"/>
      <c r="U288" s="336"/>
    </row>
    <row r="289" spans="13:21" s="192" customFormat="1" x14ac:dyDescent="0.25">
      <c r="M289" s="240" t="str">
        <f t="shared" si="3"/>
        <v/>
      </c>
      <c r="N289" s="261"/>
      <c r="O289" s="261"/>
      <c r="P289" s="261"/>
      <c r="Q289" s="261"/>
      <c r="R289" s="261"/>
      <c r="S289" s="259"/>
      <c r="T289" s="261"/>
      <c r="U289" s="336"/>
    </row>
    <row r="290" spans="13:21" s="192" customFormat="1" x14ac:dyDescent="0.25">
      <c r="M290" s="240" t="str">
        <f t="shared" si="3"/>
        <v/>
      </c>
      <c r="N290" s="261"/>
      <c r="O290" s="261"/>
      <c r="P290" s="261"/>
      <c r="Q290" s="261"/>
      <c r="R290" s="261"/>
      <c r="S290" s="259"/>
      <c r="T290" s="261"/>
      <c r="U290" s="336"/>
    </row>
    <row r="291" spans="13:21" s="192" customFormat="1" x14ac:dyDescent="0.25">
      <c r="M291" s="240" t="str">
        <f t="shared" si="3"/>
        <v/>
      </c>
      <c r="N291" s="261"/>
      <c r="O291" s="261"/>
      <c r="P291" s="261"/>
      <c r="Q291" s="261"/>
      <c r="R291" s="261"/>
      <c r="S291" s="259"/>
      <c r="T291" s="261"/>
      <c r="U291" s="336"/>
    </row>
    <row r="292" spans="13:21" s="192" customFormat="1" x14ac:dyDescent="0.25">
      <c r="M292" s="240" t="str">
        <f t="shared" si="3"/>
        <v/>
      </c>
      <c r="N292" s="261"/>
      <c r="O292" s="261"/>
      <c r="P292" s="261"/>
      <c r="Q292" s="261"/>
      <c r="R292" s="261"/>
      <c r="S292" s="259"/>
      <c r="T292" s="261"/>
      <c r="U292" s="336"/>
    </row>
    <row r="293" spans="13:21" s="192" customFormat="1" x14ac:dyDescent="0.25">
      <c r="M293" s="240" t="str">
        <f t="shared" si="3"/>
        <v/>
      </c>
      <c r="N293" s="261"/>
      <c r="O293" s="261"/>
      <c r="P293" s="261"/>
      <c r="Q293" s="261"/>
      <c r="R293" s="261"/>
      <c r="S293" s="259"/>
      <c r="T293" s="261"/>
      <c r="U293" s="336"/>
    </row>
    <row r="294" spans="13:21" s="192" customFormat="1" x14ac:dyDescent="0.25">
      <c r="M294" s="240" t="str">
        <f t="shared" si="3"/>
        <v/>
      </c>
      <c r="N294" s="261"/>
      <c r="O294" s="261"/>
      <c r="P294" s="261"/>
      <c r="Q294" s="261"/>
      <c r="R294" s="261"/>
      <c r="S294" s="259"/>
      <c r="T294" s="261"/>
      <c r="U294" s="336"/>
    </row>
    <row r="295" spans="13:21" s="192" customFormat="1" x14ac:dyDescent="0.25">
      <c r="M295" s="240" t="str">
        <f t="shared" si="3"/>
        <v/>
      </c>
      <c r="N295" s="261"/>
      <c r="O295" s="261"/>
      <c r="P295" s="261"/>
      <c r="Q295" s="261"/>
      <c r="R295" s="261"/>
      <c r="S295" s="259"/>
      <c r="T295" s="261"/>
      <c r="U295" s="336"/>
    </row>
    <row r="296" spans="13:21" s="192" customFormat="1" x14ac:dyDescent="0.25">
      <c r="M296" s="240" t="str">
        <f t="shared" si="3"/>
        <v/>
      </c>
      <c r="N296" s="261"/>
      <c r="O296" s="261"/>
      <c r="P296" s="261"/>
      <c r="Q296" s="261"/>
      <c r="R296" s="261"/>
      <c r="S296" s="259"/>
      <c r="T296" s="261"/>
      <c r="U296" s="336"/>
    </row>
    <row r="297" spans="13:21" s="192" customFormat="1" x14ac:dyDescent="0.25">
      <c r="M297" s="240" t="str">
        <f t="shared" si="3"/>
        <v/>
      </c>
      <c r="N297" s="261"/>
      <c r="O297" s="261"/>
      <c r="P297" s="261"/>
      <c r="Q297" s="261"/>
      <c r="R297" s="261"/>
      <c r="S297" s="259"/>
      <c r="T297" s="261"/>
      <c r="U297" s="336"/>
    </row>
    <row r="298" spans="13:21" s="192" customFormat="1" x14ac:dyDescent="0.25">
      <c r="M298" s="240" t="str">
        <f t="shared" si="3"/>
        <v/>
      </c>
      <c r="N298" s="261"/>
      <c r="O298" s="261"/>
      <c r="P298" s="261"/>
      <c r="Q298" s="261"/>
      <c r="R298" s="261"/>
      <c r="S298" s="259"/>
      <c r="T298" s="261"/>
      <c r="U298" s="336"/>
    </row>
    <row r="299" spans="13:21" s="192" customFormat="1" x14ac:dyDescent="0.25">
      <c r="M299" s="240" t="str">
        <f t="shared" si="3"/>
        <v/>
      </c>
      <c r="N299" s="261"/>
      <c r="O299" s="261"/>
      <c r="P299" s="261"/>
      <c r="Q299" s="261"/>
      <c r="R299" s="261"/>
      <c r="S299" s="259"/>
      <c r="T299" s="261"/>
      <c r="U299" s="336"/>
    </row>
    <row r="300" spans="13:21" s="192" customFormat="1" x14ac:dyDescent="0.25">
      <c r="M300" s="240" t="str">
        <f t="shared" si="3"/>
        <v/>
      </c>
      <c r="N300" s="261"/>
      <c r="O300" s="261"/>
      <c r="P300" s="261"/>
      <c r="Q300" s="261"/>
      <c r="R300" s="261"/>
      <c r="S300" s="259"/>
      <c r="T300" s="261"/>
      <c r="U300" s="336"/>
    </row>
    <row r="301" spans="13:21" s="192" customFormat="1" x14ac:dyDescent="0.25">
      <c r="M301" s="240" t="str">
        <f t="shared" si="3"/>
        <v/>
      </c>
      <c r="N301" s="261"/>
      <c r="O301" s="261"/>
      <c r="P301" s="261"/>
      <c r="Q301" s="261"/>
      <c r="R301" s="261"/>
      <c r="S301" s="259"/>
      <c r="T301" s="261"/>
      <c r="U301" s="336"/>
    </row>
    <row r="302" spans="13:21" s="192" customFormat="1" x14ac:dyDescent="0.25">
      <c r="M302" s="240" t="str">
        <f t="shared" si="3"/>
        <v/>
      </c>
      <c r="N302" s="261"/>
      <c r="O302" s="261"/>
      <c r="P302" s="261"/>
      <c r="Q302" s="261"/>
      <c r="R302" s="261"/>
      <c r="S302" s="259"/>
      <c r="T302" s="261"/>
      <c r="U302" s="336"/>
    </row>
    <row r="303" spans="13:21" s="192" customFormat="1" x14ac:dyDescent="0.25">
      <c r="M303" s="240" t="str">
        <f t="shared" si="3"/>
        <v/>
      </c>
      <c r="N303" s="261"/>
      <c r="O303" s="261"/>
      <c r="P303" s="261"/>
      <c r="Q303" s="261"/>
      <c r="R303" s="261"/>
      <c r="S303" s="259"/>
      <c r="T303" s="261"/>
      <c r="U303" s="336"/>
    </row>
    <row r="304" spans="13:21" s="192" customFormat="1" x14ac:dyDescent="0.25">
      <c r="M304" s="240" t="str">
        <f t="shared" si="3"/>
        <v/>
      </c>
      <c r="N304" s="261"/>
      <c r="O304" s="261"/>
      <c r="P304" s="261"/>
      <c r="Q304" s="261"/>
      <c r="R304" s="261"/>
      <c r="S304" s="259"/>
      <c r="T304" s="261"/>
      <c r="U304" s="336"/>
    </row>
    <row r="305" spans="13:21" s="192" customFormat="1" x14ac:dyDescent="0.25">
      <c r="M305" s="240" t="str">
        <f t="shared" si="3"/>
        <v/>
      </c>
      <c r="N305" s="261"/>
      <c r="O305" s="261"/>
      <c r="P305" s="261"/>
      <c r="Q305" s="261"/>
      <c r="R305" s="261"/>
      <c r="S305" s="259"/>
      <c r="T305" s="261"/>
      <c r="U305" s="336"/>
    </row>
    <row r="306" spans="13:21" s="192" customFormat="1" x14ac:dyDescent="0.25">
      <c r="M306" s="240" t="str">
        <f t="shared" si="3"/>
        <v/>
      </c>
      <c r="N306" s="261"/>
      <c r="O306" s="261"/>
      <c r="P306" s="261"/>
      <c r="Q306" s="261"/>
      <c r="R306" s="261"/>
      <c r="S306" s="259"/>
      <c r="T306" s="261"/>
      <c r="U306" s="336"/>
    </row>
    <row r="307" spans="13:21" s="192" customFormat="1" x14ac:dyDescent="0.25">
      <c r="M307" s="240" t="str">
        <f t="shared" si="3"/>
        <v/>
      </c>
      <c r="N307" s="261"/>
      <c r="O307" s="261"/>
      <c r="P307" s="261"/>
      <c r="Q307" s="261"/>
      <c r="R307" s="261"/>
      <c r="S307" s="259"/>
      <c r="T307" s="261"/>
      <c r="U307" s="336"/>
    </row>
    <row r="308" spans="13:21" s="192" customFormat="1" x14ac:dyDescent="0.25">
      <c r="M308" s="240" t="str">
        <f t="shared" si="3"/>
        <v/>
      </c>
      <c r="N308" s="261"/>
      <c r="O308" s="261"/>
      <c r="P308" s="261"/>
      <c r="Q308" s="261"/>
      <c r="R308" s="261"/>
      <c r="S308" s="259"/>
      <c r="T308" s="261"/>
      <c r="U308" s="336"/>
    </row>
    <row r="309" spans="13:21" s="192" customFormat="1" x14ac:dyDescent="0.25">
      <c r="M309" s="240" t="str">
        <f t="shared" si="3"/>
        <v/>
      </c>
      <c r="N309" s="261"/>
      <c r="O309" s="261"/>
      <c r="P309" s="261"/>
      <c r="Q309" s="261"/>
      <c r="R309" s="261"/>
      <c r="S309" s="259"/>
      <c r="T309" s="261"/>
      <c r="U309" s="336"/>
    </row>
    <row r="310" spans="13:21" s="192" customFormat="1" x14ac:dyDescent="0.25">
      <c r="M310" s="240" t="str">
        <f t="shared" si="3"/>
        <v/>
      </c>
      <c r="N310" s="261"/>
      <c r="O310" s="261"/>
      <c r="P310" s="261"/>
      <c r="Q310" s="261"/>
      <c r="R310" s="261"/>
      <c r="S310" s="259"/>
      <c r="T310" s="261"/>
      <c r="U310" s="336"/>
    </row>
    <row r="311" spans="13:21" s="192" customFormat="1" x14ac:dyDescent="0.25">
      <c r="M311" s="240" t="str">
        <f t="shared" si="3"/>
        <v/>
      </c>
      <c r="N311" s="261"/>
      <c r="O311" s="261"/>
      <c r="P311" s="261"/>
      <c r="Q311" s="261"/>
      <c r="R311" s="261"/>
      <c r="S311" s="259"/>
      <c r="T311" s="261"/>
      <c r="U311" s="336"/>
    </row>
    <row r="312" spans="13:21" s="192" customFormat="1" x14ac:dyDescent="0.25">
      <c r="M312" s="240" t="str">
        <f t="shared" si="3"/>
        <v/>
      </c>
      <c r="N312" s="261"/>
      <c r="O312" s="261"/>
      <c r="P312" s="261"/>
      <c r="Q312" s="261"/>
      <c r="R312" s="261"/>
      <c r="S312" s="259"/>
      <c r="T312" s="261"/>
      <c r="U312" s="336"/>
    </row>
    <row r="313" spans="13:21" s="192" customFormat="1" x14ac:dyDescent="0.25">
      <c r="M313" s="240" t="str">
        <f t="shared" si="3"/>
        <v/>
      </c>
      <c r="N313" s="261"/>
      <c r="O313" s="261"/>
      <c r="P313" s="261"/>
      <c r="Q313" s="261"/>
      <c r="R313" s="261"/>
      <c r="S313" s="259"/>
      <c r="T313" s="261"/>
      <c r="U313" s="336"/>
    </row>
    <row r="314" spans="13:21" s="192" customFormat="1" x14ac:dyDescent="0.25">
      <c r="M314" s="240" t="str">
        <f t="shared" si="3"/>
        <v/>
      </c>
      <c r="N314" s="261"/>
      <c r="O314" s="261"/>
      <c r="P314" s="261"/>
      <c r="Q314" s="261"/>
      <c r="R314" s="261"/>
      <c r="S314" s="259"/>
      <c r="T314" s="261"/>
      <c r="U314" s="336"/>
    </row>
    <row r="315" spans="13:21" s="192" customFormat="1" x14ac:dyDescent="0.25">
      <c r="M315" s="240" t="str">
        <f t="shared" si="3"/>
        <v/>
      </c>
      <c r="N315" s="261"/>
      <c r="O315" s="261"/>
      <c r="P315" s="261"/>
      <c r="Q315" s="261"/>
      <c r="R315" s="261"/>
      <c r="S315" s="259"/>
      <c r="T315" s="261"/>
      <c r="U315" s="336"/>
    </row>
    <row r="316" spans="13:21" s="192" customFormat="1" x14ac:dyDescent="0.25">
      <c r="M316" s="240" t="str">
        <f t="shared" ref="M316:M361" si="4">MID(L316,8,6)</f>
        <v/>
      </c>
      <c r="N316" s="261"/>
      <c r="O316" s="261"/>
      <c r="P316" s="261"/>
      <c r="Q316" s="261"/>
      <c r="R316" s="261"/>
      <c r="S316" s="259"/>
      <c r="T316" s="261"/>
      <c r="U316" s="336"/>
    </row>
    <row r="317" spans="13:21" s="192" customFormat="1" x14ac:dyDescent="0.25">
      <c r="M317" s="240" t="str">
        <f t="shared" si="4"/>
        <v/>
      </c>
      <c r="N317" s="261"/>
      <c r="O317" s="261"/>
      <c r="P317" s="261"/>
      <c r="Q317" s="261"/>
      <c r="R317" s="261"/>
      <c r="S317" s="259"/>
      <c r="T317" s="261"/>
      <c r="U317" s="336"/>
    </row>
    <row r="318" spans="13:21" s="192" customFormat="1" x14ac:dyDescent="0.25">
      <c r="M318" s="240" t="str">
        <f t="shared" si="4"/>
        <v/>
      </c>
      <c r="N318" s="261"/>
      <c r="O318" s="261"/>
      <c r="P318" s="261"/>
      <c r="Q318" s="261"/>
      <c r="R318" s="261"/>
      <c r="S318" s="259"/>
      <c r="T318" s="261"/>
      <c r="U318" s="336"/>
    </row>
    <row r="319" spans="13:21" s="192" customFormat="1" x14ac:dyDescent="0.25">
      <c r="M319" s="240" t="str">
        <f t="shared" si="4"/>
        <v/>
      </c>
      <c r="N319" s="261"/>
      <c r="O319" s="261"/>
      <c r="P319" s="261"/>
      <c r="Q319" s="261"/>
      <c r="R319" s="261"/>
      <c r="S319" s="259"/>
      <c r="T319" s="261"/>
      <c r="U319" s="336"/>
    </row>
    <row r="320" spans="13:21" s="192" customFormat="1" x14ac:dyDescent="0.25">
      <c r="M320" s="240" t="str">
        <f t="shared" si="4"/>
        <v/>
      </c>
      <c r="N320" s="261"/>
      <c r="O320" s="261"/>
      <c r="P320" s="261"/>
      <c r="Q320" s="261"/>
      <c r="R320" s="261"/>
      <c r="S320" s="259"/>
      <c r="T320" s="261"/>
      <c r="U320" s="336"/>
    </row>
    <row r="321" spans="13:21" s="192" customFormat="1" x14ac:dyDescent="0.25">
      <c r="M321" s="240" t="str">
        <f t="shared" si="4"/>
        <v/>
      </c>
      <c r="N321" s="261"/>
      <c r="O321" s="261"/>
      <c r="P321" s="261"/>
      <c r="Q321" s="261"/>
      <c r="R321" s="261"/>
      <c r="S321" s="259"/>
      <c r="T321" s="261"/>
      <c r="U321" s="336"/>
    </row>
    <row r="322" spans="13:21" s="192" customFormat="1" x14ac:dyDescent="0.25">
      <c r="M322" s="240" t="str">
        <f t="shared" si="4"/>
        <v/>
      </c>
      <c r="N322" s="261"/>
      <c r="O322" s="261"/>
      <c r="P322" s="261"/>
      <c r="Q322" s="261"/>
      <c r="R322" s="261"/>
      <c r="S322" s="259"/>
      <c r="T322" s="261"/>
      <c r="U322" s="336"/>
    </row>
    <row r="323" spans="13:21" s="192" customFormat="1" x14ac:dyDescent="0.25">
      <c r="M323" s="240" t="str">
        <f t="shared" si="4"/>
        <v/>
      </c>
      <c r="N323" s="261"/>
      <c r="O323" s="261"/>
      <c r="P323" s="261"/>
      <c r="Q323" s="261"/>
      <c r="R323" s="261"/>
      <c r="S323" s="259"/>
      <c r="T323" s="261"/>
      <c r="U323" s="336"/>
    </row>
    <row r="324" spans="13:21" s="192" customFormat="1" x14ac:dyDescent="0.25">
      <c r="M324" s="240" t="str">
        <f t="shared" si="4"/>
        <v/>
      </c>
      <c r="N324" s="261"/>
      <c r="O324" s="261"/>
      <c r="P324" s="261"/>
      <c r="Q324" s="261"/>
      <c r="R324" s="261"/>
      <c r="S324" s="259"/>
      <c r="T324" s="261"/>
      <c r="U324" s="336"/>
    </row>
    <row r="325" spans="13:21" s="192" customFormat="1" x14ac:dyDescent="0.25">
      <c r="M325" s="240" t="str">
        <f t="shared" si="4"/>
        <v/>
      </c>
      <c r="N325" s="261"/>
      <c r="O325" s="261"/>
      <c r="P325" s="261"/>
      <c r="Q325" s="261"/>
      <c r="R325" s="261"/>
      <c r="S325" s="259"/>
      <c r="T325" s="261"/>
      <c r="U325" s="336"/>
    </row>
    <row r="326" spans="13:21" s="192" customFormat="1" x14ac:dyDescent="0.25">
      <c r="M326" s="240" t="str">
        <f t="shared" si="4"/>
        <v/>
      </c>
      <c r="N326" s="261"/>
      <c r="O326" s="261"/>
      <c r="P326" s="261"/>
      <c r="Q326" s="261"/>
      <c r="R326" s="261"/>
      <c r="S326" s="259"/>
      <c r="T326" s="261"/>
      <c r="U326" s="336"/>
    </row>
    <row r="327" spans="13:21" s="192" customFormat="1" x14ac:dyDescent="0.25">
      <c r="M327" s="240" t="str">
        <f t="shared" si="4"/>
        <v/>
      </c>
      <c r="N327" s="261"/>
      <c r="O327" s="261"/>
      <c r="P327" s="261"/>
      <c r="Q327" s="261"/>
      <c r="R327" s="261"/>
      <c r="S327" s="259"/>
      <c r="T327" s="261"/>
      <c r="U327" s="336"/>
    </row>
    <row r="328" spans="13:21" s="192" customFormat="1" x14ac:dyDescent="0.25">
      <c r="M328" s="240" t="str">
        <f t="shared" si="4"/>
        <v/>
      </c>
      <c r="N328" s="261"/>
      <c r="O328" s="261"/>
      <c r="P328" s="261"/>
      <c r="Q328" s="261"/>
      <c r="R328" s="261"/>
      <c r="S328" s="259"/>
      <c r="T328" s="261"/>
      <c r="U328" s="336"/>
    </row>
    <row r="329" spans="13:21" s="192" customFormat="1" x14ac:dyDescent="0.25">
      <c r="M329" s="240" t="str">
        <f t="shared" si="4"/>
        <v/>
      </c>
      <c r="N329" s="261"/>
      <c r="O329" s="261"/>
      <c r="P329" s="261"/>
      <c r="Q329" s="261"/>
      <c r="R329" s="261"/>
      <c r="S329" s="259"/>
      <c r="T329" s="261"/>
      <c r="U329" s="336"/>
    </row>
    <row r="330" spans="13:21" s="192" customFormat="1" x14ac:dyDescent="0.25">
      <c r="M330" s="240" t="str">
        <f t="shared" si="4"/>
        <v/>
      </c>
      <c r="N330" s="261"/>
      <c r="O330" s="261"/>
      <c r="P330" s="261"/>
      <c r="Q330" s="261"/>
      <c r="R330" s="261"/>
      <c r="S330" s="259"/>
      <c r="T330" s="261"/>
      <c r="U330" s="336"/>
    </row>
    <row r="331" spans="13:21" s="192" customFormat="1" x14ac:dyDescent="0.25">
      <c r="M331" s="240" t="str">
        <f t="shared" si="4"/>
        <v/>
      </c>
      <c r="N331" s="261"/>
      <c r="O331" s="261"/>
      <c r="P331" s="261"/>
      <c r="Q331" s="261"/>
      <c r="R331" s="261"/>
      <c r="S331" s="259"/>
      <c r="T331" s="261"/>
      <c r="U331" s="336"/>
    </row>
    <row r="332" spans="13:21" s="192" customFormat="1" x14ac:dyDescent="0.25">
      <c r="M332" s="240" t="str">
        <f t="shared" si="4"/>
        <v/>
      </c>
      <c r="N332" s="261"/>
      <c r="O332" s="261"/>
      <c r="P332" s="261"/>
      <c r="Q332" s="261"/>
      <c r="R332" s="261"/>
      <c r="S332" s="259"/>
      <c r="T332" s="261"/>
      <c r="U332" s="336"/>
    </row>
    <row r="333" spans="13:21" s="192" customFormat="1" x14ac:dyDescent="0.25">
      <c r="M333" s="240" t="str">
        <f t="shared" si="4"/>
        <v/>
      </c>
      <c r="N333" s="261"/>
      <c r="O333" s="261"/>
      <c r="P333" s="261"/>
      <c r="Q333" s="261"/>
      <c r="R333" s="261"/>
      <c r="S333" s="259"/>
      <c r="T333" s="261"/>
      <c r="U333" s="336"/>
    </row>
    <row r="334" spans="13:21" s="192" customFormat="1" x14ac:dyDescent="0.25">
      <c r="M334" s="240" t="str">
        <f t="shared" si="4"/>
        <v/>
      </c>
      <c r="N334" s="261"/>
      <c r="O334" s="261"/>
      <c r="P334" s="261"/>
      <c r="Q334" s="261"/>
      <c r="R334" s="261"/>
      <c r="S334" s="259"/>
      <c r="T334" s="261"/>
      <c r="U334" s="336"/>
    </row>
    <row r="335" spans="13:21" s="192" customFormat="1" x14ac:dyDescent="0.25">
      <c r="M335" s="240" t="str">
        <f t="shared" si="4"/>
        <v/>
      </c>
      <c r="N335" s="261"/>
      <c r="O335" s="261"/>
      <c r="P335" s="261"/>
      <c r="Q335" s="261"/>
      <c r="R335" s="261"/>
      <c r="S335" s="259"/>
      <c r="T335" s="261"/>
      <c r="U335" s="336"/>
    </row>
    <row r="336" spans="13:21" s="192" customFormat="1" x14ac:dyDescent="0.25">
      <c r="M336" s="240" t="str">
        <f t="shared" si="4"/>
        <v/>
      </c>
      <c r="N336" s="261"/>
      <c r="O336" s="261"/>
      <c r="P336" s="261"/>
      <c r="Q336" s="261"/>
      <c r="R336" s="261"/>
      <c r="S336" s="259"/>
      <c r="T336" s="261"/>
      <c r="U336" s="336"/>
    </row>
    <row r="337" spans="13:21" s="192" customFormat="1" x14ac:dyDescent="0.25">
      <c r="M337" s="240" t="str">
        <f t="shared" si="4"/>
        <v/>
      </c>
      <c r="N337" s="261"/>
      <c r="O337" s="261"/>
      <c r="P337" s="261"/>
      <c r="Q337" s="261"/>
      <c r="R337" s="261"/>
      <c r="S337" s="259"/>
      <c r="T337" s="261"/>
      <c r="U337" s="336"/>
    </row>
    <row r="338" spans="13:21" s="192" customFormat="1" x14ac:dyDescent="0.25">
      <c r="M338" s="240" t="str">
        <f t="shared" si="4"/>
        <v/>
      </c>
      <c r="N338" s="261"/>
      <c r="O338" s="261"/>
      <c r="P338" s="261"/>
      <c r="Q338" s="261"/>
      <c r="R338" s="261"/>
      <c r="S338" s="259"/>
      <c r="T338" s="261"/>
      <c r="U338" s="336"/>
    </row>
    <row r="339" spans="13:21" s="192" customFormat="1" x14ac:dyDescent="0.25">
      <c r="M339" s="240" t="str">
        <f t="shared" si="4"/>
        <v/>
      </c>
      <c r="N339" s="261"/>
      <c r="O339" s="261"/>
      <c r="P339" s="261"/>
      <c r="Q339" s="261"/>
      <c r="R339" s="261"/>
      <c r="S339" s="259"/>
      <c r="T339" s="261"/>
      <c r="U339" s="336"/>
    </row>
    <row r="340" spans="13:21" s="192" customFormat="1" x14ac:dyDescent="0.25">
      <c r="M340" s="240" t="str">
        <f t="shared" si="4"/>
        <v/>
      </c>
      <c r="N340" s="261"/>
      <c r="O340" s="261"/>
      <c r="P340" s="261"/>
      <c r="Q340" s="261"/>
      <c r="R340" s="261"/>
      <c r="S340" s="259"/>
      <c r="T340" s="261"/>
      <c r="U340" s="336"/>
    </row>
    <row r="341" spans="13:21" s="192" customFormat="1" x14ac:dyDescent="0.25">
      <c r="M341" s="240" t="str">
        <f t="shared" si="4"/>
        <v/>
      </c>
      <c r="N341" s="261"/>
      <c r="O341" s="261"/>
      <c r="P341" s="261"/>
      <c r="Q341" s="261"/>
      <c r="R341" s="261"/>
      <c r="S341" s="259"/>
      <c r="T341" s="261"/>
      <c r="U341" s="336"/>
    </row>
    <row r="342" spans="13:21" s="192" customFormat="1" x14ac:dyDescent="0.25">
      <c r="M342" s="240" t="str">
        <f t="shared" si="4"/>
        <v/>
      </c>
      <c r="N342" s="261"/>
      <c r="O342" s="261"/>
      <c r="P342" s="261"/>
      <c r="Q342" s="261"/>
      <c r="R342" s="261"/>
      <c r="S342" s="259"/>
      <c r="T342" s="261"/>
      <c r="U342" s="336"/>
    </row>
    <row r="343" spans="13:21" s="192" customFormat="1" x14ac:dyDescent="0.25">
      <c r="M343" s="240" t="str">
        <f t="shared" si="4"/>
        <v/>
      </c>
      <c r="N343" s="261"/>
      <c r="O343" s="261"/>
      <c r="P343" s="261"/>
      <c r="Q343" s="261"/>
      <c r="R343" s="261"/>
      <c r="S343" s="259"/>
      <c r="T343" s="261"/>
      <c r="U343" s="336"/>
    </row>
    <row r="344" spans="13:21" s="192" customFormat="1" x14ac:dyDescent="0.25">
      <c r="M344" s="240" t="str">
        <f t="shared" si="4"/>
        <v/>
      </c>
      <c r="N344" s="261"/>
      <c r="O344" s="261"/>
      <c r="P344" s="261"/>
      <c r="Q344" s="261"/>
      <c r="R344" s="261"/>
      <c r="S344" s="259"/>
      <c r="T344" s="261"/>
      <c r="U344" s="336"/>
    </row>
    <row r="345" spans="13:21" s="192" customFormat="1" x14ac:dyDescent="0.25">
      <c r="M345" s="240" t="str">
        <f t="shared" si="4"/>
        <v/>
      </c>
      <c r="N345" s="261"/>
      <c r="O345" s="261"/>
      <c r="P345" s="261"/>
      <c r="Q345" s="261"/>
      <c r="R345" s="261"/>
      <c r="S345" s="259"/>
      <c r="T345" s="261"/>
      <c r="U345" s="336"/>
    </row>
    <row r="346" spans="13:21" s="192" customFormat="1" x14ac:dyDescent="0.25">
      <c r="M346" s="240" t="str">
        <f t="shared" si="4"/>
        <v/>
      </c>
      <c r="N346" s="261"/>
      <c r="O346" s="261"/>
      <c r="P346" s="261"/>
      <c r="Q346" s="261"/>
      <c r="R346" s="261"/>
      <c r="S346" s="259"/>
      <c r="T346" s="261"/>
      <c r="U346" s="336"/>
    </row>
    <row r="347" spans="13:21" s="192" customFormat="1" x14ac:dyDescent="0.25">
      <c r="M347" s="240" t="str">
        <f t="shared" si="4"/>
        <v/>
      </c>
      <c r="N347" s="261"/>
      <c r="O347" s="261"/>
      <c r="P347" s="261"/>
      <c r="Q347" s="261"/>
      <c r="R347" s="261"/>
      <c r="S347" s="259"/>
      <c r="T347" s="261"/>
      <c r="U347" s="336"/>
    </row>
    <row r="348" spans="13:21" s="192" customFormat="1" x14ac:dyDescent="0.25">
      <c r="M348" s="240" t="str">
        <f t="shared" si="4"/>
        <v/>
      </c>
      <c r="N348" s="261"/>
      <c r="O348" s="261"/>
      <c r="P348" s="261"/>
      <c r="Q348" s="261"/>
      <c r="R348" s="261"/>
      <c r="S348" s="259"/>
      <c r="T348" s="261"/>
      <c r="U348" s="336"/>
    </row>
    <row r="349" spans="13:21" s="192" customFormat="1" x14ac:dyDescent="0.25">
      <c r="M349" s="240" t="str">
        <f t="shared" si="4"/>
        <v/>
      </c>
      <c r="N349" s="261"/>
      <c r="O349" s="261"/>
      <c r="P349" s="261"/>
      <c r="Q349" s="261"/>
      <c r="R349" s="261"/>
      <c r="S349" s="259"/>
      <c r="T349" s="261"/>
      <c r="U349" s="336"/>
    </row>
    <row r="350" spans="13:21" s="192" customFormat="1" x14ac:dyDescent="0.25">
      <c r="M350" s="240" t="str">
        <f t="shared" si="4"/>
        <v/>
      </c>
      <c r="N350" s="261"/>
      <c r="O350" s="261"/>
      <c r="P350" s="261"/>
      <c r="Q350" s="261"/>
      <c r="R350" s="261"/>
      <c r="S350" s="259"/>
      <c r="T350" s="261"/>
      <c r="U350" s="336"/>
    </row>
    <row r="351" spans="13:21" s="192" customFormat="1" x14ac:dyDescent="0.25">
      <c r="M351" s="240" t="str">
        <f t="shared" si="4"/>
        <v/>
      </c>
      <c r="N351" s="261"/>
      <c r="O351" s="261"/>
      <c r="P351" s="261"/>
      <c r="Q351" s="261"/>
      <c r="R351" s="261"/>
      <c r="S351" s="259"/>
      <c r="T351" s="261"/>
      <c r="U351" s="336"/>
    </row>
    <row r="352" spans="13:21" s="192" customFormat="1" x14ac:dyDescent="0.25">
      <c r="M352" s="240" t="str">
        <f t="shared" si="4"/>
        <v/>
      </c>
      <c r="N352" s="261"/>
      <c r="O352" s="261"/>
      <c r="P352" s="261"/>
      <c r="Q352" s="261"/>
      <c r="R352" s="261"/>
      <c r="S352" s="259"/>
      <c r="T352" s="261"/>
      <c r="U352" s="336"/>
    </row>
    <row r="353" spans="11:30" s="192" customFormat="1" x14ac:dyDescent="0.25">
      <c r="K353" s="261"/>
      <c r="L353" s="240"/>
      <c r="M353" s="240" t="str">
        <f t="shared" si="4"/>
        <v/>
      </c>
      <c r="N353" s="261"/>
      <c r="O353" s="261"/>
      <c r="P353" s="261"/>
      <c r="Q353" s="261"/>
      <c r="R353" s="261"/>
      <c r="S353" s="259"/>
      <c r="T353" s="261"/>
      <c r="U353" s="336"/>
    </row>
    <row r="354" spans="11:30" s="192" customFormat="1" x14ac:dyDescent="0.25">
      <c r="K354" s="261"/>
      <c r="L354" s="240"/>
      <c r="M354" s="240" t="str">
        <f t="shared" si="4"/>
        <v/>
      </c>
      <c r="N354" s="261"/>
      <c r="O354" s="261"/>
      <c r="P354" s="261"/>
      <c r="Q354" s="261"/>
      <c r="R354" s="261"/>
      <c r="S354" s="259"/>
      <c r="T354" s="261"/>
      <c r="U354" s="336"/>
    </row>
    <row r="355" spans="11:30" s="192" customFormat="1" x14ac:dyDescent="0.25">
      <c r="K355" s="261"/>
      <c r="L355" s="240"/>
      <c r="M355" s="240" t="str">
        <f t="shared" si="4"/>
        <v/>
      </c>
      <c r="N355" s="261"/>
      <c r="O355" s="261"/>
      <c r="P355" s="261"/>
      <c r="Q355" s="261"/>
      <c r="R355" s="261"/>
      <c r="S355" s="259"/>
      <c r="T355" s="261"/>
      <c r="U355" s="336"/>
    </row>
    <row r="356" spans="11:30" s="192" customFormat="1" x14ac:dyDescent="0.25">
      <c r="K356" s="261"/>
      <c r="L356" s="240"/>
      <c r="M356" s="240" t="str">
        <f t="shared" si="4"/>
        <v/>
      </c>
      <c r="N356" s="261"/>
      <c r="O356" s="261"/>
      <c r="P356" s="261"/>
      <c r="Q356" s="261"/>
      <c r="R356" s="261"/>
      <c r="S356" s="259"/>
      <c r="T356" s="261"/>
      <c r="U356" s="336"/>
    </row>
    <row r="357" spans="11:30" s="192" customFormat="1" x14ac:dyDescent="0.25">
      <c r="K357" s="261"/>
      <c r="L357" s="240"/>
      <c r="M357" s="240" t="str">
        <f t="shared" si="4"/>
        <v/>
      </c>
      <c r="N357" s="261"/>
      <c r="O357" s="261"/>
      <c r="P357" s="261"/>
      <c r="Q357" s="261"/>
      <c r="R357" s="261"/>
      <c r="S357" s="259"/>
      <c r="T357" s="261"/>
      <c r="U357" s="336"/>
    </row>
    <row r="358" spans="11:30" s="192" customFormat="1" x14ac:dyDescent="0.25">
      <c r="K358" s="261"/>
      <c r="L358" s="240"/>
      <c r="M358" s="240" t="str">
        <f t="shared" si="4"/>
        <v/>
      </c>
      <c r="N358" s="261"/>
      <c r="O358" s="261"/>
      <c r="P358" s="261"/>
      <c r="Q358" s="261"/>
      <c r="R358" s="261"/>
      <c r="S358" s="259"/>
      <c r="T358" s="261"/>
      <c r="U358" s="336"/>
    </row>
    <row r="359" spans="11:30" s="192" customFormat="1" x14ac:dyDescent="0.25">
      <c r="K359" s="261"/>
      <c r="L359" s="240"/>
      <c r="M359" s="240" t="str">
        <f t="shared" si="4"/>
        <v/>
      </c>
      <c r="N359" s="261"/>
      <c r="O359" s="261"/>
      <c r="P359" s="261"/>
      <c r="Q359" s="261"/>
      <c r="R359" s="261"/>
      <c r="S359" s="259"/>
      <c r="T359" s="261"/>
      <c r="U359" s="336"/>
    </row>
    <row r="360" spans="11:30" s="192" customFormat="1" x14ac:dyDescent="0.25">
      <c r="K360" s="261"/>
      <c r="L360" s="240"/>
      <c r="M360" s="240" t="str">
        <f t="shared" si="4"/>
        <v/>
      </c>
      <c r="N360" s="261"/>
      <c r="O360" s="261"/>
      <c r="P360" s="261"/>
      <c r="Q360" s="261"/>
      <c r="R360" s="261"/>
      <c r="S360" s="259"/>
      <c r="T360" s="261"/>
      <c r="U360" s="336"/>
    </row>
    <row r="361" spans="11:30" s="192" customFormat="1" x14ac:dyDescent="0.25">
      <c r="K361" s="261"/>
      <c r="L361" s="240"/>
      <c r="M361" s="240" t="str">
        <f t="shared" si="4"/>
        <v/>
      </c>
      <c r="N361" s="261"/>
      <c r="O361" s="261"/>
      <c r="P361" s="261"/>
      <c r="Q361" s="261"/>
      <c r="R361" s="261"/>
      <c r="S361" s="259"/>
      <c r="T361" s="261"/>
      <c r="U361" s="336"/>
    </row>
    <row r="362" spans="11:30" s="192" customFormat="1" x14ac:dyDescent="0.25">
      <c r="K362" s="241">
        <f>SUBTOTAL(9,K3:K251)</f>
        <v>3114</v>
      </c>
      <c r="L362" s="240"/>
      <c r="M362" s="240"/>
      <c r="N362" s="261"/>
      <c r="O362" s="261"/>
      <c r="P362" s="261"/>
      <c r="Q362" s="261"/>
      <c r="R362" s="261"/>
      <c r="S362" s="259"/>
      <c r="T362" s="261"/>
      <c r="U362" s="336"/>
      <c r="Z362" s="248"/>
      <c r="AD362" s="248"/>
    </row>
  </sheetData>
  <autoFilter ref="A1:U17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99"/>
  <sheetViews>
    <sheetView zoomScale="80" zoomScaleNormal="80" workbookViewId="0"/>
  </sheetViews>
  <sheetFormatPr defaultRowHeight="15" x14ac:dyDescent="0.25"/>
  <cols>
    <col min="1" max="1" width="57" style="138" customWidth="1"/>
    <col min="2" max="5" width="9.140625" style="28"/>
    <col min="6" max="6" width="9.140625" style="336"/>
    <col min="7" max="35" width="9.140625" style="28"/>
    <col min="36" max="36" width="18.85546875" style="365" customWidth="1"/>
    <col min="37" max="37" width="9.140625" style="28"/>
    <col min="38" max="38" width="22.28515625" style="28" customWidth="1"/>
    <col min="39" max="39" width="9.140625" style="28"/>
    <col min="40" max="40" width="2.28515625" style="28" customWidth="1"/>
    <col min="41" max="16384" width="9.140625" style="28"/>
  </cols>
  <sheetData>
    <row r="1" spans="1:39" x14ac:dyDescent="0.25">
      <c r="A1" s="62">
        <v>1</v>
      </c>
      <c r="B1" s="62">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c r="X1" s="62">
        <v>24</v>
      </c>
      <c r="Y1" s="62">
        <v>25</v>
      </c>
      <c r="Z1" s="62">
        <v>26</v>
      </c>
      <c r="AA1" s="62">
        <v>27</v>
      </c>
      <c r="AB1" s="62">
        <v>28</v>
      </c>
      <c r="AC1" s="62">
        <v>29</v>
      </c>
      <c r="AD1" s="62">
        <v>30</v>
      </c>
      <c r="AE1" s="62">
        <v>31</v>
      </c>
      <c r="AF1" s="62">
        <v>32</v>
      </c>
      <c r="AG1" s="62">
        <v>33</v>
      </c>
      <c r="AH1" s="62">
        <v>34</v>
      </c>
      <c r="AI1" s="62">
        <v>35</v>
      </c>
      <c r="AJ1" s="366">
        <v>36</v>
      </c>
    </row>
    <row r="2" spans="1:39" x14ac:dyDescent="0.25">
      <c r="A2" s="158" t="s">
        <v>176</v>
      </c>
      <c r="B2" s="62" t="s">
        <v>177</v>
      </c>
      <c r="C2" s="62" t="s">
        <v>178</v>
      </c>
      <c r="D2" s="62" t="s">
        <v>179</v>
      </c>
      <c r="E2" s="62" t="s">
        <v>900</v>
      </c>
      <c r="F2" s="62" t="s">
        <v>181</v>
      </c>
      <c r="G2" s="62" t="s">
        <v>182</v>
      </c>
      <c r="H2" s="62" t="s">
        <v>183</v>
      </c>
      <c r="I2" s="62" t="s">
        <v>184</v>
      </c>
      <c r="J2" s="62" t="s">
        <v>185</v>
      </c>
      <c r="K2" s="62" t="s">
        <v>186</v>
      </c>
      <c r="L2" s="62" t="s">
        <v>4700</v>
      </c>
      <c r="M2" s="62" t="s">
        <v>6391</v>
      </c>
      <c r="N2" s="62" t="s">
        <v>6930</v>
      </c>
      <c r="O2" s="62" t="s">
        <v>6931</v>
      </c>
      <c r="P2" s="62" t="s">
        <v>4701</v>
      </c>
      <c r="Q2" s="62" t="s">
        <v>6932</v>
      </c>
      <c r="R2" s="62" t="s">
        <v>6933</v>
      </c>
      <c r="S2" s="62" t="s">
        <v>1726</v>
      </c>
      <c r="T2" s="62" t="s">
        <v>4702</v>
      </c>
      <c r="U2" s="62" t="s">
        <v>187</v>
      </c>
      <c r="V2" s="62" t="s">
        <v>6934</v>
      </c>
      <c r="W2" s="62" t="s">
        <v>4703</v>
      </c>
      <c r="X2" s="62" t="s">
        <v>6935</v>
      </c>
      <c r="Y2" s="62" t="s">
        <v>4704</v>
      </c>
      <c r="Z2" s="62" t="s">
        <v>6936</v>
      </c>
      <c r="AA2" s="62" t="s">
        <v>6937</v>
      </c>
      <c r="AB2" s="62" t="s">
        <v>6938</v>
      </c>
      <c r="AC2" s="62" t="s">
        <v>6939</v>
      </c>
      <c r="AD2" s="62" t="s">
        <v>6940</v>
      </c>
      <c r="AE2" s="62" t="s">
        <v>4705</v>
      </c>
      <c r="AF2" s="62" t="s">
        <v>4706</v>
      </c>
      <c r="AG2" s="62" t="s">
        <v>6941</v>
      </c>
      <c r="AH2" s="62" t="s">
        <v>6942</v>
      </c>
      <c r="AI2" s="62" t="s">
        <v>6943</v>
      </c>
      <c r="AJ2" s="366"/>
    </row>
    <row r="3" spans="1:39" x14ac:dyDescent="0.25">
      <c r="A3" s="35" t="s">
        <v>6944</v>
      </c>
      <c r="B3" s="30" t="s">
        <v>6945</v>
      </c>
      <c r="C3" s="30" t="s">
        <v>6946</v>
      </c>
      <c r="D3" s="30" t="s">
        <v>6947</v>
      </c>
      <c r="E3" s="30" t="s">
        <v>233</v>
      </c>
      <c r="F3" s="333">
        <v>1</v>
      </c>
      <c r="G3" s="30" t="s">
        <v>193</v>
      </c>
      <c r="H3" s="30" t="s">
        <v>194</v>
      </c>
      <c r="I3" s="30" t="s">
        <v>6948</v>
      </c>
      <c r="J3" s="30" t="s">
        <v>210</v>
      </c>
      <c r="K3" s="30">
        <v>18</v>
      </c>
      <c r="L3" s="30" t="s">
        <v>6949</v>
      </c>
      <c r="M3" s="30" t="s">
        <v>6277</v>
      </c>
      <c r="N3" s="30" t="s">
        <v>6950</v>
      </c>
      <c r="O3" s="30" t="s">
        <v>6951</v>
      </c>
      <c r="P3" s="30" t="s">
        <v>6952</v>
      </c>
      <c r="Q3" s="30">
        <v>1875970</v>
      </c>
      <c r="R3" s="30">
        <v>14263548</v>
      </c>
      <c r="S3" s="30"/>
      <c r="T3" s="77">
        <v>1863</v>
      </c>
      <c r="U3" s="30" t="s">
        <v>6953</v>
      </c>
      <c r="V3" s="30" t="s">
        <v>194</v>
      </c>
      <c r="W3" s="30">
        <v>1</v>
      </c>
      <c r="X3" s="30"/>
      <c r="Y3" s="30" t="s">
        <v>6954</v>
      </c>
      <c r="Z3" s="30"/>
      <c r="AA3" s="30"/>
      <c r="AB3" s="30"/>
      <c r="AC3" s="30"/>
      <c r="AD3" s="30"/>
      <c r="AE3" s="30"/>
      <c r="AF3" s="30" t="s">
        <v>4714</v>
      </c>
      <c r="AG3" s="30" t="s">
        <v>6945</v>
      </c>
      <c r="AH3" s="30"/>
      <c r="AI3" s="30" t="s">
        <v>6955</v>
      </c>
      <c r="AJ3" s="363" t="str">
        <f>MID(U3,8,6)</f>
        <v>213207</v>
      </c>
      <c r="AL3" s="187" t="s">
        <v>1071</v>
      </c>
      <c r="AM3" s="154">
        <f>COUNTIF(V3:V99,"zaznaczone")</f>
        <v>4</v>
      </c>
    </row>
    <row r="4" spans="1:39" x14ac:dyDescent="0.25">
      <c r="A4" s="35" t="s">
        <v>6464</v>
      </c>
      <c r="B4" s="30" t="s">
        <v>2812</v>
      </c>
      <c r="C4" s="30" t="s">
        <v>10</v>
      </c>
      <c r="D4" s="30" t="s">
        <v>6947</v>
      </c>
      <c r="E4" s="30" t="s">
        <v>192</v>
      </c>
      <c r="F4" s="333">
        <v>1</v>
      </c>
      <c r="G4" s="30" t="s">
        <v>193</v>
      </c>
      <c r="H4" s="30" t="s">
        <v>194</v>
      </c>
      <c r="I4" s="30" t="s">
        <v>6948</v>
      </c>
      <c r="J4" s="30" t="s">
        <v>210</v>
      </c>
      <c r="K4" s="30">
        <v>18</v>
      </c>
      <c r="L4" s="30" t="s">
        <v>6956</v>
      </c>
      <c r="M4" s="30" t="s">
        <v>6921</v>
      </c>
      <c r="N4" s="30" t="s">
        <v>6957</v>
      </c>
      <c r="O4" s="30" t="s">
        <v>6951</v>
      </c>
      <c r="P4" s="30" t="s">
        <v>6952</v>
      </c>
      <c r="Q4" s="30">
        <v>1876157</v>
      </c>
      <c r="R4" s="30">
        <v>14292451</v>
      </c>
      <c r="S4" s="30"/>
      <c r="T4" s="77">
        <v>1863</v>
      </c>
      <c r="U4" s="30" t="s">
        <v>484</v>
      </c>
      <c r="V4" s="30" t="s">
        <v>194</v>
      </c>
      <c r="W4" s="30">
        <v>1</v>
      </c>
      <c r="X4" s="30">
        <v>1000401623</v>
      </c>
      <c r="Y4" s="30"/>
      <c r="Z4" s="30"/>
      <c r="AA4" s="30"/>
      <c r="AB4" s="30"/>
      <c r="AC4" s="30"/>
      <c r="AD4" s="30"/>
      <c r="AE4" s="30"/>
      <c r="AF4" s="30" t="s">
        <v>4714</v>
      </c>
      <c r="AG4" s="30" t="s">
        <v>2812</v>
      </c>
      <c r="AH4" s="30"/>
      <c r="AI4" s="30" t="s">
        <v>6955</v>
      </c>
      <c r="AJ4" s="363" t="str">
        <f t="shared" ref="AJ4:AJ67" si="0">MID(U4,8,6)</f>
        <v>251401</v>
      </c>
      <c r="AL4" s="187" t="s">
        <v>1070</v>
      </c>
      <c r="AM4" s="154">
        <f>COUNTIF(V3:V99,"niezaznaczone")</f>
        <v>93</v>
      </c>
    </row>
    <row r="5" spans="1:39" x14ac:dyDescent="0.2">
      <c r="A5" s="35" t="s">
        <v>6958</v>
      </c>
      <c r="B5" s="30" t="s">
        <v>6959</v>
      </c>
      <c r="C5" s="30" t="s">
        <v>554</v>
      </c>
      <c r="D5" s="30" t="s">
        <v>6947</v>
      </c>
      <c r="E5" s="30" t="s">
        <v>233</v>
      </c>
      <c r="F5" s="333">
        <v>1</v>
      </c>
      <c r="G5" s="30" t="s">
        <v>193</v>
      </c>
      <c r="H5" s="30" t="s">
        <v>194</v>
      </c>
      <c r="I5" s="30" t="s">
        <v>6948</v>
      </c>
      <c r="J5" s="30" t="s">
        <v>2506</v>
      </c>
      <c r="K5" s="30">
        <v>18</v>
      </c>
      <c r="L5" s="30" t="s">
        <v>6960</v>
      </c>
      <c r="M5" s="30" t="s">
        <v>6275</v>
      </c>
      <c r="N5" s="30" t="s">
        <v>6950</v>
      </c>
      <c r="O5" s="30" t="s">
        <v>6951</v>
      </c>
      <c r="P5" s="30" t="s">
        <v>6952</v>
      </c>
      <c r="Q5" s="30">
        <v>1875944</v>
      </c>
      <c r="R5" s="30">
        <v>14263522</v>
      </c>
      <c r="S5" s="30"/>
      <c r="T5" s="30">
        <v>1820</v>
      </c>
      <c r="U5" s="30" t="s">
        <v>555</v>
      </c>
      <c r="V5" s="30" t="s">
        <v>194</v>
      </c>
      <c r="W5" s="30">
        <v>1</v>
      </c>
      <c r="X5" s="30"/>
      <c r="Y5" s="30" t="s">
        <v>6961</v>
      </c>
      <c r="Z5" s="30"/>
      <c r="AA5" s="30"/>
      <c r="AB5" s="30"/>
      <c r="AC5" s="30"/>
      <c r="AD5" s="30"/>
      <c r="AE5" s="30"/>
      <c r="AF5" s="30" t="s">
        <v>4714</v>
      </c>
      <c r="AG5" s="30" t="s">
        <v>6959</v>
      </c>
      <c r="AH5" s="30"/>
      <c r="AI5" s="30" t="s">
        <v>6955</v>
      </c>
      <c r="AJ5" s="363" t="str">
        <f t="shared" si="0"/>
        <v>311303</v>
      </c>
      <c r="AL5" s="189" t="s">
        <v>1072</v>
      </c>
      <c r="AM5" s="190">
        <f>SUM(AM3:AM4)</f>
        <v>97</v>
      </c>
    </row>
    <row r="6" spans="1:39" x14ac:dyDescent="0.25">
      <c r="A6" s="35" t="s">
        <v>6958</v>
      </c>
      <c r="B6" s="30" t="s">
        <v>856</v>
      </c>
      <c r="C6" s="30" t="s">
        <v>62</v>
      </c>
      <c r="D6" s="30" t="s">
        <v>6947</v>
      </c>
      <c r="E6" s="30" t="s">
        <v>233</v>
      </c>
      <c r="F6" s="333">
        <v>1</v>
      </c>
      <c r="G6" s="30" t="s">
        <v>193</v>
      </c>
      <c r="H6" s="30" t="s">
        <v>194</v>
      </c>
      <c r="I6" s="30" t="s">
        <v>6948</v>
      </c>
      <c r="J6" s="30" t="s">
        <v>2506</v>
      </c>
      <c r="K6" s="30">
        <v>18</v>
      </c>
      <c r="L6" s="30" t="s">
        <v>6962</v>
      </c>
      <c r="M6" s="30" t="s">
        <v>6275</v>
      </c>
      <c r="N6" s="30" t="s">
        <v>6950</v>
      </c>
      <c r="O6" s="30" t="s">
        <v>6951</v>
      </c>
      <c r="P6" s="30" t="s">
        <v>6952</v>
      </c>
      <c r="Q6" s="30">
        <v>1875943</v>
      </c>
      <c r="R6" s="30">
        <v>14263521</v>
      </c>
      <c r="S6" s="30"/>
      <c r="T6" s="30">
        <v>1820</v>
      </c>
      <c r="U6" s="30" t="s">
        <v>601</v>
      </c>
      <c r="V6" s="30" t="s">
        <v>194</v>
      </c>
      <c r="W6" s="30">
        <v>1</v>
      </c>
      <c r="X6" s="30"/>
      <c r="Y6" s="30" t="s">
        <v>6963</v>
      </c>
      <c r="Z6" s="30"/>
      <c r="AA6" s="30"/>
      <c r="AB6" s="30"/>
      <c r="AC6" s="30"/>
      <c r="AD6" s="30"/>
      <c r="AE6" s="30"/>
      <c r="AF6" s="30" t="s">
        <v>4714</v>
      </c>
      <c r="AG6" s="30" t="s">
        <v>856</v>
      </c>
      <c r="AH6" s="30"/>
      <c r="AI6" s="30" t="s">
        <v>6955</v>
      </c>
      <c r="AJ6" s="363" t="str">
        <f t="shared" si="0"/>
        <v>313904</v>
      </c>
      <c r="AL6" s="188" t="s">
        <v>1073</v>
      </c>
      <c r="AM6" s="154">
        <f>SUM(F3:F99)</f>
        <v>97</v>
      </c>
    </row>
    <row r="7" spans="1:39" x14ac:dyDescent="0.2">
      <c r="A7" s="35" t="s">
        <v>540</v>
      </c>
      <c r="B7" s="30" t="s">
        <v>6964</v>
      </c>
      <c r="C7" s="30" t="s">
        <v>17</v>
      </c>
      <c r="D7" s="30" t="s">
        <v>6947</v>
      </c>
      <c r="E7" s="30" t="s">
        <v>252</v>
      </c>
      <c r="F7" s="333">
        <v>1</v>
      </c>
      <c r="G7" s="30" t="s">
        <v>193</v>
      </c>
      <c r="H7" s="30" t="s">
        <v>194</v>
      </c>
      <c r="I7" s="30" t="s">
        <v>6948</v>
      </c>
      <c r="J7" s="30" t="s">
        <v>210</v>
      </c>
      <c r="K7" s="30">
        <v>18</v>
      </c>
      <c r="L7" s="30" t="s">
        <v>6965</v>
      </c>
      <c r="M7" s="30" t="s">
        <v>6249</v>
      </c>
      <c r="N7" s="30" t="s">
        <v>6966</v>
      </c>
      <c r="O7" s="30" t="s">
        <v>6947</v>
      </c>
      <c r="P7" s="30" t="s">
        <v>6967</v>
      </c>
      <c r="Q7" s="30">
        <v>1875642</v>
      </c>
      <c r="R7" s="30">
        <v>13460586</v>
      </c>
      <c r="S7" s="30"/>
      <c r="T7" s="77">
        <v>1863</v>
      </c>
      <c r="U7" s="30" t="s">
        <v>624</v>
      </c>
      <c r="V7" s="30" t="s">
        <v>194</v>
      </c>
      <c r="W7" s="30">
        <v>1</v>
      </c>
      <c r="X7" s="30"/>
      <c r="Y7" s="30" t="s">
        <v>6968</v>
      </c>
      <c r="Z7" s="30"/>
      <c r="AA7" s="30"/>
      <c r="AB7" s="30"/>
      <c r="AC7" s="30"/>
      <c r="AD7" s="30"/>
      <c r="AE7" s="30"/>
      <c r="AF7" s="30" t="s">
        <v>4714</v>
      </c>
      <c r="AG7" s="30"/>
      <c r="AH7" s="30"/>
      <c r="AI7" s="30" t="s">
        <v>6955</v>
      </c>
      <c r="AJ7" s="363" t="str">
        <f t="shared" si="0"/>
        <v>332203</v>
      </c>
      <c r="AL7" s="189" t="s">
        <v>4475</v>
      </c>
      <c r="AM7" s="190">
        <f>ROWS(P3:P99)</f>
        <v>97</v>
      </c>
    </row>
    <row r="8" spans="1:39" x14ac:dyDescent="0.25">
      <c r="A8" s="35" t="s">
        <v>540</v>
      </c>
      <c r="B8" s="30" t="s">
        <v>6969</v>
      </c>
      <c r="C8" s="30" t="s">
        <v>62</v>
      </c>
      <c r="D8" s="30" t="s">
        <v>6947</v>
      </c>
      <c r="E8" s="30" t="s">
        <v>252</v>
      </c>
      <c r="F8" s="333">
        <v>1</v>
      </c>
      <c r="G8" s="30" t="s">
        <v>193</v>
      </c>
      <c r="H8" s="30" t="s">
        <v>194</v>
      </c>
      <c r="I8" s="30" t="s">
        <v>6948</v>
      </c>
      <c r="J8" s="30" t="s">
        <v>210</v>
      </c>
      <c r="K8" s="30">
        <v>18</v>
      </c>
      <c r="L8" s="30" t="s">
        <v>6970</v>
      </c>
      <c r="M8" s="30" t="s">
        <v>6275</v>
      </c>
      <c r="N8" s="30" t="s">
        <v>6966</v>
      </c>
      <c r="O8" s="30" t="s">
        <v>6947</v>
      </c>
      <c r="P8" s="30" t="s">
        <v>6967</v>
      </c>
      <c r="Q8" s="30">
        <v>1875648</v>
      </c>
      <c r="R8" s="30">
        <v>13460593</v>
      </c>
      <c r="S8" s="30"/>
      <c r="T8" s="77">
        <v>1863</v>
      </c>
      <c r="U8" s="30" t="s">
        <v>601</v>
      </c>
      <c r="V8" s="30" t="s">
        <v>194</v>
      </c>
      <c r="W8" s="30">
        <v>1</v>
      </c>
      <c r="X8" s="30"/>
      <c r="Y8" s="30" t="s">
        <v>6971</v>
      </c>
      <c r="Z8" s="30"/>
      <c r="AA8" s="30"/>
      <c r="AB8" s="30"/>
      <c r="AC8" s="30"/>
      <c r="AD8" s="30"/>
      <c r="AE8" s="30"/>
      <c r="AF8" s="30" t="s">
        <v>4714</v>
      </c>
      <c r="AG8" s="30"/>
      <c r="AH8" s="30"/>
      <c r="AI8" s="30" t="s">
        <v>6955</v>
      </c>
      <c r="AJ8" s="363" t="str">
        <f t="shared" si="0"/>
        <v>313904</v>
      </c>
      <c r="AL8" s="187" t="s">
        <v>5584</v>
      </c>
      <c r="AM8" s="154" t="str">
        <f>IF(AM5=AM7,"zgadza się","Błąd")</f>
        <v>zgadza się</v>
      </c>
    </row>
    <row r="9" spans="1:39" x14ac:dyDescent="0.25">
      <c r="A9" s="35" t="s">
        <v>540</v>
      </c>
      <c r="B9" s="30" t="s">
        <v>6969</v>
      </c>
      <c r="C9" s="30" t="s">
        <v>62</v>
      </c>
      <c r="D9" s="30" t="s">
        <v>6947</v>
      </c>
      <c r="E9" s="30" t="s">
        <v>252</v>
      </c>
      <c r="F9" s="333">
        <v>1</v>
      </c>
      <c r="G9" s="30" t="s">
        <v>193</v>
      </c>
      <c r="H9" s="30" t="s">
        <v>194</v>
      </c>
      <c r="I9" s="30" t="s">
        <v>6948</v>
      </c>
      <c r="J9" s="30" t="s">
        <v>309</v>
      </c>
      <c r="K9" s="30">
        <v>18</v>
      </c>
      <c r="L9" s="30" t="s">
        <v>6972</v>
      </c>
      <c r="M9" s="30" t="s">
        <v>6275</v>
      </c>
      <c r="N9" s="30" t="s">
        <v>6966</v>
      </c>
      <c r="O9" s="30" t="s">
        <v>6947</v>
      </c>
      <c r="P9" s="30" t="s">
        <v>6967</v>
      </c>
      <c r="Q9" s="30">
        <v>1875650</v>
      </c>
      <c r="R9" s="30">
        <v>13460595</v>
      </c>
      <c r="S9" s="30"/>
      <c r="T9" s="30">
        <v>1815</v>
      </c>
      <c r="U9" s="30" t="s">
        <v>601</v>
      </c>
      <c r="V9" s="30" t="s">
        <v>194</v>
      </c>
      <c r="W9" s="30">
        <v>1</v>
      </c>
      <c r="X9" s="30"/>
      <c r="Y9" s="30" t="s">
        <v>6971</v>
      </c>
      <c r="Z9" s="30"/>
      <c r="AA9" s="30"/>
      <c r="AB9" s="30"/>
      <c r="AC9" s="30"/>
      <c r="AD9" s="30"/>
      <c r="AE9" s="30"/>
      <c r="AF9" s="30" t="s">
        <v>4714</v>
      </c>
      <c r="AG9" s="30"/>
      <c r="AH9" s="30"/>
      <c r="AI9" s="30" t="s">
        <v>6955</v>
      </c>
      <c r="AJ9" s="363" t="str">
        <f t="shared" si="0"/>
        <v>313904</v>
      </c>
    </row>
    <row r="10" spans="1:39" x14ac:dyDescent="0.25">
      <c r="A10" s="35" t="s">
        <v>4975</v>
      </c>
      <c r="B10" s="30" t="s">
        <v>67</v>
      </c>
      <c r="C10" s="30" t="s">
        <v>67</v>
      </c>
      <c r="D10" s="30" t="s">
        <v>6947</v>
      </c>
      <c r="E10" s="30" t="s">
        <v>233</v>
      </c>
      <c r="F10" s="333">
        <v>1</v>
      </c>
      <c r="G10" s="30" t="s">
        <v>193</v>
      </c>
      <c r="H10" s="30" t="s">
        <v>194</v>
      </c>
      <c r="I10" s="30" t="s">
        <v>6948</v>
      </c>
      <c r="J10" s="30" t="s">
        <v>210</v>
      </c>
      <c r="K10" s="30">
        <v>18</v>
      </c>
      <c r="L10" s="30" t="s">
        <v>6973</v>
      </c>
      <c r="M10" s="30" t="s">
        <v>6266</v>
      </c>
      <c r="N10" s="30" t="s">
        <v>6950</v>
      </c>
      <c r="O10" s="30" t="s">
        <v>6951</v>
      </c>
      <c r="P10" s="30" t="s">
        <v>6952</v>
      </c>
      <c r="Q10" s="30">
        <v>1875961</v>
      </c>
      <c r="R10" s="30">
        <v>14263539</v>
      </c>
      <c r="S10" s="30"/>
      <c r="T10" s="77">
        <v>1863</v>
      </c>
      <c r="U10" s="30" t="s">
        <v>709</v>
      </c>
      <c r="V10" s="30" t="s">
        <v>194</v>
      </c>
      <c r="W10" s="30">
        <v>1</v>
      </c>
      <c r="X10" s="30"/>
      <c r="Y10" s="30" t="s">
        <v>6974</v>
      </c>
      <c r="Z10" s="30"/>
      <c r="AA10" s="30"/>
      <c r="AB10" s="30"/>
      <c r="AC10" s="30"/>
      <c r="AD10" s="30"/>
      <c r="AE10" s="30"/>
      <c r="AF10" s="30" t="s">
        <v>4714</v>
      </c>
      <c r="AG10" s="30" t="s">
        <v>67</v>
      </c>
      <c r="AH10" s="30"/>
      <c r="AI10" s="30" t="s">
        <v>6955</v>
      </c>
      <c r="AJ10" s="363" t="str">
        <f t="shared" si="0"/>
        <v>432103</v>
      </c>
      <c r="AL10" s="369" t="s">
        <v>7226</v>
      </c>
      <c r="AM10" s="30">
        <f>SUMIF(T3:T600,1801,F3:F600)</f>
        <v>2</v>
      </c>
    </row>
    <row r="11" spans="1:39" x14ac:dyDescent="0.25">
      <c r="A11" s="35" t="s">
        <v>4975</v>
      </c>
      <c r="B11" s="30" t="s">
        <v>67</v>
      </c>
      <c r="C11" s="30" t="s">
        <v>67</v>
      </c>
      <c r="D11" s="30" t="s">
        <v>6947</v>
      </c>
      <c r="E11" s="30" t="s">
        <v>233</v>
      </c>
      <c r="F11" s="333">
        <v>1</v>
      </c>
      <c r="G11" s="30" t="s">
        <v>193</v>
      </c>
      <c r="H11" s="30" t="s">
        <v>194</v>
      </c>
      <c r="I11" s="30" t="s">
        <v>6948</v>
      </c>
      <c r="J11" s="30" t="s">
        <v>747</v>
      </c>
      <c r="K11" s="30">
        <v>18</v>
      </c>
      <c r="L11" s="30" t="s">
        <v>6975</v>
      </c>
      <c r="M11" s="30" t="s">
        <v>6266</v>
      </c>
      <c r="N11" s="30" t="s">
        <v>6950</v>
      </c>
      <c r="O11" s="30" t="s">
        <v>6951</v>
      </c>
      <c r="P11" s="30" t="s">
        <v>6952</v>
      </c>
      <c r="Q11" s="30">
        <v>1875962</v>
      </c>
      <c r="R11" s="30">
        <v>14263540</v>
      </c>
      <c r="S11" s="30"/>
      <c r="T11" s="30">
        <v>1817</v>
      </c>
      <c r="U11" s="30" t="s">
        <v>709</v>
      </c>
      <c r="V11" s="30" t="s">
        <v>194</v>
      </c>
      <c r="W11" s="30">
        <v>1</v>
      </c>
      <c r="X11" s="30"/>
      <c r="Y11" s="30" t="s">
        <v>6976</v>
      </c>
      <c r="Z11" s="30"/>
      <c r="AA11" s="30"/>
      <c r="AB11" s="30"/>
      <c r="AC11" s="30"/>
      <c r="AD11" s="30"/>
      <c r="AE11" s="30"/>
      <c r="AF11" s="30" t="s">
        <v>4714</v>
      </c>
      <c r="AG11" s="30" t="s">
        <v>67</v>
      </c>
      <c r="AH11" s="30"/>
      <c r="AI11" s="30" t="s">
        <v>6955</v>
      </c>
      <c r="AJ11" s="363" t="str">
        <f t="shared" si="0"/>
        <v>432103</v>
      </c>
      <c r="AL11" s="369" t="s">
        <v>7227</v>
      </c>
      <c r="AM11" s="30">
        <f>SUMIF(T3:T600,1802,F3:F600)</f>
        <v>2</v>
      </c>
    </row>
    <row r="12" spans="1:39" x14ac:dyDescent="0.25">
      <c r="A12" s="35" t="s">
        <v>615</v>
      </c>
      <c r="B12" s="30" t="s">
        <v>537</v>
      </c>
      <c r="C12" s="30" t="s">
        <v>778</v>
      </c>
      <c r="D12" s="30" t="s">
        <v>6947</v>
      </c>
      <c r="E12" s="30" t="s">
        <v>233</v>
      </c>
      <c r="F12" s="333">
        <v>1</v>
      </c>
      <c r="G12" s="30" t="s">
        <v>193</v>
      </c>
      <c r="H12" s="30" t="s">
        <v>194</v>
      </c>
      <c r="I12" s="30" t="s">
        <v>6977</v>
      </c>
      <c r="J12" s="30" t="s">
        <v>2819</v>
      </c>
      <c r="K12" s="30">
        <v>18</v>
      </c>
      <c r="L12" s="30" t="s">
        <v>6978</v>
      </c>
      <c r="M12" s="30" t="s">
        <v>6254</v>
      </c>
      <c r="N12" s="30" t="s">
        <v>6979</v>
      </c>
      <c r="O12" s="30" t="s">
        <v>6980</v>
      </c>
      <c r="P12" s="30" t="s">
        <v>6947</v>
      </c>
      <c r="Q12" s="30">
        <v>1875612</v>
      </c>
      <c r="R12" s="30">
        <v>13434739</v>
      </c>
      <c r="S12" s="30"/>
      <c r="T12" s="30">
        <v>1803</v>
      </c>
      <c r="U12" s="30" t="s">
        <v>779</v>
      </c>
      <c r="V12" s="30" t="s">
        <v>194</v>
      </c>
      <c r="W12" s="30">
        <v>1</v>
      </c>
      <c r="X12" s="30"/>
      <c r="Y12" s="30" t="s">
        <v>6981</v>
      </c>
      <c r="Z12" s="30"/>
      <c r="AA12" s="30"/>
      <c r="AB12" s="30"/>
      <c r="AC12" s="30"/>
      <c r="AD12" s="30"/>
      <c r="AE12" s="30"/>
      <c r="AF12" s="30" t="s">
        <v>4714</v>
      </c>
      <c r="AG12" s="30" t="s">
        <v>537</v>
      </c>
      <c r="AH12" s="30"/>
      <c r="AI12" s="30" t="s">
        <v>6955</v>
      </c>
      <c r="AJ12" s="363" t="str">
        <f t="shared" si="0"/>
        <v>524902</v>
      </c>
      <c r="AL12" s="369" t="s">
        <v>7228</v>
      </c>
      <c r="AM12" s="245">
        <f>SUMIF(T3:T600,1803,F3:F600)</f>
        <v>8</v>
      </c>
    </row>
    <row r="13" spans="1:39" x14ac:dyDescent="0.25">
      <c r="A13" s="35" t="s">
        <v>615</v>
      </c>
      <c r="B13" s="30" t="s">
        <v>537</v>
      </c>
      <c r="C13" s="30" t="s">
        <v>778</v>
      </c>
      <c r="D13" s="30" t="s">
        <v>6947</v>
      </c>
      <c r="E13" s="30" t="s">
        <v>233</v>
      </c>
      <c r="F13" s="333">
        <v>1</v>
      </c>
      <c r="G13" s="30" t="s">
        <v>193</v>
      </c>
      <c r="H13" s="30" t="s">
        <v>194</v>
      </c>
      <c r="I13" s="30" t="s">
        <v>6948</v>
      </c>
      <c r="J13" s="30" t="s">
        <v>210</v>
      </c>
      <c r="K13" s="30">
        <v>18</v>
      </c>
      <c r="L13" s="30" t="s">
        <v>6982</v>
      </c>
      <c r="M13" s="30" t="s">
        <v>6254</v>
      </c>
      <c r="N13" s="30" t="s">
        <v>6979</v>
      </c>
      <c r="O13" s="30" t="s">
        <v>6980</v>
      </c>
      <c r="P13" s="30" t="s">
        <v>6947</v>
      </c>
      <c r="Q13" s="30">
        <v>1875629</v>
      </c>
      <c r="R13" s="30">
        <v>13434757</v>
      </c>
      <c r="S13" s="30"/>
      <c r="T13" s="77">
        <v>1863</v>
      </c>
      <c r="U13" s="30" t="s">
        <v>779</v>
      </c>
      <c r="V13" s="30" t="s">
        <v>194</v>
      </c>
      <c r="W13" s="30">
        <v>1</v>
      </c>
      <c r="X13" s="30"/>
      <c r="Y13" s="30" t="s">
        <v>6981</v>
      </c>
      <c r="Z13" s="30"/>
      <c r="AA13" s="30"/>
      <c r="AB13" s="30"/>
      <c r="AC13" s="30"/>
      <c r="AD13" s="30"/>
      <c r="AE13" s="30"/>
      <c r="AF13" s="30" t="s">
        <v>4714</v>
      </c>
      <c r="AG13" s="30" t="s">
        <v>537</v>
      </c>
      <c r="AH13" s="30"/>
      <c r="AI13" s="30" t="s">
        <v>6955</v>
      </c>
      <c r="AJ13" s="363" t="str">
        <f t="shared" si="0"/>
        <v>524902</v>
      </c>
      <c r="AL13" s="369" t="s">
        <v>7229</v>
      </c>
      <c r="AM13" s="245">
        <f>SUMIF(T3:T600,1804,F3:F600)</f>
        <v>5</v>
      </c>
    </row>
    <row r="14" spans="1:39" x14ac:dyDescent="0.25">
      <c r="A14" s="35" t="s">
        <v>615</v>
      </c>
      <c r="B14" s="30" t="s">
        <v>537</v>
      </c>
      <c r="C14" s="30" t="s">
        <v>778</v>
      </c>
      <c r="D14" s="30" t="s">
        <v>6947</v>
      </c>
      <c r="E14" s="30" t="s">
        <v>233</v>
      </c>
      <c r="F14" s="333">
        <v>1</v>
      </c>
      <c r="G14" s="30" t="s">
        <v>193</v>
      </c>
      <c r="H14" s="30" t="s">
        <v>194</v>
      </c>
      <c r="I14" s="30" t="s">
        <v>6948</v>
      </c>
      <c r="J14" s="30" t="s">
        <v>316</v>
      </c>
      <c r="K14" s="30">
        <v>18</v>
      </c>
      <c r="L14" s="30" t="s">
        <v>6983</v>
      </c>
      <c r="M14" s="30" t="s">
        <v>6254</v>
      </c>
      <c r="N14" s="30" t="s">
        <v>6979</v>
      </c>
      <c r="O14" s="30" t="s">
        <v>6980</v>
      </c>
      <c r="P14" s="30" t="s">
        <v>6947</v>
      </c>
      <c r="Q14" s="30">
        <v>1875630</v>
      </c>
      <c r="R14" s="30">
        <v>13434758</v>
      </c>
      <c r="S14" s="30"/>
      <c r="T14" s="30">
        <v>1818</v>
      </c>
      <c r="U14" s="30" t="s">
        <v>779</v>
      </c>
      <c r="V14" s="30" t="s">
        <v>194</v>
      </c>
      <c r="W14" s="30">
        <v>1</v>
      </c>
      <c r="X14" s="30"/>
      <c r="Y14" s="30" t="s">
        <v>6981</v>
      </c>
      <c r="Z14" s="30"/>
      <c r="AA14" s="30"/>
      <c r="AB14" s="30"/>
      <c r="AC14" s="30"/>
      <c r="AD14" s="30"/>
      <c r="AE14" s="30"/>
      <c r="AF14" s="30" t="s">
        <v>4714</v>
      </c>
      <c r="AG14" s="30" t="s">
        <v>537</v>
      </c>
      <c r="AH14" s="30"/>
      <c r="AI14" s="30" t="s">
        <v>6955</v>
      </c>
      <c r="AJ14" s="363" t="str">
        <f t="shared" si="0"/>
        <v>524902</v>
      </c>
      <c r="AL14" s="369" t="s">
        <v>7230</v>
      </c>
      <c r="AM14" s="30">
        <f>SUMIF(T3:T600,1805,F3:F600)</f>
        <v>3</v>
      </c>
    </row>
    <row r="15" spans="1:39" x14ac:dyDescent="0.25">
      <c r="A15" s="35" t="s">
        <v>615</v>
      </c>
      <c r="B15" s="30" t="s">
        <v>537</v>
      </c>
      <c r="C15" s="30" t="s">
        <v>778</v>
      </c>
      <c r="D15" s="30" t="s">
        <v>6947</v>
      </c>
      <c r="E15" s="30" t="s">
        <v>233</v>
      </c>
      <c r="F15" s="333">
        <v>1</v>
      </c>
      <c r="G15" s="30" t="s">
        <v>193</v>
      </c>
      <c r="H15" s="30" t="s">
        <v>194</v>
      </c>
      <c r="I15" s="30" t="s">
        <v>6948</v>
      </c>
      <c r="J15" s="30" t="s">
        <v>253</v>
      </c>
      <c r="K15" s="30">
        <v>18</v>
      </c>
      <c r="L15" s="30" t="s">
        <v>6984</v>
      </c>
      <c r="M15" s="30" t="s">
        <v>6254</v>
      </c>
      <c r="N15" s="30" t="s">
        <v>6979</v>
      </c>
      <c r="O15" s="30" t="s">
        <v>6980</v>
      </c>
      <c r="P15" s="30" t="s">
        <v>6947</v>
      </c>
      <c r="Q15" s="30">
        <v>1875631</v>
      </c>
      <c r="R15" s="30">
        <v>13434759</v>
      </c>
      <c r="S15" s="30"/>
      <c r="T15" s="30">
        <v>1811</v>
      </c>
      <c r="U15" s="30" t="s">
        <v>779</v>
      </c>
      <c r="V15" s="30" t="s">
        <v>194</v>
      </c>
      <c r="W15" s="30">
        <v>1</v>
      </c>
      <c r="X15" s="30"/>
      <c r="Y15" s="30" t="s">
        <v>6981</v>
      </c>
      <c r="Z15" s="30"/>
      <c r="AA15" s="30"/>
      <c r="AB15" s="30"/>
      <c r="AC15" s="30"/>
      <c r="AD15" s="30"/>
      <c r="AE15" s="30"/>
      <c r="AF15" s="30" t="s">
        <v>4714</v>
      </c>
      <c r="AG15" s="30" t="s">
        <v>537</v>
      </c>
      <c r="AH15" s="30"/>
      <c r="AI15" s="30" t="s">
        <v>6955</v>
      </c>
      <c r="AJ15" s="363" t="str">
        <f t="shared" si="0"/>
        <v>524902</v>
      </c>
      <c r="AL15" s="369" t="s">
        <v>7231</v>
      </c>
      <c r="AM15" s="30">
        <f>SUMIF(T3:T600,1806,F3:F600)</f>
        <v>0</v>
      </c>
    </row>
    <row r="16" spans="1:39" x14ac:dyDescent="0.25">
      <c r="A16" s="35" t="s">
        <v>615</v>
      </c>
      <c r="B16" s="30" t="s">
        <v>537</v>
      </c>
      <c r="C16" s="30" t="s">
        <v>778</v>
      </c>
      <c r="D16" s="30" t="s">
        <v>6947</v>
      </c>
      <c r="E16" s="30" t="s">
        <v>233</v>
      </c>
      <c r="F16" s="333">
        <v>1</v>
      </c>
      <c r="G16" s="30" t="s">
        <v>193</v>
      </c>
      <c r="H16" s="30" t="s">
        <v>194</v>
      </c>
      <c r="I16" s="30" t="s">
        <v>6948</v>
      </c>
      <c r="J16" s="30" t="s">
        <v>276</v>
      </c>
      <c r="K16" s="30">
        <v>18</v>
      </c>
      <c r="L16" s="30" t="s">
        <v>6985</v>
      </c>
      <c r="M16" s="30" t="s">
        <v>6254</v>
      </c>
      <c r="N16" s="30" t="s">
        <v>6979</v>
      </c>
      <c r="O16" s="30" t="s">
        <v>6980</v>
      </c>
      <c r="P16" s="30" t="s">
        <v>6947</v>
      </c>
      <c r="Q16" s="30">
        <v>1875632</v>
      </c>
      <c r="R16" s="30">
        <v>13434760</v>
      </c>
      <c r="S16" s="30"/>
      <c r="T16" s="30">
        <v>1803</v>
      </c>
      <c r="U16" s="30" t="s">
        <v>779</v>
      </c>
      <c r="V16" s="30" t="s">
        <v>194</v>
      </c>
      <c r="W16" s="30">
        <v>1</v>
      </c>
      <c r="X16" s="30"/>
      <c r="Y16" s="30" t="s">
        <v>6981</v>
      </c>
      <c r="Z16" s="30"/>
      <c r="AA16" s="30"/>
      <c r="AB16" s="30"/>
      <c r="AC16" s="30"/>
      <c r="AD16" s="30"/>
      <c r="AE16" s="30"/>
      <c r="AF16" s="30" t="s">
        <v>4714</v>
      </c>
      <c r="AG16" s="30" t="s">
        <v>537</v>
      </c>
      <c r="AH16" s="30"/>
      <c r="AI16" s="30" t="s">
        <v>6955</v>
      </c>
      <c r="AJ16" s="363" t="str">
        <f t="shared" si="0"/>
        <v>524902</v>
      </c>
      <c r="AL16" s="369" t="s">
        <v>7232</v>
      </c>
      <c r="AM16" s="30">
        <f>SUMIF(T3:T600,1807,F3:F600)</f>
        <v>1</v>
      </c>
    </row>
    <row r="17" spans="1:39" x14ac:dyDescent="0.25">
      <c r="A17" s="35" t="s">
        <v>615</v>
      </c>
      <c r="B17" s="30" t="s">
        <v>537</v>
      </c>
      <c r="C17" s="30" t="s">
        <v>778</v>
      </c>
      <c r="D17" s="30" t="s">
        <v>6947</v>
      </c>
      <c r="E17" s="30" t="s">
        <v>233</v>
      </c>
      <c r="F17" s="333">
        <v>1</v>
      </c>
      <c r="G17" s="30" t="s">
        <v>193</v>
      </c>
      <c r="H17" s="30" t="s">
        <v>194</v>
      </c>
      <c r="I17" s="30" t="s">
        <v>6948</v>
      </c>
      <c r="J17" s="30" t="s">
        <v>4799</v>
      </c>
      <c r="K17" s="30">
        <v>18</v>
      </c>
      <c r="L17" s="30" t="s">
        <v>6986</v>
      </c>
      <c r="M17" s="30" t="s">
        <v>6254</v>
      </c>
      <c r="N17" s="30" t="s">
        <v>6979</v>
      </c>
      <c r="O17" s="30" t="s">
        <v>6980</v>
      </c>
      <c r="P17" s="30" t="s">
        <v>6947</v>
      </c>
      <c r="Q17" s="30">
        <v>1875633</v>
      </c>
      <c r="R17" s="30">
        <v>13434761</v>
      </c>
      <c r="S17" s="30"/>
      <c r="T17" s="30">
        <v>1811</v>
      </c>
      <c r="U17" s="30" t="s">
        <v>779</v>
      </c>
      <c r="V17" s="30" t="s">
        <v>194</v>
      </c>
      <c r="W17" s="30">
        <v>1</v>
      </c>
      <c r="X17" s="30"/>
      <c r="Y17" s="30" t="s">
        <v>6981</v>
      </c>
      <c r="Z17" s="30"/>
      <c r="AA17" s="30"/>
      <c r="AB17" s="30"/>
      <c r="AC17" s="30"/>
      <c r="AD17" s="30"/>
      <c r="AE17" s="30"/>
      <c r="AF17" s="30" t="s">
        <v>4714</v>
      </c>
      <c r="AG17" s="30" t="s">
        <v>537</v>
      </c>
      <c r="AH17" s="30"/>
      <c r="AI17" s="30" t="s">
        <v>6955</v>
      </c>
      <c r="AJ17" s="363" t="str">
        <f t="shared" si="0"/>
        <v>524902</v>
      </c>
      <c r="AL17" s="369" t="s">
        <v>7233</v>
      </c>
      <c r="AM17" s="30">
        <f>SUMIF(T3:T600,1821,F3:F600)</f>
        <v>0</v>
      </c>
    </row>
    <row r="18" spans="1:39" x14ac:dyDescent="0.25">
      <c r="A18" s="35" t="s">
        <v>615</v>
      </c>
      <c r="B18" s="30" t="s">
        <v>537</v>
      </c>
      <c r="C18" s="30" t="s">
        <v>778</v>
      </c>
      <c r="D18" s="30" t="s">
        <v>6947</v>
      </c>
      <c r="E18" s="30" t="s">
        <v>233</v>
      </c>
      <c r="F18" s="333">
        <v>1</v>
      </c>
      <c r="G18" s="30" t="s">
        <v>193</v>
      </c>
      <c r="H18" s="30" t="s">
        <v>194</v>
      </c>
      <c r="I18" s="30" t="s">
        <v>6948</v>
      </c>
      <c r="J18" s="30" t="s">
        <v>6987</v>
      </c>
      <c r="K18" s="30">
        <v>18</v>
      </c>
      <c r="L18" s="30" t="s">
        <v>6988</v>
      </c>
      <c r="M18" s="30" t="s">
        <v>6254</v>
      </c>
      <c r="N18" s="30" t="s">
        <v>6979</v>
      </c>
      <c r="O18" s="30" t="s">
        <v>6980</v>
      </c>
      <c r="P18" s="30" t="s">
        <v>6947</v>
      </c>
      <c r="Q18" s="30">
        <v>1875634</v>
      </c>
      <c r="R18" s="30">
        <v>13434762</v>
      </c>
      <c r="S18" s="30"/>
      <c r="T18" s="30">
        <v>1818</v>
      </c>
      <c r="U18" s="30" t="s">
        <v>779</v>
      </c>
      <c r="V18" s="30" t="s">
        <v>194</v>
      </c>
      <c r="W18" s="30">
        <v>1</v>
      </c>
      <c r="X18" s="30"/>
      <c r="Y18" s="30" t="s">
        <v>6981</v>
      </c>
      <c r="Z18" s="30"/>
      <c r="AA18" s="30"/>
      <c r="AB18" s="30"/>
      <c r="AC18" s="30"/>
      <c r="AD18" s="30"/>
      <c r="AE18" s="30"/>
      <c r="AF18" s="30" t="s">
        <v>4714</v>
      </c>
      <c r="AG18" s="30" t="s">
        <v>537</v>
      </c>
      <c r="AH18" s="30"/>
      <c r="AI18" s="30" t="s">
        <v>6955</v>
      </c>
      <c r="AJ18" s="363" t="str">
        <f t="shared" si="0"/>
        <v>524902</v>
      </c>
      <c r="AL18" s="369" t="s">
        <v>7234</v>
      </c>
      <c r="AM18" s="30">
        <f>SUMIF(T3:T600,1808,F3:F600)</f>
        <v>0</v>
      </c>
    </row>
    <row r="19" spans="1:39" x14ac:dyDescent="0.25">
      <c r="A19" s="35" t="s">
        <v>615</v>
      </c>
      <c r="B19" s="30" t="s">
        <v>537</v>
      </c>
      <c r="C19" s="30" t="s">
        <v>778</v>
      </c>
      <c r="D19" s="30" t="s">
        <v>6947</v>
      </c>
      <c r="E19" s="30" t="s">
        <v>233</v>
      </c>
      <c r="F19" s="333">
        <v>1</v>
      </c>
      <c r="G19" s="30" t="s">
        <v>193</v>
      </c>
      <c r="H19" s="30" t="s">
        <v>194</v>
      </c>
      <c r="I19" s="30" t="s">
        <v>6948</v>
      </c>
      <c r="J19" s="30" t="s">
        <v>6989</v>
      </c>
      <c r="K19" s="30">
        <v>18</v>
      </c>
      <c r="L19" s="30" t="s">
        <v>6990</v>
      </c>
      <c r="M19" s="30" t="s">
        <v>6254</v>
      </c>
      <c r="N19" s="30" t="s">
        <v>6979</v>
      </c>
      <c r="O19" s="30" t="s">
        <v>6980</v>
      </c>
      <c r="P19" s="30" t="s">
        <v>6947</v>
      </c>
      <c r="Q19" s="30">
        <v>1875635</v>
      </c>
      <c r="R19" s="30">
        <v>13434763</v>
      </c>
      <c r="S19" s="30"/>
      <c r="T19" s="30">
        <v>1818</v>
      </c>
      <c r="U19" s="30" t="s">
        <v>779</v>
      </c>
      <c r="V19" s="30" t="s">
        <v>194</v>
      </c>
      <c r="W19" s="30">
        <v>1</v>
      </c>
      <c r="X19" s="30"/>
      <c r="Y19" s="30" t="s">
        <v>6981</v>
      </c>
      <c r="Z19" s="30"/>
      <c r="AA19" s="30"/>
      <c r="AB19" s="30"/>
      <c r="AC19" s="30"/>
      <c r="AD19" s="30"/>
      <c r="AE19" s="30"/>
      <c r="AF19" s="30" t="s">
        <v>4714</v>
      </c>
      <c r="AG19" s="30" t="s">
        <v>537</v>
      </c>
      <c r="AH19" s="30"/>
      <c r="AI19" s="30" t="s">
        <v>6955</v>
      </c>
      <c r="AJ19" s="363" t="str">
        <f t="shared" si="0"/>
        <v>524902</v>
      </c>
      <c r="AL19" s="369" t="s">
        <v>7235</v>
      </c>
      <c r="AM19" s="30">
        <f>SUMIF(T3:T600,1809,F3:F600)</f>
        <v>1</v>
      </c>
    </row>
    <row r="20" spans="1:39" x14ac:dyDescent="0.25">
      <c r="A20" s="35" t="s">
        <v>6991</v>
      </c>
      <c r="B20" s="30" t="s">
        <v>1875</v>
      </c>
      <c r="C20" s="30" t="s">
        <v>1876</v>
      </c>
      <c r="D20" s="30" t="s">
        <v>6947</v>
      </c>
      <c r="E20" s="30" t="s">
        <v>233</v>
      </c>
      <c r="F20" s="333">
        <v>1</v>
      </c>
      <c r="G20" s="30" t="s">
        <v>193</v>
      </c>
      <c r="H20" s="30" t="s">
        <v>194</v>
      </c>
      <c r="I20" s="30" t="s">
        <v>6948</v>
      </c>
      <c r="J20" s="30" t="s">
        <v>305</v>
      </c>
      <c r="K20" s="30">
        <v>18</v>
      </c>
      <c r="L20" s="30" t="s">
        <v>6992</v>
      </c>
      <c r="M20" s="30" t="s">
        <v>6374</v>
      </c>
      <c r="N20" s="30" t="s">
        <v>6950</v>
      </c>
      <c r="O20" s="30" t="s">
        <v>6993</v>
      </c>
      <c r="P20" s="30" t="s">
        <v>6951</v>
      </c>
      <c r="Q20" s="30">
        <v>1876045</v>
      </c>
      <c r="R20" s="30">
        <v>14263624</v>
      </c>
      <c r="S20" s="30"/>
      <c r="T20" s="30">
        <v>1814</v>
      </c>
      <c r="U20" s="30" t="s">
        <v>1877</v>
      </c>
      <c r="V20" s="30" t="s">
        <v>194</v>
      </c>
      <c r="W20" s="30">
        <v>1</v>
      </c>
      <c r="X20" s="30"/>
      <c r="Y20" s="30" t="s">
        <v>6994</v>
      </c>
      <c r="Z20" s="30"/>
      <c r="AA20" s="30"/>
      <c r="AB20" s="30"/>
      <c r="AC20" s="30"/>
      <c r="AD20" s="30"/>
      <c r="AE20" s="30"/>
      <c r="AF20" s="30" t="s">
        <v>4714</v>
      </c>
      <c r="AG20" s="30" t="s">
        <v>1875</v>
      </c>
      <c r="AH20" s="30"/>
      <c r="AI20" s="30" t="s">
        <v>6955</v>
      </c>
      <c r="AJ20" s="363" t="str">
        <f t="shared" si="0"/>
        <v>741304</v>
      </c>
      <c r="AL20" s="369" t="s">
        <v>7236</v>
      </c>
      <c r="AM20" s="30">
        <f>SUMIF(T3:T600,1810,F3:F600)</f>
        <v>1</v>
      </c>
    </row>
    <row r="21" spans="1:39" x14ac:dyDescent="0.25">
      <c r="A21" s="35" t="s">
        <v>6991</v>
      </c>
      <c r="B21" s="30" t="s">
        <v>6995</v>
      </c>
      <c r="C21" s="30" t="s">
        <v>554</v>
      </c>
      <c r="D21" s="30" t="s">
        <v>6947</v>
      </c>
      <c r="E21" s="30" t="s">
        <v>233</v>
      </c>
      <c r="F21" s="333">
        <v>1</v>
      </c>
      <c r="G21" s="30" t="s">
        <v>193</v>
      </c>
      <c r="H21" s="30" t="s">
        <v>194</v>
      </c>
      <c r="I21" s="30" t="s">
        <v>6948</v>
      </c>
      <c r="J21" s="30" t="s">
        <v>223</v>
      </c>
      <c r="K21" s="30">
        <v>18</v>
      </c>
      <c r="L21" s="30" t="s">
        <v>6996</v>
      </c>
      <c r="M21" s="30" t="s">
        <v>6374</v>
      </c>
      <c r="N21" s="30" t="s">
        <v>6950</v>
      </c>
      <c r="O21" s="30" t="s">
        <v>6993</v>
      </c>
      <c r="P21" s="30" t="s">
        <v>6951</v>
      </c>
      <c r="Q21" s="30">
        <v>1876046</v>
      </c>
      <c r="R21" s="30">
        <v>14263625</v>
      </c>
      <c r="S21" s="30"/>
      <c r="T21" s="30">
        <v>1804</v>
      </c>
      <c r="U21" s="30" t="s">
        <v>555</v>
      </c>
      <c r="V21" s="30" t="s">
        <v>194</v>
      </c>
      <c r="W21" s="30">
        <v>1</v>
      </c>
      <c r="X21" s="30"/>
      <c r="Y21" s="30" t="s">
        <v>6997</v>
      </c>
      <c r="Z21" s="30"/>
      <c r="AA21" s="30"/>
      <c r="AB21" s="30"/>
      <c r="AC21" s="30"/>
      <c r="AD21" s="30"/>
      <c r="AE21" s="30"/>
      <c r="AF21" s="30" t="s">
        <v>4714</v>
      </c>
      <c r="AG21" s="30" t="s">
        <v>6995</v>
      </c>
      <c r="AH21" s="30"/>
      <c r="AI21" s="30" t="s">
        <v>6955</v>
      </c>
      <c r="AJ21" s="363" t="str">
        <f t="shared" si="0"/>
        <v>311303</v>
      </c>
      <c r="AL21" s="369" t="s">
        <v>7237</v>
      </c>
      <c r="AM21" s="245">
        <f>SUMIF(T3:T600,1811,F3:F600)</f>
        <v>8</v>
      </c>
    </row>
    <row r="22" spans="1:39" x14ac:dyDescent="0.25">
      <c r="A22" s="35" t="s">
        <v>6998</v>
      </c>
      <c r="B22" s="30" t="s">
        <v>6999</v>
      </c>
      <c r="C22" s="30" t="s">
        <v>17</v>
      </c>
      <c r="D22" s="30" t="s">
        <v>6947</v>
      </c>
      <c r="E22" s="30" t="s">
        <v>192</v>
      </c>
      <c r="F22" s="333">
        <v>1</v>
      </c>
      <c r="G22" s="30" t="s">
        <v>193</v>
      </c>
      <c r="H22" s="30" t="s">
        <v>194</v>
      </c>
      <c r="I22" s="30" t="s">
        <v>6948</v>
      </c>
      <c r="J22" s="30" t="s">
        <v>276</v>
      </c>
      <c r="K22" s="30">
        <v>18</v>
      </c>
      <c r="L22" s="30" t="s">
        <v>7000</v>
      </c>
      <c r="M22" s="30" t="s">
        <v>7001</v>
      </c>
      <c r="N22" s="30" t="s">
        <v>6957</v>
      </c>
      <c r="O22" s="30" t="s">
        <v>6951</v>
      </c>
      <c r="P22" s="30" t="s">
        <v>7002</v>
      </c>
      <c r="Q22" s="30">
        <v>1876167</v>
      </c>
      <c r="R22" s="30">
        <v>14292465</v>
      </c>
      <c r="S22" s="30"/>
      <c r="T22" s="30">
        <v>1803</v>
      </c>
      <c r="U22" s="30" t="s">
        <v>624</v>
      </c>
      <c r="V22" s="30" t="s">
        <v>194</v>
      </c>
      <c r="W22" s="30">
        <v>1</v>
      </c>
      <c r="X22" s="30">
        <v>7505966</v>
      </c>
      <c r="Y22" s="30"/>
      <c r="Z22" s="30"/>
      <c r="AA22" s="30"/>
      <c r="AB22" s="30"/>
      <c r="AC22" s="30"/>
      <c r="AD22" s="30"/>
      <c r="AE22" s="30"/>
      <c r="AF22" s="30" t="s">
        <v>4714</v>
      </c>
      <c r="AG22" s="30" t="s">
        <v>6999</v>
      </c>
      <c r="AH22" s="30"/>
      <c r="AI22" s="30" t="s">
        <v>6955</v>
      </c>
      <c r="AJ22" s="363" t="str">
        <f t="shared" si="0"/>
        <v>332203</v>
      </c>
      <c r="AL22" s="369" t="s">
        <v>7238</v>
      </c>
      <c r="AM22" s="30">
        <f>SUMIF(T3:T600,1812,F3:F600)</f>
        <v>0</v>
      </c>
    </row>
    <row r="23" spans="1:39" x14ac:dyDescent="0.25">
      <c r="A23" s="35" t="s">
        <v>7003</v>
      </c>
      <c r="B23" s="30" t="s">
        <v>932</v>
      </c>
      <c r="C23" s="30" t="s">
        <v>17</v>
      </c>
      <c r="D23" s="30" t="s">
        <v>6947</v>
      </c>
      <c r="E23" s="30" t="s">
        <v>233</v>
      </c>
      <c r="F23" s="333">
        <v>1</v>
      </c>
      <c r="G23" s="30" t="s">
        <v>193</v>
      </c>
      <c r="H23" s="30" t="s">
        <v>194</v>
      </c>
      <c r="I23" s="30" t="s">
        <v>6948</v>
      </c>
      <c r="J23" s="30" t="s">
        <v>408</v>
      </c>
      <c r="K23" s="30">
        <v>18</v>
      </c>
      <c r="L23" s="30" t="s">
        <v>7004</v>
      </c>
      <c r="M23" s="30" t="s">
        <v>6249</v>
      </c>
      <c r="N23" s="30" t="s">
        <v>6950</v>
      </c>
      <c r="O23" s="30" t="s">
        <v>6951</v>
      </c>
      <c r="P23" s="30" t="s">
        <v>6952</v>
      </c>
      <c r="Q23" s="30">
        <v>1875781</v>
      </c>
      <c r="R23" s="30">
        <v>14263336</v>
      </c>
      <c r="S23" s="30"/>
      <c r="T23" s="30">
        <v>1864</v>
      </c>
      <c r="U23" s="30" t="s">
        <v>624</v>
      </c>
      <c r="V23" s="30" t="s">
        <v>194</v>
      </c>
      <c r="W23" s="30">
        <v>1</v>
      </c>
      <c r="X23" s="30"/>
      <c r="Y23" s="30" t="s">
        <v>7005</v>
      </c>
      <c r="Z23" s="30"/>
      <c r="AA23" s="30"/>
      <c r="AB23" s="30"/>
      <c r="AC23" s="30"/>
      <c r="AD23" s="30"/>
      <c r="AE23" s="30"/>
      <c r="AF23" s="30" t="s">
        <v>4714</v>
      </c>
      <c r="AG23" s="30" t="s">
        <v>932</v>
      </c>
      <c r="AH23" s="30"/>
      <c r="AI23" s="30" t="s">
        <v>6955</v>
      </c>
      <c r="AJ23" s="363" t="str">
        <f t="shared" si="0"/>
        <v>332203</v>
      </c>
      <c r="AL23" s="369" t="s">
        <v>7239</v>
      </c>
      <c r="AM23" s="30">
        <f>SUMIF(T3:T600,1813,F3:F600)</f>
        <v>3</v>
      </c>
    </row>
    <row r="24" spans="1:39" x14ac:dyDescent="0.25">
      <c r="A24" s="35" t="s">
        <v>258</v>
      </c>
      <c r="B24" s="30" t="s">
        <v>537</v>
      </c>
      <c r="C24" s="30" t="s">
        <v>778</v>
      </c>
      <c r="D24" s="30" t="s">
        <v>7006</v>
      </c>
      <c r="E24" s="30" t="s">
        <v>233</v>
      </c>
      <c r="F24" s="333">
        <v>1</v>
      </c>
      <c r="G24" s="30" t="s">
        <v>193</v>
      </c>
      <c r="H24" s="30" t="s">
        <v>194</v>
      </c>
      <c r="I24" s="30" t="s">
        <v>6948</v>
      </c>
      <c r="J24" s="30" t="s">
        <v>259</v>
      </c>
      <c r="K24" s="30">
        <v>18</v>
      </c>
      <c r="L24" s="30" t="s">
        <v>7007</v>
      </c>
      <c r="M24" s="30" t="s">
        <v>6249</v>
      </c>
      <c r="N24" s="30" t="s">
        <v>7008</v>
      </c>
      <c r="O24" s="30" t="s">
        <v>6980</v>
      </c>
      <c r="P24" s="30" t="s">
        <v>7006</v>
      </c>
      <c r="Q24" s="30">
        <v>1870065</v>
      </c>
      <c r="R24" s="30">
        <v>13233425</v>
      </c>
      <c r="S24" s="30"/>
      <c r="T24" s="30">
        <v>1801</v>
      </c>
      <c r="U24" s="30" t="s">
        <v>779</v>
      </c>
      <c r="V24" s="30" t="s">
        <v>194</v>
      </c>
      <c r="W24" s="30">
        <v>1</v>
      </c>
      <c r="X24" s="30"/>
      <c r="Y24" s="30" t="s">
        <v>7009</v>
      </c>
      <c r="Z24" s="30"/>
      <c r="AA24" s="30"/>
      <c r="AB24" s="30"/>
      <c r="AC24" s="30"/>
      <c r="AD24" s="30"/>
      <c r="AE24" s="30"/>
      <c r="AF24" s="30" t="s">
        <v>4714</v>
      </c>
      <c r="AG24" s="30" t="s">
        <v>537</v>
      </c>
      <c r="AH24" s="30"/>
      <c r="AI24" s="30" t="s">
        <v>6955</v>
      </c>
      <c r="AJ24" s="363" t="str">
        <f t="shared" si="0"/>
        <v>524902</v>
      </c>
      <c r="AL24" s="369" t="s">
        <v>7240</v>
      </c>
      <c r="AM24" s="30">
        <f>SUMIF(T3:T600,1814,F3:F600)</f>
        <v>1</v>
      </c>
    </row>
    <row r="25" spans="1:39" x14ac:dyDescent="0.25">
      <c r="A25" s="35" t="s">
        <v>5589</v>
      </c>
      <c r="B25" s="30" t="s">
        <v>7010</v>
      </c>
      <c r="C25" s="30" t="s">
        <v>6617</v>
      </c>
      <c r="D25" s="30" t="s">
        <v>7006</v>
      </c>
      <c r="E25" s="30" t="s">
        <v>252</v>
      </c>
      <c r="F25" s="333">
        <v>1</v>
      </c>
      <c r="G25" s="30" t="s">
        <v>193</v>
      </c>
      <c r="H25" s="30" t="s">
        <v>194</v>
      </c>
      <c r="I25" s="30" t="s">
        <v>6948</v>
      </c>
      <c r="J25" s="30" t="s">
        <v>210</v>
      </c>
      <c r="K25" s="30">
        <v>18</v>
      </c>
      <c r="L25" s="30" t="s">
        <v>7011</v>
      </c>
      <c r="M25" s="30" t="s">
        <v>6266</v>
      </c>
      <c r="N25" s="30" t="s">
        <v>7012</v>
      </c>
      <c r="O25" s="30" t="s">
        <v>7013</v>
      </c>
      <c r="P25" s="30" t="s">
        <v>7014</v>
      </c>
      <c r="Q25" s="30">
        <v>1870488</v>
      </c>
      <c r="R25" s="30">
        <v>14083308</v>
      </c>
      <c r="S25" s="30"/>
      <c r="T25" s="77">
        <v>1863</v>
      </c>
      <c r="U25" s="30" t="s">
        <v>990</v>
      </c>
      <c r="V25" s="30" t="s">
        <v>194</v>
      </c>
      <c r="W25" s="30">
        <v>1</v>
      </c>
      <c r="X25" s="30"/>
      <c r="Y25" s="30" t="s">
        <v>7015</v>
      </c>
      <c r="Z25" s="30"/>
      <c r="AA25" s="30"/>
      <c r="AB25" s="30"/>
      <c r="AC25" s="30"/>
      <c r="AD25" s="30"/>
      <c r="AE25" s="30"/>
      <c r="AF25" s="30" t="s">
        <v>4714</v>
      </c>
      <c r="AG25" s="30"/>
      <c r="AH25" s="30"/>
      <c r="AI25" s="30" t="s">
        <v>6955</v>
      </c>
      <c r="AJ25" s="363" t="str">
        <f t="shared" si="0"/>
        <v>833202</v>
      </c>
      <c r="AL25" s="369" t="s">
        <v>7241</v>
      </c>
      <c r="AM25" s="30">
        <f>SUMIF(T3:T600,1815,F3:F600)</f>
        <v>1</v>
      </c>
    </row>
    <row r="26" spans="1:39" x14ac:dyDescent="0.25">
      <c r="A26" s="35" t="s">
        <v>5810</v>
      </c>
      <c r="B26" s="30" t="s">
        <v>1322</v>
      </c>
      <c r="C26" s="30" t="s">
        <v>7016</v>
      </c>
      <c r="D26" s="30" t="s">
        <v>7006</v>
      </c>
      <c r="E26" s="30" t="s">
        <v>233</v>
      </c>
      <c r="F26" s="333">
        <v>1</v>
      </c>
      <c r="G26" s="30" t="s">
        <v>193</v>
      </c>
      <c r="H26" s="30" t="s">
        <v>194</v>
      </c>
      <c r="I26" s="30" t="s">
        <v>6948</v>
      </c>
      <c r="J26" s="30" t="s">
        <v>5811</v>
      </c>
      <c r="K26" s="30">
        <v>18</v>
      </c>
      <c r="L26" s="30" t="s">
        <v>7017</v>
      </c>
      <c r="M26" s="30" t="s">
        <v>6921</v>
      </c>
      <c r="N26" s="30" t="s">
        <v>7008</v>
      </c>
      <c r="O26" s="30" t="s">
        <v>7018</v>
      </c>
      <c r="P26" s="30" t="s">
        <v>6967</v>
      </c>
      <c r="Q26" s="30">
        <v>1870456</v>
      </c>
      <c r="R26" s="30">
        <v>14056924</v>
      </c>
      <c r="S26" s="245"/>
      <c r="T26" s="30"/>
      <c r="U26" s="30" t="s">
        <v>7019</v>
      </c>
      <c r="V26" s="30" t="s">
        <v>193</v>
      </c>
      <c r="W26" s="30">
        <v>25</v>
      </c>
      <c r="X26" s="30"/>
      <c r="Y26" s="30" t="s">
        <v>7020</v>
      </c>
      <c r="Z26" s="30"/>
      <c r="AA26" s="30"/>
      <c r="AB26" s="30"/>
      <c r="AC26" s="30"/>
      <c r="AD26" s="30"/>
      <c r="AE26" s="30"/>
      <c r="AF26" s="30" t="s">
        <v>4714</v>
      </c>
      <c r="AG26" s="30" t="s">
        <v>1322</v>
      </c>
      <c r="AH26" s="30"/>
      <c r="AI26" s="30" t="s">
        <v>6955</v>
      </c>
      <c r="AJ26" s="363" t="str">
        <f t="shared" si="0"/>
        <v>111402</v>
      </c>
      <c r="AL26" s="369" t="s">
        <v>7242</v>
      </c>
      <c r="AM26" s="30">
        <f>SUMIF(T3:T600,1816,F3:F600)</f>
        <v>3</v>
      </c>
    </row>
    <row r="27" spans="1:39" x14ac:dyDescent="0.25">
      <c r="A27" s="35" t="s">
        <v>7021</v>
      </c>
      <c r="B27" s="30" t="s">
        <v>8</v>
      </c>
      <c r="C27" s="30" t="s">
        <v>740</v>
      </c>
      <c r="D27" s="30" t="s">
        <v>7006</v>
      </c>
      <c r="E27" s="30" t="s">
        <v>233</v>
      </c>
      <c r="F27" s="333">
        <v>1</v>
      </c>
      <c r="G27" s="30" t="s">
        <v>193</v>
      </c>
      <c r="H27" s="30" t="s">
        <v>194</v>
      </c>
      <c r="I27" s="30" t="s">
        <v>6948</v>
      </c>
      <c r="J27" s="30" t="s">
        <v>7022</v>
      </c>
      <c r="K27" s="30">
        <v>18</v>
      </c>
      <c r="L27" s="30" t="s">
        <v>7023</v>
      </c>
      <c r="M27" s="30" t="s">
        <v>6249</v>
      </c>
      <c r="N27" s="30" t="s">
        <v>7008</v>
      </c>
      <c r="O27" s="30" t="s">
        <v>7013</v>
      </c>
      <c r="P27" s="30" t="s">
        <v>7024</v>
      </c>
      <c r="Q27" s="30">
        <v>1870242</v>
      </c>
      <c r="R27" s="30">
        <v>14056432</v>
      </c>
      <c r="S27" s="30"/>
      <c r="T27" s="30">
        <v>1804</v>
      </c>
      <c r="U27" s="30" t="s">
        <v>741</v>
      </c>
      <c r="V27" s="30" t="s">
        <v>194</v>
      </c>
      <c r="W27" s="30">
        <v>1</v>
      </c>
      <c r="X27" s="30"/>
      <c r="Y27" s="30" t="s">
        <v>7025</v>
      </c>
      <c r="Z27" s="30"/>
      <c r="AA27" s="30"/>
      <c r="AB27" s="30"/>
      <c r="AC27" s="30"/>
      <c r="AD27" s="30"/>
      <c r="AE27" s="30"/>
      <c r="AF27" s="30" t="s">
        <v>4714</v>
      </c>
      <c r="AG27" s="30" t="s">
        <v>8</v>
      </c>
      <c r="AH27" s="30"/>
      <c r="AI27" s="30" t="s">
        <v>6955</v>
      </c>
      <c r="AJ27" s="363" t="str">
        <f t="shared" si="0"/>
        <v>522301</v>
      </c>
      <c r="AL27" s="369" t="s">
        <v>7243</v>
      </c>
      <c r="AM27" s="245">
        <f>SUMIF(T3:T600,1817,F3:F600)</f>
        <v>4</v>
      </c>
    </row>
    <row r="28" spans="1:39" x14ac:dyDescent="0.25">
      <c r="A28" s="35" t="s">
        <v>7026</v>
      </c>
      <c r="B28" s="30" t="s">
        <v>7027</v>
      </c>
      <c r="C28" s="30" t="s">
        <v>10</v>
      </c>
      <c r="D28" s="30" t="s">
        <v>7006</v>
      </c>
      <c r="E28" s="30" t="s">
        <v>233</v>
      </c>
      <c r="F28" s="333">
        <v>1</v>
      </c>
      <c r="G28" s="30" t="s">
        <v>193</v>
      </c>
      <c r="H28" s="30" t="s">
        <v>194</v>
      </c>
      <c r="I28" s="30" t="s">
        <v>6948</v>
      </c>
      <c r="J28" s="30" t="s">
        <v>210</v>
      </c>
      <c r="K28" s="30">
        <v>18</v>
      </c>
      <c r="L28" s="30" t="s">
        <v>7028</v>
      </c>
      <c r="M28" s="30" t="s">
        <v>6261</v>
      </c>
      <c r="N28" s="30" t="s">
        <v>7008</v>
      </c>
      <c r="O28" s="30" t="s">
        <v>7013</v>
      </c>
      <c r="P28" s="30" t="s">
        <v>7029</v>
      </c>
      <c r="Q28" s="30">
        <v>1870322</v>
      </c>
      <c r="R28" s="30">
        <v>14056573</v>
      </c>
      <c r="S28" s="30"/>
      <c r="T28" s="30">
        <v>1863</v>
      </c>
      <c r="U28" s="30" t="s">
        <v>484</v>
      </c>
      <c r="V28" s="30" t="s">
        <v>194</v>
      </c>
      <c r="W28" s="30">
        <v>1</v>
      </c>
      <c r="X28" s="30"/>
      <c r="Y28" s="30" t="s">
        <v>7030</v>
      </c>
      <c r="Z28" s="30"/>
      <c r="AA28" s="30"/>
      <c r="AB28" s="30"/>
      <c r="AC28" s="30"/>
      <c r="AD28" s="30"/>
      <c r="AE28" s="30"/>
      <c r="AF28" s="30" t="s">
        <v>4714</v>
      </c>
      <c r="AG28" s="30" t="s">
        <v>7027</v>
      </c>
      <c r="AH28" s="30"/>
      <c r="AI28" s="30" t="s">
        <v>6955</v>
      </c>
      <c r="AJ28" s="363" t="str">
        <f t="shared" si="0"/>
        <v>251401</v>
      </c>
      <c r="AL28" s="369" t="s">
        <v>7244</v>
      </c>
      <c r="AM28" s="30">
        <f>SUMIF(T3:T600,1818,F3:F600)</f>
        <v>6</v>
      </c>
    </row>
    <row r="29" spans="1:39" x14ac:dyDescent="0.25">
      <c r="A29" s="35" t="s">
        <v>5843</v>
      </c>
      <c r="B29" s="30" t="s">
        <v>7031</v>
      </c>
      <c r="C29" s="30" t="s">
        <v>5353</v>
      </c>
      <c r="D29" s="30" t="s">
        <v>7006</v>
      </c>
      <c r="E29" s="30" t="s">
        <v>217</v>
      </c>
      <c r="F29" s="333">
        <v>1</v>
      </c>
      <c r="G29" s="30" t="s">
        <v>193</v>
      </c>
      <c r="H29" s="30" t="s">
        <v>194</v>
      </c>
      <c r="I29" s="30" t="s">
        <v>6948</v>
      </c>
      <c r="J29" s="30" t="s">
        <v>5845</v>
      </c>
      <c r="K29" s="30">
        <v>18</v>
      </c>
      <c r="L29" s="30" t="s">
        <v>7032</v>
      </c>
      <c r="M29" s="30" t="s">
        <v>6249</v>
      </c>
      <c r="N29" s="30" t="s">
        <v>7033</v>
      </c>
      <c r="O29" s="30" t="s">
        <v>7034</v>
      </c>
      <c r="P29" s="30" t="s">
        <v>7035</v>
      </c>
      <c r="Q29" s="30">
        <v>1870136</v>
      </c>
      <c r="R29" s="30">
        <v>14055342</v>
      </c>
      <c r="S29" s="30"/>
      <c r="T29" s="30">
        <v>1816</v>
      </c>
      <c r="U29" s="30" t="s">
        <v>2084</v>
      </c>
      <c r="V29" s="30" t="s">
        <v>194</v>
      </c>
      <c r="W29" s="30">
        <v>1</v>
      </c>
      <c r="X29" s="30"/>
      <c r="Y29" s="30" t="s">
        <v>7036</v>
      </c>
      <c r="Z29" s="30"/>
      <c r="AA29" s="30"/>
      <c r="AB29" s="30"/>
      <c r="AC29" s="30"/>
      <c r="AD29" s="30"/>
      <c r="AE29" s="30" t="s">
        <v>4904</v>
      </c>
      <c r="AF29" s="30" t="s">
        <v>4714</v>
      </c>
      <c r="AG29" s="30"/>
      <c r="AH29" s="30"/>
      <c r="AI29" s="30" t="s">
        <v>6955</v>
      </c>
      <c r="AJ29" s="363" t="str">
        <f t="shared" si="0"/>
        <v>524302</v>
      </c>
      <c r="AL29" s="369" t="s">
        <v>7245</v>
      </c>
      <c r="AM29" s="30">
        <f>SUMIF(T3:T600,1819,F3:F600)</f>
        <v>2</v>
      </c>
    </row>
    <row r="30" spans="1:39" x14ac:dyDescent="0.25">
      <c r="A30" s="35" t="s">
        <v>540</v>
      </c>
      <c r="B30" s="30" t="s">
        <v>7037</v>
      </c>
      <c r="C30" s="30" t="s">
        <v>778</v>
      </c>
      <c r="D30" s="30" t="s">
        <v>7006</v>
      </c>
      <c r="E30" s="30" t="s">
        <v>233</v>
      </c>
      <c r="F30" s="333">
        <v>1</v>
      </c>
      <c r="G30" s="30" t="s">
        <v>193</v>
      </c>
      <c r="H30" s="30" t="s">
        <v>194</v>
      </c>
      <c r="I30" s="30" t="s">
        <v>6948</v>
      </c>
      <c r="J30" s="30" t="s">
        <v>210</v>
      </c>
      <c r="K30" s="30">
        <v>18</v>
      </c>
      <c r="L30" s="30" t="s">
        <v>7038</v>
      </c>
      <c r="M30" s="30" t="s">
        <v>6249</v>
      </c>
      <c r="N30" s="30" t="s">
        <v>7008</v>
      </c>
      <c r="O30" s="30" t="s">
        <v>7013</v>
      </c>
      <c r="P30" s="30" t="s">
        <v>7029</v>
      </c>
      <c r="Q30" s="30">
        <v>1870431</v>
      </c>
      <c r="R30" s="30">
        <v>14056895</v>
      </c>
      <c r="S30" s="30"/>
      <c r="T30" s="30">
        <v>1863</v>
      </c>
      <c r="U30" s="30" t="s">
        <v>779</v>
      </c>
      <c r="V30" s="30" t="s">
        <v>194</v>
      </c>
      <c r="W30" s="30">
        <v>1</v>
      </c>
      <c r="X30" s="30" t="s">
        <v>7039</v>
      </c>
      <c r="Y30" s="30" t="s">
        <v>7040</v>
      </c>
      <c r="Z30" s="30"/>
      <c r="AA30" s="30"/>
      <c r="AB30" s="30"/>
      <c r="AC30" s="30"/>
      <c r="AD30" s="30"/>
      <c r="AE30" s="30"/>
      <c r="AF30" s="30" t="s">
        <v>4714</v>
      </c>
      <c r="AG30" s="30" t="s">
        <v>7037</v>
      </c>
      <c r="AH30" s="30"/>
      <c r="AI30" s="30" t="s">
        <v>6955</v>
      </c>
      <c r="AJ30" s="363" t="str">
        <f t="shared" si="0"/>
        <v>524902</v>
      </c>
      <c r="AL30" s="369" t="s">
        <v>7246</v>
      </c>
      <c r="AM30" s="245">
        <f>SUMIF(T3:T600,1820,F3:F600)</f>
        <v>4</v>
      </c>
    </row>
    <row r="31" spans="1:39" x14ac:dyDescent="0.25">
      <c r="A31" s="35" t="s">
        <v>7041</v>
      </c>
      <c r="B31" s="30" t="s">
        <v>1034</v>
      </c>
      <c r="C31" s="30" t="s">
        <v>74</v>
      </c>
      <c r="D31" s="30" t="s">
        <v>7006</v>
      </c>
      <c r="E31" s="30" t="s">
        <v>192</v>
      </c>
      <c r="F31" s="333">
        <v>1</v>
      </c>
      <c r="G31" s="30" t="s">
        <v>193</v>
      </c>
      <c r="H31" s="30" t="s">
        <v>194</v>
      </c>
      <c r="I31" s="30" t="s">
        <v>6948</v>
      </c>
      <c r="J31" s="30" t="s">
        <v>385</v>
      </c>
      <c r="K31" s="30">
        <v>18</v>
      </c>
      <c r="L31" s="30" t="s">
        <v>7042</v>
      </c>
      <c r="M31" s="30" t="s">
        <v>6254</v>
      </c>
      <c r="N31" s="30" t="s">
        <v>7043</v>
      </c>
      <c r="O31" s="30" t="s">
        <v>7013</v>
      </c>
      <c r="P31" s="30" t="s">
        <v>7029</v>
      </c>
      <c r="Q31" s="30">
        <v>1870597</v>
      </c>
      <c r="R31" s="30">
        <v>14085447</v>
      </c>
      <c r="S31" s="245"/>
      <c r="T31" s="77" t="s">
        <v>7044</v>
      </c>
      <c r="U31" s="30" t="s">
        <v>246</v>
      </c>
      <c r="V31" s="30" t="s">
        <v>194</v>
      </c>
      <c r="W31" s="30">
        <v>3</v>
      </c>
      <c r="X31" s="30">
        <v>1000391434</v>
      </c>
      <c r="Y31" s="30"/>
      <c r="Z31" s="30"/>
      <c r="AA31" s="30"/>
      <c r="AB31" s="30"/>
      <c r="AC31" s="30"/>
      <c r="AD31" s="30"/>
      <c r="AE31" s="30"/>
      <c r="AF31" s="30" t="s">
        <v>4714</v>
      </c>
      <c r="AG31" s="30" t="s">
        <v>1034</v>
      </c>
      <c r="AH31" s="30"/>
      <c r="AI31" s="30" t="s">
        <v>6955</v>
      </c>
      <c r="AJ31" s="363" t="str">
        <f t="shared" si="0"/>
        <v>142004</v>
      </c>
      <c r="AL31" s="369" t="s">
        <v>7247</v>
      </c>
      <c r="AM31" s="245">
        <f>SUMIF(T3:T600,1861,F3:F600)</f>
        <v>4</v>
      </c>
    </row>
    <row r="32" spans="1:39" x14ac:dyDescent="0.25">
      <c r="A32" s="35" t="s">
        <v>7041</v>
      </c>
      <c r="B32" s="30" t="s">
        <v>1034</v>
      </c>
      <c r="C32" s="30" t="s">
        <v>74</v>
      </c>
      <c r="D32" s="30" t="s">
        <v>7006</v>
      </c>
      <c r="E32" s="30" t="s">
        <v>192</v>
      </c>
      <c r="F32" s="333">
        <v>1</v>
      </c>
      <c r="G32" s="30" t="s">
        <v>193</v>
      </c>
      <c r="H32" s="30" t="s">
        <v>194</v>
      </c>
      <c r="I32" s="30" t="s">
        <v>6948</v>
      </c>
      <c r="J32" s="30" t="s">
        <v>210</v>
      </c>
      <c r="K32" s="30">
        <v>18</v>
      </c>
      <c r="L32" s="30" t="s">
        <v>7045</v>
      </c>
      <c r="M32" s="30" t="s">
        <v>6254</v>
      </c>
      <c r="N32" s="30" t="s">
        <v>7043</v>
      </c>
      <c r="O32" s="30" t="s">
        <v>7013</v>
      </c>
      <c r="P32" s="30" t="s">
        <v>7029</v>
      </c>
      <c r="Q32" s="30">
        <v>1870606</v>
      </c>
      <c r="R32" s="30">
        <v>14085456</v>
      </c>
      <c r="S32" s="30"/>
      <c r="T32" s="77">
        <v>1863</v>
      </c>
      <c r="U32" s="30" t="s">
        <v>246</v>
      </c>
      <c r="V32" s="30" t="s">
        <v>194</v>
      </c>
      <c r="W32" s="30">
        <v>1</v>
      </c>
      <c r="X32" s="30">
        <v>1000391443</v>
      </c>
      <c r="Y32" s="30"/>
      <c r="Z32" s="30"/>
      <c r="AA32" s="30"/>
      <c r="AB32" s="30"/>
      <c r="AC32" s="30"/>
      <c r="AD32" s="30"/>
      <c r="AE32" s="30"/>
      <c r="AF32" s="30" t="s">
        <v>4714</v>
      </c>
      <c r="AG32" s="30" t="s">
        <v>1034</v>
      </c>
      <c r="AH32" s="30"/>
      <c r="AI32" s="30" t="s">
        <v>6955</v>
      </c>
      <c r="AJ32" s="363" t="str">
        <f t="shared" si="0"/>
        <v>142004</v>
      </c>
      <c r="AL32" s="369" t="s">
        <v>7248</v>
      </c>
      <c r="AM32" s="30">
        <f>SUMIF(T3:T600,1862,F3:F600)</f>
        <v>0</v>
      </c>
    </row>
    <row r="33" spans="1:41" x14ac:dyDescent="0.25">
      <c r="A33" s="35" t="s">
        <v>7041</v>
      </c>
      <c r="B33" s="30" t="s">
        <v>1034</v>
      </c>
      <c r="C33" s="30" t="s">
        <v>74</v>
      </c>
      <c r="D33" s="30" t="s">
        <v>7006</v>
      </c>
      <c r="E33" s="30" t="s">
        <v>192</v>
      </c>
      <c r="F33" s="333">
        <v>1</v>
      </c>
      <c r="G33" s="30" t="s">
        <v>193</v>
      </c>
      <c r="H33" s="30" t="s">
        <v>194</v>
      </c>
      <c r="I33" s="30" t="s">
        <v>6948</v>
      </c>
      <c r="J33" s="30" t="s">
        <v>316</v>
      </c>
      <c r="K33" s="30">
        <v>18</v>
      </c>
      <c r="L33" s="30" t="s">
        <v>7046</v>
      </c>
      <c r="M33" s="30" t="s">
        <v>6254</v>
      </c>
      <c r="N33" s="30" t="s">
        <v>7043</v>
      </c>
      <c r="O33" s="30" t="s">
        <v>7013</v>
      </c>
      <c r="P33" s="30" t="s">
        <v>7029</v>
      </c>
      <c r="Q33" s="30">
        <v>1870608</v>
      </c>
      <c r="R33" s="30">
        <v>14085458</v>
      </c>
      <c r="S33" s="30"/>
      <c r="T33" s="30">
        <v>1818</v>
      </c>
      <c r="U33" s="30" t="s">
        <v>246</v>
      </c>
      <c r="V33" s="30" t="s">
        <v>194</v>
      </c>
      <c r="W33" s="30">
        <v>1</v>
      </c>
      <c r="X33" s="30">
        <v>1000391445</v>
      </c>
      <c r="Y33" s="30"/>
      <c r="Z33" s="30"/>
      <c r="AA33" s="30"/>
      <c r="AB33" s="30"/>
      <c r="AC33" s="30"/>
      <c r="AD33" s="30"/>
      <c r="AE33" s="30"/>
      <c r="AF33" s="30" t="s">
        <v>4714</v>
      </c>
      <c r="AG33" s="30" t="s">
        <v>1034</v>
      </c>
      <c r="AH33" s="30"/>
      <c r="AI33" s="30" t="s">
        <v>6955</v>
      </c>
      <c r="AJ33" s="363" t="str">
        <f t="shared" si="0"/>
        <v>142004</v>
      </c>
      <c r="AL33" s="369" t="s">
        <v>7249</v>
      </c>
      <c r="AM33" s="245">
        <f>SUMIF(T3:T600,1863,F3:F600)</f>
        <v>20</v>
      </c>
    </row>
    <row r="34" spans="1:41" x14ac:dyDescent="0.25">
      <c r="A34" s="35" t="s">
        <v>2897</v>
      </c>
      <c r="B34" s="30" t="s">
        <v>7047</v>
      </c>
      <c r="C34" s="30" t="s">
        <v>129</v>
      </c>
      <c r="D34" s="30" t="s">
        <v>7048</v>
      </c>
      <c r="E34" s="30" t="s">
        <v>192</v>
      </c>
      <c r="F34" s="333">
        <v>1</v>
      </c>
      <c r="G34" s="30" t="s">
        <v>193</v>
      </c>
      <c r="H34" s="30" t="s">
        <v>194</v>
      </c>
      <c r="I34" s="30" t="s">
        <v>7049</v>
      </c>
      <c r="J34" s="30" t="s">
        <v>210</v>
      </c>
      <c r="K34" s="30">
        <v>18</v>
      </c>
      <c r="L34" s="30" t="s">
        <v>7050</v>
      </c>
      <c r="M34" s="30" t="s">
        <v>6327</v>
      </c>
      <c r="N34" s="30" t="s">
        <v>7051</v>
      </c>
      <c r="O34" s="30" t="s">
        <v>7018</v>
      </c>
      <c r="P34" s="30" t="s">
        <v>7052</v>
      </c>
      <c r="Q34" s="30">
        <v>1865750</v>
      </c>
      <c r="R34" s="30">
        <v>13887127</v>
      </c>
      <c r="S34" s="30"/>
      <c r="T34" s="77">
        <v>1863</v>
      </c>
      <c r="U34" s="30" t="s">
        <v>203</v>
      </c>
      <c r="V34" s="30" t="s">
        <v>194</v>
      </c>
      <c r="W34" s="30">
        <v>1</v>
      </c>
      <c r="X34" s="30">
        <v>1000366252</v>
      </c>
      <c r="Y34" s="30"/>
      <c r="Z34" s="30"/>
      <c r="AA34" s="30"/>
      <c r="AB34" s="30"/>
      <c r="AC34" s="30"/>
      <c r="AD34" s="30"/>
      <c r="AE34" s="30"/>
      <c r="AF34" s="30" t="s">
        <v>4714</v>
      </c>
      <c r="AG34" s="30" t="s">
        <v>7047</v>
      </c>
      <c r="AH34" s="30"/>
      <c r="AI34" s="30" t="s">
        <v>6955</v>
      </c>
      <c r="AJ34" s="363" t="str">
        <f t="shared" si="0"/>
        <v>121904</v>
      </c>
      <c r="AL34" s="369" t="s">
        <v>7250</v>
      </c>
      <c r="AM34" s="30">
        <f>SUMIF(T3:T600,1864,F3:F600)</f>
        <v>5</v>
      </c>
    </row>
    <row r="35" spans="1:41" x14ac:dyDescent="0.2">
      <c r="A35" s="35" t="s">
        <v>1647</v>
      </c>
      <c r="B35" s="30" t="s">
        <v>537</v>
      </c>
      <c r="C35" s="30" t="s">
        <v>778</v>
      </c>
      <c r="D35" s="30" t="s">
        <v>7048</v>
      </c>
      <c r="E35" s="30" t="s">
        <v>233</v>
      </c>
      <c r="F35" s="333">
        <v>1</v>
      </c>
      <c r="G35" s="30" t="s">
        <v>193</v>
      </c>
      <c r="H35" s="30" t="s">
        <v>194</v>
      </c>
      <c r="I35" s="30" t="s">
        <v>7049</v>
      </c>
      <c r="J35" s="30" t="s">
        <v>7053</v>
      </c>
      <c r="K35" s="30">
        <v>18</v>
      </c>
      <c r="L35" s="30" t="s">
        <v>7054</v>
      </c>
      <c r="M35" s="30" t="s">
        <v>6254</v>
      </c>
      <c r="N35" s="30" t="s">
        <v>7055</v>
      </c>
      <c r="O35" s="30" t="s">
        <v>7056</v>
      </c>
      <c r="P35" s="30" t="s">
        <v>7048</v>
      </c>
      <c r="Q35" s="30">
        <v>1865210</v>
      </c>
      <c r="R35" s="30">
        <v>13012896</v>
      </c>
      <c r="S35" s="245"/>
      <c r="T35" s="77" t="s">
        <v>7057</v>
      </c>
      <c r="U35" s="30" t="s">
        <v>779</v>
      </c>
      <c r="V35" s="30" t="s">
        <v>194</v>
      </c>
      <c r="W35" s="30">
        <v>5</v>
      </c>
      <c r="X35" s="30"/>
      <c r="Y35" s="30" t="s">
        <v>7058</v>
      </c>
      <c r="Z35" s="30"/>
      <c r="AA35" s="30"/>
      <c r="AB35" s="30"/>
      <c r="AC35" s="30"/>
      <c r="AD35" s="30"/>
      <c r="AE35" s="30"/>
      <c r="AF35" s="30" t="s">
        <v>4714</v>
      </c>
      <c r="AG35" s="30" t="s">
        <v>537</v>
      </c>
      <c r="AH35" s="30"/>
      <c r="AI35" s="30" t="s">
        <v>6955</v>
      </c>
      <c r="AJ35" s="364" t="str">
        <f t="shared" si="0"/>
        <v>524902</v>
      </c>
      <c r="AL35" s="370" t="s">
        <v>7251</v>
      </c>
      <c r="AM35" s="77">
        <f>SUM(AM10:AM34)</f>
        <v>84</v>
      </c>
    </row>
    <row r="36" spans="1:41" x14ac:dyDescent="0.25">
      <c r="A36" s="35" t="s">
        <v>7059</v>
      </c>
      <c r="B36" s="30" t="s">
        <v>3901</v>
      </c>
      <c r="C36" s="30" t="s">
        <v>3901</v>
      </c>
      <c r="D36" s="30" t="s">
        <v>7048</v>
      </c>
      <c r="E36" s="30" t="s">
        <v>233</v>
      </c>
      <c r="F36" s="333">
        <v>1</v>
      </c>
      <c r="G36" s="30" t="s">
        <v>193</v>
      </c>
      <c r="H36" s="30" t="s">
        <v>194</v>
      </c>
      <c r="I36" s="30" t="s">
        <v>7049</v>
      </c>
      <c r="J36" s="30" t="s">
        <v>210</v>
      </c>
      <c r="K36" s="30">
        <v>18</v>
      </c>
      <c r="L36" s="30" t="s">
        <v>7060</v>
      </c>
      <c r="M36" s="30" t="s">
        <v>6306</v>
      </c>
      <c r="N36" s="30" t="s">
        <v>7061</v>
      </c>
      <c r="O36" s="30" t="s">
        <v>7018</v>
      </c>
      <c r="P36" s="30" t="s">
        <v>7062</v>
      </c>
      <c r="Q36" s="30">
        <v>1865666</v>
      </c>
      <c r="R36" s="30">
        <v>13859674</v>
      </c>
      <c r="S36" s="30"/>
      <c r="T36" s="77">
        <v>1863</v>
      </c>
      <c r="U36" s="30" t="s">
        <v>3902</v>
      </c>
      <c r="V36" s="30" t="s">
        <v>194</v>
      </c>
      <c r="W36" s="30">
        <v>1</v>
      </c>
      <c r="X36" s="30">
        <v>66834</v>
      </c>
      <c r="Y36" s="30" t="s">
        <v>7063</v>
      </c>
      <c r="Z36" s="30"/>
      <c r="AA36" s="30"/>
      <c r="AB36" s="30"/>
      <c r="AC36" s="30"/>
      <c r="AD36" s="30"/>
      <c r="AE36" s="30"/>
      <c r="AF36" s="30" t="s">
        <v>4714</v>
      </c>
      <c r="AG36" s="30" t="s">
        <v>3901</v>
      </c>
      <c r="AH36" s="30"/>
      <c r="AI36" s="30" t="s">
        <v>6955</v>
      </c>
      <c r="AJ36" s="363" t="str">
        <f t="shared" si="0"/>
        <v>235109</v>
      </c>
      <c r="AL36" s="35" t="s">
        <v>7252</v>
      </c>
      <c r="AM36" s="30">
        <v>13</v>
      </c>
      <c r="AO36" s="30">
        <f>SUM(IF(T3:T600&gt;=1801,IF(T3:T600&lt;=1864,T3:T600,0),0))</f>
        <v>159030.5423</v>
      </c>
    </row>
    <row r="37" spans="1:41" x14ac:dyDescent="0.25">
      <c r="A37" s="35" t="s">
        <v>552</v>
      </c>
      <c r="B37" s="30" t="s">
        <v>553</v>
      </c>
      <c r="C37" s="30" t="s">
        <v>62</v>
      </c>
      <c r="D37" s="30" t="s">
        <v>7048</v>
      </c>
      <c r="E37" s="30" t="s">
        <v>192</v>
      </c>
      <c r="F37" s="333">
        <v>1</v>
      </c>
      <c r="G37" s="30" t="s">
        <v>193</v>
      </c>
      <c r="H37" s="30" t="s">
        <v>194</v>
      </c>
      <c r="I37" s="30" t="s">
        <v>7049</v>
      </c>
      <c r="J37" s="30" t="s">
        <v>253</v>
      </c>
      <c r="K37" s="30">
        <v>18</v>
      </c>
      <c r="L37" s="30" t="s">
        <v>7064</v>
      </c>
      <c r="M37" s="30" t="s">
        <v>6275</v>
      </c>
      <c r="N37" s="30" t="s">
        <v>7065</v>
      </c>
      <c r="O37" s="30" t="s">
        <v>6705</v>
      </c>
      <c r="P37" s="30" t="s">
        <v>7066</v>
      </c>
      <c r="Q37" s="30">
        <v>1865195</v>
      </c>
      <c r="R37" s="30">
        <v>12988687</v>
      </c>
      <c r="S37" s="30"/>
      <c r="T37" s="30">
        <v>1811</v>
      </c>
      <c r="U37" s="30" t="s">
        <v>601</v>
      </c>
      <c r="V37" s="30" t="s">
        <v>194</v>
      </c>
      <c r="W37" s="30">
        <v>1</v>
      </c>
      <c r="X37" s="30">
        <v>7388352</v>
      </c>
      <c r="Y37" s="30"/>
      <c r="Z37" s="30"/>
      <c r="AA37" s="30"/>
      <c r="AB37" s="30"/>
      <c r="AC37" s="30"/>
      <c r="AD37" s="30"/>
      <c r="AE37" s="30"/>
      <c r="AF37" s="30" t="s">
        <v>4714</v>
      </c>
      <c r="AG37" s="30" t="s">
        <v>553</v>
      </c>
      <c r="AH37" s="30"/>
      <c r="AI37" s="30" t="s">
        <v>6955</v>
      </c>
      <c r="AJ37" s="363" t="str">
        <f t="shared" si="0"/>
        <v>313904</v>
      </c>
      <c r="AM37" s="28">
        <f>SUM(AM35:AM36)</f>
        <v>97</v>
      </c>
    </row>
    <row r="38" spans="1:41" x14ac:dyDescent="0.25">
      <c r="A38" s="35" t="s">
        <v>4975</v>
      </c>
      <c r="B38" s="30" t="s">
        <v>67</v>
      </c>
      <c r="C38" s="30" t="s">
        <v>67</v>
      </c>
      <c r="D38" s="30" t="s">
        <v>7048</v>
      </c>
      <c r="E38" s="30" t="s">
        <v>233</v>
      </c>
      <c r="F38" s="333">
        <v>1</v>
      </c>
      <c r="G38" s="30" t="s">
        <v>193</v>
      </c>
      <c r="H38" s="30" t="s">
        <v>194</v>
      </c>
      <c r="I38" s="30" t="s">
        <v>7049</v>
      </c>
      <c r="J38" s="30" t="s">
        <v>253</v>
      </c>
      <c r="K38" s="30">
        <v>18</v>
      </c>
      <c r="L38" s="30" t="s">
        <v>7067</v>
      </c>
      <c r="M38" s="30" t="s">
        <v>6266</v>
      </c>
      <c r="N38" s="30" t="s">
        <v>7061</v>
      </c>
      <c r="O38" s="30" t="s">
        <v>7018</v>
      </c>
      <c r="P38" s="30" t="s">
        <v>7052</v>
      </c>
      <c r="Q38" s="30">
        <v>1865563</v>
      </c>
      <c r="R38" s="30">
        <v>13859518</v>
      </c>
      <c r="S38" s="30"/>
      <c r="T38" s="30">
        <v>1811</v>
      </c>
      <c r="U38" s="30" t="s">
        <v>709</v>
      </c>
      <c r="V38" s="30" t="s">
        <v>194</v>
      </c>
      <c r="W38" s="30">
        <v>1</v>
      </c>
      <c r="X38" s="30"/>
      <c r="Y38" s="30" t="s">
        <v>7068</v>
      </c>
      <c r="Z38" s="30"/>
      <c r="AA38" s="30"/>
      <c r="AB38" s="30"/>
      <c r="AC38" s="30"/>
      <c r="AD38" s="30"/>
      <c r="AE38" s="30"/>
      <c r="AF38" s="30" t="s">
        <v>4714</v>
      </c>
      <c r="AG38" s="30" t="s">
        <v>67</v>
      </c>
      <c r="AH38" s="30"/>
      <c r="AI38" s="30" t="s">
        <v>6955</v>
      </c>
      <c r="AJ38" s="363" t="str">
        <f t="shared" si="0"/>
        <v>432103</v>
      </c>
    </row>
    <row r="39" spans="1:41" x14ac:dyDescent="0.25">
      <c r="A39" s="35" t="s">
        <v>4975</v>
      </c>
      <c r="B39" s="30" t="s">
        <v>7069</v>
      </c>
      <c r="C39" s="30" t="s">
        <v>740</v>
      </c>
      <c r="D39" s="30" t="s">
        <v>7048</v>
      </c>
      <c r="E39" s="30" t="s">
        <v>233</v>
      </c>
      <c r="F39" s="333">
        <v>1</v>
      </c>
      <c r="G39" s="30" t="s">
        <v>193</v>
      </c>
      <c r="H39" s="30" t="s">
        <v>194</v>
      </c>
      <c r="I39" s="30" t="s">
        <v>7049</v>
      </c>
      <c r="J39" s="30" t="s">
        <v>276</v>
      </c>
      <c r="K39" s="30">
        <v>18</v>
      </c>
      <c r="L39" s="30" t="s">
        <v>7070</v>
      </c>
      <c r="M39" s="30" t="s">
        <v>6275</v>
      </c>
      <c r="N39" s="30" t="s">
        <v>7061</v>
      </c>
      <c r="O39" s="30" t="s">
        <v>7018</v>
      </c>
      <c r="P39" s="30" t="s">
        <v>7052</v>
      </c>
      <c r="Q39" s="30">
        <v>1865562</v>
      </c>
      <c r="R39" s="30">
        <v>13859517</v>
      </c>
      <c r="S39" s="30"/>
      <c r="T39" s="30">
        <v>1803</v>
      </c>
      <c r="U39" s="30" t="s">
        <v>741</v>
      </c>
      <c r="V39" s="30" t="s">
        <v>194</v>
      </c>
      <c r="W39" s="30">
        <v>1</v>
      </c>
      <c r="X39" s="30"/>
      <c r="Y39" s="30" t="s">
        <v>7071</v>
      </c>
      <c r="Z39" s="30"/>
      <c r="AA39" s="30"/>
      <c r="AB39" s="30"/>
      <c r="AC39" s="30"/>
      <c r="AD39" s="30"/>
      <c r="AE39" s="30"/>
      <c r="AF39" s="30" t="s">
        <v>4714</v>
      </c>
      <c r="AG39" s="30" t="s">
        <v>7069</v>
      </c>
      <c r="AH39" s="30"/>
      <c r="AI39" s="30" t="s">
        <v>6955</v>
      </c>
      <c r="AJ39" s="363" t="str">
        <f t="shared" si="0"/>
        <v>522301</v>
      </c>
    </row>
    <row r="40" spans="1:41" x14ac:dyDescent="0.25">
      <c r="A40" s="35" t="s">
        <v>4975</v>
      </c>
      <c r="B40" s="30" t="s">
        <v>7069</v>
      </c>
      <c r="C40" s="30" t="s">
        <v>740</v>
      </c>
      <c r="D40" s="30" t="s">
        <v>7048</v>
      </c>
      <c r="E40" s="30" t="s">
        <v>233</v>
      </c>
      <c r="F40" s="333">
        <v>1</v>
      </c>
      <c r="G40" s="30" t="s">
        <v>193</v>
      </c>
      <c r="H40" s="30" t="s">
        <v>194</v>
      </c>
      <c r="I40" s="30" t="s">
        <v>7049</v>
      </c>
      <c r="J40" s="30" t="s">
        <v>408</v>
      </c>
      <c r="K40" s="30">
        <v>18</v>
      </c>
      <c r="L40" s="30" t="s">
        <v>7072</v>
      </c>
      <c r="M40" s="30" t="s">
        <v>6275</v>
      </c>
      <c r="N40" s="30" t="s">
        <v>7061</v>
      </c>
      <c r="O40" s="30" t="s">
        <v>7018</v>
      </c>
      <c r="P40" s="30" t="s">
        <v>7052</v>
      </c>
      <c r="Q40" s="30">
        <v>1865564</v>
      </c>
      <c r="R40" s="30">
        <v>13859519</v>
      </c>
      <c r="S40" s="30"/>
      <c r="T40" s="30">
        <v>1864</v>
      </c>
      <c r="U40" s="30" t="s">
        <v>741</v>
      </c>
      <c r="V40" s="30" t="s">
        <v>194</v>
      </c>
      <c r="W40" s="30">
        <v>1</v>
      </c>
      <c r="X40" s="30"/>
      <c r="Y40" s="30" t="s">
        <v>7073</v>
      </c>
      <c r="Z40" s="30"/>
      <c r="AA40" s="30"/>
      <c r="AB40" s="30"/>
      <c r="AC40" s="30"/>
      <c r="AD40" s="30"/>
      <c r="AE40" s="30"/>
      <c r="AF40" s="30" t="s">
        <v>4714</v>
      </c>
      <c r="AG40" s="30" t="s">
        <v>7069</v>
      </c>
      <c r="AH40" s="30"/>
      <c r="AI40" s="30" t="s">
        <v>6955</v>
      </c>
      <c r="AJ40" s="363" t="str">
        <f t="shared" si="0"/>
        <v>522301</v>
      </c>
    </row>
    <row r="41" spans="1:41" x14ac:dyDescent="0.25">
      <c r="A41" s="35" t="s">
        <v>6834</v>
      </c>
      <c r="B41" s="30" t="s">
        <v>7074</v>
      </c>
      <c r="C41" s="30" t="s">
        <v>1325</v>
      </c>
      <c r="D41" s="30" t="s">
        <v>7048</v>
      </c>
      <c r="E41" s="30" t="s">
        <v>252</v>
      </c>
      <c r="F41" s="333">
        <v>1</v>
      </c>
      <c r="G41" s="30" t="s">
        <v>194</v>
      </c>
      <c r="H41" s="30" t="s">
        <v>193</v>
      </c>
      <c r="I41" s="30" t="s">
        <v>7049</v>
      </c>
      <c r="J41" s="30" t="s">
        <v>3838</v>
      </c>
      <c r="K41" s="30">
        <v>18</v>
      </c>
      <c r="L41" s="30" t="s">
        <v>7075</v>
      </c>
      <c r="M41" s="30" t="s">
        <v>6256</v>
      </c>
      <c r="N41" s="30" t="s">
        <v>7076</v>
      </c>
      <c r="O41" s="30" t="s">
        <v>6606</v>
      </c>
      <c r="P41" s="30" t="s">
        <v>7048</v>
      </c>
      <c r="Q41" s="30">
        <v>1865191</v>
      </c>
      <c r="R41" s="30">
        <v>12935704</v>
      </c>
      <c r="S41" s="245"/>
      <c r="T41" s="30"/>
      <c r="U41" s="30" t="s">
        <v>1327</v>
      </c>
      <c r="V41" s="30" t="s">
        <v>194</v>
      </c>
      <c r="W41" s="30">
        <v>0</v>
      </c>
      <c r="X41" s="30"/>
      <c r="Y41" s="30"/>
      <c r="Z41" s="30"/>
      <c r="AA41" s="30"/>
      <c r="AB41" s="30"/>
      <c r="AC41" s="30"/>
      <c r="AD41" s="30"/>
      <c r="AE41" s="30"/>
      <c r="AF41" s="30" t="s">
        <v>4714</v>
      </c>
      <c r="AG41" s="30"/>
      <c r="AH41" s="30"/>
      <c r="AI41" s="30" t="s">
        <v>6955</v>
      </c>
      <c r="AJ41" s="363" t="str">
        <f t="shared" si="0"/>
        <v>931301</v>
      </c>
    </row>
    <row r="42" spans="1:41" x14ac:dyDescent="0.25">
      <c r="A42" s="35" t="s">
        <v>4007</v>
      </c>
      <c r="B42" s="30" t="s">
        <v>2124</v>
      </c>
      <c r="C42" s="30" t="s">
        <v>2127</v>
      </c>
      <c r="D42" s="30" t="s">
        <v>7048</v>
      </c>
      <c r="E42" s="30" t="s">
        <v>233</v>
      </c>
      <c r="F42" s="333">
        <v>1</v>
      </c>
      <c r="G42" s="30" t="s">
        <v>193</v>
      </c>
      <c r="H42" s="30" t="s">
        <v>194</v>
      </c>
      <c r="I42" s="30" t="s">
        <v>7049</v>
      </c>
      <c r="J42" s="30" t="s">
        <v>276</v>
      </c>
      <c r="K42" s="30">
        <v>18</v>
      </c>
      <c r="L42" s="30" t="s">
        <v>7077</v>
      </c>
      <c r="M42" s="30" t="s">
        <v>6306</v>
      </c>
      <c r="N42" s="30" t="s">
        <v>7061</v>
      </c>
      <c r="O42" s="30" t="s">
        <v>7018</v>
      </c>
      <c r="P42" s="30" t="s">
        <v>7078</v>
      </c>
      <c r="Q42" s="30">
        <v>1865638</v>
      </c>
      <c r="R42" s="30">
        <v>13859646</v>
      </c>
      <c r="S42" s="30"/>
      <c r="T42" s="30">
        <v>1803</v>
      </c>
      <c r="U42" s="30" t="s">
        <v>2128</v>
      </c>
      <c r="V42" s="30" t="s">
        <v>194</v>
      </c>
      <c r="W42" s="30">
        <v>1</v>
      </c>
      <c r="X42" s="30">
        <v>67113</v>
      </c>
      <c r="Y42" s="30" t="s">
        <v>5706</v>
      </c>
      <c r="Z42" s="30"/>
      <c r="AA42" s="30"/>
      <c r="AB42" s="30"/>
      <c r="AC42" s="30"/>
      <c r="AD42" s="30"/>
      <c r="AE42" s="30"/>
      <c r="AF42" s="30" t="s">
        <v>4714</v>
      </c>
      <c r="AG42" s="30" t="s">
        <v>2124</v>
      </c>
      <c r="AH42" s="30"/>
      <c r="AI42" s="30" t="s">
        <v>6955</v>
      </c>
      <c r="AJ42" s="363" t="str">
        <f t="shared" si="0"/>
        <v>225211</v>
      </c>
    </row>
    <row r="43" spans="1:41" x14ac:dyDescent="0.25">
      <c r="A43" s="35" t="s">
        <v>5359</v>
      </c>
      <c r="B43" s="30" t="s">
        <v>6887</v>
      </c>
      <c r="C43" s="30" t="s">
        <v>74</v>
      </c>
      <c r="D43" s="30" t="s">
        <v>7048</v>
      </c>
      <c r="E43" s="30" t="s">
        <v>233</v>
      </c>
      <c r="F43" s="333">
        <v>1</v>
      </c>
      <c r="G43" s="30" t="s">
        <v>193</v>
      </c>
      <c r="H43" s="30" t="s">
        <v>194</v>
      </c>
      <c r="I43" s="30" t="s">
        <v>7049</v>
      </c>
      <c r="J43" s="30" t="s">
        <v>7079</v>
      </c>
      <c r="K43" s="30">
        <v>18</v>
      </c>
      <c r="L43" s="30" t="s">
        <v>7080</v>
      </c>
      <c r="M43" s="30" t="s">
        <v>6249</v>
      </c>
      <c r="N43" s="30" t="s">
        <v>7061</v>
      </c>
      <c r="O43" s="30" t="s">
        <v>7018</v>
      </c>
      <c r="P43" s="30" t="s">
        <v>7052</v>
      </c>
      <c r="Q43" s="30">
        <v>1865418</v>
      </c>
      <c r="R43" s="30">
        <v>13859299</v>
      </c>
      <c r="S43" s="30"/>
      <c r="T43" s="30">
        <v>1864</v>
      </c>
      <c r="U43" s="30" t="s">
        <v>246</v>
      </c>
      <c r="V43" s="30" t="s">
        <v>194</v>
      </c>
      <c r="W43" s="30">
        <v>1</v>
      </c>
      <c r="X43" s="30"/>
      <c r="Y43" s="30" t="s">
        <v>5361</v>
      </c>
      <c r="Z43" s="30"/>
      <c r="AA43" s="30"/>
      <c r="AB43" s="30"/>
      <c r="AC43" s="30"/>
      <c r="AD43" s="30"/>
      <c r="AE43" s="30"/>
      <c r="AF43" s="30" t="s">
        <v>4714</v>
      </c>
      <c r="AG43" s="30" t="s">
        <v>6887</v>
      </c>
      <c r="AH43" s="30"/>
      <c r="AI43" s="30" t="s">
        <v>6955</v>
      </c>
      <c r="AJ43" s="363" t="str">
        <f t="shared" si="0"/>
        <v>142004</v>
      </c>
    </row>
    <row r="44" spans="1:41" x14ac:dyDescent="0.25">
      <c r="A44" s="35" t="s">
        <v>5359</v>
      </c>
      <c r="B44" s="30" t="s">
        <v>1344</v>
      </c>
      <c r="C44" s="30" t="s">
        <v>740</v>
      </c>
      <c r="D44" s="30" t="s">
        <v>7048</v>
      </c>
      <c r="E44" s="30" t="s">
        <v>233</v>
      </c>
      <c r="F44" s="333">
        <v>1</v>
      </c>
      <c r="G44" s="30" t="s">
        <v>193</v>
      </c>
      <c r="H44" s="30" t="s">
        <v>194</v>
      </c>
      <c r="I44" s="30" t="s">
        <v>7049</v>
      </c>
      <c r="J44" s="30" t="s">
        <v>7081</v>
      </c>
      <c r="K44" s="30">
        <v>18</v>
      </c>
      <c r="L44" s="30" t="s">
        <v>7082</v>
      </c>
      <c r="M44" s="30" t="s">
        <v>6249</v>
      </c>
      <c r="N44" s="30" t="s">
        <v>7061</v>
      </c>
      <c r="O44" s="30" t="s">
        <v>7018</v>
      </c>
      <c r="P44" s="30" t="s">
        <v>7052</v>
      </c>
      <c r="Q44" s="30">
        <v>1865413</v>
      </c>
      <c r="R44" s="30">
        <v>13859293</v>
      </c>
      <c r="S44" s="30"/>
      <c r="T44" s="30">
        <v>1801</v>
      </c>
      <c r="U44" s="30" t="s">
        <v>741</v>
      </c>
      <c r="V44" s="30" t="s">
        <v>194</v>
      </c>
      <c r="W44" s="30">
        <v>1</v>
      </c>
      <c r="X44" s="30"/>
      <c r="Y44" s="30" t="s">
        <v>6893</v>
      </c>
      <c r="Z44" s="30"/>
      <c r="AA44" s="30"/>
      <c r="AB44" s="30"/>
      <c r="AC44" s="30"/>
      <c r="AD44" s="30"/>
      <c r="AE44" s="30"/>
      <c r="AF44" s="30" t="s">
        <v>4714</v>
      </c>
      <c r="AG44" s="30" t="s">
        <v>1344</v>
      </c>
      <c r="AH44" s="30"/>
      <c r="AI44" s="30" t="s">
        <v>6955</v>
      </c>
      <c r="AJ44" s="363" t="str">
        <f t="shared" si="0"/>
        <v>522301</v>
      </c>
    </row>
    <row r="45" spans="1:41" x14ac:dyDescent="0.25">
      <c r="A45" s="35" t="s">
        <v>5359</v>
      </c>
      <c r="B45" s="30" t="s">
        <v>7083</v>
      </c>
      <c r="C45" s="30" t="s">
        <v>74</v>
      </c>
      <c r="D45" s="30" t="s">
        <v>7048</v>
      </c>
      <c r="E45" s="30" t="s">
        <v>233</v>
      </c>
      <c r="F45" s="333">
        <v>1</v>
      </c>
      <c r="G45" s="30" t="s">
        <v>193</v>
      </c>
      <c r="H45" s="30" t="s">
        <v>194</v>
      </c>
      <c r="I45" s="30" t="s">
        <v>7049</v>
      </c>
      <c r="J45" s="30" t="s">
        <v>385</v>
      </c>
      <c r="K45" s="30">
        <v>18</v>
      </c>
      <c r="L45" s="30" t="s">
        <v>7084</v>
      </c>
      <c r="M45" s="30" t="s">
        <v>6277</v>
      </c>
      <c r="N45" s="30" t="s">
        <v>7061</v>
      </c>
      <c r="O45" s="30" t="s">
        <v>7018</v>
      </c>
      <c r="P45" s="30" t="s">
        <v>7052</v>
      </c>
      <c r="Q45" s="30">
        <v>1865421</v>
      </c>
      <c r="R45" s="30">
        <v>13859302</v>
      </c>
      <c r="S45" s="30"/>
      <c r="T45" s="30">
        <v>1861</v>
      </c>
      <c r="U45" s="30" t="s">
        <v>246</v>
      </c>
      <c r="V45" s="30" t="s">
        <v>194</v>
      </c>
      <c r="W45" s="30">
        <v>1</v>
      </c>
      <c r="X45" s="30"/>
      <c r="Y45" s="30" t="s">
        <v>7085</v>
      </c>
      <c r="Z45" s="30"/>
      <c r="AA45" s="30"/>
      <c r="AB45" s="30"/>
      <c r="AC45" s="30"/>
      <c r="AD45" s="30"/>
      <c r="AE45" s="30"/>
      <c r="AF45" s="30" t="s">
        <v>4714</v>
      </c>
      <c r="AG45" s="30" t="s">
        <v>7083</v>
      </c>
      <c r="AH45" s="30"/>
      <c r="AI45" s="30" t="s">
        <v>6955</v>
      </c>
      <c r="AJ45" s="363" t="str">
        <f t="shared" si="0"/>
        <v>142004</v>
      </c>
    </row>
    <row r="46" spans="1:41" x14ac:dyDescent="0.25">
      <c r="A46" s="35" t="s">
        <v>406</v>
      </c>
      <c r="B46" s="30" t="s">
        <v>407</v>
      </c>
      <c r="C46" s="30" t="s">
        <v>740</v>
      </c>
      <c r="D46" s="30" t="s">
        <v>7048</v>
      </c>
      <c r="E46" s="30" t="s">
        <v>233</v>
      </c>
      <c r="F46" s="333">
        <v>1</v>
      </c>
      <c r="G46" s="30" t="s">
        <v>193</v>
      </c>
      <c r="H46" s="30" t="s">
        <v>194</v>
      </c>
      <c r="I46" s="30" t="s">
        <v>7049</v>
      </c>
      <c r="J46" s="30" t="s">
        <v>1059</v>
      </c>
      <c r="K46" s="30">
        <v>18</v>
      </c>
      <c r="L46" s="30" t="s">
        <v>7086</v>
      </c>
      <c r="M46" s="30" t="s">
        <v>6254</v>
      </c>
      <c r="N46" s="30" t="s">
        <v>7061</v>
      </c>
      <c r="O46" s="30" t="s">
        <v>7018</v>
      </c>
      <c r="P46" s="30" t="s">
        <v>7052</v>
      </c>
      <c r="Q46" s="30">
        <v>1865441</v>
      </c>
      <c r="R46" s="30">
        <v>13859329</v>
      </c>
      <c r="S46" s="30"/>
      <c r="T46" s="30">
        <v>1809</v>
      </c>
      <c r="U46" s="30" t="s">
        <v>741</v>
      </c>
      <c r="V46" s="30" t="s">
        <v>194</v>
      </c>
      <c r="W46" s="30">
        <v>1</v>
      </c>
      <c r="X46" s="30"/>
      <c r="Y46" s="30" t="s">
        <v>7087</v>
      </c>
      <c r="Z46" s="30"/>
      <c r="AA46" s="30"/>
      <c r="AB46" s="30"/>
      <c r="AC46" s="30"/>
      <c r="AD46" s="30"/>
      <c r="AE46" s="30"/>
      <c r="AF46" s="30" t="s">
        <v>4714</v>
      </c>
      <c r="AG46" s="30" t="s">
        <v>407</v>
      </c>
      <c r="AH46" s="30"/>
      <c r="AI46" s="30" t="s">
        <v>6955</v>
      </c>
      <c r="AJ46" s="363" t="str">
        <f t="shared" si="0"/>
        <v>522301</v>
      </c>
    </row>
    <row r="47" spans="1:41" x14ac:dyDescent="0.25">
      <c r="A47" s="35" t="s">
        <v>485</v>
      </c>
      <c r="B47" s="30" t="s">
        <v>973</v>
      </c>
      <c r="C47" s="30" t="s">
        <v>129</v>
      </c>
      <c r="D47" s="30" t="s">
        <v>7088</v>
      </c>
      <c r="E47" s="30" t="s">
        <v>233</v>
      </c>
      <c r="F47" s="333">
        <v>1</v>
      </c>
      <c r="G47" s="30" t="s">
        <v>193</v>
      </c>
      <c r="H47" s="30" t="s">
        <v>194</v>
      </c>
      <c r="I47" s="30" t="s">
        <v>7018</v>
      </c>
      <c r="J47" s="30" t="s">
        <v>385</v>
      </c>
      <c r="K47" s="30">
        <v>18</v>
      </c>
      <c r="L47" s="30" t="s">
        <v>7089</v>
      </c>
      <c r="M47" s="30" t="s">
        <v>6261</v>
      </c>
      <c r="N47" s="30" t="s">
        <v>7090</v>
      </c>
      <c r="O47" s="30" t="s">
        <v>7091</v>
      </c>
      <c r="P47" s="30" t="s">
        <v>7049</v>
      </c>
      <c r="Q47" s="30">
        <v>1855612</v>
      </c>
      <c r="R47" s="30">
        <v>13267560</v>
      </c>
      <c r="S47" s="30"/>
      <c r="T47" s="30">
        <v>1861</v>
      </c>
      <c r="U47" s="30" t="s">
        <v>203</v>
      </c>
      <c r="V47" s="30" t="s">
        <v>194</v>
      </c>
      <c r="W47" s="30">
        <v>1</v>
      </c>
      <c r="X47" s="30"/>
      <c r="Y47" s="30" t="s">
        <v>7092</v>
      </c>
      <c r="Z47" s="30"/>
      <c r="AA47" s="30"/>
      <c r="AB47" s="30"/>
      <c r="AC47" s="30"/>
      <c r="AD47" s="30"/>
      <c r="AE47" s="30"/>
      <c r="AF47" s="30" t="s">
        <v>4714</v>
      </c>
      <c r="AG47" s="30" t="s">
        <v>973</v>
      </c>
      <c r="AH47" s="30"/>
      <c r="AI47" s="30" t="s">
        <v>6955</v>
      </c>
      <c r="AJ47" s="363" t="str">
        <f t="shared" si="0"/>
        <v>121904</v>
      </c>
    </row>
    <row r="48" spans="1:41" x14ac:dyDescent="0.25">
      <c r="A48" s="35" t="s">
        <v>258</v>
      </c>
      <c r="B48" s="30" t="s">
        <v>537</v>
      </c>
      <c r="C48" s="30" t="s">
        <v>778</v>
      </c>
      <c r="D48" s="30" t="s">
        <v>7088</v>
      </c>
      <c r="E48" s="30" t="s">
        <v>233</v>
      </c>
      <c r="F48" s="333">
        <v>1</v>
      </c>
      <c r="G48" s="30" t="s">
        <v>193</v>
      </c>
      <c r="H48" s="30" t="s">
        <v>194</v>
      </c>
      <c r="I48" s="30" t="s">
        <v>6980</v>
      </c>
      <c r="J48" s="30" t="s">
        <v>210</v>
      </c>
      <c r="K48" s="30">
        <v>18</v>
      </c>
      <c r="L48" s="30" t="s">
        <v>7093</v>
      </c>
      <c r="M48" s="30" t="s">
        <v>6249</v>
      </c>
      <c r="N48" s="30" t="s">
        <v>7094</v>
      </c>
      <c r="O48" s="30" t="s">
        <v>7095</v>
      </c>
      <c r="P48" s="30" t="s">
        <v>7088</v>
      </c>
      <c r="Q48" s="30">
        <v>1855031</v>
      </c>
      <c r="R48" s="30">
        <v>12832692</v>
      </c>
      <c r="S48" s="30"/>
      <c r="T48" s="77">
        <v>1863</v>
      </c>
      <c r="U48" s="30" t="s">
        <v>779</v>
      </c>
      <c r="V48" s="30" t="s">
        <v>194</v>
      </c>
      <c r="W48" s="30">
        <v>1</v>
      </c>
      <c r="X48" s="30"/>
      <c r="Y48" s="30" t="s">
        <v>7009</v>
      </c>
      <c r="Z48" s="30"/>
      <c r="AA48" s="30"/>
      <c r="AB48" s="30"/>
      <c r="AC48" s="30"/>
      <c r="AD48" s="30"/>
      <c r="AE48" s="30"/>
      <c r="AF48" s="30" t="s">
        <v>4714</v>
      </c>
      <c r="AG48" s="30" t="s">
        <v>537</v>
      </c>
      <c r="AH48" s="30"/>
      <c r="AI48" s="30" t="s">
        <v>6955</v>
      </c>
      <c r="AJ48" s="363" t="str">
        <f t="shared" si="0"/>
        <v>524902</v>
      </c>
    </row>
    <row r="49" spans="1:36" x14ac:dyDescent="0.25">
      <c r="A49" s="35" t="s">
        <v>5810</v>
      </c>
      <c r="B49" s="30" t="s">
        <v>3201</v>
      </c>
      <c r="C49" s="30" t="s">
        <v>1766</v>
      </c>
      <c r="D49" s="30" t="s">
        <v>7088</v>
      </c>
      <c r="E49" s="30" t="s">
        <v>233</v>
      </c>
      <c r="F49" s="333">
        <v>1</v>
      </c>
      <c r="G49" s="30" t="s">
        <v>193</v>
      </c>
      <c r="H49" s="30" t="s">
        <v>194</v>
      </c>
      <c r="I49" s="30" t="s">
        <v>7018</v>
      </c>
      <c r="J49" s="30" t="s">
        <v>5811</v>
      </c>
      <c r="K49" s="30">
        <v>18</v>
      </c>
      <c r="L49" s="30" t="s">
        <v>7096</v>
      </c>
      <c r="M49" s="30" t="s">
        <v>6921</v>
      </c>
      <c r="N49" s="30" t="s">
        <v>7090</v>
      </c>
      <c r="O49" s="30" t="s">
        <v>7091</v>
      </c>
      <c r="P49" s="30" t="s">
        <v>6993</v>
      </c>
      <c r="Q49" s="30">
        <v>1855907</v>
      </c>
      <c r="R49" s="30">
        <v>13381585</v>
      </c>
      <c r="S49" s="245"/>
      <c r="T49" s="30"/>
      <c r="U49" s="30" t="s">
        <v>1767</v>
      </c>
      <c r="V49" s="30" t="s">
        <v>193</v>
      </c>
      <c r="W49" s="30">
        <v>25</v>
      </c>
      <c r="X49" s="30"/>
      <c r="Y49" s="30" t="s">
        <v>7097</v>
      </c>
      <c r="Z49" s="30"/>
      <c r="AA49" s="30"/>
      <c r="AB49" s="30"/>
      <c r="AC49" s="30"/>
      <c r="AD49" s="30"/>
      <c r="AE49" s="30"/>
      <c r="AF49" s="30" t="s">
        <v>4714</v>
      </c>
      <c r="AG49" s="30" t="s">
        <v>3201</v>
      </c>
      <c r="AH49" s="30"/>
      <c r="AI49" s="30" t="s">
        <v>6955</v>
      </c>
      <c r="AJ49" s="363" t="str">
        <f t="shared" si="0"/>
        <v>242112</v>
      </c>
    </row>
    <row r="50" spans="1:36" x14ac:dyDescent="0.25">
      <c r="A50" s="35" t="s">
        <v>6730</v>
      </c>
      <c r="B50" s="30" t="s">
        <v>7098</v>
      </c>
      <c r="C50" s="30" t="s">
        <v>706</v>
      </c>
      <c r="D50" s="30" t="s">
        <v>7088</v>
      </c>
      <c r="E50" s="30" t="s">
        <v>233</v>
      </c>
      <c r="F50" s="333">
        <v>1</v>
      </c>
      <c r="G50" s="30" t="s">
        <v>193</v>
      </c>
      <c r="H50" s="30" t="s">
        <v>194</v>
      </c>
      <c r="I50" s="30" t="s">
        <v>7018</v>
      </c>
      <c r="J50" s="30" t="s">
        <v>210</v>
      </c>
      <c r="K50" s="30">
        <v>18</v>
      </c>
      <c r="L50" s="30" t="s">
        <v>7099</v>
      </c>
      <c r="M50" s="30" t="s">
        <v>6249</v>
      </c>
      <c r="N50" s="30" t="s">
        <v>7090</v>
      </c>
      <c r="O50" s="30" t="s">
        <v>7091</v>
      </c>
      <c r="P50" s="30" t="s">
        <v>7100</v>
      </c>
      <c r="Q50" s="30">
        <v>1855423</v>
      </c>
      <c r="R50" s="30">
        <v>13038601</v>
      </c>
      <c r="S50" s="30"/>
      <c r="T50" s="30">
        <v>1863</v>
      </c>
      <c r="U50" s="30" t="s">
        <v>707</v>
      </c>
      <c r="V50" s="30" t="s">
        <v>194</v>
      </c>
      <c r="W50" s="30">
        <v>1</v>
      </c>
      <c r="X50" s="30"/>
      <c r="Y50" s="30" t="s">
        <v>7101</v>
      </c>
      <c r="Z50" s="30"/>
      <c r="AA50" s="30"/>
      <c r="AB50" s="30"/>
      <c r="AC50" s="30"/>
      <c r="AD50" s="30"/>
      <c r="AE50" s="30"/>
      <c r="AF50" s="30" t="s">
        <v>4714</v>
      </c>
      <c r="AG50" s="30" t="s">
        <v>7098</v>
      </c>
      <c r="AH50" s="30"/>
      <c r="AI50" s="30" t="s">
        <v>6955</v>
      </c>
      <c r="AJ50" s="363" t="str">
        <f t="shared" si="0"/>
        <v>422201</v>
      </c>
    </row>
    <row r="51" spans="1:36" x14ac:dyDescent="0.25">
      <c r="A51" s="35" t="s">
        <v>7102</v>
      </c>
      <c r="B51" s="30" t="s">
        <v>7103</v>
      </c>
      <c r="C51" s="30" t="s">
        <v>67</v>
      </c>
      <c r="D51" s="30" t="s">
        <v>7088</v>
      </c>
      <c r="E51" s="30" t="s">
        <v>233</v>
      </c>
      <c r="F51" s="333">
        <v>1</v>
      </c>
      <c r="G51" s="30" t="s">
        <v>193</v>
      </c>
      <c r="H51" s="30" t="s">
        <v>194</v>
      </c>
      <c r="I51" s="30" t="s">
        <v>7018</v>
      </c>
      <c r="J51" s="30" t="s">
        <v>223</v>
      </c>
      <c r="K51" s="30">
        <v>18</v>
      </c>
      <c r="L51" s="30" t="s">
        <v>7104</v>
      </c>
      <c r="M51" s="30" t="s">
        <v>6266</v>
      </c>
      <c r="N51" s="30" t="s">
        <v>7090</v>
      </c>
      <c r="O51" s="30" t="s">
        <v>7091</v>
      </c>
      <c r="P51" s="30" t="s">
        <v>7049</v>
      </c>
      <c r="Q51" s="30">
        <v>1855703</v>
      </c>
      <c r="R51" s="30">
        <v>13267676</v>
      </c>
      <c r="S51" s="30"/>
      <c r="T51" s="30">
        <v>1804</v>
      </c>
      <c r="U51" s="30" t="s">
        <v>709</v>
      </c>
      <c r="V51" s="30" t="s">
        <v>194</v>
      </c>
      <c r="W51" s="30">
        <v>1</v>
      </c>
      <c r="X51" s="30"/>
      <c r="Y51" s="30" t="s">
        <v>7105</v>
      </c>
      <c r="Z51" s="30"/>
      <c r="AA51" s="30"/>
      <c r="AB51" s="30"/>
      <c r="AC51" s="30"/>
      <c r="AD51" s="30"/>
      <c r="AE51" s="30"/>
      <c r="AF51" s="30" t="s">
        <v>4714</v>
      </c>
      <c r="AG51" s="30" t="s">
        <v>7103</v>
      </c>
      <c r="AH51" s="30"/>
      <c r="AI51" s="30" t="s">
        <v>6955</v>
      </c>
      <c r="AJ51" s="363" t="str">
        <f t="shared" si="0"/>
        <v>432103</v>
      </c>
    </row>
    <row r="52" spans="1:36" x14ac:dyDescent="0.25">
      <c r="A52" s="35" t="s">
        <v>7106</v>
      </c>
      <c r="B52" s="30" t="s">
        <v>1520</v>
      </c>
      <c r="C52" s="30" t="s">
        <v>7107</v>
      </c>
      <c r="D52" s="30" t="s">
        <v>7088</v>
      </c>
      <c r="E52" s="30" t="s">
        <v>233</v>
      </c>
      <c r="F52" s="333">
        <v>1</v>
      </c>
      <c r="G52" s="30" t="s">
        <v>193</v>
      </c>
      <c r="H52" s="30" t="s">
        <v>194</v>
      </c>
      <c r="I52" s="30" t="s">
        <v>7018</v>
      </c>
      <c r="J52" s="30" t="s">
        <v>301</v>
      </c>
      <c r="K52" s="30">
        <v>18</v>
      </c>
      <c r="L52" s="30" t="s">
        <v>7108</v>
      </c>
      <c r="M52" s="30" t="s">
        <v>6306</v>
      </c>
      <c r="N52" s="30" t="s">
        <v>7090</v>
      </c>
      <c r="O52" s="30" t="s">
        <v>7091</v>
      </c>
      <c r="P52" s="30" t="s">
        <v>7109</v>
      </c>
      <c r="Q52" s="30">
        <v>1856447</v>
      </c>
      <c r="R52" s="30">
        <v>13656455</v>
      </c>
      <c r="S52" s="30"/>
      <c r="T52" s="30">
        <v>1810</v>
      </c>
      <c r="U52" s="30" t="s">
        <v>7110</v>
      </c>
      <c r="V52" s="30" t="s">
        <v>194</v>
      </c>
      <c r="W52" s="30">
        <v>1</v>
      </c>
      <c r="X52" s="30">
        <v>66430</v>
      </c>
      <c r="Y52" s="30" t="s">
        <v>7111</v>
      </c>
      <c r="Z52" s="30"/>
      <c r="AA52" s="30"/>
      <c r="AB52" s="30"/>
      <c r="AC52" s="30"/>
      <c r="AD52" s="30"/>
      <c r="AE52" s="30"/>
      <c r="AF52" s="30" t="s">
        <v>4714</v>
      </c>
      <c r="AG52" s="30" t="s">
        <v>1520</v>
      </c>
      <c r="AH52" s="30"/>
      <c r="AI52" s="30" t="s">
        <v>6955</v>
      </c>
      <c r="AJ52" s="363" t="str">
        <f t="shared" si="0"/>
        <v>335505</v>
      </c>
    </row>
    <row r="53" spans="1:36" x14ac:dyDescent="0.25">
      <c r="A53" s="35" t="s">
        <v>1471</v>
      </c>
      <c r="B53" s="30" t="s">
        <v>821</v>
      </c>
      <c r="C53" s="30" t="s">
        <v>822</v>
      </c>
      <c r="D53" s="30" t="s">
        <v>7088</v>
      </c>
      <c r="E53" s="30" t="s">
        <v>233</v>
      </c>
      <c r="F53" s="333">
        <v>1</v>
      </c>
      <c r="G53" s="30" t="s">
        <v>193</v>
      </c>
      <c r="H53" s="30" t="s">
        <v>194</v>
      </c>
      <c r="I53" s="30" t="s">
        <v>6980</v>
      </c>
      <c r="J53" s="30" t="s">
        <v>196</v>
      </c>
      <c r="K53" s="30">
        <v>18</v>
      </c>
      <c r="L53" s="30" t="s">
        <v>7112</v>
      </c>
      <c r="M53" s="30" t="s">
        <v>6374</v>
      </c>
      <c r="N53" s="30" t="s">
        <v>7090</v>
      </c>
      <c r="O53" s="30" t="s">
        <v>7091</v>
      </c>
      <c r="P53" s="30" t="s">
        <v>6993</v>
      </c>
      <c r="Q53" s="30">
        <v>1855903</v>
      </c>
      <c r="R53" s="30">
        <v>13381548</v>
      </c>
      <c r="S53" s="245"/>
      <c r="T53" s="30"/>
      <c r="U53" s="30" t="s">
        <v>823</v>
      </c>
      <c r="V53" s="30" t="s">
        <v>193</v>
      </c>
      <c r="W53" s="30">
        <v>25</v>
      </c>
      <c r="X53" s="30" t="s">
        <v>7113</v>
      </c>
      <c r="Y53" s="30" t="s">
        <v>7114</v>
      </c>
      <c r="Z53" s="30"/>
      <c r="AA53" s="30"/>
      <c r="AB53" s="30"/>
      <c r="AC53" s="30"/>
      <c r="AD53" s="30"/>
      <c r="AE53" s="30"/>
      <c r="AF53" s="30" t="s">
        <v>4714</v>
      </c>
      <c r="AG53" s="30" t="s">
        <v>821</v>
      </c>
      <c r="AH53" s="30"/>
      <c r="AI53" s="30" t="s">
        <v>6955</v>
      </c>
      <c r="AJ53" s="363" t="str">
        <f t="shared" si="0"/>
        <v>741103</v>
      </c>
    </row>
    <row r="54" spans="1:36" x14ac:dyDescent="0.25">
      <c r="A54" s="35" t="s">
        <v>1471</v>
      </c>
      <c r="B54" s="30" t="s">
        <v>67</v>
      </c>
      <c r="C54" s="30" t="s">
        <v>67</v>
      </c>
      <c r="D54" s="30" t="s">
        <v>7088</v>
      </c>
      <c r="E54" s="30" t="s">
        <v>233</v>
      </c>
      <c r="F54" s="333">
        <v>1</v>
      </c>
      <c r="G54" s="30" t="s">
        <v>193</v>
      </c>
      <c r="H54" s="30" t="s">
        <v>194</v>
      </c>
      <c r="I54" s="30" t="s">
        <v>6980</v>
      </c>
      <c r="J54" s="30" t="s">
        <v>253</v>
      </c>
      <c r="K54" s="30">
        <v>18</v>
      </c>
      <c r="L54" s="30" t="s">
        <v>7115</v>
      </c>
      <c r="M54" s="30" t="s">
        <v>6266</v>
      </c>
      <c r="N54" s="30" t="s">
        <v>7090</v>
      </c>
      <c r="O54" s="30" t="s">
        <v>7091</v>
      </c>
      <c r="P54" s="30" t="s">
        <v>7116</v>
      </c>
      <c r="Q54" s="30">
        <v>1856066</v>
      </c>
      <c r="R54" s="30">
        <v>13518617</v>
      </c>
      <c r="S54" s="30"/>
      <c r="T54" s="30">
        <v>1811</v>
      </c>
      <c r="U54" s="30" t="s">
        <v>709</v>
      </c>
      <c r="V54" s="30" t="s">
        <v>194</v>
      </c>
      <c r="W54" s="30">
        <v>1</v>
      </c>
      <c r="X54" s="30"/>
      <c r="Y54" s="30" t="s">
        <v>7117</v>
      </c>
      <c r="Z54" s="30"/>
      <c r="AA54" s="30"/>
      <c r="AB54" s="30"/>
      <c r="AC54" s="30"/>
      <c r="AD54" s="30"/>
      <c r="AE54" s="30"/>
      <c r="AF54" s="30" t="s">
        <v>4714</v>
      </c>
      <c r="AG54" s="30" t="s">
        <v>67</v>
      </c>
      <c r="AH54" s="30"/>
      <c r="AI54" s="30" t="s">
        <v>6955</v>
      </c>
      <c r="AJ54" s="363" t="str">
        <f t="shared" si="0"/>
        <v>432103</v>
      </c>
    </row>
    <row r="55" spans="1:36" x14ac:dyDescent="0.25">
      <c r="A55" s="35" t="s">
        <v>1471</v>
      </c>
      <c r="B55" s="30" t="s">
        <v>1864</v>
      </c>
      <c r="C55" s="30" t="s">
        <v>86</v>
      </c>
      <c r="D55" s="30" t="s">
        <v>7088</v>
      </c>
      <c r="E55" s="30" t="s">
        <v>233</v>
      </c>
      <c r="F55" s="333">
        <v>1</v>
      </c>
      <c r="G55" s="30" t="s">
        <v>193</v>
      </c>
      <c r="H55" s="30" t="s">
        <v>194</v>
      </c>
      <c r="I55" s="30" t="s">
        <v>7018</v>
      </c>
      <c r="J55" s="30" t="s">
        <v>7118</v>
      </c>
      <c r="K55" s="30">
        <v>18</v>
      </c>
      <c r="L55" s="30" t="s">
        <v>7119</v>
      </c>
      <c r="M55" s="30" t="s">
        <v>7120</v>
      </c>
      <c r="N55" s="30" t="s">
        <v>7090</v>
      </c>
      <c r="O55" s="30" t="s">
        <v>7091</v>
      </c>
      <c r="P55" s="30" t="s">
        <v>6948</v>
      </c>
      <c r="Q55" s="30">
        <v>1856265</v>
      </c>
      <c r="R55" s="30">
        <v>13656259</v>
      </c>
      <c r="S55" s="245"/>
      <c r="T55" s="30">
        <v>1805.1811</v>
      </c>
      <c r="U55" s="30" t="s">
        <v>1107</v>
      </c>
      <c r="V55" s="30" t="s">
        <v>194</v>
      </c>
      <c r="W55" s="30">
        <v>2</v>
      </c>
      <c r="X55" s="30" t="s">
        <v>7121</v>
      </c>
      <c r="Y55" s="30" t="s">
        <v>7122</v>
      </c>
      <c r="Z55" s="30"/>
      <c r="AA55" s="30"/>
      <c r="AB55" s="30"/>
      <c r="AC55" s="30"/>
      <c r="AD55" s="30"/>
      <c r="AE55" s="30"/>
      <c r="AF55" s="30" t="s">
        <v>4714</v>
      </c>
      <c r="AG55" s="30" t="s">
        <v>1864</v>
      </c>
      <c r="AH55" s="30"/>
      <c r="AI55" s="30" t="s">
        <v>6955</v>
      </c>
      <c r="AJ55" s="363" t="str">
        <f t="shared" si="0"/>
        <v>121101</v>
      </c>
    </row>
    <row r="56" spans="1:36" x14ac:dyDescent="0.25">
      <c r="A56" s="35" t="s">
        <v>4776</v>
      </c>
      <c r="B56" s="30" t="s">
        <v>4777</v>
      </c>
      <c r="C56" s="30" t="s">
        <v>806</v>
      </c>
      <c r="D56" s="30" t="s">
        <v>7088</v>
      </c>
      <c r="E56" s="30" t="s">
        <v>233</v>
      </c>
      <c r="F56" s="333">
        <v>1</v>
      </c>
      <c r="G56" s="30" t="s">
        <v>193</v>
      </c>
      <c r="H56" s="30" t="s">
        <v>194</v>
      </c>
      <c r="I56" s="30" t="s">
        <v>7018</v>
      </c>
      <c r="J56" s="30" t="s">
        <v>253</v>
      </c>
      <c r="K56" s="30">
        <v>18</v>
      </c>
      <c r="L56" s="30" t="s">
        <v>7123</v>
      </c>
      <c r="M56" s="30" t="s">
        <v>6275</v>
      </c>
      <c r="N56" s="30" t="s">
        <v>7090</v>
      </c>
      <c r="O56" s="30" t="s">
        <v>7091</v>
      </c>
      <c r="P56" s="30" t="s">
        <v>7049</v>
      </c>
      <c r="Q56" s="30">
        <v>1855768</v>
      </c>
      <c r="R56" s="30">
        <v>13267778</v>
      </c>
      <c r="S56" s="30"/>
      <c r="T56" s="30">
        <v>1811</v>
      </c>
      <c r="U56" s="30" t="s">
        <v>807</v>
      </c>
      <c r="V56" s="30" t="s">
        <v>194</v>
      </c>
      <c r="W56" s="30">
        <v>1</v>
      </c>
      <c r="X56" s="30">
        <v>32751</v>
      </c>
      <c r="Y56" s="30" t="s">
        <v>4779</v>
      </c>
      <c r="Z56" s="30"/>
      <c r="AA56" s="30"/>
      <c r="AB56" s="30"/>
      <c r="AC56" s="30"/>
      <c r="AD56" s="30"/>
      <c r="AE56" s="30"/>
      <c r="AF56" s="30" t="s">
        <v>4714</v>
      </c>
      <c r="AG56" s="30" t="s">
        <v>4777</v>
      </c>
      <c r="AH56" s="30"/>
      <c r="AI56" s="30" t="s">
        <v>6955</v>
      </c>
      <c r="AJ56" s="363" t="str">
        <f t="shared" si="0"/>
        <v>722303</v>
      </c>
    </row>
    <row r="57" spans="1:36" x14ac:dyDescent="0.25">
      <c r="A57" s="35" t="s">
        <v>4776</v>
      </c>
      <c r="B57" s="30" t="s">
        <v>7124</v>
      </c>
      <c r="C57" s="30" t="s">
        <v>7125</v>
      </c>
      <c r="D57" s="30" t="s">
        <v>7088</v>
      </c>
      <c r="E57" s="30" t="s">
        <v>233</v>
      </c>
      <c r="F57" s="333">
        <v>1</v>
      </c>
      <c r="G57" s="30" t="s">
        <v>193</v>
      </c>
      <c r="H57" s="30" t="s">
        <v>194</v>
      </c>
      <c r="I57" s="30" t="s">
        <v>7018</v>
      </c>
      <c r="J57" s="30" t="s">
        <v>253</v>
      </c>
      <c r="K57" s="30">
        <v>18</v>
      </c>
      <c r="L57" s="30" t="s">
        <v>7126</v>
      </c>
      <c r="M57" s="30" t="s">
        <v>6275</v>
      </c>
      <c r="N57" s="30" t="s">
        <v>7090</v>
      </c>
      <c r="O57" s="30" t="s">
        <v>7091</v>
      </c>
      <c r="P57" s="30" t="s">
        <v>6948</v>
      </c>
      <c r="Q57" s="30">
        <v>1856404</v>
      </c>
      <c r="R57" s="30">
        <v>13656409</v>
      </c>
      <c r="S57" s="30"/>
      <c r="T57" s="30">
        <v>1811</v>
      </c>
      <c r="U57" s="30" t="s">
        <v>7127</v>
      </c>
      <c r="V57" s="30" t="s">
        <v>194</v>
      </c>
      <c r="W57" s="30">
        <v>1</v>
      </c>
      <c r="X57" s="30"/>
      <c r="Y57" s="30" t="s">
        <v>4779</v>
      </c>
      <c r="Z57" s="30"/>
      <c r="AA57" s="30"/>
      <c r="AB57" s="30"/>
      <c r="AC57" s="30"/>
      <c r="AD57" s="30"/>
      <c r="AE57" s="30"/>
      <c r="AF57" s="30" t="s">
        <v>4714</v>
      </c>
      <c r="AG57" s="30" t="s">
        <v>7124</v>
      </c>
      <c r="AH57" s="30"/>
      <c r="AI57" s="30" t="s">
        <v>6955</v>
      </c>
      <c r="AJ57" s="363" t="str">
        <f t="shared" si="0"/>
        <v>932990</v>
      </c>
    </row>
    <row r="58" spans="1:36" x14ac:dyDescent="0.25">
      <c r="A58" s="35" t="s">
        <v>540</v>
      </c>
      <c r="B58" s="30" t="s">
        <v>7128</v>
      </c>
      <c r="C58" s="30" t="s">
        <v>62</v>
      </c>
      <c r="D58" s="30" t="s">
        <v>7088</v>
      </c>
      <c r="E58" s="30" t="s">
        <v>252</v>
      </c>
      <c r="F58" s="333">
        <v>1</v>
      </c>
      <c r="G58" s="30" t="s">
        <v>193</v>
      </c>
      <c r="H58" s="30" t="s">
        <v>194</v>
      </c>
      <c r="I58" s="30" t="s">
        <v>7018</v>
      </c>
      <c r="J58" s="30" t="s">
        <v>253</v>
      </c>
      <c r="K58" s="30">
        <v>18</v>
      </c>
      <c r="L58" s="30" t="s">
        <v>7129</v>
      </c>
      <c r="M58" s="30" t="s">
        <v>6275</v>
      </c>
      <c r="N58" s="30" t="s">
        <v>7130</v>
      </c>
      <c r="O58" s="30" t="s">
        <v>7131</v>
      </c>
      <c r="P58" s="30" t="s">
        <v>7091</v>
      </c>
      <c r="Q58" s="30">
        <v>1856475</v>
      </c>
      <c r="R58" s="30">
        <v>13681790</v>
      </c>
      <c r="S58" s="30"/>
      <c r="T58" s="30">
        <v>1811</v>
      </c>
      <c r="U58" s="30" t="s">
        <v>601</v>
      </c>
      <c r="V58" s="30" t="s">
        <v>194</v>
      </c>
      <c r="W58" s="30">
        <v>1</v>
      </c>
      <c r="X58" s="30"/>
      <c r="Y58" s="30" t="s">
        <v>7132</v>
      </c>
      <c r="Z58" s="30"/>
      <c r="AA58" s="30"/>
      <c r="AB58" s="30"/>
      <c r="AC58" s="30"/>
      <c r="AD58" s="30"/>
      <c r="AE58" s="30"/>
      <c r="AF58" s="30" t="s">
        <v>4714</v>
      </c>
      <c r="AG58" s="30"/>
      <c r="AH58" s="30"/>
      <c r="AI58" s="30" t="s">
        <v>6955</v>
      </c>
      <c r="AJ58" s="363" t="str">
        <f t="shared" si="0"/>
        <v>313904</v>
      </c>
    </row>
    <row r="59" spans="1:36" x14ac:dyDescent="0.25">
      <c r="A59" s="35" t="s">
        <v>540</v>
      </c>
      <c r="B59" s="30" t="s">
        <v>7128</v>
      </c>
      <c r="C59" s="30" t="s">
        <v>62</v>
      </c>
      <c r="D59" s="30" t="s">
        <v>7088</v>
      </c>
      <c r="E59" s="30" t="s">
        <v>252</v>
      </c>
      <c r="F59" s="333">
        <v>1</v>
      </c>
      <c r="G59" s="30" t="s">
        <v>193</v>
      </c>
      <c r="H59" s="30" t="s">
        <v>194</v>
      </c>
      <c r="I59" s="30" t="s">
        <v>7018</v>
      </c>
      <c r="J59" s="30" t="s">
        <v>408</v>
      </c>
      <c r="K59" s="30">
        <v>18</v>
      </c>
      <c r="L59" s="30" t="s">
        <v>7133</v>
      </c>
      <c r="M59" s="30" t="s">
        <v>6275</v>
      </c>
      <c r="N59" s="30" t="s">
        <v>7130</v>
      </c>
      <c r="O59" s="30" t="s">
        <v>7131</v>
      </c>
      <c r="P59" s="30" t="s">
        <v>7091</v>
      </c>
      <c r="Q59" s="30">
        <v>1856476</v>
      </c>
      <c r="R59" s="30">
        <v>13681791</v>
      </c>
      <c r="S59" s="30"/>
      <c r="T59" s="30">
        <v>1864</v>
      </c>
      <c r="U59" s="30" t="s">
        <v>601</v>
      </c>
      <c r="V59" s="30" t="s">
        <v>194</v>
      </c>
      <c r="W59" s="30">
        <v>1</v>
      </c>
      <c r="X59" s="30"/>
      <c r="Y59" s="30" t="s">
        <v>7132</v>
      </c>
      <c r="Z59" s="30"/>
      <c r="AA59" s="30"/>
      <c r="AB59" s="30"/>
      <c r="AC59" s="30"/>
      <c r="AD59" s="30"/>
      <c r="AE59" s="30"/>
      <c r="AF59" s="30" t="s">
        <v>4714</v>
      </c>
      <c r="AG59" s="30"/>
      <c r="AH59" s="30"/>
      <c r="AI59" s="30" t="s">
        <v>6955</v>
      </c>
      <c r="AJ59" s="363" t="str">
        <f t="shared" si="0"/>
        <v>313904</v>
      </c>
    </row>
    <row r="60" spans="1:36" x14ac:dyDescent="0.25">
      <c r="A60" s="35" t="s">
        <v>540</v>
      </c>
      <c r="B60" s="30" t="s">
        <v>7128</v>
      </c>
      <c r="C60" s="30" t="s">
        <v>62</v>
      </c>
      <c r="D60" s="30" t="s">
        <v>7088</v>
      </c>
      <c r="E60" s="30" t="s">
        <v>252</v>
      </c>
      <c r="F60" s="333">
        <v>1</v>
      </c>
      <c r="G60" s="30" t="s">
        <v>193</v>
      </c>
      <c r="H60" s="30" t="s">
        <v>194</v>
      </c>
      <c r="I60" s="30" t="s">
        <v>7018</v>
      </c>
      <c r="J60" s="30" t="s">
        <v>276</v>
      </c>
      <c r="K60" s="30">
        <v>18</v>
      </c>
      <c r="L60" s="30" t="s">
        <v>7134</v>
      </c>
      <c r="M60" s="30" t="s">
        <v>6275</v>
      </c>
      <c r="N60" s="30" t="s">
        <v>7130</v>
      </c>
      <c r="O60" s="30" t="s">
        <v>7131</v>
      </c>
      <c r="P60" s="30" t="s">
        <v>7091</v>
      </c>
      <c r="Q60" s="30">
        <v>1856477</v>
      </c>
      <c r="R60" s="30">
        <v>13681792</v>
      </c>
      <c r="S60" s="30"/>
      <c r="T60" s="30">
        <v>1803</v>
      </c>
      <c r="U60" s="30" t="s">
        <v>601</v>
      </c>
      <c r="V60" s="30" t="s">
        <v>194</v>
      </c>
      <c r="W60" s="30">
        <v>1</v>
      </c>
      <c r="X60" s="30"/>
      <c r="Y60" s="30" t="s">
        <v>7132</v>
      </c>
      <c r="Z60" s="30"/>
      <c r="AA60" s="30"/>
      <c r="AB60" s="30"/>
      <c r="AC60" s="30"/>
      <c r="AD60" s="30"/>
      <c r="AE60" s="30"/>
      <c r="AF60" s="30" t="s">
        <v>4714</v>
      </c>
      <c r="AG60" s="30"/>
      <c r="AH60" s="30"/>
      <c r="AI60" s="30" t="s">
        <v>6955</v>
      </c>
      <c r="AJ60" s="363" t="str">
        <f t="shared" si="0"/>
        <v>313904</v>
      </c>
    </row>
    <row r="61" spans="1:36" x14ac:dyDescent="0.25">
      <c r="A61" s="35" t="s">
        <v>540</v>
      </c>
      <c r="B61" s="30" t="s">
        <v>7128</v>
      </c>
      <c r="C61" s="30" t="s">
        <v>62</v>
      </c>
      <c r="D61" s="30" t="s">
        <v>7088</v>
      </c>
      <c r="E61" s="30" t="s">
        <v>252</v>
      </c>
      <c r="F61" s="333">
        <v>1</v>
      </c>
      <c r="G61" s="30" t="s">
        <v>193</v>
      </c>
      <c r="H61" s="30" t="s">
        <v>194</v>
      </c>
      <c r="I61" s="30" t="s">
        <v>7018</v>
      </c>
      <c r="J61" s="30" t="s">
        <v>2183</v>
      </c>
      <c r="K61" s="30">
        <v>18</v>
      </c>
      <c r="L61" s="30" t="s">
        <v>7135</v>
      </c>
      <c r="M61" s="30" t="s">
        <v>6275</v>
      </c>
      <c r="N61" s="30" t="s">
        <v>7130</v>
      </c>
      <c r="O61" s="30" t="s">
        <v>7131</v>
      </c>
      <c r="P61" s="30" t="s">
        <v>7091</v>
      </c>
      <c r="Q61" s="30">
        <v>1856478</v>
      </c>
      <c r="R61" s="30">
        <v>13681793</v>
      </c>
      <c r="S61" s="30"/>
      <c r="T61" s="30">
        <v>1820</v>
      </c>
      <c r="U61" s="30" t="s">
        <v>601</v>
      </c>
      <c r="V61" s="30" t="s">
        <v>194</v>
      </c>
      <c r="W61" s="30">
        <v>1</v>
      </c>
      <c r="X61" s="30"/>
      <c r="Y61" s="30" t="s">
        <v>7132</v>
      </c>
      <c r="Z61" s="30"/>
      <c r="AA61" s="30"/>
      <c r="AB61" s="30"/>
      <c r="AC61" s="30"/>
      <c r="AD61" s="30"/>
      <c r="AE61" s="30"/>
      <c r="AF61" s="30" t="s">
        <v>4714</v>
      </c>
      <c r="AG61" s="30"/>
      <c r="AH61" s="30"/>
      <c r="AI61" s="30" t="s">
        <v>6955</v>
      </c>
      <c r="AJ61" s="363" t="str">
        <f t="shared" si="0"/>
        <v>313904</v>
      </c>
    </row>
    <row r="62" spans="1:36" x14ac:dyDescent="0.25">
      <c r="A62" s="35" t="s">
        <v>540</v>
      </c>
      <c r="B62" s="30" t="s">
        <v>7128</v>
      </c>
      <c r="C62" s="30" t="s">
        <v>62</v>
      </c>
      <c r="D62" s="30" t="s">
        <v>7088</v>
      </c>
      <c r="E62" s="30" t="s">
        <v>252</v>
      </c>
      <c r="F62" s="333">
        <v>1</v>
      </c>
      <c r="G62" s="30" t="s">
        <v>193</v>
      </c>
      <c r="H62" s="30" t="s">
        <v>194</v>
      </c>
      <c r="I62" s="30" t="s">
        <v>7018</v>
      </c>
      <c r="J62" s="30" t="s">
        <v>755</v>
      </c>
      <c r="K62" s="30">
        <v>18</v>
      </c>
      <c r="L62" s="30" t="s">
        <v>7136</v>
      </c>
      <c r="M62" s="30" t="s">
        <v>6275</v>
      </c>
      <c r="N62" s="30" t="s">
        <v>7130</v>
      </c>
      <c r="O62" s="30" t="s">
        <v>7131</v>
      </c>
      <c r="P62" s="30" t="s">
        <v>7091</v>
      </c>
      <c r="Q62" s="30">
        <v>1856480</v>
      </c>
      <c r="R62" s="30">
        <v>13681795</v>
      </c>
      <c r="S62" s="30"/>
      <c r="T62" s="30">
        <v>1816</v>
      </c>
      <c r="U62" s="30" t="s">
        <v>601</v>
      </c>
      <c r="V62" s="30" t="s">
        <v>194</v>
      </c>
      <c r="W62" s="30">
        <v>1</v>
      </c>
      <c r="X62" s="30"/>
      <c r="Y62" s="30" t="s">
        <v>7132</v>
      </c>
      <c r="Z62" s="30"/>
      <c r="AA62" s="30"/>
      <c r="AB62" s="30"/>
      <c r="AC62" s="30"/>
      <c r="AD62" s="30"/>
      <c r="AE62" s="30"/>
      <c r="AF62" s="30" t="s">
        <v>4714</v>
      </c>
      <c r="AG62" s="30"/>
      <c r="AH62" s="30"/>
      <c r="AI62" s="30" t="s">
        <v>6955</v>
      </c>
      <c r="AJ62" s="363" t="str">
        <f t="shared" si="0"/>
        <v>313904</v>
      </c>
    </row>
    <row r="63" spans="1:36" x14ac:dyDescent="0.25">
      <c r="A63" s="35" t="s">
        <v>540</v>
      </c>
      <c r="B63" s="30" t="s">
        <v>212</v>
      </c>
      <c r="C63" s="30" t="s">
        <v>35</v>
      </c>
      <c r="D63" s="30" t="s">
        <v>7088</v>
      </c>
      <c r="E63" s="30" t="s">
        <v>233</v>
      </c>
      <c r="F63" s="333">
        <v>1</v>
      </c>
      <c r="G63" s="30" t="s">
        <v>193</v>
      </c>
      <c r="H63" s="30" t="s">
        <v>194</v>
      </c>
      <c r="I63" s="30" t="s">
        <v>7018</v>
      </c>
      <c r="J63" s="30" t="s">
        <v>210</v>
      </c>
      <c r="K63" s="30">
        <v>18</v>
      </c>
      <c r="L63" s="30" t="s">
        <v>7137</v>
      </c>
      <c r="M63" s="30" t="s">
        <v>6249</v>
      </c>
      <c r="N63" s="30" t="s">
        <v>7090</v>
      </c>
      <c r="O63" s="30" t="s">
        <v>7088</v>
      </c>
      <c r="P63" s="30" t="s">
        <v>7062</v>
      </c>
      <c r="Q63" s="30">
        <v>1855854</v>
      </c>
      <c r="R63" s="30">
        <v>13296234</v>
      </c>
      <c r="S63" s="30"/>
      <c r="T63" s="77">
        <v>1863</v>
      </c>
      <c r="U63" s="30" t="s">
        <v>207</v>
      </c>
      <c r="V63" s="30" t="s">
        <v>194</v>
      </c>
      <c r="W63" s="30">
        <v>1</v>
      </c>
      <c r="X63" s="30" t="s">
        <v>7138</v>
      </c>
      <c r="Y63" s="30" t="s">
        <v>7139</v>
      </c>
      <c r="Z63" s="30"/>
      <c r="AA63" s="30"/>
      <c r="AB63" s="30"/>
      <c r="AC63" s="30"/>
      <c r="AD63" s="30"/>
      <c r="AE63" s="30"/>
      <c r="AF63" s="30" t="s">
        <v>4714</v>
      </c>
      <c r="AG63" s="30" t="s">
        <v>212</v>
      </c>
      <c r="AH63" s="30"/>
      <c r="AI63" s="30" t="s">
        <v>6955</v>
      </c>
      <c r="AJ63" s="363" t="str">
        <f t="shared" si="0"/>
        <v>122106</v>
      </c>
    </row>
    <row r="64" spans="1:36" x14ac:dyDescent="0.25">
      <c r="A64" s="35" t="s">
        <v>4975</v>
      </c>
      <c r="B64" s="30" t="s">
        <v>1465</v>
      </c>
      <c r="C64" s="30" t="s">
        <v>100</v>
      </c>
      <c r="D64" s="30" t="s">
        <v>7088</v>
      </c>
      <c r="E64" s="30" t="s">
        <v>233</v>
      </c>
      <c r="F64" s="333">
        <v>1</v>
      </c>
      <c r="G64" s="30" t="s">
        <v>193</v>
      </c>
      <c r="H64" s="30" t="s">
        <v>194</v>
      </c>
      <c r="I64" s="30" t="s">
        <v>7018</v>
      </c>
      <c r="J64" s="30" t="s">
        <v>385</v>
      </c>
      <c r="K64" s="30">
        <v>18</v>
      </c>
      <c r="L64" s="30" t="s">
        <v>7140</v>
      </c>
      <c r="M64" s="30" t="s">
        <v>6266</v>
      </c>
      <c r="N64" s="30" t="s">
        <v>7090</v>
      </c>
      <c r="O64" s="30" t="s">
        <v>7091</v>
      </c>
      <c r="P64" s="30" t="s">
        <v>7049</v>
      </c>
      <c r="Q64" s="30">
        <v>1855830</v>
      </c>
      <c r="R64" s="30">
        <v>13267849</v>
      </c>
      <c r="S64" s="30"/>
      <c r="T64" s="30">
        <v>1861</v>
      </c>
      <c r="U64" s="30" t="s">
        <v>429</v>
      </c>
      <c r="V64" s="30" t="s">
        <v>194</v>
      </c>
      <c r="W64" s="30">
        <v>1</v>
      </c>
      <c r="X64" s="30"/>
      <c r="Y64" s="30" t="s">
        <v>7141</v>
      </c>
      <c r="Z64" s="30"/>
      <c r="AA64" s="30"/>
      <c r="AB64" s="30"/>
      <c r="AC64" s="30"/>
      <c r="AD64" s="30"/>
      <c r="AE64" s="30"/>
      <c r="AF64" s="30" t="s">
        <v>4714</v>
      </c>
      <c r="AG64" s="30" t="s">
        <v>1465</v>
      </c>
      <c r="AH64" s="30"/>
      <c r="AI64" s="30" t="s">
        <v>6955</v>
      </c>
      <c r="AJ64" s="363" t="str">
        <f t="shared" si="0"/>
        <v>242108</v>
      </c>
    </row>
    <row r="65" spans="1:36" x14ac:dyDescent="0.25">
      <c r="A65" s="35" t="s">
        <v>4975</v>
      </c>
      <c r="B65" s="30" t="s">
        <v>8</v>
      </c>
      <c r="C65" s="30" t="s">
        <v>740</v>
      </c>
      <c r="D65" s="30" t="s">
        <v>7088</v>
      </c>
      <c r="E65" s="30" t="s">
        <v>233</v>
      </c>
      <c r="F65" s="333">
        <v>1</v>
      </c>
      <c r="G65" s="30" t="s">
        <v>193</v>
      </c>
      <c r="H65" s="30" t="s">
        <v>194</v>
      </c>
      <c r="I65" s="30" t="s">
        <v>7018</v>
      </c>
      <c r="J65" s="30" t="s">
        <v>408</v>
      </c>
      <c r="K65" s="30">
        <v>18</v>
      </c>
      <c r="L65" s="30" t="s">
        <v>7142</v>
      </c>
      <c r="M65" s="30" t="s">
        <v>6275</v>
      </c>
      <c r="N65" s="30" t="s">
        <v>7090</v>
      </c>
      <c r="O65" s="30" t="s">
        <v>7091</v>
      </c>
      <c r="P65" s="30" t="s">
        <v>6948</v>
      </c>
      <c r="Q65" s="30">
        <v>1856180</v>
      </c>
      <c r="R65" s="30">
        <v>13656170</v>
      </c>
      <c r="S65" s="30"/>
      <c r="T65" s="30">
        <v>1864</v>
      </c>
      <c r="U65" s="30" t="s">
        <v>741</v>
      </c>
      <c r="V65" s="30" t="s">
        <v>194</v>
      </c>
      <c r="W65" s="30">
        <v>1</v>
      </c>
      <c r="X65" s="30"/>
      <c r="Y65" s="30" t="s">
        <v>6358</v>
      </c>
      <c r="Z65" s="30"/>
      <c r="AA65" s="30"/>
      <c r="AB65" s="30"/>
      <c r="AC65" s="30"/>
      <c r="AD65" s="30"/>
      <c r="AE65" s="30"/>
      <c r="AF65" s="30" t="s">
        <v>4714</v>
      </c>
      <c r="AG65" s="30" t="s">
        <v>8</v>
      </c>
      <c r="AH65" s="30"/>
      <c r="AI65" s="30" t="s">
        <v>6955</v>
      </c>
      <c r="AJ65" s="363" t="str">
        <f t="shared" si="0"/>
        <v>522301</v>
      </c>
    </row>
    <row r="66" spans="1:36" x14ac:dyDescent="0.25">
      <c r="A66" s="35" t="s">
        <v>4975</v>
      </c>
      <c r="B66" s="30" t="s">
        <v>7143</v>
      </c>
      <c r="C66" s="30" t="s">
        <v>740</v>
      </c>
      <c r="D66" s="30" t="s">
        <v>7088</v>
      </c>
      <c r="E66" s="30" t="s">
        <v>233</v>
      </c>
      <c r="F66" s="333">
        <v>1</v>
      </c>
      <c r="G66" s="30" t="s">
        <v>193</v>
      </c>
      <c r="H66" s="30" t="s">
        <v>194</v>
      </c>
      <c r="I66" s="30" t="s">
        <v>7018</v>
      </c>
      <c r="J66" s="30" t="s">
        <v>385</v>
      </c>
      <c r="K66" s="30">
        <v>18</v>
      </c>
      <c r="L66" s="30" t="s">
        <v>7144</v>
      </c>
      <c r="M66" s="30" t="s">
        <v>6275</v>
      </c>
      <c r="N66" s="30" t="s">
        <v>7090</v>
      </c>
      <c r="O66" s="30" t="s">
        <v>7091</v>
      </c>
      <c r="P66" s="30" t="s">
        <v>7100</v>
      </c>
      <c r="Q66" s="30">
        <v>1855526</v>
      </c>
      <c r="R66" s="30">
        <v>13038857</v>
      </c>
      <c r="S66" s="30"/>
      <c r="T66" s="30">
        <v>1861</v>
      </c>
      <c r="U66" s="30" t="s">
        <v>741</v>
      </c>
      <c r="V66" s="30" t="s">
        <v>194</v>
      </c>
      <c r="W66" s="30">
        <v>1</v>
      </c>
      <c r="X66" s="30"/>
      <c r="Y66" s="30" t="s">
        <v>7145</v>
      </c>
      <c r="Z66" s="30"/>
      <c r="AA66" s="30"/>
      <c r="AB66" s="30"/>
      <c r="AC66" s="30"/>
      <c r="AD66" s="30"/>
      <c r="AE66" s="30"/>
      <c r="AF66" s="30" t="s">
        <v>4714</v>
      </c>
      <c r="AG66" s="30" t="s">
        <v>7143</v>
      </c>
      <c r="AH66" s="30"/>
      <c r="AI66" s="30" t="s">
        <v>6955</v>
      </c>
      <c r="AJ66" s="363" t="str">
        <f t="shared" si="0"/>
        <v>522301</v>
      </c>
    </row>
    <row r="67" spans="1:36" x14ac:dyDescent="0.25">
      <c r="A67" s="35" t="s">
        <v>5672</v>
      </c>
      <c r="B67" s="30" t="s">
        <v>7146</v>
      </c>
      <c r="C67" s="30" t="s">
        <v>319</v>
      </c>
      <c r="D67" s="30" t="s">
        <v>7088</v>
      </c>
      <c r="E67" s="30" t="s">
        <v>217</v>
      </c>
      <c r="F67" s="333">
        <v>1</v>
      </c>
      <c r="G67" s="30" t="s">
        <v>193</v>
      </c>
      <c r="H67" s="30" t="s">
        <v>194</v>
      </c>
      <c r="I67" s="30" t="s">
        <v>7018</v>
      </c>
      <c r="J67" s="30" t="s">
        <v>210</v>
      </c>
      <c r="K67" s="30">
        <v>18</v>
      </c>
      <c r="L67" s="30" t="s">
        <v>7147</v>
      </c>
      <c r="M67" s="30" t="s">
        <v>6261</v>
      </c>
      <c r="N67" s="30" t="s">
        <v>7148</v>
      </c>
      <c r="O67" s="30" t="s">
        <v>7091</v>
      </c>
      <c r="P67" s="30" t="s">
        <v>7024</v>
      </c>
      <c r="Q67" s="30">
        <v>1856553</v>
      </c>
      <c r="R67" s="30">
        <v>13689187</v>
      </c>
      <c r="S67" s="30"/>
      <c r="T67" s="77">
        <v>1863</v>
      </c>
      <c r="U67" s="30" t="s">
        <v>320</v>
      </c>
      <c r="V67" s="30" t="s">
        <v>194</v>
      </c>
      <c r="W67" s="30">
        <v>1</v>
      </c>
      <c r="X67" s="30"/>
      <c r="Y67" s="30" t="s">
        <v>4903</v>
      </c>
      <c r="Z67" s="30"/>
      <c r="AA67" s="30"/>
      <c r="AB67" s="30"/>
      <c r="AC67" s="30"/>
      <c r="AD67" s="30"/>
      <c r="AE67" s="30" t="s">
        <v>4904</v>
      </c>
      <c r="AF67" s="30" t="s">
        <v>4714</v>
      </c>
      <c r="AG67" s="30"/>
      <c r="AH67" s="30"/>
      <c r="AI67" s="30" t="s">
        <v>6955</v>
      </c>
      <c r="AJ67" s="363" t="str">
        <f t="shared" si="0"/>
        <v>214407</v>
      </c>
    </row>
    <row r="68" spans="1:36" x14ac:dyDescent="0.25">
      <c r="A68" s="35" t="s">
        <v>5287</v>
      </c>
      <c r="B68" s="30" t="s">
        <v>7149</v>
      </c>
      <c r="C68" s="30" t="s">
        <v>1435</v>
      </c>
      <c r="D68" s="30" t="s">
        <v>7088</v>
      </c>
      <c r="E68" s="30" t="s">
        <v>233</v>
      </c>
      <c r="F68" s="333">
        <v>1</v>
      </c>
      <c r="G68" s="30" t="s">
        <v>193</v>
      </c>
      <c r="H68" s="30" t="s">
        <v>194</v>
      </c>
      <c r="I68" s="30" t="s">
        <v>7018</v>
      </c>
      <c r="J68" s="30" t="s">
        <v>367</v>
      </c>
      <c r="K68" s="30">
        <v>18</v>
      </c>
      <c r="L68" s="30" t="s">
        <v>7150</v>
      </c>
      <c r="M68" s="30" t="s">
        <v>6245</v>
      </c>
      <c r="N68" s="30" t="s">
        <v>7090</v>
      </c>
      <c r="O68" s="30" t="s">
        <v>7091</v>
      </c>
      <c r="P68" s="30" t="s">
        <v>7100</v>
      </c>
      <c r="Q68" s="30">
        <v>1855430</v>
      </c>
      <c r="R68" s="30">
        <v>13038610</v>
      </c>
      <c r="S68" s="30"/>
      <c r="T68" s="30">
        <v>1805</v>
      </c>
      <c r="U68" s="30" t="s">
        <v>1436</v>
      </c>
      <c r="V68" s="30" t="s">
        <v>194</v>
      </c>
      <c r="W68" s="30">
        <v>1</v>
      </c>
      <c r="X68" s="30" t="s">
        <v>7151</v>
      </c>
      <c r="Y68" s="30" t="s">
        <v>7152</v>
      </c>
      <c r="Z68" s="30"/>
      <c r="AA68" s="30"/>
      <c r="AB68" s="30"/>
      <c r="AC68" s="30"/>
      <c r="AD68" s="30"/>
      <c r="AE68" s="30"/>
      <c r="AF68" s="30" t="s">
        <v>4714</v>
      </c>
      <c r="AG68" s="30" t="s">
        <v>7149</v>
      </c>
      <c r="AH68" s="30"/>
      <c r="AI68" s="30" t="s">
        <v>6955</v>
      </c>
      <c r="AJ68" s="363" t="str">
        <f t="shared" ref="AJ68:AJ99" si="1">MID(U68,8,6)</f>
        <v>216304</v>
      </c>
    </row>
    <row r="69" spans="1:36" x14ac:dyDescent="0.25">
      <c r="A69" s="35" t="s">
        <v>2367</v>
      </c>
      <c r="B69" s="30" t="s">
        <v>2333</v>
      </c>
      <c r="C69" s="30" t="s">
        <v>17</v>
      </c>
      <c r="D69" s="30" t="s">
        <v>7088</v>
      </c>
      <c r="E69" s="30" t="s">
        <v>192</v>
      </c>
      <c r="F69" s="333">
        <v>1</v>
      </c>
      <c r="G69" s="30" t="s">
        <v>193</v>
      </c>
      <c r="H69" s="30" t="s">
        <v>194</v>
      </c>
      <c r="I69" s="30" t="s">
        <v>7018</v>
      </c>
      <c r="J69" s="30" t="s">
        <v>196</v>
      </c>
      <c r="K69" s="30">
        <v>18</v>
      </c>
      <c r="L69" s="30" t="s">
        <v>7153</v>
      </c>
      <c r="M69" s="30" t="s">
        <v>6288</v>
      </c>
      <c r="N69" s="30" t="s">
        <v>7154</v>
      </c>
      <c r="O69" s="30" t="s">
        <v>7091</v>
      </c>
      <c r="P69" s="30" t="s">
        <v>6948</v>
      </c>
      <c r="Q69" s="30">
        <v>1856648</v>
      </c>
      <c r="R69" s="30">
        <v>13689516</v>
      </c>
      <c r="S69" s="245"/>
      <c r="T69" s="30"/>
      <c r="U69" s="30" t="s">
        <v>624</v>
      </c>
      <c r="V69" s="30" t="s">
        <v>193</v>
      </c>
      <c r="W69" s="30">
        <v>25</v>
      </c>
      <c r="X69" s="30">
        <v>7594437</v>
      </c>
      <c r="Y69" s="30"/>
      <c r="Z69" s="30"/>
      <c r="AA69" s="30"/>
      <c r="AB69" s="30"/>
      <c r="AC69" s="30"/>
      <c r="AD69" s="30"/>
      <c r="AE69" s="30"/>
      <c r="AF69" s="30" t="s">
        <v>4714</v>
      </c>
      <c r="AG69" s="30" t="s">
        <v>2333</v>
      </c>
      <c r="AH69" s="30"/>
      <c r="AI69" s="30" t="s">
        <v>6955</v>
      </c>
      <c r="AJ69" s="363" t="str">
        <f t="shared" si="1"/>
        <v>332203</v>
      </c>
    </row>
    <row r="70" spans="1:36" x14ac:dyDescent="0.25">
      <c r="A70" s="35" t="s">
        <v>7155</v>
      </c>
      <c r="B70" s="30" t="s">
        <v>7156</v>
      </c>
      <c r="C70" s="30" t="s">
        <v>17</v>
      </c>
      <c r="D70" s="30" t="s">
        <v>7088</v>
      </c>
      <c r="E70" s="30" t="s">
        <v>233</v>
      </c>
      <c r="F70" s="333">
        <v>1</v>
      </c>
      <c r="G70" s="30" t="s">
        <v>193</v>
      </c>
      <c r="H70" s="30" t="s">
        <v>194</v>
      </c>
      <c r="I70" s="30" t="s">
        <v>7018</v>
      </c>
      <c r="J70" s="30" t="s">
        <v>210</v>
      </c>
      <c r="K70" s="30">
        <v>18</v>
      </c>
      <c r="L70" s="30" t="s">
        <v>7157</v>
      </c>
      <c r="M70" s="30" t="s">
        <v>6327</v>
      </c>
      <c r="N70" s="30" t="s">
        <v>7090</v>
      </c>
      <c r="O70" s="30" t="s">
        <v>7091</v>
      </c>
      <c r="P70" s="30" t="s">
        <v>7049</v>
      </c>
      <c r="Q70" s="30">
        <v>1855686</v>
      </c>
      <c r="R70" s="30">
        <v>13267659</v>
      </c>
      <c r="S70" s="30"/>
      <c r="T70" s="77">
        <v>1863</v>
      </c>
      <c r="U70" s="30" t="s">
        <v>624</v>
      </c>
      <c r="V70" s="30" t="s">
        <v>194</v>
      </c>
      <c r="W70" s="30">
        <v>1</v>
      </c>
      <c r="X70" s="30" t="s">
        <v>7158</v>
      </c>
      <c r="Y70" s="30" t="s">
        <v>7159</v>
      </c>
      <c r="Z70" s="30"/>
      <c r="AA70" s="30"/>
      <c r="AB70" s="30"/>
      <c r="AC70" s="30"/>
      <c r="AD70" s="30"/>
      <c r="AE70" s="30"/>
      <c r="AF70" s="30" t="s">
        <v>4714</v>
      </c>
      <c r="AG70" s="30" t="s">
        <v>7156</v>
      </c>
      <c r="AH70" s="30"/>
      <c r="AI70" s="30" t="s">
        <v>6955</v>
      </c>
      <c r="AJ70" s="363" t="str">
        <f t="shared" si="1"/>
        <v>332203</v>
      </c>
    </row>
    <row r="71" spans="1:36" x14ac:dyDescent="0.25">
      <c r="A71" s="35" t="s">
        <v>5910</v>
      </c>
      <c r="B71" s="30" t="s">
        <v>836</v>
      </c>
      <c r="C71" s="30" t="s">
        <v>3645</v>
      </c>
      <c r="D71" s="30" t="s">
        <v>7088</v>
      </c>
      <c r="E71" s="30" t="s">
        <v>233</v>
      </c>
      <c r="F71" s="333">
        <v>1</v>
      </c>
      <c r="G71" s="30" t="s">
        <v>193</v>
      </c>
      <c r="H71" s="30" t="s">
        <v>194</v>
      </c>
      <c r="I71" s="30" t="s">
        <v>7018</v>
      </c>
      <c r="J71" s="30" t="s">
        <v>7160</v>
      </c>
      <c r="K71" s="30">
        <v>18</v>
      </c>
      <c r="L71" s="30" t="s">
        <v>7161</v>
      </c>
      <c r="M71" s="30" t="s">
        <v>6275</v>
      </c>
      <c r="N71" s="30" t="s">
        <v>7090</v>
      </c>
      <c r="O71" s="30" t="s">
        <v>7091</v>
      </c>
      <c r="P71" s="30" t="s">
        <v>6967</v>
      </c>
      <c r="Q71" s="30">
        <v>1855979</v>
      </c>
      <c r="R71" s="30">
        <v>13462716</v>
      </c>
      <c r="S71" s="245"/>
      <c r="T71" s="30">
        <v>1807.1804999999999</v>
      </c>
      <c r="U71" s="30" t="s">
        <v>3647</v>
      </c>
      <c r="V71" s="30" t="s">
        <v>194</v>
      </c>
      <c r="W71" s="30">
        <v>2</v>
      </c>
      <c r="X71" s="30"/>
      <c r="Y71" s="30" t="s">
        <v>7162</v>
      </c>
      <c r="Z71" s="30"/>
      <c r="AA71" s="30"/>
      <c r="AB71" s="30"/>
      <c r="AC71" s="30"/>
      <c r="AD71" s="30"/>
      <c r="AE71" s="30"/>
      <c r="AF71" s="30" t="s">
        <v>4714</v>
      </c>
      <c r="AG71" s="30" t="s">
        <v>836</v>
      </c>
      <c r="AH71" s="30"/>
      <c r="AI71" s="30" t="s">
        <v>6955</v>
      </c>
      <c r="AJ71" s="363" t="str">
        <f t="shared" si="1"/>
        <v>741207</v>
      </c>
    </row>
    <row r="72" spans="1:36" x14ac:dyDescent="0.25">
      <c r="A72" s="35" t="s">
        <v>5910</v>
      </c>
      <c r="B72" s="30" t="s">
        <v>7163</v>
      </c>
      <c r="C72" s="30" t="s">
        <v>4280</v>
      </c>
      <c r="D72" s="30" t="s">
        <v>7088</v>
      </c>
      <c r="E72" s="30" t="s">
        <v>233</v>
      </c>
      <c r="F72" s="333">
        <v>1</v>
      </c>
      <c r="G72" s="30" t="s">
        <v>193</v>
      </c>
      <c r="H72" s="30" t="s">
        <v>194</v>
      </c>
      <c r="I72" s="30" t="s">
        <v>7018</v>
      </c>
      <c r="J72" s="30" t="s">
        <v>7160</v>
      </c>
      <c r="K72" s="30">
        <v>18</v>
      </c>
      <c r="L72" s="30" t="s">
        <v>7164</v>
      </c>
      <c r="M72" s="30" t="s">
        <v>6256</v>
      </c>
      <c r="N72" s="30" t="s">
        <v>7090</v>
      </c>
      <c r="O72" s="30" t="s">
        <v>7091</v>
      </c>
      <c r="P72" s="30" t="s">
        <v>6967</v>
      </c>
      <c r="Q72" s="30">
        <v>1855947</v>
      </c>
      <c r="R72" s="30">
        <v>13462642</v>
      </c>
      <c r="S72" s="245"/>
      <c r="T72" s="30">
        <v>1805.1806999999999</v>
      </c>
      <c r="U72" s="30" t="s">
        <v>4281</v>
      </c>
      <c r="V72" s="30" t="s">
        <v>194</v>
      </c>
      <c r="W72" s="30">
        <v>2</v>
      </c>
      <c r="X72" s="30"/>
      <c r="Y72" s="30" t="s">
        <v>7165</v>
      </c>
      <c r="Z72" s="30"/>
      <c r="AA72" s="30"/>
      <c r="AB72" s="30"/>
      <c r="AC72" s="30"/>
      <c r="AD72" s="30"/>
      <c r="AE72" s="30"/>
      <c r="AF72" s="30" t="s">
        <v>4714</v>
      </c>
      <c r="AG72" s="30" t="s">
        <v>7163</v>
      </c>
      <c r="AH72" s="30"/>
      <c r="AI72" s="30" t="s">
        <v>6955</v>
      </c>
      <c r="AJ72" s="363" t="str">
        <f t="shared" si="1"/>
        <v>214203</v>
      </c>
    </row>
    <row r="73" spans="1:36" x14ac:dyDescent="0.25">
      <c r="A73" s="35" t="s">
        <v>1826</v>
      </c>
      <c r="B73" s="30" t="s">
        <v>7166</v>
      </c>
      <c r="C73" s="30" t="s">
        <v>778</v>
      </c>
      <c r="D73" s="30" t="s">
        <v>7088</v>
      </c>
      <c r="E73" s="30" t="s">
        <v>233</v>
      </c>
      <c r="F73" s="333">
        <v>1</v>
      </c>
      <c r="G73" s="30" t="s">
        <v>193</v>
      </c>
      <c r="H73" s="30" t="s">
        <v>194</v>
      </c>
      <c r="I73" s="30" t="s">
        <v>7018</v>
      </c>
      <c r="J73" s="30" t="s">
        <v>316</v>
      </c>
      <c r="K73" s="30">
        <v>18</v>
      </c>
      <c r="L73" s="30" t="s">
        <v>7167</v>
      </c>
      <c r="M73" s="30" t="s">
        <v>6254</v>
      </c>
      <c r="N73" s="30" t="s">
        <v>7090</v>
      </c>
      <c r="O73" s="30" t="s">
        <v>7091</v>
      </c>
      <c r="P73" s="30" t="s">
        <v>7168</v>
      </c>
      <c r="Q73" s="30">
        <v>1855226</v>
      </c>
      <c r="R73" s="30">
        <v>12859722</v>
      </c>
      <c r="S73" s="30"/>
      <c r="T73" s="30">
        <v>1818</v>
      </c>
      <c r="U73" s="30" t="s">
        <v>779</v>
      </c>
      <c r="V73" s="30" t="s">
        <v>194</v>
      </c>
      <c r="W73" s="30">
        <v>1</v>
      </c>
      <c r="X73" s="30"/>
      <c r="Y73" s="30" t="s">
        <v>7169</v>
      </c>
      <c r="Z73" s="30"/>
      <c r="AA73" s="30"/>
      <c r="AB73" s="30"/>
      <c r="AC73" s="30"/>
      <c r="AD73" s="30"/>
      <c r="AE73" s="30"/>
      <c r="AF73" s="30" t="s">
        <v>4714</v>
      </c>
      <c r="AG73" s="30" t="s">
        <v>7166</v>
      </c>
      <c r="AH73" s="30"/>
      <c r="AI73" s="30" t="s">
        <v>6955</v>
      </c>
      <c r="AJ73" s="363" t="str">
        <f t="shared" si="1"/>
        <v>524902</v>
      </c>
    </row>
    <row r="74" spans="1:36" x14ac:dyDescent="0.25">
      <c r="A74" s="35" t="s">
        <v>1826</v>
      </c>
      <c r="B74" s="30" t="s">
        <v>7166</v>
      </c>
      <c r="C74" s="30" t="s">
        <v>778</v>
      </c>
      <c r="D74" s="30" t="s">
        <v>7088</v>
      </c>
      <c r="E74" s="30" t="s">
        <v>233</v>
      </c>
      <c r="F74" s="333">
        <v>1</v>
      </c>
      <c r="G74" s="30" t="s">
        <v>193</v>
      </c>
      <c r="H74" s="30" t="s">
        <v>194</v>
      </c>
      <c r="I74" s="30" t="s">
        <v>7018</v>
      </c>
      <c r="J74" s="30" t="s">
        <v>2607</v>
      </c>
      <c r="K74" s="30">
        <v>18</v>
      </c>
      <c r="L74" s="30" t="s">
        <v>7170</v>
      </c>
      <c r="M74" s="30" t="s">
        <v>6254</v>
      </c>
      <c r="N74" s="30" t="s">
        <v>7090</v>
      </c>
      <c r="O74" s="30" t="s">
        <v>7091</v>
      </c>
      <c r="P74" s="30" t="s">
        <v>7168</v>
      </c>
      <c r="Q74" s="30">
        <v>1855287</v>
      </c>
      <c r="R74" s="30">
        <v>12859783</v>
      </c>
      <c r="S74" s="30"/>
      <c r="T74" s="30">
        <v>1805</v>
      </c>
      <c r="U74" s="30" t="s">
        <v>779</v>
      </c>
      <c r="V74" s="30" t="s">
        <v>194</v>
      </c>
      <c r="W74" s="30">
        <v>1</v>
      </c>
      <c r="X74" s="30"/>
      <c r="Y74" s="30" t="s">
        <v>7169</v>
      </c>
      <c r="Z74" s="30"/>
      <c r="AA74" s="30"/>
      <c r="AB74" s="30"/>
      <c r="AC74" s="30"/>
      <c r="AD74" s="30"/>
      <c r="AE74" s="30"/>
      <c r="AF74" s="30" t="s">
        <v>4714</v>
      </c>
      <c r="AG74" s="30" t="s">
        <v>7166</v>
      </c>
      <c r="AH74" s="30"/>
      <c r="AI74" s="30" t="s">
        <v>6955</v>
      </c>
      <c r="AJ74" s="363" t="str">
        <f t="shared" si="1"/>
        <v>524902</v>
      </c>
    </row>
    <row r="75" spans="1:36" x14ac:dyDescent="0.25">
      <c r="A75" s="35" t="s">
        <v>1826</v>
      </c>
      <c r="B75" s="30" t="s">
        <v>7166</v>
      </c>
      <c r="C75" s="30" t="s">
        <v>778</v>
      </c>
      <c r="D75" s="30" t="s">
        <v>7088</v>
      </c>
      <c r="E75" s="30" t="s">
        <v>233</v>
      </c>
      <c r="F75" s="333">
        <v>1</v>
      </c>
      <c r="G75" s="30" t="s">
        <v>193</v>
      </c>
      <c r="H75" s="30" t="s">
        <v>194</v>
      </c>
      <c r="I75" s="30" t="s">
        <v>7018</v>
      </c>
      <c r="J75" s="30" t="s">
        <v>4266</v>
      </c>
      <c r="K75" s="30">
        <v>18</v>
      </c>
      <c r="L75" s="30" t="s">
        <v>7171</v>
      </c>
      <c r="M75" s="30" t="s">
        <v>6254</v>
      </c>
      <c r="N75" s="30" t="s">
        <v>7090</v>
      </c>
      <c r="O75" s="30" t="s">
        <v>7091</v>
      </c>
      <c r="P75" s="30" t="s">
        <v>7168</v>
      </c>
      <c r="Q75" s="30">
        <v>1855288</v>
      </c>
      <c r="R75" s="30">
        <v>12859784</v>
      </c>
      <c r="S75" s="30"/>
      <c r="T75" s="30">
        <v>1803</v>
      </c>
      <c r="U75" s="30" t="s">
        <v>779</v>
      </c>
      <c r="V75" s="30" t="s">
        <v>194</v>
      </c>
      <c r="W75" s="30">
        <v>1</v>
      </c>
      <c r="X75" s="30"/>
      <c r="Y75" s="30" t="s">
        <v>7169</v>
      </c>
      <c r="Z75" s="30"/>
      <c r="AA75" s="30"/>
      <c r="AB75" s="30"/>
      <c r="AC75" s="30"/>
      <c r="AD75" s="30"/>
      <c r="AE75" s="30"/>
      <c r="AF75" s="30" t="s">
        <v>4714</v>
      </c>
      <c r="AG75" s="30" t="s">
        <v>7166</v>
      </c>
      <c r="AH75" s="30"/>
      <c r="AI75" s="30" t="s">
        <v>6955</v>
      </c>
      <c r="AJ75" s="363" t="str">
        <f t="shared" si="1"/>
        <v>524902</v>
      </c>
    </row>
    <row r="76" spans="1:36" x14ac:dyDescent="0.25">
      <c r="A76" s="35" t="s">
        <v>1826</v>
      </c>
      <c r="B76" s="30" t="s">
        <v>7166</v>
      </c>
      <c r="C76" s="30" t="s">
        <v>778</v>
      </c>
      <c r="D76" s="30" t="s">
        <v>7088</v>
      </c>
      <c r="E76" s="30" t="s">
        <v>233</v>
      </c>
      <c r="F76" s="333">
        <v>1</v>
      </c>
      <c r="G76" s="30" t="s">
        <v>193</v>
      </c>
      <c r="H76" s="30" t="s">
        <v>194</v>
      </c>
      <c r="I76" s="30" t="s">
        <v>7018</v>
      </c>
      <c r="J76" s="30" t="s">
        <v>2439</v>
      </c>
      <c r="K76" s="30">
        <v>18</v>
      </c>
      <c r="L76" s="30" t="s">
        <v>7172</v>
      </c>
      <c r="M76" s="30" t="s">
        <v>6254</v>
      </c>
      <c r="N76" s="30" t="s">
        <v>7090</v>
      </c>
      <c r="O76" s="30" t="s">
        <v>7091</v>
      </c>
      <c r="P76" s="30" t="s">
        <v>7168</v>
      </c>
      <c r="Q76" s="30">
        <v>1855289</v>
      </c>
      <c r="R76" s="30">
        <v>12859785</v>
      </c>
      <c r="S76" s="30"/>
      <c r="T76" s="30">
        <v>1804</v>
      </c>
      <c r="U76" s="30" t="s">
        <v>779</v>
      </c>
      <c r="V76" s="30" t="s">
        <v>194</v>
      </c>
      <c r="W76" s="30">
        <v>1</v>
      </c>
      <c r="X76" s="30"/>
      <c r="Y76" s="30" t="s">
        <v>7169</v>
      </c>
      <c r="Z76" s="30"/>
      <c r="AA76" s="30"/>
      <c r="AB76" s="30"/>
      <c r="AC76" s="30"/>
      <c r="AD76" s="30"/>
      <c r="AE76" s="30"/>
      <c r="AF76" s="30" t="s">
        <v>4714</v>
      </c>
      <c r="AG76" s="30" t="s">
        <v>7166</v>
      </c>
      <c r="AH76" s="30"/>
      <c r="AI76" s="30" t="s">
        <v>6955</v>
      </c>
      <c r="AJ76" s="363" t="str">
        <f t="shared" si="1"/>
        <v>524902</v>
      </c>
    </row>
    <row r="77" spans="1:36" x14ac:dyDescent="0.25">
      <c r="A77" s="35" t="s">
        <v>1826</v>
      </c>
      <c r="B77" s="30" t="s">
        <v>7166</v>
      </c>
      <c r="C77" s="30" t="s">
        <v>778</v>
      </c>
      <c r="D77" s="30" t="s">
        <v>7088</v>
      </c>
      <c r="E77" s="30" t="s">
        <v>233</v>
      </c>
      <c r="F77" s="333">
        <v>1</v>
      </c>
      <c r="G77" s="30" t="s">
        <v>193</v>
      </c>
      <c r="H77" s="30" t="s">
        <v>194</v>
      </c>
      <c r="I77" s="30" t="s">
        <v>7018</v>
      </c>
      <c r="J77" s="30" t="s">
        <v>7173</v>
      </c>
      <c r="K77" s="30">
        <v>18</v>
      </c>
      <c r="L77" s="30" t="s">
        <v>7174</v>
      </c>
      <c r="M77" s="30" t="s">
        <v>6254</v>
      </c>
      <c r="N77" s="30" t="s">
        <v>7090</v>
      </c>
      <c r="O77" s="30" t="s">
        <v>7091</v>
      </c>
      <c r="P77" s="30" t="s">
        <v>7168</v>
      </c>
      <c r="Q77" s="30">
        <v>1855290</v>
      </c>
      <c r="R77" s="30">
        <v>12859786</v>
      </c>
      <c r="S77" s="30"/>
      <c r="T77" s="30">
        <v>1813</v>
      </c>
      <c r="U77" s="30" t="s">
        <v>779</v>
      </c>
      <c r="V77" s="30" t="s">
        <v>194</v>
      </c>
      <c r="W77" s="30">
        <v>1</v>
      </c>
      <c r="X77" s="30"/>
      <c r="Y77" s="30" t="s">
        <v>7169</v>
      </c>
      <c r="Z77" s="30"/>
      <c r="AA77" s="30"/>
      <c r="AB77" s="30"/>
      <c r="AC77" s="30"/>
      <c r="AD77" s="30"/>
      <c r="AE77" s="30"/>
      <c r="AF77" s="30" t="s">
        <v>4714</v>
      </c>
      <c r="AG77" s="30" t="s">
        <v>7166</v>
      </c>
      <c r="AH77" s="30"/>
      <c r="AI77" s="30" t="s">
        <v>6955</v>
      </c>
      <c r="AJ77" s="363" t="str">
        <f t="shared" si="1"/>
        <v>524902</v>
      </c>
    </row>
    <row r="78" spans="1:36" x14ac:dyDescent="0.25">
      <c r="A78" s="35" t="s">
        <v>1826</v>
      </c>
      <c r="B78" s="30" t="s">
        <v>7166</v>
      </c>
      <c r="C78" s="30" t="s">
        <v>778</v>
      </c>
      <c r="D78" s="30" t="s">
        <v>7088</v>
      </c>
      <c r="E78" s="30" t="s">
        <v>233</v>
      </c>
      <c r="F78" s="333">
        <v>1</v>
      </c>
      <c r="G78" s="30" t="s">
        <v>193</v>
      </c>
      <c r="H78" s="30" t="s">
        <v>194</v>
      </c>
      <c r="I78" s="30" t="s">
        <v>7018</v>
      </c>
      <c r="J78" s="30" t="s">
        <v>7175</v>
      </c>
      <c r="K78" s="30">
        <v>18</v>
      </c>
      <c r="L78" s="30" t="s">
        <v>7176</v>
      </c>
      <c r="M78" s="30" t="s">
        <v>6254</v>
      </c>
      <c r="N78" s="30" t="s">
        <v>7090</v>
      </c>
      <c r="O78" s="30" t="s">
        <v>7091</v>
      </c>
      <c r="P78" s="30" t="s">
        <v>7168</v>
      </c>
      <c r="Q78" s="30">
        <v>1855291</v>
      </c>
      <c r="R78" s="30">
        <v>12859787</v>
      </c>
      <c r="S78" s="30"/>
      <c r="T78" s="30">
        <v>1817</v>
      </c>
      <c r="U78" s="30" t="s">
        <v>779</v>
      </c>
      <c r="V78" s="30" t="s">
        <v>194</v>
      </c>
      <c r="W78" s="30">
        <v>1</v>
      </c>
      <c r="X78" s="30"/>
      <c r="Y78" s="30" t="s">
        <v>7169</v>
      </c>
      <c r="Z78" s="30"/>
      <c r="AA78" s="30"/>
      <c r="AB78" s="30"/>
      <c r="AC78" s="30"/>
      <c r="AD78" s="30"/>
      <c r="AE78" s="30"/>
      <c r="AF78" s="30" t="s">
        <v>4714</v>
      </c>
      <c r="AG78" s="30" t="s">
        <v>7166</v>
      </c>
      <c r="AH78" s="30"/>
      <c r="AI78" s="30" t="s">
        <v>6955</v>
      </c>
      <c r="AJ78" s="363" t="str">
        <f t="shared" si="1"/>
        <v>524902</v>
      </c>
    </row>
    <row r="79" spans="1:36" x14ac:dyDescent="0.25">
      <c r="A79" s="35" t="s">
        <v>1826</v>
      </c>
      <c r="B79" s="30" t="s">
        <v>7166</v>
      </c>
      <c r="C79" s="30" t="s">
        <v>778</v>
      </c>
      <c r="D79" s="30" t="s">
        <v>7088</v>
      </c>
      <c r="E79" s="30" t="s">
        <v>233</v>
      </c>
      <c r="F79" s="333">
        <v>1</v>
      </c>
      <c r="G79" s="30" t="s">
        <v>193</v>
      </c>
      <c r="H79" s="30" t="s">
        <v>194</v>
      </c>
      <c r="I79" s="30" t="s">
        <v>7018</v>
      </c>
      <c r="J79" s="30" t="s">
        <v>7177</v>
      </c>
      <c r="K79" s="30">
        <v>18</v>
      </c>
      <c r="L79" s="30" t="s">
        <v>7178</v>
      </c>
      <c r="M79" s="30" t="s">
        <v>6254</v>
      </c>
      <c r="N79" s="30" t="s">
        <v>7090</v>
      </c>
      <c r="O79" s="30" t="s">
        <v>7091</v>
      </c>
      <c r="P79" s="30" t="s">
        <v>7168</v>
      </c>
      <c r="Q79" s="30">
        <v>1855292</v>
      </c>
      <c r="R79" s="30">
        <v>12859788</v>
      </c>
      <c r="S79" s="30"/>
      <c r="T79" s="30">
        <v>1817</v>
      </c>
      <c r="U79" s="30" t="s">
        <v>779</v>
      </c>
      <c r="V79" s="30" t="s">
        <v>194</v>
      </c>
      <c r="W79" s="30">
        <v>1</v>
      </c>
      <c r="X79" s="30"/>
      <c r="Y79" s="30" t="s">
        <v>7169</v>
      </c>
      <c r="Z79" s="30"/>
      <c r="AA79" s="30"/>
      <c r="AB79" s="30"/>
      <c r="AC79" s="30"/>
      <c r="AD79" s="30"/>
      <c r="AE79" s="30"/>
      <c r="AF79" s="30" t="s">
        <v>4714</v>
      </c>
      <c r="AG79" s="30" t="s">
        <v>7166</v>
      </c>
      <c r="AH79" s="30"/>
      <c r="AI79" s="30" t="s">
        <v>6955</v>
      </c>
      <c r="AJ79" s="363" t="str">
        <f t="shared" si="1"/>
        <v>524902</v>
      </c>
    </row>
    <row r="80" spans="1:36" x14ac:dyDescent="0.25">
      <c r="A80" s="35" t="s">
        <v>1826</v>
      </c>
      <c r="B80" s="30" t="s">
        <v>7166</v>
      </c>
      <c r="C80" s="30" t="s">
        <v>778</v>
      </c>
      <c r="D80" s="30" t="s">
        <v>7088</v>
      </c>
      <c r="E80" s="30" t="s">
        <v>233</v>
      </c>
      <c r="F80" s="333">
        <v>1</v>
      </c>
      <c r="G80" s="30" t="s">
        <v>193</v>
      </c>
      <c r="H80" s="30" t="s">
        <v>194</v>
      </c>
      <c r="I80" s="30" t="s">
        <v>7018</v>
      </c>
      <c r="J80" s="30" t="s">
        <v>747</v>
      </c>
      <c r="K80" s="30">
        <v>18</v>
      </c>
      <c r="L80" s="30" t="s">
        <v>7179</v>
      </c>
      <c r="M80" s="30" t="s">
        <v>6254</v>
      </c>
      <c r="N80" s="30" t="s">
        <v>7090</v>
      </c>
      <c r="O80" s="30" t="s">
        <v>7091</v>
      </c>
      <c r="P80" s="30" t="s">
        <v>7168</v>
      </c>
      <c r="Q80" s="30">
        <v>1855293</v>
      </c>
      <c r="R80" s="30">
        <v>12859789</v>
      </c>
      <c r="S80" s="30"/>
      <c r="T80" s="30">
        <v>1817</v>
      </c>
      <c r="U80" s="30" t="s">
        <v>779</v>
      </c>
      <c r="V80" s="30" t="s">
        <v>194</v>
      </c>
      <c r="W80" s="30">
        <v>1</v>
      </c>
      <c r="X80" s="30"/>
      <c r="Y80" s="30" t="s">
        <v>7169</v>
      </c>
      <c r="Z80" s="30"/>
      <c r="AA80" s="30"/>
      <c r="AB80" s="30"/>
      <c r="AC80" s="30"/>
      <c r="AD80" s="30"/>
      <c r="AE80" s="30"/>
      <c r="AF80" s="30" t="s">
        <v>4714</v>
      </c>
      <c r="AG80" s="30" t="s">
        <v>7166</v>
      </c>
      <c r="AH80" s="30"/>
      <c r="AI80" s="30" t="s">
        <v>6955</v>
      </c>
      <c r="AJ80" s="363" t="str">
        <f t="shared" si="1"/>
        <v>524902</v>
      </c>
    </row>
    <row r="81" spans="1:36" x14ac:dyDescent="0.25">
      <c r="A81" s="35" t="s">
        <v>1826</v>
      </c>
      <c r="B81" s="30" t="s">
        <v>7166</v>
      </c>
      <c r="C81" s="30" t="s">
        <v>778</v>
      </c>
      <c r="D81" s="30" t="s">
        <v>7088</v>
      </c>
      <c r="E81" s="30" t="s">
        <v>233</v>
      </c>
      <c r="F81" s="333">
        <v>1</v>
      </c>
      <c r="G81" s="30" t="s">
        <v>193</v>
      </c>
      <c r="H81" s="30" t="s">
        <v>194</v>
      </c>
      <c r="I81" s="30" t="s">
        <v>7018</v>
      </c>
      <c r="J81" s="30" t="s">
        <v>3891</v>
      </c>
      <c r="K81" s="30">
        <v>18</v>
      </c>
      <c r="L81" s="30" t="s">
        <v>7180</v>
      </c>
      <c r="M81" s="30" t="s">
        <v>6254</v>
      </c>
      <c r="N81" s="30" t="s">
        <v>7090</v>
      </c>
      <c r="O81" s="30" t="s">
        <v>7091</v>
      </c>
      <c r="P81" s="30" t="s">
        <v>7168</v>
      </c>
      <c r="Q81" s="30">
        <v>1855294</v>
      </c>
      <c r="R81" s="30">
        <v>12859790</v>
      </c>
      <c r="S81" s="30"/>
      <c r="T81" s="30">
        <v>1816</v>
      </c>
      <c r="U81" s="30" t="s">
        <v>779</v>
      </c>
      <c r="V81" s="30" t="s">
        <v>194</v>
      </c>
      <c r="W81" s="30">
        <v>1</v>
      </c>
      <c r="X81" s="30"/>
      <c r="Y81" s="30" t="s">
        <v>7169</v>
      </c>
      <c r="Z81" s="30"/>
      <c r="AA81" s="30"/>
      <c r="AB81" s="30"/>
      <c r="AC81" s="30"/>
      <c r="AD81" s="30"/>
      <c r="AE81" s="30"/>
      <c r="AF81" s="30" t="s">
        <v>4714</v>
      </c>
      <c r="AG81" s="30" t="s">
        <v>7166</v>
      </c>
      <c r="AH81" s="30"/>
      <c r="AI81" s="30" t="s">
        <v>6955</v>
      </c>
      <c r="AJ81" s="363" t="str">
        <f t="shared" si="1"/>
        <v>524902</v>
      </c>
    </row>
    <row r="82" spans="1:36" x14ac:dyDescent="0.25">
      <c r="A82" s="35" t="s">
        <v>1826</v>
      </c>
      <c r="B82" s="30" t="s">
        <v>7166</v>
      </c>
      <c r="C82" s="30" t="s">
        <v>778</v>
      </c>
      <c r="D82" s="30" t="s">
        <v>7088</v>
      </c>
      <c r="E82" s="30" t="s">
        <v>233</v>
      </c>
      <c r="F82" s="333">
        <v>1</v>
      </c>
      <c r="G82" s="30" t="s">
        <v>193</v>
      </c>
      <c r="H82" s="30" t="s">
        <v>194</v>
      </c>
      <c r="I82" s="30" t="s">
        <v>7018</v>
      </c>
      <c r="J82" s="30" t="s">
        <v>7181</v>
      </c>
      <c r="K82" s="30">
        <v>18</v>
      </c>
      <c r="L82" s="30" t="s">
        <v>7182</v>
      </c>
      <c r="M82" s="30" t="s">
        <v>6254</v>
      </c>
      <c r="N82" s="30" t="s">
        <v>7090</v>
      </c>
      <c r="O82" s="30" t="s">
        <v>7091</v>
      </c>
      <c r="P82" s="30" t="s">
        <v>7168</v>
      </c>
      <c r="Q82" s="30">
        <v>1855295</v>
      </c>
      <c r="R82" s="30">
        <v>12859791</v>
      </c>
      <c r="S82" s="30"/>
      <c r="T82" s="30">
        <v>1813</v>
      </c>
      <c r="U82" s="30" t="s">
        <v>779</v>
      </c>
      <c r="V82" s="30" t="s">
        <v>194</v>
      </c>
      <c r="W82" s="30">
        <v>1</v>
      </c>
      <c r="X82" s="30"/>
      <c r="Y82" s="30" t="s">
        <v>7169</v>
      </c>
      <c r="Z82" s="30"/>
      <c r="AA82" s="30"/>
      <c r="AB82" s="30"/>
      <c r="AC82" s="30"/>
      <c r="AD82" s="30"/>
      <c r="AE82" s="30"/>
      <c r="AF82" s="30" t="s">
        <v>4714</v>
      </c>
      <c r="AG82" s="30" t="s">
        <v>7166</v>
      </c>
      <c r="AH82" s="30"/>
      <c r="AI82" s="30" t="s">
        <v>6955</v>
      </c>
      <c r="AJ82" s="363" t="str">
        <f t="shared" si="1"/>
        <v>524902</v>
      </c>
    </row>
    <row r="83" spans="1:36" x14ac:dyDescent="0.25">
      <c r="A83" s="35" t="s">
        <v>1826</v>
      </c>
      <c r="B83" s="30" t="s">
        <v>7166</v>
      </c>
      <c r="C83" s="30" t="s">
        <v>778</v>
      </c>
      <c r="D83" s="30" t="s">
        <v>7088</v>
      </c>
      <c r="E83" s="30" t="s">
        <v>233</v>
      </c>
      <c r="F83" s="333">
        <v>1</v>
      </c>
      <c r="G83" s="30" t="s">
        <v>193</v>
      </c>
      <c r="H83" s="30" t="s">
        <v>194</v>
      </c>
      <c r="I83" s="30" t="s">
        <v>7018</v>
      </c>
      <c r="J83" s="30" t="s">
        <v>202</v>
      </c>
      <c r="K83" s="30">
        <v>18</v>
      </c>
      <c r="L83" s="30" t="s">
        <v>7183</v>
      </c>
      <c r="M83" s="30" t="s">
        <v>6254</v>
      </c>
      <c r="N83" s="30" t="s">
        <v>7090</v>
      </c>
      <c r="O83" s="30" t="s">
        <v>7091</v>
      </c>
      <c r="P83" s="30" t="s">
        <v>7168</v>
      </c>
      <c r="Q83" s="30">
        <v>1855296</v>
      </c>
      <c r="R83" s="30">
        <v>12859792</v>
      </c>
      <c r="S83" s="30"/>
      <c r="T83" s="30">
        <v>1807</v>
      </c>
      <c r="U83" s="30" t="s">
        <v>779</v>
      </c>
      <c r="V83" s="30" t="s">
        <v>194</v>
      </c>
      <c r="W83" s="30">
        <v>1</v>
      </c>
      <c r="X83" s="30"/>
      <c r="Y83" s="30" t="s">
        <v>7169</v>
      </c>
      <c r="Z83" s="30"/>
      <c r="AA83" s="30"/>
      <c r="AB83" s="30"/>
      <c r="AC83" s="30"/>
      <c r="AD83" s="30"/>
      <c r="AE83" s="30"/>
      <c r="AF83" s="30" t="s">
        <v>4714</v>
      </c>
      <c r="AG83" s="30" t="s">
        <v>7166</v>
      </c>
      <c r="AH83" s="30"/>
      <c r="AI83" s="30" t="s">
        <v>6955</v>
      </c>
      <c r="AJ83" s="363" t="str">
        <f t="shared" si="1"/>
        <v>524902</v>
      </c>
    </row>
    <row r="84" spans="1:36" x14ac:dyDescent="0.25">
      <c r="A84" s="35" t="s">
        <v>1826</v>
      </c>
      <c r="B84" s="30" t="s">
        <v>7166</v>
      </c>
      <c r="C84" s="30" t="s">
        <v>778</v>
      </c>
      <c r="D84" s="30" t="s">
        <v>7088</v>
      </c>
      <c r="E84" s="30" t="s">
        <v>233</v>
      </c>
      <c r="F84" s="333">
        <v>1</v>
      </c>
      <c r="G84" s="30" t="s">
        <v>193</v>
      </c>
      <c r="H84" s="30" t="s">
        <v>194</v>
      </c>
      <c r="I84" s="30" t="s">
        <v>7018</v>
      </c>
      <c r="J84" s="30" t="s">
        <v>5146</v>
      </c>
      <c r="K84" s="30">
        <v>18</v>
      </c>
      <c r="L84" s="30" t="s">
        <v>7184</v>
      </c>
      <c r="M84" s="30" t="s">
        <v>6254</v>
      </c>
      <c r="N84" s="30" t="s">
        <v>7090</v>
      </c>
      <c r="O84" s="30" t="s">
        <v>7091</v>
      </c>
      <c r="P84" s="30" t="s">
        <v>7168</v>
      </c>
      <c r="Q84" s="30">
        <v>1855297</v>
      </c>
      <c r="R84" s="30">
        <v>12859793</v>
      </c>
      <c r="S84" s="30"/>
      <c r="T84" s="30">
        <v>1813</v>
      </c>
      <c r="U84" s="30" t="s">
        <v>779</v>
      </c>
      <c r="V84" s="30" t="s">
        <v>194</v>
      </c>
      <c r="W84" s="30">
        <v>1</v>
      </c>
      <c r="X84" s="30"/>
      <c r="Y84" s="30" t="s">
        <v>7169</v>
      </c>
      <c r="Z84" s="30"/>
      <c r="AA84" s="30"/>
      <c r="AB84" s="30"/>
      <c r="AC84" s="30"/>
      <c r="AD84" s="30"/>
      <c r="AE84" s="30"/>
      <c r="AF84" s="30" t="s">
        <v>4714</v>
      </c>
      <c r="AG84" s="30" t="s">
        <v>7166</v>
      </c>
      <c r="AH84" s="30"/>
      <c r="AI84" s="30" t="s">
        <v>6955</v>
      </c>
      <c r="AJ84" s="363" t="str">
        <f t="shared" si="1"/>
        <v>524902</v>
      </c>
    </row>
    <row r="85" spans="1:36" x14ac:dyDescent="0.25">
      <c r="A85" s="35" t="s">
        <v>1826</v>
      </c>
      <c r="B85" s="30" t="s">
        <v>7166</v>
      </c>
      <c r="C85" s="30" t="s">
        <v>778</v>
      </c>
      <c r="D85" s="30" t="s">
        <v>7088</v>
      </c>
      <c r="E85" s="30" t="s">
        <v>233</v>
      </c>
      <c r="F85" s="333">
        <v>1</v>
      </c>
      <c r="G85" s="30" t="s">
        <v>193</v>
      </c>
      <c r="H85" s="30" t="s">
        <v>194</v>
      </c>
      <c r="I85" s="30" t="s">
        <v>7018</v>
      </c>
      <c r="J85" s="30" t="s">
        <v>367</v>
      </c>
      <c r="K85" s="30">
        <v>18</v>
      </c>
      <c r="L85" s="30" t="s">
        <v>7185</v>
      </c>
      <c r="M85" s="30" t="s">
        <v>6254</v>
      </c>
      <c r="N85" s="30" t="s">
        <v>7090</v>
      </c>
      <c r="O85" s="30" t="s">
        <v>7091</v>
      </c>
      <c r="P85" s="30" t="s">
        <v>7168</v>
      </c>
      <c r="Q85" s="30">
        <v>1855298</v>
      </c>
      <c r="R85" s="30">
        <v>12859794</v>
      </c>
      <c r="S85" s="30"/>
      <c r="T85" s="30">
        <v>1805</v>
      </c>
      <c r="U85" s="30" t="s">
        <v>779</v>
      </c>
      <c r="V85" s="30" t="s">
        <v>194</v>
      </c>
      <c r="W85" s="30">
        <v>1</v>
      </c>
      <c r="X85" s="30"/>
      <c r="Y85" s="30" t="s">
        <v>7169</v>
      </c>
      <c r="Z85" s="30"/>
      <c r="AA85" s="30"/>
      <c r="AB85" s="30"/>
      <c r="AC85" s="30"/>
      <c r="AD85" s="30"/>
      <c r="AE85" s="30"/>
      <c r="AF85" s="30" t="s">
        <v>4714</v>
      </c>
      <c r="AG85" s="30" t="s">
        <v>7166</v>
      </c>
      <c r="AH85" s="30"/>
      <c r="AI85" s="30" t="s">
        <v>6955</v>
      </c>
      <c r="AJ85" s="363" t="str">
        <f t="shared" si="1"/>
        <v>524902</v>
      </c>
    </row>
    <row r="86" spans="1:36" x14ac:dyDescent="0.25">
      <c r="A86" s="35" t="s">
        <v>1826</v>
      </c>
      <c r="B86" s="30" t="s">
        <v>7166</v>
      </c>
      <c r="C86" s="30" t="s">
        <v>778</v>
      </c>
      <c r="D86" s="30" t="s">
        <v>7088</v>
      </c>
      <c r="E86" s="30" t="s">
        <v>233</v>
      </c>
      <c r="F86" s="333">
        <v>1</v>
      </c>
      <c r="G86" s="30" t="s">
        <v>193</v>
      </c>
      <c r="H86" s="30" t="s">
        <v>194</v>
      </c>
      <c r="I86" s="30" t="s">
        <v>7018</v>
      </c>
      <c r="J86" s="30" t="s">
        <v>7186</v>
      </c>
      <c r="K86" s="30">
        <v>18</v>
      </c>
      <c r="L86" s="30" t="s">
        <v>7187</v>
      </c>
      <c r="M86" s="30" t="s">
        <v>6254</v>
      </c>
      <c r="N86" s="30" t="s">
        <v>7090</v>
      </c>
      <c r="O86" s="30" t="s">
        <v>7091</v>
      </c>
      <c r="P86" s="30" t="s">
        <v>7168</v>
      </c>
      <c r="Q86" s="30">
        <v>1855299</v>
      </c>
      <c r="R86" s="30">
        <v>12859795</v>
      </c>
      <c r="S86" s="30"/>
      <c r="T86" s="30">
        <v>1802</v>
      </c>
      <c r="U86" s="30" t="s">
        <v>779</v>
      </c>
      <c r="V86" s="30" t="s">
        <v>194</v>
      </c>
      <c r="W86" s="30">
        <v>1</v>
      </c>
      <c r="X86" s="30"/>
      <c r="Y86" s="30" t="s">
        <v>7169</v>
      </c>
      <c r="Z86" s="30"/>
      <c r="AA86" s="30"/>
      <c r="AB86" s="30"/>
      <c r="AC86" s="30"/>
      <c r="AD86" s="30"/>
      <c r="AE86" s="30"/>
      <c r="AF86" s="30" t="s">
        <v>4714</v>
      </c>
      <c r="AG86" s="30" t="s">
        <v>7166</v>
      </c>
      <c r="AH86" s="30"/>
      <c r="AI86" s="30" t="s">
        <v>6955</v>
      </c>
      <c r="AJ86" s="363" t="str">
        <f t="shared" si="1"/>
        <v>524902</v>
      </c>
    </row>
    <row r="87" spans="1:36" x14ac:dyDescent="0.25">
      <c r="A87" s="35" t="s">
        <v>1826</v>
      </c>
      <c r="B87" s="30" t="s">
        <v>7166</v>
      </c>
      <c r="C87" s="30" t="s">
        <v>778</v>
      </c>
      <c r="D87" s="30" t="s">
        <v>7088</v>
      </c>
      <c r="E87" s="30" t="s">
        <v>233</v>
      </c>
      <c r="F87" s="333">
        <v>1</v>
      </c>
      <c r="G87" s="30" t="s">
        <v>193</v>
      </c>
      <c r="H87" s="30" t="s">
        <v>194</v>
      </c>
      <c r="I87" s="30" t="s">
        <v>7018</v>
      </c>
      <c r="J87" s="30" t="s">
        <v>7188</v>
      </c>
      <c r="K87" s="30">
        <v>18</v>
      </c>
      <c r="L87" s="30" t="s">
        <v>7189</v>
      </c>
      <c r="M87" s="30" t="s">
        <v>6254</v>
      </c>
      <c r="N87" s="30" t="s">
        <v>7090</v>
      </c>
      <c r="O87" s="30" t="s">
        <v>7091</v>
      </c>
      <c r="P87" s="30" t="s">
        <v>7168</v>
      </c>
      <c r="Q87" s="30">
        <v>1855300</v>
      </c>
      <c r="R87" s="30">
        <v>12859796</v>
      </c>
      <c r="S87" s="30"/>
      <c r="T87" s="30">
        <v>1802</v>
      </c>
      <c r="U87" s="30" t="s">
        <v>779</v>
      </c>
      <c r="V87" s="30" t="s">
        <v>194</v>
      </c>
      <c r="W87" s="30">
        <v>1</v>
      </c>
      <c r="X87" s="30"/>
      <c r="Y87" s="30" t="s">
        <v>7169</v>
      </c>
      <c r="Z87" s="30"/>
      <c r="AA87" s="30"/>
      <c r="AB87" s="30"/>
      <c r="AC87" s="30"/>
      <c r="AD87" s="30"/>
      <c r="AE87" s="30"/>
      <c r="AF87" s="30" t="s">
        <v>4714</v>
      </c>
      <c r="AG87" s="30" t="s">
        <v>7166</v>
      </c>
      <c r="AH87" s="30"/>
      <c r="AI87" s="30" t="s">
        <v>6955</v>
      </c>
      <c r="AJ87" s="363" t="str">
        <f t="shared" si="1"/>
        <v>524902</v>
      </c>
    </row>
    <row r="88" spans="1:36" x14ac:dyDescent="0.25">
      <c r="A88" s="35" t="s">
        <v>1826</v>
      </c>
      <c r="B88" s="30" t="s">
        <v>7166</v>
      </c>
      <c r="C88" s="30" t="s">
        <v>778</v>
      </c>
      <c r="D88" s="30" t="s">
        <v>7088</v>
      </c>
      <c r="E88" s="30" t="s">
        <v>233</v>
      </c>
      <c r="F88" s="333">
        <v>1</v>
      </c>
      <c r="G88" s="30" t="s">
        <v>193</v>
      </c>
      <c r="H88" s="30" t="s">
        <v>194</v>
      </c>
      <c r="I88" s="30" t="s">
        <v>7018</v>
      </c>
      <c r="J88" s="30" t="s">
        <v>2131</v>
      </c>
      <c r="K88" s="30">
        <v>18</v>
      </c>
      <c r="L88" s="30" t="s">
        <v>7190</v>
      </c>
      <c r="M88" s="30" t="s">
        <v>6254</v>
      </c>
      <c r="N88" s="30" t="s">
        <v>7090</v>
      </c>
      <c r="O88" s="30" t="s">
        <v>7091</v>
      </c>
      <c r="P88" s="30" t="s">
        <v>7168</v>
      </c>
      <c r="Q88" s="30">
        <v>1855302</v>
      </c>
      <c r="R88" s="30">
        <v>12859798</v>
      </c>
      <c r="S88" s="30"/>
      <c r="T88" s="30">
        <v>1819</v>
      </c>
      <c r="U88" s="30" t="s">
        <v>779</v>
      </c>
      <c r="V88" s="30" t="s">
        <v>194</v>
      </c>
      <c r="W88" s="30">
        <v>1</v>
      </c>
      <c r="X88" s="30"/>
      <c r="Y88" s="30" t="s">
        <v>7169</v>
      </c>
      <c r="Z88" s="30"/>
      <c r="AA88" s="30"/>
      <c r="AB88" s="30"/>
      <c r="AC88" s="30"/>
      <c r="AD88" s="30"/>
      <c r="AE88" s="30"/>
      <c r="AF88" s="30" t="s">
        <v>4714</v>
      </c>
      <c r="AG88" s="30" t="s">
        <v>7166</v>
      </c>
      <c r="AH88" s="30"/>
      <c r="AI88" s="30" t="s">
        <v>6955</v>
      </c>
      <c r="AJ88" s="363" t="str">
        <f t="shared" si="1"/>
        <v>524902</v>
      </c>
    </row>
    <row r="89" spans="1:36" x14ac:dyDescent="0.25">
      <c r="A89" s="35" t="s">
        <v>1826</v>
      </c>
      <c r="B89" s="30" t="s">
        <v>7166</v>
      </c>
      <c r="C89" s="30" t="s">
        <v>778</v>
      </c>
      <c r="D89" s="30" t="s">
        <v>7088</v>
      </c>
      <c r="E89" s="30" t="s">
        <v>233</v>
      </c>
      <c r="F89" s="333">
        <v>1</v>
      </c>
      <c r="G89" s="30" t="s">
        <v>193</v>
      </c>
      <c r="H89" s="30" t="s">
        <v>194</v>
      </c>
      <c r="I89" s="30" t="s">
        <v>7018</v>
      </c>
      <c r="J89" s="30" t="s">
        <v>7191</v>
      </c>
      <c r="K89" s="30">
        <v>18</v>
      </c>
      <c r="L89" s="30" t="s">
        <v>7192</v>
      </c>
      <c r="M89" s="30" t="s">
        <v>6254</v>
      </c>
      <c r="N89" s="30" t="s">
        <v>7090</v>
      </c>
      <c r="O89" s="30" t="s">
        <v>7091</v>
      </c>
      <c r="P89" s="30" t="s">
        <v>7168</v>
      </c>
      <c r="Q89" s="30">
        <v>1855303</v>
      </c>
      <c r="R89" s="30">
        <v>12859799</v>
      </c>
      <c r="S89" s="30"/>
      <c r="T89" s="30">
        <v>1819</v>
      </c>
      <c r="U89" s="30" t="s">
        <v>779</v>
      </c>
      <c r="V89" s="30" t="s">
        <v>194</v>
      </c>
      <c r="W89" s="30">
        <v>1</v>
      </c>
      <c r="X89" s="30"/>
      <c r="Y89" s="30" t="s">
        <v>7169</v>
      </c>
      <c r="Z89" s="30"/>
      <c r="AA89" s="30"/>
      <c r="AB89" s="30"/>
      <c r="AC89" s="30"/>
      <c r="AD89" s="30"/>
      <c r="AE89" s="30"/>
      <c r="AF89" s="30" t="s">
        <v>4714</v>
      </c>
      <c r="AG89" s="30" t="s">
        <v>7166</v>
      </c>
      <c r="AH89" s="30"/>
      <c r="AI89" s="30" t="s">
        <v>6955</v>
      </c>
      <c r="AJ89" s="363" t="str">
        <f t="shared" si="1"/>
        <v>524902</v>
      </c>
    </row>
    <row r="90" spans="1:36" x14ac:dyDescent="0.25">
      <c r="A90" s="35" t="s">
        <v>1826</v>
      </c>
      <c r="B90" s="30" t="s">
        <v>7166</v>
      </c>
      <c r="C90" s="30" t="s">
        <v>778</v>
      </c>
      <c r="D90" s="30" t="s">
        <v>7088</v>
      </c>
      <c r="E90" s="30" t="s">
        <v>233</v>
      </c>
      <c r="F90" s="333">
        <v>1</v>
      </c>
      <c r="G90" s="30" t="s">
        <v>193</v>
      </c>
      <c r="H90" s="30" t="s">
        <v>194</v>
      </c>
      <c r="I90" s="30" t="s">
        <v>7018</v>
      </c>
      <c r="J90" s="30" t="s">
        <v>223</v>
      </c>
      <c r="K90" s="30">
        <v>18</v>
      </c>
      <c r="L90" s="30" t="s">
        <v>7193</v>
      </c>
      <c r="M90" s="30" t="s">
        <v>6254</v>
      </c>
      <c r="N90" s="30" t="s">
        <v>7090</v>
      </c>
      <c r="O90" s="30" t="s">
        <v>7091</v>
      </c>
      <c r="P90" s="30" t="s">
        <v>7168</v>
      </c>
      <c r="Q90" s="30">
        <v>1855351</v>
      </c>
      <c r="R90" s="30">
        <v>12859847</v>
      </c>
      <c r="S90" s="30"/>
      <c r="T90" s="30">
        <v>1804</v>
      </c>
      <c r="U90" s="30" t="s">
        <v>779</v>
      </c>
      <c r="V90" s="30" t="s">
        <v>194</v>
      </c>
      <c r="W90" s="30">
        <v>1</v>
      </c>
      <c r="X90" s="30"/>
      <c r="Y90" s="30" t="s">
        <v>7169</v>
      </c>
      <c r="Z90" s="30"/>
      <c r="AA90" s="30"/>
      <c r="AB90" s="30"/>
      <c r="AC90" s="30"/>
      <c r="AD90" s="30"/>
      <c r="AE90" s="30"/>
      <c r="AF90" s="30" t="s">
        <v>4714</v>
      </c>
      <c r="AG90" s="30" t="s">
        <v>7166</v>
      </c>
      <c r="AH90" s="30"/>
      <c r="AI90" s="30" t="s">
        <v>6955</v>
      </c>
      <c r="AJ90" s="363" t="str">
        <f t="shared" si="1"/>
        <v>524902</v>
      </c>
    </row>
    <row r="91" spans="1:36" x14ac:dyDescent="0.25">
      <c r="A91" s="35" t="s">
        <v>2404</v>
      </c>
      <c r="B91" s="30" t="s">
        <v>5509</v>
      </c>
      <c r="C91" s="30" t="s">
        <v>617</v>
      </c>
      <c r="D91" s="30" t="s">
        <v>7088</v>
      </c>
      <c r="E91" s="30" t="s">
        <v>233</v>
      </c>
      <c r="F91" s="333">
        <v>1</v>
      </c>
      <c r="G91" s="30" t="s">
        <v>193</v>
      </c>
      <c r="H91" s="30" t="s">
        <v>194</v>
      </c>
      <c r="I91" s="30" t="s">
        <v>7018</v>
      </c>
      <c r="J91" s="30" t="s">
        <v>7194</v>
      </c>
      <c r="K91" s="30">
        <v>18</v>
      </c>
      <c r="L91" s="30" t="s">
        <v>7195</v>
      </c>
      <c r="M91" s="30" t="s">
        <v>6254</v>
      </c>
      <c r="N91" s="30" t="s">
        <v>7090</v>
      </c>
      <c r="O91" s="30" t="s">
        <v>7091</v>
      </c>
      <c r="P91" s="30" t="s">
        <v>7049</v>
      </c>
      <c r="Q91" s="30">
        <v>1855795</v>
      </c>
      <c r="R91" s="30">
        <v>13267811</v>
      </c>
      <c r="S91" s="245"/>
      <c r="T91" s="30" t="s">
        <v>7196</v>
      </c>
      <c r="U91" s="30" t="s">
        <v>618</v>
      </c>
      <c r="V91" s="30" t="s">
        <v>194</v>
      </c>
      <c r="W91" s="30">
        <v>15</v>
      </c>
      <c r="X91" s="30" t="s">
        <v>7197</v>
      </c>
      <c r="Y91" s="30" t="s">
        <v>5511</v>
      </c>
      <c r="Z91" s="30"/>
      <c r="AA91" s="30"/>
      <c r="AB91" s="30"/>
      <c r="AC91" s="30"/>
      <c r="AD91" s="30"/>
      <c r="AE91" s="30"/>
      <c r="AF91" s="30" t="s">
        <v>4714</v>
      </c>
      <c r="AG91" s="30" t="s">
        <v>5509</v>
      </c>
      <c r="AH91" s="30"/>
      <c r="AI91" s="30" t="s">
        <v>6955</v>
      </c>
      <c r="AJ91" s="363" t="str">
        <f t="shared" si="1"/>
        <v>332104</v>
      </c>
    </row>
    <row r="92" spans="1:36" x14ac:dyDescent="0.25">
      <c r="A92" s="35" t="s">
        <v>2404</v>
      </c>
      <c r="B92" s="30" t="s">
        <v>5509</v>
      </c>
      <c r="C92" s="30" t="s">
        <v>617</v>
      </c>
      <c r="D92" s="30" t="s">
        <v>7088</v>
      </c>
      <c r="E92" s="30" t="s">
        <v>233</v>
      </c>
      <c r="F92" s="333">
        <v>1</v>
      </c>
      <c r="G92" s="30" t="s">
        <v>193</v>
      </c>
      <c r="H92" s="30" t="s">
        <v>194</v>
      </c>
      <c r="I92" s="30" t="s">
        <v>7018</v>
      </c>
      <c r="J92" s="30" t="s">
        <v>7198</v>
      </c>
      <c r="K92" s="30">
        <v>18</v>
      </c>
      <c r="L92" s="30" t="s">
        <v>7199</v>
      </c>
      <c r="M92" s="30" t="s">
        <v>6254</v>
      </c>
      <c r="N92" s="30" t="s">
        <v>7090</v>
      </c>
      <c r="O92" s="30" t="s">
        <v>7091</v>
      </c>
      <c r="P92" s="30" t="s">
        <v>7049</v>
      </c>
      <c r="Q92" s="30">
        <v>1855811</v>
      </c>
      <c r="R92" s="30">
        <v>13267827</v>
      </c>
      <c r="S92" s="245"/>
      <c r="T92" s="30" t="s">
        <v>7200</v>
      </c>
      <c r="U92" s="30" t="s">
        <v>618</v>
      </c>
      <c r="V92" s="30" t="s">
        <v>194</v>
      </c>
      <c r="W92" s="30">
        <v>9</v>
      </c>
      <c r="X92" s="30" t="s">
        <v>7197</v>
      </c>
      <c r="Y92" s="30" t="s">
        <v>5511</v>
      </c>
      <c r="Z92" s="30"/>
      <c r="AA92" s="30"/>
      <c r="AB92" s="30"/>
      <c r="AC92" s="30"/>
      <c r="AD92" s="30"/>
      <c r="AE92" s="30"/>
      <c r="AF92" s="30" t="s">
        <v>4714</v>
      </c>
      <c r="AG92" s="30" t="s">
        <v>5509</v>
      </c>
      <c r="AH92" s="30"/>
      <c r="AI92" s="30" t="s">
        <v>6955</v>
      </c>
      <c r="AJ92" s="363" t="str">
        <f t="shared" si="1"/>
        <v>332104</v>
      </c>
    </row>
    <row r="93" spans="1:36" x14ac:dyDescent="0.25">
      <c r="A93" s="35" t="s">
        <v>5359</v>
      </c>
      <c r="B93" s="30" t="s">
        <v>6887</v>
      </c>
      <c r="C93" s="30" t="s">
        <v>74</v>
      </c>
      <c r="D93" s="30" t="s">
        <v>7088</v>
      </c>
      <c r="E93" s="30" t="s">
        <v>233</v>
      </c>
      <c r="F93" s="333">
        <v>1</v>
      </c>
      <c r="G93" s="30" t="s">
        <v>193</v>
      </c>
      <c r="H93" s="30" t="s">
        <v>194</v>
      </c>
      <c r="I93" s="30" t="s">
        <v>7018</v>
      </c>
      <c r="J93" s="30" t="s">
        <v>7201</v>
      </c>
      <c r="K93" s="30">
        <v>18</v>
      </c>
      <c r="L93" s="30" t="s">
        <v>7202</v>
      </c>
      <c r="M93" s="30" t="s">
        <v>6249</v>
      </c>
      <c r="N93" s="30" t="s">
        <v>7090</v>
      </c>
      <c r="O93" s="30" t="s">
        <v>7091</v>
      </c>
      <c r="P93" s="30" t="s">
        <v>7203</v>
      </c>
      <c r="Q93" s="30">
        <v>1856053</v>
      </c>
      <c r="R93" s="30">
        <v>13490863</v>
      </c>
      <c r="S93" s="30"/>
      <c r="T93" s="30">
        <v>1820</v>
      </c>
      <c r="U93" s="30" t="s">
        <v>246</v>
      </c>
      <c r="V93" s="30" t="s">
        <v>194</v>
      </c>
      <c r="W93" s="30">
        <v>1</v>
      </c>
      <c r="X93" s="30" t="s">
        <v>7204</v>
      </c>
      <c r="Y93" s="30" t="s">
        <v>5361</v>
      </c>
      <c r="Z93" s="30"/>
      <c r="AA93" s="30"/>
      <c r="AB93" s="30"/>
      <c r="AC93" s="30"/>
      <c r="AD93" s="30"/>
      <c r="AE93" s="30"/>
      <c r="AF93" s="30" t="s">
        <v>4714</v>
      </c>
      <c r="AG93" s="30" t="s">
        <v>6887</v>
      </c>
      <c r="AH93" s="30"/>
      <c r="AI93" s="30" t="s">
        <v>6955</v>
      </c>
      <c r="AJ93" s="363" t="str">
        <f t="shared" si="1"/>
        <v>142004</v>
      </c>
    </row>
    <row r="94" spans="1:36" x14ac:dyDescent="0.25">
      <c r="A94" s="35" t="s">
        <v>5359</v>
      </c>
      <c r="B94" s="30" t="s">
        <v>1344</v>
      </c>
      <c r="C94" s="30" t="s">
        <v>740</v>
      </c>
      <c r="D94" s="30" t="s">
        <v>7088</v>
      </c>
      <c r="E94" s="30" t="s">
        <v>233</v>
      </c>
      <c r="F94" s="333">
        <v>1</v>
      </c>
      <c r="G94" s="30" t="s">
        <v>193</v>
      </c>
      <c r="H94" s="30" t="s">
        <v>194</v>
      </c>
      <c r="I94" s="30" t="s">
        <v>7018</v>
      </c>
      <c r="J94" s="30" t="s">
        <v>316</v>
      </c>
      <c r="K94" s="30">
        <v>18</v>
      </c>
      <c r="L94" s="30" t="s">
        <v>7205</v>
      </c>
      <c r="M94" s="30" t="s">
        <v>6249</v>
      </c>
      <c r="N94" s="30" t="s">
        <v>7090</v>
      </c>
      <c r="O94" s="30" t="s">
        <v>7091</v>
      </c>
      <c r="P94" s="30" t="s">
        <v>7203</v>
      </c>
      <c r="Q94" s="30">
        <v>1856054</v>
      </c>
      <c r="R94" s="30">
        <v>13490864</v>
      </c>
      <c r="S94" s="30"/>
      <c r="T94" s="30">
        <v>1818</v>
      </c>
      <c r="U94" s="30" t="s">
        <v>741</v>
      </c>
      <c r="V94" s="30" t="s">
        <v>194</v>
      </c>
      <c r="W94" s="30">
        <v>1</v>
      </c>
      <c r="X94" s="30"/>
      <c r="Y94" s="30" t="s">
        <v>6893</v>
      </c>
      <c r="Z94" s="30"/>
      <c r="AA94" s="30"/>
      <c r="AB94" s="30"/>
      <c r="AC94" s="30"/>
      <c r="AD94" s="30"/>
      <c r="AE94" s="30"/>
      <c r="AF94" s="30" t="s">
        <v>4714</v>
      </c>
      <c r="AG94" s="30" t="s">
        <v>1344</v>
      </c>
      <c r="AH94" s="30"/>
      <c r="AI94" s="30" t="s">
        <v>6955</v>
      </c>
      <c r="AJ94" s="363" t="str">
        <f t="shared" si="1"/>
        <v>522301</v>
      </c>
    </row>
    <row r="95" spans="1:36" x14ac:dyDescent="0.25">
      <c r="A95" s="35" t="s">
        <v>835</v>
      </c>
      <c r="B95" s="30" t="s">
        <v>5403</v>
      </c>
      <c r="C95" s="30" t="s">
        <v>7125</v>
      </c>
      <c r="D95" s="30" t="s">
        <v>7088</v>
      </c>
      <c r="E95" s="30" t="s">
        <v>233</v>
      </c>
      <c r="F95" s="333">
        <v>1</v>
      </c>
      <c r="G95" s="30" t="s">
        <v>193</v>
      </c>
      <c r="H95" s="30" t="s">
        <v>194</v>
      </c>
      <c r="I95" s="30" t="s">
        <v>7018</v>
      </c>
      <c r="J95" s="30" t="s">
        <v>276</v>
      </c>
      <c r="K95" s="30">
        <v>18</v>
      </c>
      <c r="L95" s="30" t="s">
        <v>7206</v>
      </c>
      <c r="M95" s="30" t="s">
        <v>6275</v>
      </c>
      <c r="N95" s="30" t="s">
        <v>7090</v>
      </c>
      <c r="O95" s="30" t="s">
        <v>7091</v>
      </c>
      <c r="P95" s="30" t="s">
        <v>7100</v>
      </c>
      <c r="Q95" s="30">
        <v>1855525</v>
      </c>
      <c r="R95" s="30">
        <v>13038851</v>
      </c>
      <c r="S95" s="30"/>
      <c r="T95" s="77">
        <v>1803</v>
      </c>
      <c r="U95" s="30" t="s">
        <v>7127</v>
      </c>
      <c r="V95" s="30" t="s">
        <v>194</v>
      </c>
      <c r="W95" s="30">
        <v>1</v>
      </c>
      <c r="X95" s="30"/>
      <c r="Y95" s="30" t="s">
        <v>5405</v>
      </c>
      <c r="Z95" s="30"/>
      <c r="AA95" s="30"/>
      <c r="AB95" s="30"/>
      <c r="AC95" s="30"/>
      <c r="AD95" s="30"/>
      <c r="AE95" s="30"/>
      <c r="AF95" s="30" t="s">
        <v>4714</v>
      </c>
      <c r="AG95" s="30" t="s">
        <v>5403</v>
      </c>
      <c r="AH95" s="30"/>
      <c r="AI95" s="30" t="s">
        <v>6955</v>
      </c>
      <c r="AJ95" s="363" t="str">
        <f t="shared" si="1"/>
        <v>932990</v>
      </c>
    </row>
    <row r="96" spans="1:36" x14ac:dyDescent="0.25">
      <c r="A96" s="35" t="s">
        <v>7207</v>
      </c>
      <c r="B96" s="30" t="s">
        <v>1396</v>
      </c>
      <c r="C96" s="30" t="s">
        <v>3202</v>
      </c>
      <c r="D96" s="30" t="s">
        <v>7088</v>
      </c>
      <c r="E96" s="30" t="s">
        <v>233</v>
      </c>
      <c r="F96" s="333">
        <v>1</v>
      </c>
      <c r="G96" s="30" t="s">
        <v>193</v>
      </c>
      <c r="H96" s="30" t="s">
        <v>194</v>
      </c>
      <c r="I96" s="30" t="s">
        <v>7018</v>
      </c>
      <c r="J96" s="30" t="s">
        <v>210</v>
      </c>
      <c r="K96" s="30">
        <v>18</v>
      </c>
      <c r="L96" s="30" t="s">
        <v>7208</v>
      </c>
      <c r="M96" s="30" t="s">
        <v>6249</v>
      </c>
      <c r="N96" s="30" t="s">
        <v>7090</v>
      </c>
      <c r="O96" s="30" t="s">
        <v>7091</v>
      </c>
      <c r="P96" s="30" t="s">
        <v>7109</v>
      </c>
      <c r="Q96" s="30">
        <v>1855559</v>
      </c>
      <c r="R96" s="30">
        <v>13064886</v>
      </c>
      <c r="S96" s="30"/>
      <c r="T96" s="77">
        <v>1863</v>
      </c>
      <c r="U96" s="30" t="s">
        <v>7209</v>
      </c>
      <c r="V96" s="30" t="s">
        <v>194</v>
      </c>
      <c r="W96" s="30">
        <v>1</v>
      </c>
      <c r="X96" s="30"/>
      <c r="Y96" s="30" t="s">
        <v>7210</v>
      </c>
      <c r="Z96" s="30"/>
      <c r="AA96" s="30"/>
      <c r="AB96" s="30"/>
      <c r="AC96" s="30"/>
      <c r="AD96" s="30"/>
      <c r="AE96" s="30"/>
      <c r="AF96" s="30" t="s">
        <v>4714</v>
      </c>
      <c r="AG96" s="30" t="s">
        <v>1396</v>
      </c>
      <c r="AH96" s="30"/>
      <c r="AI96" s="30" t="s">
        <v>6955</v>
      </c>
      <c r="AJ96" s="363" t="str">
        <f t="shared" si="1"/>
        <v>243402</v>
      </c>
    </row>
    <row r="97" spans="1:36" x14ac:dyDescent="0.25">
      <c r="A97" s="35" t="s">
        <v>7211</v>
      </c>
      <c r="B97" s="30" t="s">
        <v>632</v>
      </c>
      <c r="C97" s="30" t="s">
        <v>17</v>
      </c>
      <c r="D97" s="30" t="s">
        <v>7088</v>
      </c>
      <c r="E97" s="30" t="s">
        <v>233</v>
      </c>
      <c r="F97" s="333">
        <v>1</v>
      </c>
      <c r="G97" s="30" t="s">
        <v>193</v>
      </c>
      <c r="H97" s="30" t="s">
        <v>194</v>
      </c>
      <c r="I97" s="30" t="s">
        <v>6980</v>
      </c>
      <c r="J97" s="30" t="s">
        <v>196</v>
      </c>
      <c r="K97" s="30">
        <v>18</v>
      </c>
      <c r="L97" s="30" t="s">
        <v>7212</v>
      </c>
      <c r="M97" s="30" t="s">
        <v>6249</v>
      </c>
      <c r="N97" s="30" t="s">
        <v>7094</v>
      </c>
      <c r="O97" s="30" t="s">
        <v>7213</v>
      </c>
      <c r="P97" s="30" t="s">
        <v>7088</v>
      </c>
      <c r="Q97" s="30">
        <v>1855042</v>
      </c>
      <c r="R97" s="30">
        <v>12832831</v>
      </c>
      <c r="S97" s="245"/>
      <c r="T97" s="30" t="s">
        <v>7214</v>
      </c>
      <c r="U97" s="30" t="s">
        <v>624</v>
      </c>
      <c r="V97" s="30" t="s">
        <v>194</v>
      </c>
      <c r="W97" s="30">
        <v>3</v>
      </c>
      <c r="X97" s="30"/>
      <c r="Y97" s="30" t="s">
        <v>7215</v>
      </c>
      <c r="Z97" s="30"/>
      <c r="AA97" s="30"/>
      <c r="AB97" s="30"/>
      <c r="AC97" s="30"/>
      <c r="AD97" s="30"/>
      <c r="AE97" s="30"/>
      <c r="AF97" s="30" t="s">
        <v>4714</v>
      </c>
      <c r="AG97" s="30" t="s">
        <v>632</v>
      </c>
      <c r="AH97" s="30"/>
      <c r="AI97" s="30" t="s">
        <v>6955</v>
      </c>
      <c r="AJ97" s="363" t="str">
        <f t="shared" si="1"/>
        <v>332203</v>
      </c>
    </row>
    <row r="98" spans="1:36" x14ac:dyDescent="0.25">
      <c r="A98" s="35" t="s">
        <v>2259</v>
      </c>
      <c r="B98" s="30" t="s">
        <v>7216</v>
      </c>
      <c r="C98" s="30" t="s">
        <v>3202</v>
      </c>
      <c r="D98" s="30" t="s">
        <v>7088</v>
      </c>
      <c r="E98" s="30" t="s">
        <v>233</v>
      </c>
      <c r="F98" s="333">
        <v>1</v>
      </c>
      <c r="G98" s="30" t="s">
        <v>193</v>
      </c>
      <c r="H98" s="30" t="s">
        <v>194</v>
      </c>
      <c r="I98" s="30" t="s">
        <v>7018</v>
      </c>
      <c r="J98" s="30" t="s">
        <v>210</v>
      </c>
      <c r="K98" s="30">
        <v>18</v>
      </c>
      <c r="L98" s="30" t="s">
        <v>7217</v>
      </c>
      <c r="M98" s="30" t="s">
        <v>6249</v>
      </c>
      <c r="N98" s="30" t="s">
        <v>7090</v>
      </c>
      <c r="O98" s="30" t="s">
        <v>7091</v>
      </c>
      <c r="P98" s="30" t="s">
        <v>7049</v>
      </c>
      <c r="Q98" s="30">
        <v>1855756</v>
      </c>
      <c r="R98" s="30">
        <v>13267759</v>
      </c>
      <c r="S98" s="30"/>
      <c r="T98" s="77">
        <v>1863</v>
      </c>
      <c r="U98" s="30" t="s">
        <v>7209</v>
      </c>
      <c r="V98" s="30" t="s">
        <v>194</v>
      </c>
      <c r="W98" s="30">
        <v>1</v>
      </c>
      <c r="X98" s="30" t="s">
        <v>7218</v>
      </c>
      <c r="Y98" s="30" t="s">
        <v>7219</v>
      </c>
      <c r="Z98" s="30"/>
      <c r="AA98" s="30"/>
      <c r="AB98" s="30"/>
      <c r="AC98" s="30"/>
      <c r="AD98" s="30"/>
      <c r="AE98" s="30"/>
      <c r="AF98" s="30" t="s">
        <v>4714</v>
      </c>
      <c r="AG98" s="30" t="s">
        <v>7216</v>
      </c>
      <c r="AH98" s="30"/>
      <c r="AI98" s="30" t="s">
        <v>6955</v>
      </c>
      <c r="AJ98" s="363" t="str">
        <f t="shared" si="1"/>
        <v>243402</v>
      </c>
    </row>
    <row r="99" spans="1:36" x14ac:dyDescent="0.25">
      <c r="A99" s="35" t="s">
        <v>581</v>
      </c>
      <c r="B99" s="30" t="s">
        <v>7220</v>
      </c>
      <c r="C99" s="30" t="s">
        <v>7221</v>
      </c>
      <c r="D99" s="30" t="s">
        <v>7088</v>
      </c>
      <c r="E99" s="30" t="s">
        <v>217</v>
      </c>
      <c r="F99" s="333">
        <v>1</v>
      </c>
      <c r="G99" s="30" t="s">
        <v>193</v>
      </c>
      <c r="H99" s="30" t="s">
        <v>194</v>
      </c>
      <c r="I99" s="30" t="s">
        <v>7018</v>
      </c>
      <c r="J99" s="30" t="s">
        <v>210</v>
      </c>
      <c r="K99" s="30">
        <v>18</v>
      </c>
      <c r="L99" s="30" t="s">
        <v>7222</v>
      </c>
      <c r="M99" s="30" t="s">
        <v>6277</v>
      </c>
      <c r="N99" s="30" t="s">
        <v>7148</v>
      </c>
      <c r="O99" s="30" t="s">
        <v>7056</v>
      </c>
      <c r="P99" s="30" t="s">
        <v>7223</v>
      </c>
      <c r="Q99" s="30">
        <v>1856546</v>
      </c>
      <c r="R99" s="30">
        <v>13689158</v>
      </c>
      <c r="S99" s="30"/>
      <c r="T99" s="77">
        <v>1863</v>
      </c>
      <c r="U99" s="30" t="s">
        <v>7224</v>
      </c>
      <c r="V99" s="30" t="s">
        <v>194</v>
      </c>
      <c r="W99" s="30">
        <v>1</v>
      </c>
      <c r="X99" s="30" t="s">
        <v>7225</v>
      </c>
      <c r="Y99" s="30" t="s">
        <v>4903</v>
      </c>
      <c r="Z99" s="30"/>
      <c r="AA99" s="30"/>
      <c r="AB99" s="30"/>
      <c r="AC99" s="30"/>
      <c r="AD99" s="30"/>
      <c r="AE99" s="30" t="s">
        <v>4904</v>
      </c>
      <c r="AF99" s="30" t="s">
        <v>4714</v>
      </c>
      <c r="AG99" s="30"/>
      <c r="AH99" s="30"/>
      <c r="AI99" s="30" t="s">
        <v>6955</v>
      </c>
      <c r="AJ99" s="363" t="str">
        <f t="shared" si="1"/>
        <v>134903</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226"/>
  <sheetViews>
    <sheetView zoomScale="80" zoomScaleNormal="80" workbookViewId="0"/>
  </sheetViews>
  <sheetFormatPr defaultRowHeight="15" x14ac:dyDescent="0.25"/>
  <cols>
    <col min="6" max="6" width="9.140625" style="28"/>
    <col min="20" max="20" width="9.140625" style="375"/>
    <col min="24" max="24" width="13.7109375" customWidth="1"/>
    <col min="36" max="36" width="18.85546875" style="365" customWidth="1"/>
    <col min="37" max="37" width="4.5703125" customWidth="1"/>
    <col min="38" max="38" width="21.5703125" customWidth="1"/>
    <col min="39" max="39" width="13.5703125" customWidth="1"/>
  </cols>
  <sheetData>
    <row r="1" spans="1:39" s="28" customFormat="1" x14ac:dyDescent="0.25">
      <c r="A1" s="27">
        <v>1</v>
      </c>
      <c r="B1" s="27">
        <v>2</v>
      </c>
      <c r="C1" s="27">
        <v>3</v>
      </c>
      <c r="D1" s="27">
        <v>4</v>
      </c>
      <c r="E1" s="27">
        <v>5</v>
      </c>
      <c r="F1" s="27">
        <v>6</v>
      </c>
      <c r="G1" s="27">
        <v>7</v>
      </c>
      <c r="H1" s="27">
        <v>8</v>
      </c>
      <c r="I1" s="27">
        <v>9</v>
      </c>
      <c r="J1" s="27">
        <v>10</v>
      </c>
      <c r="K1" s="27">
        <v>11</v>
      </c>
      <c r="L1" s="27">
        <v>12</v>
      </c>
      <c r="M1" s="27">
        <v>13</v>
      </c>
      <c r="N1" s="27">
        <v>14</v>
      </c>
      <c r="O1" s="27">
        <v>15</v>
      </c>
      <c r="P1" s="27">
        <v>16</v>
      </c>
      <c r="Q1" s="27">
        <v>17</v>
      </c>
      <c r="R1" s="27">
        <v>18</v>
      </c>
      <c r="S1" s="27">
        <v>19</v>
      </c>
      <c r="T1" s="373">
        <v>20</v>
      </c>
      <c r="U1" s="27">
        <v>21</v>
      </c>
      <c r="V1" s="27">
        <v>22</v>
      </c>
      <c r="W1" s="27">
        <v>23</v>
      </c>
      <c r="X1" s="27">
        <v>24</v>
      </c>
      <c r="Y1" s="27">
        <v>25</v>
      </c>
      <c r="Z1" s="27">
        <v>26</v>
      </c>
      <c r="AA1" s="27">
        <v>27</v>
      </c>
      <c r="AB1" s="27">
        <v>28</v>
      </c>
      <c r="AC1" s="27">
        <v>29</v>
      </c>
      <c r="AD1" s="27">
        <v>30</v>
      </c>
      <c r="AE1" s="27">
        <v>31</v>
      </c>
      <c r="AF1" s="27">
        <v>32</v>
      </c>
      <c r="AG1" s="27">
        <v>33</v>
      </c>
      <c r="AH1" s="27">
        <v>34</v>
      </c>
      <c r="AI1" s="27">
        <v>35</v>
      </c>
      <c r="AJ1" s="366">
        <v>36</v>
      </c>
    </row>
    <row r="2" spans="1:39" s="25" customFormat="1" x14ac:dyDescent="0.25">
      <c r="A2" s="25" t="s">
        <v>176</v>
      </c>
      <c r="B2" s="25" t="s">
        <v>177</v>
      </c>
      <c r="C2" s="25" t="s">
        <v>178</v>
      </c>
      <c r="D2" s="25" t="s">
        <v>179</v>
      </c>
      <c r="E2" s="25" t="s">
        <v>900</v>
      </c>
      <c r="F2" s="27" t="s">
        <v>181</v>
      </c>
      <c r="G2" s="25" t="s">
        <v>182</v>
      </c>
      <c r="H2" s="25" t="s">
        <v>183</v>
      </c>
      <c r="I2" s="25" t="s">
        <v>184</v>
      </c>
      <c r="J2" s="25" t="s">
        <v>185</v>
      </c>
      <c r="K2" s="25" t="s">
        <v>4700</v>
      </c>
      <c r="L2" s="25" t="s">
        <v>6391</v>
      </c>
      <c r="M2" s="25" t="s">
        <v>6930</v>
      </c>
      <c r="N2" s="25" t="s">
        <v>6931</v>
      </c>
      <c r="O2" s="25" t="s">
        <v>4701</v>
      </c>
      <c r="P2" s="25" t="s">
        <v>6932</v>
      </c>
      <c r="Q2" s="25" t="s">
        <v>6933</v>
      </c>
      <c r="R2" s="25" t="s">
        <v>1726</v>
      </c>
      <c r="S2" s="25" t="s">
        <v>186</v>
      </c>
      <c r="T2" s="374" t="s">
        <v>4702</v>
      </c>
      <c r="U2" s="25" t="s">
        <v>187</v>
      </c>
      <c r="V2" s="25" t="s">
        <v>6934</v>
      </c>
      <c r="W2" s="25" t="s">
        <v>4703</v>
      </c>
      <c r="X2" s="25" t="s">
        <v>6935</v>
      </c>
      <c r="Y2" s="25" t="s">
        <v>4704</v>
      </c>
      <c r="Z2" s="25" t="s">
        <v>6936</v>
      </c>
      <c r="AA2" s="25" t="s">
        <v>6937</v>
      </c>
      <c r="AB2" s="25" t="s">
        <v>6938</v>
      </c>
      <c r="AC2" s="25" t="s">
        <v>6939</v>
      </c>
      <c r="AD2" s="25" t="s">
        <v>6940</v>
      </c>
      <c r="AE2" s="25" t="s">
        <v>4705</v>
      </c>
      <c r="AF2" s="25" t="s">
        <v>4706</v>
      </c>
      <c r="AG2" s="25" t="s">
        <v>6941</v>
      </c>
      <c r="AH2" s="25" t="s">
        <v>6942</v>
      </c>
      <c r="AI2" s="25" t="s">
        <v>6943</v>
      </c>
      <c r="AJ2" s="366"/>
    </row>
    <row r="3" spans="1:39" x14ac:dyDescent="0.25">
      <c r="A3" t="s">
        <v>615</v>
      </c>
      <c r="B3" t="s">
        <v>537</v>
      </c>
      <c r="C3" s="386" t="s">
        <v>778</v>
      </c>
      <c r="D3" t="s">
        <v>7255</v>
      </c>
      <c r="E3" t="s">
        <v>233</v>
      </c>
      <c r="F3" s="28">
        <v>1</v>
      </c>
      <c r="G3" t="s">
        <v>193</v>
      </c>
      <c r="H3" t="s">
        <v>194</v>
      </c>
      <c r="I3" t="s">
        <v>7256</v>
      </c>
      <c r="J3" t="s">
        <v>210</v>
      </c>
      <c r="K3" s="387" t="s">
        <v>7257</v>
      </c>
      <c r="L3" t="s">
        <v>6254</v>
      </c>
      <c r="M3" t="s">
        <v>7258</v>
      </c>
      <c r="N3" t="s">
        <v>7259</v>
      </c>
      <c r="O3" t="s">
        <v>7255</v>
      </c>
      <c r="P3">
        <v>1885863</v>
      </c>
      <c r="Q3">
        <v>15432260</v>
      </c>
      <c r="S3">
        <v>18</v>
      </c>
      <c r="T3" s="375">
        <v>1863</v>
      </c>
      <c r="U3" t="s">
        <v>779</v>
      </c>
      <c r="V3" t="s">
        <v>194</v>
      </c>
      <c r="W3">
        <v>1</v>
      </c>
      <c r="Y3" t="s">
        <v>6981</v>
      </c>
      <c r="AF3" t="s">
        <v>4714</v>
      </c>
      <c r="AG3" t="s">
        <v>537</v>
      </c>
      <c r="AI3" t="s">
        <v>6955</v>
      </c>
      <c r="AJ3" s="363" t="str">
        <f>MID(U3,8,6)</f>
        <v>524902</v>
      </c>
      <c r="AL3" s="187" t="s">
        <v>1071</v>
      </c>
      <c r="AM3" s="154">
        <f>COUNTIF(V3:V226,"zaznaczone")</f>
        <v>9</v>
      </c>
    </row>
    <row r="4" spans="1:39" x14ac:dyDescent="0.25">
      <c r="A4" t="s">
        <v>615</v>
      </c>
      <c r="B4" t="s">
        <v>537</v>
      </c>
      <c r="C4" s="386" t="s">
        <v>778</v>
      </c>
      <c r="D4" t="s">
        <v>7255</v>
      </c>
      <c r="E4" t="s">
        <v>233</v>
      </c>
      <c r="F4" s="28">
        <v>1</v>
      </c>
      <c r="G4" t="s">
        <v>193</v>
      </c>
      <c r="H4" t="s">
        <v>194</v>
      </c>
      <c r="I4" t="s">
        <v>7260</v>
      </c>
      <c r="J4" t="s">
        <v>316</v>
      </c>
      <c r="K4" s="387" t="s">
        <v>7261</v>
      </c>
      <c r="L4" t="s">
        <v>6254</v>
      </c>
      <c r="M4" t="s">
        <v>7258</v>
      </c>
      <c r="N4" t="s">
        <v>7259</v>
      </c>
      <c r="O4" t="s">
        <v>7255</v>
      </c>
      <c r="P4">
        <v>1885864</v>
      </c>
      <c r="Q4">
        <v>15432261</v>
      </c>
      <c r="S4">
        <v>18</v>
      </c>
      <c r="T4" s="375">
        <v>1818</v>
      </c>
      <c r="U4" t="s">
        <v>779</v>
      </c>
      <c r="V4" t="s">
        <v>194</v>
      </c>
      <c r="W4">
        <v>1</v>
      </c>
      <c r="Y4" t="s">
        <v>6981</v>
      </c>
      <c r="AF4" t="s">
        <v>4714</v>
      </c>
      <c r="AG4" t="s">
        <v>537</v>
      </c>
      <c r="AI4" t="s">
        <v>6955</v>
      </c>
      <c r="AJ4" s="363" t="str">
        <f t="shared" ref="AJ4:AJ67" si="0">MID(U4,8,6)</f>
        <v>524902</v>
      </c>
      <c r="AL4" s="187" t="s">
        <v>1070</v>
      </c>
      <c r="AM4" s="154">
        <f>COUNTIF(V3:V226,"niezaznaczone")</f>
        <v>215</v>
      </c>
    </row>
    <row r="5" spans="1:39" x14ac:dyDescent="0.25">
      <c r="A5" t="s">
        <v>615</v>
      </c>
      <c r="B5" t="s">
        <v>537</v>
      </c>
      <c r="C5" s="386" t="s">
        <v>778</v>
      </c>
      <c r="D5" t="s">
        <v>7255</v>
      </c>
      <c r="E5" t="s">
        <v>233</v>
      </c>
      <c r="F5" s="28">
        <v>1</v>
      </c>
      <c r="G5" t="s">
        <v>193</v>
      </c>
      <c r="H5" t="s">
        <v>194</v>
      </c>
      <c r="I5" t="s">
        <v>7260</v>
      </c>
      <c r="J5" t="s">
        <v>253</v>
      </c>
      <c r="K5" s="387" t="s">
        <v>7262</v>
      </c>
      <c r="L5" t="s">
        <v>6254</v>
      </c>
      <c r="M5" t="s">
        <v>7258</v>
      </c>
      <c r="N5" t="s">
        <v>7259</v>
      </c>
      <c r="O5" t="s">
        <v>7255</v>
      </c>
      <c r="P5">
        <v>1885865</v>
      </c>
      <c r="Q5">
        <v>15432262</v>
      </c>
      <c r="S5">
        <v>18</v>
      </c>
      <c r="T5" s="375">
        <v>1811</v>
      </c>
      <c r="U5" t="s">
        <v>779</v>
      </c>
      <c r="V5" t="s">
        <v>194</v>
      </c>
      <c r="W5">
        <v>1</v>
      </c>
      <c r="Y5" t="s">
        <v>6981</v>
      </c>
      <c r="AF5" t="s">
        <v>4714</v>
      </c>
      <c r="AG5" t="s">
        <v>537</v>
      </c>
      <c r="AI5" t="s">
        <v>6955</v>
      </c>
      <c r="AJ5" s="363" t="str">
        <f t="shared" si="0"/>
        <v>524902</v>
      </c>
      <c r="AL5" s="189" t="s">
        <v>1072</v>
      </c>
      <c r="AM5" s="190">
        <f>SUM(AM3:AM4)</f>
        <v>224</v>
      </c>
    </row>
    <row r="6" spans="1:39" x14ac:dyDescent="0.25">
      <c r="A6" t="s">
        <v>615</v>
      </c>
      <c r="B6" t="s">
        <v>537</v>
      </c>
      <c r="C6" s="386" t="s">
        <v>778</v>
      </c>
      <c r="D6" t="s">
        <v>7255</v>
      </c>
      <c r="E6" t="s">
        <v>233</v>
      </c>
      <c r="F6" s="28">
        <v>1</v>
      </c>
      <c r="G6" t="s">
        <v>193</v>
      </c>
      <c r="H6" t="s">
        <v>194</v>
      </c>
      <c r="I6" t="s">
        <v>7260</v>
      </c>
      <c r="J6" t="s">
        <v>276</v>
      </c>
      <c r="K6" s="387" t="s">
        <v>7263</v>
      </c>
      <c r="L6" t="s">
        <v>6254</v>
      </c>
      <c r="M6" t="s">
        <v>7258</v>
      </c>
      <c r="N6" t="s">
        <v>7259</v>
      </c>
      <c r="O6" t="s">
        <v>7255</v>
      </c>
      <c r="P6">
        <v>1885866</v>
      </c>
      <c r="Q6">
        <v>15432263</v>
      </c>
      <c r="S6">
        <v>18</v>
      </c>
      <c r="T6" s="375">
        <v>1803</v>
      </c>
      <c r="U6" t="s">
        <v>779</v>
      </c>
      <c r="V6" t="s">
        <v>194</v>
      </c>
      <c r="W6">
        <v>1</v>
      </c>
      <c r="Y6" t="s">
        <v>6981</v>
      </c>
      <c r="AF6" t="s">
        <v>4714</v>
      </c>
      <c r="AG6" t="s">
        <v>537</v>
      </c>
      <c r="AI6" t="s">
        <v>6955</v>
      </c>
      <c r="AJ6" s="363" t="str">
        <f t="shared" si="0"/>
        <v>524902</v>
      </c>
      <c r="AL6" s="188" t="s">
        <v>1073</v>
      </c>
      <c r="AM6" s="154">
        <f>SUM(F3:F226)</f>
        <v>224</v>
      </c>
    </row>
    <row r="7" spans="1:39" x14ac:dyDescent="0.25">
      <c r="A7" t="s">
        <v>615</v>
      </c>
      <c r="B7" t="s">
        <v>537</v>
      </c>
      <c r="C7" s="386" t="s">
        <v>778</v>
      </c>
      <c r="D7" t="s">
        <v>7255</v>
      </c>
      <c r="E7" t="s">
        <v>233</v>
      </c>
      <c r="F7" s="28">
        <v>1</v>
      </c>
      <c r="G7" t="s">
        <v>193</v>
      </c>
      <c r="H7" t="s">
        <v>194</v>
      </c>
      <c r="I7" t="s">
        <v>7260</v>
      </c>
      <c r="J7" t="s">
        <v>4799</v>
      </c>
      <c r="K7" s="387" t="s">
        <v>7264</v>
      </c>
      <c r="L7" t="s">
        <v>6254</v>
      </c>
      <c r="M7" t="s">
        <v>7258</v>
      </c>
      <c r="N7" t="s">
        <v>7259</v>
      </c>
      <c r="O7" t="s">
        <v>7255</v>
      </c>
      <c r="P7">
        <v>1885867</v>
      </c>
      <c r="Q7">
        <v>15432264</v>
      </c>
      <c r="S7">
        <v>18</v>
      </c>
      <c r="T7" s="375">
        <v>1811</v>
      </c>
      <c r="U7" t="s">
        <v>779</v>
      </c>
      <c r="V7" t="s">
        <v>194</v>
      </c>
      <c r="W7">
        <v>1</v>
      </c>
      <c r="Y7" t="s">
        <v>6981</v>
      </c>
      <c r="AF7" t="s">
        <v>4714</v>
      </c>
      <c r="AG7" t="s">
        <v>537</v>
      </c>
      <c r="AI7" t="s">
        <v>6955</v>
      </c>
      <c r="AJ7" s="363" t="str">
        <f t="shared" si="0"/>
        <v>524902</v>
      </c>
      <c r="AL7" s="189" t="s">
        <v>4475</v>
      </c>
      <c r="AM7" s="190">
        <f>ROWS(P3:P226)</f>
        <v>224</v>
      </c>
    </row>
    <row r="8" spans="1:39" x14ac:dyDescent="0.25">
      <c r="A8" t="s">
        <v>615</v>
      </c>
      <c r="B8" t="s">
        <v>537</v>
      </c>
      <c r="C8" s="386" t="s">
        <v>778</v>
      </c>
      <c r="D8" t="s">
        <v>7255</v>
      </c>
      <c r="E8" t="s">
        <v>233</v>
      </c>
      <c r="F8" s="28">
        <v>1</v>
      </c>
      <c r="G8" t="s">
        <v>193</v>
      </c>
      <c r="H8" t="s">
        <v>194</v>
      </c>
      <c r="I8" t="s">
        <v>7260</v>
      </c>
      <c r="J8" t="s">
        <v>2819</v>
      </c>
      <c r="K8" s="387" t="s">
        <v>7265</v>
      </c>
      <c r="L8" t="s">
        <v>6254</v>
      </c>
      <c r="M8" t="s">
        <v>7258</v>
      </c>
      <c r="N8" t="s">
        <v>7259</v>
      </c>
      <c r="O8" t="s">
        <v>7255</v>
      </c>
      <c r="P8">
        <v>1885868</v>
      </c>
      <c r="Q8">
        <v>15432265</v>
      </c>
      <c r="S8">
        <v>18</v>
      </c>
      <c r="T8" s="375">
        <v>1803</v>
      </c>
      <c r="U8" t="s">
        <v>779</v>
      </c>
      <c r="V8" t="s">
        <v>194</v>
      </c>
      <c r="W8">
        <v>1</v>
      </c>
      <c r="Y8" t="s">
        <v>6981</v>
      </c>
      <c r="AF8" t="s">
        <v>4714</v>
      </c>
      <c r="AG8" t="s">
        <v>537</v>
      </c>
      <c r="AI8" t="s">
        <v>6955</v>
      </c>
      <c r="AJ8" s="363" t="str">
        <f t="shared" si="0"/>
        <v>524902</v>
      </c>
      <c r="AL8" s="187" t="s">
        <v>5584</v>
      </c>
      <c r="AM8" s="154" t="str">
        <f>IF(AM5=AM7,"zgadza się","Błąd")</f>
        <v>zgadza się</v>
      </c>
    </row>
    <row r="9" spans="1:39" x14ac:dyDescent="0.25">
      <c r="A9" t="s">
        <v>615</v>
      </c>
      <c r="B9" t="s">
        <v>537</v>
      </c>
      <c r="C9" s="386" t="s">
        <v>778</v>
      </c>
      <c r="D9" t="s">
        <v>7255</v>
      </c>
      <c r="E9" t="s">
        <v>233</v>
      </c>
      <c r="F9" s="28">
        <v>1</v>
      </c>
      <c r="G9" t="s">
        <v>193</v>
      </c>
      <c r="H9" t="s">
        <v>194</v>
      </c>
      <c r="I9" t="s">
        <v>7260</v>
      </c>
      <c r="J9" t="s">
        <v>6987</v>
      </c>
      <c r="K9" s="387" t="s">
        <v>7266</v>
      </c>
      <c r="L9" t="s">
        <v>6254</v>
      </c>
      <c r="M9" t="s">
        <v>7258</v>
      </c>
      <c r="N9" t="s">
        <v>7259</v>
      </c>
      <c r="O9" t="s">
        <v>7255</v>
      </c>
      <c r="P9">
        <v>1885869</v>
      </c>
      <c r="Q9">
        <v>15432266</v>
      </c>
      <c r="S9">
        <v>18</v>
      </c>
      <c r="T9" s="375">
        <v>1818</v>
      </c>
      <c r="U9" t="s">
        <v>779</v>
      </c>
      <c r="V9" t="s">
        <v>194</v>
      </c>
      <c r="W9">
        <v>1</v>
      </c>
      <c r="Y9" t="s">
        <v>6981</v>
      </c>
      <c r="AF9" t="s">
        <v>4714</v>
      </c>
      <c r="AG9" t="s">
        <v>537</v>
      </c>
      <c r="AI9" t="s">
        <v>6955</v>
      </c>
      <c r="AJ9" s="363" t="str">
        <f t="shared" si="0"/>
        <v>524902</v>
      </c>
      <c r="AL9" s="28"/>
      <c r="AM9" s="28"/>
    </row>
    <row r="10" spans="1:39" x14ac:dyDescent="0.25">
      <c r="A10" t="s">
        <v>615</v>
      </c>
      <c r="B10" t="s">
        <v>537</v>
      </c>
      <c r="C10" s="386" t="s">
        <v>778</v>
      </c>
      <c r="D10" t="s">
        <v>7255</v>
      </c>
      <c r="E10" t="s">
        <v>233</v>
      </c>
      <c r="F10" s="28">
        <v>1</v>
      </c>
      <c r="G10" t="s">
        <v>193</v>
      </c>
      <c r="H10" t="s">
        <v>194</v>
      </c>
      <c r="I10" t="s">
        <v>7260</v>
      </c>
      <c r="J10" t="s">
        <v>6989</v>
      </c>
      <c r="K10" s="387" t="s">
        <v>7267</v>
      </c>
      <c r="L10" t="s">
        <v>6254</v>
      </c>
      <c r="M10" t="s">
        <v>7258</v>
      </c>
      <c r="N10" t="s">
        <v>7259</v>
      </c>
      <c r="O10" t="s">
        <v>7255</v>
      </c>
      <c r="P10">
        <v>1885870</v>
      </c>
      <c r="Q10">
        <v>15432267</v>
      </c>
      <c r="S10">
        <v>18</v>
      </c>
      <c r="T10" s="375">
        <v>1818</v>
      </c>
      <c r="U10" t="s">
        <v>779</v>
      </c>
      <c r="V10" t="s">
        <v>194</v>
      </c>
      <c r="W10">
        <v>1</v>
      </c>
      <c r="Y10" t="s">
        <v>6981</v>
      </c>
      <c r="AF10" t="s">
        <v>4714</v>
      </c>
      <c r="AG10" t="s">
        <v>537</v>
      </c>
      <c r="AI10" t="s">
        <v>6955</v>
      </c>
      <c r="AJ10" s="363" t="str">
        <f t="shared" si="0"/>
        <v>524902</v>
      </c>
      <c r="AL10" s="369" t="s">
        <v>7226</v>
      </c>
      <c r="AM10" s="30">
        <f>SUMIF(T3:T600,1801,F3:F600)</f>
        <v>0</v>
      </c>
    </row>
    <row r="11" spans="1:39" x14ac:dyDescent="0.25">
      <c r="A11" t="s">
        <v>5287</v>
      </c>
      <c r="B11" t="s">
        <v>304</v>
      </c>
      <c r="C11" s="24" t="s">
        <v>319</v>
      </c>
      <c r="D11" t="s">
        <v>7255</v>
      </c>
      <c r="E11" t="s">
        <v>233</v>
      </c>
      <c r="F11" s="28">
        <v>1</v>
      </c>
      <c r="G11" t="s">
        <v>193</v>
      </c>
      <c r="H11" t="s">
        <v>194</v>
      </c>
      <c r="I11" t="s">
        <v>7268</v>
      </c>
      <c r="J11" t="s">
        <v>367</v>
      </c>
      <c r="K11" s="387" t="s">
        <v>7269</v>
      </c>
      <c r="L11" t="s">
        <v>6245</v>
      </c>
      <c r="M11" t="s">
        <v>7270</v>
      </c>
      <c r="N11" t="s">
        <v>7271</v>
      </c>
      <c r="O11" t="s">
        <v>7272</v>
      </c>
      <c r="P11">
        <v>1885950</v>
      </c>
      <c r="Q11">
        <v>15548108</v>
      </c>
      <c r="S11">
        <v>18</v>
      </c>
      <c r="T11" s="375">
        <v>1805</v>
      </c>
      <c r="U11" t="s">
        <v>320</v>
      </c>
      <c r="V11" t="s">
        <v>194</v>
      </c>
      <c r="W11">
        <v>1</v>
      </c>
      <c r="X11" t="s">
        <v>7273</v>
      </c>
      <c r="Y11" t="s">
        <v>7274</v>
      </c>
      <c r="AF11" t="s">
        <v>4714</v>
      </c>
      <c r="AG11" t="s">
        <v>304</v>
      </c>
      <c r="AI11" t="s">
        <v>6955</v>
      </c>
      <c r="AJ11" s="363" t="str">
        <f t="shared" si="0"/>
        <v>214407</v>
      </c>
      <c r="AL11" s="369" t="s">
        <v>7227</v>
      </c>
      <c r="AM11" s="30">
        <f>SUMIF(T3:T600,1802,F3:F600)</f>
        <v>1</v>
      </c>
    </row>
    <row r="12" spans="1:39" x14ac:dyDescent="0.25">
      <c r="A12" t="s">
        <v>5443</v>
      </c>
      <c r="B12" t="s">
        <v>7275</v>
      </c>
      <c r="C12" t="s">
        <v>21</v>
      </c>
      <c r="D12" t="s">
        <v>7255</v>
      </c>
      <c r="E12" t="s">
        <v>233</v>
      </c>
      <c r="F12" s="28">
        <v>1</v>
      </c>
      <c r="G12" t="s">
        <v>193</v>
      </c>
      <c r="H12" t="s">
        <v>194</v>
      </c>
      <c r="I12" t="s">
        <v>7276</v>
      </c>
      <c r="J12" t="s">
        <v>253</v>
      </c>
      <c r="K12" s="387" t="s">
        <v>7277</v>
      </c>
      <c r="L12" t="s">
        <v>6256</v>
      </c>
      <c r="M12" t="s">
        <v>7270</v>
      </c>
      <c r="N12" t="s">
        <v>7271</v>
      </c>
      <c r="O12" t="s">
        <v>7278</v>
      </c>
      <c r="P12">
        <v>1886026</v>
      </c>
      <c r="Q12">
        <v>15660053</v>
      </c>
      <c r="S12">
        <v>18</v>
      </c>
      <c r="T12" s="375">
        <v>1811</v>
      </c>
      <c r="U12" t="s">
        <v>293</v>
      </c>
      <c r="V12" t="s">
        <v>194</v>
      </c>
      <c r="W12">
        <v>1</v>
      </c>
      <c r="Y12" t="s">
        <v>7279</v>
      </c>
      <c r="AF12" t="s">
        <v>4714</v>
      </c>
      <c r="AG12" t="s">
        <v>7275</v>
      </c>
      <c r="AI12" t="s">
        <v>6955</v>
      </c>
      <c r="AJ12" s="363" t="str">
        <f t="shared" si="0"/>
        <v>214202</v>
      </c>
      <c r="AL12" s="369" t="s">
        <v>7228</v>
      </c>
      <c r="AM12" s="245">
        <f>SUMIF(T3:T600,1803,F3:F600)</f>
        <v>18</v>
      </c>
    </row>
    <row r="13" spans="1:39" x14ac:dyDescent="0.25">
      <c r="A13" t="s">
        <v>4975</v>
      </c>
      <c r="B13" t="s">
        <v>7280</v>
      </c>
      <c r="C13" s="385" t="s">
        <v>122</v>
      </c>
      <c r="D13" t="s">
        <v>7255</v>
      </c>
      <c r="E13" t="s">
        <v>233</v>
      </c>
      <c r="F13" s="28">
        <v>1</v>
      </c>
      <c r="G13" t="s">
        <v>193</v>
      </c>
      <c r="H13" t="s">
        <v>194</v>
      </c>
      <c r="I13" t="s">
        <v>7276</v>
      </c>
      <c r="J13" t="s">
        <v>385</v>
      </c>
      <c r="K13" s="387" t="s">
        <v>7281</v>
      </c>
      <c r="L13" t="s">
        <v>6266</v>
      </c>
      <c r="M13" t="s">
        <v>7270</v>
      </c>
      <c r="N13" t="s">
        <v>7271</v>
      </c>
      <c r="O13" t="s">
        <v>7278</v>
      </c>
      <c r="P13">
        <v>1886038</v>
      </c>
      <c r="Q13">
        <v>15660100</v>
      </c>
      <c r="S13">
        <v>18</v>
      </c>
      <c r="T13" s="375">
        <v>1861</v>
      </c>
      <c r="U13" t="s">
        <v>655</v>
      </c>
      <c r="V13" t="s">
        <v>194</v>
      </c>
      <c r="W13">
        <v>1</v>
      </c>
      <c r="Y13" t="s">
        <v>7282</v>
      </c>
      <c r="AF13" t="s">
        <v>4714</v>
      </c>
      <c r="AG13" t="s">
        <v>7280</v>
      </c>
      <c r="AI13" t="s">
        <v>6955</v>
      </c>
      <c r="AJ13" s="363" t="str">
        <f t="shared" si="0"/>
        <v>332301</v>
      </c>
      <c r="AL13" s="369" t="s">
        <v>7229</v>
      </c>
      <c r="AM13" s="245">
        <f>SUMIF(T3:T600,1804,F3:F600)</f>
        <v>1</v>
      </c>
    </row>
    <row r="14" spans="1:39" x14ac:dyDescent="0.25">
      <c r="A14" t="s">
        <v>5850</v>
      </c>
      <c r="B14" t="s">
        <v>4258</v>
      </c>
      <c r="C14" t="s">
        <v>1236</v>
      </c>
      <c r="D14" t="s">
        <v>7255</v>
      </c>
      <c r="E14" t="s">
        <v>233</v>
      </c>
      <c r="F14" s="28">
        <v>1</v>
      </c>
      <c r="G14" t="s">
        <v>193</v>
      </c>
      <c r="H14" t="s">
        <v>194</v>
      </c>
      <c r="I14" t="s">
        <v>7260</v>
      </c>
      <c r="J14" t="s">
        <v>7283</v>
      </c>
      <c r="K14" s="387" t="s">
        <v>7284</v>
      </c>
      <c r="L14" t="s">
        <v>6275</v>
      </c>
      <c r="M14" t="s">
        <v>7270</v>
      </c>
      <c r="N14" t="s">
        <v>7271</v>
      </c>
      <c r="O14" t="s">
        <v>7278</v>
      </c>
      <c r="P14">
        <v>1886116</v>
      </c>
      <c r="Q14">
        <v>15660289</v>
      </c>
      <c r="S14">
        <v>18</v>
      </c>
      <c r="T14" s="376">
        <v>1861.1806999999999</v>
      </c>
      <c r="U14" t="s">
        <v>1237</v>
      </c>
      <c r="V14" t="s">
        <v>194</v>
      </c>
      <c r="W14">
        <v>2</v>
      </c>
      <c r="Y14" t="s">
        <v>6274</v>
      </c>
      <c r="AF14" t="s">
        <v>4714</v>
      </c>
      <c r="AG14" t="s">
        <v>4258</v>
      </c>
      <c r="AI14" t="s">
        <v>6955</v>
      </c>
      <c r="AJ14" s="363" t="str">
        <f t="shared" si="0"/>
        <v>712601</v>
      </c>
      <c r="AL14" s="369" t="s">
        <v>7230</v>
      </c>
      <c r="AM14" s="30">
        <f>SUMIF(T3:T600,1805,F3:F600)</f>
        <v>7</v>
      </c>
    </row>
    <row r="15" spans="1:39" x14ac:dyDescent="0.25">
      <c r="A15" t="s">
        <v>485</v>
      </c>
      <c r="B15" t="s">
        <v>486</v>
      </c>
      <c r="C15" t="s">
        <v>10</v>
      </c>
      <c r="D15" t="s">
        <v>7255</v>
      </c>
      <c r="E15" t="s">
        <v>233</v>
      </c>
      <c r="F15" s="28">
        <v>1</v>
      </c>
      <c r="G15" t="s">
        <v>193</v>
      </c>
      <c r="H15" t="s">
        <v>194</v>
      </c>
      <c r="I15" t="s">
        <v>7260</v>
      </c>
      <c r="J15" t="s">
        <v>385</v>
      </c>
      <c r="K15" s="387" t="s">
        <v>7285</v>
      </c>
      <c r="L15" t="s">
        <v>6261</v>
      </c>
      <c r="M15" t="s">
        <v>7270</v>
      </c>
      <c r="N15" t="s">
        <v>7271</v>
      </c>
      <c r="O15" t="s">
        <v>7278</v>
      </c>
      <c r="P15">
        <v>1886164</v>
      </c>
      <c r="Q15">
        <v>15660351</v>
      </c>
      <c r="S15">
        <v>18</v>
      </c>
      <c r="T15" s="375">
        <v>1861</v>
      </c>
      <c r="U15" t="s">
        <v>484</v>
      </c>
      <c r="V15" t="s">
        <v>194</v>
      </c>
      <c r="W15">
        <v>1</v>
      </c>
      <c r="Y15" t="s">
        <v>7286</v>
      </c>
      <c r="AF15" t="s">
        <v>4714</v>
      </c>
      <c r="AG15" t="s">
        <v>486</v>
      </c>
      <c r="AI15" t="s">
        <v>6955</v>
      </c>
      <c r="AJ15" s="363" t="str">
        <f t="shared" si="0"/>
        <v>251401</v>
      </c>
      <c r="AL15" s="369" t="s">
        <v>7231</v>
      </c>
      <c r="AM15" s="30">
        <f>SUMIF(T3:T600,1806,F3:F600)</f>
        <v>2</v>
      </c>
    </row>
    <row r="16" spans="1:39" x14ac:dyDescent="0.25">
      <c r="A16" t="s">
        <v>4631</v>
      </c>
      <c r="B16" t="s">
        <v>632</v>
      </c>
      <c r="C16" s="385" t="s">
        <v>17</v>
      </c>
      <c r="D16" t="s">
        <v>7255</v>
      </c>
      <c r="E16" t="s">
        <v>233</v>
      </c>
      <c r="F16" s="28">
        <v>1</v>
      </c>
      <c r="G16" t="s">
        <v>193</v>
      </c>
      <c r="H16" t="s">
        <v>194</v>
      </c>
      <c r="I16" t="s">
        <v>7260</v>
      </c>
      <c r="J16" t="s">
        <v>210</v>
      </c>
      <c r="K16" s="387" t="s">
        <v>7287</v>
      </c>
      <c r="L16" t="s">
        <v>6249</v>
      </c>
      <c r="M16" t="s">
        <v>7288</v>
      </c>
      <c r="N16" t="s">
        <v>7289</v>
      </c>
      <c r="O16" t="s">
        <v>7276</v>
      </c>
      <c r="P16">
        <v>1886242</v>
      </c>
      <c r="Q16">
        <v>15873908</v>
      </c>
      <c r="S16">
        <v>18</v>
      </c>
      <c r="T16" s="375">
        <v>1863</v>
      </c>
      <c r="U16" t="s">
        <v>624</v>
      </c>
      <c r="V16" t="s">
        <v>194</v>
      </c>
      <c r="W16">
        <v>1</v>
      </c>
      <c r="Y16" t="s">
        <v>7290</v>
      </c>
      <c r="AF16" t="s">
        <v>4714</v>
      </c>
      <c r="AG16" t="s">
        <v>17</v>
      </c>
      <c r="AI16" t="s">
        <v>6955</v>
      </c>
      <c r="AJ16" s="363" t="str">
        <f t="shared" si="0"/>
        <v>332203</v>
      </c>
      <c r="AL16" s="369" t="s">
        <v>7232</v>
      </c>
      <c r="AM16" s="30">
        <f>SUMIF(T3:T600,1807,F3:F600)</f>
        <v>0</v>
      </c>
    </row>
    <row r="17" spans="1:39" x14ac:dyDescent="0.25">
      <c r="A17" t="s">
        <v>258</v>
      </c>
      <c r="B17" t="s">
        <v>537</v>
      </c>
      <c r="C17" s="386" t="s">
        <v>778</v>
      </c>
      <c r="D17" t="s">
        <v>7255</v>
      </c>
      <c r="E17" t="s">
        <v>233</v>
      </c>
      <c r="F17" s="28">
        <v>1</v>
      </c>
      <c r="G17" t="s">
        <v>193</v>
      </c>
      <c r="H17" t="s">
        <v>194</v>
      </c>
      <c r="I17" t="s">
        <v>7260</v>
      </c>
      <c r="J17" t="s">
        <v>316</v>
      </c>
      <c r="K17" s="387" t="s">
        <v>7291</v>
      </c>
      <c r="L17" t="s">
        <v>6249</v>
      </c>
      <c r="M17" t="s">
        <v>7288</v>
      </c>
      <c r="N17" t="s">
        <v>7292</v>
      </c>
      <c r="O17" t="s">
        <v>7276</v>
      </c>
      <c r="P17">
        <v>1886293</v>
      </c>
      <c r="Q17">
        <v>15935984</v>
      </c>
      <c r="S17">
        <v>18</v>
      </c>
      <c r="T17" s="375">
        <v>1818</v>
      </c>
      <c r="U17" t="s">
        <v>779</v>
      </c>
      <c r="V17" t="s">
        <v>194</v>
      </c>
      <c r="W17">
        <v>1</v>
      </c>
      <c r="Y17" t="s">
        <v>7009</v>
      </c>
      <c r="AF17" t="s">
        <v>4714</v>
      </c>
      <c r="AG17" t="s">
        <v>778</v>
      </c>
      <c r="AI17" t="s">
        <v>6955</v>
      </c>
      <c r="AJ17" s="363" t="str">
        <f t="shared" si="0"/>
        <v>524902</v>
      </c>
      <c r="AL17" s="369" t="s">
        <v>7233</v>
      </c>
      <c r="AM17" s="30">
        <f>SUMIF(T3:T600,1821,F3:F600)</f>
        <v>2</v>
      </c>
    </row>
    <row r="18" spans="1:39" x14ac:dyDescent="0.25">
      <c r="A18" t="s">
        <v>5287</v>
      </c>
      <c r="B18" t="s">
        <v>7293</v>
      </c>
      <c r="C18" t="s">
        <v>85</v>
      </c>
      <c r="D18" t="s">
        <v>7255</v>
      </c>
      <c r="E18" t="s">
        <v>233</v>
      </c>
      <c r="F18" s="28">
        <v>1</v>
      </c>
      <c r="G18" t="s">
        <v>193</v>
      </c>
      <c r="H18" t="s">
        <v>194</v>
      </c>
      <c r="I18" t="s">
        <v>7268</v>
      </c>
      <c r="J18" t="s">
        <v>367</v>
      </c>
      <c r="K18" s="387" t="s">
        <v>7294</v>
      </c>
      <c r="L18" t="s">
        <v>6249</v>
      </c>
      <c r="M18" t="s">
        <v>7270</v>
      </c>
      <c r="N18" t="s">
        <v>7271</v>
      </c>
      <c r="O18" t="s">
        <v>7295</v>
      </c>
      <c r="P18">
        <v>1886506</v>
      </c>
      <c r="Q18">
        <v>16144530</v>
      </c>
      <c r="S18">
        <v>18</v>
      </c>
      <c r="T18" s="375">
        <v>1805</v>
      </c>
      <c r="U18" t="s">
        <v>477</v>
      </c>
      <c r="V18" t="s">
        <v>194</v>
      </c>
      <c r="W18">
        <v>1</v>
      </c>
      <c r="X18" t="s">
        <v>7296</v>
      </c>
      <c r="Y18" t="s">
        <v>7297</v>
      </c>
      <c r="AF18" t="s">
        <v>4714</v>
      </c>
      <c r="AG18" t="s">
        <v>7293</v>
      </c>
      <c r="AI18" t="s">
        <v>6955</v>
      </c>
      <c r="AJ18" s="363" t="str">
        <f t="shared" si="0"/>
        <v>243305</v>
      </c>
      <c r="AL18" s="369" t="s">
        <v>7234</v>
      </c>
      <c r="AM18" s="30">
        <f>SUMIF(T3:T600,1808,F3:F600)</f>
        <v>4</v>
      </c>
    </row>
    <row r="19" spans="1:39" x14ac:dyDescent="0.25">
      <c r="A19" t="s">
        <v>5287</v>
      </c>
      <c r="B19" t="s">
        <v>7298</v>
      </c>
      <c r="C19" t="s">
        <v>525</v>
      </c>
      <c r="D19" t="s">
        <v>7255</v>
      </c>
      <c r="E19" t="s">
        <v>233</v>
      </c>
      <c r="F19" s="28">
        <v>1</v>
      </c>
      <c r="G19" t="s">
        <v>193</v>
      </c>
      <c r="H19" t="s">
        <v>194</v>
      </c>
      <c r="I19" t="s">
        <v>7268</v>
      </c>
      <c r="J19" t="s">
        <v>385</v>
      </c>
      <c r="K19" s="387" t="s">
        <v>7299</v>
      </c>
      <c r="L19" t="s">
        <v>6254</v>
      </c>
      <c r="M19" t="s">
        <v>7270</v>
      </c>
      <c r="N19" t="s">
        <v>7271</v>
      </c>
      <c r="O19" t="s">
        <v>7295</v>
      </c>
      <c r="P19">
        <v>1886517</v>
      </c>
      <c r="Q19">
        <v>16144655</v>
      </c>
      <c r="S19">
        <v>18</v>
      </c>
      <c r="T19" s="375">
        <v>1861</v>
      </c>
      <c r="U19" t="s">
        <v>526</v>
      </c>
      <c r="V19" t="s">
        <v>194</v>
      </c>
      <c r="W19">
        <v>1</v>
      </c>
      <c r="X19" t="s">
        <v>7300</v>
      </c>
      <c r="AF19" t="s">
        <v>4714</v>
      </c>
      <c r="AG19" t="s">
        <v>7298</v>
      </c>
      <c r="AI19" t="s">
        <v>6955</v>
      </c>
      <c r="AJ19" s="363" t="str">
        <f t="shared" si="0"/>
        <v>263102</v>
      </c>
      <c r="AL19" s="369" t="s">
        <v>7235</v>
      </c>
      <c r="AM19" s="30">
        <f>SUMIF(T3:T600,1809,F3:F600)</f>
        <v>1</v>
      </c>
    </row>
    <row r="20" spans="1:39" x14ac:dyDescent="0.25">
      <c r="A20" t="s">
        <v>7301</v>
      </c>
      <c r="B20" t="s">
        <v>7302</v>
      </c>
      <c r="C20" t="s">
        <v>74</v>
      </c>
      <c r="D20" t="s">
        <v>7255</v>
      </c>
      <c r="E20" t="s">
        <v>233</v>
      </c>
      <c r="F20" s="28">
        <v>1</v>
      </c>
      <c r="G20" t="s">
        <v>193</v>
      </c>
      <c r="H20" t="s">
        <v>194</v>
      </c>
      <c r="I20" t="s">
        <v>7276</v>
      </c>
      <c r="J20" t="s">
        <v>253</v>
      </c>
      <c r="K20" s="387" t="s">
        <v>7303</v>
      </c>
      <c r="L20" t="s">
        <v>6277</v>
      </c>
      <c r="M20" t="s">
        <v>7270</v>
      </c>
      <c r="N20" t="s">
        <v>7271</v>
      </c>
      <c r="O20" t="s">
        <v>7295</v>
      </c>
      <c r="P20">
        <v>1886539</v>
      </c>
      <c r="Q20">
        <v>16144802</v>
      </c>
      <c r="S20">
        <v>18</v>
      </c>
      <c r="T20" s="375">
        <v>1811</v>
      </c>
      <c r="U20" t="s">
        <v>246</v>
      </c>
      <c r="V20" t="s">
        <v>194</v>
      </c>
      <c r="W20">
        <v>1</v>
      </c>
      <c r="Y20" t="s">
        <v>7304</v>
      </c>
      <c r="AF20" t="s">
        <v>4714</v>
      </c>
      <c r="AG20" t="s">
        <v>7302</v>
      </c>
      <c r="AI20" t="s">
        <v>6955</v>
      </c>
      <c r="AJ20" s="363" t="str">
        <f t="shared" si="0"/>
        <v>142004</v>
      </c>
      <c r="AL20" s="369" t="s">
        <v>7236</v>
      </c>
      <c r="AM20" s="30">
        <f>SUMIF(T3:T600,1810,F3:F600)</f>
        <v>5</v>
      </c>
    </row>
    <row r="21" spans="1:39" x14ac:dyDescent="0.25">
      <c r="A21" t="s">
        <v>1647</v>
      </c>
      <c r="B21" t="s">
        <v>1014</v>
      </c>
      <c r="C21" s="59" t="s">
        <v>35</v>
      </c>
      <c r="D21" t="s">
        <v>7255</v>
      </c>
      <c r="E21" t="s">
        <v>233</v>
      </c>
      <c r="F21" s="28">
        <v>1</v>
      </c>
      <c r="G21" t="s">
        <v>193</v>
      </c>
      <c r="H21" t="s">
        <v>194</v>
      </c>
      <c r="I21" t="s">
        <v>7276</v>
      </c>
      <c r="J21" t="s">
        <v>7053</v>
      </c>
      <c r="K21" s="387" t="s">
        <v>7305</v>
      </c>
      <c r="L21" t="s">
        <v>6254</v>
      </c>
      <c r="M21" t="s">
        <v>7270</v>
      </c>
      <c r="N21" t="s">
        <v>7271</v>
      </c>
      <c r="O21" t="s">
        <v>7306</v>
      </c>
      <c r="P21">
        <v>1886802</v>
      </c>
      <c r="Q21">
        <v>16296007</v>
      </c>
      <c r="S21">
        <v>18</v>
      </c>
      <c r="T21" s="376" t="s">
        <v>7307</v>
      </c>
      <c r="U21" t="s">
        <v>207</v>
      </c>
      <c r="V21" t="s">
        <v>194</v>
      </c>
      <c r="W21">
        <v>5</v>
      </c>
      <c r="Y21" t="s">
        <v>7308</v>
      </c>
      <c r="AF21" t="s">
        <v>4714</v>
      </c>
      <c r="AG21" t="s">
        <v>1014</v>
      </c>
      <c r="AI21" t="s">
        <v>6955</v>
      </c>
      <c r="AJ21" s="363" t="str">
        <f t="shared" si="0"/>
        <v>122106</v>
      </c>
      <c r="AL21" s="369" t="s">
        <v>7237</v>
      </c>
      <c r="AM21" s="245">
        <f>SUMIF(T3:T600,1811,F3:F600)</f>
        <v>13</v>
      </c>
    </row>
    <row r="22" spans="1:39" x14ac:dyDescent="0.25">
      <c r="A22" t="s">
        <v>1471</v>
      </c>
      <c r="B22" t="s">
        <v>4952</v>
      </c>
      <c r="C22" s="59" t="s">
        <v>7309</v>
      </c>
      <c r="D22" t="s">
        <v>7255</v>
      </c>
      <c r="E22" t="s">
        <v>233</v>
      </c>
      <c r="F22" s="28">
        <v>1</v>
      </c>
      <c r="G22" t="s">
        <v>193</v>
      </c>
      <c r="H22" t="s">
        <v>194</v>
      </c>
      <c r="I22" t="s">
        <v>7276</v>
      </c>
      <c r="J22" t="s">
        <v>253</v>
      </c>
      <c r="K22" s="387" t="s">
        <v>7310</v>
      </c>
      <c r="L22" t="s">
        <v>6340</v>
      </c>
      <c r="M22" t="s">
        <v>7270</v>
      </c>
      <c r="N22" t="s">
        <v>7271</v>
      </c>
      <c r="O22" t="s">
        <v>7306</v>
      </c>
      <c r="P22">
        <v>1886845</v>
      </c>
      <c r="Q22">
        <v>16296075</v>
      </c>
      <c r="S22">
        <v>18</v>
      </c>
      <c r="T22" s="375">
        <v>1811</v>
      </c>
      <c r="U22" t="s">
        <v>7311</v>
      </c>
      <c r="V22" t="s">
        <v>194</v>
      </c>
      <c r="W22">
        <v>1</v>
      </c>
      <c r="X22" t="s">
        <v>7312</v>
      </c>
      <c r="Y22" t="s">
        <v>7313</v>
      </c>
      <c r="AF22" t="s">
        <v>4714</v>
      </c>
      <c r="AG22" t="s">
        <v>4952</v>
      </c>
      <c r="AI22" t="s">
        <v>6955</v>
      </c>
      <c r="AJ22" s="363" t="str">
        <f t="shared" si="0"/>
        <v>121203</v>
      </c>
      <c r="AL22" s="369" t="s">
        <v>7238</v>
      </c>
      <c r="AM22" s="30">
        <f>SUMIF(T3:T600,1812,F3:F600)</f>
        <v>7</v>
      </c>
    </row>
    <row r="23" spans="1:39" x14ac:dyDescent="0.25">
      <c r="A23" t="s">
        <v>4975</v>
      </c>
      <c r="B23" t="s">
        <v>5089</v>
      </c>
      <c r="C23" s="385" t="s">
        <v>17</v>
      </c>
      <c r="D23" t="s">
        <v>7255</v>
      </c>
      <c r="E23" t="s">
        <v>233</v>
      </c>
      <c r="F23" s="28">
        <v>1</v>
      </c>
      <c r="G23" t="s">
        <v>193</v>
      </c>
      <c r="H23" t="s">
        <v>194</v>
      </c>
      <c r="I23" t="s">
        <v>7260</v>
      </c>
      <c r="J23" t="s">
        <v>385</v>
      </c>
      <c r="K23" s="387" t="s">
        <v>7314</v>
      </c>
      <c r="L23" t="s">
        <v>6290</v>
      </c>
      <c r="M23" t="s">
        <v>7270</v>
      </c>
      <c r="N23" t="s">
        <v>7271</v>
      </c>
      <c r="O23" t="s">
        <v>7306</v>
      </c>
      <c r="P23">
        <v>1886857</v>
      </c>
      <c r="Q23">
        <v>16296087</v>
      </c>
      <c r="S23">
        <v>18</v>
      </c>
      <c r="T23" s="375">
        <v>1861</v>
      </c>
      <c r="U23" t="s">
        <v>624</v>
      </c>
      <c r="V23" t="s">
        <v>194</v>
      </c>
      <c r="W23">
        <v>1</v>
      </c>
      <c r="Y23" t="s">
        <v>5091</v>
      </c>
      <c r="AF23" t="s">
        <v>4714</v>
      </c>
      <c r="AG23" t="s">
        <v>5089</v>
      </c>
      <c r="AI23" t="s">
        <v>6955</v>
      </c>
      <c r="AJ23" s="363" t="str">
        <f t="shared" si="0"/>
        <v>332203</v>
      </c>
      <c r="AL23" s="369" t="s">
        <v>7239</v>
      </c>
      <c r="AM23" s="30">
        <f>SUMIF(T3:T600,1813,F3:F600)</f>
        <v>0</v>
      </c>
    </row>
    <row r="24" spans="1:39" x14ac:dyDescent="0.25">
      <c r="A24" t="s">
        <v>4975</v>
      </c>
      <c r="B24" t="s">
        <v>7315</v>
      </c>
      <c r="C24" s="385" t="s">
        <v>36</v>
      </c>
      <c r="D24" t="s">
        <v>7255</v>
      </c>
      <c r="E24" t="s">
        <v>233</v>
      </c>
      <c r="F24" s="28">
        <v>1</v>
      </c>
      <c r="G24" t="s">
        <v>193</v>
      </c>
      <c r="H24" t="s">
        <v>194</v>
      </c>
      <c r="I24" t="s">
        <v>7268</v>
      </c>
      <c r="J24" t="s">
        <v>385</v>
      </c>
      <c r="K24" s="387" t="s">
        <v>7316</v>
      </c>
      <c r="L24" t="s">
        <v>6254</v>
      </c>
      <c r="M24" t="s">
        <v>7270</v>
      </c>
      <c r="N24" t="s">
        <v>7271</v>
      </c>
      <c r="O24" t="s">
        <v>7306</v>
      </c>
      <c r="P24">
        <v>1886858</v>
      </c>
      <c r="Q24">
        <v>16296088</v>
      </c>
      <c r="S24">
        <v>18</v>
      </c>
      <c r="T24" s="375">
        <v>1861</v>
      </c>
      <c r="U24" t="s">
        <v>609</v>
      </c>
      <c r="V24" t="s">
        <v>194</v>
      </c>
      <c r="W24">
        <v>1</v>
      </c>
      <c r="Y24" t="s">
        <v>7317</v>
      </c>
      <c r="AF24" t="s">
        <v>4714</v>
      </c>
      <c r="AG24" t="s">
        <v>7315</v>
      </c>
      <c r="AI24" t="s">
        <v>6955</v>
      </c>
      <c r="AJ24" s="363" t="str">
        <f t="shared" si="0"/>
        <v>331301</v>
      </c>
      <c r="AL24" s="369" t="s">
        <v>7240</v>
      </c>
      <c r="AM24" s="30">
        <f>SUMIF(T3:T600,1814,F3:F600)</f>
        <v>4</v>
      </c>
    </row>
    <row r="25" spans="1:39" x14ac:dyDescent="0.25">
      <c r="A25" t="s">
        <v>4975</v>
      </c>
      <c r="B25" t="s">
        <v>901</v>
      </c>
      <c r="C25" s="386" t="s">
        <v>51</v>
      </c>
      <c r="D25" t="s">
        <v>7255</v>
      </c>
      <c r="E25" t="s">
        <v>233</v>
      </c>
      <c r="F25" s="28">
        <v>1</v>
      </c>
      <c r="G25" t="s">
        <v>193</v>
      </c>
      <c r="H25" t="s">
        <v>194</v>
      </c>
      <c r="I25" t="s">
        <v>7260</v>
      </c>
      <c r="J25" t="s">
        <v>385</v>
      </c>
      <c r="K25" s="387" t="s">
        <v>7318</v>
      </c>
      <c r="L25" t="s">
        <v>6275</v>
      </c>
      <c r="M25" t="s">
        <v>7270</v>
      </c>
      <c r="N25" t="s">
        <v>7271</v>
      </c>
      <c r="O25" t="s">
        <v>7306</v>
      </c>
      <c r="P25">
        <v>1886859</v>
      </c>
      <c r="Q25">
        <v>16296089</v>
      </c>
      <c r="S25">
        <v>18</v>
      </c>
      <c r="T25" s="375">
        <v>1861</v>
      </c>
      <c r="U25" t="s">
        <v>904</v>
      </c>
      <c r="V25" t="s">
        <v>194</v>
      </c>
      <c r="W25">
        <v>1</v>
      </c>
      <c r="Y25" t="s">
        <v>6354</v>
      </c>
      <c r="AF25" t="s">
        <v>4714</v>
      </c>
      <c r="AG25" t="s">
        <v>901</v>
      </c>
      <c r="AI25" t="s">
        <v>6955</v>
      </c>
      <c r="AJ25" s="363" t="str">
        <f t="shared" si="0"/>
        <v>523002</v>
      </c>
      <c r="AL25" s="369" t="s">
        <v>7241</v>
      </c>
      <c r="AM25" s="30">
        <f>SUMIF(T3:T600,1815,F3:F600)</f>
        <v>4</v>
      </c>
    </row>
    <row r="26" spans="1:39" x14ac:dyDescent="0.25">
      <c r="A26" t="s">
        <v>2259</v>
      </c>
      <c r="B26" t="s">
        <v>7319</v>
      </c>
      <c r="C26" t="s">
        <v>10</v>
      </c>
      <c r="D26" t="s">
        <v>7255</v>
      </c>
      <c r="E26" t="s">
        <v>233</v>
      </c>
      <c r="F26" s="28">
        <v>1</v>
      </c>
      <c r="G26" t="s">
        <v>193</v>
      </c>
      <c r="H26" t="s">
        <v>194</v>
      </c>
      <c r="I26" t="s">
        <v>7268</v>
      </c>
      <c r="J26" t="s">
        <v>210</v>
      </c>
      <c r="K26" s="387" t="s">
        <v>7320</v>
      </c>
      <c r="L26" t="s">
        <v>6261</v>
      </c>
      <c r="M26" t="s">
        <v>7270</v>
      </c>
      <c r="N26" t="s">
        <v>7271</v>
      </c>
      <c r="O26" t="s">
        <v>7306</v>
      </c>
      <c r="P26">
        <v>1886893</v>
      </c>
      <c r="Q26">
        <v>16296126</v>
      </c>
      <c r="S26">
        <v>18</v>
      </c>
      <c r="T26" s="375">
        <v>1863</v>
      </c>
      <c r="U26" t="s">
        <v>484</v>
      </c>
      <c r="V26" t="s">
        <v>194</v>
      </c>
      <c r="W26">
        <v>1</v>
      </c>
      <c r="X26" t="s">
        <v>7321</v>
      </c>
      <c r="Y26" t="s">
        <v>7322</v>
      </c>
      <c r="AF26" t="s">
        <v>4714</v>
      </c>
      <c r="AG26" t="s">
        <v>7319</v>
      </c>
      <c r="AI26" t="s">
        <v>6955</v>
      </c>
      <c r="AJ26" s="363" t="str">
        <f t="shared" si="0"/>
        <v>251401</v>
      </c>
      <c r="AL26" s="369" t="s">
        <v>7242</v>
      </c>
      <c r="AM26" s="30">
        <f>SUMIF(T3:T600,1816,F3:F600)</f>
        <v>16</v>
      </c>
    </row>
    <row r="27" spans="1:39" x14ac:dyDescent="0.25">
      <c r="A27" t="s">
        <v>7323</v>
      </c>
      <c r="B27" t="s">
        <v>7324</v>
      </c>
      <c r="C27" t="s">
        <v>7325</v>
      </c>
      <c r="D27" t="s">
        <v>7255</v>
      </c>
      <c r="E27" t="s">
        <v>233</v>
      </c>
      <c r="F27" s="28">
        <v>1</v>
      </c>
      <c r="G27" t="s">
        <v>193</v>
      </c>
      <c r="H27" t="s">
        <v>194</v>
      </c>
      <c r="I27" t="s">
        <v>7260</v>
      </c>
      <c r="J27" t="s">
        <v>210</v>
      </c>
      <c r="K27" s="387" t="s">
        <v>7326</v>
      </c>
      <c r="L27" t="s">
        <v>6288</v>
      </c>
      <c r="M27" t="s">
        <v>7270</v>
      </c>
      <c r="N27" t="s">
        <v>7271</v>
      </c>
      <c r="O27" t="s">
        <v>7306</v>
      </c>
      <c r="P27">
        <v>1886902</v>
      </c>
      <c r="Q27">
        <v>16296135</v>
      </c>
      <c r="S27">
        <v>18</v>
      </c>
      <c r="T27" s="375">
        <v>1863</v>
      </c>
      <c r="U27" t="s">
        <v>7327</v>
      </c>
      <c r="V27" t="s">
        <v>194</v>
      </c>
      <c r="W27">
        <v>1</v>
      </c>
      <c r="Y27" t="s">
        <v>7328</v>
      </c>
      <c r="AF27" t="s">
        <v>4714</v>
      </c>
      <c r="AG27" t="s">
        <v>7324</v>
      </c>
      <c r="AI27" t="s">
        <v>6955</v>
      </c>
      <c r="AJ27" s="363" t="str">
        <f t="shared" si="0"/>
        <v>226204</v>
      </c>
      <c r="AL27" s="369" t="s">
        <v>7243</v>
      </c>
      <c r="AM27" s="245">
        <f>SUMIF(T3:T600,1817,F3:F600)</f>
        <v>4</v>
      </c>
    </row>
    <row r="28" spans="1:39" x14ac:dyDescent="0.25">
      <c r="A28" t="s">
        <v>7323</v>
      </c>
      <c r="B28" t="s">
        <v>7329</v>
      </c>
      <c r="C28" t="s">
        <v>40</v>
      </c>
      <c r="D28" t="s">
        <v>7255</v>
      </c>
      <c r="E28" t="s">
        <v>233</v>
      </c>
      <c r="F28" s="28">
        <v>1</v>
      </c>
      <c r="G28" t="s">
        <v>193</v>
      </c>
      <c r="H28" t="s">
        <v>194</v>
      </c>
      <c r="I28" t="s">
        <v>7260</v>
      </c>
      <c r="J28" t="s">
        <v>210</v>
      </c>
      <c r="K28" s="387" t="s">
        <v>7330</v>
      </c>
      <c r="L28" t="s">
        <v>6288</v>
      </c>
      <c r="M28" t="s">
        <v>7270</v>
      </c>
      <c r="N28" t="s">
        <v>7271</v>
      </c>
      <c r="O28" t="s">
        <v>7306</v>
      </c>
      <c r="P28">
        <v>1886904</v>
      </c>
      <c r="Q28">
        <v>16296138</v>
      </c>
      <c r="S28">
        <v>18</v>
      </c>
      <c r="T28" s="375">
        <v>1863</v>
      </c>
      <c r="U28" t="s">
        <v>2122</v>
      </c>
      <c r="V28" t="s">
        <v>194</v>
      </c>
      <c r="W28">
        <v>1</v>
      </c>
      <c r="Y28" t="s">
        <v>7328</v>
      </c>
      <c r="AF28" t="s">
        <v>4714</v>
      </c>
      <c r="AG28" t="s">
        <v>7329</v>
      </c>
      <c r="AI28" t="s">
        <v>6955</v>
      </c>
      <c r="AJ28" s="363" t="str">
        <f t="shared" si="0"/>
        <v>226206</v>
      </c>
      <c r="AL28" s="369" t="s">
        <v>7244</v>
      </c>
      <c r="AM28" s="30">
        <f>SUMIF(T3:T600,1818,F3:F600)</f>
        <v>9</v>
      </c>
    </row>
    <row r="29" spans="1:39" x14ac:dyDescent="0.25">
      <c r="A29" t="s">
        <v>7323</v>
      </c>
      <c r="B29" t="s">
        <v>7331</v>
      </c>
      <c r="C29" t="s">
        <v>7332</v>
      </c>
      <c r="D29" t="s">
        <v>7255</v>
      </c>
      <c r="E29" t="s">
        <v>233</v>
      </c>
      <c r="F29" s="28">
        <v>1</v>
      </c>
      <c r="G29" t="s">
        <v>193</v>
      </c>
      <c r="H29" t="s">
        <v>194</v>
      </c>
      <c r="I29" t="s">
        <v>7260</v>
      </c>
      <c r="J29" t="s">
        <v>210</v>
      </c>
      <c r="K29" s="387" t="s">
        <v>7333</v>
      </c>
      <c r="L29" t="s">
        <v>6288</v>
      </c>
      <c r="M29" t="s">
        <v>7270</v>
      </c>
      <c r="N29" t="s">
        <v>7271</v>
      </c>
      <c r="O29" t="s">
        <v>7306</v>
      </c>
      <c r="P29">
        <v>1886907</v>
      </c>
      <c r="Q29">
        <v>16296141</v>
      </c>
      <c r="S29">
        <v>18</v>
      </c>
      <c r="T29" s="375">
        <v>1863</v>
      </c>
      <c r="U29" t="s">
        <v>7334</v>
      </c>
      <c r="V29" t="s">
        <v>194</v>
      </c>
      <c r="W29">
        <v>1</v>
      </c>
      <c r="Y29" t="s">
        <v>7328</v>
      </c>
      <c r="AF29" t="s">
        <v>4714</v>
      </c>
      <c r="AG29" t="s">
        <v>7331</v>
      </c>
      <c r="AI29" t="s">
        <v>6955</v>
      </c>
      <c r="AJ29" s="363" t="str">
        <f t="shared" si="0"/>
        <v>226208</v>
      </c>
      <c r="AL29" s="369" t="s">
        <v>7245</v>
      </c>
      <c r="AM29" s="30">
        <f>SUMIF(T3:T600,1819,F3:F600)</f>
        <v>0</v>
      </c>
    </row>
    <row r="30" spans="1:39" x14ac:dyDescent="0.25">
      <c r="A30" t="s">
        <v>7323</v>
      </c>
      <c r="B30" t="s">
        <v>7335</v>
      </c>
      <c r="C30" t="s">
        <v>7336</v>
      </c>
      <c r="D30" t="s">
        <v>7255</v>
      </c>
      <c r="E30" t="s">
        <v>233</v>
      </c>
      <c r="F30" s="28">
        <v>1</v>
      </c>
      <c r="G30" t="s">
        <v>193</v>
      </c>
      <c r="H30" t="s">
        <v>194</v>
      </c>
      <c r="I30" t="s">
        <v>7260</v>
      </c>
      <c r="J30" t="s">
        <v>210</v>
      </c>
      <c r="K30" s="387" t="s">
        <v>7337</v>
      </c>
      <c r="L30" t="s">
        <v>6288</v>
      </c>
      <c r="M30" t="s">
        <v>7270</v>
      </c>
      <c r="N30" t="s">
        <v>7271</v>
      </c>
      <c r="O30" t="s">
        <v>7306</v>
      </c>
      <c r="P30">
        <v>1886908</v>
      </c>
      <c r="Q30">
        <v>16296142</v>
      </c>
      <c r="S30">
        <v>18</v>
      </c>
      <c r="T30" s="375">
        <v>1863</v>
      </c>
      <c r="U30" t="s">
        <v>7338</v>
      </c>
      <c r="V30" t="s">
        <v>194</v>
      </c>
      <c r="W30">
        <v>1</v>
      </c>
      <c r="Y30" t="s">
        <v>7328</v>
      </c>
      <c r="AF30" t="s">
        <v>4714</v>
      </c>
      <c r="AG30" t="s">
        <v>7335</v>
      </c>
      <c r="AI30" t="s">
        <v>6955</v>
      </c>
      <c r="AJ30" s="363" t="str">
        <f t="shared" si="0"/>
        <v>226205</v>
      </c>
      <c r="AL30" s="369" t="s">
        <v>7246</v>
      </c>
      <c r="AM30" s="245">
        <f>SUMIF(T3:T600,1820,F3:F600)</f>
        <v>4</v>
      </c>
    </row>
    <row r="31" spans="1:39" x14ac:dyDescent="0.25">
      <c r="A31" t="s">
        <v>7323</v>
      </c>
      <c r="B31" t="s">
        <v>7339</v>
      </c>
      <c r="C31" t="s">
        <v>40</v>
      </c>
      <c r="D31" t="s">
        <v>7255</v>
      </c>
      <c r="E31" t="s">
        <v>233</v>
      </c>
      <c r="F31" s="28">
        <v>1</v>
      </c>
      <c r="G31" t="s">
        <v>193</v>
      </c>
      <c r="H31" t="s">
        <v>194</v>
      </c>
      <c r="I31" t="s">
        <v>7260</v>
      </c>
      <c r="J31" t="s">
        <v>210</v>
      </c>
      <c r="K31" s="387" t="s">
        <v>7340</v>
      </c>
      <c r="L31" t="s">
        <v>6288</v>
      </c>
      <c r="M31" t="s">
        <v>7270</v>
      </c>
      <c r="N31" t="s">
        <v>7271</v>
      </c>
      <c r="O31" t="s">
        <v>7306</v>
      </c>
      <c r="P31">
        <v>1886909</v>
      </c>
      <c r="Q31">
        <v>16296143</v>
      </c>
      <c r="S31">
        <v>18</v>
      </c>
      <c r="T31" s="375">
        <v>1863</v>
      </c>
      <c r="U31" t="s">
        <v>2122</v>
      </c>
      <c r="V31" t="s">
        <v>194</v>
      </c>
      <c r="W31">
        <v>1</v>
      </c>
      <c r="Y31" t="s">
        <v>7328</v>
      </c>
      <c r="AF31" t="s">
        <v>4714</v>
      </c>
      <c r="AG31" t="s">
        <v>7339</v>
      </c>
      <c r="AI31" t="s">
        <v>6955</v>
      </c>
      <c r="AJ31" s="363" t="str">
        <f t="shared" si="0"/>
        <v>226206</v>
      </c>
      <c r="AL31" s="369" t="s">
        <v>7247</v>
      </c>
      <c r="AM31" s="245">
        <f>SUMIF(T3:T600,1861,F3:F600)</f>
        <v>18</v>
      </c>
    </row>
    <row r="32" spans="1:39" x14ac:dyDescent="0.25">
      <c r="A32" t="s">
        <v>7323</v>
      </c>
      <c r="B32" t="s">
        <v>7341</v>
      </c>
      <c r="C32" t="s">
        <v>7342</v>
      </c>
      <c r="D32" t="s">
        <v>7255</v>
      </c>
      <c r="E32" t="s">
        <v>233</v>
      </c>
      <c r="F32" s="28">
        <v>1</v>
      </c>
      <c r="G32" t="s">
        <v>193</v>
      </c>
      <c r="H32" t="s">
        <v>194</v>
      </c>
      <c r="I32" t="s">
        <v>7260</v>
      </c>
      <c r="J32" t="s">
        <v>210</v>
      </c>
      <c r="K32" s="387" t="s">
        <v>7343</v>
      </c>
      <c r="L32" t="s">
        <v>6288</v>
      </c>
      <c r="M32" t="s">
        <v>7270</v>
      </c>
      <c r="N32" t="s">
        <v>7271</v>
      </c>
      <c r="O32" t="s">
        <v>7306</v>
      </c>
      <c r="P32">
        <v>1886910</v>
      </c>
      <c r="Q32">
        <v>16296144</v>
      </c>
      <c r="S32">
        <v>18</v>
      </c>
      <c r="T32" s="375">
        <v>1863</v>
      </c>
      <c r="U32" t="s">
        <v>7344</v>
      </c>
      <c r="V32" t="s">
        <v>194</v>
      </c>
      <c r="W32">
        <v>1</v>
      </c>
      <c r="Y32" t="s">
        <v>7328</v>
      </c>
      <c r="AF32" t="s">
        <v>4714</v>
      </c>
      <c r="AG32" t="s">
        <v>7341</v>
      </c>
      <c r="AI32" t="s">
        <v>6955</v>
      </c>
      <c r="AJ32" s="363" t="str">
        <f t="shared" si="0"/>
        <v>221254</v>
      </c>
      <c r="AL32" s="369" t="s">
        <v>7248</v>
      </c>
      <c r="AM32" s="30">
        <f>SUMIF(T3:T600,1862,F3:F600)</f>
        <v>6</v>
      </c>
    </row>
    <row r="33" spans="1:39" x14ac:dyDescent="0.25">
      <c r="A33" t="s">
        <v>7323</v>
      </c>
      <c r="B33" t="s">
        <v>7345</v>
      </c>
      <c r="C33" t="s">
        <v>7346</v>
      </c>
      <c r="D33" t="s">
        <v>7255</v>
      </c>
      <c r="E33" t="s">
        <v>233</v>
      </c>
      <c r="F33" s="28">
        <v>1</v>
      </c>
      <c r="G33" t="s">
        <v>193</v>
      </c>
      <c r="H33" t="s">
        <v>194</v>
      </c>
      <c r="I33" t="s">
        <v>7260</v>
      </c>
      <c r="J33" t="s">
        <v>210</v>
      </c>
      <c r="K33" s="387" t="s">
        <v>7347</v>
      </c>
      <c r="L33" t="s">
        <v>6288</v>
      </c>
      <c r="M33" t="s">
        <v>7270</v>
      </c>
      <c r="N33" t="s">
        <v>7271</v>
      </c>
      <c r="O33" t="s">
        <v>7306</v>
      </c>
      <c r="P33">
        <v>1886911</v>
      </c>
      <c r="Q33">
        <v>16296145</v>
      </c>
      <c r="S33">
        <v>18</v>
      </c>
      <c r="T33" s="375">
        <v>1863</v>
      </c>
      <c r="U33" t="s">
        <v>7348</v>
      </c>
      <c r="V33" t="s">
        <v>194</v>
      </c>
      <c r="W33">
        <v>1</v>
      </c>
      <c r="Y33" t="s">
        <v>7328</v>
      </c>
      <c r="AF33" t="s">
        <v>4714</v>
      </c>
      <c r="AG33" t="s">
        <v>7345</v>
      </c>
      <c r="AI33" t="s">
        <v>6955</v>
      </c>
      <c r="AJ33" s="363" t="str">
        <f t="shared" si="0"/>
        <v>226202</v>
      </c>
      <c r="AL33" s="369" t="s">
        <v>7249</v>
      </c>
      <c r="AM33" s="245">
        <f>SUMIF(T3:T600,1863,F3:F600)</f>
        <v>70</v>
      </c>
    </row>
    <row r="34" spans="1:39" x14ac:dyDescent="0.25">
      <c r="A34" t="s">
        <v>6193</v>
      </c>
      <c r="B34" t="s">
        <v>7349</v>
      </c>
      <c r="C34" t="s">
        <v>3996</v>
      </c>
      <c r="D34" t="s">
        <v>7255</v>
      </c>
      <c r="E34" t="s">
        <v>233</v>
      </c>
      <c r="F34" s="28">
        <v>1</v>
      </c>
      <c r="G34" t="s">
        <v>193</v>
      </c>
      <c r="H34" t="s">
        <v>194</v>
      </c>
      <c r="I34" t="s">
        <v>7260</v>
      </c>
      <c r="J34" t="s">
        <v>196</v>
      </c>
      <c r="K34" s="387" t="s">
        <v>7350</v>
      </c>
      <c r="L34" t="s">
        <v>6256</v>
      </c>
      <c r="M34" t="s">
        <v>7270</v>
      </c>
      <c r="N34" t="s">
        <v>7271</v>
      </c>
      <c r="O34" t="s">
        <v>7306</v>
      </c>
      <c r="P34">
        <v>1886931</v>
      </c>
      <c r="Q34">
        <v>16296166</v>
      </c>
      <c r="S34">
        <v>18</v>
      </c>
      <c r="T34" s="379"/>
      <c r="U34" t="s">
        <v>3997</v>
      </c>
      <c r="V34" t="s">
        <v>193</v>
      </c>
      <c r="W34">
        <v>25</v>
      </c>
      <c r="Y34" t="s">
        <v>7351</v>
      </c>
      <c r="AF34" t="s">
        <v>4714</v>
      </c>
      <c r="AG34" t="s">
        <v>7349</v>
      </c>
      <c r="AI34" t="s">
        <v>6955</v>
      </c>
      <c r="AJ34" s="363" t="str">
        <f t="shared" si="0"/>
        <v>711404</v>
      </c>
      <c r="AL34" s="369" t="s">
        <v>7250</v>
      </c>
      <c r="AM34" s="30">
        <f>SUMIF(T3:T600,1864,F3:F600)</f>
        <v>4</v>
      </c>
    </row>
    <row r="35" spans="1:39" x14ac:dyDescent="0.25">
      <c r="A35" t="s">
        <v>5302</v>
      </c>
      <c r="B35" t="s">
        <v>2130</v>
      </c>
      <c r="C35" t="s">
        <v>2684</v>
      </c>
      <c r="D35" t="s">
        <v>7255</v>
      </c>
      <c r="E35" t="s">
        <v>233</v>
      </c>
      <c r="F35" s="28">
        <v>1</v>
      </c>
      <c r="G35" t="s">
        <v>193</v>
      </c>
      <c r="H35" t="s">
        <v>194</v>
      </c>
      <c r="I35" t="s">
        <v>7276</v>
      </c>
      <c r="J35" t="s">
        <v>305</v>
      </c>
      <c r="K35" s="387" t="s">
        <v>7352</v>
      </c>
      <c r="L35" t="s">
        <v>6306</v>
      </c>
      <c r="M35" t="s">
        <v>7270</v>
      </c>
      <c r="N35" t="s">
        <v>7271</v>
      </c>
      <c r="O35" t="s">
        <v>7256</v>
      </c>
      <c r="P35">
        <v>1886959</v>
      </c>
      <c r="Q35">
        <v>16296195</v>
      </c>
      <c r="S35">
        <v>18</v>
      </c>
      <c r="T35" s="375">
        <v>1814</v>
      </c>
      <c r="U35" t="s">
        <v>2685</v>
      </c>
      <c r="V35" t="s">
        <v>194</v>
      </c>
      <c r="W35">
        <v>1</v>
      </c>
      <c r="X35">
        <v>70734</v>
      </c>
      <c r="Y35" t="s">
        <v>7353</v>
      </c>
      <c r="AF35" t="s">
        <v>4714</v>
      </c>
      <c r="AG35" t="s">
        <v>2130</v>
      </c>
      <c r="AI35" t="s">
        <v>6955</v>
      </c>
      <c r="AJ35" s="364" t="str">
        <f t="shared" si="0"/>
        <v>324002</v>
      </c>
      <c r="AL35" s="370" t="s">
        <v>7251</v>
      </c>
      <c r="AM35" s="77">
        <f>SUM(AM10:AM34)</f>
        <v>200</v>
      </c>
    </row>
    <row r="36" spans="1:39" x14ac:dyDescent="0.25">
      <c r="A36" t="s">
        <v>7354</v>
      </c>
      <c r="B36" t="s">
        <v>7355</v>
      </c>
      <c r="C36" t="s">
        <v>3876</v>
      </c>
      <c r="D36" t="s">
        <v>7255</v>
      </c>
      <c r="E36" t="s">
        <v>233</v>
      </c>
      <c r="F36" s="28">
        <v>1</v>
      </c>
      <c r="G36" t="s">
        <v>193</v>
      </c>
      <c r="H36" t="s">
        <v>194</v>
      </c>
      <c r="I36" t="s">
        <v>7268</v>
      </c>
      <c r="J36" t="s">
        <v>385</v>
      </c>
      <c r="K36" s="387" t="s">
        <v>7356</v>
      </c>
      <c r="L36" t="s">
        <v>6286</v>
      </c>
      <c r="M36" t="s">
        <v>7270</v>
      </c>
      <c r="N36" t="s">
        <v>7271</v>
      </c>
      <c r="O36" t="s">
        <v>7357</v>
      </c>
      <c r="P36">
        <v>1886980</v>
      </c>
      <c r="Q36">
        <v>16296216</v>
      </c>
      <c r="S36">
        <v>18</v>
      </c>
      <c r="T36" s="375">
        <v>1861</v>
      </c>
      <c r="U36" t="s">
        <v>3877</v>
      </c>
      <c r="V36" t="s">
        <v>194</v>
      </c>
      <c r="W36">
        <v>1</v>
      </c>
      <c r="X36">
        <v>70697</v>
      </c>
      <c r="Y36" t="s">
        <v>7358</v>
      </c>
      <c r="AF36" t="s">
        <v>4714</v>
      </c>
      <c r="AG36" t="s">
        <v>7355</v>
      </c>
      <c r="AI36" t="s">
        <v>6955</v>
      </c>
      <c r="AJ36" s="363" t="str">
        <f t="shared" si="0"/>
        <v>324001</v>
      </c>
      <c r="AL36" s="378" t="s">
        <v>7252</v>
      </c>
      <c r="AM36" s="77">
        <v>14</v>
      </c>
    </row>
    <row r="37" spans="1:39" x14ac:dyDescent="0.25">
      <c r="A37" t="s">
        <v>4861</v>
      </c>
      <c r="B37" t="s">
        <v>2590</v>
      </c>
      <c r="C37" s="386" t="s">
        <v>740</v>
      </c>
      <c r="D37" t="s">
        <v>7255</v>
      </c>
      <c r="E37" t="s">
        <v>192</v>
      </c>
      <c r="F37" s="28">
        <v>1</v>
      </c>
      <c r="G37" t="s">
        <v>193</v>
      </c>
      <c r="H37" t="s">
        <v>194</v>
      </c>
      <c r="I37" t="s">
        <v>7260</v>
      </c>
      <c r="J37" t="s">
        <v>223</v>
      </c>
      <c r="K37" s="388" t="s">
        <v>7359</v>
      </c>
      <c r="L37" t="s">
        <v>6251</v>
      </c>
      <c r="M37" t="s">
        <v>7360</v>
      </c>
      <c r="N37" t="s">
        <v>7361</v>
      </c>
      <c r="O37" t="s">
        <v>7362</v>
      </c>
      <c r="P37">
        <v>1887123</v>
      </c>
      <c r="Q37">
        <v>16325004</v>
      </c>
      <c r="S37">
        <v>18</v>
      </c>
      <c r="T37" s="376" t="s">
        <v>7363</v>
      </c>
      <c r="U37" t="s">
        <v>741</v>
      </c>
      <c r="V37" t="s">
        <v>194</v>
      </c>
      <c r="W37">
        <v>6</v>
      </c>
      <c r="X37">
        <v>7738438</v>
      </c>
      <c r="AF37" t="s">
        <v>4714</v>
      </c>
      <c r="AG37" t="s">
        <v>2590</v>
      </c>
      <c r="AI37" t="s">
        <v>6955</v>
      </c>
      <c r="AJ37" s="363" t="str">
        <f t="shared" si="0"/>
        <v>522301</v>
      </c>
      <c r="AL37" s="35" t="s">
        <v>7784</v>
      </c>
      <c r="AM37" s="30">
        <v>10</v>
      </c>
    </row>
    <row r="38" spans="1:39" x14ac:dyDescent="0.25">
      <c r="A38" t="s">
        <v>7364</v>
      </c>
      <c r="B38" t="s">
        <v>7365</v>
      </c>
      <c r="C38" s="59" t="s">
        <v>7366</v>
      </c>
      <c r="D38" t="s">
        <v>7255</v>
      </c>
      <c r="E38" t="s">
        <v>192</v>
      </c>
      <c r="F38" s="28">
        <v>1</v>
      </c>
      <c r="G38" t="s">
        <v>193</v>
      </c>
      <c r="H38" t="s">
        <v>194</v>
      </c>
      <c r="I38" t="s">
        <v>7268</v>
      </c>
      <c r="J38" t="s">
        <v>399</v>
      </c>
      <c r="K38" s="388" t="s">
        <v>7367</v>
      </c>
      <c r="L38" t="s">
        <v>7001</v>
      </c>
      <c r="M38" t="s">
        <v>7360</v>
      </c>
      <c r="N38" t="s">
        <v>7361</v>
      </c>
      <c r="O38" t="s">
        <v>7362</v>
      </c>
      <c r="P38">
        <v>1887139</v>
      </c>
      <c r="Q38">
        <v>16325020</v>
      </c>
      <c r="S38">
        <v>18</v>
      </c>
      <c r="T38" s="376" t="s">
        <v>7368</v>
      </c>
      <c r="U38" t="s">
        <v>7369</v>
      </c>
      <c r="V38" t="s">
        <v>194</v>
      </c>
      <c r="W38">
        <v>20</v>
      </c>
      <c r="X38">
        <v>7742482</v>
      </c>
      <c r="AF38" t="s">
        <v>4714</v>
      </c>
      <c r="AG38" t="s">
        <v>7365</v>
      </c>
      <c r="AI38" t="s">
        <v>6955</v>
      </c>
      <c r="AJ38" s="363" t="str">
        <f t="shared" si="0"/>
        <v>122201</v>
      </c>
      <c r="AM38" s="28">
        <f>SUM(AM35:AM37)</f>
        <v>224</v>
      </c>
    </row>
    <row r="39" spans="1:39" x14ac:dyDescent="0.25">
      <c r="A39" t="s">
        <v>7370</v>
      </c>
      <c r="B39" t="s">
        <v>7371</v>
      </c>
      <c r="C39" s="385" t="s">
        <v>111</v>
      </c>
      <c r="D39" t="s">
        <v>7255</v>
      </c>
      <c r="E39" t="s">
        <v>192</v>
      </c>
      <c r="F39" s="28">
        <v>1</v>
      </c>
      <c r="G39" t="s">
        <v>193</v>
      </c>
      <c r="H39" t="s">
        <v>194</v>
      </c>
      <c r="I39" t="s">
        <v>7276</v>
      </c>
      <c r="J39" t="s">
        <v>276</v>
      </c>
      <c r="K39" s="388" t="s">
        <v>7372</v>
      </c>
      <c r="L39" t="s">
        <v>6254</v>
      </c>
      <c r="M39" t="s">
        <v>7360</v>
      </c>
      <c r="N39" t="s">
        <v>7361</v>
      </c>
      <c r="O39" t="s">
        <v>7362</v>
      </c>
      <c r="P39">
        <v>1887164</v>
      </c>
      <c r="Q39">
        <v>16325045</v>
      </c>
      <c r="S39">
        <v>18</v>
      </c>
      <c r="T39" s="376" t="s">
        <v>7373</v>
      </c>
      <c r="U39" t="s">
        <v>612</v>
      </c>
      <c r="V39" t="s">
        <v>194</v>
      </c>
      <c r="W39">
        <v>6</v>
      </c>
      <c r="X39">
        <v>7744324</v>
      </c>
      <c r="AF39" t="s">
        <v>4714</v>
      </c>
      <c r="AG39" t="s">
        <v>7371</v>
      </c>
      <c r="AI39" t="s">
        <v>6955</v>
      </c>
      <c r="AJ39" s="363" t="str">
        <f t="shared" si="0"/>
        <v>332101</v>
      </c>
    </row>
    <row r="40" spans="1:39" x14ac:dyDescent="0.25">
      <c r="A40" t="s">
        <v>7374</v>
      </c>
      <c r="B40" t="s">
        <v>2327</v>
      </c>
      <c r="C40" s="385" t="s">
        <v>17</v>
      </c>
      <c r="D40" t="s">
        <v>7255</v>
      </c>
      <c r="E40" t="s">
        <v>192</v>
      </c>
      <c r="F40" s="28">
        <v>1</v>
      </c>
      <c r="G40" t="s">
        <v>193</v>
      </c>
      <c r="H40" t="s">
        <v>194</v>
      </c>
      <c r="I40" t="s">
        <v>7268</v>
      </c>
      <c r="J40" t="s">
        <v>276</v>
      </c>
      <c r="K40" s="388" t="s">
        <v>7375</v>
      </c>
      <c r="L40" t="s">
        <v>7001</v>
      </c>
      <c r="M40" t="s">
        <v>7360</v>
      </c>
      <c r="N40" t="s">
        <v>7361</v>
      </c>
      <c r="O40" t="s">
        <v>7362</v>
      </c>
      <c r="P40">
        <v>1887192</v>
      </c>
      <c r="Q40">
        <v>16325075</v>
      </c>
      <c r="S40">
        <v>18</v>
      </c>
      <c r="T40" s="376" t="s">
        <v>5003</v>
      </c>
      <c r="U40" t="s">
        <v>624</v>
      </c>
      <c r="V40" t="s">
        <v>194</v>
      </c>
      <c r="W40">
        <v>16</v>
      </c>
      <c r="X40">
        <v>7745015</v>
      </c>
      <c r="AF40" t="s">
        <v>4714</v>
      </c>
      <c r="AG40" t="s">
        <v>2327</v>
      </c>
      <c r="AI40" t="s">
        <v>6955</v>
      </c>
      <c r="AJ40" s="363" t="str">
        <f t="shared" si="0"/>
        <v>332203</v>
      </c>
    </row>
    <row r="41" spans="1:39" x14ac:dyDescent="0.25">
      <c r="A41" t="s">
        <v>7376</v>
      </c>
      <c r="B41" t="s">
        <v>7377</v>
      </c>
      <c r="C41" t="s">
        <v>2861</v>
      </c>
      <c r="D41" t="s">
        <v>7255</v>
      </c>
      <c r="E41" t="s">
        <v>192</v>
      </c>
      <c r="F41" s="28">
        <v>1</v>
      </c>
      <c r="G41" t="s">
        <v>193</v>
      </c>
      <c r="H41" t="s">
        <v>194</v>
      </c>
      <c r="I41" t="s">
        <v>7260</v>
      </c>
      <c r="J41" t="s">
        <v>7378</v>
      </c>
      <c r="K41" s="388" t="s">
        <v>7379</v>
      </c>
      <c r="L41" t="s">
        <v>6269</v>
      </c>
      <c r="M41" t="s">
        <v>7360</v>
      </c>
      <c r="N41" t="s">
        <v>7361</v>
      </c>
      <c r="O41" t="s">
        <v>7271</v>
      </c>
      <c r="P41">
        <v>1887289</v>
      </c>
      <c r="Q41">
        <v>16325178</v>
      </c>
      <c r="S41">
        <v>18</v>
      </c>
      <c r="T41" s="375">
        <v>1820</v>
      </c>
      <c r="U41" t="s">
        <v>3629</v>
      </c>
      <c r="V41" t="s">
        <v>194</v>
      </c>
      <c r="W41">
        <v>1</v>
      </c>
      <c r="X41">
        <v>7745921</v>
      </c>
      <c r="AF41" t="s">
        <v>4714</v>
      </c>
      <c r="AG41" t="s">
        <v>7377</v>
      </c>
      <c r="AI41" t="s">
        <v>6955</v>
      </c>
      <c r="AJ41" s="363" t="str">
        <f t="shared" si="0"/>
        <v>251903</v>
      </c>
    </row>
    <row r="42" spans="1:39" x14ac:dyDescent="0.25">
      <c r="A42" t="s">
        <v>7380</v>
      </c>
      <c r="B42" t="s">
        <v>7381</v>
      </c>
      <c r="C42" t="s">
        <v>27</v>
      </c>
      <c r="D42" t="s">
        <v>7255</v>
      </c>
      <c r="E42" t="s">
        <v>192</v>
      </c>
      <c r="F42" s="28">
        <v>1</v>
      </c>
      <c r="G42" t="s">
        <v>193</v>
      </c>
      <c r="H42" t="s">
        <v>194</v>
      </c>
      <c r="I42" t="s">
        <v>7276</v>
      </c>
      <c r="J42" t="s">
        <v>316</v>
      </c>
      <c r="K42" s="388" t="s">
        <v>7382</v>
      </c>
      <c r="L42" t="s">
        <v>6340</v>
      </c>
      <c r="M42" t="s">
        <v>7360</v>
      </c>
      <c r="N42" t="s">
        <v>7361</v>
      </c>
      <c r="O42" t="s">
        <v>7362</v>
      </c>
      <c r="P42">
        <v>1887322</v>
      </c>
      <c r="Q42">
        <v>16325213</v>
      </c>
      <c r="S42">
        <v>18</v>
      </c>
      <c r="T42" s="375">
        <v>1818</v>
      </c>
      <c r="U42" t="s">
        <v>440</v>
      </c>
      <c r="V42" t="s">
        <v>194</v>
      </c>
      <c r="W42">
        <v>1</v>
      </c>
      <c r="X42">
        <v>7746210</v>
      </c>
      <c r="AF42" t="s">
        <v>4714</v>
      </c>
      <c r="AG42" t="s">
        <v>7381</v>
      </c>
      <c r="AI42" t="s">
        <v>6955</v>
      </c>
      <c r="AJ42" s="363" t="str">
        <f t="shared" si="0"/>
        <v>242307</v>
      </c>
    </row>
    <row r="43" spans="1:39" x14ac:dyDescent="0.25">
      <c r="A43" t="s">
        <v>7383</v>
      </c>
      <c r="B43" t="s">
        <v>7384</v>
      </c>
      <c r="C43" t="s">
        <v>883</v>
      </c>
      <c r="D43" t="s">
        <v>7255</v>
      </c>
      <c r="E43" t="s">
        <v>192</v>
      </c>
      <c r="F43" s="28">
        <v>1</v>
      </c>
      <c r="G43" t="s">
        <v>193</v>
      </c>
      <c r="H43" t="s">
        <v>194</v>
      </c>
      <c r="I43" t="s">
        <v>7268</v>
      </c>
      <c r="J43" t="s">
        <v>196</v>
      </c>
      <c r="K43" s="388" t="s">
        <v>7385</v>
      </c>
      <c r="L43" t="s">
        <v>6324</v>
      </c>
      <c r="M43" t="s">
        <v>7360</v>
      </c>
      <c r="N43" t="s">
        <v>7361</v>
      </c>
      <c r="O43" t="s">
        <v>7362</v>
      </c>
      <c r="P43">
        <v>1887419</v>
      </c>
      <c r="Q43">
        <v>16325315</v>
      </c>
      <c r="S43">
        <v>18</v>
      </c>
      <c r="T43" s="379"/>
      <c r="U43" t="s">
        <v>884</v>
      </c>
      <c r="V43" t="s">
        <v>193</v>
      </c>
      <c r="W43">
        <v>25</v>
      </c>
      <c r="X43">
        <v>500062191</v>
      </c>
      <c r="AF43" t="s">
        <v>4714</v>
      </c>
      <c r="AG43" t="s">
        <v>7384</v>
      </c>
      <c r="AI43" t="s">
        <v>6955</v>
      </c>
      <c r="AJ43" s="363" t="str">
        <f t="shared" si="0"/>
        <v>834205</v>
      </c>
    </row>
    <row r="44" spans="1:39" x14ac:dyDescent="0.25">
      <c r="A44" t="s">
        <v>3430</v>
      </c>
      <c r="B44" t="s">
        <v>5014</v>
      </c>
      <c r="C44" s="385" t="s">
        <v>111</v>
      </c>
      <c r="D44" t="s">
        <v>7255</v>
      </c>
      <c r="E44" t="s">
        <v>192</v>
      </c>
      <c r="F44" s="28">
        <v>1</v>
      </c>
      <c r="G44" t="s">
        <v>193</v>
      </c>
      <c r="H44" t="s">
        <v>194</v>
      </c>
      <c r="I44" t="s">
        <v>7256</v>
      </c>
      <c r="J44" t="s">
        <v>276</v>
      </c>
      <c r="K44" s="388" t="s">
        <v>7386</v>
      </c>
      <c r="L44" t="s">
        <v>6254</v>
      </c>
      <c r="M44" t="s">
        <v>7360</v>
      </c>
      <c r="N44" t="s">
        <v>7361</v>
      </c>
      <c r="O44" t="s">
        <v>7362</v>
      </c>
      <c r="P44">
        <v>1887835</v>
      </c>
      <c r="Q44">
        <v>16325734</v>
      </c>
      <c r="S44">
        <v>18</v>
      </c>
      <c r="T44" s="375">
        <v>1803</v>
      </c>
      <c r="U44" t="s">
        <v>612</v>
      </c>
      <c r="V44" t="s">
        <v>194</v>
      </c>
      <c r="W44">
        <v>1</v>
      </c>
      <c r="X44">
        <v>1000177306</v>
      </c>
      <c r="AF44" t="s">
        <v>4714</v>
      </c>
      <c r="AG44" t="s">
        <v>5014</v>
      </c>
      <c r="AI44" t="s">
        <v>6955</v>
      </c>
      <c r="AJ44" s="363" t="str">
        <f t="shared" si="0"/>
        <v>332101</v>
      </c>
    </row>
    <row r="45" spans="1:39" x14ac:dyDescent="0.25">
      <c r="A45" t="s">
        <v>3430</v>
      </c>
      <c r="B45" t="s">
        <v>5014</v>
      </c>
      <c r="C45" s="385" t="s">
        <v>111</v>
      </c>
      <c r="D45" t="s">
        <v>7255</v>
      </c>
      <c r="E45" t="s">
        <v>192</v>
      </c>
      <c r="F45" s="28">
        <v>1</v>
      </c>
      <c r="G45" t="s">
        <v>193</v>
      </c>
      <c r="H45" t="s">
        <v>194</v>
      </c>
      <c r="I45" t="s">
        <v>7256</v>
      </c>
      <c r="J45" t="s">
        <v>223</v>
      </c>
      <c r="K45" s="388" t="s">
        <v>7387</v>
      </c>
      <c r="L45" t="s">
        <v>6254</v>
      </c>
      <c r="M45" t="s">
        <v>7360</v>
      </c>
      <c r="N45" t="s">
        <v>7361</v>
      </c>
      <c r="O45" t="s">
        <v>7362</v>
      </c>
      <c r="P45">
        <v>1887836</v>
      </c>
      <c r="Q45">
        <v>16325735</v>
      </c>
      <c r="S45">
        <v>18</v>
      </c>
      <c r="T45" s="375">
        <v>1804</v>
      </c>
      <c r="U45" t="s">
        <v>612</v>
      </c>
      <c r="V45" t="s">
        <v>194</v>
      </c>
      <c r="W45">
        <v>1</v>
      </c>
      <c r="X45">
        <v>1000177307</v>
      </c>
      <c r="AF45" t="s">
        <v>4714</v>
      </c>
      <c r="AG45" t="s">
        <v>5014</v>
      </c>
      <c r="AI45" t="s">
        <v>6955</v>
      </c>
      <c r="AJ45" s="363" t="str">
        <f t="shared" si="0"/>
        <v>332101</v>
      </c>
    </row>
    <row r="46" spans="1:39" x14ac:dyDescent="0.25">
      <c r="A46" t="s">
        <v>3430</v>
      </c>
      <c r="B46" t="s">
        <v>5014</v>
      </c>
      <c r="C46" s="385" t="s">
        <v>111</v>
      </c>
      <c r="D46" t="s">
        <v>7255</v>
      </c>
      <c r="E46" t="s">
        <v>192</v>
      </c>
      <c r="F46" s="28">
        <v>1</v>
      </c>
      <c r="G46" t="s">
        <v>193</v>
      </c>
      <c r="H46" t="s">
        <v>194</v>
      </c>
      <c r="I46" t="s">
        <v>7256</v>
      </c>
      <c r="J46" t="s">
        <v>367</v>
      </c>
      <c r="K46" s="388" t="s">
        <v>7388</v>
      </c>
      <c r="L46" t="s">
        <v>6254</v>
      </c>
      <c r="M46" t="s">
        <v>7360</v>
      </c>
      <c r="N46" t="s">
        <v>7361</v>
      </c>
      <c r="O46" t="s">
        <v>7362</v>
      </c>
      <c r="P46">
        <v>1887837</v>
      </c>
      <c r="Q46">
        <v>16325736</v>
      </c>
      <c r="S46">
        <v>18</v>
      </c>
      <c r="T46" s="375">
        <v>1805</v>
      </c>
      <c r="U46" t="s">
        <v>612</v>
      </c>
      <c r="V46" t="s">
        <v>194</v>
      </c>
      <c r="W46">
        <v>1</v>
      </c>
      <c r="X46">
        <v>1000177308</v>
      </c>
      <c r="AF46" t="s">
        <v>4714</v>
      </c>
      <c r="AG46" t="s">
        <v>5014</v>
      </c>
      <c r="AI46" t="s">
        <v>6955</v>
      </c>
      <c r="AJ46" s="363" t="str">
        <f t="shared" si="0"/>
        <v>332101</v>
      </c>
    </row>
    <row r="47" spans="1:39" x14ac:dyDescent="0.25">
      <c r="A47" t="s">
        <v>3430</v>
      </c>
      <c r="B47" t="s">
        <v>5014</v>
      </c>
      <c r="C47" s="385" t="s">
        <v>111</v>
      </c>
      <c r="D47" t="s">
        <v>7255</v>
      </c>
      <c r="E47" t="s">
        <v>192</v>
      </c>
      <c r="F47" s="28">
        <v>1</v>
      </c>
      <c r="G47" t="s">
        <v>193</v>
      </c>
      <c r="H47" t="s">
        <v>194</v>
      </c>
      <c r="I47" t="s">
        <v>7256</v>
      </c>
      <c r="J47" t="s">
        <v>385</v>
      </c>
      <c r="K47" s="388" t="s">
        <v>7389</v>
      </c>
      <c r="L47" t="s">
        <v>6254</v>
      </c>
      <c r="M47" t="s">
        <v>7360</v>
      </c>
      <c r="N47" t="s">
        <v>7361</v>
      </c>
      <c r="O47" t="s">
        <v>7362</v>
      </c>
      <c r="P47">
        <v>1887838</v>
      </c>
      <c r="Q47">
        <v>16325737</v>
      </c>
      <c r="S47">
        <v>18</v>
      </c>
      <c r="T47" s="375">
        <v>1861</v>
      </c>
      <c r="U47" t="s">
        <v>612</v>
      </c>
      <c r="V47" t="s">
        <v>194</v>
      </c>
      <c r="W47">
        <v>1</v>
      </c>
      <c r="X47">
        <v>1000177309</v>
      </c>
      <c r="AF47" t="s">
        <v>4714</v>
      </c>
      <c r="AG47" t="s">
        <v>5014</v>
      </c>
      <c r="AI47" t="s">
        <v>6955</v>
      </c>
      <c r="AJ47" s="363" t="str">
        <f t="shared" si="0"/>
        <v>332101</v>
      </c>
    </row>
    <row r="48" spans="1:39" x14ac:dyDescent="0.25">
      <c r="A48" t="s">
        <v>3430</v>
      </c>
      <c r="B48" t="s">
        <v>5014</v>
      </c>
      <c r="C48" s="385" t="s">
        <v>111</v>
      </c>
      <c r="D48" t="s">
        <v>7255</v>
      </c>
      <c r="E48" t="s">
        <v>192</v>
      </c>
      <c r="F48" s="28">
        <v>1</v>
      </c>
      <c r="G48" t="s">
        <v>193</v>
      </c>
      <c r="H48" t="s">
        <v>194</v>
      </c>
      <c r="I48" t="s">
        <v>7256</v>
      </c>
      <c r="J48" t="s">
        <v>1995</v>
      </c>
      <c r="K48" s="388" t="s">
        <v>7390</v>
      </c>
      <c r="L48" t="s">
        <v>6254</v>
      </c>
      <c r="M48" t="s">
        <v>7360</v>
      </c>
      <c r="N48" t="s">
        <v>7361</v>
      </c>
      <c r="O48" t="s">
        <v>7362</v>
      </c>
      <c r="P48">
        <v>1887839</v>
      </c>
      <c r="Q48">
        <v>16325738</v>
      </c>
      <c r="S48">
        <v>18</v>
      </c>
      <c r="T48" s="375">
        <v>1821</v>
      </c>
      <c r="U48" t="s">
        <v>612</v>
      </c>
      <c r="V48" t="s">
        <v>194</v>
      </c>
      <c r="W48">
        <v>1</v>
      </c>
      <c r="X48">
        <v>1000177310</v>
      </c>
      <c r="AF48" t="s">
        <v>4714</v>
      </c>
      <c r="AG48" t="s">
        <v>5014</v>
      </c>
      <c r="AI48" t="s">
        <v>6955</v>
      </c>
      <c r="AJ48" s="363" t="str">
        <f t="shared" si="0"/>
        <v>332101</v>
      </c>
    </row>
    <row r="49" spans="1:36" x14ac:dyDescent="0.25">
      <c r="A49" t="s">
        <v>3430</v>
      </c>
      <c r="B49" t="s">
        <v>5014</v>
      </c>
      <c r="C49" s="385" t="s">
        <v>111</v>
      </c>
      <c r="D49" t="s">
        <v>7255</v>
      </c>
      <c r="E49" t="s">
        <v>192</v>
      </c>
      <c r="F49" s="28">
        <v>1</v>
      </c>
      <c r="G49" t="s">
        <v>193</v>
      </c>
      <c r="H49" t="s">
        <v>194</v>
      </c>
      <c r="I49" t="s">
        <v>7256</v>
      </c>
      <c r="J49" t="s">
        <v>327</v>
      </c>
      <c r="K49" s="388" t="s">
        <v>7391</v>
      </c>
      <c r="L49" t="s">
        <v>6254</v>
      </c>
      <c r="M49" t="s">
        <v>7360</v>
      </c>
      <c r="N49" t="s">
        <v>7361</v>
      </c>
      <c r="O49" t="s">
        <v>7362</v>
      </c>
      <c r="P49">
        <v>1887840</v>
      </c>
      <c r="Q49">
        <v>16325739</v>
      </c>
      <c r="S49">
        <v>18</v>
      </c>
      <c r="T49" s="375">
        <v>1808</v>
      </c>
      <c r="U49" t="s">
        <v>612</v>
      </c>
      <c r="V49" t="s">
        <v>194</v>
      </c>
      <c r="W49">
        <v>1</v>
      </c>
      <c r="X49">
        <v>1000177311</v>
      </c>
      <c r="AF49" t="s">
        <v>4714</v>
      </c>
      <c r="AG49" t="s">
        <v>5014</v>
      </c>
      <c r="AI49" t="s">
        <v>6955</v>
      </c>
      <c r="AJ49" s="363" t="str">
        <f t="shared" si="0"/>
        <v>332101</v>
      </c>
    </row>
    <row r="50" spans="1:36" x14ac:dyDescent="0.25">
      <c r="A50" t="s">
        <v>3430</v>
      </c>
      <c r="B50" t="s">
        <v>5014</v>
      </c>
      <c r="C50" s="385" t="s">
        <v>111</v>
      </c>
      <c r="D50" t="s">
        <v>7255</v>
      </c>
      <c r="E50" t="s">
        <v>192</v>
      </c>
      <c r="F50" s="28">
        <v>1</v>
      </c>
      <c r="G50" t="s">
        <v>193</v>
      </c>
      <c r="H50" t="s">
        <v>194</v>
      </c>
      <c r="I50" t="s">
        <v>7256</v>
      </c>
      <c r="J50" t="s">
        <v>301</v>
      </c>
      <c r="K50" s="388" t="s">
        <v>7392</v>
      </c>
      <c r="L50" t="s">
        <v>6254</v>
      </c>
      <c r="M50" t="s">
        <v>7360</v>
      </c>
      <c r="N50" t="s">
        <v>7361</v>
      </c>
      <c r="O50" t="s">
        <v>7362</v>
      </c>
      <c r="P50">
        <v>1887841</v>
      </c>
      <c r="Q50">
        <v>16325740</v>
      </c>
      <c r="S50">
        <v>18</v>
      </c>
      <c r="T50" s="375">
        <v>1810</v>
      </c>
      <c r="U50" t="s">
        <v>612</v>
      </c>
      <c r="V50" t="s">
        <v>194</v>
      </c>
      <c r="W50">
        <v>1</v>
      </c>
      <c r="X50">
        <v>1000177312</v>
      </c>
      <c r="AF50" t="s">
        <v>4714</v>
      </c>
      <c r="AG50" t="s">
        <v>5014</v>
      </c>
      <c r="AI50" t="s">
        <v>6955</v>
      </c>
      <c r="AJ50" s="363" t="str">
        <f t="shared" si="0"/>
        <v>332101</v>
      </c>
    </row>
    <row r="51" spans="1:36" x14ac:dyDescent="0.25">
      <c r="A51" t="s">
        <v>3430</v>
      </c>
      <c r="B51" t="s">
        <v>5014</v>
      </c>
      <c r="C51" s="385" t="s">
        <v>111</v>
      </c>
      <c r="D51" t="s">
        <v>7255</v>
      </c>
      <c r="E51" t="s">
        <v>192</v>
      </c>
      <c r="F51" s="28">
        <v>1</v>
      </c>
      <c r="G51" t="s">
        <v>193</v>
      </c>
      <c r="H51" t="s">
        <v>194</v>
      </c>
      <c r="I51" t="s">
        <v>7256</v>
      </c>
      <c r="J51" t="s">
        <v>253</v>
      </c>
      <c r="K51" s="388" t="s">
        <v>7393</v>
      </c>
      <c r="L51" t="s">
        <v>6254</v>
      </c>
      <c r="M51" t="s">
        <v>7360</v>
      </c>
      <c r="N51" t="s">
        <v>7361</v>
      </c>
      <c r="O51" t="s">
        <v>7362</v>
      </c>
      <c r="P51">
        <v>1887842</v>
      </c>
      <c r="Q51">
        <v>16325741</v>
      </c>
      <c r="S51">
        <v>18</v>
      </c>
      <c r="T51" s="375">
        <v>1811</v>
      </c>
      <c r="U51" t="s">
        <v>612</v>
      </c>
      <c r="V51" t="s">
        <v>194</v>
      </c>
      <c r="W51">
        <v>1</v>
      </c>
      <c r="X51">
        <v>1000177313</v>
      </c>
      <c r="AF51" t="s">
        <v>4714</v>
      </c>
      <c r="AG51" t="s">
        <v>5014</v>
      </c>
      <c r="AI51" t="s">
        <v>6955</v>
      </c>
      <c r="AJ51" s="363" t="str">
        <f t="shared" si="0"/>
        <v>332101</v>
      </c>
    </row>
    <row r="52" spans="1:36" x14ac:dyDescent="0.25">
      <c r="A52" t="s">
        <v>3430</v>
      </c>
      <c r="B52" t="s">
        <v>5014</v>
      </c>
      <c r="C52" s="385" t="s">
        <v>111</v>
      </c>
      <c r="D52" t="s">
        <v>7255</v>
      </c>
      <c r="E52" t="s">
        <v>192</v>
      </c>
      <c r="F52" s="28">
        <v>1</v>
      </c>
      <c r="G52" t="s">
        <v>193</v>
      </c>
      <c r="H52" t="s">
        <v>194</v>
      </c>
      <c r="I52" t="s">
        <v>7256</v>
      </c>
      <c r="J52" t="s">
        <v>323</v>
      </c>
      <c r="K52" s="388" t="s">
        <v>7394</v>
      </c>
      <c r="L52" t="s">
        <v>6254</v>
      </c>
      <c r="M52" t="s">
        <v>7360</v>
      </c>
      <c r="N52" t="s">
        <v>7361</v>
      </c>
      <c r="O52" t="s">
        <v>7362</v>
      </c>
      <c r="P52">
        <v>1887843</v>
      </c>
      <c r="Q52">
        <v>16325742</v>
      </c>
      <c r="S52">
        <v>18</v>
      </c>
      <c r="T52" s="375">
        <v>1812</v>
      </c>
      <c r="U52" t="s">
        <v>612</v>
      </c>
      <c r="V52" t="s">
        <v>194</v>
      </c>
      <c r="W52">
        <v>1</v>
      </c>
      <c r="X52">
        <v>1000177314</v>
      </c>
      <c r="AF52" t="s">
        <v>4714</v>
      </c>
      <c r="AG52" t="s">
        <v>5014</v>
      </c>
      <c r="AI52" t="s">
        <v>6955</v>
      </c>
      <c r="AJ52" s="363" t="str">
        <f t="shared" si="0"/>
        <v>332101</v>
      </c>
    </row>
    <row r="53" spans="1:36" x14ac:dyDescent="0.25">
      <c r="A53" t="s">
        <v>3430</v>
      </c>
      <c r="B53" t="s">
        <v>5014</v>
      </c>
      <c r="C53" s="385" t="s">
        <v>111</v>
      </c>
      <c r="D53" t="s">
        <v>7255</v>
      </c>
      <c r="E53" t="s">
        <v>192</v>
      </c>
      <c r="F53" s="28">
        <v>1</v>
      </c>
      <c r="G53" t="s">
        <v>193</v>
      </c>
      <c r="H53" t="s">
        <v>194</v>
      </c>
      <c r="I53" t="s">
        <v>7256</v>
      </c>
      <c r="J53" t="s">
        <v>4751</v>
      </c>
      <c r="K53" s="388" t="s">
        <v>7395</v>
      </c>
      <c r="L53" t="s">
        <v>6254</v>
      </c>
      <c r="M53" t="s">
        <v>7360</v>
      </c>
      <c r="N53" t="s">
        <v>7361</v>
      </c>
      <c r="O53" t="s">
        <v>7362</v>
      </c>
      <c r="P53">
        <v>1887844</v>
      </c>
      <c r="Q53">
        <v>16325743</v>
      </c>
      <c r="S53">
        <v>18</v>
      </c>
      <c r="T53" s="375">
        <v>1862</v>
      </c>
      <c r="U53" t="s">
        <v>612</v>
      </c>
      <c r="V53" t="s">
        <v>194</v>
      </c>
      <c r="W53">
        <v>1</v>
      </c>
      <c r="X53">
        <v>1000177315</v>
      </c>
      <c r="AF53" t="s">
        <v>4714</v>
      </c>
      <c r="AG53" t="s">
        <v>5014</v>
      </c>
      <c r="AI53" t="s">
        <v>6955</v>
      </c>
      <c r="AJ53" s="363" t="str">
        <f t="shared" si="0"/>
        <v>332101</v>
      </c>
    </row>
    <row r="54" spans="1:36" x14ac:dyDescent="0.25">
      <c r="A54" t="s">
        <v>3430</v>
      </c>
      <c r="B54" t="s">
        <v>5014</v>
      </c>
      <c r="C54" s="385" t="s">
        <v>111</v>
      </c>
      <c r="D54" t="s">
        <v>7255</v>
      </c>
      <c r="E54" t="s">
        <v>192</v>
      </c>
      <c r="F54" s="28">
        <v>1</v>
      </c>
      <c r="G54" t="s">
        <v>193</v>
      </c>
      <c r="H54" t="s">
        <v>194</v>
      </c>
      <c r="I54" t="s">
        <v>7256</v>
      </c>
      <c r="J54" t="s">
        <v>305</v>
      </c>
      <c r="K54" s="388" t="s">
        <v>7396</v>
      </c>
      <c r="L54" t="s">
        <v>6254</v>
      </c>
      <c r="M54" t="s">
        <v>7360</v>
      </c>
      <c r="N54" t="s">
        <v>7361</v>
      </c>
      <c r="O54" t="s">
        <v>7362</v>
      </c>
      <c r="P54">
        <v>1887845</v>
      </c>
      <c r="Q54">
        <v>16325744</v>
      </c>
      <c r="S54">
        <v>18</v>
      </c>
      <c r="T54" s="375">
        <v>1814</v>
      </c>
      <c r="U54" t="s">
        <v>612</v>
      </c>
      <c r="V54" t="s">
        <v>194</v>
      </c>
      <c r="W54">
        <v>1</v>
      </c>
      <c r="X54">
        <v>1000177316</v>
      </c>
      <c r="AF54" t="s">
        <v>4714</v>
      </c>
      <c r="AG54" t="s">
        <v>5014</v>
      </c>
      <c r="AI54" t="s">
        <v>6955</v>
      </c>
      <c r="AJ54" s="363" t="str">
        <f t="shared" si="0"/>
        <v>332101</v>
      </c>
    </row>
    <row r="55" spans="1:36" x14ac:dyDescent="0.25">
      <c r="A55" t="s">
        <v>3430</v>
      </c>
      <c r="B55" t="s">
        <v>5014</v>
      </c>
      <c r="C55" s="385" t="s">
        <v>111</v>
      </c>
      <c r="D55" t="s">
        <v>7255</v>
      </c>
      <c r="E55" t="s">
        <v>192</v>
      </c>
      <c r="F55" s="28">
        <v>1</v>
      </c>
      <c r="G55" t="s">
        <v>193</v>
      </c>
      <c r="H55" t="s">
        <v>194</v>
      </c>
      <c r="I55" t="s">
        <v>7256</v>
      </c>
      <c r="J55" t="s">
        <v>210</v>
      </c>
      <c r="K55" s="388" t="s">
        <v>7397</v>
      </c>
      <c r="L55" t="s">
        <v>6254</v>
      </c>
      <c r="M55" t="s">
        <v>7360</v>
      </c>
      <c r="N55" t="s">
        <v>7361</v>
      </c>
      <c r="O55" t="s">
        <v>7362</v>
      </c>
      <c r="P55">
        <v>1887846</v>
      </c>
      <c r="Q55">
        <v>16325745</v>
      </c>
      <c r="S55">
        <v>18</v>
      </c>
      <c r="T55" s="375">
        <v>1863</v>
      </c>
      <c r="U55" t="s">
        <v>612</v>
      </c>
      <c r="V55" t="s">
        <v>194</v>
      </c>
      <c r="W55">
        <v>1</v>
      </c>
      <c r="X55">
        <v>1000177317</v>
      </c>
      <c r="AF55" t="s">
        <v>4714</v>
      </c>
      <c r="AG55" t="s">
        <v>5014</v>
      </c>
      <c r="AI55" t="s">
        <v>6955</v>
      </c>
      <c r="AJ55" s="363" t="str">
        <f t="shared" si="0"/>
        <v>332101</v>
      </c>
    </row>
    <row r="56" spans="1:36" x14ac:dyDescent="0.25">
      <c r="A56" t="s">
        <v>3430</v>
      </c>
      <c r="B56" t="s">
        <v>5014</v>
      </c>
      <c r="C56" s="385" t="s">
        <v>111</v>
      </c>
      <c r="D56" t="s">
        <v>7255</v>
      </c>
      <c r="E56" t="s">
        <v>192</v>
      </c>
      <c r="F56" s="28">
        <v>1</v>
      </c>
      <c r="G56" t="s">
        <v>193</v>
      </c>
      <c r="H56" t="s">
        <v>194</v>
      </c>
      <c r="I56" t="s">
        <v>7256</v>
      </c>
      <c r="J56" t="s">
        <v>747</v>
      </c>
      <c r="K56" s="388" t="s">
        <v>7398</v>
      </c>
      <c r="L56" t="s">
        <v>6254</v>
      </c>
      <c r="M56" t="s">
        <v>7360</v>
      </c>
      <c r="N56" t="s">
        <v>7361</v>
      </c>
      <c r="O56" t="s">
        <v>7362</v>
      </c>
      <c r="P56">
        <v>1887847</v>
      </c>
      <c r="Q56">
        <v>16325746</v>
      </c>
      <c r="S56">
        <v>18</v>
      </c>
      <c r="T56" s="375">
        <v>1817</v>
      </c>
      <c r="U56" t="s">
        <v>612</v>
      </c>
      <c r="V56" t="s">
        <v>194</v>
      </c>
      <c r="W56">
        <v>1</v>
      </c>
      <c r="X56">
        <v>1000177318</v>
      </c>
      <c r="AF56" t="s">
        <v>4714</v>
      </c>
      <c r="AG56" t="s">
        <v>5014</v>
      </c>
      <c r="AI56" t="s">
        <v>6955</v>
      </c>
      <c r="AJ56" s="363" t="str">
        <f t="shared" si="0"/>
        <v>332101</v>
      </c>
    </row>
    <row r="57" spans="1:36" x14ac:dyDescent="0.25">
      <c r="A57" t="s">
        <v>3430</v>
      </c>
      <c r="B57" t="s">
        <v>5014</v>
      </c>
      <c r="C57" s="385" t="s">
        <v>111</v>
      </c>
      <c r="D57" t="s">
        <v>7255</v>
      </c>
      <c r="E57" t="s">
        <v>192</v>
      </c>
      <c r="F57" s="28">
        <v>1</v>
      </c>
      <c r="G57" t="s">
        <v>193</v>
      </c>
      <c r="H57" t="s">
        <v>194</v>
      </c>
      <c r="I57" t="s">
        <v>7256</v>
      </c>
      <c r="J57" t="s">
        <v>316</v>
      </c>
      <c r="K57" s="388" t="s">
        <v>7399</v>
      </c>
      <c r="L57" t="s">
        <v>6254</v>
      </c>
      <c r="M57" t="s">
        <v>7360</v>
      </c>
      <c r="N57" t="s">
        <v>7361</v>
      </c>
      <c r="O57" t="s">
        <v>7362</v>
      </c>
      <c r="P57">
        <v>1887848</v>
      </c>
      <c r="Q57">
        <v>16325747</v>
      </c>
      <c r="S57">
        <v>18</v>
      </c>
      <c r="T57" s="375">
        <v>1818</v>
      </c>
      <c r="U57" t="s">
        <v>612</v>
      </c>
      <c r="V57" t="s">
        <v>194</v>
      </c>
      <c r="W57">
        <v>1</v>
      </c>
      <c r="X57">
        <v>1000177319</v>
      </c>
      <c r="AF57" t="s">
        <v>4714</v>
      </c>
      <c r="AG57" t="s">
        <v>5014</v>
      </c>
      <c r="AI57" t="s">
        <v>6955</v>
      </c>
      <c r="AJ57" s="363" t="str">
        <f t="shared" si="0"/>
        <v>332101</v>
      </c>
    </row>
    <row r="58" spans="1:36" x14ac:dyDescent="0.25">
      <c r="A58" t="s">
        <v>3430</v>
      </c>
      <c r="B58" t="s">
        <v>5014</v>
      </c>
      <c r="C58" s="385" t="s">
        <v>111</v>
      </c>
      <c r="D58" t="s">
        <v>7255</v>
      </c>
      <c r="E58" t="s">
        <v>192</v>
      </c>
      <c r="F58" s="28">
        <v>1</v>
      </c>
      <c r="G58" t="s">
        <v>193</v>
      </c>
      <c r="H58" t="s">
        <v>194</v>
      </c>
      <c r="I58" t="s">
        <v>7256</v>
      </c>
      <c r="J58" t="s">
        <v>408</v>
      </c>
      <c r="K58" s="388" t="s">
        <v>7400</v>
      </c>
      <c r="L58" t="s">
        <v>6254</v>
      </c>
      <c r="M58" t="s">
        <v>7360</v>
      </c>
      <c r="N58" t="s">
        <v>7361</v>
      </c>
      <c r="O58" t="s">
        <v>7362</v>
      </c>
      <c r="P58">
        <v>1887849</v>
      </c>
      <c r="Q58">
        <v>16325748</v>
      </c>
      <c r="S58">
        <v>18</v>
      </c>
      <c r="T58" s="375">
        <v>1864</v>
      </c>
      <c r="U58" t="s">
        <v>612</v>
      </c>
      <c r="V58" t="s">
        <v>194</v>
      </c>
      <c r="W58">
        <v>1</v>
      </c>
      <c r="X58">
        <v>1000177320</v>
      </c>
      <c r="AF58" t="s">
        <v>4714</v>
      </c>
      <c r="AG58" t="s">
        <v>5014</v>
      </c>
      <c r="AI58" t="s">
        <v>6955</v>
      </c>
      <c r="AJ58" s="363" t="str">
        <f t="shared" si="0"/>
        <v>332101</v>
      </c>
    </row>
    <row r="59" spans="1:36" x14ac:dyDescent="0.25">
      <c r="A59" t="s">
        <v>3430</v>
      </c>
      <c r="B59" t="s">
        <v>5014</v>
      </c>
      <c r="C59" s="385" t="s">
        <v>111</v>
      </c>
      <c r="D59" t="s">
        <v>7255</v>
      </c>
      <c r="E59" t="s">
        <v>192</v>
      </c>
      <c r="F59" s="28">
        <v>1</v>
      </c>
      <c r="G59" t="s">
        <v>193</v>
      </c>
      <c r="H59" t="s">
        <v>194</v>
      </c>
      <c r="I59" t="s">
        <v>7256</v>
      </c>
      <c r="J59" t="s">
        <v>1829</v>
      </c>
      <c r="K59" s="388" t="s">
        <v>7401</v>
      </c>
      <c r="L59" t="s">
        <v>6254</v>
      </c>
      <c r="M59" t="s">
        <v>7360</v>
      </c>
      <c r="N59" t="s">
        <v>7361</v>
      </c>
      <c r="O59" t="s">
        <v>7362</v>
      </c>
      <c r="P59">
        <v>1887850</v>
      </c>
      <c r="Q59">
        <v>16325749</v>
      </c>
      <c r="S59">
        <v>18</v>
      </c>
      <c r="T59" s="375">
        <v>1816</v>
      </c>
      <c r="U59" t="s">
        <v>612</v>
      </c>
      <c r="V59" t="s">
        <v>194</v>
      </c>
      <c r="W59">
        <v>1</v>
      </c>
      <c r="X59">
        <v>1000177321</v>
      </c>
      <c r="AF59" t="s">
        <v>4714</v>
      </c>
      <c r="AG59" t="s">
        <v>5014</v>
      </c>
      <c r="AI59" t="s">
        <v>6955</v>
      </c>
      <c r="AJ59" s="363" t="str">
        <f t="shared" si="0"/>
        <v>332101</v>
      </c>
    </row>
    <row r="60" spans="1:36" x14ac:dyDescent="0.25">
      <c r="A60" t="s">
        <v>4416</v>
      </c>
      <c r="B60" t="s">
        <v>7402</v>
      </c>
      <c r="C60" t="s">
        <v>366</v>
      </c>
      <c r="D60" t="s">
        <v>7255</v>
      </c>
      <c r="E60" t="s">
        <v>192</v>
      </c>
      <c r="F60" s="28">
        <v>1</v>
      </c>
      <c r="G60" t="s">
        <v>193</v>
      </c>
      <c r="H60" t="s">
        <v>194</v>
      </c>
      <c r="I60" t="s">
        <v>7268</v>
      </c>
      <c r="J60" t="s">
        <v>385</v>
      </c>
      <c r="K60" s="388" t="s">
        <v>7403</v>
      </c>
      <c r="L60" t="s">
        <v>6245</v>
      </c>
      <c r="M60" t="s">
        <v>7360</v>
      </c>
      <c r="N60" t="s">
        <v>7361</v>
      </c>
      <c r="O60" t="s">
        <v>7362</v>
      </c>
      <c r="P60">
        <v>1887871</v>
      </c>
      <c r="Q60">
        <v>16325770</v>
      </c>
      <c r="S60">
        <v>18</v>
      </c>
      <c r="T60" s="375">
        <v>1861</v>
      </c>
      <c r="U60" t="s">
        <v>368</v>
      </c>
      <c r="V60" t="s">
        <v>194</v>
      </c>
      <c r="W60">
        <v>1</v>
      </c>
      <c r="X60">
        <v>1000490748</v>
      </c>
      <c r="AF60" t="s">
        <v>4714</v>
      </c>
      <c r="AG60" t="s">
        <v>7402</v>
      </c>
      <c r="AI60" t="s">
        <v>6955</v>
      </c>
      <c r="AJ60" s="363" t="str">
        <f t="shared" si="0"/>
        <v>215201</v>
      </c>
    </row>
    <row r="61" spans="1:36" x14ac:dyDescent="0.25">
      <c r="A61" t="s">
        <v>1748</v>
      </c>
      <c r="B61" t="s">
        <v>7404</v>
      </c>
      <c r="C61" t="s">
        <v>521</v>
      </c>
      <c r="D61" t="s">
        <v>7255</v>
      </c>
      <c r="E61" t="s">
        <v>192</v>
      </c>
      <c r="F61" s="28">
        <v>1</v>
      </c>
      <c r="G61" t="s">
        <v>193</v>
      </c>
      <c r="H61" t="s">
        <v>194</v>
      </c>
      <c r="I61" t="s">
        <v>7268</v>
      </c>
      <c r="J61" t="s">
        <v>210</v>
      </c>
      <c r="K61" s="388" t="s">
        <v>7405</v>
      </c>
      <c r="L61" t="s">
        <v>7406</v>
      </c>
      <c r="M61" t="s">
        <v>7360</v>
      </c>
      <c r="N61" t="s">
        <v>7361</v>
      </c>
      <c r="O61" t="s">
        <v>7362</v>
      </c>
      <c r="P61">
        <v>1887949</v>
      </c>
      <c r="Q61">
        <v>16325853</v>
      </c>
      <c r="S61">
        <v>18</v>
      </c>
      <c r="T61" s="375">
        <v>1863</v>
      </c>
      <c r="U61" t="s">
        <v>522</v>
      </c>
      <c r="V61" t="s">
        <v>194</v>
      </c>
      <c r="W61">
        <v>1</v>
      </c>
      <c r="X61">
        <v>1000553947</v>
      </c>
      <c r="AF61" t="s">
        <v>4714</v>
      </c>
      <c r="AG61" t="s">
        <v>7404</v>
      </c>
      <c r="AI61" t="s">
        <v>6955</v>
      </c>
      <c r="AJ61" s="363" t="str">
        <f t="shared" si="0"/>
        <v>261901</v>
      </c>
    </row>
    <row r="62" spans="1:36" x14ac:dyDescent="0.25">
      <c r="A62" t="s">
        <v>4866</v>
      </c>
      <c r="B62" t="s">
        <v>4487</v>
      </c>
      <c r="C62" s="385" t="s">
        <v>17</v>
      </c>
      <c r="D62" t="s">
        <v>7255</v>
      </c>
      <c r="E62" t="s">
        <v>192</v>
      </c>
      <c r="F62" s="28">
        <v>1</v>
      </c>
      <c r="G62" t="s">
        <v>193</v>
      </c>
      <c r="H62" t="s">
        <v>194</v>
      </c>
      <c r="I62" t="s">
        <v>7260</v>
      </c>
      <c r="J62" t="s">
        <v>210</v>
      </c>
      <c r="K62" s="388" t="s">
        <v>7407</v>
      </c>
      <c r="L62" t="s">
        <v>7001</v>
      </c>
      <c r="M62" t="s">
        <v>7360</v>
      </c>
      <c r="N62" t="s">
        <v>7361</v>
      </c>
      <c r="O62" t="s">
        <v>7362</v>
      </c>
      <c r="P62">
        <v>1887974</v>
      </c>
      <c r="Q62">
        <v>16325878</v>
      </c>
      <c r="S62">
        <v>18</v>
      </c>
      <c r="T62" s="375">
        <v>1863</v>
      </c>
      <c r="U62" t="s">
        <v>624</v>
      </c>
      <c r="V62" t="s">
        <v>194</v>
      </c>
      <c r="W62">
        <v>1</v>
      </c>
      <c r="X62">
        <v>1000554988</v>
      </c>
      <c r="AF62" t="s">
        <v>4714</v>
      </c>
      <c r="AG62" t="s">
        <v>4487</v>
      </c>
      <c r="AI62" t="s">
        <v>6955</v>
      </c>
      <c r="AJ62" s="363" t="str">
        <f t="shared" si="0"/>
        <v>332203</v>
      </c>
    </row>
    <row r="63" spans="1:36" x14ac:dyDescent="0.25">
      <c r="A63" t="s">
        <v>924</v>
      </c>
      <c r="B63" t="s">
        <v>2019</v>
      </c>
      <c r="C63" t="s">
        <v>6617</v>
      </c>
      <c r="D63" t="s">
        <v>7255</v>
      </c>
      <c r="E63" t="s">
        <v>192</v>
      </c>
      <c r="F63" s="28">
        <v>1</v>
      </c>
      <c r="G63" t="s">
        <v>193</v>
      </c>
      <c r="H63" t="s">
        <v>194</v>
      </c>
      <c r="I63" t="s">
        <v>7260</v>
      </c>
      <c r="J63" t="s">
        <v>276</v>
      </c>
      <c r="K63" s="388" t="s">
        <v>7408</v>
      </c>
      <c r="L63" t="s">
        <v>6266</v>
      </c>
      <c r="M63" t="s">
        <v>7360</v>
      </c>
      <c r="N63" t="s">
        <v>7361</v>
      </c>
      <c r="O63" t="s">
        <v>7362</v>
      </c>
      <c r="P63">
        <v>1888066</v>
      </c>
      <c r="Q63">
        <v>16325971</v>
      </c>
      <c r="S63">
        <v>18</v>
      </c>
      <c r="T63" s="375">
        <v>1803</v>
      </c>
      <c r="U63" t="s">
        <v>990</v>
      </c>
      <c r="V63" t="s">
        <v>194</v>
      </c>
      <c r="W63">
        <v>1</v>
      </c>
      <c r="X63">
        <v>1000556831</v>
      </c>
      <c r="AF63" t="s">
        <v>4714</v>
      </c>
      <c r="AG63" t="s">
        <v>2019</v>
      </c>
      <c r="AI63" t="s">
        <v>6955</v>
      </c>
      <c r="AJ63" s="363" t="str">
        <f t="shared" si="0"/>
        <v>833202</v>
      </c>
    </row>
    <row r="64" spans="1:36" x14ac:dyDescent="0.25">
      <c r="A64" t="s">
        <v>924</v>
      </c>
      <c r="B64" t="s">
        <v>2019</v>
      </c>
      <c r="C64" t="s">
        <v>6617</v>
      </c>
      <c r="D64" t="s">
        <v>7255</v>
      </c>
      <c r="E64" t="s">
        <v>192</v>
      </c>
      <c r="F64" s="28">
        <v>1</v>
      </c>
      <c r="G64" t="s">
        <v>193</v>
      </c>
      <c r="H64" t="s">
        <v>194</v>
      </c>
      <c r="I64" t="s">
        <v>7260</v>
      </c>
      <c r="J64" t="s">
        <v>1889</v>
      </c>
      <c r="K64" s="388" t="s">
        <v>7409</v>
      </c>
      <c r="L64" t="s">
        <v>6266</v>
      </c>
      <c r="M64" t="s">
        <v>7360</v>
      </c>
      <c r="N64" t="s">
        <v>7361</v>
      </c>
      <c r="O64" t="s">
        <v>7362</v>
      </c>
      <c r="P64">
        <v>1888067</v>
      </c>
      <c r="Q64">
        <v>16325972</v>
      </c>
      <c r="S64">
        <v>18</v>
      </c>
      <c r="T64" s="375">
        <v>1803</v>
      </c>
      <c r="U64" t="s">
        <v>990</v>
      </c>
      <c r="V64" t="s">
        <v>194</v>
      </c>
      <c r="W64">
        <v>1</v>
      </c>
      <c r="X64">
        <v>1000556841</v>
      </c>
      <c r="AF64" t="s">
        <v>4714</v>
      </c>
      <c r="AG64" t="s">
        <v>2019</v>
      </c>
      <c r="AI64" t="s">
        <v>6955</v>
      </c>
      <c r="AJ64" s="363" t="str">
        <f t="shared" si="0"/>
        <v>833202</v>
      </c>
    </row>
    <row r="65" spans="1:36" x14ac:dyDescent="0.25">
      <c r="A65" t="s">
        <v>3329</v>
      </c>
      <c r="B65" t="s">
        <v>7410</v>
      </c>
      <c r="C65" s="385" t="s">
        <v>17</v>
      </c>
      <c r="D65" t="s">
        <v>7255</v>
      </c>
      <c r="E65" t="s">
        <v>192</v>
      </c>
      <c r="F65" s="28">
        <v>1</v>
      </c>
      <c r="G65" t="s">
        <v>193</v>
      </c>
      <c r="H65" t="s">
        <v>194</v>
      </c>
      <c r="I65" t="s">
        <v>7260</v>
      </c>
      <c r="J65" t="s">
        <v>210</v>
      </c>
      <c r="K65" s="388" t="s">
        <v>7411</v>
      </c>
      <c r="L65" t="s">
        <v>7001</v>
      </c>
      <c r="M65" t="s">
        <v>7360</v>
      </c>
      <c r="N65" t="s">
        <v>7361</v>
      </c>
      <c r="O65" t="s">
        <v>7362</v>
      </c>
      <c r="P65">
        <v>1888235</v>
      </c>
      <c r="Q65">
        <v>16326146</v>
      </c>
      <c r="S65">
        <v>18</v>
      </c>
      <c r="T65" s="375">
        <v>1863</v>
      </c>
      <c r="U65" t="s">
        <v>624</v>
      </c>
      <c r="V65" t="s">
        <v>194</v>
      </c>
      <c r="W65">
        <v>1</v>
      </c>
      <c r="X65">
        <v>1000559307</v>
      </c>
      <c r="AF65" t="s">
        <v>4714</v>
      </c>
      <c r="AG65" t="s">
        <v>7410</v>
      </c>
      <c r="AI65" t="s">
        <v>6955</v>
      </c>
      <c r="AJ65" s="363" t="str">
        <f t="shared" si="0"/>
        <v>332203</v>
      </c>
    </row>
    <row r="66" spans="1:36" x14ac:dyDescent="0.25">
      <c r="A66" t="s">
        <v>1104</v>
      </c>
      <c r="B66" t="s">
        <v>313</v>
      </c>
      <c r="C66" s="24" t="s">
        <v>45</v>
      </c>
      <c r="D66" t="s">
        <v>7255</v>
      </c>
      <c r="E66" t="s">
        <v>192</v>
      </c>
      <c r="F66" s="28">
        <v>1</v>
      </c>
      <c r="G66" t="s">
        <v>193</v>
      </c>
      <c r="H66" t="s">
        <v>194</v>
      </c>
      <c r="I66" t="s">
        <v>7260</v>
      </c>
      <c r="J66" t="s">
        <v>276</v>
      </c>
      <c r="K66" s="388" t="s">
        <v>7412</v>
      </c>
      <c r="L66" t="s">
        <v>6245</v>
      </c>
      <c r="M66" t="s">
        <v>7360</v>
      </c>
      <c r="N66" t="s">
        <v>7361</v>
      </c>
      <c r="O66" t="s">
        <v>7362</v>
      </c>
      <c r="P66">
        <v>1888243</v>
      </c>
      <c r="Q66">
        <v>16326154</v>
      </c>
      <c r="S66">
        <v>18</v>
      </c>
      <c r="T66" s="375">
        <v>1803</v>
      </c>
      <c r="U66" t="s">
        <v>351</v>
      </c>
      <c r="V66" t="s">
        <v>194</v>
      </c>
      <c r="W66">
        <v>1</v>
      </c>
      <c r="X66">
        <v>1000559321</v>
      </c>
      <c r="AF66" t="s">
        <v>4714</v>
      </c>
      <c r="AG66" t="s">
        <v>313</v>
      </c>
      <c r="AI66" t="s">
        <v>6955</v>
      </c>
      <c r="AJ66" s="363" t="str">
        <f t="shared" si="0"/>
        <v>214932</v>
      </c>
    </row>
    <row r="67" spans="1:36" x14ac:dyDescent="0.25">
      <c r="A67" t="s">
        <v>4552</v>
      </c>
      <c r="B67" t="s">
        <v>83</v>
      </c>
      <c r="C67" t="s">
        <v>83</v>
      </c>
      <c r="D67" t="s">
        <v>7255</v>
      </c>
      <c r="E67" t="s">
        <v>192</v>
      </c>
      <c r="F67" s="28">
        <v>1</v>
      </c>
      <c r="G67" t="s">
        <v>193</v>
      </c>
      <c r="H67" t="s">
        <v>194</v>
      </c>
      <c r="I67" t="s">
        <v>7256</v>
      </c>
      <c r="J67" t="s">
        <v>253</v>
      </c>
      <c r="K67" s="388" t="s">
        <v>7413</v>
      </c>
      <c r="L67" t="s">
        <v>6275</v>
      </c>
      <c r="M67" t="s">
        <v>7360</v>
      </c>
      <c r="N67" t="s">
        <v>7361</v>
      </c>
      <c r="O67" t="s">
        <v>7362</v>
      </c>
      <c r="P67">
        <v>1888312</v>
      </c>
      <c r="Q67">
        <v>16326225</v>
      </c>
      <c r="S67">
        <v>18</v>
      </c>
      <c r="T67" s="375">
        <v>1811</v>
      </c>
      <c r="U67" t="s">
        <v>791</v>
      </c>
      <c r="V67" t="s">
        <v>194</v>
      </c>
      <c r="W67">
        <v>1</v>
      </c>
      <c r="X67">
        <v>1000559520</v>
      </c>
      <c r="AF67" t="s">
        <v>4714</v>
      </c>
      <c r="AG67" t="s">
        <v>83</v>
      </c>
      <c r="AI67" t="s">
        <v>6955</v>
      </c>
      <c r="AJ67" s="363" t="str">
        <f t="shared" si="0"/>
        <v>721204</v>
      </c>
    </row>
    <row r="68" spans="1:36" x14ac:dyDescent="0.25">
      <c r="A68" t="s">
        <v>4552</v>
      </c>
      <c r="B68" t="s">
        <v>83</v>
      </c>
      <c r="C68" t="s">
        <v>83</v>
      </c>
      <c r="D68" t="s">
        <v>7255</v>
      </c>
      <c r="E68" t="s">
        <v>192</v>
      </c>
      <c r="F68" s="28">
        <v>1</v>
      </c>
      <c r="G68" t="s">
        <v>193</v>
      </c>
      <c r="H68" t="s">
        <v>194</v>
      </c>
      <c r="I68" t="s">
        <v>7256</v>
      </c>
      <c r="J68" t="s">
        <v>7414</v>
      </c>
      <c r="K68" s="388" t="s">
        <v>7415</v>
      </c>
      <c r="L68" t="s">
        <v>6275</v>
      </c>
      <c r="M68" t="s">
        <v>7360</v>
      </c>
      <c r="N68" t="s">
        <v>7361</v>
      </c>
      <c r="O68" t="s">
        <v>7362</v>
      </c>
      <c r="P68">
        <v>1888313</v>
      </c>
      <c r="Q68">
        <v>16326226</v>
      </c>
      <c r="S68">
        <v>18</v>
      </c>
      <c r="T68" s="375">
        <v>1811</v>
      </c>
      <c r="U68" t="s">
        <v>791</v>
      </c>
      <c r="V68" t="s">
        <v>194</v>
      </c>
      <c r="W68">
        <v>1</v>
      </c>
      <c r="X68">
        <v>1000559521</v>
      </c>
      <c r="AF68" t="s">
        <v>4714</v>
      </c>
      <c r="AG68" t="s">
        <v>83</v>
      </c>
      <c r="AI68" t="s">
        <v>6955</v>
      </c>
      <c r="AJ68" s="363" t="str">
        <f t="shared" ref="AJ68:AJ131" si="1">MID(U68,8,6)</f>
        <v>721204</v>
      </c>
    </row>
    <row r="69" spans="1:36" x14ac:dyDescent="0.25">
      <c r="A69" t="s">
        <v>3956</v>
      </c>
      <c r="B69" t="s">
        <v>7416</v>
      </c>
      <c r="C69" s="386" t="s">
        <v>740</v>
      </c>
      <c r="D69" t="s">
        <v>7255</v>
      </c>
      <c r="E69" t="s">
        <v>192</v>
      </c>
      <c r="F69" s="28">
        <v>1</v>
      </c>
      <c r="G69" t="s">
        <v>193</v>
      </c>
      <c r="H69" t="s">
        <v>194</v>
      </c>
      <c r="I69" t="s">
        <v>7260</v>
      </c>
      <c r="J69" t="s">
        <v>367</v>
      </c>
      <c r="K69" s="388" t="s">
        <v>7417</v>
      </c>
      <c r="L69" t="s">
        <v>6245</v>
      </c>
      <c r="M69" t="s">
        <v>7360</v>
      </c>
      <c r="N69" t="s">
        <v>7361</v>
      </c>
      <c r="O69" t="s">
        <v>7362</v>
      </c>
      <c r="P69">
        <v>1888734</v>
      </c>
      <c r="Q69">
        <v>16326658</v>
      </c>
      <c r="S69">
        <v>18</v>
      </c>
      <c r="T69" s="375">
        <v>1805</v>
      </c>
      <c r="U69" t="s">
        <v>741</v>
      </c>
      <c r="V69" t="s">
        <v>194</v>
      </c>
      <c r="W69">
        <v>1</v>
      </c>
      <c r="X69">
        <v>1000560281</v>
      </c>
      <c r="AF69" t="s">
        <v>4714</v>
      </c>
      <c r="AG69" t="s">
        <v>7416</v>
      </c>
      <c r="AI69" t="s">
        <v>6955</v>
      </c>
      <c r="AJ69" s="363" t="str">
        <f t="shared" si="1"/>
        <v>522301</v>
      </c>
    </row>
    <row r="70" spans="1:36" x14ac:dyDescent="0.25">
      <c r="A70" t="s">
        <v>3956</v>
      </c>
      <c r="B70" t="s">
        <v>7416</v>
      </c>
      <c r="C70" s="386" t="s">
        <v>740</v>
      </c>
      <c r="D70" t="s">
        <v>7255</v>
      </c>
      <c r="E70" t="s">
        <v>192</v>
      </c>
      <c r="F70" s="28">
        <v>1</v>
      </c>
      <c r="G70" t="s">
        <v>193</v>
      </c>
      <c r="H70" t="s">
        <v>194</v>
      </c>
      <c r="I70" t="s">
        <v>7276</v>
      </c>
      <c r="J70" t="s">
        <v>385</v>
      </c>
      <c r="K70" s="388" t="s">
        <v>7418</v>
      </c>
      <c r="L70" t="s">
        <v>6245</v>
      </c>
      <c r="M70" t="s">
        <v>7360</v>
      </c>
      <c r="N70" t="s">
        <v>7361</v>
      </c>
      <c r="O70" t="s">
        <v>7362</v>
      </c>
      <c r="P70">
        <v>1888747</v>
      </c>
      <c r="Q70">
        <v>16326671</v>
      </c>
      <c r="S70">
        <v>18</v>
      </c>
      <c r="T70" s="375">
        <v>1861</v>
      </c>
      <c r="U70" t="s">
        <v>741</v>
      </c>
      <c r="V70" t="s">
        <v>194</v>
      </c>
      <c r="W70">
        <v>1</v>
      </c>
      <c r="X70">
        <v>1000560294</v>
      </c>
      <c r="AF70" t="s">
        <v>4714</v>
      </c>
      <c r="AG70" t="s">
        <v>7416</v>
      </c>
      <c r="AI70" t="s">
        <v>6955</v>
      </c>
      <c r="AJ70" s="363" t="str">
        <f t="shared" si="1"/>
        <v>522301</v>
      </c>
    </row>
    <row r="71" spans="1:36" x14ac:dyDescent="0.25">
      <c r="A71" t="s">
        <v>3956</v>
      </c>
      <c r="B71" t="s">
        <v>7416</v>
      </c>
      <c r="C71" s="386" t="s">
        <v>740</v>
      </c>
      <c r="D71" t="s">
        <v>7255</v>
      </c>
      <c r="E71" t="s">
        <v>192</v>
      </c>
      <c r="F71" s="28">
        <v>1</v>
      </c>
      <c r="G71" t="s">
        <v>193</v>
      </c>
      <c r="H71" t="s">
        <v>194</v>
      </c>
      <c r="I71" t="s">
        <v>7276</v>
      </c>
      <c r="J71" t="s">
        <v>4751</v>
      </c>
      <c r="K71" s="388" t="s">
        <v>7419</v>
      </c>
      <c r="L71" t="s">
        <v>6245</v>
      </c>
      <c r="M71" t="s">
        <v>7360</v>
      </c>
      <c r="N71" t="s">
        <v>7361</v>
      </c>
      <c r="O71" t="s">
        <v>7362</v>
      </c>
      <c r="P71">
        <v>1888764</v>
      </c>
      <c r="Q71">
        <v>16326688</v>
      </c>
      <c r="S71">
        <v>18</v>
      </c>
      <c r="T71" s="375">
        <v>1862</v>
      </c>
      <c r="U71" t="s">
        <v>741</v>
      </c>
      <c r="V71" t="s">
        <v>194</v>
      </c>
      <c r="W71">
        <v>1</v>
      </c>
      <c r="X71">
        <v>1000560311</v>
      </c>
      <c r="AF71" t="s">
        <v>4714</v>
      </c>
      <c r="AG71" t="s">
        <v>7416</v>
      </c>
      <c r="AI71" t="s">
        <v>6955</v>
      </c>
      <c r="AJ71" s="363" t="str">
        <f t="shared" si="1"/>
        <v>522301</v>
      </c>
    </row>
    <row r="72" spans="1:36" x14ac:dyDescent="0.25">
      <c r="A72" t="s">
        <v>3956</v>
      </c>
      <c r="B72" t="s">
        <v>7416</v>
      </c>
      <c r="C72" s="386" t="s">
        <v>740</v>
      </c>
      <c r="D72" t="s">
        <v>7255</v>
      </c>
      <c r="E72" t="s">
        <v>192</v>
      </c>
      <c r="F72" s="28">
        <v>1</v>
      </c>
      <c r="G72" t="s">
        <v>193</v>
      </c>
      <c r="H72" t="s">
        <v>194</v>
      </c>
      <c r="I72" t="s">
        <v>7276</v>
      </c>
      <c r="J72" t="s">
        <v>210</v>
      </c>
      <c r="K72" s="388" t="s">
        <v>7420</v>
      </c>
      <c r="L72" t="s">
        <v>6245</v>
      </c>
      <c r="M72" t="s">
        <v>7360</v>
      </c>
      <c r="N72" t="s">
        <v>7361</v>
      </c>
      <c r="O72" t="s">
        <v>7362</v>
      </c>
      <c r="P72">
        <v>1888767</v>
      </c>
      <c r="Q72">
        <v>16326691</v>
      </c>
      <c r="S72">
        <v>18</v>
      </c>
      <c r="T72" s="375">
        <v>1863</v>
      </c>
      <c r="U72" t="s">
        <v>741</v>
      </c>
      <c r="V72" t="s">
        <v>194</v>
      </c>
      <c r="W72">
        <v>1</v>
      </c>
      <c r="X72">
        <v>1000560314</v>
      </c>
      <c r="AF72" t="s">
        <v>4714</v>
      </c>
      <c r="AG72" t="s">
        <v>7416</v>
      </c>
      <c r="AI72" t="s">
        <v>6955</v>
      </c>
      <c r="AJ72" s="363" t="str">
        <f t="shared" si="1"/>
        <v>522301</v>
      </c>
    </row>
    <row r="73" spans="1:36" x14ac:dyDescent="0.25">
      <c r="A73" t="s">
        <v>7421</v>
      </c>
      <c r="B73" t="s">
        <v>7422</v>
      </c>
      <c r="C73" s="385" t="s">
        <v>17</v>
      </c>
      <c r="D73" t="s">
        <v>7255</v>
      </c>
      <c r="E73" t="s">
        <v>192</v>
      </c>
      <c r="F73" s="28">
        <v>1</v>
      </c>
      <c r="G73" t="s">
        <v>193</v>
      </c>
      <c r="H73" t="s">
        <v>194</v>
      </c>
      <c r="I73" t="s">
        <v>7260</v>
      </c>
      <c r="J73" t="s">
        <v>210</v>
      </c>
      <c r="K73" s="388" t="s">
        <v>7423</v>
      </c>
      <c r="L73" t="s">
        <v>6245</v>
      </c>
      <c r="M73" t="s">
        <v>7360</v>
      </c>
      <c r="N73" t="s">
        <v>7361</v>
      </c>
      <c r="O73" t="s">
        <v>7362</v>
      </c>
      <c r="P73">
        <v>1888897</v>
      </c>
      <c r="Q73">
        <v>16326824</v>
      </c>
      <c r="S73">
        <v>18</v>
      </c>
      <c r="T73" s="375">
        <v>1863</v>
      </c>
      <c r="U73" t="s">
        <v>624</v>
      </c>
      <c r="V73" t="s">
        <v>194</v>
      </c>
      <c r="W73">
        <v>1</v>
      </c>
      <c r="X73">
        <v>1000560564</v>
      </c>
      <c r="AF73" t="s">
        <v>4714</v>
      </c>
      <c r="AG73" t="s">
        <v>7422</v>
      </c>
      <c r="AI73" t="s">
        <v>6955</v>
      </c>
      <c r="AJ73" s="363" t="str">
        <f t="shared" si="1"/>
        <v>332203</v>
      </c>
    </row>
    <row r="74" spans="1:36" x14ac:dyDescent="0.25">
      <c r="A74" t="s">
        <v>3217</v>
      </c>
      <c r="B74" t="s">
        <v>7424</v>
      </c>
      <c r="C74" t="s">
        <v>27</v>
      </c>
      <c r="D74" t="s">
        <v>7255</v>
      </c>
      <c r="E74" t="s">
        <v>192</v>
      </c>
      <c r="F74" s="28">
        <v>1</v>
      </c>
      <c r="G74" t="s">
        <v>193</v>
      </c>
      <c r="H74" t="s">
        <v>194</v>
      </c>
      <c r="I74" t="s">
        <v>7268</v>
      </c>
      <c r="J74" t="s">
        <v>210</v>
      </c>
      <c r="K74" s="388" t="s">
        <v>7425</v>
      </c>
      <c r="L74" t="s">
        <v>6340</v>
      </c>
      <c r="M74" t="s">
        <v>7360</v>
      </c>
      <c r="N74" t="s">
        <v>7361</v>
      </c>
      <c r="O74" t="s">
        <v>7362</v>
      </c>
      <c r="P74">
        <v>1888906</v>
      </c>
      <c r="Q74">
        <v>16326833</v>
      </c>
      <c r="S74">
        <v>18</v>
      </c>
      <c r="T74" s="375">
        <v>1863</v>
      </c>
      <c r="U74" t="s">
        <v>440</v>
      </c>
      <c r="V74" t="s">
        <v>194</v>
      </c>
      <c r="W74">
        <v>1</v>
      </c>
      <c r="X74">
        <v>1000560585</v>
      </c>
      <c r="AF74" t="s">
        <v>4714</v>
      </c>
      <c r="AG74" t="s">
        <v>7424</v>
      </c>
      <c r="AI74" t="s">
        <v>6955</v>
      </c>
      <c r="AJ74" s="363" t="str">
        <f t="shared" si="1"/>
        <v>242307</v>
      </c>
    </row>
    <row r="75" spans="1:36" x14ac:dyDescent="0.25">
      <c r="A75" t="s">
        <v>1787</v>
      </c>
      <c r="B75" t="s">
        <v>7426</v>
      </c>
      <c r="C75" s="24" t="s">
        <v>19</v>
      </c>
      <c r="D75" t="s">
        <v>7255</v>
      </c>
      <c r="E75" t="s">
        <v>192</v>
      </c>
      <c r="F75" s="28">
        <v>1</v>
      </c>
      <c r="G75" t="s">
        <v>193</v>
      </c>
      <c r="H75" t="s">
        <v>194</v>
      </c>
      <c r="I75" t="s">
        <v>7260</v>
      </c>
      <c r="J75" t="s">
        <v>253</v>
      </c>
      <c r="K75" s="388" t="s">
        <v>7427</v>
      </c>
      <c r="L75" t="s">
        <v>6295</v>
      </c>
      <c r="M75" t="s">
        <v>7360</v>
      </c>
      <c r="N75" t="s">
        <v>7361</v>
      </c>
      <c r="O75" t="s">
        <v>7362</v>
      </c>
      <c r="P75">
        <v>1888935</v>
      </c>
      <c r="Q75">
        <v>16326862</v>
      </c>
      <c r="S75">
        <v>18</v>
      </c>
      <c r="T75" s="375">
        <v>1811</v>
      </c>
      <c r="U75" t="s">
        <v>337</v>
      </c>
      <c r="V75" t="s">
        <v>194</v>
      </c>
      <c r="W75">
        <v>1</v>
      </c>
      <c r="X75">
        <v>1000560659</v>
      </c>
      <c r="AF75" t="s">
        <v>4714</v>
      </c>
      <c r="AG75" t="s">
        <v>7426</v>
      </c>
      <c r="AI75" t="s">
        <v>6955</v>
      </c>
      <c r="AJ75" s="363" t="str">
        <f t="shared" si="1"/>
        <v>214903</v>
      </c>
    </row>
    <row r="76" spans="1:36" x14ac:dyDescent="0.25">
      <c r="A76" t="s">
        <v>7428</v>
      </c>
      <c r="B76" t="s">
        <v>7429</v>
      </c>
      <c r="C76" t="s">
        <v>115</v>
      </c>
      <c r="D76" t="s">
        <v>7255</v>
      </c>
      <c r="E76" t="s">
        <v>192</v>
      </c>
      <c r="F76" s="28">
        <v>1</v>
      </c>
      <c r="G76" t="s">
        <v>193</v>
      </c>
      <c r="H76" t="s">
        <v>194</v>
      </c>
      <c r="I76" t="s">
        <v>7268</v>
      </c>
      <c r="J76" t="s">
        <v>210</v>
      </c>
      <c r="K76" s="388" t="s">
        <v>7430</v>
      </c>
      <c r="L76" t="s">
        <v>6258</v>
      </c>
      <c r="M76" t="s">
        <v>7360</v>
      </c>
      <c r="N76" t="s">
        <v>7361</v>
      </c>
      <c r="O76" t="s">
        <v>7362</v>
      </c>
      <c r="P76">
        <v>1888952</v>
      </c>
      <c r="Q76">
        <v>16326879</v>
      </c>
      <c r="S76">
        <v>18</v>
      </c>
      <c r="T76" s="375">
        <v>1863</v>
      </c>
      <c r="U76" t="s">
        <v>1183</v>
      </c>
      <c r="V76" t="s">
        <v>194</v>
      </c>
      <c r="W76">
        <v>1</v>
      </c>
      <c r="X76">
        <v>1000560713</v>
      </c>
      <c r="AF76" t="s">
        <v>4714</v>
      </c>
      <c r="AG76" t="s">
        <v>7429</v>
      </c>
      <c r="AI76" t="s">
        <v>6955</v>
      </c>
      <c r="AJ76" s="363" t="str">
        <f t="shared" si="1"/>
        <v>311909</v>
      </c>
    </row>
    <row r="77" spans="1:36" x14ac:dyDescent="0.25">
      <c r="A77" t="s">
        <v>3217</v>
      </c>
      <c r="B77" t="s">
        <v>7431</v>
      </c>
      <c r="C77" s="385" t="s">
        <v>119</v>
      </c>
      <c r="D77" t="s">
        <v>7255</v>
      </c>
      <c r="E77" t="s">
        <v>192</v>
      </c>
      <c r="F77" s="28">
        <v>1</v>
      </c>
      <c r="G77" t="s">
        <v>193</v>
      </c>
      <c r="H77" t="s">
        <v>194</v>
      </c>
      <c r="I77" t="s">
        <v>7268</v>
      </c>
      <c r="J77" t="s">
        <v>2819</v>
      </c>
      <c r="K77" s="388" t="s">
        <v>7432</v>
      </c>
      <c r="L77" t="s">
        <v>6266</v>
      </c>
      <c r="M77" t="s">
        <v>7360</v>
      </c>
      <c r="N77" t="s">
        <v>7361</v>
      </c>
      <c r="O77" t="s">
        <v>7362</v>
      </c>
      <c r="P77">
        <v>1888990</v>
      </c>
      <c r="Q77">
        <v>16326917</v>
      </c>
      <c r="S77">
        <v>18</v>
      </c>
      <c r="T77" s="375">
        <v>1803</v>
      </c>
      <c r="U77" t="s">
        <v>666</v>
      </c>
      <c r="V77" t="s">
        <v>194</v>
      </c>
      <c r="W77">
        <v>1</v>
      </c>
      <c r="X77">
        <v>1000560779</v>
      </c>
      <c r="AF77" t="s">
        <v>4714</v>
      </c>
      <c r="AG77" t="s">
        <v>7431</v>
      </c>
      <c r="AI77" t="s">
        <v>6955</v>
      </c>
      <c r="AJ77" s="363" t="str">
        <f t="shared" si="1"/>
        <v>333105</v>
      </c>
    </row>
    <row r="78" spans="1:36" x14ac:dyDescent="0.25">
      <c r="A78" t="s">
        <v>7433</v>
      </c>
      <c r="B78" t="s">
        <v>7434</v>
      </c>
      <c r="C78" s="385" t="s">
        <v>122</v>
      </c>
      <c r="D78" t="s">
        <v>7255</v>
      </c>
      <c r="E78" t="s">
        <v>192</v>
      </c>
      <c r="F78" s="28">
        <v>1</v>
      </c>
      <c r="G78" t="s">
        <v>193</v>
      </c>
      <c r="H78" t="s">
        <v>194</v>
      </c>
      <c r="I78" t="s">
        <v>7268</v>
      </c>
      <c r="J78" t="s">
        <v>210</v>
      </c>
      <c r="K78" s="388" t="s">
        <v>7435</v>
      </c>
      <c r="L78" t="s">
        <v>6295</v>
      </c>
      <c r="M78" t="s">
        <v>7360</v>
      </c>
      <c r="N78" t="s">
        <v>7361</v>
      </c>
      <c r="O78" t="s">
        <v>7362</v>
      </c>
      <c r="P78">
        <v>1889078</v>
      </c>
      <c r="Q78">
        <v>16327011</v>
      </c>
      <c r="S78">
        <v>18</v>
      </c>
      <c r="T78" s="375">
        <v>1863</v>
      </c>
      <c r="U78" t="s">
        <v>655</v>
      </c>
      <c r="V78" t="s">
        <v>194</v>
      </c>
      <c r="W78">
        <v>1</v>
      </c>
      <c r="X78">
        <v>1000561008</v>
      </c>
      <c r="AF78" t="s">
        <v>4714</v>
      </c>
      <c r="AG78" t="s">
        <v>7434</v>
      </c>
      <c r="AI78" t="s">
        <v>6955</v>
      </c>
      <c r="AJ78" s="363" t="str">
        <f t="shared" si="1"/>
        <v>332301</v>
      </c>
    </row>
    <row r="79" spans="1:36" x14ac:dyDescent="0.25">
      <c r="A79" t="s">
        <v>7436</v>
      </c>
      <c r="B79" t="s">
        <v>7437</v>
      </c>
      <c r="C79" t="s">
        <v>43</v>
      </c>
      <c r="D79" t="s">
        <v>7255</v>
      </c>
      <c r="E79" t="s">
        <v>192</v>
      </c>
      <c r="F79" s="28">
        <v>1</v>
      </c>
      <c r="G79" t="s">
        <v>193</v>
      </c>
      <c r="H79" t="s">
        <v>194</v>
      </c>
      <c r="I79" t="s">
        <v>7276</v>
      </c>
      <c r="J79" t="s">
        <v>4751</v>
      </c>
      <c r="K79" s="388" t="s">
        <v>7438</v>
      </c>
      <c r="L79" t="s">
        <v>6266</v>
      </c>
      <c r="M79" t="s">
        <v>7360</v>
      </c>
      <c r="N79" t="s">
        <v>7361</v>
      </c>
      <c r="O79" t="s">
        <v>7362</v>
      </c>
      <c r="P79">
        <v>1889106</v>
      </c>
      <c r="Q79">
        <v>16327040</v>
      </c>
      <c r="S79">
        <v>18</v>
      </c>
      <c r="T79" s="375">
        <v>1862</v>
      </c>
      <c r="U79" t="s">
        <v>452</v>
      </c>
      <c r="V79" t="s">
        <v>194</v>
      </c>
      <c r="W79">
        <v>1</v>
      </c>
      <c r="X79">
        <v>1000561196</v>
      </c>
      <c r="AF79" t="s">
        <v>4714</v>
      </c>
      <c r="AG79" t="s">
        <v>7437</v>
      </c>
      <c r="AI79" t="s">
        <v>6955</v>
      </c>
      <c r="AJ79" s="363" t="str">
        <f t="shared" si="1"/>
        <v>243106</v>
      </c>
    </row>
    <row r="80" spans="1:36" x14ac:dyDescent="0.25">
      <c r="A80" t="s">
        <v>7436</v>
      </c>
      <c r="B80" t="s">
        <v>7439</v>
      </c>
      <c r="C80" s="386" t="s">
        <v>7440</v>
      </c>
      <c r="D80" t="s">
        <v>7255</v>
      </c>
      <c r="E80" t="s">
        <v>192</v>
      </c>
      <c r="F80" s="28">
        <v>1</v>
      </c>
      <c r="G80" t="s">
        <v>193</v>
      </c>
      <c r="H80" t="s">
        <v>194</v>
      </c>
      <c r="I80" t="s">
        <v>7268</v>
      </c>
      <c r="J80" t="s">
        <v>4751</v>
      </c>
      <c r="K80" s="388" t="s">
        <v>7441</v>
      </c>
      <c r="L80" t="s">
        <v>6286</v>
      </c>
      <c r="M80" t="s">
        <v>7360</v>
      </c>
      <c r="N80" t="s">
        <v>7361</v>
      </c>
      <c r="O80" t="s">
        <v>7362</v>
      </c>
      <c r="P80">
        <v>1889107</v>
      </c>
      <c r="Q80">
        <v>16327041</v>
      </c>
      <c r="S80">
        <v>18</v>
      </c>
      <c r="T80" s="375">
        <v>1862</v>
      </c>
      <c r="U80" t="s">
        <v>7442</v>
      </c>
      <c r="V80" t="s">
        <v>194</v>
      </c>
      <c r="W80">
        <v>1</v>
      </c>
      <c r="X80">
        <v>1000561200</v>
      </c>
      <c r="AF80" t="s">
        <v>4714</v>
      </c>
      <c r="AG80" t="s">
        <v>7439</v>
      </c>
      <c r="AI80" t="s">
        <v>6955</v>
      </c>
      <c r="AJ80" s="363" t="str">
        <f t="shared" si="1"/>
        <v>524401</v>
      </c>
    </row>
    <row r="81" spans="1:36" s="24" customFormat="1" x14ac:dyDescent="0.25">
      <c r="A81" s="24" t="s">
        <v>6834</v>
      </c>
      <c r="B81" s="24" t="s">
        <v>6835</v>
      </c>
      <c r="C81" s="24" t="s">
        <v>1325</v>
      </c>
      <c r="D81" s="24" t="s">
        <v>7443</v>
      </c>
      <c r="E81" s="24" t="s">
        <v>252</v>
      </c>
      <c r="F81" s="29">
        <v>1</v>
      </c>
      <c r="G81" s="24" t="s">
        <v>193</v>
      </c>
      <c r="H81" s="24" t="s">
        <v>194</v>
      </c>
      <c r="I81" s="24" t="s">
        <v>7260</v>
      </c>
      <c r="J81" s="24" t="s">
        <v>3838</v>
      </c>
      <c r="K81" s="24" t="s">
        <v>7444</v>
      </c>
      <c r="L81" s="24" t="s">
        <v>6275</v>
      </c>
      <c r="M81" s="24" t="s">
        <v>7445</v>
      </c>
      <c r="N81" s="24" t="s">
        <v>7014</v>
      </c>
      <c r="O81" s="24" t="s">
        <v>7443</v>
      </c>
      <c r="P81" s="24">
        <v>1902928</v>
      </c>
      <c r="Q81" s="24">
        <v>14974381</v>
      </c>
      <c r="S81" s="24">
        <v>18</v>
      </c>
      <c r="T81" s="379"/>
      <c r="U81" s="24" t="s">
        <v>1327</v>
      </c>
      <c r="V81" s="24" t="s">
        <v>193</v>
      </c>
      <c r="W81" s="24">
        <v>25</v>
      </c>
      <c r="AF81" s="24" t="s">
        <v>4714</v>
      </c>
      <c r="AI81" s="24" t="s">
        <v>6955</v>
      </c>
      <c r="AJ81" s="363" t="str">
        <f t="shared" si="1"/>
        <v>931301</v>
      </c>
    </row>
    <row r="82" spans="1:36" s="24" customFormat="1" x14ac:dyDescent="0.25">
      <c r="A82" s="24" t="s">
        <v>540</v>
      </c>
      <c r="B82" s="24" t="s">
        <v>647</v>
      </c>
      <c r="C82" s="385" t="s">
        <v>17</v>
      </c>
      <c r="D82" s="24" t="s">
        <v>7443</v>
      </c>
      <c r="E82" s="24" t="s">
        <v>252</v>
      </c>
      <c r="F82" s="29">
        <v>1</v>
      </c>
      <c r="G82" s="24" t="s">
        <v>193</v>
      </c>
      <c r="H82" s="24" t="s">
        <v>194</v>
      </c>
      <c r="I82" s="24" t="s">
        <v>7268</v>
      </c>
      <c r="J82" s="24" t="s">
        <v>210</v>
      </c>
      <c r="K82" s="24" t="s">
        <v>7446</v>
      </c>
      <c r="L82" s="24" t="s">
        <v>6249</v>
      </c>
      <c r="M82" s="24" t="s">
        <v>7445</v>
      </c>
      <c r="N82" s="24" t="s">
        <v>7443</v>
      </c>
      <c r="O82" s="24" t="s">
        <v>7278</v>
      </c>
      <c r="P82" s="24">
        <v>1902943</v>
      </c>
      <c r="Q82" s="24">
        <v>15658008</v>
      </c>
      <c r="S82" s="24">
        <v>18</v>
      </c>
      <c r="T82" s="377">
        <v>1863</v>
      </c>
      <c r="U82" s="24" t="s">
        <v>624</v>
      </c>
      <c r="V82" s="24" t="s">
        <v>194</v>
      </c>
      <c r="W82" s="24">
        <v>1</v>
      </c>
      <c r="Y82" s="24" t="s">
        <v>7447</v>
      </c>
      <c r="AF82" s="24" t="s">
        <v>4714</v>
      </c>
      <c r="AI82" s="24" t="s">
        <v>6955</v>
      </c>
      <c r="AJ82" s="363" t="str">
        <f t="shared" si="1"/>
        <v>332203</v>
      </c>
    </row>
    <row r="83" spans="1:36" x14ac:dyDescent="0.25">
      <c r="A83" t="s">
        <v>258</v>
      </c>
      <c r="B83" t="s">
        <v>537</v>
      </c>
      <c r="C83" s="386" t="s">
        <v>778</v>
      </c>
      <c r="D83" t="s">
        <v>7443</v>
      </c>
      <c r="E83" t="s">
        <v>233</v>
      </c>
      <c r="F83" s="28">
        <v>1</v>
      </c>
      <c r="G83" t="s">
        <v>193</v>
      </c>
      <c r="H83" t="s">
        <v>194</v>
      </c>
      <c r="I83" t="s">
        <v>7256</v>
      </c>
      <c r="J83" t="s">
        <v>1977</v>
      </c>
      <c r="K83" s="387" t="s">
        <v>7448</v>
      </c>
      <c r="L83" t="s">
        <v>6249</v>
      </c>
      <c r="M83" t="s">
        <v>7449</v>
      </c>
      <c r="N83" t="s">
        <v>7271</v>
      </c>
      <c r="O83" t="s">
        <v>7450</v>
      </c>
      <c r="P83">
        <v>1902986</v>
      </c>
      <c r="Q83">
        <v>16083984</v>
      </c>
      <c r="S83">
        <v>18</v>
      </c>
      <c r="T83" s="375">
        <v>1808</v>
      </c>
      <c r="U83" t="s">
        <v>779</v>
      </c>
      <c r="V83" t="s">
        <v>194</v>
      </c>
      <c r="W83">
        <v>1</v>
      </c>
      <c r="Y83" t="s">
        <v>7009</v>
      </c>
      <c r="AF83" t="s">
        <v>4714</v>
      </c>
      <c r="AG83" t="s">
        <v>778</v>
      </c>
      <c r="AI83" t="s">
        <v>6955</v>
      </c>
      <c r="AJ83" s="363" t="str">
        <f t="shared" si="1"/>
        <v>524902</v>
      </c>
    </row>
    <row r="84" spans="1:36" x14ac:dyDescent="0.25">
      <c r="A84" t="s">
        <v>7451</v>
      </c>
      <c r="B84" t="s">
        <v>7452</v>
      </c>
      <c r="C84" s="385" t="s">
        <v>17</v>
      </c>
      <c r="D84" t="s">
        <v>7443</v>
      </c>
      <c r="E84" t="s">
        <v>233</v>
      </c>
      <c r="F84" s="28">
        <v>1</v>
      </c>
      <c r="G84" t="s">
        <v>193</v>
      </c>
      <c r="H84" t="s">
        <v>194</v>
      </c>
      <c r="I84" t="s">
        <v>7260</v>
      </c>
      <c r="J84" t="s">
        <v>210</v>
      </c>
      <c r="K84" s="387" t="s">
        <v>7453</v>
      </c>
      <c r="L84" t="s">
        <v>6249</v>
      </c>
      <c r="M84" t="s">
        <v>7454</v>
      </c>
      <c r="N84" t="s">
        <v>7455</v>
      </c>
      <c r="O84" t="s">
        <v>7295</v>
      </c>
      <c r="P84">
        <v>1903019</v>
      </c>
      <c r="Q84">
        <v>16144587</v>
      </c>
      <c r="S84">
        <v>18</v>
      </c>
      <c r="T84" s="375">
        <v>1863</v>
      </c>
      <c r="U84" t="s">
        <v>624</v>
      </c>
      <c r="V84" t="s">
        <v>194</v>
      </c>
      <c r="W84">
        <v>1</v>
      </c>
      <c r="Y84" t="s">
        <v>7456</v>
      </c>
      <c r="AF84" t="s">
        <v>4714</v>
      </c>
      <c r="AG84" t="s">
        <v>7452</v>
      </c>
      <c r="AI84" t="s">
        <v>6955</v>
      </c>
      <c r="AJ84" s="363" t="str">
        <f t="shared" si="1"/>
        <v>332203</v>
      </c>
    </row>
    <row r="85" spans="1:36" x14ac:dyDescent="0.25">
      <c r="A85" t="s">
        <v>7457</v>
      </c>
      <c r="B85" t="s">
        <v>7458</v>
      </c>
      <c r="C85" t="s">
        <v>4671</v>
      </c>
      <c r="D85" t="s">
        <v>7443</v>
      </c>
      <c r="E85" t="s">
        <v>233</v>
      </c>
      <c r="F85" s="28">
        <v>1</v>
      </c>
      <c r="G85" t="s">
        <v>193</v>
      </c>
      <c r="H85" t="s">
        <v>194</v>
      </c>
      <c r="I85" t="s">
        <v>7276</v>
      </c>
      <c r="J85" t="s">
        <v>385</v>
      </c>
      <c r="K85" s="387" t="s">
        <v>7459</v>
      </c>
      <c r="L85" t="s">
        <v>6275</v>
      </c>
      <c r="M85" t="s">
        <v>7454</v>
      </c>
      <c r="N85" t="s">
        <v>7455</v>
      </c>
      <c r="O85" t="s">
        <v>7460</v>
      </c>
      <c r="P85">
        <v>1903154</v>
      </c>
      <c r="Q85">
        <v>16507587</v>
      </c>
      <c r="S85">
        <v>18</v>
      </c>
      <c r="T85" s="375">
        <v>1861</v>
      </c>
      <c r="U85" t="s">
        <v>4672</v>
      </c>
      <c r="V85" t="s">
        <v>194</v>
      </c>
      <c r="W85">
        <v>1</v>
      </c>
      <c r="Y85" t="s">
        <v>7461</v>
      </c>
      <c r="AF85" t="s">
        <v>4714</v>
      </c>
      <c r="AG85" t="s">
        <v>7458</v>
      </c>
      <c r="AI85" t="s">
        <v>6955</v>
      </c>
      <c r="AJ85" s="363" t="str">
        <f t="shared" si="1"/>
        <v>713207</v>
      </c>
    </row>
    <row r="86" spans="1:36" x14ac:dyDescent="0.25">
      <c r="A86" t="s">
        <v>5287</v>
      </c>
      <c r="B86" t="s">
        <v>7462</v>
      </c>
      <c r="C86" s="24" t="s">
        <v>144</v>
      </c>
      <c r="D86" t="s">
        <v>7443</v>
      </c>
      <c r="E86" t="s">
        <v>233</v>
      </c>
      <c r="F86" s="28">
        <v>1</v>
      </c>
      <c r="G86" t="s">
        <v>193</v>
      </c>
      <c r="H86" t="s">
        <v>194</v>
      </c>
      <c r="I86" t="s">
        <v>7260</v>
      </c>
      <c r="J86" t="s">
        <v>7463</v>
      </c>
      <c r="K86" s="387" t="s">
        <v>7464</v>
      </c>
      <c r="L86" t="s">
        <v>6245</v>
      </c>
      <c r="M86" t="s">
        <v>7454</v>
      </c>
      <c r="N86" t="s">
        <v>7455</v>
      </c>
      <c r="O86" t="s">
        <v>7460</v>
      </c>
      <c r="P86">
        <v>1903169</v>
      </c>
      <c r="Q86">
        <v>16507602</v>
      </c>
      <c r="S86">
        <v>18</v>
      </c>
      <c r="T86" s="375">
        <v>1817</v>
      </c>
      <c r="U86" t="s">
        <v>1980</v>
      </c>
      <c r="V86" t="s">
        <v>194</v>
      </c>
      <c r="W86">
        <v>1</v>
      </c>
      <c r="X86" t="s">
        <v>7465</v>
      </c>
      <c r="Y86" t="s">
        <v>7466</v>
      </c>
      <c r="AF86" t="s">
        <v>4714</v>
      </c>
      <c r="AG86" t="s">
        <v>7462</v>
      </c>
      <c r="AI86" t="s">
        <v>6955</v>
      </c>
      <c r="AJ86" s="363" t="str">
        <f t="shared" si="1"/>
        <v>214914</v>
      </c>
    </row>
    <row r="87" spans="1:36" x14ac:dyDescent="0.25">
      <c r="A87" t="s">
        <v>5287</v>
      </c>
      <c r="B87" t="s">
        <v>7467</v>
      </c>
      <c r="C87" s="24" t="s">
        <v>144</v>
      </c>
      <c r="D87" t="s">
        <v>7443</v>
      </c>
      <c r="E87" t="s">
        <v>233</v>
      </c>
      <c r="F87" s="28">
        <v>1</v>
      </c>
      <c r="G87" t="s">
        <v>193</v>
      </c>
      <c r="H87" t="s">
        <v>194</v>
      </c>
      <c r="I87" t="s">
        <v>7268</v>
      </c>
      <c r="J87" t="s">
        <v>367</v>
      </c>
      <c r="K87" s="387" t="s">
        <v>7468</v>
      </c>
      <c r="L87" t="s">
        <v>6245</v>
      </c>
      <c r="M87" t="s">
        <v>7454</v>
      </c>
      <c r="N87" t="s">
        <v>7455</v>
      </c>
      <c r="O87" t="s">
        <v>7460</v>
      </c>
      <c r="P87">
        <v>1903174</v>
      </c>
      <c r="Q87">
        <v>16507607</v>
      </c>
      <c r="S87">
        <v>18</v>
      </c>
      <c r="T87" s="375">
        <v>1805</v>
      </c>
      <c r="U87" t="s">
        <v>1980</v>
      </c>
      <c r="V87" t="s">
        <v>194</v>
      </c>
      <c r="W87">
        <v>1</v>
      </c>
      <c r="X87" t="s">
        <v>7469</v>
      </c>
      <c r="Y87" t="s">
        <v>7470</v>
      </c>
      <c r="AF87" t="s">
        <v>4714</v>
      </c>
      <c r="AG87" t="s">
        <v>7467</v>
      </c>
      <c r="AI87" t="s">
        <v>6955</v>
      </c>
      <c r="AJ87" s="363" t="str">
        <f t="shared" si="1"/>
        <v>214914</v>
      </c>
    </row>
    <row r="88" spans="1:36" x14ac:dyDescent="0.25">
      <c r="A88" t="s">
        <v>5287</v>
      </c>
      <c r="B88" t="s">
        <v>304</v>
      </c>
      <c r="C88" s="24" t="s">
        <v>319</v>
      </c>
      <c r="D88" t="s">
        <v>7443</v>
      </c>
      <c r="E88" t="s">
        <v>233</v>
      </c>
      <c r="F88" s="28">
        <v>1</v>
      </c>
      <c r="G88" t="s">
        <v>193</v>
      </c>
      <c r="H88" t="s">
        <v>194</v>
      </c>
      <c r="I88" t="s">
        <v>7268</v>
      </c>
      <c r="J88" t="s">
        <v>367</v>
      </c>
      <c r="K88" s="387" t="s">
        <v>7471</v>
      </c>
      <c r="L88" t="s">
        <v>6245</v>
      </c>
      <c r="M88" t="s">
        <v>7454</v>
      </c>
      <c r="N88" t="s">
        <v>7455</v>
      </c>
      <c r="O88" t="s">
        <v>7460</v>
      </c>
      <c r="P88">
        <v>1903265</v>
      </c>
      <c r="Q88">
        <v>16507698</v>
      </c>
      <c r="S88">
        <v>18</v>
      </c>
      <c r="T88" s="375">
        <v>1805</v>
      </c>
      <c r="U88" t="s">
        <v>320</v>
      </c>
      <c r="V88" t="s">
        <v>194</v>
      </c>
      <c r="W88">
        <v>1</v>
      </c>
      <c r="X88" t="s">
        <v>7472</v>
      </c>
      <c r="Y88" t="s">
        <v>7473</v>
      </c>
      <c r="AF88" t="s">
        <v>4714</v>
      </c>
      <c r="AG88" t="s">
        <v>304</v>
      </c>
      <c r="AI88" t="s">
        <v>6955</v>
      </c>
      <c r="AJ88" s="363" t="str">
        <f t="shared" si="1"/>
        <v>214407</v>
      </c>
    </row>
    <row r="89" spans="1:36" x14ac:dyDescent="0.25">
      <c r="A89" t="s">
        <v>2315</v>
      </c>
      <c r="B89" t="s">
        <v>7474</v>
      </c>
      <c r="C89" t="s">
        <v>2781</v>
      </c>
      <c r="D89" t="s">
        <v>7443</v>
      </c>
      <c r="E89" t="s">
        <v>233</v>
      </c>
      <c r="F89" s="28">
        <v>1</v>
      </c>
      <c r="G89" t="s">
        <v>193</v>
      </c>
      <c r="H89" t="s">
        <v>194</v>
      </c>
      <c r="I89" t="s">
        <v>7276</v>
      </c>
      <c r="J89" t="s">
        <v>196</v>
      </c>
      <c r="K89" s="387" t="s">
        <v>7475</v>
      </c>
      <c r="L89" t="s">
        <v>6258</v>
      </c>
      <c r="M89" t="s">
        <v>7454</v>
      </c>
      <c r="N89" t="s">
        <v>7455</v>
      </c>
      <c r="O89" t="s">
        <v>7460</v>
      </c>
      <c r="P89">
        <v>1903358</v>
      </c>
      <c r="Q89">
        <v>16507794</v>
      </c>
      <c r="S89">
        <v>18</v>
      </c>
      <c r="T89" s="375">
        <v>1816</v>
      </c>
      <c r="U89" t="s">
        <v>7476</v>
      </c>
      <c r="V89" t="s">
        <v>194</v>
      </c>
      <c r="W89">
        <v>1</v>
      </c>
      <c r="Y89" t="s">
        <v>7477</v>
      </c>
      <c r="AF89" t="s">
        <v>4714</v>
      </c>
      <c r="AG89" t="s">
        <v>7474</v>
      </c>
      <c r="AI89" t="s">
        <v>6955</v>
      </c>
      <c r="AJ89" s="363" t="str">
        <f t="shared" si="1"/>
        <v>311922</v>
      </c>
    </row>
    <row r="90" spans="1:36" x14ac:dyDescent="0.25">
      <c r="A90" t="s">
        <v>7354</v>
      </c>
      <c r="B90" t="s">
        <v>2124</v>
      </c>
      <c r="C90" t="s">
        <v>13</v>
      </c>
      <c r="D90" t="s">
        <v>7443</v>
      </c>
      <c r="E90" t="s">
        <v>233</v>
      </c>
      <c r="F90" s="28">
        <v>1</v>
      </c>
      <c r="G90" t="s">
        <v>193</v>
      </c>
      <c r="H90" t="s">
        <v>194</v>
      </c>
      <c r="I90" t="s">
        <v>7276</v>
      </c>
      <c r="J90" t="s">
        <v>385</v>
      </c>
      <c r="K90" s="387" t="s">
        <v>7478</v>
      </c>
      <c r="L90" t="s">
        <v>6306</v>
      </c>
      <c r="M90" t="s">
        <v>7454</v>
      </c>
      <c r="N90" t="s">
        <v>7455</v>
      </c>
      <c r="O90" t="s">
        <v>7479</v>
      </c>
      <c r="P90">
        <v>1903415</v>
      </c>
      <c r="Q90">
        <v>16507853</v>
      </c>
      <c r="S90">
        <v>18</v>
      </c>
      <c r="T90" s="375">
        <v>1861</v>
      </c>
      <c r="U90" t="s">
        <v>2125</v>
      </c>
      <c r="V90" t="s">
        <v>194</v>
      </c>
      <c r="W90">
        <v>1</v>
      </c>
      <c r="X90">
        <v>71008</v>
      </c>
      <c r="Y90" t="s">
        <v>7480</v>
      </c>
      <c r="AF90" t="s">
        <v>4714</v>
      </c>
      <c r="AG90" t="s">
        <v>2124</v>
      </c>
      <c r="AI90" t="s">
        <v>6955</v>
      </c>
      <c r="AJ90" s="363" t="str">
        <f t="shared" si="1"/>
        <v>225101</v>
      </c>
    </row>
    <row r="91" spans="1:36" s="25" customFormat="1" x14ac:dyDescent="0.25">
      <c r="A91" s="25" t="s">
        <v>7481</v>
      </c>
      <c r="B91" s="25" t="s">
        <v>7482</v>
      </c>
      <c r="C91" s="25" t="s">
        <v>706</v>
      </c>
      <c r="D91" s="25" t="s">
        <v>7443</v>
      </c>
      <c r="E91" s="25" t="s">
        <v>217</v>
      </c>
      <c r="F91" s="27">
        <v>1</v>
      </c>
      <c r="G91" s="25" t="s">
        <v>193</v>
      </c>
      <c r="H91" s="25" t="s">
        <v>194</v>
      </c>
      <c r="I91" s="25" t="s">
        <v>7268</v>
      </c>
      <c r="J91" s="25" t="s">
        <v>210</v>
      </c>
      <c r="K91" s="25" t="s">
        <v>7483</v>
      </c>
      <c r="L91" s="25" t="s">
        <v>6251</v>
      </c>
      <c r="M91" s="25" t="s">
        <v>7484</v>
      </c>
      <c r="N91" s="25" t="s">
        <v>7455</v>
      </c>
      <c r="O91" s="25" t="s">
        <v>7485</v>
      </c>
      <c r="P91" s="25">
        <v>1903717</v>
      </c>
      <c r="Q91" s="25">
        <v>16536075</v>
      </c>
      <c r="S91" s="25">
        <v>18</v>
      </c>
      <c r="T91" s="374">
        <v>1863</v>
      </c>
      <c r="U91" s="25" t="s">
        <v>707</v>
      </c>
      <c r="V91" s="25" t="s">
        <v>194</v>
      </c>
      <c r="W91" s="25">
        <v>1</v>
      </c>
      <c r="X91" s="25" t="s">
        <v>7486</v>
      </c>
      <c r="Y91" s="25" t="s">
        <v>4903</v>
      </c>
      <c r="AE91" s="25" t="s">
        <v>4904</v>
      </c>
      <c r="AF91" s="25" t="s">
        <v>4714</v>
      </c>
      <c r="AI91" s="25" t="s">
        <v>6955</v>
      </c>
      <c r="AJ91" s="363" t="str">
        <f t="shared" si="1"/>
        <v>422201</v>
      </c>
    </row>
    <row r="92" spans="1:36" s="25" customFormat="1" x14ac:dyDescent="0.25">
      <c r="A92" s="25" t="s">
        <v>1483</v>
      </c>
      <c r="B92" s="25" t="s">
        <v>7487</v>
      </c>
      <c r="C92" s="385" t="s">
        <v>122</v>
      </c>
      <c r="D92" s="25" t="s">
        <v>7443</v>
      </c>
      <c r="E92" s="25" t="s">
        <v>217</v>
      </c>
      <c r="F92" s="27">
        <v>1</v>
      </c>
      <c r="G92" s="25" t="s">
        <v>193</v>
      </c>
      <c r="H92" s="25" t="s">
        <v>194</v>
      </c>
      <c r="I92" s="25" t="s">
        <v>7276</v>
      </c>
      <c r="J92" s="25" t="s">
        <v>210</v>
      </c>
      <c r="K92" s="25" t="s">
        <v>7488</v>
      </c>
      <c r="L92" s="25" t="s">
        <v>7489</v>
      </c>
      <c r="M92" s="25" t="s">
        <v>7484</v>
      </c>
      <c r="N92" s="25" t="s">
        <v>7455</v>
      </c>
      <c r="O92" s="25" t="s">
        <v>7256</v>
      </c>
      <c r="P92" s="25">
        <v>1903735</v>
      </c>
      <c r="Q92" s="25">
        <v>16536093</v>
      </c>
      <c r="S92" s="25">
        <v>18</v>
      </c>
      <c r="T92" s="374">
        <v>1816</v>
      </c>
      <c r="U92" s="25" t="s">
        <v>655</v>
      </c>
      <c r="V92" s="25" t="s">
        <v>194</v>
      </c>
      <c r="W92" s="25">
        <v>1</v>
      </c>
      <c r="X92" s="25" t="s">
        <v>7490</v>
      </c>
      <c r="Y92" s="25" t="s">
        <v>7491</v>
      </c>
      <c r="AE92" s="25" t="s">
        <v>4904</v>
      </c>
      <c r="AF92" s="25" t="s">
        <v>4714</v>
      </c>
      <c r="AI92" s="25" t="s">
        <v>6955</v>
      </c>
      <c r="AJ92" s="363" t="str">
        <f t="shared" si="1"/>
        <v>332301</v>
      </c>
    </row>
    <row r="93" spans="1:36" x14ac:dyDescent="0.25">
      <c r="A93" t="s">
        <v>5393</v>
      </c>
      <c r="B93" t="s">
        <v>5509</v>
      </c>
      <c r="C93" s="385" t="s">
        <v>617</v>
      </c>
      <c r="D93" t="s">
        <v>7443</v>
      </c>
      <c r="E93" t="s">
        <v>192</v>
      </c>
      <c r="F93" s="28">
        <v>1</v>
      </c>
      <c r="G93" t="s">
        <v>193</v>
      </c>
      <c r="H93" t="s">
        <v>194</v>
      </c>
      <c r="I93" t="s">
        <v>7276</v>
      </c>
      <c r="J93" t="s">
        <v>3148</v>
      </c>
      <c r="K93" s="388" t="s">
        <v>7492</v>
      </c>
      <c r="L93" t="s">
        <v>6254</v>
      </c>
      <c r="M93" t="s">
        <v>7493</v>
      </c>
      <c r="N93" t="s">
        <v>7494</v>
      </c>
      <c r="O93" t="s">
        <v>7495</v>
      </c>
      <c r="P93">
        <v>1903961</v>
      </c>
      <c r="Q93">
        <v>16536328</v>
      </c>
      <c r="S93">
        <v>18</v>
      </c>
      <c r="T93" s="376" t="s">
        <v>7496</v>
      </c>
      <c r="U93" t="s">
        <v>618</v>
      </c>
      <c r="V93" t="s">
        <v>194</v>
      </c>
      <c r="W93">
        <v>21</v>
      </c>
      <c r="X93">
        <v>7755695</v>
      </c>
      <c r="AF93" t="s">
        <v>4714</v>
      </c>
      <c r="AG93" t="s">
        <v>5509</v>
      </c>
      <c r="AI93" t="s">
        <v>6955</v>
      </c>
      <c r="AJ93" s="363" t="str">
        <f t="shared" si="1"/>
        <v>332104</v>
      </c>
    </row>
    <row r="94" spans="1:36" x14ac:dyDescent="0.25">
      <c r="A94" t="s">
        <v>1446</v>
      </c>
      <c r="B94" t="s">
        <v>7497</v>
      </c>
      <c r="C94" t="s">
        <v>147</v>
      </c>
      <c r="D94" t="s">
        <v>7443</v>
      </c>
      <c r="E94" t="s">
        <v>192</v>
      </c>
      <c r="F94" s="28">
        <v>1</v>
      </c>
      <c r="G94" t="s">
        <v>193</v>
      </c>
      <c r="H94" t="s">
        <v>194</v>
      </c>
      <c r="I94" t="s">
        <v>7268</v>
      </c>
      <c r="J94" t="s">
        <v>672</v>
      </c>
      <c r="K94" s="388" t="s">
        <v>7498</v>
      </c>
      <c r="L94" t="s">
        <v>6245</v>
      </c>
      <c r="M94" t="s">
        <v>7493</v>
      </c>
      <c r="N94" t="s">
        <v>7494</v>
      </c>
      <c r="O94" t="s">
        <v>7495</v>
      </c>
      <c r="P94">
        <v>1904061</v>
      </c>
      <c r="Q94">
        <v>16536429</v>
      </c>
      <c r="S94">
        <v>18</v>
      </c>
      <c r="T94" s="375">
        <v>1816</v>
      </c>
      <c r="U94" t="s">
        <v>2030</v>
      </c>
      <c r="V94" t="s">
        <v>194</v>
      </c>
      <c r="W94">
        <v>1</v>
      </c>
      <c r="X94">
        <v>1000568270</v>
      </c>
      <c r="AF94" t="s">
        <v>4714</v>
      </c>
      <c r="AG94" t="s">
        <v>7497</v>
      </c>
      <c r="AI94" t="s">
        <v>6955</v>
      </c>
      <c r="AJ94" s="363" t="str">
        <f t="shared" si="1"/>
        <v>132102</v>
      </c>
    </row>
    <row r="95" spans="1:36" x14ac:dyDescent="0.25">
      <c r="A95" t="s">
        <v>7499</v>
      </c>
      <c r="B95" t="s">
        <v>7500</v>
      </c>
      <c r="C95" t="s">
        <v>7501</v>
      </c>
      <c r="D95" t="s">
        <v>7443</v>
      </c>
      <c r="E95" t="s">
        <v>192</v>
      </c>
      <c r="F95" s="28">
        <v>1</v>
      </c>
      <c r="G95" t="s">
        <v>193</v>
      </c>
      <c r="H95" t="s">
        <v>194</v>
      </c>
      <c r="I95" t="s">
        <v>7268</v>
      </c>
      <c r="J95" t="s">
        <v>7502</v>
      </c>
      <c r="K95" s="388" t="s">
        <v>7503</v>
      </c>
      <c r="L95" t="s">
        <v>6286</v>
      </c>
      <c r="M95" t="s">
        <v>7493</v>
      </c>
      <c r="N95" t="s">
        <v>7494</v>
      </c>
      <c r="O95" t="s">
        <v>7495</v>
      </c>
      <c r="P95">
        <v>1904064</v>
      </c>
      <c r="Q95">
        <v>16536432</v>
      </c>
      <c r="S95">
        <v>18</v>
      </c>
      <c r="T95" s="375">
        <v>1821</v>
      </c>
      <c r="U95" t="s">
        <v>4039</v>
      </c>
      <c r="V95" t="s">
        <v>194</v>
      </c>
      <c r="W95">
        <v>1</v>
      </c>
      <c r="X95">
        <v>1000567883</v>
      </c>
      <c r="AF95" t="s">
        <v>4714</v>
      </c>
      <c r="AG95" t="s">
        <v>7500</v>
      </c>
      <c r="AI95" t="s">
        <v>6955</v>
      </c>
      <c r="AJ95" s="363" t="str">
        <f t="shared" si="1"/>
        <v>431101</v>
      </c>
    </row>
    <row r="96" spans="1:36" x14ac:dyDescent="0.25">
      <c r="A96" t="s">
        <v>7504</v>
      </c>
      <c r="B96" t="s">
        <v>7505</v>
      </c>
      <c r="C96" t="s">
        <v>27</v>
      </c>
      <c r="D96" t="s">
        <v>7443</v>
      </c>
      <c r="E96" t="s">
        <v>192</v>
      </c>
      <c r="F96" s="28">
        <v>1</v>
      </c>
      <c r="G96" t="s">
        <v>193</v>
      </c>
      <c r="H96" t="s">
        <v>194</v>
      </c>
      <c r="I96" t="s">
        <v>7268</v>
      </c>
      <c r="J96" t="s">
        <v>747</v>
      </c>
      <c r="K96" s="388" t="s">
        <v>7506</v>
      </c>
      <c r="L96" t="s">
        <v>6340</v>
      </c>
      <c r="M96" t="s">
        <v>7493</v>
      </c>
      <c r="N96" t="s">
        <v>7494</v>
      </c>
      <c r="O96" t="s">
        <v>7495</v>
      </c>
      <c r="P96">
        <v>1904075</v>
      </c>
      <c r="Q96">
        <v>16536443</v>
      </c>
      <c r="S96">
        <v>18</v>
      </c>
      <c r="T96" s="375">
        <v>1817</v>
      </c>
      <c r="U96" t="s">
        <v>440</v>
      </c>
      <c r="V96" t="s">
        <v>194</v>
      </c>
      <c r="W96">
        <v>1</v>
      </c>
      <c r="X96">
        <v>1000569050</v>
      </c>
      <c r="AF96" t="s">
        <v>4714</v>
      </c>
      <c r="AG96" t="s">
        <v>7505</v>
      </c>
      <c r="AI96" t="s">
        <v>6955</v>
      </c>
      <c r="AJ96" s="363" t="str">
        <f t="shared" si="1"/>
        <v>242307</v>
      </c>
    </row>
    <row r="97" spans="1:36" x14ac:dyDescent="0.25">
      <c r="A97" t="s">
        <v>7504</v>
      </c>
      <c r="B97" t="s">
        <v>6500</v>
      </c>
      <c r="C97" t="s">
        <v>27</v>
      </c>
      <c r="D97" t="s">
        <v>7443</v>
      </c>
      <c r="E97" t="s">
        <v>192</v>
      </c>
      <c r="F97" s="28">
        <v>1</v>
      </c>
      <c r="G97" t="s">
        <v>193</v>
      </c>
      <c r="H97" t="s">
        <v>194</v>
      </c>
      <c r="I97" t="s">
        <v>7268</v>
      </c>
      <c r="J97" t="s">
        <v>747</v>
      </c>
      <c r="K97" s="388" t="s">
        <v>7507</v>
      </c>
      <c r="L97" t="s">
        <v>6340</v>
      </c>
      <c r="M97" t="s">
        <v>7493</v>
      </c>
      <c r="N97" t="s">
        <v>7494</v>
      </c>
      <c r="O97" t="s">
        <v>7495</v>
      </c>
      <c r="P97">
        <v>1904081</v>
      </c>
      <c r="Q97">
        <v>16536449</v>
      </c>
      <c r="S97">
        <v>18</v>
      </c>
      <c r="T97" s="375">
        <v>1817</v>
      </c>
      <c r="U97" t="s">
        <v>440</v>
      </c>
      <c r="V97" t="s">
        <v>194</v>
      </c>
      <c r="W97">
        <v>1</v>
      </c>
      <c r="X97">
        <v>1000568955</v>
      </c>
      <c r="AF97" t="s">
        <v>4714</v>
      </c>
      <c r="AG97" t="s">
        <v>6500</v>
      </c>
      <c r="AI97" t="s">
        <v>6955</v>
      </c>
      <c r="AJ97" s="363" t="str">
        <f t="shared" si="1"/>
        <v>242307</v>
      </c>
    </row>
    <row r="98" spans="1:36" x14ac:dyDescent="0.25">
      <c r="A98" t="s">
        <v>1499</v>
      </c>
      <c r="B98" t="s">
        <v>7508</v>
      </c>
      <c r="C98" t="s">
        <v>420</v>
      </c>
      <c r="D98" t="s">
        <v>7443</v>
      </c>
      <c r="E98" t="s">
        <v>192</v>
      </c>
      <c r="F98" s="28">
        <v>1</v>
      </c>
      <c r="G98" t="s">
        <v>193</v>
      </c>
      <c r="H98" t="s">
        <v>194</v>
      </c>
      <c r="I98" t="s">
        <v>7268</v>
      </c>
      <c r="J98" t="s">
        <v>210</v>
      </c>
      <c r="K98" s="388" t="s">
        <v>7509</v>
      </c>
      <c r="L98" t="s">
        <v>6327</v>
      </c>
      <c r="M98" t="s">
        <v>7493</v>
      </c>
      <c r="N98" t="s">
        <v>7494</v>
      </c>
      <c r="O98" t="s">
        <v>7495</v>
      </c>
      <c r="P98">
        <v>1904107</v>
      </c>
      <c r="Q98">
        <v>16536475</v>
      </c>
      <c r="S98">
        <v>18</v>
      </c>
      <c r="T98" s="375">
        <v>1863</v>
      </c>
      <c r="U98" t="s">
        <v>421</v>
      </c>
      <c r="V98" t="s">
        <v>194</v>
      </c>
      <c r="W98">
        <v>1</v>
      </c>
      <c r="X98">
        <v>1000569729</v>
      </c>
      <c r="AF98" t="s">
        <v>4714</v>
      </c>
      <c r="AG98" t="s">
        <v>7508</v>
      </c>
      <c r="AI98" t="s">
        <v>6955</v>
      </c>
      <c r="AJ98" s="363" t="str">
        <f t="shared" si="1"/>
        <v>241306</v>
      </c>
    </row>
    <row r="99" spans="1:36" x14ac:dyDescent="0.25">
      <c r="A99" t="s">
        <v>7510</v>
      </c>
      <c r="B99" t="s">
        <v>7511</v>
      </c>
      <c r="C99" t="s">
        <v>10</v>
      </c>
      <c r="D99" t="s">
        <v>7443</v>
      </c>
      <c r="E99" t="s">
        <v>192</v>
      </c>
      <c r="F99" s="28">
        <v>1</v>
      </c>
      <c r="G99" t="s">
        <v>193</v>
      </c>
      <c r="H99" t="s">
        <v>194</v>
      </c>
      <c r="I99" t="s">
        <v>7260</v>
      </c>
      <c r="J99" t="s">
        <v>210</v>
      </c>
      <c r="K99" s="388" t="s">
        <v>7512</v>
      </c>
      <c r="L99" t="s">
        <v>6261</v>
      </c>
      <c r="M99" t="s">
        <v>7493</v>
      </c>
      <c r="N99" t="s">
        <v>7494</v>
      </c>
      <c r="O99" t="s">
        <v>7495</v>
      </c>
      <c r="P99">
        <v>1904241</v>
      </c>
      <c r="Q99">
        <v>16536613</v>
      </c>
      <c r="S99">
        <v>18</v>
      </c>
      <c r="T99" s="375">
        <v>1863</v>
      </c>
      <c r="U99" t="s">
        <v>484</v>
      </c>
      <c r="V99" t="s">
        <v>194</v>
      </c>
      <c r="W99">
        <v>1</v>
      </c>
      <c r="X99">
        <v>7757826</v>
      </c>
      <c r="AF99" t="s">
        <v>4714</v>
      </c>
      <c r="AG99" t="s">
        <v>7511</v>
      </c>
      <c r="AI99" t="s">
        <v>6955</v>
      </c>
      <c r="AJ99" s="363" t="str">
        <f t="shared" si="1"/>
        <v>251401</v>
      </c>
    </row>
    <row r="100" spans="1:36" x14ac:dyDescent="0.25">
      <c r="A100" t="s">
        <v>3177</v>
      </c>
      <c r="B100" t="s">
        <v>7513</v>
      </c>
      <c r="C100" s="386" t="s">
        <v>740</v>
      </c>
      <c r="D100" t="s">
        <v>7443</v>
      </c>
      <c r="E100" t="s">
        <v>192</v>
      </c>
      <c r="F100" s="28">
        <v>1</v>
      </c>
      <c r="G100" t="s">
        <v>193</v>
      </c>
      <c r="H100" t="s">
        <v>194</v>
      </c>
      <c r="I100" t="s">
        <v>7256</v>
      </c>
      <c r="J100" t="s">
        <v>399</v>
      </c>
      <c r="K100" s="388" t="s">
        <v>7514</v>
      </c>
      <c r="L100" t="s">
        <v>6288</v>
      </c>
      <c r="M100" t="s">
        <v>7493</v>
      </c>
      <c r="N100" t="s">
        <v>7494</v>
      </c>
      <c r="O100" t="s">
        <v>7495</v>
      </c>
      <c r="P100">
        <v>1904335</v>
      </c>
      <c r="Q100">
        <v>16536737</v>
      </c>
      <c r="S100">
        <v>18</v>
      </c>
      <c r="T100" s="375">
        <v>1802</v>
      </c>
      <c r="U100" t="s">
        <v>741</v>
      </c>
      <c r="V100" t="s">
        <v>194</v>
      </c>
      <c r="W100">
        <v>1</v>
      </c>
      <c r="X100">
        <v>1000568098</v>
      </c>
      <c r="AF100" t="s">
        <v>4714</v>
      </c>
      <c r="AG100" t="s">
        <v>7513</v>
      </c>
      <c r="AI100" t="s">
        <v>6955</v>
      </c>
      <c r="AJ100" s="363" t="str">
        <f t="shared" si="1"/>
        <v>522301</v>
      </c>
    </row>
    <row r="101" spans="1:36" x14ac:dyDescent="0.25">
      <c r="A101" t="s">
        <v>3177</v>
      </c>
      <c r="B101" t="s">
        <v>7513</v>
      </c>
      <c r="C101" s="386" t="s">
        <v>740</v>
      </c>
      <c r="D101" t="s">
        <v>7443</v>
      </c>
      <c r="E101" t="s">
        <v>192</v>
      </c>
      <c r="F101" s="28">
        <v>1</v>
      </c>
      <c r="G101" t="s">
        <v>193</v>
      </c>
      <c r="H101" t="s">
        <v>194</v>
      </c>
      <c r="I101" t="s">
        <v>7256</v>
      </c>
      <c r="J101" t="s">
        <v>276</v>
      </c>
      <c r="K101" s="388" t="s">
        <v>7515</v>
      </c>
      <c r="L101" t="s">
        <v>6288</v>
      </c>
      <c r="M101" t="s">
        <v>7493</v>
      </c>
      <c r="N101" t="s">
        <v>7494</v>
      </c>
      <c r="O101" t="s">
        <v>7495</v>
      </c>
      <c r="P101">
        <v>1904336</v>
      </c>
      <c r="Q101">
        <v>16536738</v>
      </c>
      <c r="S101">
        <v>18</v>
      </c>
      <c r="T101" s="375">
        <v>1803</v>
      </c>
      <c r="U101" t="s">
        <v>741</v>
      </c>
      <c r="V101" t="s">
        <v>194</v>
      </c>
      <c r="W101">
        <v>1</v>
      </c>
      <c r="X101">
        <v>1000568099</v>
      </c>
      <c r="AF101" t="s">
        <v>4714</v>
      </c>
      <c r="AG101" t="s">
        <v>7513</v>
      </c>
      <c r="AI101" t="s">
        <v>6955</v>
      </c>
      <c r="AJ101" s="363" t="str">
        <f t="shared" si="1"/>
        <v>522301</v>
      </c>
    </row>
    <row r="102" spans="1:36" x14ac:dyDescent="0.25">
      <c r="A102" t="s">
        <v>3177</v>
      </c>
      <c r="B102" t="s">
        <v>7513</v>
      </c>
      <c r="C102" s="386" t="s">
        <v>740</v>
      </c>
      <c r="D102" t="s">
        <v>7443</v>
      </c>
      <c r="E102" t="s">
        <v>192</v>
      </c>
      <c r="F102" s="28">
        <v>1</v>
      </c>
      <c r="G102" t="s">
        <v>193</v>
      </c>
      <c r="H102" t="s">
        <v>194</v>
      </c>
      <c r="I102" t="s">
        <v>7256</v>
      </c>
      <c r="J102" t="s">
        <v>385</v>
      </c>
      <c r="K102" s="388" t="s">
        <v>7516</v>
      </c>
      <c r="L102" t="s">
        <v>6288</v>
      </c>
      <c r="M102" t="s">
        <v>7493</v>
      </c>
      <c r="N102" t="s">
        <v>7494</v>
      </c>
      <c r="O102" t="s">
        <v>7495</v>
      </c>
      <c r="P102">
        <v>1904337</v>
      </c>
      <c r="Q102">
        <v>16536739</v>
      </c>
      <c r="S102">
        <v>18</v>
      </c>
      <c r="T102" s="375">
        <v>1861</v>
      </c>
      <c r="U102" t="s">
        <v>741</v>
      </c>
      <c r="V102" t="s">
        <v>194</v>
      </c>
      <c r="W102">
        <v>1</v>
      </c>
      <c r="X102">
        <v>1000568100</v>
      </c>
      <c r="AF102" t="s">
        <v>4714</v>
      </c>
      <c r="AG102" t="s">
        <v>7513</v>
      </c>
      <c r="AI102" t="s">
        <v>6955</v>
      </c>
      <c r="AJ102" s="363" t="str">
        <f t="shared" si="1"/>
        <v>522301</v>
      </c>
    </row>
    <row r="103" spans="1:36" x14ac:dyDescent="0.25">
      <c r="A103" t="s">
        <v>3177</v>
      </c>
      <c r="B103" t="s">
        <v>7513</v>
      </c>
      <c r="C103" s="386" t="s">
        <v>740</v>
      </c>
      <c r="D103" t="s">
        <v>7443</v>
      </c>
      <c r="E103" t="s">
        <v>192</v>
      </c>
      <c r="F103" s="28">
        <v>1</v>
      </c>
      <c r="G103" t="s">
        <v>193</v>
      </c>
      <c r="H103" t="s">
        <v>194</v>
      </c>
      <c r="I103" t="s">
        <v>7256</v>
      </c>
      <c r="J103" t="s">
        <v>309</v>
      </c>
      <c r="K103" s="388" t="s">
        <v>7517</v>
      </c>
      <c r="L103" t="s">
        <v>6288</v>
      </c>
      <c r="M103" t="s">
        <v>7493</v>
      </c>
      <c r="N103" t="s">
        <v>7494</v>
      </c>
      <c r="O103" t="s">
        <v>7495</v>
      </c>
      <c r="P103">
        <v>1904338</v>
      </c>
      <c r="Q103">
        <v>16536740</v>
      </c>
      <c r="S103">
        <v>18</v>
      </c>
      <c r="T103" s="375">
        <v>1815</v>
      </c>
      <c r="U103" t="s">
        <v>741</v>
      </c>
      <c r="V103" t="s">
        <v>194</v>
      </c>
      <c r="W103">
        <v>1</v>
      </c>
      <c r="X103">
        <v>1000568101</v>
      </c>
      <c r="AF103" t="s">
        <v>4714</v>
      </c>
      <c r="AG103" t="s">
        <v>7513</v>
      </c>
      <c r="AI103" t="s">
        <v>6955</v>
      </c>
      <c r="AJ103" s="363" t="str">
        <f t="shared" si="1"/>
        <v>522301</v>
      </c>
    </row>
    <row r="104" spans="1:36" x14ac:dyDescent="0.25">
      <c r="A104" t="s">
        <v>3177</v>
      </c>
      <c r="B104" t="s">
        <v>7513</v>
      </c>
      <c r="C104" s="386" t="s">
        <v>740</v>
      </c>
      <c r="D104" t="s">
        <v>7443</v>
      </c>
      <c r="E104" t="s">
        <v>192</v>
      </c>
      <c r="F104" s="28">
        <v>1</v>
      </c>
      <c r="G104" t="s">
        <v>193</v>
      </c>
      <c r="H104" t="s">
        <v>194</v>
      </c>
      <c r="I104" t="s">
        <v>7256</v>
      </c>
      <c r="J104" t="s">
        <v>285</v>
      </c>
      <c r="K104" s="388" t="s">
        <v>7518</v>
      </c>
      <c r="L104" t="s">
        <v>6288</v>
      </c>
      <c r="M104" t="s">
        <v>7493</v>
      </c>
      <c r="N104" t="s">
        <v>7494</v>
      </c>
      <c r="O104" t="s">
        <v>7495</v>
      </c>
      <c r="P104">
        <v>1904339</v>
      </c>
      <c r="Q104">
        <v>16536741</v>
      </c>
      <c r="S104">
        <v>18</v>
      </c>
      <c r="T104" s="375">
        <v>1815</v>
      </c>
      <c r="U104" t="s">
        <v>741</v>
      </c>
      <c r="V104" t="s">
        <v>194</v>
      </c>
      <c r="W104">
        <v>1</v>
      </c>
      <c r="X104">
        <v>1000568102</v>
      </c>
      <c r="AF104" t="s">
        <v>4714</v>
      </c>
      <c r="AG104" t="s">
        <v>7513</v>
      </c>
      <c r="AI104" t="s">
        <v>6955</v>
      </c>
      <c r="AJ104" s="363" t="str">
        <f t="shared" si="1"/>
        <v>522301</v>
      </c>
    </row>
    <row r="105" spans="1:36" x14ac:dyDescent="0.25">
      <c r="A105" t="s">
        <v>7519</v>
      </c>
      <c r="B105" t="s">
        <v>7520</v>
      </c>
      <c r="C105" t="s">
        <v>39</v>
      </c>
      <c r="D105" t="s">
        <v>7443</v>
      </c>
      <c r="E105" t="s">
        <v>192</v>
      </c>
      <c r="F105" s="28">
        <v>1</v>
      </c>
      <c r="G105" t="s">
        <v>193</v>
      </c>
      <c r="H105" t="s">
        <v>194</v>
      </c>
      <c r="I105" t="s">
        <v>7260</v>
      </c>
      <c r="J105" t="s">
        <v>4751</v>
      </c>
      <c r="K105" s="388" t="s">
        <v>7521</v>
      </c>
      <c r="L105" t="s">
        <v>6245</v>
      </c>
      <c r="M105" t="s">
        <v>7493</v>
      </c>
      <c r="N105" t="s">
        <v>7494</v>
      </c>
      <c r="O105" t="s">
        <v>7495</v>
      </c>
      <c r="P105">
        <v>1904357</v>
      </c>
      <c r="Q105">
        <v>16536760</v>
      </c>
      <c r="S105">
        <v>18</v>
      </c>
      <c r="T105" s="375">
        <v>1862</v>
      </c>
      <c r="U105" t="s">
        <v>551</v>
      </c>
      <c r="V105" t="s">
        <v>194</v>
      </c>
      <c r="W105">
        <v>1</v>
      </c>
      <c r="X105">
        <v>7756426</v>
      </c>
      <c r="AF105" t="s">
        <v>4714</v>
      </c>
      <c r="AG105" t="s">
        <v>7520</v>
      </c>
      <c r="AI105" t="s">
        <v>6955</v>
      </c>
      <c r="AJ105" s="363" t="str">
        <f t="shared" si="1"/>
        <v>311204</v>
      </c>
    </row>
    <row r="106" spans="1:36" x14ac:dyDescent="0.25">
      <c r="A106" t="s">
        <v>3177</v>
      </c>
      <c r="B106" t="s">
        <v>7513</v>
      </c>
      <c r="C106" s="386" t="s">
        <v>740</v>
      </c>
      <c r="D106" t="s">
        <v>7443</v>
      </c>
      <c r="E106" t="s">
        <v>192</v>
      </c>
      <c r="F106" s="28">
        <v>1</v>
      </c>
      <c r="G106" t="s">
        <v>193</v>
      </c>
      <c r="H106" t="s">
        <v>194</v>
      </c>
      <c r="I106" t="s">
        <v>7256</v>
      </c>
      <c r="J106" t="s">
        <v>367</v>
      </c>
      <c r="K106" s="388" t="s">
        <v>7522</v>
      </c>
      <c r="L106" t="s">
        <v>6288</v>
      </c>
      <c r="M106" t="s">
        <v>7493</v>
      </c>
      <c r="N106" t="s">
        <v>7494</v>
      </c>
      <c r="O106" t="s">
        <v>7495</v>
      </c>
      <c r="P106">
        <v>1904405</v>
      </c>
      <c r="Q106">
        <v>16536808</v>
      </c>
      <c r="S106">
        <v>18</v>
      </c>
      <c r="T106" s="375">
        <v>1805</v>
      </c>
      <c r="U106" t="s">
        <v>741</v>
      </c>
      <c r="V106" t="s">
        <v>194</v>
      </c>
      <c r="W106">
        <v>1</v>
      </c>
      <c r="X106">
        <v>1000568060</v>
      </c>
      <c r="AF106" t="s">
        <v>4714</v>
      </c>
      <c r="AG106" t="s">
        <v>7513</v>
      </c>
      <c r="AI106" t="s">
        <v>6955</v>
      </c>
      <c r="AJ106" s="363" t="str">
        <f t="shared" si="1"/>
        <v>522301</v>
      </c>
    </row>
    <row r="107" spans="1:36" x14ac:dyDescent="0.25">
      <c r="A107" t="s">
        <v>1738</v>
      </c>
      <c r="B107" t="s">
        <v>7523</v>
      </c>
      <c r="C107" t="s">
        <v>163</v>
      </c>
      <c r="D107" t="s">
        <v>7443</v>
      </c>
      <c r="E107" t="s">
        <v>192</v>
      </c>
      <c r="F107" s="28">
        <v>1</v>
      </c>
      <c r="G107" t="s">
        <v>193</v>
      </c>
      <c r="H107" t="s">
        <v>194</v>
      </c>
      <c r="I107" t="s">
        <v>7276</v>
      </c>
      <c r="J107" t="s">
        <v>253</v>
      </c>
      <c r="K107" s="388" t="s">
        <v>7524</v>
      </c>
      <c r="L107" t="s">
        <v>6921</v>
      </c>
      <c r="M107" t="s">
        <v>7493</v>
      </c>
      <c r="N107" t="s">
        <v>7494</v>
      </c>
      <c r="O107" t="s">
        <v>7495</v>
      </c>
      <c r="P107">
        <v>1904456</v>
      </c>
      <c r="Q107">
        <v>16536860</v>
      </c>
      <c r="S107">
        <v>18</v>
      </c>
      <c r="T107" s="375">
        <v>1811</v>
      </c>
      <c r="U107" t="s">
        <v>697</v>
      </c>
      <c r="V107" t="s">
        <v>194</v>
      </c>
      <c r="W107">
        <v>1</v>
      </c>
      <c r="X107">
        <v>500063130</v>
      </c>
      <c r="AF107" t="s">
        <v>4714</v>
      </c>
      <c r="AG107" t="s">
        <v>7523</v>
      </c>
      <c r="AI107" t="s">
        <v>6955</v>
      </c>
      <c r="AJ107" s="363" t="str">
        <f t="shared" si="1"/>
        <v>351203</v>
      </c>
    </row>
    <row r="108" spans="1:36" x14ac:dyDescent="0.25">
      <c r="A108" t="s">
        <v>1499</v>
      </c>
      <c r="B108" t="s">
        <v>7525</v>
      </c>
      <c r="C108" t="s">
        <v>242</v>
      </c>
      <c r="D108" t="s">
        <v>7443</v>
      </c>
      <c r="E108" t="s">
        <v>192</v>
      </c>
      <c r="F108" s="28">
        <v>1</v>
      </c>
      <c r="G108" t="s">
        <v>193</v>
      </c>
      <c r="H108" t="s">
        <v>194</v>
      </c>
      <c r="I108" t="s">
        <v>7276</v>
      </c>
      <c r="J108" t="s">
        <v>210</v>
      </c>
      <c r="K108" s="388" t="s">
        <v>7526</v>
      </c>
      <c r="L108" t="s">
        <v>6254</v>
      </c>
      <c r="M108" t="s">
        <v>7493</v>
      </c>
      <c r="N108" t="s">
        <v>7494</v>
      </c>
      <c r="O108" t="s">
        <v>7495</v>
      </c>
      <c r="P108">
        <v>1904520</v>
      </c>
      <c r="Q108">
        <v>16536938</v>
      </c>
      <c r="S108">
        <v>18</v>
      </c>
      <c r="T108" s="375">
        <v>1863</v>
      </c>
      <c r="U108" t="s">
        <v>243</v>
      </c>
      <c r="V108" t="s">
        <v>194</v>
      </c>
      <c r="W108">
        <v>1</v>
      </c>
      <c r="X108">
        <v>1000569848</v>
      </c>
      <c r="AF108" t="s">
        <v>4714</v>
      </c>
      <c r="AG108" t="s">
        <v>7525</v>
      </c>
      <c r="AI108" t="s">
        <v>6955</v>
      </c>
      <c r="AJ108" s="363" t="str">
        <f t="shared" si="1"/>
        <v>134602</v>
      </c>
    </row>
    <row r="109" spans="1:36" x14ac:dyDescent="0.25">
      <c r="A109" t="s">
        <v>7527</v>
      </c>
      <c r="B109" t="s">
        <v>7528</v>
      </c>
      <c r="C109" t="s">
        <v>21</v>
      </c>
      <c r="D109" t="s">
        <v>7443</v>
      </c>
      <c r="E109" t="s">
        <v>192</v>
      </c>
      <c r="F109" s="28">
        <v>1</v>
      </c>
      <c r="G109" t="s">
        <v>193</v>
      </c>
      <c r="H109" t="s">
        <v>194</v>
      </c>
      <c r="I109" t="s">
        <v>7276</v>
      </c>
      <c r="J109" t="s">
        <v>210</v>
      </c>
      <c r="K109" s="388" t="s">
        <v>7529</v>
      </c>
      <c r="L109" t="s">
        <v>6324</v>
      </c>
      <c r="M109" t="s">
        <v>7493</v>
      </c>
      <c r="N109" t="s">
        <v>7494</v>
      </c>
      <c r="O109" t="s">
        <v>7495</v>
      </c>
      <c r="P109">
        <v>1904584</v>
      </c>
      <c r="Q109">
        <v>16537004</v>
      </c>
      <c r="S109">
        <v>18</v>
      </c>
      <c r="T109" s="375">
        <v>1863</v>
      </c>
      <c r="U109" t="s">
        <v>293</v>
      </c>
      <c r="V109" t="s">
        <v>194</v>
      </c>
      <c r="W109">
        <v>1</v>
      </c>
      <c r="X109">
        <v>1000571122</v>
      </c>
      <c r="AF109" t="s">
        <v>4714</v>
      </c>
      <c r="AG109" t="s">
        <v>7528</v>
      </c>
      <c r="AI109" t="s">
        <v>6955</v>
      </c>
      <c r="AJ109" s="363" t="str">
        <f t="shared" si="1"/>
        <v>214202</v>
      </c>
    </row>
    <row r="110" spans="1:36" x14ac:dyDescent="0.25">
      <c r="A110" t="s">
        <v>1471</v>
      </c>
      <c r="B110" t="s">
        <v>1472</v>
      </c>
      <c r="C110" t="s">
        <v>43</v>
      </c>
      <c r="D110" t="s">
        <v>7443</v>
      </c>
      <c r="E110" t="s">
        <v>192</v>
      </c>
      <c r="F110" s="28">
        <v>1</v>
      </c>
      <c r="G110" t="s">
        <v>193</v>
      </c>
      <c r="H110" t="s">
        <v>194</v>
      </c>
      <c r="I110" t="s">
        <v>7276</v>
      </c>
      <c r="J110" t="s">
        <v>253</v>
      </c>
      <c r="K110" s="388" t="s">
        <v>7530</v>
      </c>
      <c r="L110" t="s">
        <v>7531</v>
      </c>
      <c r="M110" t="s">
        <v>7493</v>
      </c>
      <c r="N110" t="s">
        <v>7494</v>
      </c>
      <c r="O110" t="s">
        <v>7495</v>
      </c>
      <c r="P110">
        <v>1904749</v>
      </c>
      <c r="Q110">
        <v>16537174</v>
      </c>
      <c r="S110">
        <v>18</v>
      </c>
      <c r="T110" s="376">
        <v>1811.1804999999999</v>
      </c>
      <c r="U110" t="s">
        <v>452</v>
      </c>
      <c r="V110" t="s">
        <v>194</v>
      </c>
      <c r="W110">
        <v>2</v>
      </c>
      <c r="X110">
        <v>1000571784</v>
      </c>
      <c r="AF110" t="s">
        <v>4714</v>
      </c>
      <c r="AG110" t="s">
        <v>1472</v>
      </c>
      <c r="AI110" t="s">
        <v>6955</v>
      </c>
      <c r="AJ110" s="363" t="str">
        <f t="shared" si="1"/>
        <v>243106</v>
      </c>
    </row>
    <row r="111" spans="1:36" x14ac:dyDescent="0.25">
      <c r="A111" t="s">
        <v>7532</v>
      </c>
      <c r="B111" t="s">
        <v>5101</v>
      </c>
      <c r="C111" t="s">
        <v>10</v>
      </c>
      <c r="D111" t="s">
        <v>7443</v>
      </c>
      <c r="E111" t="s">
        <v>192</v>
      </c>
      <c r="F111" s="28">
        <v>1</v>
      </c>
      <c r="G111" t="s">
        <v>193</v>
      </c>
      <c r="H111" t="s">
        <v>194</v>
      </c>
      <c r="I111" t="s">
        <v>7276</v>
      </c>
      <c r="J111" t="s">
        <v>210</v>
      </c>
      <c r="K111" s="388" t="s">
        <v>7533</v>
      </c>
      <c r="L111" t="s">
        <v>6261</v>
      </c>
      <c r="M111" t="s">
        <v>7493</v>
      </c>
      <c r="N111" t="s">
        <v>7494</v>
      </c>
      <c r="O111" t="s">
        <v>7495</v>
      </c>
      <c r="P111">
        <v>1904782</v>
      </c>
      <c r="Q111">
        <v>16537207</v>
      </c>
      <c r="S111">
        <v>18</v>
      </c>
      <c r="T111" s="375">
        <v>1863</v>
      </c>
      <c r="U111" t="s">
        <v>484</v>
      </c>
      <c r="V111" t="s">
        <v>194</v>
      </c>
      <c r="W111">
        <v>1</v>
      </c>
      <c r="X111">
        <v>1000571861</v>
      </c>
      <c r="AF111" t="s">
        <v>4714</v>
      </c>
      <c r="AG111" t="s">
        <v>5101</v>
      </c>
      <c r="AI111" t="s">
        <v>6955</v>
      </c>
      <c r="AJ111" s="363" t="str">
        <f t="shared" si="1"/>
        <v>251401</v>
      </c>
    </row>
    <row r="112" spans="1:36" x14ac:dyDescent="0.25">
      <c r="A112" t="s">
        <v>1376</v>
      </c>
      <c r="B112" t="s">
        <v>7534</v>
      </c>
      <c r="C112" t="s">
        <v>420</v>
      </c>
      <c r="D112" t="s">
        <v>7443</v>
      </c>
      <c r="E112" t="s">
        <v>192</v>
      </c>
      <c r="F112" s="28">
        <v>1</v>
      </c>
      <c r="G112" t="s">
        <v>193</v>
      </c>
      <c r="H112" t="s">
        <v>194</v>
      </c>
      <c r="I112" t="s">
        <v>7256</v>
      </c>
      <c r="J112" t="s">
        <v>962</v>
      </c>
      <c r="K112" s="388" t="s">
        <v>7535</v>
      </c>
      <c r="L112" t="s">
        <v>7531</v>
      </c>
      <c r="M112" t="s">
        <v>7493</v>
      </c>
      <c r="N112" t="s">
        <v>7494</v>
      </c>
      <c r="O112" t="s">
        <v>7495</v>
      </c>
      <c r="P112">
        <v>1904807</v>
      </c>
      <c r="Q112">
        <v>16537232</v>
      </c>
      <c r="S112">
        <v>18</v>
      </c>
      <c r="T112" s="375">
        <v>1806</v>
      </c>
      <c r="U112" t="s">
        <v>421</v>
      </c>
      <c r="V112" t="s">
        <v>194</v>
      </c>
      <c r="W112">
        <v>1</v>
      </c>
      <c r="X112">
        <v>1000571912</v>
      </c>
      <c r="AF112" t="s">
        <v>4714</v>
      </c>
      <c r="AG112" t="s">
        <v>7534</v>
      </c>
      <c r="AI112" t="s">
        <v>6955</v>
      </c>
      <c r="AJ112" s="363" t="str">
        <f t="shared" si="1"/>
        <v>241306</v>
      </c>
    </row>
    <row r="113" spans="1:36" x14ac:dyDescent="0.25">
      <c r="A113" t="s">
        <v>1376</v>
      </c>
      <c r="B113" t="s">
        <v>7534</v>
      </c>
      <c r="C113" t="s">
        <v>420</v>
      </c>
      <c r="D113" t="s">
        <v>7443</v>
      </c>
      <c r="E113" t="s">
        <v>192</v>
      </c>
      <c r="F113" s="28">
        <v>1</v>
      </c>
      <c r="G113" t="s">
        <v>193</v>
      </c>
      <c r="H113" t="s">
        <v>194</v>
      </c>
      <c r="I113" t="s">
        <v>7256</v>
      </c>
      <c r="J113" t="s">
        <v>327</v>
      </c>
      <c r="K113" s="388" t="s">
        <v>7536</v>
      </c>
      <c r="L113" t="s">
        <v>7531</v>
      </c>
      <c r="M113" t="s">
        <v>7493</v>
      </c>
      <c r="N113" t="s">
        <v>7494</v>
      </c>
      <c r="O113" t="s">
        <v>7495</v>
      </c>
      <c r="P113">
        <v>1904808</v>
      </c>
      <c r="Q113">
        <v>16537233</v>
      </c>
      <c r="S113">
        <v>18</v>
      </c>
      <c r="T113" s="375">
        <v>1808</v>
      </c>
      <c r="U113" t="s">
        <v>421</v>
      </c>
      <c r="V113" t="s">
        <v>194</v>
      </c>
      <c r="W113">
        <v>1</v>
      </c>
      <c r="X113">
        <v>1000571913</v>
      </c>
      <c r="AF113" t="s">
        <v>4714</v>
      </c>
      <c r="AG113" t="s">
        <v>7534</v>
      </c>
      <c r="AI113" t="s">
        <v>6955</v>
      </c>
      <c r="AJ113" s="363" t="str">
        <f t="shared" si="1"/>
        <v>241306</v>
      </c>
    </row>
    <row r="114" spans="1:36" x14ac:dyDescent="0.25">
      <c r="A114" t="s">
        <v>1376</v>
      </c>
      <c r="B114" t="s">
        <v>7534</v>
      </c>
      <c r="C114" t="s">
        <v>420</v>
      </c>
      <c r="D114" t="s">
        <v>7443</v>
      </c>
      <c r="E114" t="s">
        <v>192</v>
      </c>
      <c r="F114" s="28">
        <v>1</v>
      </c>
      <c r="G114" t="s">
        <v>193</v>
      </c>
      <c r="H114" t="s">
        <v>194</v>
      </c>
      <c r="I114" t="s">
        <v>7256</v>
      </c>
      <c r="J114" t="s">
        <v>253</v>
      </c>
      <c r="K114" s="388" t="s">
        <v>7537</v>
      </c>
      <c r="L114" t="s">
        <v>7531</v>
      </c>
      <c r="M114" t="s">
        <v>7493</v>
      </c>
      <c r="N114" t="s">
        <v>7494</v>
      </c>
      <c r="O114" t="s">
        <v>7495</v>
      </c>
      <c r="P114">
        <v>1904809</v>
      </c>
      <c r="Q114">
        <v>16537234</v>
      </c>
      <c r="S114">
        <v>18</v>
      </c>
      <c r="T114" s="375">
        <v>1811</v>
      </c>
      <c r="U114" t="s">
        <v>421</v>
      </c>
      <c r="V114" t="s">
        <v>194</v>
      </c>
      <c r="W114">
        <v>1</v>
      </c>
      <c r="X114">
        <v>1000571914</v>
      </c>
      <c r="AF114" t="s">
        <v>4714</v>
      </c>
      <c r="AG114" t="s">
        <v>7534</v>
      </c>
      <c r="AI114" t="s">
        <v>6955</v>
      </c>
      <c r="AJ114" s="363" t="str">
        <f t="shared" si="1"/>
        <v>241306</v>
      </c>
    </row>
    <row r="115" spans="1:36" x14ac:dyDescent="0.25">
      <c r="A115" t="s">
        <v>1376</v>
      </c>
      <c r="B115" t="s">
        <v>7534</v>
      </c>
      <c r="C115" t="s">
        <v>420</v>
      </c>
      <c r="D115" t="s">
        <v>7443</v>
      </c>
      <c r="E115" t="s">
        <v>192</v>
      </c>
      <c r="F115" s="28">
        <v>1</v>
      </c>
      <c r="G115" t="s">
        <v>193</v>
      </c>
      <c r="H115" t="s">
        <v>194</v>
      </c>
      <c r="I115" t="s">
        <v>7256</v>
      </c>
      <c r="J115" t="s">
        <v>323</v>
      </c>
      <c r="K115" s="388" t="s">
        <v>7538</v>
      </c>
      <c r="L115" t="s">
        <v>7531</v>
      </c>
      <c r="M115" t="s">
        <v>7493</v>
      </c>
      <c r="N115" t="s">
        <v>7494</v>
      </c>
      <c r="O115" t="s">
        <v>7495</v>
      </c>
      <c r="P115">
        <v>1904810</v>
      </c>
      <c r="Q115">
        <v>16537235</v>
      </c>
      <c r="S115">
        <v>18</v>
      </c>
      <c r="T115" s="375">
        <v>1812</v>
      </c>
      <c r="U115" t="s">
        <v>421</v>
      </c>
      <c r="V115" t="s">
        <v>194</v>
      </c>
      <c r="W115">
        <v>1</v>
      </c>
      <c r="X115">
        <v>1000571915</v>
      </c>
      <c r="AF115" t="s">
        <v>4714</v>
      </c>
      <c r="AG115" t="s">
        <v>7534</v>
      </c>
      <c r="AI115" t="s">
        <v>6955</v>
      </c>
      <c r="AJ115" s="363" t="str">
        <f t="shared" si="1"/>
        <v>241306</v>
      </c>
    </row>
    <row r="116" spans="1:36" x14ac:dyDescent="0.25">
      <c r="A116" t="s">
        <v>1376</v>
      </c>
      <c r="B116" t="s">
        <v>7534</v>
      </c>
      <c r="C116" t="s">
        <v>420</v>
      </c>
      <c r="D116" t="s">
        <v>7443</v>
      </c>
      <c r="E116" t="s">
        <v>192</v>
      </c>
      <c r="F116" s="28">
        <v>1</v>
      </c>
      <c r="G116" t="s">
        <v>193</v>
      </c>
      <c r="H116" t="s">
        <v>194</v>
      </c>
      <c r="I116" t="s">
        <v>7256</v>
      </c>
      <c r="J116" t="s">
        <v>2183</v>
      </c>
      <c r="K116" s="388" t="s">
        <v>7539</v>
      </c>
      <c r="L116" t="s">
        <v>7531</v>
      </c>
      <c r="M116" t="s">
        <v>7493</v>
      </c>
      <c r="N116" t="s">
        <v>7494</v>
      </c>
      <c r="O116" t="s">
        <v>7495</v>
      </c>
      <c r="P116">
        <v>1904811</v>
      </c>
      <c r="Q116">
        <v>16537236</v>
      </c>
      <c r="S116">
        <v>18</v>
      </c>
      <c r="T116" s="375">
        <v>1820</v>
      </c>
      <c r="U116" t="s">
        <v>421</v>
      </c>
      <c r="V116" t="s">
        <v>194</v>
      </c>
      <c r="W116">
        <v>1</v>
      </c>
      <c r="X116">
        <v>1000571916</v>
      </c>
      <c r="AF116" t="s">
        <v>4714</v>
      </c>
      <c r="AG116" t="s">
        <v>7534</v>
      </c>
      <c r="AI116" t="s">
        <v>6955</v>
      </c>
      <c r="AJ116" s="363" t="str">
        <f t="shared" si="1"/>
        <v>241306</v>
      </c>
    </row>
    <row r="117" spans="1:36" x14ac:dyDescent="0.25">
      <c r="A117" t="s">
        <v>1376</v>
      </c>
      <c r="B117" t="s">
        <v>7534</v>
      </c>
      <c r="C117" t="s">
        <v>420</v>
      </c>
      <c r="D117" t="s">
        <v>7443</v>
      </c>
      <c r="E117" t="s">
        <v>192</v>
      </c>
      <c r="F117" s="28">
        <v>1</v>
      </c>
      <c r="G117" t="s">
        <v>193</v>
      </c>
      <c r="H117" t="s">
        <v>194</v>
      </c>
      <c r="I117" t="s">
        <v>7256</v>
      </c>
      <c r="J117" t="s">
        <v>210</v>
      </c>
      <c r="K117" s="388" t="s">
        <v>7540</v>
      </c>
      <c r="L117" t="s">
        <v>7531</v>
      </c>
      <c r="M117" t="s">
        <v>7493</v>
      </c>
      <c r="N117" t="s">
        <v>7494</v>
      </c>
      <c r="O117" t="s">
        <v>7495</v>
      </c>
      <c r="P117">
        <v>1904812</v>
      </c>
      <c r="Q117">
        <v>16537237</v>
      </c>
      <c r="S117">
        <v>18</v>
      </c>
      <c r="T117" s="375">
        <v>1863</v>
      </c>
      <c r="U117" t="s">
        <v>421</v>
      </c>
      <c r="V117" t="s">
        <v>194</v>
      </c>
      <c r="W117">
        <v>1</v>
      </c>
      <c r="X117">
        <v>1000571917</v>
      </c>
      <c r="AF117" t="s">
        <v>4714</v>
      </c>
      <c r="AG117" t="s">
        <v>7534</v>
      </c>
      <c r="AI117" t="s">
        <v>6955</v>
      </c>
      <c r="AJ117" s="363" t="str">
        <f t="shared" si="1"/>
        <v>241306</v>
      </c>
    </row>
    <row r="118" spans="1:36" x14ac:dyDescent="0.25">
      <c r="A118" t="s">
        <v>1376</v>
      </c>
      <c r="B118" t="s">
        <v>7534</v>
      </c>
      <c r="C118" t="s">
        <v>420</v>
      </c>
      <c r="D118" t="s">
        <v>7443</v>
      </c>
      <c r="E118" t="s">
        <v>192</v>
      </c>
      <c r="F118" s="28">
        <v>1</v>
      </c>
      <c r="G118" t="s">
        <v>193</v>
      </c>
      <c r="H118" t="s">
        <v>194</v>
      </c>
      <c r="I118" t="s">
        <v>7256</v>
      </c>
      <c r="J118" t="s">
        <v>316</v>
      </c>
      <c r="K118" s="388" t="s">
        <v>7541</v>
      </c>
      <c r="L118" t="s">
        <v>7531</v>
      </c>
      <c r="M118" t="s">
        <v>7493</v>
      </c>
      <c r="N118" t="s">
        <v>7494</v>
      </c>
      <c r="O118" t="s">
        <v>7495</v>
      </c>
      <c r="P118">
        <v>1904813</v>
      </c>
      <c r="Q118">
        <v>16537238</v>
      </c>
      <c r="S118">
        <v>18</v>
      </c>
      <c r="T118" s="375">
        <v>1818</v>
      </c>
      <c r="U118" t="s">
        <v>421</v>
      </c>
      <c r="V118" t="s">
        <v>194</v>
      </c>
      <c r="W118">
        <v>1</v>
      </c>
      <c r="X118">
        <v>1000571918</v>
      </c>
      <c r="AF118" t="s">
        <v>4714</v>
      </c>
      <c r="AG118" t="s">
        <v>7534</v>
      </c>
      <c r="AI118" t="s">
        <v>6955</v>
      </c>
      <c r="AJ118" s="363" t="str">
        <f t="shared" si="1"/>
        <v>241306</v>
      </c>
    </row>
    <row r="119" spans="1:36" x14ac:dyDescent="0.25">
      <c r="A119" t="s">
        <v>1376</v>
      </c>
      <c r="B119" t="s">
        <v>7534</v>
      </c>
      <c r="C119" t="s">
        <v>420</v>
      </c>
      <c r="D119" t="s">
        <v>7443</v>
      </c>
      <c r="E119" t="s">
        <v>192</v>
      </c>
      <c r="F119" s="28">
        <v>1</v>
      </c>
      <c r="G119" t="s">
        <v>193</v>
      </c>
      <c r="H119" t="s">
        <v>194</v>
      </c>
      <c r="I119" t="s">
        <v>7256</v>
      </c>
      <c r="J119" t="s">
        <v>408</v>
      </c>
      <c r="K119" s="388" t="s">
        <v>7542</v>
      </c>
      <c r="L119" t="s">
        <v>7531</v>
      </c>
      <c r="M119" t="s">
        <v>7493</v>
      </c>
      <c r="N119" t="s">
        <v>7494</v>
      </c>
      <c r="O119" t="s">
        <v>7495</v>
      </c>
      <c r="P119">
        <v>1904814</v>
      </c>
      <c r="Q119">
        <v>16537239</v>
      </c>
      <c r="S119">
        <v>18</v>
      </c>
      <c r="T119" s="375">
        <v>1864</v>
      </c>
      <c r="U119" t="s">
        <v>421</v>
      </c>
      <c r="V119" t="s">
        <v>194</v>
      </c>
      <c r="W119">
        <v>1</v>
      </c>
      <c r="X119">
        <v>1000571919</v>
      </c>
      <c r="AF119" t="s">
        <v>4714</v>
      </c>
      <c r="AG119" t="s">
        <v>7534</v>
      </c>
      <c r="AI119" t="s">
        <v>6955</v>
      </c>
      <c r="AJ119" s="363" t="str">
        <f t="shared" si="1"/>
        <v>241306</v>
      </c>
    </row>
    <row r="120" spans="1:36" x14ac:dyDescent="0.25">
      <c r="A120" t="s">
        <v>1376</v>
      </c>
      <c r="B120" t="s">
        <v>7534</v>
      </c>
      <c r="C120" t="s">
        <v>420</v>
      </c>
      <c r="D120" t="s">
        <v>7443</v>
      </c>
      <c r="E120" t="s">
        <v>192</v>
      </c>
      <c r="F120" s="28">
        <v>1</v>
      </c>
      <c r="G120" t="s">
        <v>193</v>
      </c>
      <c r="H120" t="s">
        <v>194</v>
      </c>
      <c r="I120" t="s">
        <v>7256</v>
      </c>
      <c r="J120" t="s">
        <v>6653</v>
      </c>
      <c r="K120" s="388" t="s">
        <v>7543</v>
      </c>
      <c r="L120" t="s">
        <v>7531</v>
      </c>
      <c r="M120" t="s">
        <v>7493</v>
      </c>
      <c r="N120" t="s">
        <v>7494</v>
      </c>
      <c r="O120" t="s">
        <v>7495</v>
      </c>
      <c r="P120">
        <v>1904815</v>
      </c>
      <c r="Q120">
        <v>16537240</v>
      </c>
      <c r="S120">
        <v>18</v>
      </c>
      <c r="T120" s="375">
        <v>1812</v>
      </c>
      <c r="U120" t="s">
        <v>421</v>
      </c>
      <c r="V120" t="s">
        <v>194</v>
      </c>
      <c r="W120">
        <v>1</v>
      </c>
      <c r="X120">
        <v>1000571920</v>
      </c>
      <c r="AF120" t="s">
        <v>4714</v>
      </c>
      <c r="AG120" t="s">
        <v>7534</v>
      </c>
      <c r="AI120" t="s">
        <v>6955</v>
      </c>
      <c r="AJ120" s="363" t="str">
        <f t="shared" si="1"/>
        <v>241306</v>
      </c>
    </row>
    <row r="121" spans="1:36" x14ac:dyDescent="0.25">
      <c r="A121" t="s">
        <v>1376</v>
      </c>
      <c r="B121" t="s">
        <v>7534</v>
      </c>
      <c r="C121" t="s">
        <v>420</v>
      </c>
      <c r="D121" t="s">
        <v>7443</v>
      </c>
      <c r="E121" t="s">
        <v>192</v>
      </c>
      <c r="F121" s="28">
        <v>1</v>
      </c>
      <c r="G121" t="s">
        <v>193</v>
      </c>
      <c r="H121" t="s">
        <v>194</v>
      </c>
      <c r="I121" t="s">
        <v>7256</v>
      </c>
      <c r="J121" t="s">
        <v>7544</v>
      </c>
      <c r="K121" s="388" t="s">
        <v>7545</v>
      </c>
      <c r="L121" t="s">
        <v>7531</v>
      </c>
      <c r="M121" t="s">
        <v>7493</v>
      </c>
      <c r="N121" t="s">
        <v>7494</v>
      </c>
      <c r="O121" t="s">
        <v>7495</v>
      </c>
      <c r="P121">
        <v>1904816</v>
      </c>
      <c r="Q121">
        <v>16537241</v>
      </c>
      <c r="S121">
        <v>18</v>
      </c>
      <c r="T121" s="375">
        <v>1818</v>
      </c>
      <c r="U121" t="s">
        <v>421</v>
      </c>
      <c r="V121" t="s">
        <v>194</v>
      </c>
      <c r="W121">
        <v>1</v>
      </c>
      <c r="X121">
        <v>1000571921</v>
      </c>
      <c r="AF121" t="s">
        <v>4714</v>
      </c>
      <c r="AG121" t="s">
        <v>7534</v>
      </c>
      <c r="AI121" t="s">
        <v>6955</v>
      </c>
      <c r="AJ121" s="363" t="str">
        <f t="shared" si="1"/>
        <v>241306</v>
      </c>
    </row>
    <row r="122" spans="1:36" x14ac:dyDescent="0.25">
      <c r="A122" t="s">
        <v>1376</v>
      </c>
      <c r="B122" t="s">
        <v>7534</v>
      </c>
      <c r="C122" t="s">
        <v>420</v>
      </c>
      <c r="D122" t="s">
        <v>7443</v>
      </c>
      <c r="E122" t="s">
        <v>192</v>
      </c>
      <c r="F122" s="28">
        <v>1</v>
      </c>
      <c r="G122" t="s">
        <v>193</v>
      </c>
      <c r="H122" t="s">
        <v>194</v>
      </c>
      <c r="I122" t="s">
        <v>7256</v>
      </c>
      <c r="J122" t="s">
        <v>2532</v>
      </c>
      <c r="K122" s="388" t="s">
        <v>7546</v>
      </c>
      <c r="L122" t="s">
        <v>7531</v>
      </c>
      <c r="M122" t="s">
        <v>7493</v>
      </c>
      <c r="N122" t="s">
        <v>7494</v>
      </c>
      <c r="O122" t="s">
        <v>7495</v>
      </c>
      <c r="P122">
        <v>1904817</v>
      </c>
      <c r="Q122">
        <v>16537242</v>
      </c>
      <c r="S122">
        <v>18</v>
      </c>
      <c r="T122" s="375">
        <v>1820</v>
      </c>
      <c r="U122" t="s">
        <v>421</v>
      </c>
      <c r="V122" t="s">
        <v>194</v>
      </c>
      <c r="W122">
        <v>1</v>
      </c>
      <c r="X122">
        <v>1000571922</v>
      </c>
      <c r="AF122" t="s">
        <v>4714</v>
      </c>
      <c r="AG122" t="s">
        <v>7534</v>
      </c>
      <c r="AI122" t="s">
        <v>6955</v>
      </c>
      <c r="AJ122" s="363" t="str">
        <f t="shared" si="1"/>
        <v>241306</v>
      </c>
    </row>
    <row r="123" spans="1:36" x14ac:dyDescent="0.25">
      <c r="A123" t="s">
        <v>1376</v>
      </c>
      <c r="B123" t="s">
        <v>7534</v>
      </c>
      <c r="C123" t="s">
        <v>420</v>
      </c>
      <c r="D123" t="s">
        <v>7443</v>
      </c>
      <c r="E123" t="s">
        <v>192</v>
      </c>
      <c r="F123" s="28">
        <v>1</v>
      </c>
      <c r="G123" t="s">
        <v>193</v>
      </c>
      <c r="H123" t="s">
        <v>194</v>
      </c>
      <c r="I123" t="s">
        <v>7256</v>
      </c>
      <c r="J123" t="s">
        <v>7547</v>
      </c>
      <c r="K123" s="388" t="s">
        <v>7548</v>
      </c>
      <c r="L123" t="s">
        <v>7531</v>
      </c>
      <c r="M123" t="s">
        <v>7493</v>
      </c>
      <c r="N123" t="s">
        <v>7494</v>
      </c>
      <c r="O123" t="s">
        <v>7495</v>
      </c>
      <c r="P123">
        <v>1904818</v>
      </c>
      <c r="Q123">
        <v>16537243</v>
      </c>
      <c r="S123">
        <v>18</v>
      </c>
      <c r="T123" s="375">
        <v>1812</v>
      </c>
      <c r="U123" t="s">
        <v>421</v>
      </c>
      <c r="V123" t="s">
        <v>194</v>
      </c>
      <c r="W123">
        <v>1</v>
      </c>
      <c r="X123">
        <v>1000571923</v>
      </c>
      <c r="AF123" t="s">
        <v>4714</v>
      </c>
      <c r="AG123" t="s">
        <v>7534</v>
      </c>
      <c r="AI123" t="s">
        <v>6955</v>
      </c>
      <c r="AJ123" s="363" t="str">
        <f t="shared" si="1"/>
        <v>241306</v>
      </c>
    </row>
    <row r="124" spans="1:36" x14ac:dyDescent="0.25">
      <c r="A124" t="s">
        <v>7549</v>
      </c>
      <c r="B124" t="s">
        <v>7550</v>
      </c>
      <c r="C124" t="s">
        <v>1435</v>
      </c>
      <c r="D124" t="s">
        <v>7443</v>
      </c>
      <c r="E124" t="s">
        <v>192</v>
      </c>
      <c r="F124" s="28">
        <v>1</v>
      </c>
      <c r="G124" t="s">
        <v>193</v>
      </c>
      <c r="H124" t="s">
        <v>194</v>
      </c>
      <c r="I124" t="s">
        <v>7260</v>
      </c>
      <c r="J124" t="s">
        <v>4907</v>
      </c>
      <c r="K124" s="388" t="s">
        <v>7551</v>
      </c>
      <c r="L124" t="s">
        <v>6245</v>
      </c>
      <c r="M124" t="s">
        <v>7493</v>
      </c>
      <c r="N124" t="s">
        <v>7494</v>
      </c>
      <c r="O124" t="s">
        <v>7495</v>
      </c>
      <c r="P124">
        <v>1904854</v>
      </c>
      <c r="Q124">
        <v>16537282</v>
      </c>
      <c r="S124">
        <v>18</v>
      </c>
      <c r="T124" s="375">
        <v>1810</v>
      </c>
      <c r="U124" t="s">
        <v>1436</v>
      </c>
      <c r="V124" t="s">
        <v>194</v>
      </c>
      <c r="W124">
        <v>1</v>
      </c>
      <c r="X124">
        <v>1000572048</v>
      </c>
      <c r="AF124" t="s">
        <v>4714</v>
      </c>
      <c r="AG124" t="s">
        <v>7550</v>
      </c>
      <c r="AI124" t="s">
        <v>6955</v>
      </c>
      <c r="AJ124" s="363" t="str">
        <f t="shared" si="1"/>
        <v>216304</v>
      </c>
    </row>
    <row r="125" spans="1:36" x14ac:dyDescent="0.25">
      <c r="A125" t="s">
        <v>7549</v>
      </c>
      <c r="B125" t="s">
        <v>7550</v>
      </c>
      <c r="C125" t="s">
        <v>1435</v>
      </c>
      <c r="D125" t="s">
        <v>7443</v>
      </c>
      <c r="E125" t="s">
        <v>192</v>
      </c>
      <c r="F125" s="28">
        <v>1</v>
      </c>
      <c r="G125" t="s">
        <v>193</v>
      </c>
      <c r="H125" t="s">
        <v>194</v>
      </c>
      <c r="I125" t="s">
        <v>7260</v>
      </c>
      <c r="J125" t="s">
        <v>7552</v>
      </c>
      <c r="K125" s="388" t="s">
        <v>7553</v>
      </c>
      <c r="L125" t="s">
        <v>6245</v>
      </c>
      <c r="M125" t="s">
        <v>7493</v>
      </c>
      <c r="N125" t="s">
        <v>7494</v>
      </c>
      <c r="O125" t="s">
        <v>7495</v>
      </c>
      <c r="P125">
        <v>1904855</v>
      </c>
      <c r="Q125">
        <v>16537283</v>
      </c>
      <c r="S125">
        <v>18</v>
      </c>
      <c r="T125" s="375">
        <v>1814</v>
      </c>
      <c r="U125" t="s">
        <v>1436</v>
      </c>
      <c r="V125" t="s">
        <v>194</v>
      </c>
      <c r="W125">
        <v>1</v>
      </c>
      <c r="X125">
        <v>1000572049</v>
      </c>
      <c r="AF125" t="s">
        <v>4714</v>
      </c>
      <c r="AG125" t="s">
        <v>7550</v>
      </c>
      <c r="AI125" t="s">
        <v>6955</v>
      </c>
      <c r="AJ125" s="363" t="str">
        <f t="shared" si="1"/>
        <v>216304</v>
      </c>
    </row>
    <row r="126" spans="1:36" x14ac:dyDescent="0.25">
      <c r="A126" t="s">
        <v>7549</v>
      </c>
      <c r="B126" t="s">
        <v>7550</v>
      </c>
      <c r="C126" t="s">
        <v>1435</v>
      </c>
      <c r="D126" t="s">
        <v>7443</v>
      </c>
      <c r="E126" t="s">
        <v>192</v>
      </c>
      <c r="F126" s="28">
        <v>1</v>
      </c>
      <c r="G126" t="s">
        <v>193</v>
      </c>
      <c r="H126" t="s">
        <v>194</v>
      </c>
      <c r="I126" t="s">
        <v>7260</v>
      </c>
      <c r="J126" t="s">
        <v>238</v>
      </c>
      <c r="K126" s="388" t="s">
        <v>7554</v>
      </c>
      <c r="L126" t="s">
        <v>6245</v>
      </c>
      <c r="M126" t="s">
        <v>7493</v>
      </c>
      <c r="N126" t="s">
        <v>7494</v>
      </c>
      <c r="O126" t="s">
        <v>7495</v>
      </c>
      <c r="P126">
        <v>1904856</v>
      </c>
      <c r="Q126">
        <v>16537284</v>
      </c>
      <c r="S126">
        <v>18</v>
      </c>
      <c r="T126" s="376">
        <v>1863.1815999999999</v>
      </c>
      <c r="U126" t="s">
        <v>1436</v>
      </c>
      <c r="V126" t="s">
        <v>194</v>
      </c>
      <c r="W126">
        <v>2</v>
      </c>
      <c r="X126">
        <v>1000572050</v>
      </c>
      <c r="AF126" t="s">
        <v>4714</v>
      </c>
      <c r="AG126" t="s">
        <v>7550</v>
      </c>
      <c r="AI126" t="s">
        <v>6955</v>
      </c>
      <c r="AJ126" s="363" t="str">
        <f t="shared" si="1"/>
        <v>216304</v>
      </c>
    </row>
    <row r="127" spans="1:36" x14ac:dyDescent="0.25">
      <c r="A127" t="s">
        <v>7549</v>
      </c>
      <c r="B127" t="s">
        <v>7550</v>
      </c>
      <c r="C127" t="s">
        <v>1435</v>
      </c>
      <c r="D127" t="s">
        <v>7443</v>
      </c>
      <c r="E127" t="s">
        <v>192</v>
      </c>
      <c r="F127" s="28">
        <v>1</v>
      </c>
      <c r="G127" t="s">
        <v>193</v>
      </c>
      <c r="H127" t="s">
        <v>194</v>
      </c>
      <c r="I127" t="s">
        <v>7260</v>
      </c>
      <c r="J127" t="s">
        <v>1599</v>
      </c>
      <c r="K127" s="388" t="s">
        <v>7555</v>
      </c>
      <c r="L127" t="s">
        <v>6245</v>
      </c>
      <c r="M127" t="s">
        <v>7493</v>
      </c>
      <c r="N127" t="s">
        <v>7494</v>
      </c>
      <c r="O127" t="s">
        <v>7495</v>
      </c>
      <c r="P127">
        <v>1904857</v>
      </c>
      <c r="Q127">
        <v>16537285</v>
      </c>
      <c r="S127">
        <v>18</v>
      </c>
      <c r="T127" s="375">
        <v>1810</v>
      </c>
      <c r="U127" t="s">
        <v>1436</v>
      </c>
      <c r="V127" t="s">
        <v>194</v>
      </c>
      <c r="W127">
        <v>1</v>
      </c>
      <c r="X127">
        <v>1000572051</v>
      </c>
      <c r="AF127" t="s">
        <v>4714</v>
      </c>
      <c r="AG127" t="s">
        <v>7550</v>
      </c>
      <c r="AI127" t="s">
        <v>6955</v>
      </c>
      <c r="AJ127" s="363" t="str">
        <f t="shared" si="1"/>
        <v>216304</v>
      </c>
    </row>
    <row r="128" spans="1:36" x14ac:dyDescent="0.25">
      <c r="A128" t="s">
        <v>800</v>
      </c>
      <c r="B128" t="s">
        <v>7556</v>
      </c>
      <c r="C128" t="s">
        <v>67</v>
      </c>
      <c r="D128" t="s">
        <v>7443</v>
      </c>
      <c r="E128" t="s">
        <v>192</v>
      </c>
      <c r="F128" s="28">
        <v>1</v>
      </c>
      <c r="G128" t="s">
        <v>193</v>
      </c>
      <c r="H128" t="s">
        <v>194</v>
      </c>
      <c r="I128" t="s">
        <v>7268</v>
      </c>
      <c r="J128" t="s">
        <v>276</v>
      </c>
      <c r="K128" s="388" t="s">
        <v>7557</v>
      </c>
      <c r="L128" t="s">
        <v>6266</v>
      </c>
      <c r="M128" t="s">
        <v>7493</v>
      </c>
      <c r="N128" t="s">
        <v>7494</v>
      </c>
      <c r="O128" t="s">
        <v>7495</v>
      </c>
      <c r="P128">
        <v>1904899</v>
      </c>
      <c r="Q128">
        <v>16537331</v>
      </c>
      <c r="S128">
        <v>18</v>
      </c>
      <c r="T128" s="375">
        <v>1803</v>
      </c>
      <c r="U128" t="s">
        <v>709</v>
      </c>
      <c r="V128" t="s">
        <v>194</v>
      </c>
      <c r="W128">
        <v>1</v>
      </c>
      <c r="X128">
        <v>1000572358</v>
      </c>
      <c r="AF128" t="s">
        <v>4714</v>
      </c>
      <c r="AG128" t="s">
        <v>7556</v>
      </c>
      <c r="AI128" t="s">
        <v>6955</v>
      </c>
      <c r="AJ128" s="363" t="str">
        <f t="shared" si="1"/>
        <v>432103</v>
      </c>
    </row>
    <row r="129" spans="1:36" x14ac:dyDescent="0.25">
      <c r="A129" t="s">
        <v>800</v>
      </c>
      <c r="B129" t="s">
        <v>7556</v>
      </c>
      <c r="C129" t="s">
        <v>67</v>
      </c>
      <c r="D129" t="s">
        <v>7443</v>
      </c>
      <c r="E129" t="s">
        <v>192</v>
      </c>
      <c r="F129" s="28">
        <v>1</v>
      </c>
      <c r="G129" t="s">
        <v>193</v>
      </c>
      <c r="H129" t="s">
        <v>194</v>
      </c>
      <c r="I129" t="s">
        <v>7268</v>
      </c>
      <c r="J129" t="s">
        <v>7558</v>
      </c>
      <c r="K129" s="388" t="s">
        <v>7559</v>
      </c>
      <c r="L129" t="s">
        <v>6266</v>
      </c>
      <c r="M129" t="s">
        <v>7493</v>
      </c>
      <c r="N129" t="s">
        <v>7494</v>
      </c>
      <c r="O129" t="s">
        <v>7495</v>
      </c>
      <c r="P129">
        <v>1904900</v>
      </c>
      <c r="Q129">
        <v>16537332</v>
      </c>
      <c r="S129">
        <v>18</v>
      </c>
      <c r="T129" s="375">
        <v>1803</v>
      </c>
      <c r="U129" t="s">
        <v>709</v>
      </c>
      <c r="V129" t="s">
        <v>194</v>
      </c>
      <c r="W129">
        <v>1</v>
      </c>
      <c r="X129">
        <v>1000572359</v>
      </c>
      <c r="AF129" t="s">
        <v>4714</v>
      </c>
      <c r="AG129" t="s">
        <v>7556</v>
      </c>
      <c r="AI129" t="s">
        <v>6955</v>
      </c>
      <c r="AJ129" s="363" t="str">
        <f t="shared" si="1"/>
        <v>432103</v>
      </c>
    </row>
    <row r="130" spans="1:36" x14ac:dyDescent="0.25">
      <c r="A130" t="s">
        <v>3217</v>
      </c>
      <c r="B130" t="s">
        <v>7560</v>
      </c>
      <c r="C130" t="s">
        <v>4671</v>
      </c>
      <c r="D130" t="s">
        <v>7443</v>
      </c>
      <c r="E130" t="s">
        <v>192</v>
      </c>
      <c r="F130" s="28">
        <v>1</v>
      </c>
      <c r="G130" t="s">
        <v>193</v>
      </c>
      <c r="H130" t="s">
        <v>194</v>
      </c>
      <c r="I130" t="s">
        <v>7276</v>
      </c>
      <c r="J130" t="s">
        <v>2819</v>
      </c>
      <c r="K130" s="388" t="s">
        <v>7561</v>
      </c>
      <c r="L130" t="s">
        <v>6275</v>
      </c>
      <c r="M130" t="s">
        <v>7493</v>
      </c>
      <c r="N130" t="s">
        <v>7494</v>
      </c>
      <c r="O130" t="s">
        <v>7495</v>
      </c>
      <c r="P130">
        <v>1904952</v>
      </c>
      <c r="Q130">
        <v>16537385</v>
      </c>
      <c r="S130">
        <v>18</v>
      </c>
      <c r="T130" s="375">
        <v>1803</v>
      </c>
      <c r="U130" t="s">
        <v>4672</v>
      </c>
      <c r="V130" t="s">
        <v>194</v>
      </c>
      <c r="W130">
        <v>1</v>
      </c>
      <c r="X130">
        <v>1000572601</v>
      </c>
      <c r="AF130" t="s">
        <v>4714</v>
      </c>
      <c r="AG130" t="s">
        <v>7560</v>
      </c>
      <c r="AI130" t="s">
        <v>6955</v>
      </c>
      <c r="AJ130" s="363" t="str">
        <f t="shared" si="1"/>
        <v>713207</v>
      </c>
    </row>
    <row r="131" spans="1:36" x14ac:dyDescent="0.25">
      <c r="A131" t="s">
        <v>258</v>
      </c>
      <c r="B131" t="s">
        <v>7562</v>
      </c>
      <c r="C131" s="386" t="s">
        <v>740</v>
      </c>
      <c r="D131" t="s">
        <v>7443</v>
      </c>
      <c r="E131" t="s">
        <v>192</v>
      </c>
      <c r="F131" s="28">
        <v>1</v>
      </c>
      <c r="G131" t="s">
        <v>193</v>
      </c>
      <c r="H131" t="s">
        <v>194</v>
      </c>
      <c r="I131" t="s">
        <v>7260</v>
      </c>
      <c r="J131" t="s">
        <v>276</v>
      </c>
      <c r="K131" s="388" t="s">
        <v>7563</v>
      </c>
      <c r="L131" t="s">
        <v>6251</v>
      </c>
      <c r="M131" t="s">
        <v>7493</v>
      </c>
      <c r="N131" t="s">
        <v>7494</v>
      </c>
      <c r="O131" t="s">
        <v>7564</v>
      </c>
      <c r="P131">
        <v>1904970</v>
      </c>
      <c r="Q131">
        <v>16537403</v>
      </c>
      <c r="S131">
        <v>18</v>
      </c>
      <c r="T131" s="375">
        <v>1803</v>
      </c>
      <c r="U131" t="s">
        <v>741</v>
      </c>
      <c r="V131" t="s">
        <v>194</v>
      </c>
      <c r="W131">
        <v>1</v>
      </c>
      <c r="X131">
        <v>7757205</v>
      </c>
      <c r="AF131" t="s">
        <v>4714</v>
      </c>
      <c r="AG131" t="s">
        <v>7562</v>
      </c>
      <c r="AI131" t="s">
        <v>6955</v>
      </c>
      <c r="AJ131" s="363" t="str">
        <f t="shared" si="1"/>
        <v>522301</v>
      </c>
    </row>
    <row r="132" spans="1:36" x14ac:dyDescent="0.25">
      <c r="A132" t="s">
        <v>2779</v>
      </c>
      <c r="B132" t="s">
        <v>7565</v>
      </c>
      <c r="C132" t="s">
        <v>103</v>
      </c>
      <c r="D132" t="s">
        <v>7443</v>
      </c>
      <c r="E132" t="s">
        <v>192</v>
      </c>
      <c r="F132" s="28">
        <v>1</v>
      </c>
      <c r="G132" t="s">
        <v>193</v>
      </c>
      <c r="H132" t="s">
        <v>194</v>
      </c>
      <c r="I132" t="s">
        <v>7276</v>
      </c>
      <c r="J132" t="s">
        <v>385</v>
      </c>
      <c r="K132" s="388" t="s">
        <v>7566</v>
      </c>
      <c r="L132" t="s">
        <v>6363</v>
      </c>
      <c r="M132" t="s">
        <v>7493</v>
      </c>
      <c r="N132" t="s">
        <v>7494</v>
      </c>
      <c r="O132" t="s">
        <v>7495</v>
      </c>
      <c r="P132">
        <v>1905043</v>
      </c>
      <c r="Q132">
        <v>16537476</v>
      </c>
      <c r="S132">
        <v>18</v>
      </c>
      <c r="T132" s="375">
        <v>1861</v>
      </c>
      <c r="U132" t="s">
        <v>1443</v>
      </c>
      <c r="V132" t="s">
        <v>194</v>
      </c>
      <c r="W132">
        <v>1</v>
      </c>
      <c r="X132">
        <v>7758481</v>
      </c>
      <c r="AF132" t="s">
        <v>4714</v>
      </c>
      <c r="AG132" t="s">
        <v>7565</v>
      </c>
      <c r="AI132" t="s">
        <v>6955</v>
      </c>
      <c r="AJ132" s="363" t="str">
        <f t="shared" ref="AJ132:AJ195" si="2">MID(U132,8,6)</f>
        <v>132103</v>
      </c>
    </row>
    <row r="133" spans="1:36" x14ac:dyDescent="0.25">
      <c r="A133" t="s">
        <v>7567</v>
      </c>
      <c r="B133" t="s">
        <v>7568</v>
      </c>
      <c r="C133" t="s">
        <v>163</v>
      </c>
      <c r="D133" t="s">
        <v>7443</v>
      </c>
      <c r="E133" t="s">
        <v>192</v>
      </c>
      <c r="F133" s="28">
        <v>1</v>
      </c>
      <c r="G133" t="s">
        <v>193</v>
      </c>
      <c r="H133" t="s">
        <v>194</v>
      </c>
      <c r="I133" t="s">
        <v>7276</v>
      </c>
      <c r="J133" t="s">
        <v>210</v>
      </c>
      <c r="K133" s="388" t="s">
        <v>7569</v>
      </c>
      <c r="L133" t="s">
        <v>6921</v>
      </c>
      <c r="M133" t="s">
        <v>7493</v>
      </c>
      <c r="N133" t="s">
        <v>7494</v>
      </c>
      <c r="O133" t="s">
        <v>7495</v>
      </c>
      <c r="P133">
        <v>1905102</v>
      </c>
      <c r="Q133">
        <v>16537537</v>
      </c>
      <c r="S133">
        <v>18</v>
      </c>
      <c r="T133" s="375">
        <v>1863</v>
      </c>
      <c r="U133" t="s">
        <v>697</v>
      </c>
      <c r="V133" t="s">
        <v>194</v>
      </c>
      <c r="W133">
        <v>1</v>
      </c>
      <c r="X133">
        <v>500063249</v>
      </c>
      <c r="AF133" t="s">
        <v>4714</v>
      </c>
      <c r="AG133" t="s">
        <v>7568</v>
      </c>
      <c r="AI133" t="s">
        <v>6955</v>
      </c>
      <c r="AJ133" s="363" t="str">
        <f t="shared" si="2"/>
        <v>351203</v>
      </c>
    </row>
    <row r="134" spans="1:36" x14ac:dyDescent="0.25">
      <c r="A134" t="s">
        <v>247</v>
      </c>
      <c r="B134" t="s">
        <v>7570</v>
      </c>
      <c r="C134" t="s">
        <v>74</v>
      </c>
      <c r="D134" t="s">
        <v>7443</v>
      </c>
      <c r="E134" t="s">
        <v>192</v>
      </c>
      <c r="F134" s="28">
        <v>1</v>
      </c>
      <c r="G134" t="s">
        <v>193</v>
      </c>
      <c r="H134" t="s">
        <v>194</v>
      </c>
      <c r="I134" t="s">
        <v>7260</v>
      </c>
      <c r="J134" t="s">
        <v>2532</v>
      </c>
      <c r="K134" s="388" t="s">
        <v>7571</v>
      </c>
      <c r="L134" t="s">
        <v>6249</v>
      </c>
      <c r="M134" t="s">
        <v>7493</v>
      </c>
      <c r="N134" t="s">
        <v>7494</v>
      </c>
      <c r="O134" t="s">
        <v>7495</v>
      </c>
      <c r="P134">
        <v>1905169</v>
      </c>
      <c r="Q134">
        <v>16537606</v>
      </c>
      <c r="S134">
        <v>18</v>
      </c>
      <c r="T134" s="375">
        <v>1820</v>
      </c>
      <c r="U134" t="s">
        <v>246</v>
      </c>
      <c r="V134" t="s">
        <v>194</v>
      </c>
      <c r="W134">
        <v>1</v>
      </c>
      <c r="X134">
        <v>1000566666</v>
      </c>
      <c r="AF134" t="s">
        <v>4714</v>
      </c>
      <c r="AG134" t="s">
        <v>7570</v>
      </c>
      <c r="AI134" t="s">
        <v>6955</v>
      </c>
      <c r="AJ134" s="363" t="str">
        <f t="shared" si="2"/>
        <v>142004</v>
      </c>
    </row>
    <row r="135" spans="1:36" x14ac:dyDescent="0.25">
      <c r="A135" t="s">
        <v>7572</v>
      </c>
      <c r="B135" t="s">
        <v>7573</v>
      </c>
      <c r="C135" s="385" t="s">
        <v>17</v>
      </c>
      <c r="D135" t="s">
        <v>7443</v>
      </c>
      <c r="E135" t="s">
        <v>192</v>
      </c>
      <c r="F135" s="28">
        <v>1</v>
      </c>
      <c r="G135" t="s">
        <v>193</v>
      </c>
      <c r="H135" t="s">
        <v>194</v>
      </c>
      <c r="I135" t="s">
        <v>7260</v>
      </c>
      <c r="J135" t="s">
        <v>210</v>
      </c>
      <c r="K135" s="388" t="s">
        <v>7574</v>
      </c>
      <c r="L135" t="s">
        <v>6245</v>
      </c>
      <c r="M135" t="s">
        <v>7493</v>
      </c>
      <c r="N135" t="s">
        <v>7494</v>
      </c>
      <c r="O135" t="s">
        <v>7495</v>
      </c>
      <c r="P135">
        <v>1905182</v>
      </c>
      <c r="Q135">
        <v>16537619</v>
      </c>
      <c r="S135">
        <v>18</v>
      </c>
      <c r="T135" s="375">
        <v>1863</v>
      </c>
      <c r="U135" t="s">
        <v>624</v>
      </c>
      <c r="V135" t="s">
        <v>194</v>
      </c>
      <c r="W135">
        <v>1</v>
      </c>
      <c r="X135">
        <v>1000567271</v>
      </c>
      <c r="AF135" t="s">
        <v>4714</v>
      </c>
      <c r="AG135" t="s">
        <v>7573</v>
      </c>
      <c r="AI135" t="s">
        <v>6955</v>
      </c>
      <c r="AJ135" s="363" t="str">
        <f t="shared" si="2"/>
        <v>332203</v>
      </c>
    </row>
    <row r="136" spans="1:36" x14ac:dyDescent="0.25">
      <c r="A136" t="s">
        <v>890</v>
      </c>
      <c r="B136" t="s">
        <v>7575</v>
      </c>
      <c r="C136" t="s">
        <v>10</v>
      </c>
      <c r="D136" t="s">
        <v>7443</v>
      </c>
      <c r="E136" t="s">
        <v>192</v>
      </c>
      <c r="F136" s="28">
        <v>1</v>
      </c>
      <c r="G136" t="s">
        <v>193</v>
      </c>
      <c r="H136" t="s">
        <v>194</v>
      </c>
      <c r="I136" t="s">
        <v>7276</v>
      </c>
      <c r="J136" t="s">
        <v>210</v>
      </c>
      <c r="K136" s="388" t="s">
        <v>7576</v>
      </c>
      <c r="L136" t="s">
        <v>6261</v>
      </c>
      <c r="M136" t="s">
        <v>7493</v>
      </c>
      <c r="N136" t="s">
        <v>7494</v>
      </c>
      <c r="O136" t="s">
        <v>7495</v>
      </c>
      <c r="P136">
        <v>1905351</v>
      </c>
      <c r="Q136">
        <v>16537792</v>
      </c>
      <c r="S136">
        <v>18</v>
      </c>
      <c r="T136" s="375">
        <v>1863</v>
      </c>
      <c r="U136" t="s">
        <v>484</v>
      </c>
      <c r="V136" t="s">
        <v>194</v>
      </c>
      <c r="W136">
        <v>1</v>
      </c>
      <c r="X136">
        <v>1000572640</v>
      </c>
      <c r="AF136" t="s">
        <v>4714</v>
      </c>
      <c r="AG136" t="s">
        <v>7575</v>
      </c>
      <c r="AI136" t="s">
        <v>6955</v>
      </c>
      <c r="AJ136" s="363" t="str">
        <f t="shared" si="2"/>
        <v>251401</v>
      </c>
    </row>
    <row r="137" spans="1:36" x14ac:dyDescent="0.25">
      <c r="A137" t="s">
        <v>1639</v>
      </c>
      <c r="B137" t="s">
        <v>7577</v>
      </c>
      <c r="C137" t="s">
        <v>46</v>
      </c>
      <c r="D137" t="s">
        <v>7443</v>
      </c>
      <c r="E137" t="s">
        <v>192</v>
      </c>
      <c r="F137" s="28">
        <v>1</v>
      </c>
      <c r="G137" t="s">
        <v>193</v>
      </c>
      <c r="H137" t="s">
        <v>194</v>
      </c>
      <c r="I137" t="s">
        <v>7260</v>
      </c>
      <c r="J137" t="s">
        <v>210</v>
      </c>
      <c r="K137" s="388" t="s">
        <v>7578</v>
      </c>
      <c r="L137" t="s">
        <v>6921</v>
      </c>
      <c r="M137" t="s">
        <v>7493</v>
      </c>
      <c r="N137" t="s">
        <v>7494</v>
      </c>
      <c r="O137" t="s">
        <v>7495</v>
      </c>
      <c r="P137">
        <v>1905390</v>
      </c>
      <c r="Q137">
        <v>16537831</v>
      </c>
      <c r="S137">
        <v>18</v>
      </c>
      <c r="T137" s="375">
        <v>1863</v>
      </c>
      <c r="U137" t="s">
        <v>510</v>
      </c>
      <c r="V137" t="s">
        <v>194</v>
      </c>
      <c r="W137">
        <v>1</v>
      </c>
      <c r="X137">
        <v>1000572726</v>
      </c>
      <c r="AF137" t="s">
        <v>4714</v>
      </c>
      <c r="AG137" t="s">
        <v>7577</v>
      </c>
      <c r="AI137" t="s">
        <v>6955</v>
      </c>
      <c r="AJ137" s="363" t="str">
        <f t="shared" si="2"/>
        <v>252201</v>
      </c>
    </row>
    <row r="138" spans="1:36" x14ac:dyDescent="0.25">
      <c r="A138" t="s">
        <v>1748</v>
      </c>
      <c r="B138" t="s">
        <v>7579</v>
      </c>
      <c r="C138" t="s">
        <v>46</v>
      </c>
      <c r="D138" t="s">
        <v>7443</v>
      </c>
      <c r="E138" t="s">
        <v>192</v>
      </c>
      <c r="F138" s="28">
        <v>1</v>
      </c>
      <c r="G138" t="s">
        <v>193</v>
      </c>
      <c r="H138" t="s">
        <v>194</v>
      </c>
      <c r="I138" t="s">
        <v>7260</v>
      </c>
      <c r="J138" t="s">
        <v>210</v>
      </c>
      <c r="K138" s="388" t="s">
        <v>7580</v>
      </c>
      <c r="L138" t="s">
        <v>6921</v>
      </c>
      <c r="M138" t="s">
        <v>7493</v>
      </c>
      <c r="N138" t="s">
        <v>7494</v>
      </c>
      <c r="O138" t="s">
        <v>7495</v>
      </c>
      <c r="P138">
        <v>1905403</v>
      </c>
      <c r="Q138">
        <v>16537848</v>
      </c>
      <c r="S138">
        <v>18</v>
      </c>
      <c r="T138" s="375">
        <v>1863</v>
      </c>
      <c r="U138" t="s">
        <v>510</v>
      </c>
      <c r="V138" t="s">
        <v>194</v>
      </c>
      <c r="W138">
        <v>1</v>
      </c>
      <c r="X138">
        <v>1000572819</v>
      </c>
      <c r="AF138" t="s">
        <v>4714</v>
      </c>
      <c r="AG138" t="s">
        <v>7579</v>
      </c>
      <c r="AI138" t="s">
        <v>6955</v>
      </c>
      <c r="AJ138" s="363" t="str">
        <f t="shared" si="2"/>
        <v>252201</v>
      </c>
    </row>
    <row r="139" spans="1:36" x14ac:dyDescent="0.25">
      <c r="A139" t="s">
        <v>7581</v>
      </c>
      <c r="B139" t="s">
        <v>7582</v>
      </c>
      <c r="C139" t="s">
        <v>10</v>
      </c>
      <c r="D139" t="s">
        <v>7443</v>
      </c>
      <c r="E139" t="s">
        <v>192</v>
      </c>
      <c r="F139" s="28">
        <v>1</v>
      </c>
      <c r="G139" t="s">
        <v>193</v>
      </c>
      <c r="H139" t="s">
        <v>194</v>
      </c>
      <c r="I139" t="s">
        <v>7260</v>
      </c>
      <c r="J139" t="s">
        <v>210</v>
      </c>
      <c r="K139" s="388" t="s">
        <v>7583</v>
      </c>
      <c r="L139" t="s">
        <v>6261</v>
      </c>
      <c r="M139" t="s">
        <v>7493</v>
      </c>
      <c r="N139" t="s">
        <v>7494</v>
      </c>
      <c r="O139" t="s">
        <v>7495</v>
      </c>
      <c r="P139">
        <v>1905457</v>
      </c>
      <c r="Q139">
        <v>16537902</v>
      </c>
      <c r="S139">
        <v>18</v>
      </c>
      <c r="T139" s="375">
        <v>1863</v>
      </c>
      <c r="U139" t="s">
        <v>484</v>
      </c>
      <c r="V139" t="s">
        <v>194</v>
      </c>
      <c r="W139">
        <v>1</v>
      </c>
      <c r="X139">
        <v>1000572917</v>
      </c>
      <c r="AF139" t="s">
        <v>4714</v>
      </c>
      <c r="AG139" t="s">
        <v>7582</v>
      </c>
      <c r="AI139" t="s">
        <v>6955</v>
      </c>
      <c r="AJ139" s="363" t="str">
        <f t="shared" si="2"/>
        <v>251401</v>
      </c>
    </row>
    <row r="140" spans="1:36" x14ac:dyDescent="0.25">
      <c r="A140" t="s">
        <v>2733</v>
      </c>
      <c r="B140" t="s">
        <v>7584</v>
      </c>
      <c r="C140" t="s">
        <v>12</v>
      </c>
      <c r="D140" t="s">
        <v>7443</v>
      </c>
      <c r="E140" t="s">
        <v>192</v>
      </c>
      <c r="F140" s="28">
        <v>1</v>
      </c>
      <c r="G140" t="s">
        <v>193</v>
      </c>
      <c r="H140" t="s">
        <v>194</v>
      </c>
      <c r="I140" t="s">
        <v>7276</v>
      </c>
      <c r="J140" t="s">
        <v>323</v>
      </c>
      <c r="K140" s="388" t="s">
        <v>7585</v>
      </c>
      <c r="L140" t="s">
        <v>6324</v>
      </c>
      <c r="M140" t="s">
        <v>7493</v>
      </c>
      <c r="N140" t="s">
        <v>7494</v>
      </c>
      <c r="O140" t="s">
        <v>7495</v>
      </c>
      <c r="P140">
        <v>1905475</v>
      </c>
      <c r="Q140">
        <v>16537920</v>
      </c>
      <c r="S140">
        <v>18</v>
      </c>
      <c r="T140" s="375">
        <v>1812</v>
      </c>
      <c r="U140" t="s">
        <v>220</v>
      </c>
      <c r="V140" t="s">
        <v>194</v>
      </c>
      <c r="W140">
        <v>1</v>
      </c>
      <c r="X140">
        <v>1000572946</v>
      </c>
      <c r="AF140" t="s">
        <v>4714</v>
      </c>
      <c r="AG140" t="s">
        <v>7584</v>
      </c>
      <c r="AI140" t="s">
        <v>6955</v>
      </c>
      <c r="AJ140" s="363" t="str">
        <f t="shared" si="2"/>
        <v>132301</v>
      </c>
    </row>
    <row r="141" spans="1:36" x14ac:dyDescent="0.25">
      <c r="A141" t="s">
        <v>890</v>
      </c>
      <c r="B141" t="s">
        <v>7586</v>
      </c>
      <c r="C141" t="s">
        <v>3427</v>
      </c>
      <c r="D141" t="s">
        <v>7443</v>
      </c>
      <c r="E141" t="s">
        <v>192</v>
      </c>
      <c r="F141" s="28">
        <v>1</v>
      </c>
      <c r="G141" t="s">
        <v>193</v>
      </c>
      <c r="H141" t="s">
        <v>194</v>
      </c>
      <c r="I141" t="s">
        <v>7276</v>
      </c>
      <c r="J141" t="s">
        <v>210</v>
      </c>
      <c r="K141" s="388" t="s">
        <v>7587</v>
      </c>
      <c r="L141" t="s">
        <v>6261</v>
      </c>
      <c r="M141" t="s">
        <v>7493</v>
      </c>
      <c r="N141" t="s">
        <v>7494</v>
      </c>
      <c r="O141" t="s">
        <v>7495</v>
      </c>
      <c r="P141">
        <v>1905645</v>
      </c>
      <c r="Q141">
        <v>16538103</v>
      </c>
      <c r="S141">
        <v>18</v>
      </c>
      <c r="T141" s="375">
        <v>1863</v>
      </c>
      <c r="U141" t="s">
        <v>3428</v>
      </c>
      <c r="V141" t="s">
        <v>194</v>
      </c>
      <c r="W141">
        <v>1</v>
      </c>
      <c r="X141">
        <v>1000573573</v>
      </c>
      <c r="AF141" t="s">
        <v>4714</v>
      </c>
      <c r="AG141" t="s">
        <v>7586</v>
      </c>
      <c r="AI141" t="s">
        <v>6955</v>
      </c>
      <c r="AJ141" s="363" t="str">
        <f t="shared" si="2"/>
        <v>251202</v>
      </c>
    </row>
    <row r="142" spans="1:36" x14ac:dyDescent="0.25">
      <c r="A142" t="s">
        <v>1490</v>
      </c>
      <c r="B142" t="s">
        <v>7588</v>
      </c>
      <c r="C142" t="s">
        <v>46</v>
      </c>
      <c r="D142" t="s">
        <v>7443</v>
      </c>
      <c r="E142" t="s">
        <v>192</v>
      </c>
      <c r="F142" s="28">
        <v>1</v>
      </c>
      <c r="G142" t="s">
        <v>193</v>
      </c>
      <c r="H142" t="s">
        <v>194</v>
      </c>
      <c r="I142" t="s">
        <v>7276</v>
      </c>
      <c r="J142" t="s">
        <v>575</v>
      </c>
      <c r="K142" s="388" t="s">
        <v>7589</v>
      </c>
      <c r="L142" t="s">
        <v>6921</v>
      </c>
      <c r="M142" t="s">
        <v>7493</v>
      </c>
      <c r="N142" t="s">
        <v>7494</v>
      </c>
      <c r="O142" t="s">
        <v>7495</v>
      </c>
      <c r="P142">
        <v>1905649</v>
      </c>
      <c r="Q142">
        <v>16538108</v>
      </c>
      <c r="S142">
        <v>18</v>
      </c>
      <c r="T142" s="375">
        <v>1816</v>
      </c>
      <c r="U142" t="s">
        <v>510</v>
      </c>
      <c r="V142" t="s">
        <v>194</v>
      </c>
      <c r="W142">
        <v>1</v>
      </c>
      <c r="X142">
        <v>1000573601</v>
      </c>
      <c r="AF142" t="s">
        <v>4714</v>
      </c>
      <c r="AG142" t="s">
        <v>7588</v>
      </c>
      <c r="AI142" t="s">
        <v>6955</v>
      </c>
      <c r="AJ142" s="363" t="str">
        <f t="shared" si="2"/>
        <v>252201</v>
      </c>
    </row>
    <row r="143" spans="1:36" x14ac:dyDescent="0.25">
      <c r="A143" t="s">
        <v>1490</v>
      </c>
      <c r="B143" t="s">
        <v>7590</v>
      </c>
      <c r="C143" t="s">
        <v>10</v>
      </c>
      <c r="D143" t="s">
        <v>7443</v>
      </c>
      <c r="E143" t="s">
        <v>192</v>
      </c>
      <c r="F143" s="28">
        <v>1</v>
      </c>
      <c r="G143" t="s">
        <v>193</v>
      </c>
      <c r="H143" t="s">
        <v>194</v>
      </c>
      <c r="I143" t="s">
        <v>7268</v>
      </c>
      <c r="J143" t="s">
        <v>575</v>
      </c>
      <c r="K143" s="388" t="s">
        <v>7591</v>
      </c>
      <c r="L143" t="s">
        <v>6261</v>
      </c>
      <c r="M143" t="s">
        <v>7493</v>
      </c>
      <c r="N143" t="s">
        <v>7494</v>
      </c>
      <c r="O143" t="s">
        <v>7495</v>
      </c>
      <c r="P143">
        <v>1905651</v>
      </c>
      <c r="Q143">
        <v>16538110</v>
      </c>
      <c r="S143">
        <v>18</v>
      </c>
      <c r="T143" s="375">
        <v>1816</v>
      </c>
      <c r="U143" t="s">
        <v>484</v>
      </c>
      <c r="V143" t="s">
        <v>194</v>
      </c>
      <c r="W143">
        <v>1</v>
      </c>
      <c r="X143">
        <v>1000573615</v>
      </c>
      <c r="AF143" t="s">
        <v>4714</v>
      </c>
      <c r="AG143" t="s">
        <v>7590</v>
      </c>
      <c r="AI143" t="s">
        <v>6955</v>
      </c>
      <c r="AJ143" s="363" t="str">
        <f t="shared" si="2"/>
        <v>251401</v>
      </c>
    </row>
    <row r="144" spans="1:36" x14ac:dyDescent="0.25">
      <c r="A144" t="s">
        <v>1490</v>
      </c>
      <c r="B144" t="s">
        <v>7592</v>
      </c>
      <c r="C144" s="24" t="s">
        <v>45</v>
      </c>
      <c r="D144" t="s">
        <v>7443</v>
      </c>
      <c r="E144" t="s">
        <v>192</v>
      </c>
      <c r="F144" s="28">
        <v>1</v>
      </c>
      <c r="G144" t="s">
        <v>193</v>
      </c>
      <c r="H144" t="s">
        <v>194</v>
      </c>
      <c r="I144" t="s">
        <v>7276</v>
      </c>
      <c r="J144" t="s">
        <v>575</v>
      </c>
      <c r="K144" s="388" t="s">
        <v>7593</v>
      </c>
      <c r="L144" t="s">
        <v>6295</v>
      </c>
      <c r="M144" t="s">
        <v>7493</v>
      </c>
      <c r="N144" t="s">
        <v>7494</v>
      </c>
      <c r="O144" t="s">
        <v>7495</v>
      </c>
      <c r="P144">
        <v>1905658</v>
      </c>
      <c r="Q144">
        <v>16538117</v>
      </c>
      <c r="S144">
        <v>18</v>
      </c>
      <c r="T144" s="375">
        <v>1816</v>
      </c>
      <c r="U144" t="s">
        <v>351</v>
      </c>
      <c r="V144" t="s">
        <v>194</v>
      </c>
      <c r="W144">
        <v>1</v>
      </c>
      <c r="X144">
        <v>1000573645</v>
      </c>
      <c r="AF144" t="s">
        <v>4714</v>
      </c>
      <c r="AG144" t="s">
        <v>7592</v>
      </c>
      <c r="AI144" t="s">
        <v>6955</v>
      </c>
      <c r="AJ144" s="363" t="str">
        <f t="shared" si="2"/>
        <v>214932</v>
      </c>
    </row>
    <row r="145" spans="1:36" x14ac:dyDescent="0.25">
      <c r="A145" t="s">
        <v>6048</v>
      </c>
      <c r="B145" t="s">
        <v>7594</v>
      </c>
      <c r="C145" t="s">
        <v>43</v>
      </c>
      <c r="D145" t="s">
        <v>7443</v>
      </c>
      <c r="E145" t="s">
        <v>192</v>
      </c>
      <c r="F145" s="28">
        <v>1</v>
      </c>
      <c r="G145" t="s">
        <v>193</v>
      </c>
      <c r="H145" t="s">
        <v>194</v>
      </c>
      <c r="I145" t="s">
        <v>7260</v>
      </c>
      <c r="J145" t="s">
        <v>210</v>
      </c>
      <c r="K145" s="388" t="s">
        <v>7595</v>
      </c>
      <c r="L145" t="s">
        <v>6245</v>
      </c>
      <c r="M145" t="s">
        <v>7493</v>
      </c>
      <c r="N145" t="s">
        <v>7494</v>
      </c>
      <c r="O145" t="s">
        <v>7495</v>
      </c>
      <c r="P145">
        <v>1905663</v>
      </c>
      <c r="Q145">
        <v>16538122</v>
      </c>
      <c r="S145">
        <v>18</v>
      </c>
      <c r="T145" s="375">
        <v>1863</v>
      </c>
      <c r="U145" t="s">
        <v>452</v>
      </c>
      <c r="V145" t="s">
        <v>194</v>
      </c>
      <c r="W145">
        <v>1</v>
      </c>
      <c r="X145">
        <v>1000573669</v>
      </c>
      <c r="AF145" t="s">
        <v>4714</v>
      </c>
      <c r="AG145" t="s">
        <v>7594</v>
      </c>
      <c r="AI145" t="s">
        <v>6955</v>
      </c>
      <c r="AJ145" s="363" t="str">
        <f t="shared" si="2"/>
        <v>243106</v>
      </c>
    </row>
    <row r="146" spans="1:36" x14ac:dyDescent="0.25">
      <c r="A146" t="s">
        <v>1490</v>
      </c>
      <c r="B146" t="s">
        <v>7596</v>
      </c>
      <c r="C146" s="24" t="s">
        <v>7597</v>
      </c>
      <c r="D146" t="s">
        <v>7443</v>
      </c>
      <c r="E146" t="s">
        <v>192</v>
      </c>
      <c r="F146" s="28">
        <v>1</v>
      </c>
      <c r="G146" t="s">
        <v>193</v>
      </c>
      <c r="H146" t="s">
        <v>194</v>
      </c>
      <c r="I146" t="s">
        <v>7276</v>
      </c>
      <c r="J146" t="s">
        <v>575</v>
      </c>
      <c r="K146" s="388" t="s">
        <v>7598</v>
      </c>
      <c r="L146" t="s">
        <v>6374</v>
      </c>
      <c r="M146" t="s">
        <v>7493</v>
      </c>
      <c r="N146" t="s">
        <v>7494</v>
      </c>
      <c r="O146" t="s">
        <v>7495</v>
      </c>
      <c r="P146">
        <v>1905697</v>
      </c>
      <c r="Q146">
        <v>16538156</v>
      </c>
      <c r="S146">
        <v>18</v>
      </c>
      <c r="T146" s="375">
        <v>1816</v>
      </c>
      <c r="U146" t="s">
        <v>7599</v>
      </c>
      <c r="V146" t="s">
        <v>194</v>
      </c>
      <c r="W146">
        <v>1</v>
      </c>
      <c r="X146">
        <v>1000573769</v>
      </c>
      <c r="AF146" t="s">
        <v>4714</v>
      </c>
      <c r="AG146" t="s">
        <v>7596</v>
      </c>
      <c r="AI146" t="s">
        <v>6955</v>
      </c>
      <c r="AJ146" s="363" t="str">
        <f t="shared" si="2"/>
        <v>214403</v>
      </c>
    </row>
    <row r="147" spans="1:36" x14ac:dyDescent="0.25">
      <c r="A147" t="s">
        <v>1289</v>
      </c>
      <c r="B147" t="s">
        <v>7600</v>
      </c>
      <c r="C147" s="385" t="s">
        <v>17</v>
      </c>
      <c r="D147" t="s">
        <v>7268</v>
      </c>
      <c r="E147" t="s">
        <v>192</v>
      </c>
      <c r="F147" s="28">
        <v>1</v>
      </c>
      <c r="G147" t="s">
        <v>193</v>
      </c>
      <c r="H147" t="s">
        <v>194</v>
      </c>
      <c r="I147" t="s">
        <v>7485</v>
      </c>
      <c r="J147" t="s">
        <v>276</v>
      </c>
      <c r="K147" s="388" t="s">
        <v>7601</v>
      </c>
      <c r="L147" t="s">
        <v>7001</v>
      </c>
      <c r="M147" t="s">
        <v>7602</v>
      </c>
      <c r="N147" t="s">
        <v>7256</v>
      </c>
      <c r="O147" t="s">
        <v>7603</v>
      </c>
      <c r="P147">
        <v>1913384</v>
      </c>
      <c r="Q147">
        <v>16744887</v>
      </c>
      <c r="S147">
        <v>18</v>
      </c>
      <c r="T147" s="376" t="s">
        <v>5003</v>
      </c>
      <c r="U147" t="s">
        <v>624</v>
      </c>
      <c r="V147" t="s">
        <v>194</v>
      </c>
      <c r="W147">
        <v>16</v>
      </c>
      <c r="X147">
        <v>7766018</v>
      </c>
      <c r="AF147" t="s">
        <v>4714</v>
      </c>
      <c r="AG147" t="s">
        <v>7600</v>
      </c>
      <c r="AI147" t="s">
        <v>6955</v>
      </c>
      <c r="AJ147" s="363" t="str">
        <f t="shared" si="2"/>
        <v>332203</v>
      </c>
    </row>
    <row r="148" spans="1:36" x14ac:dyDescent="0.25">
      <c r="A148" t="s">
        <v>7604</v>
      </c>
      <c r="B148" t="s">
        <v>7605</v>
      </c>
      <c r="C148" t="s">
        <v>190</v>
      </c>
      <c r="D148" t="s">
        <v>7268</v>
      </c>
      <c r="E148" t="s">
        <v>192</v>
      </c>
      <c r="F148" s="28">
        <v>1</v>
      </c>
      <c r="G148" t="s">
        <v>193</v>
      </c>
      <c r="H148" t="s">
        <v>194</v>
      </c>
      <c r="I148" t="s">
        <v>7606</v>
      </c>
      <c r="J148" t="s">
        <v>2386</v>
      </c>
      <c r="K148" s="388" t="s">
        <v>7607</v>
      </c>
      <c r="L148" t="s">
        <v>6363</v>
      </c>
      <c r="M148" t="s">
        <v>7602</v>
      </c>
      <c r="N148" t="s">
        <v>7256</v>
      </c>
      <c r="O148" t="s">
        <v>7603</v>
      </c>
      <c r="P148">
        <v>1913393</v>
      </c>
      <c r="Q148">
        <v>16744896</v>
      </c>
      <c r="S148">
        <v>18</v>
      </c>
      <c r="T148" s="375">
        <v>1812</v>
      </c>
      <c r="U148" t="s">
        <v>197</v>
      </c>
      <c r="V148" t="s">
        <v>194</v>
      </c>
      <c r="W148">
        <v>1</v>
      </c>
      <c r="X148">
        <v>7766059</v>
      </c>
      <c r="AF148" t="s">
        <v>4714</v>
      </c>
      <c r="AG148" t="s">
        <v>7605</v>
      </c>
      <c r="AI148" t="s">
        <v>6955</v>
      </c>
      <c r="AJ148" s="363" t="str">
        <f t="shared" si="2"/>
        <v>112012</v>
      </c>
    </row>
    <row r="149" spans="1:36" x14ac:dyDescent="0.25">
      <c r="A149" t="s">
        <v>7608</v>
      </c>
      <c r="B149" t="s">
        <v>7609</v>
      </c>
      <c r="C149" t="s">
        <v>85</v>
      </c>
      <c r="D149" t="s">
        <v>7268</v>
      </c>
      <c r="E149" t="s">
        <v>192</v>
      </c>
      <c r="F149" s="28">
        <v>1</v>
      </c>
      <c r="G149" t="s">
        <v>193</v>
      </c>
      <c r="H149" t="s">
        <v>194</v>
      </c>
      <c r="I149" t="s">
        <v>7485</v>
      </c>
      <c r="J149" t="s">
        <v>276</v>
      </c>
      <c r="K149" s="388" t="s">
        <v>7610</v>
      </c>
      <c r="L149" t="s">
        <v>6245</v>
      </c>
      <c r="M149" t="s">
        <v>7602</v>
      </c>
      <c r="N149" t="s">
        <v>7256</v>
      </c>
      <c r="O149" t="s">
        <v>7603</v>
      </c>
      <c r="P149">
        <v>1913464</v>
      </c>
      <c r="Q149">
        <v>16744968</v>
      </c>
      <c r="S149">
        <v>18</v>
      </c>
      <c r="T149" s="376" t="s">
        <v>7611</v>
      </c>
      <c r="U149" t="s">
        <v>477</v>
      </c>
      <c r="V149" t="s">
        <v>194</v>
      </c>
      <c r="W149">
        <v>15</v>
      </c>
      <c r="X149">
        <v>7766884</v>
      </c>
      <c r="AF149" t="s">
        <v>4714</v>
      </c>
      <c r="AG149" t="s">
        <v>7609</v>
      </c>
      <c r="AI149" t="s">
        <v>6955</v>
      </c>
      <c r="AJ149" s="363" t="str">
        <f t="shared" si="2"/>
        <v>243305</v>
      </c>
    </row>
    <row r="150" spans="1:36" x14ac:dyDescent="0.25">
      <c r="A150" t="s">
        <v>358</v>
      </c>
      <c r="B150" t="s">
        <v>7612</v>
      </c>
      <c r="C150" t="s">
        <v>354</v>
      </c>
      <c r="D150" t="s">
        <v>7268</v>
      </c>
      <c r="E150" t="s">
        <v>192</v>
      </c>
      <c r="F150" s="28">
        <v>1</v>
      </c>
      <c r="G150" t="s">
        <v>193</v>
      </c>
      <c r="H150" t="s">
        <v>194</v>
      </c>
      <c r="I150" t="s">
        <v>7495</v>
      </c>
      <c r="J150" t="s">
        <v>210</v>
      </c>
      <c r="K150" s="388" t="s">
        <v>7613</v>
      </c>
      <c r="L150" t="s">
        <v>6245</v>
      </c>
      <c r="M150" t="s">
        <v>7602</v>
      </c>
      <c r="N150" t="s">
        <v>7256</v>
      </c>
      <c r="O150" t="s">
        <v>7603</v>
      </c>
      <c r="P150">
        <v>1913532</v>
      </c>
      <c r="Q150">
        <v>16745036</v>
      </c>
      <c r="S150">
        <v>18</v>
      </c>
      <c r="T150" s="375">
        <v>1863</v>
      </c>
      <c r="U150" t="s">
        <v>355</v>
      </c>
      <c r="V150" t="s">
        <v>194</v>
      </c>
      <c r="W150">
        <v>1</v>
      </c>
      <c r="X150">
        <v>7767497</v>
      </c>
      <c r="AF150" t="s">
        <v>4714</v>
      </c>
      <c r="AG150" t="s">
        <v>7612</v>
      </c>
      <c r="AI150" t="s">
        <v>6955</v>
      </c>
      <c r="AJ150" s="363" t="str">
        <f t="shared" si="2"/>
        <v>215103</v>
      </c>
    </row>
    <row r="151" spans="1:36" x14ac:dyDescent="0.25">
      <c r="A151" t="s">
        <v>2048</v>
      </c>
      <c r="B151" t="s">
        <v>7614</v>
      </c>
      <c r="C151" s="385" t="s">
        <v>133</v>
      </c>
      <c r="D151" t="s">
        <v>7268</v>
      </c>
      <c r="E151" t="s">
        <v>192</v>
      </c>
      <c r="F151" s="28">
        <v>1</v>
      </c>
      <c r="G151" t="s">
        <v>193</v>
      </c>
      <c r="H151" t="s">
        <v>194</v>
      </c>
      <c r="I151" t="s">
        <v>7495</v>
      </c>
      <c r="J151" t="s">
        <v>210</v>
      </c>
      <c r="K151" s="388" t="s">
        <v>7615</v>
      </c>
      <c r="L151" t="s">
        <v>6266</v>
      </c>
      <c r="M151" t="s">
        <v>7602</v>
      </c>
      <c r="N151" t="s">
        <v>7256</v>
      </c>
      <c r="O151" t="s">
        <v>7603</v>
      </c>
      <c r="P151">
        <v>1913572</v>
      </c>
      <c r="Q151">
        <v>16745077</v>
      </c>
      <c r="S151">
        <v>18</v>
      </c>
      <c r="T151" s="375">
        <v>1863</v>
      </c>
      <c r="U151" t="s">
        <v>673</v>
      </c>
      <c r="V151" t="s">
        <v>194</v>
      </c>
      <c r="W151">
        <v>1</v>
      </c>
      <c r="X151">
        <v>7767883</v>
      </c>
      <c r="AF151" t="s">
        <v>4714</v>
      </c>
      <c r="AG151" t="s">
        <v>7614</v>
      </c>
      <c r="AI151" t="s">
        <v>6955</v>
      </c>
      <c r="AJ151" s="363" t="str">
        <f t="shared" si="2"/>
        <v>333107</v>
      </c>
    </row>
    <row r="152" spans="1:36" x14ac:dyDescent="0.25">
      <c r="A152" t="s">
        <v>4022</v>
      </c>
      <c r="B152" t="s">
        <v>7616</v>
      </c>
      <c r="C152" t="s">
        <v>7617</v>
      </c>
      <c r="D152" t="s">
        <v>7268</v>
      </c>
      <c r="E152" t="s">
        <v>192</v>
      </c>
      <c r="F152" s="28">
        <v>1</v>
      </c>
      <c r="G152" t="s">
        <v>193</v>
      </c>
      <c r="H152" t="s">
        <v>194</v>
      </c>
      <c r="I152" t="s">
        <v>7485</v>
      </c>
      <c r="J152" t="s">
        <v>276</v>
      </c>
      <c r="K152" s="388" t="s">
        <v>7618</v>
      </c>
      <c r="L152" t="s">
        <v>6286</v>
      </c>
      <c r="M152" t="s">
        <v>7602</v>
      </c>
      <c r="N152" t="s">
        <v>7256</v>
      </c>
      <c r="O152" t="s">
        <v>7603</v>
      </c>
      <c r="P152">
        <v>1913587</v>
      </c>
      <c r="Q152">
        <v>16745092</v>
      </c>
      <c r="S152">
        <v>18</v>
      </c>
      <c r="T152" s="376" t="s">
        <v>7619</v>
      </c>
      <c r="U152" t="s">
        <v>7620</v>
      </c>
      <c r="V152" t="s">
        <v>194</v>
      </c>
      <c r="W152">
        <v>9</v>
      </c>
      <c r="X152">
        <v>7767980</v>
      </c>
      <c r="AF152" t="s">
        <v>4714</v>
      </c>
      <c r="AG152" t="s">
        <v>7616</v>
      </c>
      <c r="AI152" t="s">
        <v>6955</v>
      </c>
      <c r="AJ152" s="363" t="str">
        <f t="shared" si="2"/>
        <v>516903</v>
      </c>
    </row>
    <row r="153" spans="1:36" x14ac:dyDescent="0.25">
      <c r="A153" t="s">
        <v>7621</v>
      </c>
      <c r="B153" t="s">
        <v>7622</v>
      </c>
      <c r="C153" s="24" t="s">
        <v>5607</v>
      </c>
      <c r="D153" t="s">
        <v>7268</v>
      </c>
      <c r="E153" t="s">
        <v>192</v>
      </c>
      <c r="F153" s="28">
        <v>1</v>
      </c>
      <c r="G153" t="s">
        <v>193</v>
      </c>
      <c r="H153" t="s">
        <v>194</v>
      </c>
      <c r="I153" t="s">
        <v>7495</v>
      </c>
      <c r="J153" t="s">
        <v>672</v>
      </c>
      <c r="K153" s="388" t="s">
        <v>7623</v>
      </c>
      <c r="L153" t="s">
        <v>6245</v>
      </c>
      <c r="M153" t="s">
        <v>7602</v>
      </c>
      <c r="N153" t="s">
        <v>7256</v>
      </c>
      <c r="O153" t="s">
        <v>7603</v>
      </c>
      <c r="P153">
        <v>1913667</v>
      </c>
      <c r="Q153">
        <v>16745173</v>
      </c>
      <c r="S153">
        <v>18</v>
      </c>
      <c r="T153" s="375">
        <v>1816</v>
      </c>
      <c r="U153" t="s">
        <v>302</v>
      </c>
      <c r="V153" t="s">
        <v>194</v>
      </c>
      <c r="W153">
        <v>1</v>
      </c>
      <c r="X153">
        <v>500063993</v>
      </c>
      <c r="AF153" t="s">
        <v>4714</v>
      </c>
      <c r="AG153" t="s">
        <v>7622</v>
      </c>
      <c r="AI153" t="s">
        <v>6955</v>
      </c>
      <c r="AJ153" s="363" t="str">
        <f t="shared" si="2"/>
        <v>214402</v>
      </c>
    </row>
    <row r="154" spans="1:36" x14ac:dyDescent="0.25">
      <c r="A154" t="s">
        <v>7624</v>
      </c>
      <c r="B154" t="s">
        <v>7625</v>
      </c>
      <c r="C154" t="s">
        <v>2781</v>
      </c>
      <c r="D154" t="s">
        <v>7268</v>
      </c>
      <c r="E154" t="s">
        <v>192</v>
      </c>
      <c r="F154" s="28">
        <v>1</v>
      </c>
      <c r="G154" t="s">
        <v>193</v>
      </c>
      <c r="H154" t="s">
        <v>194</v>
      </c>
      <c r="I154" t="s">
        <v>7495</v>
      </c>
      <c r="J154" t="s">
        <v>210</v>
      </c>
      <c r="K154" s="388" t="s">
        <v>7626</v>
      </c>
      <c r="L154" t="s">
        <v>6245</v>
      </c>
      <c r="M154" t="s">
        <v>7602</v>
      </c>
      <c r="N154" t="s">
        <v>7256</v>
      </c>
      <c r="O154" t="s">
        <v>7603</v>
      </c>
      <c r="P154">
        <v>1913711</v>
      </c>
      <c r="Q154">
        <v>16745217</v>
      </c>
      <c r="S154">
        <v>18</v>
      </c>
      <c r="T154" s="375">
        <v>1863</v>
      </c>
      <c r="U154" t="s">
        <v>7476</v>
      </c>
      <c r="V154" t="s">
        <v>194</v>
      </c>
      <c r="W154">
        <v>1</v>
      </c>
      <c r="X154">
        <v>500064057</v>
      </c>
      <c r="AF154" t="s">
        <v>4714</v>
      </c>
      <c r="AG154" t="s">
        <v>7625</v>
      </c>
      <c r="AI154" t="s">
        <v>6955</v>
      </c>
      <c r="AJ154" s="363" t="str">
        <f t="shared" si="2"/>
        <v>311922</v>
      </c>
    </row>
    <row r="155" spans="1:36" x14ac:dyDescent="0.25">
      <c r="A155" t="s">
        <v>546</v>
      </c>
      <c r="B155" t="s">
        <v>7627</v>
      </c>
      <c r="C155" t="s">
        <v>10</v>
      </c>
      <c r="D155" t="s">
        <v>7268</v>
      </c>
      <c r="E155" t="s">
        <v>192</v>
      </c>
      <c r="F155" s="28">
        <v>1</v>
      </c>
      <c r="G155" t="s">
        <v>193</v>
      </c>
      <c r="H155" t="s">
        <v>194</v>
      </c>
      <c r="I155" t="s">
        <v>7606</v>
      </c>
      <c r="J155" t="s">
        <v>210</v>
      </c>
      <c r="K155" s="388" t="s">
        <v>7628</v>
      </c>
      <c r="L155" t="s">
        <v>6261</v>
      </c>
      <c r="M155" t="s">
        <v>7602</v>
      </c>
      <c r="N155" t="s">
        <v>7256</v>
      </c>
      <c r="O155" t="s">
        <v>7603</v>
      </c>
      <c r="P155">
        <v>1913774</v>
      </c>
      <c r="Q155">
        <v>16745281</v>
      </c>
      <c r="S155">
        <v>18</v>
      </c>
      <c r="T155" s="375">
        <v>1863</v>
      </c>
      <c r="U155" t="s">
        <v>484</v>
      </c>
      <c r="V155" t="s">
        <v>194</v>
      </c>
      <c r="W155">
        <v>1</v>
      </c>
      <c r="X155">
        <v>500064138</v>
      </c>
      <c r="AF155" t="s">
        <v>4714</v>
      </c>
      <c r="AG155" t="s">
        <v>7627</v>
      </c>
      <c r="AI155" t="s">
        <v>6955</v>
      </c>
      <c r="AJ155" s="363" t="str">
        <f t="shared" si="2"/>
        <v>251401</v>
      </c>
    </row>
    <row r="156" spans="1:36" x14ac:dyDescent="0.25">
      <c r="A156" t="s">
        <v>7629</v>
      </c>
      <c r="B156" t="s">
        <v>3273</v>
      </c>
      <c r="C156" s="385" t="s">
        <v>133</v>
      </c>
      <c r="D156" t="s">
        <v>7268</v>
      </c>
      <c r="E156" t="s">
        <v>192</v>
      </c>
      <c r="F156" s="28">
        <v>1</v>
      </c>
      <c r="G156" t="s">
        <v>193</v>
      </c>
      <c r="H156" t="s">
        <v>194</v>
      </c>
      <c r="I156" t="s">
        <v>7495</v>
      </c>
      <c r="J156" t="s">
        <v>408</v>
      </c>
      <c r="K156" s="388" t="s">
        <v>7630</v>
      </c>
      <c r="L156" t="s">
        <v>6286</v>
      </c>
      <c r="M156" t="s">
        <v>7602</v>
      </c>
      <c r="N156" t="s">
        <v>7256</v>
      </c>
      <c r="O156" t="s">
        <v>7603</v>
      </c>
      <c r="P156">
        <v>1913784</v>
      </c>
      <c r="Q156">
        <v>16745293</v>
      </c>
      <c r="S156">
        <v>18</v>
      </c>
      <c r="T156" s="375">
        <v>1864</v>
      </c>
      <c r="U156" t="s">
        <v>673</v>
      </c>
      <c r="V156" t="s">
        <v>194</v>
      </c>
      <c r="W156">
        <v>1</v>
      </c>
      <c r="X156">
        <v>500064154</v>
      </c>
      <c r="AF156" t="s">
        <v>4714</v>
      </c>
      <c r="AG156" t="s">
        <v>3273</v>
      </c>
      <c r="AI156" t="s">
        <v>6955</v>
      </c>
      <c r="AJ156" s="363" t="str">
        <f t="shared" si="2"/>
        <v>333107</v>
      </c>
    </row>
    <row r="157" spans="1:36" x14ac:dyDescent="0.25">
      <c r="A157" t="s">
        <v>7629</v>
      </c>
      <c r="B157" t="s">
        <v>7631</v>
      </c>
      <c r="C157" t="s">
        <v>62</v>
      </c>
      <c r="D157" t="s">
        <v>7268</v>
      </c>
      <c r="E157" t="s">
        <v>192</v>
      </c>
      <c r="F157" s="28">
        <v>1</v>
      </c>
      <c r="G157" t="s">
        <v>193</v>
      </c>
      <c r="H157" t="s">
        <v>194</v>
      </c>
      <c r="I157" t="s">
        <v>7495</v>
      </c>
      <c r="J157" t="s">
        <v>408</v>
      </c>
      <c r="K157" s="388" t="s">
        <v>7632</v>
      </c>
      <c r="L157" t="s">
        <v>6275</v>
      </c>
      <c r="M157" t="s">
        <v>7602</v>
      </c>
      <c r="N157" t="s">
        <v>7256</v>
      </c>
      <c r="O157" t="s">
        <v>7603</v>
      </c>
      <c r="P157">
        <v>1913785</v>
      </c>
      <c r="Q157">
        <v>16745294</v>
      </c>
      <c r="S157">
        <v>18</v>
      </c>
      <c r="T157" s="375">
        <v>1864</v>
      </c>
      <c r="U157" t="s">
        <v>601</v>
      </c>
      <c r="V157" t="s">
        <v>194</v>
      </c>
      <c r="W157">
        <v>1</v>
      </c>
      <c r="X157">
        <v>500064155</v>
      </c>
      <c r="AF157" t="s">
        <v>4714</v>
      </c>
      <c r="AG157" t="s">
        <v>7631</v>
      </c>
      <c r="AI157" t="s">
        <v>6955</v>
      </c>
      <c r="AJ157" s="363" t="str">
        <f t="shared" si="2"/>
        <v>313904</v>
      </c>
    </row>
    <row r="158" spans="1:36" x14ac:dyDescent="0.25">
      <c r="A158" t="s">
        <v>491</v>
      </c>
      <c r="B158" t="s">
        <v>7633</v>
      </c>
      <c r="C158" t="s">
        <v>10</v>
      </c>
      <c r="D158" t="s">
        <v>7268</v>
      </c>
      <c r="E158" t="s">
        <v>192</v>
      </c>
      <c r="F158" s="28">
        <v>1</v>
      </c>
      <c r="G158" t="s">
        <v>193</v>
      </c>
      <c r="H158" t="s">
        <v>194</v>
      </c>
      <c r="I158" t="s">
        <v>7495</v>
      </c>
      <c r="J158" t="s">
        <v>210</v>
      </c>
      <c r="K158" s="388" t="s">
        <v>7634</v>
      </c>
      <c r="L158" t="s">
        <v>6261</v>
      </c>
      <c r="M158" t="s">
        <v>7602</v>
      </c>
      <c r="N158" t="s">
        <v>7256</v>
      </c>
      <c r="O158" t="s">
        <v>7603</v>
      </c>
      <c r="P158">
        <v>1913901</v>
      </c>
      <c r="Q158">
        <v>16745410</v>
      </c>
      <c r="S158">
        <v>18</v>
      </c>
      <c r="T158" s="375">
        <v>1863</v>
      </c>
      <c r="U158" t="s">
        <v>484</v>
      </c>
      <c r="V158" t="s">
        <v>194</v>
      </c>
      <c r="W158">
        <v>1</v>
      </c>
      <c r="X158">
        <v>1000576492</v>
      </c>
      <c r="AF158" t="s">
        <v>4714</v>
      </c>
      <c r="AG158" t="s">
        <v>7633</v>
      </c>
      <c r="AI158" t="s">
        <v>6955</v>
      </c>
      <c r="AJ158" s="363" t="str">
        <f t="shared" si="2"/>
        <v>251401</v>
      </c>
    </row>
    <row r="159" spans="1:36" x14ac:dyDescent="0.25">
      <c r="A159" t="s">
        <v>491</v>
      </c>
      <c r="B159" t="s">
        <v>492</v>
      </c>
      <c r="C159" t="s">
        <v>480</v>
      </c>
      <c r="D159" t="s">
        <v>7268</v>
      </c>
      <c r="E159" t="s">
        <v>192</v>
      </c>
      <c r="F159" s="28">
        <v>1</v>
      </c>
      <c r="G159" t="s">
        <v>193</v>
      </c>
      <c r="H159" t="s">
        <v>194</v>
      </c>
      <c r="I159" t="s">
        <v>7495</v>
      </c>
      <c r="J159" t="s">
        <v>210</v>
      </c>
      <c r="K159" s="388" t="s">
        <v>7635</v>
      </c>
      <c r="L159" t="s">
        <v>6261</v>
      </c>
      <c r="M159" t="s">
        <v>7602</v>
      </c>
      <c r="N159" t="s">
        <v>7256</v>
      </c>
      <c r="O159" t="s">
        <v>7603</v>
      </c>
      <c r="P159">
        <v>1913904</v>
      </c>
      <c r="Q159">
        <v>16745413</v>
      </c>
      <c r="S159">
        <v>18</v>
      </c>
      <c r="T159" s="375">
        <v>1863</v>
      </c>
      <c r="U159" t="s">
        <v>481</v>
      </c>
      <c r="V159" t="s">
        <v>194</v>
      </c>
      <c r="W159">
        <v>1</v>
      </c>
      <c r="X159">
        <v>1000576756</v>
      </c>
      <c r="AF159" t="s">
        <v>4714</v>
      </c>
      <c r="AG159" t="s">
        <v>492</v>
      </c>
      <c r="AI159" t="s">
        <v>6955</v>
      </c>
      <c r="AJ159" s="363" t="str">
        <f t="shared" si="2"/>
        <v>251201</v>
      </c>
    </row>
    <row r="160" spans="1:36" x14ac:dyDescent="0.25">
      <c r="A160" t="s">
        <v>780</v>
      </c>
      <c r="B160" t="s">
        <v>7636</v>
      </c>
      <c r="C160" s="385" t="s">
        <v>17</v>
      </c>
      <c r="D160" t="s">
        <v>7268</v>
      </c>
      <c r="E160" t="s">
        <v>192</v>
      </c>
      <c r="F160" s="28">
        <v>1</v>
      </c>
      <c r="G160" t="s">
        <v>193</v>
      </c>
      <c r="H160" t="s">
        <v>194</v>
      </c>
      <c r="I160" t="s">
        <v>7495</v>
      </c>
      <c r="J160" t="s">
        <v>962</v>
      </c>
      <c r="K160" s="388" t="s">
        <v>7637</v>
      </c>
      <c r="L160" t="s">
        <v>6254</v>
      </c>
      <c r="M160" t="s">
        <v>7602</v>
      </c>
      <c r="N160" t="s">
        <v>7256</v>
      </c>
      <c r="O160" t="s">
        <v>7603</v>
      </c>
      <c r="P160">
        <v>1913995</v>
      </c>
      <c r="Q160">
        <v>16745505</v>
      </c>
      <c r="S160">
        <v>18</v>
      </c>
      <c r="T160" s="375">
        <v>1806</v>
      </c>
      <c r="U160" t="s">
        <v>624</v>
      </c>
      <c r="V160" t="s">
        <v>194</v>
      </c>
      <c r="W160">
        <v>1</v>
      </c>
      <c r="X160">
        <v>1000580274</v>
      </c>
      <c r="AF160" t="s">
        <v>4714</v>
      </c>
      <c r="AG160" t="s">
        <v>7636</v>
      </c>
      <c r="AI160" t="s">
        <v>6955</v>
      </c>
      <c r="AJ160" s="363" t="str">
        <f t="shared" si="2"/>
        <v>332203</v>
      </c>
    </row>
    <row r="161" spans="1:36" x14ac:dyDescent="0.25">
      <c r="A161" t="s">
        <v>780</v>
      </c>
      <c r="B161" t="s">
        <v>7636</v>
      </c>
      <c r="C161" s="385" t="s">
        <v>17</v>
      </c>
      <c r="D161" t="s">
        <v>7268</v>
      </c>
      <c r="E161" t="s">
        <v>192</v>
      </c>
      <c r="F161" s="28">
        <v>1</v>
      </c>
      <c r="G161" t="s">
        <v>193</v>
      </c>
      <c r="H161" t="s">
        <v>194</v>
      </c>
      <c r="I161" t="s">
        <v>7495</v>
      </c>
      <c r="J161" t="s">
        <v>327</v>
      </c>
      <c r="K161" s="388" t="s">
        <v>7638</v>
      </c>
      <c r="L161" t="s">
        <v>6254</v>
      </c>
      <c r="M161" t="s">
        <v>7602</v>
      </c>
      <c r="N161" t="s">
        <v>7256</v>
      </c>
      <c r="O161" t="s">
        <v>7603</v>
      </c>
      <c r="P161">
        <v>1913999</v>
      </c>
      <c r="Q161">
        <v>16745509</v>
      </c>
      <c r="S161">
        <v>18</v>
      </c>
      <c r="T161" s="375">
        <v>1808</v>
      </c>
      <c r="U161" t="s">
        <v>624</v>
      </c>
      <c r="V161" t="s">
        <v>194</v>
      </c>
      <c r="W161">
        <v>1</v>
      </c>
      <c r="X161">
        <v>1000580278</v>
      </c>
      <c r="AF161" t="s">
        <v>4714</v>
      </c>
      <c r="AG161" t="s">
        <v>7636</v>
      </c>
      <c r="AI161" t="s">
        <v>6955</v>
      </c>
      <c r="AJ161" s="363" t="str">
        <f t="shared" si="2"/>
        <v>332203</v>
      </c>
    </row>
    <row r="162" spans="1:36" x14ac:dyDescent="0.25">
      <c r="A162" t="s">
        <v>780</v>
      </c>
      <c r="B162" t="s">
        <v>7636</v>
      </c>
      <c r="C162" s="385" t="s">
        <v>17</v>
      </c>
      <c r="D162" t="s">
        <v>7268</v>
      </c>
      <c r="E162" t="s">
        <v>192</v>
      </c>
      <c r="F162" s="28">
        <v>1</v>
      </c>
      <c r="G162" t="s">
        <v>193</v>
      </c>
      <c r="H162" t="s">
        <v>194</v>
      </c>
      <c r="I162" t="s">
        <v>7495</v>
      </c>
      <c r="J162" t="s">
        <v>1059</v>
      </c>
      <c r="K162" s="388" t="s">
        <v>7639</v>
      </c>
      <c r="L162" t="s">
        <v>6254</v>
      </c>
      <c r="M162" t="s">
        <v>7602</v>
      </c>
      <c r="N162" t="s">
        <v>7256</v>
      </c>
      <c r="O162" t="s">
        <v>7603</v>
      </c>
      <c r="P162">
        <v>1914001</v>
      </c>
      <c r="Q162">
        <v>16745511</v>
      </c>
      <c r="S162">
        <v>18</v>
      </c>
      <c r="T162" s="375">
        <v>1809</v>
      </c>
      <c r="U162" t="s">
        <v>624</v>
      </c>
      <c r="V162" t="s">
        <v>194</v>
      </c>
      <c r="W162">
        <v>1</v>
      </c>
      <c r="X162">
        <v>1000580280</v>
      </c>
      <c r="AF162" t="s">
        <v>4714</v>
      </c>
      <c r="AG162" t="s">
        <v>7636</v>
      </c>
      <c r="AI162" t="s">
        <v>6955</v>
      </c>
      <c r="AJ162" s="363" t="str">
        <f t="shared" si="2"/>
        <v>332203</v>
      </c>
    </row>
    <row r="163" spans="1:36" x14ac:dyDescent="0.25">
      <c r="A163" t="s">
        <v>780</v>
      </c>
      <c r="B163" t="s">
        <v>7636</v>
      </c>
      <c r="C163" s="385" t="s">
        <v>17</v>
      </c>
      <c r="D163" t="s">
        <v>7268</v>
      </c>
      <c r="E163" t="s">
        <v>192</v>
      </c>
      <c r="F163" s="28">
        <v>1</v>
      </c>
      <c r="G163" t="s">
        <v>193</v>
      </c>
      <c r="H163" t="s">
        <v>194</v>
      </c>
      <c r="I163" t="s">
        <v>7495</v>
      </c>
      <c r="J163" t="s">
        <v>323</v>
      </c>
      <c r="K163" s="388" t="s">
        <v>7640</v>
      </c>
      <c r="L163" t="s">
        <v>6254</v>
      </c>
      <c r="M163" t="s">
        <v>7602</v>
      </c>
      <c r="N163" t="s">
        <v>7256</v>
      </c>
      <c r="O163" t="s">
        <v>7603</v>
      </c>
      <c r="P163">
        <v>1914007</v>
      </c>
      <c r="Q163">
        <v>16745517</v>
      </c>
      <c r="S163">
        <v>18</v>
      </c>
      <c r="T163" s="375">
        <v>1812</v>
      </c>
      <c r="U163" t="s">
        <v>624</v>
      </c>
      <c r="V163" t="s">
        <v>194</v>
      </c>
      <c r="W163">
        <v>1</v>
      </c>
      <c r="X163">
        <v>1000580286</v>
      </c>
      <c r="AF163" t="s">
        <v>4714</v>
      </c>
      <c r="AG163" t="s">
        <v>7636</v>
      </c>
      <c r="AI163" t="s">
        <v>6955</v>
      </c>
      <c r="AJ163" s="363" t="str">
        <f t="shared" si="2"/>
        <v>332203</v>
      </c>
    </row>
    <row r="164" spans="1:36" x14ac:dyDescent="0.25">
      <c r="A164" t="s">
        <v>780</v>
      </c>
      <c r="B164" t="s">
        <v>7636</v>
      </c>
      <c r="C164" s="385" t="s">
        <v>17</v>
      </c>
      <c r="D164" t="s">
        <v>7268</v>
      </c>
      <c r="E164" t="s">
        <v>192</v>
      </c>
      <c r="F164" s="28">
        <v>1</v>
      </c>
      <c r="G164" t="s">
        <v>193</v>
      </c>
      <c r="H164" t="s">
        <v>194</v>
      </c>
      <c r="I164" t="s">
        <v>7495</v>
      </c>
      <c r="J164" t="s">
        <v>285</v>
      </c>
      <c r="K164" s="388" t="s">
        <v>7641</v>
      </c>
      <c r="L164" t="s">
        <v>6254</v>
      </c>
      <c r="M164" t="s">
        <v>7602</v>
      </c>
      <c r="N164" t="s">
        <v>7256</v>
      </c>
      <c r="O164" t="s">
        <v>7603</v>
      </c>
      <c r="P164">
        <v>1914013</v>
      </c>
      <c r="Q164">
        <v>16745523</v>
      </c>
      <c r="S164">
        <v>18</v>
      </c>
      <c r="T164" s="375">
        <v>1815</v>
      </c>
      <c r="U164" t="s">
        <v>624</v>
      </c>
      <c r="V164" t="s">
        <v>194</v>
      </c>
      <c r="W164">
        <v>1</v>
      </c>
      <c r="X164">
        <v>1000580292</v>
      </c>
      <c r="AF164" t="s">
        <v>4714</v>
      </c>
      <c r="AG164" t="s">
        <v>7636</v>
      </c>
      <c r="AI164" t="s">
        <v>6955</v>
      </c>
      <c r="AJ164" s="363" t="str">
        <f t="shared" si="2"/>
        <v>332203</v>
      </c>
    </row>
    <row r="165" spans="1:36" x14ac:dyDescent="0.25">
      <c r="A165" t="s">
        <v>780</v>
      </c>
      <c r="B165" t="s">
        <v>7636</v>
      </c>
      <c r="C165" s="385" t="s">
        <v>17</v>
      </c>
      <c r="D165" t="s">
        <v>7268</v>
      </c>
      <c r="E165" t="s">
        <v>192</v>
      </c>
      <c r="F165" s="28">
        <v>1</v>
      </c>
      <c r="G165" t="s">
        <v>193</v>
      </c>
      <c r="H165" t="s">
        <v>194</v>
      </c>
      <c r="I165" t="s">
        <v>7495</v>
      </c>
      <c r="J165" t="s">
        <v>309</v>
      </c>
      <c r="K165" s="388" t="s">
        <v>7642</v>
      </c>
      <c r="L165" t="s">
        <v>6254</v>
      </c>
      <c r="M165" t="s">
        <v>7602</v>
      </c>
      <c r="N165" t="s">
        <v>7256</v>
      </c>
      <c r="O165" t="s">
        <v>7603</v>
      </c>
      <c r="P165">
        <v>1914015</v>
      </c>
      <c r="Q165">
        <v>16745525</v>
      </c>
      <c r="S165">
        <v>18</v>
      </c>
      <c r="T165" s="375">
        <v>1815</v>
      </c>
      <c r="U165" t="s">
        <v>624</v>
      </c>
      <c r="V165" t="s">
        <v>194</v>
      </c>
      <c r="W165">
        <v>1</v>
      </c>
      <c r="X165">
        <v>1000580294</v>
      </c>
      <c r="AF165" t="s">
        <v>4714</v>
      </c>
      <c r="AG165" t="s">
        <v>7636</v>
      </c>
      <c r="AI165" t="s">
        <v>6955</v>
      </c>
      <c r="AJ165" s="363" t="str">
        <f t="shared" si="2"/>
        <v>332203</v>
      </c>
    </row>
    <row r="166" spans="1:36" x14ac:dyDescent="0.25">
      <c r="A166" t="s">
        <v>1490</v>
      </c>
      <c r="B166" t="s">
        <v>7643</v>
      </c>
      <c r="C166" t="s">
        <v>5326</v>
      </c>
      <c r="D166" t="s">
        <v>7268</v>
      </c>
      <c r="E166" t="s">
        <v>192</v>
      </c>
      <c r="F166" s="28">
        <v>1</v>
      </c>
      <c r="G166" t="s">
        <v>193</v>
      </c>
      <c r="H166" t="s">
        <v>194</v>
      </c>
      <c r="I166" t="s">
        <v>7485</v>
      </c>
      <c r="J166" t="s">
        <v>575</v>
      </c>
      <c r="K166" s="388" t="s">
        <v>7644</v>
      </c>
      <c r="L166" t="s">
        <v>6295</v>
      </c>
      <c r="M166" t="s">
        <v>7602</v>
      </c>
      <c r="N166" t="s">
        <v>7256</v>
      </c>
      <c r="O166" t="s">
        <v>7603</v>
      </c>
      <c r="P166">
        <v>1914198</v>
      </c>
      <c r="Q166">
        <v>16745710</v>
      </c>
      <c r="S166">
        <v>18</v>
      </c>
      <c r="T166" s="375">
        <v>1816</v>
      </c>
      <c r="U166" t="s">
        <v>584</v>
      </c>
      <c r="V166" t="s">
        <v>194</v>
      </c>
      <c r="W166">
        <v>1</v>
      </c>
      <c r="X166">
        <v>1000582036</v>
      </c>
      <c r="AF166" t="s">
        <v>4714</v>
      </c>
      <c r="AG166" t="s">
        <v>7643</v>
      </c>
      <c r="AI166" t="s">
        <v>6955</v>
      </c>
      <c r="AJ166" s="363" t="str">
        <f t="shared" si="2"/>
        <v>311937</v>
      </c>
    </row>
    <row r="167" spans="1:36" x14ac:dyDescent="0.25">
      <c r="A167" t="s">
        <v>7645</v>
      </c>
      <c r="B167" t="s">
        <v>7646</v>
      </c>
      <c r="C167" s="24" t="s">
        <v>19</v>
      </c>
      <c r="D167" t="s">
        <v>7268</v>
      </c>
      <c r="E167" t="s">
        <v>192</v>
      </c>
      <c r="F167" s="28">
        <v>1</v>
      </c>
      <c r="G167" t="s">
        <v>193</v>
      </c>
      <c r="H167" t="s">
        <v>194</v>
      </c>
      <c r="I167" t="s">
        <v>7495</v>
      </c>
      <c r="J167" t="s">
        <v>672</v>
      </c>
      <c r="K167" s="388" t="s">
        <v>7647</v>
      </c>
      <c r="L167" t="s">
        <v>6258</v>
      </c>
      <c r="M167" t="s">
        <v>7602</v>
      </c>
      <c r="N167" t="s">
        <v>7256</v>
      </c>
      <c r="O167" t="s">
        <v>7603</v>
      </c>
      <c r="P167">
        <v>1914207</v>
      </c>
      <c r="Q167">
        <v>16745719</v>
      </c>
      <c r="S167">
        <v>18</v>
      </c>
      <c r="T167" s="375">
        <v>1816</v>
      </c>
      <c r="U167" t="s">
        <v>337</v>
      </c>
      <c r="V167" t="s">
        <v>194</v>
      </c>
      <c r="W167">
        <v>1</v>
      </c>
      <c r="X167">
        <v>1000582045</v>
      </c>
      <c r="AF167" t="s">
        <v>4714</v>
      </c>
      <c r="AG167" t="s">
        <v>7646</v>
      </c>
      <c r="AI167" t="s">
        <v>6955</v>
      </c>
      <c r="AJ167" s="363" t="str">
        <f t="shared" si="2"/>
        <v>214903</v>
      </c>
    </row>
    <row r="168" spans="1:36" x14ac:dyDescent="0.25">
      <c r="A168" t="s">
        <v>335</v>
      </c>
      <c r="B168" t="s">
        <v>336</v>
      </c>
      <c r="C168" s="24" t="s">
        <v>19</v>
      </c>
      <c r="D168" t="s">
        <v>7268</v>
      </c>
      <c r="E168" t="s">
        <v>192</v>
      </c>
      <c r="F168" s="28">
        <v>1</v>
      </c>
      <c r="G168" t="s">
        <v>193</v>
      </c>
      <c r="H168" t="s">
        <v>194</v>
      </c>
      <c r="I168" t="s">
        <v>7606</v>
      </c>
      <c r="J168" t="s">
        <v>210</v>
      </c>
      <c r="K168" s="388" t="s">
        <v>7648</v>
      </c>
      <c r="L168" t="s">
        <v>6261</v>
      </c>
      <c r="M168" t="s">
        <v>7602</v>
      </c>
      <c r="N168" t="s">
        <v>7256</v>
      </c>
      <c r="O168" t="s">
        <v>7603</v>
      </c>
      <c r="P168">
        <v>1914340</v>
      </c>
      <c r="Q168">
        <v>16745856</v>
      </c>
      <c r="S168">
        <v>18</v>
      </c>
      <c r="T168" s="375">
        <v>1863</v>
      </c>
      <c r="U168" t="s">
        <v>337</v>
      </c>
      <c r="V168" t="s">
        <v>194</v>
      </c>
      <c r="W168">
        <v>1</v>
      </c>
      <c r="X168">
        <v>1000582669</v>
      </c>
      <c r="AF168" t="s">
        <v>4714</v>
      </c>
      <c r="AG168" t="s">
        <v>336</v>
      </c>
      <c r="AI168" t="s">
        <v>6955</v>
      </c>
      <c r="AJ168" s="363" t="str">
        <f t="shared" si="2"/>
        <v>214903</v>
      </c>
    </row>
    <row r="169" spans="1:36" x14ac:dyDescent="0.25">
      <c r="A169" t="s">
        <v>335</v>
      </c>
      <c r="B169" t="s">
        <v>7649</v>
      </c>
      <c r="C169" s="24" t="s">
        <v>19</v>
      </c>
      <c r="D169" t="s">
        <v>7268</v>
      </c>
      <c r="E169" t="s">
        <v>192</v>
      </c>
      <c r="F169" s="28">
        <v>1</v>
      </c>
      <c r="G169" t="s">
        <v>193</v>
      </c>
      <c r="H169" t="s">
        <v>194</v>
      </c>
      <c r="I169" t="s">
        <v>7495</v>
      </c>
      <c r="J169" t="s">
        <v>210</v>
      </c>
      <c r="K169" s="388" t="s">
        <v>7650</v>
      </c>
      <c r="L169" t="s">
        <v>6261</v>
      </c>
      <c r="M169" t="s">
        <v>7602</v>
      </c>
      <c r="N169" t="s">
        <v>7256</v>
      </c>
      <c r="O169" t="s">
        <v>7603</v>
      </c>
      <c r="P169">
        <v>1914345</v>
      </c>
      <c r="Q169">
        <v>16745861</v>
      </c>
      <c r="S169">
        <v>18</v>
      </c>
      <c r="T169" s="375">
        <v>1863</v>
      </c>
      <c r="U169" t="s">
        <v>337</v>
      </c>
      <c r="V169" t="s">
        <v>194</v>
      </c>
      <c r="W169">
        <v>1</v>
      </c>
      <c r="X169">
        <v>1000582677</v>
      </c>
      <c r="AF169" t="s">
        <v>4714</v>
      </c>
      <c r="AG169" t="s">
        <v>7649</v>
      </c>
      <c r="AI169" t="s">
        <v>6955</v>
      </c>
      <c r="AJ169" s="363" t="str">
        <f t="shared" si="2"/>
        <v>214903</v>
      </c>
    </row>
    <row r="170" spans="1:36" x14ac:dyDescent="0.25">
      <c r="A170" t="s">
        <v>317</v>
      </c>
      <c r="B170" t="s">
        <v>7651</v>
      </c>
      <c r="C170" s="24" t="s">
        <v>1957</v>
      </c>
      <c r="D170" t="s">
        <v>7268</v>
      </c>
      <c r="E170" t="s">
        <v>192</v>
      </c>
      <c r="F170" s="28">
        <v>1</v>
      </c>
      <c r="G170" t="s">
        <v>193</v>
      </c>
      <c r="H170" t="s">
        <v>194</v>
      </c>
      <c r="I170" t="s">
        <v>7485</v>
      </c>
      <c r="J170" t="s">
        <v>672</v>
      </c>
      <c r="K170" s="388" t="s">
        <v>7652</v>
      </c>
      <c r="L170" t="s">
        <v>6258</v>
      </c>
      <c r="M170" t="s">
        <v>7602</v>
      </c>
      <c r="N170" t="s">
        <v>7256</v>
      </c>
      <c r="O170" t="s">
        <v>7603</v>
      </c>
      <c r="P170">
        <v>1914352</v>
      </c>
      <c r="Q170">
        <v>16745868</v>
      </c>
      <c r="S170">
        <v>18</v>
      </c>
      <c r="T170" s="375">
        <v>1816</v>
      </c>
      <c r="U170" t="s">
        <v>1958</v>
      </c>
      <c r="V170" t="s">
        <v>194</v>
      </c>
      <c r="W170">
        <v>1</v>
      </c>
      <c r="X170">
        <v>1000582686</v>
      </c>
      <c r="AF170" t="s">
        <v>4714</v>
      </c>
      <c r="AG170" t="s">
        <v>7651</v>
      </c>
      <c r="AI170" t="s">
        <v>6955</v>
      </c>
      <c r="AJ170" s="363" t="str">
        <f t="shared" si="2"/>
        <v>214408</v>
      </c>
    </row>
    <row r="171" spans="1:36" x14ac:dyDescent="0.25">
      <c r="A171" t="s">
        <v>493</v>
      </c>
      <c r="B171" t="s">
        <v>7653</v>
      </c>
      <c r="C171" t="s">
        <v>85</v>
      </c>
      <c r="D171" t="s">
        <v>7268</v>
      </c>
      <c r="E171" t="s">
        <v>192</v>
      </c>
      <c r="F171" s="28">
        <v>1</v>
      </c>
      <c r="G171" t="s">
        <v>193</v>
      </c>
      <c r="H171" t="s">
        <v>194</v>
      </c>
      <c r="I171" t="s">
        <v>7495</v>
      </c>
      <c r="J171" t="s">
        <v>210</v>
      </c>
      <c r="K171" s="388" t="s">
        <v>7654</v>
      </c>
      <c r="L171" t="s">
        <v>6245</v>
      </c>
      <c r="M171" t="s">
        <v>7602</v>
      </c>
      <c r="N171" t="s">
        <v>7256</v>
      </c>
      <c r="O171" t="s">
        <v>7603</v>
      </c>
      <c r="P171">
        <v>1914421</v>
      </c>
      <c r="Q171">
        <v>16745937</v>
      </c>
      <c r="S171">
        <v>18</v>
      </c>
      <c r="T171" s="375">
        <v>1863</v>
      </c>
      <c r="U171" t="s">
        <v>477</v>
      </c>
      <c r="V171" t="s">
        <v>194</v>
      </c>
      <c r="W171">
        <v>1</v>
      </c>
      <c r="X171">
        <v>1000582801</v>
      </c>
      <c r="AF171" t="s">
        <v>4714</v>
      </c>
      <c r="AG171" t="s">
        <v>7653</v>
      </c>
      <c r="AI171" t="s">
        <v>6955</v>
      </c>
      <c r="AJ171" s="363" t="str">
        <f t="shared" si="2"/>
        <v>243305</v>
      </c>
    </row>
    <row r="172" spans="1:36" x14ac:dyDescent="0.25">
      <c r="A172" t="s">
        <v>523</v>
      </c>
      <c r="B172" t="s">
        <v>7655</v>
      </c>
      <c r="C172" s="24" t="s">
        <v>319</v>
      </c>
      <c r="D172" t="s">
        <v>7268</v>
      </c>
      <c r="E172" t="s">
        <v>192</v>
      </c>
      <c r="F172" s="28">
        <v>1</v>
      </c>
      <c r="G172" t="s">
        <v>193</v>
      </c>
      <c r="H172" t="s">
        <v>194</v>
      </c>
      <c r="I172" t="s">
        <v>7485</v>
      </c>
      <c r="J172" t="s">
        <v>755</v>
      </c>
      <c r="K172" s="388" t="s">
        <v>7656</v>
      </c>
      <c r="L172" t="s">
        <v>6245</v>
      </c>
      <c r="M172" t="s">
        <v>7602</v>
      </c>
      <c r="N172" t="s">
        <v>7256</v>
      </c>
      <c r="O172" t="s">
        <v>7603</v>
      </c>
      <c r="P172">
        <v>1914563</v>
      </c>
      <c r="Q172">
        <v>16746085</v>
      </c>
      <c r="S172">
        <v>18</v>
      </c>
      <c r="T172" s="375">
        <v>1816</v>
      </c>
      <c r="U172" t="s">
        <v>320</v>
      </c>
      <c r="V172" t="s">
        <v>194</v>
      </c>
      <c r="W172">
        <v>1</v>
      </c>
      <c r="X172">
        <v>1000583076</v>
      </c>
      <c r="AF172" t="s">
        <v>4714</v>
      </c>
      <c r="AG172" t="s">
        <v>7655</v>
      </c>
      <c r="AI172" t="s">
        <v>6955</v>
      </c>
      <c r="AJ172" s="363" t="str">
        <f t="shared" si="2"/>
        <v>214407</v>
      </c>
    </row>
    <row r="173" spans="1:36" x14ac:dyDescent="0.25">
      <c r="A173" t="s">
        <v>1109</v>
      </c>
      <c r="B173" t="s">
        <v>7657</v>
      </c>
      <c r="C173" t="s">
        <v>1384</v>
      </c>
      <c r="D173" t="s">
        <v>7268</v>
      </c>
      <c r="E173" t="s">
        <v>192</v>
      </c>
      <c r="F173" s="28">
        <v>1</v>
      </c>
      <c r="G173" t="s">
        <v>193</v>
      </c>
      <c r="H173" t="s">
        <v>194</v>
      </c>
      <c r="I173" t="s">
        <v>7495</v>
      </c>
      <c r="J173" t="s">
        <v>210</v>
      </c>
      <c r="K173" s="388" t="s">
        <v>7658</v>
      </c>
      <c r="L173" t="s">
        <v>6312</v>
      </c>
      <c r="M173" t="s">
        <v>7602</v>
      </c>
      <c r="N173" t="s">
        <v>7256</v>
      </c>
      <c r="O173" t="s">
        <v>7603</v>
      </c>
      <c r="P173">
        <v>1914597</v>
      </c>
      <c r="Q173">
        <v>16746119</v>
      </c>
      <c r="S173">
        <v>18</v>
      </c>
      <c r="T173" s="375">
        <v>1863</v>
      </c>
      <c r="U173" t="s">
        <v>1385</v>
      </c>
      <c r="V173" t="s">
        <v>194</v>
      </c>
      <c r="W173">
        <v>1</v>
      </c>
      <c r="X173">
        <v>1000583127</v>
      </c>
      <c r="AF173" t="s">
        <v>4714</v>
      </c>
      <c r="AG173" t="s">
        <v>7657</v>
      </c>
      <c r="AI173" t="s">
        <v>6955</v>
      </c>
      <c r="AJ173" s="363" t="str">
        <f t="shared" si="2"/>
        <v>235915</v>
      </c>
    </row>
    <row r="174" spans="1:36" x14ac:dyDescent="0.25">
      <c r="A174" t="s">
        <v>7659</v>
      </c>
      <c r="B174" t="s">
        <v>7660</v>
      </c>
      <c r="C174" s="385" t="s">
        <v>17</v>
      </c>
      <c r="D174" t="s">
        <v>7268</v>
      </c>
      <c r="E174" t="s">
        <v>192</v>
      </c>
      <c r="F174" s="28">
        <v>1</v>
      </c>
      <c r="G174" t="s">
        <v>193</v>
      </c>
      <c r="H174" t="s">
        <v>194</v>
      </c>
      <c r="I174" t="s">
        <v>7606</v>
      </c>
      <c r="J174" t="s">
        <v>210</v>
      </c>
      <c r="K174" s="388" t="s">
        <v>7661</v>
      </c>
      <c r="L174" t="s">
        <v>6245</v>
      </c>
      <c r="M174" t="s">
        <v>7602</v>
      </c>
      <c r="N174" t="s">
        <v>7256</v>
      </c>
      <c r="O174" t="s">
        <v>7603</v>
      </c>
      <c r="P174">
        <v>1914618</v>
      </c>
      <c r="Q174">
        <v>16746140</v>
      </c>
      <c r="S174">
        <v>18</v>
      </c>
      <c r="T174" s="375">
        <v>1863</v>
      </c>
      <c r="U174" t="s">
        <v>624</v>
      </c>
      <c r="V174" t="s">
        <v>194</v>
      </c>
      <c r="W174">
        <v>1</v>
      </c>
      <c r="X174">
        <v>1000583162</v>
      </c>
      <c r="AF174" t="s">
        <v>4714</v>
      </c>
      <c r="AG174" t="s">
        <v>7660</v>
      </c>
      <c r="AI174" t="s">
        <v>6955</v>
      </c>
      <c r="AJ174" s="363" t="str">
        <f t="shared" si="2"/>
        <v>332203</v>
      </c>
    </row>
    <row r="175" spans="1:36" x14ac:dyDescent="0.25">
      <c r="A175" t="s">
        <v>7662</v>
      </c>
      <c r="B175" t="s">
        <v>5172</v>
      </c>
      <c r="C175" s="385" t="s">
        <v>7663</v>
      </c>
      <c r="D175" t="s">
        <v>7268</v>
      </c>
      <c r="E175" t="s">
        <v>192</v>
      </c>
      <c r="F175" s="28">
        <v>1</v>
      </c>
      <c r="G175" t="s">
        <v>193</v>
      </c>
      <c r="H175" t="s">
        <v>194</v>
      </c>
      <c r="I175" t="s">
        <v>7495</v>
      </c>
      <c r="J175" t="s">
        <v>210</v>
      </c>
      <c r="K175" s="388" t="s">
        <v>7664</v>
      </c>
      <c r="L175" t="s">
        <v>6324</v>
      </c>
      <c r="M175" t="s">
        <v>7602</v>
      </c>
      <c r="N175" t="s">
        <v>7256</v>
      </c>
      <c r="O175" t="s">
        <v>7603</v>
      </c>
      <c r="P175">
        <v>1914654</v>
      </c>
      <c r="Q175">
        <v>16746176</v>
      </c>
      <c r="S175">
        <v>18</v>
      </c>
      <c r="T175" s="375">
        <v>1863</v>
      </c>
      <c r="U175" t="s">
        <v>679</v>
      </c>
      <c r="V175" t="s">
        <v>194</v>
      </c>
      <c r="W175">
        <v>1</v>
      </c>
      <c r="X175">
        <v>1000583199</v>
      </c>
      <c r="AF175" t="s">
        <v>4714</v>
      </c>
      <c r="AG175" t="s">
        <v>5172</v>
      </c>
      <c r="AI175" t="s">
        <v>6955</v>
      </c>
      <c r="AJ175" s="363" t="str">
        <f t="shared" si="2"/>
        <v>333404</v>
      </c>
    </row>
    <row r="176" spans="1:36" x14ac:dyDescent="0.25">
      <c r="A176" t="s">
        <v>5860</v>
      </c>
      <c r="B176" t="s">
        <v>7665</v>
      </c>
      <c r="C176" t="s">
        <v>3416</v>
      </c>
      <c r="D176" t="s">
        <v>7268</v>
      </c>
      <c r="E176" t="s">
        <v>192</v>
      </c>
      <c r="F176" s="28">
        <v>1</v>
      </c>
      <c r="G176" t="s">
        <v>193</v>
      </c>
      <c r="H176" t="s">
        <v>194</v>
      </c>
      <c r="I176" t="s">
        <v>7485</v>
      </c>
      <c r="J176" t="s">
        <v>210</v>
      </c>
      <c r="K176" s="388" t="s">
        <v>7666</v>
      </c>
      <c r="L176" t="s">
        <v>7531</v>
      </c>
      <c r="M176" t="s">
        <v>7602</v>
      </c>
      <c r="N176" t="s">
        <v>7256</v>
      </c>
      <c r="O176" t="s">
        <v>7603</v>
      </c>
      <c r="P176">
        <v>1914777</v>
      </c>
      <c r="Q176">
        <v>16746300</v>
      </c>
      <c r="S176">
        <v>18</v>
      </c>
      <c r="T176" s="375">
        <v>1863</v>
      </c>
      <c r="U176" t="s">
        <v>3417</v>
      </c>
      <c r="V176" t="s">
        <v>194</v>
      </c>
      <c r="W176">
        <v>1</v>
      </c>
      <c r="X176">
        <v>1000583434</v>
      </c>
      <c r="AF176" t="s">
        <v>4714</v>
      </c>
      <c r="AG176" t="s">
        <v>7665</v>
      </c>
      <c r="AI176" t="s">
        <v>6955</v>
      </c>
      <c r="AJ176" s="363" t="str">
        <f t="shared" si="2"/>
        <v>243105</v>
      </c>
    </row>
    <row r="177" spans="1:36" x14ac:dyDescent="0.25">
      <c r="A177" t="s">
        <v>710</v>
      </c>
      <c r="B177" t="s">
        <v>7667</v>
      </c>
      <c r="C177" t="s">
        <v>46</v>
      </c>
      <c r="D177" t="s">
        <v>7268</v>
      </c>
      <c r="E177" t="s">
        <v>192</v>
      </c>
      <c r="F177" s="28">
        <v>1</v>
      </c>
      <c r="G177" t="s">
        <v>193</v>
      </c>
      <c r="H177" t="s">
        <v>194</v>
      </c>
      <c r="I177" t="s">
        <v>7606</v>
      </c>
      <c r="J177" t="s">
        <v>5098</v>
      </c>
      <c r="K177" s="388" t="s">
        <v>7668</v>
      </c>
      <c r="L177" t="s">
        <v>6921</v>
      </c>
      <c r="M177" t="s">
        <v>7602</v>
      </c>
      <c r="N177" t="s">
        <v>7256</v>
      </c>
      <c r="O177" t="s">
        <v>7603</v>
      </c>
      <c r="P177">
        <v>1914789</v>
      </c>
      <c r="Q177">
        <v>16746312</v>
      </c>
      <c r="S177">
        <v>18</v>
      </c>
      <c r="T177" s="375">
        <v>1803</v>
      </c>
      <c r="U177" t="s">
        <v>510</v>
      </c>
      <c r="V177" t="s">
        <v>194</v>
      </c>
      <c r="W177">
        <v>1</v>
      </c>
      <c r="X177">
        <v>1000583452</v>
      </c>
      <c r="AF177" t="s">
        <v>4714</v>
      </c>
      <c r="AG177" t="s">
        <v>7667</v>
      </c>
      <c r="AI177" t="s">
        <v>6955</v>
      </c>
      <c r="AJ177" s="363" t="str">
        <f t="shared" si="2"/>
        <v>252201</v>
      </c>
    </row>
    <row r="178" spans="1:36" x14ac:dyDescent="0.25">
      <c r="A178" t="s">
        <v>7669</v>
      </c>
      <c r="B178" t="s">
        <v>7670</v>
      </c>
      <c r="C178" s="385" t="s">
        <v>17</v>
      </c>
      <c r="D178" t="s">
        <v>7268</v>
      </c>
      <c r="E178" t="s">
        <v>192</v>
      </c>
      <c r="F178" s="28">
        <v>1</v>
      </c>
      <c r="G178" t="s">
        <v>193</v>
      </c>
      <c r="H178" t="s">
        <v>194</v>
      </c>
      <c r="I178" t="s">
        <v>7495</v>
      </c>
      <c r="J178" t="s">
        <v>210</v>
      </c>
      <c r="K178" s="388" t="s">
        <v>7671</v>
      </c>
      <c r="L178" t="s">
        <v>6245</v>
      </c>
      <c r="M178" t="s">
        <v>7602</v>
      </c>
      <c r="N178" t="s">
        <v>7256</v>
      </c>
      <c r="O178" t="s">
        <v>7603</v>
      </c>
      <c r="P178">
        <v>1914810</v>
      </c>
      <c r="Q178">
        <v>16746333</v>
      </c>
      <c r="S178">
        <v>18</v>
      </c>
      <c r="T178" s="375">
        <v>1863</v>
      </c>
      <c r="U178" t="s">
        <v>624</v>
      </c>
      <c r="V178" t="s">
        <v>194</v>
      </c>
      <c r="W178">
        <v>1</v>
      </c>
      <c r="X178">
        <v>1000583482</v>
      </c>
      <c r="AF178" t="s">
        <v>4714</v>
      </c>
      <c r="AG178" t="s">
        <v>7670</v>
      </c>
      <c r="AI178" t="s">
        <v>6955</v>
      </c>
      <c r="AJ178" s="363" t="str">
        <f t="shared" si="2"/>
        <v>332203</v>
      </c>
    </row>
    <row r="179" spans="1:36" x14ac:dyDescent="0.25">
      <c r="A179" t="s">
        <v>491</v>
      </c>
      <c r="B179" t="s">
        <v>1407</v>
      </c>
      <c r="C179" t="s">
        <v>10</v>
      </c>
      <c r="D179" t="s">
        <v>7268</v>
      </c>
      <c r="E179" t="s">
        <v>192</v>
      </c>
      <c r="F179" s="28">
        <v>1</v>
      </c>
      <c r="G179" t="s">
        <v>193</v>
      </c>
      <c r="H179" t="s">
        <v>194</v>
      </c>
      <c r="I179" t="s">
        <v>7606</v>
      </c>
      <c r="J179" t="s">
        <v>210</v>
      </c>
      <c r="K179" s="388" t="s">
        <v>7672</v>
      </c>
      <c r="L179" t="s">
        <v>6261</v>
      </c>
      <c r="M179" t="s">
        <v>7602</v>
      </c>
      <c r="N179" t="s">
        <v>7256</v>
      </c>
      <c r="O179" t="s">
        <v>7603</v>
      </c>
      <c r="P179">
        <v>1914825</v>
      </c>
      <c r="Q179">
        <v>16746348</v>
      </c>
      <c r="S179">
        <v>18</v>
      </c>
      <c r="T179" s="375">
        <v>1863</v>
      </c>
      <c r="U179" t="s">
        <v>484</v>
      </c>
      <c r="V179" t="s">
        <v>194</v>
      </c>
      <c r="W179">
        <v>1</v>
      </c>
      <c r="X179">
        <v>1000583511</v>
      </c>
      <c r="AF179" t="s">
        <v>4714</v>
      </c>
      <c r="AG179" t="s">
        <v>1407</v>
      </c>
      <c r="AI179" t="s">
        <v>6955</v>
      </c>
      <c r="AJ179" s="363" t="str">
        <f t="shared" si="2"/>
        <v>251401</v>
      </c>
    </row>
    <row r="180" spans="1:36" x14ac:dyDescent="0.25">
      <c r="A180" t="s">
        <v>1471</v>
      </c>
      <c r="B180" t="s">
        <v>1760</v>
      </c>
      <c r="C180" s="385" t="s">
        <v>122</v>
      </c>
      <c r="D180" t="s">
        <v>7268</v>
      </c>
      <c r="E180" t="s">
        <v>192</v>
      </c>
      <c r="F180" s="28">
        <v>1</v>
      </c>
      <c r="G180" t="s">
        <v>193</v>
      </c>
      <c r="H180" t="s">
        <v>194</v>
      </c>
      <c r="I180" t="s">
        <v>7495</v>
      </c>
      <c r="J180" t="s">
        <v>1979</v>
      </c>
      <c r="K180" s="388" t="s">
        <v>7673</v>
      </c>
      <c r="L180" t="s">
        <v>6266</v>
      </c>
      <c r="M180" t="s">
        <v>7602</v>
      </c>
      <c r="N180" t="s">
        <v>7256</v>
      </c>
      <c r="O180" t="s">
        <v>7603</v>
      </c>
      <c r="P180">
        <v>1914832</v>
      </c>
      <c r="Q180">
        <v>16746355</v>
      </c>
      <c r="S180">
        <v>18</v>
      </c>
      <c r="T180" s="375">
        <v>1803</v>
      </c>
      <c r="U180" t="s">
        <v>655</v>
      </c>
      <c r="V180" t="s">
        <v>194</v>
      </c>
      <c r="W180">
        <v>1</v>
      </c>
      <c r="X180">
        <v>1000583527</v>
      </c>
      <c r="AF180" t="s">
        <v>4714</v>
      </c>
      <c r="AG180" t="s">
        <v>1760</v>
      </c>
      <c r="AI180" t="s">
        <v>6955</v>
      </c>
      <c r="AJ180" s="363" t="str">
        <f t="shared" si="2"/>
        <v>332301</v>
      </c>
    </row>
    <row r="181" spans="1:36" x14ac:dyDescent="0.25">
      <c r="A181" t="s">
        <v>7674</v>
      </c>
      <c r="B181" t="s">
        <v>7675</v>
      </c>
      <c r="C181" t="s">
        <v>18</v>
      </c>
      <c r="D181" t="s">
        <v>7268</v>
      </c>
      <c r="E181" t="s">
        <v>192</v>
      </c>
      <c r="F181" s="28">
        <v>1</v>
      </c>
      <c r="G181" t="s">
        <v>193</v>
      </c>
      <c r="H181" t="s">
        <v>194</v>
      </c>
      <c r="I181" t="s">
        <v>7485</v>
      </c>
      <c r="J181" t="s">
        <v>210</v>
      </c>
      <c r="K181" s="388" t="s">
        <v>7676</v>
      </c>
      <c r="L181" t="s">
        <v>6251</v>
      </c>
      <c r="M181" t="s">
        <v>7602</v>
      </c>
      <c r="N181" t="s">
        <v>7256</v>
      </c>
      <c r="O181" t="s">
        <v>7603</v>
      </c>
      <c r="P181">
        <v>1915009</v>
      </c>
      <c r="Q181">
        <v>16746535</v>
      </c>
      <c r="S181">
        <v>18</v>
      </c>
      <c r="T181" s="375">
        <v>1863</v>
      </c>
      <c r="U181" t="s">
        <v>1476</v>
      </c>
      <c r="V181" t="s">
        <v>194</v>
      </c>
      <c r="W181">
        <v>1</v>
      </c>
      <c r="X181">
        <v>1000583954</v>
      </c>
      <c r="AF181" t="s">
        <v>4714</v>
      </c>
      <c r="AG181" t="s">
        <v>7675</v>
      </c>
      <c r="AI181" t="s">
        <v>6955</v>
      </c>
      <c r="AJ181" s="363" t="str">
        <f t="shared" si="2"/>
        <v>242309</v>
      </c>
    </row>
    <row r="182" spans="1:36" s="25" customFormat="1" x14ac:dyDescent="0.25">
      <c r="A182" s="25" t="s">
        <v>258</v>
      </c>
      <c r="B182" s="25" t="s">
        <v>7677</v>
      </c>
      <c r="C182" s="386" t="s">
        <v>778</v>
      </c>
      <c r="D182" s="25" t="s">
        <v>7564</v>
      </c>
      <c r="E182" s="25" t="s">
        <v>217</v>
      </c>
      <c r="F182" s="27">
        <v>1</v>
      </c>
      <c r="G182" s="25" t="s">
        <v>193</v>
      </c>
      <c r="H182" s="25" t="s">
        <v>194</v>
      </c>
      <c r="I182" s="25" t="s">
        <v>7678</v>
      </c>
      <c r="J182" s="25" t="s">
        <v>210</v>
      </c>
      <c r="K182" s="25" t="s">
        <v>7679</v>
      </c>
      <c r="L182" s="25" t="s">
        <v>6251</v>
      </c>
      <c r="M182" s="25" t="s">
        <v>7680</v>
      </c>
      <c r="N182" s="25" t="s">
        <v>7681</v>
      </c>
      <c r="O182" s="25" t="s">
        <v>7682</v>
      </c>
      <c r="P182" s="25">
        <v>1923881</v>
      </c>
      <c r="Q182" s="25">
        <v>16923112</v>
      </c>
      <c r="S182" s="25">
        <v>18</v>
      </c>
      <c r="T182" s="374">
        <v>1863</v>
      </c>
      <c r="U182" s="25" t="s">
        <v>779</v>
      </c>
      <c r="V182" s="25" t="s">
        <v>194</v>
      </c>
      <c r="W182" s="25">
        <v>1</v>
      </c>
      <c r="Y182" s="25" t="s">
        <v>7683</v>
      </c>
      <c r="AE182" s="25" t="s">
        <v>4904</v>
      </c>
      <c r="AF182" s="25" t="s">
        <v>4714</v>
      </c>
      <c r="AG182" s="25" t="s">
        <v>778</v>
      </c>
      <c r="AI182" s="25" t="s">
        <v>6955</v>
      </c>
      <c r="AJ182" s="363" t="str">
        <f t="shared" si="2"/>
        <v>524902</v>
      </c>
    </row>
    <row r="183" spans="1:36" x14ac:dyDescent="0.25">
      <c r="A183" t="s">
        <v>382</v>
      </c>
      <c r="B183" t="s">
        <v>537</v>
      </c>
      <c r="C183" s="386" t="s">
        <v>778</v>
      </c>
      <c r="D183" t="s">
        <v>7564</v>
      </c>
      <c r="E183" t="s">
        <v>192</v>
      </c>
      <c r="F183" s="28">
        <v>1</v>
      </c>
      <c r="G183" t="s">
        <v>193</v>
      </c>
      <c r="H183" t="s">
        <v>194</v>
      </c>
      <c r="I183" t="s">
        <v>7678</v>
      </c>
      <c r="J183" t="s">
        <v>385</v>
      </c>
      <c r="K183" s="388" t="s">
        <v>7684</v>
      </c>
      <c r="L183" t="s">
        <v>6249</v>
      </c>
      <c r="M183" t="s">
        <v>7680</v>
      </c>
      <c r="N183" t="s">
        <v>7685</v>
      </c>
      <c r="O183" t="s">
        <v>7686</v>
      </c>
      <c r="P183">
        <v>1923909</v>
      </c>
      <c r="Q183">
        <v>16923340</v>
      </c>
      <c r="S183">
        <v>18</v>
      </c>
      <c r="T183" s="375">
        <v>1861</v>
      </c>
      <c r="U183" t="s">
        <v>779</v>
      </c>
      <c r="V183" t="s">
        <v>194</v>
      </c>
      <c r="W183">
        <v>1</v>
      </c>
      <c r="X183">
        <v>1000182575</v>
      </c>
      <c r="AF183" t="s">
        <v>4714</v>
      </c>
      <c r="AG183" t="s">
        <v>778</v>
      </c>
      <c r="AI183" t="s">
        <v>6955</v>
      </c>
      <c r="AJ183" s="363" t="str">
        <f t="shared" si="2"/>
        <v>524902</v>
      </c>
    </row>
    <row r="184" spans="1:36" x14ac:dyDescent="0.25">
      <c r="A184" t="s">
        <v>382</v>
      </c>
      <c r="B184" t="s">
        <v>537</v>
      </c>
      <c r="C184" s="386" t="s">
        <v>778</v>
      </c>
      <c r="D184" t="s">
        <v>7564</v>
      </c>
      <c r="E184" t="s">
        <v>192</v>
      </c>
      <c r="F184" s="28">
        <v>1</v>
      </c>
      <c r="G184" t="s">
        <v>193</v>
      </c>
      <c r="H184" t="s">
        <v>194</v>
      </c>
      <c r="I184" t="s">
        <v>7678</v>
      </c>
      <c r="J184" t="s">
        <v>210</v>
      </c>
      <c r="K184" s="388" t="s">
        <v>7687</v>
      </c>
      <c r="L184" t="s">
        <v>6249</v>
      </c>
      <c r="M184" t="s">
        <v>7680</v>
      </c>
      <c r="N184" t="s">
        <v>7685</v>
      </c>
      <c r="O184" t="s">
        <v>7686</v>
      </c>
      <c r="P184">
        <v>1923910</v>
      </c>
      <c r="Q184">
        <v>16923341</v>
      </c>
      <c r="S184">
        <v>18</v>
      </c>
      <c r="T184" s="375">
        <v>1863</v>
      </c>
      <c r="U184" t="s">
        <v>779</v>
      </c>
      <c r="V184" t="s">
        <v>194</v>
      </c>
      <c r="W184">
        <v>1</v>
      </c>
      <c r="X184">
        <v>1000182577</v>
      </c>
      <c r="AF184" t="s">
        <v>4714</v>
      </c>
      <c r="AG184" t="s">
        <v>778</v>
      </c>
      <c r="AI184" t="s">
        <v>6955</v>
      </c>
      <c r="AJ184" s="363" t="str">
        <f t="shared" si="2"/>
        <v>524902</v>
      </c>
    </row>
    <row r="185" spans="1:36" x14ac:dyDescent="0.25">
      <c r="A185" t="s">
        <v>7688</v>
      </c>
      <c r="B185" t="s">
        <v>7689</v>
      </c>
      <c r="C185" t="s">
        <v>785</v>
      </c>
      <c r="D185" t="s">
        <v>7564</v>
      </c>
      <c r="E185" t="s">
        <v>192</v>
      </c>
      <c r="F185" s="28">
        <v>1</v>
      </c>
      <c r="G185" t="s">
        <v>193</v>
      </c>
      <c r="H185" t="s">
        <v>194</v>
      </c>
      <c r="I185" t="s">
        <v>7495</v>
      </c>
      <c r="J185" t="s">
        <v>196</v>
      </c>
      <c r="K185" s="388" t="s">
        <v>7690</v>
      </c>
      <c r="L185" t="s">
        <v>6275</v>
      </c>
      <c r="M185" t="s">
        <v>7691</v>
      </c>
      <c r="N185" t="s">
        <v>7681</v>
      </c>
      <c r="O185" t="s">
        <v>7692</v>
      </c>
      <c r="P185">
        <v>1924032</v>
      </c>
      <c r="Q185">
        <v>16951585</v>
      </c>
      <c r="S185">
        <v>18</v>
      </c>
      <c r="T185" s="379"/>
      <c r="U185" t="s">
        <v>787</v>
      </c>
      <c r="V185" t="s">
        <v>193</v>
      </c>
      <c r="W185">
        <v>25</v>
      </c>
      <c r="X185">
        <v>7776865</v>
      </c>
      <c r="AF185" t="s">
        <v>4714</v>
      </c>
      <c r="AG185" t="s">
        <v>7689</v>
      </c>
      <c r="AI185" t="s">
        <v>6955</v>
      </c>
      <c r="AJ185" s="363" t="str">
        <f t="shared" si="2"/>
        <v>711202</v>
      </c>
    </row>
    <row r="186" spans="1:36" x14ac:dyDescent="0.25">
      <c r="A186" t="s">
        <v>7688</v>
      </c>
      <c r="B186" t="s">
        <v>7693</v>
      </c>
      <c r="C186" t="s">
        <v>785</v>
      </c>
      <c r="D186" t="s">
        <v>7564</v>
      </c>
      <c r="E186" t="s">
        <v>192</v>
      </c>
      <c r="F186" s="28">
        <v>1</v>
      </c>
      <c r="G186" t="s">
        <v>193</v>
      </c>
      <c r="H186" t="s">
        <v>194</v>
      </c>
      <c r="I186" t="s">
        <v>7495</v>
      </c>
      <c r="J186" t="s">
        <v>196</v>
      </c>
      <c r="K186" s="388" t="s">
        <v>7694</v>
      </c>
      <c r="L186" t="s">
        <v>6275</v>
      </c>
      <c r="M186" t="s">
        <v>7691</v>
      </c>
      <c r="N186" t="s">
        <v>7681</v>
      </c>
      <c r="O186" t="s">
        <v>7692</v>
      </c>
      <c r="P186">
        <v>1924070</v>
      </c>
      <c r="Q186">
        <v>16951626</v>
      </c>
      <c r="S186">
        <v>18</v>
      </c>
      <c r="T186" s="379"/>
      <c r="U186" t="s">
        <v>787</v>
      </c>
      <c r="V186" t="s">
        <v>193</v>
      </c>
      <c r="W186">
        <v>25</v>
      </c>
      <c r="X186">
        <v>7777265</v>
      </c>
      <c r="AF186" t="s">
        <v>4714</v>
      </c>
      <c r="AG186" t="s">
        <v>7693</v>
      </c>
      <c r="AI186" t="s">
        <v>6955</v>
      </c>
      <c r="AJ186" s="363" t="str">
        <f t="shared" si="2"/>
        <v>711202</v>
      </c>
    </row>
    <row r="187" spans="1:36" x14ac:dyDescent="0.25">
      <c r="A187" t="s">
        <v>1104</v>
      </c>
      <c r="B187" t="s">
        <v>2928</v>
      </c>
      <c r="C187" t="s">
        <v>2929</v>
      </c>
      <c r="D187" t="s">
        <v>7564</v>
      </c>
      <c r="E187" t="s">
        <v>192</v>
      </c>
      <c r="F187" s="28">
        <v>1</v>
      </c>
      <c r="G187" t="s">
        <v>193</v>
      </c>
      <c r="H187" t="s">
        <v>194</v>
      </c>
      <c r="I187" t="s">
        <v>7495</v>
      </c>
      <c r="J187" t="s">
        <v>276</v>
      </c>
      <c r="K187" s="388" t="s">
        <v>7695</v>
      </c>
      <c r="L187" t="s">
        <v>6275</v>
      </c>
      <c r="M187" t="s">
        <v>7691</v>
      </c>
      <c r="N187" t="s">
        <v>7681</v>
      </c>
      <c r="O187" t="s">
        <v>7692</v>
      </c>
      <c r="P187">
        <v>1924238</v>
      </c>
      <c r="Q187">
        <v>16951801</v>
      </c>
      <c r="S187">
        <v>18</v>
      </c>
      <c r="T187" s="375">
        <v>1803</v>
      </c>
      <c r="U187" t="s">
        <v>4696</v>
      </c>
      <c r="V187" t="s">
        <v>194</v>
      </c>
      <c r="W187">
        <v>1</v>
      </c>
      <c r="X187">
        <v>7777134</v>
      </c>
      <c r="AF187" t="s">
        <v>4714</v>
      </c>
      <c r="AG187" t="s">
        <v>2928</v>
      </c>
      <c r="AI187" t="s">
        <v>6955</v>
      </c>
      <c r="AJ187" s="363" t="str">
        <f t="shared" si="2"/>
        <v>722314</v>
      </c>
    </row>
    <row r="188" spans="1:36" x14ac:dyDescent="0.25">
      <c r="A188" t="s">
        <v>1104</v>
      </c>
      <c r="B188" t="s">
        <v>1454</v>
      </c>
      <c r="C188" t="s">
        <v>1454</v>
      </c>
      <c r="D188" t="s">
        <v>7564</v>
      </c>
      <c r="E188" t="s">
        <v>192</v>
      </c>
      <c r="F188" s="28">
        <v>1</v>
      </c>
      <c r="G188" t="s">
        <v>193</v>
      </c>
      <c r="H188" t="s">
        <v>194</v>
      </c>
      <c r="I188" t="s">
        <v>7678</v>
      </c>
      <c r="J188" t="s">
        <v>276</v>
      </c>
      <c r="K188" s="388" t="s">
        <v>7696</v>
      </c>
      <c r="L188" t="s">
        <v>6275</v>
      </c>
      <c r="M188" t="s">
        <v>7691</v>
      </c>
      <c r="N188" t="s">
        <v>7681</v>
      </c>
      <c r="O188" t="s">
        <v>7692</v>
      </c>
      <c r="P188">
        <v>1924240</v>
      </c>
      <c r="Q188">
        <v>16951803</v>
      </c>
      <c r="S188">
        <v>18</v>
      </c>
      <c r="T188" s="375">
        <v>1803</v>
      </c>
      <c r="U188" t="s">
        <v>1455</v>
      </c>
      <c r="V188" t="s">
        <v>194</v>
      </c>
      <c r="W188">
        <v>1</v>
      </c>
      <c r="X188">
        <v>7777119</v>
      </c>
      <c r="AF188" t="s">
        <v>4714</v>
      </c>
      <c r="AG188" t="s">
        <v>1454</v>
      </c>
      <c r="AI188" t="s">
        <v>6955</v>
      </c>
      <c r="AJ188" s="363" t="str">
        <f t="shared" si="2"/>
        <v>722301</v>
      </c>
    </row>
    <row r="189" spans="1:36" x14ac:dyDescent="0.25">
      <c r="A189" t="s">
        <v>1104</v>
      </c>
      <c r="B189" t="s">
        <v>2927</v>
      </c>
      <c r="C189" t="s">
        <v>814</v>
      </c>
      <c r="D189" t="s">
        <v>7564</v>
      </c>
      <c r="E189" t="s">
        <v>192</v>
      </c>
      <c r="F189" s="28">
        <v>1</v>
      </c>
      <c r="G189" t="s">
        <v>193</v>
      </c>
      <c r="H189" t="s">
        <v>194</v>
      </c>
      <c r="I189" t="s">
        <v>7362</v>
      </c>
      <c r="J189" t="s">
        <v>276</v>
      </c>
      <c r="K189" s="388" t="s">
        <v>7697</v>
      </c>
      <c r="L189" t="s">
        <v>6275</v>
      </c>
      <c r="M189" t="s">
        <v>7691</v>
      </c>
      <c r="N189" t="s">
        <v>7681</v>
      </c>
      <c r="O189" t="s">
        <v>7692</v>
      </c>
      <c r="P189">
        <v>1924243</v>
      </c>
      <c r="Q189">
        <v>16951806</v>
      </c>
      <c r="S189">
        <v>18</v>
      </c>
      <c r="T189" s="375">
        <v>1803</v>
      </c>
      <c r="U189" t="s">
        <v>815</v>
      </c>
      <c r="V189" t="s">
        <v>194</v>
      </c>
      <c r="W189">
        <v>1</v>
      </c>
      <c r="X189">
        <v>7777113</v>
      </c>
      <c r="AF189" t="s">
        <v>4714</v>
      </c>
      <c r="AG189" t="s">
        <v>2927</v>
      </c>
      <c r="AI189" t="s">
        <v>6955</v>
      </c>
      <c r="AJ189" s="363" t="str">
        <f t="shared" si="2"/>
        <v>722312</v>
      </c>
    </row>
    <row r="190" spans="1:36" x14ac:dyDescent="0.25">
      <c r="A190" t="s">
        <v>7698</v>
      </c>
      <c r="B190" t="s">
        <v>7699</v>
      </c>
      <c r="C190" t="s">
        <v>7700</v>
      </c>
      <c r="D190" t="s">
        <v>7564</v>
      </c>
      <c r="E190" t="s">
        <v>192</v>
      </c>
      <c r="F190" s="28">
        <v>1</v>
      </c>
      <c r="G190" t="s">
        <v>193</v>
      </c>
      <c r="H190" t="s">
        <v>194</v>
      </c>
      <c r="I190" t="s">
        <v>7495</v>
      </c>
      <c r="J190" t="s">
        <v>196</v>
      </c>
      <c r="K190" s="388" t="s">
        <v>7701</v>
      </c>
      <c r="L190" t="s">
        <v>6324</v>
      </c>
      <c r="M190" t="s">
        <v>7702</v>
      </c>
      <c r="N190" t="s">
        <v>4849</v>
      </c>
      <c r="O190" t="s">
        <v>7703</v>
      </c>
      <c r="P190">
        <v>1924416</v>
      </c>
      <c r="Q190">
        <v>16951986</v>
      </c>
      <c r="S190">
        <v>18</v>
      </c>
      <c r="T190" s="379"/>
      <c r="U190" t="s">
        <v>4668</v>
      </c>
      <c r="V190" t="s">
        <v>193</v>
      </c>
      <c r="W190">
        <v>25</v>
      </c>
      <c r="X190">
        <v>7777360</v>
      </c>
      <c r="AF190" t="s">
        <v>4714</v>
      </c>
      <c r="AG190" t="s">
        <v>7699</v>
      </c>
      <c r="AI190" t="s">
        <v>6955</v>
      </c>
      <c r="AJ190" s="363" t="str">
        <f t="shared" si="2"/>
        <v>311209</v>
      </c>
    </row>
    <row r="191" spans="1:36" x14ac:dyDescent="0.25">
      <c r="A191" t="s">
        <v>1376</v>
      </c>
      <c r="B191" t="s">
        <v>657</v>
      </c>
      <c r="C191" s="385" t="s">
        <v>122</v>
      </c>
      <c r="D191" t="s">
        <v>7564</v>
      </c>
      <c r="E191" t="s">
        <v>192</v>
      </c>
      <c r="F191" s="28">
        <v>1</v>
      </c>
      <c r="G191" t="s">
        <v>193</v>
      </c>
      <c r="H191" t="s">
        <v>194</v>
      </c>
      <c r="I191" t="s">
        <v>7495</v>
      </c>
      <c r="J191" t="s">
        <v>210</v>
      </c>
      <c r="K191" s="388" t="s">
        <v>7704</v>
      </c>
      <c r="L191" t="s">
        <v>6266</v>
      </c>
      <c r="M191" t="s">
        <v>7691</v>
      </c>
      <c r="N191" t="s">
        <v>7681</v>
      </c>
      <c r="O191" t="s">
        <v>7692</v>
      </c>
      <c r="P191">
        <v>1924422</v>
      </c>
      <c r="Q191">
        <v>16951992</v>
      </c>
      <c r="S191">
        <v>18</v>
      </c>
      <c r="T191" s="375">
        <v>1863</v>
      </c>
      <c r="U191" t="s">
        <v>655</v>
      </c>
      <c r="V191" t="s">
        <v>194</v>
      </c>
      <c r="W191">
        <v>1</v>
      </c>
      <c r="X191">
        <v>1000596063</v>
      </c>
      <c r="AF191" t="s">
        <v>4714</v>
      </c>
      <c r="AG191" t="s">
        <v>657</v>
      </c>
      <c r="AI191" t="s">
        <v>6955</v>
      </c>
      <c r="AJ191" s="363" t="str">
        <f t="shared" si="2"/>
        <v>332301</v>
      </c>
    </row>
    <row r="192" spans="1:36" x14ac:dyDescent="0.25">
      <c r="A192" t="s">
        <v>7705</v>
      </c>
      <c r="B192" t="s">
        <v>7706</v>
      </c>
      <c r="C192" t="s">
        <v>2861</v>
      </c>
      <c r="D192" t="s">
        <v>7564</v>
      </c>
      <c r="E192" t="s">
        <v>192</v>
      </c>
      <c r="F192" s="28">
        <v>1</v>
      </c>
      <c r="G192" t="s">
        <v>193</v>
      </c>
      <c r="H192" t="s">
        <v>194</v>
      </c>
      <c r="I192" t="s">
        <v>7495</v>
      </c>
      <c r="J192" t="s">
        <v>672</v>
      </c>
      <c r="K192" s="388" t="s">
        <v>7707</v>
      </c>
      <c r="L192" t="s">
        <v>6261</v>
      </c>
      <c r="M192" t="s">
        <v>7691</v>
      </c>
      <c r="N192" t="s">
        <v>7681</v>
      </c>
      <c r="O192" t="s">
        <v>7692</v>
      </c>
      <c r="P192">
        <v>1924445</v>
      </c>
      <c r="Q192">
        <v>16952015</v>
      </c>
      <c r="S192">
        <v>18</v>
      </c>
      <c r="T192" s="375">
        <v>1816</v>
      </c>
      <c r="U192" t="s">
        <v>3629</v>
      </c>
      <c r="V192" t="s">
        <v>194</v>
      </c>
      <c r="W192">
        <v>1</v>
      </c>
      <c r="X192">
        <v>1000596485</v>
      </c>
      <c r="AF192" t="s">
        <v>4714</v>
      </c>
      <c r="AG192" t="s">
        <v>7706</v>
      </c>
      <c r="AI192" t="s">
        <v>6955</v>
      </c>
      <c r="AJ192" s="363" t="str">
        <f t="shared" si="2"/>
        <v>251903</v>
      </c>
    </row>
    <row r="193" spans="1:36" x14ac:dyDescent="0.25">
      <c r="A193" t="s">
        <v>1490</v>
      </c>
      <c r="B193" t="s">
        <v>7708</v>
      </c>
      <c r="C193" s="24" t="s">
        <v>5607</v>
      </c>
      <c r="D193" t="s">
        <v>7564</v>
      </c>
      <c r="E193" t="s">
        <v>192</v>
      </c>
      <c r="F193" s="28">
        <v>1</v>
      </c>
      <c r="G193" t="s">
        <v>193</v>
      </c>
      <c r="H193" t="s">
        <v>194</v>
      </c>
      <c r="I193" t="s">
        <v>7485</v>
      </c>
      <c r="J193" t="s">
        <v>575</v>
      </c>
      <c r="K193" s="388" t="s">
        <v>7709</v>
      </c>
      <c r="L193" t="s">
        <v>6245</v>
      </c>
      <c r="M193" t="s">
        <v>7691</v>
      </c>
      <c r="N193" t="s">
        <v>7681</v>
      </c>
      <c r="O193" t="s">
        <v>7692</v>
      </c>
      <c r="P193">
        <v>1924473</v>
      </c>
      <c r="Q193">
        <v>16952044</v>
      </c>
      <c r="S193">
        <v>18</v>
      </c>
      <c r="T193" s="375">
        <v>1816</v>
      </c>
      <c r="U193" t="s">
        <v>302</v>
      </c>
      <c r="V193" t="s">
        <v>194</v>
      </c>
      <c r="W193">
        <v>1</v>
      </c>
      <c r="X193">
        <v>1000596628</v>
      </c>
      <c r="AF193" t="s">
        <v>4714</v>
      </c>
      <c r="AG193" t="s">
        <v>7708</v>
      </c>
      <c r="AI193" t="s">
        <v>6955</v>
      </c>
      <c r="AJ193" s="363" t="str">
        <f t="shared" si="2"/>
        <v>214402</v>
      </c>
    </row>
    <row r="194" spans="1:36" x14ac:dyDescent="0.25">
      <c r="A194" t="s">
        <v>1959</v>
      </c>
      <c r="B194" t="s">
        <v>7596</v>
      </c>
      <c r="C194" s="24" t="s">
        <v>7710</v>
      </c>
      <c r="D194" t="s">
        <v>7564</v>
      </c>
      <c r="E194" t="s">
        <v>192</v>
      </c>
      <c r="F194" s="28">
        <v>1</v>
      </c>
      <c r="G194" t="s">
        <v>193</v>
      </c>
      <c r="H194" t="s">
        <v>194</v>
      </c>
      <c r="I194" t="s">
        <v>7495</v>
      </c>
      <c r="J194" t="s">
        <v>2252</v>
      </c>
      <c r="K194" s="388" t="s">
        <v>7711</v>
      </c>
      <c r="L194" t="s">
        <v>6245</v>
      </c>
      <c r="M194" t="s">
        <v>7691</v>
      </c>
      <c r="N194" t="s">
        <v>7681</v>
      </c>
      <c r="O194" t="s">
        <v>7692</v>
      </c>
      <c r="P194">
        <v>1924703</v>
      </c>
      <c r="Q194">
        <v>16952278</v>
      </c>
      <c r="S194">
        <v>18</v>
      </c>
      <c r="T194" s="375">
        <v>1816</v>
      </c>
      <c r="U194" t="s">
        <v>7712</v>
      </c>
      <c r="V194" t="s">
        <v>194</v>
      </c>
      <c r="W194">
        <v>1</v>
      </c>
      <c r="X194">
        <v>7777701</v>
      </c>
      <c r="AF194" t="s">
        <v>4714</v>
      </c>
      <c r="AG194" t="s">
        <v>7596</v>
      </c>
      <c r="AI194" t="s">
        <v>6955</v>
      </c>
      <c r="AJ194" s="363" t="str">
        <f t="shared" si="2"/>
        <v>214401</v>
      </c>
    </row>
    <row r="195" spans="1:36" x14ac:dyDescent="0.25">
      <c r="A195" t="s">
        <v>7713</v>
      </c>
      <c r="B195" t="s">
        <v>7714</v>
      </c>
      <c r="C195" t="s">
        <v>61</v>
      </c>
      <c r="D195" t="s">
        <v>7564</v>
      </c>
      <c r="E195" t="s">
        <v>192</v>
      </c>
      <c r="F195" s="28">
        <v>1</v>
      </c>
      <c r="G195" t="s">
        <v>193</v>
      </c>
      <c r="H195" t="s">
        <v>194</v>
      </c>
      <c r="I195" t="s">
        <v>7485</v>
      </c>
      <c r="J195" t="s">
        <v>210</v>
      </c>
      <c r="K195" s="388" t="s">
        <v>7715</v>
      </c>
      <c r="L195" t="s">
        <v>6921</v>
      </c>
      <c r="M195" t="s">
        <v>7691</v>
      </c>
      <c r="N195" t="s">
        <v>7681</v>
      </c>
      <c r="O195" t="s">
        <v>7692</v>
      </c>
      <c r="P195">
        <v>1924752</v>
      </c>
      <c r="Q195">
        <v>16952327</v>
      </c>
      <c r="S195">
        <v>18</v>
      </c>
      <c r="T195" s="375">
        <v>1863</v>
      </c>
      <c r="U195" t="s">
        <v>2282</v>
      </c>
      <c r="V195" t="s">
        <v>194</v>
      </c>
      <c r="W195">
        <v>1</v>
      </c>
      <c r="X195">
        <v>7777976</v>
      </c>
      <c r="AF195" t="s">
        <v>4714</v>
      </c>
      <c r="AG195" t="s">
        <v>7714</v>
      </c>
      <c r="AI195" t="s">
        <v>6955</v>
      </c>
      <c r="AJ195" s="363" t="str">
        <f t="shared" si="2"/>
        <v>251103</v>
      </c>
    </row>
    <row r="196" spans="1:36" x14ac:dyDescent="0.25">
      <c r="A196" t="s">
        <v>7716</v>
      </c>
      <c r="B196" t="s">
        <v>7717</v>
      </c>
      <c r="C196" t="s">
        <v>7718</v>
      </c>
      <c r="D196" t="s">
        <v>7564</v>
      </c>
      <c r="E196" t="s">
        <v>192</v>
      </c>
      <c r="F196" s="28">
        <v>1</v>
      </c>
      <c r="G196" t="s">
        <v>193</v>
      </c>
      <c r="H196" t="s">
        <v>194</v>
      </c>
      <c r="I196" t="s">
        <v>7495</v>
      </c>
      <c r="J196" t="s">
        <v>210</v>
      </c>
      <c r="K196" s="388" t="s">
        <v>7719</v>
      </c>
      <c r="L196" t="s">
        <v>6302</v>
      </c>
      <c r="M196" t="s">
        <v>7691</v>
      </c>
      <c r="N196" t="s">
        <v>7681</v>
      </c>
      <c r="O196" t="s">
        <v>7692</v>
      </c>
      <c r="P196">
        <v>1924874</v>
      </c>
      <c r="Q196">
        <v>16952450</v>
      </c>
      <c r="S196">
        <v>18</v>
      </c>
      <c r="T196" s="375">
        <v>1863</v>
      </c>
      <c r="U196" t="s">
        <v>7720</v>
      </c>
      <c r="V196" t="s">
        <v>194</v>
      </c>
      <c r="W196">
        <v>1</v>
      </c>
      <c r="X196">
        <v>500065175</v>
      </c>
      <c r="AF196" t="s">
        <v>4714</v>
      </c>
      <c r="AG196" t="s">
        <v>7717</v>
      </c>
      <c r="AI196" t="s">
        <v>6955</v>
      </c>
      <c r="AJ196" s="363" t="str">
        <f t="shared" ref="AJ196:AJ226" si="3">MID(U196,8,6)</f>
        <v>243108</v>
      </c>
    </row>
    <row r="197" spans="1:36" x14ac:dyDescent="0.25">
      <c r="A197" t="s">
        <v>491</v>
      </c>
      <c r="B197" t="s">
        <v>1765</v>
      </c>
      <c r="C197" t="s">
        <v>1766</v>
      </c>
      <c r="D197" t="s">
        <v>7564</v>
      </c>
      <c r="E197" t="s">
        <v>192</v>
      </c>
      <c r="F197" s="28">
        <v>1</v>
      </c>
      <c r="G197" t="s">
        <v>193</v>
      </c>
      <c r="H197" t="s">
        <v>194</v>
      </c>
      <c r="I197" t="s">
        <v>7678</v>
      </c>
      <c r="J197" t="s">
        <v>210</v>
      </c>
      <c r="K197" s="388" t="s">
        <v>7721</v>
      </c>
      <c r="L197" t="s">
        <v>6261</v>
      </c>
      <c r="M197" t="s">
        <v>7691</v>
      </c>
      <c r="N197" t="s">
        <v>7681</v>
      </c>
      <c r="O197" t="s">
        <v>7692</v>
      </c>
      <c r="P197">
        <v>1924928</v>
      </c>
      <c r="Q197">
        <v>16952505</v>
      </c>
      <c r="S197">
        <v>18</v>
      </c>
      <c r="T197" s="375">
        <v>1863</v>
      </c>
      <c r="U197" t="s">
        <v>1767</v>
      </c>
      <c r="V197" t="s">
        <v>194</v>
      </c>
      <c r="W197">
        <v>1</v>
      </c>
      <c r="X197">
        <v>1000597151</v>
      </c>
      <c r="AF197" t="s">
        <v>4714</v>
      </c>
      <c r="AG197" t="s">
        <v>1765</v>
      </c>
      <c r="AI197" t="s">
        <v>6955</v>
      </c>
      <c r="AJ197" s="363" t="str">
        <f t="shared" si="3"/>
        <v>242112</v>
      </c>
    </row>
    <row r="198" spans="1:36" x14ac:dyDescent="0.25">
      <c r="A198" t="s">
        <v>491</v>
      </c>
      <c r="B198" t="s">
        <v>7722</v>
      </c>
      <c r="C198" t="s">
        <v>10</v>
      </c>
      <c r="D198" t="s">
        <v>7564</v>
      </c>
      <c r="E198" t="s">
        <v>192</v>
      </c>
      <c r="F198" s="28">
        <v>1</v>
      </c>
      <c r="G198" t="s">
        <v>193</v>
      </c>
      <c r="H198" t="s">
        <v>194</v>
      </c>
      <c r="I198" t="s">
        <v>7495</v>
      </c>
      <c r="J198" t="s">
        <v>210</v>
      </c>
      <c r="K198" s="388" t="s">
        <v>7723</v>
      </c>
      <c r="L198" t="s">
        <v>6261</v>
      </c>
      <c r="M198" t="s">
        <v>7691</v>
      </c>
      <c r="N198" t="s">
        <v>7681</v>
      </c>
      <c r="O198" t="s">
        <v>7692</v>
      </c>
      <c r="P198">
        <v>1924945</v>
      </c>
      <c r="Q198">
        <v>16952523</v>
      </c>
      <c r="S198">
        <v>18</v>
      </c>
      <c r="T198" s="375">
        <v>1863</v>
      </c>
      <c r="U198" t="s">
        <v>484</v>
      </c>
      <c r="V198" t="s">
        <v>194</v>
      </c>
      <c r="W198">
        <v>1</v>
      </c>
      <c r="X198">
        <v>1000597276</v>
      </c>
      <c r="AF198" t="s">
        <v>4714</v>
      </c>
      <c r="AG198" t="s">
        <v>7722</v>
      </c>
      <c r="AI198" t="s">
        <v>6955</v>
      </c>
      <c r="AJ198" s="363" t="str">
        <f t="shared" si="3"/>
        <v>251401</v>
      </c>
    </row>
    <row r="199" spans="1:36" x14ac:dyDescent="0.25">
      <c r="A199" t="s">
        <v>493</v>
      </c>
      <c r="B199" t="s">
        <v>7724</v>
      </c>
      <c r="C199" s="24" t="s">
        <v>19</v>
      </c>
      <c r="D199" t="s">
        <v>7564</v>
      </c>
      <c r="E199" t="s">
        <v>192</v>
      </c>
      <c r="F199" s="28">
        <v>1</v>
      </c>
      <c r="G199" t="s">
        <v>193</v>
      </c>
      <c r="H199" t="s">
        <v>194</v>
      </c>
      <c r="I199" t="s">
        <v>7485</v>
      </c>
      <c r="J199" t="s">
        <v>210</v>
      </c>
      <c r="K199" s="388" t="s">
        <v>7725</v>
      </c>
      <c r="L199" t="s">
        <v>6261</v>
      </c>
      <c r="M199" t="s">
        <v>7691</v>
      </c>
      <c r="N199" t="s">
        <v>7681</v>
      </c>
      <c r="O199" t="s">
        <v>7692</v>
      </c>
      <c r="P199">
        <v>1924981</v>
      </c>
      <c r="Q199">
        <v>16952559</v>
      </c>
      <c r="S199">
        <v>18</v>
      </c>
      <c r="T199" s="375">
        <v>1863</v>
      </c>
      <c r="U199" t="s">
        <v>337</v>
      </c>
      <c r="V199" t="s">
        <v>194</v>
      </c>
      <c r="W199">
        <v>1</v>
      </c>
      <c r="X199">
        <v>1000596909</v>
      </c>
      <c r="AF199" t="s">
        <v>4714</v>
      </c>
      <c r="AG199" t="s">
        <v>7724</v>
      </c>
      <c r="AI199" t="s">
        <v>6955</v>
      </c>
      <c r="AJ199" s="363" t="str">
        <f t="shared" si="3"/>
        <v>214903</v>
      </c>
    </row>
    <row r="200" spans="1:36" x14ac:dyDescent="0.25">
      <c r="A200" t="s">
        <v>7726</v>
      </c>
      <c r="B200" t="s">
        <v>119</v>
      </c>
      <c r="C200" s="385" t="s">
        <v>119</v>
      </c>
      <c r="D200" t="s">
        <v>7564</v>
      </c>
      <c r="E200" t="s">
        <v>192</v>
      </c>
      <c r="F200" s="28">
        <v>1</v>
      </c>
      <c r="G200" t="s">
        <v>193</v>
      </c>
      <c r="H200" t="s">
        <v>194</v>
      </c>
      <c r="I200" t="s">
        <v>7678</v>
      </c>
      <c r="J200" t="s">
        <v>253</v>
      </c>
      <c r="K200" s="388" t="s">
        <v>7727</v>
      </c>
      <c r="L200" t="s">
        <v>6266</v>
      </c>
      <c r="M200" t="s">
        <v>7691</v>
      </c>
      <c r="N200" t="s">
        <v>7681</v>
      </c>
      <c r="O200" t="s">
        <v>7692</v>
      </c>
      <c r="P200">
        <v>1925129</v>
      </c>
      <c r="Q200">
        <v>16952711</v>
      </c>
      <c r="S200">
        <v>18</v>
      </c>
      <c r="T200" s="375">
        <v>1811</v>
      </c>
      <c r="U200" t="s">
        <v>666</v>
      </c>
      <c r="V200" t="s">
        <v>194</v>
      </c>
      <c r="W200">
        <v>1</v>
      </c>
      <c r="X200">
        <v>7778482</v>
      </c>
      <c r="AF200" t="s">
        <v>4714</v>
      </c>
      <c r="AG200" t="s">
        <v>119</v>
      </c>
      <c r="AI200" t="s">
        <v>6955</v>
      </c>
      <c r="AJ200" s="363" t="str">
        <f t="shared" si="3"/>
        <v>333105</v>
      </c>
    </row>
    <row r="201" spans="1:36" x14ac:dyDescent="0.25">
      <c r="A201" t="s">
        <v>7728</v>
      </c>
      <c r="B201" t="s">
        <v>7729</v>
      </c>
      <c r="C201" t="s">
        <v>4820</v>
      </c>
      <c r="D201" t="s">
        <v>7564</v>
      </c>
      <c r="E201" t="s">
        <v>192</v>
      </c>
      <c r="F201" s="28">
        <v>1</v>
      </c>
      <c r="G201" t="s">
        <v>193</v>
      </c>
      <c r="H201" t="s">
        <v>194</v>
      </c>
      <c r="I201" t="s">
        <v>7485</v>
      </c>
      <c r="J201" t="s">
        <v>301</v>
      </c>
      <c r="K201" s="388" t="s">
        <v>7730</v>
      </c>
      <c r="L201" t="s">
        <v>6279</v>
      </c>
      <c r="M201" t="s">
        <v>7691</v>
      </c>
      <c r="N201" t="s">
        <v>7681</v>
      </c>
      <c r="O201" t="s">
        <v>7692</v>
      </c>
      <c r="P201">
        <v>1925180</v>
      </c>
      <c r="Q201">
        <v>16952770</v>
      </c>
      <c r="S201">
        <v>18</v>
      </c>
      <c r="T201" s="375">
        <v>1810</v>
      </c>
      <c r="U201" t="s">
        <v>4821</v>
      </c>
      <c r="V201" t="s">
        <v>194</v>
      </c>
      <c r="W201">
        <v>1</v>
      </c>
      <c r="X201">
        <v>500065201</v>
      </c>
      <c r="AF201" t="s">
        <v>4714</v>
      </c>
      <c r="AG201" t="s">
        <v>7729</v>
      </c>
      <c r="AI201" t="s">
        <v>6955</v>
      </c>
      <c r="AJ201" s="363" t="str">
        <f t="shared" si="3"/>
        <v>311206</v>
      </c>
    </row>
    <row r="202" spans="1:36" x14ac:dyDescent="0.25">
      <c r="A202" t="s">
        <v>3680</v>
      </c>
      <c r="B202" t="s">
        <v>7731</v>
      </c>
      <c r="C202" s="59" t="s">
        <v>129</v>
      </c>
      <c r="D202" t="s">
        <v>7564</v>
      </c>
      <c r="E202" t="s">
        <v>192</v>
      </c>
      <c r="F202" s="28">
        <v>1</v>
      </c>
      <c r="G202" t="s">
        <v>193</v>
      </c>
      <c r="H202" t="s">
        <v>194</v>
      </c>
      <c r="I202" t="s">
        <v>7485</v>
      </c>
      <c r="J202" t="s">
        <v>385</v>
      </c>
      <c r="K202" s="388" t="s">
        <v>7732</v>
      </c>
      <c r="L202" t="s">
        <v>6295</v>
      </c>
      <c r="M202" t="s">
        <v>7691</v>
      </c>
      <c r="N202" t="s">
        <v>7681</v>
      </c>
      <c r="O202" t="s">
        <v>7692</v>
      </c>
      <c r="P202">
        <v>1925203</v>
      </c>
      <c r="Q202">
        <v>16952793</v>
      </c>
      <c r="S202">
        <v>18</v>
      </c>
      <c r="T202" s="375">
        <v>1861</v>
      </c>
      <c r="U202" t="s">
        <v>203</v>
      </c>
      <c r="V202" t="s">
        <v>194</v>
      </c>
      <c r="W202">
        <v>1</v>
      </c>
      <c r="X202">
        <v>1000597562</v>
      </c>
      <c r="AF202" t="s">
        <v>4714</v>
      </c>
      <c r="AG202" t="s">
        <v>7731</v>
      </c>
      <c r="AI202" t="s">
        <v>6955</v>
      </c>
      <c r="AJ202" s="363" t="str">
        <f t="shared" si="3"/>
        <v>121904</v>
      </c>
    </row>
    <row r="203" spans="1:36" x14ac:dyDescent="0.25">
      <c r="A203" t="s">
        <v>7733</v>
      </c>
      <c r="B203" t="s">
        <v>2333</v>
      </c>
      <c r="C203" s="385" t="s">
        <v>17</v>
      </c>
      <c r="D203" t="s">
        <v>7564</v>
      </c>
      <c r="E203" t="s">
        <v>192</v>
      </c>
      <c r="F203" s="28">
        <v>1</v>
      </c>
      <c r="G203" t="s">
        <v>193</v>
      </c>
      <c r="H203" t="s">
        <v>194</v>
      </c>
      <c r="I203" t="s">
        <v>7495</v>
      </c>
      <c r="J203" t="s">
        <v>196</v>
      </c>
      <c r="K203" s="388" t="s">
        <v>7734</v>
      </c>
      <c r="L203" t="s">
        <v>6288</v>
      </c>
      <c r="M203" t="s">
        <v>7691</v>
      </c>
      <c r="N203" t="s">
        <v>7681</v>
      </c>
      <c r="O203" t="s">
        <v>7692</v>
      </c>
      <c r="P203">
        <v>1925211</v>
      </c>
      <c r="Q203">
        <v>16952801</v>
      </c>
      <c r="S203">
        <v>18</v>
      </c>
      <c r="T203" s="379"/>
      <c r="U203" t="s">
        <v>624</v>
      </c>
      <c r="V203" t="s">
        <v>193</v>
      </c>
      <c r="W203">
        <v>25</v>
      </c>
      <c r="X203">
        <v>500065204</v>
      </c>
      <c r="AF203" t="s">
        <v>4714</v>
      </c>
      <c r="AG203" t="s">
        <v>2333</v>
      </c>
      <c r="AI203" t="s">
        <v>6955</v>
      </c>
      <c r="AJ203" s="363" t="str">
        <f t="shared" si="3"/>
        <v>332203</v>
      </c>
    </row>
    <row r="204" spans="1:36" x14ac:dyDescent="0.25">
      <c r="A204" t="s">
        <v>7735</v>
      </c>
      <c r="B204" t="s">
        <v>7736</v>
      </c>
      <c r="C204" t="s">
        <v>3416</v>
      </c>
      <c r="D204" t="s">
        <v>7564</v>
      </c>
      <c r="E204" t="s">
        <v>192</v>
      </c>
      <c r="F204" s="28">
        <v>1</v>
      </c>
      <c r="G204" t="s">
        <v>193</v>
      </c>
      <c r="H204" t="s">
        <v>194</v>
      </c>
      <c r="I204" t="s">
        <v>7460</v>
      </c>
      <c r="J204" t="s">
        <v>196</v>
      </c>
      <c r="K204" s="388" t="s">
        <v>7737</v>
      </c>
      <c r="L204" t="s">
        <v>6266</v>
      </c>
      <c r="M204" t="s">
        <v>7691</v>
      </c>
      <c r="N204" t="s">
        <v>7681</v>
      </c>
      <c r="O204" t="s">
        <v>7692</v>
      </c>
      <c r="P204">
        <v>1925212</v>
      </c>
      <c r="Q204">
        <v>16952802</v>
      </c>
      <c r="S204">
        <v>18</v>
      </c>
      <c r="T204" s="379"/>
      <c r="U204" t="s">
        <v>3417</v>
      </c>
      <c r="V204" t="s">
        <v>193</v>
      </c>
      <c r="W204">
        <v>25</v>
      </c>
      <c r="X204">
        <v>7778157</v>
      </c>
      <c r="AF204" t="s">
        <v>4714</v>
      </c>
      <c r="AG204" t="s">
        <v>7736</v>
      </c>
      <c r="AI204" t="s">
        <v>6955</v>
      </c>
      <c r="AJ204" s="363" t="str">
        <f t="shared" si="3"/>
        <v>243105</v>
      </c>
    </row>
    <row r="205" spans="1:36" x14ac:dyDescent="0.25">
      <c r="A205" t="s">
        <v>7738</v>
      </c>
      <c r="B205" t="s">
        <v>7739</v>
      </c>
      <c r="C205" s="385" t="s">
        <v>122</v>
      </c>
      <c r="D205" t="s">
        <v>7564</v>
      </c>
      <c r="E205" t="s">
        <v>192</v>
      </c>
      <c r="F205" s="28">
        <v>1</v>
      </c>
      <c r="G205" t="s">
        <v>193</v>
      </c>
      <c r="H205" t="s">
        <v>194</v>
      </c>
      <c r="I205" t="s">
        <v>7495</v>
      </c>
      <c r="J205" t="s">
        <v>385</v>
      </c>
      <c r="K205" s="388" t="s">
        <v>7740</v>
      </c>
      <c r="L205" t="s">
        <v>7489</v>
      </c>
      <c r="M205" t="s">
        <v>7691</v>
      </c>
      <c r="N205" t="s">
        <v>7681</v>
      </c>
      <c r="O205" t="s">
        <v>7692</v>
      </c>
      <c r="P205">
        <v>1925277</v>
      </c>
      <c r="Q205">
        <v>16952872</v>
      </c>
      <c r="S205">
        <v>18</v>
      </c>
      <c r="T205" s="375">
        <v>1861</v>
      </c>
      <c r="U205" t="s">
        <v>655</v>
      </c>
      <c r="V205" t="s">
        <v>194</v>
      </c>
      <c r="W205">
        <v>1</v>
      </c>
      <c r="X205">
        <v>1000597009</v>
      </c>
      <c r="AF205" t="s">
        <v>4714</v>
      </c>
      <c r="AG205" t="s">
        <v>7739</v>
      </c>
      <c r="AI205" t="s">
        <v>6955</v>
      </c>
      <c r="AJ205" s="363" t="str">
        <f t="shared" si="3"/>
        <v>332301</v>
      </c>
    </row>
    <row r="206" spans="1:36" x14ac:dyDescent="0.25">
      <c r="A206" t="s">
        <v>1483</v>
      </c>
      <c r="B206" t="s">
        <v>7741</v>
      </c>
      <c r="C206" t="s">
        <v>20</v>
      </c>
      <c r="D206" t="s">
        <v>7564</v>
      </c>
      <c r="E206" t="s">
        <v>192</v>
      </c>
      <c r="F206" s="28">
        <v>1</v>
      </c>
      <c r="G206" t="s">
        <v>193</v>
      </c>
      <c r="H206" t="s">
        <v>194</v>
      </c>
      <c r="I206" t="s">
        <v>7495</v>
      </c>
      <c r="J206" t="s">
        <v>1486</v>
      </c>
      <c r="K206" s="388" t="s">
        <v>7742</v>
      </c>
      <c r="L206" t="s">
        <v>6245</v>
      </c>
      <c r="M206" t="s">
        <v>7691</v>
      </c>
      <c r="N206" t="s">
        <v>7681</v>
      </c>
      <c r="O206" t="s">
        <v>7692</v>
      </c>
      <c r="P206">
        <v>1925314</v>
      </c>
      <c r="Q206">
        <v>16952909</v>
      </c>
      <c r="S206">
        <v>18</v>
      </c>
      <c r="T206" s="379"/>
      <c r="U206" t="s">
        <v>286</v>
      </c>
      <c r="V206" t="s">
        <v>193</v>
      </c>
      <c r="W206">
        <v>25</v>
      </c>
      <c r="X206">
        <v>7778235</v>
      </c>
      <c r="AF206" t="s">
        <v>4714</v>
      </c>
      <c r="AG206" t="s">
        <v>7741</v>
      </c>
      <c r="AI206" t="s">
        <v>6955</v>
      </c>
      <c r="AJ206" s="363" t="str">
        <f t="shared" si="3"/>
        <v>214109</v>
      </c>
    </row>
    <row r="207" spans="1:36" x14ac:dyDescent="0.25">
      <c r="A207" t="s">
        <v>674</v>
      </c>
      <c r="B207" t="s">
        <v>7743</v>
      </c>
      <c r="C207" s="385" t="s">
        <v>119</v>
      </c>
      <c r="D207" t="s">
        <v>7564</v>
      </c>
      <c r="E207" t="s">
        <v>192</v>
      </c>
      <c r="F207" s="28">
        <v>1</v>
      </c>
      <c r="G207" t="s">
        <v>193</v>
      </c>
      <c r="H207" t="s">
        <v>194</v>
      </c>
      <c r="I207" t="s">
        <v>7495</v>
      </c>
      <c r="J207" t="s">
        <v>210</v>
      </c>
      <c r="K207" s="388" t="s">
        <v>7744</v>
      </c>
      <c r="L207" t="s">
        <v>6266</v>
      </c>
      <c r="M207" t="s">
        <v>7691</v>
      </c>
      <c r="N207" t="s">
        <v>7681</v>
      </c>
      <c r="O207" t="s">
        <v>7692</v>
      </c>
      <c r="P207">
        <v>1925346</v>
      </c>
      <c r="Q207">
        <v>16952941</v>
      </c>
      <c r="S207">
        <v>18</v>
      </c>
      <c r="T207" s="375">
        <v>1863</v>
      </c>
      <c r="U207" t="s">
        <v>666</v>
      </c>
      <c r="V207" t="s">
        <v>194</v>
      </c>
      <c r="W207">
        <v>1</v>
      </c>
      <c r="X207">
        <v>1000596902</v>
      </c>
      <c r="AF207" t="s">
        <v>4714</v>
      </c>
      <c r="AG207" t="s">
        <v>7743</v>
      </c>
      <c r="AI207" t="s">
        <v>6955</v>
      </c>
      <c r="AJ207" s="363" t="str">
        <f t="shared" si="3"/>
        <v>333105</v>
      </c>
    </row>
    <row r="208" spans="1:36" x14ac:dyDescent="0.25">
      <c r="A208" t="s">
        <v>7745</v>
      </c>
      <c r="B208" t="s">
        <v>7746</v>
      </c>
      <c r="C208" t="s">
        <v>1196</v>
      </c>
      <c r="D208" t="s">
        <v>7564</v>
      </c>
      <c r="E208" t="s">
        <v>192</v>
      </c>
      <c r="F208" s="28">
        <v>1</v>
      </c>
      <c r="G208" t="s">
        <v>193</v>
      </c>
      <c r="H208" t="s">
        <v>194</v>
      </c>
      <c r="I208" t="s">
        <v>7485</v>
      </c>
      <c r="J208" t="s">
        <v>210</v>
      </c>
      <c r="K208" s="388" t="s">
        <v>7747</v>
      </c>
      <c r="L208" t="s">
        <v>6921</v>
      </c>
      <c r="M208" t="s">
        <v>7691</v>
      </c>
      <c r="N208" t="s">
        <v>7681</v>
      </c>
      <c r="O208" t="s">
        <v>7692</v>
      </c>
      <c r="P208">
        <v>1925388</v>
      </c>
      <c r="Q208">
        <v>16952983</v>
      </c>
      <c r="S208">
        <v>18</v>
      </c>
      <c r="T208" s="375">
        <v>1863</v>
      </c>
      <c r="U208" t="s">
        <v>1198</v>
      </c>
      <c r="V208" t="s">
        <v>194</v>
      </c>
      <c r="W208">
        <v>1</v>
      </c>
      <c r="X208">
        <v>1000596797</v>
      </c>
      <c r="AF208" t="s">
        <v>4714</v>
      </c>
      <c r="AG208" t="s">
        <v>7746</v>
      </c>
      <c r="AI208" t="s">
        <v>6955</v>
      </c>
      <c r="AJ208" s="363" t="str">
        <f t="shared" si="3"/>
        <v>252901</v>
      </c>
    </row>
    <row r="209" spans="1:36" x14ac:dyDescent="0.25">
      <c r="A209" t="s">
        <v>7748</v>
      </c>
      <c r="B209" t="s">
        <v>7749</v>
      </c>
      <c r="C209" s="386" t="s">
        <v>51</v>
      </c>
      <c r="D209" t="s">
        <v>7564</v>
      </c>
      <c r="E209" t="s">
        <v>192</v>
      </c>
      <c r="F209" s="28">
        <v>1</v>
      </c>
      <c r="G209" t="s">
        <v>193</v>
      </c>
      <c r="H209" t="s">
        <v>194</v>
      </c>
      <c r="I209" t="s">
        <v>7495</v>
      </c>
      <c r="J209" t="s">
        <v>210</v>
      </c>
      <c r="K209" s="388" t="s">
        <v>7750</v>
      </c>
      <c r="L209" t="s">
        <v>6251</v>
      </c>
      <c r="M209" t="s">
        <v>7691</v>
      </c>
      <c r="N209" t="s">
        <v>7681</v>
      </c>
      <c r="O209" t="s">
        <v>7692</v>
      </c>
      <c r="P209">
        <v>1925407</v>
      </c>
      <c r="Q209">
        <v>16953002</v>
      </c>
      <c r="S209">
        <v>18</v>
      </c>
      <c r="T209" s="375">
        <v>1863</v>
      </c>
      <c r="U209" t="s">
        <v>904</v>
      </c>
      <c r="V209" t="s">
        <v>194</v>
      </c>
      <c r="W209">
        <v>1</v>
      </c>
      <c r="X209">
        <v>1000597843</v>
      </c>
      <c r="AF209" t="s">
        <v>4714</v>
      </c>
      <c r="AG209" t="s">
        <v>7749</v>
      </c>
      <c r="AI209" t="s">
        <v>6955</v>
      </c>
      <c r="AJ209" s="363" t="str">
        <f t="shared" si="3"/>
        <v>523002</v>
      </c>
    </row>
    <row r="210" spans="1:36" x14ac:dyDescent="0.25">
      <c r="A210" t="s">
        <v>1748</v>
      </c>
      <c r="B210" t="s">
        <v>7751</v>
      </c>
      <c r="C210" t="s">
        <v>163</v>
      </c>
      <c r="D210" t="s">
        <v>7564</v>
      </c>
      <c r="E210" t="s">
        <v>192</v>
      </c>
      <c r="F210" s="28">
        <v>1</v>
      </c>
      <c r="G210" t="s">
        <v>193</v>
      </c>
      <c r="H210" t="s">
        <v>194</v>
      </c>
      <c r="I210" t="s">
        <v>7485</v>
      </c>
      <c r="J210" t="s">
        <v>210</v>
      </c>
      <c r="K210" s="388" t="s">
        <v>7752</v>
      </c>
      <c r="L210" t="s">
        <v>6921</v>
      </c>
      <c r="M210" t="s">
        <v>7691</v>
      </c>
      <c r="N210" t="s">
        <v>7681</v>
      </c>
      <c r="O210" t="s">
        <v>7692</v>
      </c>
      <c r="P210">
        <v>1925431</v>
      </c>
      <c r="Q210">
        <v>16953047</v>
      </c>
      <c r="S210">
        <v>18</v>
      </c>
      <c r="T210" s="375">
        <v>1863</v>
      </c>
      <c r="U210" t="s">
        <v>697</v>
      </c>
      <c r="V210" t="s">
        <v>194</v>
      </c>
      <c r="W210">
        <v>1</v>
      </c>
      <c r="X210">
        <v>1000597032</v>
      </c>
      <c r="AF210" t="s">
        <v>4714</v>
      </c>
      <c r="AG210" t="s">
        <v>7751</v>
      </c>
      <c r="AI210" t="s">
        <v>6955</v>
      </c>
      <c r="AJ210" s="363" t="str">
        <f t="shared" si="3"/>
        <v>351203</v>
      </c>
    </row>
    <row r="211" spans="1:36" x14ac:dyDescent="0.25">
      <c r="A211" t="s">
        <v>2478</v>
      </c>
      <c r="B211" t="s">
        <v>1768</v>
      </c>
      <c r="C211" t="s">
        <v>420</v>
      </c>
      <c r="D211" t="s">
        <v>7564</v>
      </c>
      <c r="E211" t="s">
        <v>192</v>
      </c>
      <c r="F211" s="28">
        <v>1</v>
      </c>
      <c r="G211" t="s">
        <v>193</v>
      </c>
      <c r="H211" t="s">
        <v>194</v>
      </c>
      <c r="I211" t="s">
        <v>7678</v>
      </c>
      <c r="J211" t="s">
        <v>2480</v>
      </c>
      <c r="K211" s="388" t="s">
        <v>7753</v>
      </c>
      <c r="L211" t="s">
        <v>7531</v>
      </c>
      <c r="M211" t="s">
        <v>7691</v>
      </c>
      <c r="N211" t="s">
        <v>7681</v>
      </c>
      <c r="O211" t="s">
        <v>7692</v>
      </c>
      <c r="P211">
        <v>1925438</v>
      </c>
      <c r="Q211">
        <v>16953055</v>
      </c>
      <c r="S211">
        <v>18</v>
      </c>
      <c r="T211" s="375">
        <v>1810</v>
      </c>
      <c r="U211" t="s">
        <v>421</v>
      </c>
      <c r="V211" t="s">
        <v>194</v>
      </c>
      <c r="W211">
        <v>1</v>
      </c>
      <c r="X211">
        <v>7778854</v>
      </c>
      <c r="AF211" t="s">
        <v>4714</v>
      </c>
      <c r="AG211" t="s">
        <v>1768</v>
      </c>
      <c r="AI211" t="s">
        <v>6955</v>
      </c>
      <c r="AJ211" s="363" t="str">
        <f t="shared" si="3"/>
        <v>241306</v>
      </c>
    </row>
    <row r="212" spans="1:36" x14ac:dyDescent="0.25">
      <c r="A212" t="s">
        <v>7754</v>
      </c>
      <c r="B212" t="s">
        <v>7755</v>
      </c>
      <c r="C212" s="385" t="s">
        <v>36</v>
      </c>
      <c r="D212" t="s">
        <v>7564</v>
      </c>
      <c r="E212" t="s">
        <v>192</v>
      </c>
      <c r="F212" s="28">
        <v>1</v>
      </c>
      <c r="G212" t="s">
        <v>193</v>
      </c>
      <c r="H212" t="s">
        <v>194</v>
      </c>
      <c r="I212" t="s">
        <v>7495</v>
      </c>
      <c r="J212" t="s">
        <v>305</v>
      </c>
      <c r="K212" s="388" t="s">
        <v>7756</v>
      </c>
      <c r="L212" t="s">
        <v>7531</v>
      </c>
      <c r="M212" t="s">
        <v>7691</v>
      </c>
      <c r="N212" t="s">
        <v>7681</v>
      </c>
      <c r="O212" t="s">
        <v>7692</v>
      </c>
      <c r="P212">
        <v>1925442</v>
      </c>
      <c r="Q212">
        <v>16953059</v>
      </c>
      <c r="S212">
        <v>18</v>
      </c>
      <c r="T212" s="375">
        <v>1814</v>
      </c>
      <c r="U212" t="s">
        <v>609</v>
      </c>
      <c r="V212" t="s">
        <v>194</v>
      </c>
      <c r="W212">
        <v>1</v>
      </c>
      <c r="X212">
        <v>7778861</v>
      </c>
      <c r="AF212" t="s">
        <v>4714</v>
      </c>
      <c r="AG212" t="s">
        <v>7755</v>
      </c>
      <c r="AI212" t="s">
        <v>6955</v>
      </c>
      <c r="AJ212" s="363" t="str">
        <f t="shared" si="3"/>
        <v>331301</v>
      </c>
    </row>
    <row r="213" spans="1:36" x14ac:dyDescent="0.25">
      <c r="A213" t="s">
        <v>7757</v>
      </c>
      <c r="B213" t="s">
        <v>7758</v>
      </c>
      <c r="C213" s="385" t="s">
        <v>17</v>
      </c>
      <c r="D213" t="s">
        <v>7564</v>
      </c>
      <c r="E213" t="s">
        <v>192</v>
      </c>
      <c r="F213" s="28">
        <v>1</v>
      </c>
      <c r="G213" t="s">
        <v>193</v>
      </c>
      <c r="H213" t="s">
        <v>194</v>
      </c>
      <c r="I213" t="s">
        <v>7495</v>
      </c>
      <c r="J213" t="s">
        <v>210</v>
      </c>
      <c r="K213" s="388" t="s">
        <v>7759</v>
      </c>
      <c r="L213" t="s">
        <v>6249</v>
      </c>
      <c r="M213" t="s">
        <v>7691</v>
      </c>
      <c r="N213" t="s">
        <v>7681</v>
      </c>
      <c r="O213" t="s">
        <v>7692</v>
      </c>
      <c r="P213">
        <v>1925520</v>
      </c>
      <c r="Q213">
        <v>16953138</v>
      </c>
      <c r="S213">
        <v>18</v>
      </c>
      <c r="T213" s="375">
        <v>1863</v>
      </c>
      <c r="U213" t="s">
        <v>624</v>
      </c>
      <c r="V213" t="s">
        <v>194</v>
      </c>
      <c r="W213">
        <v>1</v>
      </c>
      <c r="X213">
        <v>1000597944</v>
      </c>
      <c r="AF213" t="s">
        <v>4714</v>
      </c>
      <c r="AG213" t="s">
        <v>7758</v>
      </c>
      <c r="AI213" t="s">
        <v>6955</v>
      </c>
      <c r="AJ213" s="363" t="str">
        <f t="shared" si="3"/>
        <v>332203</v>
      </c>
    </row>
    <row r="214" spans="1:36" x14ac:dyDescent="0.25">
      <c r="A214" t="s">
        <v>523</v>
      </c>
      <c r="B214" t="s">
        <v>7760</v>
      </c>
      <c r="C214" t="s">
        <v>362</v>
      </c>
      <c r="D214" t="s">
        <v>7564</v>
      </c>
      <c r="E214" t="s">
        <v>192</v>
      </c>
      <c r="F214" s="28">
        <v>1</v>
      </c>
      <c r="G214" t="s">
        <v>193</v>
      </c>
      <c r="H214" t="s">
        <v>194</v>
      </c>
      <c r="I214" t="s">
        <v>7460</v>
      </c>
      <c r="J214" t="s">
        <v>210</v>
      </c>
      <c r="K214" s="388" t="s">
        <v>7761</v>
      </c>
      <c r="L214" t="s">
        <v>6295</v>
      </c>
      <c r="M214" t="s">
        <v>7691</v>
      </c>
      <c r="N214" t="s">
        <v>7681</v>
      </c>
      <c r="O214" t="s">
        <v>7692</v>
      </c>
      <c r="P214">
        <v>1925547</v>
      </c>
      <c r="Q214">
        <v>16953165</v>
      </c>
      <c r="S214">
        <v>18</v>
      </c>
      <c r="T214" s="375">
        <v>1863</v>
      </c>
      <c r="U214" t="s">
        <v>363</v>
      </c>
      <c r="V214" t="s">
        <v>194</v>
      </c>
      <c r="W214">
        <v>1</v>
      </c>
      <c r="X214">
        <v>1000597914</v>
      </c>
      <c r="AF214" t="s">
        <v>4714</v>
      </c>
      <c r="AG214" t="s">
        <v>7760</v>
      </c>
      <c r="AI214" t="s">
        <v>6955</v>
      </c>
      <c r="AJ214" s="363" t="str">
        <f t="shared" si="3"/>
        <v>215104</v>
      </c>
    </row>
    <row r="215" spans="1:36" x14ac:dyDescent="0.25">
      <c r="A215" t="s">
        <v>7762</v>
      </c>
      <c r="B215" t="s">
        <v>7763</v>
      </c>
      <c r="C215" s="386" t="s">
        <v>740</v>
      </c>
      <c r="D215" t="s">
        <v>7564</v>
      </c>
      <c r="E215" t="s">
        <v>192</v>
      </c>
      <c r="F215" s="28">
        <v>1</v>
      </c>
      <c r="G215" t="s">
        <v>193</v>
      </c>
      <c r="H215" t="s">
        <v>194</v>
      </c>
      <c r="I215" t="s">
        <v>7678</v>
      </c>
      <c r="J215" t="s">
        <v>276</v>
      </c>
      <c r="K215" s="388" t="s">
        <v>7764</v>
      </c>
      <c r="L215" t="s">
        <v>6290</v>
      </c>
      <c r="M215" t="s">
        <v>7691</v>
      </c>
      <c r="N215" t="s">
        <v>7681</v>
      </c>
      <c r="O215" t="s">
        <v>7692</v>
      </c>
      <c r="P215">
        <v>1925601</v>
      </c>
      <c r="Q215">
        <v>16953221</v>
      </c>
      <c r="S215">
        <v>18</v>
      </c>
      <c r="T215" s="375">
        <v>1803</v>
      </c>
      <c r="U215" t="s">
        <v>741</v>
      </c>
      <c r="V215" t="s">
        <v>194</v>
      </c>
      <c r="W215">
        <v>1</v>
      </c>
      <c r="X215">
        <v>1000596925</v>
      </c>
      <c r="AF215" t="s">
        <v>4714</v>
      </c>
      <c r="AG215" t="s">
        <v>7763</v>
      </c>
      <c r="AI215" t="s">
        <v>6955</v>
      </c>
      <c r="AJ215" s="363" t="str">
        <f t="shared" si="3"/>
        <v>522301</v>
      </c>
    </row>
    <row r="216" spans="1:36" x14ac:dyDescent="0.25">
      <c r="A216" t="s">
        <v>7762</v>
      </c>
      <c r="B216" t="s">
        <v>7763</v>
      </c>
      <c r="C216" s="386" t="s">
        <v>740</v>
      </c>
      <c r="D216" t="s">
        <v>7564</v>
      </c>
      <c r="E216" t="s">
        <v>192</v>
      </c>
      <c r="F216" s="28">
        <v>1</v>
      </c>
      <c r="G216" t="s">
        <v>193</v>
      </c>
      <c r="H216" t="s">
        <v>194</v>
      </c>
      <c r="I216" t="s">
        <v>7678</v>
      </c>
      <c r="J216" t="s">
        <v>385</v>
      </c>
      <c r="K216" s="388" t="s">
        <v>7765</v>
      </c>
      <c r="L216" t="s">
        <v>6290</v>
      </c>
      <c r="M216" t="s">
        <v>7691</v>
      </c>
      <c r="N216" t="s">
        <v>7681</v>
      </c>
      <c r="O216" t="s">
        <v>7692</v>
      </c>
      <c r="P216">
        <v>1925617</v>
      </c>
      <c r="Q216">
        <v>16953237</v>
      </c>
      <c r="S216">
        <v>18</v>
      </c>
      <c r="T216" s="375">
        <v>1861</v>
      </c>
      <c r="U216" t="s">
        <v>741</v>
      </c>
      <c r="V216" t="s">
        <v>194</v>
      </c>
      <c r="W216">
        <v>1</v>
      </c>
      <c r="X216">
        <v>1000596942</v>
      </c>
      <c r="AF216" t="s">
        <v>4714</v>
      </c>
      <c r="AG216" t="s">
        <v>7763</v>
      </c>
      <c r="AI216" t="s">
        <v>6955</v>
      </c>
      <c r="AJ216" s="363" t="str">
        <f t="shared" si="3"/>
        <v>522301</v>
      </c>
    </row>
    <row r="217" spans="1:36" x14ac:dyDescent="0.25">
      <c r="A217" t="s">
        <v>7762</v>
      </c>
      <c r="B217" t="s">
        <v>7763</v>
      </c>
      <c r="C217" s="386" t="s">
        <v>740</v>
      </c>
      <c r="D217" t="s">
        <v>7564</v>
      </c>
      <c r="E217" t="s">
        <v>192</v>
      </c>
      <c r="F217" s="28">
        <v>1</v>
      </c>
      <c r="G217" t="s">
        <v>193</v>
      </c>
      <c r="H217" t="s">
        <v>194</v>
      </c>
      <c r="I217" t="s">
        <v>7678</v>
      </c>
      <c r="J217" t="s">
        <v>253</v>
      </c>
      <c r="K217" s="388" t="s">
        <v>7766</v>
      </c>
      <c r="L217" t="s">
        <v>6290</v>
      </c>
      <c r="M217" t="s">
        <v>7691</v>
      </c>
      <c r="N217" t="s">
        <v>7681</v>
      </c>
      <c r="O217" t="s">
        <v>7692</v>
      </c>
      <c r="P217">
        <v>1925620</v>
      </c>
      <c r="Q217">
        <v>16953240</v>
      </c>
      <c r="S217">
        <v>18</v>
      </c>
      <c r="T217" s="375">
        <v>1811</v>
      </c>
      <c r="U217" t="s">
        <v>741</v>
      </c>
      <c r="V217" t="s">
        <v>194</v>
      </c>
      <c r="W217">
        <v>1</v>
      </c>
      <c r="X217">
        <v>1000596946</v>
      </c>
      <c r="AF217" t="s">
        <v>4714</v>
      </c>
      <c r="AG217" t="s">
        <v>7763</v>
      </c>
      <c r="AI217" t="s">
        <v>6955</v>
      </c>
      <c r="AJ217" s="363" t="str">
        <f t="shared" si="3"/>
        <v>522301</v>
      </c>
    </row>
    <row r="218" spans="1:36" x14ac:dyDescent="0.25">
      <c r="A218" t="s">
        <v>7762</v>
      </c>
      <c r="B218" t="s">
        <v>7763</v>
      </c>
      <c r="C218" s="386" t="s">
        <v>740</v>
      </c>
      <c r="D218" t="s">
        <v>7564</v>
      </c>
      <c r="E218" t="s">
        <v>192</v>
      </c>
      <c r="F218" s="28">
        <v>1</v>
      </c>
      <c r="G218" t="s">
        <v>193</v>
      </c>
      <c r="H218" t="s">
        <v>194</v>
      </c>
      <c r="I218" t="s">
        <v>7678</v>
      </c>
      <c r="J218" t="s">
        <v>4751</v>
      </c>
      <c r="K218" s="388" t="s">
        <v>7767</v>
      </c>
      <c r="L218" t="s">
        <v>6290</v>
      </c>
      <c r="M218" t="s">
        <v>7691</v>
      </c>
      <c r="N218" t="s">
        <v>7681</v>
      </c>
      <c r="O218" t="s">
        <v>7692</v>
      </c>
      <c r="P218">
        <v>1925629</v>
      </c>
      <c r="Q218">
        <v>16953249</v>
      </c>
      <c r="S218">
        <v>18</v>
      </c>
      <c r="T218" s="375">
        <v>1862</v>
      </c>
      <c r="U218" t="s">
        <v>741</v>
      </c>
      <c r="V218" t="s">
        <v>194</v>
      </c>
      <c r="W218">
        <v>1</v>
      </c>
      <c r="X218">
        <v>1000596956</v>
      </c>
      <c r="AF218" t="s">
        <v>4714</v>
      </c>
      <c r="AG218" t="s">
        <v>7763</v>
      </c>
      <c r="AI218" t="s">
        <v>6955</v>
      </c>
      <c r="AJ218" s="363" t="str">
        <f t="shared" si="3"/>
        <v>522301</v>
      </c>
    </row>
    <row r="219" spans="1:36" x14ac:dyDescent="0.25">
      <c r="A219" t="s">
        <v>7762</v>
      </c>
      <c r="B219" t="s">
        <v>7763</v>
      </c>
      <c r="C219" s="386" t="s">
        <v>740</v>
      </c>
      <c r="D219" t="s">
        <v>7564</v>
      </c>
      <c r="E219" t="s">
        <v>192</v>
      </c>
      <c r="F219" s="28">
        <v>1</v>
      </c>
      <c r="G219" t="s">
        <v>193</v>
      </c>
      <c r="H219" t="s">
        <v>194</v>
      </c>
      <c r="I219" t="s">
        <v>7678</v>
      </c>
      <c r="J219" t="s">
        <v>210</v>
      </c>
      <c r="K219" s="388" t="s">
        <v>7768</v>
      </c>
      <c r="L219" t="s">
        <v>6290</v>
      </c>
      <c r="M219" t="s">
        <v>7691</v>
      </c>
      <c r="N219" t="s">
        <v>7681</v>
      </c>
      <c r="O219" t="s">
        <v>7692</v>
      </c>
      <c r="P219">
        <v>1925632</v>
      </c>
      <c r="Q219">
        <v>16953252</v>
      </c>
      <c r="S219">
        <v>18</v>
      </c>
      <c r="T219" s="375">
        <v>1863</v>
      </c>
      <c r="U219" t="s">
        <v>741</v>
      </c>
      <c r="V219" t="s">
        <v>194</v>
      </c>
      <c r="W219">
        <v>1</v>
      </c>
      <c r="X219">
        <v>1000596959</v>
      </c>
      <c r="AF219" t="s">
        <v>4714</v>
      </c>
      <c r="AG219" t="s">
        <v>7763</v>
      </c>
      <c r="AI219" t="s">
        <v>6955</v>
      </c>
      <c r="AJ219" s="363" t="str">
        <f t="shared" si="3"/>
        <v>522301</v>
      </c>
    </row>
    <row r="220" spans="1:36" x14ac:dyDescent="0.25">
      <c r="A220" t="s">
        <v>7762</v>
      </c>
      <c r="B220" t="s">
        <v>7763</v>
      </c>
      <c r="C220" s="386" t="s">
        <v>740</v>
      </c>
      <c r="D220" t="s">
        <v>7564</v>
      </c>
      <c r="E220" t="s">
        <v>192</v>
      </c>
      <c r="F220" s="28">
        <v>1</v>
      </c>
      <c r="G220" t="s">
        <v>193</v>
      </c>
      <c r="H220" t="s">
        <v>194</v>
      </c>
      <c r="I220" t="s">
        <v>7678</v>
      </c>
      <c r="J220" t="s">
        <v>316</v>
      </c>
      <c r="K220" s="388" t="s">
        <v>7769</v>
      </c>
      <c r="L220" t="s">
        <v>6290</v>
      </c>
      <c r="M220" t="s">
        <v>7691</v>
      </c>
      <c r="N220" t="s">
        <v>7681</v>
      </c>
      <c r="O220" t="s">
        <v>7692</v>
      </c>
      <c r="P220">
        <v>1925635</v>
      </c>
      <c r="Q220">
        <v>16953255</v>
      </c>
      <c r="S220">
        <v>18</v>
      </c>
      <c r="T220" s="375">
        <v>1818</v>
      </c>
      <c r="U220" t="s">
        <v>741</v>
      </c>
      <c r="V220" t="s">
        <v>194</v>
      </c>
      <c r="W220">
        <v>1</v>
      </c>
      <c r="X220">
        <v>1000596962</v>
      </c>
      <c r="AF220" t="s">
        <v>4714</v>
      </c>
      <c r="AG220" t="s">
        <v>7763</v>
      </c>
      <c r="AI220" t="s">
        <v>6955</v>
      </c>
      <c r="AJ220" s="363" t="str">
        <f t="shared" si="3"/>
        <v>522301</v>
      </c>
    </row>
    <row r="221" spans="1:36" x14ac:dyDescent="0.25">
      <c r="A221" t="s">
        <v>7748</v>
      </c>
      <c r="B221" t="s">
        <v>2309</v>
      </c>
      <c r="C221" s="386" t="s">
        <v>740</v>
      </c>
      <c r="D221" t="s">
        <v>7564</v>
      </c>
      <c r="E221" t="s">
        <v>192</v>
      </c>
      <c r="F221" s="28">
        <v>1</v>
      </c>
      <c r="G221" t="s">
        <v>193</v>
      </c>
      <c r="H221" t="s">
        <v>194</v>
      </c>
      <c r="I221" t="s">
        <v>7495</v>
      </c>
      <c r="J221" t="s">
        <v>210</v>
      </c>
      <c r="K221" s="388" t="s">
        <v>7770</v>
      </c>
      <c r="L221" t="s">
        <v>6245</v>
      </c>
      <c r="M221" t="s">
        <v>7691</v>
      </c>
      <c r="N221" t="s">
        <v>7681</v>
      </c>
      <c r="O221" t="s">
        <v>7692</v>
      </c>
      <c r="P221">
        <v>1925660</v>
      </c>
      <c r="Q221">
        <v>16953280</v>
      </c>
      <c r="S221">
        <v>18</v>
      </c>
      <c r="T221" s="375">
        <v>1863</v>
      </c>
      <c r="U221" t="s">
        <v>741</v>
      </c>
      <c r="V221" t="s">
        <v>194</v>
      </c>
      <c r="W221">
        <v>1</v>
      </c>
      <c r="X221">
        <v>1000597808</v>
      </c>
      <c r="AF221" t="s">
        <v>4714</v>
      </c>
      <c r="AG221" t="s">
        <v>2309</v>
      </c>
      <c r="AI221" t="s">
        <v>6955</v>
      </c>
      <c r="AJ221" s="363" t="str">
        <f t="shared" si="3"/>
        <v>522301</v>
      </c>
    </row>
    <row r="222" spans="1:36" x14ac:dyDescent="0.25">
      <c r="A222" t="s">
        <v>7748</v>
      </c>
      <c r="B222" t="s">
        <v>7771</v>
      </c>
      <c r="C222" t="s">
        <v>67</v>
      </c>
      <c r="D222" t="s">
        <v>7564</v>
      </c>
      <c r="E222" t="s">
        <v>192</v>
      </c>
      <c r="F222" s="28">
        <v>1</v>
      </c>
      <c r="G222" t="s">
        <v>193</v>
      </c>
      <c r="H222" t="s">
        <v>194</v>
      </c>
      <c r="I222" t="s">
        <v>7495</v>
      </c>
      <c r="J222" t="s">
        <v>210</v>
      </c>
      <c r="K222" s="388" t="s">
        <v>7772</v>
      </c>
      <c r="L222" t="s">
        <v>6266</v>
      </c>
      <c r="M222" t="s">
        <v>7691</v>
      </c>
      <c r="N222" t="s">
        <v>7681</v>
      </c>
      <c r="O222" t="s">
        <v>7692</v>
      </c>
      <c r="P222">
        <v>1925661</v>
      </c>
      <c r="Q222">
        <v>16953281</v>
      </c>
      <c r="S222">
        <v>18</v>
      </c>
      <c r="T222" s="375">
        <v>1863</v>
      </c>
      <c r="U222" t="s">
        <v>709</v>
      </c>
      <c r="V222" t="s">
        <v>194</v>
      </c>
      <c r="W222">
        <v>1</v>
      </c>
      <c r="X222">
        <v>1000597812</v>
      </c>
      <c r="AF222" t="s">
        <v>4714</v>
      </c>
      <c r="AG222" t="s">
        <v>7771</v>
      </c>
      <c r="AI222" t="s">
        <v>6955</v>
      </c>
      <c r="AJ222" s="363" t="str">
        <f t="shared" si="3"/>
        <v>432103</v>
      </c>
    </row>
    <row r="223" spans="1:36" x14ac:dyDescent="0.25">
      <c r="A223" t="s">
        <v>7773</v>
      </c>
      <c r="B223" t="s">
        <v>7774</v>
      </c>
      <c r="C223" t="s">
        <v>113</v>
      </c>
      <c r="D223" t="s">
        <v>7564</v>
      </c>
      <c r="E223" t="s">
        <v>192</v>
      </c>
      <c r="F223" s="28">
        <v>1</v>
      </c>
      <c r="G223" t="s">
        <v>193</v>
      </c>
      <c r="H223" t="s">
        <v>194</v>
      </c>
      <c r="I223" t="s">
        <v>7485</v>
      </c>
      <c r="J223" t="s">
        <v>276</v>
      </c>
      <c r="K223" s="388" t="s">
        <v>7775</v>
      </c>
      <c r="L223" t="s">
        <v>6327</v>
      </c>
      <c r="M223" t="s">
        <v>7691</v>
      </c>
      <c r="N223" t="s">
        <v>7681</v>
      </c>
      <c r="O223" t="s">
        <v>7692</v>
      </c>
      <c r="P223">
        <v>1925759</v>
      </c>
      <c r="Q223">
        <v>16953379</v>
      </c>
      <c r="S223">
        <v>18</v>
      </c>
      <c r="T223" s="376" t="s">
        <v>7373</v>
      </c>
      <c r="U223" t="s">
        <v>465</v>
      </c>
      <c r="V223" t="s">
        <v>194</v>
      </c>
      <c r="W223">
        <v>6</v>
      </c>
      <c r="X223">
        <v>7778956</v>
      </c>
      <c r="AF223" t="s">
        <v>4714</v>
      </c>
      <c r="AG223" t="s">
        <v>7774</v>
      </c>
      <c r="AI223" t="s">
        <v>6955</v>
      </c>
      <c r="AJ223" s="363" t="str">
        <f t="shared" si="3"/>
        <v>243302</v>
      </c>
    </row>
    <row r="224" spans="1:36" x14ac:dyDescent="0.25">
      <c r="A224" t="s">
        <v>5004</v>
      </c>
      <c r="B224" t="s">
        <v>1034</v>
      </c>
      <c r="C224" s="59" t="s">
        <v>95</v>
      </c>
      <c r="D224" t="s">
        <v>7564</v>
      </c>
      <c r="E224" t="s">
        <v>192</v>
      </c>
      <c r="F224" s="28">
        <v>1</v>
      </c>
      <c r="G224" t="s">
        <v>193</v>
      </c>
      <c r="H224" t="s">
        <v>194</v>
      </c>
      <c r="I224" t="s">
        <v>7495</v>
      </c>
      <c r="J224" t="s">
        <v>385</v>
      </c>
      <c r="K224" s="388" t="s">
        <v>7776</v>
      </c>
      <c r="L224" t="s">
        <v>6254</v>
      </c>
      <c r="M224" t="s">
        <v>7691</v>
      </c>
      <c r="N224" t="s">
        <v>7681</v>
      </c>
      <c r="O224" t="s">
        <v>7692</v>
      </c>
      <c r="P224">
        <v>1925785</v>
      </c>
      <c r="Q224">
        <v>16953405</v>
      </c>
      <c r="S224">
        <v>18</v>
      </c>
      <c r="T224" s="376" t="s">
        <v>7044</v>
      </c>
      <c r="U224" t="s">
        <v>1015</v>
      </c>
      <c r="V224" t="s">
        <v>194</v>
      </c>
      <c r="W224">
        <v>3</v>
      </c>
      <c r="X224">
        <v>7779083</v>
      </c>
      <c r="AF224" t="s">
        <v>4714</v>
      </c>
      <c r="AG224" t="s">
        <v>1034</v>
      </c>
      <c r="AI224" t="s">
        <v>6955</v>
      </c>
      <c r="AJ224" s="363" t="str">
        <f t="shared" si="3"/>
        <v>122102</v>
      </c>
    </row>
    <row r="225" spans="1:36" x14ac:dyDescent="0.25">
      <c r="A225" t="s">
        <v>1495</v>
      </c>
      <c r="B225" t="s">
        <v>7777</v>
      </c>
      <c r="C225" t="s">
        <v>1649</v>
      </c>
      <c r="D225" t="s">
        <v>7255</v>
      </c>
      <c r="E225" t="s">
        <v>192</v>
      </c>
      <c r="F225" s="28">
        <v>1</v>
      </c>
      <c r="G225" t="s">
        <v>194</v>
      </c>
      <c r="H225" t="s">
        <v>193</v>
      </c>
      <c r="I225" t="s">
        <v>7276</v>
      </c>
      <c r="J225" t="s">
        <v>210</v>
      </c>
      <c r="K225" s="388" t="s">
        <v>7778</v>
      </c>
      <c r="L225" t="s">
        <v>6254</v>
      </c>
      <c r="M225" t="s">
        <v>7360</v>
      </c>
      <c r="N225" t="s">
        <v>7361</v>
      </c>
      <c r="O225" t="s">
        <v>7362</v>
      </c>
      <c r="P225">
        <v>1887886</v>
      </c>
      <c r="Q225">
        <v>16325790</v>
      </c>
      <c r="S225">
        <v>18</v>
      </c>
      <c r="T225" s="375">
        <v>1863</v>
      </c>
      <c r="U225" t="s">
        <v>1650</v>
      </c>
      <c r="V225" t="s">
        <v>194</v>
      </c>
      <c r="W225">
        <v>1</v>
      </c>
      <c r="X225">
        <v>1000546837</v>
      </c>
      <c r="AF225" t="s">
        <v>4714</v>
      </c>
      <c r="AG225" t="s">
        <v>7777</v>
      </c>
      <c r="AI225" t="s">
        <v>6955</v>
      </c>
      <c r="AJ225" s="363" t="str">
        <f t="shared" si="3"/>
        <v>134603</v>
      </c>
    </row>
    <row r="226" spans="1:36" s="25" customFormat="1" x14ac:dyDescent="0.25">
      <c r="A226" s="25" t="s">
        <v>7779</v>
      </c>
      <c r="B226" s="25" t="s">
        <v>7780</v>
      </c>
      <c r="C226" s="25" t="s">
        <v>63</v>
      </c>
      <c r="D226" s="25" t="s">
        <v>7268</v>
      </c>
      <c r="E226" s="25" t="s">
        <v>217</v>
      </c>
      <c r="F226" s="27">
        <v>1</v>
      </c>
      <c r="G226" s="25" t="s">
        <v>194</v>
      </c>
      <c r="H226" s="25" t="s">
        <v>193</v>
      </c>
      <c r="I226" s="25" t="s">
        <v>7495</v>
      </c>
      <c r="J226" s="25" t="s">
        <v>2718</v>
      </c>
      <c r="K226" s="25" t="s">
        <v>7781</v>
      </c>
      <c r="L226" s="25" t="s">
        <v>6256</v>
      </c>
      <c r="M226" s="25" t="s">
        <v>7782</v>
      </c>
      <c r="N226" s="25" t="s">
        <v>7260</v>
      </c>
      <c r="O226" s="25" t="s">
        <v>7686</v>
      </c>
      <c r="P226" s="25">
        <v>1913207</v>
      </c>
      <c r="Q226" s="25">
        <v>16744274</v>
      </c>
      <c r="S226" s="25">
        <v>18</v>
      </c>
      <c r="T226" s="379"/>
      <c r="U226" s="25" t="s">
        <v>2104</v>
      </c>
      <c r="V226" s="25" t="s">
        <v>194</v>
      </c>
      <c r="W226" s="25">
        <v>0</v>
      </c>
      <c r="X226" s="25" t="s">
        <v>7783</v>
      </c>
      <c r="Y226" s="25" t="s">
        <v>4903</v>
      </c>
      <c r="AE226" s="25" t="s">
        <v>4904</v>
      </c>
      <c r="AF226" s="25" t="s">
        <v>4714</v>
      </c>
      <c r="AI226" s="25" t="s">
        <v>6955</v>
      </c>
      <c r="AJ226" s="363" t="str">
        <f t="shared" si="3"/>
        <v>311201</v>
      </c>
    </row>
  </sheetData>
  <autoFilter ref="A1:AJ22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7.140625" style="3" customWidth="1"/>
    <col min="8" max="8" width="9" style="3" customWidth="1"/>
    <col min="9" max="9" width="12.140625" style="3" customWidth="1"/>
    <col min="10" max="10" width="8" style="3" customWidth="1"/>
    <col min="11" max="11" width="4.140625" style="3" customWidth="1"/>
    <col min="12" max="12" width="13.140625" style="3" customWidth="1"/>
    <col min="13" max="13" width="6.85546875" style="3" customWidth="1"/>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EXACT(E6,P15)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COUNTIF(Ip.18!E2:E700,"praca")</f>
        <v>49</v>
      </c>
      <c r="J3" s="12" t="s">
        <v>3515</v>
      </c>
      <c r="N3" s="12">
        <v>1</v>
      </c>
      <c r="O3" s="11" t="s">
        <v>170</v>
      </c>
      <c r="P3" s="12">
        <f>SUM(D47)</f>
        <v>76</v>
      </c>
    </row>
    <row r="4" spans="2:24" x14ac:dyDescent="0.25">
      <c r="B4" s="12" t="s">
        <v>3516</v>
      </c>
      <c r="C4" s="17" t="s">
        <v>3459</v>
      </c>
      <c r="D4" s="26">
        <v>466</v>
      </c>
      <c r="E4" s="26">
        <v>477</v>
      </c>
      <c r="F4" s="12"/>
      <c r="H4" s="11" t="s">
        <v>192</v>
      </c>
      <c r="I4" s="12">
        <f>COUNTIF(Ip.18!E2:E700,"pracuj.pl")</f>
        <v>336</v>
      </c>
      <c r="J4" s="12" t="s">
        <v>3516</v>
      </c>
      <c r="N4" s="12">
        <v>2</v>
      </c>
      <c r="O4" s="11" t="s">
        <v>2</v>
      </c>
      <c r="P4" s="12">
        <f>SUM(G33)</f>
        <v>85</v>
      </c>
    </row>
    <row r="5" spans="2:24" x14ac:dyDescent="0.25">
      <c r="B5" s="12" t="s">
        <v>3517</v>
      </c>
      <c r="C5" s="17" t="s">
        <v>3458</v>
      </c>
      <c r="D5" s="26">
        <v>365</v>
      </c>
      <c r="E5" s="26">
        <v>386</v>
      </c>
      <c r="F5" s="12"/>
      <c r="H5" s="11" t="s">
        <v>217</v>
      </c>
      <c r="I5" s="12">
        <f>COUNTIF(Ip.18!E2:E700,"agora")</f>
        <v>56</v>
      </c>
      <c r="J5" s="12" t="s">
        <v>3517</v>
      </c>
      <c r="N5" s="12">
        <v>3</v>
      </c>
      <c r="O5" s="11" t="s">
        <v>3</v>
      </c>
      <c r="P5" s="12">
        <f>SUM(J31)</f>
        <v>11</v>
      </c>
    </row>
    <row r="6" spans="2:24" x14ac:dyDescent="0.25">
      <c r="B6" s="107" t="s">
        <v>3518</v>
      </c>
      <c r="C6" s="106" t="s">
        <v>3457</v>
      </c>
      <c r="D6" s="105">
        <v>461</v>
      </c>
      <c r="E6" s="105">
        <v>444</v>
      </c>
      <c r="F6" s="107" t="s">
        <v>13062</v>
      </c>
      <c r="H6" s="11" t="s">
        <v>3464</v>
      </c>
      <c r="I6" s="12">
        <f>COUNTIF(Ip.18!E2:E700,"gratka")</f>
        <v>20</v>
      </c>
      <c r="J6" s="12" t="s">
        <v>3518</v>
      </c>
      <c r="N6" s="12">
        <v>4</v>
      </c>
      <c r="O6" s="11" t="s">
        <v>3589</v>
      </c>
      <c r="P6" s="12">
        <f>SUM(M24)</f>
        <v>72</v>
      </c>
    </row>
    <row r="7" spans="2:24" x14ac:dyDescent="0.25">
      <c r="B7" s="12" t="s">
        <v>13071</v>
      </c>
      <c r="C7" s="17" t="s">
        <v>173</v>
      </c>
      <c r="D7" s="26">
        <v>720</v>
      </c>
      <c r="E7" s="26">
        <v>704</v>
      </c>
      <c r="F7" s="12"/>
      <c r="H7" s="184"/>
      <c r="I7" s="183">
        <f>SUM(I3:I6)</f>
        <v>461</v>
      </c>
      <c r="J7" s="184"/>
      <c r="N7" s="12">
        <v>5</v>
      </c>
      <c r="O7" s="11" t="s">
        <v>13096</v>
      </c>
      <c r="P7" s="12">
        <f>SUM(P23)</f>
        <v>168</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7" t="s">
        <v>3469</v>
      </c>
      <c r="I9" s="11" t="s">
        <v>3568</v>
      </c>
      <c r="J9" s="12">
        <f>SUM(D47,G33,J31)</f>
        <v>172</v>
      </c>
      <c r="N9" s="12">
        <v>7</v>
      </c>
      <c r="O9" s="11" t="s">
        <v>3590</v>
      </c>
      <c r="P9" s="12">
        <f>SUM(P34)</f>
        <v>0</v>
      </c>
    </row>
    <row r="10" spans="2:24" x14ac:dyDescent="0.25">
      <c r="B10" s="12" t="s">
        <v>13072</v>
      </c>
      <c r="C10" s="17" t="s">
        <v>3486</v>
      </c>
      <c r="D10" s="26">
        <f>SUM(D8:D9)</f>
        <v>463</v>
      </c>
      <c r="E10" s="26">
        <f>SUM(E8:E9)</f>
        <v>532</v>
      </c>
      <c r="F10" s="12"/>
      <c r="H10" s="17" t="s">
        <v>3470</v>
      </c>
      <c r="I10" s="11" t="s">
        <v>3566</v>
      </c>
      <c r="J10" s="12">
        <f>SUM(M24,P23,P28,P34,S21)</f>
        <v>248</v>
      </c>
      <c r="N10" s="12">
        <v>8</v>
      </c>
      <c r="O10" s="11" t="s">
        <v>4</v>
      </c>
      <c r="P10" s="12">
        <f>SUM(S21)</f>
        <v>8</v>
      </c>
    </row>
    <row r="11" spans="2:24" x14ac:dyDescent="0.25">
      <c r="B11" s="12">
        <v>3</v>
      </c>
      <c r="C11" s="17" t="s">
        <v>3481</v>
      </c>
      <c r="D11" s="12">
        <v>180</v>
      </c>
      <c r="E11" s="12">
        <v>231</v>
      </c>
      <c r="F11" s="12"/>
      <c r="H11" s="17" t="s">
        <v>3471</v>
      </c>
      <c r="I11" s="11" t="s">
        <v>3567</v>
      </c>
      <c r="J11" s="12">
        <f>SUM(V21,V27)</f>
        <v>14</v>
      </c>
      <c r="N11" s="12">
        <v>9</v>
      </c>
      <c r="O11" s="11" t="s">
        <v>3591</v>
      </c>
      <c r="P11" s="12">
        <f>SUM(V21)</f>
        <v>12</v>
      </c>
    </row>
    <row r="12" spans="2:24" x14ac:dyDescent="0.25">
      <c r="B12" s="12">
        <v>4</v>
      </c>
      <c r="C12" s="17" t="s">
        <v>3482</v>
      </c>
      <c r="D12" s="12">
        <v>361</v>
      </c>
      <c r="E12" s="12">
        <v>378</v>
      </c>
      <c r="F12" s="12"/>
      <c r="H12" s="17" t="s">
        <v>3472</v>
      </c>
      <c r="I12" s="11" t="s">
        <v>6</v>
      </c>
      <c r="J12" s="12">
        <f>SUM(Y20)</f>
        <v>3</v>
      </c>
      <c r="N12" s="12">
        <v>10</v>
      </c>
      <c r="O12" s="11" t="s">
        <v>0</v>
      </c>
      <c r="P12" s="12">
        <f>SUM(V27)</f>
        <v>2</v>
      </c>
    </row>
    <row r="13" spans="2:24" x14ac:dyDescent="0.25">
      <c r="B13" s="12" t="s">
        <v>13073</v>
      </c>
      <c r="C13" s="17" t="s">
        <v>3487</v>
      </c>
      <c r="D13" s="26">
        <f>SUM(D11:D12)</f>
        <v>541</v>
      </c>
      <c r="E13" s="26">
        <f>SUM(E11:E12)</f>
        <v>609</v>
      </c>
      <c r="F13" s="12"/>
      <c r="H13" s="17" t="s">
        <v>3473</v>
      </c>
      <c r="I13" s="11" t="s">
        <v>3574</v>
      </c>
      <c r="J13" s="12">
        <f>SUM(Y30)</f>
        <v>7</v>
      </c>
      <c r="N13" s="12">
        <v>11</v>
      </c>
      <c r="O13" s="11" t="s">
        <v>6</v>
      </c>
      <c r="P13" s="12">
        <f>SUM(Y20)</f>
        <v>3</v>
      </c>
    </row>
    <row r="14" spans="2:24" x14ac:dyDescent="0.25">
      <c r="B14" s="90"/>
      <c r="C14" s="140"/>
      <c r="D14" s="141"/>
      <c r="E14" s="141"/>
      <c r="F14" s="142"/>
      <c r="H14" s="184"/>
      <c r="I14" s="184"/>
      <c r="J14" s="183">
        <f>SUM(J9:J13)</f>
        <v>444</v>
      </c>
      <c r="N14" s="12">
        <v>12</v>
      </c>
      <c r="O14" s="17" t="s">
        <v>3574</v>
      </c>
      <c r="P14" s="12">
        <f>SUM(Y30)</f>
        <v>7</v>
      </c>
    </row>
    <row r="15" spans="2:24" x14ac:dyDescent="0.25">
      <c r="B15" s="18"/>
      <c r="C15" s="89"/>
      <c r="D15" s="135"/>
      <c r="E15" s="135"/>
      <c r="F15" s="20"/>
      <c r="P15" s="2">
        <f>SUM(P3:P14)</f>
        <v>444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46">
        <f>SUMIF(Ip.18!M2:M500,"2141*",Ip.18!F2:F500)</f>
        <v>10</v>
      </c>
      <c r="E18" s="108">
        <v>2113</v>
      </c>
      <c r="F18" s="11" t="s">
        <v>3491</v>
      </c>
      <c r="G18" s="16">
        <f>SUMIF(Ip.18!M2:M500,"2113*",Ip.18!F2:F500)</f>
        <v>2</v>
      </c>
      <c r="H18" s="122">
        <v>2142</v>
      </c>
      <c r="I18" s="11" t="s">
        <v>3494</v>
      </c>
      <c r="J18" s="16">
        <f>SUMIF(Ip.18!M2:M500,"2142*",Ip.18!F2:F500)</f>
        <v>2</v>
      </c>
      <c r="K18" s="123">
        <v>315</v>
      </c>
      <c r="L18" s="11" t="s">
        <v>3532</v>
      </c>
      <c r="M18" s="112">
        <f>SUMIF(Ip.18!M2:M500,"315*",Ip.18!F2:F500)</f>
        <v>2</v>
      </c>
      <c r="N18" s="108">
        <v>2166</v>
      </c>
      <c r="O18" s="11" t="s">
        <v>3510</v>
      </c>
      <c r="P18" s="95">
        <f>SUMIF(Ip.18!M2:M500,"2166*",Ip.18!F2:F500)</f>
        <v>1</v>
      </c>
      <c r="Q18" s="118">
        <v>22</v>
      </c>
      <c r="R18" s="11" t="s">
        <v>3511</v>
      </c>
      <c r="S18" s="96">
        <f>SUMIF(Ip.18!M2:M500,"22*",Ip.18!F2:F500)</f>
        <v>2</v>
      </c>
      <c r="T18" s="118">
        <v>23</v>
      </c>
      <c r="U18" s="11" t="s">
        <v>3512</v>
      </c>
      <c r="V18" s="91">
        <f>SUMIF(Ip.18!M2:M500,"23*",Ip.18!F2:F500)</f>
        <v>1</v>
      </c>
      <c r="W18" s="131">
        <v>7549</v>
      </c>
      <c r="X18" s="11" t="s">
        <v>3561</v>
      </c>
      <c r="Y18" s="97">
        <f>SUMIF(Ip.18!M2:M500,"7549*",Ip.18!F2:F500)</f>
        <v>0</v>
      </c>
    </row>
    <row r="19" spans="2:25" x14ac:dyDescent="0.25">
      <c r="B19" s="108">
        <v>2132</v>
      </c>
      <c r="C19" s="11" t="s">
        <v>3493</v>
      </c>
      <c r="D19" s="146">
        <f>SUMIF(Ip.18!M2:M500,"2132*",Ip.18!F2:F500)</f>
        <v>0</v>
      </c>
      <c r="E19" s="108">
        <v>2145</v>
      </c>
      <c r="F19" s="11" t="s">
        <v>3496</v>
      </c>
      <c r="G19" s="16">
        <f>SUMIF(Ip.18!M2:M500,"2145*",Ip.18!F2:F500)</f>
        <v>8</v>
      </c>
      <c r="H19" s="122">
        <v>2143</v>
      </c>
      <c r="I19" s="11" t="s">
        <v>93</v>
      </c>
      <c r="J19" s="16">
        <f>SUMIF(Ip.18!M2:M500,"2143*",Ip.18!F2:F500)</f>
        <v>0</v>
      </c>
      <c r="K19" s="117">
        <v>42</v>
      </c>
      <c r="L19" s="11" t="s">
        <v>3537</v>
      </c>
      <c r="M19" s="112">
        <f>SUMIF(Ip.18!M2:M500,"42*",Ip.18!F2:F500)</f>
        <v>1</v>
      </c>
      <c r="N19" s="118">
        <v>24</v>
      </c>
      <c r="O19" s="11" t="s">
        <v>3571</v>
      </c>
      <c r="P19" s="95">
        <f>SUMIF(Ip.18!M2:M500,"24*",Ip.18!F2:F500)</f>
        <v>88</v>
      </c>
      <c r="Q19" s="125">
        <v>32</v>
      </c>
      <c r="R19" s="11" t="s">
        <v>3533</v>
      </c>
      <c r="S19" s="96">
        <f>SUMIF(Ip.18!M2:M500,"32*",Ip.18!F2:F500)</f>
        <v>6</v>
      </c>
      <c r="T19" s="118">
        <v>26</v>
      </c>
      <c r="U19" s="11" t="s">
        <v>3572</v>
      </c>
      <c r="V19" s="91">
        <f>SUMIF(Ip.18!M2:M500,"26*",Ip.18!F2:F500)</f>
        <v>11</v>
      </c>
      <c r="W19" s="119">
        <v>9</v>
      </c>
      <c r="X19" s="11" t="s">
        <v>3565</v>
      </c>
      <c r="Y19" s="97">
        <f>SUMIF(Ip.18!M2:M500,"9*",Ip.18!F2:F500)</f>
        <v>3</v>
      </c>
    </row>
    <row r="20" spans="2:25" x14ac:dyDescent="0.25">
      <c r="B20" s="108">
        <v>2146</v>
      </c>
      <c r="C20" s="11" t="s">
        <v>3497</v>
      </c>
      <c r="D20" s="146">
        <f>SUMIF(Ip.18!M2:M500,"2146*",Ip.18!F2:F500)</f>
        <v>2</v>
      </c>
      <c r="E20" s="108">
        <v>2131</v>
      </c>
      <c r="F20" s="11" t="s">
        <v>3492</v>
      </c>
      <c r="G20" s="16">
        <f>SUMIF(Ip.18!M2:M500,"2131*",Ip.18!F2:F500)</f>
        <v>0</v>
      </c>
      <c r="H20" s="122">
        <v>2161</v>
      </c>
      <c r="I20" s="11" t="s">
        <v>3507</v>
      </c>
      <c r="J20" s="16">
        <f>SUMIF(Ip.18!M2:M500,"2161*",Ip.18!F2:F500)</f>
        <v>0</v>
      </c>
      <c r="K20" s="117">
        <v>43</v>
      </c>
      <c r="L20" s="11" t="s">
        <v>3538</v>
      </c>
      <c r="M20" s="112">
        <f>SUMIF(Ip.18!M2:M500,"43*",Ip.18!F2:F500)</f>
        <v>6</v>
      </c>
      <c r="N20" s="125">
        <v>33</v>
      </c>
      <c r="O20" s="11" t="s">
        <v>3534</v>
      </c>
      <c r="P20" s="95">
        <f>SUMIF(Ip.18!M2:M500,"33*",Ip.18!F2:F500)</f>
        <v>71</v>
      </c>
      <c r="Q20" s="127">
        <v>53</v>
      </c>
      <c r="R20" s="11" t="s">
        <v>3542</v>
      </c>
      <c r="S20" s="96">
        <f>SUMIF(Ip.18!M2:M500,"53*",Ip.18!F2:F500)</f>
        <v>0</v>
      </c>
      <c r="T20" s="125">
        <v>34</v>
      </c>
      <c r="U20" s="11" t="s">
        <v>3535</v>
      </c>
      <c r="V20" s="91">
        <f>SUMIF(Ip.18!M2:M500,"34*",Ip.18!F2:F500)</f>
        <v>0</v>
      </c>
      <c r="W20" s="37"/>
      <c r="Y20" s="2">
        <f>SUM(Y18:Y19)</f>
        <v>3</v>
      </c>
    </row>
    <row r="21" spans="2:25" x14ac:dyDescent="0.25">
      <c r="B21" s="121">
        <v>3113</v>
      </c>
      <c r="C21" s="11" t="s">
        <v>3520</v>
      </c>
      <c r="D21" s="146">
        <f>SUMIF(Ip.18!M2:M500,"3113*",Ip.18!F2:F500)</f>
        <v>0</v>
      </c>
      <c r="E21" s="108">
        <v>2144</v>
      </c>
      <c r="F21" s="11" t="s">
        <v>3495</v>
      </c>
      <c r="G21" s="16">
        <f>SUMIF(Ip.18!M2:M500,"2144*",Ip.18!F2:F500)</f>
        <v>12</v>
      </c>
      <c r="H21" s="122">
        <v>2162</v>
      </c>
      <c r="I21" s="11" t="s">
        <v>3508</v>
      </c>
      <c r="J21" s="16">
        <f>SUMIF(Ip.18!M2:M500,"2162*",Ip.18!F2:F500)</f>
        <v>0</v>
      </c>
      <c r="K21" s="128">
        <v>52</v>
      </c>
      <c r="L21" s="11" t="s">
        <v>3541</v>
      </c>
      <c r="M21" s="112">
        <f>SUMIF(Ip.18!M2:M500,"52*",Ip.18!F2:F500)</f>
        <v>44</v>
      </c>
      <c r="N21" s="127">
        <v>51</v>
      </c>
      <c r="O21" s="11" t="s">
        <v>3540</v>
      </c>
      <c r="P21" s="95">
        <f>SUMIF(Ip.18!M2:M500,"51*",Ip.18!F2:F500)</f>
        <v>1</v>
      </c>
      <c r="Q21" s="37"/>
      <c r="S21" s="2">
        <f>SUM(S18:S20)</f>
        <v>8</v>
      </c>
      <c r="V21" s="2">
        <f>SUM(V18:V20)</f>
        <v>12</v>
      </c>
      <c r="W21" s="37"/>
    </row>
    <row r="22" spans="2:25" x14ac:dyDescent="0.25">
      <c r="B22" s="121">
        <v>3114</v>
      </c>
      <c r="C22" s="11" t="s">
        <v>3521</v>
      </c>
      <c r="D22" s="146">
        <f>SUMIF(Ip.18!M2:M500,"3114*",Ip.18!F2:F500)</f>
        <v>1</v>
      </c>
      <c r="E22" s="108">
        <v>2149</v>
      </c>
      <c r="F22" s="11" t="s">
        <v>3498</v>
      </c>
      <c r="G22" s="16">
        <f>SUMIF(Ip.18!M2:M500,"2149*",Ip.18!F2:F500)</f>
        <v>13</v>
      </c>
      <c r="H22" s="108">
        <v>2164</v>
      </c>
      <c r="I22" s="11" t="s">
        <v>3585</v>
      </c>
      <c r="J22" s="16">
        <f>SUMIF(Ip.18!M2:M500,"2164*",Ip.18!F2:F500)</f>
        <v>0</v>
      </c>
      <c r="K22" s="133">
        <v>83</v>
      </c>
      <c r="L22" s="11" t="s">
        <v>3564</v>
      </c>
      <c r="M22" s="112">
        <f>SUMIF(Ip.18!M2:M500,"83*",Ip.18!F2:F500)</f>
        <v>4</v>
      </c>
      <c r="N22" s="120">
        <v>14</v>
      </c>
      <c r="O22" s="11" t="s">
        <v>3578</v>
      </c>
      <c r="P22" s="95">
        <f>SUMIF(Ip.18!M2:M500,"14*",Ip.18!F2:F500)</f>
        <v>7</v>
      </c>
      <c r="Q22" s="37"/>
      <c r="T22" s="1" t="s">
        <v>0</v>
      </c>
      <c r="U22" s="94"/>
      <c r="V22" s="20"/>
      <c r="W22" s="37" t="s">
        <v>3574</v>
      </c>
    </row>
    <row r="23" spans="2:25" x14ac:dyDescent="0.25">
      <c r="B23" s="121">
        <v>3115</v>
      </c>
      <c r="C23" s="11" t="s">
        <v>3522</v>
      </c>
      <c r="D23" s="146">
        <f>SUMIF(Ip.18!M2:M500,"3115*",Ip.18!F2:F500)</f>
        <v>5</v>
      </c>
      <c r="E23" s="109">
        <v>2149</v>
      </c>
      <c r="F23" s="11" t="s">
        <v>3499</v>
      </c>
      <c r="G23" s="104" t="s">
        <v>3573</v>
      </c>
      <c r="H23" s="122">
        <v>2165</v>
      </c>
      <c r="I23" s="11" t="s">
        <v>3509</v>
      </c>
      <c r="J23" s="16">
        <f>SUMIF(Ip.18!M2:M500,"2165*",Ip.18!F2:F500)</f>
        <v>0</v>
      </c>
      <c r="K23" s="120">
        <v>12</v>
      </c>
      <c r="L23" s="11" t="s">
        <v>3576</v>
      </c>
      <c r="M23" s="112">
        <f>SUMIF(Ip.18!M2:M500,"12*",Ip.18!F2:F500)</f>
        <v>15</v>
      </c>
      <c r="P23" s="18">
        <f>SUM(P18:P22)</f>
        <v>168</v>
      </c>
      <c r="Q23" s="37"/>
      <c r="T23" s="98"/>
      <c r="U23" s="99"/>
      <c r="V23" s="92"/>
      <c r="W23" s="110"/>
      <c r="X23" s="111"/>
    </row>
    <row r="24" spans="2:25" x14ac:dyDescent="0.25">
      <c r="B24" s="121">
        <v>3116</v>
      </c>
      <c r="C24" s="11" t="s">
        <v>3523</v>
      </c>
      <c r="D24" s="146">
        <f>SUMIF(Ip.18!M2:M500,"3116*",Ip.18!F2:F500)</f>
        <v>0</v>
      </c>
      <c r="E24" s="109">
        <v>2149</v>
      </c>
      <c r="F24" s="11" t="s">
        <v>3500</v>
      </c>
      <c r="G24" s="104" t="s">
        <v>3573</v>
      </c>
      <c r="H24" s="126">
        <v>3111</v>
      </c>
      <c r="I24" s="11" t="s">
        <v>3587</v>
      </c>
      <c r="J24" s="16">
        <f>SUMIF(Ip.18!M2:M500,"3111*",Ip.18!F2:F500)</f>
        <v>0</v>
      </c>
      <c r="K24" s="89"/>
      <c r="L24" s="20"/>
      <c r="M24" s="90">
        <f>SUM(M18:M23)</f>
        <v>72</v>
      </c>
      <c r="Q24" s="37"/>
      <c r="T24" s="116">
        <v>41</v>
      </c>
      <c r="U24" s="11" t="s">
        <v>3592</v>
      </c>
      <c r="V24" s="91">
        <f>SUMIF(Ip.18!M2:M500,"41*",Ip.18!F2:F500)</f>
        <v>1</v>
      </c>
      <c r="W24" s="120">
        <v>11</v>
      </c>
      <c r="X24" s="11" t="s">
        <v>3575</v>
      </c>
      <c r="Y24" s="115">
        <f>SUMIF(Ip.18!M2:M500,"11*",Ip.18!F2:F500)</f>
        <v>7</v>
      </c>
    </row>
    <row r="25" spans="2:25" x14ac:dyDescent="0.25">
      <c r="B25" s="121">
        <v>3117</v>
      </c>
      <c r="C25" s="11" t="s">
        <v>3524</v>
      </c>
      <c r="D25" s="146">
        <f>SUMIF(Ip.18!M2:M500,"3117*",Ip.18!F2:F500)</f>
        <v>0</v>
      </c>
      <c r="E25" s="109">
        <v>2149</v>
      </c>
      <c r="F25" s="11" t="s">
        <v>3501</v>
      </c>
      <c r="G25" s="104" t="s">
        <v>3573</v>
      </c>
      <c r="H25" s="126">
        <v>3112</v>
      </c>
      <c r="I25" s="11" t="s">
        <v>3519</v>
      </c>
      <c r="J25" s="16">
        <f>SUMIF(Ip.18!M2:M500,"3112*",Ip.18!F2:F500)</f>
        <v>5</v>
      </c>
      <c r="K25" s="89"/>
      <c r="L25" s="20"/>
      <c r="M25" s="20"/>
      <c r="N25" s="100" t="s">
        <v>134</v>
      </c>
      <c r="O25" s="93"/>
      <c r="Q25" s="37"/>
      <c r="T25" s="116">
        <v>44</v>
      </c>
      <c r="U25" s="11" t="s">
        <v>3539</v>
      </c>
      <c r="V25" s="91">
        <f>SUMIF(Ip.18!M2:M500,"44*",Ip.18!F2:F500)</f>
        <v>1</v>
      </c>
      <c r="W25" s="108">
        <v>2111</v>
      </c>
      <c r="X25" s="11" t="s">
        <v>3580</v>
      </c>
      <c r="Y25" s="115">
        <f>SUMIF(Ip.18!M2:M500,"2111*",Ip.18!F2:F500)</f>
        <v>0</v>
      </c>
    </row>
    <row r="26" spans="2:25" x14ac:dyDescent="0.25">
      <c r="B26" s="121">
        <v>3119</v>
      </c>
      <c r="C26" s="11" t="s">
        <v>3526</v>
      </c>
      <c r="D26" s="146">
        <f>SUMIF(Ip.18!M2:M500,"3119*",Ip.18!F2:F500)</f>
        <v>9</v>
      </c>
      <c r="E26" s="109">
        <v>2149</v>
      </c>
      <c r="F26" s="11" t="s">
        <v>3502</v>
      </c>
      <c r="G26" s="104" t="s">
        <v>3573</v>
      </c>
      <c r="H26" s="126">
        <v>3118</v>
      </c>
      <c r="I26" s="11" t="s">
        <v>3525</v>
      </c>
      <c r="J26" s="16">
        <f>SUMIF(Ip.18!M2:M500,"3118*",Ip.18!F2:F500)</f>
        <v>1</v>
      </c>
      <c r="K26" s="89"/>
      <c r="L26" s="20"/>
      <c r="M26" s="20"/>
      <c r="N26" s="6"/>
      <c r="O26" s="7"/>
      <c r="Q26" s="37"/>
      <c r="T26" s="131">
        <v>7515</v>
      </c>
      <c r="U26" s="11" t="s">
        <v>3552</v>
      </c>
      <c r="V26" s="91">
        <f>SUMIF(Ip.18!M2:M500,"7515*",Ip.18!F2:F500)</f>
        <v>0</v>
      </c>
      <c r="W26" s="108">
        <v>2112</v>
      </c>
      <c r="X26" s="11" t="s">
        <v>3581</v>
      </c>
      <c r="Y26" s="115">
        <f>SUMIF(Ip.18!M2:M500,"2112*",Ip.18!F2:F500)</f>
        <v>0</v>
      </c>
    </row>
    <row r="27" spans="2:25" x14ac:dyDescent="0.25">
      <c r="B27" s="121">
        <v>3121</v>
      </c>
      <c r="C27" s="11" t="s">
        <v>3527</v>
      </c>
      <c r="D27" s="146">
        <f>SUMIF(Ip.18!M2:M500,"3121*",Ip.18!F2:F500)</f>
        <v>0</v>
      </c>
      <c r="E27" s="109">
        <v>2149</v>
      </c>
      <c r="F27" s="11" t="s">
        <v>3503</v>
      </c>
      <c r="G27" s="104" t="s">
        <v>3573</v>
      </c>
      <c r="H27" s="126">
        <v>3123</v>
      </c>
      <c r="I27" s="11" t="s">
        <v>3529</v>
      </c>
      <c r="J27" s="16">
        <f>SUMIF(Ip.18!M2:M500,"3123*",Ip.18!F2:F500)</f>
        <v>0</v>
      </c>
      <c r="K27" s="89"/>
      <c r="L27" s="20"/>
      <c r="N27" s="131">
        <v>7512</v>
      </c>
      <c r="O27" s="11" t="s">
        <v>3549</v>
      </c>
      <c r="P27" s="95">
        <f>SUMIF(Ip.18!M2:M500,"7512*",Ip.18!F2:F500)</f>
        <v>0</v>
      </c>
      <c r="Q27" s="37"/>
      <c r="T27" s="37"/>
      <c r="V27" s="2">
        <f>SUM(V24:V26)</f>
        <v>2</v>
      </c>
      <c r="W27" s="108">
        <v>2114</v>
      </c>
      <c r="X27" s="11" t="s">
        <v>3582</v>
      </c>
      <c r="Y27" s="115">
        <f>SUMIF(Ip.18!M2:M500,"2114*",Ip.18!F2:F500)</f>
        <v>0</v>
      </c>
    </row>
    <row r="28" spans="2:25" x14ac:dyDescent="0.25">
      <c r="B28" s="121">
        <v>3122</v>
      </c>
      <c r="C28" s="11" t="s">
        <v>3528</v>
      </c>
      <c r="D28" s="146">
        <f>SUMIF(Ip.18!M2:M500,"3122*",Ip.18!F2:F500)</f>
        <v>0</v>
      </c>
      <c r="E28" s="108">
        <v>2151</v>
      </c>
      <c r="F28" s="11" t="s">
        <v>3504</v>
      </c>
      <c r="G28" s="16">
        <f>SUMIF(Ip.18!M2:M500,"2151*",Ip.18!F2:F500)</f>
        <v>2</v>
      </c>
      <c r="H28" s="129">
        <v>71</v>
      </c>
      <c r="I28" s="11" t="s">
        <v>3544</v>
      </c>
      <c r="J28" s="16">
        <f>SUMIF(Ip.18!M2:M500,"71*",Ip.18!F2:F500)</f>
        <v>3</v>
      </c>
      <c r="K28" s="89"/>
      <c r="L28" s="20"/>
      <c r="M28" s="20"/>
      <c r="P28" s="18">
        <f>SUM(P27)</f>
        <v>0</v>
      </c>
      <c r="Q28" s="37"/>
      <c r="T28" s="37"/>
      <c r="W28" s="108">
        <v>2120</v>
      </c>
      <c r="X28" s="11" t="s">
        <v>3583</v>
      </c>
      <c r="Y28" s="115">
        <f>SUMIF(Ip.18!M2:M500,"2120*",Ip.18!F2:F500)</f>
        <v>0</v>
      </c>
    </row>
    <row r="29" spans="2:25" x14ac:dyDescent="0.25">
      <c r="B29" s="124">
        <v>313</v>
      </c>
      <c r="C29" s="11" t="s">
        <v>3530</v>
      </c>
      <c r="D29" s="146">
        <f>SUMIF(Ip.18!M2:M500,"313*",Ip.18!F2:F500)</f>
        <v>7</v>
      </c>
      <c r="E29" s="108">
        <v>2152</v>
      </c>
      <c r="F29" s="11" t="s">
        <v>3505</v>
      </c>
      <c r="G29" s="16">
        <f>SUMIF(Ip.18!M2:M500,"2152*",Ip.18!F2:F500)</f>
        <v>2</v>
      </c>
      <c r="H29" s="132">
        <v>7521</v>
      </c>
      <c r="I29" s="11" t="s">
        <v>3553</v>
      </c>
      <c r="J29" s="16">
        <f>SUMIF(Ip.18!M2:M500,"7521*",Ip.18!F2:F500)</f>
        <v>0</v>
      </c>
      <c r="K29" s="89"/>
      <c r="L29" s="20"/>
      <c r="M29" s="20"/>
      <c r="N29" s="94" t="s">
        <v>154</v>
      </c>
      <c r="O29" s="94"/>
      <c r="P29" s="18"/>
      <c r="T29" s="37"/>
      <c r="W29" s="119">
        <v>0</v>
      </c>
      <c r="X29" s="11" t="s">
        <v>3586</v>
      </c>
      <c r="Y29" s="115">
        <f>SUMIF(Ip.18!M2:M500,"0*",Ip.18!F2:F500)</f>
        <v>0</v>
      </c>
    </row>
    <row r="30" spans="2:25" x14ac:dyDescent="0.25">
      <c r="B30" s="124">
        <v>314</v>
      </c>
      <c r="C30" s="11" t="s">
        <v>3531</v>
      </c>
      <c r="D30" s="146">
        <f>SUMIF(Ip.18!M2:M500,"314*",Ip.18!F2:F500)</f>
        <v>0</v>
      </c>
      <c r="E30" s="108">
        <v>2153</v>
      </c>
      <c r="F30" s="11" t="s">
        <v>3506</v>
      </c>
      <c r="G30" s="16">
        <f>SUMIF(Ip.18!M2:M500,"2153*",Ip.18!F2:F500)</f>
        <v>3</v>
      </c>
      <c r="H30" s="132">
        <v>7522</v>
      </c>
      <c r="I30" s="11" t="s">
        <v>3554</v>
      </c>
      <c r="J30" s="16">
        <f>SUMIF(Ip.18!M2:M500,"7522*",Ip.18!F2:F500)</f>
        <v>0</v>
      </c>
      <c r="K30" s="89"/>
      <c r="L30" s="20"/>
      <c r="M30" s="20"/>
      <c r="N30" s="6"/>
      <c r="O30" s="7"/>
      <c r="P30" s="92"/>
      <c r="Y30" s="2">
        <f>SUM(Y24:Y29)</f>
        <v>7</v>
      </c>
    </row>
    <row r="31" spans="2:25" x14ac:dyDescent="0.25">
      <c r="B31" s="125">
        <v>35</v>
      </c>
      <c r="C31" s="11" t="s">
        <v>3536</v>
      </c>
      <c r="D31" s="146">
        <f>SUMIF(Ip.18!M2:M500,"35*",Ip.18!F2:F500)</f>
        <v>5</v>
      </c>
      <c r="E31" s="118">
        <v>25</v>
      </c>
      <c r="F31" s="11" t="s">
        <v>3513</v>
      </c>
      <c r="G31" s="16">
        <f>SUMIF(Ip.18!M2:M500,"25*",Ip.18!F2:F500)</f>
        <v>37</v>
      </c>
      <c r="J31" s="18">
        <f>SUM(J18:J30)</f>
        <v>11</v>
      </c>
      <c r="K31" s="89"/>
      <c r="L31" s="20"/>
      <c r="M31" s="20"/>
      <c r="N31" s="131">
        <v>753</v>
      </c>
      <c r="O31" s="11" t="s">
        <v>3556</v>
      </c>
      <c r="P31" s="95">
        <f>SUMIF(Ip.18!M2:M500,"753*",Ip.18!F2:F500)</f>
        <v>0</v>
      </c>
    </row>
    <row r="32" spans="2:25" x14ac:dyDescent="0.25">
      <c r="B32" s="119">
        <v>6</v>
      </c>
      <c r="C32" s="11" t="s">
        <v>3543</v>
      </c>
      <c r="D32" s="146">
        <f>SUMIF(Ip.18!M2:M500,"6*",Ip.18!F2:F500)</f>
        <v>1</v>
      </c>
      <c r="E32" s="130">
        <v>74</v>
      </c>
      <c r="F32" s="11" t="s">
        <v>3547</v>
      </c>
      <c r="G32" s="16">
        <f>SUMIF(Ip.18!M2:M500,"74*",Ip.18!F2:F500)</f>
        <v>6</v>
      </c>
      <c r="H32" s="89"/>
      <c r="I32" s="20"/>
      <c r="K32" s="20"/>
      <c r="L32" s="20"/>
      <c r="M32" s="20"/>
      <c r="N32" s="131">
        <v>7541</v>
      </c>
      <c r="O32" s="11" t="s">
        <v>3557</v>
      </c>
      <c r="P32" s="95">
        <f>SUMIF(Ip.18!M2:M500,"7541*",Ip.18!F2:F500)</f>
        <v>0</v>
      </c>
    </row>
    <row r="33" spans="2:20" x14ac:dyDescent="0.25">
      <c r="B33" s="130">
        <v>72</v>
      </c>
      <c r="C33" s="11" t="s">
        <v>3545</v>
      </c>
      <c r="D33" s="146">
        <f>SUMIF(Ip.18!M2:M500,"72*",Ip.18!F2:F500)</f>
        <v>9</v>
      </c>
      <c r="G33" s="2">
        <f>SUM(G18:G32)</f>
        <v>85</v>
      </c>
      <c r="N33" s="127">
        <v>54</v>
      </c>
      <c r="O33" s="11" t="s">
        <v>3588</v>
      </c>
      <c r="P33" s="95">
        <f>SUMIF(Ip.18!M2:M500,"54*",Ip.18!F2:F500)</f>
        <v>0</v>
      </c>
    </row>
    <row r="34" spans="2:20" x14ac:dyDescent="0.25">
      <c r="B34" s="130">
        <v>73</v>
      </c>
      <c r="C34" s="11" t="s">
        <v>3546</v>
      </c>
      <c r="D34" s="146">
        <f>SUMIF(Ip.18!M2:M500,"73*",Ip.18!F2:F500)</f>
        <v>2</v>
      </c>
      <c r="P34" s="2">
        <f>SUM(P31:P33)</f>
        <v>0</v>
      </c>
    </row>
    <row r="35" spans="2:20" x14ac:dyDescent="0.25">
      <c r="B35" s="131">
        <v>7511</v>
      </c>
      <c r="C35" s="11" t="s">
        <v>3548</v>
      </c>
      <c r="D35" s="146">
        <f>SUMIF(Ip.18!M2:M500,"7511*",Ip.18!F2:F500)</f>
        <v>0</v>
      </c>
      <c r="T35" s="37"/>
    </row>
    <row r="36" spans="2:20" x14ac:dyDescent="0.25">
      <c r="B36" s="131">
        <v>7513</v>
      </c>
      <c r="C36" s="11" t="s">
        <v>3550</v>
      </c>
      <c r="D36" s="146">
        <f>SUMIF(Ip.18!M2:M500,"7513*",Ip.18!F2:F500)</f>
        <v>0</v>
      </c>
      <c r="T36" s="37"/>
    </row>
    <row r="37" spans="2:20" x14ac:dyDescent="0.25">
      <c r="B37" s="131">
        <v>7514</v>
      </c>
      <c r="C37" s="11" t="s">
        <v>3551</v>
      </c>
      <c r="D37" s="146">
        <f>SUMIF(Ip.18!M2:M500,"7514*",Ip.18!F2:F500)</f>
        <v>0</v>
      </c>
      <c r="T37" s="37"/>
    </row>
    <row r="38" spans="2:20" x14ac:dyDescent="0.25">
      <c r="B38" s="131">
        <v>7523</v>
      </c>
      <c r="C38" s="11" t="s">
        <v>3555</v>
      </c>
      <c r="D38" s="146">
        <f>SUMIF(Ip.18!M2:M500,"7523*",Ip.18!F2:F500)</f>
        <v>0</v>
      </c>
      <c r="T38" s="37"/>
    </row>
    <row r="39" spans="2:20" x14ac:dyDescent="0.25">
      <c r="B39" s="131">
        <v>7542</v>
      </c>
      <c r="C39" s="11" t="s">
        <v>3558</v>
      </c>
      <c r="D39" s="146">
        <f>SUMIF(Ip.18!M2:M500,"7542*",Ip.18!F2:F500)</f>
        <v>0</v>
      </c>
      <c r="T39" s="37"/>
    </row>
    <row r="40" spans="2:20" x14ac:dyDescent="0.25">
      <c r="B40" s="131">
        <v>7543</v>
      </c>
      <c r="C40" s="11" t="s">
        <v>3559</v>
      </c>
      <c r="D40" s="146">
        <f>SUMIF(Ip.18!M2:M500,"7543*",Ip.18!F2:F500)</f>
        <v>0</v>
      </c>
    </row>
    <row r="41" spans="2:20" x14ac:dyDescent="0.25">
      <c r="B41" s="131">
        <v>7544</v>
      </c>
      <c r="C41" s="11" t="s">
        <v>3560</v>
      </c>
      <c r="D41" s="146">
        <f>SUMIF(Ip.18!M2:M500,"7544*",Ip.18!F2:F500)</f>
        <v>0</v>
      </c>
    </row>
    <row r="42" spans="2:20" x14ac:dyDescent="0.25">
      <c r="B42" s="134">
        <v>81</v>
      </c>
      <c r="C42" s="11" t="s">
        <v>3562</v>
      </c>
      <c r="D42" s="146">
        <f>SUMIF(Ip.18!M2:M500,"81*",Ip.18!F2:F500)</f>
        <v>6</v>
      </c>
    </row>
    <row r="43" spans="2:20" x14ac:dyDescent="0.25">
      <c r="B43" s="134">
        <v>82</v>
      </c>
      <c r="C43" s="11" t="s">
        <v>3563</v>
      </c>
      <c r="D43" s="146">
        <f>SUMIF(Ip.18!M2:M500,"82*",Ip.18!F2:F500)</f>
        <v>1</v>
      </c>
    </row>
    <row r="44" spans="2:20" x14ac:dyDescent="0.25">
      <c r="B44" s="120">
        <v>13</v>
      </c>
      <c r="C44" s="11" t="s">
        <v>3577</v>
      </c>
      <c r="D44" s="146">
        <f>SUMIF(Ip.18!M2:M500,"13*",Ip.18!F2:F500)</f>
        <v>16</v>
      </c>
    </row>
    <row r="45" spans="2:20" x14ac:dyDescent="0.25">
      <c r="B45" s="108">
        <v>2163</v>
      </c>
      <c r="C45" s="11" t="s">
        <v>3579</v>
      </c>
      <c r="D45" s="146">
        <f>SUMIF(Ip.18!M2:M500,"2163*",Ip.18!F2:F500)</f>
        <v>2</v>
      </c>
    </row>
    <row r="46" spans="2:20" x14ac:dyDescent="0.25">
      <c r="B46" s="108">
        <v>2133</v>
      </c>
      <c r="C46" s="11" t="s">
        <v>3584</v>
      </c>
      <c r="D46" s="146">
        <f>SUMIF(Ip.18!M2:M500,"2133*",Ip.18!F2:F500)</f>
        <v>0</v>
      </c>
    </row>
    <row r="47" spans="2:20" x14ac:dyDescent="0.25">
      <c r="B47" s="37"/>
      <c r="D47" s="2">
        <f>SUM(D18:D46)</f>
        <v>76</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158"/>
  <sheetViews>
    <sheetView zoomScale="80" zoomScaleNormal="80" workbookViewId="0"/>
  </sheetViews>
  <sheetFormatPr defaultRowHeight="15" x14ac:dyDescent="0.25"/>
  <cols>
    <col min="36" max="36" width="9.140625" style="28"/>
  </cols>
  <sheetData>
    <row r="1" spans="1:37" x14ac:dyDescent="0.25">
      <c r="A1" s="402" t="s">
        <v>176</v>
      </c>
      <c r="B1" s="402" t="s">
        <v>177</v>
      </c>
      <c r="C1" s="402" t="s">
        <v>178</v>
      </c>
      <c r="D1" s="402" t="s">
        <v>179</v>
      </c>
      <c r="E1" s="402" t="s">
        <v>900</v>
      </c>
      <c r="F1" s="402" t="s">
        <v>181</v>
      </c>
      <c r="G1" s="402" t="s">
        <v>182</v>
      </c>
      <c r="H1" s="402" t="s">
        <v>183</v>
      </c>
      <c r="I1" s="402" t="s">
        <v>184</v>
      </c>
      <c r="J1" s="402" t="s">
        <v>185</v>
      </c>
      <c r="K1" s="402" t="s">
        <v>186</v>
      </c>
      <c r="L1" s="402" t="s">
        <v>4700</v>
      </c>
      <c r="M1" s="402" t="s">
        <v>6391</v>
      </c>
      <c r="N1" s="402" t="s">
        <v>6930</v>
      </c>
      <c r="O1" s="402" t="s">
        <v>6931</v>
      </c>
      <c r="P1" s="402" t="s">
        <v>4701</v>
      </c>
      <c r="Q1" s="402" t="s">
        <v>6932</v>
      </c>
      <c r="R1" s="402" t="s">
        <v>6933</v>
      </c>
      <c r="S1" s="402" t="s">
        <v>1726</v>
      </c>
      <c r="T1" s="402" t="s">
        <v>4702</v>
      </c>
      <c r="U1" s="402" t="s">
        <v>187</v>
      </c>
      <c r="V1" s="402" t="s">
        <v>6934</v>
      </c>
      <c r="W1" s="402" t="s">
        <v>4703</v>
      </c>
      <c r="X1" s="402" t="s">
        <v>6935</v>
      </c>
      <c r="Y1" s="402" t="s">
        <v>4704</v>
      </c>
      <c r="Z1" s="402" t="s">
        <v>6936</v>
      </c>
      <c r="AA1" s="402" t="s">
        <v>6937</v>
      </c>
      <c r="AB1" s="402" t="s">
        <v>6938</v>
      </c>
      <c r="AC1" s="402" t="s">
        <v>6939</v>
      </c>
      <c r="AD1" s="402" t="s">
        <v>6940</v>
      </c>
      <c r="AE1" s="402" t="s">
        <v>4705</v>
      </c>
      <c r="AF1" s="402" t="s">
        <v>4706</v>
      </c>
      <c r="AG1" s="402" t="s">
        <v>6941</v>
      </c>
      <c r="AH1" s="402" t="s">
        <v>6942</v>
      </c>
      <c r="AI1" s="402" t="s">
        <v>6943</v>
      </c>
      <c r="AJ1" s="336"/>
    </row>
    <row r="2" spans="1:37" x14ac:dyDescent="0.25">
      <c r="A2" t="s">
        <v>4183</v>
      </c>
      <c r="B2" t="s">
        <v>7801</v>
      </c>
      <c r="C2" t="s">
        <v>6744</v>
      </c>
      <c r="D2" t="s">
        <v>7802</v>
      </c>
      <c r="E2" t="s">
        <v>233</v>
      </c>
      <c r="F2">
        <v>1</v>
      </c>
      <c r="G2" t="s">
        <v>193</v>
      </c>
      <c r="H2" t="s">
        <v>194</v>
      </c>
      <c r="I2" t="s">
        <v>7803</v>
      </c>
      <c r="J2" t="s">
        <v>4186</v>
      </c>
      <c r="K2">
        <v>18</v>
      </c>
      <c r="L2" t="s">
        <v>7804</v>
      </c>
      <c r="M2" t="s">
        <v>6288</v>
      </c>
      <c r="N2" t="s">
        <v>7805</v>
      </c>
      <c r="O2" t="s">
        <v>7806</v>
      </c>
      <c r="P2" t="s">
        <v>7807</v>
      </c>
      <c r="Q2">
        <v>1959632</v>
      </c>
      <c r="R2">
        <v>18801089</v>
      </c>
      <c r="T2">
        <v>1861.1863000000001</v>
      </c>
      <c r="U2" t="s">
        <v>6746</v>
      </c>
      <c r="V2" t="s">
        <v>194</v>
      </c>
      <c r="W2">
        <v>2</v>
      </c>
      <c r="Y2" t="s">
        <v>7808</v>
      </c>
      <c r="AF2" t="s">
        <v>4714</v>
      </c>
      <c r="AG2" t="s">
        <v>7801</v>
      </c>
      <c r="AI2" t="s">
        <v>6955</v>
      </c>
      <c r="AJ2" s="28" t="str">
        <f>MID(U2,8,6)</f>
        <v>422603</v>
      </c>
      <c r="AK2" s="29">
        <f>ROWS(AI2:AI157)</f>
        <v>156</v>
      </c>
    </row>
    <row r="3" spans="1:37" x14ac:dyDescent="0.25">
      <c r="A3" t="s">
        <v>5634</v>
      </c>
      <c r="B3" t="s">
        <v>4242</v>
      </c>
      <c r="C3" t="s">
        <v>17</v>
      </c>
      <c r="D3" t="s">
        <v>7802</v>
      </c>
      <c r="E3" t="s">
        <v>233</v>
      </c>
      <c r="F3">
        <v>1</v>
      </c>
      <c r="G3" t="s">
        <v>193</v>
      </c>
      <c r="H3" t="s">
        <v>194</v>
      </c>
      <c r="I3" t="s">
        <v>7809</v>
      </c>
      <c r="J3" t="s">
        <v>196</v>
      </c>
      <c r="K3">
        <v>18</v>
      </c>
      <c r="L3" t="s">
        <v>7810</v>
      </c>
      <c r="M3" t="s">
        <v>6249</v>
      </c>
      <c r="N3" t="s">
        <v>7805</v>
      </c>
      <c r="O3" t="s">
        <v>7811</v>
      </c>
      <c r="P3" t="s">
        <v>7812</v>
      </c>
      <c r="Q3">
        <v>1959875</v>
      </c>
      <c r="R3">
        <v>18823169</v>
      </c>
      <c r="U3" t="s">
        <v>624</v>
      </c>
      <c r="V3" t="s">
        <v>193</v>
      </c>
      <c r="W3">
        <v>25</v>
      </c>
      <c r="Y3" t="s">
        <v>7813</v>
      </c>
      <c r="AE3" t="s">
        <v>7814</v>
      </c>
      <c r="AF3" t="s">
        <v>4714</v>
      </c>
      <c r="AG3" t="s">
        <v>4242</v>
      </c>
      <c r="AI3" t="s">
        <v>6955</v>
      </c>
      <c r="AJ3" s="28" t="str">
        <f>MID(U3,8,6)</f>
        <v>332203</v>
      </c>
    </row>
    <row r="4" spans="1:37" x14ac:dyDescent="0.25">
      <c r="A4" t="s">
        <v>910</v>
      </c>
      <c r="B4" t="s">
        <v>467</v>
      </c>
      <c r="C4" t="s">
        <v>468</v>
      </c>
      <c r="D4" t="s">
        <v>7802</v>
      </c>
      <c r="E4" t="s">
        <v>233</v>
      </c>
      <c r="F4">
        <v>1</v>
      </c>
      <c r="G4" t="s">
        <v>193</v>
      </c>
      <c r="H4" t="s">
        <v>194</v>
      </c>
      <c r="I4" t="s">
        <v>7809</v>
      </c>
      <c r="J4" t="s">
        <v>5967</v>
      </c>
      <c r="K4">
        <v>18</v>
      </c>
      <c r="L4" t="s">
        <v>7815</v>
      </c>
      <c r="M4" t="s">
        <v>6288</v>
      </c>
      <c r="N4" t="s">
        <v>7805</v>
      </c>
      <c r="O4" t="s">
        <v>7811</v>
      </c>
      <c r="P4" t="s">
        <v>7812</v>
      </c>
      <c r="Q4">
        <v>1959924</v>
      </c>
      <c r="R4">
        <v>18823220</v>
      </c>
      <c r="U4" t="s">
        <v>469</v>
      </c>
      <c r="V4" t="s">
        <v>193</v>
      </c>
      <c r="W4">
        <v>25</v>
      </c>
      <c r="X4" t="s">
        <v>7816</v>
      </c>
      <c r="Y4" t="s">
        <v>7817</v>
      </c>
      <c r="AE4" t="s">
        <v>7818</v>
      </c>
      <c r="AF4" t="s">
        <v>4714</v>
      </c>
      <c r="AG4" t="s">
        <v>467</v>
      </c>
      <c r="AI4" t="s">
        <v>6955</v>
      </c>
      <c r="AJ4" s="28" t="str">
        <f>MID(U4,8,6)</f>
        <v>243303</v>
      </c>
    </row>
    <row r="5" spans="1:37" x14ac:dyDescent="0.25">
      <c r="A5" t="s">
        <v>5372</v>
      </c>
      <c r="B5" t="s">
        <v>7819</v>
      </c>
      <c r="C5" t="s">
        <v>19</v>
      </c>
      <c r="D5" t="s">
        <v>7802</v>
      </c>
      <c r="E5" t="s">
        <v>233</v>
      </c>
      <c r="F5">
        <v>1</v>
      </c>
      <c r="G5" t="s">
        <v>193</v>
      </c>
      <c r="H5" t="s">
        <v>194</v>
      </c>
      <c r="I5" t="s">
        <v>7809</v>
      </c>
      <c r="J5" t="s">
        <v>210</v>
      </c>
      <c r="K5">
        <v>18</v>
      </c>
      <c r="L5" t="s">
        <v>7820</v>
      </c>
      <c r="M5" t="s">
        <v>6245</v>
      </c>
      <c r="N5" t="s">
        <v>7805</v>
      </c>
      <c r="O5" t="s">
        <v>7811</v>
      </c>
      <c r="P5" t="s">
        <v>7812</v>
      </c>
      <c r="Q5">
        <v>1959748</v>
      </c>
      <c r="R5">
        <v>18823032</v>
      </c>
      <c r="T5">
        <v>1863</v>
      </c>
      <c r="U5" t="s">
        <v>337</v>
      </c>
      <c r="V5" t="s">
        <v>194</v>
      </c>
      <c r="W5">
        <v>1</v>
      </c>
      <c r="Y5" t="s">
        <v>7821</v>
      </c>
      <c r="AE5" t="s">
        <v>7822</v>
      </c>
      <c r="AF5" t="s">
        <v>4714</v>
      </c>
      <c r="AG5" t="s">
        <v>7819</v>
      </c>
      <c r="AI5" t="s">
        <v>6955</v>
      </c>
      <c r="AJ5" s="28" t="str">
        <f>MID(U5,8,6)</f>
        <v>214903</v>
      </c>
    </row>
    <row r="6" spans="1:37" x14ac:dyDescent="0.25">
      <c r="A6" t="s">
        <v>6991</v>
      </c>
      <c r="B6" t="s">
        <v>1876</v>
      </c>
      <c r="C6" t="s">
        <v>1876</v>
      </c>
      <c r="D6" t="s">
        <v>7802</v>
      </c>
      <c r="E6" t="s">
        <v>233</v>
      </c>
      <c r="F6">
        <v>1</v>
      </c>
      <c r="G6" t="s">
        <v>193</v>
      </c>
      <c r="H6" t="s">
        <v>194</v>
      </c>
      <c r="I6" t="s">
        <v>7809</v>
      </c>
      <c r="J6" t="s">
        <v>1059</v>
      </c>
      <c r="K6">
        <v>18</v>
      </c>
      <c r="L6" t="s">
        <v>7823</v>
      </c>
      <c r="M6" t="s">
        <v>6374</v>
      </c>
      <c r="N6" t="s">
        <v>7805</v>
      </c>
      <c r="O6" t="s">
        <v>7811</v>
      </c>
      <c r="P6" t="s">
        <v>7824</v>
      </c>
      <c r="Q6">
        <v>1959738</v>
      </c>
      <c r="R6">
        <v>18823022</v>
      </c>
      <c r="T6">
        <v>1809</v>
      </c>
      <c r="U6" t="s">
        <v>1877</v>
      </c>
      <c r="V6" t="s">
        <v>194</v>
      </c>
      <c r="W6">
        <v>1</v>
      </c>
      <c r="Y6" t="s">
        <v>7825</v>
      </c>
      <c r="AE6" t="s">
        <v>7826</v>
      </c>
      <c r="AF6" t="s">
        <v>4714</v>
      </c>
      <c r="AG6" t="s">
        <v>1876</v>
      </c>
      <c r="AI6" t="s">
        <v>6955</v>
      </c>
      <c r="AJ6" s="28" t="str">
        <f t="shared" ref="AJ6:AJ66" si="0">MID(U6,8,6)</f>
        <v>741304</v>
      </c>
    </row>
    <row r="7" spans="1:37" x14ac:dyDescent="0.25">
      <c r="A7" t="s">
        <v>4022</v>
      </c>
      <c r="B7" t="s">
        <v>7827</v>
      </c>
      <c r="C7" t="s">
        <v>542</v>
      </c>
      <c r="D7" t="s">
        <v>7802</v>
      </c>
      <c r="E7" t="s">
        <v>217</v>
      </c>
      <c r="F7">
        <v>1</v>
      </c>
      <c r="G7" t="s">
        <v>193</v>
      </c>
      <c r="H7" t="s">
        <v>194</v>
      </c>
      <c r="I7" t="s">
        <v>7803</v>
      </c>
      <c r="J7" t="s">
        <v>210</v>
      </c>
      <c r="K7">
        <v>18</v>
      </c>
      <c r="L7" t="s">
        <v>7828</v>
      </c>
      <c r="M7" t="s">
        <v>6286</v>
      </c>
      <c r="N7" t="s">
        <v>7829</v>
      </c>
      <c r="O7" t="s">
        <v>7811</v>
      </c>
      <c r="P7" t="s">
        <v>7809</v>
      </c>
      <c r="Q7">
        <v>1960202</v>
      </c>
      <c r="R7">
        <v>18844390</v>
      </c>
      <c r="T7">
        <v>1863</v>
      </c>
      <c r="U7" t="s">
        <v>543</v>
      </c>
      <c r="V7" t="s">
        <v>194</v>
      </c>
      <c r="W7">
        <v>1</v>
      </c>
      <c r="Y7" t="s">
        <v>4903</v>
      </c>
      <c r="AE7" t="s">
        <v>7830</v>
      </c>
      <c r="AF7" t="s">
        <v>4714</v>
      </c>
      <c r="AI7" t="s">
        <v>6955</v>
      </c>
      <c r="AJ7" s="28" t="str">
        <f t="shared" si="0"/>
        <v>264304</v>
      </c>
    </row>
    <row r="8" spans="1:37" x14ac:dyDescent="0.25">
      <c r="A8" t="s">
        <v>4022</v>
      </c>
      <c r="B8" t="s">
        <v>7831</v>
      </c>
      <c r="C8" t="s">
        <v>542</v>
      </c>
      <c r="D8" t="s">
        <v>7802</v>
      </c>
      <c r="E8" t="s">
        <v>217</v>
      </c>
      <c r="F8">
        <v>1</v>
      </c>
      <c r="G8" t="s">
        <v>193</v>
      </c>
      <c r="H8" t="s">
        <v>194</v>
      </c>
      <c r="I8" t="s">
        <v>7803</v>
      </c>
      <c r="J8" t="s">
        <v>196</v>
      </c>
      <c r="K8">
        <v>18</v>
      </c>
      <c r="L8" t="s">
        <v>7832</v>
      </c>
      <c r="M8" t="s">
        <v>7833</v>
      </c>
      <c r="N8" t="s">
        <v>7834</v>
      </c>
      <c r="O8" t="s">
        <v>7835</v>
      </c>
      <c r="P8" t="s">
        <v>7836</v>
      </c>
      <c r="Q8">
        <v>1959648</v>
      </c>
      <c r="R8">
        <v>18822167</v>
      </c>
      <c r="U8" t="s">
        <v>543</v>
      </c>
      <c r="V8" t="s">
        <v>193</v>
      </c>
      <c r="W8">
        <v>25</v>
      </c>
      <c r="Y8" t="s">
        <v>7837</v>
      </c>
      <c r="AE8" t="s">
        <v>7838</v>
      </c>
      <c r="AF8" t="s">
        <v>4714</v>
      </c>
      <c r="AI8" t="s">
        <v>6955</v>
      </c>
      <c r="AJ8" s="28" t="str">
        <f t="shared" si="0"/>
        <v>264304</v>
      </c>
    </row>
    <row r="9" spans="1:37" x14ac:dyDescent="0.25">
      <c r="A9" t="s">
        <v>2259</v>
      </c>
      <c r="B9" t="s">
        <v>7839</v>
      </c>
      <c r="C9" t="s">
        <v>10</v>
      </c>
      <c r="D9" t="s">
        <v>7802</v>
      </c>
      <c r="E9" t="s">
        <v>233</v>
      </c>
      <c r="F9">
        <v>1</v>
      </c>
      <c r="G9" t="s">
        <v>193</v>
      </c>
      <c r="H9" t="s">
        <v>194</v>
      </c>
      <c r="I9" t="s">
        <v>7803</v>
      </c>
      <c r="J9" t="s">
        <v>210</v>
      </c>
      <c r="K9">
        <v>18</v>
      </c>
      <c r="L9" t="s">
        <v>7840</v>
      </c>
      <c r="M9" t="s">
        <v>6261</v>
      </c>
      <c r="N9" t="s">
        <v>7805</v>
      </c>
      <c r="O9" t="s">
        <v>7811</v>
      </c>
      <c r="P9" t="s">
        <v>7812</v>
      </c>
      <c r="Q9">
        <v>1959845</v>
      </c>
      <c r="R9">
        <v>18823137</v>
      </c>
      <c r="T9">
        <v>1863</v>
      </c>
      <c r="U9" t="s">
        <v>484</v>
      </c>
      <c r="V9" t="s">
        <v>194</v>
      </c>
      <c r="W9">
        <v>1</v>
      </c>
      <c r="X9" t="s">
        <v>7841</v>
      </c>
      <c r="Y9" t="s">
        <v>7842</v>
      </c>
      <c r="AE9" t="s">
        <v>7843</v>
      </c>
      <c r="AF9" t="s">
        <v>4714</v>
      </c>
      <c r="AG9" t="s">
        <v>7839</v>
      </c>
      <c r="AI9" t="s">
        <v>6955</v>
      </c>
      <c r="AJ9" s="28" t="str">
        <f t="shared" si="0"/>
        <v>251401</v>
      </c>
    </row>
    <row r="10" spans="1:37" x14ac:dyDescent="0.25">
      <c r="A10" t="s">
        <v>2259</v>
      </c>
      <c r="B10" t="s">
        <v>7844</v>
      </c>
      <c r="C10" t="s">
        <v>10</v>
      </c>
      <c r="D10" t="s">
        <v>7802</v>
      </c>
      <c r="E10" t="s">
        <v>233</v>
      </c>
      <c r="F10">
        <v>1</v>
      </c>
      <c r="G10" t="s">
        <v>193</v>
      </c>
      <c r="H10" t="s">
        <v>194</v>
      </c>
      <c r="I10" t="s">
        <v>7824</v>
      </c>
      <c r="J10" t="s">
        <v>210</v>
      </c>
      <c r="K10">
        <v>18</v>
      </c>
      <c r="L10" t="s">
        <v>7845</v>
      </c>
      <c r="M10" t="s">
        <v>6261</v>
      </c>
      <c r="N10" t="s">
        <v>7805</v>
      </c>
      <c r="O10" t="s">
        <v>7811</v>
      </c>
      <c r="P10" t="s">
        <v>7812</v>
      </c>
      <c r="Q10">
        <v>1959779</v>
      </c>
      <c r="R10">
        <v>18823068</v>
      </c>
      <c r="T10">
        <v>1863</v>
      </c>
      <c r="U10" t="s">
        <v>484</v>
      </c>
      <c r="V10" t="s">
        <v>194</v>
      </c>
      <c r="W10">
        <v>1</v>
      </c>
      <c r="X10" t="s">
        <v>7846</v>
      </c>
      <c r="Y10" t="s">
        <v>7847</v>
      </c>
      <c r="AE10" t="s">
        <v>7848</v>
      </c>
      <c r="AF10" t="s">
        <v>4714</v>
      </c>
      <c r="AG10" t="s">
        <v>7844</v>
      </c>
      <c r="AI10" t="s">
        <v>6955</v>
      </c>
      <c r="AJ10" s="28" t="str">
        <f t="shared" si="0"/>
        <v>251401</v>
      </c>
    </row>
    <row r="11" spans="1:37" x14ac:dyDescent="0.25">
      <c r="A11" t="s">
        <v>2259</v>
      </c>
      <c r="B11" t="s">
        <v>7849</v>
      </c>
      <c r="C11" t="s">
        <v>46</v>
      </c>
      <c r="D11" t="s">
        <v>7802</v>
      </c>
      <c r="E11" t="s">
        <v>233</v>
      </c>
      <c r="F11">
        <v>1</v>
      </c>
      <c r="G11" t="s">
        <v>193</v>
      </c>
      <c r="H11" t="s">
        <v>194</v>
      </c>
      <c r="I11" t="s">
        <v>7809</v>
      </c>
      <c r="J11" t="s">
        <v>210</v>
      </c>
      <c r="K11">
        <v>18</v>
      </c>
      <c r="L11" t="s">
        <v>7850</v>
      </c>
      <c r="M11" t="s">
        <v>6921</v>
      </c>
      <c r="N11" t="s">
        <v>7805</v>
      </c>
      <c r="O11" t="s">
        <v>7811</v>
      </c>
      <c r="P11" t="s">
        <v>7812</v>
      </c>
      <c r="Q11">
        <v>1959971</v>
      </c>
      <c r="R11">
        <v>18823268</v>
      </c>
      <c r="T11">
        <v>1863</v>
      </c>
      <c r="U11" t="s">
        <v>510</v>
      </c>
      <c r="V11" t="s">
        <v>194</v>
      </c>
      <c r="W11">
        <v>1</v>
      </c>
      <c r="X11" t="s">
        <v>7851</v>
      </c>
      <c r="Y11" t="s">
        <v>7852</v>
      </c>
      <c r="AE11" t="s">
        <v>7853</v>
      </c>
      <c r="AF11" t="s">
        <v>4714</v>
      </c>
      <c r="AG11" t="s">
        <v>7849</v>
      </c>
      <c r="AI11" t="s">
        <v>6955</v>
      </c>
      <c r="AJ11" s="28" t="str">
        <f t="shared" si="0"/>
        <v>252201</v>
      </c>
    </row>
    <row r="12" spans="1:37" x14ac:dyDescent="0.25">
      <c r="A12" t="s">
        <v>7854</v>
      </c>
      <c r="B12" t="s">
        <v>7855</v>
      </c>
      <c r="C12" t="s">
        <v>69</v>
      </c>
      <c r="D12" t="s">
        <v>7802</v>
      </c>
      <c r="E12" t="s">
        <v>217</v>
      </c>
      <c r="F12">
        <v>1</v>
      </c>
      <c r="G12" t="s">
        <v>193</v>
      </c>
      <c r="H12" t="s">
        <v>194</v>
      </c>
      <c r="I12" t="s">
        <v>7803</v>
      </c>
      <c r="J12" t="s">
        <v>210</v>
      </c>
      <c r="K12">
        <v>18</v>
      </c>
      <c r="L12" t="s">
        <v>7856</v>
      </c>
      <c r="M12" t="s">
        <v>6921</v>
      </c>
      <c r="N12" t="s">
        <v>7829</v>
      </c>
      <c r="O12" t="s">
        <v>7811</v>
      </c>
      <c r="P12" t="s">
        <v>7809</v>
      </c>
      <c r="Q12">
        <v>1960201</v>
      </c>
      <c r="R12">
        <v>18844386</v>
      </c>
      <c r="T12">
        <v>1863</v>
      </c>
      <c r="U12" t="s">
        <v>375</v>
      </c>
      <c r="V12" t="s">
        <v>194</v>
      </c>
      <c r="W12">
        <v>1</v>
      </c>
      <c r="Y12" t="s">
        <v>7857</v>
      </c>
      <c r="AE12" t="s">
        <v>4904</v>
      </c>
      <c r="AF12" t="s">
        <v>4714</v>
      </c>
      <c r="AI12" t="s">
        <v>6955</v>
      </c>
      <c r="AJ12" s="28" t="str">
        <f t="shared" si="0"/>
        <v>215301</v>
      </c>
    </row>
    <row r="13" spans="1:37" x14ac:dyDescent="0.25">
      <c r="A13" t="s">
        <v>5213</v>
      </c>
      <c r="B13" t="s">
        <v>7858</v>
      </c>
      <c r="C13" t="s">
        <v>7859</v>
      </c>
      <c r="D13" t="s">
        <v>7860</v>
      </c>
      <c r="E13" t="s">
        <v>233</v>
      </c>
      <c r="F13">
        <v>1</v>
      </c>
      <c r="G13" t="s">
        <v>193</v>
      </c>
      <c r="H13" t="s">
        <v>194</v>
      </c>
      <c r="I13" t="s">
        <v>7803</v>
      </c>
      <c r="J13" t="s">
        <v>909</v>
      </c>
      <c r="K13">
        <v>18</v>
      </c>
      <c r="L13" t="s">
        <v>7861</v>
      </c>
      <c r="M13" t="s">
        <v>6312</v>
      </c>
      <c r="N13" t="s">
        <v>7862</v>
      </c>
      <c r="O13" t="s">
        <v>7863</v>
      </c>
      <c r="P13" t="s">
        <v>7864</v>
      </c>
      <c r="Q13">
        <v>1955875</v>
      </c>
      <c r="R13">
        <v>18670775</v>
      </c>
      <c r="T13">
        <v>1805.1863000000001</v>
      </c>
      <c r="U13" t="s">
        <v>7865</v>
      </c>
      <c r="V13" t="s">
        <v>194</v>
      </c>
      <c r="W13">
        <v>2</v>
      </c>
      <c r="Y13" t="s">
        <v>6738</v>
      </c>
      <c r="AE13" t="s">
        <v>7866</v>
      </c>
      <c r="AF13" t="s">
        <v>4714</v>
      </c>
      <c r="AG13" t="s">
        <v>7858</v>
      </c>
      <c r="AI13" t="s">
        <v>6955</v>
      </c>
      <c r="AJ13" s="28" t="str">
        <f t="shared" si="0"/>
        <v>229907</v>
      </c>
    </row>
    <row r="14" spans="1:37" x14ac:dyDescent="0.25">
      <c r="A14" t="s">
        <v>5828</v>
      </c>
      <c r="B14" t="s">
        <v>7867</v>
      </c>
      <c r="C14" t="s">
        <v>2926</v>
      </c>
      <c r="D14" t="s">
        <v>7860</v>
      </c>
      <c r="E14" t="s">
        <v>233</v>
      </c>
      <c r="F14">
        <v>1</v>
      </c>
      <c r="G14" t="s">
        <v>193</v>
      </c>
      <c r="H14" t="s">
        <v>194</v>
      </c>
      <c r="I14" t="s">
        <v>7803</v>
      </c>
      <c r="J14" t="s">
        <v>196</v>
      </c>
      <c r="K14">
        <v>18</v>
      </c>
      <c r="L14" t="s">
        <v>7868</v>
      </c>
      <c r="M14" t="s">
        <v>6374</v>
      </c>
      <c r="N14" t="s">
        <v>7862</v>
      </c>
      <c r="O14" t="s">
        <v>7863</v>
      </c>
      <c r="P14" t="s">
        <v>7864</v>
      </c>
      <c r="Q14">
        <v>1955929</v>
      </c>
      <c r="R14">
        <v>18670831</v>
      </c>
      <c r="U14" t="s">
        <v>6411</v>
      </c>
      <c r="V14" t="s">
        <v>193</v>
      </c>
      <c r="W14">
        <v>25</v>
      </c>
      <c r="Y14" t="s">
        <v>7869</v>
      </c>
      <c r="AE14" t="s">
        <v>7870</v>
      </c>
      <c r="AF14" t="s">
        <v>4714</v>
      </c>
      <c r="AG14" t="s">
        <v>7867</v>
      </c>
      <c r="AI14" t="s">
        <v>6955</v>
      </c>
      <c r="AJ14" s="28" t="str">
        <f t="shared" si="0"/>
        <v>215101</v>
      </c>
    </row>
    <row r="15" spans="1:37" x14ac:dyDescent="0.25">
      <c r="A15" t="s">
        <v>940</v>
      </c>
      <c r="B15" t="s">
        <v>537</v>
      </c>
      <c r="C15" t="s">
        <v>778</v>
      </c>
      <c r="D15" t="s">
        <v>7860</v>
      </c>
      <c r="E15" t="s">
        <v>233</v>
      </c>
      <c r="F15">
        <v>1</v>
      </c>
      <c r="G15" t="s">
        <v>193</v>
      </c>
      <c r="H15" t="s">
        <v>194</v>
      </c>
      <c r="I15" t="s">
        <v>7809</v>
      </c>
      <c r="J15" t="s">
        <v>7871</v>
      </c>
      <c r="K15">
        <v>18</v>
      </c>
      <c r="L15" t="s">
        <v>7872</v>
      </c>
      <c r="M15" t="s">
        <v>6254</v>
      </c>
      <c r="N15" t="s">
        <v>7873</v>
      </c>
      <c r="O15" t="s">
        <v>7874</v>
      </c>
      <c r="P15" t="s">
        <v>7875</v>
      </c>
      <c r="Q15">
        <v>1955426</v>
      </c>
      <c r="R15">
        <v>18344142</v>
      </c>
      <c r="T15">
        <v>1804.1813999999999</v>
      </c>
      <c r="U15" t="s">
        <v>779</v>
      </c>
      <c r="V15" t="s">
        <v>194</v>
      </c>
      <c r="W15">
        <v>2</v>
      </c>
      <c r="X15" t="s">
        <v>7876</v>
      </c>
      <c r="Y15" t="s">
        <v>7877</v>
      </c>
      <c r="AF15" t="s">
        <v>4714</v>
      </c>
      <c r="AG15" t="s">
        <v>778</v>
      </c>
      <c r="AI15" t="s">
        <v>6955</v>
      </c>
      <c r="AJ15" s="28" t="str">
        <f t="shared" si="0"/>
        <v>524902</v>
      </c>
    </row>
    <row r="16" spans="1:37" x14ac:dyDescent="0.25">
      <c r="A16" t="s">
        <v>7878</v>
      </c>
      <c r="B16" t="s">
        <v>7879</v>
      </c>
      <c r="C16" t="s">
        <v>101</v>
      </c>
      <c r="D16" t="s">
        <v>7860</v>
      </c>
      <c r="E16" t="s">
        <v>233</v>
      </c>
      <c r="F16">
        <v>1</v>
      </c>
      <c r="G16" t="s">
        <v>193</v>
      </c>
      <c r="H16" t="s">
        <v>194</v>
      </c>
      <c r="I16" t="s">
        <v>7824</v>
      </c>
      <c r="J16" t="s">
        <v>210</v>
      </c>
      <c r="K16">
        <v>18</v>
      </c>
      <c r="L16" t="s">
        <v>7880</v>
      </c>
      <c r="M16" t="s">
        <v>7406</v>
      </c>
      <c r="N16" t="s">
        <v>7862</v>
      </c>
      <c r="O16" t="s">
        <v>7863</v>
      </c>
      <c r="P16" t="s">
        <v>7864</v>
      </c>
      <c r="Q16">
        <v>1955748</v>
      </c>
      <c r="R16">
        <v>18670644</v>
      </c>
      <c r="T16">
        <v>1863</v>
      </c>
      <c r="U16" t="s">
        <v>519</v>
      </c>
      <c r="V16" t="s">
        <v>194</v>
      </c>
      <c r="W16">
        <v>1</v>
      </c>
      <c r="X16" t="s">
        <v>7881</v>
      </c>
      <c r="Y16" t="s">
        <v>7882</v>
      </c>
      <c r="AE16" t="s">
        <v>7883</v>
      </c>
      <c r="AF16" t="s">
        <v>4714</v>
      </c>
      <c r="AG16" t="s">
        <v>7879</v>
      </c>
      <c r="AI16" t="s">
        <v>6955</v>
      </c>
      <c r="AJ16" s="28" t="str">
        <f t="shared" si="0"/>
        <v>261103</v>
      </c>
    </row>
    <row r="17" spans="1:36" x14ac:dyDescent="0.25">
      <c r="A17" t="s">
        <v>2093</v>
      </c>
      <c r="B17" t="s">
        <v>1798</v>
      </c>
      <c r="C17" t="s">
        <v>1799</v>
      </c>
      <c r="D17" t="s">
        <v>7860</v>
      </c>
      <c r="E17" t="s">
        <v>233</v>
      </c>
      <c r="F17">
        <v>1</v>
      </c>
      <c r="G17" t="s">
        <v>193</v>
      </c>
      <c r="H17" t="s">
        <v>194</v>
      </c>
      <c r="I17" t="s">
        <v>7803</v>
      </c>
      <c r="J17" t="s">
        <v>210</v>
      </c>
      <c r="K17">
        <v>18</v>
      </c>
      <c r="L17" t="s">
        <v>7884</v>
      </c>
      <c r="M17" t="s">
        <v>6306</v>
      </c>
      <c r="N17" t="s">
        <v>7885</v>
      </c>
      <c r="O17" t="s">
        <v>7863</v>
      </c>
      <c r="P17" t="s">
        <v>7886</v>
      </c>
      <c r="Q17">
        <v>1956005</v>
      </c>
      <c r="R17">
        <v>18670908</v>
      </c>
      <c r="T17">
        <v>1863</v>
      </c>
      <c r="U17" t="s">
        <v>1800</v>
      </c>
      <c r="V17" t="s">
        <v>194</v>
      </c>
      <c r="W17">
        <v>1</v>
      </c>
      <c r="X17">
        <v>74591</v>
      </c>
      <c r="Y17" t="s">
        <v>7887</v>
      </c>
      <c r="AE17" t="s">
        <v>7888</v>
      </c>
      <c r="AF17" t="s">
        <v>4714</v>
      </c>
      <c r="AG17" t="s">
        <v>1798</v>
      </c>
      <c r="AI17" t="s">
        <v>6955</v>
      </c>
      <c r="AJ17" s="28" t="str">
        <f t="shared" si="0"/>
        <v>242204</v>
      </c>
    </row>
    <row r="18" spans="1:36" x14ac:dyDescent="0.25">
      <c r="A18" t="s">
        <v>2093</v>
      </c>
      <c r="B18" t="s">
        <v>2697</v>
      </c>
      <c r="C18" t="s">
        <v>7</v>
      </c>
      <c r="D18" t="s">
        <v>7860</v>
      </c>
      <c r="E18" t="s">
        <v>233</v>
      </c>
      <c r="F18">
        <v>1</v>
      </c>
      <c r="G18" t="s">
        <v>193</v>
      </c>
      <c r="H18" t="s">
        <v>194</v>
      </c>
      <c r="I18" t="s">
        <v>7824</v>
      </c>
      <c r="J18" t="s">
        <v>4751</v>
      </c>
      <c r="K18">
        <v>18</v>
      </c>
      <c r="L18" t="s">
        <v>7889</v>
      </c>
      <c r="M18" t="s">
        <v>6306</v>
      </c>
      <c r="N18" t="s">
        <v>7885</v>
      </c>
      <c r="O18" t="s">
        <v>7863</v>
      </c>
      <c r="P18" t="s">
        <v>7806</v>
      </c>
      <c r="Q18">
        <v>1956001</v>
      </c>
      <c r="R18">
        <v>18670904</v>
      </c>
      <c r="T18">
        <v>1862</v>
      </c>
      <c r="U18" t="s">
        <v>2698</v>
      </c>
      <c r="V18" t="s">
        <v>194</v>
      </c>
      <c r="W18">
        <v>1</v>
      </c>
      <c r="X18">
        <v>74599</v>
      </c>
      <c r="Y18" t="s">
        <v>7890</v>
      </c>
      <c r="AE18" t="s">
        <v>7891</v>
      </c>
      <c r="AF18" t="s">
        <v>4714</v>
      </c>
      <c r="AG18" t="s">
        <v>2697</v>
      </c>
      <c r="AI18" t="s">
        <v>6955</v>
      </c>
      <c r="AJ18" s="28" t="str">
        <f t="shared" si="0"/>
        <v>335203</v>
      </c>
    </row>
    <row r="19" spans="1:36" x14ac:dyDescent="0.25">
      <c r="A19" t="s">
        <v>1040</v>
      </c>
      <c r="B19" t="s">
        <v>3318</v>
      </c>
      <c r="C19" t="s">
        <v>102</v>
      </c>
      <c r="D19" t="s">
        <v>7860</v>
      </c>
      <c r="E19" t="s">
        <v>233</v>
      </c>
      <c r="F19">
        <v>1</v>
      </c>
      <c r="G19" t="s">
        <v>193</v>
      </c>
      <c r="H19" t="s">
        <v>194</v>
      </c>
      <c r="I19" t="s">
        <v>7809</v>
      </c>
      <c r="J19" t="s">
        <v>316</v>
      </c>
      <c r="K19">
        <v>18</v>
      </c>
      <c r="L19" t="s">
        <v>7892</v>
      </c>
      <c r="M19" t="s">
        <v>6389</v>
      </c>
      <c r="N19" t="s">
        <v>7862</v>
      </c>
      <c r="O19" t="s">
        <v>7863</v>
      </c>
      <c r="P19" t="s">
        <v>7864</v>
      </c>
      <c r="Q19">
        <v>1955808</v>
      </c>
      <c r="R19">
        <v>18670704</v>
      </c>
      <c r="T19">
        <v>1818</v>
      </c>
      <c r="U19" t="s">
        <v>1890</v>
      </c>
      <c r="V19" t="s">
        <v>194</v>
      </c>
      <c r="W19">
        <v>1</v>
      </c>
      <c r="X19" t="s">
        <v>7893</v>
      </c>
      <c r="Y19" t="s">
        <v>7894</v>
      </c>
      <c r="AE19" t="s">
        <v>7895</v>
      </c>
      <c r="AF19" t="s">
        <v>4714</v>
      </c>
      <c r="AG19" t="s">
        <v>3318</v>
      </c>
      <c r="AI19" t="s">
        <v>6955</v>
      </c>
      <c r="AJ19" s="28" t="str">
        <f t="shared" si="0"/>
        <v>216601</v>
      </c>
    </row>
    <row r="20" spans="1:36" x14ac:dyDescent="0.25">
      <c r="A20" t="s">
        <v>1040</v>
      </c>
      <c r="B20" t="s">
        <v>2557</v>
      </c>
      <c r="C20" t="s">
        <v>770</v>
      </c>
      <c r="D20" t="s">
        <v>7860</v>
      </c>
      <c r="E20" t="s">
        <v>233</v>
      </c>
      <c r="F20">
        <v>1</v>
      </c>
      <c r="G20" t="s">
        <v>193</v>
      </c>
      <c r="H20" t="s">
        <v>194</v>
      </c>
      <c r="I20" t="s">
        <v>7803</v>
      </c>
      <c r="J20" t="s">
        <v>210</v>
      </c>
      <c r="K20">
        <v>18</v>
      </c>
      <c r="L20" t="s">
        <v>7896</v>
      </c>
      <c r="M20" t="s">
        <v>6249</v>
      </c>
      <c r="N20" t="s">
        <v>7862</v>
      </c>
      <c r="O20" t="s">
        <v>7863</v>
      </c>
      <c r="P20" t="s">
        <v>7864</v>
      </c>
      <c r="Q20">
        <v>1955527</v>
      </c>
      <c r="R20">
        <v>18670410</v>
      </c>
      <c r="T20">
        <v>1863</v>
      </c>
      <c r="U20" t="s">
        <v>772</v>
      </c>
      <c r="V20" t="s">
        <v>194</v>
      </c>
      <c r="W20">
        <v>1</v>
      </c>
      <c r="Y20" t="s">
        <v>7897</v>
      </c>
      <c r="AE20" t="s">
        <v>7898</v>
      </c>
      <c r="AF20" t="s">
        <v>4714</v>
      </c>
      <c r="AG20" t="s">
        <v>2557</v>
      </c>
      <c r="AI20" t="s">
        <v>6955</v>
      </c>
      <c r="AJ20" s="28" t="str">
        <f t="shared" si="0"/>
        <v>522305</v>
      </c>
    </row>
    <row r="21" spans="1:36" x14ac:dyDescent="0.25">
      <c r="A21" t="s">
        <v>540</v>
      </c>
      <c r="B21" t="s">
        <v>7899</v>
      </c>
      <c r="C21" t="s">
        <v>3101</v>
      </c>
      <c r="D21" t="s">
        <v>7860</v>
      </c>
      <c r="E21" t="s">
        <v>252</v>
      </c>
      <c r="F21">
        <v>1</v>
      </c>
      <c r="G21" t="s">
        <v>193</v>
      </c>
      <c r="H21" t="s">
        <v>194</v>
      </c>
      <c r="I21" t="s">
        <v>7803</v>
      </c>
      <c r="J21" t="s">
        <v>210</v>
      </c>
      <c r="K21">
        <v>18</v>
      </c>
      <c r="L21" t="s">
        <v>7900</v>
      </c>
      <c r="M21" t="s">
        <v>6256</v>
      </c>
      <c r="N21" t="s">
        <v>7901</v>
      </c>
      <c r="O21" t="s">
        <v>7860</v>
      </c>
      <c r="P21" t="s">
        <v>7902</v>
      </c>
      <c r="Q21">
        <v>1955447</v>
      </c>
      <c r="R21">
        <v>18511372</v>
      </c>
      <c r="T21">
        <v>1863</v>
      </c>
      <c r="U21" t="s">
        <v>7903</v>
      </c>
      <c r="V21" t="s">
        <v>194</v>
      </c>
      <c r="W21">
        <v>1</v>
      </c>
      <c r="Y21" t="s">
        <v>7904</v>
      </c>
      <c r="AE21" t="s">
        <v>7905</v>
      </c>
      <c r="AF21" t="s">
        <v>4714</v>
      </c>
      <c r="AI21" t="s">
        <v>6955</v>
      </c>
      <c r="AJ21" s="28" t="str">
        <f t="shared" si="0"/>
        <v>214209</v>
      </c>
    </row>
    <row r="22" spans="1:36" x14ac:dyDescent="0.25">
      <c r="A22" t="s">
        <v>4975</v>
      </c>
      <c r="B22" t="s">
        <v>7906</v>
      </c>
      <c r="C22" t="s">
        <v>51</v>
      </c>
      <c r="D22" t="s">
        <v>7860</v>
      </c>
      <c r="E22" t="s">
        <v>233</v>
      </c>
      <c r="F22">
        <v>1</v>
      </c>
      <c r="G22" t="s">
        <v>193</v>
      </c>
      <c r="H22" t="s">
        <v>194</v>
      </c>
      <c r="I22" t="s">
        <v>7803</v>
      </c>
      <c r="J22" t="s">
        <v>385</v>
      </c>
      <c r="K22">
        <v>18</v>
      </c>
      <c r="L22" t="s">
        <v>7907</v>
      </c>
      <c r="M22" t="s">
        <v>6306</v>
      </c>
      <c r="N22" t="s">
        <v>7862</v>
      </c>
      <c r="O22" t="s">
        <v>7863</v>
      </c>
      <c r="P22" t="s">
        <v>7864</v>
      </c>
      <c r="Q22">
        <v>1955574</v>
      </c>
      <c r="R22">
        <v>18670465</v>
      </c>
      <c r="T22">
        <v>1861</v>
      </c>
      <c r="U22" t="s">
        <v>904</v>
      </c>
      <c r="V22" t="s">
        <v>194</v>
      </c>
      <c r="W22">
        <v>1</v>
      </c>
      <c r="Y22" t="s">
        <v>6354</v>
      </c>
      <c r="AE22" t="s">
        <v>6355</v>
      </c>
      <c r="AF22" t="s">
        <v>4714</v>
      </c>
      <c r="AG22" t="s">
        <v>7906</v>
      </c>
      <c r="AI22" t="s">
        <v>6955</v>
      </c>
      <c r="AJ22" s="28" t="str">
        <f t="shared" si="0"/>
        <v>523002</v>
      </c>
    </row>
    <row r="23" spans="1:36" x14ac:dyDescent="0.25">
      <c r="A23" t="s">
        <v>5287</v>
      </c>
      <c r="B23" t="s">
        <v>7908</v>
      </c>
      <c r="C23" t="s">
        <v>3837</v>
      </c>
      <c r="D23" t="s">
        <v>7860</v>
      </c>
      <c r="E23" t="s">
        <v>233</v>
      </c>
      <c r="F23">
        <v>1</v>
      </c>
      <c r="G23" t="s">
        <v>193</v>
      </c>
      <c r="H23" t="s">
        <v>194</v>
      </c>
      <c r="I23" t="s">
        <v>7803</v>
      </c>
      <c r="J23" t="s">
        <v>367</v>
      </c>
      <c r="K23">
        <v>18</v>
      </c>
      <c r="L23" t="s">
        <v>7909</v>
      </c>
      <c r="M23" t="s">
        <v>6275</v>
      </c>
      <c r="N23" t="s">
        <v>7862</v>
      </c>
      <c r="O23" t="s">
        <v>7863</v>
      </c>
      <c r="P23" t="s">
        <v>7864</v>
      </c>
      <c r="Q23">
        <v>1955707</v>
      </c>
      <c r="R23">
        <v>18670602</v>
      </c>
      <c r="T23">
        <v>1805</v>
      </c>
      <c r="U23" t="s">
        <v>3839</v>
      </c>
      <c r="V23" t="s">
        <v>194</v>
      </c>
      <c r="W23">
        <v>1</v>
      </c>
      <c r="X23" t="s">
        <v>7910</v>
      </c>
      <c r="Y23" t="s">
        <v>7911</v>
      </c>
      <c r="AE23" t="s">
        <v>7912</v>
      </c>
      <c r="AF23" t="s">
        <v>4714</v>
      </c>
      <c r="AG23" t="s">
        <v>7908</v>
      </c>
      <c r="AI23" t="s">
        <v>6955</v>
      </c>
      <c r="AJ23" s="28" t="str">
        <f t="shared" si="0"/>
        <v>815301</v>
      </c>
    </row>
    <row r="24" spans="1:36" x14ac:dyDescent="0.25">
      <c r="A24" t="s">
        <v>2679</v>
      </c>
      <c r="B24" t="s">
        <v>7913</v>
      </c>
      <c r="C24" t="s">
        <v>886</v>
      </c>
      <c r="D24" t="s">
        <v>7860</v>
      </c>
      <c r="E24" t="s">
        <v>233</v>
      </c>
      <c r="F24">
        <v>1</v>
      </c>
      <c r="G24" t="s">
        <v>193</v>
      </c>
      <c r="H24" t="s">
        <v>194</v>
      </c>
      <c r="I24" t="s">
        <v>7803</v>
      </c>
      <c r="J24" t="s">
        <v>210</v>
      </c>
      <c r="K24">
        <v>18</v>
      </c>
      <c r="L24" t="s">
        <v>7914</v>
      </c>
      <c r="M24" t="s">
        <v>6266</v>
      </c>
      <c r="N24" t="s">
        <v>7862</v>
      </c>
      <c r="O24" t="s">
        <v>7863</v>
      </c>
      <c r="P24" t="s">
        <v>7864</v>
      </c>
      <c r="Q24">
        <v>1955934</v>
      </c>
      <c r="R24">
        <v>18670836</v>
      </c>
      <c r="T24">
        <v>1863</v>
      </c>
      <c r="U24" t="s">
        <v>887</v>
      </c>
      <c r="V24" t="s">
        <v>194</v>
      </c>
      <c r="W24">
        <v>1</v>
      </c>
      <c r="Y24" t="s">
        <v>7915</v>
      </c>
      <c r="AF24" t="s">
        <v>4714</v>
      </c>
      <c r="AG24" t="s">
        <v>7913</v>
      </c>
      <c r="AI24" t="s">
        <v>6955</v>
      </c>
      <c r="AJ24" s="28" t="str">
        <f t="shared" si="0"/>
        <v>834401</v>
      </c>
    </row>
    <row r="25" spans="1:36" x14ac:dyDescent="0.25">
      <c r="A25" t="s">
        <v>4959</v>
      </c>
      <c r="B25" t="s">
        <v>1520</v>
      </c>
      <c r="C25" t="s">
        <v>4977</v>
      </c>
      <c r="D25" t="s">
        <v>7860</v>
      </c>
      <c r="E25" t="s">
        <v>233</v>
      </c>
      <c r="F25">
        <v>1</v>
      </c>
      <c r="G25" t="s">
        <v>193</v>
      </c>
      <c r="H25" t="s">
        <v>194</v>
      </c>
      <c r="I25" t="s">
        <v>7824</v>
      </c>
      <c r="J25" t="s">
        <v>210</v>
      </c>
      <c r="K25">
        <v>18</v>
      </c>
      <c r="L25" t="s">
        <v>7916</v>
      </c>
      <c r="M25" t="s">
        <v>6306</v>
      </c>
      <c r="N25" t="s">
        <v>7885</v>
      </c>
      <c r="O25" t="s">
        <v>7863</v>
      </c>
      <c r="P25" t="s">
        <v>7806</v>
      </c>
      <c r="Q25">
        <v>1956012</v>
      </c>
      <c r="R25">
        <v>18670915</v>
      </c>
      <c r="T25">
        <v>1863</v>
      </c>
      <c r="U25" t="s">
        <v>4978</v>
      </c>
      <c r="V25" t="s">
        <v>194</v>
      </c>
      <c r="W25">
        <v>1</v>
      </c>
      <c r="X25">
        <v>74573</v>
      </c>
      <c r="Y25" t="s">
        <v>7917</v>
      </c>
      <c r="AE25" t="s">
        <v>7918</v>
      </c>
      <c r="AF25" t="s">
        <v>4714</v>
      </c>
      <c r="AG25" t="s">
        <v>1520</v>
      </c>
      <c r="AI25" t="s">
        <v>6955</v>
      </c>
      <c r="AJ25" s="28" t="str">
        <f t="shared" si="0"/>
        <v>242217</v>
      </c>
    </row>
    <row r="26" spans="1:36" x14ac:dyDescent="0.25">
      <c r="A26" t="s">
        <v>4022</v>
      </c>
      <c r="B26" t="s">
        <v>7827</v>
      </c>
      <c r="C26" t="s">
        <v>542</v>
      </c>
      <c r="D26" t="s">
        <v>7860</v>
      </c>
      <c r="E26" t="s">
        <v>217</v>
      </c>
      <c r="F26">
        <v>1</v>
      </c>
      <c r="G26" t="s">
        <v>193</v>
      </c>
      <c r="H26" t="s">
        <v>194</v>
      </c>
      <c r="I26" t="s">
        <v>7803</v>
      </c>
      <c r="J26" t="s">
        <v>210</v>
      </c>
      <c r="K26">
        <v>18</v>
      </c>
      <c r="L26" t="s">
        <v>7828</v>
      </c>
      <c r="M26" t="s">
        <v>6286</v>
      </c>
      <c r="N26" t="s">
        <v>7919</v>
      </c>
      <c r="O26" t="s">
        <v>7863</v>
      </c>
      <c r="P26" t="s">
        <v>7809</v>
      </c>
      <c r="Q26">
        <v>1956153</v>
      </c>
      <c r="R26">
        <v>18691958</v>
      </c>
      <c r="T26">
        <v>1863</v>
      </c>
      <c r="U26" t="s">
        <v>543</v>
      </c>
      <c r="V26" t="s">
        <v>194</v>
      </c>
      <c r="W26">
        <v>1</v>
      </c>
      <c r="Y26" t="s">
        <v>4903</v>
      </c>
      <c r="AE26" t="s">
        <v>7830</v>
      </c>
      <c r="AF26" t="s">
        <v>4714</v>
      </c>
      <c r="AI26" t="s">
        <v>6955</v>
      </c>
      <c r="AJ26" s="28" t="str">
        <f t="shared" si="0"/>
        <v>264304</v>
      </c>
    </row>
    <row r="27" spans="1:36" x14ac:dyDescent="0.25">
      <c r="A27" t="s">
        <v>5975</v>
      </c>
      <c r="B27" t="s">
        <v>67</v>
      </c>
      <c r="C27" t="s">
        <v>67</v>
      </c>
      <c r="D27" t="s">
        <v>7860</v>
      </c>
      <c r="E27" t="s">
        <v>233</v>
      </c>
      <c r="F27">
        <v>1</v>
      </c>
      <c r="G27" t="s">
        <v>193</v>
      </c>
      <c r="H27" t="s">
        <v>194</v>
      </c>
      <c r="I27" t="s">
        <v>7809</v>
      </c>
      <c r="J27" t="s">
        <v>210</v>
      </c>
      <c r="K27">
        <v>18</v>
      </c>
      <c r="L27" t="s">
        <v>7920</v>
      </c>
      <c r="M27" t="s">
        <v>6266</v>
      </c>
      <c r="N27" t="s">
        <v>7862</v>
      </c>
      <c r="O27" t="s">
        <v>7863</v>
      </c>
      <c r="P27" t="s">
        <v>7864</v>
      </c>
      <c r="Q27">
        <v>1955753</v>
      </c>
      <c r="R27">
        <v>18670649</v>
      </c>
      <c r="T27">
        <v>1863</v>
      </c>
      <c r="U27" t="s">
        <v>709</v>
      </c>
      <c r="V27" t="s">
        <v>194</v>
      </c>
      <c r="W27">
        <v>1</v>
      </c>
      <c r="Y27" t="s">
        <v>7921</v>
      </c>
      <c r="AE27" t="s">
        <v>7922</v>
      </c>
      <c r="AF27" t="s">
        <v>4714</v>
      </c>
      <c r="AG27" t="s">
        <v>67</v>
      </c>
      <c r="AI27" t="s">
        <v>6955</v>
      </c>
      <c r="AJ27" s="28" t="str">
        <f t="shared" si="0"/>
        <v>432103</v>
      </c>
    </row>
    <row r="28" spans="1:36" x14ac:dyDescent="0.25">
      <c r="A28" t="s">
        <v>2259</v>
      </c>
      <c r="B28" t="s">
        <v>7923</v>
      </c>
      <c r="C28" t="s">
        <v>1408</v>
      </c>
      <c r="D28" t="s">
        <v>7860</v>
      </c>
      <c r="E28" t="s">
        <v>233</v>
      </c>
      <c r="F28">
        <v>1</v>
      </c>
      <c r="G28" t="s">
        <v>193</v>
      </c>
      <c r="H28" t="s">
        <v>194</v>
      </c>
      <c r="I28" t="s">
        <v>7803</v>
      </c>
      <c r="J28" t="s">
        <v>210</v>
      </c>
      <c r="K28">
        <v>18</v>
      </c>
      <c r="L28" t="s">
        <v>7924</v>
      </c>
      <c r="M28" t="s">
        <v>6261</v>
      </c>
      <c r="N28" t="s">
        <v>7862</v>
      </c>
      <c r="O28" t="s">
        <v>7863</v>
      </c>
      <c r="P28" t="s">
        <v>7864</v>
      </c>
      <c r="Q28">
        <v>1955838</v>
      </c>
      <c r="R28">
        <v>18670736</v>
      </c>
      <c r="T28">
        <v>1863</v>
      </c>
      <c r="U28" t="s">
        <v>1409</v>
      </c>
      <c r="V28" t="s">
        <v>194</v>
      </c>
      <c r="W28">
        <v>1</v>
      </c>
      <c r="X28" t="s">
        <v>7925</v>
      </c>
      <c r="Y28" t="s">
        <v>7926</v>
      </c>
      <c r="AE28" t="s">
        <v>7927</v>
      </c>
      <c r="AF28" t="s">
        <v>4714</v>
      </c>
      <c r="AG28" t="s">
        <v>7923</v>
      </c>
      <c r="AI28" t="s">
        <v>6955</v>
      </c>
      <c r="AJ28" s="28" t="str">
        <f t="shared" si="0"/>
        <v>251402</v>
      </c>
    </row>
    <row r="29" spans="1:36" x14ac:dyDescent="0.25">
      <c r="A29" t="s">
        <v>7854</v>
      </c>
      <c r="B29" t="s">
        <v>7855</v>
      </c>
      <c r="C29" t="s">
        <v>69</v>
      </c>
      <c r="D29" t="s">
        <v>7860</v>
      </c>
      <c r="E29" t="s">
        <v>217</v>
      </c>
      <c r="F29">
        <v>1</v>
      </c>
      <c r="G29" t="s">
        <v>193</v>
      </c>
      <c r="H29" t="s">
        <v>194</v>
      </c>
      <c r="I29" t="s">
        <v>7803</v>
      </c>
      <c r="J29" t="s">
        <v>210</v>
      </c>
      <c r="K29">
        <v>18</v>
      </c>
      <c r="L29" t="s">
        <v>7856</v>
      </c>
      <c r="M29" t="s">
        <v>6921</v>
      </c>
      <c r="N29" t="s">
        <v>7919</v>
      </c>
      <c r="O29" t="s">
        <v>7863</v>
      </c>
      <c r="P29" t="s">
        <v>7809</v>
      </c>
      <c r="Q29">
        <v>1956151</v>
      </c>
      <c r="R29">
        <v>18691953</v>
      </c>
      <c r="T29">
        <v>1863</v>
      </c>
      <c r="U29" t="s">
        <v>375</v>
      </c>
      <c r="V29" t="s">
        <v>194</v>
      </c>
      <c r="W29">
        <v>1</v>
      </c>
      <c r="Y29" t="s">
        <v>7857</v>
      </c>
      <c r="AE29" t="s">
        <v>4904</v>
      </c>
      <c r="AF29" t="s">
        <v>4714</v>
      </c>
      <c r="AI29" t="s">
        <v>6955</v>
      </c>
      <c r="AJ29" s="28" t="str">
        <f t="shared" si="0"/>
        <v>215301</v>
      </c>
    </row>
    <row r="30" spans="1:36" x14ac:dyDescent="0.25">
      <c r="A30" t="s">
        <v>4180</v>
      </c>
      <c r="B30" t="s">
        <v>6655</v>
      </c>
      <c r="C30" t="s">
        <v>6617</v>
      </c>
      <c r="D30" t="s">
        <v>7860</v>
      </c>
      <c r="E30" t="s">
        <v>252</v>
      </c>
      <c r="F30">
        <v>1</v>
      </c>
      <c r="G30" t="s">
        <v>193</v>
      </c>
      <c r="H30" t="s">
        <v>194</v>
      </c>
      <c r="I30" t="s">
        <v>7803</v>
      </c>
      <c r="J30" t="s">
        <v>367</v>
      </c>
      <c r="K30">
        <v>18</v>
      </c>
      <c r="L30" t="s">
        <v>7928</v>
      </c>
      <c r="M30" t="s">
        <v>6266</v>
      </c>
      <c r="N30" t="s">
        <v>7901</v>
      </c>
      <c r="O30" t="s">
        <v>7863</v>
      </c>
      <c r="P30" t="s">
        <v>7929</v>
      </c>
      <c r="Q30">
        <v>1956093</v>
      </c>
      <c r="R30">
        <v>18691321</v>
      </c>
      <c r="T30">
        <v>1805</v>
      </c>
      <c r="U30" t="s">
        <v>990</v>
      </c>
      <c r="V30" t="s">
        <v>194</v>
      </c>
      <c r="W30">
        <v>1</v>
      </c>
      <c r="AF30" t="s">
        <v>4714</v>
      </c>
      <c r="AI30" t="s">
        <v>6955</v>
      </c>
      <c r="AJ30" s="28" t="str">
        <f t="shared" si="0"/>
        <v>833202</v>
      </c>
    </row>
    <row r="31" spans="1:36" x14ac:dyDescent="0.25">
      <c r="A31" t="s">
        <v>7930</v>
      </c>
      <c r="B31" t="s">
        <v>7931</v>
      </c>
      <c r="C31" t="s">
        <v>1236</v>
      </c>
      <c r="D31" t="s">
        <v>7932</v>
      </c>
      <c r="E31" t="s">
        <v>252</v>
      </c>
      <c r="F31">
        <v>1</v>
      </c>
      <c r="G31" t="s">
        <v>193</v>
      </c>
      <c r="H31" t="s">
        <v>194</v>
      </c>
      <c r="I31" t="s">
        <v>7933</v>
      </c>
      <c r="J31" t="s">
        <v>210</v>
      </c>
      <c r="K31">
        <v>18</v>
      </c>
      <c r="L31" t="s">
        <v>7934</v>
      </c>
      <c r="M31" t="s">
        <v>6256</v>
      </c>
      <c r="N31" t="s">
        <v>7935</v>
      </c>
      <c r="O31" t="s">
        <v>7936</v>
      </c>
      <c r="P31" t="s">
        <v>7886</v>
      </c>
      <c r="Q31">
        <v>1950680</v>
      </c>
      <c r="R31">
        <v>18512351</v>
      </c>
      <c r="T31">
        <v>1863</v>
      </c>
      <c r="U31" t="s">
        <v>1237</v>
      </c>
      <c r="V31" t="s">
        <v>194</v>
      </c>
      <c r="W31">
        <v>1</v>
      </c>
      <c r="AF31" t="s">
        <v>4714</v>
      </c>
      <c r="AI31" t="s">
        <v>6955</v>
      </c>
      <c r="AJ31" s="28" t="str">
        <f t="shared" si="0"/>
        <v>712601</v>
      </c>
    </row>
    <row r="32" spans="1:36" x14ac:dyDescent="0.25">
      <c r="A32" t="s">
        <v>5213</v>
      </c>
      <c r="B32" t="s">
        <v>7937</v>
      </c>
      <c r="C32" t="s">
        <v>7938</v>
      </c>
      <c r="D32" t="s">
        <v>7932</v>
      </c>
      <c r="E32" t="s">
        <v>233</v>
      </c>
      <c r="F32">
        <v>1</v>
      </c>
      <c r="G32" t="s">
        <v>193</v>
      </c>
      <c r="H32" t="s">
        <v>194</v>
      </c>
      <c r="I32" t="s">
        <v>7933</v>
      </c>
      <c r="J32" t="s">
        <v>909</v>
      </c>
      <c r="K32">
        <v>18</v>
      </c>
      <c r="L32" t="s">
        <v>7939</v>
      </c>
      <c r="M32" t="s">
        <v>6312</v>
      </c>
      <c r="N32" t="s">
        <v>7940</v>
      </c>
      <c r="O32" t="s">
        <v>7874</v>
      </c>
      <c r="P32" t="s">
        <v>7941</v>
      </c>
      <c r="Q32">
        <v>1951087</v>
      </c>
      <c r="R32">
        <v>18513479</v>
      </c>
      <c r="T32">
        <v>1863.1804999999999</v>
      </c>
      <c r="U32" t="s">
        <v>7942</v>
      </c>
      <c r="V32" t="s">
        <v>194</v>
      </c>
      <c r="W32">
        <v>2</v>
      </c>
      <c r="Y32" t="s">
        <v>6738</v>
      </c>
      <c r="AE32" t="s">
        <v>7866</v>
      </c>
      <c r="AF32" t="s">
        <v>4714</v>
      </c>
      <c r="AG32" t="s">
        <v>7937</v>
      </c>
      <c r="AI32" t="s">
        <v>6955</v>
      </c>
      <c r="AJ32" s="28" t="str">
        <f t="shared" si="0"/>
        <v>343203</v>
      </c>
    </row>
    <row r="33" spans="1:36" x14ac:dyDescent="0.25">
      <c r="A33" t="s">
        <v>5213</v>
      </c>
      <c r="B33" t="s">
        <v>6747</v>
      </c>
      <c r="C33" t="s">
        <v>7943</v>
      </c>
      <c r="D33" t="s">
        <v>7932</v>
      </c>
      <c r="E33" t="s">
        <v>233</v>
      </c>
      <c r="F33">
        <v>1</v>
      </c>
      <c r="G33" t="s">
        <v>193</v>
      </c>
      <c r="H33" t="s">
        <v>194</v>
      </c>
      <c r="I33" t="s">
        <v>7803</v>
      </c>
      <c r="J33" t="s">
        <v>909</v>
      </c>
      <c r="K33">
        <v>18</v>
      </c>
      <c r="L33" t="s">
        <v>7944</v>
      </c>
      <c r="M33" t="s">
        <v>6312</v>
      </c>
      <c r="N33" t="s">
        <v>7940</v>
      </c>
      <c r="O33" t="s">
        <v>7874</v>
      </c>
      <c r="P33" t="s">
        <v>7941</v>
      </c>
      <c r="Q33">
        <v>1951071</v>
      </c>
      <c r="R33">
        <v>18513463</v>
      </c>
      <c r="T33">
        <v>1805.1863000000001</v>
      </c>
      <c r="U33" t="s">
        <v>7945</v>
      </c>
      <c r="V33" t="s">
        <v>194</v>
      </c>
      <c r="W33">
        <v>2</v>
      </c>
      <c r="Y33" t="s">
        <v>6738</v>
      </c>
      <c r="AE33" t="s">
        <v>7946</v>
      </c>
      <c r="AF33" t="s">
        <v>4714</v>
      </c>
      <c r="AG33" t="s">
        <v>6747</v>
      </c>
      <c r="AI33" t="s">
        <v>6955</v>
      </c>
      <c r="AJ33" s="28" t="str">
        <f t="shared" si="0"/>
        <v>235920</v>
      </c>
    </row>
    <row r="34" spans="1:36" x14ac:dyDescent="0.25">
      <c r="A34" t="s">
        <v>5213</v>
      </c>
      <c r="B34" t="s">
        <v>7947</v>
      </c>
      <c r="C34" t="s">
        <v>7948</v>
      </c>
      <c r="D34" t="s">
        <v>7932</v>
      </c>
      <c r="E34" t="s">
        <v>233</v>
      </c>
      <c r="F34">
        <v>1</v>
      </c>
      <c r="G34" t="s">
        <v>193</v>
      </c>
      <c r="H34" t="s">
        <v>194</v>
      </c>
      <c r="I34" t="s">
        <v>7803</v>
      </c>
      <c r="J34" t="s">
        <v>909</v>
      </c>
      <c r="K34">
        <v>18</v>
      </c>
      <c r="L34" t="s">
        <v>7949</v>
      </c>
      <c r="M34" t="s">
        <v>6312</v>
      </c>
      <c r="N34" t="s">
        <v>7940</v>
      </c>
      <c r="O34" t="s">
        <v>7874</v>
      </c>
      <c r="P34" t="s">
        <v>7941</v>
      </c>
      <c r="Q34">
        <v>1951055</v>
      </c>
      <c r="R34">
        <v>18513447</v>
      </c>
      <c r="T34">
        <v>1805.1863000000001</v>
      </c>
      <c r="U34" t="s">
        <v>7950</v>
      </c>
      <c r="V34" t="s">
        <v>194</v>
      </c>
      <c r="W34">
        <v>2</v>
      </c>
      <c r="Y34" t="s">
        <v>6738</v>
      </c>
      <c r="AE34" t="s">
        <v>7946</v>
      </c>
      <c r="AF34" t="s">
        <v>4714</v>
      </c>
      <c r="AG34" t="s">
        <v>7947</v>
      </c>
      <c r="AI34" t="s">
        <v>6955</v>
      </c>
      <c r="AJ34" s="28" t="str">
        <f t="shared" si="0"/>
        <v>514208</v>
      </c>
    </row>
    <row r="35" spans="1:36" x14ac:dyDescent="0.25">
      <c r="A35" t="s">
        <v>6036</v>
      </c>
      <c r="B35" t="s">
        <v>7951</v>
      </c>
      <c r="C35" t="s">
        <v>444</v>
      </c>
      <c r="D35" t="s">
        <v>7932</v>
      </c>
      <c r="E35" t="s">
        <v>233</v>
      </c>
      <c r="F35">
        <v>1</v>
      </c>
      <c r="G35" t="s">
        <v>193</v>
      </c>
      <c r="H35" t="s">
        <v>194</v>
      </c>
      <c r="I35" t="s">
        <v>7860</v>
      </c>
      <c r="J35" t="s">
        <v>210</v>
      </c>
      <c r="K35">
        <v>18</v>
      </c>
      <c r="L35" t="s">
        <v>7952</v>
      </c>
      <c r="M35" t="s">
        <v>6302</v>
      </c>
      <c r="N35" t="s">
        <v>7940</v>
      </c>
      <c r="O35" t="s">
        <v>7874</v>
      </c>
      <c r="P35" t="s">
        <v>7941</v>
      </c>
      <c r="Q35">
        <v>1951187</v>
      </c>
      <c r="R35">
        <v>18513580</v>
      </c>
      <c r="T35">
        <v>1863</v>
      </c>
      <c r="U35" t="s">
        <v>445</v>
      </c>
      <c r="V35" t="s">
        <v>194</v>
      </c>
      <c r="W35">
        <v>1</v>
      </c>
      <c r="Y35" t="s">
        <v>7953</v>
      </c>
      <c r="AE35" t="s">
        <v>7954</v>
      </c>
      <c r="AF35" t="s">
        <v>4714</v>
      </c>
      <c r="AG35" t="s">
        <v>7951</v>
      </c>
      <c r="AI35" t="s">
        <v>6955</v>
      </c>
      <c r="AJ35" s="28" t="str">
        <f t="shared" si="0"/>
        <v>243103</v>
      </c>
    </row>
    <row r="36" spans="1:36" x14ac:dyDescent="0.25">
      <c r="A36" t="s">
        <v>7955</v>
      </c>
      <c r="B36" t="s">
        <v>7956</v>
      </c>
      <c r="C36" t="s">
        <v>3676</v>
      </c>
      <c r="D36" t="s">
        <v>7932</v>
      </c>
      <c r="E36" t="s">
        <v>233</v>
      </c>
      <c r="F36">
        <v>1</v>
      </c>
      <c r="G36" t="s">
        <v>193</v>
      </c>
      <c r="H36" t="s">
        <v>194</v>
      </c>
      <c r="I36" t="s">
        <v>7803</v>
      </c>
      <c r="J36" t="s">
        <v>276</v>
      </c>
      <c r="K36">
        <v>18</v>
      </c>
      <c r="L36" t="s">
        <v>7957</v>
      </c>
      <c r="M36" t="s">
        <v>6277</v>
      </c>
      <c r="N36" t="s">
        <v>7940</v>
      </c>
      <c r="O36" t="s">
        <v>7874</v>
      </c>
      <c r="P36" t="s">
        <v>7941</v>
      </c>
      <c r="Q36">
        <v>1950846</v>
      </c>
      <c r="R36">
        <v>18513227</v>
      </c>
      <c r="T36">
        <v>1803</v>
      </c>
      <c r="U36" t="s">
        <v>3677</v>
      </c>
      <c r="V36" t="s">
        <v>194</v>
      </c>
      <c r="W36">
        <v>1</v>
      </c>
      <c r="Y36" t="s">
        <v>7958</v>
      </c>
      <c r="AE36" t="s">
        <v>7959</v>
      </c>
      <c r="AF36" t="s">
        <v>4714</v>
      </c>
      <c r="AG36" t="s">
        <v>7956</v>
      </c>
      <c r="AI36" t="s">
        <v>6955</v>
      </c>
      <c r="AJ36" s="28" t="str">
        <f t="shared" si="0"/>
        <v>121901</v>
      </c>
    </row>
    <row r="37" spans="1:36" x14ac:dyDescent="0.25">
      <c r="A37" t="s">
        <v>7960</v>
      </c>
      <c r="B37" t="s">
        <v>7961</v>
      </c>
      <c r="C37" t="s">
        <v>113</v>
      </c>
      <c r="D37" t="s">
        <v>7932</v>
      </c>
      <c r="E37" t="s">
        <v>233</v>
      </c>
      <c r="F37">
        <v>1</v>
      </c>
      <c r="G37" t="s">
        <v>193</v>
      </c>
      <c r="H37" t="s">
        <v>194</v>
      </c>
      <c r="I37" t="s">
        <v>7933</v>
      </c>
      <c r="J37" t="s">
        <v>210</v>
      </c>
      <c r="K37">
        <v>18</v>
      </c>
      <c r="L37" t="s">
        <v>7962</v>
      </c>
      <c r="M37" t="s">
        <v>6249</v>
      </c>
      <c r="N37" t="s">
        <v>7940</v>
      </c>
      <c r="O37" t="s">
        <v>7874</v>
      </c>
      <c r="P37" t="s">
        <v>7941</v>
      </c>
      <c r="Q37">
        <v>1950925</v>
      </c>
      <c r="R37">
        <v>18513309</v>
      </c>
      <c r="T37">
        <v>1863</v>
      </c>
      <c r="U37" t="s">
        <v>465</v>
      </c>
      <c r="V37" t="s">
        <v>194</v>
      </c>
      <c r="W37">
        <v>1</v>
      </c>
      <c r="Y37" t="s">
        <v>7963</v>
      </c>
      <c r="AE37" t="s">
        <v>7964</v>
      </c>
      <c r="AF37" t="s">
        <v>4714</v>
      </c>
      <c r="AG37" t="s">
        <v>7961</v>
      </c>
      <c r="AI37" t="s">
        <v>6955</v>
      </c>
      <c r="AJ37" s="28" t="str">
        <f t="shared" si="0"/>
        <v>243302</v>
      </c>
    </row>
    <row r="38" spans="1:36" x14ac:dyDescent="0.25">
      <c r="A38" t="s">
        <v>7960</v>
      </c>
      <c r="B38" t="s">
        <v>7965</v>
      </c>
      <c r="C38" t="s">
        <v>542</v>
      </c>
      <c r="D38" t="s">
        <v>7932</v>
      </c>
      <c r="E38" t="s">
        <v>233</v>
      </c>
      <c r="F38">
        <v>1</v>
      </c>
      <c r="G38" t="s">
        <v>193</v>
      </c>
      <c r="H38" t="s">
        <v>194</v>
      </c>
      <c r="I38" t="s">
        <v>7860</v>
      </c>
      <c r="J38" t="s">
        <v>210</v>
      </c>
      <c r="K38">
        <v>18</v>
      </c>
      <c r="L38" t="s">
        <v>7966</v>
      </c>
      <c r="M38" t="s">
        <v>7833</v>
      </c>
      <c r="N38" t="s">
        <v>7940</v>
      </c>
      <c r="O38" t="s">
        <v>7874</v>
      </c>
      <c r="P38" t="s">
        <v>7941</v>
      </c>
      <c r="Q38">
        <v>1951142</v>
      </c>
      <c r="R38">
        <v>18513534</v>
      </c>
      <c r="T38">
        <v>1863</v>
      </c>
      <c r="U38" t="s">
        <v>543</v>
      </c>
      <c r="V38" t="s">
        <v>194</v>
      </c>
      <c r="W38">
        <v>1</v>
      </c>
      <c r="Y38" t="s">
        <v>7967</v>
      </c>
      <c r="AE38" t="s">
        <v>7968</v>
      </c>
      <c r="AF38" t="s">
        <v>4714</v>
      </c>
      <c r="AG38" t="s">
        <v>7965</v>
      </c>
      <c r="AI38" t="s">
        <v>6955</v>
      </c>
      <c r="AJ38" s="28" t="str">
        <f t="shared" si="0"/>
        <v>264304</v>
      </c>
    </row>
    <row r="39" spans="1:36" x14ac:dyDescent="0.25">
      <c r="A39" t="s">
        <v>7969</v>
      </c>
      <c r="B39" t="s">
        <v>1114</v>
      </c>
      <c r="C39" t="s">
        <v>354</v>
      </c>
      <c r="D39" t="s">
        <v>7932</v>
      </c>
      <c r="E39" t="s">
        <v>233</v>
      </c>
      <c r="F39">
        <v>1</v>
      </c>
      <c r="G39" t="s">
        <v>193</v>
      </c>
      <c r="H39" t="s">
        <v>194</v>
      </c>
      <c r="I39" t="s">
        <v>7803</v>
      </c>
      <c r="J39" t="s">
        <v>210</v>
      </c>
      <c r="K39">
        <v>18</v>
      </c>
      <c r="L39" t="s">
        <v>7970</v>
      </c>
      <c r="M39" t="s">
        <v>6256</v>
      </c>
      <c r="N39" t="s">
        <v>7940</v>
      </c>
      <c r="O39" t="s">
        <v>7874</v>
      </c>
      <c r="P39" t="s">
        <v>7971</v>
      </c>
      <c r="Q39">
        <v>1949802</v>
      </c>
      <c r="R39">
        <v>18274226</v>
      </c>
      <c r="T39">
        <v>1863</v>
      </c>
      <c r="U39" t="s">
        <v>355</v>
      </c>
      <c r="V39" t="s">
        <v>194</v>
      </c>
      <c r="W39">
        <v>1</v>
      </c>
      <c r="Y39" t="s">
        <v>7972</v>
      </c>
      <c r="AE39" t="s">
        <v>7973</v>
      </c>
      <c r="AF39" t="s">
        <v>4714</v>
      </c>
      <c r="AG39" t="s">
        <v>1114</v>
      </c>
      <c r="AI39" t="s">
        <v>6955</v>
      </c>
      <c r="AJ39" s="28" t="str">
        <f t="shared" si="0"/>
        <v>215103</v>
      </c>
    </row>
    <row r="40" spans="1:36" x14ac:dyDescent="0.25">
      <c r="A40" t="s">
        <v>1471</v>
      </c>
      <c r="B40" t="s">
        <v>7974</v>
      </c>
      <c r="C40" t="s">
        <v>67</v>
      </c>
      <c r="D40" t="s">
        <v>7932</v>
      </c>
      <c r="E40" t="s">
        <v>233</v>
      </c>
      <c r="F40">
        <v>1</v>
      </c>
      <c r="G40" t="s">
        <v>193</v>
      </c>
      <c r="H40" t="s">
        <v>194</v>
      </c>
      <c r="I40" t="s">
        <v>7803</v>
      </c>
      <c r="J40" t="s">
        <v>253</v>
      </c>
      <c r="K40">
        <v>18</v>
      </c>
      <c r="L40" t="s">
        <v>7975</v>
      </c>
      <c r="M40" t="s">
        <v>6266</v>
      </c>
      <c r="N40" t="s">
        <v>7940</v>
      </c>
      <c r="O40" t="s">
        <v>7874</v>
      </c>
      <c r="P40" t="s">
        <v>7976</v>
      </c>
      <c r="Q40">
        <v>1949985</v>
      </c>
      <c r="R40">
        <v>18395212</v>
      </c>
      <c r="T40">
        <v>1811</v>
      </c>
      <c r="U40" t="s">
        <v>709</v>
      </c>
      <c r="V40" t="s">
        <v>194</v>
      </c>
      <c r="W40">
        <v>1</v>
      </c>
      <c r="X40" t="s">
        <v>7977</v>
      </c>
      <c r="Y40" t="s">
        <v>7978</v>
      </c>
      <c r="AF40" t="s">
        <v>4714</v>
      </c>
      <c r="AG40" t="s">
        <v>7974</v>
      </c>
      <c r="AI40" t="s">
        <v>6955</v>
      </c>
      <c r="AJ40" s="28" t="str">
        <f t="shared" si="0"/>
        <v>432103</v>
      </c>
    </row>
    <row r="41" spans="1:36" x14ac:dyDescent="0.25">
      <c r="A41" t="s">
        <v>1471</v>
      </c>
      <c r="B41" t="s">
        <v>7979</v>
      </c>
      <c r="C41" t="s">
        <v>85</v>
      </c>
      <c r="D41" t="s">
        <v>7932</v>
      </c>
      <c r="E41" t="s">
        <v>233</v>
      </c>
      <c r="F41">
        <v>1</v>
      </c>
      <c r="G41" t="s">
        <v>193</v>
      </c>
      <c r="H41" t="s">
        <v>194</v>
      </c>
      <c r="I41" t="s">
        <v>7933</v>
      </c>
      <c r="J41" t="s">
        <v>367</v>
      </c>
      <c r="K41">
        <v>18</v>
      </c>
      <c r="L41" t="s">
        <v>7980</v>
      </c>
      <c r="M41" t="s">
        <v>6249</v>
      </c>
      <c r="N41" t="s">
        <v>7940</v>
      </c>
      <c r="O41" t="s">
        <v>7874</v>
      </c>
      <c r="P41" t="s">
        <v>7941</v>
      </c>
      <c r="Q41">
        <v>1950971</v>
      </c>
      <c r="R41">
        <v>18513356</v>
      </c>
      <c r="T41">
        <v>1805</v>
      </c>
      <c r="U41" t="s">
        <v>477</v>
      </c>
      <c r="V41" t="s">
        <v>194</v>
      </c>
      <c r="W41">
        <v>1</v>
      </c>
      <c r="X41" t="s">
        <v>7981</v>
      </c>
      <c r="Y41" t="s">
        <v>7982</v>
      </c>
      <c r="AE41" t="s">
        <v>7983</v>
      </c>
      <c r="AF41" t="s">
        <v>4714</v>
      </c>
      <c r="AG41" t="s">
        <v>7979</v>
      </c>
      <c r="AI41" t="s">
        <v>6955</v>
      </c>
      <c r="AJ41" s="28" t="str">
        <f t="shared" si="0"/>
        <v>243305</v>
      </c>
    </row>
    <row r="42" spans="1:36" x14ac:dyDescent="0.25">
      <c r="A42" t="s">
        <v>540</v>
      </c>
      <c r="B42" t="s">
        <v>7984</v>
      </c>
      <c r="C42" t="s">
        <v>7985</v>
      </c>
      <c r="D42" t="s">
        <v>7932</v>
      </c>
      <c r="E42" t="s">
        <v>252</v>
      </c>
      <c r="F42">
        <v>1</v>
      </c>
      <c r="G42" t="s">
        <v>193</v>
      </c>
      <c r="H42" t="s">
        <v>194</v>
      </c>
      <c r="I42" t="s">
        <v>7824</v>
      </c>
      <c r="J42" t="s">
        <v>210</v>
      </c>
      <c r="K42">
        <v>18</v>
      </c>
      <c r="L42" t="s">
        <v>7986</v>
      </c>
      <c r="M42" t="s">
        <v>6245</v>
      </c>
      <c r="N42" t="s">
        <v>7935</v>
      </c>
      <c r="O42" t="s">
        <v>7932</v>
      </c>
      <c r="P42" t="s">
        <v>7987</v>
      </c>
      <c r="Q42">
        <v>1950489</v>
      </c>
      <c r="R42">
        <v>18511413</v>
      </c>
      <c r="T42">
        <v>1863</v>
      </c>
      <c r="U42" t="s">
        <v>1118</v>
      </c>
      <c r="V42" t="s">
        <v>194</v>
      </c>
      <c r="W42">
        <v>1</v>
      </c>
      <c r="Y42" t="s">
        <v>7988</v>
      </c>
      <c r="AE42" t="s">
        <v>7989</v>
      </c>
      <c r="AF42" t="s">
        <v>4714</v>
      </c>
      <c r="AI42" t="s">
        <v>6955</v>
      </c>
      <c r="AJ42" s="28" t="str">
        <f t="shared" si="0"/>
        <v>214205</v>
      </c>
    </row>
    <row r="43" spans="1:36" x14ac:dyDescent="0.25">
      <c r="A43" t="s">
        <v>7990</v>
      </c>
      <c r="B43" t="s">
        <v>7991</v>
      </c>
      <c r="C43" t="s">
        <v>822</v>
      </c>
      <c r="D43" t="s">
        <v>7932</v>
      </c>
      <c r="E43" t="s">
        <v>252</v>
      </c>
      <c r="F43">
        <v>1</v>
      </c>
      <c r="G43" t="s">
        <v>193</v>
      </c>
      <c r="H43" t="s">
        <v>194</v>
      </c>
      <c r="I43" t="s">
        <v>7860</v>
      </c>
      <c r="J43" t="s">
        <v>210</v>
      </c>
      <c r="K43">
        <v>18</v>
      </c>
      <c r="L43" t="s">
        <v>7992</v>
      </c>
      <c r="M43" t="s">
        <v>6245</v>
      </c>
      <c r="N43" t="s">
        <v>7935</v>
      </c>
      <c r="O43" t="s">
        <v>7993</v>
      </c>
      <c r="P43" t="s">
        <v>7836</v>
      </c>
      <c r="Q43">
        <v>1950167</v>
      </c>
      <c r="R43">
        <v>18510674</v>
      </c>
      <c r="T43">
        <v>1863</v>
      </c>
      <c r="U43" t="s">
        <v>823</v>
      </c>
      <c r="V43" t="s">
        <v>194</v>
      </c>
      <c r="W43">
        <v>1</v>
      </c>
      <c r="Y43" t="s">
        <v>7994</v>
      </c>
      <c r="AE43" t="s">
        <v>7995</v>
      </c>
      <c r="AF43" t="s">
        <v>4714</v>
      </c>
      <c r="AI43" t="s">
        <v>6955</v>
      </c>
      <c r="AJ43" s="28" t="str">
        <f t="shared" si="0"/>
        <v>741103</v>
      </c>
    </row>
    <row r="44" spans="1:36" x14ac:dyDescent="0.25">
      <c r="A44" t="s">
        <v>5372</v>
      </c>
      <c r="B44" t="s">
        <v>7780</v>
      </c>
      <c r="C44" t="s">
        <v>63</v>
      </c>
      <c r="D44" t="s">
        <v>7932</v>
      </c>
      <c r="E44" t="s">
        <v>233</v>
      </c>
      <c r="F44">
        <v>1</v>
      </c>
      <c r="G44" t="s">
        <v>193</v>
      </c>
      <c r="H44" t="s">
        <v>194</v>
      </c>
      <c r="I44" t="s">
        <v>7860</v>
      </c>
      <c r="J44" t="s">
        <v>210</v>
      </c>
      <c r="K44">
        <v>18</v>
      </c>
      <c r="L44" t="s">
        <v>7996</v>
      </c>
      <c r="M44" t="s">
        <v>6923</v>
      </c>
      <c r="N44" t="s">
        <v>7940</v>
      </c>
      <c r="O44" t="s">
        <v>7874</v>
      </c>
      <c r="P44" t="s">
        <v>7941</v>
      </c>
      <c r="Q44">
        <v>1950958</v>
      </c>
      <c r="R44">
        <v>18513343</v>
      </c>
      <c r="T44">
        <v>1863</v>
      </c>
      <c r="U44" t="s">
        <v>2104</v>
      </c>
      <c r="V44" t="s">
        <v>194</v>
      </c>
      <c r="W44">
        <v>1</v>
      </c>
      <c r="Y44" t="s">
        <v>7997</v>
      </c>
      <c r="AE44" t="s">
        <v>7998</v>
      </c>
      <c r="AF44" t="s">
        <v>4714</v>
      </c>
      <c r="AG44" t="s">
        <v>7780</v>
      </c>
      <c r="AI44" t="s">
        <v>6955</v>
      </c>
      <c r="AJ44" s="28" t="str">
        <f t="shared" si="0"/>
        <v>311201</v>
      </c>
    </row>
    <row r="45" spans="1:36" x14ac:dyDescent="0.25">
      <c r="A45" t="s">
        <v>6834</v>
      </c>
      <c r="B45" t="s">
        <v>6835</v>
      </c>
      <c r="C45" t="s">
        <v>1325</v>
      </c>
      <c r="D45" t="s">
        <v>7932</v>
      </c>
      <c r="E45" t="s">
        <v>252</v>
      </c>
      <c r="F45">
        <v>1</v>
      </c>
      <c r="G45" t="s">
        <v>193</v>
      </c>
      <c r="H45" t="s">
        <v>194</v>
      </c>
      <c r="I45" t="s">
        <v>7803</v>
      </c>
      <c r="J45" t="s">
        <v>3838</v>
      </c>
      <c r="K45">
        <v>18</v>
      </c>
      <c r="L45" t="s">
        <v>7999</v>
      </c>
      <c r="M45" t="s">
        <v>6275</v>
      </c>
      <c r="N45" t="s">
        <v>7935</v>
      </c>
      <c r="O45" t="s">
        <v>8000</v>
      </c>
      <c r="P45" t="s">
        <v>7932</v>
      </c>
      <c r="Q45">
        <v>1950696</v>
      </c>
      <c r="R45">
        <v>18512372</v>
      </c>
      <c r="U45" t="s">
        <v>1327</v>
      </c>
      <c r="V45" t="s">
        <v>193</v>
      </c>
      <c r="W45">
        <v>25</v>
      </c>
      <c r="AF45" t="s">
        <v>4714</v>
      </c>
      <c r="AI45" t="s">
        <v>6955</v>
      </c>
      <c r="AJ45" s="28" t="str">
        <f t="shared" si="0"/>
        <v>931301</v>
      </c>
    </row>
    <row r="46" spans="1:36" x14ac:dyDescent="0.25">
      <c r="A46" t="s">
        <v>8001</v>
      </c>
      <c r="B46" t="s">
        <v>2124</v>
      </c>
      <c r="C46" t="s">
        <v>13</v>
      </c>
      <c r="D46" t="s">
        <v>7932</v>
      </c>
      <c r="E46" t="s">
        <v>233</v>
      </c>
      <c r="F46">
        <v>1</v>
      </c>
      <c r="G46" t="s">
        <v>193</v>
      </c>
      <c r="H46" t="s">
        <v>194</v>
      </c>
      <c r="I46" t="s">
        <v>7860</v>
      </c>
      <c r="J46" t="s">
        <v>399</v>
      </c>
      <c r="K46">
        <v>18</v>
      </c>
      <c r="L46" t="s">
        <v>8002</v>
      </c>
      <c r="M46" t="s">
        <v>8003</v>
      </c>
      <c r="N46" t="s">
        <v>7940</v>
      </c>
      <c r="O46" t="s">
        <v>7874</v>
      </c>
      <c r="P46" t="s">
        <v>7886</v>
      </c>
      <c r="Q46">
        <v>1951299</v>
      </c>
      <c r="R46">
        <v>18513715</v>
      </c>
      <c r="T46">
        <v>1802</v>
      </c>
      <c r="U46" t="s">
        <v>2125</v>
      </c>
      <c r="V46" t="s">
        <v>194</v>
      </c>
      <c r="W46">
        <v>1</v>
      </c>
      <c r="X46">
        <v>74252</v>
      </c>
      <c r="Y46" t="s">
        <v>8004</v>
      </c>
      <c r="AE46" t="s">
        <v>8005</v>
      </c>
      <c r="AF46" t="s">
        <v>4714</v>
      </c>
      <c r="AG46" t="s">
        <v>2124</v>
      </c>
      <c r="AI46" t="s">
        <v>6955</v>
      </c>
      <c r="AJ46" s="28" t="str">
        <f t="shared" si="0"/>
        <v>225101</v>
      </c>
    </row>
    <row r="47" spans="1:36" x14ac:dyDescent="0.25">
      <c r="A47" t="s">
        <v>8006</v>
      </c>
      <c r="B47" t="s">
        <v>632</v>
      </c>
      <c r="C47" t="s">
        <v>17</v>
      </c>
      <c r="D47" t="s">
        <v>7932</v>
      </c>
      <c r="E47" t="s">
        <v>233</v>
      </c>
      <c r="F47">
        <v>1</v>
      </c>
      <c r="G47" t="s">
        <v>193</v>
      </c>
      <c r="H47" t="s">
        <v>194</v>
      </c>
      <c r="I47" t="s">
        <v>7860</v>
      </c>
      <c r="J47" t="s">
        <v>210</v>
      </c>
      <c r="K47">
        <v>18</v>
      </c>
      <c r="L47" t="s">
        <v>8007</v>
      </c>
      <c r="M47" t="s">
        <v>6249</v>
      </c>
      <c r="N47" t="s">
        <v>8008</v>
      </c>
      <c r="O47" t="s">
        <v>8009</v>
      </c>
      <c r="P47" t="s">
        <v>7932</v>
      </c>
      <c r="Q47">
        <v>1949745</v>
      </c>
      <c r="R47">
        <v>18172302</v>
      </c>
      <c r="T47">
        <v>1863</v>
      </c>
      <c r="U47" t="s">
        <v>624</v>
      </c>
      <c r="V47" t="s">
        <v>194</v>
      </c>
      <c r="W47">
        <v>1</v>
      </c>
      <c r="Y47" t="s">
        <v>8010</v>
      </c>
      <c r="AE47" t="s">
        <v>8011</v>
      </c>
      <c r="AF47" t="s">
        <v>4714</v>
      </c>
      <c r="AG47" t="s">
        <v>17</v>
      </c>
      <c r="AI47" t="s">
        <v>6955</v>
      </c>
      <c r="AJ47" s="28" t="str">
        <f t="shared" si="0"/>
        <v>332203</v>
      </c>
    </row>
    <row r="48" spans="1:36" x14ac:dyDescent="0.25">
      <c r="A48" t="s">
        <v>8012</v>
      </c>
      <c r="B48" t="s">
        <v>8013</v>
      </c>
      <c r="C48" t="s">
        <v>17</v>
      </c>
      <c r="D48" t="s">
        <v>7932</v>
      </c>
      <c r="E48" t="s">
        <v>252</v>
      </c>
      <c r="F48">
        <v>1</v>
      </c>
      <c r="G48" t="s">
        <v>193</v>
      </c>
      <c r="H48" t="s">
        <v>194</v>
      </c>
      <c r="I48" t="s">
        <v>7860</v>
      </c>
      <c r="J48" t="s">
        <v>210</v>
      </c>
      <c r="K48">
        <v>18</v>
      </c>
      <c r="L48" t="s">
        <v>8014</v>
      </c>
      <c r="M48" t="s">
        <v>6269</v>
      </c>
      <c r="N48" t="s">
        <v>7935</v>
      </c>
      <c r="O48" t="s">
        <v>8015</v>
      </c>
      <c r="P48" t="s">
        <v>7941</v>
      </c>
      <c r="Q48">
        <v>1950800</v>
      </c>
      <c r="R48">
        <v>18512514</v>
      </c>
      <c r="T48">
        <v>1863</v>
      </c>
      <c r="U48" t="s">
        <v>624</v>
      </c>
      <c r="V48" t="s">
        <v>194</v>
      </c>
      <c r="W48">
        <v>1</v>
      </c>
      <c r="AF48" t="s">
        <v>4714</v>
      </c>
      <c r="AI48" t="s">
        <v>6955</v>
      </c>
      <c r="AJ48" s="28" t="str">
        <f t="shared" si="0"/>
        <v>332203</v>
      </c>
    </row>
    <row r="49" spans="1:36" x14ac:dyDescent="0.25">
      <c r="A49" t="s">
        <v>4022</v>
      </c>
      <c r="B49" t="s">
        <v>8016</v>
      </c>
      <c r="C49" t="s">
        <v>99</v>
      </c>
      <c r="D49" t="s">
        <v>7932</v>
      </c>
      <c r="E49" t="s">
        <v>217</v>
      </c>
      <c r="F49">
        <v>1</v>
      </c>
      <c r="G49" t="s">
        <v>193</v>
      </c>
      <c r="H49" t="s">
        <v>194</v>
      </c>
      <c r="I49" t="s">
        <v>7933</v>
      </c>
      <c r="J49" t="s">
        <v>210</v>
      </c>
      <c r="K49">
        <v>18</v>
      </c>
      <c r="L49" t="s">
        <v>8017</v>
      </c>
      <c r="M49" t="s">
        <v>6286</v>
      </c>
      <c r="N49" t="s">
        <v>8018</v>
      </c>
      <c r="O49" t="s">
        <v>8019</v>
      </c>
      <c r="P49" t="s">
        <v>8020</v>
      </c>
      <c r="Q49">
        <v>1949859</v>
      </c>
      <c r="R49">
        <v>18394771</v>
      </c>
      <c r="T49">
        <v>1863</v>
      </c>
      <c r="U49" t="s">
        <v>2421</v>
      </c>
      <c r="V49" t="s">
        <v>194</v>
      </c>
      <c r="W49">
        <v>1</v>
      </c>
      <c r="Y49" t="s">
        <v>4903</v>
      </c>
      <c r="AE49" t="s">
        <v>8021</v>
      </c>
      <c r="AF49" t="s">
        <v>4714</v>
      </c>
      <c r="AI49" t="s">
        <v>6955</v>
      </c>
      <c r="AJ49" s="28" t="str">
        <f t="shared" si="0"/>
        <v>412001</v>
      </c>
    </row>
    <row r="50" spans="1:36" x14ac:dyDescent="0.25">
      <c r="A50" t="s">
        <v>4022</v>
      </c>
      <c r="B50" t="s">
        <v>8022</v>
      </c>
      <c r="C50" t="s">
        <v>7617</v>
      </c>
      <c r="D50" t="s">
        <v>7932</v>
      </c>
      <c r="E50" t="s">
        <v>217</v>
      </c>
      <c r="F50">
        <v>10</v>
      </c>
      <c r="G50" t="s">
        <v>193</v>
      </c>
      <c r="H50" t="s">
        <v>194</v>
      </c>
      <c r="I50" t="s">
        <v>7933</v>
      </c>
      <c r="J50" t="s">
        <v>210</v>
      </c>
      <c r="K50">
        <v>18</v>
      </c>
      <c r="L50" t="s">
        <v>8023</v>
      </c>
      <c r="M50" t="s">
        <v>6290</v>
      </c>
      <c r="N50" t="s">
        <v>8018</v>
      </c>
      <c r="O50" t="s">
        <v>8019</v>
      </c>
      <c r="P50" t="s">
        <v>8020</v>
      </c>
      <c r="Q50">
        <v>1949964</v>
      </c>
      <c r="R50">
        <v>18394954</v>
      </c>
      <c r="T50" t="s">
        <v>8024</v>
      </c>
      <c r="U50" t="s">
        <v>7620</v>
      </c>
      <c r="V50" t="s">
        <v>194</v>
      </c>
      <c r="W50">
        <v>9</v>
      </c>
      <c r="Y50" t="s">
        <v>4903</v>
      </c>
      <c r="AE50" t="s">
        <v>8025</v>
      </c>
      <c r="AF50" t="s">
        <v>4714</v>
      </c>
      <c r="AI50" t="s">
        <v>6955</v>
      </c>
      <c r="AJ50" s="28" t="str">
        <f t="shared" si="0"/>
        <v>516903</v>
      </c>
    </row>
    <row r="51" spans="1:36" x14ac:dyDescent="0.25">
      <c r="A51" t="s">
        <v>8026</v>
      </c>
      <c r="B51" t="s">
        <v>8027</v>
      </c>
      <c r="C51" t="s">
        <v>3385</v>
      </c>
      <c r="D51" t="s">
        <v>7932</v>
      </c>
      <c r="E51" t="s">
        <v>233</v>
      </c>
      <c r="F51">
        <v>1</v>
      </c>
      <c r="G51" t="s">
        <v>193</v>
      </c>
      <c r="H51" t="s">
        <v>194</v>
      </c>
      <c r="I51" t="s">
        <v>7860</v>
      </c>
      <c r="J51" t="s">
        <v>253</v>
      </c>
      <c r="K51">
        <v>18</v>
      </c>
      <c r="L51" t="s">
        <v>8028</v>
      </c>
      <c r="M51" t="s">
        <v>6266</v>
      </c>
      <c r="N51" t="s">
        <v>7940</v>
      </c>
      <c r="O51" t="s">
        <v>7874</v>
      </c>
      <c r="P51" t="s">
        <v>7976</v>
      </c>
      <c r="Q51">
        <v>1949995</v>
      </c>
      <c r="R51">
        <v>18395256</v>
      </c>
      <c r="T51">
        <v>1811</v>
      </c>
      <c r="U51" t="s">
        <v>3386</v>
      </c>
      <c r="V51" t="s">
        <v>194</v>
      </c>
      <c r="W51">
        <v>1</v>
      </c>
      <c r="Y51" t="s">
        <v>8029</v>
      </c>
      <c r="AE51" t="s">
        <v>8030</v>
      </c>
      <c r="AF51" t="s">
        <v>4714</v>
      </c>
      <c r="AG51" t="s">
        <v>8027</v>
      </c>
      <c r="AI51" t="s">
        <v>6955</v>
      </c>
      <c r="AJ51" s="28" t="str">
        <f t="shared" si="0"/>
        <v>834316</v>
      </c>
    </row>
    <row r="52" spans="1:36" x14ac:dyDescent="0.25">
      <c r="A52" t="s">
        <v>2259</v>
      </c>
      <c r="B52" t="s">
        <v>2849</v>
      </c>
      <c r="C52" t="s">
        <v>10</v>
      </c>
      <c r="D52" t="s">
        <v>7932</v>
      </c>
      <c r="E52" t="s">
        <v>233</v>
      </c>
      <c r="F52">
        <v>1</v>
      </c>
      <c r="G52" t="s">
        <v>193</v>
      </c>
      <c r="H52" t="s">
        <v>194</v>
      </c>
      <c r="I52" t="s">
        <v>7860</v>
      </c>
      <c r="J52" t="s">
        <v>210</v>
      </c>
      <c r="K52">
        <v>18</v>
      </c>
      <c r="L52" t="s">
        <v>8031</v>
      </c>
      <c r="M52" t="s">
        <v>6261</v>
      </c>
      <c r="N52" t="s">
        <v>7940</v>
      </c>
      <c r="O52" t="s">
        <v>7874</v>
      </c>
      <c r="P52" t="s">
        <v>7941</v>
      </c>
      <c r="Q52">
        <v>1951121</v>
      </c>
      <c r="R52">
        <v>18513513</v>
      </c>
      <c r="T52">
        <v>1863</v>
      </c>
      <c r="U52" t="s">
        <v>484</v>
      </c>
      <c r="V52" t="s">
        <v>194</v>
      </c>
      <c r="W52">
        <v>1</v>
      </c>
      <c r="X52" t="s">
        <v>8032</v>
      </c>
      <c r="Y52" t="s">
        <v>8033</v>
      </c>
      <c r="AE52" t="s">
        <v>8034</v>
      </c>
      <c r="AF52" t="s">
        <v>4714</v>
      </c>
      <c r="AG52" t="s">
        <v>2849</v>
      </c>
      <c r="AI52" t="s">
        <v>6955</v>
      </c>
      <c r="AJ52" s="28" t="str">
        <f t="shared" si="0"/>
        <v>251401</v>
      </c>
    </row>
    <row r="53" spans="1:36" x14ac:dyDescent="0.25">
      <c r="A53" t="s">
        <v>8035</v>
      </c>
      <c r="B53" t="s">
        <v>8036</v>
      </c>
      <c r="C53" t="s">
        <v>778</v>
      </c>
      <c r="D53" t="s">
        <v>7932</v>
      </c>
      <c r="E53" t="s">
        <v>233</v>
      </c>
      <c r="F53">
        <v>1</v>
      </c>
      <c r="G53" t="s">
        <v>193</v>
      </c>
      <c r="H53" t="s">
        <v>194</v>
      </c>
      <c r="I53" t="s">
        <v>7824</v>
      </c>
      <c r="J53" t="s">
        <v>276</v>
      </c>
      <c r="K53">
        <v>18</v>
      </c>
      <c r="L53" t="s">
        <v>8037</v>
      </c>
      <c r="M53" t="s">
        <v>6249</v>
      </c>
      <c r="N53" t="s">
        <v>7940</v>
      </c>
      <c r="O53" t="s">
        <v>7874</v>
      </c>
      <c r="P53" t="s">
        <v>7976</v>
      </c>
      <c r="Q53">
        <v>1949978</v>
      </c>
      <c r="R53">
        <v>18395139</v>
      </c>
      <c r="T53">
        <v>1803</v>
      </c>
      <c r="U53" t="s">
        <v>779</v>
      </c>
      <c r="V53" t="s">
        <v>194</v>
      </c>
      <c r="W53">
        <v>1</v>
      </c>
      <c r="Y53" t="s">
        <v>8038</v>
      </c>
      <c r="AE53" t="s">
        <v>8039</v>
      </c>
      <c r="AF53" t="s">
        <v>4714</v>
      </c>
      <c r="AG53" t="s">
        <v>8036</v>
      </c>
      <c r="AI53" t="s">
        <v>6955</v>
      </c>
      <c r="AJ53" s="28" t="str">
        <f t="shared" si="0"/>
        <v>524902</v>
      </c>
    </row>
    <row r="54" spans="1:36" x14ac:dyDescent="0.25">
      <c r="A54" t="s">
        <v>581</v>
      </c>
      <c r="B54" t="s">
        <v>2198</v>
      </c>
      <c r="C54" t="s">
        <v>62</v>
      </c>
      <c r="D54" t="s">
        <v>7932</v>
      </c>
      <c r="E54" t="s">
        <v>252</v>
      </c>
      <c r="F54">
        <v>1</v>
      </c>
      <c r="G54" t="s">
        <v>193</v>
      </c>
      <c r="H54" t="s">
        <v>194</v>
      </c>
      <c r="I54" t="s">
        <v>7803</v>
      </c>
      <c r="J54" t="s">
        <v>253</v>
      </c>
      <c r="K54">
        <v>18</v>
      </c>
      <c r="L54" t="s">
        <v>8040</v>
      </c>
      <c r="M54" t="s">
        <v>6275</v>
      </c>
      <c r="N54" t="s">
        <v>7935</v>
      </c>
      <c r="O54" t="s">
        <v>8041</v>
      </c>
      <c r="P54" t="s">
        <v>7987</v>
      </c>
      <c r="Q54">
        <v>1950184</v>
      </c>
      <c r="R54">
        <v>18510728</v>
      </c>
      <c r="T54">
        <v>1811</v>
      </c>
      <c r="U54" t="s">
        <v>601</v>
      </c>
      <c r="V54" t="s">
        <v>194</v>
      </c>
      <c r="W54">
        <v>1</v>
      </c>
      <c r="Y54" t="s">
        <v>8042</v>
      </c>
      <c r="AE54" t="s">
        <v>8043</v>
      </c>
      <c r="AF54" t="s">
        <v>4714</v>
      </c>
      <c r="AI54" t="s">
        <v>6955</v>
      </c>
      <c r="AJ54" s="28" t="str">
        <f t="shared" si="0"/>
        <v>313904</v>
      </c>
    </row>
    <row r="55" spans="1:36" x14ac:dyDescent="0.25">
      <c r="A55" t="s">
        <v>8044</v>
      </c>
      <c r="B55" t="s">
        <v>2670</v>
      </c>
      <c r="C55" t="s">
        <v>166</v>
      </c>
      <c r="D55" t="s">
        <v>7932</v>
      </c>
      <c r="E55" t="s">
        <v>252</v>
      </c>
      <c r="F55">
        <v>1</v>
      </c>
      <c r="G55" t="s">
        <v>193</v>
      </c>
      <c r="H55" t="s">
        <v>194</v>
      </c>
      <c r="I55" t="s">
        <v>7860</v>
      </c>
      <c r="J55" t="s">
        <v>210</v>
      </c>
      <c r="K55">
        <v>18</v>
      </c>
      <c r="L55" t="s">
        <v>8045</v>
      </c>
      <c r="M55" t="s">
        <v>6269</v>
      </c>
      <c r="N55" t="s">
        <v>7935</v>
      </c>
      <c r="O55" t="s">
        <v>8046</v>
      </c>
      <c r="P55" t="s">
        <v>7971</v>
      </c>
      <c r="Q55">
        <v>1950161</v>
      </c>
      <c r="R55">
        <v>18510666</v>
      </c>
      <c r="T55">
        <v>1863</v>
      </c>
      <c r="U55" t="s">
        <v>580</v>
      </c>
      <c r="V55" t="s">
        <v>194</v>
      </c>
      <c r="W55">
        <v>1</v>
      </c>
      <c r="Y55" t="s">
        <v>8047</v>
      </c>
      <c r="AE55" t="s">
        <v>8048</v>
      </c>
      <c r="AF55" t="s">
        <v>4714</v>
      </c>
      <c r="AI55" t="s">
        <v>6955</v>
      </c>
      <c r="AJ55" s="28" t="str">
        <f t="shared" si="0"/>
        <v>311513</v>
      </c>
    </row>
    <row r="56" spans="1:36" x14ac:dyDescent="0.25">
      <c r="A56" t="s">
        <v>7854</v>
      </c>
      <c r="B56" t="s">
        <v>7855</v>
      </c>
      <c r="C56" t="s">
        <v>69</v>
      </c>
      <c r="D56" t="s">
        <v>7932</v>
      </c>
      <c r="E56" t="s">
        <v>217</v>
      </c>
      <c r="F56">
        <v>1</v>
      </c>
      <c r="G56" t="s">
        <v>193</v>
      </c>
      <c r="H56" t="s">
        <v>194</v>
      </c>
      <c r="I56" t="s">
        <v>7803</v>
      </c>
      <c r="J56" t="s">
        <v>210</v>
      </c>
      <c r="K56">
        <v>18</v>
      </c>
      <c r="L56" t="s">
        <v>7856</v>
      </c>
      <c r="M56" t="s">
        <v>6921</v>
      </c>
      <c r="N56" t="s">
        <v>8018</v>
      </c>
      <c r="O56" t="s">
        <v>8041</v>
      </c>
      <c r="P56" t="s">
        <v>7809</v>
      </c>
      <c r="Q56">
        <v>1949915</v>
      </c>
      <c r="R56">
        <v>18394872</v>
      </c>
      <c r="T56">
        <v>1863</v>
      </c>
      <c r="U56" t="s">
        <v>375</v>
      </c>
      <c r="V56" t="s">
        <v>194</v>
      </c>
      <c r="W56">
        <v>1</v>
      </c>
      <c r="Y56" t="s">
        <v>7857</v>
      </c>
      <c r="AE56" t="s">
        <v>4904</v>
      </c>
      <c r="AF56" t="s">
        <v>4714</v>
      </c>
      <c r="AI56" t="s">
        <v>6955</v>
      </c>
      <c r="AJ56" s="28" t="str">
        <f t="shared" si="0"/>
        <v>215301</v>
      </c>
    </row>
    <row r="57" spans="1:36" x14ac:dyDescent="0.25">
      <c r="A57" t="s">
        <v>4180</v>
      </c>
      <c r="B57" t="s">
        <v>6655</v>
      </c>
      <c r="C57" t="s">
        <v>6617</v>
      </c>
      <c r="D57" t="s">
        <v>7932</v>
      </c>
      <c r="E57" t="s">
        <v>252</v>
      </c>
      <c r="F57">
        <v>1</v>
      </c>
      <c r="G57" t="s">
        <v>193</v>
      </c>
      <c r="H57" t="s">
        <v>194</v>
      </c>
      <c r="I57" t="s">
        <v>7860</v>
      </c>
      <c r="J57" t="s">
        <v>210</v>
      </c>
      <c r="K57">
        <v>18</v>
      </c>
      <c r="L57" t="s">
        <v>8049</v>
      </c>
      <c r="M57" t="s">
        <v>6266</v>
      </c>
      <c r="N57" t="s">
        <v>7935</v>
      </c>
      <c r="O57" t="s">
        <v>8050</v>
      </c>
      <c r="P57" t="s">
        <v>8051</v>
      </c>
      <c r="Q57">
        <v>1950073</v>
      </c>
      <c r="R57">
        <v>18510531</v>
      </c>
      <c r="T57">
        <v>1863</v>
      </c>
      <c r="U57" t="s">
        <v>990</v>
      </c>
      <c r="V57" t="s">
        <v>194</v>
      </c>
      <c r="W57">
        <v>1</v>
      </c>
      <c r="AF57" t="s">
        <v>4714</v>
      </c>
      <c r="AI57" t="s">
        <v>6955</v>
      </c>
      <c r="AJ57" s="28" t="str">
        <f t="shared" si="0"/>
        <v>833202</v>
      </c>
    </row>
    <row r="58" spans="1:36" x14ac:dyDescent="0.25">
      <c r="A58" t="s">
        <v>8052</v>
      </c>
      <c r="B58" t="s">
        <v>1057</v>
      </c>
      <c r="C58" t="s">
        <v>74</v>
      </c>
      <c r="D58" t="s">
        <v>8053</v>
      </c>
      <c r="E58" t="s">
        <v>192</v>
      </c>
      <c r="F58">
        <v>1</v>
      </c>
      <c r="G58" t="s">
        <v>193</v>
      </c>
      <c r="H58" t="s">
        <v>194</v>
      </c>
      <c r="I58" t="s">
        <v>7860</v>
      </c>
      <c r="J58" t="s">
        <v>210</v>
      </c>
      <c r="K58">
        <v>18</v>
      </c>
      <c r="L58" t="s">
        <v>8054</v>
      </c>
      <c r="M58" t="s">
        <v>6249</v>
      </c>
      <c r="N58" t="s">
        <v>8055</v>
      </c>
      <c r="O58" t="s">
        <v>8056</v>
      </c>
      <c r="P58" t="s">
        <v>8057</v>
      </c>
      <c r="Q58">
        <v>1939436</v>
      </c>
      <c r="R58">
        <v>18367831</v>
      </c>
      <c r="T58">
        <v>1863</v>
      </c>
      <c r="U58" t="s">
        <v>246</v>
      </c>
      <c r="V58" t="s">
        <v>194</v>
      </c>
      <c r="W58">
        <v>1</v>
      </c>
      <c r="X58">
        <v>1000725915</v>
      </c>
      <c r="AF58" t="s">
        <v>4714</v>
      </c>
      <c r="AG58" t="s">
        <v>1057</v>
      </c>
      <c r="AI58" t="s">
        <v>6955</v>
      </c>
      <c r="AJ58" s="28" t="str">
        <f t="shared" si="0"/>
        <v>142004</v>
      </c>
    </row>
    <row r="59" spans="1:36" x14ac:dyDescent="0.25">
      <c r="A59" t="s">
        <v>8058</v>
      </c>
      <c r="B59" t="s">
        <v>8059</v>
      </c>
      <c r="C59" t="s">
        <v>17</v>
      </c>
      <c r="D59" t="s">
        <v>8053</v>
      </c>
      <c r="E59" t="s">
        <v>192</v>
      </c>
      <c r="F59">
        <v>1</v>
      </c>
      <c r="G59" t="s">
        <v>193</v>
      </c>
      <c r="H59" t="s">
        <v>194</v>
      </c>
      <c r="I59" t="s">
        <v>7933</v>
      </c>
      <c r="J59" t="s">
        <v>196</v>
      </c>
      <c r="K59">
        <v>18</v>
      </c>
      <c r="L59" t="s">
        <v>8060</v>
      </c>
      <c r="M59" t="s">
        <v>6254</v>
      </c>
      <c r="N59" t="s">
        <v>8055</v>
      </c>
      <c r="O59" t="s">
        <v>8056</v>
      </c>
      <c r="P59" t="s">
        <v>8057</v>
      </c>
      <c r="Q59">
        <v>1937708</v>
      </c>
      <c r="R59">
        <v>18366070</v>
      </c>
      <c r="U59" t="s">
        <v>624</v>
      </c>
      <c r="V59" t="s">
        <v>193</v>
      </c>
      <c r="W59">
        <v>25</v>
      </c>
      <c r="X59">
        <v>7891305</v>
      </c>
      <c r="AF59" t="s">
        <v>4714</v>
      </c>
      <c r="AG59" t="s">
        <v>8059</v>
      </c>
      <c r="AI59" t="s">
        <v>6955</v>
      </c>
      <c r="AJ59" s="28" t="str">
        <f t="shared" si="0"/>
        <v>332203</v>
      </c>
    </row>
    <row r="60" spans="1:36" x14ac:dyDescent="0.25">
      <c r="A60" t="s">
        <v>471</v>
      </c>
      <c r="B60" t="s">
        <v>8061</v>
      </c>
      <c r="C60" t="s">
        <v>106</v>
      </c>
      <c r="D60" t="s">
        <v>8053</v>
      </c>
      <c r="E60" t="s">
        <v>192</v>
      </c>
      <c r="F60">
        <v>1</v>
      </c>
      <c r="G60" t="s">
        <v>193</v>
      </c>
      <c r="H60" t="s">
        <v>194</v>
      </c>
      <c r="I60" t="s">
        <v>7860</v>
      </c>
      <c r="J60" t="s">
        <v>8062</v>
      </c>
      <c r="K60">
        <v>18</v>
      </c>
      <c r="L60" t="s">
        <v>8063</v>
      </c>
      <c r="M60" t="s">
        <v>6286</v>
      </c>
      <c r="N60" t="s">
        <v>8055</v>
      </c>
      <c r="O60" t="s">
        <v>8056</v>
      </c>
      <c r="P60" t="s">
        <v>8057</v>
      </c>
      <c r="Q60">
        <v>1939788</v>
      </c>
      <c r="R60">
        <v>18368189</v>
      </c>
      <c r="T60">
        <v>1815</v>
      </c>
      <c r="U60" t="s">
        <v>1783</v>
      </c>
      <c r="V60" t="s">
        <v>194</v>
      </c>
      <c r="W60">
        <v>1</v>
      </c>
      <c r="X60">
        <v>1000726712</v>
      </c>
      <c r="AF60" t="s">
        <v>4714</v>
      </c>
      <c r="AG60" t="s">
        <v>8061</v>
      </c>
      <c r="AI60" t="s">
        <v>6955</v>
      </c>
      <c r="AJ60" s="28" t="str">
        <f t="shared" si="0"/>
        <v>334302</v>
      </c>
    </row>
    <row r="61" spans="1:36" x14ac:dyDescent="0.25">
      <c r="A61" t="s">
        <v>1207</v>
      </c>
      <c r="B61" t="s">
        <v>8064</v>
      </c>
      <c r="C61" t="s">
        <v>113</v>
      </c>
      <c r="D61" t="s">
        <v>8053</v>
      </c>
      <c r="E61" t="s">
        <v>192</v>
      </c>
      <c r="F61">
        <v>1</v>
      </c>
      <c r="G61" t="s">
        <v>193</v>
      </c>
      <c r="H61" t="s">
        <v>194</v>
      </c>
      <c r="I61" t="s">
        <v>7860</v>
      </c>
      <c r="J61" t="s">
        <v>223</v>
      </c>
      <c r="K61">
        <v>18</v>
      </c>
      <c r="L61" t="s">
        <v>8065</v>
      </c>
      <c r="M61" t="s">
        <v>6254</v>
      </c>
      <c r="N61" t="s">
        <v>8055</v>
      </c>
      <c r="O61" t="s">
        <v>8056</v>
      </c>
      <c r="P61" t="s">
        <v>8066</v>
      </c>
      <c r="Q61">
        <v>1939469</v>
      </c>
      <c r="R61">
        <v>18367867</v>
      </c>
      <c r="T61">
        <v>1804</v>
      </c>
      <c r="U61" t="s">
        <v>465</v>
      </c>
      <c r="V61" t="s">
        <v>194</v>
      </c>
      <c r="W61">
        <v>1</v>
      </c>
      <c r="X61">
        <v>1000726123</v>
      </c>
      <c r="AF61" t="s">
        <v>4714</v>
      </c>
      <c r="AG61" t="s">
        <v>8064</v>
      </c>
      <c r="AI61" t="s">
        <v>6955</v>
      </c>
      <c r="AJ61" s="28" t="str">
        <f t="shared" si="0"/>
        <v>243302</v>
      </c>
    </row>
    <row r="62" spans="1:36" x14ac:dyDescent="0.25">
      <c r="A62" t="s">
        <v>1207</v>
      </c>
      <c r="B62" t="s">
        <v>8064</v>
      </c>
      <c r="C62" t="s">
        <v>113</v>
      </c>
      <c r="D62" t="s">
        <v>8053</v>
      </c>
      <c r="E62" t="s">
        <v>192</v>
      </c>
      <c r="F62">
        <v>1</v>
      </c>
      <c r="G62" t="s">
        <v>193</v>
      </c>
      <c r="H62" t="s">
        <v>194</v>
      </c>
      <c r="I62" t="s">
        <v>7860</v>
      </c>
      <c r="J62" t="s">
        <v>4751</v>
      </c>
      <c r="K62">
        <v>18</v>
      </c>
      <c r="L62" t="s">
        <v>8067</v>
      </c>
      <c r="M62" t="s">
        <v>6254</v>
      </c>
      <c r="N62" t="s">
        <v>8055</v>
      </c>
      <c r="O62" t="s">
        <v>8056</v>
      </c>
      <c r="P62" t="s">
        <v>8066</v>
      </c>
      <c r="Q62">
        <v>1939476</v>
      </c>
      <c r="R62">
        <v>18367874</v>
      </c>
      <c r="T62">
        <v>1862</v>
      </c>
      <c r="U62" t="s">
        <v>465</v>
      </c>
      <c r="V62" t="s">
        <v>194</v>
      </c>
      <c r="W62">
        <v>1</v>
      </c>
      <c r="X62">
        <v>1000726132</v>
      </c>
      <c r="AF62" t="s">
        <v>4714</v>
      </c>
      <c r="AG62" t="s">
        <v>8064</v>
      </c>
      <c r="AI62" t="s">
        <v>6955</v>
      </c>
      <c r="AJ62" s="28" t="str">
        <f t="shared" si="0"/>
        <v>243302</v>
      </c>
    </row>
    <row r="63" spans="1:36" x14ac:dyDescent="0.25">
      <c r="A63" t="s">
        <v>1207</v>
      </c>
      <c r="B63" t="s">
        <v>8064</v>
      </c>
      <c r="C63" t="s">
        <v>113</v>
      </c>
      <c r="D63" t="s">
        <v>8053</v>
      </c>
      <c r="E63" t="s">
        <v>192</v>
      </c>
      <c r="F63">
        <v>1</v>
      </c>
      <c r="G63" t="s">
        <v>193</v>
      </c>
      <c r="H63" t="s">
        <v>194</v>
      </c>
      <c r="I63" t="s">
        <v>7860</v>
      </c>
      <c r="J63" t="s">
        <v>210</v>
      </c>
      <c r="K63">
        <v>18</v>
      </c>
      <c r="L63" t="s">
        <v>8068</v>
      </c>
      <c r="M63" t="s">
        <v>6254</v>
      </c>
      <c r="N63" t="s">
        <v>8055</v>
      </c>
      <c r="O63" t="s">
        <v>8056</v>
      </c>
      <c r="P63" t="s">
        <v>8066</v>
      </c>
      <c r="Q63">
        <v>1939479</v>
      </c>
      <c r="R63">
        <v>18367877</v>
      </c>
      <c r="T63">
        <v>1863</v>
      </c>
      <c r="U63" t="s">
        <v>465</v>
      </c>
      <c r="V63" t="s">
        <v>194</v>
      </c>
      <c r="W63">
        <v>1</v>
      </c>
      <c r="X63">
        <v>1000726135</v>
      </c>
      <c r="AF63" t="s">
        <v>4714</v>
      </c>
      <c r="AG63" t="s">
        <v>8064</v>
      </c>
      <c r="AI63" t="s">
        <v>6955</v>
      </c>
      <c r="AJ63" s="28" t="str">
        <f t="shared" si="0"/>
        <v>243302</v>
      </c>
    </row>
    <row r="64" spans="1:36" x14ac:dyDescent="0.25">
      <c r="A64" t="s">
        <v>8069</v>
      </c>
      <c r="B64" t="s">
        <v>8070</v>
      </c>
      <c r="C64" t="s">
        <v>17</v>
      </c>
      <c r="D64" t="s">
        <v>8053</v>
      </c>
      <c r="E64" t="s">
        <v>192</v>
      </c>
      <c r="F64">
        <v>1</v>
      </c>
      <c r="G64" t="s">
        <v>193</v>
      </c>
      <c r="H64" t="s">
        <v>194</v>
      </c>
      <c r="I64" t="s">
        <v>7803</v>
      </c>
      <c r="J64" t="s">
        <v>210</v>
      </c>
      <c r="K64">
        <v>18</v>
      </c>
      <c r="L64" t="s">
        <v>8071</v>
      </c>
      <c r="M64" t="s">
        <v>6251</v>
      </c>
      <c r="N64" t="s">
        <v>8055</v>
      </c>
      <c r="O64" t="s">
        <v>8056</v>
      </c>
      <c r="P64" t="s">
        <v>8057</v>
      </c>
      <c r="Q64">
        <v>1938016</v>
      </c>
      <c r="R64">
        <v>18366386</v>
      </c>
      <c r="T64">
        <v>1863</v>
      </c>
      <c r="U64" t="s">
        <v>624</v>
      </c>
      <c r="V64" t="s">
        <v>194</v>
      </c>
      <c r="W64">
        <v>1</v>
      </c>
      <c r="X64">
        <v>500077908</v>
      </c>
      <c r="AF64" t="s">
        <v>4714</v>
      </c>
      <c r="AG64" t="s">
        <v>8070</v>
      </c>
      <c r="AI64" t="s">
        <v>6955</v>
      </c>
      <c r="AJ64" s="28" t="str">
        <f t="shared" si="0"/>
        <v>332203</v>
      </c>
    </row>
    <row r="65" spans="1:36" x14ac:dyDescent="0.25">
      <c r="A65" t="s">
        <v>352</v>
      </c>
      <c r="B65" t="s">
        <v>8072</v>
      </c>
      <c r="C65" t="s">
        <v>29</v>
      </c>
      <c r="D65" t="s">
        <v>8053</v>
      </c>
      <c r="E65" t="s">
        <v>192</v>
      </c>
      <c r="F65">
        <v>1</v>
      </c>
      <c r="G65" t="s">
        <v>193</v>
      </c>
      <c r="H65" t="s">
        <v>194</v>
      </c>
      <c r="I65" t="s">
        <v>7933</v>
      </c>
      <c r="J65" t="s">
        <v>210</v>
      </c>
      <c r="K65">
        <v>18</v>
      </c>
      <c r="L65" t="s">
        <v>8073</v>
      </c>
      <c r="M65" t="s">
        <v>6275</v>
      </c>
      <c r="N65" t="s">
        <v>8055</v>
      </c>
      <c r="O65" t="s">
        <v>8056</v>
      </c>
      <c r="P65" t="s">
        <v>8057</v>
      </c>
      <c r="Q65">
        <v>1939356</v>
      </c>
      <c r="R65">
        <v>18367745</v>
      </c>
      <c r="T65">
        <v>1863</v>
      </c>
      <c r="U65" t="s">
        <v>808</v>
      </c>
      <c r="V65" t="s">
        <v>194</v>
      </c>
      <c r="W65">
        <v>1</v>
      </c>
      <c r="X65">
        <v>1000725609</v>
      </c>
      <c r="AF65" t="s">
        <v>4714</v>
      </c>
      <c r="AG65" t="s">
        <v>8072</v>
      </c>
      <c r="AI65" t="s">
        <v>6955</v>
      </c>
      <c r="AJ65" s="28" t="str">
        <f t="shared" si="0"/>
        <v>722308</v>
      </c>
    </row>
    <row r="66" spans="1:36" x14ac:dyDescent="0.25">
      <c r="A66" t="s">
        <v>8074</v>
      </c>
      <c r="B66" t="s">
        <v>8075</v>
      </c>
      <c r="C66" t="s">
        <v>10</v>
      </c>
      <c r="D66" t="s">
        <v>8053</v>
      </c>
      <c r="E66" t="s">
        <v>192</v>
      </c>
      <c r="F66">
        <v>1</v>
      </c>
      <c r="G66" t="s">
        <v>193</v>
      </c>
      <c r="H66" t="s">
        <v>194</v>
      </c>
      <c r="I66" t="s">
        <v>7860</v>
      </c>
      <c r="J66" t="s">
        <v>210</v>
      </c>
      <c r="K66">
        <v>18</v>
      </c>
      <c r="L66" t="s">
        <v>8076</v>
      </c>
      <c r="M66" t="s">
        <v>6261</v>
      </c>
      <c r="N66" t="s">
        <v>8055</v>
      </c>
      <c r="O66" t="s">
        <v>8056</v>
      </c>
      <c r="P66" t="s">
        <v>8057</v>
      </c>
      <c r="Q66">
        <v>1938890</v>
      </c>
      <c r="R66">
        <v>18367270</v>
      </c>
      <c r="T66">
        <v>1863</v>
      </c>
      <c r="U66" t="s">
        <v>484</v>
      </c>
      <c r="V66" t="s">
        <v>194</v>
      </c>
      <c r="W66">
        <v>1</v>
      </c>
      <c r="X66">
        <v>1000724457</v>
      </c>
      <c r="AF66" t="s">
        <v>4714</v>
      </c>
      <c r="AG66" t="s">
        <v>8075</v>
      </c>
      <c r="AI66" t="s">
        <v>6955</v>
      </c>
      <c r="AJ66" s="28" t="str">
        <f t="shared" si="0"/>
        <v>251401</v>
      </c>
    </row>
    <row r="67" spans="1:36" x14ac:dyDescent="0.25">
      <c r="A67" t="s">
        <v>1597</v>
      </c>
      <c r="B67" t="s">
        <v>3222</v>
      </c>
      <c r="C67" t="s">
        <v>43</v>
      </c>
      <c r="D67" t="s">
        <v>8053</v>
      </c>
      <c r="E67" t="s">
        <v>192</v>
      </c>
      <c r="F67">
        <v>1</v>
      </c>
      <c r="G67" t="s">
        <v>193</v>
      </c>
      <c r="H67" t="s">
        <v>194</v>
      </c>
      <c r="I67" t="s">
        <v>7933</v>
      </c>
      <c r="J67" t="s">
        <v>1599</v>
      </c>
      <c r="K67">
        <v>18</v>
      </c>
      <c r="L67" t="s">
        <v>8077</v>
      </c>
      <c r="M67" t="s">
        <v>6290</v>
      </c>
      <c r="N67" t="s">
        <v>8055</v>
      </c>
      <c r="O67" t="s">
        <v>8056</v>
      </c>
      <c r="P67" t="s">
        <v>8057</v>
      </c>
      <c r="Q67">
        <v>1938693</v>
      </c>
      <c r="R67">
        <v>18367073</v>
      </c>
      <c r="T67">
        <v>1810</v>
      </c>
      <c r="U67" t="s">
        <v>452</v>
      </c>
      <c r="V67" t="s">
        <v>194</v>
      </c>
      <c r="W67">
        <v>1</v>
      </c>
      <c r="X67">
        <v>1000724173</v>
      </c>
      <c r="AF67" t="s">
        <v>4714</v>
      </c>
      <c r="AG67" t="s">
        <v>3222</v>
      </c>
      <c r="AI67" t="s">
        <v>6955</v>
      </c>
      <c r="AJ67" s="28" t="str">
        <f t="shared" ref="AJ67:AJ130" si="1">MID(U67,8,6)</f>
        <v>243106</v>
      </c>
    </row>
    <row r="68" spans="1:36" x14ac:dyDescent="0.25">
      <c r="A68" t="s">
        <v>1597</v>
      </c>
      <c r="B68" t="s">
        <v>8078</v>
      </c>
      <c r="C68" t="s">
        <v>8079</v>
      </c>
      <c r="D68" t="s">
        <v>8053</v>
      </c>
      <c r="E68" t="s">
        <v>192</v>
      </c>
      <c r="F68">
        <v>1</v>
      </c>
      <c r="G68" t="s">
        <v>193</v>
      </c>
      <c r="H68" t="s">
        <v>194</v>
      </c>
      <c r="I68" t="s">
        <v>7860</v>
      </c>
      <c r="J68" t="s">
        <v>1599</v>
      </c>
      <c r="K68">
        <v>18</v>
      </c>
      <c r="L68" t="s">
        <v>8080</v>
      </c>
      <c r="M68" t="s">
        <v>6295</v>
      </c>
      <c r="N68" t="s">
        <v>8055</v>
      </c>
      <c r="O68" t="s">
        <v>8056</v>
      </c>
      <c r="P68" t="s">
        <v>8057</v>
      </c>
      <c r="Q68">
        <v>1938100</v>
      </c>
      <c r="R68">
        <v>18366470</v>
      </c>
      <c r="T68">
        <v>1810</v>
      </c>
      <c r="U68" t="s">
        <v>8081</v>
      </c>
      <c r="V68" t="s">
        <v>194</v>
      </c>
      <c r="W68">
        <v>1</v>
      </c>
      <c r="X68">
        <v>1000654412</v>
      </c>
      <c r="AF68" t="s">
        <v>4714</v>
      </c>
      <c r="AG68" t="s">
        <v>8078</v>
      </c>
      <c r="AI68" t="s">
        <v>6955</v>
      </c>
      <c r="AJ68" s="28" t="str">
        <f t="shared" si="1"/>
        <v>311605</v>
      </c>
    </row>
    <row r="69" spans="1:36" x14ac:dyDescent="0.25">
      <c r="A69" t="s">
        <v>8082</v>
      </c>
      <c r="B69" t="s">
        <v>353</v>
      </c>
      <c r="C69" t="s">
        <v>566</v>
      </c>
      <c r="D69" t="s">
        <v>8053</v>
      </c>
      <c r="E69" t="s">
        <v>192</v>
      </c>
      <c r="F69">
        <v>1</v>
      </c>
      <c r="G69" t="s">
        <v>193</v>
      </c>
      <c r="H69" t="s">
        <v>194</v>
      </c>
      <c r="I69" t="s">
        <v>7860</v>
      </c>
      <c r="J69" t="s">
        <v>305</v>
      </c>
      <c r="K69">
        <v>18</v>
      </c>
      <c r="L69" t="s">
        <v>8083</v>
      </c>
      <c r="M69" t="s">
        <v>6275</v>
      </c>
      <c r="N69" t="s">
        <v>8055</v>
      </c>
      <c r="O69" t="s">
        <v>8056</v>
      </c>
      <c r="P69" t="s">
        <v>8057</v>
      </c>
      <c r="Q69">
        <v>1939656</v>
      </c>
      <c r="R69">
        <v>18368057</v>
      </c>
      <c r="T69">
        <v>1814</v>
      </c>
      <c r="U69" t="s">
        <v>567</v>
      </c>
      <c r="V69" t="s">
        <v>194</v>
      </c>
      <c r="W69">
        <v>1</v>
      </c>
      <c r="X69">
        <v>1000726489</v>
      </c>
      <c r="AF69" t="s">
        <v>4714</v>
      </c>
      <c r="AG69" t="s">
        <v>353</v>
      </c>
      <c r="AI69" t="s">
        <v>6955</v>
      </c>
      <c r="AJ69" s="28" t="str">
        <f t="shared" si="1"/>
        <v>311504</v>
      </c>
    </row>
    <row r="70" spans="1:36" x14ac:dyDescent="0.25">
      <c r="A70" t="s">
        <v>8084</v>
      </c>
      <c r="B70" t="s">
        <v>8085</v>
      </c>
      <c r="C70" t="s">
        <v>67</v>
      </c>
      <c r="D70" t="s">
        <v>8053</v>
      </c>
      <c r="E70" t="s">
        <v>192</v>
      </c>
      <c r="F70">
        <v>1</v>
      </c>
      <c r="G70" t="s">
        <v>193</v>
      </c>
      <c r="H70" t="s">
        <v>194</v>
      </c>
      <c r="I70" t="s">
        <v>7933</v>
      </c>
      <c r="J70" t="s">
        <v>210</v>
      </c>
      <c r="K70">
        <v>18</v>
      </c>
      <c r="L70" t="s">
        <v>8086</v>
      </c>
      <c r="M70" t="s">
        <v>6266</v>
      </c>
      <c r="N70" t="s">
        <v>8055</v>
      </c>
      <c r="O70" t="s">
        <v>8056</v>
      </c>
      <c r="P70" t="s">
        <v>8057</v>
      </c>
      <c r="Q70">
        <v>1938175</v>
      </c>
      <c r="R70">
        <v>18366545</v>
      </c>
      <c r="T70">
        <v>1863</v>
      </c>
      <c r="U70" t="s">
        <v>709</v>
      </c>
      <c r="V70" t="s">
        <v>194</v>
      </c>
      <c r="W70">
        <v>1</v>
      </c>
      <c r="X70">
        <v>1000718228</v>
      </c>
      <c r="AF70" t="s">
        <v>4714</v>
      </c>
      <c r="AG70" t="s">
        <v>8085</v>
      </c>
      <c r="AI70" t="s">
        <v>6955</v>
      </c>
      <c r="AJ70" s="28" t="str">
        <f t="shared" si="1"/>
        <v>432103</v>
      </c>
    </row>
    <row r="71" spans="1:36" x14ac:dyDescent="0.25">
      <c r="A71" t="s">
        <v>218</v>
      </c>
      <c r="B71" t="s">
        <v>8087</v>
      </c>
      <c r="C71" t="s">
        <v>8088</v>
      </c>
      <c r="D71" t="s">
        <v>8053</v>
      </c>
      <c r="E71" t="s">
        <v>233</v>
      </c>
      <c r="F71">
        <v>1</v>
      </c>
      <c r="G71" t="s">
        <v>193</v>
      </c>
      <c r="H71" t="s">
        <v>194</v>
      </c>
      <c r="I71" t="s">
        <v>7803</v>
      </c>
      <c r="J71" t="s">
        <v>196</v>
      </c>
      <c r="K71">
        <v>18</v>
      </c>
      <c r="L71" t="s">
        <v>8089</v>
      </c>
      <c r="M71" t="s">
        <v>6256</v>
      </c>
      <c r="N71" t="s">
        <v>8090</v>
      </c>
      <c r="O71" t="s">
        <v>8009</v>
      </c>
      <c r="P71" t="s">
        <v>7875</v>
      </c>
      <c r="Q71">
        <v>1937144</v>
      </c>
      <c r="R71">
        <v>18344097</v>
      </c>
      <c r="U71" t="s">
        <v>1926</v>
      </c>
      <c r="V71" t="s">
        <v>193</v>
      </c>
      <c r="W71">
        <v>25</v>
      </c>
      <c r="Y71" t="s">
        <v>8091</v>
      </c>
      <c r="AE71" t="s">
        <v>8092</v>
      </c>
      <c r="AF71" t="s">
        <v>4714</v>
      </c>
      <c r="AG71" t="s">
        <v>8087</v>
      </c>
      <c r="AI71" t="s">
        <v>6955</v>
      </c>
      <c r="AJ71" s="28" t="str">
        <f t="shared" si="1"/>
        <v>214301</v>
      </c>
    </row>
    <row r="72" spans="1:36" x14ac:dyDescent="0.25">
      <c r="A72" t="s">
        <v>8093</v>
      </c>
      <c r="B72" t="s">
        <v>8094</v>
      </c>
      <c r="C72" t="s">
        <v>4280</v>
      </c>
      <c r="D72" t="s">
        <v>8053</v>
      </c>
      <c r="E72" t="s">
        <v>233</v>
      </c>
      <c r="F72">
        <v>1</v>
      </c>
      <c r="G72" t="s">
        <v>193</v>
      </c>
      <c r="H72" t="s">
        <v>194</v>
      </c>
      <c r="I72" t="s">
        <v>7803</v>
      </c>
      <c r="J72" t="s">
        <v>1977</v>
      </c>
      <c r="K72">
        <v>18</v>
      </c>
      <c r="L72" t="s">
        <v>8095</v>
      </c>
      <c r="M72" t="s">
        <v>6256</v>
      </c>
      <c r="N72" t="s">
        <v>8090</v>
      </c>
      <c r="O72" t="s">
        <v>8009</v>
      </c>
      <c r="P72" t="s">
        <v>7933</v>
      </c>
      <c r="Q72">
        <v>1936735</v>
      </c>
      <c r="R72">
        <v>18029377</v>
      </c>
      <c r="T72">
        <v>1808</v>
      </c>
      <c r="U72" t="s">
        <v>4281</v>
      </c>
      <c r="V72" t="s">
        <v>194</v>
      </c>
      <c r="W72">
        <v>1</v>
      </c>
      <c r="Y72" t="s">
        <v>8096</v>
      </c>
      <c r="AE72" t="s">
        <v>8097</v>
      </c>
      <c r="AF72" t="s">
        <v>4714</v>
      </c>
      <c r="AG72" t="s">
        <v>8094</v>
      </c>
      <c r="AI72" t="s">
        <v>6955</v>
      </c>
      <c r="AJ72" s="28" t="str">
        <f t="shared" si="1"/>
        <v>214203</v>
      </c>
    </row>
    <row r="73" spans="1:36" x14ac:dyDescent="0.25">
      <c r="A73" t="s">
        <v>8093</v>
      </c>
      <c r="B73" t="s">
        <v>8098</v>
      </c>
      <c r="C73" t="s">
        <v>115</v>
      </c>
      <c r="D73" t="s">
        <v>8053</v>
      </c>
      <c r="E73" t="s">
        <v>233</v>
      </c>
      <c r="F73">
        <v>1</v>
      </c>
      <c r="G73" t="s">
        <v>193</v>
      </c>
      <c r="H73" t="s">
        <v>194</v>
      </c>
      <c r="I73" t="s">
        <v>7860</v>
      </c>
      <c r="J73" t="s">
        <v>1977</v>
      </c>
      <c r="K73">
        <v>18</v>
      </c>
      <c r="L73" t="s">
        <v>8099</v>
      </c>
      <c r="M73" t="s">
        <v>6245</v>
      </c>
      <c r="N73" t="s">
        <v>8090</v>
      </c>
      <c r="O73" t="s">
        <v>8009</v>
      </c>
      <c r="P73" t="s">
        <v>7933</v>
      </c>
      <c r="Q73">
        <v>1936736</v>
      </c>
      <c r="R73">
        <v>18029378</v>
      </c>
      <c r="T73">
        <v>1808</v>
      </c>
      <c r="U73" t="s">
        <v>1183</v>
      </c>
      <c r="V73" t="s">
        <v>194</v>
      </c>
      <c r="W73">
        <v>1</v>
      </c>
      <c r="Y73" t="s">
        <v>8100</v>
      </c>
      <c r="AE73" t="s">
        <v>8101</v>
      </c>
      <c r="AF73" t="s">
        <v>4714</v>
      </c>
      <c r="AG73" t="s">
        <v>8098</v>
      </c>
      <c r="AI73" t="s">
        <v>6955</v>
      </c>
      <c r="AJ73" s="28" t="str">
        <f t="shared" si="1"/>
        <v>311909</v>
      </c>
    </row>
    <row r="74" spans="1:36" x14ac:dyDescent="0.25">
      <c r="A74" t="s">
        <v>4673</v>
      </c>
      <c r="B74" t="s">
        <v>8102</v>
      </c>
      <c r="C74" t="s">
        <v>118</v>
      </c>
      <c r="D74" t="s">
        <v>8053</v>
      </c>
      <c r="E74" t="s">
        <v>233</v>
      </c>
      <c r="F74">
        <v>1</v>
      </c>
      <c r="G74" t="s">
        <v>193</v>
      </c>
      <c r="H74" t="s">
        <v>194</v>
      </c>
      <c r="I74" t="s">
        <v>7803</v>
      </c>
      <c r="J74" t="s">
        <v>1977</v>
      </c>
      <c r="K74">
        <v>18</v>
      </c>
      <c r="L74" t="s">
        <v>8103</v>
      </c>
      <c r="M74" t="s">
        <v>6295</v>
      </c>
      <c r="N74" t="s">
        <v>8090</v>
      </c>
      <c r="O74" t="s">
        <v>8009</v>
      </c>
      <c r="P74" t="s">
        <v>7836</v>
      </c>
      <c r="Q74">
        <v>1936775</v>
      </c>
      <c r="R74">
        <v>18078881</v>
      </c>
      <c r="T74">
        <v>1808</v>
      </c>
      <c r="U74" t="s">
        <v>277</v>
      </c>
      <c r="V74" t="s">
        <v>194</v>
      </c>
      <c r="W74">
        <v>1</v>
      </c>
      <c r="Y74" t="s">
        <v>8104</v>
      </c>
      <c r="AE74" t="s">
        <v>8105</v>
      </c>
      <c r="AF74" t="s">
        <v>4714</v>
      </c>
      <c r="AG74" t="s">
        <v>8102</v>
      </c>
      <c r="AI74" t="s">
        <v>6955</v>
      </c>
      <c r="AJ74" s="28" t="str">
        <f t="shared" si="1"/>
        <v>211302</v>
      </c>
    </row>
    <row r="75" spans="1:36" x14ac:dyDescent="0.25">
      <c r="A75" t="s">
        <v>4541</v>
      </c>
      <c r="B75" t="s">
        <v>8106</v>
      </c>
      <c r="C75" t="s">
        <v>4820</v>
      </c>
      <c r="D75" t="s">
        <v>8053</v>
      </c>
      <c r="E75" t="s">
        <v>192</v>
      </c>
      <c r="F75">
        <v>1</v>
      </c>
      <c r="G75" t="s">
        <v>193</v>
      </c>
      <c r="H75" t="s">
        <v>194</v>
      </c>
      <c r="I75" t="s">
        <v>7803</v>
      </c>
      <c r="J75" t="s">
        <v>210</v>
      </c>
      <c r="K75">
        <v>18</v>
      </c>
      <c r="L75" t="s">
        <v>8107</v>
      </c>
      <c r="M75" t="s">
        <v>6324</v>
      </c>
      <c r="N75" t="s">
        <v>8055</v>
      </c>
      <c r="O75" t="s">
        <v>8056</v>
      </c>
      <c r="P75" t="s">
        <v>8057</v>
      </c>
      <c r="Q75">
        <v>1938676</v>
      </c>
      <c r="R75">
        <v>18367056</v>
      </c>
      <c r="T75">
        <v>1863</v>
      </c>
      <c r="U75" t="s">
        <v>4821</v>
      </c>
      <c r="V75" t="s">
        <v>194</v>
      </c>
      <c r="W75">
        <v>1</v>
      </c>
      <c r="X75">
        <v>1000724132</v>
      </c>
      <c r="AF75" t="s">
        <v>4714</v>
      </c>
      <c r="AG75" t="s">
        <v>8106</v>
      </c>
      <c r="AI75" t="s">
        <v>6955</v>
      </c>
      <c r="AJ75" s="28" t="str">
        <f t="shared" si="1"/>
        <v>311206</v>
      </c>
    </row>
    <row r="76" spans="1:36" x14ac:dyDescent="0.25">
      <c r="A76" t="s">
        <v>394</v>
      </c>
      <c r="B76" t="s">
        <v>398</v>
      </c>
      <c r="C76" t="s">
        <v>396</v>
      </c>
      <c r="D76" t="s">
        <v>8053</v>
      </c>
      <c r="E76" t="s">
        <v>192</v>
      </c>
      <c r="F76">
        <v>1</v>
      </c>
      <c r="G76" t="s">
        <v>193</v>
      </c>
      <c r="H76" t="s">
        <v>194</v>
      </c>
      <c r="I76" t="s">
        <v>7933</v>
      </c>
      <c r="J76" t="s">
        <v>210</v>
      </c>
      <c r="K76">
        <v>18</v>
      </c>
      <c r="L76" t="s">
        <v>8108</v>
      </c>
      <c r="M76" t="s">
        <v>6312</v>
      </c>
      <c r="N76" t="s">
        <v>8055</v>
      </c>
      <c r="O76" t="s">
        <v>8056</v>
      </c>
      <c r="P76" t="s">
        <v>8057</v>
      </c>
      <c r="Q76">
        <v>1938087</v>
      </c>
      <c r="R76">
        <v>18366457</v>
      </c>
      <c r="T76">
        <v>1863</v>
      </c>
      <c r="U76" t="s">
        <v>397</v>
      </c>
      <c r="V76" t="s">
        <v>194</v>
      </c>
      <c r="W76">
        <v>1</v>
      </c>
      <c r="X76">
        <v>1000629804</v>
      </c>
      <c r="AF76" t="s">
        <v>4714</v>
      </c>
      <c r="AG76" t="s">
        <v>398</v>
      </c>
      <c r="AI76" t="s">
        <v>6955</v>
      </c>
      <c r="AJ76" s="28" t="str">
        <f t="shared" si="1"/>
        <v>235301</v>
      </c>
    </row>
    <row r="77" spans="1:36" x14ac:dyDescent="0.25">
      <c r="A77" t="s">
        <v>8109</v>
      </c>
      <c r="B77" t="s">
        <v>8110</v>
      </c>
      <c r="C77" t="s">
        <v>129</v>
      </c>
      <c r="D77" t="s">
        <v>8053</v>
      </c>
      <c r="E77" t="s">
        <v>192</v>
      </c>
      <c r="F77">
        <v>1</v>
      </c>
      <c r="G77" t="s">
        <v>193</v>
      </c>
      <c r="H77" t="s">
        <v>194</v>
      </c>
      <c r="I77" t="s">
        <v>7803</v>
      </c>
      <c r="J77" t="s">
        <v>385</v>
      </c>
      <c r="K77">
        <v>18</v>
      </c>
      <c r="L77" t="s">
        <v>8111</v>
      </c>
      <c r="M77" t="s">
        <v>6249</v>
      </c>
      <c r="N77" t="s">
        <v>8055</v>
      </c>
      <c r="O77" t="s">
        <v>8056</v>
      </c>
      <c r="P77" t="s">
        <v>8057</v>
      </c>
      <c r="Q77">
        <v>1938609</v>
      </c>
      <c r="R77">
        <v>18366988</v>
      </c>
      <c r="T77">
        <v>1861</v>
      </c>
      <c r="U77" t="s">
        <v>203</v>
      </c>
      <c r="V77" t="s">
        <v>194</v>
      </c>
      <c r="W77">
        <v>1</v>
      </c>
      <c r="X77">
        <v>1000724017</v>
      </c>
      <c r="AF77" t="s">
        <v>4714</v>
      </c>
      <c r="AG77" t="s">
        <v>8110</v>
      </c>
      <c r="AI77" t="s">
        <v>6955</v>
      </c>
      <c r="AJ77" s="28" t="str">
        <f t="shared" si="1"/>
        <v>121904</v>
      </c>
    </row>
    <row r="78" spans="1:36" x14ac:dyDescent="0.25">
      <c r="A78" t="s">
        <v>8109</v>
      </c>
      <c r="B78" t="s">
        <v>8112</v>
      </c>
      <c r="C78" t="s">
        <v>1839</v>
      </c>
      <c r="D78" t="s">
        <v>8053</v>
      </c>
      <c r="E78" t="s">
        <v>192</v>
      </c>
      <c r="F78">
        <v>1</v>
      </c>
      <c r="G78" t="s">
        <v>193</v>
      </c>
      <c r="H78" t="s">
        <v>194</v>
      </c>
      <c r="I78" t="s">
        <v>7933</v>
      </c>
      <c r="J78" t="s">
        <v>385</v>
      </c>
      <c r="K78">
        <v>18</v>
      </c>
      <c r="L78" t="s">
        <v>8113</v>
      </c>
      <c r="M78" t="s">
        <v>6363</v>
      </c>
      <c r="N78" t="s">
        <v>8055</v>
      </c>
      <c r="O78" t="s">
        <v>8056</v>
      </c>
      <c r="P78" t="s">
        <v>8057</v>
      </c>
      <c r="Q78">
        <v>1938621</v>
      </c>
      <c r="R78">
        <v>18367001</v>
      </c>
      <c r="T78">
        <v>1861</v>
      </c>
      <c r="U78" t="s">
        <v>1841</v>
      </c>
      <c r="V78" t="s">
        <v>194</v>
      </c>
      <c r="W78">
        <v>1</v>
      </c>
      <c r="X78">
        <v>1000724030</v>
      </c>
      <c r="AF78" t="s">
        <v>4714</v>
      </c>
      <c r="AG78" t="s">
        <v>8112</v>
      </c>
      <c r="AI78" t="s">
        <v>6955</v>
      </c>
      <c r="AJ78" s="28" t="str">
        <f t="shared" si="1"/>
        <v>732201</v>
      </c>
    </row>
    <row r="79" spans="1:36" x14ac:dyDescent="0.25">
      <c r="A79" t="s">
        <v>6944</v>
      </c>
      <c r="B79" t="s">
        <v>8114</v>
      </c>
      <c r="C79" t="s">
        <v>17</v>
      </c>
      <c r="D79" t="s">
        <v>8053</v>
      </c>
      <c r="E79" t="s">
        <v>233</v>
      </c>
      <c r="F79">
        <v>1</v>
      </c>
      <c r="G79" t="s">
        <v>193</v>
      </c>
      <c r="H79" t="s">
        <v>194</v>
      </c>
      <c r="I79" t="s">
        <v>7860</v>
      </c>
      <c r="J79" t="s">
        <v>210</v>
      </c>
      <c r="K79">
        <v>18</v>
      </c>
      <c r="L79" t="s">
        <v>8115</v>
      </c>
      <c r="M79" t="s">
        <v>8003</v>
      </c>
      <c r="N79" t="s">
        <v>8090</v>
      </c>
      <c r="O79" t="s">
        <v>8009</v>
      </c>
      <c r="P79" t="s">
        <v>8116</v>
      </c>
      <c r="Q79">
        <v>1936903</v>
      </c>
      <c r="R79">
        <v>18172490</v>
      </c>
      <c r="T79">
        <v>1863</v>
      </c>
      <c r="U79" t="s">
        <v>624</v>
      </c>
      <c r="V79" t="s">
        <v>194</v>
      </c>
      <c r="W79">
        <v>1</v>
      </c>
      <c r="Y79" t="s">
        <v>8117</v>
      </c>
      <c r="AE79" t="s">
        <v>8118</v>
      </c>
      <c r="AF79" t="s">
        <v>4714</v>
      </c>
      <c r="AG79" t="s">
        <v>8114</v>
      </c>
      <c r="AI79" t="s">
        <v>6955</v>
      </c>
      <c r="AJ79" s="28" t="str">
        <f t="shared" si="1"/>
        <v>332203</v>
      </c>
    </row>
    <row r="80" spans="1:36" x14ac:dyDescent="0.25">
      <c r="A80" t="s">
        <v>2151</v>
      </c>
      <c r="B80" t="s">
        <v>8119</v>
      </c>
      <c r="C80" t="s">
        <v>112</v>
      </c>
      <c r="D80" t="s">
        <v>8053</v>
      </c>
      <c r="E80" t="s">
        <v>192</v>
      </c>
      <c r="F80">
        <v>1</v>
      </c>
      <c r="G80" t="s">
        <v>193</v>
      </c>
      <c r="H80" t="s">
        <v>194</v>
      </c>
      <c r="I80" t="s">
        <v>7803</v>
      </c>
      <c r="J80" t="s">
        <v>210</v>
      </c>
      <c r="K80">
        <v>18</v>
      </c>
      <c r="L80" t="s">
        <v>8120</v>
      </c>
      <c r="M80" t="s">
        <v>6258</v>
      </c>
      <c r="N80" t="s">
        <v>8055</v>
      </c>
      <c r="O80" t="s">
        <v>8056</v>
      </c>
      <c r="P80" t="s">
        <v>8057</v>
      </c>
      <c r="Q80">
        <v>1939747</v>
      </c>
      <c r="R80">
        <v>18368148</v>
      </c>
      <c r="T80">
        <v>1863</v>
      </c>
      <c r="U80" t="s">
        <v>794</v>
      </c>
      <c r="V80" t="s">
        <v>194</v>
      </c>
      <c r="W80">
        <v>1</v>
      </c>
      <c r="X80">
        <v>1000726646</v>
      </c>
      <c r="AF80" t="s">
        <v>4714</v>
      </c>
      <c r="AG80" t="s">
        <v>8119</v>
      </c>
      <c r="AI80" t="s">
        <v>6955</v>
      </c>
      <c r="AJ80" s="28" t="str">
        <f t="shared" si="1"/>
        <v>721404</v>
      </c>
    </row>
    <row r="81" spans="1:36" x14ac:dyDescent="0.25">
      <c r="A81" t="s">
        <v>8121</v>
      </c>
      <c r="B81" t="s">
        <v>647</v>
      </c>
      <c r="C81" t="s">
        <v>17</v>
      </c>
      <c r="D81" t="s">
        <v>8053</v>
      </c>
      <c r="E81" t="s">
        <v>192</v>
      </c>
      <c r="F81">
        <v>1</v>
      </c>
      <c r="G81" t="s">
        <v>193</v>
      </c>
      <c r="H81" t="s">
        <v>194</v>
      </c>
      <c r="I81" t="s">
        <v>7860</v>
      </c>
      <c r="J81" t="s">
        <v>196</v>
      </c>
      <c r="K81">
        <v>18</v>
      </c>
      <c r="L81" t="s">
        <v>8122</v>
      </c>
      <c r="M81" t="s">
        <v>6245</v>
      </c>
      <c r="N81" t="s">
        <v>8055</v>
      </c>
      <c r="O81" t="s">
        <v>8056</v>
      </c>
      <c r="P81" t="s">
        <v>8057</v>
      </c>
      <c r="Q81">
        <v>1937630</v>
      </c>
      <c r="R81">
        <v>18365991</v>
      </c>
      <c r="U81" t="s">
        <v>624</v>
      </c>
      <c r="V81" t="s">
        <v>193</v>
      </c>
      <c r="W81">
        <v>25</v>
      </c>
      <c r="X81">
        <v>7889405</v>
      </c>
      <c r="AF81" t="s">
        <v>4714</v>
      </c>
      <c r="AG81" t="s">
        <v>647</v>
      </c>
      <c r="AI81" t="s">
        <v>6955</v>
      </c>
      <c r="AJ81" s="28" t="str">
        <f t="shared" si="1"/>
        <v>332203</v>
      </c>
    </row>
    <row r="82" spans="1:36" x14ac:dyDescent="0.25">
      <c r="A82" t="s">
        <v>8123</v>
      </c>
      <c r="B82" t="s">
        <v>67</v>
      </c>
      <c r="C82" t="s">
        <v>67</v>
      </c>
      <c r="D82" t="s">
        <v>8053</v>
      </c>
      <c r="E82" t="s">
        <v>192</v>
      </c>
      <c r="F82">
        <v>1</v>
      </c>
      <c r="G82" t="s">
        <v>193</v>
      </c>
      <c r="H82" t="s">
        <v>194</v>
      </c>
      <c r="I82" t="s">
        <v>7860</v>
      </c>
      <c r="J82" t="s">
        <v>408</v>
      </c>
      <c r="K82">
        <v>18</v>
      </c>
      <c r="L82" t="s">
        <v>8124</v>
      </c>
      <c r="M82" t="s">
        <v>6266</v>
      </c>
      <c r="N82" t="s">
        <v>8055</v>
      </c>
      <c r="O82" t="s">
        <v>8056</v>
      </c>
      <c r="P82" t="s">
        <v>8057</v>
      </c>
      <c r="Q82">
        <v>1940095</v>
      </c>
      <c r="R82">
        <v>18368502</v>
      </c>
      <c r="T82">
        <v>1864</v>
      </c>
      <c r="U82" t="s">
        <v>709</v>
      </c>
      <c r="V82" t="s">
        <v>194</v>
      </c>
      <c r="W82">
        <v>1</v>
      </c>
      <c r="X82">
        <v>1000727651</v>
      </c>
      <c r="AF82" t="s">
        <v>4714</v>
      </c>
      <c r="AG82" t="s">
        <v>67</v>
      </c>
      <c r="AI82" t="s">
        <v>6955</v>
      </c>
      <c r="AJ82" s="28" t="str">
        <f t="shared" si="1"/>
        <v>432103</v>
      </c>
    </row>
    <row r="83" spans="1:36" x14ac:dyDescent="0.25">
      <c r="A83" t="s">
        <v>8125</v>
      </c>
      <c r="B83" t="s">
        <v>8126</v>
      </c>
      <c r="C83" t="s">
        <v>156</v>
      </c>
      <c r="D83" t="s">
        <v>8053</v>
      </c>
      <c r="E83" t="s">
        <v>192</v>
      </c>
      <c r="F83">
        <v>1</v>
      </c>
      <c r="G83" t="s">
        <v>193</v>
      </c>
      <c r="H83" t="s">
        <v>194</v>
      </c>
      <c r="I83" t="s">
        <v>7860</v>
      </c>
      <c r="J83" t="s">
        <v>253</v>
      </c>
      <c r="K83">
        <v>18</v>
      </c>
      <c r="L83" t="s">
        <v>8127</v>
      </c>
      <c r="M83" t="s">
        <v>7489</v>
      </c>
      <c r="N83" t="s">
        <v>8055</v>
      </c>
      <c r="O83" t="s">
        <v>8056</v>
      </c>
      <c r="P83" t="s">
        <v>8057</v>
      </c>
      <c r="Q83">
        <v>1939312</v>
      </c>
      <c r="R83">
        <v>18367698</v>
      </c>
      <c r="T83">
        <v>1811</v>
      </c>
      <c r="U83" t="s">
        <v>659</v>
      </c>
      <c r="V83" t="s">
        <v>194</v>
      </c>
      <c r="W83">
        <v>1</v>
      </c>
      <c r="X83">
        <v>1000725410</v>
      </c>
      <c r="AF83" t="s">
        <v>4714</v>
      </c>
      <c r="AG83" t="s">
        <v>8126</v>
      </c>
      <c r="AI83" t="s">
        <v>6955</v>
      </c>
      <c r="AJ83" s="28" t="str">
        <f t="shared" si="1"/>
        <v>332302</v>
      </c>
    </row>
    <row r="84" spans="1:36" x14ac:dyDescent="0.25">
      <c r="A84" t="s">
        <v>8125</v>
      </c>
      <c r="B84" t="s">
        <v>8126</v>
      </c>
      <c r="C84" t="s">
        <v>156</v>
      </c>
      <c r="D84" t="s">
        <v>8053</v>
      </c>
      <c r="E84" t="s">
        <v>192</v>
      </c>
      <c r="F84">
        <v>1</v>
      </c>
      <c r="G84" t="s">
        <v>193</v>
      </c>
      <c r="H84" t="s">
        <v>194</v>
      </c>
      <c r="I84" t="s">
        <v>7860</v>
      </c>
      <c r="J84" t="s">
        <v>2183</v>
      </c>
      <c r="K84">
        <v>18</v>
      </c>
      <c r="L84" t="s">
        <v>8128</v>
      </c>
      <c r="M84" t="s">
        <v>7489</v>
      </c>
      <c r="N84" t="s">
        <v>8055</v>
      </c>
      <c r="O84" t="s">
        <v>8056</v>
      </c>
      <c r="P84" t="s">
        <v>8057</v>
      </c>
      <c r="Q84">
        <v>1939313</v>
      </c>
      <c r="R84">
        <v>18367699</v>
      </c>
      <c r="T84">
        <v>1820</v>
      </c>
      <c r="U84" t="s">
        <v>659</v>
      </c>
      <c r="V84" t="s">
        <v>194</v>
      </c>
      <c r="W84">
        <v>1</v>
      </c>
      <c r="X84">
        <v>1000725411</v>
      </c>
      <c r="AF84" t="s">
        <v>4714</v>
      </c>
      <c r="AG84" t="s">
        <v>8126</v>
      </c>
      <c r="AI84" t="s">
        <v>6955</v>
      </c>
      <c r="AJ84" s="28" t="str">
        <f t="shared" si="1"/>
        <v>332302</v>
      </c>
    </row>
    <row r="85" spans="1:36" x14ac:dyDescent="0.25">
      <c r="A85" t="s">
        <v>8125</v>
      </c>
      <c r="B85" t="s">
        <v>8126</v>
      </c>
      <c r="C85" t="s">
        <v>156</v>
      </c>
      <c r="D85" t="s">
        <v>8053</v>
      </c>
      <c r="E85" t="s">
        <v>192</v>
      </c>
      <c r="F85">
        <v>1</v>
      </c>
      <c r="G85" t="s">
        <v>193</v>
      </c>
      <c r="H85" t="s">
        <v>194</v>
      </c>
      <c r="I85" t="s">
        <v>7860</v>
      </c>
      <c r="J85" t="s">
        <v>8129</v>
      </c>
      <c r="K85">
        <v>18</v>
      </c>
      <c r="L85" t="s">
        <v>8130</v>
      </c>
      <c r="M85" t="s">
        <v>7489</v>
      </c>
      <c r="N85" t="s">
        <v>8055</v>
      </c>
      <c r="O85" t="s">
        <v>8056</v>
      </c>
      <c r="P85" t="s">
        <v>8057</v>
      </c>
      <c r="Q85">
        <v>1939314</v>
      </c>
      <c r="R85">
        <v>18367700</v>
      </c>
      <c r="T85">
        <v>1816</v>
      </c>
      <c r="U85" t="s">
        <v>659</v>
      </c>
      <c r="V85" t="s">
        <v>194</v>
      </c>
      <c r="W85">
        <v>1</v>
      </c>
      <c r="X85">
        <v>1000725412</v>
      </c>
      <c r="AF85" t="s">
        <v>4714</v>
      </c>
      <c r="AG85" t="s">
        <v>8126</v>
      </c>
      <c r="AI85" t="s">
        <v>6955</v>
      </c>
      <c r="AJ85" s="28" t="str">
        <f t="shared" si="1"/>
        <v>332302</v>
      </c>
    </row>
    <row r="86" spans="1:36" x14ac:dyDescent="0.25">
      <c r="A86" t="s">
        <v>8131</v>
      </c>
      <c r="B86" t="s">
        <v>8132</v>
      </c>
      <c r="C86" t="s">
        <v>156</v>
      </c>
      <c r="D86" t="s">
        <v>8053</v>
      </c>
      <c r="E86" t="s">
        <v>233</v>
      </c>
      <c r="F86">
        <v>1</v>
      </c>
      <c r="G86" t="s">
        <v>193</v>
      </c>
      <c r="H86" t="s">
        <v>194</v>
      </c>
      <c r="I86" t="s">
        <v>7933</v>
      </c>
      <c r="J86" t="s">
        <v>196</v>
      </c>
      <c r="K86">
        <v>18</v>
      </c>
      <c r="L86" t="s">
        <v>8133</v>
      </c>
      <c r="M86" t="s">
        <v>6249</v>
      </c>
      <c r="N86" t="s">
        <v>8090</v>
      </c>
      <c r="O86" t="s">
        <v>8009</v>
      </c>
      <c r="P86" t="s">
        <v>8020</v>
      </c>
      <c r="Q86">
        <v>1937030</v>
      </c>
      <c r="R86">
        <v>18274043</v>
      </c>
      <c r="U86" t="s">
        <v>659</v>
      </c>
      <c r="V86" t="s">
        <v>193</v>
      </c>
      <c r="W86">
        <v>25</v>
      </c>
      <c r="Y86" t="s">
        <v>8134</v>
      </c>
      <c r="AE86" t="s">
        <v>8135</v>
      </c>
      <c r="AF86" t="s">
        <v>4714</v>
      </c>
      <c r="AG86" t="s">
        <v>8132</v>
      </c>
      <c r="AI86" t="s">
        <v>6955</v>
      </c>
      <c r="AJ86" s="28" t="str">
        <f t="shared" si="1"/>
        <v>332302</v>
      </c>
    </row>
    <row r="87" spans="1:36" x14ac:dyDescent="0.25">
      <c r="A87" t="s">
        <v>3020</v>
      </c>
      <c r="B87" t="s">
        <v>8136</v>
      </c>
      <c r="C87" t="s">
        <v>8136</v>
      </c>
      <c r="D87" t="s">
        <v>8053</v>
      </c>
      <c r="E87" t="s">
        <v>192</v>
      </c>
      <c r="F87">
        <v>1</v>
      </c>
      <c r="G87" t="s">
        <v>193</v>
      </c>
      <c r="H87" t="s">
        <v>194</v>
      </c>
      <c r="I87" t="s">
        <v>7860</v>
      </c>
      <c r="J87" t="s">
        <v>253</v>
      </c>
      <c r="K87">
        <v>18</v>
      </c>
      <c r="L87" t="s">
        <v>8137</v>
      </c>
      <c r="M87" t="s">
        <v>6275</v>
      </c>
      <c r="N87" t="s">
        <v>8055</v>
      </c>
      <c r="O87" t="s">
        <v>8056</v>
      </c>
      <c r="P87" t="s">
        <v>8057</v>
      </c>
      <c r="Q87">
        <v>1938103</v>
      </c>
      <c r="R87">
        <v>18366473</v>
      </c>
      <c r="T87">
        <v>1811</v>
      </c>
      <c r="U87" t="s">
        <v>8138</v>
      </c>
      <c r="V87" t="s">
        <v>194</v>
      </c>
      <c r="W87">
        <v>1</v>
      </c>
      <c r="X87">
        <v>1000669000</v>
      </c>
      <c r="AF87" t="s">
        <v>4714</v>
      </c>
      <c r="AG87" t="s">
        <v>8136</v>
      </c>
      <c r="AI87" t="s">
        <v>6955</v>
      </c>
      <c r="AJ87" s="28" t="str">
        <f t="shared" si="1"/>
        <v>821905</v>
      </c>
    </row>
    <row r="88" spans="1:36" x14ac:dyDescent="0.25">
      <c r="A88" t="s">
        <v>8139</v>
      </c>
      <c r="B88" t="s">
        <v>8140</v>
      </c>
      <c r="C88" t="s">
        <v>80</v>
      </c>
      <c r="D88" t="s">
        <v>8053</v>
      </c>
      <c r="E88" t="s">
        <v>233</v>
      </c>
      <c r="F88">
        <v>1</v>
      </c>
      <c r="G88" t="s">
        <v>193</v>
      </c>
      <c r="H88" t="s">
        <v>194</v>
      </c>
      <c r="I88" t="s">
        <v>7860</v>
      </c>
      <c r="J88" t="s">
        <v>210</v>
      </c>
      <c r="K88">
        <v>18</v>
      </c>
      <c r="L88" t="s">
        <v>8141</v>
      </c>
      <c r="M88" t="s">
        <v>6249</v>
      </c>
      <c r="N88" t="s">
        <v>8090</v>
      </c>
      <c r="O88" t="s">
        <v>8009</v>
      </c>
      <c r="P88" t="s">
        <v>8116</v>
      </c>
      <c r="Q88">
        <v>1936910</v>
      </c>
      <c r="R88">
        <v>18172503</v>
      </c>
      <c r="T88">
        <v>1863</v>
      </c>
      <c r="U88" t="s">
        <v>474</v>
      </c>
      <c r="V88" t="s">
        <v>194</v>
      </c>
      <c r="W88">
        <v>1</v>
      </c>
      <c r="X88" t="s">
        <v>8142</v>
      </c>
      <c r="Y88" t="s">
        <v>8143</v>
      </c>
      <c r="AE88" t="s">
        <v>8144</v>
      </c>
      <c r="AF88" t="s">
        <v>4714</v>
      </c>
      <c r="AG88" t="s">
        <v>8140</v>
      </c>
      <c r="AI88" t="s">
        <v>6955</v>
      </c>
      <c r="AJ88" s="28" t="str">
        <f t="shared" si="1"/>
        <v>243304</v>
      </c>
    </row>
    <row r="89" spans="1:36" x14ac:dyDescent="0.25">
      <c r="A89" t="s">
        <v>8145</v>
      </c>
      <c r="B89" t="s">
        <v>8146</v>
      </c>
      <c r="C89" t="s">
        <v>35</v>
      </c>
      <c r="D89" t="s">
        <v>8053</v>
      </c>
      <c r="E89" t="s">
        <v>192</v>
      </c>
      <c r="F89">
        <v>1</v>
      </c>
      <c r="G89" t="s">
        <v>193</v>
      </c>
      <c r="H89" t="s">
        <v>194</v>
      </c>
      <c r="I89" t="s">
        <v>7803</v>
      </c>
      <c r="J89" t="s">
        <v>210</v>
      </c>
      <c r="K89">
        <v>18</v>
      </c>
      <c r="L89" t="s">
        <v>8147</v>
      </c>
      <c r="M89" t="s">
        <v>6245</v>
      </c>
      <c r="N89" t="s">
        <v>8055</v>
      </c>
      <c r="O89" t="s">
        <v>8056</v>
      </c>
      <c r="P89" t="s">
        <v>8057</v>
      </c>
      <c r="Q89">
        <v>1939554</v>
      </c>
      <c r="R89">
        <v>18367955</v>
      </c>
      <c r="T89">
        <v>1863</v>
      </c>
      <c r="U89" t="s">
        <v>207</v>
      </c>
      <c r="V89" t="s">
        <v>194</v>
      </c>
      <c r="W89">
        <v>1</v>
      </c>
      <c r="X89">
        <v>1000726344</v>
      </c>
      <c r="AF89" t="s">
        <v>4714</v>
      </c>
      <c r="AG89" t="s">
        <v>8146</v>
      </c>
      <c r="AI89" t="s">
        <v>6955</v>
      </c>
      <c r="AJ89" s="28" t="str">
        <f t="shared" si="1"/>
        <v>122106</v>
      </c>
    </row>
    <row r="90" spans="1:36" x14ac:dyDescent="0.25">
      <c r="A90" t="s">
        <v>751</v>
      </c>
      <c r="B90" t="s">
        <v>752</v>
      </c>
      <c r="C90" t="s">
        <v>740</v>
      </c>
      <c r="D90" t="s">
        <v>8053</v>
      </c>
      <c r="E90" t="s">
        <v>233</v>
      </c>
      <c r="F90">
        <v>1</v>
      </c>
      <c r="G90" t="s">
        <v>193</v>
      </c>
      <c r="H90" t="s">
        <v>194</v>
      </c>
      <c r="I90" t="s">
        <v>7803</v>
      </c>
      <c r="J90" t="s">
        <v>4751</v>
      </c>
      <c r="K90">
        <v>18</v>
      </c>
      <c r="L90" t="s">
        <v>8148</v>
      </c>
      <c r="M90" t="s">
        <v>6249</v>
      </c>
      <c r="N90" t="s">
        <v>8090</v>
      </c>
      <c r="O90" t="s">
        <v>8009</v>
      </c>
      <c r="P90" t="s">
        <v>8116</v>
      </c>
      <c r="Q90">
        <v>1936792</v>
      </c>
      <c r="R90">
        <v>18172227</v>
      </c>
      <c r="T90">
        <v>1862</v>
      </c>
      <c r="U90" t="s">
        <v>741</v>
      </c>
      <c r="V90" t="s">
        <v>194</v>
      </c>
      <c r="W90">
        <v>1</v>
      </c>
      <c r="Y90" t="s">
        <v>6610</v>
      </c>
      <c r="AE90" t="s">
        <v>8149</v>
      </c>
      <c r="AF90" t="s">
        <v>4714</v>
      </c>
      <c r="AG90" t="s">
        <v>752</v>
      </c>
      <c r="AI90" t="s">
        <v>6955</v>
      </c>
      <c r="AJ90" s="28" t="str">
        <f t="shared" si="1"/>
        <v>522301</v>
      </c>
    </row>
    <row r="91" spans="1:36" x14ac:dyDescent="0.25">
      <c r="A91" t="s">
        <v>1446</v>
      </c>
      <c r="B91" t="s">
        <v>8150</v>
      </c>
      <c r="C91" t="s">
        <v>8151</v>
      </c>
      <c r="D91" t="s">
        <v>8053</v>
      </c>
      <c r="E91" t="s">
        <v>192</v>
      </c>
      <c r="F91">
        <v>1</v>
      </c>
      <c r="G91" t="s">
        <v>193</v>
      </c>
      <c r="H91" t="s">
        <v>194</v>
      </c>
      <c r="I91" t="s">
        <v>7860</v>
      </c>
      <c r="J91" t="s">
        <v>672</v>
      </c>
      <c r="K91">
        <v>18</v>
      </c>
      <c r="L91" t="s">
        <v>8152</v>
      </c>
      <c r="M91" t="s">
        <v>6245</v>
      </c>
      <c r="N91" t="s">
        <v>8055</v>
      </c>
      <c r="O91" t="s">
        <v>8056</v>
      </c>
      <c r="P91" t="s">
        <v>8057</v>
      </c>
      <c r="Q91">
        <v>1939653</v>
      </c>
      <c r="R91">
        <v>18368054</v>
      </c>
      <c r="T91">
        <v>1816</v>
      </c>
      <c r="U91" t="s">
        <v>8153</v>
      </c>
      <c r="V91" t="s">
        <v>194</v>
      </c>
      <c r="W91">
        <v>1</v>
      </c>
      <c r="X91">
        <v>1000726486</v>
      </c>
      <c r="AF91" t="s">
        <v>4714</v>
      </c>
      <c r="AG91" t="s">
        <v>8150</v>
      </c>
      <c r="AI91" t="s">
        <v>6955</v>
      </c>
      <c r="AJ91" s="28" t="str">
        <f t="shared" si="1"/>
        <v>214904</v>
      </c>
    </row>
    <row r="92" spans="1:36" x14ac:dyDescent="0.25">
      <c r="A92" t="s">
        <v>5850</v>
      </c>
      <c r="B92" t="s">
        <v>4258</v>
      </c>
      <c r="C92" t="s">
        <v>1236</v>
      </c>
      <c r="D92" t="s">
        <v>8053</v>
      </c>
      <c r="E92" t="s">
        <v>233</v>
      </c>
      <c r="F92">
        <v>1</v>
      </c>
      <c r="G92" t="s">
        <v>193</v>
      </c>
      <c r="H92" t="s">
        <v>194</v>
      </c>
      <c r="I92" t="s">
        <v>7860</v>
      </c>
      <c r="J92" t="s">
        <v>7283</v>
      </c>
      <c r="K92">
        <v>18</v>
      </c>
      <c r="L92" t="s">
        <v>8154</v>
      </c>
      <c r="M92" t="s">
        <v>6275</v>
      </c>
      <c r="N92" t="s">
        <v>8090</v>
      </c>
      <c r="O92" t="s">
        <v>8009</v>
      </c>
      <c r="P92" t="s">
        <v>8116</v>
      </c>
      <c r="Q92">
        <v>1936836</v>
      </c>
      <c r="R92">
        <v>18172321</v>
      </c>
      <c r="T92">
        <v>1861.1806999999999</v>
      </c>
      <c r="U92" t="s">
        <v>1237</v>
      </c>
      <c r="V92" t="s">
        <v>194</v>
      </c>
      <c r="W92">
        <v>2</v>
      </c>
      <c r="Y92" t="s">
        <v>6274</v>
      </c>
      <c r="AE92" t="s">
        <v>8155</v>
      </c>
      <c r="AF92" t="s">
        <v>4714</v>
      </c>
      <c r="AG92" t="s">
        <v>4258</v>
      </c>
      <c r="AI92" t="s">
        <v>6955</v>
      </c>
      <c r="AJ92" s="28" t="str">
        <f t="shared" si="1"/>
        <v>712601</v>
      </c>
    </row>
    <row r="93" spans="1:36" x14ac:dyDescent="0.25">
      <c r="A93" t="s">
        <v>2448</v>
      </c>
      <c r="B93" t="s">
        <v>8156</v>
      </c>
      <c r="C93" t="s">
        <v>81</v>
      </c>
      <c r="D93" t="s">
        <v>8053</v>
      </c>
      <c r="E93" t="s">
        <v>192</v>
      </c>
      <c r="F93">
        <v>1</v>
      </c>
      <c r="G93" t="s">
        <v>193</v>
      </c>
      <c r="H93" t="s">
        <v>194</v>
      </c>
      <c r="I93" t="s">
        <v>7933</v>
      </c>
      <c r="J93" t="s">
        <v>210</v>
      </c>
      <c r="K93">
        <v>18</v>
      </c>
      <c r="L93" t="s">
        <v>8157</v>
      </c>
      <c r="M93" t="s">
        <v>6254</v>
      </c>
      <c r="N93" t="s">
        <v>8055</v>
      </c>
      <c r="O93" t="s">
        <v>8056</v>
      </c>
      <c r="P93" t="s">
        <v>8057</v>
      </c>
      <c r="Q93">
        <v>1938461</v>
      </c>
      <c r="R93">
        <v>18366835</v>
      </c>
      <c r="T93">
        <v>1863</v>
      </c>
      <c r="U93" t="s">
        <v>402</v>
      </c>
      <c r="V93" t="s">
        <v>194</v>
      </c>
      <c r="W93">
        <v>1</v>
      </c>
      <c r="X93">
        <v>1000723546</v>
      </c>
      <c r="AF93" t="s">
        <v>4714</v>
      </c>
      <c r="AG93" t="s">
        <v>8156</v>
      </c>
      <c r="AI93" t="s">
        <v>6955</v>
      </c>
      <c r="AJ93" s="28" t="str">
        <f t="shared" si="1"/>
        <v>241205</v>
      </c>
    </row>
    <row r="94" spans="1:36" x14ac:dyDescent="0.25">
      <c r="A94" t="s">
        <v>8158</v>
      </c>
      <c r="B94" t="s">
        <v>3169</v>
      </c>
      <c r="C94" t="s">
        <v>121</v>
      </c>
      <c r="D94" t="s">
        <v>8053</v>
      </c>
      <c r="E94" t="s">
        <v>217</v>
      </c>
      <c r="F94">
        <v>1</v>
      </c>
      <c r="G94" t="s">
        <v>193</v>
      </c>
      <c r="H94" t="s">
        <v>194</v>
      </c>
      <c r="I94" t="s">
        <v>7824</v>
      </c>
      <c r="J94" t="s">
        <v>8159</v>
      </c>
      <c r="K94">
        <v>18</v>
      </c>
      <c r="L94" t="s">
        <v>8160</v>
      </c>
      <c r="M94" t="s">
        <v>6269</v>
      </c>
      <c r="N94" t="s">
        <v>8161</v>
      </c>
      <c r="O94" t="s">
        <v>8056</v>
      </c>
      <c r="P94" t="s">
        <v>7803</v>
      </c>
      <c r="Q94">
        <v>1940201</v>
      </c>
      <c r="R94">
        <v>18368965</v>
      </c>
      <c r="T94">
        <v>1816.1863000000001</v>
      </c>
      <c r="U94" t="s">
        <v>994</v>
      </c>
      <c r="V94" t="s">
        <v>194</v>
      </c>
      <c r="W94">
        <v>2</v>
      </c>
      <c r="Y94" t="s">
        <v>8162</v>
      </c>
      <c r="AE94" t="s">
        <v>4904</v>
      </c>
      <c r="AF94" t="s">
        <v>4714</v>
      </c>
      <c r="AI94" t="s">
        <v>6955</v>
      </c>
      <c r="AJ94" s="28" t="str">
        <f t="shared" si="1"/>
        <v>214102</v>
      </c>
    </row>
    <row r="95" spans="1:36" x14ac:dyDescent="0.25">
      <c r="A95" t="s">
        <v>5860</v>
      </c>
      <c r="B95" t="s">
        <v>7665</v>
      </c>
      <c r="C95" t="s">
        <v>1766</v>
      </c>
      <c r="D95" t="s">
        <v>8053</v>
      </c>
      <c r="E95" t="s">
        <v>192</v>
      </c>
      <c r="F95">
        <v>1</v>
      </c>
      <c r="G95" t="s">
        <v>193</v>
      </c>
      <c r="H95" t="s">
        <v>194</v>
      </c>
      <c r="I95" t="s">
        <v>7824</v>
      </c>
      <c r="J95" t="s">
        <v>210</v>
      </c>
      <c r="K95">
        <v>18</v>
      </c>
      <c r="L95" t="s">
        <v>8163</v>
      </c>
      <c r="M95" t="s">
        <v>7531</v>
      </c>
      <c r="N95" t="s">
        <v>8055</v>
      </c>
      <c r="O95" t="s">
        <v>8056</v>
      </c>
      <c r="P95" t="s">
        <v>8057</v>
      </c>
      <c r="Q95">
        <v>1938687</v>
      </c>
      <c r="R95">
        <v>18367067</v>
      </c>
      <c r="T95">
        <v>1863</v>
      </c>
      <c r="U95" t="s">
        <v>1767</v>
      </c>
      <c r="V95" t="s">
        <v>194</v>
      </c>
      <c r="W95">
        <v>1</v>
      </c>
      <c r="X95">
        <v>1000724156</v>
      </c>
      <c r="AF95" t="s">
        <v>4714</v>
      </c>
      <c r="AG95" t="s">
        <v>7665</v>
      </c>
      <c r="AI95" t="s">
        <v>6955</v>
      </c>
      <c r="AJ95" s="28" t="str">
        <f t="shared" si="1"/>
        <v>242112</v>
      </c>
    </row>
    <row r="96" spans="1:36" x14ac:dyDescent="0.25">
      <c r="A96" t="s">
        <v>5860</v>
      </c>
      <c r="B96" t="s">
        <v>8164</v>
      </c>
      <c r="C96" t="s">
        <v>27</v>
      </c>
      <c r="D96" t="s">
        <v>8053</v>
      </c>
      <c r="E96" t="s">
        <v>192</v>
      </c>
      <c r="F96">
        <v>1</v>
      </c>
      <c r="G96" t="s">
        <v>193</v>
      </c>
      <c r="H96" t="s">
        <v>194</v>
      </c>
      <c r="I96" t="s">
        <v>7803</v>
      </c>
      <c r="J96" t="s">
        <v>196</v>
      </c>
      <c r="K96">
        <v>18</v>
      </c>
      <c r="L96" t="s">
        <v>8165</v>
      </c>
      <c r="M96" t="s">
        <v>6254</v>
      </c>
      <c r="N96" t="s">
        <v>8055</v>
      </c>
      <c r="O96" t="s">
        <v>8056</v>
      </c>
      <c r="P96" t="s">
        <v>8057</v>
      </c>
      <c r="Q96">
        <v>1937655</v>
      </c>
      <c r="R96">
        <v>18366017</v>
      </c>
      <c r="U96" t="s">
        <v>440</v>
      </c>
      <c r="V96" t="s">
        <v>193</v>
      </c>
      <c r="W96">
        <v>25</v>
      </c>
      <c r="X96">
        <v>7890128</v>
      </c>
      <c r="AF96" t="s">
        <v>4714</v>
      </c>
      <c r="AG96" t="s">
        <v>8164</v>
      </c>
      <c r="AI96" t="s">
        <v>6955</v>
      </c>
      <c r="AJ96" s="28" t="str">
        <f t="shared" si="1"/>
        <v>242307</v>
      </c>
    </row>
    <row r="97" spans="1:36" x14ac:dyDescent="0.25">
      <c r="A97" t="s">
        <v>8166</v>
      </c>
      <c r="B97" t="s">
        <v>8167</v>
      </c>
      <c r="C97" t="s">
        <v>4580</v>
      </c>
      <c r="D97" t="s">
        <v>8053</v>
      </c>
      <c r="E97" t="s">
        <v>192</v>
      </c>
      <c r="F97">
        <v>1</v>
      </c>
      <c r="G97" t="s">
        <v>193</v>
      </c>
      <c r="H97" t="s">
        <v>194</v>
      </c>
      <c r="I97" t="s">
        <v>7803</v>
      </c>
      <c r="J97" t="s">
        <v>210</v>
      </c>
      <c r="K97">
        <v>18</v>
      </c>
      <c r="L97" t="s">
        <v>8168</v>
      </c>
      <c r="M97" t="s">
        <v>6258</v>
      </c>
      <c r="N97" t="s">
        <v>8055</v>
      </c>
      <c r="O97" t="s">
        <v>8056</v>
      </c>
      <c r="P97" t="s">
        <v>8057</v>
      </c>
      <c r="Q97">
        <v>1937887</v>
      </c>
      <c r="R97">
        <v>18366250</v>
      </c>
      <c r="T97">
        <v>1863</v>
      </c>
      <c r="U97" t="s">
        <v>4581</v>
      </c>
      <c r="V97" t="s">
        <v>194</v>
      </c>
      <c r="W97">
        <v>1</v>
      </c>
      <c r="X97">
        <v>500077747</v>
      </c>
      <c r="AF97" t="s">
        <v>4714</v>
      </c>
      <c r="AG97" t="s">
        <v>8167</v>
      </c>
      <c r="AI97" t="s">
        <v>6955</v>
      </c>
      <c r="AJ97" s="28" t="str">
        <f t="shared" si="1"/>
        <v>712703</v>
      </c>
    </row>
    <row r="98" spans="1:36" x14ac:dyDescent="0.25">
      <c r="A98" t="s">
        <v>8169</v>
      </c>
      <c r="B98" t="s">
        <v>8170</v>
      </c>
      <c r="C98" t="s">
        <v>5173</v>
      </c>
      <c r="D98" t="s">
        <v>8053</v>
      </c>
      <c r="E98" t="s">
        <v>192</v>
      </c>
      <c r="F98">
        <v>1</v>
      </c>
      <c r="G98" t="s">
        <v>193</v>
      </c>
      <c r="H98" t="s">
        <v>194</v>
      </c>
      <c r="I98" t="s">
        <v>7933</v>
      </c>
      <c r="J98" t="s">
        <v>210</v>
      </c>
      <c r="K98">
        <v>18</v>
      </c>
      <c r="L98" t="s">
        <v>8171</v>
      </c>
      <c r="M98" t="s">
        <v>6324</v>
      </c>
      <c r="N98" t="s">
        <v>8055</v>
      </c>
      <c r="O98" t="s">
        <v>8056</v>
      </c>
      <c r="P98" t="s">
        <v>8057</v>
      </c>
      <c r="Q98">
        <v>1937975</v>
      </c>
      <c r="R98">
        <v>18366344</v>
      </c>
      <c r="T98">
        <v>1863</v>
      </c>
      <c r="U98" t="s">
        <v>1150</v>
      </c>
      <c r="V98" t="s">
        <v>194</v>
      </c>
      <c r="W98">
        <v>1</v>
      </c>
      <c r="X98">
        <v>500077851</v>
      </c>
      <c r="AF98" t="s">
        <v>4714</v>
      </c>
      <c r="AG98" t="s">
        <v>8170</v>
      </c>
      <c r="AI98" t="s">
        <v>6955</v>
      </c>
      <c r="AJ98" s="28" t="str">
        <f t="shared" si="1"/>
        <v>244001</v>
      </c>
    </row>
    <row r="99" spans="1:36" x14ac:dyDescent="0.25">
      <c r="A99" t="s">
        <v>4115</v>
      </c>
      <c r="B99" t="s">
        <v>1000</v>
      </c>
      <c r="C99" t="s">
        <v>7107</v>
      </c>
      <c r="D99" t="s">
        <v>8053</v>
      </c>
      <c r="E99" t="s">
        <v>233</v>
      </c>
      <c r="F99">
        <v>1</v>
      </c>
      <c r="G99" t="s">
        <v>193</v>
      </c>
      <c r="H99" t="s">
        <v>194</v>
      </c>
      <c r="I99" t="s">
        <v>7803</v>
      </c>
      <c r="J99" t="s">
        <v>210</v>
      </c>
      <c r="K99">
        <v>18</v>
      </c>
      <c r="L99" t="s">
        <v>8172</v>
      </c>
      <c r="M99" t="s">
        <v>6306</v>
      </c>
      <c r="N99" t="s">
        <v>8090</v>
      </c>
      <c r="O99" t="s">
        <v>8009</v>
      </c>
      <c r="P99" t="s">
        <v>8051</v>
      </c>
      <c r="Q99">
        <v>1937449</v>
      </c>
      <c r="R99">
        <v>18344419</v>
      </c>
      <c r="T99">
        <v>1863</v>
      </c>
      <c r="U99" t="s">
        <v>7110</v>
      </c>
      <c r="V99" t="s">
        <v>194</v>
      </c>
      <c r="W99">
        <v>1</v>
      </c>
      <c r="X99">
        <v>73906</v>
      </c>
      <c r="Y99" t="s">
        <v>8173</v>
      </c>
      <c r="AE99" t="s">
        <v>8174</v>
      </c>
      <c r="AF99" t="s">
        <v>4714</v>
      </c>
      <c r="AG99" t="s">
        <v>1000</v>
      </c>
      <c r="AI99" t="s">
        <v>6955</v>
      </c>
      <c r="AJ99" s="28" t="str">
        <f t="shared" si="1"/>
        <v>335505</v>
      </c>
    </row>
    <row r="100" spans="1:36" x14ac:dyDescent="0.25">
      <c r="A100" t="s">
        <v>4115</v>
      </c>
      <c r="B100" t="s">
        <v>2675</v>
      </c>
      <c r="C100" t="s">
        <v>3438</v>
      </c>
      <c r="D100" t="s">
        <v>8053</v>
      </c>
      <c r="E100" t="s">
        <v>233</v>
      </c>
      <c r="F100">
        <v>1</v>
      </c>
      <c r="G100" t="s">
        <v>193</v>
      </c>
      <c r="H100" t="s">
        <v>194</v>
      </c>
      <c r="I100" t="s">
        <v>7824</v>
      </c>
      <c r="J100" t="s">
        <v>210</v>
      </c>
      <c r="K100">
        <v>18</v>
      </c>
      <c r="L100" t="s">
        <v>8175</v>
      </c>
      <c r="M100" t="s">
        <v>6306</v>
      </c>
      <c r="N100" t="s">
        <v>8090</v>
      </c>
      <c r="O100" t="s">
        <v>8009</v>
      </c>
      <c r="P100" t="s">
        <v>8051</v>
      </c>
      <c r="Q100">
        <v>1937447</v>
      </c>
      <c r="R100">
        <v>18344417</v>
      </c>
      <c r="T100">
        <v>1863</v>
      </c>
      <c r="U100" t="s">
        <v>3439</v>
      </c>
      <c r="V100" t="s">
        <v>194</v>
      </c>
      <c r="W100">
        <v>1</v>
      </c>
      <c r="X100">
        <v>73911</v>
      </c>
      <c r="Y100" t="s">
        <v>8176</v>
      </c>
      <c r="AE100" t="s">
        <v>8177</v>
      </c>
      <c r="AF100" t="s">
        <v>4714</v>
      </c>
      <c r="AG100" t="s">
        <v>2675</v>
      </c>
      <c r="AI100" t="s">
        <v>6955</v>
      </c>
      <c r="AJ100" s="28" t="str">
        <f t="shared" si="1"/>
        <v>334306</v>
      </c>
    </row>
    <row r="101" spans="1:36" x14ac:dyDescent="0.25">
      <c r="A101" t="s">
        <v>8178</v>
      </c>
      <c r="B101" t="s">
        <v>8179</v>
      </c>
      <c r="C101" t="s">
        <v>17</v>
      </c>
      <c r="D101" t="s">
        <v>8053</v>
      </c>
      <c r="E101" t="s">
        <v>192</v>
      </c>
      <c r="F101">
        <v>1</v>
      </c>
      <c r="G101" t="s">
        <v>193</v>
      </c>
      <c r="H101" t="s">
        <v>194</v>
      </c>
      <c r="I101" t="s">
        <v>7860</v>
      </c>
      <c r="J101" t="s">
        <v>285</v>
      </c>
      <c r="K101">
        <v>18</v>
      </c>
      <c r="L101" t="s">
        <v>8180</v>
      </c>
      <c r="M101" t="s">
        <v>6245</v>
      </c>
      <c r="N101" t="s">
        <v>8055</v>
      </c>
      <c r="O101" t="s">
        <v>8056</v>
      </c>
      <c r="P101" t="s">
        <v>8057</v>
      </c>
      <c r="Q101">
        <v>1939370</v>
      </c>
      <c r="R101">
        <v>18367762</v>
      </c>
      <c r="T101">
        <v>1815</v>
      </c>
      <c r="U101" t="s">
        <v>624</v>
      </c>
      <c r="V101" t="s">
        <v>194</v>
      </c>
      <c r="W101">
        <v>1</v>
      </c>
      <c r="X101">
        <v>1000725688</v>
      </c>
      <c r="AF101" t="s">
        <v>4714</v>
      </c>
      <c r="AG101" t="s">
        <v>8179</v>
      </c>
      <c r="AI101" t="s">
        <v>6955</v>
      </c>
      <c r="AJ101" s="28" t="str">
        <f t="shared" si="1"/>
        <v>332203</v>
      </c>
    </row>
    <row r="102" spans="1:36" x14ac:dyDescent="0.25">
      <c r="A102" t="s">
        <v>8178</v>
      </c>
      <c r="B102" t="s">
        <v>8179</v>
      </c>
      <c r="C102" t="s">
        <v>17</v>
      </c>
      <c r="D102" t="s">
        <v>8053</v>
      </c>
      <c r="E102" t="s">
        <v>192</v>
      </c>
      <c r="F102">
        <v>1</v>
      </c>
      <c r="G102" t="s">
        <v>193</v>
      </c>
      <c r="H102" t="s">
        <v>194</v>
      </c>
      <c r="I102" t="s">
        <v>7860</v>
      </c>
      <c r="J102" t="s">
        <v>210</v>
      </c>
      <c r="K102">
        <v>18</v>
      </c>
      <c r="L102" t="s">
        <v>8181</v>
      </c>
      <c r="M102" t="s">
        <v>6245</v>
      </c>
      <c r="N102" t="s">
        <v>8055</v>
      </c>
      <c r="O102" t="s">
        <v>8056</v>
      </c>
      <c r="P102" t="s">
        <v>8057</v>
      </c>
      <c r="Q102">
        <v>1939371</v>
      </c>
      <c r="R102">
        <v>18367763</v>
      </c>
      <c r="T102">
        <v>1863</v>
      </c>
      <c r="U102" t="s">
        <v>624</v>
      </c>
      <c r="V102" t="s">
        <v>194</v>
      </c>
      <c r="W102">
        <v>1</v>
      </c>
      <c r="X102">
        <v>1000725689</v>
      </c>
      <c r="AF102" t="s">
        <v>4714</v>
      </c>
      <c r="AG102" t="s">
        <v>8179</v>
      </c>
      <c r="AI102" t="s">
        <v>6955</v>
      </c>
      <c r="AJ102" s="28" t="str">
        <f t="shared" si="1"/>
        <v>332203</v>
      </c>
    </row>
    <row r="103" spans="1:36" x14ac:dyDescent="0.25">
      <c r="A103" t="s">
        <v>1471</v>
      </c>
      <c r="B103" t="s">
        <v>1472</v>
      </c>
      <c r="C103" t="s">
        <v>1133</v>
      </c>
      <c r="D103" t="s">
        <v>8053</v>
      </c>
      <c r="E103" t="s">
        <v>192</v>
      </c>
      <c r="F103">
        <v>1</v>
      </c>
      <c r="G103" t="s">
        <v>193</v>
      </c>
      <c r="H103" t="s">
        <v>194</v>
      </c>
      <c r="I103" t="s">
        <v>7933</v>
      </c>
      <c r="J103" t="s">
        <v>253</v>
      </c>
      <c r="K103">
        <v>18</v>
      </c>
      <c r="L103" t="s">
        <v>8182</v>
      </c>
      <c r="M103" t="s">
        <v>6327</v>
      </c>
      <c r="N103" t="s">
        <v>8055</v>
      </c>
      <c r="O103" t="s">
        <v>8056</v>
      </c>
      <c r="P103" t="s">
        <v>8057</v>
      </c>
      <c r="Q103">
        <v>1939074</v>
      </c>
      <c r="R103">
        <v>18367457</v>
      </c>
      <c r="T103">
        <v>1811</v>
      </c>
      <c r="U103" t="s">
        <v>1134</v>
      </c>
      <c r="V103" t="s">
        <v>194</v>
      </c>
      <c r="W103">
        <v>1</v>
      </c>
      <c r="X103">
        <v>1000724763</v>
      </c>
      <c r="AF103" t="s">
        <v>4714</v>
      </c>
      <c r="AG103" t="s">
        <v>1472</v>
      </c>
      <c r="AI103" t="s">
        <v>6955</v>
      </c>
      <c r="AJ103" s="28" t="str">
        <f t="shared" si="1"/>
        <v>112008</v>
      </c>
    </row>
    <row r="104" spans="1:36" x14ac:dyDescent="0.25">
      <c r="A104" t="s">
        <v>1471</v>
      </c>
      <c r="B104" t="s">
        <v>1681</v>
      </c>
      <c r="C104" t="s">
        <v>150</v>
      </c>
      <c r="D104" t="s">
        <v>8053</v>
      </c>
      <c r="E104" t="s">
        <v>192</v>
      </c>
      <c r="F104">
        <v>1</v>
      </c>
      <c r="G104" t="s">
        <v>193</v>
      </c>
      <c r="H104" t="s">
        <v>194</v>
      </c>
      <c r="I104" t="s">
        <v>7860</v>
      </c>
      <c r="J104" t="s">
        <v>367</v>
      </c>
      <c r="K104">
        <v>18</v>
      </c>
      <c r="L104" t="s">
        <v>8183</v>
      </c>
      <c r="M104" t="s">
        <v>6258</v>
      </c>
      <c r="N104" t="s">
        <v>8055</v>
      </c>
      <c r="O104" t="s">
        <v>8056</v>
      </c>
      <c r="P104" t="s">
        <v>8057</v>
      </c>
      <c r="Q104">
        <v>1939666</v>
      </c>
      <c r="R104">
        <v>18368067</v>
      </c>
      <c r="T104">
        <v>1805</v>
      </c>
      <c r="U104" t="s">
        <v>1274</v>
      </c>
      <c r="V104" t="s">
        <v>194</v>
      </c>
      <c r="W104">
        <v>1</v>
      </c>
      <c r="X104">
        <v>1000726513</v>
      </c>
      <c r="AF104" t="s">
        <v>4714</v>
      </c>
      <c r="AG104" t="s">
        <v>1681</v>
      </c>
      <c r="AI104" t="s">
        <v>6955</v>
      </c>
      <c r="AJ104" s="28" t="str">
        <f t="shared" si="1"/>
        <v>132105</v>
      </c>
    </row>
    <row r="105" spans="1:36" x14ac:dyDescent="0.25">
      <c r="A105" t="s">
        <v>8184</v>
      </c>
      <c r="B105" t="s">
        <v>3312</v>
      </c>
      <c r="C105" t="s">
        <v>1775</v>
      </c>
      <c r="D105" t="s">
        <v>8053</v>
      </c>
      <c r="E105" t="s">
        <v>192</v>
      </c>
      <c r="F105">
        <v>1</v>
      </c>
      <c r="G105" t="s">
        <v>193</v>
      </c>
      <c r="H105" t="s">
        <v>194</v>
      </c>
      <c r="I105" t="s">
        <v>7860</v>
      </c>
      <c r="J105" t="s">
        <v>253</v>
      </c>
      <c r="K105">
        <v>18</v>
      </c>
      <c r="L105" t="s">
        <v>8185</v>
      </c>
      <c r="M105" t="s">
        <v>6254</v>
      </c>
      <c r="N105" t="s">
        <v>8055</v>
      </c>
      <c r="O105" t="s">
        <v>8056</v>
      </c>
      <c r="P105" t="s">
        <v>8057</v>
      </c>
      <c r="Q105">
        <v>1939990</v>
      </c>
      <c r="R105">
        <v>18368396</v>
      </c>
      <c r="T105">
        <v>1811</v>
      </c>
      <c r="U105" t="s">
        <v>1777</v>
      </c>
      <c r="V105" t="s">
        <v>194</v>
      </c>
      <c r="W105">
        <v>1</v>
      </c>
      <c r="X105">
        <v>1000727250</v>
      </c>
      <c r="AF105" t="s">
        <v>4714</v>
      </c>
      <c r="AG105" t="s">
        <v>3312</v>
      </c>
      <c r="AI105" t="s">
        <v>6955</v>
      </c>
      <c r="AJ105" s="28" t="str">
        <f t="shared" si="1"/>
        <v>241302</v>
      </c>
    </row>
    <row r="106" spans="1:36" x14ac:dyDescent="0.25">
      <c r="A106" t="s">
        <v>8184</v>
      </c>
      <c r="B106" t="s">
        <v>3312</v>
      </c>
      <c r="C106" t="s">
        <v>1775</v>
      </c>
      <c r="D106" t="s">
        <v>8053</v>
      </c>
      <c r="E106" t="s">
        <v>192</v>
      </c>
      <c r="F106">
        <v>1</v>
      </c>
      <c r="G106" t="s">
        <v>193</v>
      </c>
      <c r="H106" t="s">
        <v>194</v>
      </c>
      <c r="I106" t="s">
        <v>7860</v>
      </c>
      <c r="J106" t="s">
        <v>210</v>
      </c>
      <c r="K106">
        <v>18</v>
      </c>
      <c r="L106" t="s">
        <v>8186</v>
      </c>
      <c r="M106" t="s">
        <v>6254</v>
      </c>
      <c r="N106" t="s">
        <v>8055</v>
      </c>
      <c r="O106" t="s">
        <v>8056</v>
      </c>
      <c r="P106" t="s">
        <v>8057</v>
      </c>
      <c r="Q106">
        <v>1939993</v>
      </c>
      <c r="R106">
        <v>18368399</v>
      </c>
      <c r="T106">
        <v>1863</v>
      </c>
      <c r="U106" t="s">
        <v>1777</v>
      </c>
      <c r="V106" t="s">
        <v>194</v>
      </c>
      <c r="W106">
        <v>1</v>
      </c>
      <c r="X106">
        <v>1000727253</v>
      </c>
      <c r="AF106" t="s">
        <v>4714</v>
      </c>
      <c r="AG106" t="s">
        <v>3312</v>
      </c>
      <c r="AI106" t="s">
        <v>6955</v>
      </c>
      <c r="AJ106" s="28" t="str">
        <f t="shared" si="1"/>
        <v>241302</v>
      </c>
    </row>
    <row r="107" spans="1:36" x14ac:dyDescent="0.25">
      <c r="A107" t="s">
        <v>8187</v>
      </c>
      <c r="B107" t="s">
        <v>5412</v>
      </c>
      <c r="C107" t="s">
        <v>740</v>
      </c>
      <c r="D107" t="s">
        <v>8053</v>
      </c>
      <c r="E107" t="s">
        <v>192</v>
      </c>
      <c r="F107">
        <v>1</v>
      </c>
      <c r="G107" t="s">
        <v>193</v>
      </c>
      <c r="H107" t="s">
        <v>194</v>
      </c>
      <c r="I107" t="s">
        <v>7933</v>
      </c>
      <c r="J107" t="s">
        <v>1059</v>
      </c>
      <c r="K107">
        <v>18</v>
      </c>
      <c r="L107" t="s">
        <v>8188</v>
      </c>
      <c r="M107" t="s">
        <v>6251</v>
      </c>
      <c r="N107" t="s">
        <v>8055</v>
      </c>
      <c r="O107" t="s">
        <v>8056</v>
      </c>
      <c r="P107" t="s">
        <v>8066</v>
      </c>
      <c r="Q107">
        <v>1938662</v>
      </c>
      <c r="R107">
        <v>18367042</v>
      </c>
      <c r="T107">
        <v>1809</v>
      </c>
      <c r="U107" t="s">
        <v>741</v>
      </c>
      <c r="V107" t="s">
        <v>194</v>
      </c>
      <c r="W107">
        <v>1</v>
      </c>
      <c r="X107">
        <v>1000724116</v>
      </c>
      <c r="AF107" t="s">
        <v>4714</v>
      </c>
      <c r="AG107" t="s">
        <v>5412</v>
      </c>
      <c r="AI107" t="s">
        <v>6955</v>
      </c>
      <c r="AJ107" s="28" t="str">
        <f t="shared" si="1"/>
        <v>522301</v>
      </c>
    </row>
    <row r="108" spans="1:36" x14ac:dyDescent="0.25">
      <c r="A108" t="s">
        <v>8187</v>
      </c>
      <c r="B108" t="s">
        <v>5412</v>
      </c>
      <c r="C108" t="s">
        <v>740</v>
      </c>
      <c r="D108" t="s">
        <v>8053</v>
      </c>
      <c r="E108" t="s">
        <v>192</v>
      </c>
      <c r="F108">
        <v>1</v>
      </c>
      <c r="G108" t="s">
        <v>193</v>
      </c>
      <c r="H108" t="s">
        <v>194</v>
      </c>
      <c r="I108" t="s">
        <v>7933</v>
      </c>
      <c r="J108" t="s">
        <v>399</v>
      </c>
      <c r="K108">
        <v>18</v>
      </c>
      <c r="L108" t="s">
        <v>8189</v>
      </c>
      <c r="M108" t="s">
        <v>6251</v>
      </c>
      <c r="N108" t="s">
        <v>8055</v>
      </c>
      <c r="O108" t="s">
        <v>8056</v>
      </c>
      <c r="P108" t="s">
        <v>8066</v>
      </c>
      <c r="Q108">
        <v>1938705</v>
      </c>
      <c r="R108">
        <v>18367085</v>
      </c>
      <c r="T108">
        <v>1802</v>
      </c>
      <c r="U108" t="s">
        <v>741</v>
      </c>
      <c r="V108" t="s">
        <v>194</v>
      </c>
      <c r="W108">
        <v>1</v>
      </c>
      <c r="X108">
        <v>1000724199</v>
      </c>
      <c r="AF108" t="s">
        <v>4714</v>
      </c>
      <c r="AG108" t="s">
        <v>5412</v>
      </c>
      <c r="AI108" t="s">
        <v>6955</v>
      </c>
      <c r="AJ108" s="28" t="str">
        <f t="shared" si="1"/>
        <v>522301</v>
      </c>
    </row>
    <row r="109" spans="1:36" x14ac:dyDescent="0.25">
      <c r="A109" t="s">
        <v>8187</v>
      </c>
      <c r="B109" t="s">
        <v>2935</v>
      </c>
      <c r="C109" t="s">
        <v>74</v>
      </c>
      <c r="D109" t="s">
        <v>8053</v>
      </c>
      <c r="E109" t="s">
        <v>192</v>
      </c>
      <c r="F109">
        <v>1</v>
      </c>
      <c r="G109" t="s">
        <v>193</v>
      </c>
      <c r="H109" t="s">
        <v>194</v>
      </c>
      <c r="I109" t="s">
        <v>7860</v>
      </c>
      <c r="J109" t="s">
        <v>316</v>
      </c>
      <c r="K109">
        <v>18</v>
      </c>
      <c r="L109" t="s">
        <v>8190</v>
      </c>
      <c r="M109" t="s">
        <v>6251</v>
      </c>
      <c r="N109" t="s">
        <v>8055</v>
      </c>
      <c r="O109" t="s">
        <v>8056</v>
      </c>
      <c r="P109" t="s">
        <v>8066</v>
      </c>
      <c r="Q109">
        <v>1938783</v>
      </c>
      <c r="R109">
        <v>18367163</v>
      </c>
      <c r="T109">
        <v>1818</v>
      </c>
      <c r="U109" t="s">
        <v>246</v>
      </c>
      <c r="V109" t="s">
        <v>194</v>
      </c>
      <c r="W109">
        <v>1</v>
      </c>
      <c r="X109">
        <v>1000724340</v>
      </c>
      <c r="AF109" t="s">
        <v>4714</v>
      </c>
      <c r="AG109" t="s">
        <v>2935</v>
      </c>
      <c r="AI109" t="s">
        <v>6955</v>
      </c>
      <c r="AJ109" s="28" t="str">
        <f t="shared" si="1"/>
        <v>142004</v>
      </c>
    </row>
    <row r="110" spans="1:36" x14ac:dyDescent="0.25">
      <c r="A110" t="s">
        <v>8187</v>
      </c>
      <c r="B110" t="s">
        <v>2935</v>
      </c>
      <c r="C110" t="s">
        <v>74</v>
      </c>
      <c r="D110" t="s">
        <v>8053</v>
      </c>
      <c r="E110" t="s">
        <v>192</v>
      </c>
      <c r="F110">
        <v>1</v>
      </c>
      <c r="G110" t="s">
        <v>193</v>
      </c>
      <c r="H110" t="s">
        <v>194</v>
      </c>
      <c r="I110" t="s">
        <v>7860</v>
      </c>
      <c r="J110" t="s">
        <v>399</v>
      </c>
      <c r="K110">
        <v>18</v>
      </c>
      <c r="L110" t="s">
        <v>8191</v>
      </c>
      <c r="M110" t="s">
        <v>6251</v>
      </c>
      <c r="N110" t="s">
        <v>8055</v>
      </c>
      <c r="O110" t="s">
        <v>8056</v>
      </c>
      <c r="P110" t="s">
        <v>8066</v>
      </c>
      <c r="Q110">
        <v>1938806</v>
      </c>
      <c r="R110">
        <v>18367186</v>
      </c>
      <c r="T110">
        <v>1802</v>
      </c>
      <c r="U110" t="s">
        <v>246</v>
      </c>
      <c r="V110" t="s">
        <v>194</v>
      </c>
      <c r="W110">
        <v>1</v>
      </c>
      <c r="X110">
        <v>1000724366</v>
      </c>
      <c r="AF110" t="s">
        <v>4714</v>
      </c>
      <c r="AG110" t="s">
        <v>2935</v>
      </c>
      <c r="AI110" t="s">
        <v>6955</v>
      </c>
      <c r="AJ110" s="28" t="str">
        <f t="shared" si="1"/>
        <v>142004</v>
      </c>
    </row>
    <row r="111" spans="1:36" x14ac:dyDescent="0.25">
      <c r="A111" t="s">
        <v>8192</v>
      </c>
      <c r="B111" t="s">
        <v>8193</v>
      </c>
      <c r="C111" t="s">
        <v>46</v>
      </c>
      <c r="D111" t="s">
        <v>8053</v>
      </c>
      <c r="E111" t="s">
        <v>192</v>
      </c>
      <c r="F111">
        <v>1</v>
      </c>
      <c r="G111" t="s">
        <v>193</v>
      </c>
      <c r="H111" t="s">
        <v>194</v>
      </c>
      <c r="I111" t="s">
        <v>7860</v>
      </c>
      <c r="J111" t="s">
        <v>210</v>
      </c>
      <c r="K111">
        <v>18</v>
      </c>
      <c r="L111" t="s">
        <v>8194</v>
      </c>
      <c r="M111" t="s">
        <v>6921</v>
      </c>
      <c r="N111" t="s">
        <v>8055</v>
      </c>
      <c r="O111" t="s">
        <v>8056</v>
      </c>
      <c r="P111" t="s">
        <v>8057</v>
      </c>
      <c r="Q111">
        <v>1939091</v>
      </c>
      <c r="R111">
        <v>18367474</v>
      </c>
      <c r="T111">
        <v>1863</v>
      </c>
      <c r="U111" t="s">
        <v>510</v>
      </c>
      <c r="V111" t="s">
        <v>194</v>
      </c>
      <c r="W111">
        <v>1</v>
      </c>
      <c r="X111">
        <v>1000724792</v>
      </c>
      <c r="AF111" t="s">
        <v>4714</v>
      </c>
      <c r="AG111" t="s">
        <v>8193</v>
      </c>
      <c r="AI111" t="s">
        <v>6955</v>
      </c>
      <c r="AJ111" s="28" t="str">
        <f t="shared" si="1"/>
        <v>252201</v>
      </c>
    </row>
    <row r="112" spans="1:36" x14ac:dyDescent="0.25">
      <c r="A112" t="s">
        <v>540</v>
      </c>
      <c r="B112" t="s">
        <v>8195</v>
      </c>
      <c r="C112" t="s">
        <v>62</v>
      </c>
      <c r="D112" t="s">
        <v>8053</v>
      </c>
      <c r="E112" t="s">
        <v>252</v>
      </c>
      <c r="F112">
        <v>1</v>
      </c>
      <c r="G112" t="s">
        <v>193</v>
      </c>
      <c r="H112" t="s">
        <v>194</v>
      </c>
      <c r="I112" t="s">
        <v>7803</v>
      </c>
      <c r="J112" t="s">
        <v>210</v>
      </c>
      <c r="K112">
        <v>18</v>
      </c>
      <c r="L112" t="s">
        <v>8196</v>
      </c>
      <c r="M112" t="s">
        <v>6275</v>
      </c>
      <c r="N112" t="s">
        <v>8197</v>
      </c>
      <c r="O112" t="s">
        <v>8053</v>
      </c>
      <c r="P112" t="s">
        <v>8041</v>
      </c>
      <c r="Q112">
        <v>1936703</v>
      </c>
      <c r="R112">
        <v>17650474</v>
      </c>
      <c r="T112">
        <v>1863</v>
      </c>
      <c r="U112" t="s">
        <v>601</v>
      </c>
      <c r="V112" t="s">
        <v>194</v>
      </c>
      <c r="W112">
        <v>1</v>
      </c>
      <c r="Y112" t="s">
        <v>6971</v>
      </c>
      <c r="AE112" t="s">
        <v>8198</v>
      </c>
      <c r="AF112" t="s">
        <v>4714</v>
      </c>
      <c r="AI112" t="s">
        <v>6955</v>
      </c>
      <c r="AJ112" s="28" t="str">
        <f t="shared" si="1"/>
        <v>313904</v>
      </c>
    </row>
    <row r="113" spans="1:36" x14ac:dyDescent="0.25">
      <c r="A113" t="s">
        <v>540</v>
      </c>
      <c r="B113" t="s">
        <v>8195</v>
      </c>
      <c r="C113" t="s">
        <v>62</v>
      </c>
      <c r="D113" t="s">
        <v>8053</v>
      </c>
      <c r="E113" t="s">
        <v>252</v>
      </c>
      <c r="F113">
        <v>1</v>
      </c>
      <c r="G113" t="s">
        <v>193</v>
      </c>
      <c r="H113" t="s">
        <v>194</v>
      </c>
      <c r="I113" t="s">
        <v>7803</v>
      </c>
      <c r="J113" t="s">
        <v>755</v>
      </c>
      <c r="K113">
        <v>18</v>
      </c>
      <c r="L113" t="s">
        <v>8199</v>
      </c>
      <c r="M113" t="s">
        <v>6275</v>
      </c>
      <c r="N113" t="s">
        <v>8197</v>
      </c>
      <c r="O113" t="s">
        <v>8053</v>
      </c>
      <c r="P113" t="s">
        <v>8041</v>
      </c>
      <c r="Q113">
        <v>1936704</v>
      </c>
      <c r="R113">
        <v>17650475</v>
      </c>
      <c r="T113">
        <v>1816</v>
      </c>
      <c r="U113" t="s">
        <v>601</v>
      </c>
      <c r="V113" t="s">
        <v>194</v>
      </c>
      <c r="W113">
        <v>1</v>
      </c>
      <c r="Y113" t="s">
        <v>6971</v>
      </c>
      <c r="AE113" t="s">
        <v>8198</v>
      </c>
      <c r="AF113" t="s">
        <v>4714</v>
      </c>
      <c r="AI113" t="s">
        <v>6955</v>
      </c>
      <c r="AJ113" s="28" t="str">
        <f t="shared" si="1"/>
        <v>313904</v>
      </c>
    </row>
    <row r="114" spans="1:36" x14ac:dyDescent="0.25">
      <c r="A114" t="s">
        <v>8200</v>
      </c>
      <c r="B114" t="s">
        <v>8201</v>
      </c>
      <c r="C114" t="s">
        <v>48</v>
      </c>
      <c r="D114" t="s">
        <v>8053</v>
      </c>
      <c r="E114" t="s">
        <v>192</v>
      </c>
      <c r="F114">
        <v>1</v>
      </c>
      <c r="G114" t="s">
        <v>193</v>
      </c>
      <c r="H114" t="s">
        <v>194</v>
      </c>
      <c r="I114" t="s">
        <v>7933</v>
      </c>
      <c r="J114" t="s">
        <v>367</v>
      </c>
      <c r="K114">
        <v>18</v>
      </c>
      <c r="L114" t="s">
        <v>8202</v>
      </c>
      <c r="M114" t="s">
        <v>6288</v>
      </c>
      <c r="N114" t="s">
        <v>8055</v>
      </c>
      <c r="O114" t="s">
        <v>8056</v>
      </c>
      <c r="P114" t="s">
        <v>8057</v>
      </c>
      <c r="Q114">
        <v>1939456</v>
      </c>
      <c r="R114">
        <v>18367854</v>
      </c>
      <c r="T114">
        <v>1805</v>
      </c>
      <c r="U114" t="s">
        <v>2296</v>
      </c>
      <c r="V114" t="s">
        <v>194</v>
      </c>
      <c r="W114">
        <v>1</v>
      </c>
      <c r="X114">
        <v>1000725968</v>
      </c>
      <c r="AF114" t="s">
        <v>4714</v>
      </c>
      <c r="AG114" t="s">
        <v>8201</v>
      </c>
      <c r="AI114" t="s">
        <v>6955</v>
      </c>
      <c r="AJ114" s="28" t="str">
        <f t="shared" si="1"/>
        <v>321401</v>
      </c>
    </row>
    <row r="115" spans="1:36" x14ac:dyDescent="0.25">
      <c r="A115" t="s">
        <v>244</v>
      </c>
      <c r="B115" t="s">
        <v>3789</v>
      </c>
      <c r="C115" t="s">
        <v>778</v>
      </c>
      <c r="D115" t="s">
        <v>8053</v>
      </c>
      <c r="E115" t="s">
        <v>192</v>
      </c>
      <c r="F115">
        <v>1</v>
      </c>
      <c r="G115" t="s">
        <v>193</v>
      </c>
      <c r="H115" t="s">
        <v>194</v>
      </c>
      <c r="I115" t="s">
        <v>7860</v>
      </c>
      <c r="J115" t="s">
        <v>223</v>
      </c>
      <c r="K115">
        <v>18</v>
      </c>
      <c r="L115" t="s">
        <v>8203</v>
      </c>
      <c r="M115" t="s">
        <v>6251</v>
      </c>
      <c r="N115" t="s">
        <v>8055</v>
      </c>
      <c r="O115" t="s">
        <v>8056</v>
      </c>
      <c r="P115" t="s">
        <v>8057</v>
      </c>
      <c r="Q115">
        <v>1937691</v>
      </c>
      <c r="R115">
        <v>18366053</v>
      </c>
      <c r="T115" t="s">
        <v>8204</v>
      </c>
      <c r="U115" t="s">
        <v>779</v>
      </c>
      <c r="V115" t="s">
        <v>194</v>
      </c>
      <c r="W115">
        <v>9</v>
      </c>
      <c r="X115">
        <v>7890873</v>
      </c>
      <c r="AF115" t="s">
        <v>4714</v>
      </c>
      <c r="AG115" t="s">
        <v>3789</v>
      </c>
      <c r="AI115" t="s">
        <v>6955</v>
      </c>
      <c r="AJ115" s="28" t="str">
        <f t="shared" si="1"/>
        <v>524902</v>
      </c>
    </row>
    <row r="116" spans="1:36" x14ac:dyDescent="0.25">
      <c r="A116" t="s">
        <v>8205</v>
      </c>
      <c r="B116" t="s">
        <v>3243</v>
      </c>
      <c r="C116" t="s">
        <v>43</v>
      </c>
      <c r="D116" t="s">
        <v>8053</v>
      </c>
      <c r="E116" t="s">
        <v>192</v>
      </c>
      <c r="F116">
        <v>1</v>
      </c>
      <c r="G116" t="s">
        <v>193</v>
      </c>
      <c r="H116" t="s">
        <v>194</v>
      </c>
      <c r="I116" t="s">
        <v>7860</v>
      </c>
      <c r="J116" t="s">
        <v>210</v>
      </c>
      <c r="K116">
        <v>18</v>
      </c>
      <c r="L116" t="s">
        <v>8206</v>
      </c>
      <c r="M116" t="s">
        <v>6245</v>
      </c>
      <c r="N116" t="s">
        <v>8055</v>
      </c>
      <c r="O116" t="s">
        <v>8056</v>
      </c>
      <c r="P116" t="s">
        <v>8057</v>
      </c>
      <c r="Q116">
        <v>1938792</v>
      </c>
      <c r="R116">
        <v>18367172</v>
      </c>
      <c r="T116">
        <v>1863</v>
      </c>
      <c r="U116" t="s">
        <v>452</v>
      </c>
      <c r="V116" t="s">
        <v>194</v>
      </c>
      <c r="W116">
        <v>1</v>
      </c>
      <c r="X116">
        <v>1000724349</v>
      </c>
      <c r="AF116" t="s">
        <v>4714</v>
      </c>
      <c r="AG116" t="s">
        <v>3243</v>
      </c>
      <c r="AI116" t="s">
        <v>6955</v>
      </c>
      <c r="AJ116" s="28" t="str">
        <f t="shared" si="1"/>
        <v>243106</v>
      </c>
    </row>
    <row r="117" spans="1:36" x14ac:dyDescent="0.25">
      <c r="A117" t="s">
        <v>8205</v>
      </c>
      <c r="B117" t="s">
        <v>3243</v>
      </c>
      <c r="C117" t="s">
        <v>43</v>
      </c>
      <c r="D117" t="s">
        <v>8053</v>
      </c>
      <c r="E117" t="s">
        <v>192</v>
      </c>
      <c r="F117">
        <v>1</v>
      </c>
      <c r="G117" t="s">
        <v>193</v>
      </c>
      <c r="H117" t="s">
        <v>194</v>
      </c>
      <c r="I117" t="s">
        <v>7860</v>
      </c>
      <c r="J117" t="s">
        <v>826</v>
      </c>
      <c r="K117">
        <v>18</v>
      </c>
      <c r="L117" t="s">
        <v>8207</v>
      </c>
      <c r="M117" t="s">
        <v>6245</v>
      </c>
      <c r="N117" t="s">
        <v>8055</v>
      </c>
      <c r="O117" t="s">
        <v>8056</v>
      </c>
      <c r="P117" t="s">
        <v>8057</v>
      </c>
      <c r="Q117">
        <v>1938793</v>
      </c>
      <c r="R117">
        <v>18367173</v>
      </c>
      <c r="T117">
        <v>1816</v>
      </c>
      <c r="U117" t="s">
        <v>452</v>
      </c>
      <c r="V117" t="s">
        <v>194</v>
      </c>
      <c r="W117">
        <v>1</v>
      </c>
      <c r="X117">
        <v>1000724350</v>
      </c>
      <c r="AF117" t="s">
        <v>4714</v>
      </c>
      <c r="AG117" t="s">
        <v>3243</v>
      </c>
      <c r="AI117" t="s">
        <v>6955</v>
      </c>
      <c r="AJ117" s="28" t="str">
        <f t="shared" si="1"/>
        <v>243106</v>
      </c>
    </row>
    <row r="118" spans="1:36" x14ac:dyDescent="0.25">
      <c r="A118" t="s">
        <v>8208</v>
      </c>
      <c r="B118" t="s">
        <v>8209</v>
      </c>
      <c r="C118" t="s">
        <v>43</v>
      </c>
      <c r="D118" t="s">
        <v>8053</v>
      </c>
      <c r="E118" t="s">
        <v>192</v>
      </c>
      <c r="F118">
        <v>1</v>
      </c>
      <c r="G118" t="s">
        <v>193</v>
      </c>
      <c r="H118" t="s">
        <v>194</v>
      </c>
      <c r="I118" t="s">
        <v>7933</v>
      </c>
      <c r="J118" t="s">
        <v>276</v>
      </c>
      <c r="K118">
        <v>18</v>
      </c>
      <c r="L118" t="s">
        <v>8210</v>
      </c>
      <c r="M118" t="s">
        <v>6245</v>
      </c>
      <c r="N118" t="s">
        <v>8055</v>
      </c>
      <c r="O118" t="s">
        <v>8056</v>
      </c>
      <c r="P118" t="s">
        <v>8057</v>
      </c>
      <c r="Q118">
        <v>1940013</v>
      </c>
      <c r="R118">
        <v>18368419</v>
      </c>
      <c r="T118">
        <v>1803</v>
      </c>
      <c r="U118" t="s">
        <v>452</v>
      </c>
      <c r="V118" t="s">
        <v>194</v>
      </c>
      <c r="W118">
        <v>1</v>
      </c>
      <c r="X118">
        <v>1000727281</v>
      </c>
      <c r="AF118" t="s">
        <v>4714</v>
      </c>
      <c r="AG118" t="s">
        <v>8209</v>
      </c>
      <c r="AI118" t="s">
        <v>6955</v>
      </c>
      <c r="AJ118" s="28" t="str">
        <f t="shared" si="1"/>
        <v>243106</v>
      </c>
    </row>
    <row r="119" spans="1:36" x14ac:dyDescent="0.25">
      <c r="A119" t="s">
        <v>8211</v>
      </c>
      <c r="B119" t="s">
        <v>8212</v>
      </c>
      <c r="C119" t="s">
        <v>10</v>
      </c>
      <c r="D119" t="s">
        <v>8053</v>
      </c>
      <c r="E119" t="s">
        <v>233</v>
      </c>
      <c r="F119">
        <v>1</v>
      </c>
      <c r="G119" t="s">
        <v>193</v>
      </c>
      <c r="H119" t="s">
        <v>194</v>
      </c>
      <c r="I119" t="s">
        <v>7933</v>
      </c>
      <c r="J119" t="s">
        <v>196</v>
      </c>
      <c r="K119">
        <v>18</v>
      </c>
      <c r="L119" t="s">
        <v>8213</v>
      </c>
      <c r="M119" t="s">
        <v>6921</v>
      </c>
      <c r="N119" t="s">
        <v>8214</v>
      </c>
      <c r="O119" t="s">
        <v>8215</v>
      </c>
      <c r="P119" t="s">
        <v>8046</v>
      </c>
      <c r="Q119">
        <v>1937518</v>
      </c>
      <c r="R119">
        <v>18344488</v>
      </c>
      <c r="U119" t="s">
        <v>484</v>
      </c>
      <c r="V119" t="s">
        <v>193</v>
      </c>
      <c r="W119">
        <v>25</v>
      </c>
      <c r="X119" t="s">
        <v>8216</v>
      </c>
      <c r="Y119" t="s">
        <v>8217</v>
      </c>
      <c r="AF119" t="s">
        <v>4714</v>
      </c>
      <c r="AG119" t="s">
        <v>8212</v>
      </c>
      <c r="AI119" t="s">
        <v>6955</v>
      </c>
      <c r="AJ119" s="28" t="str">
        <f t="shared" si="1"/>
        <v>251401</v>
      </c>
    </row>
    <row r="120" spans="1:36" x14ac:dyDescent="0.25">
      <c r="A120" t="s">
        <v>8211</v>
      </c>
      <c r="B120" t="s">
        <v>8218</v>
      </c>
      <c r="C120" t="s">
        <v>10</v>
      </c>
      <c r="D120" t="s">
        <v>8053</v>
      </c>
      <c r="E120" t="s">
        <v>233</v>
      </c>
      <c r="F120">
        <v>1</v>
      </c>
      <c r="G120" t="s">
        <v>193</v>
      </c>
      <c r="H120" t="s">
        <v>194</v>
      </c>
      <c r="I120" t="s">
        <v>7860</v>
      </c>
      <c r="J120" t="s">
        <v>196</v>
      </c>
      <c r="K120">
        <v>18</v>
      </c>
      <c r="L120" t="s">
        <v>8219</v>
      </c>
      <c r="M120" t="s">
        <v>6921</v>
      </c>
      <c r="N120" t="s">
        <v>8214</v>
      </c>
      <c r="O120" t="s">
        <v>8215</v>
      </c>
      <c r="P120" t="s">
        <v>8046</v>
      </c>
      <c r="Q120">
        <v>1937517</v>
      </c>
      <c r="R120">
        <v>18344487</v>
      </c>
      <c r="U120" t="s">
        <v>484</v>
      </c>
      <c r="V120" t="s">
        <v>193</v>
      </c>
      <c r="W120">
        <v>25</v>
      </c>
      <c r="X120" t="s">
        <v>8216</v>
      </c>
      <c r="Y120" t="s">
        <v>8220</v>
      </c>
      <c r="AF120" t="s">
        <v>4714</v>
      </c>
      <c r="AG120" t="s">
        <v>8218</v>
      </c>
      <c r="AI120" t="s">
        <v>6955</v>
      </c>
      <c r="AJ120" s="28" t="str">
        <f t="shared" si="1"/>
        <v>251401</v>
      </c>
    </row>
    <row r="121" spans="1:36" x14ac:dyDescent="0.25">
      <c r="A121" t="s">
        <v>8211</v>
      </c>
      <c r="B121" t="s">
        <v>8221</v>
      </c>
      <c r="C121" t="s">
        <v>10</v>
      </c>
      <c r="D121" t="s">
        <v>8053</v>
      </c>
      <c r="E121" t="s">
        <v>233</v>
      </c>
      <c r="F121">
        <v>1</v>
      </c>
      <c r="G121" t="s">
        <v>193</v>
      </c>
      <c r="H121" t="s">
        <v>194</v>
      </c>
      <c r="I121" t="s">
        <v>7803</v>
      </c>
      <c r="J121" t="s">
        <v>196</v>
      </c>
      <c r="K121">
        <v>18</v>
      </c>
      <c r="L121" t="s">
        <v>8222</v>
      </c>
      <c r="M121" t="s">
        <v>6921</v>
      </c>
      <c r="N121" t="s">
        <v>8214</v>
      </c>
      <c r="O121" t="s">
        <v>8215</v>
      </c>
      <c r="P121" t="s">
        <v>8046</v>
      </c>
      <c r="Q121">
        <v>1937516</v>
      </c>
      <c r="R121">
        <v>18344486</v>
      </c>
      <c r="U121" t="s">
        <v>484</v>
      </c>
      <c r="V121" t="s">
        <v>193</v>
      </c>
      <c r="W121">
        <v>25</v>
      </c>
      <c r="X121" t="s">
        <v>8216</v>
      </c>
      <c r="Y121" t="s">
        <v>8223</v>
      </c>
      <c r="AF121" t="s">
        <v>4714</v>
      </c>
      <c r="AG121" t="s">
        <v>8221</v>
      </c>
      <c r="AI121" t="s">
        <v>6955</v>
      </c>
      <c r="AJ121" s="28" t="str">
        <f t="shared" si="1"/>
        <v>251401</v>
      </c>
    </row>
    <row r="122" spans="1:36" x14ac:dyDescent="0.25">
      <c r="A122" t="s">
        <v>615</v>
      </c>
      <c r="B122" t="s">
        <v>4623</v>
      </c>
      <c r="C122" t="s">
        <v>111</v>
      </c>
      <c r="D122" t="s">
        <v>8053</v>
      </c>
      <c r="E122" t="s">
        <v>233</v>
      </c>
      <c r="F122">
        <v>1</v>
      </c>
      <c r="G122" t="s">
        <v>193</v>
      </c>
      <c r="H122" t="s">
        <v>194</v>
      </c>
      <c r="I122" t="s">
        <v>7860</v>
      </c>
      <c r="J122" t="s">
        <v>210</v>
      </c>
      <c r="K122">
        <v>18</v>
      </c>
      <c r="L122" t="s">
        <v>8224</v>
      </c>
      <c r="M122" t="s">
        <v>6254</v>
      </c>
      <c r="N122" t="s">
        <v>8090</v>
      </c>
      <c r="O122" t="s">
        <v>8009</v>
      </c>
      <c r="P122" t="s">
        <v>7875</v>
      </c>
      <c r="Q122">
        <v>1937216</v>
      </c>
      <c r="R122">
        <v>18344174</v>
      </c>
      <c r="T122">
        <v>1863</v>
      </c>
      <c r="U122" t="s">
        <v>612</v>
      </c>
      <c r="V122" t="s">
        <v>194</v>
      </c>
      <c r="W122">
        <v>1</v>
      </c>
      <c r="Y122" t="s">
        <v>8225</v>
      </c>
      <c r="AE122" t="s">
        <v>8226</v>
      </c>
      <c r="AF122" t="s">
        <v>4714</v>
      </c>
      <c r="AG122" t="s">
        <v>4623</v>
      </c>
      <c r="AI122" t="s">
        <v>6955</v>
      </c>
      <c r="AJ122" s="28" t="str">
        <f t="shared" si="1"/>
        <v>332101</v>
      </c>
    </row>
    <row r="123" spans="1:36" x14ac:dyDescent="0.25">
      <c r="A123" t="s">
        <v>615</v>
      </c>
      <c r="B123" t="s">
        <v>4623</v>
      </c>
      <c r="C123" t="s">
        <v>111</v>
      </c>
      <c r="D123" t="s">
        <v>8053</v>
      </c>
      <c r="E123" t="s">
        <v>233</v>
      </c>
      <c r="F123">
        <v>1</v>
      </c>
      <c r="G123" t="s">
        <v>193</v>
      </c>
      <c r="H123" t="s">
        <v>194</v>
      </c>
      <c r="I123" t="s">
        <v>7860</v>
      </c>
      <c r="J123" t="s">
        <v>316</v>
      </c>
      <c r="K123">
        <v>18</v>
      </c>
      <c r="L123" t="s">
        <v>8227</v>
      </c>
      <c r="M123" t="s">
        <v>6254</v>
      </c>
      <c r="N123" t="s">
        <v>8090</v>
      </c>
      <c r="O123" t="s">
        <v>8009</v>
      </c>
      <c r="P123" t="s">
        <v>7875</v>
      </c>
      <c r="Q123">
        <v>1937217</v>
      </c>
      <c r="R123">
        <v>18344175</v>
      </c>
      <c r="T123">
        <v>1818</v>
      </c>
      <c r="U123" t="s">
        <v>612</v>
      </c>
      <c r="V123" t="s">
        <v>194</v>
      </c>
      <c r="W123">
        <v>1</v>
      </c>
      <c r="Y123" t="s">
        <v>8225</v>
      </c>
      <c r="AE123" t="s">
        <v>8226</v>
      </c>
      <c r="AF123" t="s">
        <v>4714</v>
      </c>
      <c r="AG123" t="s">
        <v>4623</v>
      </c>
      <c r="AI123" t="s">
        <v>6955</v>
      </c>
      <c r="AJ123" s="28" t="str">
        <f t="shared" si="1"/>
        <v>332101</v>
      </c>
    </row>
    <row r="124" spans="1:36" x14ac:dyDescent="0.25">
      <c r="A124" t="s">
        <v>8228</v>
      </c>
      <c r="B124" t="s">
        <v>8</v>
      </c>
      <c r="C124" t="s">
        <v>740</v>
      </c>
      <c r="D124" t="s">
        <v>8053</v>
      </c>
      <c r="E124" t="s">
        <v>192</v>
      </c>
      <c r="F124">
        <v>1</v>
      </c>
      <c r="G124" t="s">
        <v>193</v>
      </c>
      <c r="H124" t="s">
        <v>194</v>
      </c>
      <c r="I124" t="s">
        <v>7860</v>
      </c>
      <c r="J124" t="s">
        <v>4751</v>
      </c>
      <c r="K124">
        <v>18</v>
      </c>
      <c r="L124" t="s">
        <v>8229</v>
      </c>
      <c r="M124" t="s">
        <v>6251</v>
      </c>
      <c r="N124" t="s">
        <v>8055</v>
      </c>
      <c r="O124" t="s">
        <v>8056</v>
      </c>
      <c r="P124" t="s">
        <v>8057</v>
      </c>
      <c r="Q124">
        <v>1940118</v>
      </c>
      <c r="R124">
        <v>18368525</v>
      </c>
      <c r="T124">
        <v>1862</v>
      </c>
      <c r="U124" t="s">
        <v>741</v>
      </c>
      <c r="V124" t="s">
        <v>194</v>
      </c>
      <c r="W124">
        <v>1</v>
      </c>
      <c r="X124">
        <v>1000727817</v>
      </c>
      <c r="AF124" t="s">
        <v>4714</v>
      </c>
      <c r="AG124" t="s">
        <v>8</v>
      </c>
      <c r="AI124" t="s">
        <v>6955</v>
      </c>
      <c r="AJ124" s="28" t="str">
        <f t="shared" si="1"/>
        <v>522301</v>
      </c>
    </row>
    <row r="125" spans="1:36" x14ac:dyDescent="0.25">
      <c r="A125" t="s">
        <v>8228</v>
      </c>
      <c r="B125" t="s">
        <v>8</v>
      </c>
      <c r="C125" t="s">
        <v>740</v>
      </c>
      <c r="D125" t="s">
        <v>8053</v>
      </c>
      <c r="E125" t="s">
        <v>192</v>
      </c>
      <c r="F125">
        <v>1</v>
      </c>
      <c r="G125" t="s">
        <v>193</v>
      </c>
      <c r="H125" t="s">
        <v>194</v>
      </c>
      <c r="I125" t="s">
        <v>7860</v>
      </c>
      <c r="J125" t="s">
        <v>210</v>
      </c>
      <c r="K125">
        <v>18</v>
      </c>
      <c r="L125" t="s">
        <v>8230</v>
      </c>
      <c r="M125" t="s">
        <v>6251</v>
      </c>
      <c r="N125" t="s">
        <v>8055</v>
      </c>
      <c r="O125" t="s">
        <v>8056</v>
      </c>
      <c r="P125" t="s">
        <v>8057</v>
      </c>
      <c r="Q125">
        <v>1940119</v>
      </c>
      <c r="R125">
        <v>18368526</v>
      </c>
      <c r="T125">
        <v>1863</v>
      </c>
      <c r="U125" t="s">
        <v>741</v>
      </c>
      <c r="V125" t="s">
        <v>194</v>
      </c>
      <c r="W125">
        <v>1</v>
      </c>
      <c r="X125">
        <v>1000727818</v>
      </c>
      <c r="AF125" t="s">
        <v>4714</v>
      </c>
      <c r="AG125" t="s">
        <v>8</v>
      </c>
      <c r="AI125" t="s">
        <v>6955</v>
      </c>
      <c r="AJ125" s="28" t="str">
        <f t="shared" si="1"/>
        <v>522301</v>
      </c>
    </row>
    <row r="126" spans="1:36" x14ac:dyDescent="0.25">
      <c r="A126" t="s">
        <v>8231</v>
      </c>
      <c r="B126" t="s">
        <v>8232</v>
      </c>
      <c r="C126" t="s">
        <v>371</v>
      </c>
      <c r="D126" t="s">
        <v>8053</v>
      </c>
      <c r="E126" t="s">
        <v>192</v>
      </c>
      <c r="F126">
        <v>1</v>
      </c>
      <c r="G126" t="s">
        <v>193</v>
      </c>
      <c r="H126" t="s">
        <v>194</v>
      </c>
      <c r="I126" t="s">
        <v>7803</v>
      </c>
      <c r="J126" t="s">
        <v>223</v>
      </c>
      <c r="K126">
        <v>18</v>
      </c>
      <c r="L126" t="s">
        <v>8233</v>
      </c>
      <c r="M126" t="s">
        <v>6258</v>
      </c>
      <c r="N126" t="s">
        <v>8055</v>
      </c>
      <c r="O126" t="s">
        <v>8056</v>
      </c>
      <c r="P126" t="s">
        <v>8057</v>
      </c>
      <c r="Q126">
        <v>1938539</v>
      </c>
      <c r="R126">
        <v>18366915</v>
      </c>
      <c r="T126">
        <v>1804</v>
      </c>
      <c r="U126" t="s">
        <v>372</v>
      </c>
      <c r="V126" t="s">
        <v>194</v>
      </c>
      <c r="W126">
        <v>1</v>
      </c>
      <c r="X126">
        <v>1000723735</v>
      </c>
      <c r="AF126" t="s">
        <v>4714</v>
      </c>
      <c r="AG126" t="s">
        <v>8232</v>
      </c>
      <c r="AI126" t="s">
        <v>6955</v>
      </c>
      <c r="AJ126" s="28" t="str">
        <f t="shared" si="1"/>
        <v>215202</v>
      </c>
    </row>
    <row r="127" spans="1:36" x14ac:dyDescent="0.25">
      <c r="A127" t="s">
        <v>8234</v>
      </c>
      <c r="B127" t="s">
        <v>8235</v>
      </c>
      <c r="C127" t="s">
        <v>50</v>
      </c>
      <c r="D127" t="s">
        <v>8053</v>
      </c>
      <c r="E127" t="s">
        <v>192</v>
      </c>
      <c r="F127">
        <v>1</v>
      </c>
      <c r="G127" t="s">
        <v>193</v>
      </c>
      <c r="H127" t="s">
        <v>194</v>
      </c>
      <c r="I127" t="s">
        <v>7860</v>
      </c>
      <c r="J127" t="s">
        <v>3631</v>
      </c>
      <c r="K127">
        <v>18</v>
      </c>
      <c r="L127" t="s">
        <v>8236</v>
      </c>
      <c r="M127" t="s">
        <v>6266</v>
      </c>
      <c r="N127" t="s">
        <v>8055</v>
      </c>
      <c r="O127" t="s">
        <v>8056</v>
      </c>
      <c r="P127" t="s">
        <v>8057</v>
      </c>
      <c r="Q127">
        <v>1939454</v>
      </c>
      <c r="R127">
        <v>18367852</v>
      </c>
      <c r="T127">
        <v>1804</v>
      </c>
      <c r="U127" t="s">
        <v>906</v>
      </c>
      <c r="V127" t="s">
        <v>194</v>
      </c>
      <c r="W127">
        <v>1</v>
      </c>
      <c r="X127">
        <v>1000725966</v>
      </c>
      <c r="AF127" t="s">
        <v>4714</v>
      </c>
      <c r="AG127" t="s">
        <v>8235</v>
      </c>
      <c r="AI127" t="s">
        <v>6955</v>
      </c>
      <c r="AJ127" s="28" t="str">
        <f t="shared" si="1"/>
        <v>333101</v>
      </c>
    </row>
    <row r="128" spans="1:36" x14ac:dyDescent="0.25">
      <c r="A128" t="s">
        <v>511</v>
      </c>
      <c r="B128" t="s">
        <v>4655</v>
      </c>
      <c r="C128" t="s">
        <v>43</v>
      </c>
      <c r="D128" t="s">
        <v>8053</v>
      </c>
      <c r="E128" t="s">
        <v>192</v>
      </c>
      <c r="F128">
        <v>1</v>
      </c>
      <c r="G128" t="s">
        <v>193</v>
      </c>
      <c r="H128" t="s">
        <v>194</v>
      </c>
      <c r="I128" t="s">
        <v>7933</v>
      </c>
      <c r="J128" t="s">
        <v>575</v>
      </c>
      <c r="K128">
        <v>18</v>
      </c>
      <c r="L128" t="s">
        <v>8237</v>
      </c>
      <c r="M128" t="s">
        <v>6290</v>
      </c>
      <c r="N128" t="s">
        <v>8055</v>
      </c>
      <c r="O128" t="s">
        <v>8056</v>
      </c>
      <c r="P128" t="s">
        <v>8057</v>
      </c>
      <c r="Q128">
        <v>1939057</v>
      </c>
      <c r="R128">
        <v>18367438</v>
      </c>
      <c r="T128">
        <v>1816</v>
      </c>
      <c r="U128" t="s">
        <v>452</v>
      </c>
      <c r="V128" t="s">
        <v>194</v>
      </c>
      <c r="W128">
        <v>1</v>
      </c>
      <c r="X128">
        <v>1000724738</v>
      </c>
      <c r="AF128" t="s">
        <v>4714</v>
      </c>
      <c r="AG128" t="s">
        <v>4655</v>
      </c>
      <c r="AI128" t="s">
        <v>6955</v>
      </c>
      <c r="AJ128" s="28" t="str">
        <f t="shared" si="1"/>
        <v>243106</v>
      </c>
    </row>
    <row r="129" spans="1:36" x14ac:dyDescent="0.25">
      <c r="A129" t="s">
        <v>491</v>
      </c>
      <c r="B129" t="s">
        <v>2873</v>
      </c>
      <c r="C129" t="s">
        <v>10</v>
      </c>
      <c r="D129" t="s">
        <v>8053</v>
      </c>
      <c r="E129" t="s">
        <v>192</v>
      </c>
      <c r="F129">
        <v>1</v>
      </c>
      <c r="G129" t="s">
        <v>193</v>
      </c>
      <c r="H129" t="s">
        <v>194</v>
      </c>
      <c r="I129" t="s">
        <v>7860</v>
      </c>
      <c r="J129" t="s">
        <v>210</v>
      </c>
      <c r="K129">
        <v>18</v>
      </c>
      <c r="L129" t="s">
        <v>8238</v>
      </c>
      <c r="M129" t="s">
        <v>6261</v>
      </c>
      <c r="N129" t="s">
        <v>8055</v>
      </c>
      <c r="O129" t="s">
        <v>8056</v>
      </c>
      <c r="P129" t="s">
        <v>8057</v>
      </c>
      <c r="Q129">
        <v>1939153</v>
      </c>
      <c r="R129">
        <v>18367536</v>
      </c>
      <c r="T129">
        <v>1863</v>
      </c>
      <c r="U129" t="s">
        <v>484</v>
      </c>
      <c r="V129" t="s">
        <v>194</v>
      </c>
      <c r="W129">
        <v>1</v>
      </c>
      <c r="X129">
        <v>1000724923</v>
      </c>
      <c r="AF129" t="s">
        <v>4714</v>
      </c>
      <c r="AG129" t="s">
        <v>2873</v>
      </c>
      <c r="AI129" t="s">
        <v>6955</v>
      </c>
      <c r="AJ129" s="28" t="str">
        <f t="shared" si="1"/>
        <v>251401</v>
      </c>
    </row>
    <row r="130" spans="1:36" x14ac:dyDescent="0.25">
      <c r="A130" t="s">
        <v>8239</v>
      </c>
      <c r="B130" t="s">
        <v>8240</v>
      </c>
      <c r="C130" t="s">
        <v>80</v>
      </c>
      <c r="D130" t="s">
        <v>8053</v>
      </c>
      <c r="E130" t="s">
        <v>192</v>
      </c>
      <c r="F130">
        <v>1</v>
      </c>
      <c r="G130" t="s">
        <v>193</v>
      </c>
      <c r="H130" t="s">
        <v>194</v>
      </c>
      <c r="I130" t="s">
        <v>7860</v>
      </c>
      <c r="J130" t="s">
        <v>399</v>
      </c>
      <c r="K130">
        <v>18</v>
      </c>
      <c r="L130" t="s">
        <v>8241</v>
      </c>
      <c r="M130" t="s">
        <v>6245</v>
      </c>
      <c r="N130" t="s">
        <v>8055</v>
      </c>
      <c r="O130" t="s">
        <v>8056</v>
      </c>
      <c r="P130" t="s">
        <v>8057</v>
      </c>
      <c r="Q130">
        <v>1937594</v>
      </c>
      <c r="R130">
        <v>18365938</v>
      </c>
      <c r="U130" t="s">
        <v>474</v>
      </c>
      <c r="V130" t="s">
        <v>193</v>
      </c>
      <c r="W130">
        <v>25</v>
      </c>
      <c r="X130">
        <v>7885702</v>
      </c>
      <c r="AF130" t="s">
        <v>4714</v>
      </c>
      <c r="AG130" t="s">
        <v>8240</v>
      </c>
      <c r="AI130" t="s">
        <v>6955</v>
      </c>
      <c r="AJ130" s="28" t="str">
        <f t="shared" si="1"/>
        <v>243304</v>
      </c>
    </row>
    <row r="131" spans="1:36" x14ac:dyDescent="0.25">
      <c r="A131" t="s">
        <v>6639</v>
      </c>
      <c r="B131" t="s">
        <v>8242</v>
      </c>
      <c r="C131" t="s">
        <v>8243</v>
      </c>
      <c r="D131" t="s">
        <v>8053</v>
      </c>
      <c r="E131" t="s">
        <v>192</v>
      </c>
      <c r="F131">
        <v>1</v>
      </c>
      <c r="G131" t="s">
        <v>193</v>
      </c>
      <c r="H131" t="s">
        <v>194</v>
      </c>
      <c r="I131" t="s">
        <v>7803</v>
      </c>
      <c r="J131" t="s">
        <v>210</v>
      </c>
      <c r="K131">
        <v>18</v>
      </c>
      <c r="L131" t="s">
        <v>8244</v>
      </c>
      <c r="M131" t="s">
        <v>6286</v>
      </c>
      <c r="N131" t="s">
        <v>8055</v>
      </c>
      <c r="O131" t="s">
        <v>8056</v>
      </c>
      <c r="P131" t="s">
        <v>8057</v>
      </c>
      <c r="Q131">
        <v>1940039</v>
      </c>
      <c r="R131">
        <v>18368445</v>
      </c>
      <c r="T131">
        <v>1863</v>
      </c>
      <c r="U131" t="s">
        <v>8245</v>
      </c>
      <c r="V131" t="s">
        <v>194</v>
      </c>
      <c r="W131">
        <v>1</v>
      </c>
      <c r="X131">
        <v>1000727333</v>
      </c>
      <c r="AF131" t="s">
        <v>4714</v>
      </c>
      <c r="AG131" t="s">
        <v>8242</v>
      </c>
      <c r="AI131" t="s">
        <v>6955</v>
      </c>
      <c r="AJ131" s="28" t="str">
        <f t="shared" ref="AJ131:AJ157" si="2">MID(U131,8,6)</f>
        <v>242225</v>
      </c>
    </row>
    <row r="132" spans="1:36" x14ac:dyDescent="0.25">
      <c r="A132" t="s">
        <v>8246</v>
      </c>
      <c r="B132" t="s">
        <v>8247</v>
      </c>
      <c r="C132" t="s">
        <v>3671</v>
      </c>
      <c r="D132" t="s">
        <v>8053</v>
      </c>
      <c r="E132" t="s">
        <v>192</v>
      </c>
      <c r="F132">
        <v>1</v>
      </c>
      <c r="G132" t="s">
        <v>193</v>
      </c>
      <c r="H132" t="s">
        <v>194</v>
      </c>
      <c r="I132" t="s">
        <v>7824</v>
      </c>
      <c r="J132" t="s">
        <v>210</v>
      </c>
      <c r="K132">
        <v>18</v>
      </c>
      <c r="L132" t="s">
        <v>8248</v>
      </c>
      <c r="M132" t="s">
        <v>6261</v>
      </c>
      <c r="N132" t="s">
        <v>8055</v>
      </c>
      <c r="O132" t="s">
        <v>8056</v>
      </c>
      <c r="P132" t="s">
        <v>8057</v>
      </c>
      <c r="Q132">
        <v>1938062</v>
      </c>
      <c r="R132">
        <v>18366432</v>
      </c>
      <c r="T132">
        <v>1863</v>
      </c>
      <c r="U132" t="s">
        <v>3672</v>
      </c>
      <c r="V132" t="s">
        <v>194</v>
      </c>
      <c r="W132">
        <v>1</v>
      </c>
      <c r="X132">
        <v>500077985</v>
      </c>
      <c r="AF132" t="s">
        <v>4714</v>
      </c>
      <c r="AG132" t="s">
        <v>8247</v>
      </c>
      <c r="AI132" t="s">
        <v>6955</v>
      </c>
      <c r="AJ132" s="28" t="str">
        <f t="shared" si="2"/>
        <v>522303</v>
      </c>
    </row>
    <row r="133" spans="1:36" x14ac:dyDescent="0.25">
      <c r="A133" t="s">
        <v>4022</v>
      </c>
      <c r="B133" t="s">
        <v>7827</v>
      </c>
      <c r="C133" t="s">
        <v>542</v>
      </c>
      <c r="D133" t="s">
        <v>8053</v>
      </c>
      <c r="E133" t="s">
        <v>217</v>
      </c>
      <c r="F133">
        <v>1</v>
      </c>
      <c r="G133" t="s">
        <v>193</v>
      </c>
      <c r="H133" t="s">
        <v>194</v>
      </c>
      <c r="I133" t="s">
        <v>7860</v>
      </c>
      <c r="J133" t="s">
        <v>210</v>
      </c>
      <c r="K133">
        <v>18</v>
      </c>
      <c r="L133" t="s">
        <v>7828</v>
      </c>
      <c r="M133" t="s">
        <v>6286</v>
      </c>
      <c r="N133" t="s">
        <v>8161</v>
      </c>
      <c r="O133" t="s">
        <v>8009</v>
      </c>
      <c r="P133" t="s">
        <v>7809</v>
      </c>
      <c r="Q133">
        <v>1940234</v>
      </c>
      <c r="R133">
        <v>18369078</v>
      </c>
      <c r="T133">
        <v>1863</v>
      </c>
      <c r="U133" t="s">
        <v>543</v>
      </c>
      <c r="V133" t="s">
        <v>194</v>
      </c>
      <c r="W133">
        <v>1</v>
      </c>
      <c r="Y133" t="s">
        <v>4903</v>
      </c>
      <c r="AE133" t="s">
        <v>7830</v>
      </c>
      <c r="AF133" t="s">
        <v>4714</v>
      </c>
      <c r="AI133" t="s">
        <v>6955</v>
      </c>
      <c r="AJ133" s="28" t="str">
        <f t="shared" si="2"/>
        <v>264304</v>
      </c>
    </row>
    <row r="134" spans="1:36" x14ac:dyDescent="0.25">
      <c r="A134" t="s">
        <v>873</v>
      </c>
      <c r="B134" t="s">
        <v>8249</v>
      </c>
      <c r="C134" t="s">
        <v>8250</v>
      </c>
      <c r="D134" t="s">
        <v>8053</v>
      </c>
      <c r="E134" t="s">
        <v>192</v>
      </c>
      <c r="F134">
        <v>1</v>
      </c>
      <c r="G134" t="s">
        <v>193</v>
      </c>
      <c r="H134" t="s">
        <v>194</v>
      </c>
      <c r="I134" t="s">
        <v>7933</v>
      </c>
      <c r="J134" t="s">
        <v>210</v>
      </c>
      <c r="K134">
        <v>18</v>
      </c>
      <c r="L134" t="s">
        <v>8251</v>
      </c>
      <c r="M134" t="s">
        <v>6275</v>
      </c>
      <c r="N134" t="s">
        <v>8055</v>
      </c>
      <c r="O134" t="s">
        <v>8056</v>
      </c>
      <c r="P134" t="s">
        <v>8057</v>
      </c>
      <c r="Q134">
        <v>1938551</v>
      </c>
      <c r="R134">
        <v>18366927</v>
      </c>
      <c r="T134">
        <v>1863</v>
      </c>
      <c r="U134" t="s">
        <v>8252</v>
      </c>
      <c r="V134" t="s">
        <v>194</v>
      </c>
      <c r="W134">
        <v>1</v>
      </c>
      <c r="X134">
        <v>1000723767</v>
      </c>
      <c r="AF134" t="s">
        <v>4714</v>
      </c>
      <c r="AG134" t="s">
        <v>8249</v>
      </c>
      <c r="AI134" t="s">
        <v>6955</v>
      </c>
      <c r="AJ134" s="28" t="str">
        <f t="shared" si="2"/>
        <v>911202</v>
      </c>
    </row>
    <row r="135" spans="1:36" x14ac:dyDescent="0.25">
      <c r="A135" t="s">
        <v>873</v>
      </c>
      <c r="B135" t="s">
        <v>8253</v>
      </c>
      <c r="C135" t="s">
        <v>67</v>
      </c>
      <c r="D135" t="s">
        <v>8053</v>
      </c>
      <c r="E135" t="s">
        <v>192</v>
      </c>
      <c r="F135">
        <v>1</v>
      </c>
      <c r="G135" t="s">
        <v>193</v>
      </c>
      <c r="H135" t="s">
        <v>194</v>
      </c>
      <c r="I135" t="s">
        <v>7860</v>
      </c>
      <c r="J135" t="s">
        <v>210</v>
      </c>
      <c r="K135">
        <v>18</v>
      </c>
      <c r="L135" t="s">
        <v>8254</v>
      </c>
      <c r="M135" t="s">
        <v>6266</v>
      </c>
      <c r="N135" t="s">
        <v>8055</v>
      </c>
      <c r="O135" t="s">
        <v>8056</v>
      </c>
      <c r="P135" t="s">
        <v>8057</v>
      </c>
      <c r="Q135">
        <v>1938807</v>
      </c>
      <c r="R135">
        <v>18367187</v>
      </c>
      <c r="T135">
        <v>1863</v>
      </c>
      <c r="U135" t="s">
        <v>709</v>
      </c>
      <c r="V135" t="s">
        <v>194</v>
      </c>
      <c r="W135">
        <v>1</v>
      </c>
      <c r="X135">
        <v>1000724367</v>
      </c>
      <c r="AF135" t="s">
        <v>4714</v>
      </c>
      <c r="AG135" t="s">
        <v>8253</v>
      </c>
      <c r="AI135" t="s">
        <v>6955</v>
      </c>
      <c r="AJ135" s="28" t="str">
        <f t="shared" si="2"/>
        <v>432103</v>
      </c>
    </row>
    <row r="136" spans="1:36" x14ac:dyDescent="0.25">
      <c r="A136" t="s">
        <v>1537</v>
      </c>
      <c r="B136" t="s">
        <v>8255</v>
      </c>
      <c r="C136" t="s">
        <v>3219</v>
      </c>
      <c r="D136" t="s">
        <v>8053</v>
      </c>
      <c r="E136" t="s">
        <v>192</v>
      </c>
      <c r="F136">
        <v>1</v>
      </c>
      <c r="G136" t="s">
        <v>193</v>
      </c>
      <c r="H136" t="s">
        <v>194</v>
      </c>
      <c r="I136" t="s">
        <v>7824</v>
      </c>
      <c r="J136" t="s">
        <v>301</v>
      </c>
      <c r="K136">
        <v>18</v>
      </c>
      <c r="L136" t="s">
        <v>8256</v>
      </c>
      <c r="M136" t="s">
        <v>6302</v>
      </c>
      <c r="N136" t="s">
        <v>8055</v>
      </c>
      <c r="O136" t="s">
        <v>8056</v>
      </c>
      <c r="P136" t="s">
        <v>8057</v>
      </c>
      <c r="Q136">
        <v>1939452</v>
      </c>
      <c r="R136">
        <v>18367847</v>
      </c>
      <c r="T136">
        <v>1810</v>
      </c>
      <c r="U136" t="s">
        <v>3620</v>
      </c>
      <c r="V136" t="s">
        <v>194</v>
      </c>
      <c r="W136">
        <v>1</v>
      </c>
      <c r="X136">
        <v>1000725961</v>
      </c>
      <c r="AF136" t="s">
        <v>4714</v>
      </c>
      <c r="AG136" t="s">
        <v>8255</v>
      </c>
      <c r="AI136" t="s">
        <v>6955</v>
      </c>
      <c r="AJ136" s="28" t="str">
        <f t="shared" si="2"/>
        <v>243109</v>
      </c>
    </row>
    <row r="137" spans="1:36" x14ac:dyDescent="0.25">
      <c r="A137" t="s">
        <v>8257</v>
      </c>
      <c r="B137" t="s">
        <v>31</v>
      </c>
      <c r="C137" t="s">
        <v>31</v>
      </c>
      <c r="D137" t="s">
        <v>8053</v>
      </c>
      <c r="E137" t="s">
        <v>192</v>
      </c>
      <c r="F137">
        <v>1</v>
      </c>
      <c r="G137" t="s">
        <v>193</v>
      </c>
      <c r="H137" t="s">
        <v>194</v>
      </c>
      <c r="I137" t="s">
        <v>7860</v>
      </c>
      <c r="J137" t="s">
        <v>8258</v>
      </c>
      <c r="K137">
        <v>18</v>
      </c>
      <c r="L137" t="s">
        <v>8259</v>
      </c>
      <c r="M137" t="s">
        <v>6343</v>
      </c>
      <c r="N137" t="s">
        <v>8055</v>
      </c>
      <c r="O137" t="s">
        <v>8056</v>
      </c>
      <c r="P137" t="s">
        <v>8260</v>
      </c>
      <c r="Q137">
        <v>1937763</v>
      </c>
      <c r="R137">
        <v>18366125</v>
      </c>
      <c r="T137">
        <v>1807</v>
      </c>
      <c r="U137" t="s">
        <v>1884</v>
      </c>
      <c r="V137" t="s">
        <v>194</v>
      </c>
      <c r="W137">
        <v>1</v>
      </c>
      <c r="X137">
        <v>500077604</v>
      </c>
      <c r="AF137" t="s">
        <v>4714</v>
      </c>
      <c r="AG137" t="s">
        <v>31</v>
      </c>
      <c r="AI137" t="s">
        <v>6955</v>
      </c>
      <c r="AJ137" s="28" t="str">
        <f t="shared" si="2"/>
        <v>229201</v>
      </c>
    </row>
    <row r="138" spans="1:36" x14ac:dyDescent="0.25">
      <c r="A138" t="s">
        <v>8261</v>
      </c>
      <c r="B138" t="s">
        <v>8262</v>
      </c>
      <c r="C138" t="s">
        <v>113</v>
      </c>
      <c r="D138" t="s">
        <v>8053</v>
      </c>
      <c r="E138" t="s">
        <v>192</v>
      </c>
      <c r="F138">
        <v>1</v>
      </c>
      <c r="G138" t="s">
        <v>193</v>
      </c>
      <c r="H138" t="s">
        <v>194</v>
      </c>
      <c r="I138" t="s">
        <v>7860</v>
      </c>
      <c r="J138" t="s">
        <v>210</v>
      </c>
      <c r="K138">
        <v>18</v>
      </c>
      <c r="L138" t="s">
        <v>8263</v>
      </c>
      <c r="M138" t="s">
        <v>6324</v>
      </c>
      <c r="N138" t="s">
        <v>8055</v>
      </c>
      <c r="O138" t="s">
        <v>8056</v>
      </c>
      <c r="P138" t="s">
        <v>8057</v>
      </c>
      <c r="Q138">
        <v>1939612</v>
      </c>
      <c r="R138">
        <v>18368013</v>
      </c>
      <c r="T138">
        <v>1863</v>
      </c>
      <c r="U138" t="s">
        <v>465</v>
      </c>
      <c r="V138" t="s">
        <v>194</v>
      </c>
      <c r="W138">
        <v>1</v>
      </c>
      <c r="X138">
        <v>1000726414</v>
      </c>
      <c r="AF138" t="s">
        <v>4714</v>
      </c>
      <c r="AG138" t="s">
        <v>8262</v>
      </c>
      <c r="AI138" t="s">
        <v>6955</v>
      </c>
      <c r="AJ138" s="28" t="str">
        <f t="shared" si="2"/>
        <v>243302</v>
      </c>
    </row>
    <row r="139" spans="1:36" x14ac:dyDescent="0.25">
      <c r="A139" t="s">
        <v>8264</v>
      </c>
      <c r="B139" t="s">
        <v>8265</v>
      </c>
      <c r="C139" t="s">
        <v>17</v>
      </c>
      <c r="D139" t="s">
        <v>8053</v>
      </c>
      <c r="E139" t="s">
        <v>192</v>
      </c>
      <c r="F139">
        <v>1</v>
      </c>
      <c r="G139" t="s">
        <v>193</v>
      </c>
      <c r="H139" t="s">
        <v>194</v>
      </c>
      <c r="I139" t="s">
        <v>7933</v>
      </c>
      <c r="J139" t="s">
        <v>210</v>
      </c>
      <c r="K139">
        <v>18</v>
      </c>
      <c r="L139" t="s">
        <v>8266</v>
      </c>
      <c r="M139" t="s">
        <v>6245</v>
      </c>
      <c r="N139" t="s">
        <v>8055</v>
      </c>
      <c r="O139" t="s">
        <v>8056</v>
      </c>
      <c r="P139" t="s">
        <v>8057</v>
      </c>
      <c r="Q139">
        <v>1938185</v>
      </c>
      <c r="R139">
        <v>18366555</v>
      </c>
      <c r="T139">
        <v>1863</v>
      </c>
      <c r="U139" t="s">
        <v>624</v>
      </c>
      <c r="V139" t="s">
        <v>194</v>
      </c>
      <c r="W139">
        <v>1</v>
      </c>
      <c r="X139">
        <v>1000719021</v>
      </c>
      <c r="AF139" t="s">
        <v>4714</v>
      </c>
      <c r="AG139" t="s">
        <v>8265</v>
      </c>
      <c r="AI139" t="s">
        <v>6955</v>
      </c>
      <c r="AJ139" s="28" t="str">
        <f t="shared" si="2"/>
        <v>332203</v>
      </c>
    </row>
    <row r="140" spans="1:36" x14ac:dyDescent="0.25">
      <c r="A140" t="s">
        <v>2259</v>
      </c>
      <c r="B140" t="s">
        <v>7923</v>
      </c>
      <c r="C140" t="s">
        <v>10</v>
      </c>
      <c r="D140" t="s">
        <v>8053</v>
      </c>
      <c r="E140" t="s">
        <v>233</v>
      </c>
      <c r="F140">
        <v>1</v>
      </c>
      <c r="G140" t="s">
        <v>193</v>
      </c>
      <c r="H140" t="s">
        <v>194</v>
      </c>
      <c r="I140" t="s">
        <v>7860</v>
      </c>
      <c r="J140" t="s">
        <v>210</v>
      </c>
      <c r="K140">
        <v>18</v>
      </c>
      <c r="L140" t="s">
        <v>8267</v>
      </c>
      <c r="M140" t="s">
        <v>6261</v>
      </c>
      <c r="N140" t="s">
        <v>8214</v>
      </c>
      <c r="O140" t="s">
        <v>8268</v>
      </c>
      <c r="P140" t="s">
        <v>8269</v>
      </c>
      <c r="Q140">
        <v>1937511</v>
      </c>
      <c r="R140">
        <v>18344481</v>
      </c>
      <c r="T140">
        <v>1863</v>
      </c>
      <c r="U140" t="s">
        <v>484</v>
      </c>
      <c r="V140" t="s">
        <v>194</v>
      </c>
      <c r="W140">
        <v>1</v>
      </c>
      <c r="X140" t="s">
        <v>8270</v>
      </c>
      <c r="Y140" t="s">
        <v>7926</v>
      </c>
      <c r="AE140" t="s">
        <v>7927</v>
      </c>
      <c r="AF140" t="s">
        <v>4714</v>
      </c>
      <c r="AG140" t="s">
        <v>7923</v>
      </c>
      <c r="AI140" t="s">
        <v>6955</v>
      </c>
      <c r="AJ140" s="28" t="str">
        <f t="shared" si="2"/>
        <v>251401</v>
      </c>
    </row>
    <row r="141" spans="1:36" x14ac:dyDescent="0.25">
      <c r="A141" t="s">
        <v>8271</v>
      </c>
      <c r="B141" t="s">
        <v>8272</v>
      </c>
      <c r="C141" t="s">
        <v>778</v>
      </c>
      <c r="D141" t="s">
        <v>8053</v>
      </c>
      <c r="E141" t="s">
        <v>192</v>
      </c>
      <c r="F141">
        <v>1</v>
      </c>
      <c r="G141" t="s">
        <v>193</v>
      </c>
      <c r="H141" t="s">
        <v>194</v>
      </c>
      <c r="I141" t="s">
        <v>7860</v>
      </c>
      <c r="J141" t="s">
        <v>4751</v>
      </c>
      <c r="K141">
        <v>18</v>
      </c>
      <c r="L141" t="s">
        <v>8273</v>
      </c>
      <c r="M141" t="s">
        <v>7001</v>
      </c>
      <c r="N141" t="s">
        <v>8055</v>
      </c>
      <c r="O141" t="s">
        <v>8056</v>
      </c>
      <c r="P141" t="s">
        <v>8057</v>
      </c>
      <c r="Q141">
        <v>1938130</v>
      </c>
      <c r="R141">
        <v>18366500</v>
      </c>
      <c r="T141">
        <v>1862</v>
      </c>
      <c r="U141" t="s">
        <v>779</v>
      </c>
      <c r="V141" t="s">
        <v>194</v>
      </c>
      <c r="W141">
        <v>1</v>
      </c>
      <c r="X141">
        <v>1000706766</v>
      </c>
      <c r="AF141" t="s">
        <v>4714</v>
      </c>
      <c r="AG141" t="s">
        <v>8272</v>
      </c>
      <c r="AI141" t="s">
        <v>6955</v>
      </c>
      <c r="AJ141" s="28" t="str">
        <f t="shared" si="2"/>
        <v>524902</v>
      </c>
    </row>
    <row r="142" spans="1:36" x14ac:dyDescent="0.25">
      <c r="A142" t="s">
        <v>8271</v>
      </c>
      <c r="B142" t="s">
        <v>8272</v>
      </c>
      <c r="C142" t="s">
        <v>778</v>
      </c>
      <c r="D142" t="s">
        <v>8053</v>
      </c>
      <c r="E142" t="s">
        <v>192</v>
      </c>
      <c r="F142">
        <v>1</v>
      </c>
      <c r="G142" t="s">
        <v>193</v>
      </c>
      <c r="H142" t="s">
        <v>194</v>
      </c>
      <c r="I142" t="s">
        <v>7860</v>
      </c>
      <c r="J142" t="s">
        <v>210</v>
      </c>
      <c r="K142">
        <v>18</v>
      </c>
      <c r="L142" t="s">
        <v>8274</v>
      </c>
      <c r="M142" t="s">
        <v>7001</v>
      </c>
      <c r="N142" t="s">
        <v>8055</v>
      </c>
      <c r="O142" t="s">
        <v>8056</v>
      </c>
      <c r="P142" t="s">
        <v>8057</v>
      </c>
      <c r="Q142">
        <v>1938131</v>
      </c>
      <c r="R142">
        <v>18366501</v>
      </c>
      <c r="T142">
        <v>1863</v>
      </c>
      <c r="U142" t="s">
        <v>779</v>
      </c>
      <c r="V142" t="s">
        <v>194</v>
      </c>
      <c r="W142">
        <v>1</v>
      </c>
      <c r="X142">
        <v>1000706769</v>
      </c>
      <c r="AF142" t="s">
        <v>4714</v>
      </c>
      <c r="AG142" t="s">
        <v>8272</v>
      </c>
      <c r="AI142" t="s">
        <v>6955</v>
      </c>
      <c r="AJ142" s="28" t="str">
        <f t="shared" si="2"/>
        <v>524902</v>
      </c>
    </row>
    <row r="143" spans="1:36" x14ac:dyDescent="0.25">
      <c r="A143" t="s">
        <v>2478</v>
      </c>
      <c r="B143" t="s">
        <v>8275</v>
      </c>
      <c r="C143" t="s">
        <v>43</v>
      </c>
      <c r="D143" t="s">
        <v>8053</v>
      </c>
      <c r="E143" t="s">
        <v>192</v>
      </c>
      <c r="F143">
        <v>1</v>
      </c>
      <c r="G143" t="s">
        <v>193</v>
      </c>
      <c r="H143" t="s">
        <v>194</v>
      </c>
      <c r="I143" t="s">
        <v>7803</v>
      </c>
      <c r="J143" t="s">
        <v>2480</v>
      </c>
      <c r="K143">
        <v>18</v>
      </c>
      <c r="L143" t="s">
        <v>8276</v>
      </c>
      <c r="M143" t="s">
        <v>6290</v>
      </c>
      <c r="N143" t="s">
        <v>8055</v>
      </c>
      <c r="O143" t="s">
        <v>8056</v>
      </c>
      <c r="P143" t="s">
        <v>8057</v>
      </c>
      <c r="Q143">
        <v>1939007</v>
      </c>
      <c r="R143">
        <v>18367388</v>
      </c>
      <c r="T143">
        <v>1810</v>
      </c>
      <c r="U143" t="s">
        <v>452</v>
      </c>
      <c r="V143" t="s">
        <v>194</v>
      </c>
      <c r="W143">
        <v>1</v>
      </c>
      <c r="X143">
        <v>1000724656</v>
      </c>
      <c r="AF143" t="s">
        <v>4714</v>
      </c>
      <c r="AG143" t="s">
        <v>8275</v>
      </c>
      <c r="AI143" t="s">
        <v>6955</v>
      </c>
      <c r="AJ143" s="28" t="str">
        <f t="shared" si="2"/>
        <v>243106</v>
      </c>
    </row>
    <row r="144" spans="1:36" x14ac:dyDescent="0.25">
      <c r="A144" t="s">
        <v>2478</v>
      </c>
      <c r="B144" t="s">
        <v>2557</v>
      </c>
      <c r="C144" t="s">
        <v>43</v>
      </c>
      <c r="D144" t="s">
        <v>8053</v>
      </c>
      <c r="E144" t="s">
        <v>192</v>
      </c>
      <c r="F144">
        <v>1</v>
      </c>
      <c r="G144" t="s">
        <v>193</v>
      </c>
      <c r="H144" t="s">
        <v>194</v>
      </c>
      <c r="I144" t="s">
        <v>7860</v>
      </c>
      <c r="J144" t="s">
        <v>2480</v>
      </c>
      <c r="K144">
        <v>18</v>
      </c>
      <c r="L144" t="s">
        <v>8277</v>
      </c>
      <c r="M144" t="s">
        <v>7489</v>
      </c>
      <c r="N144" t="s">
        <v>8055</v>
      </c>
      <c r="O144" t="s">
        <v>8056</v>
      </c>
      <c r="P144" t="s">
        <v>8057</v>
      </c>
      <c r="Q144">
        <v>1938989</v>
      </c>
      <c r="R144">
        <v>18367370</v>
      </c>
      <c r="T144">
        <v>1810</v>
      </c>
      <c r="U144" t="s">
        <v>452</v>
      </c>
      <c r="V144" t="s">
        <v>194</v>
      </c>
      <c r="W144">
        <v>1</v>
      </c>
      <c r="X144">
        <v>1000724630</v>
      </c>
      <c r="AF144" t="s">
        <v>4714</v>
      </c>
      <c r="AG144" t="s">
        <v>2557</v>
      </c>
      <c r="AI144" t="s">
        <v>6955</v>
      </c>
      <c r="AJ144" s="28" t="str">
        <f t="shared" si="2"/>
        <v>243106</v>
      </c>
    </row>
    <row r="145" spans="1:37" x14ac:dyDescent="0.25">
      <c r="A145" t="s">
        <v>7854</v>
      </c>
      <c r="B145" t="s">
        <v>7855</v>
      </c>
      <c r="C145" t="s">
        <v>69</v>
      </c>
      <c r="D145" t="s">
        <v>8053</v>
      </c>
      <c r="E145" t="s">
        <v>217</v>
      </c>
      <c r="F145">
        <v>1</v>
      </c>
      <c r="G145" t="s">
        <v>193</v>
      </c>
      <c r="H145" t="s">
        <v>194</v>
      </c>
      <c r="I145" t="s">
        <v>7803</v>
      </c>
      <c r="J145" t="s">
        <v>210</v>
      </c>
      <c r="K145">
        <v>18</v>
      </c>
      <c r="L145" t="s">
        <v>7856</v>
      </c>
      <c r="M145" t="s">
        <v>6921</v>
      </c>
      <c r="N145" t="s">
        <v>8161</v>
      </c>
      <c r="O145" t="s">
        <v>8009</v>
      </c>
      <c r="P145" t="s">
        <v>7809</v>
      </c>
      <c r="Q145">
        <v>1940230</v>
      </c>
      <c r="R145">
        <v>18369073</v>
      </c>
      <c r="T145">
        <v>1863</v>
      </c>
      <c r="U145" t="s">
        <v>375</v>
      </c>
      <c r="V145" t="s">
        <v>194</v>
      </c>
      <c r="W145">
        <v>1</v>
      </c>
      <c r="Y145" t="s">
        <v>7857</v>
      </c>
      <c r="AE145" t="s">
        <v>4904</v>
      </c>
      <c r="AF145" t="s">
        <v>4714</v>
      </c>
      <c r="AI145" t="s">
        <v>6955</v>
      </c>
      <c r="AJ145" s="28" t="str">
        <f t="shared" si="2"/>
        <v>215301</v>
      </c>
    </row>
    <row r="146" spans="1:37" x14ac:dyDescent="0.25">
      <c r="A146" t="s">
        <v>8278</v>
      </c>
      <c r="B146" t="s">
        <v>8279</v>
      </c>
      <c r="C146" t="s">
        <v>17</v>
      </c>
      <c r="D146" t="s">
        <v>8053</v>
      </c>
      <c r="E146" t="s">
        <v>192</v>
      </c>
      <c r="F146">
        <v>1</v>
      </c>
      <c r="G146" t="s">
        <v>193</v>
      </c>
      <c r="H146" t="s">
        <v>194</v>
      </c>
      <c r="I146" t="s">
        <v>7860</v>
      </c>
      <c r="J146" t="s">
        <v>2609</v>
      </c>
      <c r="K146">
        <v>18</v>
      </c>
      <c r="L146" t="s">
        <v>8280</v>
      </c>
      <c r="M146" t="s">
        <v>6249</v>
      </c>
      <c r="N146" t="s">
        <v>8055</v>
      </c>
      <c r="O146" t="s">
        <v>8056</v>
      </c>
      <c r="P146" t="s">
        <v>8057</v>
      </c>
      <c r="Q146">
        <v>1937985</v>
      </c>
      <c r="R146">
        <v>18366354</v>
      </c>
      <c r="T146">
        <v>1813</v>
      </c>
      <c r="U146" t="s">
        <v>624</v>
      </c>
      <c r="V146" t="s">
        <v>194</v>
      </c>
      <c r="W146">
        <v>1</v>
      </c>
      <c r="X146">
        <v>500077861</v>
      </c>
      <c r="AF146" t="s">
        <v>4714</v>
      </c>
      <c r="AG146" t="s">
        <v>8279</v>
      </c>
      <c r="AI146" t="s">
        <v>6955</v>
      </c>
      <c r="AJ146" s="28" t="str">
        <f t="shared" si="2"/>
        <v>332203</v>
      </c>
    </row>
    <row r="147" spans="1:37" x14ac:dyDescent="0.25">
      <c r="A147" t="s">
        <v>8281</v>
      </c>
      <c r="B147" t="s">
        <v>8282</v>
      </c>
      <c r="C147" t="s">
        <v>43</v>
      </c>
      <c r="D147" t="s">
        <v>8053</v>
      </c>
      <c r="E147" t="s">
        <v>192</v>
      </c>
      <c r="F147">
        <v>1</v>
      </c>
      <c r="G147" t="s">
        <v>193</v>
      </c>
      <c r="H147" t="s">
        <v>194</v>
      </c>
      <c r="I147" t="s">
        <v>7933</v>
      </c>
      <c r="J147" t="s">
        <v>210</v>
      </c>
      <c r="K147">
        <v>18</v>
      </c>
      <c r="L147" t="s">
        <v>8283</v>
      </c>
      <c r="M147" t="s">
        <v>6302</v>
      </c>
      <c r="N147" t="s">
        <v>8055</v>
      </c>
      <c r="O147" t="s">
        <v>8056</v>
      </c>
      <c r="P147" t="s">
        <v>8057</v>
      </c>
      <c r="Q147">
        <v>1937819</v>
      </c>
      <c r="R147">
        <v>18366182</v>
      </c>
      <c r="T147">
        <v>1863</v>
      </c>
      <c r="U147" t="s">
        <v>452</v>
      </c>
      <c r="V147" t="s">
        <v>194</v>
      </c>
      <c r="W147">
        <v>1</v>
      </c>
      <c r="X147">
        <v>500077649</v>
      </c>
      <c r="AF147" t="s">
        <v>4714</v>
      </c>
      <c r="AG147" t="s">
        <v>8282</v>
      </c>
      <c r="AI147" t="s">
        <v>6955</v>
      </c>
      <c r="AJ147" s="28" t="str">
        <f t="shared" si="2"/>
        <v>243106</v>
      </c>
    </row>
    <row r="148" spans="1:37" x14ac:dyDescent="0.25">
      <c r="A148" t="s">
        <v>8284</v>
      </c>
      <c r="B148" t="s">
        <v>1027</v>
      </c>
      <c r="C148" t="s">
        <v>17</v>
      </c>
      <c r="D148" t="s">
        <v>8053</v>
      </c>
      <c r="E148" t="s">
        <v>192</v>
      </c>
      <c r="F148">
        <v>1</v>
      </c>
      <c r="G148" t="s">
        <v>193</v>
      </c>
      <c r="H148" t="s">
        <v>194</v>
      </c>
      <c r="I148" t="s">
        <v>7860</v>
      </c>
      <c r="J148" t="s">
        <v>253</v>
      </c>
      <c r="K148">
        <v>18</v>
      </c>
      <c r="L148" t="s">
        <v>8285</v>
      </c>
      <c r="M148" t="s">
        <v>7001</v>
      </c>
      <c r="N148" t="s">
        <v>8055</v>
      </c>
      <c r="O148" t="s">
        <v>8056</v>
      </c>
      <c r="P148" t="s">
        <v>8057</v>
      </c>
      <c r="Q148">
        <v>1938827</v>
      </c>
      <c r="R148">
        <v>18367207</v>
      </c>
      <c r="T148">
        <v>1811</v>
      </c>
      <c r="U148" t="s">
        <v>624</v>
      </c>
      <c r="V148" t="s">
        <v>194</v>
      </c>
      <c r="W148">
        <v>1</v>
      </c>
      <c r="X148">
        <v>1000724387</v>
      </c>
      <c r="AF148" t="s">
        <v>4714</v>
      </c>
      <c r="AG148" t="s">
        <v>1027</v>
      </c>
      <c r="AI148" t="s">
        <v>6955</v>
      </c>
      <c r="AJ148" s="28" t="str">
        <f t="shared" si="2"/>
        <v>332203</v>
      </c>
    </row>
    <row r="149" spans="1:37" x14ac:dyDescent="0.25">
      <c r="A149" t="s">
        <v>8284</v>
      </c>
      <c r="B149" t="s">
        <v>1027</v>
      </c>
      <c r="C149" t="s">
        <v>17</v>
      </c>
      <c r="D149" t="s">
        <v>8053</v>
      </c>
      <c r="E149" t="s">
        <v>192</v>
      </c>
      <c r="F149">
        <v>1</v>
      </c>
      <c r="G149" t="s">
        <v>193</v>
      </c>
      <c r="H149" t="s">
        <v>194</v>
      </c>
      <c r="I149" t="s">
        <v>7860</v>
      </c>
      <c r="J149" t="s">
        <v>4751</v>
      </c>
      <c r="K149">
        <v>18</v>
      </c>
      <c r="L149" t="s">
        <v>8286</v>
      </c>
      <c r="M149" t="s">
        <v>7001</v>
      </c>
      <c r="N149" t="s">
        <v>8055</v>
      </c>
      <c r="O149" t="s">
        <v>8056</v>
      </c>
      <c r="P149" t="s">
        <v>8057</v>
      </c>
      <c r="Q149">
        <v>1938839</v>
      </c>
      <c r="R149">
        <v>18367219</v>
      </c>
      <c r="T149">
        <v>1862</v>
      </c>
      <c r="U149" t="s">
        <v>624</v>
      </c>
      <c r="V149" t="s">
        <v>194</v>
      </c>
      <c r="W149">
        <v>1</v>
      </c>
      <c r="X149">
        <v>1000724399</v>
      </c>
      <c r="AF149" t="s">
        <v>4714</v>
      </c>
      <c r="AG149" t="s">
        <v>1027</v>
      </c>
      <c r="AI149" t="s">
        <v>6955</v>
      </c>
      <c r="AJ149" s="28" t="str">
        <f t="shared" si="2"/>
        <v>332203</v>
      </c>
    </row>
    <row r="150" spans="1:37" x14ac:dyDescent="0.25">
      <c r="A150" t="s">
        <v>8284</v>
      </c>
      <c r="B150" t="s">
        <v>1027</v>
      </c>
      <c r="C150" t="s">
        <v>17</v>
      </c>
      <c r="D150" t="s">
        <v>8053</v>
      </c>
      <c r="E150" t="s">
        <v>192</v>
      </c>
      <c r="F150">
        <v>1</v>
      </c>
      <c r="G150" t="s">
        <v>193</v>
      </c>
      <c r="H150" t="s">
        <v>194</v>
      </c>
      <c r="I150" t="s">
        <v>7860</v>
      </c>
      <c r="J150" t="s">
        <v>210</v>
      </c>
      <c r="K150">
        <v>18</v>
      </c>
      <c r="L150" t="s">
        <v>8287</v>
      </c>
      <c r="M150" t="s">
        <v>7001</v>
      </c>
      <c r="N150" t="s">
        <v>8055</v>
      </c>
      <c r="O150" t="s">
        <v>8056</v>
      </c>
      <c r="P150" t="s">
        <v>8057</v>
      </c>
      <c r="Q150">
        <v>1938841</v>
      </c>
      <c r="R150">
        <v>18367221</v>
      </c>
      <c r="T150">
        <v>1863</v>
      </c>
      <c r="U150" t="s">
        <v>624</v>
      </c>
      <c r="V150" t="s">
        <v>194</v>
      </c>
      <c r="W150">
        <v>1</v>
      </c>
      <c r="X150">
        <v>1000724401</v>
      </c>
      <c r="AF150" t="s">
        <v>4714</v>
      </c>
      <c r="AG150" t="s">
        <v>1027</v>
      </c>
      <c r="AI150" t="s">
        <v>6955</v>
      </c>
      <c r="AJ150" s="28" t="str">
        <f t="shared" si="2"/>
        <v>332203</v>
      </c>
    </row>
    <row r="151" spans="1:37" x14ac:dyDescent="0.25">
      <c r="A151" t="s">
        <v>8288</v>
      </c>
      <c r="B151" t="s">
        <v>1520</v>
      </c>
      <c r="C151" t="s">
        <v>27</v>
      </c>
      <c r="D151" t="s">
        <v>8053</v>
      </c>
      <c r="E151" t="s">
        <v>233</v>
      </c>
      <c r="F151">
        <v>1</v>
      </c>
      <c r="G151" t="s">
        <v>193</v>
      </c>
      <c r="H151" t="s">
        <v>194</v>
      </c>
      <c r="I151" t="s">
        <v>7824</v>
      </c>
      <c r="J151" t="s">
        <v>210</v>
      </c>
      <c r="K151">
        <v>18</v>
      </c>
      <c r="L151" t="s">
        <v>8289</v>
      </c>
      <c r="M151" t="s">
        <v>6306</v>
      </c>
      <c r="N151" t="s">
        <v>8090</v>
      </c>
      <c r="O151" t="s">
        <v>8009</v>
      </c>
      <c r="P151" t="s">
        <v>8066</v>
      </c>
      <c r="Q151">
        <v>1937472</v>
      </c>
      <c r="R151">
        <v>18344442</v>
      </c>
      <c r="T151">
        <v>1863</v>
      </c>
      <c r="U151" t="s">
        <v>440</v>
      </c>
      <c r="V151" t="s">
        <v>194</v>
      </c>
      <c r="W151">
        <v>1</v>
      </c>
      <c r="X151">
        <v>73869</v>
      </c>
      <c r="Y151" t="s">
        <v>8290</v>
      </c>
      <c r="AE151" t="s">
        <v>8291</v>
      </c>
      <c r="AF151" t="s">
        <v>4714</v>
      </c>
      <c r="AG151" t="s">
        <v>1520</v>
      </c>
      <c r="AI151" t="s">
        <v>6955</v>
      </c>
      <c r="AJ151" s="28" t="str">
        <f t="shared" si="2"/>
        <v>242307</v>
      </c>
    </row>
    <row r="152" spans="1:37" x14ac:dyDescent="0.25">
      <c r="A152" t="s">
        <v>5986</v>
      </c>
      <c r="B152" t="s">
        <v>1000</v>
      </c>
      <c r="C152" t="s">
        <v>5333</v>
      </c>
      <c r="D152" t="s">
        <v>8053</v>
      </c>
      <c r="E152" t="s">
        <v>233</v>
      </c>
      <c r="F152">
        <v>1</v>
      </c>
      <c r="G152" t="s">
        <v>193</v>
      </c>
      <c r="H152" t="s">
        <v>194</v>
      </c>
      <c r="I152" t="s">
        <v>7824</v>
      </c>
      <c r="J152" t="s">
        <v>210</v>
      </c>
      <c r="K152">
        <v>18</v>
      </c>
      <c r="L152" t="s">
        <v>8292</v>
      </c>
      <c r="M152" t="s">
        <v>6306</v>
      </c>
      <c r="N152" t="s">
        <v>8090</v>
      </c>
      <c r="O152" t="s">
        <v>8009</v>
      </c>
      <c r="P152" t="s">
        <v>8293</v>
      </c>
      <c r="Q152">
        <v>1937473</v>
      </c>
      <c r="R152">
        <v>18344443</v>
      </c>
      <c r="T152">
        <v>1863</v>
      </c>
      <c r="U152" t="s">
        <v>1536</v>
      </c>
      <c r="V152" t="s">
        <v>194</v>
      </c>
      <c r="W152">
        <v>1</v>
      </c>
      <c r="X152">
        <v>73825</v>
      </c>
      <c r="Y152" t="s">
        <v>8294</v>
      </c>
      <c r="AE152" t="s">
        <v>8295</v>
      </c>
      <c r="AF152" t="s">
        <v>4714</v>
      </c>
      <c r="AG152" t="s">
        <v>1000</v>
      </c>
      <c r="AI152" t="s">
        <v>6955</v>
      </c>
      <c r="AJ152" s="28" t="str">
        <f t="shared" si="2"/>
        <v>314401</v>
      </c>
    </row>
    <row r="153" spans="1:37" x14ac:dyDescent="0.25">
      <c r="A153" t="s">
        <v>6998</v>
      </c>
      <c r="B153" t="s">
        <v>6999</v>
      </c>
      <c r="C153" t="s">
        <v>17</v>
      </c>
      <c r="D153" t="s">
        <v>8053</v>
      </c>
      <c r="E153" t="s">
        <v>192</v>
      </c>
      <c r="F153">
        <v>1</v>
      </c>
      <c r="G153" t="s">
        <v>193</v>
      </c>
      <c r="H153" t="s">
        <v>194</v>
      </c>
      <c r="I153" t="s">
        <v>7860</v>
      </c>
      <c r="J153" t="s">
        <v>276</v>
      </c>
      <c r="K153">
        <v>18</v>
      </c>
      <c r="L153" t="s">
        <v>8296</v>
      </c>
      <c r="M153" t="s">
        <v>7001</v>
      </c>
      <c r="N153" t="s">
        <v>8055</v>
      </c>
      <c r="O153" t="s">
        <v>8056</v>
      </c>
      <c r="P153" t="s">
        <v>8057</v>
      </c>
      <c r="Q153">
        <v>1937613</v>
      </c>
      <c r="R153">
        <v>18365974</v>
      </c>
      <c r="T153">
        <v>1803</v>
      </c>
      <c r="U153" t="s">
        <v>624</v>
      </c>
      <c r="V153" t="s">
        <v>194</v>
      </c>
      <c r="W153">
        <v>1</v>
      </c>
      <c r="X153">
        <v>7792332</v>
      </c>
      <c r="AF153" t="s">
        <v>4714</v>
      </c>
      <c r="AG153" t="s">
        <v>6999</v>
      </c>
      <c r="AI153" t="s">
        <v>6955</v>
      </c>
      <c r="AJ153" s="28" t="str">
        <f t="shared" si="2"/>
        <v>332203</v>
      </c>
    </row>
    <row r="154" spans="1:37" x14ac:dyDescent="0.25">
      <c r="A154" t="s">
        <v>4715</v>
      </c>
      <c r="B154" t="s">
        <v>8297</v>
      </c>
      <c r="C154" t="s">
        <v>35</v>
      </c>
      <c r="D154" t="s">
        <v>8053</v>
      </c>
      <c r="E154" t="s">
        <v>192</v>
      </c>
      <c r="F154">
        <v>1</v>
      </c>
      <c r="G154" t="s">
        <v>193</v>
      </c>
      <c r="H154" t="s">
        <v>194</v>
      </c>
      <c r="I154" t="s">
        <v>7860</v>
      </c>
      <c r="J154" t="s">
        <v>276</v>
      </c>
      <c r="K154">
        <v>18</v>
      </c>
      <c r="L154" t="s">
        <v>8298</v>
      </c>
      <c r="M154" t="s">
        <v>6324</v>
      </c>
      <c r="N154" t="s">
        <v>8055</v>
      </c>
      <c r="O154" t="s">
        <v>8056</v>
      </c>
      <c r="P154" t="s">
        <v>8057</v>
      </c>
      <c r="Q154">
        <v>1940136</v>
      </c>
      <c r="R154">
        <v>18368543</v>
      </c>
      <c r="T154">
        <v>1803</v>
      </c>
      <c r="U154" t="s">
        <v>207</v>
      </c>
      <c r="V154" t="s">
        <v>194</v>
      </c>
      <c r="W154">
        <v>1</v>
      </c>
      <c r="X154">
        <v>1000727843</v>
      </c>
      <c r="AF154" t="s">
        <v>4714</v>
      </c>
      <c r="AG154" t="s">
        <v>8297</v>
      </c>
      <c r="AI154" t="s">
        <v>6955</v>
      </c>
      <c r="AJ154" s="28" t="str">
        <f t="shared" si="2"/>
        <v>122106</v>
      </c>
    </row>
    <row r="155" spans="1:37" x14ac:dyDescent="0.25">
      <c r="A155" t="s">
        <v>4715</v>
      </c>
      <c r="B155" t="s">
        <v>8297</v>
      </c>
      <c r="C155" t="s">
        <v>35</v>
      </c>
      <c r="D155" t="s">
        <v>8053</v>
      </c>
      <c r="E155" t="s">
        <v>192</v>
      </c>
      <c r="F155">
        <v>1</v>
      </c>
      <c r="G155" t="s">
        <v>193</v>
      </c>
      <c r="H155" t="s">
        <v>194</v>
      </c>
      <c r="I155" t="s">
        <v>7860</v>
      </c>
      <c r="J155" t="s">
        <v>4751</v>
      </c>
      <c r="K155">
        <v>18</v>
      </c>
      <c r="L155" t="s">
        <v>8299</v>
      </c>
      <c r="M155" t="s">
        <v>6324</v>
      </c>
      <c r="N155" t="s">
        <v>8055</v>
      </c>
      <c r="O155" t="s">
        <v>8056</v>
      </c>
      <c r="P155" t="s">
        <v>8057</v>
      </c>
      <c r="Q155">
        <v>1940137</v>
      </c>
      <c r="R155">
        <v>18368544</v>
      </c>
      <c r="T155">
        <v>1862</v>
      </c>
      <c r="U155" t="s">
        <v>207</v>
      </c>
      <c r="V155" t="s">
        <v>194</v>
      </c>
      <c r="W155">
        <v>1</v>
      </c>
      <c r="X155">
        <v>1000727844</v>
      </c>
      <c r="AF155" t="s">
        <v>4714</v>
      </c>
      <c r="AG155" t="s">
        <v>8297</v>
      </c>
      <c r="AI155" t="s">
        <v>6955</v>
      </c>
      <c r="AJ155" s="28" t="str">
        <f t="shared" si="2"/>
        <v>122106</v>
      </c>
    </row>
    <row r="156" spans="1:37" x14ac:dyDescent="0.25">
      <c r="A156" t="s">
        <v>4715</v>
      </c>
      <c r="B156" t="s">
        <v>8297</v>
      </c>
      <c r="C156" t="s">
        <v>35</v>
      </c>
      <c r="D156" t="s">
        <v>8053</v>
      </c>
      <c r="E156" t="s">
        <v>192</v>
      </c>
      <c r="F156">
        <v>1</v>
      </c>
      <c r="G156" t="s">
        <v>193</v>
      </c>
      <c r="H156" t="s">
        <v>194</v>
      </c>
      <c r="I156" t="s">
        <v>7860</v>
      </c>
      <c r="J156" t="s">
        <v>210</v>
      </c>
      <c r="K156">
        <v>18</v>
      </c>
      <c r="L156" t="s">
        <v>8300</v>
      </c>
      <c r="M156" t="s">
        <v>6324</v>
      </c>
      <c r="N156" t="s">
        <v>8055</v>
      </c>
      <c r="O156" t="s">
        <v>8056</v>
      </c>
      <c r="P156" t="s">
        <v>8057</v>
      </c>
      <c r="Q156">
        <v>1940138</v>
      </c>
      <c r="R156">
        <v>18368545</v>
      </c>
      <c r="T156">
        <v>1863</v>
      </c>
      <c r="U156" t="s">
        <v>207</v>
      </c>
      <c r="V156" t="s">
        <v>194</v>
      </c>
      <c r="W156">
        <v>1</v>
      </c>
      <c r="X156">
        <v>1000727845</v>
      </c>
      <c r="AF156" t="s">
        <v>4714</v>
      </c>
      <c r="AG156" t="s">
        <v>8297</v>
      </c>
      <c r="AI156" t="s">
        <v>6955</v>
      </c>
      <c r="AJ156" s="28" t="str">
        <f t="shared" si="2"/>
        <v>122106</v>
      </c>
    </row>
    <row r="157" spans="1:37" x14ac:dyDescent="0.25">
      <c r="A157" t="s">
        <v>4715</v>
      </c>
      <c r="B157" t="s">
        <v>8297</v>
      </c>
      <c r="C157" t="s">
        <v>35</v>
      </c>
      <c r="D157" t="s">
        <v>8053</v>
      </c>
      <c r="E157" t="s">
        <v>192</v>
      </c>
      <c r="F157">
        <v>1</v>
      </c>
      <c r="G157" t="s">
        <v>193</v>
      </c>
      <c r="H157" t="s">
        <v>194</v>
      </c>
      <c r="I157" t="s">
        <v>7860</v>
      </c>
      <c r="J157" t="s">
        <v>747</v>
      </c>
      <c r="K157">
        <v>18</v>
      </c>
      <c r="L157" t="s">
        <v>8301</v>
      </c>
      <c r="M157" t="s">
        <v>6324</v>
      </c>
      <c r="N157" t="s">
        <v>8055</v>
      </c>
      <c r="O157" t="s">
        <v>8056</v>
      </c>
      <c r="P157" t="s">
        <v>8057</v>
      </c>
      <c r="Q157">
        <v>1940139</v>
      </c>
      <c r="R157">
        <v>18368546</v>
      </c>
      <c r="T157">
        <v>1817</v>
      </c>
      <c r="U157" t="s">
        <v>207</v>
      </c>
      <c r="V157" t="s">
        <v>194</v>
      </c>
      <c r="W157">
        <v>1</v>
      </c>
      <c r="X157">
        <v>1000727846</v>
      </c>
      <c r="AF157" t="s">
        <v>4714</v>
      </c>
      <c r="AG157" t="s">
        <v>8297</v>
      </c>
      <c r="AI157" t="s">
        <v>6955</v>
      </c>
      <c r="AJ157" s="28" t="str">
        <f t="shared" si="2"/>
        <v>122106</v>
      </c>
    </row>
    <row r="158" spans="1:37" x14ac:dyDescent="0.25">
      <c r="AK158" s="29">
        <f>SUM(F2:F157)</f>
        <v>165</v>
      </c>
    </row>
  </sheetData>
  <autoFilter ref="A1:AK158"/>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AL239"/>
  <sheetViews>
    <sheetView zoomScale="80" zoomScaleNormal="80" workbookViewId="0"/>
  </sheetViews>
  <sheetFormatPr defaultRowHeight="15" x14ac:dyDescent="0.25"/>
  <cols>
    <col min="21" max="21" width="15.42578125" customWidth="1"/>
    <col min="35" max="35" width="15.28515625" customWidth="1"/>
    <col min="36" max="36" width="9.140625" style="28" customWidth="1"/>
  </cols>
  <sheetData>
    <row r="1" spans="1:38" x14ac:dyDescent="0.25">
      <c r="A1" s="25" t="s">
        <v>176</v>
      </c>
      <c r="B1" s="25" t="s">
        <v>177</v>
      </c>
      <c r="C1" s="25" t="s">
        <v>178</v>
      </c>
      <c r="D1" s="25" t="s">
        <v>179</v>
      </c>
      <c r="E1" s="25" t="s">
        <v>900</v>
      </c>
      <c r="F1" s="25" t="s">
        <v>181</v>
      </c>
      <c r="G1" s="25" t="s">
        <v>182</v>
      </c>
      <c r="H1" s="25" t="s">
        <v>183</v>
      </c>
      <c r="I1" s="25" t="s">
        <v>184</v>
      </c>
      <c r="J1" s="25" t="s">
        <v>185</v>
      </c>
      <c r="K1" s="25" t="s">
        <v>186</v>
      </c>
      <c r="L1" s="25" t="s">
        <v>4700</v>
      </c>
      <c r="M1" s="25" t="s">
        <v>6391</v>
      </c>
      <c r="N1" s="25" t="s">
        <v>6930</v>
      </c>
      <c r="O1" s="25" t="s">
        <v>6931</v>
      </c>
      <c r="P1" s="25" t="s">
        <v>4701</v>
      </c>
      <c r="Q1" s="25" t="s">
        <v>6932</v>
      </c>
      <c r="R1" s="25" t="s">
        <v>6933</v>
      </c>
      <c r="S1" s="25" t="s">
        <v>1726</v>
      </c>
      <c r="T1" s="25" t="s">
        <v>4702</v>
      </c>
      <c r="U1" s="25" t="s">
        <v>187</v>
      </c>
      <c r="V1" s="25" t="s">
        <v>6934</v>
      </c>
      <c r="W1" s="25" t="s">
        <v>4703</v>
      </c>
      <c r="X1" s="25" t="s">
        <v>6935</v>
      </c>
      <c r="Y1" s="25" t="s">
        <v>4704</v>
      </c>
      <c r="Z1" s="25" t="s">
        <v>6936</v>
      </c>
      <c r="AA1" s="25" t="s">
        <v>6937</v>
      </c>
      <c r="AB1" s="25" t="s">
        <v>6938</v>
      </c>
      <c r="AC1" s="25" t="s">
        <v>6939</v>
      </c>
      <c r="AD1" s="25" t="s">
        <v>6940</v>
      </c>
      <c r="AE1" s="25" t="s">
        <v>4705</v>
      </c>
      <c r="AF1" s="25" t="s">
        <v>4706</v>
      </c>
      <c r="AG1" s="25" t="s">
        <v>6941</v>
      </c>
      <c r="AH1" s="25" t="s">
        <v>6942</v>
      </c>
      <c r="AI1" s="25" t="s">
        <v>6943</v>
      </c>
    </row>
    <row r="2" spans="1:38" x14ac:dyDescent="0.25">
      <c r="A2" t="s">
        <v>5810</v>
      </c>
      <c r="B2" t="s">
        <v>8304</v>
      </c>
      <c r="C2" t="s">
        <v>82</v>
      </c>
      <c r="D2" t="s">
        <v>8305</v>
      </c>
      <c r="E2" t="s">
        <v>233</v>
      </c>
      <c r="F2">
        <v>1</v>
      </c>
      <c r="G2" t="s">
        <v>193</v>
      </c>
      <c r="H2" t="s">
        <v>194</v>
      </c>
      <c r="I2" t="s">
        <v>8306</v>
      </c>
      <c r="J2" t="s">
        <v>196</v>
      </c>
      <c r="K2">
        <v>18</v>
      </c>
      <c r="L2" t="s">
        <v>8307</v>
      </c>
      <c r="M2" t="s">
        <v>6921</v>
      </c>
      <c r="N2" t="s">
        <v>8308</v>
      </c>
      <c r="O2" t="s">
        <v>8309</v>
      </c>
      <c r="P2" t="s">
        <v>8310</v>
      </c>
      <c r="Q2">
        <v>2002825</v>
      </c>
      <c r="R2">
        <v>21052234</v>
      </c>
      <c r="U2" t="s">
        <v>504</v>
      </c>
      <c r="V2" t="s">
        <v>193</v>
      </c>
      <c r="W2">
        <v>25</v>
      </c>
      <c r="Y2" t="s">
        <v>8311</v>
      </c>
      <c r="AF2" t="s">
        <v>4714</v>
      </c>
      <c r="AG2" t="s">
        <v>8304</v>
      </c>
      <c r="AI2" t="s">
        <v>6955</v>
      </c>
      <c r="AJ2" s="408" t="str">
        <f>MID(U2,8,6)</f>
        <v>252101</v>
      </c>
      <c r="AK2" s="28">
        <f>ROWS(AI2:AI238)</f>
        <v>237</v>
      </c>
    </row>
    <row r="3" spans="1:38" x14ac:dyDescent="0.25">
      <c r="A3" t="s">
        <v>8312</v>
      </c>
      <c r="B3" t="s">
        <v>8313</v>
      </c>
      <c r="C3" t="s">
        <v>46</v>
      </c>
      <c r="D3" t="s">
        <v>8305</v>
      </c>
      <c r="E3" t="s">
        <v>233</v>
      </c>
      <c r="F3">
        <v>1</v>
      </c>
      <c r="G3" t="s">
        <v>193</v>
      </c>
      <c r="H3" t="s">
        <v>194</v>
      </c>
      <c r="I3" t="s">
        <v>8314</v>
      </c>
      <c r="J3" t="s">
        <v>196</v>
      </c>
      <c r="K3">
        <v>18</v>
      </c>
      <c r="L3" t="s">
        <v>8315</v>
      </c>
      <c r="M3" t="s">
        <v>6921</v>
      </c>
      <c r="N3" t="s">
        <v>8308</v>
      </c>
      <c r="O3" t="s">
        <v>8309</v>
      </c>
      <c r="P3" t="s">
        <v>8310</v>
      </c>
      <c r="Q3">
        <v>2002303</v>
      </c>
      <c r="R3">
        <v>21050983</v>
      </c>
      <c r="U3" t="s">
        <v>510</v>
      </c>
      <c r="V3" t="s">
        <v>193</v>
      </c>
      <c r="W3">
        <v>25</v>
      </c>
      <c r="X3" t="s">
        <v>8316</v>
      </c>
      <c r="Y3" t="s">
        <v>8317</v>
      </c>
      <c r="AE3" t="s">
        <v>8318</v>
      </c>
      <c r="AF3" t="s">
        <v>4714</v>
      </c>
      <c r="AG3" t="s">
        <v>8313</v>
      </c>
      <c r="AI3" t="s">
        <v>6955</v>
      </c>
      <c r="AJ3" s="408" t="str">
        <f t="shared" ref="AJ3:AJ66" si="0">MID(U3,8,6)</f>
        <v>252201</v>
      </c>
      <c r="AK3" s="28">
        <f>COUNTIF(G2:G238,"zaznaczone")</f>
        <v>198</v>
      </c>
      <c r="AL3" t="s">
        <v>9293</v>
      </c>
    </row>
    <row r="4" spans="1:38" x14ac:dyDescent="0.25">
      <c r="A4" t="s">
        <v>8319</v>
      </c>
      <c r="B4" t="s">
        <v>1756</v>
      </c>
      <c r="C4" t="s">
        <v>50</v>
      </c>
      <c r="D4" t="s">
        <v>8320</v>
      </c>
      <c r="E4" t="s">
        <v>233</v>
      </c>
      <c r="F4">
        <v>1</v>
      </c>
      <c r="G4" t="s">
        <v>193</v>
      </c>
      <c r="H4" t="s">
        <v>194</v>
      </c>
      <c r="I4" t="s">
        <v>8321</v>
      </c>
      <c r="J4" t="s">
        <v>196</v>
      </c>
      <c r="K4">
        <v>18</v>
      </c>
      <c r="L4" t="s">
        <v>8322</v>
      </c>
      <c r="M4" t="s">
        <v>6306</v>
      </c>
      <c r="N4" t="s">
        <v>8323</v>
      </c>
      <c r="O4" t="s">
        <v>8324</v>
      </c>
      <c r="P4" t="s">
        <v>8325</v>
      </c>
      <c r="Q4">
        <v>2012966</v>
      </c>
      <c r="R4">
        <v>20830594</v>
      </c>
      <c r="U4" t="s">
        <v>906</v>
      </c>
      <c r="V4" t="s">
        <v>193</v>
      </c>
      <c r="W4">
        <v>25</v>
      </c>
      <c r="X4" t="s">
        <v>8326</v>
      </c>
      <c r="Y4" t="s">
        <v>8327</v>
      </c>
      <c r="AE4" t="s">
        <v>8328</v>
      </c>
      <c r="AF4" t="s">
        <v>4714</v>
      </c>
      <c r="AG4" t="s">
        <v>50</v>
      </c>
      <c r="AI4" t="s">
        <v>6955</v>
      </c>
      <c r="AJ4" s="408" t="str">
        <f t="shared" si="0"/>
        <v>333101</v>
      </c>
      <c r="AK4" s="28">
        <f>COUNTIF(G2:G238,"niezaznaczone")</f>
        <v>39</v>
      </c>
      <c r="AL4" t="s">
        <v>9294</v>
      </c>
    </row>
    <row r="5" spans="1:38" x14ac:dyDescent="0.25">
      <c r="A5" t="s">
        <v>8131</v>
      </c>
      <c r="B5" t="s">
        <v>8329</v>
      </c>
      <c r="C5" t="s">
        <v>122</v>
      </c>
      <c r="D5" t="s">
        <v>8320</v>
      </c>
      <c r="E5" t="s">
        <v>233</v>
      </c>
      <c r="F5">
        <v>1</v>
      </c>
      <c r="G5" t="s">
        <v>193</v>
      </c>
      <c r="H5" t="s">
        <v>194</v>
      </c>
      <c r="I5" t="s">
        <v>8330</v>
      </c>
      <c r="J5" t="s">
        <v>196</v>
      </c>
      <c r="K5">
        <v>18</v>
      </c>
      <c r="L5" t="s">
        <v>8331</v>
      </c>
      <c r="M5" t="s">
        <v>6266</v>
      </c>
      <c r="N5" t="s">
        <v>8332</v>
      </c>
      <c r="O5" t="s">
        <v>8306</v>
      </c>
      <c r="P5" t="s">
        <v>8333</v>
      </c>
      <c r="Q5">
        <v>2014152</v>
      </c>
      <c r="R5">
        <v>21286014</v>
      </c>
      <c r="U5" t="s">
        <v>655</v>
      </c>
      <c r="V5" t="s">
        <v>193</v>
      </c>
      <c r="W5">
        <v>25</v>
      </c>
      <c r="Y5" t="s">
        <v>8334</v>
      </c>
      <c r="AE5" t="s">
        <v>8335</v>
      </c>
      <c r="AF5" t="s">
        <v>4714</v>
      </c>
      <c r="AG5" t="s">
        <v>8329</v>
      </c>
      <c r="AI5" t="s">
        <v>6955</v>
      </c>
      <c r="AJ5" s="408" t="str">
        <f t="shared" si="0"/>
        <v>332301</v>
      </c>
      <c r="AK5" s="28">
        <f>SUM(AK3:AK4)</f>
        <v>237</v>
      </c>
    </row>
    <row r="6" spans="1:38" x14ac:dyDescent="0.25">
      <c r="A6" t="s">
        <v>8336</v>
      </c>
      <c r="B6" t="s">
        <v>8337</v>
      </c>
      <c r="C6" t="s">
        <v>111</v>
      </c>
      <c r="D6" t="s">
        <v>8305</v>
      </c>
      <c r="E6" t="s">
        <v>217</v>
      </c>
      <c r="F6">
        <v>1</v>
      </c>
      <c r="G6" t="s">
        <v>193</v>
      </c>
      <c r="H6" t="s">
        <v>194</v>
      </c>
      <c r="I6" t="s">
        <v>8314</v>
      </c>
      <c r="J6" t="s">
        <v>253</v>
      </c>
      <c r="K6">
        <v>18</v>
      </c>
      <c r="L6" t="s">
        <v>8338</v>
      </c>
      <c r="M6" t="s">
        <v>8339</v>
      </c>
      <c r="N6" t="s">
        <v>8340</v>
      </c>
      <c r="O6" t="s">
        <v>8309</v>
      </c>
      <c r="P6" t="s">
        <v>8310</v>
      </c>
      <c r="Q6">
        <v>2004023</v>
      </c>
      <c r="R6">
        <v>21073936</v>
      </c>
      <c r="T6">
        <v>1811</v>
      </c>
      <c r="U6" t="s">
        <v>612</v>
      </c>
      <c r="V6" t="s">
        <v>194</v>
      </c>
      <c r="W6">
        <v>1</v>
      </c>
      <c r="X6" t="s">
        <v>8341</v>
      </c>
      <c r="Y6" t="s">
        <v>4903</v>
      </c>
      <c r="AE6" t="s">
        <v>4904</v>
      </c>
      <c r="AF6" t="s">
        <v>4714</v>
      </c>
      <c r="AI6" t="s">
        <v>6955</v>
      </c>
      <c r="AJ6" s="408" t="str">
        <f t="shared" si="0"/>
        <v>332101</v>
      </c>
    </row>
    <row r="7" spans="1:38" hidden="1" x14ac:dyDescent="0.25">
      <c r="A7" t="s">
        <v>8342</v>
      </c>
      <c r="B7" t="s">
        <v>8343</v>
      </c>
      <c r="C7" t="s">
        <v>507</v>
      </c>
      <c r="D7" t="s">
        <v>8344</v>
      </c>
      <c r="E7" t="s">
        <v>233</v>
      </c>
      <c r="F7">
        <v>1</v>
      </c>
      <c r="G7" s="386" t="s">
        <v>194</v>
      </c>
      <c r="H7" s="24" t="s">
        <v>193</v>
      </c>
      <c r="I7" t="s">
        <v>8345</v>
      </c>
      <c r="J7" t="s">
        <v>196</v>
      </c>
      <c r="K7">
        <v>18</v>
      </c>
      <c r="L7" t="s">
        <v>8346</v>
      </c>
      <c r="M7" t="s">
        <v>6254</v>
      </c>
      <c r="N7" t="s">
        <v>8347</v>
      </c>
      <c r="O7" t="s">
        <v>8348</v>
      </c>
      <c r="P7" t="s">
        <v>8349</v>
      </c>
      <c r="Q7">
        <v>1992068</v>
      </c>
      <c r="R7">
        <v>20615838</v>
      </c>
      <c r="U7" t="s">
        <v>508</v>
      </c>
      <c r="V7" t="s">
        <v>193</v>
      </c>
      <c r="W7">
        <v>25</v>
      </c>
      <c r="Y7" t="s">
        <v>8350</v>
      </c>
      <c r="AE7" t="s">
        <v>8351</v>
      </c>
      <c r="AF7" t="s">
        <v>4714</v>
      </c>
      <c r="AG7" t="s">
        <v>8343</v>
      </c>
      <c r="AI7" t="s">
        <v>6955</v>
      </c>
      <c r="AJ7" s="408" t="str">
        <f t="shared" si="0"/>
        <v>252102</v>
      </c>
    </row>
    <row r="8" spans="1:38" hidden="1" x14ac:dyDescent="0.25">
      <c r="A8" t="s">
        <v>915</v>
      </c>
      <c r="B8" t="s">
        <v>8352</v>
      </c>
      <c r="C8" t="s">
        <v>507</v>
      </c>
      <c r="D8" t="s">
        <v>8305</v>
      </c>
      <c r="E8" t="s">
        <v>233</v>
      </c>
      <c r="F8">
        <v>1</v>
      </c>
      <c r="G8" s="386" t="s">
        <v>194</v>
      </c>
      <c r="H8" s="24" t="s">
        <v>193</v>
      </c>
      <c r="I8" t="s">
        <v>8306</v>
      </c>
      <c r="J8" t="s">
        <v>196</v>
      </c>
      <c r="K8">
        <v>18</v>
      </c>
      <c r="L8" t="s">
        <v>8353</v>
      </c>
      <c r="M8" t="s">
        <v>6295</v>
      </c>
      <c r="N8" t="s">
        <v>8308</v>
      </c>
      <c r="O8" t="s">
        <v>8309</v>
      </c>
      <c r="P8" t="s">
        <v>8310</v>
      </c>
      <c r="Q8">
        <v>2003515</v>
      </c>
      <c r="R8">
        <v>21054013</v>
      </c>
      <c r="U8" t="s">
        <v>508</v>
      </c>
      <c r="V8" t="s">
        <v>193</v>
      </c>
      <c r="W8">
        <v>25</v>
      </c>
      <c r="AE8" t="s">
        <v>8354</v>
      </c>
      <c r="AF8" t="s">
        <v>4714</v>
      </c>
      <c r="AG8" t="s">
        <v>8352</v>
      </c>
      <c r="AI8" t="s">
        <v>6955</v>
      </c>
      <c r="AJ8" s="408" t="str">
        <f t="shared" si="0"/>
        <v>252102</v>
      </c>
    </row>
    <row r="9" spans="1:38" x14ac:dyDescent="0.25">
      <c r="A9" t="s">
        <v>8312</v>
      </c>
      <c r="B9" t="s">
        <v>8355</v>
      </c>
      <c r="C9" t="s">
        <v>1766</v>
      </c>
      <c r="D9" t="s">
        <v>8344</v>
      </c>
      <c r="E9" t="s">
        <v>233</v>
      </c>
      <c r="F9">
        <v>1</v>
      </c>
      <c r="G9" t="s">
        <v>193</v>
      </c>
      <c r="H9" t="s">
        <v>194</v>
      </c>
      <c r="I9" t="s">
        <v>8345</v>
      </c>
      <c r="J9" t="s">
        <v>196</v>
      </c>
      <c r="K9">
        <v>18</v>
      </c>
      <c r="L9" t="s">
        <v>8356</v>
      </c>
      <c r="M9" t="s">
        <v>6327</v>
      </c>
      <c r="N9" t="s">
        <v>8357</v>
      </c>
      <c r="O9" t="s">
        <v>8348</v>
      </c>
      <c r="P9" t="s">
        <v>8325</v>
      </c>
      <c r="Q9">
        <v>1992353</v>
      </c>
      <c r="R9">
        <v>20829849</v>
      </c>
      <c r="U9" t="s">
        <v>1767</v>
      </c>
      <c r="V9" t="s">
        <v>193</v>
      </c>
      <c r="W9">
        <v>25</v>
      </c>
      <c r="X9" t="s">
        <v>8358</v>
      </c>
      <c r="Y9" t="s">
        <v>8359</v>
      </c>
      <c r="AE9" t="s">
        <v>8360</v>
      </c>
      <c r="AF9" t="s">
        <v>4714</v>
      </c>
      <c r="AG9" t="s">
        <v>8355</v>
      </c>
      <c r="AI9" t="s">
        <v>6955</v>
      </c>
      <c r="AJ9" s="408" t="str">
        <f t="shared" si="0"/>
        <v>242112</v>
      </c>
    </row>
    <row r="10" spans="1:38" x14ac:dyDescent="0.25">
      <c r="A10" t="s">
        <v>8312</v>
      </c>
      <c r="B10" t="s">
        <v>8361</v>
      </c>
      <c r="C10" t="s">
        <v>1766</v>
      </c>
      <c r="D10" t="s">
        <v>8344</v>
      </c>
      <c r="E10" t="s">
        <v>233</v>
      </c>
      <c r="F10">
        <v>1</v>
      </c>
      <c r="G10" t="s">
        <v>193</v>
      </c>
      <c r="H10" t="s">
        <v>194</v>
      </c>
      <c r="I10" t="s">
        <v>8345</v>
      </c>
      <c r="J10" t="s">
        <v>196</v>
      </c>
      <c r="K10">
        <v>18</v>
      </c>
      <c r="L10" t="s">
        <v>8362</v>
      </c>
      <c r="M10" t="s">
        <v>6921</v>
      </c>
      <c r="N10" t="s">
        <v>8357</v>
      </c>
      <c r="O10" t="s">
        <v>8348</v>
      </c>
      <c r="P10" t="s">
        <v>8325</v>
      </c>
      <c r="Q10">
        <v>1992419</v>
      </c>
      <c r="R10">
        <v>20829971</v>
      </c>
      <c r="U10" t="s">
        <v>1767</v>
      </c>
      <c r="V10" t="s">
        <v>193</v>
      </c>
      <c r="W10">
        <v>25</v>
      </c>
      <c r="X10" t="s">
        <v>8363</v>
      </c>
      <c r="Y10" t="s">
        <v>8364</v>
      </c>
      <c r="AE10" t="s">
        <v>8365</v>
      </c>
      <c r="AF10" t="s">
        <v>4714</v>
      </c>
      <c r="AG10" t="s">
        <v>8361</v>
      </c>
      <c r="AI10" t="s">
        <v>6955</v>
      </c>
      <c r="AJ10" s="408" t="str">
        <f t="shared" si="0"/>
        <v>242112</v>
      </c>
    </row>
    <row r="11" spans="1:38" x14ac:dyDescent="0.25">
      <c r="A11" t="s">
        <v>8312</v>
      </c>
      <c r="B11" t="s">
        <v>8366</v>
      </c>
      <c r="C11" t="s">
        <v>1766</v>
      </c>
      <c r="D11" t="s">
        <v>8305</v>
      </c>
      <c r="E11" t="s">
        <v>233</v>
      </c>
      <c r="F11">
        <v>1</v>
      </c>
      <c r="G11" t="s">
        <v>193</v>
      </c>
      <c r="H11" t="s">
        <v>194</v>
      </c>
      <c r="I11" t="s">
        <v>8314</v>
      </c>
      <c r="J11" t="s">
        <v>196</v>
      </c>
      <c r="K11">
        <v>18</v>
      </c>
      <c r="L11" t="s">
        <v>8367</v>
      </c>
      <c r="M11" t="s">
        <v>6327</v>
      </c>
      <c r="N11" t="s">
        <v>8308</v>
      </c>
      <c r="O11" t="s">
        <v>8309</v>
      </c>
      <c r="P11" t="s">
        <v>8310</v>
      </c>
      <c r="Q11">
        <v>2002353</v>
      </c>
      <c r="R11">
        <v>21051043</v>
      </c>
      <c r="U11" t="s">
        <v>1767</v>
      </c>
      <c r="V11" t="s">
        <v>193</v>
      </c>
      <c r="W11">
        <v>25</v>
      </c>
      <c r="X11" t="s">
        <v>8368</v>
      </c>
      <c r="Y11" t="s">
        <v>8369</v>
      </c>
      <c r="AE11" t="s">
        <v>8370</v>
      </c>
      <c r="AF11" t="s">
        <v>4714</v>
      </c>
      <c r="AG11" t="s">
        <v>8366</v>
      </c>
      <c r="AI11" t="s">
        <v>6955</v>
      </c>
      <c r="AJ11" s="408" t="str">
        <f t="shared" si="0"/>
        <v>242112</v>
      </c>
    </row>
    <row r="12" spans="1:38" x14ac:dyDescent="0.25">
      <c r="A12" t="s">
        <v>8371</v>
      </c>
      <c r="B12" t="s">
        <v>3201</v>
      </c>
      <c r="C12" t="s">
        <v>1766</v>
      </c>
      <c r="D12" t="s">
        <v>8320</v>
      </c>
      <c r="E12" t="s">
        <v>233</v>
      </c>
      <c r="F12">
        <v>1</v>
      </c>
      <c r="G12" t="s">
        <v>193</v>
      </c>
      <c r="H12" t="s">
        <v>194</v>
      </c>
      <c r="I12" t="s">
        <v>8330</v>
      </c>
      <c r="J12" t="s">
        <v>196</v>
      </c>
      <c r="K12">
        <v>18</v>
      </c>
      <c r="L12" t="s">
        <v>8372</v>
      </c>
      <c r="M12" t="s">
        <v>6327</v>
      </c>
      <c r="N12" t="s">
        <v>8332</v>
      </c>
      <c r="O12" t="s">
        <v>8306</v>
      </c>
      <c r="P12" t="s">
        <v>8373</v>
      </c>
      <c r="Q12">
        <v>2013020</v>
      </c>
      <c r="R12">
        <v>21207100</v>
      </c>
      <c r="U12" t="s">
        <v>1767</v>
      </c>
      <c r="V12" t="s">
        <v>193</v>
      </c>
      <c r="W12">
        <v>25</v>
      </c>
      <c r="X12" t="s">
        <v>8374</v>
      </c>
      <c r="Y12" t="s">
        <v>8375</v>
      </c>
      <c r="AE12" t="s">
        <v>8376</v>
      </c>
      <c r="AF12" t="s">
        <v>4714</v>
      </c>
      <c r="AG12" t="s">
        <v>3201</v>
      </c>
      <c r="AI12" t="s">
        <v>6955</v>
      </c>
      <c r="AJ12" s="408" t="str">
        <f t="shared" si="0"/>
        <v>242112</v>
      </c>
    </row>
    <row r="13" spans="1:38" x14ac:dyDescent="0.25">
      <c r="A13" t="s">
        <v>5810</v>
      </c>
      <c r="B13" t="s">
        <v>3201</v>
      </c>
      <c r="C13" t="s">
        <v>1766</v>
      </c>
      <c r="D13" t="s">
        <v>8320</v>
      </c>
      <c r="E13" t="s">
        <v>233</v>
      </c>
      <c r="F13">
        <v>1</v>
      </c>
      <c r="G13" t="s">
        <v>193</v>
      </c>
      <c r="H13" t="s">
        <v>194</v>
      </c>
      <c r="I13" t="s">
        <v>8330</v>
      </c>
      <c r="J13" t="s">
        <v>196</v>
      </c>
      <c r="K13">
        <v>18</v>
      </c>
      <c r="L13" t="s">
        <v>8377</v>
      </c>
      <c r="M13" t="s">
        <v>6254</v>
      </c>
      <c r="N13" t="s">
        <v>8332</v>
      </c>
      <c r="O13" t="s">
        <v>8306</v>
      </c>
      <c r="P13" t="s">
        <v>8378</v>
      </c>
      <c r="Q13">
        <v>2013898</v>
      </c>
      <c r="R13">
        <v>21284202</v>
      </c>
      <c r="U13" t="s">
        <v>1767</v>
      </c>
      <c r="V13" t="s">
        <v>193</v>
      </c>
      <c r="W13">
        <v>25</v>
      </c>
      <c r="Y13" t="s">
        <v>8379</v>
      </c>
      <c r="AE13" t="s">
        <v>8380</v>
      </c>
      <c r="AF13" t="s">
        <v>4714</v>
      </c>
      <c r="AG13" t="s">
        <v>3201</v>
      </c>
      <c r="AI13" t="s">
        <v>6955</v>
      </c>
      <c r="AJ13" s="408" t="str">
        <f t="shared" si="0"/>
        <v>242112</v>
      </c>
    </row>
    <row r="14" spans="1:38" x14ac:dyDescent="0.25">
      <c r="A14" t="s">
        <v>540</v>
      </c>
      <c r="B14" t="s">
        <v>420</v>
      </c>
      <c r="C14" t="s">
        <v>420</v>
      </c>
      <c r="D14" t="s">
        <v>8381</v>
      </c>
      <c r="E14" t="s">
        <v>217</v>
      </c>
      <c r="F14">
        <v>1</v>
      </c>
      <c r="G14" t="s">
        <v>193</v>
      </c>
      <c r="H14" t="s">
        <v>194</v>
      </c>
      <c r="I14" t="s">
        <v>8382</v>
      </c>
      <c r="J14" t="s">
        <v>210</v>
      </c>
      <c r="K14">
        <v>18</v>
      </c>
      <c r="L14" t="s">
        <v>8383</v>
      </c>
      <c r="M14" t="s">
        <v>7531</v>
      </c>
      <c r="N14" t="s">
        <v>8384</v>
      </c>
      <c r="O14" t="s">
        <v>8385</v>
      </c>
      <c r="P14" t="s">
        <v>8386</v>
      </c>
      <c r="Q14">
        <v>1967839</v>
      </c>
      <c r="R14">
        <v>20606375</v>
      </c>
      <c r="T14">
        <v>1863</v>
      </c>
      <c r="U14" t="s">
        <v>421</v>
      </c>
      <c r="V14" t="s">
        <v>194</v>
      </c>
      <c r="W14">
        <v>1</v>
      </c>
      <c r="X14" t="s">
        <v>8387</v>
      </c>
      <c r="Y14" t="s">
        <v>4903</v>
      </c>
      <c r="AE14" t="s">
        <v>4904</v>
      </c>
      <c r="AF14" t="s">
        <v>4714</v>
      </c>
      <c r="AI14" t="s">
        <v>6955</v>
      </c>
      <c r="AJ14" s="408" t="str">
        <f t="shared" si="0"/>
        <v>241306</v>
      </c>
    </row>
    <row r="15" spans="1:38" x14ac:dyDescent="0.25">
      <c r="A15" t="s">
        <v>540</v>
      </c>
      <c r="B15" t="s">
        <v>420</v>
      </c>
      <c r="C15" t="s">
        <v>420</v>
      </c>
      <c r="D15" t="s">
        <v>8305</v>
      </c>
      <c r="E15" t="s">
        <v>217</v>
      </c>
      <c r="F15">
        <v>1</v>
      </c>
      <c r="G15" t="s">
        <v>193</v>
      </c>
      <c r="H15" t="s">
        <v>194</v>
      </c>
      <c r="I15" t="s">
        <v>8314</v>
      </c>
      <c r="J15" t="s">
        <v>210</v>
      </c>
      <c r="K15">
        <v>18</v>
      </c>
      <c r="L15" t="s">
        <v>8383</v>
      </c>
      <c r="M15" t="s">
        <v>7531</v>
      </c>
      <c r="N15" t="s">
        <v>8340</v>
      </c>
      <c r="O15" t="s">
        <v>8345</v>
      </c>
      <c r="P15" t="s">
        <v>8386</v>
      </c>
      <c r="Q15">
        <v>2003817</v>
      </c>
      <c r="R15">
        <v>21073424</v>
      </c>
      <c r="T15">
        <v>1863</v>
      </c>
      <c r="U15" t="s">
        <v>421</v>
      </c>
      <c r="V15" t="s">
        <v>194</v>
      </c>
      <c r="W15">
        <v>1</v>
      </c>
      <c r="X15" t="s">
        <v>8387</v>
      </c>
      <c r="Y15" t="s">
        <v>4903</v>
      </c>
      <c r="AE15" t="s">
        <v>4904</v>
      </c>
      <c r="AF15" t="s">
        <v>4714</v>
      </c>
      <c r="AI15" t="s">
        <v>6955</v>
      </c>
      <c r="AJ15" s="408" t="str">
        <f t="shared" si="0"/>
        <v>241306</v>
      </c>
    </row>
    <row r="16" spans="1:38" x14ac:dyDescent="0.25">
      <c r="A16" t="s">
        <v>540</v>
      </c>
      <c r="B16" t="s">
        <v>420</v>
      </c>
      <c r="C16" t="s">
        <v>420</v>
      </c>
      <c r="D16" t="s">
        <v>8320</v>
      </c>
      <c r="E16" t="s">
        <v>252</v>
      </c>
      <c r="F16">
        <v>1</v>
      </c>
      <c r="G16" t="s">
        <v>193</v>
      </c>
      <c r="H16" t="s">
        <v>194</v>
      </c>
      <c r="I16" t="s">
        <v>8330</v>
      </c>
      <c r="J16" t="s">
        <v>210</v>
      </c>
      <c r="K16">
        <v>18</v>
      </c>
      <c r="L16" t="s">
        <v>8388</v>
      </c>
      <c r="M16" t="s">
        <v>7120</v>
      </c>
      <c r="N16" t="s">
        <v>8389</v>
      </c>
      <c r="O16" t="s">
        <v>8320</v>
      </c>
      <c r="P16" t="s">
        <v>8390</v>
      </c>
      <c r="Q16">
        <v>2012946</v>
      </c>
      <c r="R16">
        <v>20650431</v>
      </c>
      <c r="T16">
        <v>1863</v>
      </c>
      <c r="U16" t="s">
        <v>421</v>
      </c>
      <c r="V16" t="s">
        <v>194</v>
      </c>
      <c r="W16">
        <v>1</v>
      </c>
      <c r="Y16" t="s">
        <v>8391</v>
      </c>
      <c r="AE16" t="s">
        <v>8392</v>
      </c>
      <c r="AF16" t="s">
        <v>4714</v>
      </c>
      <c r="AI16" t="s">
        <v>6955</v>
      </c>
      <c r="AJ16" s="408" t="str">
        <f t="shared" si="0"/>
        <v>241306</v>
      </c>
    </row>
    <row r="17" spans="1:36" x14ac:dyDescent="0.25">
      <c r="A17" t="s">
        <v>8312</v>
      </c>
      <c r="B17" t="s">
        <v>8393</v>
      </c>
      <c r="C17" t="s">
        <v>6050</v>
      </c>
      <c r="D17" t="s">
        <v>8344</v>
      </c>
      <c r="E17" t="s">
        <v>233</v>
      </c>
      <c r="F17">
        <v>1</v>
      </c>
      <c r="G17" t="s">
        <v>193</v>
      </c>
      <c r="H17" t="s">
        <v>194</v>
      </c>
      <c r="I17" t="s">
        <v>8345</v>
      </c>
      <c r="J17" t="s">
        <v>196</v>
      </c>
      <c r="K17">
        <v>18</v>
      </c>
      <c r="L17" t="s">
        <v>8394</v>
      </c>
      <c r="M17" t="s">
        <v>6261</v>
      </c>
      <c r="N17" t="s">
        <v>8357</v>
      </c>
      <c r="O17" t="s">
        <v>8348</v>
      </c>
      <c r="P17" t="s">
        <v>8325</v>
      </c>
      <c r="Q17">
        <v>1992403</v>
      </c>
      <c r="R17">
        <v>20829948</v>
      </c>
      <c r="U17" t="s">
        <v>6052</v>
      </c>
      <c r="V17" t="s">
        <v>193</v>
      </c>
      <c r="W17">
        <v>25</v>
      </c>
      <c r="X17" t="s">
        <v>8395</v>
      </c>
      <c r="Y17" t="s">
        <v>8396</v>
      </c>
      <c r="AE17" t="s">
        <v>8397</v>
      </c>
      <c r="AF17" t="s">
        <v>4714</v>
      </c>
      <c r="AG17" t="s">
        <v>8393</v>
      </c>
      <c r="AI17" t="s">
        <v>6955</v>
      </c>
      <c r="AJ17" s="408" t="str">
        <f t="shared" si="0"/>
        <v>251101</v>
      </c>
    </row>
    <row r="18" spans="1:36" x14ac:dyDescent="0.25">
      <c r="A18" t="s">
        <v>8398</v>
      </c>
      <c r="B18" t="s">
        <v>8399</v>
      </c>
      <c r="C18" t="s">
        <v>384</v>
      </c>
      <c r="D18" t="s">
        <v>8320</v>
      </c>
      <c r="E18" t="s">
        <v>217</v>
      </c>
      <c r="F18">
        <v>1</v>
      </c>
      <c r="G18" t="s">
        <v>193</v>
      </c>
      <c r="H18" t="s">
        <v>194</v>
      </c>
      <c r="I18" t="s">
        <v>8330</v>
      </c>
      <c r="J18" t="s">
        <v>210</v>
      </c>
      <c r="K18">
        <v>18</v>
      </c>
      <c r="L18" t="s">
        <v>8400</v>
      </c>
      <c r="M18" t="s">
        <v>6923</v>
      </c>
      <c r="N18" t="s">
        <v>8401</v>
      </c>
      <c r="O18" t="s">
        <v>8306</v>
      </c>
      <c r="P18" t="s">
        <v>8402</v>
      </c>
      <c r="Q18">
        <v>2014332</v>
      </c>
      <c r="R18">
        <v>21290956</v>
      </c>
      <c r="T18">
        <v>1863</v>
      </c>
      <c r="U18" t="s">
        <v>386</v>
      </c>
      <c r="V18" t="s">
        <v>194</v>
      </c>
      <c r="W18">
        <v>1</v>
      </c>
      <c r="Y18" t="s">
        <v>8403</v>
      </c>
      <c r="AE18" t="s">
        <v>8404</v>
      </c>
      <c r="AF18" t="s">
        <v>4714</v>
      </c>
      <c r="AI18" t="s">
        <v>6955</v>
      </c>
      <c r="AJ18" s="408" t="str">
        <f t="shared" si="0"/>
        <v>216102</v>
      </c>
    </row>
    <row r="19" spans="1:36" x14ac:dyDescent="0.25">
      <c r="A19" t="s">
        <v>1040</v>
      </c>
      <c r="B19" t="s">
        <v>8405</v>
      </c>
      <c r="C19" t="s">
        <v>8406</v>
      </c>
      <c r="D19" t="s">
        <v>8344</v>
      </c>
      <c r="E19" t="s">
        <v>233</v>
      </c>
      <c r="F19">
        <v>1</v>
      </c>
      <c r="G19" t="s">
        <v>193</v>
      </c>
      <c r="H19" t="s">
        <v>194</v>
      </c>
      <c r="I19" t="s">
        <v>8345</v>
      </c>
      <c r="J19" t="s">
        <v>196</v>
      </c>
      <c r="K19">
        <v>18</v>
      </c>
      <c r="L19" t="s">
        <v>8407</v>
      </c>
      <c r="M19" t="s">
        <v>6286</v>
      </c>
      <c r="N19" t="s">
        <v>8347</v>
      </c>
      <c r="O19" t="s">
        <v>8348</v>
      </c>
      <c r="P19" t="s">
        <v>8325</v>
      </c>
      <c r="Q19">
        <v>1992855</v>
      </c>
      <c r="R19">
        <v>20831868</v>
      </c>
      <c r="U19" t="s">
        <v>8408</v>
      </c>
      <c r="V19" t="s">
        <v>193</v>
      </c>
      <c r="W19">
        <v>25</v>
      </c>
      <c r="Y19" t="s">
        <v>8409</v>
      </c>
      <c r="AE19" t="s">
        <v>8410</v>
      </c>
      <c r="AF19" t="s">
        <v>4714</v>
      </c>
      <c r="AG19" t="s">
        <v>8405</v>
      </c>
      <c r="AI19" t="s">
        <v>6955</v>
      </c>
      <c r="AJ19" s="408" t="str">
        <f t="shared" si="0"/>
        <v>516902</v>
      </c>
    </row>
    <row r="20" spans="1:36" x14ac:dyDescent="0.25">
      <c r="A20" t="s">
        <v>8411</v>
      </c>
      <c r="B20" t="s">
        <v>8412</v>
      </c>
      <c r="C20" t="s">
        <v>81</v>
      </c>
      <c r="D20" t="s">
        <v>8381</v>
      </c>
      <c r="E20" t="s">
        <v>192</v>
      </c>
      <c r="F20">
        <v>1</v>
      </c>
      <c r="G20" t="s">
        <v>193</v>
      </c>
      <c r="H20" t="s">
        <v>194</v>
      </c>
      <c r="I20" t="s">
        <v>8382</v>
      </c>
      <c r="J20" t="s">
        <v>385</v>
      </c>
      <c r="K20">
        <v>18</v>
      </c>
      <c r="L20" t="s">
        <v>8413</v>
      </c>
      <c r="M20" t="s">
        <v>6254</v>
      </c>
      <c r="N20" t="s">
        <v>8414</v>
      </c>
      <c r="O20" t="s">
        <v>8385</v>
      </c>
      <c r="P20" t="s">
        <v>8415</v>
      </c>
      <c r="Q20">
        <v>1967634</v>
      </c>
      <c r="R20">
        <v>20605865</v>
      </c>
      <c r="T20">
        <v>1861</v>
      </c>
      <c r="U20" t="s">
        <v>402</v>
      </c>
      <c r="V20" t="s">
        <v>194</v>
      </c>
      <c r="W20">
        <v>1</v>
      </c>
      <c r="X20">
        <v>1000917000</v>
      </c>
      <c r="AF20" t="s">
        <v>4714</v>
      </c>
      <c r="AG20" t="s">
        <v>8412</v>
      </c>
      <c r="AI20" t="s">
        <v>6955</v>
      </c>
      <c r="AJ20" s="408" t="str">
        <f t="shared" si="0"/>
        <v>241205</v>
      </c>
    </row>
    <row r="21" spans="1:36" x14ac:dyDescent="0.25">
      <c r="A21" t="s">
        <v>4975</v>
      </c>
      <c r="B21" t="s">
        <v>2309</v>
      </c>
      <c r="C21" t="s">
        <v>778</v>
      </c>
      <c r="D21" t="s">
        <v>8381</v>
      </c>
      <c r="E21" t="s">
        <v>233</v>
      </c>
      <c r="F21">
        <v>1</v>
      </c>
      <c r="G21" t="s">
        <v>193</v>
      </c>
      <c r="H21" t="s">
        <v>194</v>
      </c>
      <c r="I21" t="s">
        <v>8382</v>
      </c>
      <c r="J21" t="s">
        <v>747</v>
      </c>
      <c r="K21">
        <v>18</v>
      </c>
      <c r="L21" t="s">
        <v>8416</v>
      </c>
      <c r="M21" t="s">
        <v>6249</v>
      </c>
      <c r="N21" t="s">
        <v>8417</v>
      </c>
      <c r="O21" t="s">
        <v>8418</v>
      </c>
      <c r="P21" t="s">
        <v>8419</v>
      </c>
      <c r="Q21">
        <v>1967305</v>
      </c>
      <c r="R21">
        <v>20582612</v>
      </c>
      <c r="T21">
        <v>1817</v>
      </c>
      <c r="U21" t="s">
        <v>779</v>
      </c>
      <c r="V21" t="s">
        <v>194</v>
      </c>
      <c r="W21">
        <v>1</v>
      </c>
      <c r="Y21" t="s">
        <v>8420</v>
      </c>
      <c r="AE21" t="s">
        <v>8421</v>
      </c>
      <c r="AF21" t="s">
        <v>4714</v>
      </c>
      <c r="AG21" t="s">
        <v>2309</v>
      </c>
      <c r="AI21" t="s">
        <v>6955</v>
      </c>
      <c r="AJ21" s="408" t="str">
        <f t="shared" si="0"/>
        <v>524902</v>
      </c>
    </row>
    <row r="22" spans="1:36" x14ac:dyDescent="0.25">
      <c r="A22" t="s">
        <v>5518</v>
      </c>
      <c r="B22" t="s">
        <v>5519</v>
      </c>
      <c r="C22" t="s">
        <v>778</v>
      </c>
      <c r="D22" t="s">
        <v>8381</v>
      </c>
      <c r="E22" t="s">
        <v>192</v>
      </c>
      <c r="F22">
        <v>1</v>
      </c>
      <c r="G22" t="s">
        <v>193</v>
      </c>
      <c r="H22" t="s">
        <v>194</v>
      </c>
      <c r="I22" t="s">
        <v>8382</v>
      </c>
      <c r="J22" t="s">
        <v>210</v>
      </c>
      <c r="K22">
        <v>18</v>
      </c>
      <c r="L22" t="s">
        <v>8422</v>
      </c>
      <c r="M22" t="s">
        <v>6921</v>
      </c>
      <c r="N22" t="s">
        <v>8414</v>
      </c>
      <c r="O22" t="s">
        <v>8385</v>
      </c>
      <c r="P22" t="s">
        <v>8415</v>
      </c>
      <c r="Q22">
        <v>1967599</v>
      </c>
      <c r="R22">
        <v>20605830</v>
      </c>
      <c r="T22">
        <v>1863</v>
      </c>
      <c r="U22" t="s">
        <v>779</v>
      </c>
      <c r="V22" t="s">
        <v>194</v>
      </c>
      <c r="W22">
        <v>1</v>
      </c>
      <c r="X22">
        <v>1000551094</v>
      </c>
      <c r="AF22" t="s">
        <v>4714</v>
      </c>
      <c r="AG22" t="s">
        <v>5519</v>
      </c>
      <c r="AI22" t="s">
        <v>6955</v>
      </c>
      <c r="AJ22" s="408" t="str">
        <f t="shared" si="0"/>
        <v>524902</v>
      </c>
    </row>
    <row r="23" spans="1:36" x14ac:dyDescent="0.25">
      <c r="A23" t="s">
        <v>5518</v>
      </c>
      <c r="B23" t="s">
        <v>5519</v>
      </c>
      <c r="C23" t="s">
        <v>778</v>
      </c>
      <c r="D23" t="s">
        <v>8381</v>
      </c>
      <c r="E23" t="s">
        <v>192</v>
      </c>
      <c r="F23">
        <v>1</v>
      </c>
      <c r="G23" t="s">
        <v>193</v>
      </c>
      <c r="H23" t="s">
        <v>194</v>
      </c>
      <c r="I23" t="s">
        <v>8382</v>
      </c>
      <c r="J23" t="s">
        <v>747</v>
      </c>
      <c r="K23">
        <v>18</v>
      </c>
      <c r="L23" t="s">
        <v>8423</v>
      </c>
      <c r="M23" t="s">
        <v>6921</v>
      </c>
      <c r="N23" t="s">
        <v>8414</v>
      </c>
      <c r="O23" t="s">
        <v>8385</v>
      </c>
      <c r="P23" t="s">
        <v>8415</v>
      </c>
      <c r="Q23">
        <v>1967600</v>
      </c>
      <c r="R23">
        <v>20605831</v>
      </c>
      <c r="T23">
        <v>1817</v>
      </c>
      <c r="U23" t="s">
        <v>779</v>
      </c>
      <c r="V23" t="s">
        <v>194</v>
      </c>
      <c r="W23">
        <v>1</v>
      </c>
      <c r="X23">
        <v>1000551095</v>
      </c>
      <c r="AF23" t="s">
        <v>4714</v>
      </c>
      <c r="AG23" t="s">
        <v>5519</v>
      </c>
      <c r="AI23" t="s">
        <v>6955</v>
      </c>
      <c r="AJ23" s="408" t="str">
        <f t="shared" si="0"/>
        <v>524902</v>
      </c>
    </row>
    <row r="24" spans="1:36" x14ac:dyDescent="0.25">
      <c r="A24" t="s">
        <v>258</v>
      </c>
      <c r="B24" t="s">
        <v>537</v>
      </c>
      <c r="C24" t="s">
        <v>778</v>
      </c>
      <c r="D24" t="s">
        <v>8344</v>
      </c>
      <c r="E24" t="s">
        <v>233</v>
      </c>
      <c r="F24">
        <v>1</v>
      </c>
      <c r="G24" t="s">
        <v>193</v>
      </c>
      <c r="H24" t="s">
        <v>194</v>
      </c>
      <c r="I24" t="s">
        <v>8345</v>
      </c>
      <c r="J24" t="s">
        <v>3891</v>
      </c>
      <c r="K24">
        <v>18</v>
      </c>
      <c r="L24" t="s">
        <v>8424</v>
      </c>
      <c r="M24" t="s">
        <v>6249</v>
      </c>
      <c r="N24" t="s">
        <v>8425</v>
      </c>
      <c r="O24" t="s">
        <v>8418</v>
      </c>
      <c r="P24" t="s">
        <v>8390</v>
      </c>
      <c r="Q24">
        <v>1991867</v>
      </c>
      <c r="R24">
        <v>20394364</v>
      </c>
      <c r="T24">
        <v>1816</v>
      </c>
      <c r="U24" t="s">
        <v>779</v>
      </c>
      <c r="V24" t="s">
        <v>194</v>
      </c>
      <c r="W24">
        <v>1</v>
      </c>
      <c r="Y24" t="s">
        <v>7009</v>
      </c>
      <c r="AE24" t="s">
        <v>8426</v>
      </c>
      <c r="AF24" t="s">
        <v>4714</v>
      </c>
      <c r="AG24" t="s">
        <v>778</v>
      </c>
      <c r="AI24" t="s">
        <v>6955</v>
      </c>
      <c r="AJ24" s="408" t="str">
        <f t="shared" si="0"/>
        <v>524902</v>
      </c>
    </row>
    <row r="25" spans="1:36" x14ac:dyDescent="0.25">
      <c r="A25" t="s">
        <v>258</v>
      </c>
      <c r="B25" t="s">
        <v>537</v>
      </c>
      <c r="C25" t="s">
        <v>778</v>
      </c>
      <c r="D25" t="s">
        <v>8305</v>
      </c>
      <c r="E25" t="s">
        <v>233</v>
      </c>
      <c r="F25">
        <v>1</v>
      </c>
      <c r="G25" t="s">
        <v>193</v>
      </c>
      <c r="H25" t="s">
        <v>194</v>
      </c>
      <c r="I25" t="s">
        <v>8314</v>
      </c>
      <c r="J25" t="s">
        <v>316</v>
      </c>
      <c r="K25">
        <v>18</v>
      </c>
      <c r="L25" t="s">
        <v>8427</v>
      </c>
      <c r="M25" t="s">
        <v>6249</v>
      </c>
      <c r="N25" t="s">
        <v>8428</v>
      </c>
      <c r="O25" t="s">
        <v>8429</v>
      </c>
      <c r="P25" t="s">
        <v>8419</v>
      </c>
      <c r="Q25">
        <v>2001990</v>
      </c>
      <c r="R25">
        <v>20582342</v>
      </c>
      <c r="T25">
        <v>1818</v>
      </c>
      <c r="U25" t="s">
        <v>779</v>
      </c>
      <c r="V25" t="s">
        <v>194</v>
      </c>
      <c r="W25">
        <v>1</v>
      </c>
      <c r="Y25" t="s">
        <v>7009</v>
      </c>
      <c r="AE25" t="s">
        <v>8426</v>
      </c>
      <c r="AF25" t="s">
        <v>4714</v>
      </c>
      <c r="AG25" t="s">
        <v>778</v>
      </c>
      <c r="AI25" t="s">
        <v>6955</v>
      </c>
      <c r="AJ25" s="408" t="str">
        <f t="shared" si="0"/>
        <v>524902</v>
      </c>
    </row>
    <row r="26" spans="1:36" x14ac:dyDescent="0.25">
      <c r="A26" t="s">
        <v>8430</v>
      </c>
      <c r="B26" t="s">
        <v>8431</v>
      </c>
      <c r="C26" t="s">
        <v>778</v>
      </c>
      <c r="D26" t="s">
        <v>8305</v>
      </c>
      <c r="E26" t="s">
        <v>233</v>
      </c>
      <c r="F26">
        <v>1</v>
      </c>
      <c r="G26" t="s">
        <v>193</v>
      </c>
      <c r="H26" t="s">
        <v>194</v>
      </c>
      <c r="I26" t="s">
        <v>8306</v>
      </c>
      <c r="J26" t="s">
        <v>210</v>
      </c>
      <c r="K26">
        <v>18</v>
      </c>
      <c r="L26" t="s">
        <v>8432</v>
      </c>
      <c r="M26" t="s">
        <v>6288</v>
      </c>
      <c r="N26" t="s">
        <v>8308</v>
      </c>
      <c r="O26" t="s">
        <v>8309</v>
      </c>
      <c r="P26" t="s">
        <v>8310</v>
      </c>
      <c r="Q26">
        <v>2002967</v>
      </c>
      <c r="R26">
        <v>21052619</v>
      </c>
      <c r="T26">
        <v>1863</v>
      </c>
      <c r="U26" t="s">
        <v>779</v>
      </c>
      <c r="V26" t="s">
        <v>194</v>
      </c>
      <c r="W26">
        <v>1</v>
      </c>
      <c r="Y26" t="s">
        <v>8433</v>
      </c>
      <c r="AE26" t="s">
        <v>8434</v>
      </c>
      <c r="AF26" t="s">
        <v>4714</v>
      </c>
      <c r="AG26" t="s">
        <v>8431</v>
      </c>
      <c r="AI26" t="s">
        <v>6955</v>
      </c>
      <c r="AJ26" s="408" t="str">
        <f t="shared" si="0"/>
        <v>524902</v>
      </c>
    </row>
    <row r="27" spans="1:36" x14ac:dyDescent="0.25">
      <c r="A27" t="s">
        <v>5213</v>
      </c>
      <c r="B27" t="s">
        <v>8435</v>
      </c>
      <c r="C27" t="s">
        <v>525</v>
      </c>
      <c r="D27" t="s">
        <v>8305</v>
      </c>
      <c r="E27" t="s">
        <v>233</v>
      </c>
      <c r="F27">
        <v>1</v>
      </c>
      <c r="G27" t="s">
        <v>193</v>
      </c>
      <c r="H27" t="s">
        <v>194</v>
      </c>
      <c r="I27" t="s">
        <v>8306</v>
      </c>
      <c r="J27" t="s">
        <v>909</v>
      </c>
      <c r="K27">
        <v>18</v>
      </c>
      <c r="L27" t="s">
        <v>8436</v>
      </c>
      <c r="M27" t="s">
        <v>6312</v>
      </c>
      <c r="N27" t="s">
        <v>8308</v>
      </c>
      <c r="O27" t="s">
        <v>8309</v>
      </c>
      <c r="P27" t="s">
        <v>8310</v>
      </c>
      <c r="Q27">
        <v>2002692</v>
      </c>
      <c r="R27">
        <v>21051922</v>
      </c>
      <c r="T27">
        <v>1805.1863000000001</v>
      </c>
      <c r="U27" t="s">
        <v>526</v>
      </c>
      <c r="V27" t="s">
        <v>194</v>
      </c>
      <c r="W27">
        <v>2</v>
      </c>
      <c r="Y27" t="s">
        <v>8437</v>
      </c>
      <c r="AE27" t="s">
        <v>7866</v>
      </c>
      <c r="AF27" t="s">
        <v>4714</v>
      </c>
      <c r="AG27" t="s">
        <v>8435</v>
      </c>
      <c r="AI27" t="s">
        <v>6955</v>
      </c>
      <c r="AJ27" s="408" t="str">
        <f t="shared" si="0"/>
        <v>263102</v>
      </c>
    </row>
    <row r="28" spans="1:36" x14ac:dyDescent="0.25">
      <c r="A28" t="s">
        <v>8438</v>
      </c>
      <c r="B28" t="s">
        <v>2675</v>
      </c>
      <c r="C28" t="s">
        <v>525</v>
      </c>
      <c r="D28" t="s">
        <v>8320</v>
      </c>
      <c r="E28" t="s">
        <v>233</v>
      </c>
      <c r="F28">
        <v>1</v>
      </c>
      <c r="G28" t="s">
        <v>193</v>
      </c>
      <c r="H28" t="s">
        <v>194</v>
      </c>
      <c r="I28" t="s">
        <v>8330</v>
      </c>
      <c r="J28" t="s">
        <v>385</v>
      </c>
      <c r="K28">
        <v>18</v>
      </c>
      <c r="L28" t="s">
        <v>8439</v>
      </c>
      <c r="M28" t="s">
        <v>6306</v>
      </c>
      <c r="N28" t="s">
        <v>8332</v>
      </c>
      <c r="O28" t="s">
        <v>8306</v>
      </c>
      <c r="P28" t="s">
        <v>8321</v>
      </c>
      <c r="Q28">
        <v>2014212</v>
      </c>
      <c r="R28">
        <v>21287763</v>
      </c>
      <c r="T28">
        <v>1861</v>
      </c>
      <c r="U28" t="s">
        <v>526</v>
      </c>
      <c r="V28" t="s">
        <v>194</v>
      </c>
      <c r="W28">
        <v>1</v>
      </c>
      <c r="X28">
        <v>78700</v>
      </c>
      <c r="Y28" t="s">
        <v>8440</v>
      </c>
      <c r="AE28" t="s">
        <v>8441</v>
      </c>
      <c r="AF28" t="s">
        <v>4714</v>
      </c>
      <c r="AG28" t="s">
        <v>2675</v>
      </c>
      <c r="AI28" t="s">
        <v>6955</v>
      </c>
      <c r="AJ28" s="408" t="str">
        <f t="shared" si="0"/>
        <v>263102</v>
      </c>
    </row>
    <row r="29" spans="1:36" x14ac:dyDescent="0.25">
      <c r="A29" t="s">
        <v>6991</v>
      </c>
      <c r="B29" t="s">
        <v>1875</v>
      </c>
      <c r="C29" t="s">
        <v>1876</v>
      </c>
      <c r="D29" t="s">
        <v>8305</v>
      </c>
      <c r="E29" t="s">
        <v>233</v>
      </c>
      <c r="F29">
        <v>1</v>
      </c>
      <c r="G29" t="s">
        <v>193</v>
      </c>
      <c r="H29" t="s">
        <v>194</v>
      </c>
      <c r="I29" t="s">
        <v>8314</v>
      </c>
      <c r="J29" t="s">
        <v>223</v>
      </c>
      <c r="K29">
        <v>18</v>
      </c>
      <c r="L29" t="s">
        <v>8442</v>
      </c>
      <c r="M29" t="s">
        <v>6374</v>
      </c>
      <c r="N29" t="s">
        <v>8428</v>
      </c>
      <c r="O29" t="s">
        <v>8429</v>
      </c>
      <c r="P29" t="s">
        <v>8305</v>
      </c>
      <c r="Q29">
        <v>2001986</v>
      </c>
      <c r="R29">
        <v>20582056</v>
      </c>
      <c r="T29">
        <v>1804</v>
      </c>
      <c r="U29" t="s">
        <v>1877</v>
      </c>
      <c r="V29" t="s">
        <v>194</v>
      </c>
      <c r="W29">
        <v>1</v>
      </c>
      <c r="Y29" t="s">
        <v>8443</v>
      </c>
      <c r="AE29" t="s">
        <v>8444</v>
      </c>
      <c r="AF29" t="s">
        <v>4714</v>
      </c>
      <c r="AG29" t="s">
        <v>1876</v>
      </c>
      <c r="AI29" t="s">
        <v>6955</v>
      </c>
      <c r="AJ29" s="408" t="str">
        <f t="shared" si="0"/>
        <v>741304</v>
      </c>
    </row>
    <row r="30" spans="1:36" x14ac:dyDescent="0.25">
      <c r="A30" t="s">
        <v>6121</v>
      </c>
      <c r="B30" t="s">
        <v>8445</v>
      </c>
      <c r="C30" t="s">
        <v>822</v>
      </c>
      <c r="D30" t="s">
        <v>8381</v>
      </c>
      <c r="E30" t="s">
        <v>233</v>
      </c>
      <c r="F30">
        <v>1</v>
      </c>
      <c r="G30" t="s">
        <v>193</v>
      </c>
      <c r="H30" t="s">
        <v>194</v>
      </c>
      <c r="I30" t="s">
        <v>8382</v>
      </c>
      <c r="J30" t="s">
        <v>301</v>
      </c>
      <c r="K30">
        <v>18</v>
      </c>
      <c r="L30" t="s">
        <v>8446</v>
      </c>
      <c r="M30" t="s">
        <v>6275</v>
      </c>
      <c r="N30" t="s">
        <v>8417</v>
      </c>
      <c r="O30" t="s">
        <v>8418</v>
      </c>
      <c r="P30" t="s">
        <v>8320</v>
      </c>
      <c r="Q30">
        <v>1966737</v>
      </c>
      <c r="R30">
        <v>20365437</v>
      </c>
      <c r="T30">
        <v>1810</v>
      </c>
      <c r="U30" t="s">
        <v>823</v>
      </c>
      <c r="V30" t="s">
        <v>194</v>
      </c>
      <c r="W30">
        <v>1</v>
      </c>
      <c r="Y30" t="s">
        <v>8447</v>
      </c>
      <c r="AE30" t="s">
        <v>8448</v>
      </c>
      <c r="AF30" t="s">
        <v>4714</v>
      </c>
      <c r="AG30" t="s">
        <v>8445</v>
      </c>
      <c r="AI30" t="s">
        <v>6955</v>
      </c>
      <c r="AJ30" s="408" t="str">
        <f t="shared" si="0"/>
        <v>741103</v>
      </c>
    </row>
    <row r="31" spans="1:36" x14ac:dyDescent="0.25">
      <c r="A31" t="s">
        <v>2093</v>
      </c>
      <c r="B31" t="s">
        <v>2675</v>
      </c>
      <c r="C31" t="s">
        <v>2766</v>
      </c>
      <c r="D31" t="s">
        <v>8381</v>
      </c>
      <c r="E31" t="s">
        <v>233</v>
      </c>
      <c r="F31">
        <v>1</v>
      </c>
      <c r="G31" t="s">
        <v>193</v>
      </c>
      <c r="H31" t="s">
        <v>194</v>
      </c>
      <c r="I31" t="s">
        <v>8382</v>
      </c>
      <c r="J31" t="s">
        <v>210</v>
      </c>
      <c r="K31">
        <v>18</v>
      </c>
      <c r="L31" t="s">
        <v>8449</v>
      </c>
      <c r="M31" t="s">
        <v>6306</v>
      </c>
      <c r="N31" t="s">
        <v>8417</v>
      </c>
      <c r="O31" t="s">
        <v>8418</v>
      </c>
      <c r="P31" t="s">
        <v>8429</v>
      </c>
      <c r="Q31">
        <v>1967478</v>
      </c>
      <c r="R31">
        <v>20583889</v>
      </c>
      <c r="T31">
        <v>1863</v>
      </c>
      <c r="U31" t="s">
        <v>8450</v>
      </c>
      <c r="V31" t="s">
        <v>194</v>
      </c>
      <c r="W31">
        <v>1</v>
      </c>
      <c r="X31">
        <v>77793</v>
      </c>
      <c r="Y31" t="s">
        <v>8451</v>
      </c>
      <c r="AE31" t="s">
        <v>8452</v>
      </c>
      <c r="AF31" t="s">
        <v>4714</v>
      </c>
      <c r="AG31" t="s">
        <v>2675</v>
      </c>
      <c r="AI31" t="s">
        <v>6955</v>
      </c>
      <c r="AJ31" s="408" t="str">
        <f t="shared" si="0"/>
        <v>335101</v>
      </c>
    </row>
    <row r="32" spans="1:36" x14ac:dyDescent="0.25">
      <c r="A32" t="s">
        <v>8453</v>
      </c>
      <c r="B32" t="s">
        <v>2080</v>
      </c>
      <c r="C32" t="s">
        <v>8454</v>
      </c>
      <c r="D32" t="s">
        <v>8305</v>
      </c>
      <c r="E32" t="s">
        <v>233</v>
      </c>
      <c r="F32">
        <v>1</v>
      </c>
      <c r="G32" t="s">
        <v>193</v>
      </c>
      <c r="H32" t="s">
        <v>194</v>
      </c>
      <c r="I32" t="s">
        <v>8306</v>
      </c>
      <c r="J32" t="s">
        <v>385</v>
      </c>
      <c r="K32">
        <v>18</v>
      </c>
      <c r="L32" t="s">
        <v>8455</v>
      </c>
      <c r="M32" t="s">
        <v>6306</v>
      </c>
      <c r="N32" t="s">
        <v>8308</v>
      </c>
      <c r="O32" t="s">
        <v>8309</v>
      </c>
      <c r="P32" t="s">
        <v>8386</v>
      </c>
      <c r="Q32">
        <v>2003560</v>
      </c>
      <c r="R32">
        <v>21054110</v>
      </c>
      <c r="T32">
        <v>1861</v>
      </c>
      <c r="U32" t="s">
        <v>8456</v>
      </c>
      <c r="V32" t="s">
        <v>194</v>
      </c>
      <c r="W32">
        <v>1</v>
      </c>
      <c r="X32">
        <v>78435</v>
      </c>
      <c r="Y32" t="s">
        <v>8457</v>
      </c>
      <c r="AE32" t="s">
        <v>8458</v>
      </c>
      <c r="AF32" t="s">
        <v>4714</v>
      </c>
      <c r="AG32" t="s">
        <v>2080</v>
      </c>
      <c r="AI32" t="s">
        <v>6955</v>
      </c>
      <c r="AJ32" s="408" t="str">
        <f t="shared" si="0"/>
        <v>263303</v>
      </c>
    </row>
    <row r="33" spans="1:36" x14ac:dyDescent="0.25">
      <c r="A33" t="s">
        <v>5443</v>
      </c>
      <c r="B33" t="s">
        <v>5461</v>
      </c>
      <c r="C33" t="s">
        <v>2800</v>
      </c>
      <c r="D33" t="s">
        <v>8320</v>
      </c>
      <c r="E33" t="s">
        <v>233</v>
      </c>
      <c r="F33">
        <v>1</v>
      </c>
      <c r="G33" t="s">
        <v>193</v>
      </c>
      <c r="H33" t="s">
        <v>194</v>
      </c>
      <c r="I33" t="s">
        <v>8330</v>
      </c>
      <c r="J33" t="s">
        <v>323</v>
      </c>
      <c r="K33">
        <v>18</v>
      </c>
      <c r="L33" t="s">
        <v>8459</v>
      </c>
      <c r="M33" t="s">
        <v>6256</v>
      </c>
      <c r="N33" t="s">
        <v>8332</v>
      </c>
      <c r="O33" t="s">
        <v>8306</v>
      </c>
      <c r="P33" t="s">
        <v>8333</v>
      </c>
      <c r="Q33">
        <v>2014205</v>
      </c>
      <c r="R33">
        <v>21287643</v>
      </c>
      <c r="T33">
        <v>1812</v>
      </c>
      <c r="U33" t="s">
        <v>8460</v>
      </c>
      <c r="V33" t="s">
        <v>194</v>
      </c>
      <c r="W33">
        <v>1</v>
      </c>
      <c r="Y33" t="s">
        <v>8461</v>
      </c>
      <c r="AE33" t="s">
        <v>8462</v>
      </c>
      <c r="AF33" t="s">
        <v>4714</v>
      </c>
      <c r="AG33" t="s">
        <v>5461</v>
      </c>
      <c r="AI33" t="s">
        <v>6955</v>
      </c>
      <c r="AJ33" s="408" t="str">
        <f t="shared" si="0"/>
        <v>214201</v>
      </c>
    </row>
    <row r="34" spans="1:36" x14ac:dyDescent="0.25">
      <c r="A34" t="s">
        <v>5979</v>
      </c>
      <c r="B34" t="s">
        <v>8463</v>
      </c>
      <c r="C34" t="s">
        <v>21</v>
      </c>
      <c r="D34" t="s">
        <v>8305</v>
      </c>
      <c r="E34" t="s">
        <v>233</v>
      </c>
      <c r="F34">
        <v>1</v>
      </c>
      <c r="G34" t="s">
        <v>193</v>
      </c>
      <c r="H34" t="s">
        <v>194</v>
      </c>
      <c r="I34" t="s">
        <v>8314</v>
      </c>
      <c r="J34" t="s">
        <v>210</v>
      </c>
      <c r="K34">
        <v>18</v>
      </c>
      <c r="L34" t="s">
        <v>8464</v>
      </c>
      <c r="M34" t="s">
        <v>6256</v>
      </c>
      <c r="N34" t="s">
        <v>8308</v>
      </c>
      <c r="O34" t="s">
        <v>8309</v>
      </c>
      <c r="P34" t="s">
        <v>8310</v>
      </c>
      <c r="Q34">
        <v>2003166</v>
      </c>
      <c r="R34">
        <v>21053075</v>
      </c>
      <c r="T34">
        <v>1863</v>
      </c>
      <c r="U34" t="s">
        <v>293</v>
      </c>
      <c r="V34" t="s">
        <v>194</v>
      </c>
      <c r="W34">
        <v>1</v>
      </c>
      <c r="Y34" t="s">
        <v>8465</v>
      </c>
      <c r="AE34" t="s">
        <v>8466</v>
      </c>
      <c r="AF34" t="s">
        <v>4714</v>
      </c>
      <c r="AG34" t="s">
        <v>8463</v>
      </c>
      <c r="AI34" t="s">
        <v>6955</v>
      </c>
      <c r="AJ34" s="408" t="str">
        <f t="shared" si="0"/>
        <v>214202</v>
      </c>
    </row>
    <row r="35" spans="1:36" x14ac:dyDescent="0.25">
      <c r="A35" t="s">
        <v>8467</v>
      </c>
      <c r="B35" t="s">
        <v>8468</v>
      </c>
      <c r="C35" t="s">
        <v>354</v>
      </c>
      <c r="D35" t="s">
        <v>8320</v>
      </c>
      <c r="E35" t="s">
        <v>233</v>
      </c>
      <c r="F35">
        <v>1</v>
      </c>
      <c r="G35" t="s">
        <v>193</v>
      </c>
      <c r="H35" t="s">
        <v>194</v>
      </c>
      <c r="I35" t="s">
        <v>8330</v>
      </c>
      <c r="J35" t="s">
        <v>196</v>
      </c>
      <c r="K35">
        <v>18</v>
      </c>
      <c r="L35" t="s">
        <v>8469</v>
      </c>
      <c r="M35" t="s">
        <v>6374</v>
      </c>
      <c r="N35" t="s">
        <v>8332</v>
      </c>
      <c r="O35" t="s">
        <v>8306</v>
      </c>
      <c r="P35" t="s">
        <v>8378</v>
      </c>
      <c r="Q35">
        <v>2013405</v>
      </c>
      <c r="R35">
        <v>21282490</v>
      </c>
      <c r="U35" t="s">
        <v>355</v>
      </c>
      <c r="V35" t="s">
        <v>193</v>
      </c>
      <c r="W35">
        <v>25</v>
      </c>
      <c r="X35" t="s">
        <v>8470</v>
      </c>
      <c r="Y35" t="s">
        <v>8471</v>
      </c>
      <c r="AE35" t="s">
        <v>8472</v>
      </c>
      <c r="AF35" t="s">
        <v>4714</v>
      </c>
      <c r="AG35" t="s">
        <v>8468</v>
      </c>
      <c r="AI35" t="s">
        <v>6955</v>
      </c>
      <c r="AJ35" s="408" t="str">
        <f t="shared" si="0"/>
        <v>215103</v>
      </c>
    </row>
    <row r="36" spans="1:36" x14ac:dyDescent="0.25">
      <c r="A36" t="s">
        <v>8473</v>
      </c>
      <c r="B36" t="s">
        <v>8474</v>
      </c>
      <c r="C36" t="s">
        <v>136</v>
      </c>
      <c r="D36" t="s">
        <v>8305</v>
      </c>
      <c r="E36" t="s">
        <v>233</v>
      </c>
      <c r="F36">
        <v>1</v>
      </c>
      <c r="G36" t="s">
        <v>193</v>
      </c>
      <c r="H36" t="s">
        <v>194</v>
      </c>
      <c r="I36" t="s">
        <v>8314</v>
      </c>
      <c r="J36" t="s">
        <v>196</v>
      </c>
      <c r="K36">
        <v>18</v>
      </c>
      <c r="L36" t="s">
        <v>8475</v>
      </c>
      <c r="M36" t="s">
        <v>6249</v>
      </c>
      <c r="N36" t="s">
        <v>8308</v>
      </c>
      <c r="O36" t="s">
        <v>8309</v>
      </c>
      <c r="P36" t="s">
        <v>8310</v>
      </c>
      <c r="Q36">
        <v>2003452</v>
      </c>
      <c r="R36">
        <v>21053760</v>
      </c>
      <c r="U36" t="s">
        <v>461</v>
      </c>
      <c r="V36" t="s">
        <v>193</v>
      </c>
      <c r="W36">
        <v>25</v>
      </c>
      <c r="Y36" t="s">
        <v>8476</v>
      </c>
      <c r="AE36" t="s">
        <v>8477</v>
      </c>
      <c r="AF36" t="s">
        <v>4714</v>
      </c>
      <c r="AG36" t="s">
        <v>8474</v>
      </c>
      <c r="AI36" t="s">
        <v>6955</v>
      </c>
      <c r="AJ36" s="408" t="str">
        <f t="shared" si="0"/>
        <v>243301</v>
      </c>
    </row>
    <row r="37" spans="1:36" x14ac:dyDescent="0.25">
      <c r="A37" t="s">
        <v>8312</v>
      </c>
      <c r="B37" t="s">
        <v>8478</v>
      </c>
      <c r="C37" t="s">
        <v>37</v>
      </c>
      <c r="D37" t="s">
        <v>8344</v>
      </c>
      <c r="E37" t="s">
        <v>233</v>
      </c>
      <c r="F37">
        <v>1</v>
      </c>
      <c r="G37" t="s">
        <v>193</v>
      </c>
      <c r="H37" t="s">
        <v>194</v>
      </c>
      <c r="I37" t="s">
        <v>8345</v>
      </c>
      <c r="J37" t="s">
        <v>196</v>
      </c>
      <c r="K37">
        <v>18</v>
      </c>
      <c r="L37" t="s">
        <v>8479</v>
      </c>
      <c r="M37" t="s">
        <v>6921</v>
      </c>
      <c r="N37" t="s">
        <v>8357</v>
      </c>
      <c r="O37" t="s">
        <v>8348</v>
      </c>
      <c r="P37" t="s">
        <v>8325</v>
      </c>
      <c r="Q37">
        <v>1992289</v>
      </c>
      <c r="R37">
        <v>20829737</v>
      </c>
      <c r="U37" t="s">
        <v>516</v>
      </c>
      <c r="V37" t="s">
        <v>193</v>
      </c>
      <c r="W37">
        <v>25</v>
      </c>
      <c r="X37" t="s">
        <v>8480</v>
      </c>
      <c r="Y37" t="s">
        <v>8481</v>
      </c>
      <c r="AE37" t="s">
        <v>8482</v>
      </c>
      <c r="AF37" t="s">
        <v>4714</v>
      </c>
      <c r="AG37" t="s">
        <v>8478</v>
      </c>
      <c r="AI37" t="s">
        <v>6955</v>
      </c>
      <c r="AJ37" s="408" t="str">
        <f t="shared" si="0"/>
        <v>252302</v>
      </c>
    </row>
    <row r="38" spans="1:36" x14ac:dyDescent="0.25">
      <c r="A38" t="s">
        <v>8483</v>
      </c>
      <c r="B38" t="s">
        <v>8484</v>
      </c>
      <c r="C38" t="s">
        <v>37</v>
      </c>
      <c r="D38" t="s">
        <v>8320</v>
      </c>
      <c r="E38" t="s">
        <v>233</v>
      </c>
      <c r="F38">
        <v>1</v>
      </c>
      <c r="G38" t="s">
        <v>193</v>
      </c>
      <c r="H38" t="s">
        <v>194</v>
      </c>
      <c r="I38" t="s">
        <v>8330</v>
      </c>
      <c r="J38" t="s">
        <v>196</v>
      </c>
      <c r="K38">
        <v>18</v>
      </c>
      <c r="L38" t="s">
        <v>8485</v>
      </c>
      <c r="M38" t="s">
        <v>6261</v>
      </c>
      <c r="N38" t="s">
        <v>8332</v>
      </c>
      <c r="O38" t="s">
        <v>8306</v>
      </c>
      <c r="P38" t="s">
        <v>8378</v>
      </c>
      <c r="Q38">
        <v>2013344</v>
      </c>
      <c r="R38">
        <v>21282374</v>
      </c>
      <c r="U38" t="s">
        <v>516</v>
      </c>
      <c r="V38" t="s">
        <v>193</v>
      </c>
      <c r="W38">
        <v>25</v>
      </c>
      <c r="Y38" t="s">
        <v>8486</v>
      </c>
      <c r="AE38" t="s">
        <v>8487</v>
      </c>
      <c r="AF38" t="s">
        <v>4714</v>
      </c>
      <c r="AG38" t="s">
        <v>8484</v>
      </c>
      <c r="AI38" t="s">
        <v>6955</v>
      </c>
      <c r="AJ38" s="408" t="str">
        <f t="shared" si="0"/>
        <v>252302</v>
      </c>
    </row>
    <row r="39" spans="1:36" hidden="1" x14ac:dyDescent="0.25">
      <c r="A39" t="s">
        <v>8488</v>
      </c>
      <c r="B39" t="s">
        <v>8489</v>
      </c>
      <c r="C39" t="s">
        <v>98</v>
      </c>
      <c r="D39" t="s">
        <v>8305</v>
      </c>
      <c r="E39" t="s">
        <v>233</v>
      </c>
      <c r="F39">
        <v>1</v>
      </c>
      <c r="G39" s="386" t="s">
        <v>194</v>
      </c>
      <c r="H39" s="24" t="s">
        <v>193</v>
      </c>
      <c r="I39" t="s">
        <v>8306</v>
      </c>
      <c r="J39" t="s">
        <v>196</v>
      </c>
      <c r="K39">
        <v>18</v>
      </c>
      <c r="L39" t="s">
        <v>8490</v>
      </c>
      <c r="M39" t="s">
        <v>6295</v>
      </c>
      <c r="N39" t="s">
        <v>8308</v>
      </c>
      <c r="O39" t="s">
        <v>8309</v>
      </c>
      <c r="P39" t="s">
        <v>8491</v>
      </c>
      <c r="Q39">
        <v>2002930</v>
      </c>
      <c r="R39">
        <v>21052576</v>
      </c>
      <c r="U39" t="s">
        <v>1973</v>
      </c>
      <c r="V39" t="s">
        <v>194</v>
      </c>
      <c r="W39">
        <v>0</v>
      </c>
      <c r="Y39" t="s">
        <v>8492</v>
      </c>
      <c r="AE39" t="s">
        <v>8493</v>
      </c>
      <c r="AF39" t="s">
        <v>4714</v>
      </c>
      <c r="AG39" t="s">
        <v>8489</v>
      </c>
      <c r="AI39" t="s">
        <v>6955</v>
      </c>
      <c r="AJ39" s="408" t="str">
        <f t="shared" si="0"/>
        <v>214502</v>
      </c>
    </row>
    <row r="40" spans="1:36" x14ac:dyDescent="0.25">
      <c r="A40" t="s">
        <v>8494</v>
      </c>
      <c r="B40" t="s">
        <v>8495</v>
      </c>
      <c r="C40" t="s">
        <v>378</v>
      </c>
      <c r="D40" t="s">
        <v>8344</v>
      </c>
      <c r="E40" t="s">
        <v>233</v>
      </c>
      <c r="F40">
        <v>1</v>
      </c>
      <c r="G40" t="s">
        <v>193</v>
      </c>
      <c r="H40" t="s">
        <v>194</v>
      </c>
      <c r="I40" t="s">
        <v>8345</v>
      </c>
      <c r="J40" t="s">
        <v>196</v>
      </c>
      <c r="K40">
        <v>18</v>
      </c>
      <c r="L40" t="s">
        <v>8496</v>
      </c>
      <c r="M40" t="s">
        <v>6921</v>
      </c>
      <c r="N40" t="s">
        <v>8347</v>
      </c>
      <c r="O40" t="s">
        <v>8348</v>
      </c>
      <c r="P40" t="s">
        <v>8497</v>
      </c>
      <c r="Q40">
        <v>1992051</v>
      </c>
      <c r="R40">
        <v>20615003</v>
      </c>
      <c r="T40">
        <v>1863</v>
      </c>
      <c r="U40" t="s">
        <v>379</v>
      </c>
      <c r="V40" t="s">
        <v>194</v>
      </c>
      <c r="W40">
        <v>1</v>
      </c>
      <c r="Y40" t="s">
        <v>8498</v>
      </c>
      <c r="AE40" t="s">
        <v>8499</v>
      </c>
      <c r="AF40" t="s">
        <v>4714</v>
      </c>
      <c r="AG40" t="s">
        <v>8495</v>
      </c>
      <c r="AI40" t="s">
        <v>6955</v>
      </c>
      <c r="AJ40" s="408" t="str">
        <f t="shared" si="0"/>
        <v>215303</v>
      </c>
    </row>
    <row r="41" spans="1:36" x14ac:dyDescent="0.25">
      <c r="A41" t="s">
        <v>8312</v>
      </c>
      <c r="B41" t="s">
        <v>8500</v>
      </c>
      <c r="C41" t="s">
        <v>378</v>
      </c>
      <c r="D41" t="s">
        <v>8344</v>
      </c>
      <c r="E41" t="s">
        <v>233</v>
      </c>
      <c r="F41">
        <v>1</v>
      </c>
      <c r="G41" t="s">
        <v>193</v>
      </c>
      <c r="H41" t="s">
        <v>194</v>
      </c>
      <c r="I41" t="s">
        <v>8345</v>
      </c>
      <c r="J41" t="s">
        <v>196</v>
      </c>
      <c r="K41">
        <v>18</v>
      </c>
      <c r="L41" t="s">
        <v>8501</v>
      </c>
      <c r="M41" t="s">
        <v>6327</v>
      </c>
      <c r="N41" t="s">
        <v>8357</v>
      </c>
      <c r="O41" t="s">
        <v>8348</v>
      </c>
      <c r="P41" t="s">
        <v>8325</v>
      </c>
      <c r="Q41">
        <v>1992386</v>
      </c>
      <c r="R41">
        <v>20829911</v>
      </c>
      <c r="U41" t="s">
        <v>379</v>
      </c>
      <c r="V41" t="s">
        <v>193</v>
      </c>
      <c r="W41">
        <v>25</v>
      </c>
      <c r="X41" t="s">
        <v>8502</v>
      </c>
      <c r="Y41" t="s">
        <v>8503</v>
      </c>
      <c r="AE41" t="s">
        <v>8504</v>
      </c>
      <c r="AF41" t="s">
        <v>4714</v>
      </c>
      <c r="AG41" t="s">
        <v>8500</v>
      </c>
      <c r="AI41" t="s">
        <v>6955</v>
      </c>
      <c r="AJ41" s="408" t="str">
        <f t="shared" si="0"/>
        <v>215303</v>
      </c>
    </row>
    <row r="42" spans="1:36" x14ac:dyDescent="0.25">
      <c r="A42" t="s">
        <v>8312</v>
      </c>
      <c r="B42" t="s">
        <v>2276</v>
      </c>
      <c r="C42" t="s">
        <v>378</v>
      </c>
      <c r="D42" t="s">
        <v>8305</v>
      </c>
      <c r="E42" t="s">
        <v>233</v>
      </c>
      <c r="F42">
        <v>1</v>
      </c>
      <c r="G42" t="s">
        <v>193</v>
      </c>
      <c r="H42" t="s">
        <v>194</v>
      </c>
      <c r="I42" t="s">
        <v>8314</v>
      </c>
      <c r="J42" t="s">
        <v>196</v>
      </c>
      <c r="K42">
        <v>18</v>
      </c>
      <c r="L42" t="s">
        <v>8505</v>
      </c>
      <c r="M42" t="s">
        <v>6261</v>
      </c>
      <c r="N42" t="s">
        <v>8308</v>
      </c>
      <c r="O42" t="s">
        <v>8309</v>
      </c>
      <c r="P42" t="s">
        <v>8310</v>
      </c>
      <c r="Q42">
        <v>2002156</v>
      </c>
      <c r="R42">
        <v>21050460</v>
      </c>
      <c r="U42" t="s">
        <v>379</v>
      </c>
      <c r="V42" t="s">
        <v>193</v>
      </c>
      <c r="W42">
        <v>25</v>
      </c>
      <c r="X42" t="s">
        <v>8506</v>
      </c>
      <c r="Y42" t="s">
        <v>8507</v>
      </c>
      <c r="AE42" t="s">
        <v>8508</v>
      </c>
      <c r="AF42" t="s">
        <v>4714</v>
      </c>
      <c r="AG42" t="s">
        <v>2276</v>
      </c>
      <c r="AI42" t="s">
        <v>6955</v>
      </c>
      <c r="AJ42" s="408" t="str">
        <f t="shared" si="0"/>
        <v>215303</v>
      </c>
    </row>
    <row r="43" spans="1:36" x14ac:dyDescent="0.25">
      <c r="A43" t="s">
        <v>8509</v>
      </c>
      <c r="B43" t="s">
        <v>8510</v>
      </c>
      <c r="C43" t="s">
        <v>69</v>
      </c>
      <c r="D43" t="s">
        <v>8305</v>
      </c>
      <c r="E43" t="s">
        <v>233</v>
      </c>
      <c r="F43">
        <v>1</v>
      </c>
      <c r="G43" t="s">
        <v>193</v>
      </c>
      <c r="H43" t="s">
        <v>194</v>
      </c>
      <c r="I43" t="s">
        <v>8314</v>
      </c>
      <c r="J43" t="s">
        <v>196</v>
      </c>
      <c r="K43">
        <v>18</v>
      </c>
      <c r="L43" t="s">
        <v>8511</v>
      </c>
      <c r="M43" t="s">
        <v>6261</v>
      </c>
      <c r="N43" t="s">
        <v>8308</v>
      </c>
      <c r="O43" t="s">
        <v>8309</v>
      </c>
      <c r="P43" t="s">
        <v>8310</v>
      </c>
      <c r="Q43">
        <v>2003383</v>
      </c>
      <c r="R43">
        <v>21053588</v>
      </c>
      <c r="U43" t="s">
        <v>375</v>
      </c>
      <c r="V43" t="s">
        <v>193</v>
      </c>
      <c r="W43">
        <v>25</v>
      </c>
      <c r="X43" t="s">
        <v>8512</v>
      </c>
      <c r="Y43" t="s">
        <v>8513</v>
      </c>
      <c r="AE43" t="s">
        <v>8514</v>
      </c>
      <c r="AF43" t="s">
        <v>4714</v>
      </c>
      <c r="AG43" t="s">
        <v>8510</v>
      </c>
      <c r="AI43" t="s">
        <v>6955</v>
      </c>
      <c r="AJ43" s="408" t="str">
        <f t="shared" si="0"/>
        <v>215301</v>
      </c>
    </row>
    <row r="44" spans="1:36" x14ac:dyDescent="0.25">
      <c r="A44" t="s">
        <v>888</v>
      </c>
      <c r="B44" t="s">
        <v>8515</v>
      </c>
      <c r="C44" t="s">
        <v>51</v>
      </c>
      <c r="D44" t="s">
        <v>8381</v>
      </c>
      <c r="E44" t="s">
        <v>233</v>
      </c>
      <c r="F44">
        <v>1</v>
      </c>
      <c r="G44" t="s">
        <v>193</v>
      </c>
      <c r="H44" t="s">
        <v>194</v>
      </c>
      <c r="I44" t="s">
        <v>8382</v>
      </c>
      <c r="J44" t="s">
        <v>1995</v>
      </c>
      <c r="K44">
        <v>18</v>
      </c>
      <c r="L44" t="s">
        <v>8516</v>
      </c>
      <c r="M44" t="s">
        <v>6266</v>
      </c>
      <c r="N44" t="s">
        <v>8417</v>
      </c>
      <c r="O44" t="s">
        <v>8418</v>
      </c>
      <c r="P44" t="s">
        <v>8517</v>
      </c>
      <c r="Q44">
        <v>1966997</v>
      </c>
      <c r="R44">
        <v>20453901</v>
      </c>
      <c r="T44">
        <v>1821</v>
      </c>
      <c r="U44" t="s">
        <v>904</v>
      </c>
      <c r="V44" t="s">
        <v>194</v>
      </c>
      <c r="W44">
        <v>1</v>
      </c>
      <c r="X44" t="s">
        <v>8518</v>
      </c>
      <c r="Y44" t="s">
        <v>8519</v>
      </c>
      <c r="AE44" t="s">
        <v>8520</v>
      </c>
      <c r="AF44" t="s">
        <v>4714</v>
      </c>
      <c r="AG44" t="s">
        <v>8515</v>
      </c>
      <c r="AI44" t="s">
        <v>6955</v>
      </c>
      <c r="AJ44" s="408" t="str">
        <f t="shared" si="0"/>
        <v>523002</v>
      </c>
    </row>
    <row r="45" spans="1:36" x14ac:dyDescent="0.25">
      <c r="A45" t="s">
        <v>8521</v>
      </c>
      <c r="B45" t="s">
        <v>8522</v>
      </c>
      <c r="C45" t="s">
        <v>51</v>
      </c>
      <c r="D45" t="s">
        <v>8344</v>
      </c>
      <c r="E45" t="s">
        <v>233</v>
      </c>
      <c r="F45">
        <v>1</v>
      </c>
      <c r="G45" t="s">
        <v>193</v>
      </c>
      <c r="H45" t="s">
        <v>194</v>
      </c>
      <c r="I45" t="s">
        <v>8345</v>
      </c>
      <c r="J45" t="s">
        <v>210</v>
      </c>
      <c r="K45">
        <v>18</v>
      </c>
      <c r="L45" t="s">
        <v>8523</v>
      </c>
      <c r="M45" t="s">
        <v>6286</v>
      </c>
      <c r="N45" t="s">
        <v>8357</v>
      </c>
      <c r="O45" t="s">
        <v>8348</v>
      </c>
      <c r="P45" t="s">
        <v>8325</v>
      </c>
      <c r="Q45">
        <v>1992196</v>
      </c>
      <c r="R45">
        <v>20829423</v>
      </c>
      <c r="T45">
        <v>1863</v>
      </c>
      <c r="U45" t="s">
        <v>904</v>
      </c>
      <c r="V45" t="s">
        <v>194</v>
      </c>
      <c r="W45">
        <v>1</v>
      </c>
      <c r="Y45" t="s">
        <v>8524</v>
      </c>
      <c r="AE45" t="s">
        <v>8525</v>
      </c>
      <c r="AF45" t="s">
        <v>4714</v>
      </c>
      <c r="AG45" t="s">
        <v>8522</v>
      </c>
      <c r="AI45" t="s">
        <v>6955</v>
      </c>
      <c r="AJ45" s="408" t="str">
        <f t="shared" si="0"/>
        <v>523002</v>
      </c>
    </row>
    <row r="46" spans="1:36" x14ac:dyDescent="0.25">
      <c r="A46" t="s">
        <v>382</v>
      </c>
      <c r="B46" t="s">
        <v>8526</v>
      </c>
      <c r="C46" t="s">
        <v>51</v>
      </c>
      <c r="D46" t="s">
        <v>8305</v>
      </c>
      <c r="E46" t="s">
        <v>233</v>
      </c>
      <c r="F46">
        <v>1</v>
      </c>
      <c r="G46" t="s">
        <v>193</v>
      </c>
      <c r="H46" t="s">
        <v>194</v>
      </c>
      <c r="I46" t="s">
        <v>8314</v>
      </c>
      <c r="J46" t="s">
        <v>8527</v>
      </c>
      <c r="K46">
        <v>18</v>
      </c>
      <c r="L46" t="s">
        <v>8528</v>
      </c>
      <c r="M46" t="s">
        <v>6249</v>
      </c>
      <c r="N46" t="s">
        <v>8308</v>
      </c>
      <c r="O46" t="s">
        <v>8309</v>
      </c>
      <c r="P46" t="s">
        <v>8310</v>
      </c>
      <c r="Q46">
        <v>2003325</v>
      </c>
      <c r="R46">
        <v>21053436</v>
      </c>
      <c r="T46">
        <v>1816</v>
      </c>
      <c r="U46" t="s">
        <v>904</v>
      </c>
      <c r="V46" t="s">
        <v>194</v>
      </c>
      <c r="W46">
        <v>1</v>
      </c>
      <c r="X46" t="s">
        <v>8529</v>
      </c>
      <c r="Y46" t="s">
        <v>8530</v>
      </c>
      <c r="AE46" t="s">
        <v>8531</v>
      </c>
      <c r="AF46" t="s">
        <v>4714</v>
      </c>
      <c r="AG46" t="s">
        <v>8526</v>
      </c>
      <c r="AI46" t="s">
        <v>6955</v>
      </c>
      <c r="AJ46" s="408" t="str">
        <f t="shared" si="0"/>
        <v>523002</v>
      </c>
    </row>
    <row r="47" spans="1:36" x14ac:dyDescent="0.25">
      <c r="A47" t="s">
        <v>4975</v>
      </c>
      <c r="B47" t="s">
        <v>901</v>
      </c>
      <c r="C47" t="s">
        <v>51</v>
      </c>
      <c r="D47" t="s">
        <v>8305</v>
      </c>
      <c r="E47" t="s">
        <v>233</v>
      </c>
      <c r="F47">
        <v>1</v>
      </c>
      <c r="G47" t="s">
        <v>193</v>
      </c>
      <c r="H47" t="s">
        <v>194</v>
      </c>
      <c r="I47" t="s">
        <v>8314</v>
      </c>
      <c r="J47" t="s">
        <v>253</v>
      </c>
      <c r="K47">
        <v>18</v>
      </c>
      <c r="L47" t="s">
        <v>8532</v>
      </c>
      <c r="M47" t="s">
        <v>6275</v>
      </c>
      <c r="N47" t="s">
        <v>8308</v>
      </c>
      <c r="O47" t="s">
        <v>8309</v>
      </c>
      <c r="P47" t="s">
        <v>8310</v>
      </c>
      <c r="Q47">
        <v>2003345</v>
      </c>
      <c r="R47">
        <v>21053490</v>
      </c>
      <c r="T47">
        <v>1811</v>
      </c>
      <c r="U47" t="s">
        <v>904</v>
      </c>
      <c r="V47" t="s">
        <v>194</v>
      </c>
      <c r="W47">
        <v>1</v>
      </c>
      <c r="Y47" t="s">
        <v>6354</v>
      </c>
      <c r="AE47" t="s">
        <v>6355</v>
      </c>
      <c r="AF47" t="s">
        <v>4714</v>
      </c>
      <c r="AG47" t="s">
        <v>901</v>
      </c>
      <c r="AI47" t="s">
        <v>6955</v>
      </c>
      <c r="AJ47" s="408" t="str">
        <f t="shared" si="0"/>
        <v>523002</v>
      </c>
    </row>
    <row r="48" spans="1:36" x14ac:dyDescent="0.25">
      <c r="A48" t="s">
        <v>8533</v>
      </c>
      <c r="B48" t="s">
        <v>8534</v>
      </c>
      <c r="C48" t="s">
        <v>1626</v>
      </c>
      <c r="D48" t="s">
        <v>8305</v>
      </c>
      <c r="E48" t="s">
        <v>233</v>
      </c>
      <c r="F48">
        <v>1</v>
      </c>
      <c r="G48" t="s">
        <v>193</v>
      </c>
      <c r="H48" t="s">
        <v>194</v>
      </c>
      <c r="I48" t="s">
        <v>8306</v>
      </c>
      <c r="J48" t="s">
        <v>196</v>
      </c>
      <c r="K48">
        <v>18</v>
      </c>
      <c r="L48" t="s">
        <v>8535</v>
      </c>
      <c r="M48" t="s">
        <v>6266</v>
      </c>
      <c r="N48" t="s">
        <v>8308</v>
      </c>
      <c r="O48" t="s">
        <v>8309</v>
      </c>
      <c r="P48" t="s">
        <v>8310</v>
      </c>
      <c r="Q48">
        <v>2003492</v>
      </c>
      <c r="R48">
        <v>21053861</v>
      </c>
      <c r="U48" t="s">
        <v>1627</v>
      </c>
      <c r="V48" t="s">
        <v>193</v>
      </c>
      <c r="W48">
        <v>25</v>
      </c>
      <c r="Y48" t="s">
        <v>8536</v>
      </c>
      <c r="AE48" t="s">
        <v>8537</v>
      </c>
      <c r="AF48" t="s">
        <v>4714</v>
      </c>
      <c r="AG48" t="s">
        <v>8534</v>
      </c>
      <c r="AI48" t="s">
        <v>6955</v>
      </c>
      <c r="AJ48" s="408" t="str">
        <f t="shared" si="0"/>
        <v>833201</v>
      </c>
    </row>
    <row r="49" spans="1:36" x14ac:dyDescent="0.25">
      <c r="A49" t="s">
        <v>5999</v>
      </c>
      <c r="B49" t="s">
        <v>8538</v>
      </c>
      <c r="C49" t="s">
        <v>6617</v>
      </c>
      <c r="D49" t="s">
        <v>8305</v>
      </c>
      <c r="E49" t="s">
        <v>233</v>
      </c>
      <c r="F49">
        <v>1</v>
      </c>
      <c r="G49" t="s">
        <v>193</v>
      </c>
      <c r="H49" t="s">
        <v>194</v>
      </c>
      <c r="I49" t="s">
        <v>8314</v>
      </c>
      <c r="J49" t="s">
        <v>196</v>
      </c>
      <c r="K49">
        <v>18</v>
      </c>
      <c r="L49" t="s">
        <v>8539</v>
      </c>
      <c r="M49" t="s">
        <v>6266</v>
      </c>
      <c r="N49" t="s">
        <v>8308</v>
      </c>
      <c r="O49" t="s">
        <v>8309</v>
      </c>
      <c r="P49" t="s">
        <v>8310</v>
      </c>
      <c r="Q49">
        <v>2003038</v>
      </c>
      <c r="R49">
        <v>21052824</v>
      </c>
      <c r="U49" t="s">
        <v>990</v>
      </c>
      <c r="V49" t="s">
        <v>193</v>
      </c>
      <c r="W49">
        <v>25</v>
      </c>
      <c r="Y49" t="s">
        <v>8540</v>
      </c>
      <c r="AE49" t="s">
        <v>8541</v>
      </c>
      <c r="AF49" t="s">
        <v>4714</v>
      </c>
      <c r="AG49" t="s">
        <v>8538</v>
      </c>
      <c r="AI49" t="s">
        <v>6955</v>
      </c>
      <c r="AJ49" s="408" t="str">
        <f t="shared" si="0"/>
        <v>833202</v>
      </c>
    </row>
    <row r="50" spans="1:36" x14ac:dyDescent="0.25">
      <c r="A50" t="s">
        <v>5999</v>
      </c>
      <c r="B50" t="s">
        <v>8538</v>
      </c>
      <c r="C50" t="s">
        <v>6617</v>
      </c>
      <c r="D50" t="s">
        <v>8305</v>
      </c>
      <c r="E50" t="s">
        <v>233</v>
      </c>
      <c r="F50">
        <v>1</v>
      </c>
      <c r="G50" t="s">
        <v>193</v>
      </c>
      <c r="H50" t="s">
        <v>194</v>
      </c>
      <c r="I50" t="s">
        <v>8314</v>
      </c>
      <c r="J50" t="s">
        <v>196</v>
      </c>
      <c r="K50">
        <v>18</v>
      </c>
      <c r="L50" t="s">
        <v>8542</v>
      </c>
      <c r="M50" t="s">
        <v>6266</v>
      </c>
      <c r="N50" t="s">
        <v>8308</v>
      </c>
      <c r="O50" t="s">
        <v>8309</v>
      </c>
      <c r="P50" t="s">
        <v>8310</v>
      </c>
      <c r="Q50">
        <v>2003054</v>
      </c>
      <c r="R50">
        <v>21052843</v>
      </c>
      <c r="U50" t="s">
        <v>990</v>
      </c>
      <c r="V50" t="s">
        <v>193</v>
      </c>
      <c r="W50">
        <v>25</v>
      </c>
      <c r="Y50" t="s">
        <v>8540</v>
      </c>
      <c r="AE50" t="s">
        <v>8541</v>
      </c>
      <c r="AF50" t="s">
        <v>4714</v>
      </c>
      <c r="AG50" t="s">
        <v>8538</v>
      </c>
      <c r="AI50" t="s">
        <v>6955</v>
      </c>
      <c r="AJ50" s="408" t="str">
        <f t="shared" si="0"/>
        <v>833202</v>
      </c>
    </row>
    <row r="51" spans="1:36" x14ac:dyDescent="0.25">
      <c r="A51" t="s">
        <v>5999</v>
      </c>
      <c r="B51" t="s">
        <v>8538</v>
      </c>
      <c r="C51" t="s">
        <v>6617</v>
      </c>
      <c r="D51" t="s">
        <v>8305</v>
      </c>
      <c r="E51" t="s">
        <v>233</v>
      </c>
      <c r="F51">
        <v>1</v>
      </c>
      <c r="G51" t="s">
        <v>193</v>
      </c>
      <c r="H51" t="s">
        <v>194</v>
      </c>
      <c r="I51" t="s">
        <v>8314</v>
      </c>
      <c r="J51" t="s">
        <v>196</v>
      </c>
      <c r="K51">
        <v>18</v>
      </c>
      <c r="L51" t="s">
        <v>8543</v>
      </c>
      <c r="M51" t="s">
        <v>6266</v>
      </c>
      <c r="N51" t="s">
        <v>8308</v>
      </c>
      <c r="O51" t="s">
        <v>8309</v>
      </c>
      <c r="P51" t="s">
        <v>8310</v>
      </c>
      <c r="Q51">
        <v>2003070</v>
      </c>
      <c r="R51">
        <v>21052863</v>
      </c>
      <c r="U51" t="s">
        <v>990</v>
      </c>
      <c r="V51" t="s">
        <v>193</v>
      </c>
      <c r="W51">
        <v>25</v>
      </c>
      <c r="Y51" t="s">
        <v>8540</v>
      </c>
      <c r="AE51" t="s">
        <v>8541</v>
      </c>
      <c r="AF51" t="s">
        <v>4714</v>
      </c>
      <c r="AG51" t="s">
        <v>8538</v>
      </c>
      <c r="AI51" t="s">
        <v>6955</v>
      </c>
      <c r="AJ51" s="408" t="str">
        <f t="shared" si="0"/>
        <v>833202</v>
      </c>
    </row>
    <row r="52" spans="1:36" x14ac:dyDescent="0.25">
      <c r="A52" t="s">
        <v>5999</v>
      </c>
      <c r="B52" t="s">
        <v>8538</v>
      </c>
      <c r="C52" t="s">
        <v>6617</v>
      </c>
      <c r="D52" t="s">
        <v>8305</v>
      </c>
      <c r="E52" t="s">
        <v>233</v>
      </c>
      <c r="F52">
        <v>1</v>
      </c>
      <c r="G52" t="s">
        <v>193</v>
      </c>
      <c r="H52" t="s">
        <v>194</v>
      </c>
      <c r="I52" t="s">
        <v>8314</v>
      </c>
      <c r="J52" t="s">
        <v>196</v>
      </c>
      <c r="K52">
        <v>18</v>
      </c>
      <c r="L52" t="s">
        <v>8544</v>
      </c>
      <c r="M52" t="s">
        <v>6266</v>
      </c>
      <c r="N52" t="s">
        <v>8308</v>
      </c>
      <c r="O52" t="s">
        <v>8309</v>
      </c>
      <c r="P52" t="s">
        <v>8310</v>
      </c>
      <c r="Q52">
        <v>2003086</v>
      </c>
      <c r="R52">
        <v>21052881</v>
      </c>
      <c r="U52" t="s">
        <v>990</v>
      </c>
      <c r="V52" t="s">
        <v>193</v>
      </c>
      <c r="W52">
        <v>25</v>
      </c>
      <c r="Y52" t="s">
        <v>8540</v>
      </c>
      <c r="AE52" t="s">
        <v>8541</v>
      </c>
      <c r="AF52" t="s">
        <v>4714</v>
      </c>
      <c r="AG52" t="s">
        <v>8538</v>
      </c>
      <c r="AI52" t="s">
        <v>6955</v>
      </c>
      <c r="AJ52" s="408" t="str">
        <f t="shared" si="0"/>
        <v>833202</v>
      </c>
    </row>
    <row r="53" spans="1:36" x14ac:dyDescent="0.25">
      <c r="A53" t="s">
        <v>5999</v>
      </c>
      <c r="B53" t="s">
        <v>8538</v>
      </c>
      <c r="C53" t="s">
        <v>6617</v>
      </c>
      <c r="D53" t="s">
        <v>8305</v>
      </c>
      <c r="E53" t="s">
        <v>233</v>
      </c>
      <c r="F53">
        <v>1</v>
      </c>
      <c r="G53" t="s">
        <v>193</v>
      </c>
      <c r="H53" t="s">
        <v>194</v>
      </c>
      <c r="I53" t="s">
        <v>8314</v>
      </c>
      <c r="J53" t="s">
        <v>196</v>
      </c>
      <c r="K53">
        <v>18</v>
      </c>
      <c r="L53" t="s">
        <v>8545</v>
      </c>
      <c r="M53" t="s">
        <v>6266</v>
      </c>
      <c r="N53" t="s">
        <v>8308</v>
      </c>
      <c r="O53" t="s">
        <v>8309</v>
      </c>
      <c r="P53" t="s">
        <v>8310</v>
      </c>
      <c r="Q53">
        <v>2003102</v>
      </c>
      <c r="R53">
        <v>21052908</v>
      </c>
      <c r="U53" t="s">
        <v>990</v>
      </c>
      <c r="V53" t="s">
        <v>193</v>
      </c>
      <c r="W53">
        <v>25</v>
      </c>
      <c r="Y53" t="s">
        <v>8540</v>
      </c>
      <c r="AE53" t="s">
        <v>8541</v>
      </c>
      <c r="AF53" t="s">
        <v>4714</v>
      </c>
      <c r="AG53" t="s">
        <v>8538</v>
      </c>
      <c r="AI53" t="s">
        <v>6955</v>
      </c>
      <c r="AJ53" s="408" t="str">
        <f t="shared" si="0"/>
        <v>833202</v>
      </c>
    </row>
    <row r="54" spans="1:36" x14ac:dyDescent="0.25">
      <c r="A54" t="s">
        <v>5589</v>
      </c>
      <c r="B54" t="s">
        <v>7010</v>
      </c>
      <c r="C54" t="s">
        <v>6617</v>
      </c>
      <c r="D54" t="s">
        <v>8320</v>
      </c>
      <c r="E54" t="s">
        <v>252</v>
      </c>
      <c r="F54">
        <v>1</v>
      </c>
      <c r="G54" t="s">
        <v>193</v>
      </c>
      <c r="H54" t="s">
        <v>194</v>
      </c>
      <c r="I54" t="s">
        <v>8321</v>
      </c>
      <c r="J54" t="s">
        <v>210</v>
      </c>
      <c r="K54">
        <v>18</v>
      </c>
      <c r="L54" t="s">
        <v>8546</v>
      </c>
      <c r="M54" t="s">
        <v>6275</v>
      </c>
      <c r="N54" t="s">
        <v>8389</v>
      </c>
      <c r="O54" t="s">
        <v>8306</v>
      </c>
      <c r="P54" t="s">
        <v>8547</v>
      </c>
      <c r="Q54">
        <v>2014247</v>
      </c>
      <c r="R54">
        <v>21288605</v>
      </c>
      <c r="T54">
        <v>1863</v>
      </c>
      <c r="U54" t="s">
        <v>990</v>
      </c>
      <c r="V54" t="s">
        <v>194</v>
      </c>
      <c r="W54">
        <v>1</v>
      </c>
      <c r="Y54" t="s">
        <v>8548</v>
      </c>
      <c r="AF54" t="s">
        <v>4714</v>
      </c>
      <c r="AI54" t="s">
        <v>6955</v>
      </c>
      <c r="AJ54" s="408" t="str">
        <f t="shared" si="0"/>
        <v>833202</v>
      </c>
    </row>
    <row r="55" spans="1:36" x14ac:dyDescent="0.25">
      <c r="A55" t="s">
        <v>5589</v>
      </c>
      <c r="B55" t="s">
        <v>7010</v>
      </c>
      <c r="C55" t="s">
        <v>6617</v>
      </c>
      <c r="D55" t="s">
        <v>8320</v>
      </c>
      <c r="E55" t="s">
        <v>252</v>
      </c>
      <c r="F55">
        <v>1</v>
      </c>
      <c r="G55" t="s">
        <v>193</v>
      </c>
      <c r="H55" t="s">
        <v>194</v>
      </c>
      <c r="I55" t="s">
        <v>8321</v>
      </c>
      <c r="J55" t="s">
        <v>210</v>
      </c>
      <c r="K55">
        <v>18</v>
      </c>
      <c r="L55" t="s">
        <v>8549</v>
      </c>
      <c r="M55" t="s">
        <v>6269</v>
      </c>
      <c r="N55" t="s">
        <v>8389</v>
      </c>
      <c r="O55" t="s">
        <v>8306</v>
      </c>
      <c r="P55" t="s">
        <v>8547</v>
      </c>
      <c r="Q55">
        <v>2014274</v>
      </c>
      <c r="R55">
        <v>21288633</v>
      </c>
      <c r="T55">
        <v>1863</v>
      </c>
      <c r="U55" t="s">
        <v>990</v>
      </c>
      <c r="V55" t="s">
        <v>194</v>
      </c>
      <c r="W55">
        <v>1</v>
      </c>
      <c r="Y55" t="s">
        <v>8548</v>
      </c>
      <c r="AF55" t="s">
        <v>4714</v>
      </c>
      <c r="AI55" t="s">
        <v>6955</v>
      </c>
      <c r="AJ55" s="408" t="str">
        <f t="shared" si="0"/>
        <v>833202</v>
      </c>
    </row>
    <row r="56" spans="1:36" x14ac:dyDescent="0.25">
      <c r="A56" t="s">
        <v>5589</v>
      </c>
      <c r="B56" t="s">
        <v>7010</v>
      </c>
      <c r="C56" t="s">
        <v>6617</v>
      </c>
      <c r="D56" t="s">
        <v>8320</v>
      </c>
      <c r="E56" t="s">
        <v>252</v>
      </c>
      <c r="F56">
        <v>1</v>
      </c>
      <c r="G56" t="s">
        <v>193</v>
      </c>
      <c r="H56" t="s">
        <v>194</v>
      </c>
      <c r="I56" t="s">
        <v>8321</v>
      </c>
      <c r="J56" t="s">
        <v>210</v>
      </c>
      <c r="K56">
        <v>18</v>
      </c>
      <c r="L56" t="s">
        <v>8550</v>
      </c>
      <c r="M56" t="s">
        <v>6249</v>
      </c>
      <c r="N56" t="s">
        <v>8389</v>
      </c>
      <c r="O56" t="s">
        <v>8306</v>
      </c>
      <c r="P56" t="s">
        <v>8547</v>
      </c>
      <c r="Q56">
        <v>2014290</v>
      </c>
      <c r="R56">
        <v>21288650</v>
      </c>
      <c r="T56">
        <v>1863</v>
      </c>
      <c r="U56" t="s">
        <v>990</v>
      </c>
      <c r="V56" t="s">
        <v>194</v>
      </c>
      <c r="W56">
        <v>1</v>
      </c>
      <c r="Y56" t="s">
        <v>8548</v>
      </c>
      <c r="AF56" t="s">
        <v>4714</v>
      </c>
      <c r="AI56" t="s">
        <v>6955</v>
      </c>
      <c r="AJ56" s="408" t="str">
        <f t="shared" si="0"/>
        <v>833202</v>
      </c>
    </row>
    <row r="57" spans="1:36" x14ac:dyDescent="0.25">
      <c r="A57" t="s">
        <v>5589</v>
      </c>
      <c r="B57" t="s">
        <v>7010</v>
      </c>
      <c r="C57" t="s">
        <v>6617</v>
      </c>
      <c r="D57" t="s">
        <v>8320</v>
      </c>
      <c r="E57" t="s">
        <v>252</v>
      </c>
      <c r="F57">
        <v>1</v>
      </c>
      <c r="G57" t="s">
        <v>193</v>
      </c>
      <c r="H57" t="s">
        <v>194</v>
      </c>
      <c r="I57" t="s">
        <v>8321</v>
      </c>
      <c r="J57" t="s">
        <v>210</v>
      </c>
      <c r="K57">
        <v>18</v>
      </c>
      <c r="L57" t="s">
        <v>8551</v>
      </c>
      <c r="M57" t="s">
        <v>6266</v>
      </c>
      <c r="N57" t="s">
        <v>8389</v>
      </c>
      <c r="O57" t="s">
        <v>8306</v>
      </c>
      <c r="P57" t="s">
        <v>8547</v>
      </c>
      <c r="Q57">
        <v>2014292</v>
      </c>
      <c r="R57">
        <v>21288652</v>
      </c>
      <c r="T57">
        <v>1863</v>
      </c>
      <c r="U57" t="s">
        <v>990</v>
      </c>
      <c r="V57" t="s">
        <v>194</v>
      </c>
      <c r="W57">
        <v>1</v>
      </c>
      <c r="Y57" t="s">
        <v>8548</v>
      </c>
      <c r="AF57" t="s">
        <v>4714</v>
      </c>
      <c r="AI57" t="s">
        <v>6955</v>
      </c>
      <c r="AJ57" s="408" t="str">
        <f t="shared" si="0"/>
        <v>833202</v>
      </c>
    </row>
    <row r="58" spans="1:36" x14ac:dyDescent="0.25">
      <c r="A58" t="s">
        <v>5979</v>
      </c>
      <c r="B58" t="s">
        <v>8552</v>
      </c>
      <c r="C58" t="s">
        <v>886</v>
      </c>
      <c r="D58" t="s">
        <v>8305</v>
      </c>
      <c r="E58" t="s">
        <v>233</v>
      </c>
      <c r="F58">
        <v>1</v>
      </c>
      <c r="G58" t="s">
        <v>193</v>
      </c>
      <c r="H58" t="s">
        <v>194</v>
      </c>
      <c r="I58" t="s">
        <v>8306</v>
      </c>
      <c r="J58" t="s">
        <v>196</v>
      </c>
      <c r="K58">
        <v>18</v>
      </c>
      <c r="L58" t="s">
        <v>8553</v>
      </c>
      <c r="M58" t="s">
        <v>6266</v>
      </c>
      <c r="N58" t="s">
        <v>8308</v>
      </c>
      <c r="O58" t="s">
        <v>8309</v>
      </c>
      <c r="P58" t="s">
        <v>8310</v>
      </c>
      <c r="Q58">
        <v>2003198</v>
      </c>
      <c r="R58">
        <v>21053117</v>
      </c>
      <c r="U58" t="s">
        <v>887</v>
      </c>
      <c r="V58" t="s">
        <v>193</v>
      </c>
      <c r="W58">
        <v>25</v>
      </c>
      <c r="Y58" t="s">
        <v>8554</v>
      </c>
      <c r="AE58" t="s">
        <v>8555</v>
      </c>
      <c r="AF58" t="s">
        <v>4714</v>
      </c>
      <c r="AG58" t="s">
        <v>8552</v>
      </c>
      <c r="AI58" t="s">
        <v>6955</v>
      </c>
      <c r="AJ58" s="408" t="str">
        <f t="shared" si="0"/>
        <v>834401</v>
      </c>
    </row>
    <row r="59" spans="1:36" x14ac:dyDescent="0.25">
      <c r="A59" t="s">
        <v>1040</v>
      </c>
      <c r="B59" t="s">
        <v>2015</v>
      </c>
      <c r="C59" t="s">
        <v>870</v>
      </c>
      <c r="D59" t="s">
        <v>8305</v>
      </c>
      <c r="E59" t="s">
        <v>233</v>
      </c>
      <c r="F59">
        <v>1</v>
      </c>
      <c r="G59" t="s">
        <v>193</v>
      </c>
      <c r="H59" t="s">
        <v>194</v>
      </c>
      <c r="I59" t="s">
        <v>8314</v>
      </c>
      <c r="J59" t="s">
        <v>8556</v>
      </c>
      <c r="K59">
        <v>18</v>
      </c>
      <c r="L59" t="s">
        <v>8557</v>
      </c>
      <c r="M59" t="s">
        <v>6266</v>
      </c>
      <c r="N59" t="s">
        <v>8308</v>
      </c>
      <c r="O59" t="s">
        <v>8309</v>
      </c>
      <c r="P59" t="s">
        <v>8310</v>
      </c>
      <c r="Q59">
        <v>2002776</v>
      </c>
      <c r="R59">
        <v>21052078</v>
      </c>
      <c r="T59">
        <v>1816.1863000000001</v>
      </c>
      <c r="U59" t="s">
        <v>872</v>
      </c>
      <c r="V59" t="s">
        <v>194</v>
      </c>
      <c r="W59">
        <v>2</v>
      </c>
      <c r="Y59" t="s">
        <v>8558</v>
      </c>
      <c r="AE59" t="s">
        <v>8559</v>
      </c>
      <c r="AF59" t="s">
        <v>4714</v>
      </c>
      <c r="AG59" t="s">
        <v>2015</v>
      </c>
      <c r="AI59" t="s">
        <v>6955</v>
      </c>
      <c r="AJ59" s="408" t="str">
        <f t="shared" si="0"/>
        <v>832202</v>
      </c>
    </row>
    <row r="60" spans="1:36" x14ac:dyDescent="0.25">
      <c r="A60" t="s">
        <v>8560</v>
      </c>
      <c r="B60" t="s">
        <v>8106</v>
      </c>
      <c r="C60" t="s">
        <v>12</v>
      </c>
      <c r="D60" t="s">
        <v>8381</v>
      </c>
      <c r="E60" t="s">
        <v>233</v>
      </c>
      <c r="F60">
        <v>1</v>
      </c>
      <c r="G60" t="s">
        <v>193</v>
      </c>
      <c r="H60" t="s">
        <v>194</v>
      </c>
      <c r="I60" t="s">
        <v>8382</v>
      </c>
      <c r="J60" t="s">
        <v>196</v>
      </c>
      <c r="K60">
        <v>18</v>
      </c>
      <c r="L60" t="s">
        <v>8561</v>
      </c>
      <c r="M60" t="s">
        <v>6256</v>
      </c>
      <c r="N60" t="s">
        <v>8417</v>
      </c>
      <c r="O60" t="s">
        <v>8418</v>
      </c>
      <c r="P60" t="s">
        <v>8419</v>
      </c>
      <c r="Q60">
        <v>1967093</v>
      </c>
      <c r="R60">
        <v>20581716</v>
      </c>
      <c r="U60" t="s">
        <v>220</v>
      </c>
      <c r="V60" t="s">
        <v>193</v>
      </c>
      <c r="W60">
        <v>25</v>
      </c>
      <c r="Y60" t="s">
        <v>8562</v>
      </c>
      <c r="AE60" t="s">
        <v>8563</v>
      </c>
      <c r="AF60" t="s">
        <v>4714</v>
      </c>
      <c r="AG60" t="s">
        <v>8106</v>
      </c>
      <c r="AI60" t="s">
        <v>6955</v>
      </c>
      <c r="AJ60" s="408" t="str">
        <f t="shared" si="0"/>
        <v>132301</v>
      </c>
    </row>
    <row r="61" spans="1:36" x14ac:dyDescent="0.25">
      <c r="A61" t="s">
        <v>5372</v>
      </c>
      <c r="B61" t="s">
        <v>8564</v>
      </c>
      <c r="C61" t="s">
        <v>12</v>
      </c>
      <c r="D61" t="s">
        <v>8344</v>
      </c>
      <c r="E61" t="s">
        <v>233</v>
      </c>
      <c r="F61">
        <v>1</v>
      </c>
      <c r="G61" t="s">
        <v>193</v>
      </c>
      <c r="H61" t="s">
        <v>194</v>
      </c>
      <c r="I61" t="s">
        <v>8345</v>
      </c>
      <c r="J61" t="s">
        <v>196</v>
      </c>
      <c r="K61">
        <v>18</v>
      </c>
      <c r="L61" t="s">
        <v>8565</v>
      </c>
      <c r="M61" t="s">
        <v>6256</v>
      </c>
      <c r="N61" t="s">
        <v>8357</v>
      </c>
      <c r="O61" t="s">
        <v>8348</v>
      </c>
      <c r="P61" t="s">
        <v>8325</v>
      </c>
      <c r="Q61">
        <v>1992260</v>
      </c>
      <c r="R61">
        <v>20829563</v>
      </c>
      <c r="U61" t="s">
        <v>220</v>
      </c>
      <c r="V61" t="s">
        <v>193</v>
      </c>
      <c r="W61">
        <v>25</v>
      </c>
      <c r="Y61" t="s">
        <v>8566</v>
      </c>
      <c r="AE61" t="s">
        <v>8567</v>
      </c>
      <c r="AF61" t="s">
        <v>4714</v>
      </c>
      <c r="AG61" t="s">
        <v>8564</v>
      </c>
      <c r="AI61" t="s">
        <v>6955</v>
      </c>
      <c r="AJ61" s="408" t="str">
        <f t="shared" si="0"/>
        <v>132301</v>
      </c>
    </row>
    <row r="62" spans="1:36" x14ac:dyDescent="0.25">
      <c r="A62" t="s">
        <v>5372</v>
      </c>
      <c r="B62" t="s">
        <v>8568</v>
      </c>
      <c r="C62" t="s">
        <v>12</v>
      </c>
      <c r="D62" t="s">
        <v>8344</v>
      </c>
      <c r="E62" t="s">
        <v>233</v>
      </c>
      <c r="F62">
        <v>1</v>
      </c>
      <c r="G62" t="s">
        <v>193</v>
      </c>
      <c r="H62" t="s">
        <v>194</v>
      </c>
      <c r="I62" t="s">
        <v>8345</v>
      </c>
      <c r="J62" t="s">
        <v>196</v>
      </c>
      <c r="K62">
        <v>18</v>
      </c>
      <c r="L62" t="s">
        <v>8569</v>
      </c>
      <c r="M62" t="s">
        <v>6256</v>
      </c>
      <c r="N62" t="s">
        <v>8347</v>
      </c>
      <c r="O62" t="s">
        <v>8348</v>
      </c>
      <c r="P62" t="s">
        <v>8325</v>
      </c>
      <c r="Q62">
        <v>1992901</v>
      </c>
      <c r="R62">
        <v>20832087</v>
      </c>
      <c r="U62" t="s">
        <v>220</v>
      </c>
      <c r="V62" t="s">
        <v>193</v>
      </c>
      <c r="W62">
        <v>25</v>
      </c>
      <c r="Y62" t="s">
        <v>8570</v>
      </c>
      <c r="AE62" t="s">
        <v>8571</v>
      </c>
      <c r="AF62" t="s">
        <v>4714</v>
      </c>
      <c r="AG62" t="s">
        <v>8568</v>
      </c>
      <c r="AI62" t="s">
        <v>6955</v>
      </c>
      <c r="AJ62" s="408" t="str">
        <f t="shared" si="0"/>
        <v>132301</v>
      </c>
    </row>
    <row r="63" spans="1:36" x14ac:dyDescent="0.25">
      <c r="A63" t="s">
        <v>8572</v>
      </c>
      <c r="B63" t="s">
        <v>8573</v>
      </c>
      <c r="C63" t="s">
        <v>12</v>
      </c>
      <c r="D63" t="s">
        <v>8320</v>
      </c>
      <c r="E63" t="s">
        <v>233</v>
      </c>
      <c r="F63">
        <v>1</v>
      </c>
      <c r="G63" t="s">
        <v>193</v>
      </c>
      <c r="H63" t="s">
        <v>194</v>
      </c>
      <c r="I63" t="s">
        <v>8330</v>
      </c>
      <c r="J63" t="s">
        <v>196</v>
      </c>
      <c r="K63">
        <v>18</v>
      </c>
      <c r="L63" t="s">
        <v>8574</v>
      </c>
      <c r="M63" t="s">
        <v>6256</v>
      </c>
      <c r="N63" t="s">
        <v>8332</v>
      </c>
      <c r="O63" t="s">
        <v>8306</v>
      </c>
      <c r="P63" t="s">
        <v>8333</v>
      </c>
      <c r="Q63">
        <v>2014180</v>
      </c>
      <c r="R63">
        <v>21287134</v>
      </c>
      <c r="U63" t="s">
        <v>220</v>
      </c>
      <c r="V63" t="s">
        <v>193</v>
      </c>
      <c r="W63">
        <v>25</v>
      </c>
      <c r="Y63" t="s">
        <v>8575</v>
      </c>
      <c r="AE63" t="s">
        <v>8576</v>
      </c>
      <c r="AF63" t="s">
        <v>4714</v>
      </c>
      <c r="AG63" t="s">
        <v>8573</v>
      </c>
      <c r="AI63" t="s">
        <v>6955</v>
      </c>
      <c r="AJ63" s="408" t="str">
        <f t="shared" si="0"/>
        <v>132301</v>
      </c>
    </row>
    <row r="64" spans="1:36" x14ac:dyDescent="0.25">
      <c r="A64" t="s">
        <v>8572</v>
      </c>
      <c r="B64" t="s">
        <v>8577</v>
      </c>
      <c r="C64" t="s">
        <v>12</v>
      </c>
      <c r="D64" t="s">
        <v>8320</v>
      </c>
      <c r="E64" t="s">
        <v>233</v>
      </c>
      <c r="F64">
        <v>1</v>
      </c>
      <c r="G64" t="s">
        <v>193</v>
      </c>
      <c r="H64" t="s">
        <v>194</v>
      </c>
      <c r="I64" t="s">
        <v>8330</v>
      </c>
      <c r="J64" t="s">
        <v>196</v>
      </c>
      <c r="K64">
        <v>18</v>
      </c>
      <c r="L64" t="s">
        <v>8578</v>
      </c>
      <c r="M64" t="s">
        <v>6256</v>
      </c>
      <c r="N64" t="s">
        <v>8332</v>
      </c>
      <c r="O64" t="s">
        <v>8306</v>
      </c>
      <c r="P64" t="s">
        <v>8333</v>
      </c>
      <c r="Q64">
        <v>2014196</v>
      </c>
      <c r="R64">
        <v>21287151</v>
      </c>
      <c r="U64" t="s">
        <v>220</v>
      </c>
      <c r="V64" t="s">
        <v>193</v>
      </c>
      <c r="W64">
        <v>25</v>
      </c>
      <c r="Y64" t="s">
        <v>8579</v>
      </c>
      <c r="AE64" t="s">
        <v>8580</v>
      </c>
      <c r="AF64" t="s">
        <v>4714</v>
      </c>
      <c r="AG64" t="s">
        <v>8577</v>
      </c>
      <c r="AI64" t="s">
        <v>6955</v>
      </c>
      <c r="AJ64" s="408" t="str">
        <f t="shared" si="0"/>
        <v>132301</v>
      </c>
    </row>
    <row r="65" spans="1:36" x14ac:dyDescent="0.25">
      <c r="A65" t="s">
        <v>8581</v>
      </c>
      <c r="B65" t="s">
        <v>8582</v>
      </c>
      <c r="C65" t="s">
        <v>8583</v>
      </c>
      <c r="D65" t="s">
        <v>8305</v>
      </c>
      <c r="E65" t="s">
        <v>233</v>
      </c>
      <c r="F65">
        <v>1</v>
      </c>
      <c r="G65" t="s">
        <v>193</v>
      </c>
      <c r="H65" t="s">
        <v>194</v>
      </c>
      <c r="I65" t="s">
        <v>8306</v>
      </c>
      <c r="J65" t="s">
        <v>8584</v>
      </c>
      <c r="K65">
        <v>18</v>
      </c>
      <c r="L65" t="s">
        <v>8585</v>
      </c>
      <c r="M65" t="s">
        <v>6312</v>
      </c>
      <c r="N65" t="s">
        <v>8308</v>
      </c>
      <c r="O65" t="s">
        <v>8309</v>
      </c>
      <c r="P65" t="s">
        <v>8310</v>
      </c>
      <c r="Q65">
        <v>2002446</v>
      </c>
      <c r="R65">
        <v>21051228</v>
      </c>
      <c r="T65" t="s">
        <v>8586</v>
      </c>
      <c r="U65" t="s">
        <v>8587</v>
      </c>
      <c r="V65" t="s">
        <v>194</v>
      </c>
      <c r="W65">
        <v>11</v>
      </c>
      <c r="Y65" t="s">
        <v>8588</v>
      </c>
      <c r="AF65" t="s">
        <v>4714</v>
      </c>
      <c r="AG65" t="s">
        <v>8582</v>
      </c>
      <c r="AI65" t="s">
        <v>6955</v>
      </c>
      <c r="AJ65" s="408" t="str">
        <f t="shared" si="0"/>
        <v>134101</v>
      </c>
    </row>
    <row r="66" spans="1:36" hidden="1" x14ac:dyDescent="0.25">
      <c r="A66" t="s">
        <v>8589</v>
      </c>
      <c r="B66" t="s">
        <v>8590</v>
      </c>
      <c r="C66" t="s">
        <v>227</v>
      </c>
      <c r="D66" t="s">
        <v>8344</v>
      </c>
      <c r="E66" t="s">
        <v>233</v>
      </c>
      <c r="F66">
        <v>1</v>
      </c>
      <c r="G66" s="386" t="s">
        <v>194</v>
      </c>
      <c r="H66" s="24" t="s">
        <v>193</v>
      </c>
      <c r="I66" t="s">
        <v>8345</v>
      </c>
      <c r="J66" t="s">
        <v>196</v>
      </c>
      <c r="K66">
        <v>18</v>
      </c>
      <c r="L66" t="s">
        <v>8591</v>
      </c>
      <c r="M66" t="s">
        <v>6277</v>
      </c>
      <c r="N66" t="s">
        <v>8347</v>
      </c>
      <c r="O66" t="s">
        <v>8348</v>
      </c>
      <c r="P66" t="s">
        <v>8325</v>
      </c>
      <c r="Q66">
        <v>1992600</v>
      </c>
      <c r="R66">
        <v>20830847</v>
      </c>
      <c r="U66" t="s">
        <v>229</v>
      </c>
      <c r="V66" t="s">
        <v>193</v>
      </c>
      <c r="W66">
        <v>25</v>
      </c>
      <c r="X66">
        <v>2101310</v>
      </c>
      <c r="Y66" t="s">
        <v>8592</v>
      </c>
      <c r="AE66" t="s">
        <v>8593</v>
      </c>
      <c r="AF66" t="s">
        <v>4714</v>
      </c>
      <c r="AG66" t="s">
        <v>8590</v>
      </c>
      <c r="AI66" t="s">
        <v>6955</v>
      </c>
      <c r="AJ66" s="408" t="str">
        <f t="shared" si="0"/>
        <v>132401</v>
      </c>
    </row>
    <row r="67" spans="1:36" x14ac:dyDescent="0.25">
      <c r="A67" t="s">
        <v>8312</v>
      </c>
      <c r="B67" t="s">
        <v>8594</v>
      </c>
      <c r="C67" t="s">
        <v>129</v>
      </c>
      <c r="D67" t="s">
        <v>8344</v>
      </c>
      <c r="E67" t="s">
        <v>233</v>
      </c>
      <c r="F67">
        <v>1</v>
      </c>
      <c r="G67" t="s">
        <v>193</v>
      </c>
      <c r="H67" t="s">
        <v>194</v>
      </c>
      <c r="I67" t="s">
        <v>8345</v>
      </c>
      <c r="J67" t="s">
        <v>196</v>
      </c>
      <c r="K67">
        <v>18</v>
      </c>
      <c r="L67" t="s">
        <v>8595</v>
      </c>
      <c r="M67" t="s">
        <v>6261</v>
      </c>
      <c r="N67" t="s">
        <v>8357</v>
      </c>
      <c r="O67" t="s">
        <v>8348</v>
      </c>
      <c r="P67" t="s">
        <v>8325</v>
      </c>
      <c r="Q67">
        <v>1992370</v>
      </c>
      <c r="R67">
        <v>20829890</v>
      </c>
      <c r="U67" t="s">
        <v>203</v>
      </c>
      <c r="V67" t="s">
        <v>193</v>
      </c>
      <c r="W67">
        <v>25</v>
      </c>
      <c r="X67" t="s">
        <v>8596</v>
      </c>
      <c r="Y67" t="s">
        <v>8597</v>
      </c>
      <c r="AE67" t="s">
        <v>8598</v>
      </c>
      <c r="AF67" t="s">
        <v>4714</v>
      </c>
      <c r="AG67" t="s">
        <v>8594</v>
      </c>
      <c r="AI67" t="s">
        <v>6955</v>
      </c>
      <c r="AJ67" s="408" t="str">
        <f t="shared" ref="AJ67:AJ130" si="1">MID(U67,8,6)</f>
        <v>121904</v>
      </c>
    </row>
    <row r="68" spans="1:36" x14ac:dyDescent="0.25">
      <c r="A68" t="s">
        <v>5810</v>
      </c>
      <c r="B68" t="s">
        <v>8599</v>
      </c>
      <c r="C68" t="s">
        <v>5906</v>
      </c>
      <c r="D68" t="s">
        <v>8344</v>
      </c>
      <c r="E68" t="s">
        <v>233</v>
      </c>
      <c r="F68">
        <v>1</v>
      </c>
      <c r="G68" t="s">
        <v>193</v>
      </c>
      <c r="H68" t="s">
        <v>194</v>
      </c>
      <c r="I68" t="s">
        <v>8306</v>
      </c>
      <c r="J68" t="s">
        <v>196</v>
      </c>
      <c r="K68">
        <v>18</v>
      </c>
      <c r="L68" t="s">
        <v>8600</v>
      </c>
      <c r="M68" t="s">
        <v>6261</v>
      </c>
      <c r="N68" t="s">
        <v>8347</v>
      </c>
      <c r="O68" t="s">
        <v>8348</v>
      </c>
      <c r="P68" t="s">
        <v>8325</v>
      </c>
      <c r="Q68">
        <v>1992725</v>
      </c>
      <c r="R68">
        <v>20831313</v>
      </c>
      <c r="U68" t="s">
        <v>5908</v>
      </c>
      <c r="V68" t="s">
        <v>193</v>
      </c>
      <c r="W68">
        <v>25</v>
      </c>
      <c r="Y68" t="s">
        <v>8601</v>
      </c>
      <c r="AE68" t="s">
        <v>8602</v>
      </c>
      <c r="AF68" t="s">
        <v>4714</v>
      </c>
      <c r="AG68" t="s">
        <v>8599</v>
      </c>
      <c r="AI68" t="s">
        <v>6955</v>
      </c>
      <c r="AJ68" s="408" t="str">
        <f t="shared" si="1"/>
        <v>133005</v>
      </c>
    </row>
    <row r="69" spans="1:36" x14ac:dyDescent="0.25">
      <c r="A69" t="s">
        <v>8603</v>
      </c>
      <c r="B69" t="s">
        <v>8604</v>
      </c>
      <c r="C69" t="s">
        <v>5353</v>
      </c>
      <c r="D69" t="s">
        <v>8381</v>
      </c>
      <c r="E69" t="s">
        <v>233</v>
      </c>
      <c r="F69">
        <v>1</v>
      </c>
      <c r="G69" t="s">
        <v>193</v>
      </c>
      <c r="H69" t="s">
        <v>194</v>
      </c>
      <c r="I69" t="s">
        <v>8382</v>
      </c>
      <c r="J69" t="s">
        <v>253</v>
      </c>
      <c r="K69">
        <v>18</v>
      </c>
      <c r="L69" t="s">
        <v>8605</v>
      </c>
      <c r="M69" t="s">
        <v>6288</v>
      </c>
      <c r="N69" t="s">
        <v>8417</v>
      </c>
      <c r="O69" t="s">
        <v>8418</v>
      </c>
      <c r="P69" t="s">
        <v>8390</v>
      </c>
      <c r="Q69">
        <v>1966882</v>
      </c>
      <c r="R69">
        <v>20395323</v>
      </c>
      <c r="T69">
        <v>1811</v>
      </c>
      <c r="U69" t="s">
        <v>2084</v>
      </c>
      <c r="V69" t="s">
        <v>194</v>
      </c>
      <c r="W69">
        <v>1</v>
      </c>
      <c r="Y69" t="s">
        <v>8606</v>
      </c>
      <c r="AE69" t="s">
        <v>8607</v>
      </c>
      <c r="AF69" t="s">
        <v>4714</v>
      </c>
      <c r="AG69" t="s">
        <v>8604</v>
      </c>
      <c r="AI69" t="s">
        <v>6955</v>
      </c>
      <c r="AJ69" s="408" t="str">
        <f t="shared" si="1"/>
        <v>524302</v>
      </c>
    </row>
    <row r="70" spans="1:36" x14ac:dyDescent="0.25">
      <c r="A70" t="s">
        <v>2093</v>
      </c>
      <c r="B70" t="s">
        <v>2094</v>
      </c>
      <c r="C70" t="s">
        <v>25</v>
      </c>
      <c r="D70" t="s">
        <v>8344</v>
      </c>
      <c r="E70" t="s">
        <v>233</v>
      </c>
      <c r="F70">
        <v>1</v>
      </c>
      <c r="G70" t="s">
        <v>193</v>
      </c>
      <c r="H70" t="s">
        <v>194</v>
      </c>
      <c r="I70" t="s">
        <v>8345</v>
      </c>
      <c r="J70" t="s">
        <v>210</v>
      </c>
      <c r="K70">
        <v>18</v>
      </c>
      <c r="L70" t="s">
        <v>8608</v>
      </c>
      <c r="M70" t="s">
        <v>6306</v>
      </c>
      <c r="N70" t="s">
        <v>8347</v>
      </c>
      <c r="O70" t="s">
        <v>8348</v>
      </c>
      <c r="P70" t="s">
        <v>8345</v>
      </c>
      <c r="Q70">
        <v>1993292</v>
      </c>
      <c r="R70">
        <v>20833154</v>
      </c>
      <c r="T70">
        <v>1863</v>
      </c>
      <c r="U70" t="s">
        <v>2095</v>
      </c>
      <c r="V70" t="s">
        <v>194</v>
      </c>
      <c r="W70">
        <v>1</v>
      </c>
      <c r="X70">
        <v>78111</v>
      </c>
      <c r="Y70" t="s">
        <v>8609</v>
      </c>
      <c r="AE70" t="s">
        <v>8610</v>
      </c>
      <c r="AF70" t="s">
        <v>4714</v>
      </c>
      <c r="AG70" t="s">
        <v>2094</v>
      </c>
      <c r="AI70" t="s">
        <v>6955</v>
      </c>
      <c r="AJ70" s="408" t="str">
        <f t="shared" si="1"/>
        <v>335201</v>
      </c>
    </row>
    <row r="71" spans="1:36" x14ac:dyDescent="0.25">
      <c r="A71" t="s">
        <v>2093</v>
      </c>
      <c r="B71" t="s">
        <v>2094</v>
      </c>
      <c r="C71" t="s">
        <v>25</v>
      </c>
      <c r="D71" t="s">
        <v>8344</v>
      </c>
      <c r="E71" t="s">
        <v>233</v>
      </c>
      <c r="F71">
        <v>1</v>
      </c>
      <c r="G71" t="s">
        <v>193</v>
      </c>
      <c r="H71" t="s">
        <v>194</v>
      </c>
      <c r="I71" t="s">
        <v>8345</v>
      </c>
      <c r="J71" t="s">
        <v>385</v>
      </c>
      <c r="K71">
        <v>18</v>
      </c>
      <c r="L71" t="s">
        <v>8611</v>
      </c>
      <c r="M71" t="s">
        <v>6306</v>
      </c>
      <c r="N71" t="s">
        <v>8347</v>
      </c>
      <c r="O71" t="s">
        <v>8348</v>
      </c>
      <c r="P71" t="s">
        <v>8345</v>
      </c>
      <c r="Q71">
        <v>1993293</v>
      </c>
      <c r="R71">
        <v>20833155</v>
      </c>
      <c r="T71">
        <v>1861</v>
      </c>
      <c r="U71" t="s">
        <v>2095</v>
      </c>
      <c r="V71" t="s">
        <v>194</v>
      </c>
      <c r="W71">
        <v>1</v>
      </c>
      <c r="X71">
        <v>78110</v>
      </c>
      <c r="Y71" t="s">
        <v>8612</v>
      </c>
      <c r="AE71" t="s">
        <v>8613</v>
      </c>
      <c r="AF71" t="s">
        <v>4714</v>
      </c>
      <c r="AG71" t="s">
        <v>2094</v>
      </c>
      <c r="AI71" t="s">
        <v>6955</v>
      </c>
      <c r="AJ71" s="408" t="str">
        <f t="shared" si="1"/>
        <v>335201</v>
      </c>
    </row>
    <row r="72" spans="1:36" x14ac:dyDescent="0.25">
      <c r="A72" t="s">
        <v>1040</v>
      </c>
      <c r="B72" t="s">
        <v>149</v>
      </c>
      <c r="C72" t="s">
        <v>727</v>
      </c>
      <c r="D72" t="s">
        <v>8305</v>
      </c>
      <c r="E72" t="s">
        <v>233</v>
      </c>
      <c r="F72">
        <v>1</v>
      </c>
      <c r="G72" t="s">
        <v>193</v>
      </c>
      <c r="H72" t="s">
        <v>194</v>
      </c>
      <c r="I72" t="s">
        <v>8314</v>
      </c>
      <c r="J72" t="s">
        <v>196</v>
      </c>
      <c r="K72">
        <v>18</v>
      </c>
      <c r="L72" t="s">
        <v>8614</v>
      </c>
      <c r="M72" t="s">
        <v>6343</v>
      </c>
      <c r="N72" t="s">
        <v>8308</v>
      </c>
      <c r="O72" t="s">
        <v>8309</v>
      </c>
      <c r="P72" t="s">
        <v>8310</v>
      </c>
      <c r="Q72">
        <v>2002583</v>
      </c>
      <c r="R72">
        <v>21051557</v>
      </c>
      <c r="U72" t="s">
        <v>728</v>
      </c>
      <c r="V72" t="s">
        <v>193</v>
      </c>
      <c r="W72">
        <v>25</v>
      </c>
      <c r="Y72" t="s">
        <v>8615</v>
      </c>
      <c r="AE72" t="s">
        <v>8410</v>
      </c>
      <c r="AF72" t="s">
        <v>4714</v>
      </c>
      <c r="AG72" t="s">
        <v>149</v>
      </c>
      <c r="AI72" t="s">
        <v>6955</v>
      </c>
      <c r="AJ72" s="408" t="str">
        <f t="shared" si="1"/>
        <v>512001</v>
      </c>
    </row>
    <row r="73" spans="1:36" x14ac:dyDescent="0.25">
      <c r="A73" t="s">
        <v>2497</v>
      </c>
      <c r="B73" t="s">
        <v>8616</v>
      </c>
      <c r="C73" t="s">
        <v>67</v>
      </c>
      <c r="D73" t="s">
        <v>8381</v>
      </c>
      <c r="E73" t="s">
        <v>233</v>
      </c>
      <c r="F73">
        <v>1</v>
      </c>
      <c r="G73" t="s">
        <v>193</v>
      </c>
      <c r="H73" t="s">
        <v>194</v>
      </c>
      <c r="I73" t="s">
        <v>8382</v>
      </c>
      <c r="J73" t="s">
        <v>253</v>
      </c>
      <c r="K73">
        <v>18</v>
      </c>
      <c r="L73" t="s">
        <v>8617</v>
      </c>
      <c r="M73" t="s">
        <v>6266</v>
      </c>
      <c r="N73" t="s">
        <v>8417</v>
      </c>
      <c r="O73" t="s">
        <v>8418</v>
      </c>
      <c r="P73" t="s">
        <v>8320</v>
      </c>
      <c r="Q73">
        <v>1966745</v>
      </c>
      <c r="R73">
        <v>20365801</v>
      </c>
      <c r="T73">
        <v>1811</v>
      </c>
      <c r="U73" t="s">
        <v>709</v>
      </c>
      <c r="V73" t="s">
        <v>194</v>
      </c>
      <c r="W73">
        <v>1</v>
      </c>
      <c r="Y73" t="s">
        <v>8618</v>
      </c>
      <c r="AE73" t="s">
        <v>8619</v>
      </c>
      <c r="AF73" t="s">
        <v>4714</v>
      </c>
      <c r="AG73" t="s">
        <v>8616</v>
      </c>
      <c r="AI73" t="s">
        <v>6955</v>
      </c>
      <c r="AJ73" s="408" t="str">
        <f t="shared" si="1"/>
        <v>432103</v>
      </c>
    </row>
    <row r="74" spans="1:36" x14ac:dyDescent="0.25">
      <c r="A74" t="s">
        <v>4975</v>
      </c>
      <c r="B74" t="s">
        <v>67</v>
      </c>
      <c r="C74" t="s">
        <v>67</v>
      </c>
      <c r="D74" t="s">
        <v>8381</v>
      </c>
      <c r="E74" t="s">
        <v>233</v>
      </c>
      <c r="F74">
        <v>1</v>
      </c>
      <c r="G74" t="s">
        <v>193</v>
      </c>
      <c r="H74" t="s">
        <v>194</v>
      </c>
      <c r="I74" t="s">
        <v>8382</v>
      </c>
      <c r="J74" t="s">
        <v>408</v>
      </c>
      <c r="K74">
        <v>18</v>
      </c>
      <c r="L74" t="s">
        <v>8620</v>
      </c>
      <c r="M74" t="s">
        <v>6266</v>
      </c>
      <c r="N74" t="s">
        <v>8417</v>
      </c>
      <c r="O74" t="s">
        <v>8418</v>
      </c>
      <c r="P74" t="s">
        <v>8419</v>
      </c>
      <c r="Q74">
        <v>1967300</v>
      </c>
      <c r="R74">
        <v>20582590</v>
      </c>
      <c r="T74">
        <v>1864</v>
      </c>
      <c r="U74" t="s">
        <v>709</v>
      </c>
      <c r="V74" t="s">
        <v>194</v>
      </c>
      <c r="W74">
        <v>1</v>
      </c>
      <c r="Y74" t="s">
        <v>8621</v>
      </c>
      <c r="AE74" t="s">
        <v>6357</v>
      </c>
      <c r="AF74" t="s">
        <v>4714</v>
      </c>
      <c r="AG74" t="s">
        <v>67</v>
      </c>
      <c r="AI74" t="s">
        <v>6955</v>
      </c>
      <c r="AJ74" s="408" t="str">
        <f t="shared" si="1"/>
        <v>432103</v>
      </c>
    </row>
    <row r="75" spans="1:36" x14ac:dyDescent="0.25">
      <c r="A75" t="s">
        <v>4975</v>
      </c>
      <c r="B75" t="s">
        <v>67</v>
      </c>
      <c r="C75" t="s">
        <v>67</v>
      </c>
      <c r="D75" t="s">
        <v>8305</v>
      </c>
      <c r="E75" t="s">
        <v>233</v>
      </c>
      <c r="F75">
        <v>1</v>
      </c>
      <c r="G75" t="s">
        <v>193</v>
      </c>
      <c r="H75" t="s">
        <v>194</v>
      </c>
      <c r="I75" t="s">
        <v>8314</v>
      </c>
      <c r="J75" t="s">
        <v>408</v>
      </c>
      <c r="K75">
        <v>18</v>
      </c>
      <c r="L75" t="s">
        <v>8622</v>
      </c>
      <c r="M75" t="s">
        <v>6266</v>
      </c>
      <c r="N75" t="s">
        <v>8308</v>
      </c>
      <c r="O75" t="s">
        <v>8309</v>
      </c>
      <c r="P75" t="s">
        <v>8310</v>
      </c>
      <c r="Q75">
        <v>2003347</v>
      </c>
      <c r="R75">
        <v>21053492</v>
      </c>
      <c r="T75">
        <v>1864</v>
      </c>
      <c r="U75" t="s">
        <v>709</v>
      </c>
      <c r="V75" t="s">
        <v>194</v>
      </c>
      <c r="W75">
        <v>1</v>
      </c>
      <c r="Y75" t="s">
        <v>8621</v>
      </c>
      <c r="AE75" t="s">
        <v>6357</v>
      </c>
      <c r="AF75" t="s">
        <v>4714</v>
      </c>
      <c r="AG75" t="s">
        <v>67</v>
      </c>
      <c r="AI75" t="s">
        <v>6955</v>
      </c>
      <c r="AJ75" s="408" t="str">
        <f t="shared" si="1"/>
        <v>432103</v>
      </c>
    </row>
    <row r="76" spans="1:36" x14ac:dyDescent="0.25">
      <c r="A76" t="s">
        <v>4975</v>
      </c>
      <c r="B76" t="s">
        <v>67</v>
      </c>
      <c r="C76" t="s">
        <v>67</v>
      </c>
      <c r="D76" t="s">
        <v>8305</v>
      </c>
      <c r="E76" t="s">
        <v>233</v>
      </c>
      <c r="F76">
        <v>1</v>
      </c>
      <c r="G76" t="s">
        <v>193</v>
      </c>
      <c r="H76" t="s">
        <v>194</v>
      </c>
      <c r="I76" t="s">
        <v>8314</v>
      </c>
      <c r="J76" t="s">
        <v>253</v>
      </c>
      <c r="K76">
        <v>18</v>
      </c>
      <c r="L76" t="s">
        <v>8623</v>
      </c>
      <c r="M76" t="s">
        <v>6266</v>
      </c>
      <c r="N76" t="s">
        <v>8308</v>
      </c>
      <c r="O76" t="s">
        <v>8309</v>
      </c>
      <c r="P76" t="s">
        <v>8310</v>
      </c>
      <c r="Q76">
        <v>2003348</v>
      </c>
      <c r="R76">
        <v>21053497</v>
      </c>
      <c r="T76">
        <v>1811</v>
      </c>
      <c r="U76" t="s">
        <v>709</v>
      </c>
      <c r="V76" t="s">
        <v>194</v>
      </c>
      <c r="W76">
        <v>1</v>
      </c>
      <c r="Y76" t="s">
        <v>8624</v>
      </c>
      <c r="AE76" t="s">
        <v>6357</v>
      </c>
      <c r="AF76" t="s">
        <v>4714</v>
      </c>
      <c r="AG76" t="s">
        <v>67</v>
      </c>
      <c r="AI76" t="s">
        <v>6955</v>
      </c>
      <c r="AJ76" s="408" t="str">
        <f t="shared" si="1"/>
        <v>432103</v>
      </c>
    </row>
    <row r="77" spans="1:36" x14ac:dyDescent="0.25">
      <c r="A77" t="s">
        <v>4975</v>
      </c>
      <c r="B77" t="s">
        <v>67</v>
      </c>
      <c r="C77" t="s">
        <v>67</v>
      </c>
      <c r="D77" t="s">
        <v>8320</v>
      </c>
      <c r="E77" t="s">
        <v>233</v>
      </c>
      <c r="F77">
        <v>1</v>
      </c>
      <c r="G77" t="s">
        <v>193</v>
      </c>
      <c r="H77" t="s">
        <v>194</v>
      </c>
      <c r="I77" t="s">
        <v>8321</v>
      </c>
      <c r="J77" t="s">
        <v>210</v>
      </c>
      <c r="K77">
        <v>18</v>
      </c>
      <c r="L77" t="s">
        <v>8625</v>
      </c>
      <c r="M77" t="s">
        <v>6266</v>
      </c>
      <c r="N77" t="s">
        <v>8332</v>
      </c>
      <c r="O77" t="s">
        <v>8306</v>
      </c>
      <c r="P77" t="s">
        <v>8378</v>
      </c>
      <c r="Q77">
        <v>2013655</v>
      </c>
      <c r="R77">
        <v>21283163</v>
      </c>
      <c r="T77">
        <v>1863</v>
      </c>
      <c r="U77" t="s">
        <v>709</v>
      </c>
      <c r="V77" t="s">
        <v>194</v>
      </c>
      <c r="W77">
        <v>1</v>
      </c>
      <c r="Y77" t="s">
        <v>8626</v>
      </c>
      <c r="AE77" t="s">
        <v>6357</v>
      </c>
      <c r="AF77" t="s">
        <v>4714</v>
      </c>
      <c r="AG77" t="s">
        <v>67</v>
      </c>
      <c r="AI77" t="s">
        <v>6955</v>
      </c>
      <c r="AJ77" s="408" t="str">
        <f t="shared" si="1"/>
        <v>432103</v>
      </c>
    </row>
    <row r="78" spans="1:36" x14ac:dyDescent="0.25">
      <c r="A78" t="s">
        <v>2497</v>
      </c>
      <c r="B78" t="s">
        <v>8627</v>
      </c>
      <c r="C78" t="s">
        <v>8628</v>
      </c>
      <c r="D78" t="s">
        <v>8381</v>
      </c>
      <c r="E78" t="s">
        <v>233</v>
      </c>
      <c r="F78">
        <v>1</v>
      </c>
      <c r="G78" t="s">
        <v>193</v>
      </c>
      <c r="H78" t="s">
        <v>194</v>
      </c>
      <c r="I78" t="s">
        <v>8382</v>
      </c>
      <c r="J78" t="s">
        <v>253</v>
      </c>
      <c r="K78">
        <v>18</v>
      </c>
      <c r="L78" t="s">
        <v>8629</v>
      </c>
      <c r="M78" t="s">
        <v>6275</v>
      </c>
      <c r="N78" t="s">
        <v>8417</v>
      </c>
      <c r="O78" t="s">
        <v>8418</v>
      </c>
      <c r="P78" t="s">
        <v>8320</v>
      </c>
      <c r="Q78">
        <v>1966744</v>
      </c>
      <c r="R78">
        <v>20365800</v>
      </c>
      <c r="T78">
        <v>1811</v>
      </c>
      <c r="U78" t="s">
        <v>8630</v>
      </c>
      <c r="V78" t="s">
        <v>194</v>
      </c>
      <c r="W78">
        <v>1</v>
      </c>
      <c r="Y78" t="s">
        <v>8631</v>
      </c>
      <c r="AE78" t="s">
        <v>8632</v>
      </c>
      <c r="AF78" t="s">
        <v>4714</v>
      </c>
      <c r="AG78" t="s">
        <v>8627</v>
      </c>
      <c r="AI78" t="s">
        <v>6955</v>
      </c>
      <c r="AJ78" s="408" t="str">
        <f t="shared" si="1"/>
        <v>732207</v>
      </c>
    </row>
    <row r="79" spans="1:36" hidden="1" x14ac:dyDescent="0.25">
      <c r="A79" t="s">
        <v>8633</v>
      </c>
      <c r="B79" t="s">
        <v>8634</v>
      </c>
      <c r="C79" t="s">
        <v>5236</v>
      </c>
      <c r="D79" t="s">
        <v>8344</v>
      </c>
      <c r="E79" t="s">
        <v>233</v>
      </c>
      <c r="F79">
        <v>1</v>
      </c>
      <c r="G79" s="386" t="s">
        <v>194</v>
      </c>
      <c r="H79" s="24" t="s">
        <v>193</v>
      </c>
      <c r="I79" t="s">
        <v>8345</v>
      </c>
      <c r="J79" t="s">
        <v>196</v>
      </c>
      <c r="K79">
        <v>18</v>
      </c>
      <c r="L79" t="s">
        <v>8635</v>
      </c>
      <c r="M79" t="s">
        <v>6256</v>
      </c>
      <c r="N79" t="s">
        <v>8357</v>
      </c>
      <c r="O79" t="s">
        <v>8348</v>
      </c>
      <c r="P79" t="s">
        <v>8325</v>
      </c>
      <c r="Q79">
        <v>1992218</v>
      </c>
      <c r="R79">
        <v>20829503</v>
      </c>
      <c r="U79" t="s">
        <v>5237</v>
      </c>
      <c r="V79" t="s">
        <v>194</v>
      </c>
      <c r="W79">
        <v>0</v>
      </c>
      <c r="Y79" t="s">
        <v>8636</v>
      </c>
      <c r="AE79" t="s">
        <v>8637</v>
      </c>
      <c r="AF79" t="s">
        <v>4714</v>
      </c>
      <c r="AG79" t="s">
        <v>8634</v>
      </c>
      <c r="AI79" t="s">
        <v>6955</v>
      </c>
      <c r="AJ79" s="408" t="str">
        <f t="shared" si="1"/>
        <v>712604</v>
      </c>
    </row>
    <row r="80" spans="1:36" x14ac:dyDescent="0.25">
      <c r="A80" t="s">
        <v>5979</v>
      </c>
      <c r="B80" t="s">
        <v>112</v>
      </c>
      <c r="C80" t="s">
        <v>112</v>
      </c>
      <c r="D80" t="s">
        <v>8305</v>
      </c>
      <c r="E80" t="s">
        <v>233</v>
      </c>
      <c r="F80">
        <v>1</v>
      </c>
      <c r="G80" t="s">
        <v>193</v>
      </c>
      <c r="H80" t="s">
        <v>194</v>
      </c>
      <c r="I80" t="s">
        <v>8314</v>
      </c>
      <c r="J80" t="s">
        <v>196</v>
      </c>
      <c r="K80">
        <v>18</v>
      </c>
      <c r="L80" t="s">
        <v>8638</v>
      </c>
      <c r="M80" t="s">
        <v>6275</v>
      </c>
      <c r="N80" t="s">
        <v>8308</v>
      </c>
      <c r="O80" t="s">
        <v>8309</v>
      </c>
      <c r="P80" t="s">
        <v>8310</v>
      </c>
      <c r="Q80">
        <v>2003134</v>
      </c>
      <c r="R80">
        <v>21053039</v>
      </c>
      <c r="U80" t="s">
        <v>794</v>
      </c>
      <c r="V80" t="s">
        <v>193</v>
      </c>
      <c r="W80">
        <v>25</v>
      </c>
      <c r="Y80" t="s">
        <v>8639</v>
      </c>
      <c r="AE80" t="s">
        <v>8640</v>
      </c>
      <c r="AF80" t="s">
        <v>4714</v>
      </c>
      <c r="AG80" t="s">
        <v>112</v>
      </c>
      <c r="AI80" t="s">
        <v>6955</v>
      </c>
      <c r="AJ80" s="408" t="str">
        <f t="shared" si="1"/>
        <v>721404</v>
      </c>
    </row>
    <row r="81" spans="1:36" x14ac:dyDescent="0.25">
      <c r="A81" t="s">
        <v>5979</v>
      </c>
      <c r="B81" t="s">
        <v>8641</v>
      </c>
      <c r="C81" t="s">
        <v>3639</v>
      </c>
      <c r="D81" t="s">
        <v>8305</v>
      </c>
      <c r="E81" t="s">
        <v>233</v>
      </c>
      <c r="F81">
        <v>1</v>
      </c>
      <c r="G81" t="s">
        <v>193</v>
      </c>
      <c r="H81" t="s">
        <v>194</v>
      </c>
      <c r="I81" t="s">
        <v>8306</v>
      </c>
      <c r="J81" t="s">
        <v>196</v>
      </c>
      <c r="K81">
        <v>18</v>
      </c>
      <c r="L81" t="s">
        <v>8642</v>
      </c>
      <c r="M81" t="s">
        <v>6275</v>
      </c>
      <c r="N81" t="s">
        <v>8308</v>
      </c>
      <c r="O81" t="s">
        <v>8309</v>
      </c>
      <c r="P81" t="s">
        <v>8310</v>
      </c>
      <c r="Q81">
        <v>2003150</v>
      </c>
      <c r="R81">
        <v>21053059</v>
      </c>
      <c r="U81" t="s">
        <v>3641</v>
      </c>
      <c r="V81" t="s">
        <v>193</v>
      </c>
      <c r="W81">
        <v>25</v>
      </c>
      <c r="Y81" t="s">
        <v>8643</v>
      </c>
      <c r="AE81" t="s">
        <v>8644</v>
      </c>
      <c r="AF81" t="s">
        <v>4714</v>
      </c>
      <c r="AG81" t="s">
        <v>8641</v>
      </c>
      <c r="AI81" t="s">
        <v>6955</v>
      </c>
      <c r="AJ81" s="408" t="str">
        <f t="shared" si="1"/>
        <v>711903</v>
      </c>
    </row>
    <row r="82" spans="1:36" x14ac:dyDescent="0.25">
      <c r="A82" t="s">
        <v>5979</v>
      </c>
      <c r="B82" t="s">
        <v>8645</v>
      </c>
      <c r="C82" t="s">
        <v>3639</v>
      </c>
      <c r="D82" t="s">
        <v>8305</v>
      </c>
      <c r="E82" t="s">
        <v>233</v>
      </c>
      <c r="F82">
        <v>1</v>
      </c>
      <c r="G82" t="s">
        <v>193</v>
      </c>
      <c r="H82" t="s">
        <v>194</v>
      </c>
      <c r="I82" t="s">
        <v>8306</v>
      </c>
      <c r="J82" t="s">
        <v>196</v>
      </c>
      <c r="K82">
        <v>18</v>
      </c>
      <c r="L82" t="s">
        <v>8646</v>
      </c>
      <c r="M82" t="s">
        <v>6275</v>
      </c>
      <c r="N82" t="s">
        <v>8308</v>
      </c>
      <c r="O82" t="s">
        <v>8309</v>
      </c>
      <c r="P82" t="s">
        <v>8310</v>
      </c>
      <c r="Q82">
        <v>2003182</v>
      </c>
      <c r="R82">
        <v>21053093</v>
      </c>
      <c r="U82" t="s">
        <v>3641</v>
      </c>
      <c r="V82" t="s">
        <v>193</v>
      </c>
      <c r="W82">
        <v>25</v>
      </c>
      <c r="Y82" t="s">
        <v>8647</v>
      </c>
      <c r="AE82" t="s">
        <v>8648</v>
      </c>
      <c r="AF82" t="s">
        <v>4714</v>
      </c>
      <c r="AG82" t="s">
        <v>8645</v>
      </c>
      <c r="AI82" t="s">
        <v>6955</v>
      </c>
      <c r="AJ82" s="408" t="str">
        <f t="shared" si="1"/>
        <v>711903</v>
      </c>
    </row>
    <row r="83" spans="1:36" x14ac:dyDescent="0.25">
      <c r="A83" t="s">
        <v>5979</v>
      </c>
      <c r="B83" t="s">
        <v>8649</v>
      </c>
      <c r="C83" t="s">
        <v>3639</v>
      </c>
      <c r="D83" t="s">
        <v>8305</v>
      </c>
      <c r="E83" t="s">
        <v>233</v>
      </c>
      <c r="F83">
        <v>1</v>
      </c>
      <c r="G83" t="s">
        <v>193</v>
      </c>
      <c r="H83" t="s">
        <v>194</v>
      </c>
      <c r="I83" t="s">
        <v>8306</v>
      </c>
      <c r="J83" t="s">
        <v>196</v>
      </c>
      <c r="K83">
        <v>18</v>
      </c>
      <c r="L83" t="s">
        <v>8650</v>
      </c>
      <c r="M83" t="s">
        <v>6275</v>
      </c>
      <c r="N83" t="s">
        <v>8308</v>
      </c>
      <c r="O83" t="s">
        <v>8309</v>
      </c>
      <c r="P83" t="s">
        <v>8310</v>
      </c>
      <c r="Q83">
        <v>2003214</v>
      </c>
      <c r="R83">
        <v>21053141</v>
      </c>
      <c r="U83" t="s">
        <v>3641</v>
      </c>
      <c r="V83" t="s">
        <v>193</v>
      </c>
      <c r="W83">
        <v>25</v>
      </c>
      <c r="Y83" t="s">
        <v>8651</v>
      </c>
      <c r="AE83" t="s">
        <v>8652</v>
      </c>
      <c r="AF83" t="s">
        <v>4714</v>
      </c>
      <c r="AG83" t="s">
        <v>8649</v>
      </c>
      <c r="AI83" t="s">
        <v>6955</v>
      </c>
      <c r="AJ83" s="408" t="str">
        <f t="shared" si="1"/>
        <v>711903</v>
      </c>
    </row>
    <row r="84" spans="1:36" x14ac:dyDescent="0.25">
      <c r="A84" t="s">
        <v>5213</v>
      </c>
      <c r="B84" t="s">
        <v>8653</v>
      </c>
      <c r="C84" t="s">
        <v>2172</v>
      </c>
      <c r="D84" t="s">
        <v>8305</v>
      </c>
      <c r="E84" t="s">
        <v>233</v>
      </c>
      <c r="F84">
        <v>1</v>
      </c>
      <c r="G84" t="s">
        <v>193</v>
      </c>
      <c r="H84" t="s">
        <v>194</v>
      </c>
      <c r="I84" t="s">
        <v>8314</v>
      </c>
      <c r="J84" t="s">
        <v>909</v>
      </c>
      <c r="K84">
        <v>18</v>
      </c>
      <c r="L84" t="s">
        <v>8654</v>
      </c>
      <c r="M84" t="s">
        <v>6312</v>
      </c>
      <c r="N84" t="s">
        <v>8308</v>
      </c>
      <c r="O84" t="s">
        <v>8309</v>
      </c>
      <c r="P84" t="s">
        <v>8310</v>
      </c>
      <c r="Q84">
        <v>2002658</v>
      </c>
      <c r="R84">
        <v>21051856</v>
      </c>
      <c r="T84">
        <v>1805.1863000000001</v>
      </c>
      <c r="U84" t="s">
        <v>2173</v>
      </c>
      <c r="V84" t="s">
        <v>194</v>
      </c>
      <c r="W84">
        <v>2</v>
      </c>
      <c r="Y84" t="s">
        <v>8655</v>
      </c>
      <c r="AE84" t="s">
        <v>7866</v>
      </c>
      <c r="AF84" t="s">
        <v>4714</v>
      </c>
      <c r="AG84" t="s">
        <v>8653</v>
      </c>
      <c r="AI84" t="s">
        <v>6955</v>
      </c>
      <c r="AJ84" s="408" t="str">
        <f t="shared" si="1"/>
        <v>235106</v>
      </c>
    </row>
    <row r="85" spans="1:36" x14ac:dyDescent="0.25">
      <c r="A85" t="s">
        <v>8656</v>
      </c>
      <c r="B85" t="s">
        <v>8657</v>
      </c>
      <c r="C85" t="s">
        <v>8658</v>
      </c>
      <c r="D85" t="s">
        <v>8344</v>
      </c>
      <c r="E85" t="s">
        <v>233</v>
      </c>
      <c r="F85">
        <v>1</v>
      </c>
      <c r="G85" t="s">
        <v>193</v>
      </c>
      <c r="H85" t="s">
        <v>194</v>
      </c>
      <c r="I85" t="s">
        <v>8345</v>
      </c>
      <c r="J85" t="s">
        <v>196</v>
      </c>
      <c r="K85">
        <v>18</v>
      </c>
      <c r="L85" t="s">
        <v>8659</v>
      </c>
      <c r="M85" t="s">
        <v>6312</v>
      </c>
      <c r="N85" t="s">
        <v>8347</v>
      </c>
      <c r="O85" t="s">
        <v>8348</v>
      </c>
      <c r="P85" t="s">
        <v>8325</v>
      </c>
      <c r="Q85">
        <v>1992638</v>
      </c>
      <c r="R85">
        <v>20830954</v>
      </c>
      <c r="U85" t="s">
        <v>8660</v>
      </c>
      <c r="V85" t="s">
        <v>193</v>
      </c>
      <c r="W85">
        <v>25</v>
      </c>
      <c r="Y85" t="s">
        <v>8661</v>
      </c>
      <c r="AE85" t="s">
        <v>8410</v>
      </c>
      <c r="AF85" t="s">
        <v>4714</v>
      </c>
      <c r="AG85" t="s">
        <v>8657</v>
      </c>
      <c r="AI85" t="s">
        <v>6955</v>
      </c>
      <c r="AJ85" s="408" t="str">
        <f t="shared" si="1"/>
        <v>234104</v>
      </c>
    </row>
    <row r="86" spans="1:36" x14ac:dyDescent="0.25">
      <c r="A86" t="s">
        <v>5213</v>
      </c>
      <c r="B86" t="s">
        <v>8662</v>
      </c>
      <c r="C86" t="s">
        <v>2924</v>
      </c>
      <c r="D86" t="s">
        <v>8305</v>
      </c>
      <c r="E86" t="s">
        <v>233</v>
      </c>
      <c r="F86">
        <v>1</v>
      </c>
      <c r="G86" t="s">
        <v>193</v>
      </c>
      <c r="H86" t="s">
        <v>194</v>
      </c>
      <c r="I86" t="s">
        <v>8314</v>
      </c>
      <c r="J86" t="s">
        <v>909</v>
      </c>
      <c r="K86">
        <v>18</v>
      </c>
      <c r="L86" t="s">
        <v>8663</v>
      </c>
      <c r="M86" t="s">
        <v>6312</v>
      </c>
      <c r="N86" t="s">
        <v>8308</v>
      </c>
      <c r="O86" t="s">
        <v>8309</v>
      </c>
      <c r="P86" t="s">
        <v>8310</v>
      </c>
      <c r="Q86">
        <v>2002741</v>
      </c>
      <c r="R86">
        <v>21051978</v>
      </c>
      <c r="T86">
        <v>1805.1863000000001</v>
      </c>
      <c r="U86" t="s">
        <v>8664</v>
      </c>
      <c r="V86" t="s">
        <v>194</v>
      </c>
      <c r="W86">
        <v>2</v>
      </c>
      <c r="Y86" t="s">
        <v>8437</v>
      </c>
      <c r="AE86" t="s">
        <v>7866</v>
      </c>
      <c r="AF86" t="s">
        <v>4714</v>
      </c>
      <c r="AG86" t="s">
        <v>8662</v>
      </c>
      <c r="AI86" t="s">
        <v>6955</v>
      </c>
      <c r="AJ86" s="408" t="str">
        <f t="shared" si="1"/>
        <v>234201</v>
      </c>
    </row>
    <row r="87" spans="1:36" x14ac:dyDescent="0.25">
      <c r="A87" t="s">
        <v>6036</v>
      </c>
      <c r="B87" t="s">
        <v>8665</v>
      </c>
      <c r="C87" t="s">
        <v>8666</v>
      </c>
      <c r="D87" t="s">
        <v>8344</v>
      </c>
      <c r="E87" t="s">
        <v>233</v>
      </c>
      <c r="F87">
        <v>1</v>
      </c>
      <c r="G87" t="s">
        <v>193</v>
      </c>
      <c r="H87" t="s">
        <v>194</v>
      </c>
      <c r="I87" t="s">
        <v>8345</v>
      </c>
      <c r="J87" t="s">
        <v>8667</v>
      </c>
      <c r="K87">
        <v>18</v>
      </c>
      <c r="L87" t="s">
        <v>8668</v>
      </c>
      <c r="M87" t="s">
        <v>6275</v>
      </c>
      <c r="N87" t="s">
        <v>8347</v>
      </c>
      <c r="O87" t="s">
        <v>8348</v>
      </c>
      <c r="P87" t="s">
        <v>8325</v>
      </c>
      <c r="Q87">
        <v>1992665</v>
      </c>
      <c r="R87">
        <v>20831099</v>
      </c>
      <c r="T87">
        <v>1816</v>
      </c>
      <c r="U87" t="s">
        <v>8669</v>
      </c>
      <c r="V87" t="s">
        <v>194</v>
      </c>
      <c r="W87">
        <v>1</v>
      </c>
      <c r="Y87" t="s">
        <v>8670</v>
      </c>
      <c r="AE87" t="s">
        <v>8671</v>
      </c>
      <c r="AF87" t="s">
        <v>4714</v>
      </c>
      <c r="AG87" t="s">
        <v>8665</v>
      </c>
      <c r="AI87" t="s">
        <v>6955</v>
      </c>
      <c r="AJ87" s="408" t="str">
        <f t="shared" si="1"/>
        <v>732304</v>
      </c>
    </row>
    <row r="88" spans="1:36" hidden="1" x14ac:dyDescent="0.25">
      <c r="A88" t="s">
        <v>8672</v>
      </c>
      <c r="B88" t="s">
        <v>8673</v>
      </c>
      <c r="C88" t="s">
        <v>29</v>
      </c>
      <c r="D88" t="s">
        <v>8305</v>
      </c>
      <c r="E88" t="s">
        <v>233</v>
      </c>
      <c r="F88">
        <v>1</v>
      </c>
      <c r="G88" s="386" t="s">
        <v>194</v>
      </c>
      <c r="H88" s="24" t="s">
        <v>193</v>
      </c>
      <c r="I88" t="s">
        <v>8306</v>
      </c>
      <c r="J88" t="s">
        <v>196</v>
      </c>
      <c r="K88">
        <v>18</v>
      </c>
      <c r="L88" t="s">
        <v>8674</v>
      </c>
      <c r="M88" t="s">
        <v>6275</v>
      </c>
      <c r="N88" t="s">
        <v>8308</v>
      </c>
      <c r="O88" t="s">
        <v>8309</v>
      </c>
      <c r="P88" t="s">
        <v>8310</v>
      </c>
      <c r="Q88">
        <v>2002853</v>
      </c>
      <c r="R88">
        <v>21052280</v>
      </c>
      <c r="U88" t="s">
        <v>808</v>
      </c>
      <c r="V88" t="s">
        <v>194</v>
      </c>
      <c r="W88">
        <v>0</v>
      </c>
      <c r="Y88" t="s">
        <v>8675</v>
      </c>
      <c r="AE88" t="s">
        <v>8676</v>
      </c>
      <c r="AF88" t="s">
        <v>4714</v>
      </c>
      <c r="AG88" t="s">
        <v>8673</v>
      </c>
      <c r="AI88" t="s">
        <v>6955</v>
      </c>
      <c r="AJ88" s="408" t="str">
        <f t="shared" si="1"/>
        <v>722308</v>
      </c>
    </row>
    <row r="89" spans="1:36" x14ac:dyDescent="0.25">
      <c r="A89" t="s">
        <v>8560</v>
      </c>
      <c r="B89" t="s">
        <v>8677</v>
      </c>
      <c r="C89" t="s">
        <v>8678</v>
      </c>
      <c r="D89" t="s">
        <v>8305</v>
      </c>
      <c r="E89" t="s">
        <v>233</v>
      </c>
      <c r="F89">
        <v>1</v>
      </c>
      <c r="G89" t="s">
        <v>193</v>
      </c>
      <c r="H89" t="s">
        <v>194</v>
      </c>
      <c r="I89" t="s">
        <v>8314</v>
      </c>
      <c r="J89" t="s">
        <v>196</v>
      </c>
      <c r="K89">
        <v>18</v>
      </c>
      <c r="L89" t="s">
        <v>8679</v>
      </c>
      <c r="M89" t="s">
        <v>6256</v>
      </c>
      <c r="N89" t="s">
        <v>8428</v>
      </c>
      <c r="O89" t="s">
        <v>8348</v>
      </c>
      <c r="P89" t="s">
        <v>8419</v>
      </c>
      <c r="Q89">
        <v>2002037</v>
      </c>
      <c r="R89">
        <v>20620115</v>
      </c>
      <c r="U89" t="s">
        <v>8680</v>
      </c>
      <c r="V89" t="s">
        <v>193</v>
      </c>
      <c r="W89">
        <v>25</v>
      </c>
      <c r="Y89" t="s">
        <v>8681</v>
      </c>
      <c r="AE89" t="s">
        <v>8682</v>
      </c>
      <c r="AF89" t="s">
        <v>4714</v>
      </c>
      <c r="AG89" t="s">
        <v>8678</v>
      </c>
      <c r="AI89" t="s">
        <v>6955</v>
      </c>
      <c r="AJ89" s="408" t="str">
        <f t="shared" si="1"/>
        <v>834208</v>
      </c>
    </row>
    <row r="90" spans="1:36" x14ac:dyDescent="0.25">
      <c r="A90" t="s">
        <v>2497</v>
      </c>
      <c r="B90" t="s">
        <v>8683</v>
      </c>
      <c r="C90" t="s">
        <v>863</v>
      </c>
      <c r="D90" t="s">
        <v>8381</v>
      </c>
      <c r="E90" t="s">
        <v>233</v>
      </c>
      <c r="F90">
        <v>1</v>
      </c>
      <c r="G90" t="s">
        <v>193</v>
      </c>
      <c r="H90" t="s">
        <v>194</v>
      </c>
      <c r="I90" t="s">
        <v>8382</v>
      </c>
      <c r="J90" t="s">
        <v>253</v>
      </c>
      <c r="K90">
        <v>18</v>
      </c>
      <c r="L90" t="s">
        <v>8684</v>
      </c>
      <c r="M90" t="s">
        <v>6277</v>
      </c>
      <c r="N90" t="s">
        <v>8417</v>
      </c>
      <c r="O90" t="s">
        <v>8418</v>
      </c>
      <c r="P90" t="s">
        <v>8320</v>
      </c>
      <c r="Q90">
        <v>1966738</v>
      </c>
      <c r="R90">
        <v>20365593</v>
      </c>
      <c r="T90">
        <v>1811</v>
      </c>
      <c r="U90" t="s">
        <v>864</v>
      </c>
      <c r="V90" t="s">
        <v>194</v>
      </c>
      <c r="W90">
        <v>1</v>
      </c>
      <c r="Y90" t="s">
        <v>8685</v>
      </c>
      <c r="AE90" t="s">
        <v>8686</v>
      </c>
      <c r="AF90" t="s">
        <v>4714</v>
      </c>
      <c r="AG90" t="s">
        <v>8683</v>
      </c>
      <c r="AI90" t="s">
        <v>6955</v>
      </c>
      <c r="AJ90" s="408" t="str">
        <f t="shared" si="1"/>
        <v>814208</v>
      </c>
    </row>
    <row r="91" spans="1:36" x14ac:dyDescent="0.25">
      <c r="A91" t="s">
        <v>581</v>
      </c>
      <c r="B91" t="s">
        <v>2198</v>
      </c>
      <c r="C91" t="s">
        <v>62</v>
      </c>
      <c r="D91" t="s">
        <v>8381</v>
      </c>
      <c r="E91" t="s">
        <v>217</v>
      </c>
      <c r="F91">
        <v>1</v>
      </c>
      <c r="G91" t="s">
        <v>193</v>
      </c>
      <c r="H91" t="s">
        <v>194</v>
      </c>
      <c r="I91" t="s">
        <v>8382</v>
      </c>
      <c r="J91" t="s">
        <v>253</v>
      </c>
      <c r="K91">
        <v>18</v>
      </c>
      <c r="L91" t="s">
        <v>8687</v>
      </c>
      <c r="M91" t="s">
        <v>6275</v>
      </c>
      <c r="N91" t="s">
        <v>8688</v>
      </c>
      <c r="O91" t="s">
        <v>8385</v>
      </c>
      <c r="P91" t="s">
        <v>8314</v>
      </c>
      <c r="Q91">
        <v>1967771</v>
      </c>
      <c r="R91">
        <v>20606263</v>
      </c>
      <c r="T91">
        <v>1811</v>
      </c>
      <c r="U91" t="s">
        <v>601</v>
      </c>
      <c r="V91" t="s">
        <v>194</v>
      </c>
      <c r="W91">
        <v>1</v>
      </c>
      <c r="X91" t="s">
        <v>8689</v>
      </c>
      <c r="Y91" t="s">
        <v>4903</v>
      </c>
      <c r="AE91" t="s">
        <v>4904</v>
      </c>
      <c r="AF91" t="s">
        <v>4714</v>
      </c>
      <c r="AI91" t="s">
        <v>6955</v>
      </c>
      <c r="AJ91" s="408" t="str">
        <f t="shared" si="1"/>
        <v>313904</v>
      </c>
    </row>
    <row r="92" spans="1:36" x14ac:dyDescent="0.25">
      <c r="A92" t="s">
        <v>581</v>
      </c>
      <c r="B92" t="s">
        <v>2198</v>
      </c>
      <c r="C92" t="s">
        <v>62</v>
      </c>
      <c r="D92" t="s">
        <v>8305</v>
      </c>
      <c r="E92" t="s">
        <v>217</v>
      </c>
      <c r="F92">
        <v>1</v>
      </c>
      <c r="G92" t="s">
        <v>193</v>
      </c>
      <c r="H92" t="s">
        <v>194</v>
      </c>
      <c r="I92" t="s">
        <v>8314</v>
      </c>
      <c r="J92" t="s">
        <v>253</v>
      </c>
      <c r="K92">
        <v>18</v>
      </c>
      <c r="L92" t="s">
        <v>8687</v>
      </c>
      <c r="M92" t="s">
        <v>6275</v>
      </c>
      <c r="N92" t="s">
        <v>8340</v>
      </c>
      <c r="O92" t="s">
        <v>8345</v>
      </c>
      <c r="P92" t="s">
        <v>8314</v>
      </c>
      <c r="Q92">
        <v>2003755</v>
      </c>
      <c r="R92">
        <v>21073282</v>
      </c>
      <c r="T92">
        <v>1811</v>
      </c>
      <c r="U92" t="s">
        <v>601</v>
      </c>
      <c r="V92" t="s">
        <v>194</v>
      </c>
      <c r="W92">
        <v>1</v>
      </c>
      <c r="X92" t="s">
        <v>8689</v>
      </c>
      <c r="Y92" t="s">
        <v>4903</v>
      </c>
      <c r="AE92" t="s">
        <v>4904</v>
      </c>
      <c r="AF92" t="s">
        <v>4714</v>
      </c>
      <c r="AI92" t="s">
        <v>6955</v>
      </c>
      <c r="AJ92" s="408" t="str">
        <f t="shared" si="1"/>
        <v>313904</v>
      </c>
    </row>
    <row r="93" spans="1:36" x14ac:dyDescent="0.25">
      <c r="A93" t="s">
        <v>581</v>
      </c>
      <c r="B93" t="s">
        <v>2198</v>
      </c>
      <c r="C93" t="s">
        <v>62</v>
      </c>
      <c r="D93" t="s">
        <v>8320</v>
      </c>
      <c r="E93" t="s">
        <v>252</v>
      </c>
      <c r="F93">
        <v>1</v>
      </c>
      <c r="G93" t="s">
        <v>193</v>
      </c>
      <c r="H93" t="s">
        <v>194</v>
      </c>
      <c r="I93" t="s">
        <v>8330</v>
      </c>
      <c r="J93" t="s">
        <v>253</v>
      </c>
      <c r="K93">
        <v>18</v>
      </c>
      <c r="L93" t="s">
        <v>8690</v>
      </c>
      <c r="M93" t="s">
        <v>6275</v>
      </c>
      <c r="N93" t="s">
        <v>8389</v>
      </c>
      <c r="O93" t="s">
        <v>8320</v>
      </c>
      <c r="P93" t="s">
        <v>8386</v>
      </c>
      <c r="Q93">
        <v>2012943</v>
      </c>
      <c r="R93">
        <v>20650414</v>
      </c>
      <c r="T93">
        <v>1811</v>
      </c>
      <c r="U93" t="s">
        <v>601</v>
      </c>
      <c r="V93" t="s">
        <v>194</v>
      </c>
      <c r="W93">
        <v>1</v>
      </c>
      <c r="Y93" t="s">
        <v>8042</v>
      </c>
      <c r="AE93" t="s">
        <v>8043</v>
      </c>
      <c r="AF93" t="s">
        <v>4714</v>
      </c>
      <c r="AI93" t="s">
        <v>6955</v>
      </c>
      <c r="AJ93" s="408" t="str">
        <f t="shared" si="1"/>
        <v>313904</v>
      </c>
    </row>
    <row r="94" spans="1:36" x14ac:dyDescent="0.25">
      <c r="A94" t="s">
        <v>413</v>
      </c>
      <c r="B94" t="s">
        <v>965</v>
      </c>
      <c r="C94" t="s">
        <v>113</v>
      </c>
      <c r="D94" t="s">
        <v>8381</v>
      </c>
      <c r="E94" t="s">
        <v>233</v>
      </c>
      <c r="F94">
        <v>5</v>
      </c>
      <c r="G94" t="s">
        <v>193</v>
      </c>
      <c r="H94" t="s">
        <v>194</v>
      </c>
      <c r="I94" t="s">
        <v>8382</v>
      </c>
      <c r="J94" t="s">
        <v>8691</v>
      </c>
      <c r="K94">
        <v>18</v>
      </c>
      <c r="L94" t="s">
        <v>8692</v>
      </c>
      <c r="M94" t="s">
        <v>6254</v>
      </c>
      <c r="N94" t="s">
        <v>8693</v>
      </c>
      <c r="O94" t="s">
        <v>8694</v>
      </c>
      <c r="P94" t="s">
        <v>8695</v>
      </c>
      <c r="Q94">
        <v>1966643</v>
      </c>
      <c r="R94">
        <v>20213574</v>
      </c>
      <c r="T94" t="s">
        <v>8696</v>
      </c>
      <c r="U94" t="s">
        <v>465</v>
      </c>
      <c r="V94" t="s">
        <v>194</v>
      </c>
      <c r="W94">
        <v>5</v>
      </c>
      <c r="X94" t="s">
        <v>8697</v>
      </c>
      <c r="Y94" t="s">
        <v>8698</v>
      </c>
      <c r="AE94" t="s">
        <v>8699</v>
      </c>
      <c r="AF94" t="s">
        <v>4714</v>
      </c>
      <c r="AG94" t="s">
        <v>113</v>
      </c>
      <c r="AI94" t="s">
        <v>6955</v>
      </c>
      <c r="AJ94" s="408" t="str">
        <f t="shared" si="1"/>
        <v>243302</v>
      </c>
    </row>
    <row r="95" spans="1:36" hidden="1" x14ac:dyDescent="0.25">
      <c r="A95" t="s">
        <v>8700</v>
      </c>
      <c r="B95" t="s">
        <v>8701</v>
      </c>
      <c r="C95" t="s">
        <v>113</v>
      </c>
      <c r="D95" t="s">
        <v>8305</v>
      </c>
      <c r="E95" t="s">
        <v>233</v>
      </c>
      <c r="F95">
        <v>1</v>
      </c>
      <c r="G95" s="386" t="s">
        <v>194</v>
      </c>
      <c r="H95" s="24" t="s">
        <v>193</v>
      </c>
      <c r="I95" t="s">
        <v>8306</v>
      </c>
      <c r="J95" t="s">
        <v>196</v>
      </c>
      <c r="K95">
        <v>18</v>
      </c>
      <c r="L95" t="s">
        <v>8702</v>
      </c>
      <c r="M95" t="s">
        <v>6249</v>
      </c>
      <c r="N95" t="s">
        <v>8308</v>
      </c>
      <c r="O95" t="s">
        <v>8309</v>
      </c>
      <c r="P95" t="s">
        <v>8310</v>
      </c>
      <c r="Q95">
        <v>2002369</v>
      </c>
      <c r="R95">
        <v>21051062</v>
      </c>
      <c r="U95" t="s">
        <v>465</v>
      </c>
      <c r="V95" t="s">
        <v>193</v>
      </c>
      <c r="W95">
        <v>25</v>
      </c>
      <c r="Y95" t="s">
        <v>8703</v>
      </c>
      <c r="AE95" t="s">
        <v>8704</v>
      </c>
      <c r="AF95" t="s">
        <v>4714</v>
      </c>
      <c r="AG95" t="s">
        <v>8701</v>
      </c>
      <c r="AI95" t="s">
        <v>6955</v>
      </c>
      <c r="AJ95" s="408" t="str">
        <f t="shared" si="1"/>
        <v>243302</v>
      </c>
    </row>
    <row r="96" spans="1:36" x14ac:dyDescent="0.25">
      <c r="A96" t="s">
        <v>8705</v>
      </c>
      <c r="B96" t="s">
        <v>8706</v>
      </c>
      <c r="C96" t="s">
        <v>8707</v>
      </c>
      <c r="D96" t="s">
        <v>8320</v>
      </c>
      <c r="E96" t="s">
        <v>233</v>
      </c>
      <c r="F96">
        <v>1</v>
      </c>
      <c r="G96" t="s">
        <v>193</v>
      </c>
      <c r="H96" t="s">
        <v>194</v>
      </c>
      <c r="I96" t="s">
        <v>8330</v>
      </c>
      <c r="J96" t="s">
        <v>408</v>
      </c>
      <c r="K96">
        <v>18</v>
      </c>
      <c r="L96" t="s">
        <v>8708</v>
      </c>
      <c r="M96" t="s">
        <v>6288</v>
      </c>
      <c r="N96" t="s">
        <v>8332</v>
      </c>
      <c r="O96" t="s">
        <v>8306</v>
      </c>
      <c r="P96" t="s">
        <v>8378</v>
      </c>
      <c r="Q96">
        <v>2013806</v>
      </c>
      <c r="R96">
        <v>21283696</v>
      </c>
      <c r="T96">
        <v>1864</v>
      </c>
      <c r="U96" t="s">
        <v>8709</v>
      </c>
      <c r="V96" t="s">
        <v>194</v>
      </c>
      <c r="W96">
        <v>1</v>
      </c>
      <c r="Y96" t="s">
        <v>8710</v>
      </c>
      <c r="AE96" t="s">
        <v>8711</v>
      </c>
      <c r="AF96" t="s">
        <v>4714</v>
      </c>
      <c r="AG96" t="s">
        <v>8706</v>
      </c>
      <c r="AI96" t="s">
        <v>6955</v>
      </c>
      <c r="AJ96" s="408" t="str">
        <f t="shared" si="1"/>
        <v>229501</v>
      </c>
    </row>
    <row r="97" spans="1:36" x14ac:dyDescent="0.25">
      <c r="A97" t="s">
        <v>5213</v>
      </c>
      <c r="B97" t="s">
        <v>8712</v>
      </c>
      <c r="C97" t="s">
        <v>8713</v>
      </c>
      <c r="D97" t="s">
        <v>8305</v>
      </c>
      <c r="E97" t="s">
        <v>233</v>
      </c>
      <c r="F97">
        <v>1</v>
      </c>
      <c r="G97" t="s">
        <v>193</v>
      </c>
      <c r="H97" t="s">
        <v>194</v>
      </c>
      <c r="I97" t="s">
        <v>8306</v>
      </c>
      <c r="J97" t="s">
        <v>909</v>
      </c>
      <c r="K97">
        <v>18</v>
      </c>
      <c r="L97" t="s">
        <v>8714</v>
      </c>
      <c r="M97" t="s">
        <v>6312</v>
      </c>
      <c r="N97" t="s">
        <v>8308</v>
      </c>
      <c r="O97" t="s">
        <v>8309</v>
      </c>
      <c r="P97" t="s">
        <v>8310</v>
      </c>
      <c r="Q97">
        <v>2002708</v>
      </c>
      <c r="R97">
        <v>21051941</v>
      </c>
      <c r="T97">
        <v>1805.1863000000001</v>
      </c>
      <c r="U97" t="s">
        <v>8715</v>
      </c>
      <c r="V97" t="s">
        <v>194</v>
      </c>
      <c r="W97">
        <v>2</v>
      </c>
      <c r="Y97" t="s">
        <v>8437</v>
      </c>
      <c r="AE97" t="s">
        <v>7866</v>
      </c>
      <c r="AF97" t="s">
        <v>4714</v>
      </c>
      <c r="AG97" t="s">
        <v>8712</v>
      </c>
      <c r="AI97" t="s">
        <v>6955</v>
      </c>
      <c r="AJ97" s="408" t="str">
        <f t="shared" si="1"/>
        <v>235921</v>
      </c>
    </row>
    <row r="98" spans="1:36" x14ac:dyDescent="0.25">
      <c r="A98" t="s">
        <v>5213</v>
      </c>
      <c r="B98" t="s">
        <v>8716</v>
      </c>
      <c r="C98" t="s">
        <v>8717</v>
      </c>
      <c r="D98" t="s">
        <v>8305</v>
      </c>
      <c r="E98" t="s">
        <v>233</v>
      </c>
      <c r="F98">
        <v>1</v>
      </c>
      <c r="G98" t="s">
        <v>193</v>
      </c>
      <c r="H98" t="s">
        <v>194</v>
      </c>
      <c r="I98" t="s">
        <v>8306</v>
      </c>
      <c r="J98" t="s">
        <v>909</v>
      </c>
      <c r="K98">
        <v>18</v>
      </c>
      <c r="L98" t="s">
        <v>8718</v>
      </c>
      <c r="M98" t="s">
        <v>6312</v>
      </c>
      <c r="N98" t="s">
        <v>8308</v>
      </c>
      <c r="O98" t="s">
        <v>8309</v>
      </c>
      <c r="P98" t="s">
        <v>8310</v>
      </c>
      <c r="Q98">
        <v>2002725</v>
      </c>
      <c r="R98">
        <v>21051961</v>
      </c>
      <c r="T98">
        <v>1805.1863000000001</v>
      </c>
      <c r="U98" t="s">
        <v>8719</v>
      </c>
      <c r="V98" t="s">
        <v>194</v>
      </c>
      <c r="W98">
        <v>2</v>
      </c>
      <c r="Y98" t="s">
        <v>8437</v>
      </c>
      <c r="AE98" t="s">
        <v>7866</v>
      </c>
      <c r="AF98" t="s">
        <v>4714</v>
      </c>
      <c r="AG98" t="s">
        <v>8716</v>
      </c>
      <c r="AI98" t="s">
        <v>6955</v>
      </c>
      <c r="AJ98" s="408" t="str">
        <f t="shared" si="1"/>
        <v>235912</v>
      </c>
    </row>
    <row r="99" spans="1:36" x14ac:dyDescent="0.25">
      <c r="A99" t="s">
        <v>8720</v>
      </c>
      <c r="B99" t="s">
        <v>8721</v>
      </c>
      <c r="C99" t="s">
        <v>1325</v>
      </c>
      <c r="D99" t="s">
        <v>8305</v>
      </c>
      <c r="E99" t="s">
        <v>233</v>
      </c>
      <c r="F99">
        <v>1</v>
      </c>
      <c r="G99" t="s">
        <v>193</v>
      </c>
      <c r="H99" t="s">
        <v>194</v>
      </c>
      <c r="I99" t="s">
        <v>8306</v>
      </c>
      <c r="J99" t="s">
        <v>196</v>
      </c>
      <c r="K99">
        <v>18</v>
      </c>
      <c r="L99" t="s">
        <v>8722</v>
      </c>
      <c r="M99" t="s">
        <v>6256</v>
      </c>
      <c r="N99" t="s">
        <v>8308</v>
      </c>
      <c r="O99" t="s">
        <v>8309</v>
      </c>
      <c r="P99" t="s">
        <v>8310</v>
      </c>
      <c r="Q99">
        <v>2002265</v>
      </c>
      <c r="R99">
        <v>21050889</v>
      </c>
      <c r="U99" t="s">
        <v>1327</v>
      </c>
      <c r="V99" t="s">
        <v>193</v>
      </c>
      <c r="W99">
        <v>25</v>
      </c>
      <c r="Y99" t="s">
        <v>8723</v>
      </c>
      <c r="AE99" t="s">
        <v>8724</v>
      </c>
      <c r="AF99" t="s">
        <v>4714</v>
      </c>
      <c r="AG99" t="s">
        <v>8721</v>
      </c>
      <c r="AI99" t="s">
        <v>6955</v>
      </c>
      <c r="AJ99" s="408" t="str">
        <f t="shared" si="1"/>
        <v>931301</v>
      </c>
    </row>
    <row r="100" spans="1:36" x14ac:dyDescent="0.25">
      <c r="A100" t="s">
        <v>4975</v>
      </c>
      <c r="B100" t="s">
        <v>8725</v>
      </c>
      <c r="C100" t="s">
        <v>8726</v>
      </c>
      <c r="D100" t="s">
        <v>8305</v>
      </c>
      <c r="E100" t="s">
        <v>233</v>
      </c>
      <c r="F100">
        <v>1</v>
      </c>
      <c r="G100" t="s">
        <v>193</v>
      </c>
      <c r="H100" t="s">
        <v>194</v>
      </c>
      <c r="I100" t="s">
        <v>8306</v>
      </c>
      <c r="J100" t="s">
        <v>408</v>
      </c>
      <c r="K100">
        <v>18</v>
      </c>
      <c r="L100" t="s">
        <v>8727</v>
      </c>
      <c r="M100" t="s">
        <v>6275</v>
      </c>
      <c r="N100" t="s">
        <v>8308</v>
      </c>
      <c r="O100" t="s">
        <v>8309</v>
      </c>
      <c r="P100" t="s">
        <v>8310</v>
      </c>
      <c r="Q100">
        <v>2003351</v>
      </c>
      <c r="R100">
        <v>21053513</v>
      </c>
      <c r="T100">
        <v>1864</v>
      </c>
      <c r="U100" t="s">
        <v>8728</v>
      </c>
      <c r="V100" t="s">
        <v>194</v>
      </c>
      <c r="W100">
        <v>1</v>
      </c>
      <c r="Y100" t="s">
        <v>8729</v>
      </c>
      <c r="AE100" t="s">
        <v>8730</v>
      </c>
      <c r="AF100" t="s">
        <v>4714</v>
      </c>
      <c r="AG100" t="s">
        <v>8725</v>
      </c>
      <c r="AI100" t="s">
        <v>6955</v>
      </c>
      <c r="AJ100" s="408" t="str">
        <f t="shared" si="1"/>
        <v>921101</v>
      </c>
    </row>
    <row r="101" spans="1:36" x14ac:dyDescent="0.25">
      <c r="A101" t="s">
        <v>4975</v>
      </c>
      <c r="B101" t="s">
        <v>8731</v>
      </c>
      <c r="C101" t="s">
        <v>8732</v>
      </c>
      <c r="D101" t="s">
        <v>8381</v>
      </c>
      <c r="E101" t="s">
        <v>233</v>
      </c>
      <c r="F101">
        <v>1</v>
      </c>
      <c r="G101" t="s">
        <v>193</v>
      </c>
      <c r="H101" t="s">
        <v>194</v>
      </c>
      <c r="I101" t="s">
        <v>8382</v>
      </c>
      <c r="J101" t="s">
        <v>408</v>
      </c>
      <c r="K101">
        <v>18</v>
      </c>
      <c r="L101" t="s">
        <v>8733</v>
      </c>
      <c r="M101" t="s">
        <v>6922</v>
      </c>
      <c r="N101" t="s">
        <v>8417</v>
      </c>
      <c r="O101" t="s">
        <v>8418</v>
      </c>
      <c r="P101" t="s">
        <v>8419</v>
      </c>
      <c r="Q101">
        <v>1967301</v>
      </c>
      <c r="R101">
        <v>20582592</v>
      </c>
      <c r="T101">
        <v>1864</v>
      </c>
      <c r="U101" t="s">
        <v>8734</v>
      </c>
      <c r="V101" t="s">
        <v>194</v>
      </c>
      <c r="W101">
        <v>1</v>
      </c>
      <c r="Y101" t="s">
        <v>8735</v>
      </c>
      <c r="AE101" t="s">
        <v>8736</v>
      </c>
      <c r="AF101" t="s">
        <v>4714</v>
      </c>
      <c r="AG101" t="s">
        <v>8731</v>
      </c>
      <c r="AI101" t="s">
        <v>6955</v>
      </c>
      <c r="AJ101" s="408" t="str">
        <f t="shared" si="1"/>
        <v>541306</v>
      </c>
    </row>
    <row r="102" spans="1:36" x14ac:dyDescent="0.25">
      <c r="A102" t="s">
        <v>4975</v>
      </c>
      <c r="B102" t="s">
        <v>8731</v>
      </c>
      <c r="C102" t="s">
        <v>8732</v>
      </c>
      <c r="D102" t="s">
        <v>8320</v>
      </c>
      <c r="E102" t="s">
        <v>233</v>
      </c>
      <c r="F102">
        <v>1</v>
      </c>
      <c r="G102" t="s">
        <v>193</v>
      </c>
      <c r="H102" t="s">
        <v>194</v>
      </c>
      <c r="I102" t="s">
        <v>8330</v>
      </c>
      <c r="J102" t="s">
        <v>210</v>
      </c>
      <c r="K102">
        <v>18</v>
      </c>
      <c r="L102" t="s">
        <v>8737</v>
      </c>
      <c r="M102" t="s">
        <v>6922</v>
      </c>
      <c r="N102" t="s">
        <v>8332</v>
      </c>
      <c r="O102" t="s">
        <v>8306</v>
      </c>
      <c r="P102" t="s">
        <v>8378</v>
      </c>
      <c r="Q102">
        <v>2013658</v>
      </c>
      <c r="R102">
        <v>21283167</v>
      </c>
      <c r="T102">
        <v>1863</v>
      </c>
      <c r="U102" t="s">
        <v>8734</v>
      </c>
      <c r="V102" t="s">
        <v>194</v>
      </c>
      <c r="W102">
        <v>1</v>
      </c>
      <c r="Y102" t="s">
        <v>8735</v>
      </c>
      <c r="AE102" t="s">
        <v>8738</v>
      </c>
      <c r="AF102" t="s">
        <v>4714</v>
      </c>
      <c r="AG102" t="s">
        <v>8731</v>
      </c>
      <c r="AI102" t="s">
        <v>6955</v>
      </c>
      <c r="AJ102" s="408" t="str">
        <f t="shared" si="1"/>
        <v>541306</v>
      </c>
    </row>
    <row r="103" spans="1:36" x14ac:dyDescent="0.25">
      <c r="A103" t="s">
        <v>8312</v>
      </c>
      <c r="B103" t="s">
        <v>8739</v>
      </c>
      <c r="C103" t="s">
        <v>8740</v>
      </c>
      <c r="D103" t="s">
        <v>8320</v>
      </c>
      <c r="E103" t="s">
        <v>233</v>
      </c>
      <c r="F103">
        <v>1</v>
      </c>
      <c r="G103" t="s">
        <v>193</v>
      </c>
      <c r="H103" t="s">
        <v>194</v>
      </c>
      <c r="I103" t="s">
        <v>8330</v>
      </c>
      <c r="J103" t="s">
        <v>196</v>
      </c>
      <c r="K103">
        <v>18</v>
      </c>
      <c r="L103" t="s">
        <v>8741</v>
      </c>
      <c r="M103" t="s">
        <v>6921</v>
      </c>
      <c r="N103" t="s">
        <v>8332</v>
      </c>
      <c r="O103" t="s">
        <v>8306</v>
      </c>
      <c r="P103" t="s">
        <v>8378</v>
      </c>
      <c r="Q103">
        <v>2013185</v>
      </c>
      <c r="R103">
        <v>21281796</v>
      </c>
      <c r="U103" t="s">
        <v>8742</v>
      </c>
      <c r="V103" t="s">
        <v>193</v>
      </c>
      <c r="W103">
        <v>25</v>
      </c>
      <c r="X103" t="s">
        <v>8743</v>
      </c>
      <c r="Y103" t="s">
        <v>8744</v>
      </c>
      <c r="AE103" t="s">
        <v>8745</v>
      </c>
      <c r="AF103" t="s">
        <v>4714</v>
      </c>
      <c r="AG103" t="s">
        <v>8739</v>
      </c>
      <c r="AI103" t="s">
        <v>6955</v>
      </c>
      <c r="AJ103" s="408" t="str">
        <f t="shared" si="1"/>
        <v>251490</v>
      </c>
    </row>
    <row r="104" spans="1:36" x14ac:dyDescent="0.25">
      <c r="A104" t="s">
        <v>2093</v>
      </c>
      <c r="B104" t="s">
        <v>1000</v>
      </c>
      <c r="C104" t="s">
        <v>8746</v>
      </c>
      <c r="D104" t="s">
        <v>8344</v>
      </c>
      <c r="E104" t="s">
        <v>233</v>
      </c>
      <c r="F104">
        <v>1</v>
      </c>
      <c r="G104" t="s">
        <v>193</v>
      </c>
      <c r="H104" t="s">
        <v>194</v>
      </c>
      <c r="I104" t="s">
        <v>8345</v>
      </c>
      <c r="J104" t="s">
        <v>408</v>
      </c>
      <c r="K104">
        <v>18</v>
      </c>
      <c r="L104" t="s">
        <v>8747</v>
      </c>
      <c r="M104" t="s">
        <v>6306</v>
      </c>
      <c r="N104" t="s">
        <v>8347</v>
      </c>
      <c r="O104" t="s">
        <v>8348</v>
      </c>
      <c r="P104" t="s">
        <v>8345</v>
      </c>
      <c r="Q104">
        <v>1993290</v>
      </c>
      <c r="R104">
        <v>20833151</v>
      </c>
      <c r="T104">
        <v>1864</v>
      </c>
      <c r="U104" t="s">
        <v>8748</v>
      </c>
      <c r="V104" t="s">
        <v>194</v>
      </c>
      <c r="W104">
        <v>1</v>
      </c>
      <c r="X104">
        <v>78114</v>
      </c>
      <c r="Y104" t="s">
        <v>8749</v>
      </c>
      <c r="AE104" t="s">
        <v>8750</v>
      </c>
      <c r="AF104" t="s">
        <v>4714</v>
      </c>
      <c r="AG104" t="s">
        <v>1000</v>
      </c>
      <c r="AI104" t="s">
        <v>6955</v>
      </c>
      <c r="AJ104" s="408" t="str">
        <f t="shared" si="1"/>
        <v>242290</v>
      </c>
    </row>
    <row r="105" spans="1:36" hidden="1" x14ac:dyDescent="0.25">
      <c r="A105" t="s">
        <v>8700</v>
      </c>
      <c r="B105" t="s">
        <v>8751</v>
      </c>
      <c r="C105" t="s">
        <v>706</v>
      </c>
      <c r="D105" t="s">
        <v>8344</v>
      </c>
      <c r="E105" t="s">
        <v>233</v>
      </c>
      <c r="F105">
        <v>1</v>
      </c>
      <c r="G105" s="386" t="s">
        <v>194</v>
      </c>
      <c r="H105" s="24" t="s">
        <v>193</v>
      </c>
      <c r="I105" t="s">
        <v>8345</v>
      </c>
      <c r="J105" t="s">
        <v>196</v>
      </c>
      <c r="K105">
        <v>18</v>
      </c>
      <c r="L105" t="s">
        <v>8752</v>
      </c>
      <c r="M105" t="s">
        <v>6249</v>
      </c>
      <c r="N105" t="s">
        <v>8357</v>
      </c>
      <c r="O105" t="s">
        <v>8348</v>
      </c>
      <c r="P105" t="s">
        <v>8325</v>
      </c>
      <c r="Q105">
        <v>1992448</v>
      </c>
      <c r="R105">
        <v>20830160</v>
      </c>
      <c r="U105" t="s">
        <v>707</v>
      </c>
      <c r="V105" t="s">
        <v>193</v>
      </c>
      <c r="W105">
        <v>25</v>
      </c>
      <c r="Y105" t="s">
        <v>8753</v>
      </c>
      <c r="AE105" t="s">
        <v>8754</v>
      </c>
      <c r="AF105" t="s">
        <v>4714</v>
      </c>
      <c r="AG105" t="s">
        <v>8751</v>
      </c>
      <c r="AI105" t="s">
        <v>6955</v>
      </c>
      <c r="AJ105" s="408" t="str">
        <f t="shared" si="1"/>
        <v>422201</v>
      </c>
    </row>
    <row r="106" spans="1:36" x14ac:dyDescent="0.25">
      <c r="A106" t="s">
        <v>8131</v>
      </c>
      <c r="B106" t="s">
        <v>8755</v>
      </c>
      <c r="C106" t="s">
        <v>706</v>
      </c>
      <c r="D106" t="s">
        <v>8344</v>
      </c>
      <c r="E106" t="s">
        <v>233</v>
      </c>
      <c r="F106">
        <v>1</v>
      </c>
      <c r="G106" t="s">
        <v>193</v>
      </c>
      <c r="H106" t="s">
        <v>194</v>
      </c>
      <c r="I106" t="s">
        <v>8345</v>
      </c>
      <c r="J106" t="s">
        <v>196</v>
      </c>
      <c r="K106">
        <v>18</v>
      </c>
      <c r="L106" t="s">
        <v>8756</v>
      </c>
      <c r="M106" t="s">
        <v>6249</v>
      </c>
      <c r="N106" t="s">
        <v>8347</v>
      </c>
      <c r="O106" t="s">
        <v>8348</v>
      </c>
      <c r="P106" t="s">
        <v>8325</v>
      </c>
      <c r="Q106">
        <v>1993059</v>
      </c>
      <c r="R106">
        <v>20832555</v>
      </c>
      <c r="U106" t="s">
        <v>707</v>
      </c>
      <c r="V106" t="s">
        <v>193</v>
      </c>
      <c r="W106">
        <v>25</v>
      </c>
      <c r="Y106" t="s">
        <v>8757</v>
      </c>
      <c r="AE106" t="s">
        <v>8758</v>
      </c>
      <c r="AF106" t="s">
        <v>4714</v>
      </c>
      <c r="AG106" t="s">
        <v>8755</v>
      </c>
      <c r="AI106" t="s">
        <v>6955</v>
      </c>
      <c r="AJ106" s="408" t="str">
        <f t="shared" si="1"/>
        <v>422201</v>
      </c>
    </row>
    <row r="107" spans="1:36" x14ac:dyDescent="0.25">
      <c r="A107" t="s">
        <v>8131</v>
      </c>
      <c r="B107" t="s">
        <v>8759</v>
      </c>
      <c r="C107" t="s">
        <v>706</v>
      </c>
      <c r="D107" t="s">
        <v>8344</v>
      </c>
      <c r="E107" t="s">
        <v>233</v>
      </c>
      <c r="F107">
        <v>1</v>
      </c>
      <c r="G107" t="s">
        <v>193</v>
      </c>
      <c r="H107" t="s">
        <v>194</v>
      </c>
      <c r="I107" t="s">
        <v>8345</v>
      </c>
      <c r="J107" t="s">
        <v>196</v>
      </c>
      <c r="K107">
        <v>18</v>
      </c>
      <c r="L107" t="s">
        <v>8760</v>
      </c>
      <c r="M107" t="s">
        <v>6249</v>
      </c>
      <c r="N107" t="s">
        <v>8347</v>
      </c>
      <c r="O107" t="s">
        <v>8348</v>
      </c>
      <c r="P107" t="s">
        <v>8325</v>
      </c>
      <c r="Q107">
        <v>1993075</v>
      </c>
      <c r="R107">
        <v>20832592</v>
      </c>
      <c r="U107" t="s">
        <v>707</v>
      </c>
      <c r="V107" t="s">
        <v>193</v>
      </c>
      <c r="W107">
        <v>25</v>
      </c>
      <c r="Y107" t="s">
        <v>8757</v>
      </c>
      <c r="AE107" t="s">
        <v>8758</v>
      </c>
      <c r="AF107" t="s">
        <v>4714</v>
      </c>
      <c r="AG107" t="s">
        <v>8759</v>
      </c>
      <c r="AI107" t="s">
        <v>6955</v>
      </c>
      <c r="AJ107" s="408" t="str">
        <f t="shared" si="1"/>
        <v>422201</v>
      </c>
    </row>
    <row r="108" spans="1:36" x14ac:dyDescent="0.25">
      <c r="A108" t="s">
        <v>8131</v>
      </c>
      <c r="B108" t="s">
        <v>8761</v>
      </c>
      <c r="C108" t="s">
        <v>706</v>
      </c>
      <c r="D108" t="s">
        <v>8344</v>
      </c>
      <c r="E108" t="s">
        <v>233</v>
      </c>
      <c r="F108">
        <v>1</v>
      </c>
      <c r="G108" t="s">
        <v>193</v>
      </c>
      <c r="H108" t="s">
        <v>194</v>
      </c>
      <c r="I108" t="s">
        <v>8345</v>
      </c>
      <c r="J108" t="s">
        <v>196</v>
      </c>
      <c r="K108">
        <v>18</v>
      </c>
      <c r="L108" t="s">
        <v>8762</v>
      </c>
      <c r="M108" t="s">
        <v>6249</v>
      </c>
      <c r="N108" t="s">
        <v>8347</v>
      </c>
      <c r="O108" t="s">
        <v>8348</v>
      </c>
      <c r="P108" t="s">
        <v>8325</v>
      </c>
      <c r="Q108">
        <v>1993091</v>
      </c>
      <c r="R108">
        <v>20832612</v>
      </c>
      <c r="U108" t="s">
        <v>707</v>
      </c>
      <c r="V108" t="s">
        <v>193</v>
      </c>
      <c r="W108">
        <v>25</v>
      </c>
      <c r="Y108" t="s">
        <v>8757</v>
      </c>
      <c r="AE108" t="s">
        <v>8758</v>
      </c>
      <c r="AF108" t="s">
        <v>4714</v>
      </c>
      <c r="AG108" t="s">
        <v>8761</v>
      </c>
      <c r="AI108" t="s">
        <v>6955</v>
      </c>
      <c r="AJ108" s="408" t="str">
        <f t="shared" si="1"/>
        <v>422201</v>
      </c>
    </row>
    <row r="109" spans="1:36" x14ac:dyDescent="0.25">
      <c r="A109" t="s">
        <v>8131</v>
      </c>
      <c r="B109" t="s">
        <v>8763</v>
      </c>
      <c r="C109" t="s">
        <v>706</v>
      </c>
      <c r="D109" t="s">
        <v>8344</v>
      </c>
      <c r="E109" t="s">
        <v>233</v>
      </c>
      <c r="F109">
        <v>1</v>
      </c>
      <c r="G109" t="s">
        <v>193</v>
      </c>
      <c r="H109" t="s">
        <v>194</v>
      </c>
      <c r="I109" t="s">
        <v>8345</v>
      </c>
      <c r="J109" t="s">
        <v>196</v>
      </c>
      <c r="K109">
        <v>18</v>
      </c>
      <c r="L109" t="s">
        <v>8764</v>
      </c>
      <c r="M109" t="s">
        <v>6249</v>
      </c>
      <c r="N109" t="s">
        <v>8347</v>
      </c>
      <c r="O109" t="s">
        <v>8348</v>
      </c>
      <c r="P109" t="s">
        <v>8325</v>
      </c>
      <c r="Q109">
        <v>1993107</v>
      </c>
      <c r="R109">
        <v>20832631</v>
      </c>
      <c r="U109" t="s">
        <v>707</v>
      </c>
      <c r="V109" t="s">
        <v>193</v>
      </c>
      <c r="W109">
        <v>25</v>
      </c>
      <c r="Y109" t="s">
        <v>8757</v>
      </c>
      <c r="AE109" t="s">
        <v>8758</v>
      </c>
      <c r="AF109" t="s">
        <v>4714</v>
      </c>
      <c r="AG109" t="s">
        <v>8763</v>
      </c>
      <c r="AI109" t="s">
        <v>6955</v>
      </c>
      <c r="AJ109" s="408" t="str">
        <f t="shared" si="1"/>
        <v>422201</v>
      </c>
    </row>
    <row r="110" spans="1:36" x14ac:dyDescent="0.25">
      <c r="A110" t="s">
        <v>8131</v>
      </c>
      <c r="B110" t="s">
        <v>8765</v>
      </c>
      <c r="C110" t="s">
        <v>706</v>
      </c>
      <c r="D110" t="s">
        <v>8344</v>
      </c>
      <c r="E110" t="s">
        <v>233</v>
      </c>
      <c r="F110">
        <v>1</v>
      </c>
      <c r="G110" t="s">
        <v>193</v>
      </c>
      <c r="H110" t="s">
        <v>194</v>
      </c>
      <c r="I110" t="s">
        <v>8345</v>
      </c>
      <c r="J110" t="s">
        <v>196</v>
      </c>
      <c r="K110">
        <v>18</v>
      </c>
      <c r="L110" t="s">
        <v>8766</v>
      </c>
      <c r="M110" t="s">
        <v>6249</v>
      </c>
      <c r="N110" t="s">
        <v>8347</v>
      </c>
      <c r="O110" t="s">
        <v>8348</v>
      </c>
      <c r="P110" t="s">
        <v>8325</v>
      </c>
      <c r="Q110">
        <v>1993123</v>
      </c>
      <c r="R110">
        <v>20832653</v>
      </c>
      <c r="U110" t="s">
        <v>707</v>
      </c>
      <c r="V110" t="s">
        <v>193</v>
      </c>
      <c r="W110">
        <v>25</v>
      </c>
      <c r="Y110" t="s">
        <v>8757</v>
      </c>
      <c r="AE110" t="s">
        <v>8758</v>
      </c>
      <c r="AF110" t="s">
        <v>4714</v>
      </c>
      <c r="AG110" t="s">
        <v>8765</v>
      </c>
      <c r="AI110" t="s">
        <v>6955</v>
      </c>
      <c r="AJ110" s="408" t="str">
        <f t="shared" si="1"/>
        <v>422201</v>
      </c>
    </row>
    <row r="111" spans="1:36" x14ac:dyDescent="0.25">
      <c r="A111" t="s">
        <v>8131</v>
      </c>
      <c r="B111" t="s">
        <v>8767</v>
      </c>
      <c r="C111" t="s">
        <v>706</v>
      </c>
      <c r="D111" t="s">
        <v>8344</v>
      </c>
      <c r="E111" t="s">
        <v>233</v>
      </c>
      <c r="F111">
        <v>1</v>
      </c>
      <c r="G111" t="s">
        <v>193</v>
      </c>
      <c r="H111" t="s">
        <v>194</v>
      </c>
      <c r="I111" t="s">
        <v>8345</v>
      </c>
      <c r="J111" t="s">
        <v>196</v>
      </c>
      <c r="K111">
        <v>18</v>
      </c>
      <c r="L111" t="s">
        <v>8768</v>
      </c>
      <c r="M111" t="s">
        <v>6249</v>
      </c>
      <c r="N111" t="s">
        <v>8347</v>
      </c>
      <c r="O111" t="s">
        <v>8348</v>
      </c>
      <c r="P111" t="s">
        <v>8325</v>
      </c>
      <c r="Q111">
        <v>1993139</v>
      </c>
      <c r="R111">
        <v>20832680</v>
      </c>
      <c r="U111" t="s">
        <v>707</v>
      </c>
      <c r="V111" t="s">
        <v>193</v>
      </c>
      <c r="W111">
        <v>25</v>
      </c>
      <c r="Y111" t="s">
        <v>8757</v>
      </c>
      <c r="AE111" t="s">
        <v>8758</v>
      </c>
      <c r="AF111" t="s">
        <v>4714</v>
      </c>
      <c r="AG111" t="s">
        <v>8767</v>
      </c>
      <c r="AI111" t="s">
        <v>6955</v>
      </c>
      <c r="AJ111" s="408" t="str">
        <f t="shared" si="1"/>
        <v>422201</v>
      </c>
    </row>
    <row r="112" spans="1:36" x14ac:dyDescent="0.25">
      <c r="A112" t="s">
        <v>8131</v>
      </c>
      <c r="B112" t="s">
        <v>8769</v>
      </c>
      <c r="C112" t="s">
        <v>706</v>
      </c>
      <c r="D112" t="s">
        <v>8344</v>
      </c>
      <c r="E112" t="s">
        <v>233</v>
      </c>
      <c r="F112">
        <v>1</v>
      </c>
      <c r="G112" t="s">
        <v>193</v>
      </c>
      <c r="H112" t="s">
        <v>194</v>
      </c>
      <c r="I112" t="s">
        <v>8345</v>
      </c>
      <c r="J112" t="s">
        <v>196</v>
      </c>
      <c r="K112">
        <v>18</v>
      </c>
      <c r="L112" t="s">
        <v>8770</v>
      </c>
      <c r="M112" t="s">
        <v>6249</v>
      </c>
      <c r="N112" t="s">
        <v>8347</v>
      </c>
      <c r="O112" t="s">
        <v>8348</v>
      </c>
      <c r="P112" t="s">
        <v>8325</v>
      </c>
      <c r="Q112">
        <v>1993155</v>
      </c>
      <c r="R112">
        <v>20832704</v>
      </c>
      <c r="U112" t="s">
        <v>707</v>
      </c>
      <c r="V112" t="s">
        <v>193</v>
      </c>
      <c r="W112">
        <v>25</v>
      </c>
      <c r="Y112" t="s">
        <v>8757</v>
      </c>
      <c r="AE112" t="s">
        <v>8758</v>
      </c>
      <c r="AF112" t="s">
        <v>4714</v>
      </c>
      <c r="AG112" t="s">
        <v>8769</v>
      </c>
      <c r="AI112" t="s">
        <v>6955</v>
      </c>
      <c r="AJ112" s="408" t="str">
        <f t="shared" si="1"/>
        <v>422201</v>
      </c>
    </row>
    <row r="113" spans="1:37" x14ac:dyDescent="0.25">
      <c r="A113" t="s">
        <v>8131</v>
      </c>
      <c r="B113" t="s">
        <v>8771</v>
      </c>
      <c r="C113" t="s">
        <v>706</v>
      </c>
      <c r="D113" t="s">
        <v>8344</v>
      </c>
      <c r="E113" t="s">
        <v>233</v>
      </c>
      <c r="F113">
        <v>1</v>
      </c>
      <c r="G113" t="s">
        <v>193</v>
      </c>
      <c r="H113" t="s">
        <v>194</v>
      </c>
      <c r="I113" t="s">
        <v>8345</v>
      </c>
      <c r="J113" t="s">
        <v>196</v>
      </c>
      <c r="K113">
        <v>18</v>
      </c>
      <c r="L113" t="s">
        <v>8772</v>
      </c>
      <c r="M113" t="s">
        <v>6249</v>
      </c>
      <c r="N113" t="s">
        <v>8347</v>
      </c>
      <c r="O113" t="s">
        <v>8348</v>
      </c>
      <c r="P113" t="s">
        <v>8325</v>
      </c>
      <c r="Q113">
        <v>1993171</v>
      </c>
      <c r="R113">
        <v>20832723</v>
      </c>
      <c r="U113" t="s">
        <v>707</v>
      </c>
      <c r="V113" t="s">
        <v>193</v>
      </c>
      <c r="W113">
        <v>25</v>
      </c>
      <c r="Y113" t="s">
        <v>8757</v>
      </c>
      <c r="AE113" t="s">
        <v>8758</v>
      </c>
      <c r="AF113" t="s">
        <v>4714</v>
      </c>
      <c r="AG113" t="s">
        <v>8771</v>
      </c>
      <c r="AI113" t="s">
        <v>6955</v>
      </c>
      <c r="AJ113" s="408" t="str">
        <f t="shared" si="1"/>
        <v>422201</v>
      </c>
    </row>
    <row r="114" spans="1:37" x14ac:dyDescent="0.25">
      <c r="A114" t="s">
        <v>8131</v>
      </c>
      <c r="B114" t="s">
        <v>8773</v>
      </c>
      <c r="C114" t="s">
        <v>706</v>
      </c>
      <c r="D114" t="s">
        <v>8344</v>
      </c>
      <c r="E114" t="s">
        <v>233</v>
      </c>
      <c r="F114">
        <v>1</v>
      </c>
      <c r="G114" t="s">
        <v>193</v>
      </c>
      <c r="H114" t="s">
        <v>194</v>
      </c>
      <c r="I114" t="s">
        <v>8345</v>
      </c>
      <c r="J114" t="s">
        <v>196</v>
      </c>
      <c r="K114">
        <v>18</v>
      </c>
      <c r="L114" t="s">
        <v>8774</v>
      </c>
      <c r="M114" t="s">
        <v>6249</v>
      </c>
      <c r="N114" t="s">
        <v>8347</v>
      </c>
      <c r="O114" t="s">
        <v>8348</v>
      </c>
      <c r="P114" t="s">
        <v>8325</v>
      </c>
      <c r="Q114">
        <v>1993188</v>
      </c>
      <c r="R114">
        <v>20832743</v>
      </c>
      <c r="U114" t="s">
        <v>707</v>
      </c>
      <c r="V114" t="s">
        <v>193</v>
      </c>
      <c r="W114">
        <v>25</v>
      </c>
      <c r="Y114" t="s">
        <v>8757</v>
      </c>
      <c r="AE114" t="s">
        <v>8758</v>
      </c>
      <c r="AF114" t="s">
        <v>4714</v>
      </c>
      <c r="AG114" t="s">
        <v>8773</v>
      </c>
      <c r="AI114" t="s">
        <v>6955</v>
      </c>
      <c r="AJ114" s="408" t="str">
        <f t="shared" si="1"/>
        <v>422201</v>
      </c>
    </row>
    <row r="115" spans="1:37" x14ac:dyDescent="0.25">
      <c r="A115" t="s">
        <v>8131</v>
      </c>
      <c r="B115" t="s">
        <v>8775</v>
      </c>
      <c r="C115" t="s">
        <v>706</v>
      </c>
      <c r="D115" t="s">
        <v>8344</v>
      </c>
      <c r="E115" t="s">
        <v>233</v>
      </c>
      <c r="F115">
        <v>1</v>
      </c>
      <c r="G115" t="s">
        <v>193</v>
      </c>
      <c r="H115" t="s">
        <v>194</v>
      </c>
      <c r="I115" t="s">
        <v>8345</v>
      </c>
      <c r="J115" t="s">
        <v>196</v>
      </c>
      <c r="K115">
        <v>18</v>
      </c>
      <c r="L115" t="s">
        <v>8776</v>
      </c>
      <c r="M115" t="s">
        <v>6249</v>
      </c>
      <c r="N115" t="s">
        <v>8347</v>
      </c>
      <c r="O115" t="s">
        <v>8348</v>
      </c>
      <c r="P115" t="s">
        <v>8325</v>
      </c>
      <c r="Q115">
        <v>1993204</v>
      </c>
      <c r="R115">
        <v>20832762</v>
      </c>
      <c r="U115" t="s">
        <v>707</v>
      </c>
      <c r="V115" t="s">
        <v>193</v>
      </c>
      <c r="W115">
        <v>25</v>
      </c>
      <c r="Y115" t="s">
        <v>8757</v>
      </c>
      <c r="AE115" t="s">
        <v>8758</v>
      </c>
      <c r="AF115" t="s">
        <v>4714</v>
      </c>
      <c r="AG115" t="s">
        <v>8775</v>
      </c>
      <c r="AI115" t="s">
        <v>6955</v>
      </c>
      <c r="AJ115" s="408" t="str">
        <f t="shared" si="1"/>
        <v>422201</v>
      </c>
    </row>
    <row r="116" spans="1:37" x14ac:dyDescent="0.25">
      <c r="A116" t="s">
        <v>8131</v>
      </c>
      <c r="B116" t="s">
        <v>8777</v>
      </c>
      <c r="C116" t="s">
        <v>706</v>
      </c>
      <c r="D116" t="s">
        <v>8344</v>
      </c>
      <c r="E116" t="s">
        <v>233</v>
      </c>
      <c r="F116">
        <v>1</v>
      </c>
      <c r="G116" t="s">
        <v>193</v>
      </c>
      <c r="H116" t="s">
        <v>194</v>
      </c>
      <c r="I116" t="s">
        <v>8345</v>
      </c>
      <c r="J116" t="s">
        <v>196</v>
      </c>
      <c r="K116">
        <v>18</v>
      </c>
      <c r="L116" t="s">
        <v>8778</v>
      </c>
      <c r="M116" t="s">
        <v>6249</v>
      </c>
      <c r="N116" t="s">
        <v>8347</v>
      </c>
      <c r="O116" t="s">
        <v>8348</v>
      </c>
      <c r="P116" t="s">
        <v>8325</v>
      </c>
      <c r="Q116">
        <v>1993220</v>
      </c>
      <c r="R116">
        <v>20832785</v>
      </c>
      <c r="U116" t="s">
        <v>707</v>
      </c>
      <c r="V116" t="s">
        <v>193</v>
      </c>
      <c r="W116">
        <v>25</v>
      </c>
      <c r="Y116" t="s">
        <v>8757</v>
      </c>
      <c r="AE116" t="s">
        <v>8758</v>
      </c>
      <c r="AF116" t="s">
        <v>4714</v>
      </c>
      <c r="AG116" t="s">
        <v>8777</v>
      </c>
      <c r="AI116" t="s">
        <v>6955</v>
      </c>
      <c r="AJ116" s="408" t="str">
        <f t="shared" si="1"/>
        <v>422201</v>
      </c>
    </row>
    <row r="117" spans="1:37" hidden="1" x14ac:dyDescent="0.25">
      <c r="A117" t="s">
        <v>8700</v>
      </c>
      <c r="B117" t="s">
        <v>8779</v>
      </c>
      <c r="C117" t="s">
        <v>706</v>
      </c>
      <c r="D117" t="s">
        <v>8320</v>
      </c>
      <c r="E117" t="s">
        <v>233</v>
      </c>
      <c r="F117">
        <v>1</v>
      </c>
      <c r="G117" s="386" t="s">
        <v>194</v>
      </c>
      <c r="H117" s="24" t="s">
        <v>193</v>
      </c>
      <c r="I117" t="s">
        <v>8330</v>
      </c>
      <c r="J117" t="s">
        <v>196</v>
      </c>
      <c r="K117">
        <v>18</v>
      </c>
      <c r="L117" t="s">
        <v>8780</v>
      </c>
      <c r="M117" t="s">
        <v>6249</v>
      </c>
      <c r="N117" t="s">
        <v>8332</v>
      </c>
      <c r="O117" t="s">
        <v>8306</v>
      </c>
      <c r="P117" t="s">
        <v>8378</v>
      </c>
      <c r="Q117">
        <v>2013701</v>
      </c>
      <c r="R117">
        <v>21283237</v>
      </c>
      <c r="U117" t="s">
        <v>707</v>
      </c>
      <c r="V117" t="s">
        <v>193</v>
      </c>
      <c r="W117">
        <v>25</v>
      </c>
      <c r="Y117" t="s">
        <v>8781</v>
      </c>
      <c r="AE117" t="s">
        <v>8782</v>
      </c>
      <c r="AF117" t="s">
        <v>4714</v>
      </c>
      <c r="AG117" t="s">
        <v>8779</v>
      </c>
      <c r="AI117" t="s">
        <v>6955</v>
      </c>
      <c r="AJ117" s="408" t="str">
        <f t="shared" si="1"/>
        <v>422201</v>
      </c>
    </row>
    <row r="118" spans="1:37" x14ac:dyDescent="0.25">
      <c r="A118" t="s">
        <v>4726</v>
      </c>
      <c r="B118" t="s">
        <v>8783</v>
      </c>
      <c r="C118" t="s">
        <v>706</v>
      </c>
      <c r="D118" t="s">
        <v>8320</v>
      </c>
      <c r="E118" t="s">
        <v>233</v>
      </c>
      <c r="F118">
        <v>1</v>
      </c>
      <c r="G118" t="s">
        <v>193</v>
      </c>
      <c r="H118" t="s">
        <v>194</v>
      </c>
      <c r="I118" t="s">
        <v>8330</v>
      </c>
      <c r="J118" t="s">
        <v>196</v>
      </c>
      <c r="K118">
        <v>18</v>
      </c>
      <c r="L118" t="s">
        <v>8784</v>
      </c>
      <c r="M118" t="s">
        <v>6254</v>
      </c>
      <c r="N118" t="s">
        <v>8332</v>
      </c>
      <c r="O118" t="s">
        <v>8306</v>
      </c>
      <c r="P118" t="s">
        <v>8378</v>
      </c>
      <c r="Q118">
        <v>2013957</v>
      </c>
      <c r="R118">
        <v>21284409</v>
      </c>
      <c r="U118" t="s">
        <v>707</v>
      </c>
      <c r="V118" t="s">
        <v>193</v>
      </c>
      <c r="W118">
        <v>25</v>
      </c>
      <c r="Y118" t="s">
        <v>8785</v>
      </c>
      <c r="AE118" t="s">
        <v>8786</v>
      </c>
      <c r="AF118" t="s">
        <v>4714</v>
      </c>
      <c r="AG118" t="s">
        <v>8783</v>
      </c>
      <c r="AI118" t="s">
        <v>6955</v>
      </c>
      <c r="AJ118" s="408" t="str">
        <f t="shared" si="1"/>
        <v>422201</v>
      </c>
    </row>
    <row r="119" spans="1:37" s="410" customFormat="1" hidden="1" x14ac:dyDescent="0.25">
      <c r="A119" s="410" t="s">
        <v>8787</v>
      </c>
      <c r="B119" s="410" t="s">
        <v>1406</v>
      </c>
      <c r="C119" s="410" t="s">
        <v>10</v>
      </c>
      <c r="D119" s="410" t="s">
        <v>8344</v>
      </c>
      <c r="E119" s="410" t="s">
        <v>233</v>
      </c>
      <c r="F119" s="410">
        <v>1</v>
      </c>
      <c r="G119" s="410" t="s">
        <v>194</v>
      </c>
      <c r="H119" s="24" t="s">
        <v>193</v>
      </c>
      <c r="I119" s="410" t="s">
        <v>8345</v>
      </c>
      <c r="J119" s="410" t="s">
        <v>196</v>
      </c>
      <c r="K119" s="410">
        <v>18</v>
      </c>
      <c r="L119" s="410" t="s">
        <v>8788</v>
      </c>
      <c r="M119" s="410" t="s">
        <v>6261</v>
      </c>
      <c r="N119" s="410" t="s">
        <v>8357</v>
      </c>
      <c r="O119" s="410" t="s">
        <v>8348</v>
      </c>
      <c r="P119" s="410" t="s">
        <v>8497</v>
      </c>
      <c r="Q119" s="410">
        <v>1992021</v>
      </c>
      <c r="R119" s="410">
        <v>20614058</v>
      </c>
      <c r="U119" s="410" t="s">
        <v>484</v>
      </c>
      <c r="V119" s="410" t="s">
        <v>194</v>
      </c>
      <c r="W119" s="410">
        <v>0</v>
      </c>
      <c r="Y119" s="410" t="s">
        <v>8789</v>
      </c>
      <c r="AE119" s="410" t="s">
        <v>8790</v>
      </c>
      <c r="AF119" s="410" t="s">
        <v>4714</v>
      </c>
      <c r="AG119" s="410" t="s">
        <v>1406</v>
      </c>
      <c r="AI119" s="410" t="s">
        <v>6955</v>
      </c>
      <c r="AJ119" s="411" t="str">
        <f t="shared" si="1"/>
        <v>251401</v>
      </c>
      <c r="AK119" s="386"/>
    </row>
    <row r="120" spans="1:37" x14ac:dyDescent="0.25">
      <c r="A120" t="s">
        <v>8312</v>
      </c>
      <c r="B120" t="s">
        <v>8791</v>
      </c>
      <c r="C120" t="s">
        <v>10</v>
      </c>
      <c r="D120" t="s">
        <v>8344</v>
      </c>
      <c r="E120" t="s">
        <v>233</v>
      </c>
      <c r="F120">
        <v>1</v>
      </c>
      <c r="G120" t="s">
        <v>193</v>
      </c>
      <c r="H120" t="s">
        <v>194</v>
      </c>
      <c r="I120" t="s">
        <v>8345</v>
      </c>
      <c r="J120" t="s">
        <v>196</v>
      </c>
      <c r="K120">
        <v>18</v>
      </c>
      <c r="L120" t="s">
        <v>8792</v>
      </c>
      <c r="M120" t="s">
        <v>6261</v>
      </c>
      <c r="N120" t="s">
        <v>8357</v>
      </c>
      <c r="O120" t="s">
        <v>8348</v>
      </c>
      <c r="P120" t="s">
        <v>8325</v>
      </c>
      <c r="Q120">
        <v>1992305</v>
      </c>
      <c r="R120">
        <v>20829753</v>
      </c>
      <c r="U120" t="s">
        <v>484</v>
      </c>
      <c r="V120" t="s">
        <v>193</v>
      </c>
      <c r="W120">
        <v>25</v>
      </c>
      <c r="X120" t="s">
        <v>8793</v>
      </c>
      <c r="Y120" t="s">
        <v>8794</v>
      </c>
      <c r="AE120" t="s">
        <v>8795</v>
      </c>
      <c r="AF120" t="s">
        <v>4714</v>
      </c>
      <c r="AG120" t="s">
        <v>8791</v>
      </c>
      <c r="AI120" t="s">
        <v>6955</v>
      </c>
      <c r="AJ120" s="408" t="str">
        <f t="shared" si="1"/>
        <v>251401</v>
      </c>
    </row>
    <row r="121" spans="1:37" x14ac:dyDescent="0.25">
      <c r="A121" t="s">
        <v>8312</v>
      </c>
      <c r="B121" t="s">
        <v>2276</v>
      </c>
      <c r="C121" t="s">
        <v>10</v>
      </c>
      <c r="D121" t="s">
        <v>8344</v>
      </c>
      <c r="E121" t="s">
        <v>233</v>
      </c>
      <c r="F121">
        <v>1</v>
      </c>
      <c r="G121" t="s">
        <v>193</v>
      </c>
      <c r="H121" t="s">
        <v>194</v>
      </c>
      <c r="I121" t="s">
        <v>8345</v>
      </c>
      <c r="J121" t="s">
        <v>196</v>
      </c>
      <c r="K121">
        <v>18</v>
      </c>
      <c r="L121" t="s">
        <v>8796</v>
      </c>
      <c r="M121" t="s">
        <v>6261</v>
      </c>
      <c r="N121" t="s">
        <v>8357</v>
      </c>
      <c r="O121" t="s">
        <v>8348</v>
      </c>
      <c r="P121" t="s">
        <v>8325</v>
      </c>
      <c r="Q121">
        <v>1992321</v>
      </c>
      <c r="R121">
        <v>20829772</v>
      </c>
      <c r="U121" t="s">
        <v>484</v>
      </c>
      <c r="V121" t="s">
        <v>193</v>
      </c>
      <c r="W121">
        <v>25</v>
      </c>
      <c r="X121" t="s">
        <v>8797</v>
      </c>
      <c r="Y121" t="s">
        <v>8798</v>
      </c>
      <c r="AE121" t="s">
        <v>8799</v>
      </c>
      <c r="AF121" t="s">
        <v>4714</v>
      </c>
      <c r="AG121" t="s">
        <v>2276</v>
      </c>
      <c r="AI121" t="s">
        <v>6955</v>
      </c>
      <c r="AJ121" s="408" t="str">
        <f t="shared" si="1"/>
        <v>251401</v>
      </c>
    </row>
    <row r="122" spans="1:37" x14ac:dyDescent="0.25">
      <c r="A122" t="s">
        <v>8312</v>
      </c>
      <c r="B122" t="s">
        <v>8800</v>
      </c>
      <c r="C122" t="s">
        <v>10</v>
      </c>
      <c r="D122" t="s">
        <v>8344</v>
      </c>
      <c r="E122" t="s">
        <v>233</v>
      </c>
      <c r="F122">
        <v>1</v>
      </c>
      <c r="G122" t="s">
        <v>193</v>
      </c>
      <c r="H122" t="s">
        <v>194</v>
      </c>
      <c r="I122" t="s">
        <v>8345</v>
      </c>
      <c r="J122" t="s">
        <v>196</v>
      </c>
      <c r="K122">
        <v>18</v>
      </c>
      <c r="L122" t="s">
        <v>8801</v>
      </c>
      <c r="M122" t="s">
        <v>6261</v>
      </c>
      <c r="N122" t="s">
        <v>8357</v>
      </c>
      <c r="O122" t="s">
        <v>8348</v>
      </c>
      <c r="P122" t="s">
        <v>8325</v>
      </c>
      <c r="Q122">
        <v>1992337</v>
      </c>
      <c r="R122">
        <v>20829816</v>
      </c>
      <c r="U122" t="s">
        <v>484</v>
      </c>
      <c r="V122" t="s">
        <v>193</v>
      </c>
      <c r="W122">
        <v>25</v>
      </c>
      <c r="X122" t="s">
        <v>8802</v>
      </c>
      <c r="Y122" t="s">
        <v>8803</v>
      </c>
      <c r="AE122" t="s">
        <v>8804</v>
      </c>
      <c r="AF122" t="s">
        <v>4714</v>
      </c>
      <c r="AG122" t="s">
        <v>8800</v>
      </c>
      <c r="AI122" t="s">
        <v>6955</v>
      </c>
      <c r="AJ122" s="408" t="str">
        <f t="shared" si="1"/>
        <v>251401</v>
      </c>
    </row>
    <row r="123" spans="1:37" x14ac:dyDescent="0.25">
      <c r="A123" t="s">
        <v>5810</v>
      </c>
      <c r="B123" t="s">
        <v>8805</v>
      </c>
      <c r="C123" t="s">
        <v>10</v>
      </c>
      <c r="D123" t="s">
        <v>8344</v>
      </c>
      <c r="E123" t="s">
        <v>233</v>
      </c>
      <c r="F123">
        <v>1</v>
      </c>
      <c r="G123" t="s">
        <v>193</v>
      </c>
      <c r="H123" t="s">
        <v>194</v>
      </c>
      <c r="I123" t="s">
        <v>8345</v>
      </c>
      <c r="J123" t="s">
        <v>196</v>
      </c>
      <c r="K123">
        <v>18</v>
      </c>
      <c r="L123" t="s">
        <v>8806</v>
      </c>
      <c r="M123" t="s">
        <v>6261</v>
      </c>
      <c r="N123" t="s">
        <v>8347</v>
      </c>
      <c r="O123" t="s">
        <v>8348</v>
      </c>
      <c r="P123" t="s">
        <v>8325</v>
      </c>
      <c r="Q123">
        <v>1992758</v>
      </c>
      <c r="R123">
        <v>20831459</v>
      </c>
      <c r="U123" t="s">
        <v>484</v>
      </c>
      <c r="V123" t="s">
        <v>193</v>
      </c>
      <c r="W123">
        <v>25</v>
      </c>
      <c r="Y123" t="s">
        <v>8807</v>
      </c>
      <c r="AF123" t="s">
        <v>4714</v>
      </c>
      <c r="AG123" t="s">
        <v>8805</v>
      </c>
      <c r="AI123" t="s">
        <v>6955</v>
      </c>
      <c r="AJ123" s="408" t="str">
        <f t="shared" si="1"/>
        <v>251401</v>
      </c>
    </row>
    <row r="124" spans="1:37" x14ac:dyDescent="0.25">
      <c r="A124" t="s">
        <v>5810</v>
      </c>
      <c r="B124" t="s">
        <v>2276</v>
      </c>
      <c r="C124" t="s">
        <v>10</v>
      </c>
      <c r="D124" t="s">
        <v>8344</v>
      </c>
      <c r="E124" t="s">
        <v>233</v>
      </c>
      <c r="F124">
        <v>1</v>
      </c>
      <c r="G124" t="s">
        <v>193</v>
      </c>
      <c r="H124" t="s">
        <v>194</v>
      </c>
      <c r="I124" t="s">
        <v>8345</v>
      </c>
      <c r="J124" t="s">
        <v>196</v>
      </c>
      <c r="K124">
        <v>18</v>
      </c>
      <c r="L124" t="s">
        <v>8808</v>
      </c>
      <c r="M124" t="s">
        <v>6261</v>
      </c>
      <c r="N124" t="s">
        <v>8347</v>
      </c>
      <c r="O124" t="s">
        <v>8348</v>
      </c>
      <c r="P124" t="s">
        <v>8325</v>
      </c>
      <c r="Q124">
        <v>1992936</v>
      </c>
      <c r="R124">
        <v>20832191</v>
      </c>
      <c r="U124" t="s">
        <v>484</v>
      </c>
      <c r="V124" t="s">
        <v>193</v>
      </c>
      <c r="W124">
        <v>25</v>
      </c>
      <c r="Y124" t="s">
        <v>8809</v>
      </c>
      <c r="AE124" t="s">
        <v>8810</v>
      </c>
      <c r="AF124" t="s">
        <v>4714</v>
      </c>
      <c r="AG124" t="s">
        <v>2276</v>
      </c>
      <c r="AI124" t="s">
        <v>6955</v>
      </c>
      <c r="AJ124" s="408" t="str">
        <f t="shared" si="1"/>
        <v>251401</v>
      </c>
    </row>
    <row r="125" spans="1:37" x14ac:dyDescent="0.25">
      <c r="A125" t="s">
        <v>8811</v>
      </c>
      <c r="B125" t="s">
        <v>1419</v>
      </c>
      <c r="C125" t="s">
        <v>10</v>
      </c>
      <c r="D125" t="s">
        <v>8344</v>
      </c>
      <c r="E125" t="s">
        <v>233</v>
      </c>
      <c r="F125">
        <v>1</v>
      </c>
      <c r="G125" t="s">
        <v>193</v>
      </c>
      <c r="H125" t="s">
        <v>194</v>
      </c>
      <c r="I125" t="s">
        <v>8345</v>
      </c>
      <c r="J125" t="s">
        <v>196</v>
      </c>
      <c r="K125">
        <v>18</v>
      </c>
      <c r="L125" t="s">
        <v>8812</v>
      </c>
      <c r="M125" t="s">
        <v>6261</v>
      </c>
      <c r="N125" t="s">
        <v>8347</v>
      </c>
      <c r="O125" t="s">
        <v>8348</v>
      </c>
      <c r="P125" t="s">
        <v>8325</v>
      </c>
      <c r="Q125">
        <v>1992980</v>
      </c>
      <c r="R125">
        <v>20832370</v>
      </c>
      <c r="U125" t="s">
        <v>484</v>
      </c>
      <c r="V125" t="s">
        <v>193</v>
      </c>
      <c r="W125">
        <v>25</v>
      </c>
      <c r="X125" t="s">
        <v>8813</v>
      </c>
      <c r="Y125" t="s">
        <v>8814</v>
      </c>
      <c r="AE125" t="s">
        <v>8815</v>
      </c>
      <c r="AF125" t="s">
        <v>4714</v>
      </c>
      <c r="AG125" t="s">
        <v>1419</v>
      </c>
      <c r="AI125" t="s">
        <v>6955</v>
      </c>
      <c r="AJ125" s="408" t="str">
        <f t="shared" si="1"/>
        <v>251401</v>
      </c>
    </row>
    <row r="126" spans="1:37" x14ac:dyDescent="0.25">
      <c r="A126" t="s">
        <v>8787</v>
      </c>
      <c r="B126" t="s">
        <v>8816</v>
      </c>
      <c r="C126" t="s">
        <v>10</v>
      </c>
      <c r="D126" t="s">
        <v>8305</v>
      </c>
      <c r="E126" t="s">
        <v>233</v>
      </c>
      <c r="F126">
        <v>1</v>
      </c>
      <c r="G126" t="s">
        <v>193</v>
      </c>
      <c r="H126" t="s">
        <v>194</v>
      </c>
      <c r="I126" t="s">
        <v>8314</v>
      </c>
      <c r="J126" t="s">
        <v>196</v>
      </c>
      <c r="K126">
        <v>18</v>
      </c>
      <c r="L126" t="s">
        <v>8817</v>
      </c>
      <c r="M126" t="s">
        <v>6921</v>
      </c>
      <c r="N126" t="s">
        <v>8308</v>
      </c>
      <c r="O126" t="s">
        <v>8305</v>
      </c>
      <c r="P126" t="s">
        <v>8305</v>
      </c>
      <c r="Q126">
        <v>2002018</v>
      </c>
      <c r="R126">
        <v>20613979</v>
      </c>
      <c r="U126" t="s">
        <v>484</v>
      </c>
      <c r="V126" t="s">
        <v>193</v>
      </c>
      <c r="W126">
        <v>25</v>
      </c>
      <c r="Y126" t="s">
        <v>8818</v>
      </c>
      <c r="AE126" t="s">
        <v>8819</v>
      </c>
      <c r="AF126" t="s">
        <v>4714</v>
      </c>
      <c r="AG126" t="s">
        <v>8816</v>
      </c>
      <c r="AI126" t="s">
        <v>6955</v>
      </c>
      <c r="AJ126" s="408" t="str">
        <f t="shared" si="1"/>
        <v>251401</v>
      </c>
    </row>
    <row r="127" spans="1:37" x14ac:dyDescent="0.25">
      <c r="A127" t="s">
        <v>690</v>
      </c>
      <c r="B127" t="s">
        <v>8820</v>
      </c>
      <c r="C127" t="s">
        <v>10</v>
      </c>
      <c r="D127" t="s">
        <v>8305</v>
      </c>
      <c r="E127" t="s">
        <v>233</v>
      </c>
      <c r="F127">
        <v>1</v>
      </c>
      <c r="G127" t="s">
        <v>193</v>
      </c>
      <c r="H127" t="s">
        <v>194</v>
      </c>
      <c r="I127" t="s">
        <v>8314</v>
      </c>
      <c r="J127" t="s">
        <v>196</v>
      </c>
      <c r="K127">
        <v>18</v>
      </c>
      <c r="L127" t="s">
        <v>8821</v>
      </c>
      <c r="M127" t="s">
        <v>6921</v>
      </c>
      <c r="N127" t="s">
        <v>8308</v>
      </c>
      <c r="O127" t="s">
        <v>8309</v>
      </c>
      <c r="P127" t="s">
        <v>8822</v>
      </c>
      <c r="Q127">
        <v>2002062</v>
      </c>
      <c r="R127">
        <v>20678162</v>
      </c>
      <c r="U127" t="s">
        <v>484</v>
      </c>
      <c r="V127" t="s">
        <v>193</v>
      </c>
      <c r="W127">
        <v>25</v>
      </c>
      <c r="Y127" t="s">
        <v>8823</v>
      </c>
      <c r="AE127" t="s">
        <v>8824</v>
      </c>
      <c r="AF127" t="s">
        <v>4714</v>
      </c>
      <c r="AG127" t="s">
        <v>8820</v>
      </c>
      <c r="AI127" t="s">
        <v>6955</v>
      </c>
      <c r="AJ127" s="408" t="str">
        <f t="shared" si="1"/>
        <v>251401</v>
      </c>
    </row>
    <row r="128" spans="1:37" x14ac:dyDescent="0.25">
      <c r="A128" t="s">
        <v>8825</v>
      </c>
      <c r="B128" t="s">
        <v>8826</v>
      </c>
      <c r="C128" t="s">
        <v>10</v>
      </c>
      <c r="D128" t="s">
        <v>8305</v>
      </c>
      <c r="E128" t="s">
        <v>233</v>
      </c>
      <c r="F128">
        <v>1</v>
      </c>
      <c r="G128" t="s">
        <v>193</v>
      </c>
      <c r="H128" t="s">
        <v>194</v>
      </c>
      <c r="I128" t="s">
        <v>8314</v>
      </c>
      <c r="J128" t="s">
        <v>196</v>
      </c>
      <c r="K128">
        <v>18</v>
      </c>
      <c r="L128" t="s">
        <v>8827</v>
      </c>
      <c r="M128" t="s">
        <v>6921</v>
      </c>
      <c r="N128" t="s">
        <v>8308</v>
      </c>
      <c r="O128" t="s">
        <v>8345</v>
      </c>
      <c r="P128" t="s">
        <v>8828</v>
      </c>
      <c r="Q128">
        <v>2002114</v>
      </c>
      <c r="R128">
        <v>21021866</v>
      </c>
      <c r="U128" t="s">
        <v>484</v>
      </c>
      <c r="V128" t="s">
        <v>193</v>
      </c>
      <c r="W128">
        <v>25</v>
      </c>
      <c r="Y128" t="s">
        <v>8829</v>
      </c>
      <c r="AE128" t="s">
        <v>8830</v>
      </c>
      <c r="AF128" t="s">
        <v>4714</v>
      </c>
      <c r="AG128" t="s">
        <v>8826</v>
      </c>
      <c r="AI128" t="s">
        <v>6955</v>
      </c>
      <c r="AJ128" s="408" t="str">
        <f t="shared" si="1"/>
        <v>251401</v>
      </c>
    </row>
    <row r="129" spans="1:36" x14ac:dyDescent="0.25">
      <c r="A129" t="s">
        <v>8312</v>
      </c>
      <c r="B129" t="s">
        <v>8831</v>
      </c>
      <c r="C129" t="s">
        <v>10</v>
      </c>
      <c r="D129" t="s">
        <v>8305</v>
      </c>
      <c r="E129" t="s">
        <v>233</v>
      </c>
      <c r="F129">
        <v>1</v>
      </c>
      <c r="G129" t="s">
        <v>193</v>
      </c>
      <c r="H129" t="s">
        <v>194</v>
      </c>
      <c r="I129" t="s">
        <v>8314</v>
      </c>
      <c r="J129" t="s">
        <v>196</v>
      </c>
      <c r="K129">
        <v>18</v>
      </c>
      <c r="L129" t="s">
        <v>8832</v>
      </c>
      <c r="M129" t="s">
        <v>6261</v>
      </c>
      <c r="N129" t="s">
        <v>8308</v>
      </c>
      <c r="O129" t="s">
        <v>8309</v>
      </c>
      <c r="P129" t="s">
        <v>8310</v>
      </c>
      <c r="Q129">
        <v>2002140</v>
      </c>
      <c r="R129">
        <v>21050435</v>
      </c>
      <c r="U129" t="s">
        <v>484</v>
      </c>
      <c r="V129" t="s">
        <v>193</v>
      </c>
      <c r="W129">
        <v>25</v>
      </c>
      <c r="X129" t="s">
        <v>8833</v>
      </c>
      <c r="Y129" t="s">
        <v>8834</v>
      </c>
      <c r="AE129" t="s">
        <v>8835</v>
      </c>
      <c r="AF129" t="s">
        <v>4714</v>
      </c>
      <c r="AG129" t="s">
        <v>8831</v>
      </c>
      <c r="AI129" t="s">
        <v>6955</v>
      </c>
      <c r="AJ129" s="408" t="str">
        <f t="shared" si="1"/>
        <v>251401</v>
      </c>
    </row>
    <row r="130" spans="1:36" x14ac:dyDescent="0.25">
      <c r="A130" t="s">
        <v>8312</v>
      </c>
      <c r="B130" t="s">
        <v>2849</v>
      </c>
      <c r="C130" t="s">
        <v>10</v>
      </c>
      <c r="D130" t="s">
        <v>8305</v>
      </c>
      <c r="E130" t="s">
        <v>233</v>
      </c>
      <c r="F130">
        <v>1</v>
      </c>
      <c r="G130" t="s">
        <v>193</v>
      </c>
      <c r="H130" t="s">
        <v>194</v>
      </c>
      <c r="I130" t="s">
        <v>8314</v>
      </c>
      <c r="J130" t="s">
        <v>196</v>
      </c>
      <c r="K130">
        <v>18</v>
      </c>
      <c r="L130" t="s">
        <v>8836</v>
      </c>
      <c r="M130" t="s">
        <v>6261</v>
      </c>
      <c r="N130" t="s">
        <v>8308</v>
      </c>
      <c r="O130" t="s">
        <v>8309</v>
      </c>
      <c r="P130" t="s">
        <v>8310</v>
      </c>
      <c r="Q130">
        <v>2002172</v>
      </c>
      <c r="R130">
        <v>21050488</v>
      </c>
      <c r="U130" t="s">
        <v>484</v>
      </c>
      <c r="V130" t="s">
        <v>193</v>
      </c>
      <c r="W130">
        <v>25</v>
      </c>
      <c r="X130" t="s">
        <v>8837</v>
      </c>
      <c r="Y130" t="s">
        <v>8838</v>
      </c>
      <c r="AE130" t="s">
        <v>8839</v>
      </c>
      <c r="AF130" t="s">
        <v>4714</v>
      </c>
      <c r="AG130" t="s">
        <v>2849</v>
      </c>
      <c r="AI130" t="s">
        <v>6955</v>
      </c>
      <c r="AJ130" s="408" t="str">
        <f t="shared" si="1"/>
        <v>251401</v>
      </c>
    </row>
    <row r="131" spans="1:36" x14ac:dyDescent="0.25">
      <c r="A131" t="s">
        <v>8312</v>
      </c>
      <c r="B131" t="s">
        <v>8840</v>
      </c>
      <c r="C131" t="s">
        <v>10</v>
      </c>
      <c r="D131" t="s">
        <v>8305</v>
      </c>
      <c r="E131" t="s">
        <v>233</v>
      </c>
      <c r="F131">
        <v>1</v>
      </c>
      <c r="G131" t="s">
        <v>193</v>
      </c>
      <c r="H131" t="s">
        <v>194</v>
      </c>
      <c r="I131" t="s">
        <v>8314</v>
      </c>
      <c r="J131" t="s">
        <v>196</v>
      </c>
      <c r="K131">
        <v>18</v>
      </c>
      <c r="L131" t="s">
        <v>8841</v>
      </c>
      <c r="M131" t="s">
        <v>6261</v>
      </c>
      <c r="N131" t="s">
        <v>8308</v>
      </c>
      <c r="O131" t="s">
        <v>8309</v>
      </c>
      <c r="P131" t="s">
        <v>8310</v>
      </c>
      <c r="Q131">
        <v>2002188</v>
      </c>
      <c r="R131">
        <v>21050508</v>
      </c>
      <c r="U131" t="s">
        <v>484</v>
      </c>
      <c r="V131" t="s">
        <v>193</v>
      </c>
      <c r="W131">
        <v>25</v>
      </c>
      <c r="X131" t="s">
        <v>8842</v>
      </c>
      <c r="Y131" t="s">
        <v>8843</v>
      </c>
      <c r="AE131" t="s">
        <v>8844</v>
      </c>
      <c r="AF131" t="s">
        <v>4714</v>
      </c>
      <c r="AG131" t="s">
        <v>8840</v>
      </c>
      <c r="AI131" t="s">
        <v>6955</v>
      </c>
      <c r="AJ131" s="408" t="str">
        <f t="shared" ref="AJ131:AJ194" si="2">MID(U131,8,6)</f>
        <v>251401</v>
      </c>
    </row>
    <row r="132" spans="1:36" x14ac:dyDescent="0.25">
      <c r="A132" t="s">
        <v>8312</v>
      </c>
      <c r="B132" t="s">
        <v>8845</v>
      </c>
      <c r="C132" t="s">
        <v>10</v>
      </c>
      <c r="D132" t="s">
        <v>8305</v>
      </c>
      <c r="E132" t="s">
        <v>233</v>
      </c>
      <c r="F132">
        <v>1</v>
      </c>
      <c r="G132" t="s">
        <v>193</v>
      </c>
      <c r="H132" t="s">
        <v>194</v>
      </c>
      <c r="I132" t="s">
        <v>8306</v>
      </c>
      <c r="J132" t="s">
        <v>196</v>
      </c>
      <c r="K132">
        <v>18</v>
      </c>
      <c r="L132" t="s">
        <v>8846</v>
      </c>
      <c r="M132" t="s">
        <v>6921</v>
      </c>
      <c r="N132" t="s">
        <v>8308</v>
      </c>
      <c r="O132" t="s">
        <v>8309</v>
      </c>
      <c r="P132" t="s">
        <v>8310</v>
      </c>
      <c r="Q132">
        <v>2002204</v>
      </c>
      <c r="R132">
        <v>21050533</v>
      </c>
      <c r="U132" t="s">
        <v>484</v>
      </c>
      <c r="V132" t="s">
        <v>193</v>
      </c>
      <c r="W132">
        <v>25</v>
      </c>
      <c r="X132" t="s">
        <v>8847</v>
      </c>
      <c r="Y132" t="s">
        <v>8848</v>
      </c>
      <c r="AE132" t="s">
        <v>8849</v>
      </c>
      <c r="AF132" t="s">
        <v>4714</v>
      </c>
      <c r="AG132" t="s">
        <v>8845</v>
      </c>
      <c r="AI132" t="s">
        <v>6955</v>
      </c>
      <c r="AJ132" s="408" t="str">
        <f t="shared" si="2"/>
        <v>251401</v>
      </c>
    </row>
    <row r="133" spans="1:36" x14ac:dyDescent="0.25">
      <c r="A133" t="s">
        <v>8312</v>
      </c>
      <c r="B133" t="s">
        <v>8850</v>
      </c>
      <c r="C133" t="s">
        <v>10</v>
      </c>
      <c r="D133" t="s">
        <v>8305</v>
      </c>
      <c r="E133" t="s">
        <v>233</v>
      </c>
      <c r="F133">
        <v>1</v>
      </c>
      <c r="G133" t="s">
        <v>193</v>
      </c>
      <c r="H133" t="s">
        <v>194</v>
      </c>
      <c r="I133" t="s">
        <v>8314</v>
      </c>
      <c r="J133" t="s">
        <v>196</v>
      </c>
      <c r="K133">
        <v>18</v>
      </c>
      <c r="L133" t="s">
        <v>8851</v>
      </c>
      <c r="M133" t="s">
        <v>6921</v>
      </c>
      <c r="N133" t="s">
        <v>8308</v>
      </c>
      <c r="O133" t="s">
        <v>8309</v>
      </c>
      <c r="P133" t="s">
        <v>8310</v>
      </c>
      <c r="Q133">
        <v>2002320</v>
      </c>
      <c r="R133">
        <v>21051005</v>
      </c>
      <c r="U133" t="s">
        <v>484</v>
      </c>
      <c r="V133" t="s">
        <v>193</v>
      </c>
      <c r="W133">
        <v>25</v>
      </c>
      <c r="X133" t="s">
        <v>8852</v>
      </c>
      <c r="Y133" t="s">
        <v>8853</v>
      </c>
      <c r="AE133" t="s">
        <v>8854</v>
      </c>
      <c r="AF133" t="s">
        <v>4714</v>
      </c>
      <c r="AG133" t="s">
        <v>8850</v>
      </c>
      <c r="AI133" t="s">
        <v>6955</v>
      </c>
      <c r="AJ133" s="408" t="str">
        <f t="shared" si="2"/>
        <v>251401</v>
      </c>
    </row>
    <row r="134" spans="1:36" x14ac:dyDescent="0.25">
      <c r="A134" t="s">
        <v>8312</v>
      </c>
      <c r="B134" t="s">
        <v>8855</v>
      </c>
      <c r="C134" t="s">
        <v>10</v>
      </c>
      <c r="D134" t="s">
        <v>8305</v>
      </c>
      <c r="E134" t="s">
        <v>233</v>
      </c>
      <c r="F134">
        <v>1</v>
      </c>
      <c r="G134" t="s">
        <v>193</v>
      </c>
      <c r="H134" t="s">
        <v>194</v>
      </c>
      <c r="I134" t="s">
        <v>8314</v>
      </c>
      <c r="J134" t="s">
        <v>196</v>
      </c>
      <c r="K134">
        <v>18</v>
      </c>
      <c r="L134" t="s">
        <v>8856</v>
      </c>
      <c r="M134" t="s">
        <v>6261</v>
      </c>
      <c r="N134" t="s">
        <v>8308</v>
      </c>
      <c r="O134" t="s">
        <v>8309</v>
      </c>
      <c r="P134" t="s">
        <v>8310</v>
      </c>
      <c r="Q134">
        <v>2002337</v>
      </c>
      <c r="R134">
        <v>21051027</v>
      </c>
      <c r="U134" t="s">
        <v>484</v>
      </c>
      <c r="V134" t="s">
        <v>193</v>
      </c>
      <c r="W134">
        <v>25</v>
      </c>
      <c r="X134" t="s">
        <v>8857</v>
      </c>
      <c r="Y134" t="s">
        <v>8858</v>
      </c>
      <c r="AE134" t="s">
        <v>8859</v>
      </c>
      <c r="AF134" t="s">
        <v>4714</v>
      </c>
      <c r="AG134" t="s">
        <v>8855</v>
      </c>
      <c r="AI134" t="s">
        <v>6955</v>
      </c>
      <c r="AJ134" s="408" t="str">
        <f t="shared" si="2"/>
        <v>251401</v>
      </c>
    </row>
    <row r="135" spans="1:36" x14ac:dyDescent="0.25">
      <c r="A135" t="s">
        <v>8312</v>
      </c>
      <c r="B135" t="s">
        <v>8860</v>
      </c>
      <c r="C135" t="s">
        <v>10</v>
      </c>
      <c r="D135" t="s">
        <v>8305</v>
      </c>
      <c r="E135" t="s">
        <v>233</v>
      </c>
      <c r="F135">
        <v>1</v>
      </c>
      <c r="G135" t="s">
        <v>193</v>
      </c>
      <c r="H135" t="s">
        <v>194</v>
      </c>
      <c r="I135" t="s">
        <v>8306</v>
      </c>
      <c r="J135" t="s">
        <v>196</v>
      </c>
      <c r="K135">
        <v>18</v>
      </c>
      <c r="L135" t="s">
        <v>8861</v>
      </c>
      <c r="M135" t="s">
        <v>6921</v>
      </c>
      <c r="N135" t="s">
        <v>8308</v>
      </c>
      <c r="O135" t="s">
        <v>8309</v>
      </c>
      <c r="P135" t="s">
        <v>8310</v>
      </c>
      <c r="Q135">
        <v>2002386</v>
      </c>
      <c r="R135">
        <v>21051079</v>
      </c>
      <c r="U135" t="s">
        <v>484</v>
      </c>
      <c r="V135" t="s">
        <v>193</v>
      </c>
      <c r="W135">
        <v>25</v>
      </c>
      <c r="X135" t="s">
        <v>8862</v>
      </c>
      <c r="Y135" t="s">
        <v>8863</v>
      </c>
      <c r="AE135" t="s">
        <v>8854</v>
      </c>
      <c r="AF135" t="s">
        <v>4714</v>
      </c>
      <c r="AG135" t="s">
        <v>8860</v>
      </c>
      <c r="AI135" t="s">
        <v>6955</v>
      </c>
      <c r="AJ135" s="408" t="str">
        <f t="shared" si="2"/>
        <v>251401</v>
      </c>
    </row>
    <row r="136" spans="1:36" x14ac:dyDescent="0.25">
      <c r="A136" t="s">
        <v>8312</v>
      </c>
      <c r="B136" t="s">
        <v>8864</v>
      </c>
      <c r="C136" t="s">
        <v>10</v>
      </c>
      <c r="D136" t="s">
        <v>8305</v>
      </c>
      <c r="E136" t="s">
        <v>233</v>
      </c>
      <c r="F136">
        <v>1</v>
      </c>
      <c r="G136" t="s">
        <v>193</v>
      </c>
      <c r="H136" t="s">
        <v>194</v>
      </c>
      <c r="I136" t="s">
        <v>8314</v>
      </c>
      <c r="J136" t="s">
        <v>196</v>
      </c>
      <c r="K136">
        <v>18</v>
      </c>
      <c r="L136" t="s">
        <v>8865</v>
      </c>
      <c r="M136" t="s">
        <v>6921</v>
      </c>
      <c r="N136" t="s">
        <v>8308</v>
      </c>
      <c r="O136" t="s">
        <v>8309</v>
      </c>
      <c r="P136" t="s">
        <v>8310</v>
      </c>
      <c r="Q136">
        <v>2002402</v>
      </c>
      <c r="R136">
        <v>21051107</v>
      </c>
      <c r="U136" t="s">
        <v>484</v>
      </c>
      <c r="V136" t="s">
        <v>193</v>
      </c>
      <c r="W136">
        <v>25</v>
      </c>
      <c r="X136" t="s">
        <v>8866</v>
      </c>
      <c r="Y136" t="s">
        <v>8867</v>
      </c>
      <c r="AE136" t="s">
        <v>8854</v>
      </c>
      <c r="AF136" t="s">
        <v>4714</v>
      </c>
      <c r="AG136" t="s">
        <v>8864</v>
      </c>
      <c r="AI136" t="s">
        <v>6955</v>
      </c>
      <c r="AJ136" s="408" t="str">
        <f t="shared" si="2"/>
        <v>251401</v>
      </c>
    </row>
    <row r="137" spans="1:36" x14ac:dyDescent="0.25">
      <c r="A137" t="s">
        <v>8312</v>
      </c>
      <c r="B137" t="s">
        <v>8868</v>
      </c>
      <c r="C137" t="s">
        <v>10</v>
      </c>
      <c r="D137" t="s">
        <v>8305</v>
      </c>
      <c r="E137" t="s">
        <v>233</v>
      </c>
      <c r="F137">
        <v>1</v>
      </c>
      <c r="G137" t="s">
        <v>193</v>
      </c>
      <c r="H137" t="s">
        <v>194</v>
      </c>
      <c r="I137" t="s">
        <v>8314</v>
      </c>
      <c r="J137" t="s">
        <v>196</v>
      </c>
      <c r="K137">
        <v>18</v>
      </c>
      <c r="L137" t="s">
        <v>8869</v>
      </c>
      <c r="M137" t="s">
        <v>6261</v>
      </c>
      <c r="N137" t="s">
        <v>8308</v>
      </c>
      <c r="O137" t="s">
        <v>8309</v>
      </c>
      <c r="P137" t="s">
        <v>8310</v>
      </c>
      <c r="Q137">
        <v>2002421</v>
      </c>
      <c r="R137">
        <v>21051146</v>
      </c>
      <c r="U137" t="s">
        <v>484</v>
      </c>
      <c r="V137" t="s">
        <v>193</v>
      </c>
      <c r="W137">
        <v>25</v>
      </c>
      <c r="X137" t="s">
        <v>8870</v>
      </c>
      <c r="Y137" t="s">
        <v>8871</v>
      </c>
      <c r="AE137" t="s">
        <v>8872</v>
      </c>
      <c r="AF137" t="s">
        <v>4714</v>
      </c>
      <c r="AG137" t="s">
        <v>8868</v>
      </c>
      <c r="AI137" t="s">
        <v>6955</v>
      </c>
      <c r="AJ137" s="408" t="str">
        <f t="shared" si="2"/>
        <v>251401</v>
      </c>
    </row>
    <row r="138" spans="1:36" x14ac:dyDescent="0.25">
      <c r="A138" t="s">
        <v>5810</v>
      </c>
      <c r="B138" t="s">
        <v>2276</v>
      </c>
      <c r="C138" t="s">
        <v>10</v>
      </c>
      <c r="D138" t="s">
        <v>8305</v>
      </c>
      <c r="E138" t="s">
        <v>233</v>
      </c>
      <c r="F138">
        <v>1</v>
      </c>
      <c r="G138" t="s">
        <v>193</v>
      </c>
      <c r="H138" t="s">
        <v>194</v>
      </c>
      <c r="I138" t="s">
        <v>8314</v>
      </c>
      <c r="J138" t="s">
        <v>196</v>
      </c>
      <c r="K138">
        <v>18</v>
      </c>
      <c r="L138" t="s">
        <v>8873</v>
      </c>
      <c r="M138" t="s">
        <v>6261</v>
      </c>
      <c r="N138" t="s">
        <v>8308</v>
      </c>
      <c r="O138" t="s">
        <v>8309</v>
      </c>
      <c r="P138" t="s">
        <v>8310</v>
      </c>
      <c r="Q138">
        <v>2002517</v>
      </c>
      <c r="R138">
        <v>21051432</v>
      </c>
      <c r="U138" t="s">
        <v>484</v>
      </c>
      <c r="V138" t="s">
        <v>193</v>
      </c>
      <c r="W138">
        <v>25</v>
      </c>
      <c r="Y138" t="s">
        <v>8874</v>
      </c>
      <c r="AE138" t="s">
        <v>8875</v>
      </c>
      <c r="AF138" t="s">
        <v>4714</v>
      </c>
      <c r="AG138" t="s">
        <v>2276</v>
      </c>
      <c r="AI138" t="s">
        <v>6955</v>
      </c>
      <c r="AJ138" s="408" t="str">
        <f t="shared" si="2"/>
        <v>251401</v>
      </c>
    </row>
    <row r="139" spans="1:36" x14ac:dyDescent="0.25">
      <c r="A139" t="s">
        <v>5810</v>
      </c>
      <c r="B139" t="s">
        <v>8876</v>
      </c>
      <c r="C139" t="s">
        <v>10</v>
      </c>
      <c r="D139" t="s">
        <v>8305</v>
      </c>
      <c r="E139" t="s">
        <v>233</v>
      </c>
      <c r="F139">
        <v>1</v>
      </c>
      <c r="G139" t="s">
        <v>193</v>
      </c>
      <c r="H139" t="s">
        <v>194</v>
      </c>
      <c r="I139" t="s">
        <v>8314</v>
      </c>
      <c r="J139" t="s">
        <v>196</v>
      </c>
      <c r="K139">
        <v>18</v>
      </c>
      <c r="L139" t="s">
        <v>8877</v>
      </c>
      <c r="M139" t="s">
        <v>6261</v>
      </c>
      <c r="N139" t="s">
        <v>8308</v>
      </c>
      <c r="O139" t="s">
        <v>8309</v>
      </c>
      <c r="P139" t="s">
        <v>8310</v>
      </c>
      <c r="Q139">
        <v>2002567</v>
      </c>
      <c r="R139">
        <v>21051523</v>
      </c>
      <c r="U139" t="s">
        <v>484</v>
      </c>
      <c r="V139" t="s">
        <v>193</v>
      </c>
      <c r="W139">
        <v>25</v>
      </c>
      <c r="Y139" t="s">
        <v>8878</v>
      </c>
      <c r="AF139" t="s">
        <v>4714</v>
      </c>
      <c r="AG139" t="s">
        <v>8876</v>
      </c>
      <c r="AI139" t="s">
        <v>6955</v>
      </c>
      <c r="AJ139" s="408" t="str">
        <f t="shared" si="2"/>
        <v>251401</v>
      </c>
    </row>
    <row r="140" spans="1:36" x14ac:dyDescent="0.25">
      <c r="A140" t="s">
        <v>2259</v>
      </c>
      <c r="B140" t="s">
        <v>8879</v>
      </c>
      <c r="C140" t="s">
        <v>10</v>
      </c>
      <c r="D140" t="s">
        <v>8305</v>
      </c>
      <c r="E140" t="s">
        <v>233</v>
      </c>
      <c r="F140">
        <v>1</v>
      </c>
      <c r="G140" t="s">
        <v>193</v>
      </c>
      <c r="H140" t="s">
        <v>194</v>
      </c>
      <c r="I140" t="s">
        <v>8314</v>
      </c>
      <c r="J140" t="s">
        <v>210</v>
      </c>
      <c r="K140">
        <v>18</v>
      </c>
      <c r="L140" t="s">
        <v>8880</v>
      </c>
      <c r="M140" t="s">
        <v>6261</v>
      </c>
      <c r="N140" t="s">
        <v>8308</v>
      </c>
      <c r="O140" t="s">
        <v>8309</v>
      </c>
      <c r="P140" t="s">
        <v>8310</v>
      </c>
      <c r="Q140">
        <v>2002614</v>
      </c>
      <c r="R140">
        <v>21051680</v>
      </c>
      <c r="T140">
        <v>1863</v>
      </c>
      <c r="U140" t="s">
        <v>484</v>
      </c>
      <c r="V140" t="s">
        <v>194</v>
      </c>
      <c r="W140">
        <v>1</v>
      </c>
      <c r="X140" t="s">
        <v>8881</v>
      </c>
      <c r="Y140" t="s">
        <v>8882</v>
      </c>
      <c r="AE140" t="s">
        <v>8883</v>
      </c>
      <c r="AF140" t="s">
        <v>4714</v>
      </c>
      <c r="AG140" t="s">
        <v>8879</v>
      </c>
      <c r="AI140" t="s">
        <v>6955</v>
      </c>
      <c r="AJ140" s="408" t="str">
        <f t="shared" si="2"/>
        <v>251401</v>
      </c>
    </row>
    <row r="141" spans="1:36" x14ac:dyDescent="0.25">
      <c r="A141" t="s">
        <v>8312</v>
      </c>
      <c r="B141" t="s">
        <v>8884</v>
      </c>
      <c r="C141" t="s">
        <v>10</v>
      </c>
      <c r="D141" t="s">
        <v>8320</v>
      </c>
      <c r="E141" t="s">
        <v>233</v>
      </c>
      <c r="F141">
        <v>1</v>
      </c>
      <c r="G141" t="s">
        <v>193</v>
      </c>
      <c r="H141" t="s">
        <v>194</v>
      </c>
      <c r="I141" t="s">
        <v>8330</v>
      </c>
      <c r="J141" t="s">
        <v>196</v>
      </c>
      <c r="K141">
        <v>18</v>
      </c>
      <c r="L141" t="s">
        <v>8885</v>
      </c>
      <c r="M141" t="s">
        <v>6261</v>
      </c>
      <c r="N141" t="s">
        <v>8332</v>
      </c>
      <c r="O141" t="s">
        <v>8306</v>
      </c>
      <c r="P141" t="s">
        <v>8378</v>
      </c>
      <c r="Q141">
        <v>2013116</v>
      </c>
      <c r="R141">
        <v>21281710</v>
      </c>
      <c r="U141" t="s">
        <v>484</v>
      </c>
      <c r="V141" t="s">
        <v>193</v>
      </c>
      <c r="W141">
        <v>25</v>
      </c>
      <c r="X141" t="s">
        <v>8886</v>
      </c>
      <c r="Y141" t="s">
        <v>8887</v>
      </c>
      <c r="AE141" t="s">
        <v>8888</v>
      </c>
      <c r="AF141" t="s">
        <v>4714</v>
      </c>
      <c r="AG141" t="s">
        <v>8884</v>
      </c>
      <c r="AI141" t="s">
        <v>6955</v>
      </c>
      <c r="AJ141" s="408" t="str">
        <f t="shared" si="2"/>
        <v>251401</v>
      </c>
    </row>
    <row r="142" spans="1:36" x14ac:dyDescent="0.25">
      <c r="A142" t="s">
        <v>8312</v>
      </c>
      <c r="B142" t="s">
        <v>8889</v>
      </c>
      <c r="C142" t="s">
        <v>10</v>
      </c>
      <c r="D142" t="s">
        <v>8320</v>
      </c>
      <c r="E142" t="s">
        <v>233</v>
      </c>
      <c r="F142">
        <v>1</v>
      </c>
      <c r="G142" t="s">
        <v>193</v>
      </c>
      <c r="H142" t="s">
        <v>194</v>
      </c>
      <c r="I142" t="s">
        <v>8330</v>
      </c>
      <c r="J142" t="s">
        <v>196</v>
      </c>
      <c r="K142">
        <v>18</v>
      </c>
      <c r="L142" t="s">
        <v>8890</v>
      </c>
      <c r="M142" t="s">
        <v>6261</v>
      </c>
      <c r="N142" t="s">
        <v>8332</v>
      </c>
      <c r="O142" t="s">
        <v>8306</v>
      </c>
      <c r="P142" t="s">
        <v>8378</v>
      </c>
      <c r="Q142">
        <v>2013133</v>
      </c>
      <c r="R142">
        <v>21281729</v>
      </c>
      <c r="U142" t="s">
        <v>484</v>
      </c>
      <c r="V142" t="s">
        <v>193</v>
      </c>
      <c r="W142">
        <v>25</v>
      </c>
      <c r="X142" t="s">
        <v>8891</v>
      </c>
      <c r="Y142" t="s">
        <v>8892</v>
      </c>
      <c r="AE142" t="s">
        <v>8893</v>
      </c>
      <c r="AF142" t="s">
        <v>4714</v>
      </c>
      <c r="AG142" t="s">
        <v>8889</v>
      </c>
      <c r="AI142" t="s">
        <v>6955</v>
      </c>
      <c r="AJ142" s="408" t="str">
        <f t="shared" si="2"/>
        <v>251401</v>
      </c>
    </row>
    <row r="143" spans="1:36" x14ac:dyDescent="0.25">
      <c r="A143" t="s">
        <v>8312</v>
      </c>
      <c r="B143" t="s">
        <v>487</v>
      </c>
      <c r="C143" t="s">
        <v>10</v>
      </c>
      <c r="D143" t="s">
        <v>8320</v>
      </c>
      <c r="E143" t="s">
        <v>233</v>
      </c>
      <c r="F143">
        <v>1</v>
      </c>
      <c r="G143" t="s">
        <v>193</v>
      </c>
      <c r="H143" t="s">
        <v>194</v>
      </c>
      <c r="I143" t="s">
        <v>8330</v>
      </c>
      <c r="J143" t="s">
        <v>196</v>
      </c>
      <c r="K143">
        <v>18</v>
      </c>
      <c r="L143" t="s">
        <v>8894</v>
      </c>
      <c r="M143" t="s">
        <v>6261</v>
      </c>
      <c r="N143" t="s">
        <v>8332</v>
      </c>
      <c r="O143" t="s">
        <v>8306</v>
      </c>
      <c r="P143" t="s">
        <v>8378</v>
      </c>
      <c r="Q143">
        <v>2013153</v>
      </c>
      <c r="R143">
        <v>21281755</v>
      </c>
      <c r="U143" t="s">
        <v>484</v>
      </c>
      <c r="V143" t="s">
        <v>193</v>
      </c>
      <c r="W143">
        <v>25</v>
      </c>
      <c r="X143" t="s">
        <v>8895</v>
      </c>
      <c r="Y143" t="s">
        <v>8896</v>
      </c>
      <c r="AE143" t="s">
        <v>8897</v>
      </c>
      <c r="AF143" t="s">
        <v>4714</v>
      </c>
      <c r="AG143" t="s">
        <v>487</v>
      </c>
      <c r="AI143" t="s">
        <v>6955</v>
      </c>
      <c r="AJ143" s="408" t="str">
        <f t="shared" si="2"/>
        <v>251401</v>
      </c>
    </row>
    <row r="144" spans="1:36" x14ac:dyDescent="0.25">
      <c r="A144" t="s">
        <v>8312</v>
      </c>
      <c r="B144" t="s">
        <v>2276</v>
      </c>
      <c r="C144" t="s">
        <v>10</v>
      </c>
      <c r="D144" t="s">
        <v>8320</v>
      </c>
      <c r="E144" t="s">
        <v>233</v>
      </c>
      <c r="F144">
        <v>1</v>
      </c>
      <c r="G144" t="s">
        <v>193</v>
      </c>
      <c r="H144" t="s">
        <v>194</v>
      </c>
      <c r="I144" t="s">
        <v>8330</v>
      </c>
      <c r="J144" t="s">
        <v>196</v>
      </c>
      <c r="K144">
        <v>18</v>
      </c>
      <c r="L144" t="s">
        <v>8898</v>
      </c>
      <c r="M144" t="s">
        <v>6261</v>
      </c>
      <c r="N144" t="s">
        <v>8332</v>
      </c>
      <c r="O144" t="s">
        <v>8306</v>
      </c>
      <c r="P144" t="s">
        <v>8378</v>
      </c>
      <c r="Q144">
        <v>2013201</v>
      </c>
      <c r="R144">
        <v>21281821</v>
      </c>
      <c r="U144" t="s">
        <v>484</v>
      </c>
      <c r="V144" t="s">
        <v>193</v>
      </c>
      <c r="W144">
        <v>25</v>
      </c>
      <c r="X144" t="s">
        <v>8899</v>
      </c>
      <c r="Y144" t="s">
        <v>8900</v>
      </c>
      <c r="AE144" t="s">
        <v>8901</v>
      </c>
      <c r="AF144" t="s">
        <v>4714</v>
      </c>
      <c r="AG144" t="s">
        <v>2276</v>
      </c>
      <c r="AI144" t="s">
        <v>6955</v>
      </c>
      <c r="AJ144" s="408" t="str">
        <f t="shared" si="2"/>
        <v>251401</v>
      </c>
    </row>
    <row r="145" spans="1:36" x14ac:dyDescent="0.25">
      <c r="A145" t="s">
        <v>8312</v>
      </c>
      <c r="B145" t="s">
        <v>8902</v>
      </c>
      <c r="C145" t="s">
        <v>10</v>
      </c>
      <c r="D145" t="s">
        <v>8320</v>
      </c>
      <c r="E145" t="s">
        <v>233</v>
      </c>
      <c r="F145">
        <v>1</v>
      </c>
      <c r="G145" t="s">
        <v>193</v>
      </c>
      <c r="H145" t="s">
        <v>194</v>
      </c>
      <c r="I145" t="s">
        <v>8330</v>
      </c>
      <c r="J145" t="s">
        <v>196</v>
      </c>
      <c r="K145">
        <v>18</v>
      </c>
      <c r="L145" t="s">
        <v>8903</v>
      </c>
      <c r="M145" t="s">
        <v>6261</v>
      </c>
      <c r="N145" t="s">
        <v>8332</v>
      </c>
      <c r="O145" t="s">
        <v>8306</v>
      </c>
      <c r="P145" t="s">
        <v>8378</v>
      </c>
      <c r="Q145">
        <v>2013217</v>
      </c>
      <c r="R145">
        <v>21281853</v>
      </c>
      <c r="U145" t="s">
        <v>484</v>
      </c>
      <c r="V145" t="s">
        <v>193</v>
      </c>
      <c r="W145">
        <v>25</v>
      </c>
      <c r="X145" t="s">
        <v>8904</v>
      </c>
      <c r="Y145" t="s">
        <v>8905</v>
      </c>
      <c r="AE145" t="s">
        <v>8906</v>
      </c>
      <c r="AF145" t="s">
        <v>4714</v>
      </c>
      <c r="AG145" t="s">
        <v>8902</v>
      </c>
      <c r="AI145" t="s">
        <v>6955</v>
      </c>
      <c r="AJ145" s="408" t="str">
        <f t="shared" si="2"/>
        <v>251401</v>
      </c>
    </row>
    <row r="146" spans="1:36" x14ac:dyDescent="0.25">
      <c r="A146" t="s">
        <v>8312</v>
      </c>
      <c r="B146" t="s">
        <v>2276</v>
      </c>
      <c r="C146" t="s">
        <v>10</v>
      </c>
      <c r="D146" t="s">
        <v>8320</v>
      </c>
      <c r="E146" t="s">
        <v>233</v>
      </c>
      <c r="F146">
        <v>1</v>
      </c>
      <c r="G146" t="s">
        <v>193</v>
      </c>
      <c r="H146" t="s">
        <v>194</v>
      </c>
      <c r="I146" t="s">
        <v>8330</v>
      </c>
      <c r="J146" t="s">
        <v>196</v>
      </c>
      <c r="K146">
        <v>18</v>
      </c>
      <c r="L146" t="s">
        <v>8907</v>
      </c>
      <c r="M146" t="s">
        <v>6261</v>
      </c>
      <c r="N146" t="s">
        <v>8332</v>
      </c>
      <c r="O146" t="s">
        <v>8306</v>
      </c>
      <c r="P146" t="s">
        <v>8378</v>
      </c>
      <c r="Q146">
        <v>2013249</v>
      </c>
      <c r="R146">
        <v>21281944</v>
      </c>
      <c r="U146" t="s">
        <v>484</v>
      </c>
      <c r="V146" t="s">
        <v>193</v>
      </c>
      <c r="W146">
        <v>25</v>
      </c>
      <c r="X146" t="s">
        <v>8908</v>
      </c>
      <c r="Y146" t="s">
        <v>8909</v>
      </c>
      <c r="AE146" t="s">
        <v>8910</v>
      </c>
      <c r="AF146" t="s">
        <v>4714</v>
      </c>
      <c r="AG146" t="s">
        <v>2276</v>
      </c>
      <c r="AI146" t="s">
        <v>6955</v>
      </c>
      <c r="AJ146" s="408" t="str">
        <f t="shared" si="2"/>
        <v>251401</v>
      </c>
    </row>
    <row r="147" spans="1:36" x14ac:dyDescent="0.25">
      <c r="A147" t="s">
        <v>2259</v>
      </c>
      <c r="B147" t="s">
        <v>2812</v>
      </c>
      <c r="C147" t="s">
        <v>10</v>
      </c>
      <c r="D147" t="s">
        <v>8320</v>
      </c>
      <c r="E147" t="s">
        <v>233</v>
      </c>
      <c r="F147">
        <v>1</v>
      </c>
      <c r="G147" t="s">
        <v>193</v>
      </c>
      <c r="H147" t="s">
        <v>194</v>
      </c>
      <c r="I147" t="s">
        <v>8330</v>
      </c>
      <c r="J147" t="s">
        <v>210</v>
      </c>
      <c r="K147">
        <v>18</v>
      </c>
      <c r="L147" t="s">
        <v>8911</v>
      </c>
      <c r="M147" t="s">
        <v>6261</v>
      </c>
      <c r="N147" t="s">
        <v>8332</v>
      </c>
      <c r="O147" t="s">
        <v>8306</v>
      </c>
      <c r="P147" t="s">
        <v>8378</v>
      </c>
      <c r="Q147">
        <v>2013370</v>
      </c>
      <c r="R147">
        <v>21282438</v>
      </c>
      <c r="T147">
        <v>1863</v>
      </c>
      <c r="U147" t="s">
        <v>484</v>
      </c>
      <c r="V147" t="s">
        <v>194</v>
      </c>
      <c r="W147">
        <v>1</v>
      </c>
      <c r="X147" t="s">
        <v>8912</v>
      </c>
      <c r="Y147" t="s">
        <v>8913</v>
      </c>
      <c r="AE147" t="s">
        <v>8914</v>
      </c>
      <c r="AF147" t="s">
        <v>4714</v>
      </c>
      <c r="AG147" t="s">
        <v>2812</v>
      </c>
      <c r="AI147" t="s">
        <v>6955</v>
      </c>
      <c r="AJ147" s="408" t="str">
        <f t="shared" si="2"/>
        <v>251401</v>
      </c>
    </row>
    <row r="148" spans="1:36" x14ac:dyDescent="0.25">
      <c r="A148" t="s">
        <v>8371</v>
      </c>
      <c r="B148" t="s">
        <v>8915</v>
      </c>
      <c r="C148" t="s">
        <v>10</v>
      </c>
      <c r="D148" t="s">
        <v>8320</v>
      </c>
      <c r="E148" t="s">
        <v>233</v>
      </c>
      <c r="F148">
        <v>1</v>
      </c>
      <c r="G148" t="s">
        <v>193</v>
      </c>
      <c r="H148" t="s">
        <v>194</v>
      </c>
      <c r="I148" t="s">
        <v>8330</v>
      </c>
      <c r="J148" t="s">
        <v>196</v>
      </c>
      <c r="K148">
        <v>18</v>
      </c>
      <c r="L148" t="s">
        <v>8916</v>
      </c>
      <c r="M148" t="s">
        <v>6261</v>
      </c>
      <c r="N148" t="s">
        <v>8332</v>
      </c>
      <c r="O148" t="s">
        <v>8306</v>
      </c>
      <c r="P148" t="s">
        <v>8378</v>
      </c>
      <c r="Q148">
        <v>2013436</v>
      </c>
      <c r="R148">
        <v>21282569</v>
      </c>
      <c r="U148" t="s">
        <v>484</v>
      </c>
      <c r="V148" t="s">
        <v>193</v>
      </c>
      <c r="W148">
        <v>25</v>
      </c>
      <c r="X148" t="s">
        <v>8917</v>
      </c>
      <c r="Y148" t="s">
        <v>8918</v>
      </c>
      <c r="AF148" t="s">
        <v>4714</v>
      </c>
      <c r="AG148" t="s">
        <v>8915</v>
      </c>
      <c r="AI148" t="s">
        <v>6955</v>
      </c>
      <c r="AJ148" s="408" t="str">
        <f t="shared" si="2"/>
        <v>251401</v>
      </c>
    </row>
    <row r="149" spans="1:36" x14ac:dyDescent="0.25">
      <c r="A149" t="s">
        <v>5213</v>
      </c>
      <c r="B149" t="s">
        <v>488</v>
      </c>
      <c r="C149" t="s">
        <v>10</v>
      </c>
      <c r="D149" t="s">
        <v>8320</v>
      </c>
      <c r="E149" t="s">
        <v>233</v>
      </c>
      <c r="F149">
        <v>1</v>
      </c>
      <c r="G149" t="s">
        <v>193</v>
      </c>
      <c r="H149" t="s">
        <v>194</v>
      </c>
      <c r="I149" t="s">
        <v>8330</v>
      </c>
      <c r="J149" t="s">
        <v>196</v>
      </c>
      <c r="K149">
        <v>18</v>
      </c>
      <c r="L149" t="s">
        <v>8919</v>
      </c>
      <c r="M149" t="s">
        <v>6261</v>
      </c>
      <c r="N149" t="s">
        <v>8332</v>
      </c>
      <c r="O149" t="s">
        <v>8306</v>
      </c>
      <c r="P149" t="s">
        <v>8378</v>
      </c>
      <c r="Q149">
        <v>2013479</v>
      </c>
      <c r="R149">
        <v>21282734</v>
      </c>
      <c r="U149" t="s">
        <v>484</v>
      </c>
      <c r="V149" t="s">
        <v>193</v>
      </c>
      <c r="W149">
        <v>25</v>
      </c>
      <c r="Y149" t="s">
        <v>8920</v>
      </c>
      <c r="AE149" t="s">
        <v>8921</v>
      </c>
      <c r="AF149" t="s">
        <v>4714</v>
      </c>
      <c r="AG149" t="s">
        <v>488</v>
      </c>
      <c r="AI149" t="s">
        <v>6955</v>
      </c>
      <c r="AJ149" s="408" t="str">
        <f t="shared" si="2"/>
        <v>251401</v>
      </c>
    </row>
    <row r="150" spans="1:36" x14ac:dyDescent="0.25">
      <c r="A150" t="s">
        <v>8371</v>
      </c>
      <c r="B150" t="s">
        <v>8922</v>
      </c>
      <c r="C150" t="s">
        <v>10</v>
      </c>
      <c r="D150" t="s">
        <v>8320</v>
      </c>
      <c r="E150" t="s">
        <v>233</v>
      </c>
      <c r="F150">
        <v>1</v>
      </c>
      <c r="G150" t="s">
        <v>193</v>
      </c>
      <c r="H150" t="s">
        <v>194</v>
      </c>
      <c r="I150" t="s">
        <v>8321</v>
      </c>
      <c r="J150" t="s">
        <v>196</v>
      </c>
      <c r="K150">
        <v>18</v>
      </c>
      <c r="L150" t="s">
        <v>8923</v>
      </c>
      <c r="M150" t="s">
        <v>6261</v>
      </c>
      <c r="N150" t="s">
        <v>8332</v>
      </c>
      <c r="O150" t="s">
        <v>8306</v>
      </c>
      <c r="P150" t="s">
        <v>8378</v>
      </c>
      <c r="Q150">
        <v>2013503</v>
      </c>
      <c r="R150">
        <v>21282770</v>
      </c>
      <c r="U150" t="s">
        <v>484</v>
      </c>
      <c r="V150" t="s">
        <v>193</v>
      </c>
      <c r="W150">
        <v>25</v>
      </c>
      <c r="X150" t="s">
        <v>8924</v>
      </c>
      <c r="Y150" t="s">
        <v>8925</v>
      </c>
      <c r="AE150" t="s">
        <v>8926</v>
      </c>
      <c r="AF150" t="s">
        <v>4714</v>
      </c>
      <c r="AG150" t="s">
        <v>8922</v>
      </c>
      <c r="AI150" t="s">
        <v>6955</v>
      </c>
      <c r="AJ150" s="408" t="str">
        <f t="shared" si="2"/>
        <v>251401</v>
      </c>
    </row>
    <row r="151" spans="1:36" x14ac:dyDescent="0.25">
      <c r="A151" t="s">
        <v>8371</v>
      </c>
      <c r="B151" t="s">
        <v>8927</v>
      </c>
      <c r="C151" t="s">
        <v>10</v>
      </c>
      <c r="D151" t="s">
        <v>8320</v>
      </c>
      <c r="E151" t="s">
        <v>233</v>
      </c>
      <c r="F151">
        <v>1</v>
      </c>
      <c r="G151" t="s">
        <v>193</v>
      </c>
      <c r="H151" t="s">
        <v>194</v>
      </c>
      <c r="I151" t="s">
        <v>8330</v>
      </c>
      <c r="J151" t="s">
        <v>196</v>
      </c>
      <c r="K151">
        <v>18</v>
      </c>
      <c r="L151" t="s">
        <v>8928</v>
      </c>
      <c r="M151" t="s">
        <v>6261</v>
      </c>
      <c r="N151" t="s">
        <v>8332</v>
      </c>
      <c r="O151" t="s">
        <v>8306</v>
      </c>
      <c r="P151" t="s">
        <v>8378</v>
      </c>
      <c r="Q151">
        <v>2013519</v>
      </c>
      <c r="R151">
        <v>21282788</v>
      </c>
      <c r="U151" t="s">
        <v>484</v>
      </c>
      <c r="V151" t="s">
        <v>193</v>
      </c>
      <c r="W151">
        <v>25</v>
      </c>
      <c r="X151" t="s">
        <v>8929</v>
      </c>
      <c r="Y151" t="s">
        <v>8930</v>
      </c>
      <c r="AE151" t="s">
        <v>8931</v>
      </c>
      <c r="AF151" t="s">
        <v>4714</v>
      </c>
      <c r="AG151" t="s">
        <v>8927</v>
      </c>
      <c r="AI151" t="s">
        <v>6955</v>
      </c>
      <c r="AJ151" s="408" t="str">
        <f t="shared" si="2"/>
        <v>251401</v>
      </c>
    </row>
    <row r="152" spans="1:36" x14ac:dyDescent="0.25">
      <c r="A152" t="s">
        <v>8371</v>
      </c>
      <c r="B152" t="s">
        <v>8932</v>
      </c>
      <c r="C152" t="s">
        <v>10</v>
      </c>
      <c r="D152" t="s">
        <v>8320</v>
      </c>
      <c r="E152" t="s">
        <v>233</v>
      </c>
      <c r="F152">
        <v>1</v>
      </c>
      <c r="G152" t="s">
        <v>193</v>
      </c>
      <c r="H152" t="s">
        <v>194</v>
      </c>
      <c r="I152" t="s">
        <v>8330</v>
      </c>
      <c r="J152" t="s">
        <v>196</v>
      </c>
      <c r="K152">
        <v>18</v>
      </c>
      <c r="L152" t="s">
        <v>8933</v>
      </c>
      <c r="M152" t="s">
        <v>6261</v>
      </c>
      <c r="N152" t="s">
        <v>8332</v>
      </c>
      <c r="O152" t="s">
        <v>8306</v>
      </c>
      <c r="P152" t="s">
        <v>8378</v>
      </c>
      <c r="Q152">
        <v>2013536</v>
      </c>
      <c r="R152">
        <v>21282809</v>
      </c>
      <c r="U152" t="s">
        <v>484</v>
      </c>
      <c r="V152" t="s">
        <v>193</v>
      </c>
      <c r="W152">
        <v>25</v>
      </c>
      <c r="X152" t="s">
        <v>8934</v>
      </c>
      <c r="Y152" t="s">
        <v>8935</v>
      </c>
      <c r="AE152" t="s">
        <v>8936</v>
      </c>
      <c r="AF152" t="s">
        <v>4714</v>
      </c>
      <c r="AG152" t="s">
        <v>8932</v>
      </c>
      <c r="AI152" t="s">
        <v>6955</v>
      </c>
      <c r="AJ152" s="408" t="str">
        <f t="shared" si="2"/>
        <v>251401</v>
      </c>
    </row>
    <row r="153" spans="1:36" x14ac:dyDescent="0.25">
      <c r="A153" t="s">
        <v>5810</v>
      </c>
      <c r="B153" t="s">
        <v>8937</v>
      </c>
      <c r="C153" t="s">
        <v>10</v>
      </c>
      <c r="D153" t="s">
        <v>8320</v>
      </c>
      <c r="E153" t="s">
        <v>233</v>
      </c>
      <c r="F153">
        <v>1</v>
      </c>
      <c r="G153" t="s">
        <v>193</v>
      </c>
      <c r="H153" t="s">
        <v>194</v>
      </c>
      <c r="I153" t="s">
        <v>8321</v>
      </c>
      <c r="J153" t="s">
        <v>196</v>
      </c>
      <c r="K153">
        <v>18</v>
      </c>
      <c r="L153" t="s">
        <v>8938</v>
      </c>
      <c r="M153" t="s">
        <v>6261</v>
      </c>
      <c r="N153" t="s">
        <v>8332</v>
      </c>
      <c r="O153" t="s">
        <v>8306</v>
      </c>
      <c r="P153" t="s">
        <v>8378</v>
      </c>
      <c r="Q153">
        <v>2013797</v>
      </c>
      <c r="R153">
        <v>21283679</v>
      </c>
      <c r="U153" t="s">
        <v>484</v>
      </c>
      <c r="V153" t="s">
        <v>193</v>
      </c>
      <c r="W153">
        <v>25</v>
      </c>
      <c r="Y153" t="s">
        <v>8939</v>
      </c>
      <c r="AE153" t="s">
        <v>8940</v>
      </c>
      <c r="AF153" t="s">
        <v>4714</v>
      </c>
      <c r="AG153" t="s">
        <v>8937</v>
      </c>
      <c r="AI153" t="s">
        <v>6955</v>
      </c>
      <c r="AJ153" s="408" t="str">
        <f t="shared" si="2"/>
        <v>251401</v>
      </c>
    </row>
    <row r="154" spans="1:36" x14ac:dyDescent="0.25">
      <c r="A154" t="s">
        <v>8941</v>
      </c>
      <c r="B154" t="s">
        <v>8942</v>
      </c>
      <c r="C154" t="s">
        <v>10</v>
      </c>
      <c r="D154" t="s">
        <v>8320</v>
      </c>
      <c r="E154" t="s">
        <v>233</v>
      </c>
      <c r="F154">
        <v>1</v>
      </c>
      <c r="G154" t="s">
        <v>193</v>
      </c>
      <c r="H154" t="s">
        <v>194</v>
      </c>
      <c r="I154" t="s">
        <v>8330</v>
      </c>
      <c r="J154" t="s">
        <v>196</v>
      </c>
      <c r="K154">
        <v>18</v>
      </c>
      <c r="L154" t="s">
        <v>8943</v>
      </c>
      <c r="M154" t="s">
        <v>6261</v>
      </c>
      <c r="N154" t="s">
        <v>8332</v>
      </c>
      <c r="O154" t="s">
        <v>8306</v>
      </c>
      <c r="P154" t="s">
        <v>8378</v>
      </c>
      <c r="Q154">
        <v>2013931</v>
      </c>
      <c r="R154">
        <v>21284268</v>
      </c>
      <c r="U154" t="s">
        <v>484</v>
      </c>
      <c r="V154" t="s">
        <v>193</v>
      </c>
      <c r="W154">
        <v>25</v>
      </c>
      <c r="Y154" t="s">
        <v>8944</v>
      </c>
      <c r="AE154" t="s">
        <v>8945</v>
      </c>
      <c r="AF154" t="s">
        <v>4714</v>
      </c>
      <c r="AG154" t="s">
        <v>8942</v>
      </c>
      <c r="AI154" t="s">
        <v>6955</v>
      </c>
      <c r="AJ154" s="408" t="str">
        <f t="shared" si="2"/>
        <v>251401</v>
      </c>
    </row>
    <row r="155" spans="1:36" x14ac:dyDescent="0.25">
      <c r="A155" t="s">
        <v>8946</v>
      </c>
      <c r="B155" t="s">
        <v>8947</v>
      </c>
      <c r="C155" t="s">
        <v>1408</v>
      </c>
      <c r="D155" t="s">
        <v>8320</v>
      </c>
      <c r="E155" t="s">
        <v>233</v>
      </c>
      <c r="F155">
        <v>1</v>
      </c>
      <c r="G155" t="s">
        <v>193</v>
      </c>
      <c r="H155" t="s">
        <v>194</v>
      </c>
      <c r="I155" t="s">
        <v>8330</v>
      </c>
      <c r="J155" t="s">
        <v>8948</v>
      </c>
      <c r="K155">
        <v>18</v>
      </c>
      <c r="L155" t="s">
        <v>8949</v>
      </c>
      <c r="M155" t="s">
        <v>6261</v>
      </c>
      <c r="N155" t="s">
        <v>8332</v>
      </c>
      <c r="O155" t="s">
        <v>8306</v>
      </c>
      <c r="P155" t="s">
        <v>8378</v>
      </c>
      <c r="Q155">
        <v>2013324</v>
      </c>
      <c r="R155">
        <v>21282330</v>
      </c>
      <c r="T155" t="s">
        <v>8024</v>
      </c>
      <c r="U155" t="s">
        <v>1409</v>
      </c>
      <c r="V155" t="s">
        <v>194</v>
      </c>
      <c r="W155">
        <v>9</v>
      </c>
      <c r="Y155" t="s">
        <v>8950</v>
      </c>
      <c r="AE155" t="s">
        <v>8951</v>
      </c>
      <c r="AF155" t="s">
        <v>4714</v>
      </c>
      <c r="AG155" t="s">
        <v>8947</v>
      </c>
      <c r="AI155" t="s">
        <v>6955</v>
      </c>
      <c r="AJ155" s="408" t="str">
        <f t="shared" si="2"/>
        <v>251402</v>
      </c>
    </row>
    <row r="156" spans="1:36" x14ac:dyDescent="0.25">
      <c r="A156" t="s">
        <v>5810</v>
      </c>
      <c r="B156" t="s">
        <v>8952</v>
      </c>
      <c r="C156" t="s">
        <v>8953</v>
      </c>
      <c r="D156" t="s">
        <v>8305</v>
      </c>
      <c r="E156" t="s">
        <v>233</v>
      </c>
      <c r="F156">
        <v>1</v>
      </c>
      <c r="G156" t="s">
        <v>193</v>
      </c>
      <c r="H156" t="s">
        <v>194</v>
      </c>
      <c r="I156" t="s">
        <v>8306</v>
      </c>
      <c r="J156" t="s">
        <v>196</v>
      </c>
      <c r="K156">
        <v>18</v>
      </c>
      <c r="L156" t="s">
        <v>8954</v>
      </c>
      <c r="M156" t="s">
        <v>6295</v>
      </c>
      <c r="N156" t="s">
        <v>8308</v>
      </c>
      <c r="O156" t="s">
        <v>8309</v>
      </c>
      <c r="P156" t="s">
        <v>8310</v>
      </c>
      <c r="Q156">
        <v>2002533</v>
      </c>
      <c r="R156">
        <v>21051459</v>
      </c>
      <c r="U156" t="s">
        <v>8955</v>
      </c>
      <c r="V156" t="s">
        <v>193</v>
      </c>
      <c r="W156">
        <v>25</v>
      </c>
      <c r="Y156" t="s">
        <v>8956</v>
      </c>
      <c r="AE156" t="s">
        <v>8957</v>
      </c>
      <c r="AF156" t="s">
        <v>4714</v>
      </c>
      <c r="AG156" t="s">
        <v>8952</v>
      </c>
      <c r="AI156" t="s">
        <v>6955</v>
      </c>
      <c r="AJ156" s="408" t="str">
        <f t="shared" si="2"/>
        <v>252103</v>
      </c>
    </row>
    <row r="157" spans="1:36" x14ac:dyDescent="0.25">
      <c r="A157" t="s">
        <v>8958</v>
      </c>
      <c r="B157" t="s">
        <v>632</v>
      </c>
      <c r="C157" t="s">
        <v>17</v>
      </c>
      <c r="D157" t="s">
        <v>8344</v>
      </c>
      <c r="E157" t="s">
        <v>233</v>
      </c>
      <c r="F157">
        <v>1</v>
      </c>
      <c r="G157" t="s">
        <v>193</v>
      </c>
      <c r="H157" t="s">
        <v>194</v>
      </c>
      <c r="I157" t="s">
        <v>8345</v>
      </c>
      <c r="J157" t="s">
        <v>196</v>
      </c>
      <c r="K157">
        <v>18</v>
      </c>
      <c r="L157" t="s">
        <v>8959</v>
      </c>
      <c r="M157" t="s">
        <v>6249</v>
      </c>
      <c r="N157" t="s">
        <v>8960</v>
      </c>
      <c r="O157" t="s">
        <v>8418</v>
      </c>
      <c r="P157" t="s">
        <v>8344</v>
      </c>
      <c r="Q157">
        <v>1992101</v>
      </c>
      <c r="R157">
        <v>20619978</v>
      </c>
      <c r="U157" t="s">
        <v>624</v>
      </c>
      <c r="V157" t="s">
        <v>193</v>
      </c>
      <c r="W157">
        <v>25</v>
      </c>
      <c r="X157" t="s">
        <v>8961</v>
      </c>
      <c r="Y157" t="s">
        <v>8962</v>
      </c>
      <c r="AE157" t="s">
        <v>8963</v>
      </c>
      <c r="AF157" t="s">
        <v>4714</v>
      </c>
      <c r="AG157" t="s">
        <v>632</v>
      </c>
      <c r="AI157" t="s">
        <v>6955</v>
      </c>
      <c r="AJ157" s="408" t="str">
        <f t="shared" si="2"/>
        <v>332203</v>
      </c>
    </row>
    <row r="158" spans="1:36" x14ac:dyDescent="0.25">
      <c r="A158" t="s">
        <v>8964</v>
      </c>
      <c r="B158" t="s">
        <v>8965</v>
      </c>
      <c r="C158" t="s">
        <v>17</v>
      </c>
      <c r="D158" t="s">
        <v>8344</v>
      </c>
      <c r="E158" t="s">
        <v>233</v>
      </c>
      <c r="F158">
        <v>1</v>
      </c>
      <c r="G158" t="s">
        <v>193</v>
      </c>
      <c r="H158" t="s">
        <v>194</v>
      </c>
      <c r="I158" t="s">
        <v>8345</v>
      </c>
      <c r="J158" t="s">
        <v>196</v>
      </c>
      <c r="K158">
        <v>18</v>
      </c>
      <c r="L158" t="s">
        <v>8966</v>
      </c>
      <c r="M158" t="s">
        <v>6256</v>
      </c>
      <c r="N158" t="s">
        <v>8357</v>
      </c>
      <c r="O158" t="s">
        <v>8348</v>
      </c>
      <c r="P158" t="s">
        <v>8325</v>
      </c>
      <c r="Q158">
        <v>1992189</v>
      </c>
      <c r="R158">
        <v>20829389</v>
      </c>
      <c r="U158" t="s">
        <v>624</v>
      </c>
      <c r="V158" t="s">
        <v>193</v>
      </c>
      <c r="W158">
        <v>25</v>
      </c>
      <c r="X158" t="s">
        <v>8967</v>
      </c>
      <c r="Y158" t="s">
        <v>8968</v>
      </c>
      <c r="AE158" t="s">
        <v>8969</v>
      </c>
      <c r="AF158" t="s">
        <v>4714</v>
      </c>
      <c r="AG158" t="s">
        <v>8965</v>
      </c>
      <c r="AI158" t="s">
        <v>6955</v>
      </c>
      <c r="AJ158" s="408" t="str">
        <f t="shared" si="2"/>
        <v>332203</v>
      </c>
    </row>
    <row r="159" spans="1:36" x14ac:dyDescent="0.25">
      <c r="A159" t="s">
        <v>5975</v>
      </c>
      <c r="B159" t="s">
        <v>5976</v>
      </c>
      <c r="C159" t="s">
        <v>17</v>
      </c>
      <c r="D159" t="s">
        <v>8344</v>
      </c>
      <c r="E159" t="s">
        <v>233</v>
      </c>
      <c r="F159">
        <v>1</v>
      </c>
      <c r="G159" t="s">
        <v>193</v>
      </c>
      <c r="H159" t="s">
        <v>194</v>
      </c>
      <c r="I159" t="s">
        <v>8345</v>
      </c>
      <c r="J159" t="s">
        <v>8970</v>
      </c>
      <c r="K159">
        <v>18</v>
      </c>
      <c r="L159" t="s">
        <v>8971</v>
      </c>
      <c r="M159" t="s">
        <v>6249</v>
      </c>
      <c r="N159" t="s">
        <v>8347</v>
      </c>
      <c r="O159" t="s">
        <v>8348</v>
      </c>
      <c r="P159" t="s">
        <v>8325</v>
      </c>
      <c r="Q159">
        <v>1992818</v>
      </c>
      <c r="R159">
        <v>20831727</v>
      </c>
      <c r="T159" t="s">
        <v>8972</v>
      </c>
      <c r="U159" t="s">
        <v>624</v>
      </c>
      <c r="V159" t="s">
        <v>194</v>
      </c>
      <c r="W159">
        <v>5</v>
      </c>
      <c r="Y159" t="s">
        <v>8973</v>
      </c>
      <c r="AE159" t="s">
        <v>8974</v>
      </c>
      <c r="AF159" t="s">
        <v>4714</v>
      </c>
      <c r="AG159" t="s">
        <v>5976</v>
      </c>
      <c r="AI159" t="s">
        <v>6955</v>
      </c>
      <c r="AJ159" s="408" t="str">
        <f t="shared" si="2"/>
        <v>332203</v>
      </c>
    </row>
    <row r="160" spans="1:36" x14ac:dyDescent="0.25">
      <c r="A160" t="s">
        <v>5062</v>
      </c>
      <c r="B160" t="s">
        <v>2298</v>
      </c>
      <c r="C160" t="s">
        <v>17</v>
      </c>
      <c r="D160" t="s">
        <v>8305</v>
      </c>
      <c r="E160" t="s">
        <v>233</v>
      </c>
      <c r="F160">
        <v>1</v>
      </c>
      <c r="G160" t="s">
        <v>193</v>
      </c>
      <c r="H160" t="s">
        <v>194</v>
      </c>
      <c r="I160" t="s">
        <v>8314</v>
      </c>
      <c r="J160" t="s">
        <v>747</v>
      </c>
      <c r="K160">
        <v>18</v>
      </c>
      <c r="L160" t="s">
        <v>8975</v>
      </c>
      <c r="M160" t="s">
        <v>6269</v>
      </c>
      <c r="N160" t="s">
        <v>8308</v>
      </c>
      <c r="O160" t="s">
        <v>8309</v>
      </c>
      <c r="P160" t="s">
        <v>8491</v>
      </c>
      <c r="Q160">
        <v>2003510</v>
      </c>
      <c r="R160">
        <v>21053966</v>
      </c>
      <c r="T160">
        <v>1817</v>
      </c>
      <c r="U160" t="s">
        <v>624</v>
      </c>
      <c r="V160" t="s">
        <v>194</v>
      </c>
      <c r="W160">
        <v>1</v>
      </c>
      <c r="Y160" t="s">
        <v>8976</v>
      </c>
      <c r="AE160" t="s">
        <v>8977</v>
      </c>
      <c r="AF160" t="s">
        <v>4714</v>
      </c>
      <c r="AG160" t="s">
        <v>2298</v>
      </c>
      <c r="AI160" t="s">
        <v>6955</v>
      </c>
      <c r="AJ160" s="408" t="str">
        <f t="shared" si="2"/>
        <v>332203</v>
      </c>
    </row>
    <row r="161" spans="1:36" x14ac:dyDescent="0.25">
      <c r="A161" t="s">
        <v>4975</v>
      </c>
      <c r="B161" t="s">
        <v>2309</v>
      </c>
      <c r="C161" t="s">
        <v>17</v>
      </c>
      <c r="D161" t="s">
        <v>8320</v>
      </c>
      <c r="E161" t="s">
        <v>233</v>
      </c>
      <c r="F161">
        <v>1</v>
      </c>
      <c r="G161" t="s">
        <v>193</v>
      </c>
      <c r="H161" t="s">
        <v>194</v>
      </c>
      <c r="I161" t="s">
        <v>8321</v>
      </c>
      <c r="J161" t="s">
        <v>210</v>
      </c>
      <c r="K161">
        <v>18</v>
      </c>
      <c r="L161" t="s">
        <v>8978</v>
      </c>
      <c r="M161" t="s">
        <v>6249</v>
      </c>
      <c r="N161" t="s">
        <v>8332</v>
      </c>
      <c r="O161" t="s">
        <v>8306</v>
      </c>
      <c r="P161" t="s">
        <v>8378</v>
      </c>
      <c r="Q161">
        <v>2013656</v>
      </c>
      <c r="R161">
        <v>21283165</v>
      </c>
      <c r="T161">
        <v>1863</v>
      </c>
      <c r="U161" t="s">
        <v>624</v>
      </c>
      <c r="V161" t="s">
        <v>194</v>
      </c>
      <c r="W161">
        <v>1</v>
      </c>
      <c r="Y161" t="s">
        <v>8420</v>
      </c>
      <c r="AE161" t="s">
        <v>8421</v>
      </c>
      <c r="AF161" t="s">
        <v>4714</v>
      </c>
      <c r="AG161" t="s">
        <v>2309</v>
      </c>
      <c r="AI161" t="s">
        <v>6955</v>
      </c>
      <c r="AJ161" s="408" t="str">
        <f t="shared" si="2"/>
        <v>332203</v>
      </c>
    </row>
    <row r="162" spans="1:36" x14ac:dyDescent="0.25">
      <c r="A162" t="s">
        <v>910</v>
      </c>
      <c r="B162" t="s">
        <v>467</v>
      </c>
      <c r="C162" t="s">
        <v>468</v>
      </c>
      <c r="D162" t="s">
        <v>8305</v>
      </c>
      <c r="E162" t="s">
        <v>233</v>
      </c>
      <c r="F162">
        <v>1</v>
      </c>
      <c r="G162" t="s">
        <v>193</v>
      </c>
      <c r="H162" t="s">
        <v>194</v>
      </c>
      <c r="I162" t="s">
        <v>8314</v>
      </c>
      <c r="J162" t="s">
        <v>5967</v>
      </c>
      <c r="K162">
        <v>18</v>
      </c>
      <c r="L162" t="s">
        <v>8979</v>
      </c>
      <c r="M162" t="s">
        <v>6288</v>
      </c>
      <c r="N162" t="s">
        <v>8308</v>
      </c>
      <c r="O162" t="s">
        <v>8309</v>
      </c>
      <c r="P162" t="s">
        <v>8310</v>
      </c>
      <c r="Q162">
        <v>2002281</v>
      </c>
      <c r="R162">
        <v>21050920</v>
      </c>
      <c r="T162" t="s">
        <v>8980</v>
      </c>
      <c r="U162" t="s">
        <v>469</v>
      </c>
      <c r="V162" t="s">
        <v>194</v>
      </c>
      <c r="W162">
        <v>20</v>
      </c>
      <c r="X162" t="s">
        <v>7816</v>
      </c>
      <c r="Y162" t="s">
        <v>8981</v>
      </c>
      <c r="AE162" t="s">
        <v>7818</v>
      </c>
      <c r="AF162" t="s">
        <v>4714</v>
      </c>
      <c r="AG162" t="s">
        <v>467</v>
      </c>
      <c r="AI162" t="s">
        <v>6955</v>
      </c>
      <c r="AJ162" s="408" t="str">
        <f t="shared" si="2"/>
        <v>243303</v>
      </c>
    </row>
    <row r="163" spans="1:36" x14ac:dyDescent="0.25">
      <c r="A163" t="s">
        <v>5213</v>
      </c>
      <c r="B163" t="s">
        <v>8982</v>
      </c>
      <c r="C163" t="s">
        <v>538</v>
      </c>
      <c r="D163" t="s">
        <v>8305</v>
      </c>
      <c r="E163" t="s">
        <v>233</v>
      </c>
      <c r="F163">
        <v>1</v>
      </c>
      <c r="G163" t="s">
        <v>193</v>
      </c>
      <c r="H163" t="s">
        <v>194</v>
      </c>
      <c r="I163" t="s">
        <v>8306</v>
      </c>
      <c r="J163" t="s">
        <v>909</v>
      </c>
      <c r="K163">
        <v>18</v>
      </c>
      <c r="L163" t="s">
        <v>8983</v>
      </c>
      <c r="M163" t="s">
        <v>6312</v>
      </c>
      <c r="N163" t="s">
        <v>8308</v>
      </c>
      <c r="O163" t="s">
        <v>8309</v>
      </c>
      <c r="P163" t="s">
        <v>8310</v>
      </c>
      <c r="Q163">
        <v>2002674</v>
      </c>
      <c r="R163">
        <v>21051879</v>
      </c>
      <c r="T163">
        <v>1805.1863000000001</v>
      </c>
      <c r="U163" t="s">
        <v>539</v>
      </c>
      <c r="V163" t="s">
        <v>194</v>
      </c>
      <c r="W163">
        <v>2</v>
      </c>
      <c r="Y163" t="s">
        <v>8655</v>
      </c>
      <c r="AE163" t="s">
        <v>7866</v>
      </c>
      <c r="AF163" t="s">
        <v>4714</v>
      </c>
      <c r="AG163" t="s">
        <v>8982</v>
      </c>
      <c r="AI163" t="s">
        <v>6955</v>
      </c>
      <c r="AJ163" s="408" t="str">
        <f t="shared" si="2"/>
        <v>263401</v>
      </c>
    </row>
    <row r="164" spans="1:36" x14ac:dyDescent="0.25">
      <c r="A164" t="s">
        <v>4959</v>
      </c>
      <c r="B164" t="s">
        <v>1520</v>
      </c>
      <c r="C164" t="s">
        <v>8984</v>
      </c>
      <c r="D164" t="s">
        <v>8305</v>
      </c>
      <c r="E164" t="s">
        <v>233</v>
      </c>
      <c r="F164">
        <v>1</v>
      </c>
      <c r="G164" t="s">
        <v>193</v>
      </c>
      <c r="H164" t="s">
        <v>194</v>
      </c>
      <c r="I164" t="s">
        <v>8306</v>
      </c>
      <c r="J164" t="s">
        <v>210</v>
      </c>
      <c r="K164">
        <v>18</v>
      </c>
      <c r="L164" t="s">
        <v>8985</v>
      </c>
      <c r="M164" t="s">
        <v>6306</v>
      </c>
      <c r="N164" t="s">
        <v>8308</v>
      </c>
      <c r="O164" t="s">
        <v>8309</v>
      </c>
      <c r="P164" t="s">
        <v>8986</v>
      </c>
      <c r="Q164">
        <v>2003575</v>
      </c>
      <c r="R164">
        <v>21054135</v>
      </c>
      <c r="T164">
        <v>1863</v>
      </c>
      <c r="U164" t="s">
        <v>8987</v>
      </c>
      <c r="V164" t="s">
        <v>194</v>
      </c>
      <c r="W164">
        <v>1</v>
      </c>
      <c r="X164">
        <v>78415</v>
      </c>
      <c r="Y164" t="s">
        <v>8988</v>
      </c>
      <c r="AE164" t="s">
        <v>8989</v>
      </c>
      <c r="AF164" t="s">
        <v>4714</v>
      </c>
      <c r="AG164" t="s">
        <v>1520</v>
      </c>
      <c r="AI164" t="s">
        <v>6955</v>
      </c>
      <c r="AJ164" s="408" t="str">
        <f t="shared" si="2"/>
        <v>325601</v>
      </c>
    </row>
    <row r="165" spans="1:36" x14ac:dyDescent="0.25">
      <c r="A165" t="s">
        <v>1040</v>
      </c>
      <c r="B165" t="s">
        <v>8990</v>
      </c>
      <c r="C165" t="s">
        <v>35</v>
      </c>
      <c r="D165" t="s">
        <v>8320</v>
      </c>
      <c r="E165" t="s">
        <v>233</v>
      </c>
      <c r="F165">
        <v>1</v>
      </c>
      <c r="G165" t="s">
        <v>193</v>
      </c>
      <c r="H165" t="s">
        <v>194</v>
      </c>
      <c r="I165" t="s">
        <v>8330</v>
      </c>
      <c r="J165" t="s">
        <v>196</v>
      </c>
      <c r="K165">
        <v>18</v>
      </c>
      <c r="L165" t="s">
        <v>8991</v>
      </c>
      <c r="M165" t="s">
        <v>6277</v>
      </c>
      <c r="N165" t="s">
        <v>8332</v>
      </c>
      <c r="O165" t="s">
        <v>8306</v>
      </c>
      <c r="P165" t="s">
        <v>8378</v>
      </c>
      <c r="Q165">
        <v>2013286</v>
      </c>
      <c r="R165">
        <v>21282121</v>
      </c>
      <c r="U165" t="s">
        <v>207</v>
      </c>
      <c r="V165" t="s">
        <v>193</v>
      </c>
      <c r="W165">
        <v>25</v>
      </c>
      <c r="Y165" t="s">
        <v>8992</v>
      </c>
      <c r="AE165" t="s">
        <v>8993</v>
      </c>
      <c r="AF165" t="s">
        <v>4714</v>
      </c>
      <c r="AG165" t="s">
        <v>8990</v>
      </c>
      <c r="AI165" t="s">
        <v>6955</v>
      </c>
      <c r="AJ165" s="408" t="str">
        <f t="shared" si="2"/>
        <v>122106</v>
      </c>
    </row>
    <row r="166" spans="1:36" x14ac:dyDescent="0.25">
      <c r="A166" t="s">
        <v>8994</v>
      </c>
      <c r="B166" t="s">
        <v>8995</v>
      </c>
      <c r="C166" t="s">
        <v>35</v>
      </c>
      <c r="D166" t="s">
        <v>8320</v>
      </c>
      <c r="E166" t="s">
        <v>233</v>
      </c>
      <c r="F166">
        <v>1</v>
      </c>
      <c r="G166" t="s">
        <v>193</v>
      </c>
      <c r="H166" t="s">
        <v>194</v>
      </c>
      <c r="I166" t="s">
        <v>8330</v>
      </c>
      <c r="J166" t="s">
        <v>196</v>
      </c>
      <c r="K166">
        <v>18</v>
      </c>
      <c r="L166" t="s">
        <v>8996</v>
      </c>
      <c r="M166" t="s">
        <v>6277</v>
      </c>
      <c r="N166" t="s">
        <v>8332</v>
      </c>
      <c r="O166" t="s">
        <v>8306</v>
      </c>
      <c r="P166" t="s">
        <v>8378</v>
      </c>
      <c r="Q166">
        <v>2014054</v>
      </c>
      <c r="R166">
        <v>21284931</v>
      </c>
      <c r="U166" t="s">
        <v>207</v>
      </c>
      <c r="V166" t="s">
        <v>193</v>
      </c>
      <c r="W166">
        <v>25</v>
      </c>
      <c r="Y166" t="s">
        <v>8997</v>
      </c>
      <c r="AE166" t="s">
        <v>8998</v>
      </c>
      <c r="AF166" t="s">
        <v>4714</v>
      </c>
      <c r="AG166" t="s">
        <v>8995</v>
      </c>
      <c r="AI166" t="s">
        <v>6955</v>
      </c>
      <c r="AJ166" s="408" t="str">
        <f t="shared" si="2"/>
        <v>122106</v>
      </c>
    </row>
    <row r="167" spans="1:36" x14ac:dyDescent="0.25">
      <c r="A167" t="s">
        <v>8371</v>
      </c>
      <c r="B167" t="s">
        <v>8999</v>
      </c>
      <c r="C167" t="s">
        <v>9000</v>
      </c>
      <c r="D167" t="s">
        <v>8320</v>
      </c>
      <c r="E167" t="s">
        <v>233</v>
      </c>
      <c r="F167">
        <v>1</v>
      </c>
      <c r="G167" t="s">
        <v>193</v>
      </c>
      <c r="H167" t="s">
        <v>194</v>
      </c>
      <c r="I167" t="s">
        <v>8330</v>
      </c>
      <c r="J167" t="s">
        <v>196</v>
      </c>
      <c r="K167">
        <v>18</v>
      </c>
      <c r="L167" t="s">
        <v>9001</v>
      </c>
      <c r="M167" t="s">
        <v>6261</v>
      </c>
      <c r="N167" t="s">
        <v>8332</v>
      </c>
      <c r="O167" t="s">
        <v>8306</v>
      </c>
      <c r="P167" t="s">
        <v>8373</v>
      </c>
      <c r="Q167">
        <v>2013036</v>
      </c>
      <c r="R167">
        <v>21207119</v>
      </c>
      <c r="U167" t="s">
        <v>9002</v>
      </c>
      <c r="V167" t="s">
        <v>193</v>
      </c>
      <c r="W167">
        <v>25</v>
      </c>
      <c r="X167" t="s">
        <v>9003</v>
      </c>
      <c r="Y167" t="s">
        <v>9004</v>
      </c>
      <c r="AE167" t="s">
        <v>9005</v>
      </c>
      <c r="AF167" t="s">
        <v>4714</v>
      </c>
      <c r="AG167" t="s">
        <v>8999</v>
      </c>
      <c r="AI167" t="s">
        <v>6955</v>
      </c>
      <c r="AJ167" s="408" t="str">
        <f t="shared" si="2"/>
        <v>252902</v>
      </c>
    </row>
    <row r="168" spans="1:36" x14ac:dyDescent="0.25">
      <c r="A168" t="s">
        <v>8371</v>
      </c>
      <c r="B168" t="s">
        <v>9006</v>
      </c>
      <c r="C168" t="s">
        <v>9000</v>
      </c>
      <c r="D168" t="s">
        <v>8320</v>
      </c>
      <c r="E168" t="s">
        <v>233</v>
      </c>
      <c r="F168">
        <v>1</v>
      </c>
      <c r="G168" t="s">
        <v>193</v>
      </c>
      <c r="H168" t="s">
        <v>194</v>
      </c>
      <c r="I168" t="s">
        <v>8330</v>
      </c>
      <c r="J168" t="s">
        <v>196</v>
      </c>
      <c r="K168">
        <v>18</v>
      </c>
      <c r="L168" t="s">
        <v>9007</v>
      </c>
      <c r="M168" t="s">
        <v>6921</v>
      </c>
      <c r="N168" t="s">
        <v>8332</v>
      </c>
      <c r="O168" t="s">
        <v>8306</v>
      </c>
      <c r="P168" t="s">
        <v>8373</v>
      </c>
      <c r="Q168">
        <v>2013052</v>
      </c>
      <c r="R168">
        <v>21207135</v>
      </c>
      <c r="U168" t="s">
        <v>9002</v>
      </c>
      <c r="V168" t="s">
        <v>193</v>
      </c>
      <c r="W168">
        <v>25</v>
      </c>
      <c r="X168" t="s">
        <v>9008</v>
      </c>
      <c r="Y168" t="s">
        <v>9009</v>
      </c>
      <c r="AE168" t="s">
        <v>9010</v>
      </c>
      <c r="AF168" t="s">
        <v>4714</v>
      </c>
      <c r="AG168" t="s">
        <v>9006</v>
      </c>
      <c r="AI168" t="s">
        <v>6955</v>
      </c>
      <c r="AJ168" s="408" t="str">
        <f t="shared" si="2"/>
        <v>252902</v>
      </c>
    </row>
    <row r="169" spans="1:36" x14ac:dyDescent="0.25">
      <c r="A169" t="s">
        <v>8312</v>
      </c>
      <c r="B169" t="s">
        <v>9011</v>
      </c>
      <c r="C169" t="s">
        <v>9000</v>
      </c>
      <c r="D169" t="s">
        <v>8320</v>
      </c>
      <c r="E169" t="s">
        <v>233</v>
      </c>
      <c r="F169">
        <v>1</v>
      </c>
      <c r="G169" t="s">
        <v>193</v>
      </c>
      <c r="H169" t="s">
        <v>194</v>
      </c>
      <c r="I169" t="s">
        <v>8330</v>
      </c>
      <c r="J169" t="s">
        <v>196</v>
      </c>
      <c r="K169">
        <v>18</v>
      </c>
      <c r="L169" t="s">
        <v>9012</v>
      </c>
      <c r="M169" t="s">
        <v>6261</v>
      </c>
      <c r="N169" t="s">
        <v>8332</v>
      </c>
      <c r="O169" t="s">
        <v>8306</v>
      </c>
      <c r="P169" t="s">
        <v>8378</v>
      </c>
      <c r="Q169">
        <v>2013169</v>
      </c>
      <c r="R169">
        <v>21281776</v>
      </c>
      <c r="U169" t="s">
        <v>9002</v>
      </c>
      <c r="V169" t="s">
        <v>193</v>
      </c>
      <c r="W169">
        <v>25</v>
      </c>
      <c r="X169" t="s">
        <v>9013</v>
      </c>
      <c r="Y169" t="s">
        <v>9014</v>
      </c>
      <c r="AE169" t="s">
        <v>9015</v>
      </c>
      <c r="AF169" t="s">
        <v>4714</v>
      </c>
      <c r="AG169" t="s">
        <v>9011</v>
      </c>
      <c r="AI169" t="s">
        <v>6955</v>
      </c>
      <c r="AJ169" s="408" t="str">
        <f t="shared" si="2"/>
        <v>252902</v>
      </c>
    </row>
    <row r="170" spans="1:36" x14ac:dyDescent="0.25">
      <c r="A170" t="s">
        <v>9016</v>
      </c>
      <c r="B170" t="s">
        <v>1448</v>
      </c>
      <c r="C170" t="s">
        <v>100</v>
      </c>
      <c r="D170" t="s">
        <v>8344</v>
      </c>
      <c r="E170" t="s">
        <v>233</v>
      </c>
      <c r="F170">
        <v>1</v>
      </c>
      <c r="G170" t="s">
        <v>193</v>
      </c>
      <c r="H170" t="s">
        <v>194</v>
      </c>
      <c r="I170" t="s">
        <v>8345</v>
      </c>
      <c r="J170" t="s">
        <v>196</v>
      </c>
      <c r="K170">
        <v>18</v>
      </c>
      <c r="L170" t="s">
        <v>9017</v>
      </c>
      <c r="M170" t="s">
        <v>6277</v>
      </c>
      <c r="N170" t="s">
        <v>8357</v>
      </c>
      <c r="O170" t="s">
        <v>8348</v>
      </c>
      <c r="P170" t="s">
        <v>8325</v>
      </c>
      <c r="Q170">
        <v>1992237</v>
      </c>
      <c r="R170">
        <v>20829535</v>
      </c>
      <c r="U170" t="s">
        <v>429</v>
      </c>
      <c r="V170" t="s">
        <v>193</v>
      </c>
      <c r="W170">
        <v>25</v>
      </c>
      <c r="Y170" t="s">
        <v>9018</v>
      </c>
      <c r="AE170" t="s">
        <v>9019</v>
      </c>
      <c r="AF170" t="s">
        <v>4714</v>
      </c>
      <c r="AG170" t="s">
        <v>1448</v>
      </c>
      <c r="AI170" t="s">
        <v>6955</v>
      </c>
      <c r="AJ170" s="408" t="str">
        <f t="shared" si="2"/>
        <v>242108</v>
      </c>
    </row>
    <row r="171" spans="1:36" x14ac:dyDescent="0.25">
      <c r="A171" t="s">
        <v>9020</v>
      </c>
      <c r="B171" t="s">
        <v>9021</v>
      </c>
      <c r="C171" t="s">
        <v>100</v>
      </c>
      <c r="D171" t="s">
        <v>8305</v>
      </c>
      <c r="E171" t="s">
        <v>233</v>
      </c>
      <c r="F171">
        <v>1</v>
      </c>
      <c r="G171" t="s">
        <v>193</v>
      </c>
      <c r="H171" t="s">
        <v>194</v>
      </c>
      <c r="I171" t="s">
        <v>8306</v>
      </c>
      <c r="J171" t="s">
        <v>196</v>
      </c>
      <c r="K171">
        <v>18</v>
      </c>
      <c r="L171" t="s">
        <v>9022</v>
      </c>
      <c r="M171" t="s">
        <v>6249</v>
      </c>
      <c r="N171" t="s">
        <v>8308</v>
      </c>
      <c r="O171" t="s">
        <v>8309</v>
      </c>
      <c r="P171" t="s">
        <v>8310</v>
      </c>
      <c r="Q171">
        <v>2003009</v>
      </c>
      <c r="R171">
        <v>21052721</v>
      </c>
      <c r="U171" t="s">
        <v>429</v>
      </c>
      <c r="V171" t="s">
        <v>193</v>
      </c>
      <c r="W171">
        <v>25</v>
      </c>
      <c r="Y171" t="s">
        <v>9023</v>
      </c>
      <c r="AE171" t="s">
        <v>9024</v>
      </c>
      <c r="AF171" t="s">
        <v>4714</v>
      </c>
      <c r="AG171" t="s">
        <v>9021</v>
      </c>
      <c r="AI171" t="s">
        <v>6955</v>
      </c>
      <c r="AJ171" s="408" t="str">
        <f t="shared" si="2"/>
        <v>242108</v>
      </c>
    </row>
    <row r="172" spans="1:36" x14ac:dyDescent="0.25">
      <c r="A172" t="s">
        <v>1122</v>
      </c>
      <c r="B172" t="s">
        <v>3222</v>
      </c>
      <c r="C172" t="s">
        <v>43</v>
      </c>
      <c r="D172" t="s">
        <v>8381</v>
      </c>
      <c r="E172" t="s">
        <v>233</v>
      </c>
      <c r="F172">
        <v>1</v>
      </c>
      <c r="G172" t="s">
        <v>193</v>
      </c>
      <c r="H172" t="s">
        <v>194</v>
      </c>
      <c r="I172" t="s">
        <v>8382</v>
      </c>
      <c r="J172" t="s">
        <v>210</v>
      </c>
      <c r="K172">
        <v>18</v>
      </c>
      <c r="L172" t="s">
        <v>9025</v>
      </c>
      <c r="M172" t="s">
        <v>6302</v>
      </c>
      <c r="N172" t="s">
        <v>8417</v>
      </c>
      <c r="O172" t="s">
        <v>8418</v>
      </c>
      <c r="P172" t="s">
        <v>8320</v>
      </c>
      <c r="Q172">
        <v>1966746</v>
      </c>
      <c r="R172">
        <v>20365866</v>
      </c>
      <c r="T172">
        <v>1863</v>
      </c>
      <c r="U172" t="s">
        <v>452</v>
      </c>
      <c r="V172" t="s">
        <v>194</v>
      </c>
      <c r="W172">
        <v>1</v>
      </c>
      <c r="Y172" t="s">
        <v>9026</v>
      </c>
      <c r="AE172" t="s">
        <v>9027</v>
      </c>
      <c r="AF172" t="s">
        <v>4714</v>
      </c>
      <c r="AG172" t="s">
        <v>3222</v>
      </c>
      <c r="AI172" t="s">
        <v>6955</v>
      </c>
      <c r="AJ172" s="408" t="str">
        <f t="shared" si="2"/>
        <v>243106</v>
      </c>
    </row>
    <row r="173" spans="1:36" x14ac:dyDescent="0.25">
      <c r="A173" t="s">
        <v>8131</v>
      </c>
      <c r="B173" t="s">
        <v>9028</v>
      </c>
      <c r="C173" t="s">
        <v>43</v>
      </c>
      <c r="D173" t="s">
        <v>8305</v>
      </c>
      <c r="E173" t="s">
        <v>233</v>
      </c>
      <c r="F173">
        <v>1</v>
      </c>
      <c r="G173" t="s">
        <v>193</v>
      </c>
      <c r="H173" t="s">
        <v>194</v>
      </c>
      <c r="I173" t="s">
        <v>8306</v>
      </c>
      <c r="J173" t="s">
        <v>196</v>
      </c>
      <c r="K173">
        <v>18</v>
      </c>
      <c r="L173" t="s">
        <v>9029</v>
      </c>
      <c r="M173" t="s">
        <v>6921</v>
      </c>
      <c r="N173" t="s">
        <v>8308</v>
      </c>
      <c r="O173" t="s">
        <v>8309</v>
      </c>
      <c r="P173" t="s">
        <v>8828</v>
      </c>
      <c r="Q173">
        <v>2003625</v>
      </c>
      <c r="R173">
        <v>21054382</v>
      </c>
      <c r="U173" t="s">
        <v>452</v>
      </c>
      <c r="V173" t="s">
        <v>193</v>
      </c>
      <c r="W173">
        <v>25</v>
      </c>
      <c r="Y173" t="s">
        <v>9030</v>
      </c>
      <c r="AE173" t="s">
        <v>9031</v>
      </c>
      <c r="AF173" t="s">
        <v>4714</v>
      </c>
      <c r="AG173" t="s">
        <v>9028</v>
      </c>
      <c r="AI173" t="s">
        <v>6955</v>
      </c>
      <c r="AJ173" s="408" t="str">
        <f t="shared" si="2"/>
        <v>243106</v>
      </c>
    </row>
    <row r="174" spans="1:36" hidden="1" x14ac:dyDescent="0.25">
      <c r="A174" t="s">
        <v>9032</v>
      </c>
      <c r="B174" t="s">
        <v>9033</v>
      </c>
      <c r="C174" t="s">
        <v>85</v>
      </c>
      <c r="D174" t="s">
        <v>8320</v>
      </c>
      <c r="E174" t="s">
        <v>233</v>
      </c>
      <c r="F174">
        <v>1</v>
      </c>
      <c r="G174" s="386" t="s">
        <v>194</v>
      </c>
      <c r="H174" s="24" t="s">
        <v>193</v>
      </c>
      <c r="I174" t="s">
        <v>8330</v>
      </c>
      <c r="J174" t="s">
        <v>196</v>
      </c>
      <c r="K174">
        <v>18</v>
      </c>
      <c r="L174" t="s">
        <v>9034</v>
      </c>
      <c r="M174" t="s">
        <v>6249</v>
      </c>
      <c r="N174" t="s">
        <v>8332</v>
      </c>
      <c r="O174" t="s">
        <v>8306</v>
      </c>
      <c r="P174" t="s">
        <v>8378</v>
      </c>
      <c r="Q174">
        <v>2013683</v>
      </c>
      <c r="R174">
        <v>21283214</v>
      </c>
      <c r="U174" t="s">
        <v>477</v>
      </c>
      <c r="V174" t="s">
        <v>193</v>
      </c>
      <c r="W174">
        <v>25</v>
      </c>
      <c r="Y174" t="s">
        <v>9035</v>
      </c>
      <c r="AE174" t="s">
        <v>9036</v>
      </c>
      <c r="AF174" t="s">
        <v>4714</v>
      </c>
      <c r="AG174" t="s">
        <v>9033</v>
      </c>
      <c r="AI174" t="s">
        <v>6955</v>
      </c>
      <c r="AJ174" s="408" t="str">
        <f t="shared" si="2"/>
        <v>243305</v>
      </c>
    </row>
    <row r="175" spans="1:36" hidden="1" x14ac:dyDescent="0.25">
      <c r="A175" t="s">
        <v>9037</v>
      </c>
      <c r="B175" t="s">
        <v>9038</v>
      </c>
      <c r="C175" t="s">
        <v>20</v>
      </c>
      <c r="D175" t="s">
        <v>8305</v>
      </c>
      <c r="E175" t="s">
        <v>233</v>
      </c>
      <c r="F175">
        <v>1</v>
      </c>
      <c r="G175" s="386" t="s">
        <v>194</v>
      </c>
      <c r="H175" s="24" t="s">
        <v>193</v>
      </c>
      <c r="I175" t="s">
        <v>8306</v>
      </c>
      <c r="J175" t="s">
        <v>196</v>
      </c>
      <c r="K175">
        <v>18</v>
      </c>
      <c r="L175" t="s">
        <v>9039</v>
      </c>
      <c r="M175" t="s">
        <v>6256</v>
      </c>
      <c r="N175" t="s">
        <v>8308</v>
      </c>
      <c r="O175" t="s">
        <v>8309</v>
      </c>
      <c r="P175" t="s">
        <v>8310</v>
      </c>
      <c r="Q175">
        <v>2002809</v>
      </c>
      <c r="R175">
        <v>21052198</v>
      </c>
      <c r="U175" t="s">
        <v>286</v>
      </c>
      <c r="V175" t="s">
        <v>193</v>
      </c>
      <c r="W175">
        <v>25</v>
      </c>
      <c r="X175" t="s">
        <v>9040</v>
      </c>
      <c r="Y175" t="s">
        <v>9041</v>
      </c>
      <c r="AE175" t="s">
        <v>9042</v>
      </c>
      <c r="AF175" t="s">
        <v>4714</v>
      </c>
      <c r="AG175" t="s">
        <v>9038</v>
      </c>
      <c r="AI175" t="s">
        <v>6955</v>
      </c>
      <c r="AJ175" s="408" t="str">
        <f t="shared" si="2"/>
        <v>214109</v>
      </c>
    </row>
    <row r="176" spans="1:36" x14ac:dyDescent="0.25">
      <c r="A176" t="s">
        <v>4975</v>
      </c>
      <c r="B176" t="s">
        <v>9043</v>
      </c>
      <c r="C176" t="s">
        <v>4896</v>
      </c>
      <c r="D176" t="s">
        <v>8381</v>
      </c>
      <c r="E176" t="s">
        <v>233</v>
      </c>
      <c r="F176">
        <v>1</v>
      </c>
      <c r="G176" t="s">
        <v>193</v>
      </c>
      <c r="H176" t="s">
        <v>194</v>
      </c>
      <c r="I176" t="s">
        <v>8382</v>
      </c>
      <c r="J176" t="s">
        <v>253</v>
      </c>
      <c r="K176">
        <v>18</v>
      </c>
      <c r="L176" t="s">
        <v>9044</v>
      </c>
      <c r="M176" t="s">
        <v>6275</v>
      </c>
      <c r="N176" t="s">
        <v>8417</v>
      </c>
      <c r="O176" t="s">
        <v>8418</v>
      </c>
      <c r="P176" t="s">
        <v>8390</v>
      </c>
      <c r="Q176">
        <v>1966795</v>
      </c>
      <c r="R176">
        <v>20394407</v>
      </c>
      <c r="T176">
        <v>1811</v>
      </c>
      <c r="U176" t="s">
        <v>2538</v>
      </c>
      <c r="V176" t="s">
        <v>194</v>
      </c>
      <c r="W176">
        <v>1</v>
      </c>
      <c r="Y176" t="s">
        <v>9045</v>
      </c>
      <c r="AE176" t="s">
        <v>9046</v>
      </c>
      <c r="AF176" t="s">
        <v>4714</v>
      </c>
      <c r="AG176" t="s">
        <v>9043</v>
      </c>
      <c r="AI176" t="s">
        <v>6955</v>
      </c>
      <c r="AJ176" s="408" t="str">
        <f t="shared" si="2"/>
        <v>911207</v>
      </c>
    </row>
    <row r="177" spans="1:36" x14ac:dyDescent="0.25">
      <c r="A177" t="s">
        <v>4975</v>
      </c>
      <c r="B177" t="s">
        <v>9047</v>
      </c>
      <c r="C177" t="s">
        <v>4896</v>
      </c>
      <c r="D177" t="s">
        <v>8381</v>
      </c>
      <c r="E177" t="s">
        <v>233</v>
      </c>
      <c r="F177">
        <v>1</v>
      </c>
      <c r="G177" t="s">
        <v>193</v>
      </c>
      <c r="H177" t="s">
        <v>194</v>
      </c>
      <c r="I177" t="s">
        <v>8382</v>
      </c>
      <c r="J177" t="s">
        <v>223</v>
      </c>
      <c r="K177">
        <v>18</v>
      </c>
      <c r="L177" t="s">
        <v>9048</v>
      </c>
      <c r="M177" t="s">
        <v>6275</v>
      </c>
      <c r="N177" t="s">
        <v>8417</v>
      </c>
      <c r="O177" t="s">
        <v>8418</v>
      </c>
      <c r="P177" t="s">
        <v>8419</v>
      </c>
      <c r="Q177">
        <v>1967302</v>
      </c>
      <c r="R177">
        <v>20582600</v>
      </c>
      <c r="T177">
        <v>1804</v>
      </c>
      <c r="U177" t="s">
        <v>2538</v>
      </c>
      <c r="V177" t="s">
        <v>194</v>
      </c>
      <c r="W177">
        <v>1</v>
      </c>
      <c r="Y177" t="s">
        <v>9045</v>
      </c>
      <c r="AE177" t="s">
        <v>9046</v>
      </c>
      <c r="AF177" t="s">
        <v>4714</v>
      </c>
      <c r="AG177" t="s">
        <v>9047</v>
      </c>
      <c r="AI177" t="s">
        <v>6955</v>
      </c>
      <c r="AJ177" s="408" t="str">
        <f t="shared" si="2"/>
        <v>911207</v>
      </c>
    </row>
    <row r="178" spans="1:36" x14ac:dyDescent="0.25">
      <c r="A178" t="s">
        <v>4975</v>
      </c>
      <c r="B178" t="s">
        <v>9043</v>
      </c>
      <c r="C178" t="s">
        <v>4896</v>
      </c>
      <c r="D178" t="s">
        <v>8305</v>
      </c>
      <c r="E178" t="s">
        <v>233</v>
      </c>
      <c r="F178">
        <v>1</v>
      </c>
      <c r="G178" t="s">
        <v>193</v>
      </c>
      <c r="H178" t="s">
        <v>194</v>
      </c>
      <c r="I178" t="s">
        <v>8306</v>
      </c>
      <c r="J178" t="s">
        <v>253</v>
      </c>
      <c r="K178">
        <v>18</v>
      </c>
      <c r="L178" t="s">
        <v>9049</v>
      </c>
      <c r="M178" t="s">
        <v>6275</v>
      </c>
      <c r="N178" t="s">
        <v>8308</v>
      </c>
      <c r="O178" t="s">
        <v>8309</v>
      </c>
      <c r="P178" t="s">
        <v>8310</v>
      </c>
      <c r="Q178">
        <v>2003341</v>
      </c>
      <c r="R178">
        <v>21053486</v>
      </c>
      <c r="T178">
        <v>1811</v>
      </c>
      <c r="U178" t="s">
        <v>2538</v>
      </c>
      <c r="V178" t="s">
        <v>194</v>
      </c>
      <c r="W178">
        <v>1</v>
      </c>
      <c r="Y178" t="s">
        <v>9045</v>
      </c>
      <c r="AE178" t="s">
        <v>9046</v>
      </c>
      <c r="AF178" t="s">
        <v>4714</v>
      </c>
      <c r="AG178" t="s">
        <v>9043</v>
      </c>
      <c r="AI178" t="s">
        <v>6955</v>
      </c>
      <c r="AJ178" s="408" t="str">
        <f t="shared" si="2"/>
        <v>911207</v>
      </c>
    </row>
    <row r="179" spans="1:36" x14ac:dyDescent="0.25">
      <c r="A179" t="s">
        <v>4975</v>
      </c>
      <c r="B179" t="s">
        <v>9043</v>
      </c>
      <c r="C179" t="s">
        <v>4896</v>
      </c>
      <c r="D179" t="s">
        <v>8305</v>
      </c>
      <c r="E179" t="s">
        <v>233</v>
      </c>
      <c r="F179">
        <v>1</v>
      </c>
      <c r="G179" t="s">
        <v>193</v>
      </c>
      <c r="H179" t="s">
        <v>194</v>
      </c>
      <c r="I179" t="s">
        <v>8306</v>
      </c>
      <c r="J179" t="s">
        <v>223</v>
      </c>
      <c r="K179">
        <v>18</v>
      </c>
      <c r="L179" t="s">
        <v>9050</v>
      </c>
      <c r="M179" t="s">
        <v>6275</v>
      </c>
      <c r="N179" t="s">
        <v>8308</v>
      </c>
      <c r="O179" t="s">
        <v>8309</v>
      </c>
      <c r="P179" t="s">
        <v>8310</v>
      </c>
      <c r="Q179">
        <v>2003342</v>
      </c>
      <c r="R179">
        <v>21053487</v>
      </c>
      <c r="T179">
        <v>1804</v>
      </c>
      <c r="U179" t="s">
        <v>2538</v>
      </c>
      <c r="V179" t="s">
        <v>194</v>
      </c>
      <c r="W179">
        <v>1</v>
      </c>
      <c r="Y179" t="s">
        <v>9045</v>
      </c>
      <c r="AE179" t="s">
        <v>9046</v>
      </c>
      <c r="AF179" t="s">
        <v>4714</v>
      </c>
      <c r="AG179" t="s">
        <v>9043</v>
      </c>
      <c r="AI179" t="s">
        <v>6955</v>
      </c>
      <c r="AJ179" s="408" t="str">
        <f t="shared" si="2"/>
        <v>911207</v>
      </c>
    </row>
    <row r="180" spans="1:36" x14ac:dyDescent="0.25">
      <c r="A180" t="s">
        <v>4975</v>
      </c>
      <c r="B180" t="s">
        <v>8</v>
      </c>
      <c r="C180" t="s">
        <v>740</v>
      </c>
      <c r="D180" t="s">
        <v>8381</v>
      </c>
      <c r="E180" t="s">
        <v>233</v>
      </c>
      <c r="F180">
        <v>1</v>
      </c>
      <c r="G180" t="s">
        <v>193</v>
      </c>
      <c r="H180" t="s">
        <v>194</v>
      </c>
      <c r="I180" t="s">
        <v>8382</v>
      </c>
      <c r="J180" t="s">
        <v>253</v>
      </c>
      <c r="K180">
        <v>18</v>
      </c>
      <c r="L180" t="s">
        <v>9051</v>
      </c>
      <c r="M180" t="s">
        <v>6275</v>
      </c>
      <c r="N180" t="s">
        <v>8417</v>
      </c>
      <c r="O180" t="s">
        <v>8418</v>
      </c>
      <c r="P180" t="s">
        <v>8390</v>
      </c>
      <c r="Q180">
        <v>1966796</v>
      </c>
      <c r="R180">
        <v>20394410</v>
      </c>
      <c r="T180">
        <v>1811</v>
      </c>
      <c r="U180" t="s">
        <v>741</v>
      </c>
      <c r="V180" t="s">
        <v>194</v>
      </c>
      <c r="W180">
        <v>1</v>
      </c>
      <c r="Y180" t="s">
        <v>6358</v>
      </c>
      <c r="AE180" t="s">
        <v>6359</v>
      </c>
      <c r="AF180" t="s">
        <v>4714</v>
      </c>
      <c r="AG180" t="s">
        <v>8</v>
      </c>
      <c r="AI180" t="s">
        <v>6955</v>
      </c>
      <c r="AJ180" s="408" t="str">
        <f t="shared" si="2"/>
        <v>522301</v>
      </c>
    </row>
    <row r="181" spans="1:36" x14ac:dyDescent="0.25">
      <c r="A181" t="s">
        <v>9052</v>
      </c>
      <c r="B181" t="s">
        <v>8</v>
      </c>
      <c r="C181" t="s">
        <v>740</v>
      </c>
      <c r="D181" t="s">
        <v>8344</v>
      </c>
      <c r="E181" t="s">
        <v>233</v>
      </c>
      <c r="F181">
        <v>1</v>
      </c>
      <c r="G181" t="s">
        <v>193</v>
      </c>
      <c r="H181" t="s">
        <v>194</v>
      </c>
      <c r="I181" t="s">
        <v>8345</v>
      </c>
      <c r="J181" t="s">
        <v>9053</v>
      </c>
      <c r="K181">
        <v>18</v>
      </c>
      <c r="L181" t="s">
        <v>9054</v>
      </c>
      <c r="M181" t="s">
        <v>6249</v>
      </c>
      <c r="N181" t="s">
        <v>8347</v>
      </c>
      <c r="O181" t="s">
        <v>8348</v>
      </c>
      <c r="P181" t="s">
        <v>8325</v>
      </c>
      <c r="Q181">
        <v>1992753</v>
      </c>
      <c r="R181">
        <v>20831440</v>
      </c>
      <c r="T181">
        <v>1863</v>
      </c>
      <c r="U181" t="s">
        <v>741</v>
      </c>
      <c r="V181" t="s">
        <v>194</v>
      </c>
      <c r="W181">
        <v>1</v>
      </c>
      <c r="Y181" t="s">
        <v>9055</v>
      </c>
      <c r="AE181" t="s">
        <v>9056</v>
      </c>
      <c r="AF181" t="s">
        <v>4714</v>
      </c>
      <c r="AG181" t="s">
        <v>8</v>
      </c>
      <c r="AI181" t="s">
        <v>6955</v>
      </c>
      <c r="AJ181" s="408" t="str">
        <f t="shared" si="2"/>
        <v>522301</v>
      </c>
    </row>
    <row r="182" spans="1:36" x14ac:dyDescent="0.25">
      <c r="A182" t="s">
        <v>8228</v>
      </c>
      <c r="B182" t="s">
        <v>8</v>
      </c>
      <c r="C182" t="s">
        <v>740</v>
      </c>
      <c r="D182" t="s">
        <v>8344</v>
      </c>
      <c r="E182" t="s">
        <v>233</v>
      </c>
      <c r="F182">
        <v>2</v>
      </c>
      <c r="G182" t="s">
        <v>193</v>
      </c>
      <c r="H182" t="s">
        <v>194</v>
      </c>
      <c r="I182" t="s">
        <v>8345</v>
      </c>
      <c r="J182" t="s">
        <v>9057</v>
      </c>
      <c r="K182">
        <v>18</v>
      </c>
      <c r="L182" t="s">
        <v>9058</v>
      </c>
      <c r="M182" t="s">
        <v>6275</v>
      </c>
      <c r="N182" t="s">
        <v>8347</v>
      </c>
      <c r="O182" t="s">
        <v>8348</v>
      </c>
      <c r="P182" t="s">
        <v>8325</v>
      </c>
      <c r="Q182">
        <v>1993232</v>
      </c>
      <c r="R182">
        <v>20832846</v>
      </c>
      <c r="T182">
        <v>1863</v>
      </c>
      <c r="U182" t="s">
        <v>741</v>
      </c>
      <c r="V182" t="s">
        <v>194</v>
      </c>
      <c r="W182">
        <v>1</v>
      </c>
      <c r="Y182" t="s">
        <v>9059</v>
      </c>
      <c r="AE182" t="s">
        <v>9060</v>
      </c>
      <c r="AF182" t="s">
        <v>4714</v>
      </c>
      <c r="AG182" t="s">
        <v>8</v>
      </c>
      <c r="AI182" t="s">
        <v>6955</v>
      </c>
      <c r="AJ182" s="408" t="str">
        <f t="shared" si="2"/>
        <v>522301</v>
      </c>
    </row>
    <row r="183" spans="1:36" x14ac:dyDescent="0.25">
      <c r="A183" t="s">
        <v>4975</v>
      </c>
      <c r="B183" t="s">
        <v>8</v>
      </c>
      <c r="C183" t="s">
        <v>740</v>
      </c>
      <c r="D183" t="s">
        <v>8305</v>
      </c>
      <c r="E183" t="s">
        <v>233</v>
      </c>
      <c r="F183">
        <v>1</v>
      </c>
      <c r="G183" t="s">
        <v>193</v>
      </c>
      <c r="H183" t="s">
        <v>194</v>
      </c>
      <c r="I183" t="s">
        <v>8314</v>
      </c>
      <c r="J183" t="s">
        <v>408</v>
      </c>
      <c r="K183">
        <v>18</v>
      </c>
      <c r="L183" t="s">
        <v>9061</v>
      </c>
      <c r="M183" t="s">
        <v>6275</v>
      </c>
      <c r="N183" t="s">
        <v>8308</v>
      </c>
      <c r="O183" t="s">
        <v>8309</v>
      </c>
      <c r="P183" t="s">
        <v>8310</v>
      </c>
      <c r="Q183">
        <v>2003337</v>
      </c>
      <c r="R183">
        <v>21053476</v>
      </c>
      <c r="T183">
        <v>1864</v>
      </c>
      <c r="U183" t="s">
        <v>741</v>
      </c>
      <c r="V183" t="s">
        <v>194</v>
      </c>
      <c r="W183">
        <v>1</v>
      </c>
      <c r="Y183" t="s">
        <v>6358</v>
      </c>
      <c r="AE183" t="s">
        <v>6359</v>
      </c>
      <c r="AF183" t="s">
        <v>4714</v>
      </c>
      <c r="AG183" t="s">
        <v>8</v>
      </c>
      <c r="AI183" t="s">
        <v>6955</v>
      </c>
      <c r="AJ183" s="408" t="str">
        <f t="shared" si="2"/>
        <v>522301</v>
      </c>
    </row>
    <row r="184" spans="1:36" x14ac:dyDescent="0.25">
      <c r="A184" t="s">
        <v>4975</v>
      </c>
      <c r="B184" t="s">
        <v>8</v>
      </c>
      <c r="C184" t="s">
        <v>740</v>
      </c>
      <c r="D184" t="s">
        <v>8305</v>
      </c>
      <c r="E184" t="s">
        <v>233</v>
      </c>
      <c r="F184">
        <v>1</v>
      </c>
      <c r="G184" t="s">
        <v>193</v>
      </c>
      <c r="H184" t="s">
        <v>194</v>
      </c>
      <c r="I184" t="s">
        <v>8314</v>
      </c>
      <c r="J184" t="s">
        <v>223</v>
      </c>
      <c r="K184">
        <v>18</v>
      </c>
      <c r="L184" t="s">
        <v>9062</v>
      </c>
      <c r="M184" t="s">
        <v>6275</v>
      </c>
      <c r="N184" t="s">
        <v>8308</v>
      </c>
      <c r="O184" t="s">
        <v>8309</v>
      </c>
      <c r="P184" t="s">
        <v>8310</v>
      </c>
      <c r="Q184">
        <v>2003338</v>
      </c>
      <c r="R184">
        <v>21053482</v>
      </c>
      <c r="T184">
        <v>1804</v>
      </c>
      <c r="U184" t="s">
        <v>741</v>
      </c>
      <c r="V184" t="s">
        <v>194</v>
      </c>
      <c r="W184">
        <v>1</v>
      </c>
      <c r="Y184" t="s">
        <v>9063</v>
      </c>
      <c r="AE184" t="s">
        <v>6359</v>
      </c>
      <c r="AF184" t="s">
        <v>4714</v>
      </c>
      <c r="AG184" t="s">
        <v>8</v>
      </c>
      <c r="AI184" t="s">
        <v>6955</v>
      </c>
      <c r="AJ184" s="408" t="str">
        <f t="shared" si="2"/>
        <v>522301</v>
      </c>
    </row>
    <row r="185" spans="1:36" x14ac:dyDescent="0.25">
      <c r="A185" t="s">
        <v>4975</v>
      </c>
      <c r="B185" t="s">
        <v>9064</v>
      </c>
      <c r="C185" t="s">
        <v>740</v>
      </c>
      <c r="D185" t="s">
        <v>8305</v>
      </c>
      <c r="E185" t="s">
        <v>233</v>
      </c>
      <c r="F185">
        <v>1</v>
      </c>
      <c r="G185" t="s">
        <v>193</v>
      </c>
      <c r="H185" t="s">
        <v>194</v>
      </c>
      <c r="I185" t="s">
        <v>8314</v>
      </c>
      <c r="J185" t="s">
        <v>253</v>
      </c>
      <c r="K185">
        <v>18</v>
      </c>
      <c r="L185" t="s">
        <v>9065</v>
      </c>
      <c r="M185" t="s">
        <v>6275</v>
      </c>
      <c r="N185" t="s">
        <v>8308</v>
      </c>
      <c r="O185" t="s">
        <v>8309</v>
      </c>
      <c r="P185" t="s">
        <v>8310</v>
      </c>
      <c r="Q185">
        <v>2003340</v>
      </c>
      <c r="R185">
        <v>21053485</v>
      </c>
      <c r="T185">
        <v>1811</v>
      </c>
      <c r="U185" t="s">
        <v>741</v>
      </c>
      <c r="V185" t="s">
        <v>194</v>
      </c>
      <c r="W185">
        <v>1</v>
      </c>
      <c r="Y185" t="s">
        <v>6358</v>
      </c>
      <c r="AE185" t="s">
        <v>6359</v>
      </c>
      <c r="AF185" t="s">
        <v>4714</v>
      </c>
      <c r="AG185" t="s">
        <v>9064</v>
      </c>
      <c r="AI185" t="s">
        <v>6955</v>
      </c>
      <c r="AJ185" s="408" t="str">
        <f t="shared" si="2"/>
        <v>522301</v>
      </c>
    </row>
    <row r="186" spans="1:36" x14ac:dyDescent="0.25">
      <c r="A186" t="s">
        <v>9066</v>
      </c>
      <c r="B186" t="s">
        <v>9067</v>
      </c>
      <c r="C186" t="s">
        <v>3703</v>
      </c>
      <c r="D186" t="s">
        <v>8320</v>
      </c>
      <c r="E186" t="s">
        <v>233</v>
      </c>
      <c r="F186">
        <v>1</v>
      </c>
      <c r="G186" t="s">
        <v>193</v>
      </c>
      <c r="H186" t="s">
        <v>194</v>
      </c>
      <c r="I186" t="s">
        <v>8321</v>
      </c>
      <c r="J186" t="s">
        <v>9068</v>
      </c>
      <c r="K186">
        <v>18</v>
      </c>
      <c r="L186" t="s">
        <v>9069</v>
      </c>
      <c r="M186" t="s">
        <v>6275</v>
      </c>
      <c r="N186" t="s">
        <v>8332</v>
      </c>
      <c r="O186" t="s">
        <v>8306</v>
      </c>
      <c r="P186" t="s">
        <v>8378</v>
      </c>
      <c r="Q186">
        <v>2013090</v>
      </c>
      <c r="R186">
        <v>21281673</v>
      </c>
      <c r="T186">
        <v>1811</v>
      </c>
      <c r="U186" t="s">
        <v>3704</v>
      </c>
      <c r="V186" t="s">
        <v>194</v>
      </c>
      <c r="W186">
        <v>1</v>
      </c>
      <c r="Y186" t="s">
        <v>9070</v>
      </c>
      <c r="AE186" t="s">
        <v>9071</v>
      </c>
      <c r="AF186" t="s">
        <v>4714</v>
      </c>
      <c r="AG186" t="s">
        <v>9067</v>
      </c>
      <c r="AI186" t="s">
        <v>6955</v>
      </c>
      <c r="AJ186" s="408" t="str">
        <f t="shared" si="2"/>
        <v>522302</v>
      </c>
    </row>
    <row r="187" spans="1:36" x14ac:dyDescent="0.25">
      <c r="A187" t="s">
        <v>4975</v>
      </c>
      <c r="B187" t="s">
        <v>7069</v>
      </c>
      <c r="C187" t="s">
        <v>3671</v>
      </c>
      <c r="D187" t="s">
        <v>8381</v>
      </c>
      <c r="E187" t="s">
        <v>233</v>
      </c>
      <c r="F187">
        <v>1</v>
      </c>
      <c r="G187" t="s">
        <v>193</v>
      </c>
      <c r="H187" t="s">
        <v>194</v>
      </c>
      <c r="I187" t="s">
        <v>8382</v>
      </c>
      <c r="J187" t="s">
        <v>385</v>
      </c>
      <c r="K187">
        <v>18</v>
      </c>
      <c r="L187" t="s">
        <v>9072</v>
      </c>
      <c r="M187" t="s">
        <v>6275</v>
      </c>
      <c r="N187" t="s">
        <v>8417</v>
      </c>
      <c r="O187" t="s">
        <v>8418</v>
      </c>
      <c r="P187" t="s">
        <v>8390</v>
      </c>
      <c r="Q187">
        <v>1966819</v>
      </c>
      <c r="R187">
        <v>20394754</v>
      </c>
      <c r="T187">
        <v>1861</v>
      </c>
      <c r="U187" t="s">
        <v>3672</v>
      </c>
      <c r="V187" t="s">
        <v>194</v>
      </c>
      <c r="W187">
        <v>1</v>
      </c>
      <c r="Y187" t="s">
        <v>9073</v>
      </c>
      <c r="AE187" t="s">
        <v>6359</v>
      </c>
      <c r="AF187" t="s">
        <v>4714</v>
      </c>
      <c r="AG187" t="s">
        <v>7069</v>
      </c>
      <c r="AI187" t="s">
        <v>6955</v>
      </c>
      <c r="AJ187" s="408" t="str">
        <f t="shared" si="2"/>
        <v>522303</v>
      </c>
    </row>
    <row r="188" spans="1:36" x14ac:dyDescent="0.25">
      <c r="A188" t="s">
        <v>4975</v>
      </c>
      <c r="B188" t="s">
        <v>7069</v>
      </c>
      <c r="C188" t="s">
        <v>3671</v>
      </c>
      <c r="D188" t="s">
        <v>8381</v>
      </c>
      <c r="E188" t="s">
        <v>233</v>
      </c>
      <c r="F188">
        <v>1</v>
      </c>
      <c r="G188" t="s">
        <v>193</v>
      </c>
      <c r="H188" t="s">
        <v>194</v>
      </c>
      <c r="I188" t="s">
        <v>8382</v>
      </c>
      <c r="J188" t="s">
        <v>276</v>
      </c>
      <c r="K188">
        <v>18</v>
      </c>
      <c r="L188" t="s">
        <v>9074</v>
      </c>
      <c r="M188" t="s">
        <v>6275</v>
      </c>
      <c r="N188" t="s">
        <v>8417</v>
      </c>
      <c r="O188" t="s">
        <v>8418</v>
      </c>
      <c r="P188" t="s">
        <v>8419</v>
      </c>
      <c r="Q188">
        <v>1967303</v>
      </c>
      <c r="R188">
        <v>20582608</v>
      </c>
      <c r="T188">
        <v>1803</v>
      </c>
      <c r="U188" t="s">
        <v>3672</v>
      </c>
      <c r="V188" t="s">
        <v>194</v>
      </c>
      <c r="W188">
        <v>1</v>
      </c>
      <c r="Y188" t="s">
        <v>7071</v>
      </c>
      <c r="AE188" t="s">
        <v>6359</v>
      </c>
      <c r="AF188" t="s">
        <v>4714</v>
      </c>
      <c r="AG188" t="s">
        <v>7069</v>
      </c>
      <c r="AI188" t="s">
        <v>6955</v>
      </c>
      <c r="AJ188" s="408" t="str">
        <f t="shared" si="2"/>
        <v>522303</v>
      </c>
    </row>
    <row r="189" spans="1:36" x14ac:dyDescent="0.25">
      <c r="A189" t="s">
        <v>2497</v>
      </c>
      <c r="B189" t="s">
        <v>9075</v>
      </c>
      <c r="C189" t="s">
        <v>9076</v>
      </c>
      <c r="D189" t="s">
        <v>8381</v>
      </c>
      <c r="E189" t="s">
        <v>233</v>
      </c>
      <c r="F189">
        <v>1</v>
      </c>
      <c r="G189" t="s">
        <v>193</v>
      </c>
      <c r="H189" t="s">
        <v>194</v>
      </c>
      <c r="I189" t="s">
        <v>8382</v>
      </c>
      <c r="J189" t="s">
        <v>253</v>
      </c>
      <c r="K189">
        <v>18</v>
      </c>
      <c r="L189" t="s">
        <v>9077</v>
      </c>
      <c r="M189" t="s">
        <v>6275</v>
      </c>
      <c r="N189" t="s">
        <v>8417</v>
      </c>
      <c r="O189" t="s">
        <v>8418</v>
      </c>
      <c r="P189" t="s">
        <v>8320</v>
      </c>
      <c r="Q189">
        <v>1966742</v>
      </c>
      <c r="R189">
        <v>20365797</v>
      </c>
      <c r="T189">
        <v>1811</v>
      </c>
      <c r="U189" t="s">
        <v>9078</v>
      </c>
      <c r="V189" t="s">
        <v>194</v>
      </c>
      <c r="W189">
        <v>1</v>
      </c>
      <c r="Y189" t="s">
        <v>9079</v>
      </c>
      <c r="AE189" t="s">
        <v>9080</v>
      </c>
      <c r="AF189" t="s">
        <v>4714</v>
      </c>
      <c r="AG189" t="s">
        <v>9075</v>
      </c>
      <c r="AI189" t="s">
        <v>6955</v>
      </c>
      <c r="AJ189" s="408" t="str">
        <f t="shared" si="2"/>
        <v>722311</v>
      </c>
    </row>
    <row r="190" spans="1:36" x14ac:dyDescent="0.25">
      <c r="A190" t="s">
        <v>2497</v>
      </c>
      <c r="B190" t="s">
        <v>9081</v>
      </c>
      <c r="C190" t="s">
        <v>814</v>
      </c>
      <c r="D190" t="s">
        <v>8381</v>
      </c>
      <c r="E190" t="s">
        <v>233</v>
      </c>
      <c r="F190">
        <v>1</v>
      </c>
      <c r="G190" t="s">
        <v>193</v>
      </c>
      <c r="H190" t="s">
        <v>194</v>
      </c>
      <c r="I190" t="s">
        <v>8382</v>
      </c>
      <c r="J190" t="s">
        <v>253</v>
      </c>
      <c r="K190">
        <v>18</v>
      </c>
      <c r="L190" t="s">
        <v>9082</v>
      </c>
      <c r="M190" t="s">
        <v>6275</v>
      </c>
      <c r="N190" t="s">
        <v>8417</v>
      </c>
      <c r="O190" t="s">
        <v>8418</v>
      </c>
      <c r="P190" t="s">
        <v>8320</v>
      </c>
      <c r="Q190">
        <v>1966743</v>
      </c>
      <c r="R190">
        <v>20365799</v>
      </c>
      <c r="T190">
        <v>1811</v>
      </c>
      <c r="U190" t="s">
        <v>815</v>
      </c>
      <c r="V190" t="s">
        <v>194</v>
      </c>
      <c r="W190">
        <v>1</v>
      </c>
      <c r="Y190" t="s">
        <v>9083</v>
      </c>
      <c r="AE190" t="s">
        <v>9084</v>
      </c>
      <c r="AF190" t="s">
        <v>4714</v>
      </c>
      <c r="AG190" t="s">
        <v>9081</v>
      </c>
      <c r="AI190" t="s">
        <v>6955</v>
      </c>
      <c r="AJ190" s="408" t="str">
        <f t="shared" si="2"/>
        <v>722312</v>
      </c>
    </row>
    <row r="191" spans="1:36" hidden="1" x14ac:dyDescent="0.25">
      <c r="A191" t="s">
        <v>8633</v>
      </c>
      <c r="B191" t="s">
        <v>88</v>
      </c>
      <c r="C191" t="s">
        <v>9085</v>
      </c>
      <c r="D191" t="s">
        <v>8344</v>
      </c>
      <c r="E191" t="s">
        <v>233</v>
      </c>
      <c r="F191">
        <v>1</v>
      </c>
      <c r="G191" s="386" t="s">
        <v>194</v>
      </c>
      <c r="H191" s="24" t="s">
        <v>193</v>
      </c>
      <c r="I191" t="s">
        <v>8345</v>
      </c>
      <c r="J191" t="s">
        <v>196</v>
      </c>
      <c r="K191">
        <v>18</v>
      </c>
      <c r="L191" t="s">
        <v>9086</v>
      </c>
      <c r="M191" t="s">
        <v>6275</v>
      </c>
      <c r="N191" t="s">
        <v>8347</v>
      </c>
      <c r="O191" t="s">
        <v>8348</v>
      </c>
      <c r="P191" t="s">
        <v>8325</v>
      </c>
      <c r="Q191">
        <v>1992534</v>
      </c>
      <c r="R191">
        <v>20830699</v>
      </c>
      <c r="U191" t="s">
        <v>799</v>
      </c>
      <c r="V191" t="s">
        <v>194</v>
      </c>
      <c r="W191">
        <v>0</v>
      </c>
      <c r="Y191" t="s">
        <v>9087</v>
      </c>
      <c r="AE191" t="s">
        <v>9088</v>
      </c>
      <c r="AF191" t="s">
        <v>4714</v>
      </c>
      <c r="AG191" t="s">
        <v>88</v>
      </c>
      <c r="AI191" t="s">
        <v>6955</v>
      </c>
      <c r="AJ191" s="408" t="str">
        <f t="shared" si="2"/>
        <v>722204</v>
      </c>
    </row>
    <row r="192" spans="1:36" hidden="1" x14ac:dyDescent="0.25">
      <c r="A192" t="s">
        <v>8633</v>
      </c>
      <c r="B192" t="s">
        <v>9089</v>
      </c>
      <c r="C192" t="s">
        <v>9085</v>
      </c>
      <c r="D192" t="s">
        <v>8344</v>
      </c>
      <c r="E192" t="s">
        <v>233</v>
      </c>
      <c r="F192">
        <v>1</v>
      </c>
      <c r="G192" s="386" t="s">
        <v>194</v>
      </c>
      <c r="H192" s="24" t="s">
        <v>193</v>
      </c>
      <c r="I192" t="s">
        <v>8345</v>
      </c>
      <c r="J192" t="s">
        <v>196</v>
      </c>
      <c r="K192">
        <v>18</v>
      </c>
      <c r="L192" t="s">
        <v>9090</v>
      </c>
      <c r="M192" t="s">
        <v>6275</v>
      </c>
      <c r="N192" t="s">
        <v>8347</v>
      </c>
      <c r="O192" t="s">
        <v>8348</v>
      </c>
      <c r="P192" t="s">
        <v>8325</v>
      </c>
      <c r="Q192">
        <v>1992550</v>
      </c>
      <c r="R192">
        <v>20830725</v>
      </c>
      <c r="U192" t="s">
        <v>799</v>
      </c>
      <c r="V192" t="s">
        <v>194</v>
      </c>
      <c r="W192">
        <v>0</v>
      </c>
      <c r="Y192" t="s">
        <v>9091</v>
      </c>
      <c r="AE192" t="s">
        <v>9092</v>
      </c>
      <c r="AF192" t="s">
        <v>4714</v>
      </c>
      <c r="AG192" t="s">
        <v>9089</v>
      </c>
      <c r="AI192" t="s">
        <v>6955</v>
      </c>
      <c r="AJ192" s="408" t="str">
        <f t="shared" si="2"/>
        <v>722204</v>
      </c>
    </row>
    <row r="193" spans="1:36" x14ac:dyDescent="0.25">
      <c r="A193" t="s">
        <v>2497</v>
      </c>
      <c r="B193" t="s">
        <v>9093</v>
      </c>
      <c r="C193" t="s">
        <v>9093</v>
      </c>
      <c r="D193" t="s">
        <v>8381</v>
      </c>
      <c r="E193" t="s">
        <v>233</v>
      </c>
      <c r="F193">
        <v>1</v>
      </c>
      <c r="G193" t="s">
        <v>193</v>
      </c>
      <c r="H193" t="s">
        <v>194</v>
      </c>
      <c r="I193" t="s">
        <v>8382</v>
      </c>
      <c r="J193" t="s">
        <v>253</v>
      </c>
      <c r="K193">
        <v>18</v>
      </c>
      <c r="L193" t="s">
        <v>9094</v>
      </c>
      <c r="M193" t="s">
        <v>6275</v>
      </c>
      <c r="N193" t="s">
        <v>8417</v>
      </c>
      <c r="O193" t="s">
        <v>8418</v>
      </c>
      <c r="P193" t="s">
        <v>8320</v>
      </c>
      <c r="Q193">
        <v>1966741</v>
      </c>
      <c r="R193">
        <v>20365796</v>
      </c>
      <c r="T193">
        <v>1811</v>
      </c>
      <c r="U193" t="s">
        <v>9095</v>
      </c>
      <c r="V193" t="s">
        <v>194</v>
      </c>
      <c r="W193">
        <v>1</v>
      </c>
      <c r="Y193" t="s">
        <v>9096</v>
      </c>
      <c r="AE193" t="s">
        <v>9097</v>
      </c>
      <c r="AF193" t="s">
        <v>4714</v>
      </c>
      <c r="AG193" t="s">
        <v>9093</v>
      </c>
      <c r="AI193" t="s">
        <v>6955</v>
      </c>
      <c r="AJ193" s="408" t="str">
        <f t="shared" si="2"/>
        <v>722206</v>
      </c>
    </row>
    <row r="194" spans="1:36" x14ac:dyDescent="0.25">
      <c r="A194" t="s">
        <v>4975</v>
      </c>
      <c r="B194" t="s">
        <v>9098</v>
      </c>
      <c r="C194" t="s">
        <v>9099</v>
      </c>
      <c r="D194" t="s">
        <v>8305</v>
      </c>
      <c r="E194" t="s">
        <v>233</v>
      </c>
      <c r="F194">
        <v>1</v>
      </c>
      <c r="G194" t="s">
        <v>193</v>
      </c>
      <c r="H194" t="s">
        <v>194</v>
      </c>
      <c r="I194" t="s">
        <v>8314</v>
      </c>
      <c r="J194" t="s">
        <v>253</v>
      </c>
      <c r="K194">
        <v>18</v>
      </c>
      <c r="L194" t="s">
        <v>9100</v>
      </c>
      <c r="M194" t="s">
        <v>6922</v>
      </c>
      <c r="N194" t="s">
        <v>8308</v>
      </c>
      <c r="O194" t="s">
        <v>8309</v>
      </c>
      <c r="P194" t="s">
        <v>8310</v>
      </c>
      <c r="Q194">
        <v>2003344</v>
      </c>
      <c r="R194">
        <v>21053489</v>
      </c>
      <c r="T194">
        <v>1811</v>
      </c>
      <c r="U194" t="s">
        <v>9101</v>
      </c>
      <c r="V194" t="s">
        <v>194</v>
      </c>
      <c r="W194">
        <v>1</v>
      </c>
      <c r="Y194" t="s">
        <v>9102</v>
      </c>
      <c r="AE194" t="s">
        <v>9103</v>
      </c>
      <c r="AF194" t="s">
        <v>4714</v>
      </c>
      <c r="AG194" t="s">
        <v>9098</v>
      </c>
      <c r="AI194" t="s">
        <v>6955</v>
      </c>
      <c r="AJ194" s="408" t="str">
        <f t="shared" si="2"/>
        <v>333905</v>
      </c>
    </row>
    <row r="195" spans="1:36" x14ac:dyDescent="0.25">
      <c r="A195" t="s">
        <v>5145</v>
      </c>
      <c r="B195" t="s">
        <v>1000</v>
      </c>
      <c r="C195" t="s">
        <v>3438</v>
      </c>
      <c r="D195" t="s">
        <v>8305</v>
      </c>
      <c r="E195" t="s">
        <v>233</v>
      </c>
      <c r="F195">
        <v>1</v>
      </c>
      <c r="G195" t="s">
        <v>193</v>
      </c>
      <c r="H195" t="s">
        <v>194</v>
      </c>
      <c r="I195" t="s">
        <v>8306</v>
      </c>
      <c r="J195" t="s">
        <v>4751</v>
      </c>
      <c r="K195">
        <v>18</v>
      </c>
      <c r="L195" t="s">
        <v>9104</v>
      </c>
      <c r="M195" t="s">
        <v>6306</v>
      </c>
      <c r="N195" t="s">
        <v>8308</v>
      </c>
      <c r="O195" t="s">
        <v>8309</v>
      </c>
      <c r="P195" t="s">
        <v>8386</v>
      </c>
      <c r="Q195">
        <v>2003580</v>
      </c>
      <c r="R195">
        <v>21054143</v>
      </c>
      <c r="T195">
        <v>1862</v>
      </c>
      <c r="U195" t="s">
        <v>3439</v>
      </c>
      <c r="V195" t="s">
        <v>194</v>
      </c>
      <c r="W195">
        <v>1</v>
      </c>
      <c r="X195">
        <v>78407</v>
      </c>
      <c r="Y195" t="s">
        <v>9105</v>
      </c>
      <c r="AE195" t="s">
        <v>9106</v>
      </c>
      <c r="AF195" t="s">
        <v>4714</v>
      </c>
      <c r="AG195" t="s">
        <v>1000</v>
      </c>
      <c r="AI195" t="s">
        <v>6955</v>
      </c>
      <c r="AJ195" s="408" t="str">
        <f t="shared" ref="AJ195:AJ237" si="3">MID(U195,8,6)</f>
        <v>334306</v>
      </c>
    </row>
    <row r="196" spans="1:36" x14ac:dyDescent="0.25">
      <c r="A196" t="s">
        <v>1172</v>
      </c>
      <c r="B196" t="s">
        <v>4006</v>
      </c>
      <c r="C196" t="s">
        <v>39</v>
      </c>
      <c r="D196" t="s">
        <v>8320</v>
      </c>
      <c r="E196" t="s">
        <v>233</v>
      </c>
      <c r="F196">
        <v>1</v>
      </c>
      <c r="G196" t="s">
        <v>193</v>
      </c>
      <c r="H196" t="s">
        <v>194</v>
      </c>
      <c r="I196" t="s">
        <v>8330</v>
      </c>
      <c r="J196" t="s">
        <v>323</v>
      </c>
      <c r="K196">
        <v>18</v>
      </c>
      <c r="L196" t="s">
        <v>9107</v>
      </c>
      <c r="M196" t="s">
        <v>6306</v>
      </c>
      <c r="N196" t="s">
        <v>8332</v>
      </c>
      <c r="O196" t="s">
        <v>8306</v>
      </c>
      <c r="P196" t="s">
        <v>9108</v>
      </c>
      <c r="Q196">
        <v>2014213</v>
      </c>
      <c r="R196">
        <v>21287764</v>
      </c>
      <c r="T196">
        <v>1812</v>
      </c>
      <c r="U196" t="s">
        <v>551</v>
      </c>
      <c r="V196" t="s">
        <v>194</v>
      </c>
      <c r="W196">
        <v>1</v>
      </c>
      <c r="X196">
        <v>78697</v>
      </c>
      <c r="Y196" t="s">
        <v>9109</v>
      </c>
      <c r="AE196" t="s">
        <v>9110</v>
      </c>
      <c r="AF196" t="s">
        <v>4714</v>
      </c>
      <c r="AG196" t="s">
        <v>4006</v>
      </c>
      <c r="AI196" t="s">
        <v>6955</v>
      </c>
      <c r="AJ196" s="408" t="str">
        <f t="shared" si="3"/>
        <v>311204</v>
      </c>
    </row>
    <row r="197" spans="1:36" x14ac:dyDescent="0.25">
      <c r="A197" t="s">
        <v>9111</v>
      </c>
      <c r="B197" t="s">
        <v>2491</v>
      </c>
      <c r="C197" t="s">
        <v>770</v>
      </c>
      <c r="D197" t="s">
        <v>8344</v>
      </c>
      <c r="E197" t="s">
        <v>233</v>
      </c>
      <c r="F197">
        <v>1</v>
      </c>
      <c r="G197" t="s">
        <v>193</v>
      </c>
      <c r="H197" t="s">
        <v>194</v>
      </c>
      <c r="I197" t="s">
        <v>8345</v>
      </c>
      <c r="J197" t="s">
        <v>196</v>
      </c>
      <c r="K197">
        <v>18</v>
      </c>
      <c r="L197" t="s">
        <v>9112</v>
      </c>
      <c r="M197" t="s">
        <v>6249</v>
      </c>
      <c r="N197" t="s">
        <v>8347</v>
      </c>
      <c r="O197" t="s">
        <v>8348</v>
      </c>
      <c r="P197" t="s">
        <v>8325</v>
      </c>
      <c r="Q197">
        <v>1992578</v>
      </c>
      <c r="R197">
        <v>20830790</v>
      </c>
      <c r="U197" t="s">
        <v>772</v>
      </c>
      <c r="V197" t="s">
        <v>193</v>
      </c>
      <c r="W197">
        <v>25</v>
      </c>
      <c r="Y197" t="s">
        <v>9113</v>
      </c>
      <c r="AE197" t="s">
        <v>9114</v>
      </c>
      <c r="AF197" t="s">
        <v>4714</v>
      </c>
      <c r="AG197" t="s">
        <v>2491</v>
      </c>
      <c r="AI197" t="s">
        <v>6955</v>
      </c>
      <c r="AJ197" s="408" t="str">
        <f t="shared" si="3"/>
        <v>522305</v>
      </c>
    </row>
    <row r="198" spans="1:36" x14ac:dyDescent="0.25">
      <c r="A198" t="s">
        <v>1622</v>
      </c>
      <c r="B198" t="s">
        <v>2491</v>
      </c>
      <c r="C198" t="s">
        <v>770</v>
      </c>
      <c r="D198" t="s">
        <v>8320</v>
      </c>
      <c r="E198" t="s">
        <v>233</v>
      </c>
      <c r="F198">
        <v>1</v>
      </c>
      <c r="G198" t="s">
        <v>193</v>
      </c>
      <c r="H198" t="s">
        <v>194</v>
      </c>
      <c r="I198" t="s">
        <v>8330</v>
      </c>
      <c r="J198" t="s">
        <v>210</v>
      </c>
      <c r="K198">
        <v>18</v>
      </c>
      <c r="L198" t="s">
        <v>9115</v>
      </c>
      <c r="M198" t="s">
        <v>6269</v>
      </c>
      <c r="N198" t="s">
        <v>8332</v>
      </c>
      <c r="O198" t="s">
        <v>8306</v>
      </c>
      <c r="P198" t="s">
        <v>8330</v>
      </c>
      <c r="Q198">
        <v>2013557</v>
      </c>
      <c r="R198">
        <v>21282875</v>
      </c>
      <c r="T198">
        <v>1863</v>
      </c>
      <c r="U198" t="s">
        <v>772</v>
      </c>
      <c r="V198" t="s">
        <v>194</v>
      </c>
      <c r="W198">
        <v>1</v>
      </c>
      <c r="X198" t="s">
        <v>9116</v>
      </c>
      <c r="Y198" t="s">
        <v>9117</v>
      </c>
      <c r="AE198" t="s">
        <v>9118</v>
      </c>
      <c r="AF198" t="s">
        <v>4714</v>
      </c>
      <c r="AG198" t="s">
        <v>2491</v>
      </c>
      <c r="AI198" t="s">
        <v>6955</v>
      </c>
      <c r="AJ198" s="408" t="str">
        <f t="shared" si="3"/>
        <v>522305</v>
      </c>
    </row>
    <row r="199" spans="1:36" x14ac:dyDescent="0.25">
      <c r="A199" t="s">
        <v>1622</v>
      </c>
      <c r="B199" t="s">
        <v>9119</v>
      </c>
      <c r="C199" t="s">
        <v>770</v>
      </c>
      <c r="D199" t="s">
        <v>8320</v>
      </c>
      <c r="E199" t="s">
        <v>233</v>
      </c>
      <c r="F199">
        <v>1</v>
      </c>
      <c r="G199" t="s">
        <v>193</v>
      </c>
      <c r="H199" t="s">
        <v>194</v>
      </c>
      <c r="I199" t="s">
        <v>8330</v>
      </c>
      <c r="J199" t="s">
        <v>210</v>
      </c>
      <c r="K199">
        <v>18</v>
      </c>
      <c r="L199" t="s">
        <v>9120</v>
      </c>
      <c r="M199" t="s">
        <v>6269</v>
      </c>
      <c r="N199" t="s">
        <v>8332</v>
      </c>
      <c r="O199" t="s">
        <v>8306</v>
      </c>
      <c r="P199" t="s">
        <v>8330</v>
      </c>
      <c r="Q199">
        <v>2013569</v>
      </c>
      <c r="R199">
        <v>21282890</v>
      </c>
      <c r="T199">
        <v>1863</v>
      </c>
      <c r="U199" t="s">
        <v>772</v>
      </c>
      <c r="V199" t="s">
        <v>194</v>
      </c>
      <c r="W199">
        <v>1</v>
      </c>
      <c r="X199" t="s">
        <v>9116</v>
      </c>
      <c r="Y199" t="s">
        <v>9121</v>
      </c>
      <c r="AE199" t="s">
        <v>9122</v>
      </c>
      <c r="AF199" t="s">
        <v>4714</v>
      </c>
      <c r="AG199" t="s">
        <v>9119</v>
      </c>
      <c r="AI199" t="s">
        <v>6955</v>
      </c>
      <c r="AJ199" s="408" t="str">
        <f t="shared" si="3"/>
        <v>522305</v>
      </c>
    </row>
    <row r="200" spans="1:36" x14ac:dyDescent="0.25">
      <c r="A200" t="s">
        <v>581</v>
      </c>
      <c r="B200" t="s">
        <v>9123</v>
      </c>
      <c r="C200" t="s">
        <v>133</v>
      </c>
      <c r="D200" t="s">
        <v>8381</v>
      </c>
      <c r="E200" t="s">
        <v>217</v>
      </c>
      <c r="F200">
        <v>1</v>
      </c>
      <c r="G200" t="s">
        <v>193</v>
      </c>
      <c r="H200" t="s">
        <v>194</v>
      </c>
      <c r="I200" t="s">
        <v>8382</v>
      </c>
      <c r="J200" t="s">
        <v>210</v>
      </c>
      <c r="K200">
        <v>18</v>
      </c>
      <c r="L200" t="s">
        <v>9124</v>
      </c>
      <c r="M200" t="s">
        <v>6277</v>
      </c>
      <c r="N200" t="s">
        <v>8688</v>
      </c>
      <c r="O200" t="s">
        <v>9125</v>
      </c>
      <c r="P200" t="s">
        <v>9126</v>
      </c>
      <c r="Q200">
        <v>1967804</v>
      </c>
      <c r="R200">
        <v>20606311</v>
      </c>
      <c r="T200">
        <v>1863</v>
      </c>
      <c r="U200" t="s">
        <v>673</v>
      </c>
      <c r="V200" t="s">
        <v>194</v>
      </c>
      <c r="W200">
        <v>1</v>
      </c>
      <c r="X200" t="s">
        <v>9127</v>
      </c>
      <c r="Y200" t="s">
        <v>4903</v>
      </c>
      <c r="AE200" t="s">
        <v>4904</v>
      </c>
      <c r="AF200" t="s">
        <v>4714</v>
      </c>
      <c r="AI200" t="s">
        <v>6955</v>
      </c>
      <c r="AJ200" s="408" t="str">
        <f t="shared" si="3"/>
        <v>333107</v>
      </c>
    </row>
    <row r="201" spans="1:36" x14ac:dyDescent="0.25">
      <c r="A201" t="s">
        <v>8964</v>
      </c>
      <c r="B201" t="s">
        <v>9128</v>
      </c>
      <c r="C201" t="s">
        <v>4768</v>
      </c>
      <c r="D201" t="s">
        <v>8344</v>
      </c>
      <c r="E201" t="s">
        <v>233</v>
      </c>
      <c r="F201">
        <v>1</v>
      </c>
      <c r="G201" t="s">
        <v>193</v>
      </c>
      <c r="H201" t="s">
        <v>194</v>
      </c>
      <c r="I201" t="s">
        <v>8345</v>
      </c>
      <c r="J201" t="s">
        <v>6653</v>
      </c>
      <c r="K201">
        <v>18</v>
      </c>
      <c r="L201" t="s">
        <v>9129</v>
      </c>
      <c r="M201" t="s">
        <v>6275</v>
      </c>
      <c r="N201" t="s">
        <v>8357</v>
      </c>
      <c r="O201" t="s">
        <v>8348</v>
      </c>
      <c r="P201" t="s">
        <v>8325</v>
      </c>
      <c r="Q201">
        <v>1992184</v>
      </c>
      <c r="R201">
        <v>20829382</v>
      </c>
      <c r="T201">
        <v>1812</v>
      </c>
      <c r="U201" t="s">
        <v>2659</v>
      </c>
      <c r="V201" t="s">
        <v>194</v>
      </c>
      <c r="W201">
        <v>1</v>
      </c>
      <c r="X201" t="s">
        <v>9130</v>
      </c>
      <c r="Y201" t="s">
        <v>9131</v>
      </c>
      <c r="AE201" t="s">
        <v>9132</v>
      </c>
      <c r="AF201" t="s">
        <v>4714</v>
      </c>
      <c r="AG201" t="s">
        <v>9128</v>
      </c>
      <c r="AI201" t="s">
        <v>6955</v>
      </c>
      <c r="AJ201" s="408" t="str">
        <f t="shared" si="3"/>
        <v>311508</v>
      </c>
    </row>
    <row r="202" spans="1:36" x14ac:dyDescent="0.25">
      <c r="A202" t="s">
        <v>9133</v>
      </c>
      <c r="B202" t="s">
        <v>9134</v>
      </c>
      <c r="C202" t="s">
        <v>4014</v>
      </c>
      <c r="D202" t="s">
        <v>8305</v>
      </c>
      <c r="E202" t="s">
        <v>233</v>
      </c>
      <c r="F202">
        <v>1</v>
      </c>
      <c r="G202" t="s">
        <v>193</v>
      </c>
      <c r="H202" t="s">
        <v>194</v>
      </c>
      <c r="I202" t="s">
        <v>8306</v>
      </c>
      <c r="J202" t="s">
        <v>196</v>
      </c>
      <c r="K202">
        <v>18</v>
      </c>
      <c r="L202" t="s">
        <v>9135</v>
      </c>
      <c r="M202" t="s">
        <v>6302</v>
      </c>
      <c r="N202" t="s">
        <v>8308</v>
      </c>
      <c r="O202" t="s">
        <v>8309</v>
      </c>
      <c r="P202" t="s">
        <v>8310</v>
      </c>
      <c r="Q202">
        <v>2002876</v>
      </c>
      <c r="R202">
        <v>21052344</v>
      </c>
      <c r="U202" t="s">
        <v>4015</v>
      </c>
      <c r="V202" t="s">
        <v>193</v>
      </c>
      <c r="W202">
        <v>25</v>
      </c>
      <c r="X202" t="s">
        <v>9136</v>
      </c>
      <c r="Y202" t="s">
        <v>9137</v>
      </c>
      <c r="AE202" t="s">
        <v>9138</v>
      </c>
      <c r="AF202" t="s">
        <v>4714</v>
      </c>
      <c r="AG202" t="s">
        <v>9134</v>
      </c>
      <c r="AI202" t="s">
        <v>6955</v>
      </c>
      <c r="AJ202" s="408" t="str">
        <f t="shared" si="3"/>
        <v>333906</v>
      </c>
    </row>
    <row r="203" spans="1:36" x14ac:dyDescent="0.25">
      <c r="A203" t="s">
        <v>5453</v>
      </c>
      <c r="B203" t="s">
        <v>1000</v>
      </c>
      <c r="C203" t="s">
        <v>1046</v>
      </c>
      <c r="D203" t="s">
        <v>8381</v>
      </c>
      <c r="E203" t="s">
        <v>233</v>
      </c>
      <c r="F203">
        <v>1</v>
      </c>
      <c r="G203" t="s">
        <v>193</v>
      </c>
      <c r="H203" t="s">
        <v>194</v>
      </c>
      <c r="I203" t="s">
        <v>8382</v>
      </c>
      <c r="J203" t="s">
        <v>4751</v>
      </c>
      <c r="K203">
        <v>18</v>
      </c>
      <c r="L203" t="s">
        <v>9139</v>
      </c>
      <c r="M203" t="s">
        <v>6306</v>
      </c>
      <c r="N203" t="s">
        <v>8417</v>
      </c>
      <c r="O203" t="s">
        <v>8418</v>
      </c>
      <c r="P203" t="s">
        <v>9140</v>
      </c>
      <c r="Q203">
        <v>1967493</v>
      </c>
      <c r="R203">
        <v>20583909</v>
      </c>
      <c r="T203">
        <v>1862</v>
      </c>
      <c r="U203" t="s">
        <v>1047</v>
      </c>
      <c r="V203" t="s">
        <v>194</v>
      </c>
      <c r="W203">
        <v>1</v>
      </c>
      <c r="X203">
        <v>77558</v>
      </c>
      <c r="Y203" t="s">
        <v>9141</v>
      </c>
      <c r="AE203" t="s">
        <v>9142</v>
      </c>
      <c r="AF203" t="s">
        <v>4714</v>
      </c>
      <c r="AG203" t="s">
        <v>1000</v>
      </c>
      <c r="AI203" t="s">
        <v>6955</v>
      </c>
      <c r="AJ203" s="408" t="str">
        <f t="shared" si="3"/>
        <v>352203</v>
      </c>
    </row>
    <row r="204" spans="1:36" x14ac:dyDescent="0.25">
      <c r="A204" t="s">
        <v>5810</v>
      </c>
      <c r="B204" t="s">
        <v>9143</v>
      </c>
      <c r="C204" t="s">
        <v>2861</v>
      </c>
      <c r="D204" t="s">
        <v>8305</v>
      </c>
      <c r="E204" t="s">
        <v>233</v>
      </c>
      <c r="F204">
        <v>1</v>
      </c>
      <c r="G204" t="s">
        <v>193</v>
      </c>
      <c r="H204" t="s">
        <v>194</v>
      </c>
      <c r="I204" t="s">
        <v>8306</v>
      </c>
      <c r="J204" t="s">
        <v>196</v>
      </c>
      <c r="K204">
        <v>18</v>
      </c>
      <c r="L204" t="s">
        <v>9144</v>
      </c>
      <c r="M204" t="s">
        <v>6921</v>
      </c>
      <c r="N204" t="s">
        <v>8308</v>
      </c>
      <c r="O204" t="s">
        <v>8309</v>
      </c>
      <c r="P204" t="s">
        <v>8310</v>
      </c>
      <c r="Q204">
        <v>2003309</v>
      </c>
      <c r="R204">
        <v>21053400</v>
      </c>
      <c r="U204" t="s">
        <v>3629</v>
      </c>
      <c r="V204" t="s">
        <v>193</v>
      </c>
      <c r="W204">
        <v>25</v>
      </c>
      <c r="Y204" t="s">
        <v>9145</v>
      </c>
      <c r="AE204" t="s">
        <v>9146</v>
      </c>
      <c r="AF204" t="s">
        <v>4714</v>
      </c>
      <c r="AG204" t="s">
        <v>9143</v>
      </c>
      <c r="AI204" t="s">
        <v>6955</v>
      </c>
      <c r="AJ204" s="408" t="str">
        <f t="shared" si="3"/>
        <v>251903</v>
      </c>
    </row>
    <row r="205" spans="1:36" x14ac:dyDescent="0.25">
      <c r="A205" t="s">
        <v>5810</v>
      </c>
      <c r="B205" t="s">
        <v>9147</v>
      </c>
      <c r="C205" t="s">
        <v>2861</v>
      </c>
      <c r="D205" t="s">
        <v>8305</v>
      </c>
      <c r="E205" t="s">
        <v>233</v>
      </c>
      <c r="F205">
        <v>1</v>
      </c>
      <c r="G205" t="s">
        <v>193</v>
      </c>
      <c r="H205" t="s">
        <v>194</v>
      </c>
      <c r="I205" t="s">
        <v>8306</v>
      </c>
      <c r="J205" t="s">
        <v>196</v>
      </c>
      <c r="K205">
        <v>18</v>
      </c>
      <c r="L205" t="s">
        <v>9148</v>
      </c>
      <c r="M205" t="s">
        <v>6921</v>
      </c>
      <c r="N205" t="s">
        <v>8308</v>
      </c>
      <c r="O205" t="s">
        <v>8309</v>
      </c>
      <c r="P205" t="s">
        <v>8310</v>
      </c>
      <c r="Q205">
        <v>2003428</v>
      </c>
      <c r="R205">
        <v>21053722</v>
      </c>
      <c r="U205" t="s">
        <v>3629</v>
      </c>
      <c r="V205" t="s">
        <v>193</v>
      </c>
      <c r="W205">
        <v>25</v>
      </c>
      <c r="Y205" t="s">
        <v>9149</v>
      </c>
      <c r="AE205" t="s">
        <v>9150</v>
      </c>
      <c r="AF205" t="s">
        <v>4714</v>
      </c>
      <c r="AG205" t="s">
        <v>9147</v>
      </c>
      <c r="AI205" t="s">
        <v>6955</v>
      </c>
      <c r="AJ205" s="408" t="str">
        <f t="shared" si="3"/>
        <v>251903</v>
      </c>
    </row>
    <row r="206" spans="1:36" x14ac:dyDescent="0.25">
      <c r="A206" t="s">
        <v>8312</v>
      </c>
      <c r="B206" t="s">
        <v>9151</v>
      </c>
      <c r="C206" t="s">
        <v>2861</v>
      </c>
      <c r="D206" t="s">
        <v>8320</v>
      </c>
      <c r="E206" t="s">
        <v>233</v>
      </c>
      <c r="F206">
        <v>1</v>
      </c>
      <c r="G206" t="s">
        <v>193</v>
      </c>
      <c r="H206" t="s">
        <v>194</v>
      </c>
      <c r="I206" t="s">
        <v>8330</v>
      </c>
      <c r="J206" t="s">
        <v>196</v>
      </c>
      <c r="K206">
        <v>18</v>
      </c>
      <c r="L206" t="s">
        <v>9152</v>
      </c>
      <c r="M206" t="s">
        <v>6921</v>
      </c>
      <c r="N206" t="s">
        <v>8332</v>
      </c>
      <c r="O206" t="s">
        <v>8306</v>
      </c>
      <c r="P206" t="s">
        <v>8378</v>
      </c>
      <c r="Q206">
        <v>2013233</v>
      </c>
      <c r="R206">
        <v>21281871</v>
      </c>
      <c r="U206" t="s">
        <v>3629</v>
      </c>
      <c r="V206" t="s">
        <v>193</v>
      </c>
      <c r="W206">
        <v>25</v>
      </c>
      <c r="X206" t="s">
        <v>9153</v>
      </c>
      <c r="Y206" t="s">
        <v>9154</v>
      </c>
      <c r="AE206" t="s">
        <v>9155</v>
      </c>
      <c r="AF206" t="s">
        <v>4714</v>
      </c>
      <c r="AG206" t="s">
        <v>9151</v>
      </c>
      <c r="AI206" t="s">
        <v>6955</v>
      </c>
      <c r="AJ206" s="408" t="str">
        <f t="shared" si="3"/>
        <v>251903</v>
      </c>
    </row>
    <row r="207" spans="1:36" hidden="1" x14ac:dyDescent="0.25">
      <c r="A207" t="s">
        <v>9156</v>
      </c>
      <c r="B207" t="s">
        <v>9157</v>
      </c>
      <c r="C207" t="s">
        <v>2861</v>
      </c>
      <c r="D207" t="s">
        <v>8320</v>
      </c>
      <c r="E207" t="s">
        <v>233</v>
      </c>
      <c r="F207">
        <v>1</v>
      </c>
      <c r="G207" s="386" t="s">
        <v>194</v>
      </c>
      <c r="H207" s="24" t="s">
        <v>193</v>
      </c>
      <c r="I207" t="s">
        <v>8330</v>
      </c>
      <c r="J207" t="s">
        <v>196</v>
      </c>
      <c r="K207">
        <v>18</v>
      </c>
      <c r="L207" t="s">
        <v>9158</v>
      </c>
      <c r="M207" t="s">
        <v>6245</v>
      </c>
      <c r="N207" t="s">
        <v>8332</v>
      </c>
      <c r="O207" t="s">
        <v>8306</v>
      </c>
      <c r="P207" t="s">
        <v>8378</v>
      </c>
      <c r="Q207">
        <v>2013613</v>
      </c>
      <c r="R207">
        <v>21283022</v>
      </c>
      <c r="U207" t="s">
        <v>3629</v>
      </c>
      <c r="V207" t="s">
        <v>193</v>
      </c>
      <c r="W207">
        <v>25</v>
      </c>
      <c r="Y207" t="s">
        <v>9159</v>
      </c>
      <c r="AE207" t="s">
        <v>9160</v>
      </c>
      <c r="AF207" t="s">
        <v>4714</v>
      </c>
      <c r="AG207" t="s">
        <v>9157</v>
      </c>
      <c r="AI207" t="s">
        <v>6955</v>
      </c>
      <c r="AJ207" s="408" t="str">
        <f t="shared" si="3"/>
        <v>251903</v>
      </c>
    </row>
    <row r="208" spans="1:36" x14ac:dyDescent="0.25">
      <c r="A208" t="s">
        <v>5810</v>
      </c>
      <c r="B208" t="s">
        <v>9161</v>
      </c>
      <c r="C208" t="s">
        <v>2861</v>
      </c>
      <c r="D208" t="s">
        <v>8320</v>
      </c>
      <c r="E208" t="s">
        <v>233</v>
      </c>
      <c r="F208">
        <v>1</v>
      </c>
      <c r="G208" t="s">
        <v>193</v>
      </c>
      <c r="H208" t="s">
        <v>194</v>
      </c>
      <c r="I208" t="s">
        <v>8330</v>
      </c>
      <c r="J208" t="s">
        <v>196</v>
      </c>
      <c r="K208">
        <v>18</v>
      </c>
      <c r="L208" t="s">
        <v>9162</v>
      </c>
      <c r="M208" t="s">
        <v>6921</v>
      </c>
      <c r="N208" t="s">
        <v>8332</v>
      </c>
      <c r="O208" t="s">
        <v>8306</v>
      </c>
      <c r="P208" t="s">
        <v>8378</v>
      </c>
      <c r="Q208">
        <v>2013628</v>
      </c>
      <c r="R208">
        <v>21283082</v>
      </c>
      <c r="U208" t="s">
        <v>3629</v>
      </c>
      <c r="V208" t="s">
        <v>193</v>
      </c>
      <c r="W208">
        <v>25</v>
      </c>
      <c r="Y208" t="s">
        <v>9163</v>
      </c>
      <c r="AE208" t="s">
        <v>9164</v>
      </c>
      <c r="AF208" t="s">
        <v>4714</v>
      </c>
      <c r="AG208" t="s">
        <v>9161</v>
      </c>
      <c r="AI208" t="s">
        <v>6955</v>
      </c>
      <c r="AJ208" s="408" t="str">
        <f t="shared" si="3"/>
        <v>251903</v>
      </c>
    </row>
    <row r="209" spans="1:36" x14ac:dyDescent="0.25">
      <c r="A209" t="s">
        <v>9165</v>
      </c>
      <c r="B209" t="s">
        <v>9166</v>
      </c>
      <c r="C209" t="s">
        <v>2861</v>
      </c>
      <c r="D209" t="s">
        <v>8320</v>
      </c>
      <c r="E209" t="s">
        <v>233</v>
      </c>
      <c r="F209">
        <v>1</v>
      </c>
      <c r="G209" t="s">
        <v>193</v>
      </c>
      <c r="H209" t="s">
        <v>194</v>
      </c>
      <c r="I209" t="s">
        <v>8330</v>
      </c>
      <c r="J209" t="s">
        <v>196</v>
      </c>
      <c r="K209">
        <v>18</v>
      </c>
      <c r="L209" t="s">
        <v>9167</v>
      </c>
      <c r="M209" t="s">
        <v>6921</v>
      </c>
      <c r="N209" t="s">
        <v>8332</v>
      </c>
      <c r="O209" t="s">
        <v>8306</v>
      </c>
      <c r="P209" t="s">
        <v>8378</v>
      </c>
      <c r="Q209">
        <v>2013746</v>
      </c>
      <c r="R209">
        <v>21283515</v>
      </c>
      <c r="U209" t="s">
        <v>3629</v>
      </c>
      <c r="V209" t="s">
        <v>193</v>
      </c>
      <c r="W209">
        <v>25</v>
      </c>
      <c r="Y209" t="s">
        <v>9168</v>
      </c>
      <c r="AE209" t="s">
        <v>9169</v>
      </c>
      <c r="AF209" t="s">
        <v>4714</v>
      </c>
      <c r="AG209" t="s">
        <v>9166</v>
      </c>
      <c r="AI209" t="s">
        <v>6955</v>
      </c>
      <c r="AJ209" s="408" t="str">
        <f t="shared" si="3"/>
        <v>251903</v>
      </c>
    </row>
    <row r="210" spans="1:36" x14ac:dyDescent="0.25">
      <c r="A210" t="s">
        <v>4022</v>
      </c>
      <c r="B210" t="s">
        <v>9170</v>
      </c>
      <c r="C210" t="s">
        <v>542</v>
      </c>
      <c r="D210" t="s">
        <v>8381</v>
      </c>
      <c r="E210" t="s">
        <v>217</v>
      </c>
      <c r="F210">
        <v>1</v>
      </c>
      <c r="G210" t="s">
        <v>193</v>
      </c>
      <c r="H210" t="s">
        <v>194</v>
      </c>
      <c r="I210" t="s">
        <v>8382</v>
      </c>
      <c r="J210" t="s">
        <v>196</v>
      </c>
      <c r="K210">
        <v>18</v>
      </c>
      <c r="L210" t="s">
        <v>9171</v>
      </c>
      <c r="M210" t="s">
        <v>7833</v>
      </c>
      <c r="N210" t="s">
        <v>8688</v>
      </c>
      <c r="O210" t="s">
        <v>8385</v>
      </c>
      <c r="P210" t="s">
        <v>8345</v>
      </c>
      <c r="Q210">
        <v>1967731</v>
      </c>
      <c r="R210">
        <v>20606190</v>
      </c>
      <c r="U210" t="s">
        <v>543</v>
      </c>
      <c r="V210" t="s">
        <v>193</v>
      </c>
      <c r="W210">
        <v>25</v>
      </c>
      <c r="Y210" t="s">
        <v>9172</v>
      </c>
      <c r="AE210" t="s">
        <v>7838</v>
      </c>
      <c r="AF210" t="s">
        <v>4714</v>
      </c>
      <c r="AI210" t="s">
        <v>6955</v>
      </c>
      <c r="AJ210" s="408" t="str">
        <f t="shared" si="3"/>
        <v>264304</v>
      </c>
    </row>
    <row r="211" spans="1:36" x14ac:dyDescent="0.25">
      <c r="A211" t="s">
        <v>2093</v>
      </c>
      <c r="B211" t="s">
        <v>2770</v>
      </c>
      <c r="C211" t="s">
        <v>7</v>
      </c>
      <c r="D211" t="s">
        <v>8381</v>
      </c>
      <c r="E211" t="s">
        <v>233</v>
      </c>
      <c r="F211">
        <v>1</v>
      </c>
      <c r="G211" t="s">
        <v>193</v>
      </c>
      <c r="H211" t="s">
        <v>194</v>
      </c>
      <c r="I211" t="s">
        <v>8382</v>
      </c>
      <c r="J211" t="s">
        <v>327</v>
      </c>
      <c r="K211">
        <v>18</v>
      </c>
      <c r="L211" t="s">
        <v>9173</v>
      </c>
      <c r="M211" t="s">
        <v>6306</v>
      </c>
      <c r="N211" t="s">
        <v>8417</v>
      </c>
      <c r="O211" t="s">
        <v>8418</v>
      </c>
      <c r="P211" t="s">
        <v>8382</v>
      </c>
      <c r="Q211">
        <v>1967477</v>
      </c>
      <c r="R211">
        <v>20583888</v>
      </c>
      <c r="T211">
        <v>1808</v>
      </c>
      <c r="U211" t="s">
        <v>2698</v>
      </c>
      <c r="V211" t="s">
        <v>194</v>
      </c>
      <c r="W211">
        <v>1</v>
      </c>
      <c r="X211">
        <v>77795</v>
      </c>
      <c r="Y211" t="s">
        <v>9174</v>
      </c>
      <c r="AE211" t="s">
        <v>9175</v>
      </c>
      <c r="AF211" t="s">
        <v>4714</v>
      </c>
      <c r="AG211" t="s">
        <v>2770</v>
      </c>
      <c r="AI211" t="s">
        <v>6955</v>
      </c>
      <c r="AJ211" s="408" t="str">
        <f t="shared" si="3"/>
        <v>335203</v>
      </c>
    </row>
    <row r="212" spans="1:36" x14ac:dyDescent="0.25">
      <c r="A212" t="s">
        <v>2093</v>
      </c>
      <c r="B212" t="s">
        <v>9176</v>
      </c>
      <c r="C212" t="s">
        <v>7</v>
      </c>
      <c r="D212" t="s">
        <v>8381</v>
      </c>
      <c r="E212" t="s">
        <v>233</v>
      </c>
      <c r="F212">
        <v>1</v>
      </c>
      <c r="G212" t="s">
        <v>193</v>
      </c>
      <c r="H212" t="s">
        <v>194</v>
      </c>
      <c r="I212" t="s">
        <v>8382</v>
      </c>
      <c r="J212" t="s">
        <v>367</v>
      </c>
      <c r="K212">
        <v>18</v>
      </c>
      <c r="L212" t="s">
        <v>9177</v>
      </c>
      <c r="M212" t="s">
        <v>6306</v>
      </c>
      <c r="N212" t="s">
        <v>8417</v>
      </c>
      <c r="O212" t="s">
        <v>8418</v>
      </c>
      <c r="P212" t="s">
        <v>8382</v>
      </c>
      <c r="Q212">
        <v>1967479</v>
      </c>
      <c r="R212">
        <v>20583890</v>
      </c>
      <c r="T212">
        <v>1805</v>
      </c>
      <c r="U212" t="s">
        <v>2698</v>
      </c>
      <c r="V212" t="s">
        <v>194</v>
      </c>
      <c r="W212">
        <v>1</v>
      </c>
      <c r="X212">
        <v>77790</v>
      </c>
      <c r="Y212" t="s">
        <v>9178</v>
      </c>
      <c r="AE212" t="s">
        <v>9179</v>
      </c>
      <c r="AF212" t="s">
        <v>4714</v>
      </c>
      <c r="AG212" t="s">
        <v>9176</v>
      </c>
      <c r="AI212" t="s">
        <v>6955</v>
      </c>
      <c r="AJ212" s="408" t="str">
        <f t="shared" si="3"/>
        <v>335203</v>
      </c>
    </row>
    <row r="213" spans="1:36" x14ac:dyDescent="0.25">
      <c r="A213" t="s">
        <v>2093</v>
      </c>
      <c r="B213" t="s">
        <v>2697</v>
      </c>
      <c r="C213" t="s">
        <v>7</v>
      </c>
      <c r="D213" t="s">
        <v>8381</v>
      </c>
      <c r="E213" t="s">
        <v>233</v>
      </c>
      <c r="F213">
        <v>1</v>
      </c>
      <c r="G213" t="s">
        <v>193</v>
      </c>
      <c r="H213" t="s">
        <v>194</v>
      </c>
      <c r="I213" t="s">
        <v>8382</v>
      </c>
      <c r="J213" t="s">
        <v>253</v>
      </c>
      <c r="K213">
        <v>18</v>
      </c>
      <c r="L213" t="s">
        <v>9180</v>
      </c>
      <c r="M213" t="s">
        <v>6306</v>
      </c>
      <c r="N213" t="s">
        <v>8417</v>
      </c>
      <c r="O213" t="s">
        <v>8418</v>
      </c>
      <c r="P213" t="s">
        <v>8382</v>
      </c>
      <c r="Q213">
        <v>1967480</v>
      </c>
      <c r="R213">
        <v>20583891</v>
      </c>
      <c r="T213">
        <v>1811</v>
      </c>
      <c r="U213" t="s">
        <v>2698</v>
      </c>
      <c r="V213" t="s">
        <v>194</v>
      </c>
      <c r="W213">
        <v>1</v>
      </c>
      <c r="X213">
        <v>77787</v>
      </c>
      <c r="Y213" t="s">
        <v>9181</v>
      </c>
      <c r="AE213" t="s">
        <v>9182</v>
      </c>
      <c r="AF213" t="s">
        <v>4714</v>
      </c>
      <c r="AG213" t="s">
        <v>2697</v>
      </c>
      <c r="AI213" t="s">
        <v>6955</v>
      </c>
      <c r="AJ213" s="408" t="str">
        <f>MID(U213,8,6)</f>
        <v>335203</v>
      </c>
    </row>
    <row r="214" spans="1:36" x14ac:dyDescent="0.25">
      <c r="A214" t="s">
        <v>2093</v>
      </c>
      <c r="B214" t="s">
        <v>2675</v>
      </c>
      <c r="C214" t="s">
        <v>7</v>
      </c>
      <c r="D214" t="s">
        <v>8381</v>
      </c>
      <c r="E214" t="s">
        <v>233</v>
      </c>
      <c r="F214">
        <v>1</v>
      </c>
      <c r="G214" t="s">
        <v>193</v>
      </c>
      <c r="H214" t="s">
        <v>194</v>
      </c>
      <c r="I214" t="s">
        <v>8382</v>
      </c>
      <c r="J214" t="s">
        <v>385</v>
      </c>
      <c r="K214">
        <v>18</v>
      </c>
      <c r="L214" t="s">
        <v>9183</v>
      </c>
      <c r="M214" t="s">
        <v>6306</v>
      </c>
      <c r="N214" t="s">
        <v>8417</v>
      </c>
      <c r="O214" t="s">
        <v>8418</v>
      </c>
      <c r="P214" t="s">
        <v>8429</v>
      </c>
      <c r="Q214">
        <v>1967481</v>
      </c>
      <c r="R214">
        <v>20583892</v>
      </c>
      <c r="T214">
        <v>1861</v>
      </c>
      <c r="U214" t="s">
        <v>2698</v>
      </c>
      <c r="V214" t="s">
        <v>194</v>
      </c>
      <c r="W214">
        <v>1</v>
      </c>
      <c r="X214">
        <v>77785</v>
      </c>
      <c r="Y214" t="s">
        <v>9184</v>
      </c>
      <c r="AE214" t="s">
        <v>9185</v>
      </c>
      <c r="AF214" t="s">
        <v>4714</v>
      </c>
      <c r="AG214" t="s">
        <v>2675</v>
      </c>
      <c r="AI214" t="s">
        <v>6955</v>
      </c>
      <c r="AJ214" s="408" t="str">
        <f t="shared" ref="AJ214:AJ219" si="4">MID(U214,8,6)</f>
        <v>335203</v>
      </c>
    </row>
    <row r="215" spans="1:36" hidden="1" x14ac:dyDescent="0.25">
      <c r="A215" t="s">
        <v>9186</v>
      </c>
      <c r="B215" t="s">
        <v>9187</v>
      </c>
      <c r="D215" t="s">
        <v>8381</v>
      </c>
      <c r="E215" t="s">
        <v>217</v>
      </c>
      <c r="F215">
        <v>1</v>
      </c>
      <c r="G215" s="386" t="s">
        <v>194</v>
      </c>
      <c r="H215" s="412" t="s">
        <v>193</v>
      </c>
      <c r="I215" t="s">
        <v>8382</v>
      </c>
      <c r="J215" t="s">
        <v>9188</v>
      </c>
      <c r="K215">
        <v>18</v>
      </c>
      <c r="L215" t="s">
        <v>9189</v>
      </c>
      <c r="M215" t="s">
        <v>6269</v>
      </c>
      <c r="N215" t="s">
        <v>8688</v>
      </c>
      <c r="O215" t="s">
        <v>8418</v>
      </c>
      <c r="P215" t="s">
        <v>8348</v>
      </c>
      <c r="Q215">
        <v>1967713</v>
      </c>
      <c r="R215">
        <v>20606159</v>
      </c>
      <c r="U215" s="75" t="s">
        <v>9275</v>
      </c>
      <c r="V215" t="s">
        <v>194</v>
      </c>
      <c r="W215">
        <v>0</v>
      </c>
      <c r="Y215" t="s">
        <v>9190</v>
      </c>
      <c r="AE215" t="s">
        <v>4904</v>
      </c>
      <c r="AF215" t="s">
        <v>4714</v>
      </c>
      <c r="AI215" t="s">
        <v>6955</v>
      </c>
      <c r="AJ215" s="408" t="str">
        <f t="shared" si="4"/>
        <v>313904</v>
      </c>
    </row>
    <row r="216" spans="1:36" hidden="1" x14ac:dyDescent="0.25">
      <c r="A216" t="s">
        <v>8787</v>
      </c>
      <c r="B216" t="s">
        <v>2873</v>
      </c>
      <c r="D216" t="s">
        <v>8344</v>
      </c>
      <c r="E216" t="s">
        <v>233</v>
      </c>
      <c r="F216">
        <v>1</v>
      </c>
      <c r="G216" s="386" t="s">
        <v>194</v>
      </c>
      <c r="H216" s="412" t="s">
        <v>193</v>
      </c>
      <c r="I216" t="s">
        <v>8345</v>
      </c>
      <c r="J216" t="s">
        <v>196</v>
      </c>
      <c r="K216">
        <v>18</v>
      </c>
      <c r="L216" t="s">
        <v>9191</v>
      </c>
      <c r="M216" t="s">
        <v>6261</v>
      </c>
      <c r="N216" t="s">
        <v>8357</v>
      </c>
      <c r="O216" t="s">
        <v>8348</v>
      </c>
      <c r="P216" t="s">
        <v>8497</v>
      </c>
      <c r="Q216">
        <v>1991916</v>
      </c>
      <c r="R216">
        <v>20613667</v>
      </c>
      <c r="U216" s="83" t="s">
        <v>9276</v>
      </c>
      <c r="V216" t="s">
        <v>194</v>
      </c>
      <c r="W216">
        <v>0</v>
      </c>
      <c r="Y216" t="s">
        <v>9192</v>
      </c>
      <c r="AE216" t="s">
        <v>9193</v>
      </c>
      <c r="AF216" t="s">
        <v>4714</v>
      </c>
      <c r="AG216" t="s">
        <v>2873</v>
      </c>
      <c r="AI216" t="s">
        <v>6955</v>
      </c>
      <c r="AJ216" s="409" t="str">
        <f>MID(U216,8,6)</f>
        <v>252302</v>
      </c>
    </row>
    <row r="217" spans="1:36" hidden="1" x14ac:dyDescent="0.25">
      <c r="A217" t="s">
        <v>8787</v>
      </c>
      <c r="B217" t="s">
        <v>9194</v>
      </c>
      <c r="D217" t="s">
        <v>8344</v>
      </c>
      <c r="E217" t="s">
        <v>233</v>
      </c>
      <c r="F217">
        <v>1</v>
      </c>
      <c r="G217" s="386" t="s">
        <v>194</v>
      </c>
      <c r="H217" s="412" t="s">
        <v>193</v>
      </c>
      <c r="I217" t="s">
        <v>8345</v>
      </c>
      <c r="J217" t="s">
        <v>196</v>
      </c>
      <c r="K217">
        <v>18</v>
      </c>
      <c r="L217" t="s">
        <v>9195</v>
      </c>
      <c r="M217" t="s">
        <v>6261</v>
      </c>
      <c r="N217" t="s">
        <v>8357</v>
      </c>
      <c r="O217" t="s">
        <v>8348</v>
      </c>
      <c r="P217" t="s">
        <v>8497</v>
      </c>
      <c r="Q217">
        <v>1991931</v>
      </c>
      <c r="R217">
        <v>20613690</v>
      </c>
      <c r="U217" t="s">
        <v>9277</v>
      </c>
      <c r="V217" t="s">
        <v>194</v>
      </c>
      <c r="W217">
        <v>0</v>
      </c>
      <c r="Y217" t="s">
        <v>9192</v>
      </c>
      <c r="AE217" t="s">
        <v>9196</v>
      </c>
      <c r="AF217" t="s">
        <v>4714</v>
      </c>
      <c r="AG217" t="s">
        <v>9194</v>
      </c>
      <c r="AI217" t="s">
        <v>6955</v>
      </c>
      <c r="AJ217" s="409" t="str">
        <f t="shared" si="4"/>
        <v>251401</v>
      </c>
    </row>
    <row r="218" spans="1:36" hidden="1" x14ac:dyDescent="0.25">
      <c r="A218" t="s">
        <v>8787</v>
      </c>
      <c r="B218" t="s">
        <v>9197</v>
      </c>
      <c r="D218" t="s">
        <v>8344</v>
      </c>
      <c r="E218" t="s">
        <v>233</v>
      </c>
      <c r="F218">
        <v>1</v>
      </c>
      <c r="G218" s="386" t="s">
        <v>194</v>
      </c>
      <c r="H218" s="412" t="s">
        <v>193</v>
      </c>
      <c r="I218" t="s">
        <v>8345</v>
      </c>
      <c r="J218" t="s">
        <v>196</v>
      </c>
      <c r="K218">
        <v>18</v>
      </c>
      <c r="L218" t="s">
        <v>9198</v>
      </c>
      <c r="M218" t="s">
        <v>6261</v>
      </c>
      <c r="N218" t="s">
        <v>8357</v>
      </c>
      <c r="O218" t="s">
        <v>8348</v>
      </c>
      <c r="P218" t="s">
        <v>8497</v>
      </c>
      <c r="Q218">
        <v>1991946</v>
      </c>
      <c r="R218">
        <v>20613708</v>
      </c>
      <c r="U218" t="s">
        <v>9277</v>
      </c>
      <c r="V218" t="s">
        <v>194</v>
      </c>
      <c r="W218">
        <v>0</v>
      </c>
      <c r="Y218" t="s">
        <v>9192</v>
      </c>
      <c r="AE218" t="s">
        <v>9199</v>
      </c>
      <c r="AF218" t="s">
        <v>4714</v>
      </c>
      <c r="AG218" t="s">
        <v>9197</v>
      </c>
      <c r="AI218" t="s">
        <v>6955</v>
      </c>
      <c r="AJ218" s="409" t="str">
        <f t="shared" si="4"/>
        <v>251401</v>
      </c>
    </row>
    <row r="219" spans="1:36" hidden="1" x14ac:dyDescent="0.25">
      <c r="A219" t="s">
        <v>8787</v>
      </c>
      <c r="B219" t="s">
        <v>9200</v>
      </c>
      <c r="D219" t="s">
        <v>8344</v>
      </c>
      <c r="E219" t="s">
        <v>233</v>
      </c>
      <c r="F219">
        <v>1</v>
      </c>
      <c r="G219" s="386" t="s">
        <v>194</v>
      </c>
      <c r="H219" s="412" t="s">
        <v>193</v>
      </c>
      <c r="I219" t="s">
        <v>8345</v>
      </c>
      <c r="J219" t="s">
        <v>196</v>
      </c>
      <c r="K219">
        <v>18</v>
      </c>
      <c r="L219" t="s">
        <v>9201</v>
      </c>
      <c r="M219" t="s">
        <v>6261</v>
      </c>
      <c r="N219" t="s">
        <v>8357</v>
      </c>
      <c r="O219" t="s">
        <v>8348</v>
      </c>
      <c r="P219" t="s">
        <v>8497</v>
      </c>
      <c r="Q219">
        <v>1991961</v>
      </c>
      <c r="R219">
        <v>20613731</v>
      </c>
      <c r="U219" t="s">
        <v>9276</v>
      </c>
      <c r="V219" t="s">
        <v>194</v>
      </c>
      <c r="W219">
        <v>0</v>
      </c>
      <c r="Y219" t="s">
        <v>9192</v>
      </c>
      <c r="AE219" t="s">
        <v>9202</v>
      </c>
      <c r="AF219" t="s">
        <v>4714</v>
      </c>
      <c r="AG219" t="s">
        <v>9200</v>
      </c>
      <c r="AI219" t="s">
        <v>6955</v>
      </c>
      <c r="AJ219" s="409" t="str">
        <f t="shared" si="4"/>
        <v>252302</v>
      </c>
    </row>
    <row r="220" spans="1:36" hidden="1" x14ac:dyDescent="0.25">
      <c r="A220" t="s">
        <v>8787</v>
      </c>
      <c r="B220" t="s">
        <v>9203</v>
      </c>
      <c r="D220" t="s">
        <v>8344</v>
      </c>
      <c r="E220" t="s">
        <v>233</v>
      </c>
      <c r="F220">
        <v>1</v>
      </c>
      <c r="G220" s="386" t="s">
        <v>194</v>
      </c>
      <c r="H220" s="412" t="s">
        <v>193</v>
      </c>
      <c r="I220" t="s">
        <v>8345</v>
      </c>
      <c r="J220" t="s">
        <v>196</v>
      </c>
      <c r="K220">
        <v>18</v>
      </c>
      <c r="L220" t="s">
        <v>9204</v>
      </c>
      <c r="M220" t="s">
        <v>6261</v>
      </c>
      <c r="N220" t="s">
        <v>8357</v>
      </c>
      <c r="O220" t="s">
        <v>8348</v>
      </c>
      <c r="P220" t="s">
        <v>8497</v>
      </c>
      <c r="Q220">
        <v>1991976</v>
      </c>
      <c r="R220">
        <v>20613751</v>
      </c>
      <c r="U220" t="s">
        <v>9277</v>
      </c>
      <c r="V220" t="s">
        <v>194</v>
      </c>
      <c r="W220">
        <v>0</v>
      </c>
      <c r="Y220" t="s">
        <v>9192</v>
      </c>
      <c r="AE220" t="s">
        <v>9205</v>
      </c>
      <c r="AF220" t="s">
        <v>4714</v>
      </c>
      <c r="AG220" t="s">
        <v>9203</v>
      </c>
      <c r="AI220" t="s">
        <v>6955</v>
      </c>
      <c r="AJ220" s="409" t="str">
        <f t="shared" si="3"/>
        <v>251401</v>
      </c>
    </row>
    <row r="221" spans="1:36" hidden="1" x14ac:dyDescent="0.25">
      <c r="A221" t="s">
        <v>8787</v>
      </c>
      <c r="B221" t="s">
        <v>9206</v>
      </c>
      <c r="D221" t="s">
        <v>8344</v>
      </c>
      <c r="E221" t="s">
        <v>233</v>
      </c>
      <c r="F221">
        <v>1</v>
      </c>
      <c r="G221" s="386" t="s">
        <v>194</v>
      </c>
      <c r="H221" s="412" t="s">
        <v>193</v>
      </c>
      <c r="I221" t="s">
        <v>8345</v>
      </c>
      <c r="J221" t="s">
        <v>196</v>
      </c>
      <c r="K221">
        <v>18</v>
      </c>
      <c r="L221" t="s">
        <v>9207</v>
      </c>
      <c r="M221" t="s">
        <v>6302</v>
      </c>
      <c r="N221" t="s">
        <v>8357</v>
      </c>
      <c r="O221" t="s">
        <v>8348</v>
      </c>
      <c r="P221" t="s">
        <v>8497</v>
      </c>
      <c r="Q221">
        <v>1991991</v>
      </c>
      <c r="R221">
        <v>20614013</v>
      </c>
      <c r="U221" t="s">
        <v>9278</v>
      </c>
      <c r="V221" t="s">
        <v>194</v>
      </c>
      <c r="W221">
        <v>0</v>
      </c>
      <c r="Y221" t="s">
        <v>9208</v>
      </c>
      <c r="AE221" t="s">
        <v>9209</v>
      </c>
      <c r="AF221" t="s">
        <v>4714</v>
      </c>
      <c r="AG221" t="s">
        <v>9206</v>
      </c>
      <c r="AI221" t="s">
        <v>6955</v>
      </c>
      <c r="AJ221" s="409" t="str">
        <f t="shared" si="3"/>
        <v>121904</v>
      </c>
    </row>
    <row r="222" spans="1:36" hidden="1" x14ac:dyDescent="0.25">
      <c r="A222" t="s">
        <v>8787</v>
      </c>
      <c r="B222" t="s">
        <v>9210</v>
      </c>
      <c r="D222" t="s">
        <v>8344</v>
      </c>
      <c r="E222" t="s">
        <v>233</v>
      </c>
      <c r="F222">
        <v>1</v>
      </c>
      <c r="G222" s="386" t="s">
        <v>194</v>
      </c>
      <c r="H222" s="412" t="s">
        <v>193</v>
      </c>
      <c r="I222" t="s">
        <v>8345</v>
      </c>
      <c r="J222" t="s">
        <v>196</v>
      </c>
      <c r="K222">
        <v>18</v>
      </c>
      <c r="L222" t="s">
        <v>9211</v>
      </c>
      <c r="M222" t="s">
        <v>6921</v>
      </c>
      <c r="N222" t="s">
        <v>8357</v>
      </c>
      <c r="O222" t="s">
        <v>8348</v>
      </c>
      <c r="P222" t="s">
        <v>8497</v>
      </c>
      <c r="Q222">
        <v>1992006</v>
      </c>
      <c r="R222">
        <v>20614038</v>
      </c>
      <c r="U222" t="s">
        <v>9279</v>
      </c>
      <c r="V222" t="s">
        <v>194</v>
      </c>
      <c r="W222">
        <v>0</v>
      </c>
      <c r="Y222" t="s">
        <v>9192</v>
      </c>
      <c r="AE222" t="s">
        <v>9212</v>
      </c>
      <c r="AF222" t="s">
        <v>4714</v>
      </c>
      <c r="AG222" t="s">
        <v>9210</v>
      </c>
      <c r="AI222" t="s">
        <v>6955</v>
      </c>
      <c r="AJ222" s="409" t="str">
        <f t="shared" si="3"/>
        <v>251903</v>
      </c>
    </row>
    <row r="223" spans="1:36" hidden="1" x14ac:dyDescent="0.25">
      <c r="A223" t="s">
        <v>8787</v>
      </c>
      <c r="B223" t="s">
        <v>9213</v>
      </c>
      <c r="D223" t="s">
        <v>8344</v>
      </c>
      <c r="E223" t="s">
        <v>233</v>
      </c>
      <c r="F223">
        <v>1</v>
      </c>
      <c r="G223" s="386" t="s">
        <v>194</v>
      </c>
      <c r="H223" s="412" t="s">
        <v>193</v>
      </c>
      <c r="I223" t="s">
        <v>8345</v>
      </c>
      <c r="J223" t="s">
        <v>196</v>
      </c>
      <c r="K223">
        <v>18</v>
      </c>
      <c r="L223" t="s">
        <v>9214</v>
      </c>
      <c r="M223" t="s">
        <v>6340</v>
      </c>
      <c r="N223" t="s">
        <v>8357</v>
      </c>
      <c r="O223" t="s">
        <v>8348</v>
      </c>
      <c r="P223" t="s">
        <v>8497</v>
      </c>
      <c r="Q223">
        <v>1992036</v>
      </c>
      <c r="R223">
        <v>20614104</v>
      </c>
      <c r="U223" t="s">
        <v>9280</v>
      </c>
      <c r="V223" t="s">
        <v>194</v>
      </c>
      <c r="W223">
        <v>0</v>
      </c>
      <c r="Y223" t="s">
        <v>9192</v>
      </c>
      <c r="AE223" t="s">
        <v>9215</v>
      </c>
      <c r="AF223" t="s">
        <v>4714</v>
      </c>
      <c r="AG223" t="s">
        <v>9213</v>
      </c>
      <c r="AI223" t="s">
        <v>6955</v>
      </c>
      <c r="AJ223" s="409" t="str">
        <f t="shared" si="3"/>
        <v>242307</v>
      </c>
    </row>
    <row r="224" spans="1:36" hidden="1" x14ac:dyDescent="0.25">
      <c r="A224" t="s">
        <v>8342</v>
      </c>
      <c r="B224" t="s">
        <v>9216</v>
      </c>
      <c r="D224" t="s">
        <v>8344</v>
      </c>
      <c r="E224" t="s">
        <v>233</v>
      </c>
      <c r="F224">
        <v>1</v>
      </c>
      <c r="G224" s="386" t="s">
        <v>194</v>
      </c>
      <c r="H224" s="412" t="s">
        <v>193</v>
      </c>
      <c r="I224" t="s">
        <v>8345</v>
      </c>
      <c r="J224" t="s">
        <v>196</v>
      </c>
      <c r="K224">
        <v>18</v>
      </c>
      <c r="L224" t="s">
        <v>9217</v>
      </c>
      <c r="M224" t="s">
        <v>6254</v>
      </c>
      <c r="N224" t="s">
        <v>8347</v>
      </c>
      <c r="O224" t="s">
        <v>8348</v>
      </c>
      <c r="P224" t="s">
        <v>8349</v>
      </c>
      <c r="Q224">
        <v>1992083</v>
      </c>
      <c r="R224">
        <v>20615859</v>
      </c>
      <c r="U224" t="s">
        <v>9281</v>
      </c>
      <c r="V224" t="s">
        <v>194</v>
      </c>
      <c r="W224">
        <v>0</v>
      </c>
      <c r="Y224" t="s">
        <v>9218</v>
      </c>
      <c r="AE224" t="s">
        <v>9219</v>
      </c>
      <c r="AF224" t="s">
        <v>4714</v>
      </c>
      <c r="AG224" t="s">
        <v>9216</v>
      </c>
      <c r="AI224" t="s">
        <v>6955</v>
      </c>
      <c r="AJ224" s="409" t="str">
        <f t="shared" si="3"/>
        <v>334304</v>
      </c>
    </row>
    <row r="225" spans="1:36" hidden="1" x14ac:dyDescent="0.25">
      <c r="A225" t="s">
        <v>915</v>
      </c>
      <c r="B225" t="s">
        <v>9220</v>
      </c>
      <c r="D225" t="s">
        <v>8344</v>
      </c>
      <c r="E225" t="s">
        <v>233</v>
      </c>
      <c r="F225">
        <v>1</v>
      </c>
      <c r="G225" s="386" t="s">
        <v>194</v>
      </c>
      <c r="H225" s="412" t="s">
        <v>193</v>
      </c>
      <c r="I225" t="s">
        <v>8345</v>
      </c>
      <c r="J225" t="s">
        <v>196</v>
      </c>
      <c r="K225">
        <v>18</v>
      </c>
      <c r="L225" t="s">
        <v>9221</v>
      </c>
      <c r="M225" t="s">
        <v>6261</v>
      </c>
      <c r="N225" t="s">
        <v>8347</v>
      </c>
      <c r="O225" t="s">
        <v>8348</v>
      </c>
      <c r="P225" t="s">
        <v>8325</v>
      </c>
      <c r="Q225">
        <v>1993250</v>
      </c>
      <c r="R225">
        <v>20833033</v>
      </c>
      <c r="U225" t="s">
        <v>9277</v>
      </c>
      <c r="V225" t="s">
        <v>194</v>
      </c>
      <c r="W225">
        <v>0</v>
      </c>
      <c r="AE225" t="s">
        <v>9222</v>
      </c>
      <c r="AF225" t="s">
        <v>4714</v>
      </c>
      <c r="AG225" t="s">
        <v>9220</v>
      </c>
      <c r="AI225" t="s">
        <v>6955</v>
      </c>
      <c r="AJ225" s="409" t="str">
        <f t="shared" si="3"/>
        <v>251401</v>
      </c>
    </row>
    <row r="226" spans="1:36" hidden="1" x14ac:dyDescent="0.25">
      <c r="A226" t="s">
        <v>8589</v>
      </c>
      <c r="B226" t="s">
        <v>9223</v>
      </c>
      <c r="D226" t="s">
        <v>8305</v>
      </c>
      <c r="E226" t="s">
        <v>233</v>
      </c>
      <c r="F226">
        <v>1</v>
      </c>
      <c r="G226" s="386" t="s">
        <v>194</v>
      </c>
      <c r="H226" s="412" t="s">
        <v>193</v>
      </c>
      <c r="I226" t="s">
        <v>8306</v>
      </c>
      <c r="J226" t="s">
        <v>196</v>
      </c>
      <c r="K226">
        <v>18</v>
      </c>
      <c r="L226" t="s">
        <v>9224</v>
      </c>
      <c r="M226" t="s">
        <v>6277</v>
      </c>
      <c r="N226" t="s">
        <v>8308</v>
      </c>
      <c r="O226" t="s">
        <v>8309</v>
      </c>
      <c r="P226" t="s">
        <v>8310</v>
      </c>
      <c r="Q226">
        <v>2002467</v>
      </c>
      <c r="R226">
        <v>21051256</v>
      </c>
      <c r="U226" t="s">
        <v>9284</v>
      </c>
      <c r="V226" t="s">
        <v>194</v>
      </c>
      <c r="W226">
        <v>0</v>
      </c>
      <c r="X226">
        <v>2101311</v>
      </c>
      <c r="Y226" t="s">
        <v>9225</v>
      </c>
      <c r="AE226" t="s">
        <v>9226</v>
      </c>
      <c r="AF226" t="s">
        <v>4714</v>
      </c>
      <c r="AG226" t="s">
        <v>9223</v>
      </c>
      <c r="AI226" t="s">
        <v>6955</v>
      </c>
      <c r="AJ226" s="409" t="str">
        <f t="shared" si="3"/>
        <v>132401</v>
      </c>
    </row>
    <row r="227" spans="1:36" hidden="1" x14ac:dyDescent="0.25">
      <c r="A227" t="s">
        <v>9037</v>
      </c>
      <c r="B227" t="s">
        <v>6194</v>
      </c>
      <c r="D227" t="s">
        <v>8305</v>
      </c>
      <c r="E227" t="s">
        <v>233</v>
      </c>
      <c r="F227">
        <v>1</v>
      </c>
      <c r="G227" s="386" t="s">
        <v>194</v>
      </c>
      <c r="H227" s="412" t="s">
        <v>193</v>
      </c>
      <c r="I227" t="s">
        <v>8314</v>
      </c>
      <c r="J227" t="s">
        <v>196</v>
      </c>
      <c r="K227">
        <v>18</v>
      </c>
      <c r="L227" t="s">
        <v>9227</v>
      </c>
      <c r="M227" t="s">
        <v>6256</v>
      </c>
      <c r="N227" t="s">
        <v>8308</v>
      </c>
      <c r="O227" t="s">
        <v>8309</v>
      </c>
      <c r="P227" t="s">
        <v>8310</v>
      </c>
      <c r="Q227">
        <v>2002793</v>
      </c>
      <c r="R227">
        <v>21052172</v>
      </c>
      <c r="U227" t="s">
        <v>9287</v>
      </c>
      <c r="V227" t="s">
        <v>194</v>
      </c>
      <c r="W227">
        <v>0</v>
      </c>
      <c r="X227" t="s">
        <v>9228</v>
      </c>
      <c r="Y227" t="s">
        <v>9229</v>
      </c>
      <c r="AE227" t="s">
        <v>9230</v>
      </c>
      <c r="AF227" t="s">
        <v>4714</v>
      </c>
      <c r="AG227" t="s">
        <v>6194</v>
      </c>
      <c r="AI227" t="s">
        <v>6955</v>
      </c>
      <c r="AJ227" s="409" t="str">
        <f t="shared" si="3"/>
        <v>132301</v>
      </c>
    </row>
    <row r="228" spans="1:36" hidden="1" x14ac:dyDescent="0.25">
      <c r="A228" t="s">
        <v>8488</v>
      </c>
      <c r="B228" t="s">
        <v>9231</v>
      </c>
      <c r="D228" t="s">
        <v>8305</v>
      </c>
      <c r="E228" t="s">
        <v>233</v>
      </c>
      <c r="F228" s="192">
        <v>1</v>
      </c>
      <c r="G228" s="386" t="s">
        <v>194</v>
      </c>
      <c r="H228" s="412" t="s">
        <v>193</v>
      </c>
      <c r="I228" t="s">
        <v>8306</v>
      </c>
      <c r="J228" t="s">
        <v>196</v>
      </c>
      <c r="K228">
        <v>18</v>
      </c>
      <c r="L228" t="s">
        <v>9232</v>
      </c>
      <c r="M228" t="s">
        <v>6277</v>
      </c>
      <c r="N228" t="s">
        <v>8308</v>
      </c>
      <c r="O228" t="s">
        <v>8309</v>
      </c>
      <c r="P228" t="s">
        <v>8491</v>
      </c>
      <c r="Q228">
        <v>2002946</v>
      </c>
      <c r="R228">
        <v>21052592</v>
      </c>
      <c r="U228" t="s">
        <v>9292</v>
      </c>
      <c r="V228" t="s">
        <v>194</v>
      </c>
      <c r="W228">
        <v>0</v>
      </c>
      <c r="Y228" t="s">
        <v>9233</v>
      </c>
      <c r="AE228" t="s">
        <v>9234</v>
      </c>
      <c r="AF228" t="s">
        <v>4714</v>
      </c>
      <c r="AG228" t="s">
        <v>9231</v>
      </c>
      <c r="AI228" t="s">
        <v>6955</v>
      </c>
      <c r="AJ228" s="409" t="str">
        <f t="shared" si="3"/>
        <v>211302</v>
      </c>
    </row>
    <row r="229" spans="1:36" hidden="1" x14ac:dyDescent="0.25">
      <c r="A229" t="s">
        <v>8633</v>
      </c>
      <c r="B229" t="s">
        <v>9235</v>
      </c>
      <c r="D229" t="s">
        <v>8305</v>
      </c>
      <c r="E229" t="s">
        <v>233</v>
      </c>
      <c r="F229" s="192">
        <v>1</v>
      </c>
      <c r="G229" s="386" t="s">
        <v>194</v>
      </c>
      <c r="H229" s="412" t="s">
        <v>193</v>
      </c>
      <c r="I229" t="s">
        <v>8306</v>
      </c>
      <c r="J229" t="s">
        <v>196</v>
      </c>
      <c r="K229">
        <v>18</v>
      </c>
      <c r="L229" t="s">
        <v>9236</v>
      </c>
      <c r="M229" t="s">
        <v>6275</v>
      </c>
      <c r="N229" t="s">
        <v>8308</v>
      </c>
      <c r="O229" t="s">
        <v>8309</v>
      </c>
      <c r="P229" t="s">
        <v>8310</v>
      </c>
      <c r="Q229">
        <v>2002973</v>
      </c>
      <c r="R229">
        <v>21052648</v>
      </c>
      <c r="U229" t="s">
        <v>9289</v>
      </c>
      <c r="V229" t="s">
        <v>194</v>
      </c>
      <c r="W229">
        <v>0</v>
      </c>
      <c r="Y229" t="s">
        <v>9237</v>
      </c>
      <c r="AE229" t="s">
        <v>9238</v>
      </c>
      <c r="AF229" t="s">
        <v>4714</v>
      </c>
      <c r="AG229" t="s">
        <v>9235</v>
      </c>
      <c r="AI229" t="s">
        <v>6955</v>
      </c>
      <c r="AJ229" s="409" t="str">
        <f t="shared" si="3"/>
        <v>711903</v>
      </c>
    </row>
    <row r="230" spans="1:36" hidden="1" x14ac:dyDescent="0.25">
      <c r="A230" t="s">
        <v>9239</v>
      </c>
      <c r="B230" t="s">
        <v>9240</v>
      </c>
      <c r="D230" t="s">
        <v>8305</v>
      </c>
      <c r="E230" t="s">
        <v>233</v>
      </c>
      <c r="F230" s="192">
        <v>1</v>
      </c>
      <c r="G230" s="386" t="s">
        <v>194</v>
      </c>
      <c r="H230" s="412" t="s">
        <v>193</v>
      </c>
      <c r="I230" t="s">
        <v>8306</v>
      </c>
      <c r="J230" t="s">
        <v>196</v>
      </c>
      <c r="K230">
        <v>18</v>
      </c>
      <c r="L230" t="s">
        <v>9241</v>
      </c>
      <c r="M230" t="s">
        <v>6266</v>
      </c>
      <c r="N230" t="s">
        <v>8308</v>
      </c>
      <c r="O230" t="s">
        <v>8309</v>
      </c>
      <c r="P230" t="s">
        <v>8310</v>
      </c>
      <c r="Q230">
        <v>2003230</v>
      </c>
      <c r="R230">
        <v>21053162</v>
      </c>
      <c r="U230" t="s">
        <v>9291</v>
      </c>
      <c r="V230" t="s">
        <v>194</v>
      </c>
      <c r="W230">
        <v>0</v>
      </c>
      <c r="Y230" t="s">
        <v>9242</v>
      </c>
      <c r="AE230" t="s">
        <v>9243</v>
      </c>
      <c r="AF230" t="s">
        <v>4714</v>
      </c>
      <c r="AG230" t="s">
        <v>9240</v>
      </c>
      <c r="AI230" t="s">
        <v>6955</v>
      </c>
      <c r="AJ230" s="409" t="str">
        <f t="shared" si="3"/>
        <v>933304</v>
      </c>
    </row>
    <row r="231" spans="1:36" hidden="1" x14ac:dyDescent="0.25">
      <c r="A231" t="s">
        <v>9244</v>
      </c>
      <c r="B231" t="s">
        <v>9245</v>
      </c>
      <c r="D231" t="s">
        <v>8305</v>
      </c>
      <c r="E231" t="s">
        <v>233</v>
      </c>
      <c r="F231" s="192">
        <v>1</v>
      </c>
      <c r="G231" s="386" t="s">
        <v>194</v>
      </c>
      <c r="H231" s="412" t="s">
        <v>193</v>
      </c>
      <c r="I231" t="s">
        <v>8306</v>
      </c>
      <c r="J231" t="s">
        <v>196</v>
      </c>
      <c r="K231">
        <v>18</v>
      </c>
      <c r="L231" t="s">
        <v>9246</v>
      </c>
      <c r="M231" t="s">
        <v>6256</v>
      </c>
      <c r="N231" t="s">
        <v>8308</v>
      </c>
      <c r="O231" t="s">
        <v>8309</v>
      </c>
      <c r="P231" t="s">
        <v>8310</v>
      </c>
      <c r="Q231">
        <v>2003254</v>
      </c>
      <c r="R231">
        <v>21053220</v>
      </c>
      <c r="U231" t="s">
        <v>9287</v>
      </c>
      <c r="V231" t="s">
        <v>194</v>
      </c>
      <c r="W231">
        <v>0</v>
      </c>
      <c r="Y231" t="s">
        <v>9247</v>
      </c>
      <c r="AE231" t="s">
        <v>9248</v>
      </c>
      <c r="AF231" t="s">
        <v>4714</v>
      </c>
      <c r="AG231" t="s">
        <v>9245</v>
      </c>
      <c r="AI231" t="s">
        <v>6955</v>
      </c>
      <c r="AJ231" s="409" t="str">
        <f t="shared" si="3"/>
        <v>132301</v>
      </c>
    </row>
    <row r="232" spans="1:36" hidden="1" x14ac:dyDescent="0.25">
      <c r="A232" t="s">
        <v>8633</v>
      </c>
      <c r="B232" t="s">
        <v>9249</v>
      </c>
      <c r="D232" t="s">
        <v>8305</v>
      </c>
      <c r="E232" t="s">
        <v>233</v>
      </c>
      <c r="F232" s="192">
        <v>1</v>
      </c>
      <c r="G232" s="386" t="s">
        <v>194</v>
      </c>
      <c r="H232" s="412" t="s">
        <v>193</v>
      </c>
      <c r="I232" t="s">
        <v>8306</v>
      </c>
      <c r="J232" t="s">
        <v>196</v>
      </c>
      <c r="K232">
        <v>18</v>
      </c>
      <c r="L232" t="s">
        <v>9250</v>
      </c>
      <c r="M232" t="s">
        <v>6256</v>
      </c>
      <c r="N232" t="s">
        <v>8308</v>
      </c>
      <c r="O232" t="s">
        <v>8309</v>
      </c>
      <c r="P232" t="s">
        <v>8310</v>
      </c>
      <c r="Q232">
        <v>2003532</v>
      </c>
      <c r="R232">
        <v>21054032</v>
      </c>
      <c r="U232" t="s">
        <v>9290</v>
      </c>
      <c r="V232" t="s">
        <v>194</v>
      </c>
      <c r="W232">
        <v>0</v>
      </c>
      <c r="Y232" t="s">
        <v>9251</v>
      </c>
      <c r="AE232" t="s">
        <v>9252</v>
      </c>
      <c r="AF232" t="s">
        <v>4714</v>
      </c>
      <c r="AG232" t="s">
        <v>9249</v>
      </c>
      <c r="AI232" t="s">
        <v>6955</v>
      </c>
      <c r="AJ232" s="409" t="str">
        <f t="shared" si="3"/>
        <v>712607</v>
      </c>
    </row>
    <row r="233" spans="1:36" hidden="1" x14ac:dyDescent="0.25">
      <c r="A233" t="s">
        <v>915</v>
      </c>
      <c r="B233" t="s">
        <v>9253</v>
      </c>
      <c r="D233" t="s">
        <v>8320</v>
      </c>
      <c r="E233" t="s">
        <v>233</v>
      </c>
      <c r="F233">
        <v>1</v>
      </c>
      <c r="G233" s="386" t="s">
        <v>194</v>
      </c>
      <c r="H233" s="412" t="s">
        <v>193</v>
      </c>
      <c r="I233" t="s">
        <v>8330</v>
      </c>
      <c r="J233" t="s">
        <v>196</v>
      </c>
      <c r="K233">
        <v>18</v>
      </c>
      <c r="L233" t="s">
        <v>9254</v>
      </c>
      <c r="M233" t="s">
        <v>6921</v>
      </c>
      <c r="N233" t="s">
        <v>8332</v>
      </c>
      <c r="O233" t="s">
        <v>8306</v>
      </c>
      <c r="P233" t="s">
        <v>8378</v>
      </c>
      <c r="Q233">
        <v>2013449</v>
      </c>
      <c r="R233">
        <v>21282618</v>
      </c>
      <c r="U233" t="s">
        <v>9282</v>
      </c>
      <c r="V233" t="s">
        <v>194</v>
      </c>
      <c r="W233">
        <v>0</v>
      </c>
      <c r="AE233" t="s">
        <v>9255</v>
      </c>
      <c r="AF233" t="s">
        <v>4714</v>
      </c>
      <c r="AG233" t="s">
        <v>9253</v>
      </c>
      <c r="AI233" t="s">
        <v>6955</v>
      </c>
      <c r="AJ233" s="409" t="str">
        <f t="shared" si="3"/>
        <v>251202</v>
      </c>
    </row>
    <row r="234" spans="1:36" hidden="1" x14ac:dyDescent="0.25">
      <c r="A234" t="s">
        <v>9032</v>
      </c>
      <c r="B234" t="s">
        <v>9256</v>
      </c>
      <c r="D234" t="s">
        <v>8320</v>
      </c>
      <c r="E234" t="s">
        <v>233</v>
      </c>
      <c r="F234" s="192">
        <v>1</v>
      </c>
      <c r="G234" s="386" t="s">
        <v>194</v>
      </c>
      <c r="H234" s="412" t="s">
        <v>193</v>
      </c>
      <c r="I234" t="s">
        <v>8330</v>
      </c>
      <c r="J234" t="s">
        <v>196</v>
      </c>
      <c r="K234">
        <v>18</v>
      </c>
      <c r="L234" t="s">
        <v>9257</v>
      </c>
      <c r="M234" t="s">
        <v>6249</v>
      </c>
      <c r="N234" t="s">
        <v>8332</v>
      </c>
      <c r="O234" t="s">
        <v>8306</v>
      </c>
      <c r="P234" t="s">
        <v>8378</v>
      </c>
      <c r="Q234">
        <v>2013667</v>
      </c>
      <c r="R234">
        <v>21283198</v>
      </c>
      <c r="U234" t="s">
        <v>9288</v>
      </c>
      <c r="V234" t="s">
        <v>194</v>
      </c>
      <c r="W234">
        <v>0</v>
      </c>
      <c r="Y234" t="s">
        <v>9258</v>
      </c>
      <c r="AE234" t="s">
        <v>9259</v>
      </c>
      <c r="AF234" t="s">
        <v>4714</v>
      </c>
      <c r="AG234" t="s">
        <v>9256</v>
      </c>
      <c r="AI234" t="s">
        <v>6955</v>
      </c>
      <c r="AJ234" s="409" t="str">
        <f t="shared" si="3"/>
        <v>422201</v>
      </c>
    </row>
    <row r="235" spans="1:36" hidden="1" x14ac:dyDescent="0.25">
      <c r="A235" t="s">
        <v>915</v>
      </c>
      <c r="B235" t="s">
        <v>9260</v>
      </c>
      <c r="D235" t="s">
        <v>8320</v>
      </c>
      <c r="E235" t="s">
        <v>233</v>
      </c>
      <c r="F235">
        <v>1</v>
      </c>
      <c r="G235" s="386" t="s">
        <v>194</v>
      </c>
      <c r="H235" s="412" t="s">
        <v>193</v>
      </c>
      <c r="I235" t="s">
        <v>8330</v>
      </c>
      <c r="J235" t="s">
        <v>196</v>
      </c>
      <c r="K235">
        <v>18</v>
      </c>
      <c r="L235" t="s">
        <v>9261</v>
      </c>
      <c r="M235" t="s">
        <v>6921</v>
      </c>
      <c r="N235" t="s">
        <v>8332</v>
      </c>
      <c r="O235" t="s">
        <v>8306</v>
      </c>
      <c r="P235" t="s">
        <v>8378</v>
      </c>
      <c r="Q235">
        <v>2013856</v>
      </c>
      <c r="R235">
        <v>21283950</v>
      </c>
      <c r="U235" t="s">
        <v>9283</v>
      </c>
      <c r="V235" t="s">
        <v>194</v>
      </c>
      <c r="W235">
        <v>0</v>
      </c>
      <c r="Y235" t="s">
        <v>9262</v>
      </c>
      <c r="AE235" t="s">
        <v>9263</v>
      </c>
      <c r="AF235" t="s">
        <v>4714</v>
      </c>
      <c r="AG235" t="s">
        <v>9260</v>
      </c>
      <c r="AI235" t="s">
        <v>6955</v>
      </c>
      <c r="AJ235" s="409" t="str">
        <f t="shared" si="3"/>
        <v>251402</v>
      </c>
    </row>
    <row r="236" spans="1:36" hidden="1" x14ac:dyDescent="0.25">
      <c r="A236" t="s">
        <v>9037</v>
      </c>
      <c r="B236" t="s">
        <v>6835</v>
      </c>
      <c r="D236" t="s">
        <v>8320</v>
      </c>
      <c r="E236" t="s">
        <v>233</v>
      </c>
      <c r="F236">
        <v>1</v>
      </c>
      <c r="G236" s="386" t="s">
        <v>194</v>
      </c>
      <c r="H236" s="412" t="s">
        <v>193</v>
      </c>
      <c r="I236" t="s">
        <v>8330</v>
      </c>
      <c r="J236" t="s">
        <v>196</v>
      </c>
      <c r="K236">
        <v>18</v>
      </c>
      <c r="L236" t="s">
        <v>9264</v>
      </c>
      <c r="M236" t="s">
        <v>6256</v>
      </c>
      <c r="N236" t="s">
        <v>8332</v>
      </c>
      <c r="O236" t="s">
        <v>8306</v>
      </c>
      <c r="P236" t="s">
        <v>8378</v>
      </c>
      <c r="Q236">
        <v>2013997</v>
      </c>
      <c r="R236">
        <v>21284679</v>
      </c>
      <c r="U236" t="s">
        <v>9286</v>
      </c>
      <c r="V236" t="s">
        <v>194</v>
      </c>
      <c r="W236">
        <v>0</v>
      </c>
      <c r="X236" t="s">
        <v>9265</v>
      </c>
      <c r="Y236" t="s">
        <v>9266</v>
      </c>
      <c r="AE236" t="s">
        <v>9267</v>
      </c>
      <c r="AF236" t="s">
        <v>4714</v>
      </c>
      <c r="AG236" t="s">
        <v>6835</v>
      </c>
      <c r="AI236" t="s">
        <v>6955</v>
      </c>
      <c r="AJ236" s="409" t="str">
        <f t="shared" si="3"/>
        <v>931301</v>
      </c>
    </row>
    <row r="237" spans="1:36" hidden="1" x14ac:dyDescent="0.25">
      <c r="A237" t="s">
        <v>9037</v>
      </c>
      <c r="B237" t="s">
        <v>5611</v>
      </c>
      <c r="D237" t="s">
        <v>8320</v>
      </c>
      <c r="E237" t="s">
        <v>233</v>
      </c>
      <c r="F237">
        <v>1</v>
      </c>
      <c r="G237" s="386" t="s">
        <v>194</v>
      </c>
      <c r="H237" s="412" t="s">
        <v>193</v>
      </c>
      <c r="I237" t="s">
        <v>8330</v>
      </c>
      <c r="J237" t="s">
        <v>196</v>
      </c>
      <c r="K237">
        <v>18</v>
      </c>
      <c r="L237" t="s">
        <v>9268</v>
      </c>
      <c r="M237" t="s">
        <v>6256</v>
      </c>
      <c r="N237" t="s">
        <v>8332</v>
      </c>
      <c r="O237" t="s">
        <v>8306</v>
      </c>
      <c r="P237" t="s">
        <v>8378</v>
      </c>
      <c r="Q237">
        <v>2014013</v>
      </c>
      <c r="R237">
        <v>21284703</v>
      </c>
      <c r="U237" t="s">
        <v>9285</v>
      </c>
      <c r="V237" t="s">
        <v>194</v>
      </c>
      <c r="W237">
        <v>0</v>
      </c>
      <c r="X237" t="s">
        <v>9265</v>
      </c>
      <c r="Y237" t="s">
        <v>9269</v>
      </c>
      <c r="AE237" t="s">
        <v>9270</v>
      </c>
      <c r="AF237" t="s">
        <v>4714</v>
      </c>
      <c r="AG237" t="s">
        <v>5611</v>
      </c>
      <c r="AI237" t="s">
        <v>6955</v>
      </c>
      <c r="AJ237" s="409" t="str">
        <f t="shared" si="3"/>
        <v>712603</v>
      </c>
    </row>
    <row r="238" spans="1:36" hidden="1" x14ac:dyDescent="0.25">
      <c r="A238" t="s">
        <v>9037</v>
      </c>
      <c r="B238" t="s">
        <v>9271</v>
      </c>
      <c r="D238" t="s">
        <v>8320</v>
      </c>
      <c r="E238" t="s">
        <v>233</v>
      </c>
      <c r="F238">
        <v>1</v>
      </c>
      <c r="G238" s="386" t="s">
        <v>194</v>
      </c>
      <c r="H238" s="412" t="s">
        <v>193</v>
      </c>
      <c r="I238" t="s">
        <v>8330</v>
      </c>
      <c r="J238" t="s">
        <v>196</v>
      </c>
      <c r="K238">
        <v>18</v>
      </c>
      <c r="L238" t="s">
        <v>9272</v>
      </c>
      <c r="M238" t="s">
        <v>6256</v>
      </c>
      <c r="N238" t="s">
        <v>8332</v>
      </c>
      <c r="O238" t="s">
        <v>8306</v>
      </c>
      <c r="P238" t="s">
        <v>8378</v>
      </c>
      <c r="Q238">
        <v>2014029</v>
      </c>
      <c r="R238">
        <v>21284726</v>
      </c>
      <c r="U238" t="s">
        <v>9285</v>
      </c>
      <c r="V238" t="s">
        <v>194</v>
      </c>
      <c r="W238">
        <v>0</v>
      </c>
      <c r="X238" t="s">
        <v>9265</v>
      </c>
      <c r="Y238" t="s">
        <v>9273</v>
      </c>
      <c r="AE238" t="s">
        <v>9274</v>
      </c>
      <c r="AF238" t="s">
        <v>4714</v>
      </c>
      <c r="AG238" t="s">
        <v>9271</v>
      </c>
      <c r="AI238" t="s">
        <v>6955</v>
      </c>
      <c r="AJ238" s="409" t="str">
        <f>MID(U238,8,6)</f>
        <v>712603</v>
      </c>
    </row>
    <row r="239" spans="1:36" hidden="1" x14ac:dyDescent="0.25">
      <c r="F239">
        <f>SUM(F2:F238)</f>
        <v>242</v>
      </c>
    </row>
  </sheetData>
  <autoFilter ref="A1:AK239">
    <filterColumn colId="6">
      <filters>
        <filter val="zaznaczone"/>
      </filters>
    </filterColumn>
  </autoFilter>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N1025"/>
  <sheetViews>
    <sheetView zoomScale="80" zoomScaleNormal="80" workbookViewId="0"/>
  </sheetViews>
  <sheetFormatPr defaultRowHeight="15" x14ac:dyDescent="0.25"/>
  <cols>
    <col min="2" max="2" width="27.7109375" customWidth="1"/>
    <col min="3" max="3" width="35.42578125" customWidth="1"/>
    <col min="4" max="4" width="11.85546875" style="27" customWidth="1"/>
    <col min="6" max="6" width="9.140625" style="28"/>
    <col min="9" max="9" width="11.42578125" customWidth="1"/>
    <col min="20" max="20" width="9.140625" style="28"/>
    <col min="21" max="21" width="16.42578125" style="27" customWidth="1"/>
    <col min="36" max="36" width="9.140625" style="424"/>
    <col min="37" max="37" width="7.7109375" style="28" customWidth="1"/>
    <col min="38" max="39" width="9.140625" style="28"/>
    <col min="260" max="260" width="11.85546875" customWidth="1"/>
    <col min="292" max="292" width="6.7109375" customWidth="1"/>
    <col min="293" max="293" width="3.7109375" customWidth="1"/>
    <col min="516" max="516" width="11.85546875" customWidth="1"/>
    <col min="548" max="548" width="6.7109375" customWidth="1"/>
    <col min="549" max="549" width="3.7109375" customWidth="1"/>
    <col min="772" max="772" width="11.85546875" customWidth="1"/>
    <col min="804" max="804" width="6.7109375" customWidth="1"/>
    <col min="805" max="805" width="3.7109375" customWidth="1"/>
    <col min="1028" max="1028" width="11.85546875" customWidth="1"/>
    <col min="1060" max="1060" width="6.7109375" customWidth="1"/>
    <col min="1061" max="1061" width="3.7109375" customWidth="1"/>
    <col min="1284" max="1284" width="11.85546875" customWidth="1"/>
    <col min="1316" max="1316" width="6.7109375" customWidth="1"/>
    <col min="1317" max="1317" width="3.7109375" customWidth="1"/>
    <col min="1540" max="1540" width="11.85546875" customWidth="1"/>
    <col min="1572" max="1572" width="6.7109375" customWidth="1"/>
    <col min="1573" max="1573" width="3.7109375" customWidth="1"/>
    <col min="1796" max="1796" width="11.85546875" customWidth="1"/>
    <col min="1828" max="1828" width="6.7109375" customWidth="1"/>
    <col min="1829" max="1829" width="3.7109375" customWidth="1"/>
    <col min="2052" max="2052" width="11.85546875" customWidth="1"/>
    <col min="2084" max="2084" width="6.7109375" customWidth="1"/>
    <col min="2085" max="2085" width="3.7109375" customWidth="1"/>
    <col min="2308" max="2308" width="11.85546875" customWidth="1"/>
    <col min="2340" max="2340" width="6.7109375" customWidth="1"/>
    <col min="2341" max="2341" width="3.7109375" customWidth="1"/>
    <col min="2564" max="2564" width="11.85546875" customWidth="1"/>
    <col min="2596" max="2596" width="6.7109375" customWidth="1"/>
    <col min="2597" max="2597" width="3.7109375" customWidth="1"/>
    <col min="2820" max="2820" width="11.85546875" customWidth="1"/>
    <col min="2852" max="2852" width="6.7109375" customWidth="1"/>
    <col min="2853" max="2853" width="3.7109375" customWidth="1"/>
    <col min="3076" max="3076" width="11.85546875" customWidth="1"/>
    <col min="3108" max="3108" width="6.7109375" customWidth="1"/>
    <col min="3109" max="3109" width="3.7109375" customWidth="1"/>
    <col min="3332" max="3332" width="11.85546875" customWidth="1"/>
    <col min="3364" max="3364" width="6.7109375" customWidth="1"/>
    <col min="3365" max="3365" width="3.7109375" customWidth="1"/>
    <col min="3588" max="3588" width="11.85546875" customWidth="1"/>
    <col min="3620" max="3620" width="6.7109375" customWidth="1"/>
    <col min="3621" max="3621" width="3.7109375" customWidth="1"/>
    <col min="3844" max="3844" width="11.85546875" customWidth="1"/>
    <col min="3876" max="3876" width="6.7109375" customWidth="1"/>
    <col min="3877" max="3877" width="3.7109375" customWidth="1"/>
    <col min="4100" max="4100" width="11.85546875" customWidth="1"/>
    <col min="4132" max="4132" width="6.7109375" customWidth="1"/>
    <col min="4133" max="4133" width="3.7109375" customWidth="1"/>
    <col min="4356" max="4356" width="11.85546875" customWidth="1"/>
    <col min="4388" max="4388" width="6.7109375" customWidth="1"/>
    <col min="4389" max="4389" width="3.7109375" customWidth="1"/>
    <col min="4612" max="4612" width="11.85546875" customWidth="1"/>
    <col min="4644" max="4644" width="6.7109375" customWidth="1"/>
    <col min="4645" max="4645" width="3.7109375" customWidth="1"/>
    <col min="4868" max="4868" width="11.85546875" customWidth="1"/>
    <col min="4900" max="4900" width="6.7109375" customWidth="1"/>
    <col min="4901" max="4901" width="3.7109375" customWidth="1"/>
    <col min="5124" max="5124" width="11.85546875" customWidth="1"/>
    <col min="5156" max="5156" width="6.7109375" customWidth="1"/>
    <col min="5157" max="5157" width="3.7109375" customWidth="1"/>
    <col min="5380" max="5380" width="11.85546875" customWidth="1"/>
    <col min="5412" max="5412" width="6.7109375" customWidth="1"/>
    <col min="5413" max="5413" width="3.7109375" customWidth="1"/>
    <col min="5636" max="5636" width="11.85546875" customWidth="1"/>
    <col min="5668" max="5668" width="6.7109375" customWidth="1"/>
    <col min="5669" max="5669" width="3.7109375" customWidth="1"/>
    <col min="5892" max="5892" width="11.85546875" customWidth="1"/>
    <col min="5924" max="5924" width="6.7109375" customWidth="1"/>
    <col min="5925" max="5925" width="3.7109375" customWidth="1"/>
    <col min="6148" max="6148" width="11.85546875" customWidth="1"/>
    <col min="6180" max="6180" width="6.7109375" customWidth="1"/>
    <col min="6181" max="6181" width="3.7109375" customWidth="1"/>
    <col min="6404" max="6404" width="11.85546875" customWidth="1"/>
    <col min="6436" max="6436" width="6.7109375" customWidth="1"/>
    <col min="6437" max="6437" width="3.7109375" customWidth="1"/>
    <col min="6660" max="6660" width="11.85546875" customWidth="1"/>
    <col min="6692" max="6692" width="6.7109375" customWidth="1"/>
    <col min="6693" max="6693" width="3.7109375" customWidth="1"/>
    <col min="6916" max="6916" width="11.85546875" customWidth="1"/>
    <col min="6948" max="6948" width="6.7109375" customWidth="1"/>
    <col min="6949" max="6949" width="3.7109375" customWidth="1"/>
    <col min="7172" max="7172" width="11.85546875" customWidth="1"/>
    <col min="7204" max="7204" width="6.7109375" customWidth="1"/>
    <col min="7205" max="7205" width="3.7109375" customWidth="1"/>
    <col min="7428" max="7428" width="11.85546875" customWidth="1"/>
    <col min="7460" max="7460" width="6.7109375" customWidth="1"/>
    <col min="7461" max="7461" width="3.7109375" customWidth="1"/>
    <col min="7684" max="7684" width="11.85546875" customWidth="1"/>
    <col min="7716" max="7716" width="6.7109375" customWidth="1"/>
    <col min="7717" max="7717" width="3.7109375" customWidth="1"/>
    <col min="7940" max="7940" width="11.85546875" customWidth="1"/>
    <col min="7972" max="7972" width="6.7109375" customWidth="1"/>
    <col min="7973" max="7973" width="3.7109375" customWidth="1"/>
    <col min="8196" max="8196" width="11.85546875" customWidth="1"/>
    <col min="8228" max="8228" width="6.7109375" customWidth="1"/>
    <col min="8229" max="8229" width="3.7109375" customWidth="1"/>
    <col min="8452" max="8452" width="11.85546875" customWidth="1"/>
    <col min="8484" max="8484" width="6.7109375" customWidth="1"/>
    <col min="8485" max="8485" width="3.7109375" customWidth="1"/>
    <col min="8708" max="8708" width="11.85546875" customWidth="1"/>
    <col min="8740" max="8740" width="6.7109375" customWidth="1"/>
    <col min="8741" max="8741" width="3.7109375" customWidth="1"/>
    <col min="8964" max="8964" width="11.85546875" customWidth="1"/>
    <col min="8996" max="8996" width="6.7109375" customWidth="1"/>
    <col min="8997" max="8997" width="3.7109375" customWidth="1"/>
    <col min="9220" max="9220" width="11.85546875" customWidth="1"/>
    <col min="9252" max="9252" width="6.7109375" customWidth="1"/>
    <col min="9253" max="9253" width="3.7109375" customWidth="1"/>
    <col min="9476" max="9476" width="11.85546875" customWidth="1"/>
    <col min="9508" max="9508" width="6.7109375" customWidth="1"/>
    <col min="9509" max="9509" width="3.7109375" customWidth="1"/>
    <col min="9732" max="9732" width="11.85546875" customWidth="1"/>
    <col min="9764" max="9764" width="6.7109375" customWidth="1"/>
    <col min="9765" max="9765" width="3.7109375" customWidth="1"/>
    <col min="9988" max="9988" width="11.85546875" customWidth="1"/>
    <col min="10020" max="10020" width="6.7109375" customWidth="1"/>
    <col min="10021" max="10021" width="3.7109375" customWidth="1"/>
    <col min="10244" max="10244" width="11.85546875" customWidth="1"/>
    <col min="10276" max="10276" width="6.7109375" customWidth="1"/>
    <col min="10277" max="10277" width="3.7109375" customWidth="1"/>
    <col min="10500" max="10500" width="11.85546875" customWidth="1"/>
    <col min="10532" max="10532" width="6.7109375" customWidth="1"/>
    <col min="10533" max="10533" width="3.7109375" customWidth="1"/>
    <col min="10756" max="10756" width="11.85546875" customWidth="1"/>
    <col min="10788" max="10788" width="6.7109375" customWidth="1"/>
    <col min="10789" max="10789" width="3.7109375" customWidth="1"/>
    <col min="11012" max="11012" width="11.85546875" customWidth="1"/>
    <col min="11044" max="11044" width="6.7109375" customWidth="1"/>
    <col min="11045" max="11045" width="3.7109375" customWidth="1"/>
    <col min="11268" max="11268" width="11.85546875" customWidth="1"/>
    <col min="11300" max="11300" width="6.7109375" customWidth="1"/>
    <col min="11301" max="11301" width="3.7109375" customWidth="1"/>
    <col min="11524" max="11524" width="11.85546875" customWidth="1"/>
    <col min="11556" max="11556" width="6.7109375" customWidth="1"/>
    <col min="11557" max="11557" width="3.7109375" customWidth="1"/>
    <col min="11780" max="11780" width="11.85546875" customWidth="1"/>
    <col min="11812" max="11812" width="6.7109375" customWidth="1"/>
    <col min="11813" max="11813" width="3.7109375" customWidth="1"/>
    <col min="12036" max="12036" width="11.85546875" customWidth="1"/>
    <col min="12068" max="12068" width="6.7109375" customWidth="1"/>
    <col min="12069" max="12069" width="3.7109375" customWidth="1"/>
    <col min="12292" max="12292" width="11.85546875" customWidth="1"/>
    <col min="12324" max="12324" width="6.7109375" customWidth="1"/>
    <col min="12325" max="12325" width="3.7109375" customWidth="1"/>
    <col min="12548" max="12548" width="11.85546875" customWidth="1"/>
    <col min="12580" max="12580" width="6.7109375" customWidth="1"/>
    <col min="12581" max="12581" width="3.7109375" customWidth="1"/>
    <col min="12804" max="12804" width="11.85546875" customWidth="1"/>
    <col min="12836" max="12836" width="6.7109375" customWidth="1"/>
    <col min="12837" max="12837" width="3.7109375" customWidth="1"/>
    <col min="13060" max="13060" width="11.85546875" customWidth="1"/>
    <col min="13092" max="13092" width="6.7109375" customWidth="1"/>
    <col min="13093" max="13093" width="3.7109375" customWidth="1"/>
    <col min="13316" max="13316" width="11.85546875" customWidth="1"/>
    <col min="13348" max="13348" width="6.7109375" customWidth="1"/>
    <col min="13349" max="13349" width="3.7109375" customWidth="1"/>
    <col min="13572" max="13572" width="11.85546875" customWidth="1"/>
    <col min="13604" max="13604" width="6.7109375" customWidth="1"/>
    <col min="13605" max="13605" width="3.7109375" customWidth="1"/>
    <col min="13828" max="13828" width="11.85546875" customWidth="1"/>
    <col min="13860" max="13860" width="6.7109375" customWidth="1"/>
    <col min="13861" max="13861" width="3.7109375" customWidth="1"/>
    <col min="14084" max="14084" width="11.85546875" customWidth="1"/>
    <col min="14116" max="14116" width="6.7109375" customWidth="1"/>
    <col min="14117" max="14117" width="3.7109375" customWidth="1"/>
    <col min="14340" max="14340" width="11.85546875" customWidth="1"/>
    <col min="14372" max="14372" width="6.7109375" customWidth="1"/>
    <col min="14373" max="14373" width="3.7109375" customWidth="1"/>
    <col min="14596" max="14596" width="11.85546875" customWidth="1"/>
    <col min="14628" max="14628" width="6.7109375" customWidth="1"/>
    <col min="14629" max="14629" width="3.7109375" customWidth="1"/>
    <col min="14852" max="14852" width="11.85546875" customWidth="1"/>
    <col min="14884" max="14884" width="6.7109375" customWidth="1"/>
    <col min="14885" max="14885" width="3.7109375" customWidth="1"/>
    <col min="15108" max="15108" width="11.85546875" customWidth="1"/>
    <col min="15140" max="15140" width="6.7109375" customWidth="1"/>
    <col min="15141" max="15141" width="3.7109375" customWidth="1"/>
    <col min="15364" max="15364" width="11.85546875" customWidth="1"/>
    <col min="15396" max="15396" width="6.7109375" customWidth="1"/>
    <col min="15397" max="15397" width="3.7109375" customWidth="1"/>
    <col min="15620" max="15620" width="11.85546875" customWidth="1"/>
    <col min="15652" max="15652" width="6.7109375" customWidth="1"/>
    <col min="15653" max="15653" width="3.7109375" customWidth="1"/>
    <col min="15876" max="15876" width="11.85546875" customWidth="1"/>
    <col min="15908" max="15908" width="6.7109375" customWidth="1"/>
    <col min="15909" max="15909" width="3.7109375" customWidth="1"/>
    <col min="16132" max="16132" width="11.85546875" customWidth="1"/>
    <col min="16164" max="16164" width="6.7109375" customWidth="1"/>
    <col min="16165" max="16165" width="3.7109375" customWidth="1"/>
  </cols>
  <sheetData>
    <row r="1" spans="1:39" s="25" customFormat="1" ht="15.75" thickTop="1" x14ac:dyDescent="0.25">
      <c r="A1" s="418" t="s">
        <v>176</v>
      </c>
      <c r="B1" s="418" t="s">
        <v>177</v>
      </c>
      <c r="C1" s="418" t="s">
        <v>178</v>
      </c>
      <c r="D1" s="419" t="s">
        <v>179</v>
      </c>
      <c r="E1" s="418" t="s">
        <v>900</v>
      </c>
      <c r="F1" s="419" t="s">
        <v>181</v>
      </c>
      <c r="G1" s="418" t="s">
        <v>182</v>
      </c>
      <c r="H1" s="418" t="s">
        <v>183</v>
      </c>
      <c r="I1" s="418" t="s">
        <v>184</v>
      </c>
      <c r="J1" s="418" t="s">
        <v>185</v>
      </c>
      <c r="K1" s="418" t="s">
        <v>4700</v>
      </c>
      <c r="L1" s="418" t="s">
        <v>6391</v>
      </c>
      <c r="M1" s="418" t="s">
        <v>6930</v>
      </c>
      <c r="N1" s="418" t="s">
        <v>6931</v>
      </c>
      <c r="O1" s="418" t="s">
        <v>4701</v>
      </c>
      <c r="P1" s="418" t="s">
        <v>6932</v>
      </c>
      <c r="Q1" s="418" t="s">
        <v>6933</v>
      </c>
      <c r="R1" s="418" t="s">
        <v>1726</v>
      </c>
      <c r="S1" s="418" t="s">
        <v>186</v>
      </c>
      <c r="T1" s="419" t="s">
        <v>4702</v>
      </c>
      <c r="U1" s="419" t="s">
        <v>187</v>
      </c>
      <c r="V1" s="418" t="s">
        <v>6934</v>
      </c>
      <c r="W1" s="418" t="s">
        <v>4703</v>
      </c>
      <c r="X1" s="418" t="s">
        <v>6935</v>
      </c>
      <c r="Y1" s="418" t="s">
        <v>4704</v>
      </c>
      <c r="Z1" s="418" t="s">
        <v>6936</v>
      </c>
      <c r="AA1" s="418" t="s">
        <v>6937</v>
      </c>
      <c r="AB1" s="418" t="s">
        <v>6938</v>
      </c>
      <c r="AC1" s="418" t="s">
        <v>6939</v>
      </c>
      <c r="AD1" s="418" t="s">
        <v>6940</v>
      </c>
      <c r="AE1" s="418" t="s">
        <v>4705</v>
      </c>
      <c r="AF1" s="418" t="s">
        <v>4706</v>
      </c>
      <c r="AG1" s="418" t="s">
        <v>6941</v>
      </c>
      <c r="AH1" s="418" t="s">
        <v>6942</v>
      </c>
      <c r="AI1" s="418" t="s">
        <v>6943</v>
      </c>
      <c r="AJ1" s="423" t="s">
        <v>13058</v>
      </c>
      <c r="AK1" s="27" t="s">
        <v>13055</v>
      </c>
      <c r="AL1" s="27" t="s">
        <v>13056</v>
      </c>
      <c r="AM1" s="27" t="s">
        <v>13057</v>
      </c>
    </row>
    <row r="2" spans="1:39" x14ac:dyDescent="0.25">
      <c r="A2" t="s">
        <v>9297</v>
      </c>
      <c r="B2" t="s">
        <v>9298</v>
      </c>
      <c r="C2" t="s">
        <v>1766</v>
      </c>
      <c r="D2" s="27" t="s">
        <v>9299</v>
      </c>
      <c r="E2" t="s">
        <v>192</v>
      </c>
      <c r="F2" s="421">
        <v>1</v>
      </c>
      <c r="G2" t="s">
        <v>193</v>
      </c>
      <c r="H2" t="s">
        <v>194</v>
      </c>
      <c r="I2" t="s">
        <v>9301</v>
      </c>
      <c r="J2" t="s">
        <v>9302</v>
      </c>
      <c r="K2" t="s">
        <v>9303</v>
      </c>
      <c r="L2" t="s">
        <v>6261</v>
      </c>
      <c r="M2" t="s">
        <v>9304</v>
      </c>
      <c r="N2" t="s">
        <v>9305</v>
      </c>
      <c r="O2" t="s">
        <v>9306</v>
      </c>
      <c r="P2" t="s">
        <v>9307</v>
      </c>
      <c r="Q2" t="s">
        <v>9308</v>
      </c>
      <c r="S2" t="s">
        <v>9309</v>
      </c>
      <c r="U2" s="27" t="s">
        <v>1767</v>
      </c>
      <c r="V2" t="s">
        <v>193</v>
      </c>
      <c r="W2" t="s">
        <v>9310</v>
      </c>
      <c r="Z2" t="s">
        <v>9311</v>
      </c>
      <c r="AF2" t="s">
        <v>4714</v>
      </c>
      <c r="AG2" t="s">
        <v>9298</v>
      </c>
      <c r="AI2" t="s">
        <v>6955</v>
      </c>
      <c r="AJ2" s="424" t="str">
        <f t="shared" ref="AJ2:AJ65" si="0">MID(U2,8,6)</f>
        <v>242112</v>
      </c>
      <c r="AK2" s="28">
        <v>1</v>
      </c>
      <c r="AL2" s="421">
        <f>SUM(F2)</f>
        <v>1</v>
      </c>
      <c r="AM2" s="28" t="str">
        <f t="shared" ref="AM2:AM65" si="1">T(E2)</f>
        <v>pracuj.pl</v>
      </c>
    </row>
    <row r="3" spans="1:39" x14ac:dyDescent="0.25">
      <c r="A3" t="s">
        <v>9522</v>
      </c>
      <c r="B3" t="s">
        <v>9529</v>
      </c>
      <c r="C3" t="s">
        <v>82</v>
      </c>
      <c r="D3" s="27" t="s">
        <v>9299</v>
      </c>
      <c r="E3" t="s">
        <v>217</v>
      </c>
      <c r="F3" s="421">
        <v>1</v>
      </c>
      <c r="G3" t="s">
        <v>193</v>
      </c>
      <c r="H3" t="s">
        <v>194</v>
      </c>
      <c r="I3" t="s">
        <v>9491</v>
      </c>
      <c r="J3" t="s">
        <v>210</v>
      </c>
      <c r="K3" t="s">
        <v>9530</v>
      </c>
      <c r="L3" t="s">
        <v>6261</v>
      </c>
      <c r="M3" t="s">
        <v>9436</v>
      </c>
      <c r="N3" t="s">
        <v>9305</v>
      </c>
      <c r="O3" t="s">
        <v>9531</v>
      </c>
      <c r="P3" t="s">
        <v>9532</v>
      </c>
      <c r="Q3" t="s">
        <v>9533</v>
      </c>
      <c r="S3" t="s">
        <v>9309</v>
      </c>
      <c r="T3" s="28" t="s">
        <v>9334</v>
      </c>
      <c r="U3" s="27" t="s">
        <v>504</v>
      </c>
      <c r="V3" t="s">
        <v>194</v>
      </c>
      <c r="W3" t="s">
        <v>9300</v>
      </c>
      <c r="Z3" t="s">
        <v>9311</v>
      </c>
      <c r="AF3" t="s">
        <v>4714</v>
      </c>
      <c r="AG3" t="s">
        <v>9433</v>
      </c>
      <c r="AI3" t="s">
        <v>6955</v>
      </c>
      <c r="AJ3" s="424" t="str">
        <f t="shared" si="0"/>
        <v>252101</v>
      </c>
      <c r="AK3" s="28">
        <v>1</v>
      </c>
      <c r="AL3" s="28">
        <f t="shared" ref="AL3:AL66" si="2">SUM(F3)</f>
        <v>1</v>
      </c>
      <c r="AM3" s="28" t="str">
        <f t="shared" si="1"/>
        <v>agora</v>
      </c>
    </row>
    <row r="4" spans="1:39" x14ac:dyDescent="0.25">
      <c r="A4" t="s">
        <v>9522</v>
      </c>
      <c r="B4" t="s">
        <v>9529</v>
      </c>
      <c r="C4" t="s">
        <v>82</v>
      </c>
      <c r="D4" s="27" t="s">
        <v>9299</v>
      </c>
      <c r="E4" t="s">
        <v>217</v>
      </c>
      <c r="F4" s="421">
        <v>1</v>
      </c>
      <c r="G4" t="s">
        <v>193</v>
      </c>
      <c r="H4" t="s">
        <v>194</v>
      </c>
      <c r="I4" t="s">
        <v>9491</v>
      </c>
      <c r="J4" t="s">
        <v>9534</v>
      </c>
      <c r="K4" t="s">
        <v>9535</v>
      </c>
      <c r="L4" t="s">
        <v>6921</v>
      </c>
      <c r="M4" t="s">
        <v>9428</v>
      </c>
      <c r="N4" t="s">
        <v>9536</v>
      </c>
      <c r="O4" t="s">
        <v>9537</v>
      </c>
      <c r="P4" t="s">
        <v>9538</v>
      </c>
      <c r="Q4" t="s">
        <v>9539</v>
      </c>
      <c r="S4" t="s">
        <v>9309</v>
      </c>
      <c r="U4" s="27" t="s">
        <v>504</v>
      </c>
      <c r="V4" t="s">
        <v>193</v>
      </c>
      <c r="W4" t="s">
        <v>9310</v>
      </c>
      <c r="Z4" t="s">
        <v>9311</v>
      </c>
      <c r="AF4" t="s">
        <v>4714</v>
      </c>
      <c r="AG4" t="s">
        <v>9433</v>
      </c>
      <c r="AI4" t="s">
        <v>6955</v>
      </c>
      <c r="AJ4" s="424" t="str">
        <f t="shared" si="0"/>
        <v>252101</v>
      </c>
      <c r="AK4" s="28">
        <v>1</v>
      </c>
      <c r="AL4" s="28">
        <f t="shared" si="2"/>
        <v>1</v>
      </c>
      <c r="AM4" s="28" t="str">
        <f t="shared" si="1"/>
        <v>agora</v>
      </c>
    </row>
    <row r="5" spans="1:39" x14ac:dyDescent="0.25">
      <c r="A5" t="s">
        <v>9522</v>
      </c>
      <c r="B5" t="s">
        <v>9529</v>
      </c>
      <c r="C5" t="s">
        <v>82</v>
      </c>
      <c r="D5" s="27" t="s">
        <v>9299</v>
      </c>
      <c r="E5" t="s">
        <v>217</v>
      </c>
      <c r="F5" s="421">
        <v>1</v>
      </c>
      <c r="G5" t="s">
        <v>193</v>
      </c>
      <c r="H5" t="s">
        <v>194</v>
      </c>
      <c r="I5" t="s">
        <v>9491</v>
      </c>
      <c r="J5" t="s">
        <v>210</v>
      </c>
      <c r="K5" t="s">
        <v>9540</v>
      </c>
      <c r="L5" t="s">
        <v>6261</v>
      </c>
      <c r="M5" t="s">
        <v>9428</v>
      </c>
      <c r="N5" t="s">
        <v>9541</v>
      </c>
      <c r="O5" t="s">
        <v>9542</v>
      </c>
      <c r="P5" t="s">
        <v>9543</v>
      </c>
      <c r="Q5" t="s">
        <v>9544</v>
      </c>
      <c r="S5" t="s">
        <v>9309</v>
      </c>
      <c r="T5" s="28" t="s">
        <v>9334</v>
      </c>
      <c r="U5" s="27" t="s">
        <v>504</v>
      </c>
      <c r="V5" t="s">
        <v>194</v>
      </c>
      <c r="W5" t="s">
        <v>9300</v>
      </c>
      <c r="Z5" t="s">
        <v>9311</v>
      </c>
      <c r="AF5" t="s">
        <v>4714</v>
      </c>
      <c r="AG5" t="s">
        <v>9433</v>
      </c>
      <c r="AI5" t="s">
        <v>6955</v>
      </c>
      <c r="AJ5" s="424" t="str">
        <f t="shared" si="0"/>
        <v>252101</v>
      </c>
      <c r="AK5" s="28">
        <v>1</v>
      </c>
      <c r="AL5" s="28">
        <f t="shared" si="2"/>
        <v>1</v>
      </c>
      <c r="AM5" s="28" t="str">
        <f t="shared" si="1"/>
        <v>agora</v>
      </c>
    </row>
    <row r="6" spans="1:39" x14ac:dyDescent="0.25">
      <c r="A6" t="s">
        <v>9522</v>
      </c>
      <c r="B6" t="s">
        <v>9591</v>
      </c>
      <c r="C6" t="s">
        <v>82</v>
      </c>
      <c r="D6" s="27" t="s">
        <v>9299</v>
      </c>
      <c r="E6" t="s">
        <v>217</v>
      </c>
      <c r="F6" s="421">
        <v>1</v>
      </c>
      <c r="G6" t="s">
        <v>193</v>
      </c>
      <c r="H6" t="s">
        <v>194</v>
      </c>
      <c r="I6" t="s">
        <v>9491</v>
      </c>
      <c r="J6" t="s">
        <v>210</v>
      </c>
      <c r="K6" t="s">
        <v>9592</v>
      </c>
      <c r="L6" t="s">
        <v>6921</v>
      </c>
      <c r="M6" t="s">
        <v>9436</v>
      </c>
      <c r="N6" t="s">
        <v>9305</v>
      </c>
      <c r="O6" t="s">
        <v>9531</v>
      </c>
      <c r="P6" t="s">
        <v>9593</v>
      </c>
      <c r="Q6" t="s">
        <v>9594</v>
      </c>
      <c r="S6" t="s">
        <v>9309</v>
      </c>
      <c r="T6" s="28" t="s">
        <v>9334</v>
      </c>
      <c r="U6" s="27" t="s">
        <v>504</v>
      </c>
      <c r="V6" t="s">
        <v>194</v>
      </c>
      <c r="W6" t="s">
        <v>9300</v>
      </c>
      <c r="Z6" t="s">
        <v>9311</v>
      </c>
      <c r="AF6" t="s">
        <v>4714</v>
      </c>
      <c r="AG6" t="s">
        <v>9433</v>
      </c>
      <c r="AI6" t="s">
        <v>6955</v>
      </c>
      <c r="AJ6" s="424" t="str">
        <f t="shared" si="0"/>
        <v>252101</v>
      </c>
      <c r="AK6" s="28">
        <v>1</v>
      </c>
      <c r="AL6" s="28">
        <f t="shared" si="2"/>
        <v>1</v>
      </c>
      <c r="AM6" s="28" t="str">
        <f t="shared" si="1"/>
        <v>agora</v>
      </c>
    </row>
    <row r="7" spans="1:39" x14ac:dyDescent="0.25">
      <c r="A7" t="s">
        <v>919</v>
      </c>
      <c r="B7" t="s">
        <v>9330</v>
      </c>
      <c r="C7" t="s">
        <v>4966</v>
      </c>
      <c r="D7" s="27" t="s">
        <v>9299</v>
      </c>
      <c r="E7" t="s">
        <v>192</v>
      </c>
      <c r="F7" s="421">
        <v>1</v>
      </c>
      <c r="G7" t="s">
        <v>193</v>
      </c>
      <c r="H7" t="s">
        <v>194</v>
      </c>
      <c r="I7" t="s">
        <v>9301</v>
      </c>
      <c r="J7" t="s">
        <v>210</v>
      </c>
      <c r="K7" t="s">
        <v>9331</v>
      </c>
      <c r="L7" t="s">
        <v>7531</v>
      </c>
      <c r="M7" t="s">
        <v>9304</v>
      </c>
      <c r="N7" t="s">
        <v>9305</v>
      </c>
      <c r="O7" t="s">
        <v>9306</v>
      </c>
      <c r="P7" t="s">
        <v>9332</v>
      </c>
      <c r="Q7" t="s">
        <v>9333</v>
      </c>
      <c r="S7" t="s">
        <v>9309</v>
      </c>
      <c r="T7" s="28" t="s">
        <v>9334</v>
      </c>
      <c r="U7" s="27" t="s">
        <v>405</v>
      </c>
      <c r="V7" t="s">
        <v>194</v>
      </c>
      <c r="W7" t="s">
        <v>9300</v>
      </c>
      <c r="Z7" t="s">
        <v>9311</v>
      </c>
      <c r="AF7" t="s">
        <v>4714</v>
      </c>
      <c r="AG7" t="s">
        <v>9330</v>
      </c>
      <c r="AI7" t="s">
        <v>6955</v>
      </c>
      <c r="AJ7" s="424" t="str">
        <f t="shared" si="0"/>
        <v>241304</v>
      </c>
      <c r="AK7" s="28">
        <v>1</v>
      </c>
      <c r="AL7" s="421">
        <f t="shared" si="2"/>
        <v>1</v>
      </c>
      <c r="AM7" s="28" t="str">
        <f t="shared" si="1"/>
        <v>pracuj.pl</v>
      </c>
    </row>
    <row r="8" spans="1:39" x14ac:dyDescent="0.25">
      <c r="A8" t="s">
        <v>1639</v>
      </c>
      <c r="B8" t="s">
        <v>9335</v>
      </c>
      <c r="C8" t="s">
        <v>1766</v>
      </c>
      <c r="D8" s="27" t="s">
        <v>9299</v>
      </c>
      <c r="E8" t="s">
        <v>192</v>
      </c>
      <c r="F8" s="421">
        <v>1</v>
      </c>
      <c r="G8" t="s">
        <v>193</v>
      </c>
      <c r="H8" t="s">
        <v>194</v>
      </c>
      <c r="I8" t="s">
        <v>9301</v>
      </c>
      <c r="J8" t="s">
        <v>210</v>
      </c>
      <c r="K8" t="s">
        <v>9336</v>
      </c>
      <c r="L8" t="s">
        <v>6261</v>
      </c>
      <c r="M8" t="s">
        <v>9304</v>
      </c>
      <c r="N8" t="s">
        <v>9305</v>
      </c>
      <c r="O8" t="s">
        <v>9306</v>
      </c>
      <c r="P8" t="s">
        <v>9337</v>
      </c>
      <c r="Q8" t="s">
        <v>9338</v>
      </c>
      <c r="S8" t="s">
        <v>9309</v>
      </c>
      <c r="T8" s="28" t="s">
        <v>9334</v>
      </c>
      <c r="U8" s="27" t="s">
        <v>1767</v>
      </c>
      <c r="V8" t="s">
        <v>194</v>
      </c>
      <c r="W8" t="s">
        <v>9300</v>
      </c>
      <c r="Z8" t="s">
        <v>9311</v>
      </c>
      <c r="AF8" t="s">
        <v>4714</v>
      </c>
      <c r="AG8" t="s">
        <v>9335</v>
      </c>
      <c r="AI8" t="s">
        <v>6955</v>
      </c>
      <c r="AJ8" s="424" t="str">
        <f t="shared" si="0"/>
        <v>242112</v>
      </c>
      <c r="AK8" s="28">
        <v>1</v>
      </c>
      <c r="AL8" s="28">
        <f t="shared" si="2"/>
        <v>1</v>
      </c>
      <c r="AM8" s="28" t="str">
        <f t="shared" si="1"/>
        <v>pracuj.pl</v>
      </c>
    </row>
    <row r="9" spans="1:39" x14ac:dyDescent="0.25">
      <c r="A9" t="s">
        <v>9522</v>
      </c>
      <c r="B9" t="s">
        <v>9591</v>
      </c>
      <c r="C9" t="s">
        <v>82</v>
      </c>
      <c r="D9" s="27" t="s">
        <v>9299</v>
      </c>
      <c r="E9" t="s">
        <v>217</v>
      </c>
      <c r="F9" s="421">
        <v>1</v>
      </c>
      <c r="G9" t="s">
        <v>193</v>
      </c>
      <c r="H9" t="s">
        <v>194</v>
      </c>
      <c r="I9" t="s">
        <v>9491</v>
      </c>
      <c r="J9" t="s">
        <v>210</v>
      </c>
      <c r="K9" t="s">
        <v>9595</v>
      </c>
      <c r="L9" t="s">
        <v>6921</v>
      </c>
      <c r="M9" t="s">
        <v>9436</v>
      </c>
      <c r="N9" t="s">
        <v>9553</v>
      </c>
      <c r="O9" t="s">
        <v>9557</v>
      </c>
      <c r="P9" t="s">
        <v>9596</v>
      </c>
      <c r="Q9" t="s">
        <v>9597</v>
      </c>
      <c r="S9" t="s">
        <v>9309</v>
      </c>
      <c r="T9" s="28" t="s">
        <v>9334</v>
      </c>
      <c r="U9" s="27" t="s">
        <v>504</v>
      </c>
      <c r="V9" t="s">
        <v>194</v>
      </c>
      <c r="W9" t="s">
        <v>9300</v>
      </c>
      <c r="Z9" t="s">
        <v>9311</v>
      </c>
      <c r="AF9" t="s">
        <v>4714</v>
      </c>
      <c r="AG9" t="s">
        <v>9433</v>
      </c>
      <c r="AI9" t="s">
        <v>6955</v>
      </c>
      <c r="AJ9" s="424" t="str">
        <f t="shared" si="0"/>
        <v>252101</v>
      </c>
      <c r="AK9" s="28">
        <v>1</v>
      </c>
      <c r="AL9" s="28">
        <f t="shared" si="2"/>
        <v>1</v>
      </c>
      <c r="AM9" s="28" t="str">
        <f t="shared" si="1"/>
        <v>agora</v>
      </c>
    </row>
    <row r="10" spans="1:39" x14ac:dyDescent="0.25">
      <c r="A10" t="s">
        <v>9522</v>
      </c>
      <c r="B10" t="s">
        <v>9591</v>
      </c>
      <c r="C10" t="s">
        <v>82</v>
      </c>
      <c r="D10" s="27" t="s">
        <v>9299</v>
      </c>
      <c r="E10" t="s">
        <v>217</v>
      </c>
      <c r="F10" s="421">
        <v>1</v>
      </c>
      <c r="G10" t="s">
        <v>193</v>
      </c>
      <c r="H10" t="s">
        <v>194</v>
      </c>
      <c r="I10" t="s">
        <v>9491</v>
      </c>
      <c r="J10" t="s">
        <v>210</v>
      </c>
      <c r="K10" t="s">
        <v>9598</v>
      </c>
      <c r="L10" t="s">
        <v>6921</v>
      </c>
      <c r="M10" t="s">
        <v>9428</v>
      </c>
      <c r="N10" t="s">
        <v>9342</v>
      </c>
      <c r="O10" t="s">
        <v>9537</v>
      </c>
      <c r="P10" t="s">
        <v>9599</v>
      </c>
      <c r="Q10" t="s">
        <v>9600</v>
      </c>
      <c r="S10" t="s">
        <v>9309</v>
      </c>
      <c r="T10" s="28" t="s">
        <v>9334</v>
      </c>
      <c r="U10" s="27" t="s">
        <v>504</v>
      </c>
      <c r="V10" t="s">
        <v>194</v>
      </c>
      <c r="W10" t="s">
        <v>9300</v>
      </c>
      <c r="Z10" t="s">
        <v>9311</v>
      </c>
      <c r="AF10" t="s">
        <v>4714</v>
      </c>
      <c r="AG10" t="s">
        <v>9433</v>
      </c>
      <c r="AI10" t="s">
        <v>6955</v>
      </c>
      <c r="AJ10" s="424" t="str">
        <f t="shared" si="0"/>
        <v>252101</v>
      </c>
      <c r="AK10" s="28">
        <v>1</v>
      </c>
      <c r="AL10" s="28">
        <f t="shared" si="2"/>
        <v>1</v>
      </c>
      <c r="AM10" s="28" t="str">
        <f t="shared" si="1"/>
        <v>agora</v>
      </c>
    </row>
    <row r="11" spans="1:39" x14ac:dyDescent="0.25">
      <c r="A11" t="s">
        <v>4352</v>
      </c>
      <c r="B11" t="s">
        <v>2670</v>
      </c>
      <c r="C11" t="s">
        <v>166</v>
      </c>
      <c r="D11" s="27" t="s">
        <v>9299</v>
      </c>
      <c r="E11" t="s">
        <v>192</v>
      </c>
      <c r="F11" s="421">
        <v>1</v>
      </c>
      <c r="G11" t="s">
        <v>193</v>
      </c>
      <c r="H11" t="s">
        <v>194</v>
      </c>
      <c r="I11" t="s">
        <v>9351</v>
      </c>
      <c r="J11" t="s">
        <v>210</v>
      </c>
      <c r="K11" t="s">
        <v>9352</v>
      </c>
      <c r="L11" t="s">
        <v>6245</v>
      </c>
      <c r="M11" t="s">
        <v>9304</v>
      </c>
      <c r="N11" t="s">
        <v>9305</v>
      </c>
      <c r="O11" t="s">
        <v>9306</v>
      </c>
      <c r="P11" t="s">
        <v>9353</v>
      </c>
      <c r="Q11" t="s">
        <v>9354</v>
      </c>
      <c r="S11" t="s">
        <v>9309</v>
      </c>
      <c r="T11" s="28" t="s">
        <v>9334</v>
      </c>
      <c r="U11" s="27" t="s">
        <v>580</v>
      </c>
      <c r="V11" t="s">
        <v>194</v>
      </c>
      <c r="W11" t="s">
        <v>9300</v>
      </c>
      <c r="Z11" t="s">
        <v>9311</v>
      </c>
      <c r="AF11" t="s">
        <v>4714</v>
      </c>
      <c r="AG11" t="s">
        <v>2670</v>
      </c>
      <c r="AI11" t="s">
        <v>6955</v>
      </c>
      <c r="AJ11" s="424" t="str">
        <f t="shared" si="0"/>
        <v>311513</v>
      </c>
      <c r="AK11" s="28">
        <v>1</v>
      </c>
      <c r="AL11" s="28">
        <f t="shared" si="2"/>
        <v>1</v>
      </c>
      <c r="AM11" s="28" t="str">
        <f t="shared" si="1"/>
        <v>pracuj.pl</v>
      </c>
    </row>
    <row r="12" spans="1:39" x14ac:dyDescent="0.25">
      <c r="A12" t="s">
        <v>4417</v>
      </c>
      <c r="B12" t="s">
        <v>9355</v>
      </c>
      <c r="C12" t="s">
        <v>101</v>
      </c>
      <c r="D12" s="27" t="s">
        <v>9299</v>
      </c>
      <c r="E12" t="s">
        <v>192</v>
      </c>
      <c r="F12" s="421">
        <v>1</v>
      </c>
      <c r="G12" t="s">
        <v>193</v>
      </c>
      <c r="H12" t="s">
        <v>194</v>
      </c>
      <c r="I12" t="s">
        <v>9356</v>
      </c>
      <c r="J12" t="s">
        <v>210</v>
      </c>
      <c r="K12" t="s">
        <v>9357</v>
      </c>
      <c r="L12" t="s">
        <v>7406</v>
      </c>
      <c r="M12" t="s">
        <v>9304</v>
      </c>
      <c r="N12" t="s">
        <v>9305</v>
      </c>
      <c r="O12" t="s">
        <v>9306</v>
      </c>
      <c r="P12" t="s">
        <v>9358</v>
      </c>
      <c r="Q12" t="s">
        <v>9359</v>
      </c>
      <c r="S12" t="s">
        <v>9309</v>
      </c>
      <c r="T12" s="28" t="s">
        <v>9334</v>
      </c>
      <c r="U12" s="27" t="s">
        <v>519</v>
      </c>
      <c r="V12" t="s">
        <v>194</v>
      </c>
      <c r="W12" t="s">
        <v>9300</v>
      </c>
      <c r="Z12" t="s">
        <v>9311</v>
      </c>
      <c r="AF12" t="s">
        <v>4714</v>
      </c>
      <c r="AG12" t="s">
        <v>9355</v>
      </c>
      <c r="AI12" t="s">
        <v>6955</v>
      </c>
      <c r="AJ12" s="424" t="str">
        <f t="shared" si="0"/>
        <v>261103</v>
      </c>
      <c r="AK12" s="28">
        <v>1</v>
      </c>
      <c r="AL12" s="28">
        <f t="shared" si="2"/>
        <v>1</v>
      </c>
      <c r="AM12" s="28" t="str">
        <f t="shared" si="1"/>
        <v>pracuj.pl</v>
      </c>
    </row>
    <row r="13" spans="1:39" x14ac:dyDescent="0.25">
      <c r="A13" t="s">
        <v>9522</v>
      </c>
      <c r="B13" t="s">
        <v>9607</v>
      </c>
      <c r="C13" t="s">
        <v>82</v>
      </c>
      <c r="D13" s="27" t="s">
        <v>9299</v>
      </c>
      <c r="E13" t="s">
        <v>217</v>
      </c>
      <c r="F13" s="421">
        <v>1</v>
      </c>
      <c r="G13" t="s">
        <v>193</v>
      </c>
      <c r="H13" t="s">
        <v>194</v>
      </c>
      <c r="I13" t="s">
        <v>9491</v>
      </c>
      <c r="J13" t="s">
        <v>210</v>
      </c>
      <c r="K13" t="s">
        <v>9608</v>
      </c>
      <c r="L13" t="s">
        <v>6921</v>
      </c>
      <c r="M13" t="s">
        <v>9436</v>
      </c>
      <c r="N13" t="s">
        <v>9342</v>
      </c>
      <c r="O13" t="s">
        <v>9542</v>
      </c>
      <c r="P13" t="s">
        <v>9609</v>
      </c>
      <c r="Q13" t="s">
        <v>9610</v>
      </c>
      <c r="S13" t="s">
        <v>9309</v>
      </c>
      <c r="T13" s="28" t="s">
        <v>9334</v>
      </c>
      <c r="U13" s="27" t="s">
        <v>504</v>
      </c>
      <c r="V13" t="s">
        <v>194</v>
      </c>
      <c r="W13" t="s">
        <v>9300</v>
      </c>
      <c r="Z13" t="s">
        <v>9311</v>
      </c>
      <c r="AF13" t="s">
        <v>4714</v>
      </c>
      <c r="AG13" t="s">
        <v>9433</v>
      </c>
      <c r="AI13" t="s">
        <v>6955</v>
      </c>
      <c r="AJ13" s="424" t="str">
        <f t="shared" si="0"/>
        <v>252101</v>
      </c>
      <c r="AK13" s="28">
        <v>1</v>
      </c>
      <c r="AL13" s="28">
        <f t="shared" si="2"/>
        <v>1</v>
      </c>
      <c r="AM13" s="28" t="str">
        <f t="shared" si="1"/>
        <v>agora</v>
      </c>
    </row>
    <row r="14" spans="1:39" x14ac:dyDescent="0.25">
      <c r="A14" t="s">
        <v>1597</v>
      </c>
      <c r="B14" t="s">
        <v>428</v>
      </c>
      <c r="C14" t="s">
        <v>100</v>
      </c>
      <c r="D14" s="27" t="s">
        <v>9299</v>
      </c>
      <c r="E14" t="s">
        <v>192</v>
      </c>
      <c r="F14" s="421">
        <v>1</v>
      </c>
      <c r="G14" t="s">
        <v>193</v>
      </c>
      <c r="H14" t="s">
        <v>194</v>
      </c>
      <c r="I14" t="s">
        <v>9301</v>
      </c>
      <c r="J14" t="s">
        <v>1599</v>
      </c>
      <c r="K14" t="s">
        <v>9364</v>
      </c>
      <c r="L14" t="s">
        <v>6266</v>
      </c>
      <c r="M14" t="s">
        <v>9304</v>
      </c>
      <c r="N14" t="s">
        <v>9305</v>
      </c>
      <c r="O14" t="s">
        <v>9306</v>
      </c>
      <c r="P14" t="s">
        <v>9365</v>
      </c>
      <c r="Q14" t="s">
        <v>9366</v>
      </c>
      <c r="S14" t="s">
        <v>9309</v>
      </c>
      <c r="T14" s="28" t="s">
        <v>9367</v>
      </c>
      <c r="U14" s="27" t="s">
        <v>429</v>
      </c>
      <c r="V14" t="s">
        <v>194</v>
      </c>
      <c r="W14" t="s">
        <v>9300</v>
      </c>
      <c r="Z14" t="s">
        <v>9311</v>
      </c>
      <c r="AF14" t="s">
        <v>4714</v>
      </c>
      <c r="AG14" t="s">
        <v>428</v>
      </c>
      <c r="AI14" t="s">
        <v>6955</v>
      </c>
      <c r="AJ14" s="424" t="str">
        <f t="shared" si="0"/>
        <v>242108</v>
      </c>
      <c r="AK14" s="28">
        <v>1</v>
      </c>
      <c r="AL14" s="28">
        <f t="shared" si="2"/>
        <v>1</v>
      </c>
      <c r="AM14" s="28" t="str">
        <f t="shared" si="1"/>
        <v>pracuj.pl</v>
      </c>
    </row>
    <row r="15" spans="1:39" x14ac:dyDescent="0.25">
      <c r="A15" t="s">
        <v>9368</v>
      </c>
      <c r="B15" t="s">
        <v>6420</v>
      </c>
      <c r="C15" t="s">
        <v>7663</v>
      </c>
      <c r="D15" s="27" t="s">
        <v>9299</v>
      </c>
      <c r="E15" t="s">
        <v>192</v>
      </c>
      <c r="F15" s="421">
        <v>1</v>
      </c>
      <c r="G15" t="s">
        <v>193</v>
      </c>
      <c r="H15" t="s">
        <v>194</v>
      </c>
      <c r="I15" t="s">
        <v>9369</v>
      </c>
      <c r="J15" t="s">
        <v>210</v>
      </c>
      <c r="K15" t="s">
        <v>9370</v>
      </c>
      <c r="L15" t="s">
        <v>6245</v>
      </c>
      <c r="M15" t="s">
        <v>9304</v>
      </c>
      <c r="N15" t="s">
        <v>9305</v>
      </c>
      <c r="O15" t="s">
        <v>9306</v>
      </c>
      <c r="P15" t="s">
        <v>9371</v>
      </c>
      <c r="Q15" t="s">
        <v>9372</v>
      </c>
      <c r="S15" t="s">
        <v>9309</v>
      </c>
      <c r="T15" s="28" t="s">
        <v>9334</v>
      </c>
      <c r="U15" s="27" t="s">
        <v>679</v>
      </c>
      <c r="V15" t="s">
        <v>194</v>
      </c>
      <c r="W15" t="s">
        <v>9300</v>
      </c>
      <c r="Z15" t="s">
        <v>9311</v>
      </c>
      <c r="AF15" t="s">
        <v>4714</v>
      </c>
      <c r="AG15" t="s">
        <v>6420</v>
      </c>
      <c r="AI15" t="s">
        <v>6955</v>
      </c>
      <c r="AJ15" s="424" t="str">
        <f t="shared" si="0"/>
        <v>333404</v>
      </c>
      <c r="AK15" s="28">
        <v>1</v>
      </c>
      <c r="AL15" s="28">
        <f t="shared" si="2"/>
        <v>1</v>
      </c>
      <c r="AM15" s="28" t="str">
        <f t="shared" si="1"/>
        <v>pracuj.pl</v>
      </c>
    </row>
    <row r="16" spans="1:39" x14ac:dyDescent="0.25">
      <c r="A16" t="s">
        <v>9522</v>
      </c>
      <c r="B16" t="s">
        <v>9607</v>
      </c>
      <c r="C16" t="s">
        <v>82</v>
      </c>
      <c r="D16" s="27" t="s">
        <v>9299</v>
      </c>
      <c r="E16" t="s">
        <v>217</v>
      </c>
      <c r="F16" s="421">
        <v>1</v>
      </c>
      <c r="G16" t="s">
        <v>193</v>
      </c>
      <c r="H16" t="s">
        <v>194</v>
      </c>
      <c r="I16" t="s">
        <v>9491</v>
      </c>
      <c r="J16" t="s">
        <v>210</v>
      </c>
      <c r="K16" t="s">
        <v>9611</v>
      </c>
      <c r="L16" t="s">
        <v>6921</v>
      </c>
      <c r="M16" t="s">
        <v>9428</v>
      </c>
      <c r="N16" t="s">
        <v>9553</v>
      </c>
      <c r="O16" t="s">
        <v>9537</v>
      </c>
      <c r="P16" t="s">
        <v>9612</v>
      </c>
      <c r="Q16" t="s">
        <v>9613</v>
      </c>
      <c r="S16" t="s">
        <v>9309</v>
      </c>
      <c r="T16" s="28" t="s">
        <v>9334</v>
      </c>
      <c r="U16" s="27" t="s">
        <v>504</v>
      </c>
      <c r="V16" t="s">
        <v>194</v>
      </c>
      <c r="W16" t="s">
        <v>9300</v>
      </c>
      <c r="Z16" t="s">
        <v>9311</v>
      </c>
      <c r="AF16" t="s">
        <v>4714</v>
      </c>
      <c r="AG16" t="s">
        <v>9433</v>
      </c>
      <c r="AI16" t="s">
        <v>6955</v>
      </c>
      <c r="AJ16" s="424" t="str">
        <f t="shared" si="0"/>
        <v>252101</v>
      </c>
      <c r="AK16" s="28">
        <v>1</v>
      </c>
      <c r="AL16" s="28">
        <f t="shared" si="2"/>
        <v>1</v>
      </c>
      <c r="AM16" s="28" t="str">
        <f t="shared" si="1"/>
        <v>agora</v>
      </c>
    </row>
    <row r="17" spans="1:39" x14ac:dyDescent="0.25">
      <c r="A17" t="s">
        <v>9373</v>
      </c>
      <c r="B17" t="s">
        <v>1055</v>
      </c>
      <c r="C17" t="s">
        <v>9377</v>
      </c>
      <c r="D17" s="27" t="s">
        <v>9299</v>
      </c>
      <c r="E17" t="s">
        <v>192</v>
      </c>
      <c r="F17" s="421">
        <v>1</v>
      </c>
      <c r="G17" t="s">
        <v>193</v>
      </c>
      <c r="H17" t="s">
        <v>194</v>
      </c>
      <c r="I17" t="s">
        <v>9356</v>
      </c>
      <c r="J17" t="s">
        <v>9302</v>
      </c>
      <c r="K17" t="s">
        <v>9378</v>
      </c>
      <c r="L17" t="s">
        <v>6286</v>
      </c>
      <c r="M17" t="s">
        <v>9304</v>
      </c>
      <c r="N17" t="s">
        <v>9305</v>
      </c>
      <c r="O17" t="s">
        <v>9306</v>
      </c>
      <c r="P17" t="s">
        <v>9379</v>
      </c>
      <c r="Q17" t="s">
        <v>9380</v>
      </c>
      <c r="S17" t="s">
        <v>9309</v>
      </c>
      <c r="U17" s="27" t="s">
        <v>9381</v>
      </c>
      <c r="V17" t="s">
        <v>193</v>
      </c>
      <c r="W17" t="s">
        <v>9310</v>
      </c>
      <c r="Z17" t="s">
        <v>9311</v>
      </c>
      <c r="AF17" t="s">
        <v>4714</v>
      </c>
      <c r="AG17" t="s">
        <v>1055</v>
      </c>
      <c r="AI17" t="s">
        <v>6955</v>
      </c>
      <c r="AJ17" s="424" t="str">
        <f t="shared" si="0"/>
        <v>264302</v>
      </c>
      <c r="AK17" s="28">
        <v>1</v>
      </c>
      <c r="AL17" s="28">
        <f t="shared" si="2"/>
        <v>1</v>
      </c>
      <c r="AM17" s="28" t="str">
        <f t="shared" si="1"/>
        <v>pracuj.pl</v>
      </c>
    </row>
    <row r="18" spans="1:39" x14ac:dyDescent="0.25">
      <c r="A18" t="s">
        <v>9382</v>
      </c>
      <c r="B18" t="s">
        <v>17</v>
      </c>
      <c r="C18" t="s">
        <v>17</v>
      </c>
      <c r="D18" s="27" t="s">
        <v>9299</v>
      </c>
      <c r="E18" t="s">
        <v>192</v>
      </c>
      <c r="F18" s="421">
        <v>1</v>
      </c>
      <c r="G18" t="s">
        <v>193</v>
      </c>
      <c r="H18" t="s">
        <v>194</v>
      </c>
      <c r="I18" t="s">
        <v>9383</v>
      </c>
      <c r="J18" t="s">
        <v>9302</v>
      </c>
      <c r="K18" t="s">
        <v>9384</v>
      </c>
      <c r="L18" t="s">
        <v>6245</v>
      </c>
      <c r="M18" t="s">
        <v>9304</v>
      </c>
      <c r="N18" t="s">
        <v>9305</v>
      </c>
      <c r="O18" t="s">
        <v>9306</v>
      </c>
      <c r="P18" t="s">
        <v>9385</v>
      </c>
      <c r="Q18" t="s">
        <v>9386</v>
      </c>
      <c r="S18" t="s">
        <v>9309</v>
      </c>
      <c r="T18" s="365"/>
      <c r="U18" s="27" t="s">
        <v>624</v>
      </c>
      <c r="V18" t="s">
        <v>193</v>
      </c>
      <c r="W18" t="s">
        <v>9310</v>
      </c>
      <c r="Z18" t="s">
        <v>9311</v>
      </c>
      <c r="AF18" t="s">
        <v>4714</v>
      </c>
      <c r="AG18" t="s">
        <v>17</v>
      </c>
      <c r="AI18" t="s">
        <v>6955</v>
      </c>
      <c r="AJ18" s="424" t="str">
        <f t="shared" si="0"/>
        <v>332203</v>
      </c>
      <c r="AK18" s="28">
        <v>1</v>
      </c>
      <c r="AL18" s="28">
        <f t="shared" si="2"/>
        <v>1</v>
      </c>
      <c r="AM18" s="28" t="str">
        <f t="shared" si="1"/>
        <v>pracuj.pl</v>
      </c>
    </row>
    <row r="19" spans="1:39" x14ac:dyDescent="0.25">
      <c r="A19" t="s">
        <v>9387</v>
      </c>
      <c r="B19" t="s">
        <v>9388</v>
      </c>
      <c r="C19" t="s">
        <v>1766</v>
      </c>
      <c r="D19" s="27" t="s">
        <v>9299</v>
      </c>
      <c r="E19" t="s">
        <v>192</v>
      </c>
      <c r="F19" s="421">
        <v>1</v>
      </c>
      <c r="G19" t="s">
        <v>193</v>
      </c>
      <c r="H19" t="s">
        <v>194</v>
      </c>
      <c r="I19" t="s">
        <v>9301</v>
      </c>
      <c r="J19" t="s">
        <v>9302</v>
      </c>
      <c r="K19" t="s">
        <v>9389</v>
      </c>
      <c r="L19" t="s">
        <v>7531</v>
      </c>
      <c r="M19" t="s">
        <v>9304</v>
      </c>
      <c r="N19" t="s">
        <v>9305</v>
      </c>
      <c r="O19" t="s">
        <v>9306</v>
      </c>
      <c r="P19" t="s">
        <v>9390</v>
      </c>
      <c r="Q19" t="s">
        <v>9391</v>
      </c>
      <c r="S19" t="s">
        <v>9309</v>
      </c>
      <c r="U19" s="27" t="s">
        <v>1767</v>
      </c>
      <c r="V19" t="s">
        <v>193</v>
      </c>
      <c r="W19" t="s">
        <v>9310</v>
      </c>
      <c r="Z19" t="s">
        <v>9311</v>
      </c>
      <c r="AF19" t="s">
        <v>4714</v>
      </c>
      <c r="AG19" t="s">
        <v>9388</v>
      </c>
      <c r="AI19" t="s">
        <v>6955</v>
      </c>
      <c r="AJ19" s="424" t="str">
        <f t="shared" si="0"/>
        <v>242112</v>
      </c>
      <c r="AK19" s="28">
        <v>1</v>
      </c>
      <c r="AL19" s="28">
        <f t="shared" si="2"/>
        <v>1</v>
      </c>
      <c r="AM19" s="28" t="str">
        <f t="shared" si="1"/>
        <v>pracuj.pl</v>
      </c>
    </row>
    <row r="20" spans="1:39" x14ac:dyDescent="0.25">
      <c r="A20" t="s">
        <v>9522</v>
      </c>
      <c r="B20" t="s">
        <v>9529</v>
      </c>
      <c r="C20" t="s">
        <v>82</v>
      </c>
      <c r="D20" s="27" t="s">
        <v>9835</v>
      </c>
      <c r="E20" t="s">
        <v>217</v>
      </c>
      <c r="F20" s="421">
        <v>1</v>
      </c>
      <c r="G20" t="s">
        <v>193</v>
      </c>
      <c r="H20" t="s">
        <v>194</v>
      </c>
      <c r="I20" t="s">
        <v>9491</v>
      </c>
      <c r="J20" t="s">
        <v>210</v>
      </c>
      <c r="K20" t="s">
        <v>9540</v>
      </c>
      <c r="L20" t="s">
        <v>6261</v>
      </c>
      <c r="M20" t="s">
        <v>10618</v>
      </c>
      <c r="N20" t="s">
        <v>10045</v>
      </c>
      <c r="O20" t="s">
        <v>9542</v>
      </c>
      <c r="P20" t="s">
        <v>10732</v>
      </c>
      <c r="Q20" t="s">
        <v>10733</v>
      </c>
      <c r="S20" t="s">
        <v>9309</v>
      </c>
      <c r="U20" s="27" t="s">
        <v>504</v>
      </c>
      <c r="V20" t="s">
        <v>193</v>
      </c>
      <c r="W20" t="s">
        <v>9310</v>
      </c>
      <c r="Z20" t="s">
        <v>9311</v>
      </c>
      <c r="AF20" t="s">
        <v>4714</v>
      </c>
      <c r="AG20" t="s">
        <v>9433</v>
      </c>
      <c r="AI20" t="s">
        <v>6955</v>
      </c>
      <c r="AJ20" s="424" t="str">
        <f t="shared" si="0"/>
        <v>252101</v>
      </c>
      <c r="AK20" s="28">
        <v>1</v>
      </c>
      <c r="AL20" s="28">
        <f t="shared" si="2"/>
        <v>1</v>
      </c>
      <c r="AM20" s="28" t="str">
        <f t="shared" si="1"/>
        <v>agora</v>
      </c>
    </row>
    <row r="21" spans="1:39" x14ac:dyDescent="0.25">
      <c r="A21" t="s">
        <v>218</v>
      </c>
      <c r="B21" t="s">
        <v>9396</v>
      </c>
      <c r="C21" t="s">
        <v>21</v>
      </c>
      <c r="D21" s="27" t="s">
        <v>9299</v>
      </c>
      <c r="E21" t="s">
        <v>233</v>
      </c>
      <c r="F21" s="421">
        <v>1</v>
      </c>
      <c r="G21" t="s">
        <v>193</v>
      </c>
      <c r="H21" t="s">
        <v>194</v>
      </c>
      <c r="I21" t="s">
        <v>9343</v>
      </c>
      <c r="J21" t="s">
        <v>9302</v>
      </c>
      <c r="K21" t="s">
        <v>9397</v>
      </c>
      <c r="L21" t="s">
        <v>6256</v>
      </c>
      <c r="M21" t="s">
        <v>9341</v>
      </c>
      <c r="N21" t="s">
        <v>9342</v>
      </c>
      <c r="O21" t="s">
        <v>9343</v>
      </c>
      <c r="P21" t="s">
        <v>9398</v>
      </c>
      <c r="Q21" t="s">
        <v>9399</v>
      </c>
      <c r="S21" t="s">
        <v>9309</v>
      </c>
      <c r="U21" s="27" t="s">
        <v>293</v>
      </c>
      <c r="V21" t="s">
        <v>193</v>
      </c>
      <c r="W21" t="s">
        <v>9310</v>
      </c>
      <c r="Z21" t="s">
        <v>9311</v>
      </c>
      <c r="AF21" t="s">
        <v>4714</v>
      </c>
      <c r="AG21" t="s">
        <v>9396</v>
      </c>
      <c r="AI21" t="s">
        <v>6955</v>
      </c>
      <c r="AJ21" s="424" t="str">
        <f t="shared" si="0"/>
        <v>214202</v>
      </c>
      <c r="AK21" s="28">
        <v>1</v>
      </c>
      <c r="AL21" s="28">
        <f t="shared" si="2"/>
        <v>1</v>
      </c>
      <c r="AM21" s="28" t="str">
        <f t="shared" si="1"/>
        <v>praca</v>
      </c>
    </row>
    <row r="22" spans="1:39" x14ac:dyDescent="0.25">
      <c r="A22" t="s">
        <v>9400</v>
      </c>
      <c r="B22" t="s">
        <v>9401</v>
      </c>
      <c r="C22" t="s">
        <v>3219</v>
      </c>
      <c r="D22" s="27" t="s">
        <v>9299</v>
      </c>
      <c r="E22" t="s">
        <v>192</v>
      </c>
      <c r="F22" s="421">
        <v>1</v>
      </c>
      <c r="G22" t="s">
        <v>193</v>
      </c>
      <c r="H22" t="s">
        <v>194</v>
      </c>
      <c r="I22" t="s">
        <v>9301</v>
      </c>
      <c r="J22" t="s">
        <v>210</v>
      </c>
      <c r="K22" t="s">
        <v>9402</v>
      </c>
      <c r="L22" t="s">
        <v>6249</v>
      </c>
      <c r="M22" t="s">
        <v>9304</v>
      </c>
      <c r="N22" t="s">
        <v>9305</v>
      </c>
      <c r="O22" t="s">
        <v>9306</v>
      </c>
      <c r="P22" t="s">
        <v>9403</v>
      </c>
      <c r="Q22" t="s">
        <v>9404</v>
      </c>
      <c r="S22" t="s">
        <v>9309</v>
      </c>
      <c r="T22" s="28" t="s">
        <v>9334</v>
      </c>
      <c r="U22" s="27" t="s">
        <v>3620</v>
      </c>
      <c r="V22" t="s">
        <v>194</v>
      </c>
      <c r="W22" t="s">
        <v>9300</v>
      </c>
      <c r="Z22" t="s">
        <v>9311</v>
      </c>
      <c r="AF22" t="s">
        <v>4714</v>
      </c>
      <c r="AG22" t="s">
        <v>9401</v>
      </c>
      <c r="AI22" t="s">
        <v>6955</v>
      </c>
      <c r="AJ22" s="424" t="str">
        <f t="shared" si="0"/>
        <v>243109</v>
      </c>
      <c r="AK22" s="28">
        <v>1</v>
      </c>
      <c r="AL22" s="28">
        <f t="shared" si="2"/>
        <v>1</v>
      </c>
      <c r="AM22" s="28" t="str">
        <f t="shared" si="1"/>
        <v>pracuj.pl</v>
      </c>
    </row>
    <row r="23" spans="1:39" x14ac:dyDescent="0.25">
      <c r="A23" t="s">
        <v>9405</v>
      </c>
      <c r="B23" t="s">
        <v>9406</v>
      </c>
      <c r="C23" t="s">
        <v>20</v>
      </c>
      <c r="D23" s="27" t="s">
        <v>9299</v>
      </c>
      <c r="E23" t="s">
        <v>192</v>
      </c>
      <c r="F23" s="421">
        <v>1</v>
      </c>
      <c r="G23" t="s">
        <v>193</v>
      </c>
      <c r="H23" t="s">
        <v>194</v>
      </c>
      <c r="I23" t="s">
        <v>9301</v>
      </c>
      <c r="J23" t="s">
        <v>385</v>
      </c>
      <c r="K23" t="s">
        <v>9407</v>
      </c>
      <c r="L23" t="s">
        <v>6245</v>
      </c>
      <c r="M23" t="s">
        <v>9304</v>
      </c>
      <c r="N23" t="s">
        <v>9305</v>
      </c>
      <c r="O23" t="s">
        <v>9306</v>
      </c>
      <c r="P23" t="s">
        <v>9408</v>
      </c>
      <c r="Q23" t="s">
        <v>9409</v>
      </c>
      <c r="S23" t="s">
        <v>9309</v>
      </c>
      <c r="T23" s="28" t="s">
        <v>9410</v>
      </c>
      <c r="U23" s="27" t="s">
        <v>286</v>
      </c>
      <c r="V23" t="s">
        <v>194</v>
      </c>
      <c r="W23" t="s">
        <v>9300</v>
      </c>
      <c r="Z23" t="s">
        <v>9311</v>
      </c>
      <c r="AF23" t="s">
        <v>4714</v>
      </c>
      <c r="AG23" t="s">
        <v>9406</v>
      </c>
      <c r="AI23" t="s">
        <v>6955</v>
      </c>
      <c r="AJ23" s="424" t="str">
        <f t="shared" si="0"/>
        <v>214109</v>
      </c>
      <c r="AK23" s="28">
        <v>1</v>
      </c>
      <c r="AL23" s="28">
        <f t="shared" si="2"/>
        <v>1</v>
      </c>
      <c r="AM23" s="28" t="str">
        <f t="shared" si="1"/>
        <v>pracuj.pl</v>
      </c>
    </row>
    <row r="24" spans="1:39" x14ac:dyDescent="0.25">
      <c r="A24" t="s">
        <v>9405</v>
      </c>
      <c r="B24" t="s">
        <v>9411</v>
      </c>
      <c r="C24" t="s">
        <v>371</v>
      </c>
      <c r="D24" s="27" t="s">
        <v>9299</v>
      </c>
      <c r="E24" t="s">
        <v>192</v>
      </c>
      <c r="F24" s="421">
        <v>1</v>
      </c>
      <c r="G24" t="s">
        <v>193</v>
      </c>
      <c r="H24" t="s">
        <v>194</v>
      </c>
      <c r="I24" t="s">
        <v>9412</v>
      </c>
      <c r="J24" t="s">
        <v>385</v>
      </c>
      <c r="K24" t="s">
        <v>9413</v>
      </c>
      <c r="L24" t="s">
        <v>6245</v>
      </c>
      <c r="M24" t="s">
        <v>9304</v>
      </c>
      <c r="N24" t="s">
        <v>9305</v>
      </c>
      <c r="O24" t="s">
        <v>9306</v>
      </c>
      <c r="P24" t="s">
        <v>9414</v>
      </c>
      <c r="Q24" t="s">
        <v>9415</v>
      </c>
      <c r="S24" t="s">
        <v>9309</v>
      </c>
      <c r="T24" s="28" t="s">
        <v>9410</v>
      </c>
      <c r="U24" s="27" t="s">
        <v>372</v>
      </c>
      <c r="V24" t="s">
        <v>194</v>
      </c>
      <c r="W24" t="s">
        <v>9300</v>
      </c>
      <c r="Z24" t="s">
        <v>9311</v>
      </c>
      <c r="AF24" t="s">
        <v>4714</v>
      </c>
      <c r="AG24" t="s">
        <v>9411</v>
      </c>
      <c r="AI24" t="s">
        <v>6955</v>
      </c>
      <c r="AJ24" s="424" t="str">
        <f t="shared" si="0"/>
        <v>215202</v>
      </c>
      <c r="AK24" s="28">
        <v>1</v>
      </c>
      <c r="AL24" s="28">
        <f t="shared" si="2"/>
        <v>1</v>
      </c>
      <c r="AM24" s="28" t="str">
        <f t="shared" si="1"/>
        <v>pracuj.pl</v>
      </c>
    </row>
    <row r="25" spans="1:39" x14ac:dyDescent="0.25">
      <c r="A25" t="s">
        <v>9522</v>
      </c>
      <c r="B25" t="s">
        <v>9591</v>
      </c>
      <c r="C25" t="s">
        <v>82</v>
      </c>
      <c r="D25" s="27" t="s">
        <v>9835</v>
      </c>
      <c r="E25" t="s">
        <v>217</v>
      </c>
      <c r="F25" s="421">
        <v>1</v>
      </c>
      <c r="G25" t="s">
        <v>193</v>
      </c>
      <c r="H25" t="s">
        <v>194</v>
      </c>
      <c r="I25" t="s">
        <v>9491</v>
      </c>
      <c r="J25" t="s">
        <v>210</v>
      </c>
      <c r="K25" t="s">
        <v>9598</v>
      </c>
      <c r="L25" t="s">
        <v>6921</v>
      </c>
      <c r="M25" t="s">
        <v>10618</v>
      </c>
      <c r="N25" t="s">
        <v>9938</v>
      </c>
      <c r="O25" t="s">
        <v>9537</v>
      </c>
      <c r="P25" t="s">
        <v>10764</v>
      </c>
      <c r="Q25" t="s">
        <v>10765</v>
      </c>
      <c r="S25" t="s">
        <v>9309</v>
      </c>
      <c r="T25" s="28" t="s">
        <v>9334</v>
      </c>
      <c r="U25" s="27" t="s">
        <v>504</v>
      </c>
      <c r="V25" t="s">
        <v>194</v>
      </c>
      <c r="W25" t="s">
        <v>9300</v>
      </c>
      <c r="Z25" t="s">
        <v>9311</v>
      </c>
      <c r="AF25" t="s">
        <v>4714</v>
      </c>
      <c r="AG25" t="s">
        <v>9433</v>
      </c>
      <c r="AI25" t="s">
        <v>6955</v>
      </c>
      <c r="AJ25" s="424" t="str">
        <f t="shared" si="0"/>
        <v>252101</v>
      </c>
      <c r="AK25" s="28">
        <v>1</v>
      </c>
      <c r="AL25" s="28">
        <f t="shared" si="2"/>
        <v>1</v>
      </c>
      <c r="AM25" s="28" t="str">
        <f t="shared" si="1"/>
        <v>agora</v>
      </c>
    </row>
    <row r="26" spans="1:39" x14ac:dyDescent="0.25">
      <c r="A26" t="s">
        <v>9421</v>
      </c>
      <c r="B26" t="s">
        <v>9422</v>
      </c>
      <c r="C26" t="s">
        <v>20</v>
      </c>
      <c r="D26" s="27" t="s">
        <v>9299</v>
      </c>
      <c r="E26" t="s">
        <v>192</v>
      </c>
      <c r="F26" s="421">
        <v>1</v>
      </c>
      <c r="G26" t="s">
        <v>193</v>
      </c>
      <c r="H26" t="s">
        <v>194</v>
      </c>
      <c r="I26" t="s">
        <v>9301</v>
      </c>
      <c r="J26" t="s">
        <v>9302</v>
      </c>
      <c r="K26" t="s">
        <v>9423</v>
      </c>
      <c r="L26" t="s">
        <v>6245</v>
      </c>
      <c r="M26" t="s">
        <v>9304</v>
      </c>
      <c r="N26" t="s">
        <v>9305</v>
      </c>
      <c r="O26" t="s">
        <v>9306</v>
      </c>
      <c r="P26" t="s">
        <v>9424</v>
      </c>
      <c r="Q26" t="s">
        <v>9425</v>
      </c>
      <c r="S26" t="s">
        <v>9309</v>
      </c>
      <c r="U26" s="27" t="s">
        <v>286</v>
      </c>
      <c r="V26" t="s">
        <v>193</v>
      </c>
      <c r="W26" t="s">
        <v>9310</v>
      </c>
      <c r="Z26" t="s">
        <v>9311</v>
      </c>
      <c r="AF26" t="s">
        <v>4714</v>
      </c>
      <c r="AG26" t="s">
        <v>9422</v>
      </c>
      <c r="AI26" t="s">
        <v>6955</v>
      </c>
      <c r="AJ26" s="424" t="str">
        <f t="shared" si="0"/>
        <v>214109</v>
      </c>
      <c r="AK26" s="28">
        <v>1</v>
      </c>
      <c r="AL26" s="28">
        <f t="shared" si="2"/>
        <v>1</v>
      </c>
      <c r="AM26" s="28" t="str">
        <f t="shared" si="1"/>
        <v>pracuj.pl</v>
      </c>
    </row>
    <row r="27" spans="1:39" x14ac:dyDescent="0.25">
      <c r="A27" t="s">
        <v>3946</v>
      </c>
      <c r="B27" t="s">
        <v>9426</v>
      </c>
      <c r="C27" t="s">
        <v>740</v>
      </c>
      <c r="D27" s="27" t="s">
        <v>9299</v>
      </c>
      <c r="E27" t="s">
        <v>217</v>
      </c>
      <c r="F27" s="421">
        <v>1</v>
      </c>
      <c r="G27" t="s">
        <v>193</v>
      </c>
      <c r="H27" t="s">
        <v>194</v>
      </c>
      <c r="I27" t="s">
        <v>9369</v>
      </c>
      <c r="J27" t="s">
        <v>385</v>
      </c>
      <c r="K27" t="s">
        <v>9427</v>
      </c>
      <c r="L27" t="s">
        <v>6249</v>
      </c>
      <c r="M27" t="s">
        <v>9428</v>
      </c>
      <c r="N27" t="s">
        <v>9429</v>
      </c>
      <c r="O27" t="s">
        <v>9430</v>
      </c>
      <c r="P27" t="s">
        <v>9431</v>
      </c>
      <c r="Q27" t="s">
        <v>9432</v>
      </c>
      <c r="S27" t="s">
        <v>9309</v>
      </c>
      <c r="T27" s="28" t="s">
        <v>9410</v>
      </c>
      <c r="U27" s="27" t="s">
        <v>741</v>
      </c>
      <c r="V27" t="s">
        <v>194</v>
      </c>
      <c r="W27" t="s">
        <v>9300</v>
      </c>
      <c r="Z27" t="s">
        <v>9311</v>
      </c>
      <c r="AF27" t="s">
        <v>4714</v>
      </c>
      <c r="AG27" t="s">
        <v>9433</v>
      </c>
      <c r="AI27" t="s">
        <v>6955</v>
      </c>
      <c r="AJ27" s="424" t="str">
        <f t="shared" si="0"/>
        <v>522301</v>
      </c>
      <c r="AK27" s="28">
        <v>1</v>
      </c>
      <c r="AL27" s="28">
        <f t="shared" si="2"/>
        <v>1</v>
      </c>
      <c r="AM27" s="28" t="str">
        <f t="shared" si="1"/>
        <v>agora</v>
      </c>
    </row>
    <row r="28" spans="1:39" x14ac:dyDescent="0.25">
      <c r="A28" t="s">
        <v>3946</v>
      </c>
      <c r="B28" t="s">
        <v>9434</v>
      </c>
      <c r="C28" t="s">
        <v>740</v>
      </c>
      <c r="D28" s="27" t="s">
        <v>9299</v>
      </c>
      <c r="E28" t="s">
        <v>217</v>
      </c>
      <c r="F28" s="421">
        <v>1</v>
      </c>
      <c r="G28" t="s">
        <v>193</v>
      </c>
      <c r="H28" t="s">
        <v>194</v>
      </c>
      <c r="I28" t="s">
        <v>9369</v>
      </c>
      <c r="J28" t="s">
        <v>1995</v>
      </c>
      <c r="K28" t="s">
        <v>9435</v>
      </c>
      <c r="L28" t="s">
        <v>6249</v>
      </c>
      <c r="M28" t="s">
        <v>9436</v>
      </c>
      <c r="N28" t="s">
        <v>9437</v>
      </c>
      <c r="O28" t="s">
        <v>9430</v>
      </c>
      <c r="P28" t="s">
        <v>9438</v>
      </c>
      <c r="Q28" t="s">
        <v>9439</v>
      </c>
      <c r="S28" t="s">
        <v>9309</v>
      </c>
      <c r="T28" s="28" t="s">
        <v>9440</v>
      </c>
      <c r="U28" s="27" t="s">
        <v>741</v>
      </c>
      <c r="V28" t="s">
        <v>194</v>
      </c>
      <c r="W28" t="s">
        <v>9300</v>
      </c>
      <c r="Z28" t="s">
        <v>9311</v>
      </c>
      <c r="AF28" t="s">
        <v>4714</v>
      </c>
      <c r="AG28" t="s">
        <v>9433</v>
      </c>
      <c r="AI28" t="s">
        <v>6955</v>
      </c>
      <c r="AJ28" s="424" t="str">
        <f t="shared" si="0"/>
        <v>522301</v>
      </c>
      <c r="AK28" s="28">
        <v>1</v>
      </c>
      <c r="AL28" s="28">
        <f t="shared" si="2"/>
        <v>1</v>
      </c>
      <c r="AM28" s="28" t="str">
        <f t="shared" si="1"/>
        <v>agora</v>
      </c>
    </row>
    <row r="29" spans="1:39" x14ac:dyDescent="0.25">
      <c r="A29" t="s">
        <v>9522</v>
      </c>
      <c r="B29" t="s">
        <v>9591</v>
      </c>
      <c r="C29" t="s">
        <v>82</v>
      </c>
      <c r="D29" s="27" t="s">
        <v>9835</v>
      </c>
      <c r="E29" t="s">
        <v>217</v>
      </c>
      <c r="F29" s="421">
        <v>1</v>
      </c>
      <c r="G29" t="s">
        <v>193</v>
      </c>
      <c r="H29" t="s">
        <v>194</v>
      </c>
      <c r="I29" t="s">
        <v>9491</v>
      </c>
      <c r="J29" t="s">
        <v>210</v>
      </c>
      <c r="K29" t="s">
        <v>10766</v>
      </c>
      <c r="L29" t="s">
        <v>6921</v>
      </c>
      <c r="M29" t="s">
        <v>10618</v>
      </c>
      <c r="N29" t="s">
        <v>9429</v>
      </c>
      <c r="O29" t="s">
        <v>10767</v>
      </c>
      <c r="P29" t="s">
        <v>10768</v>
      </c>
      <c r="Q29" t="s">
        <v>10769</v>
      </c>
      <c r="S29" t="s">
        <v>9309</v>
      </c>
      <c r="T29" s="28" t="s">
        <v>9334</v>
      </c>
      <c r="U29" s="27" t="s">
        <v>504</v>
      </c>
      <c r="V29" t="s">
        <v>194</v>
      </c>
      <c r="W29" t="s">
        <v>9300</v>
      </c>
      <c r="Z29" t="s">
        <v>9311</v>
      </c>
      <c r="AF29" t="s">
        <v>4714</v>
      </c>
      <c r="AG29" t="s">
        <v>9433</v>
      </c>
      <c r="AI29" t="s">
        <v>6955</v>
      </c>
      <c r="AJ29" s="424" t="str">
        <f t="shared" si="0"/>
        <v>252101</v>
      </c>
      <c r="AK29" s="28">
        <v>1</v>
      </c>
      <c r="AL29" s="28">
        <f t="shared" si="2"/>
        <v>1</v>
      </c>
      <c r="AM29" s="28" t="str">
        <f t="shared" si="1"/>
        <v>agora</v>
      </c>
    </row>
    <row r="30" spans="1:39" x14ac:dyDescent="0.25">
      <c r="A30" t="s">
        <v>9522</v>
      </c>
      <c r="B30" t="s">
        <v>9607</v>
      </c>
      <c r="C30" t="s">
        <v>82</v>
      </c>
      <c r="D30" s="27" t="s">
        <v>9835</v>
      </c>
      <c r="E30" t="s">
        <v>217</v>
      </c>
      <c r="F30" s="421">
        <v>1</v>
      </c>
      <c r="G30" t="s">
        <v>193</v>
      </c>
      <c r="H30" t="s">
        <v>194</v>
      </c>
      <c r="I30" t="s">
        <v>9491</v>
      </c>
      <c r="J30" t="s">
        <v>210</v>
      </c>
      <c r="K30" t="s">
        <v>9608</v>
      </c>
      <c r="L30" t="s">
        <v>6921</v>
      </c>
      <c r="M30" t="s">
        <v>10618</v>
      </c>
      <c r="N30" t="s">
        <v>10045</v>
      </c>
      <c r="O30" t="s">
        <v>9542</v>
      </c>
      <c r="P30" t="s">
        <v>10779</v>
      </c>
      <c r="Q30" t="s">
        <v>10780</v>
      </c>
      <c r="S30" t="s">
        <v>9309</v>
      </c>
      <c r="T30" s="28" t="s">
        <v>9334</v>
      </c>
      <c r="U30" s="27" t="s">
        <v>504</v>
      </c>
      <c r="V30" t="s">
        <v>194</v>
      </c>
      <c r="W30" t="s">
        <v>9300</v>
      </c>
      <c r="Z30" t="s">
        <v>9311</v>
      </c>
      <c r="AF30" t="s">
        <v>4714</v>
      </c>
      <c r="AG30" t="s">
        <v>9433</v>
      </c>
      <c r="AI30" t="s">
        <v>6955</v>
      </c>
      <c r="AJ30" s="424" t="str">
        <f t="shared" si="0"/>
        <v>252101</v>
      </c>
      <c r="AK30" s="28">
        <v>1</v>
      </c>
      <c r="AL30" s="28">
        <f t="shared" si="2"/>
        <v>1</v>
      </c>
      <c r="AM30" s="28" t="str">
        <f t="shared" si="1"/>
        <v>agora</v>
      </c>
    </row>
    <row r="31" spans="1:39" x14ac:dyDescent="0.25">
      <c r="A31" t="s">
        <v>9447</v>
      </c>
      <c r="B31" t="s">
        <v>9448</v>
      </c>
      <c r="C31" t="s">
        <v>227</v>
      </c>
      <c r="D31" s="27" t="s">
        <v>9299</v>
      </c>
      <c r="E31" t="s">
        <v>192</v>
      </c>
      <c r="F31" s="421">
        <v>1</v>
      </c>
      <c r="G31" t="s">
        <v>193</v>
      </c>
      <c r="H31" t="s">
        <v>194</v>
      </c>
      <c r="I31" t="s">
        <v>9301</v>
      </c>
      <c r="J31" t="s">
        <v>210</v>
      </c>
      <c r="K31" t="s">
        <v>9449</v>
      </c>
      <c r="L31" t="s">
        <v>6266</v>
      </c>
      <c r="M31" t="s">
        <v>9304</v>
      </c>
      <c r="N31" t="s">
        <v>9305</v>
      </c>
      <c r="O31" t="s">
        <v>9306</v>
      </c>
      <c r="P31" t="s">
        <v>9450</v>
      </c>
      <c r="Q31" t="s">
        <v>9451</v>
      </c>
      <c r="S31" t="s">
        <v>9309</v>
      </c>
      <c r="T31" s="28" t="s">
        <v>9334</v>
      </c>
      <c r="U31" s="27" t="s">
        <v>229</v>
      </c>
      <c r="V31" t="s">
        <v>194</v>
      </c>
      <c r="W31" t="s">
        <v>9300</v>
      </c>
      <c r="Z31" t="s">
        <v>9311</v>
      </c>
      <c r="AF31" t="s">
        <v>4714</v>
      </c>
      <c r="AG31" t="s">
        <v>9448</v>
      </c>
      <c r="AI31" t="s">
        <v>6955</v>
      </c>
      <c r="AJ31" s="424" t="str">
        <f t="shared" si="0"/>
        <v>132401</v>
      </c>
      <c r="AK31" s="28">
        <v>1</v>
      </c>
      <c r="AL31" s="28">
        <f t="shared" si="2"/>
        <v>1</v>
      </c>
      <c r="AM31" s="28" t="str">
        <f t="shared" si="1"/>
        <v>pracuj.pl</v>
      </c>
    </row>
    <row r="32" spans="1:39" x14ac:dyDescent="0.25">
      <c r="A32" t="s">
        <v>9452</v>
      </c>
      <c r="B32" t="s">
        <v>6194</v>
      </c>
      <c r="C32" t="s">
        <v>21</v>
      </c>
      <c r="D32" s="27" t="s">
        <v>9299</v>
      </c>
      <c r="E32" t="s">
        <v>192</v>
      </c>
      <c r="F32" s="421">
        <v>1</v>
      </c>
      <c r="G32" t="s">
        <v>193</v>
      </c>
      <c r="H32" t="s">
        <v>194</v>
      </c>
      <c r="I32" t="s">
        <v>9343</v>
      </c>
      <c r="J32" t="s">
        <v>9302</v>
      </c>
      <c r="K32" t="s">
        <v>9453</v>
      </c>
      <c r="L32" t="s">
        <v>6324</v>
      </c>
      <c r="M32" t="s">
        <v>9304</v>
      </c>
      <c r="N32" t="s">
        <v>9305</v>
      </c>
      <c r="O32" t="s">
        <v>9306</v>
      </c>
      <c r="P32" t="s">
        <v>9454</v>
      </c>
      <c r="Q32" t="s">
        <v>9455</v>
      </c>
      <c r="S32" t="s">
        <v>9309</v>
      </c>
      <c r="U32" s="27" t="s">
        <v>293</v>
      </c>
      <c r="V32" t="s">
        <v>193</v>
      </c>
      <c r="W32" t="s">
        <v>9310</v>
      </c>
      <c r="Z32" t="s">
        <v>9311</v>
      </c>
      <c r="AF32" t="s">
        <v>4714</v>
      </c>
      <c r="AG32" t="s">
        <v>6194</v>
      </c>
      <c r="AI32" t="s">
        <v>6955</v>
      </c>
      <c r="AJ32" s="424" t="str">
        <f t="shared" si="0"/>
        <v>214202</v>
      </c>
      <c r="AK32" s="28">
        <v>1</v>
      </c>
      <c r="AL32" s="28">
        <f t="shared" si="2"/>
        <v>1</v>
      </c>
      <c r="AM32" s="28" t="str">
        <f t="shared" si="1"/>
        <v>pracuj.pl</v>
      </c>
    </row>
    <row r="33" spans="1:39" x14ac:dyDescent="0.25">
      <c r="A33" t="s">
        <v>9452</v>
      </c>
      <c r="B33" t="s">
        <v>1488</v>
      </c>
      <c r="C33" t="s">
        <v>12</v>
      </c>
      <c r="D33" s="27" t="s">
        <v>9299</v>
      </c>
      <c r="E33" t="s">
        <v>192</v>
      </c>
      <c r="F33" s="421">
        <v>1</v>
      </c>
      <c r="G33" t="s">
        <v>193</v>
      </c>
      <c r="H33" t="s">
        <v>194</v>
      </c>
      <c r="I33" t="s">
        <v>9383</v>
      </c>
      <c r="J33" t="s">
        <v>9302</v>
      </c>
      <c r="K33" t="s">
        <v>9456</v>
      </c>
      <c r="L33" t="s">
        <v>6324</v>
      </c>
      <c r="M33" t="s">
        <v>9457</v>
      </c>
      <c r="N33" t="s">
        <v>9305</v>
      </c>
      <c r="O33" t="s">
        <v>9306</v>
      </c>
      <c r="P33" t="s">
        <v>9458</v>
      </c>
      <c r="Q33" t="s">
        <v>9459</v>
      </c>
      <c r="S33" t="s">
        <v>9309</v>
      </c>
      <c r="U33" s="27" t="s">
        <v>220</v>
      </c>
      <c r="V33" t="s">
        <v>193</v>
      </c>
      <c r="W33" t="s">
        <v>9310</v>
      </c>
      <c r="Z33" t="s">
        <v>9311</v>
      </c>
      <c r="AF33" t="s">
        <v>4714</v>
      </c>
      <c r="AG33" t="s">
        <v>12</v>
      </c>
      <c r="AI33" t="s">
        <v>6955</v>
      </c>
      <c r="AJ33" s="424" t="str">
        <f t="shared" si="0"/>
        <v>132301</v>
      </c>
      <c r="AK33" s="28">
        <v>1</v>
      </c>
      <c r="AL33" s="28">
        <f t="shared" si="2"/>
        <v>1</v>
      </c>
      <c r="AM33" s="28" t="str">
        <f t="shared" si="1"/>
        <v>pracuj.pl</v>
      </c>
    </row>
    <row r="34" spans="1:39" x14ac:dyDescent="0.25">
      <c r="A34" t="s">
        <v>9460</v>
      </c>
      <c r="B34" t="s">
        <v>537</v>
      </c>
      <c r="C34" t="s">
        <v>778</v>
      </c>
      <c r="D34" s="27" t="s">
        <v>9299</v>
      </c>
      <c r="E34" t="s">
        <v>192</v>
      </c>
      <c r="F34" s="421">
        <v>1</v>
      </c>
      <c r="G34" t="s">
        <v>193</v>
      </c>
      <c r="H34" t="s">
        <v>194</v>
      </c>
      <c r="I34" t="s">
        <v>9461</v>
      </c>
      <c r="J34" t="s">
        <v>385</v>
      </c>
      <c r="K34" t="s">
        <v>9462</v>
      </c>
      <c r="L34" t="s">
        <v>6254</v>
      </c>
      <c r="M34" t="s">
        <v>9457</v>
      </c>
      <c r="N34" t="s">
        <v>9305</v>
      </c>
      <c r="O34" t="s">
        <v>9306</v>
      </c>
      <c r="P34" t="s">
        <v>9463</v>
      </c>
      <c r="Q34" t="s">
        <v>9464</v>
      </c>
      <c r="S34" t="s">
        <v>9309</v>
      </c>
      <c r="T34" s="28" t="s">
        <v>9410</v>
      </c>
      <c r="U34" s="27" t="s">
        <v>779</v>
      </c>
      <c r="V34" t="s">
        <v>194</v>
      </c>
      <c r="W34" t="s">
        <v>9300</v>
      </c>
      <c r="Z34" t="s">
        <v>9311</v>
      </c>
      <c r="AF34" t="s">
        <v>4714</v>
      </c>
      <c r="AG34" t="s">
        <v>778</v>
      </c>
      <c r="AI34" t="s">
        <v>6955</v>
      </c>
      <c r="AJ34" s="424" t="str">
        <f t="shared" si="0"/>
        <v>524902</v>
      </c>
      <c r="AK34" s="28">
        <v>1</v>
      </c>
      <c r="AL34" s="28">
        <f t="shared" si="2"/>
        <v>1</v>
      </c>
      <c r="AM34" s="28" t="str">
        <f t="shared" si="1"/>
        <v>pracuj.pl</v>
      </c>
    </row>
    <row r="35" spans="1:39" x14ac:dyDescent="0.25">
      <c r="A35" t="s">
        <v>9460</v>
      </c>
      <c r="B35" t="s">
        <v>537</v>
      </c>
      <c r="C35" t="s">
        <v>778</v>
      </c>
      <c r="D35" s="27" t="s">
        <v>9299</v>
      </c>
      <c r="E35" t="s">
        <v>192</v>
      </c>
      <c r="F35" s="421">
        <v>1</v>
      </c>
      <c r="G35" t="s">
        <v>193</v>
      </c>
      <c r="H35" t="s">
        <v>194</v>
      </c>
      <c r="I35" t="s">
        <v>9461</v>
      </c>
      <c r="J35" t="s">
        <v>253</v>
      </c>
      <c r="K35" t="s">
        <v>9465</v>
      </c>
      <c r="L35" t="s">
        <v>6254</v>
      </c>
      <c r="M35" t="s">
        <v>9457</v>
      </c>
      <c r="N35" t="s">
        <v>9305</v>
      </c>
      <c r="O35" t="s">
        <v>9306</v>
      </c>
      <c r="P35" t="s">
        <v>9466</v>
      </c>
      <c r="Q35" t="s">
        <v>9467</v>
      </c>
      <c r="S35" t="s">
        <v>9309</v>
      </c>
      <c r="T35" s="28" t="s">
        <v>9468</v>
      </c>
      <c r="U35" s="27" t="s">
        <v>779</v>
      </c>
      <c r="V35" t="s">
        <v>194</v>
      </c>
      <c r="W35" t="s">
        <v>9300</v>
      </c>
      <c r="Z35" t="s">
        <v>9311</v>
      </c>
      <c r="AF35" t="s">
        <v>4714</v>
      </c>
      <c r="AG35" t="s">
        <v>778</v>
      </c>
      <c r="AI35" t="s">
        <v>6955</v>
      </c>
      <c r="AJ35" s="424" t="str">
        <f t="shared" si="0"/>
        <v>524902</v>
      </c>
      <c r="AK35" s="28">
        <v>1</v>
      </c>
      <c r="AL35" s="28">
        <f t="shared" si="2"/>
        <v>1</v>
      </c>
      <c r="AM35" s="28" t="str">
        <f t="shared" si="1"/>
        <v>pracuj.pl</v>
      </c>
    </row>
    <row r="36" spans="1:39" x14ac:dyDescent="0.25">
      <c r="A36" t="s">
        <v>9460</v>
      </c>
      <c r="B36" t="s">
        <v>537</v>
      </c>
      <c r="C36" t="s">
        <v>778</v>
      </c>
      <c r="D36" s="27" t="s">
        <v>9299</v>
      </c>
      <c r="E36" t="s">
        <v>192</v>
      </c>
      <c r="F36" s="421">
        <v>1</v>
      </c>
      <c r="G36" t="s">
        <v>193</v>
      </c>
      <c r="H36" t="s">
        <v>194</v>
      </c>
      <c r="I36" t="s">
        <v>9461</v>
      </c>
      <c r="J36" t="s">
        <v>4751</v>
      </c>
      <c r="K36" t="s">
        <v>9469</v>
      </c>
      <c r="L36" t="s">
        <v>6254</v>
      </c>
      <c r="M36" t="s">
        <v>9457</v>
      </c>
      <c r="N36" t="s">
        <v>9305</v>
      </c>
      <c r="O36" t="s">
        <v>9306</v>
      </c>
      <c r="P36" t="s">
        <v>9470</v>
      </c>
      <c r="Q36" t="s">
        <v>9471</v>
      </c>
      <c r="S36" t="s">
        <v>9309</v>
      </c>
      <c r="T36" s="28" t="s">
        <v>9472</v>
      </c>
      <c r="U36" s="27" t="s">
        <v>779</v>
      </c>
      <c r="V36" t="s">
        <v>194</v>
      </c>
      <c r="W36" t="s">
        <v>9300</v>
      </c>
      <c r="Z36" t="s">
        <v>9311</v>
      </c>
      <c r="AF36" t="s">
        <v>4714</v>
      </c>
      <c r="AG36" t="s">
        <v>778</v>
      </c>
      <c r="AI36" t="s">
        <v>6955</v>
      </c>
      <c r="AJ36" s="424" t="str">
        <f t="shared" si="0"/>
        <v>524902</v>
      </c>
      <c r="AK36" s="28">
        <v>1</v>
      </c>
      <c r="AL36" s="28">
        <f t="shared" si="2"/>
        <v>1</v>
      </c>
      <c r="AM36" s="28" t="str">
        <f t="shared" si="1"/>
        <v>pracuj.pl</v>
      </c>
    </row>
    <row r="37" spans="1:39" x14ac:dyDescent="0.25">
      <c r="A37" t="s">
        <v>9460</v>
      </c>
      <c r="B37" t="s">
        <v>537</v>
      </c>
      <c r="C37" t="s">
        <v>778</v>
      </c>
      <c r="D37" s="27" t="s">
        <v>9299</v>
      </c>
      <c r="E37" t="s">
        <v>192</v>
      </c>
      <c r="F37" s="421">
        <v>1</v>
      </c>
      <c r="G37" t="s">
        <v>193</v>
      </c>
      <c r="H37" t="s">
        <v>194</v>
      </c>
      <c r="I37" t="s">
        <v>9461</v>
      </c>
      <c r="J37" t="s">
        <v>210</v>
      </c>
      <c r="K37" t="s">
        <v>9473</v>
      </c>
      <c r="L37" t="s">
        <v>6254</v>
      </c>
      <c r="M37" t="s">
        <v>9457</v>
      </c>
      <c r="N37" t="s">
        <v>9305</v>
      </c>
      <c r="O37" t="s">
        <v>9306</v>
      </c>
      <c r="P37" t="s">
        <v>9474</v>
      </c>
      <c r="Q37" t="s">
        <v>9475</v>
      </c>
      <c r="S37" t="s">
        <v>9309</v>
      </c>
      <c r="T37" s="28" t="s">
        <v>9334</v>
      </c>
      <c r="U37" s="27" t="s">
        <v>779</v>
      </c>
      <c r="V37" t="s">
        <v>194</v>
      </c>
      <c r="W37" t="s">
        <v>9300</v>
      </c>
      <c r="Z37" t="s">
        <v>9311</v>
      </c>
      <c r="AF37" t="s">
        <v>4714</v>
      </c>
      <c r="AG37" t="s">
        <v>778</v>
      </c>
      <c r="AI37" t="s">
        <v>6955</v>
      </c>
      <c r="AJ37" s="424" t="str">
        <f t="shared" si="0"/>
        <v>524902</v>
      </c>
      <c r="AK37" s="28">
        <v>1</v>
      </c>
      <c r="AL37" s="28">
        <f t="shared" si="2"/>
        <v>1</v>
      </c>
      <c r="AM37" s="28" t="str">
        <f t="shared" si="1"/>
        <v>pracuj.pl</v>
      </c>
    </row>
    <row r="38" spans="1:39" x14ac:dyDescent="0.25">
      <c r="A38" t="s">
        <v>9460</v>
      </c>
      <c r="B38" t="s">
        <v>537</v>
      </c>
      <c r="C38" t="s">
        <v>778</v>
      </c>
      <c r="D38" s="27" t="s">
        <v>9299</v>
      </c>
      <c r="E38" t="s">
        <v>192</v>
      </c>
      <c r="F38" s="421">
        <v>1</v>
      </c>
      <c r="G38" t="s">
        <v>193</v>
      </c>
      <c r="H38" t="s">
        <v>194</v>
      </c>
      <c r="I38" t="s">
        <v>9461</v>
      </c>
      <c r="J38" t="s">
        <v>408</v>
      </c>
      <c r="K38" t="s">
        <v>9476</v>
      </c>
      <c r="L38" t="s">
        <v>6254</v>
      </c>
      <c r="M38" t="s">
        <v>9457</v>
      </c>
      <c r="N38" t="s">
        <v>9305</v>
      </c>
      <c r="O38" t="s">
        <v>9306</v>
      </c>
      <c r="P38" t="s">
        <v>9477</v>
      </c>
      <c r="Q38" t="s">
        <v>9478</v>
      </c>
      <c r="S38" t="s">
        <v>9309</v>
      </c>
      <c r="T38" s="28" t="s">
        <v>9479</v>
      </c>
      <c r="U38" s="27" t="s">
        <v>779</v>
      </c>
      <c r="V38" t="s">
        <v>194</v>
      </c>
      <c r="W38" t="s">
        <v>9300</v>
      </c>
      <c r="Z38" t="s">
        <v>9311</v>
      </c>
      <c r="AF38" t="s">
        <v>4714</v>
      </c>
      <c r="AG38" t="s">
        <v>778</v>
      </c>
      <c r="AI38" t="s">
        <v>6955</v>
      </c>
      <c r="AJ38" s="424" t="str">
        <f t="shared" si="0"/>
        <v>524902</v>
      </c>
      <c r="AK38" s="28">
        <v>1</v>
      </c>
      <c r="AL38" s="28">
        <f t="shared" si="2"/>
        <v>1</v>
      </c>
      <c r="AM38" s="28" t="str">
        <f t="shared" si="1"/>
        <v>pracuj.pl</v>
      </c>
    </row>
    <row r="39" spans="1:39" x14ac:dyDescent="0.25">
      <c r="A39" t="s">
        <v>9460</v>
      </c>
      <c r="B39" t="s">
        <v>1648</v>
      </c>
      <c r="C39" t="s">
        <v>120</v>
      </c>
      <c r="D39" s="27" t="s">
        <v>9299</v>
      </c>
      <c r="E39" t="s">
        <v>192</v>
      </c>
      <c r="F39" s="421">
        <v>1</v>
      </c>
      <c r="G39" t="s">
        <v>193</v>
      </c>
      <c r="H39" t="s">
        <v>194</v>
      </c>
      <c r="I39" t="s">
        <v>9301</v>
      </c>
      <c r="J39" t="s">
        <v>9302</v>
      </c>
      <c r="K39" t="s">
        <v>9480</v>
      </c>
      <c r="L39" t="s">
        <v>6254</v>
      </c>
      <c r="M39" t="s">
        <v>9304</v>
      </c>
      <c r="N39" t="s">
        <v>9305</v>
      </c>
      <c r="O39" t="s">
        <v>9306</v>
      </c>
      <c r="P39" t="s">
        <v>9481</v>
      </c>
      <c r="Q39" t="s">
        <v>9482</v>
      </c>
      <c r="S39" t="s">
        <v>9309</v>
      </c>
      <c r="U39" s="27" t="s">
        <v>424</v>
      </c>
      <c r="V39" t="s">
        <v>193</v>
      </c>
      <c r="W39" t="s">
        <v>9310</v>
      </c>
      <c r="Z39" t="s">
        <v>9311</v>
      </c>
      <c r="AF39" t="s">
        <v>4714</v>
      </c>
      <c r="AG39" t="s">
        <v>1648</v>
      </c>
      <c r="AI39" t="s">
        <v>6955</v>
      </c>
      <c r="AJ39" s="424" t="str">
        <f t="shared" si="0"/>
        <v>241307</v>
      </c>
      <c r="AK39" s="28">
        <v>1</v>
      </c>
      <c r="AL39" s="28">
        <f t="shared" si="2"/>
        <v>1</v>
      </c>
      <c r="AM39" s="28" t="str">
        <f t="shared" si="1"/>
        <v>pracuj.pl</v>
      </c>
    </row>
    <row r="40" spans="1:39" x14ac:dyDescent="0.25">
      <c r="A40" t="s">
        <v>1410</v>
      </c>
      <c r="B40" t="s">
        <v>9483</v>
      </c>
      <c r="C40" t="s">
        <v>9484</v>
      </c>
      <c r="D40" s="27" t="s">
        <v>9299</v>
      </c>
      <c r="E40" t="s">
        <v>217</v>
      </c>
      <c r="F40" s="421">
        <v>1</v>
      </c>
      <c r="G40" t="s">
        <v>193</v>
      </c>
      <c r="H40" t="s">
        <v>194</v>
      </c>
      <c r="I40" t="s">
        <v>9301</v>
      </c>
      <c r="J40" t="s">
        <v>210</v>
      </c>
      <c r="K40" t="s">
        <v>9485</v>
      </c>
      <c r="L40" t="s">
        <v>6249</v>
      </c>
      <c r="M40" t="s">
        <v>9436</v>
      </c>
      <c r="N40" t="s">
        <v>9486</v>
      </c>
      <c r="O40" t="s">
        <v>9351</v>
      </c>
      <c r="P40" t="s">
        <v>9487</v>
      </c>
      <c r="Q40" t="s">
        <v>9488</v>
      </c>
      <c r="S40" t="s">
        <v>9309</v>
      </c>
      <c r="T40" s="28" t="s">
        <v>9334</v>
      </c>
      <c r="U40" s="27" t="s">
        <v>9489</v>
      </c>
      <c r="V40" t="s">
        <v>194</v>
      </c>
      <c r="W40" t="s">
        <v>9300</v>
      </c>
      <c r="Z40" t="s">
        <v>9311</v>
      </c>
      <c r="AF40" t="s">
        <v>4714</v>
      </c>
      <c r="AG40" t="s">
        <v>9433</v>
      </c>
      <c r="AI40" t="s">
        <v>6955</v>
      </c>
      <c r="AJ40" s="424" t="str">
        <f t="shared" si="0"/>
        <v>122190</v>
      </c>
      <c r="AK40" s="28">
        <v>1</v>
      </c>
      <c r="AL40" s="28">
        <f t="shared" si="2"/>
        <v>1</v>
      </c>
      <c r="AM40" s="28" t="str">
        <f t="shared" si="1"/>
        <v>agora</v>
      </c>
    </row>
    <row r="41" spans="1:39" x14ac:dyDescent="0.25">
      <c r="A41" t="s">
        <v>1410</v>
      </c>
      <c r="B41" t="s">
        <v>9490</v>
      </c>
      <c r="C41" t="s">
        <v>17</v>
      </c>
      <c r="D41" s="27" t="s">
        <v>9299</v>
      </c>
      <c r="E41" t="s">
        <v>217</v>
      </c>
      <c r="F41" s="421">
        <v>1</v>
      </c>
      <c r="G41" t="s">
        <v>193</v>
      </c>
      <c r="H41" t="s">
        <v>194</v>
      </c>
      <c r="I41" t="s">
        <v>9491</v>
      </c>
      <c r="J41" t="s">
        <v>210</v>
      </c>
      <c r="K41" t="s">
        <v>9492</v>
      </c>
      <c r="L41" t="s">
        <v>6249</v>
      </c>
      <c r="M41" t="s">
        <v>9428</v>
      </c>
      <c r="N41" t="s">
        <v>9493</v>
      </c>
      <c r="O41" t="s">
        <v>9494</v>
      </c>
      <c r="P41" t="s">
        <v>9495</v>
      </c>
      <c r="Q41" t="s">
        <v>9496</v>
      </c>
      <c r="S41" t="s">
        <v>9309</v>
      </c>
      <c r="T41" s="28" t="s">
        <v>9334</v>
      </c>
      <c r="U41" s="27" t="s">
        <v>624</v>
      </c>
      <c r="V41" t="s">
        <v>194</v>
      </c>
      <c r="W41" t="s">
        <v>9300</v>
      </c>
      <c r="Z41" t="s">
        <v>9311</v>
      </c>
      <c r="AF41" t="s">
        <v>4714</v>
      </c>
      <c r="AG41" t="s">
        <v>9433</v>
      </c>
      <c r="AI41" t="s">
        <v>6955</v>
      </c>
      <c r="AJ41" s="424" t="str">
        <f t="shared" si="0"/>
        <v>332203</v>
      </c>
      <c r="AK41" s="28">
        <v>1</v>
      </c>
      <c r="AL41" s="28">
        <f t="shared" si="2"/>
        <v>1</v>
      </c>
      <c r="AM41" s="28" t="str">
        <f t="shared" si="1"/>
        <v>agora</v>
      </c>
    </row>
    <row r="42" spans="1:39" x14ac:dyDescent="0.25">
      <c r="A42" t="s">
        <v>9497</v>
      </c>
      <c r="B42" t="s">
        <v>2889</v>
      </c>
      <c r="C42" t="s">
        <v>9498</v>
      </c>
      <c r="D42" s="27" t="s">
        <v>9299</v>
      </c>
      <c r="E42" t="s">
        <v>192</v>
      </c>
      <c r="F42" s="421">
        <v>1</v>
      </c>
      <c r="G42" t="s">
        <v>193</v>
      </c>
      <c r="H42" t="s">
        <v>194</v>
      </c>
      <c r="I42" t="s">
        <v>9301</v>
      </c>
      <c r="J42" t="s">
        <v>210</v>
      </c>
      <c r="K42" t="s">
        <v>9499</v>
      </c>
      <c r="L42" t="s">
        <v>6343</v>
      </c>
      <c r="M42" t="s">
        <v>9304</v>
      </c>
      <c r="N42" t="s">
        <v>9305</v>
      </c>
      <c r="O42" t="s">
        <v>9306</v>
      </c>
      <c r="P42" t="s">
        <v>9500</v>
      </c>
      <c r="Q42" t="s">
        <v>9501</v>
      </c>
      <c r="S42" t="s">
        <v>9309</v>
      </c>
      <c r="T42" s="28" t="s">
        <v>9334</v>
      </c>
      <c r="U42" s="27" t="s">
        <v>9502</v>
      </c>
      <c r="V42" t="s">
        <v>194</v>
      </c>
      <c r="W42" t="s">
        <v>9300</v>
      </c>
      <c r="Z42" t="s">
        <v>9311</v>
      </c>
      <c r="AF42" t="s">
        <v>4714</v>
      </c>
      <c r="AG42" t="s">
        <v>2889</v>
      </c>
      <c r="AI42" t="s">
        <v>6955</v>
      </c>
      <c r="AJ42" s="424" t="str">
        <f t="shared" si="0"/>
        <v>242113</v>
      </c>
      <c r="AK42" s="28">
        <v>1</v>
      </c>
      <c r="AL42" s="28">
        <f t="shared" si="2"/>
        <v>1</v>
      </c>
      <c r="AM42" s="28" t="str">
        <f t="shared" si="1"/>
        <v>pracuj.pl</v>
      </c>
    </row>
    <row r="43" spans="1:39" x14ac:dyDescent="0.25">
      <c r="A43" t="s">
        <v>780</v>
      </c>
      <c r="B43" t="s">
        <v>7636</v>
      </c>
      <c r="C43" t="s">
        <v>1497</v>
      </c>
      <c r="D43" s="27" t="s">
        <v>9299</v>
      </c>
      <c r="E43" t="s">
        <v>192</v>
      </c>
      <c r="F43" s="421">
        <v>1</v>
      </c>
      <c r="G43" t="s">
        <v>193</v>
      </c>
      <c r="H43" t="s">
        <v>194</v>
      </c>
      <c r="I43" t="s">
        <v>9301</v>
      </c>
      <c r="J43" t="s">
        <v>327</v>
      </c>
      <c r="K43" t="s">
        <v>9503</v>
      </c>
      <c r="L43" t="s">
        <v>6254</v>
      </c>
      <c r="M43" t="s">
        <v>9304</v>
      </c>
      <c r="N43" t="s">
        <v>9305</v>
      </c>
      <c r="O43" t="s">
        <v>9306</v>
      </c>
      <c r="P43" t="s">
        <v>9504</v>
      </c>
      <c r="Q43" t="s">
        <v>9505</v>
      </c>
      <c r="S43" t="s">
        <v>9309</v>
      </c>
      <c r="T43" s="28" t="s">
        <v>9506</v>
      </c>
      <c r="U43" s="27" t="s">
        <v>1498</v>
      </c>
      <c r="V43" t="s">
        <v>194</v>
      </c>
      <c r="W43" t="s">
        <v>9300</v>
      </c>
      <c r="Z43" t="s">
        <v>9311</v>
      </c>
      <c r="AF43" t="s">
        <v>4714</v>
      </c>
      <c r="AG43" t="s">
        <v>7636</v>
      </c>
      <c r="AI43" t="s">
        <v>6955</v>
      </c>
      <c r="AJ43" s="424" t="str">
        <f t="shared" si="0"/>
        <v>134605</v>
      </c>
      <c r="AK43" s="28">
        <v>1</v>
      </c>
      <c r="AL43" s="28">
        <f t="shared" si="2"/>
        <v>1</v>
      </c>
      <c r="AM43" s="28" t="str">
        <f t="shared" si="1"/>
        <v>pracuj.pl</v>
      </c>
    </row>
    <row r="44" spans="1:39" x14ac:dyDescent="0.25">
      <c r="A44" t="s">
        <v>780</v>
      </c>
      <c r="B44" t="s">
        <v>7636</v>
      </c>
      <c r="C44" t="s">
        <v>1497</v>
      </c>
      <c r="D44" s="27" t="s">
        <v>9299</v>
      </c>
      <c r="E44" t="s">
        <v>192</v>
      </c>
      <c r="F44" s="421">
        <v>1</v>
      </c>
      <c r="G44" t="s">
        <v>193</v>
      </c>
      <c r="H44" t="s">
        <v>194</v>
      </c>
      <c r="I44" t="s">
        <v>9301</v>
      </c>
      <c r="J44" t="s">
        <v>1059</v>
      </c>
      <c r="K44" t="s">
        <v>9507</v>
      </c>
      <c r="L44" t="s">
        <v>6254</v>
      </c>
      <c r="M44" t="s">
        <v>9304</v>
      </c>
      <c r="N44" t="s">
        <v>9305</v>
      </c>
      <c r="O44" t="s">
        <v>9306</v>
      </c>
      <c r="P44" t="s">
        <v>9508</v>
      </c>
      <c r="Q44" t="s">
        <v>9509</v>
      </c>
      <c r="S44" t="s">
        <v>9309</v>
      </c>
      <c r="T44" s="28" t="s">
        <v>9510</v>
      </c>
      <c r="U44" s="27" t="s">
        <v>1498</v>
      </c>
      <c r="V44" t="s">
        <v>194</v>
      </c>
      <c r="W44" t="s">
        <v>9300</v>
      </c>
      <c r="Z44" t="s">
        <v>9311</v>
      </c>
      <c r="AF44" t="s">
        <v>4714</v>
      </c>
      <c r="AG44" t="s">
        <v>7636</v>
      </c>
      <c r="AI44" t="s">
        <v>6955</v>
      </c>
      <c r="AJ44" s="424" t="str">
        <f t="shared" si="0"/>
        <v>134605</v>
      </c>
      <c r="AK44" s="28">
        <v>1</v>
      </c>
      <c r="AL44" s="28">
        <f t="shared" si="2"/>
        <v>1</v>
      </c>
      <c r="AM44" s="28" t="str">
        <f t="shared" si="1"/>
        <v>pracuj.pl</v>
      </c>
    </row>
    <row r="45" spans="1:39" x14ac:dyDescent="0.25">
      <c r="A45" t="s">
        <v>780</v>
      </c>
      <c r="B45" t="s">
        <v>7636</v>
      </c>
      <c r="C45" t="s">
        <v>1497</v>
      </c>
      <c r="D45" s="27" t="s">
        <v>9299</v>
      </c>
      <c r="E45" t="s">
        <v>192</v>
      </c>
      <c r="F45" s="421">
        <v>1</v>
      </c>
      <c r="G45" t="s">
        <v>193</v>
      </c>
      <c r="H45" t="s">
        <v>194</v>
      </c>
      <c r="I45" t="s">
        <v>9301</v>
      </c>
      <c r="J45" t="s">
        <v>323</v>
      </c>
      <c r="K45" t="s">
        <v>9511</v>
      </c>
      <c r="L45" t="s">
        <v>6254</v>
      </c>
      <c r="M45" t="s">
        <v>9304</v>
      </c>
      <c r="N45" t="s">
        <v>9305</v>
      </c>
      <c r="O45" t="s">
        <v>9306</v>
      </c>
      <c r="P45" t="s">
        <v>9512</v>
      </c>
      <c r="Q45" t="s">
        <v>9513</v>
      </c>
      <c r="S45" t="s">
        <v>9309</v>
      </c>
      <c r="T45" s="28" t="s">
        <v>9514</v>
      </c>
      <c r="U45" s="27" t="s">
        <v>1498</v>
      </c>
      <c r="V45" t="s">
        <v>194</v>
      </c>
      <c r="W45" t="s">
        <v>9300</v>
      </c>
      <c r="Z45" t="s">
        <v>9311</v>
      </c>
      <c r="AF45" t="s">
        <v>4714</v>
      </c>
      <c r="AG45" t="s">
        <v>7636</v>
      </c>
      <c r="AI45" t="s">
        <v>6955</v>
      </c>
      <c r="AJ45" s="424" t="str">
        <f t="shared" si="0"/>
        <v>134605</v>
      </c>
      <c r="AK45" s="28">
        <v>1</v>
      </c>
      <c r="AL45" s="28">
        <f t="shared" si="2"/>
        <v>1</v>
      </c>
      <c r="AM45" s="28" t="str">
        <f t="shared" si="1"/>
        <v>pracuj.pl</v>
      </c>
    </row>
    <row r="46" spans="1:39" x14ac:dyDescent="0.25">
      <c r="A46" t="s">
        <v>780</v>
      </c>
      <c r="B46" t="s">
        <v>7636</v>
      </c>
      <c r="C46" t="s">
        <v>1497</v>
      </c>
      <c r="D46" s="27" t="s">
        <v>9299</v>
      </c>
      <c r="E46" t="s">
        <v>192</v>
      </c>
      <c r="F46" s="421">
        <v>1</v>
      </c>
      <c r="G46" t="s">
        <v>193</v>
      </c>
      <c r="H46" t="s">
        <v>194</v>
      </c>
      <c r="I46" t="s">
        <v>9301</v>
      </c>
      <c r="J46" t="s">
        <v>285</v>
      </c>
      <c r="K46" t="s">
        <v>9515</v>
      </c>
      <c r="L46" t="s">
        <v>6254</v>
      </c>
      <c r="M46" t="s">
        <v>9304</v>
      </c>
      <c r="N46" t="s">
        <v>9305</v>
      </c>
      <c r="O46" t="s">
        <v>9306</v>
      </c>
      <c r="P46" t="s">
        <v>9516</v>
      </c>
      <c r="Q46" t="s">
        <v>9517</v>
      </c>
      <c r="S46" t="s">
        <v>9309</v>
      </c>
      <c r="T46" s="28" t="s">
        <v>9518</v>
      </c>
      <c r="U46" s="27" t="s">
        <v>1498</v>
      </c>
      <c r="V46" t="s">
        <v>194</v>
      </c>
      <c r="W46" t="s">
        <v>9300</v>
      </c>
      <c r="Z46" t="s">
        <v>9311</v>
      </c>
      <c r="AF46" t="s">
        <v>4714</v>
      </c>
      <c r="AG46" t="s">
        <v>7636</v>
      </c>
      <c r="AI46" t="s">
        <v>6955</v>
      </c>
      <c r="AJ46" s="424" t="str">
        <f t="shared" si="0"/>
        <v>134605</v>
      </c>
      <c r="AK46" s="28">
        <v>1</v>
      </c>
      <c r="AL46" s="28">
        <f t="shared" si="2"/>
        <v>1</v>
      </c>
      <c r="AM46" s="28" t="str">
        <f t="shared" si="1"/>
        <v>pracuj.pl</v>
      </c>
    </row>
    <row r="47" spans="1:39" x14ac:dyDescent="0.25">
      <c r="A47" t="s">
        <v>780</v>
      </c>
      <c r="B47" t="s">
        <v>7636</v>
      </c>
      <c r="C47" t="s">
        <v>1497</v>
      </c>
      <c r="D47" s="27" t="s">
        <v>9299</v>
      </c>
      <c r="E47" t="s">
        <v>192</v>
      </c>
      <c r="F47" s="421">
        <v>1</v>
      </c>
      <c r="G47" t="s">
        <v>193</v>
      </c>
      <c r="H47" t="s">
        <v>194</v>
      </c>
      <c r="I47" t="s">
        <v>9301</v>
      </c>
      <c r="J47" t="s">
        <v>309</v>
      </c>
      <c r="K47" t="s">
        <v>9519</v>
      </c>
      <c r="L47" t="s">
        <v>6254</v>
      </c>
      <c r="M47" t="s">
        <v>9304</v>
      </c>
      <c r="N47" t="s">
        <v>9305</v>
      </c>
      <c r="O47" t="s">
        <v>9306</v>
      </c>
      <c r="P47" t="s">
        <v>9520</v>
      </c>
      <c r="Q47" t="s">
        <v>9521</v>
      </c>
      <c r="S47" t="s">
        <v>9309</v>
      </c>
      <c r="T47" s="28" t="s">
        <v>9518</v>
      </c>
      <c r="U47" s="27" t="s">
        <v>1498</v>
      </c>
      <c r="V47" t="s">
        <v>194</v>
      </c>
      <c r="W47" t="s">
        <v>9300</v>
      </c>
      <c r="Z47" t="s">
        <v>9311</v>
      </c>
      <c r="AF47" t="s">
        <v>4714</v>
      </c>
      <c r="AG47" t="s">
        <v>7636</v>
      </c>
      <c r="AI47" t="s">
        <v>6955</v>
      </c>
      <c r="AJ47" s="424" t="str">
        <f t="shared" si="0"/>
        <v>134605</v>
      </c>
      <c r="AK47" s="28">
        <v>1</v>
      </c>
      <c r="AL47" s="28">
        <f t="shared" si="2"/>
        <v>1</v>
      </c>
      <c r="AM47" s="28" t="str">
        <f t="shared" si="1"/>
        <v>pracuj.pl</v>
      </c>
    </row>
    <row r="48" spans="1:39" x14ac:dyDescent="0.25">
      <c r="A48" t="s">
        <v>9522</v>
      </c>
      <c r="B48" t="s">
        <v>9607</v>
      </c>
      <c r="C48" t="s">
        <v>82</v>
      </c>
      <c r="D48" s="27" t="s">
        <v>9835</v>
      </c>
      <c r="E48" t="s">
        <v>217</v>
      </c>
      <c r="F48" s="421">
        <v>1</v>
      </c>
      <c r="G48" t="s">
        <v>193</v>
      </c>
      <c r="H48" t="s">
        <v>194</v>
      </c>
      <c r="I48" t="s">
        <v>9491</v>
      </c>
      <c r="J48" t="s">
        <v>210</v>
      </c>
      <c r="K48" t="s">
        <v>10781</v>
      </c>
      <c r="L48" t="s">
        <v>6921</v>
      </c>
      <c r="M48" t="s">
        <v>10618</v>
      </c>
      <c r="N48" t="s">
        <v>10045</v>
      </c>
      <c r="O48" t="s">
        <v>9305</v>
      </c>
      <c r="P48" t="s">
        <v>10782</v>
      </c>
      <c r="Q48" t="s">
        <v>10783</v>
      </c>
      <c r="S48" t="s">
        <v>9309</v>
      </c>
      <c r="T48" s="28" t="s">
        <v>9334</v>
      </c>
      <c r="U48" s="27" t="s">
        <v>504</v>
      </c>
      <c r="V48" t="s">
        <v>194</v>
      </c>
      <c r="W48" t="s">
        <v>9300</v>
      </c>
      <c r="Z48" t="s">
        <v>9311</v>
      </c>
      <c r="AF48" t="s">
        <v>4714</v>
      </c>
      <c r="AG48" t="s">
        <v>9433</v>
      </c>
      <c r="AI48" t="s">
        <v>6955</v>
      </c>
      <c r="AJ48" s="424" t="str">
        <f t="shared" si="0"/>
        <v>252101</v>
      </c>
      <c r="AK48" s="28">
        <v>1</v>
      </c>
      <c r="AL48" s="28">
        <f t="shared" si="2"/>
        <v>1</v>
      </c>
      <c r="AM48" s="28" t="str">
        <f t="shared" si="1"/>
        <v>agora</v>
      </c>
    </row>
    <row r="49" spans="1:39" x14ac:dyDescent="0.25">
      <c r="A49" t="s">
        <v>9522</v>
      </c>
      <c r="B49" t="s">
        <v>9607</v>
      </c>
      <c r="C49" t="s">
        <v>82</v>
      </c>
      <c r="D49" s="27" t="s">
        <v>9835</v>
      </c>
      <c r="E49" t="s">
        <v>217</v>
      </c>
      <c r="F49" s="421">
        <v>1</v>
      </c>
      <c r="G49" t="s">
        <v>193</v>
      </c>
      <c r="H49" t="s">
        <v>194</v>
      </c>
      <c r="I49" t="s">
        <v>9491</v>
      </c>
      <c r="J49" t="s">
        <v>210</v>
      </c>
      <c r="K49" t="s">
        <v>9611</v>
      </c>
      <c r="L49" t="s">
        <v>6921</v>
      </c>
      <c r="M49" t="s">
        <v>10618</v>
      </c>
      <c r="N49" t="s">
        <v>9938</v>
      </c>
      <c r="O49" t="s">
        <v>9537</v>
      </c>
      <c r="P49" t="s">
        <v>10784</v>
      </c>
      <c r="Q49" t="s">
        <v>10785</v>
      </c>
      <c r="S49" t="s">
        <v>9309</v>
      </c>
      <c r="T49" s="28" t="s">
        <v>9334</v>
      </c>
      <c r="U49" s="27" t="s">
        <v>504</v>
      </c>
      <c r="V49" t="s">
        <v>194</v>
      </c>
      <c r="W49" t="s">
        <v>9300</v>
      </c>
      <c r="Z49" t="s">
        <v>9311</v>
      </c>
      <c r="AF49" t="s">
        <v>4714</v>
      </c>
      <c r="AG49" t="s">
        <v>9433</v>
      </c>
      <c r="AI49" t="s">
        <v>6955</v>
      </c>
      <c r="AJ49" s="424" t="str">
        <f t="shared" si="0"/>
        <v>252101</v>
      </c>
      <c r="AK49" s="28">
        <v>1</v>
      </c>
      <c r="AL49" s="28">
        <f t="shared" si="2"/>
        <v>1</v>
      </c>
      <c r="AM49" s="28" t="str">
        <f t="shared" si="1"/>
        <v>agora</v>
      </c>
    </row>
    <row r="50" spans="1:39" x14ac:dyDescent="0.25">
      <c r="A50" t="s">
        <v>9522</v>
      </c>
      <c r="B50" t="s">
        <v>9607</v>
      </c>
      <c r="C50" t="s">
        <v>82</v>
      </c>
      <c r="D50" s="27" t="s">
        <v>9835</v>
      </c>
      <c r="E50" t="s">
        <v>217</v>
      </c>
      <c r="F50" s="421">
        <v>1</v>
      </c>
      <c r="G50" t="s">
        <v>193</v>
      </c>
      <c r="H50" t="s">
        <v>194</v>
      </c>
      <c r="I50" t="s">
        <v>9491</v>
      </c>
      <c r="J50" t="s">
        <v>210</v>
      </c>
      <c r="K50" t="s">
        <v>10786</v>
      </c>
      <c r="L50" t="s">
        <v>6921</v>
      </c>
      <c r="M50" t="s">
        <v>10618</v>
      </c>
      <c r="N50" t="s">
        <v>9583</v>
      </c>
      <c r="O50" t="s">
        <v>10767</v>
      </c>
      <c r="P50" t="s">
        <v>10787</v>
      </c>
      <c r="Q50" t="s">
        <v>10788</v>
      </c>
      <c r="S50" t="s">
        <v>9309</v>
      </c>
      <c r="T50" s="28" t="s">
        <v>9334</v>
      </c>
      <c r="U50" s="27" t="s">
        <v>504</v>
      </c>
      <c r="V50" t="s">
        <v>194</v>
      </c>
      <c r="W50" t="s">
        <v>9300</v>
      </c>
      <c r="Z50" t="s">
        <v>9311</v>
      </c>
      <c r="AF50" t="s">
        <v>4714</v>
      </c>
      <c r="AG50" t="s">
        <v>9433</v>
      </c>
      <c r="AI50" t="s">
        <v>6955</v>
      </c>
      <c r="AJ50" s="424" t="str">
        <f t="shared" si="0"/>
        <v>252101</v>
      </c>
      <c r="AK50" s="28">
        <v>1</v>
      </c>
      <c r="AL50" s="28">
        <f t="shared" si="2"/>
        <v>1</v>
      </c>
      <c r="AM50" s="28" t="str">
        <f t="shared" si="1"/>
        <v>agora</v>
      </c>
    </row>
    <row r="51" spans="1:39" x14ac:dyDescent="0.25">
      <c r="A51" t="s">
        <v>9165</v>
      </c>
      <c r="B51" t="s">
        <v>11691</v>
      </c>
      <c r="C51" t="s">
        <v>82</v>
      </c>
      <c r="D51" s="27" t="s">
        <v>9437</v>
      </c>
      <c r="E51" t="s">
        <v>233</v>
      </c>
      <c r="F51" s="421">
        <v>1</v>
      </c>
      <c r="G51" t="s">
        <v>193</v>
      </c>
      <c r="H51" t="s">
        <v>194</v>
      </c>
      <c r="I51" t="s">
        <v>11608</v>
      </c>
      <c r="J51" t="s">
        <v>9302</v>
      </c>
      <c r="K51" t="s">
        <v>11692</v>
      </c>
      <c r="L51" t="s">
        <v>6921</v>
      </c>
      <c r="M51" t="s">
        <v>11670</v>
      </c>
      <c r="N51" t="s">
        <v>10005</v>
      </c>
      <c r="O51" t="s">
        <v>9604</v>
      </c>
      <c r="P51" t="s">
        <v>11693</v>
      </c>
      <c r="Q51" t="s">
        <v>11694</v>
      </c>
      <c r="S51" t="s">
        <v>9309</v>
      </c>
      <c r="U51" s="27" t="s">
        <v>504</v>
      </c>
      <c r="V51" t="s">
        <v>193</v>
      </c>
      <c r="W51" t="s">
        <v>9310</v>
      </c>
      <c r="Z51" t="s">
        <v>9311</v>
      </c>
      <c r="AF51" t="s">
        <v>4714</v>
      </c>
      <c r="AG51" t="s">
        <v>11691</v>
      </c>
      <c r="AI51" t="s">
        <v>6955</v>
      </c>
      <c r="AJ51" s="424" t="str">
        <f t="shared" si="0"/>
        <v>252101</v>
      </c>
      <c r="AK51" s="28">
        <v>1</v>
      </c>
      <c r="AL51" s="28">
        <f t="shared" si="2"/>
        <v>1</v>
      </c>
      <c r="AM51" s="28" t="str">
        <f t="shared" si="1"/>
        <v>praca</v>
      </c>
    </row>
    <row r="52" spans="1:39" x14ac:dyDescent="0.25">
      <c r="A52" t="s">
        <v>9522</v>
      </c>
      <c r="B52" t="s">
        <v>9591</v>
      </c>
      <c r="C52" t="s">
        <v>82</v>
      </c>
      <c r="D52" s="27" t="s">
        <v>9437</v>
      </c>
      <c r="E52" t="s">
        <v>217</v>
      </c>
      <c r="F52" s="421">
        <v>1</v>
      </c>
      <c r="G52" t="s">
        <v>193</v>
      </c>
      <c r="H52" t="s">
        <v>194</v>
      </c>
      <c r="I52" t="s">
        <v>9491</v>
      </c>
      <c r="J52" t="s">
        <v>210</v>
      </c>
      <c r="K52" t="s">
        <v>9598</v>
      </c>
      <c r="L52" t="s">
        <v>6921</v>
      </c>
      <c r="M52" t="s">
        <v>11702</v>
      </c>
      <c r="N52" t="s">
        <v>10226</v>
      </c>
      <c r="O52" t="s">
        <v>9537</v>
      </c>
      <c r="P52" t="s">
        <v>11771</v>
      </c>
      <c r="Q52" t="s">
        <v>11772</v>
      </c>
      <c r="S52" t="s">
        <v>9309</v>
      </c>
      <c r="T52" s="28" t="s">
        <v>9334</v>
      </c>
      <c r="U52" s="27" t="s">
        <v>504</v>
      </c>
      <c r="V52" t="s">
        <v>194</v>
      </c>
      <c r="W52" t="s">
        <v>9300</v>
      </c>
      <c r="Z52" t="s">
        <v>9311</v>
      </c>
      <c r="AF52" t="s">
        <v>4714</v>
      </c>
      <c r="AG52" t="s">
        <v>9433</v>
      </c>
      <c r="AI52" t="s">
        <v>6955</v>
      </c>
      <c r="AJ52" s="424" t="str">
        <f t="shared" si="0"/>
        <v>252101</v>
      </c>
      <c r="AK52" s="28">
        <v>1</v>
      </c>
      <c r="AL52" s="28">
        <f t="shared" si="2"/>
        <v>1</v>
      </c>
      <c r="AM52" s="28" t="str">
        <f t="shared" si="1"/>
        <v>agora</v>
      </c>
    </row>
    <row r="53" spans="1:39" x14ac:dyDescent="0.25">
      <c r="A53" t="s">
        <v>9522</v>
      </c>
      <c r="B53" t="s">
        <v>9591</v>
      </c>
      <c r="C53" t="s">
        <v>82</v>
      </c>
      <c r="D53" s="27" t="s">
        <v>9437</v>
      </c>
      <c r="E53" t="s">
        <v>217</v>
      </c>
      <c r="F53" s="421">
        <v>1</v>
      </c>
      <c r="G53" t="s">
        <v>193</v>
      </c>
      <c r="H53" t="s">
        <v>194</v>
      </c>
      <c r="I53" t="s">
        <v>9491</v>
      </c>
      <c r="J53" t="s">
        <v>210</v>
      </c>
      <c r="K53" t="s">
        <v>10766</v>
      </c>
      <c r="L53" t="s">
        <v>6921</v>
      </c>
      <c r="M53" t="s">
        <v>11702</v>
      </c>
      <c r="N53" t="s">
        <v>9526</v>
      </c>
      <c r="O53" t="s">
        <v>10767</v>
      </c>
      <c r="P53" t="s">
        <v>11773</v>
      </c>
      <c r="Q53" t="s">
        <v>11774</v>
      </c>
      <c r="S53" t="s">
        <v>9309</v>
      </c>
      <c r="T53" s="28" t="s">
        <v>9334</v>
      </c>
      <c r="U53" s="27" t="s">
        <v>504</v>
      </c>
      <c r="V53" t="s">
        <v>194</v>
      </c>
      <c r="W53" t="s">
        <v>9300</v>
      </c>
      <c r="Z53" t="s">
        <v>9311</v>
      </c>
      <c r="AF53" t="s">
        <v>4714</v>
      </c>
      <c r="AG53" t="s">
        <v>9433</v>
      </c>
      <c r="AI53" t="s">
        <v>6955</v>
      </c>
      <c r="AJ53" s="424" t="str">
        <f t="shared" si="0"/>
        <v>252101</v>
      </c>
      <c r="AK53" s="28">
        <v>1</v>
      </c>
      <c r="AL53" s="28">
        <f t="shared" si="2"/>
        <v>1</v>
      </c>
      <c r="AM53" s="28" t="str">
        <f t="shared" si="1"/>
        <v>agora</v>
      </c>
    </row>
    <row r="54" spans="1:39" x14ac:dyDescent="0.25">
      <c r="A54" t="s">
        <v>9522</v>
      </c>
      <c r="B54" t="s">
        <v>9607</v>
      </c>
      <c r="C54" t="s">
        <v>82</v>
      </c>
      <c r="D54" s="27" t="s">
        <v>9437</v>
      </c>
      <c r="E54" t="s">
        <v>217</v>
      </c>
      <c r="F54" s="421">
        <v>1</v>
      </c>
      <c r="G54" t="s">
        <v>193</v>
      </c>
      <c r="H54" t="s">
        <v>194</v>
      </c>
      <c r="I54" t="s">
        <v>9491</v>
      </c>
      <c r="J54" t="s">
        <v>210</v>
      </c>
      <c r="K54" t="s">
        <v>10781</v>
      </c>
      <c r="L54" t="s">
        <v>6921</v>
      </c>
      <c r="M54" t="s">
        <v>11702</v>
      </c>
      <c r="N54" t="s">
        <v>9526</v>
      </c>
      <c r="O54" t="s">
        <v>9305</v>
      </c>
      <c r="P54" t="s">
        <v>11781</v>
      </c>
      <c r="Q54" t="s">
        <v>11782</v>
      </c>
      <c r="S54" t="s">
        <v>9309</v>
      </c>
      <c r="T54" s="28" t="s">
        <v>9334</v>
      </c>
      <c r="U54" s="27" t="s">
        <v>504</v>
      </c>
      <c r="V54" t="s">
        <v>194</v>
      </c>
      <c r="W54" t="s">
        <v>9300</v>
      </c>
      <c r="Z54" t="s">
        <v>9311</v>
      </c>
      <c r="AF54" t="s">
        <v>4714</v>
      </c>
      <c r="AG54" t="s">
        <v>9433</v>
      </c>
      <c r="AI54" t="s">
        <v>6955</v>
      </c>
      <c r="AJ54" s="424" t="str">
        <f t="shared" si="0"/>
        <v>252101</v>
      </c>
      <c r="AK54" s="28">
        <v>1</v>
      </c>
      <c r="AL54" s="28">
        <f t="shared" si="2"/>
        <v>1</v>
      </c>
      <c r="AM54" s="28" t="str">
        <f t="shared" si="1"/>
        <v>agora</v>
      </c>
    </row>
    <row r="55" spans="1:39" x14ac:dyDescent="0.25">
      <c r="A55" t="s">
        <v>9522</v>
      </c>
      <c r="B55" t="s">
        <v>9607</v>
      </c>
      <c r="C55" t="s">
        <v>82</v>
      </c>
      <c r="D55" s="27" t="s">
        <v>9437</v>
      </c>
      <c r="E55" t="s">
        <v>217</v>
      </c>
      <c r="F55" s="421">
        <v>1</v>
      </c>
      <c r="G55" t="s">
        <v>193</v>
      </c>
      <c r="H55" t="s">
        <v>194</v>
      </c>
      <c r="I55" t="s">
        <v>9491</v>
      </c>
      <c r="J55" t="s">
        <v>210</v>
      </c>
      <c r="K55" t="s">
        <v>9611</v>
      </c>
      <c r="L55" t="s">
        <v>6921</v>
      </c>
      <c r="M55" t="s">
        <v>11702</v>
      </c>
      <c r="N55" t="s">
        <v>9536</v>
      </c>
      <c r="O55" t="s">
        <v>9537</v>
      </c>
      <c r="P55" t="s">
        <v>11783</v>
      </c>
      <c r="Q55" t="s">
        <v>11784</v>
      </c>
      <c r="S55" t="s">
        <v>9309</v>
      </c>
      <c r="T55" s="28" t="s">
        <v>9334</v>
      </c>
      <c r="U55" s="27" t="s">
        <v>504</v>
      </c>
      <c r="V55" t="s">
        <v>194</v>
      </c>
      <c r="W55" t="s">
        <v>9300</v>
      </c>
      <c r="Z55" t="s">
        <v>9311</v>
      </c>
      <c r="AF55" t="s">
        <v>4714</v>
      </c>
      <c r="AG55" t="s">
        <v>9433</v>
      </c>
      <c r="AI55" t="s">
        <v>6955</v>
      </c>
      <c r="AJ55" s="424" t="str">
        <f t="shared" si="0"/>
        <v>252101</v>
      </c>
      <c r="AK55" s="28">
        <v>1</v>
      </c>
      <c r="AL55" s="28">
        <f t="shared" si="2"/>
        <v>1</v>
      </c>
      <c r="AM55" s="28" t="str">
        <f t="shared" si="1"/>
        <v>agora</v>
      </c>
    </row>
    <row r="56" spans="1:39" x14ac:dyDescent="0.25">
      <c r="A56" t="s">
        <v>9522</v>
      </c>
      <c r="B56" t="s">
        <v>9607</v>
      </c>
      <c r="C56" t="s">
        <v>82</v>
      </c>
      <c r="D56" s="27" t="s">
        <v>9437</v>
      </c>
      <c r="E56" t="s">
        <v>217</v>
      </c>
      <c r="F56" s="421">
        <v>1</v>
      </c>
      <c r="G56" t="s">
        <v>193</v>
      </c>
      <c r="H56" t="s">
        <v>194</v>
      </c>
      <c r="I56" t="s">
        <v>9491</v>
      </c>
      <c r="J56" t="s">
        <v>210</v>
      </c>
      <c r="K56" t="s">
        <v>10786</v>
      </c>
      <c r="L56" t="s">
        <v>6921</v>
      </c>
      <c r="M56" t="s">
        <v>11702</v>
      </c>
      <c r="N56" t="s">
        <v>9536</v>
      </c>
      <c r="O56" t="s">
        <v>10767</v>
      </c>
      <c r="P56" t="s">
        <v>11785</v>
      </c>
      <c r="Q56" t="s">
        <v>11786</v>
      </c>
      <c r="S56" t="s">
        <v>9309</v>
      </c>
      <c r="T56" s="28" t="s">
        <v>9334</v>
      </c>
      <c r="U56" s="27" t="s">
        <v>504</v>
      </c>
      <c r="V56" t="s">
        <v>194</v>
      </c>
      <c r="W56" t="s">
        <v>9300</v>
      </c>
      <c r="Z56" t="s">
        <v>9311</v>
      </c>
      <c r="AF56" t="s">
        <v>4714</v>
      </c>
      <c r="AG56" t="s">
        <v>9433</v>
      </c>
      <c r="AI56" t="s">
        <v>6955</v>
      </c>
      <c r="AJ56" s="424" t="str">
        <f t="shared" si="0"/>
        <v>252101</v>
      </c>
      <c r="AK56" s="28">
        <v>1</v>
      </c>
      <c r="AL56" s="28">
        <f t="shared" si="2"/>
        <v>1</v>
      </c>
      <c r="AM56" s="28" t="str">
        <f t="shared" si="1"/>
        <v>agora</v>
      </c>
    </row>
    <row r="57" spans="1:39" x14ac:dyDescent="0.25">
      <c r="A57" t="s">
        <v>9522</v>
      </c>
      <c r="B57" t="s">
        <v>9591</v>
      </c>
      <c r="C57" t="s">
        <v>82</v>
      </c>
      <c r="D57" s="27" t="s">
        <v>10194</v>
      </c>
      <c r="E57" t="s">
        <v>217</v>
      </c>
      <c r="F57" s="421">
        <v>1</v>
      </c>
      <c r="G57" t="s">
        <v>193</v>
      </c>
      <c r="H57" t="s">
        <v>194</v>
      </c>
      <c r="I57" t="s">
        <v>9491</v>
      </c>
      <c r="J57" t="s">
        <v>210</v>
      </c>
      <c r="K57" t="s">
        <v>10766</v>
      </c>
      <c r="L57" t="s">
        <v>6921</v>
      </c>
      <c r="M57" t="s">
        <v>12353</v>
      </c>
      <c r="N57" t="s">
        <v>9493</v>
      </c>
      <c r="O57" t="s">
        <v>10767</v>
      </c>
      <c r="P57" t="s">
        <v>12414</v>
      </c>
      <c r="Q57" t="s">
        <v>12415</v>
      </c>
      <c r="S57" t="s">
        <v>9309</v>
      </c>
      <c r="T57" s="28" t="s">
        <v>9334</v>
      </c>
      <c r="U57" s="27" t="s">
        <v>504</v>
      </c>
      <c r="V57" t="s">
        <v>194</v>
      </c>
      <c r="W57" t="s">
        <v>9300</v>
      </c>
      <c r="Z57" t="s">
        <v>9311</v>
      </c>
      <c r="AF57" t="s">
        <v>4714</v>
      </c>
      <c r="AG57" t="s">
        <v>9433</v>
      </c>
      <c r="AI57" t="s">
        <v>6955</v>
      </c>
      <c r="AJ57" s="424" t="str">
        <f t="shared" si="0"/>
        <v>252101</v>
      </c>
      <c r="AK57" s="28">
        <v>1</v>
      </c>
      <c r="AL57" s="28">
        <f t="shared" si="2"/>
        <v>1</v>
      </c>
      <c r="AM57" s="28" t="str">
        <f t="shared" si="1"/>
        <v>agora</v>
      </c>
    </row>
    <row r="58" spans="1:39" x14ac:dyDescent="0.25">
      <c r="A58" t="s">
        <v>9522</v>
      </c>
      <c r="B58" t="s">
        <v>9607</v>
      </c>
      <c r="C58" t="s">
        <v>82</v>
      </c>
      <c r="D58" s="27" t="s">
        <v>10194</v>
      </c>
      <c r="E58" t="s">
        <v>217</v>
      </c>
      <c r="F58" s="421">
        <v>1</v>
      </c>
      <c r="G58" t="s">
        <v>193</v>
      </c>
      <c r="H58" t="s">
        <v>194</v>
      </c>
      <c r="I58" t="s">
        <v>9491</v>
      </c>
      <c r="J58" t="s">
        <v>210</v>
      </c>
      <c r="K58" t="s">
        <v>10786</v>
      </c>
      <c r="L58" t="s">
        <v>6921</v>
      </c>
      <c r="M58" t="s">
        <v>12353</v>
      </c>
      <c r="N58" t="s">
        <v>9493</v>
      </c>
      <c r="O58" t="s">
        <v>10767</v>
      </c>
      <c r="P58" t="s">
        <v>12422</v>
      </c>
      <c r="Q58" t="s">
        <v>12423</v>
      </c>
      <c r="S58" t="s">
        <v>9309</v>
      </c>
      <c r="T58" s="28" t="s">
        <v>9334</v>
      </c>
      <c r="U58" s="27" t="s">
        <v>504</v>
      </c>
      <c r="V58" t="s">
        <v>194</v>
      </c>
      <c r="W58" t="s">
        <v>9300</v>
      </c>
      <c r="Z58" t="s">
        <v>9311</v>
      </c>
      <c r="AF58" t="s">
        <v>4714</v>
      </c>
      <c r="AG58" t="s">
        <v>9433</v>
      </c>
      <c r="AI58" t="s">
        <v>6955</v>
      </c>
      <c r="AJ58" s="424" t="str">
        <f t="shared" si="0"/>
        <v>252101</v>
      </c>
      <c r="AK58" s="28">
        <v>1</v>
      </c>
      <c r="AL58" s="28">
        <f t="shared" si="2"/>
        <v>1</v>
      </c>
      <c r="AM58" s="28" t="str">
        <f t="shared" si="1"/>
        <v>agora</v>
      </c>
    </row>
    <row r="59" spans="1:39" x14ac:dyDescent="0.25">
      <c r="A59" t="s">
        <v>9522</v>
      </c>
      <c r="B59" t="s">
        <v>9607</v>
      </c>
      <c r="C59" t="s">
        <v>82</v>
      </c>
      <c r="D59" s="27" t="s">
        <v>10194</v>
      </c>
      <c r="E59" t="s">
        <v>217</v>
      </c>
      <c r="F59" s="421">
        <v>1</v>
      </c>
      <c r="G59" t="s">
        <v>193</v>
      </c>
      <c r="H59" t="s">
        <v>194</v>
      </c>
      <c r="I59" t="s">
        <v>9491</v>
      </c>
      <c r="J59" t="s">
        <v>210</v>
      </c>
      <c r="K59" t="s">
        <v>10781</v>
      </c>
      <c r="L59" t="s">
        <v>6921</v>
      </c>
      <c r="M59" t="s">
        <v>12353</v>
      </c>
      <c r="N59" t="s">
        <v>9493</v>
      </c>
      <c r="O59" t="s">
        <v>9305</v>
      </c>
      <c r="P59" t="s">
        <v>12424</v>
      </c>
      <c r="Q59" t="s">
        <v>12425</v>
      </c>
      <c r="S59" t="s">
        <v>9309</v>
      </c>
      <c r="T59" s="28" t="s">
        <v>9334</v>
      </c>
      <c r="U59" s="27" t="s">
        <v>504</v>
      </c>
      <c r="V59" t="s">
        <v>194</v>
      </c>
      <c r="W59" t="s">
        <v>9300</v>
      </c>
      <c r="Z59" t="s">
        <v>9311</v>
      </c>
      <c r="AF59" t="s">
        <v>4714</v>
      </c>
      <c r="AG59" t="s">
        <v>9433</v>
      </c>
      <c r="AI59" t="s">
        <v>6955</v>
      </c>
      <c r="AJ59" s="424" t="str">
        <f t="shared" si="0"/>
        <v>252101</v>
      </c>
      <c r="AK59" s="28">
        <v>1</v>
      </c>
      <c r="AL59" s="28">
        <f t="shared" si="2"/>
        <v>1</v>
      </c>
      <c r="AM59" s="28" t="str">
        <f t="shared" si="1"/>
        <v>agora</v>
      </c>
    </row>
    <row r="60" spans="1:39" x14ac:dyDescent="0.25">
      <c r="A60" t="s">
        <v>9522</v>
      </c>
      <c r="B60" t="s">
        <v>9577</v>
      </c>
      <c r="C60" t="s">
        <v>27</v>
      </c>
      <c r="D60" s="27" t="s">
        <v>9299</v>
      </c>
      <c r="E60" t="s">
        <v>217</v>
      </c>
      <c r="F60" s="421">
        <v>1</v>
      </c>
      <c r="G60" t="s">
        <v>193</v>
      </c>
      <c r="H60" t="s">
        <v>194</v>
      </c>
      <c r="I60" t="s">
        <v>9491</v>
      </c>
      <c r="J60" t="s">
        <v>9578</v>
      </c>
      <c r="K60" t="s">
        <v>9579</v>
      </c>
      <c r="L60" t="s">
        <v>6340</v>
      </c>
      <c r="M60" t="s">
        <v>9436</v>
      </c>
      <c r="N60" t="s">
        <v>9429</v>
      </c>
      <c r="O60" t="s">
        <v>9318</v>
      </c>
      <c r="P60" t="s">
        <v>9580</v>
      </c>
      <c r="Q60" t="s">
        <v>9581</v>
      </c>
      <c r="S60" t="s">
        <v>9309</v>
      </c>
      <c r="U60" s="27" t="s">
        <v>440</v>
      </c>
      <c r="V60" t="s">
        <v>193</v>
      </c>
      <c r="W60" t="s">
        <v>9310</v>
      </c>
      <c r="Z60" t="s">
        <v>9311</v>
      </c>
      <c r="AF60" t="s">
        <v>4714</v>
      </c>
      <c r="AG60" t="s">
        <v>9433</v>
      </c>
      <c r="AI60" t="s">
        <v>6955</v>
      </c>
      <c r="AJ60" s="424" t="str">
        <f t="shared" si="0"/>
        <v>242307</v>
      </c>
      <c r="AK60" s="28">
        <v>1</v>
      </c>
      <c r="AL60" s="28">
        <f t="shared" si="2"/>
        <v>1</v>
      </c>
      <c r="AM60" s="28" t="str">
        <f t="shared" si="1"/>
        <v>agora</v>
      </c>
    </row>
    <row r="61" spans="1:39" x14ac:dyDescent="0.25">
      <c r="A61" t="s">
        <v>2914</v>
      </c>
      <c r="B61" t="s">
        <v>12513</v>
      </c>
      <c r="C61" t="s">
        <v>82</v>
      </c>
      <c r="D61" s="27" t="s">
        <v>10194</v>
      </c>
      <c r="E61" t="s">
        <v>192</v>
      </c>
      <c r="F61" s="421">
        <v>1</v>
      </c>
      <c r="G61" t="s">
        <v>193</v>
      </c>
      <c r="H61" t="s">
        <v>194</v>
      </c>
      <c r="I61" t="s">
        <v>11614</v>
      </c>
      <c r="J61" t="s">
        <v>210</v>
      </c>
      <c r="K61" t="s">
        <v>12514</v>
      </c>
      <c r="L61" t="s">
        <v>6921</v>
      </c>
      <c r="M61" t="s">
        <v>12244</v>
      </c>
      <c r="N61" t="s">
        <v>9749</v>
      </c>
      <c r="O61" t="s">
        <v>9574</v>
      </c>
      <c r="P61" t="s">
        <v>12515</v>
      </c>
      <c r="Q61" t="s">
        <v>12516</v>
      </c>
      <c r="S61" t="s">
        <v>9309</v>
      </c>
      <c r="T61" s="28" t="s">
        <v>9334</v>
      </c>
      <c r="U61" s="27" t="s">
        <v>504</v>
      </c>
      <c r="V61" t="s">
        <v>194</v>
      </c>
      <c r="W61" t="s">
        <v>9300</v>
      </c>
      <c r="Z61" t="s">
        <v>9311</v>
      </c>
      <c r="AF61" t="s">
        <v>4714</v>
      </c>
      <c r="AG61" t="s">
        <v>12513</v>
      </c>
      <c r="AI61" t="s">
        <v>6955</v>
      </c>
      <c r="AJ61" s="424" t="str">
        <f t="shared" si="0"/>
        <v>252101</v>
      </c>
      <c r="AK61" s="28">
        <v>1</v>
      </c>
      <c r="AL61" s="28">
        <f t="shared" si="2"/>
        <v>1</v>
      </c>
      <c r="AM61" s="28" t="str">
        <f t="shared" si="1"/>
        <v>pracuj.pl</v>
      </c>
    </row>
    <row r="62" spans="1:39" x14ac:dyDescent="0.25">
      <c r="A62" t="s">
        <v>9522</v>
      </c>
      <c r="B62" t="s">
        <v>9571</v>
      </c>
      <c r="C62" t="s">
        <v>46</v>
      </c>
      <c r="D62" s="27" t="s">
        <v>9299</v>
      </c>
      <c r="E62" t="s">
        <v>217</v>
      </c>
      <c r="F62" s="421">
        <v>1</v>
      </c>
      <c r="G62" t="s">
        <v>193</v>
      </c>
      <c r="H62" t="s">
        <v>194</v>
      </c>
      <c r="I62" t="s">
        <v>9491</v>
      </c>
      <c r="J62" t="s">
        <v>9524</v>
      </c>
      <c r="K62" t="s">
        <v>9572</v>
      </c>
      <c r="L62" t="s">
        <v>6921</v>
      </c>
      <c r="M62" t="s">
        <v>9428</v>
      </c>
      <c r="N62" t="s">
        <v>9573</v>
      </c>
      <c r="O62" t="s">
        <v>9574</v>
      </c>
      <c r="P62" t="s">
        <v>9575</v>
      </c>
      <c r="Q62" t="s">
        <v>9576</v>
      </c>
      <c r="S62" t="s">
        <v>9309</v>
      </c>
      <c r="U62" s="27" t="s">
        <v>510</v>
      </c>
      <c r="V62" t="s">
        <v>193</v>
      </c>
      <c r="W62" t="s">
        <v>9310</v>
      </c>
      <c r="Z62" t="s">
        <v>9311</v>
      </c>
      <c r="AF62" t="s">
        <v>4714</v>
      </c>
      <c r="AG62" t="s">
        <v>9433</v>
      </c>
      <c r="AI62" t="s">
        <v>6955</v>
      </c>
      <c r="AJ62" s="424" t="str">
        <f t="shared" si="0"/>
        <v>252201</v>
      </c>
      <c r="AK62" s="28">
        <v>1</v>
      </c>
      <c r="AL62" s="28">
        <f t="shared" si="2"/>
        <v>1</v>
      </c>
      <c r="AM62" s="28" t="str">
        <f t="shared" si="1"/>
        <v>agora</v>
      </c>
    </row>
    <row r="63" spans="1:39" x14ac:dyDescent="0.25">
      <c r="A63" t="s">
        <v>9522</v>
      </c>
      <c r="B63" t="s">
        <v>9658</v>
      </c>
      <c r="C63" t="s">
        <v>46</v>
      </c>
      <c r="D63" s="27" t="s">
        <v>9299</v>
      </c>
      <c r="E63" t="s">
        <v>217</v>
      </c>
      <c r="F63" s="421">
        <v>1</v>
      </c>
      <c r="G63" t="s">
        <v>193</v>
      </c>
      <c r="H63" t="s">
        <v>194</v>
      </c>
      <c r="I63" t="s">
        <v>9430</v>
      </c>
      <c r="J63" t="s">
        <v>9524</v>
      </c>
      <c r="K63" t="s">
        <v>9659</v>
      </c>
      <c r="L63" t="s">
        <v>6921</v>
      </c>
      <c r="M63" t="s">
        <v>9660</v>
      </c>
      <c r="N63" t="s">
        <v>9661</v>
      </c>
      <c r="O63" t="s">
        <v>9541</v>
      </c>
      <c r="P63" t="s">
        <v>9662</v>
      </c>
      <c r="Q63" t="s">
        <v>9663</v>
      </c>
      <c r="S63" t="s">
        <v>9309</v>
      </c>
      <c r="U63" s="27" t="s">
        <v>510</v>
      </c>
      <c r="V63" t="s">
        <v>193</v>
      </c>
      <c r="W63" t="s">
        <v>9310</v>
      </c>
      <c r="Z63" t="s">
        <v>9311</v>
      </c>
      <c r="AF63" t="s">
        <v>4714</v>
      </c>
      <c r="AG63" t="s">
        <v>9433</v>
      </c>
      <c r="AI63" t="s">
        <v>6955</v>
      </c>
      <c r="AJ63" s="424" t="str">
        <f t="shared" si="0"/>
        <v>252201</v>
      </c>
      <c r="AK63" s="28">
        <v>1</v>
      </c>
      <c r="AL63" s="28">
        <f t="shared" si="2"/>
        <v>1</v>
      </c>
      <c r="AM63" s="28" t="str">
        <f t="shared" si="1"/>
        <v>agora</v>
      </c>
    </row>
    <row r="64" spans="1:39" x14ac:dyDescent="0.25">
      <c r="A64" t="s">
        <v>1639</v>
      </c>
      <c r="B64" t="s">
        <v>10545</v>
      </c>
      <c r="C64" t="s">
        <v>46</v>
      </c>
      <c r="D64" s="27" t="s">
        <v>9835</v>
      </c>
      <c r="E64" t="s">
        <v>192</v>
      </c>
      <c r="F64" s="421">
        <v>1</v>
      </c>
      <c r="G64" t="s">
        <v>193</v>
      </c>
      <c r="H64" t="s">
        <v>194</v>
      </c>
      <c r="I64" t="s">
        <v>10546</v>
      </c>
      <c r="J64" t="s">
        <v>210</v>
      </c>
      <c r="K64" t="s">
        <v>10547</v>
      </c>
      <c r="L64" t="s">
        <v>6921</v>
      </c>
      <c r="M64" t="s">
        <v>10519</v>
      </c>
      <c r="N64" t="s">
        <v>10045</v>
      </c>
      <c r="O64" t="s">
        <v>9369</v>
      </c>
      <c r="P64" t="s">
        <v>10548</v>
      </c>
      <c r="Q64" t="s">
        <v>10549</v>
      </c>
      <c r="S64" t="s">
        <v>9309</v>
      </c>
      <c r="T64" s="28" t="s">
        <v>9334</v>
      </c>
      <c r="U64" s="27" t="s">
        <v>510</v>
      </c>
      <c r="V64" t="s">
        <v>194</v>
      </c>
      <c r="W64" t="s">
        <v>9300</v>
      </c>
      <c r="Z64" t="s">
        <v>9311</v>
      </c>
      <c r="AF64" t="s">
        <v>4714</v>
      </c>
      <c r="AG64" t="s">
        <v>10545</v>
      </c>
      <c r="AI64" t="s">
        <v>6955</v>
      </c>
      <c r="AJ64" s="424" t="str">
        <f t="shared" si="0"/>
        <v>252201</v>
      </c>
      <c r="AK64" s="28">
        <v>1</v>
      </c>
      <c r="AL64" s="28">
        <f t="shared" si="2"/>
        <v>1</v>
      </c>
      <c r="AM64" s="28" t="str">
        <f t="shared" si="1"/>
        <v>pracuj.pl</v>
      </c>
    </row>
    <row r="65" spans="1:39" x14ac:dyDescent="0.25">
      <c r="A65" t="s">
        <v>9522</v>
      </c>
      <c r="B65" t="s">
        <v>9571</v>
      </c>
      <c r="C65" t="s">
        <v>46</v>
      </c>
      <c r="D65" s="27" t="s">
        <v>9835</v>
      </c>
      <c r="E65" t="s">
        <v>217</v>
      </c>
      <c r="F65" s="421">
        <v>1</v>
      </c>
      <c r="G65" t="s">
        <v>193</v>
      </c>
      <c r="H65" t="s">
        <v>194</v>
      </c>
      <c r="I65" t="s">
        <v>9491</v>
      </c>
      <c r="J65" t="s">
        <v>9524</v>
      </c>
      <c r="K65" t="s">
        <v>9572</v>
      </c>
      <c r="L65" t="s">
        <v>6921</v>
      </c>
      <c r="M65" t="s">
        <v>10618</v>
      </c>
      <c r="N65" t="s">
        <v>9573</v>
      </c>
      <c r="O65" t="s">
        <v>9574</v>
      </c>
      <c r="P65" t="s">
        <v>10753</v>
      </c>
      <c r="Q65" t="s">
        <v>10754</v>
      </c>
      <c r="S65" t="s">
        <v>9309</v>
      </c>
      <c r="U65" s="27" t="s">
        <v>510</v>
      </c>
      <c r="V65" t="s">
        <v>193</v>
      </c>
      <c r="W65" t="s">
        <v>9310</v>
      </c>
      <c r="Z65" t="s">
        <v>9311</v>
      </c>
      <c r="AF65" t="s">
        <v>4714</v>
      </c>
      <c r="AG65" t="s">
        <v>9433</v>
      </c>
      <c r="AI65" t="s">
        <v>6955</v>
      </c>
      <c r="AJ65" s="424" t="str">
        <f t="shared" si="0"/>
        <v>252201</v>
      </c>
      <c r="AK65" s="28">
        <v>1</v>
      </c>
      <c r="AL65" s="28">
        <f t="shared" si="2"/>
        <v>1</v>
      </c>
      <c r="AM65" s="28" t="str">
        <f t="shared" si="1"/>
        <v>agora</v>
      </c>
    </row>
    <row r="66" spans="1:39" x14ac:dyDescent="0.25">
      <c r="A66" t="s">
        <v>9522</v>
      </c>
      <c r="B66" t="s">
        <v>9658</v>
      </c>
      <c r="C66" t="s">
        <v>46</v>
      </c>
      <c r="D66" s="27" t="s">
        <v>9835</v>
      </c>
      <c r="E66" t="s">
        <v>217</v>
      </c>
      <c r="F66" s="421">
        <v>1</v>
      </c>
      <c r="G66" t="s">
        <v>193</v>
      </c>
      <c r="H66" t="s">
        <v>194</v>
      </c>
      <c r="I66" t="s">
        <v>9430</v>
      </c>
      <c r="J66" t="s">
        <v>9524</v>
      </c>
      <c r="K66" t="s">
        <v>9659</v>
      </c>
      <c r="L66" t="s">
        <v>6921</v>
      </c>
      <c r="M66" t="s">
        <v>10618</v>
      </c>
      <c r="N66" t="s">
        <v>9661</v>
      </c>
      <c r="O66" t="s">
        <v>10828</v>
      </c>
      <c r="P66" t="s">
        <v>10829</v>
      </c>
      <c r="Q66" t="s">
        <v>10830</v>
      </c>
      <c r="S66" t="s">
        <v>9309</v>
      </c>
      <c r="U66" s="27" t="s">
        <v>510</v>
      </c>
      <c r="V66" t="s">
        <v>193</v>
      </c>
      <c r="W66" t="s">
        <v>9310</v>
      </c>
      <c r="Z66" t="s">
        <v>9311</v>
      </c>
      <c r="AF66" t="s">
        <v>4714</v>
      </c>
      <c r="AG66" t="s">
        <v>9433</v>
      </c>
      <c r="AI66" t="s">
        <v>6955</v>
      </c>
      <c r="AJ66" s="424" t="str">
        <f t="shared" ref="AJ66:AJ129" si="3">MID(U66,8,6)</f>
        <v>252201</v>
      </c>
      <c r="AK66" s="28">
        <v>1</v>
      </c>
      <c r="AL66" s="28">
        <f t="shared" si="2"/>
        <v>1</v>
      </c>
      <c r="AM66" s="28" t="str">
        <f t="shared" ref="AM66:AM129" si="4">T(E66)</f>
        <v>agora</v>
      </c>
    </row>
    <row r="67" spans="1:39" x14ac:dyDescent="0.25">
      <c r="A67" t="s">
        <v>10937</v>
      </c>
      <c r="B67" t="s">
        <v>10946</v>
      </c>
      <c r="C67" t="s">
        <v>46</v>
      </c>
      <c r="D67" s="27" t="s">
        <v>9835</v>
      </c>
      <c r="E67" t="s">
        <v>192</v>
      </c>
      <c r="F67" s="421">
        <v>1</v>
      </c>
      <c r="G67" t="s">
        <v>193</v>
      </c>
      <c r="H67" t="s">
        <v>194</v>
      </c>
      <c r="I67" t="s">
        <v>10529</v>
      </c>
      <c r="J67" t="s">
        <v>9302</v>
      </c>
      <c r="K67" t="s">
        <v>10947</v>
      </c>
      <c r="L67" t="s">
        <v>6921</v>
      </c>
      <c r="M67" t="s">
        <v>10519</v>
      </c>
      <c r="N67" t="s">
        <v>10045</v>
      </c>
      <c r="O67" t="s">
        <v>9369</v>
      </c>
      <c r="P67" t="s">
        <v>10948</v>
      </c>
      <c r="Q67" t="s">
        <v>10949</v>
      </c>
      <c r="S67" t="s">
        <v>9309</v>
      </c>
      <c r="U67" s="27" t="s">
        <v>510</v>
      </c>
      <c r="V67" t="s">
        <v>193</v>
      </c>
      <c r="W67" t="s">
        <v>9310</v>
      </c>
      <c r="Z67" t="s">
        <v>9311</v>
      </c>
      <c r="AF67" t="s">
        <v>4714</v>
      </c>
      <c r="AG67" t="s">
        <v>10946</v>
      </c>
      <c r="AI67" t="s">
        <v>6955</v>
      </c>
      <c r="AJ67" s="424" t="str">
        <f t="shared" si="3"/>
        <v>252201</v>
      </c>
      <c r="AK67" s="28">
        <v>1</v>
      </c>
      <c r="AL67" s="28">
        <f t="shared" ref="AL67:AL130" si="5">SUM(F67)</f>
        <v>1</v>
      </c>
      <c r="AM67" s="28" t="str">
        <f t="shared" si="4"/>
        <v>pracuj.pl</v>
      </c>
    </row>
    <row r="68" spans="1:39" x14ac:dyDescent="0.25">
      <c r="A68" t="s">
        <v>11125</v>
      </c>
      <c r="B68" t="s">
        <v>11126</v>
      </c>
      <c r="C68" t="s">
        <v>46</v>
      </c>
      <c r="D68" s="27" t="s">
        <v>9835</v>
      </c>
      <c r="E68" t="s">
        <v>192</v>
      </c>
      <c r="F68" s="421">
        <v>1</v>
      </c>
      <c r="G68" t="s">
        <v>193</v>
      </c>
      <c r="H68" t="s">
        <v>194</v>
      </c>
      <c r="I68" t="s">
        <v>10529</v>
      </c>
      <c r="J68" t="s">
        <v>9302</v>
      </c>
      <c r="K68" t="s">
        <v>11127</v>
      </c>
      <c r="L68" t="s">
        <v>6921</v>
      </c>
      <c r="M68" t="s">
        <v>10519</v>
      </c>
      <c r="N68" t="s">
        <v>10045</v>
      </c>
      <c r="O68" t="s">
        <v>9369</v>
      </c>
      <c r="P68" t="s">
        <v>11128</v>
      </c>
      <c r="Q68" t="s">
        <v>11129</v>
      </c>
      <c r="S68" t="s">
        <v>9309</v>
      </c>
      <c r="U68" s="27" t="s">
        <v>510</v>
      </c>
      <c r="V68" t="s">
        <v>193</v>
      </c>
      <c r="W68" t="s">
        <v>9310</v>
      </c>
      <c r="Z68" t="s">
        <v>9311</v>
      </c>
      <c r="AF68" t="s">
        <v>4714</v>
      </c>
      <c r="AG68" t="s">
        <v>11126</v>
      </c>
      <c r="AI68" t="s">
        <v>6955</v>
      </c>
      <c r="AJ68" s="424" t="str">
        <f t="shared" si="3"/>
        <v>252201</v>
      </c>
      <c r="AK68" s="28">
        <v>1</v>
      </c>
      <c r="AL68" s="28">
        <f t="shared" si="5"/>
        <v>1</v>
      </c>
      <c r="AM68" s="28" t="str">
        <f t="shared" si="4"/>
        <v>pracuj.pl</v>
      </c>
    </row>
    <row r="69" spans="1:39" x14ac:dyDescent="0.25">
      <c r="A69" t="s">
        <v>11612</v>
      </c>
      <c r="B69" t="s">
        <v>11630</v>
      </c>
      <c r="C69" t="s">
        <v>46</v>
      </c>
      <c r="D69" s="27" t="s">
        <v>9437</v>
      </c>
      <c r="E69" t="s">
        <v>192</v>
      </c>
      <c r="F69" s="421">
        <v>1</v>
      </c>
      <c r="G69" t="s">
        <v>193</v>
      </c>
      <c r="H69" t="s">
        <v>194</v>
      </c>
      <c r="I69" t="s">
        <v>9318</v>
      </c>
      <c r="J69" t="s">
        <v>9302</v>
      </c>
      <c r="K69" t="s">
        <v>11631</v>
      </c>
      <c r="L69" t="s">
        <v>6921</v>
      </c>
      <c r="M69" t="s">
        <v>11604</v>
      </c>
      <c r="N69" t="s">
        <v>9536</v>
      </c>
      <c r="O69" t="s">
        <v>9461</v>
      </c>
      <c r="P69" t="s">
        <v>11632</v>
      </c>
      <c r="Q69" t="s">
        <v>11633</v>
      </c>
      <c r="S69" t="s">
        <v>9309</v>
      </c>
      <c r="U69" s="27" t="s">
        <v>510</v>
      </c>
      <c r="V69" t="s">
        <v>193</v>
      </c>
      <c r="W69" t="s">
        <v>9310</v>
      </c>
      <c r="Z69" t="s">
        <v>9311</v>
      </c>
      <c r="AF69" t="s">
        <v>4714</v>
      </c>
      <c r="AG69" t="s">
        <v>11630</v>
      </c>
      <c r="AI69" t="s">
        <v>6955</v>
      </c>
      <c r="AJ69" s="424" t="str">
        <f t="shared" si="3"/>
        <v>252201</v>
      </c>
      <c r="AK69" s="28">
        <v>1</v>
      </c>
      <c r="AL69" s="28">
        <f t="shared" si="5"/>
        <v>1</v>
      </c>
      <c r="AM69" s="28" t="str">
        <f t="shared" si="4"/>
        <v>pracuj.pl</v>
      </c>
    </row>
    <row r="70" spans="1:39" x14ac:dyDescent="0.25">
      <c r="A70" t="s">
        <v>9522</v>
      </c>
      <c r="B70" t="s">
        <v>9571</v>
      </c>
      <c r="C70" t="s">
        <v>46</v>
      </c>
      <c r="D70" s="27" t="s">
        <v>9437</v>
      </c>
      <c r="E70" t="s">
        <v>217</v>
      </c>
      <c r="F70" s="421">
        <v>1</v>
      </c>
      <c r="G70" t="s">
        <v>193</v>
      </c>
      <c r="H70" t="s">
        <v>194</v>
      </c>
      <c r="I70" t="s">
        <v>9491</v>
      </c>
      <c r="J70" t="s">
        <v>9524</v>
      </c>
      <c r="K70" t="s">
        <v>9572</v>
      </c>
      <c r="L70" t="s">
        <v>6921</v>
      </c>
      <c r="M70" t="s">
        <v>11702</v>
      </c>
      <c r="N70" t="s">
        <v>9573</v>
      </c>
      <c r="O70" t="s">
        <v>9574</v>
      </c>
      <c r="P70" t="s">
        <v>11765</v>
      </c>
      <c r="Q70" t="s">
        <v>11766</v>
      </c>
      <c r="S70" t="s">
        <v>9309</v>
      </c>
      <c r="U70" s="27" t="s">
        <v>510</v>
      </c>
      <c r="V70" t="s">
        <v>193</v>
      </c>
      <c r="W70" t="s">
        <v>9310</v>
      </c>
      <c r="Z70" t="s">
        <v>9311</v>
      </c>
      <c r="AF70" t="s">
        <v>4714</v>
      </c>
      <c r="AG70" t="s">
        <v>9433</v>
      </c>
      <c r="AI70" t="s">
        <v>6955</v>
      </c>
      <c r="AJ70" s="424" t="str">
        <f t="shared" si="3"/>
        <v>252201</v>
      </c>
      <c r="AK70" s="28">
        <v>1</v>
      </c>
      <c r="AL70" s="28">
        <f t="shared" si="5"/>
        <v>1</v>
      </c>
      <c r="AM70" s="28" t="str">
        <f t="shared" si="4"/>
        <v>agora</v>
      </c>
    </row>
    <row r="71" spans="1:39" x14ac:dyDescent="0.25">
      <c r="A71" t="s">
        <v>9522</v>
      </c>
      <c r="B71" t="s">
        <v>9658</v>
      </c>
      <c r="C71" t="s">
        <v>46</v>
      </c>
      <c r="D71" s="27" t="s">
        <v>9437</v>
      </c>
      <c r="E71" t="s">
        <v>217</v>
      </c>
      <c r="F71" s="421">
        <v>1</v>
      </c>
      <c r="G71" t="s">
        <v>193</v>
      </c>
      <c r="H71" t="s">
        <v>194</v>
      </c>
      <c r="I71" t="s">
        <v>9430</v>
      </c>
      <c r="J71" t="s">
        <v>9524</v>
      </c>
      <c r="K71" t="s">
        <v>9659</v>
      </c>
      <c r="L71" t="s">
        <v>6921</v>
      </c>
      <c r="M71" t="s">
        <v>11702</v>
      </c>
      <c r="N71" t="s">
        <v>9661</v>
      </c>
      <c r="O71" t="s">
        <v>10828</v>
      </c>
      <c r="P71" t="s">
        <v>11813</v>
      </c>
      <c r="Q71" t="s">
        <v>11814</v>
      </c>
      <c r="S71" t="s">
        <v>9309</v>
      </c>
      <c r="U71" s="27" t="s">
        <v>510</v>
      </c>
      <c r="V71" t="s">
        <v>193</v>
      </c>
      <c r="W71" t="s">
        <v>9310</v>
      </c>
      <c r="Z71" t="s">
        <v>9311</v>
      </c>
      <c r="AF71" t="s">
        <v>4714</v>
      </c>
      <c r="AG71" t="s">
        <v>9433</v>
      </c>
      <c r="AI71" t="s">
        <v>6955</v>
      </c>
      <c r="AJ71" s="424" t="str">
        <f t="shared" si="3"/>
        <v>252201</v>
      </c>
      <c r="AK71" s="28">
        <v>1</v>
      </c>
      <c r="AL71" s="28">
        <f t="shared" si="5"/>
        <v>1</v>
      </c>
      <c r="AM71" s="28" t="str">
        <f t="shared" si="4"/>
        <v>agora</v>
      </c>
    </row>
    <row r="72" spans="1:39" x14ac:dyDescent="0.25">
      <c r="A72" t="s">
        <v>493</v>
      </c>
      <c r="B72" t="s">
        <v>12173</v>
      </c>
      <c r="C72" t="s">
        <v>46</v>
      </c>
      <c r="D72" s="27" t="s">
        <v>9437</v>
      </c>
      <c r="E72" t="s">
        <v>192</v>
      </c>
      <c r="F72" s="421">
        <v>1</v>
      </c>
      <c r="G72" t="s">
        <v>193</v>
      </c>
      <c r="H72" t="s">
        <v>194</v>
      </c>
      <c r="I72" t="s">
        <v>11608</v>
      </c>
      <c r="J72" t="s">
        <v>210</v>
      </c>
      <c r="K72" t="s">
        <v>12174</v>
      </c>
      <c r="L72" t="s">
        <v>6921</v>
      </c>
      <c r="M72" t="s">
        <v>11604</v>
      </c>
      <c r="N72" t="s">
        <v>9536</v>
      </c>
      <c r="O72" t="s">
        <v>9461</v>
      </c>
      <c r="P72" t="s">
        <v>12175</v>
      </c>
      <c r="Q72" t="s">
        <v>12176</v>
      </c>
      <c r="S72" t="s">
        <v>9309</v>
      </c>
      <c r="T72" s="28" t="s">
        <v>9334</v>
      </c>
      <c r="U72" s="27" t="s">
        <v>510</v>
      </c>
      <c r="V72" t="s">
        <v>194</v>
      </c>
      <c r="W72" t="s">
        <v>9300</v>
      </c>
      <c r="Z72" t="s">
        <v>9311</v>
      </c>
      <c r="AF72" t="s">
        <v>4714</v>
      </c>
      <c r="AG72" t="s">
        <v>12173</v>
      </c>
      <c r="AI72" t="s">
        <v>6955</v>
      </c>
      <c r="AJ72" s="424" t="str">
        <f t="shared" si="3"/>
        <v>252201</v>
      </c>
      <c r="AK72" s="28">
        <v>1</v>
      </c>
      <c r="AL72" s="28">
        <f t="shared" si="5"/>
        <v>1</v>
      </c>
      <c r="AM72" s="28" t="str">
        <f t="shared" si="4"/>
        <v>pracuj.pl</v>
      </c>
    </row>
    <row r="73" spans="1:39" x14ac:dyDescent="0.25">
      <c r="A73" t="s">
        <v>9522</v>
      </c>
      <c r="B73" t="s">
        <v>9571</v>
      </c>
      <c r="C73" t="s">
        <v>46</v>
      </c>
      <c r="D73" s="27" t="s">
        <v>10194</v>
      </c>
      <c r="E73" t="s">
        <v>217</v>
      </c>
      <c r="F73" s="421">
        <v>1</v>
      </c>
      <c r="G73" t="s">
        <v>193</v>
      </c>
      <c r="H73" t="s">
        <v>194</v>
      </c>
      <c r="I73" t="s">
        <v>9491</v>
      </c>
      <c r="J73" t="s">
        <v>9524</v>
      </c>
      <c r="K73" t="s">
        <v>9572</v>
      </c>
      <c r="L73" t="s">
        <v>6921</v>
      </c>
      <c r="M73" t="s">
        <v>12353</v>
      </c>
      <c r="N73" t="s">
        <v>9573</v>
      </c>
      <c r="O73" t="s">
        <v>9574</v>
      </c>
      <c r="P73" t="s">
        <v>12410</v>
      </c>
      <c r="Q73" t="s">
        <v>12411</v>
      </c>
      <c r="S73" t="s">
        <v>9309</v>
      </c>
      <c r="U73" s="27" t="s">
        <v>510</v>
      </c>
      <c r="V73" t="s">
        <v>193</v>
      </c>
      <c r="W73" t="s">
        <v>9310</v>
      </c>
      <c r="Z73" t="s">
        <v>9311</v>
      </c>
      <c r="AF73" t="s">
        <v>4714</v>
      </c>
      <c r="AG73" t="s">
        <v>9433</v>
      </c>
      <c r="AI73" t="s">
        <v>6955</v>
      </c>
      <c r="AJ73" s="424" t="str">
        <f t="shared" si="3"/>
        <v>252201</v>
      </c>
      <c r="AK73" s="28">
        <v>1</v>
      </c>
      <c r="AL73" s="28">
        <f t="shared" si="5"/>
        <v>1</v>
      </c>
      <c r="AM73" s="28" t="str">
        <f t="shared" si="4"/>
        <v>agora</v>
      </c>
    </row>
    <row r="74" spans="1:39" x14ac:dyDescent="0.25">
      <c r="A74" t="s">
        <v>9522</v>
      </c>
      <c r="B74" t="s">
        <v>9658</v>
      </c>
      <c r="C74" t="s">
        <v>46</v>
      </c>
      <c r="D74" s="27" t="s">
        <v>10194</v>
      </c>
      <c r="E74" t="s">
        <v>217</v>
      </c>
      <c r="F74" s="421">
        <v>1</v>
      </c>
      <c r="G74" t="s">
        <v>193</v>
      </c>
      <c r="H74" t="s">
        <v>194</v>
      </c>
      <c r="I74" t="s">
        <v>9430</v>
      </c>
      <c r="J74" t="s">
        <v>9524</v>
      </c>
      <c r="K74" t="s">
        <v>9659</v>
      </c>
      <c r="L74" t="s">
        <v>6921</v>
      </c>
      <c r="M74" t="s">
        <v>12353</v>
      </c>
      <c r="N74" t="s">
        <v>9661</v>
      </c>
      <c r="O74" t="s">
        <v>10828</v>
      </c>
      <c r="P74" t="s">
        <v>12448</v>
      </c>
      <c r="Q74" t="s">
        <v>12449</v>
      </c>
      <c r="S74" t="s">
        <v>9309</v>
      </c>
      <c r="U74" s="27" t="s">
        <v>510</v>
      </c>
      <c r="V74" t="s">
        <v>193</v>
      </c>
      <c r="W74" t="s">
        <v>9310</v>
      </c>
      <c r="Z74" t="s">
        <v>9311</v>
      </c>
      <c r="AF74" t="s">
        <v>4714</v>
      </c>
      <c r="AG74" t="s">
        <v>9433</v>
      </c>
      <c r="AI74" t="s">
        <v>6955</v>
      </c>
      <c r="AJ74" s="424" t="str">
        <f t="shared" si="3"/>
        <v>252201</v>
      </c>
      <c r="AK74" s="28">
        <v>1</v>
      </c>
      <c r="AL74" s="28">
        <f t="shared" si="5"/>
        <v>1</v>
      </c>
      <c r="AM74" s="28" t="str">
        <f t="shared" si="4"/>
        <v>agora</v>
      </c>
    </row>
    <row r="75" spans="1:39" x14ac:dyDescent="0.25">
      <c r="A75" t="s">
        <v>690</v>
      </c>
      <c r="B75" t="s">
        <v>12494</v>
      </c>
      <c r="C75" t="s">
        <v>46</v>
      </c>
      <c r="D75" s="27" t="s">
        <v>10194</v>
      </c>
      <c r="E75" t="s">
        <v>192</v>
      </c>
      <c r="F75" s="421">
        <v>1</v>
      </c>
      <c r="G75" t="s">
        <v>193</v>
      </c>
      <c r="H75" t="s">
        <v>194</v>
      </c>
      <c r="I75" t="s">
        <v>11614</v>
      </c>
      <c r="J75" t="s">
        <v>9302</v>
      </c>
      <c r="K75" t="s">
        <v>12495</v>
      </c>
      <c r="L75" t="s">
        <v>6921</v>
      </c>
      <c r="M75" t="s">
        <v>12244</v>
      </c>
      <c r="N75" t="s">
        <v>9749</v>
      </c>
      <c r="O75" t="s">
        <v>9574</v>
      </c>
      <c r="P75" t="s">
        <v>12496</v>
      </c>
      <c r="Q75" t="s">
        <v>12497</v>
      </c>
      <c r="S75" t="s">
        <v>9309</v>
      </c>
      <c r="U75" s="27" t="s">
        <v>510</v>
      </c>
      <c r="V75" t="s">
        <v>193</v>
      </c>
      <c r="W75" t="s">
        <v>9310</v>
      </c>
      <c r="Z75" t="s">
        <v>9311</v>
      </c>
      <c r="AF75" t="s">
        <v>4714</v>
      </c>
      <c r="AG75" t="s">
        <v>12494</v>
      </c>
      <c r="AI75" t="s">
        <v>6955</v>
      </c>
      <c r="AJ75" s="424" t="str">
        <f t="shared" si="3"/>
        <v>252201</v>
      </c>
      <c r="AK75" s="28">
        <v>1</v>
      </c>
      <c r="AL75" s="28">
        <f t="shared" si="5"/>
        <v>1</v>
      </c>
      <c r="AM75" s="28" t="str">
        <f t="shared" si="4"/>
        <v>pracuj.pl</v>
      </c>
    </row>
    <row r="76" spans="1:39" x14ac:dyDescent="0.25">
      <c r="A76" t="s">
        <v>9416</v>
      </c>
      <c r="B76" t="s">
        <v>9417</v>
      </c>
      <c r="C76" t="s">
        <v>507</v>
      </c>
      <c r="D76" s="27" t="s">
        <v>9299</v>
      </c>
      <c r="E76" t="s">
        <v>192</v>
      </c>
      <c r="F76" s="421">
        <v>1</v>
      </c>
      <c r="G76" t="s">
        <v>193</v>
      </c>
      <c r="H76" t="s">
        <v>194</v>
      </c>
      <c r="I76" t="s">
        <v>9318</v>
      </c>
      <c r="J76" t="s">
        <v>9302</v>
      </c>
      <c r="K76" t="s">
        <v>9418</v>
      </c>
      <c r="L76" t="s">
        <v>6286</v>
      </c>
      <c r="M76" t="s">
        <v>9304</v>
      </c>
      <c r="N76" t="s">
        <v>9305</v>
      </c>
      <c r="O76" t="s">
        <v>9306</v>
      </c>
      <c r="P76" t="s">
        <v>9419</v>
      </c>
      <c r="Q76" t="s">
        <v>9420</v>
      </c>
      <c r="S76" t="s">
        <v>9309</v>
      </c>
      <c r="U76" s="27" t="s">
        <v>508</v>
      </c>
      <c r="V76" t="s">
        <v>193</v>
      </c>
      <c r="W76" t="s">
        <v>9310</v>
      </c>
      <c r="Z76" t="s">
        <v>9311</v>
      </c>
      <c r="AF76" t="s">
        <v>4714</v>
      </c>
      <c r="AG76" t="s">
        <v>9417</v>
      </c>
      <c r="AI76" t="s">
        <v>6955</v>
      </c>
      <c r="AJ76" s="424" t="str">
        <f t="shared" si="3"/>
        <v>252102</v>
      </c>
      <c r="AK76" s="28">
        <v>1</v>
      </c>
      <c r="AL76" s="28">
        <f t="shared" si="5"/>
        <v>1</v>
      </c>
      <c r="AM76" s="28" t="str">
        <f t="shared" si="4"/>
        <v>pracuj.pl</v>
      </c>
    </row>
    <row r="77" spans="1:39" x14ac:dyDescent="0.25">
      <c r="A77" t="s">
        <v>915</v>
      </c>
      <c r="B77" t="s">
        <v>10061</v>
      </c>
      <c r="C77" t="s">
        <v>507</v>
      </c>
      <c r="D77" s="27" t="s">
        <v>9299</v>
      </c>
      <c r="E77" t="s">
        <v>233</v>
      </c>
      <c r="F77" s="421">
        <v>1</v>
      </c>
      <c r="G77" t="s">
        <v>194</v>
      </c>
      <c r="H77" t="s">
        <v>193</v>
      </c>
      <c r="I77" t="s">
        <v>9491</v>
      </c>
      <c r="J77" t="s">
        <v>9302</v>
      </c>
      <c r="K77" t="s">
        <v>10062</v>
      </c>
      <c r="L77" t="s">
        <v>6921</v>
      </c>
      <c r="M77" t="s">
        <v>9794</v>
      </c>
      <c r="N77" t="s">
        <v>9342</v>
      </c>
      <c r="O77" t="s">
        <v>9343</v>
      </c>
      <c r="P77" t="s">
        <v>10063</v>
      </c>
      <c r="Q77" t="s">
        <v>10064</v>
      </c>
      <c r="S77" t="s">
        <v>9309</v>
      </c>
      <c r="U77" s="27" t="s">
        <v>508</v>
      </c>
      <c r="V77" t="s">
        <v>194</v>
      </c>
      <c r="W77" t="s">
        <v>9946</v>
      </c>
      <c r="Z77" t="s">
        <v>9311</v>
      </c>
      <c r="AF77" t="s">
        <v>4714</v>
      </c>
      <c r="AG77" t="s">
        <v>10061</v>
      </c>
      <c r="AI77" t="s">
        <v>6955</v>
      </c>
      <c r="AJ77" s="424" t="str">
        <f t="shared" si="3"/>
        <v>252102</v>
      </c>
      <c r="AK77" s="28">
        <v>1</v>
      </c>
      <c r="AL77" s="28">
        <f t="shared" si="5"/>
        <v>1</v>
      </c>
      <c r="AM77" s="28" t="str">
        <f t="shared" si="4"/>
        <v>praca</v>
      </c>
    </row>
    <row r="78" spans="1:39" x14ac:dyDescent="0.25">
      <c r="A78" t="s">
        <v>10278</v>
      </c>
      <c r="B78" t="s">
        <v>10283</v>
      </c>
      <c r="C78" t="s">
        <v>507</v>
      </c>
      <c r="D78" s="27" t="s">
        <v>9299</v>
      </c>
      <c r="E78" t="s">
        <v>192</v>
      </c>
      <c r="F78" s="421">
        <v>1</v>
      </c>
      <c r="G78" t="s">
        <v>193</v>
      </c>
      <c r="H78" t="s">
        <v>194</v>
      </c>
      <c r="I78" t="s">
        <v>9989</v>
      </c>
      <c r="J78" t="s">
        <v>9302</v>
      </c>
      <c r="K78" t="s">
        <v>10284</v>
      </c>
      <c r="L78" t="s">
        <v>6261</v>
      </c>
      <c r="M78" t="s">
        <v>9304</v>
      </c>
      <c r="N78" t="s">
        <v>9305</v>
      </c>
      <c r="O78" t="s">
        <v>9306</v>
      </c>
      <c r="P78" t="s">
        <v>10285</v>
      </c>
      <c r="Q78" t="s">
        <v>10286</v>
      </c>
      <c r="S78" t="s">
        <v>9309</v>
      </c>
      <c r="U78" s="27" t="s">
        <v>508</v>
      </c>
      <c r="V78" t="s">
        <v>193</v>
      </c>
      <c r="W78" t="s">
        <v>9310</v>
      </c>
      <c r="Z78" t="s">
        <v>9311</v>
      </c>
      <c r="AF78" t="s">
        <v>4714</v>
      </c>
      <c r="AG78" t="s">
        <v>10283</v>
      </c>
      <c r="AI78" t="s">
        <v>6955</v>
      </c>
      <c r="AJ78" s="424" t="str">
        <f t="shared" si="3"/>
        <v>252102</v>
      </c>
      <c r="AK78" s="28">
        <v>1</v>
      </c>
      <c r="AL78" s="28">
        <f t="shared" si="5"/>
        <v>1</v>
      </c>
      <c r="AM78" s="28" t="str">
        <f t="shared" si="4"/>
        <v>pracuj.pl</v>
      </c>
    </row>
    <row r="79" spans="1:39" x14ac:dyDescent="0.25">
      <c r="A79" t="s">
        <v>10533</v>
      </c>
      <c r="B79" t="s">
        <v>10534</v>
      </c>
      <c r="C79" t="s">
        <v>507</v>
      </c>
      <c r="D79" s="27" t="s">
        <v>9835</v>
      </c>
      <c r="E79" t="s">
        <v>192</v>
      </c>
      <c r="F79" s="421">
        <v>1</v>
      </c>
      <c r="G79" t="s">
        <v>193</v>
      </c>
      <c r="H79" t="s">
        <v>194</v>
      </c>
      <c r="I79" t="s">
        <v>10529</v>
      </c>
      <c r="J79" t="s">
        <v>9302</v>
      </c>
      <c r="K79" t="s">
        <v>10535</v>
      </c>
      <c r="L79" t="s">
        <v>7531</v>
      </c>
      <c r="M79" t="s">
        <v>10519</v>
      </c>
      <c r="N79" t="s">
        <v>10045</v>
      </c>
      <c r="O79" t="s">
        <v>9369</v>
      </c>
      <c r="P79" t="s">
        <v>10536</v>
      </c>
      <c r="Q79" t="s">
        <v>10537</v>
      </c>
      <c r="S79" t="s">
        <v>9309</v>
      </c>
      <c r="U79" s="27" t="s">
        <v>508</v>
      </c>
      <c r="V79" t="s">
        <v>193</v>
      </c>
      <c r="W79" t="s">
        <v>9310</v>
      </c>
      <c r="Z79" t="s">
        <v>9311</v>
      </c>
      <c r="AF79" t="s">
        <v>4714</v>
      </c>
      <c r="AG79" t="s">
        <v>10534</v>
      </c>
      <c r="AI79" t="s">
        <v>6955</v>
      </c>
      <c r="AJ79" s="424" t="str">
        <f t="shared" si="3"/>
        <v>252102</v>
      </c>
      <c r="AK79" s="28">
        <v>1</v>
      </c>
      <c r="AL79" s="28">
        <f t="shared" si="5"/>
        <v>1</v>
      </c>
      <c r="AM79" s="28" t="str">
        <f t="shared" si="4"/>
        <v>pracuj.pl</v>
      </c>
    </row>
    <row r="80" spans="1:39" x14ac:dyDescent="0.25">
      <c r="A80" t="s">
        <v>9373</v>
      </c>
      <c r="B80" t="s">
        <v>10593</v>
      </c>
      <c r="C80" t="s">
        <v>507</v>
      </c>
      <c r="D80" s="27" t="s">
        <v>9835</v>
      </c>
      <c r="E80" t="s">
        <v>192</v>
      </c>
      <c r="F80" s="421">
        <v>1</v>
      </c>
      <c r="G80" t="s">
        <v>193</v>
      </c>
      <c r="H80" t="s">
        <v>194</v>
      </c>
      <c r="I80" t="s">
        <v>9491</v>
      </c>
      <c r="J80" t="s">
        <v>9302</v>
      </c>
      <c r="K80" t="s">
        <v>10594</v>
      </c>
      <c r="L80" t="s">
        <v>6921</v>
      </c>
      <c r="M80" t="s">
        <v>10519</v>
      </c>
      <c r="N80" t="s">
        <v>10045</v>
      </c>
      <c r="O80" t="s">
        <v>9369</v>
      </c>
      <c r="P80" t="s">
        <v>10595</v>
      </c>
      <c r="Q80" t="s">
        <v>10596</v>
      </c>
      <c r="S80" t="s">
        <v>9309</v>
      </c>
      <c r="U80" s="27" t="s">
        <v>508</v>
      </c>
      <c r="V80" t="s">
        <v>193</v>
      </c>
      <c r="W80" t="s">
        <v>9310</v>
      </c>
      <c r="Z80" t="s">
        <v>9311</v>
      </c>
      <c r="AF80" t="s">
        <v>4714</v>
      </c>
      <c r="AG80" t="s">
        <v>10593</v>
      </c>
      <c r="AI80" t="s">
        <v>6955</v>
      </c>
      <c r="AJ80" s="424" t="str">
        <f t="shared" si="3"/>
        <v>252102</v>
      </c>
      <c r="AK80" s="28">
        <v>1</v>
      </c>
      <c r="AL80" s="28">
        <f t="shared" si="5"/>
        <v>1</v>
      </c>
      <c r="AM80" s="28" t="str">
        <f t="shared" si="4"/>
        <v>pracuj.pl</v>
      </c>
    </row>
    <row r="81" spans="1:39" x14ac:dyDescent="0.25">
      <c r="A81" t="s">
        <v>9522</v>
      </c>
      <c r="B81" t="s">
        <v>10738</v>
      </c>
      <c r="C81" t="s">
        <v>507</v>
      </c>
      <c r="D81" s="27" t="s">
        <v>9835</v>
      </c>
      <c r="E81" t="s">
        <v>217</v>
      </c>
      <c r="F81" s="421">
        <v>1</v>
      </c>
      <c r="G81" t="s">
        <v>193</v>
      </c>
      <c r="H81" t="s">
        <v>194</v>
      </c>
      <c r="I81" t="s">
        <v>9491</v>
      </c>
      <c r="J81" t="s">
        <v>210</v>
      </c>
      <c r="K81" t="s">
        <v>10739</v>
      </c>
      <c r="L81" t="s">
        <v>6261</v>
      </c>
      <c r="M81" t="s">
        <v>10618</v>
      </c>
      <c r="N81" t="s">
        <v>10045</v>
      </c>
      <c r="O81" t="s">
        <v>9305</v>
      </c>
      <c r="P81" t="s">
        <v>10740</v>
      </c>
      <c r="Q81" t="s">
        <v>10741</v>
      </c>
      <c r="S81" t="s">
        <v>9309</v>
      </c>
      <c r="T81" s="28" t="s">
        <v>9334</v>
      </c>
      <c r="U81" s="27" t="s">
        <v>508</v>
      </c>
      <c r="V81" t="s">
        <v>194</v>
      </c>
      <c r="W81" t="s">
        <v>9300</v>
      </c>
      <c r="Z81" t="s">
        <v>9311</v>
      </c>
      <c r="AF81" t="s">
        <v>4714</v>
      </c>
      <c r="AG81" t="s">
        <v>9433</v>
      </c>
      <c r="AI81" t="s">
        <v>6955</v>
      </c>
      <c r="AJ81" s="424" t="str">
        <f t="shared" si="3"/>
        <v>252102</v>
      </c>
      <c r="AK81" s="28">
        <v>1</v>
      </c>
      <c r="AL81" s="28">
        <f t="shared" si="5"/>
        <v>1</v>
      </c>
      <c r="AM81" s="28" t="str">
        <f t="shared" si="4"/>
        <v>agora</v>
      </c>
    </row>
    <row r="82" spans="1:39" x14ac:dyDescent="0.25">
      <c r="A82" t="s">
        <v>11327</v>
      </c>
      <c r="B82" t="s">
        <v>11328</v>
      </c>
      <c r="C82" t="s">
        <v>507</v>
      </c>
      <c r="D82" s="27" t="s">
        <v>9835</v>
      </c>
      <c r="E82" t="s">
        <v>192</v>
      </c>
      <c r="F82" s="421">
        <v>1</v>
      </c>
      <c r="G82" t="s">
        <v>193</v>
      </c>
      <c r="H82" t="s">
        <v>194</v>
      </c>
      <c r="I82" t="s">
        <v>10529</v>
      </c>
      <c r="J82" t="s">
        <v>210</v>
      </c>
      <c r="K82" t="s">
        <v>11329</v>
      </c>
      <c r="L82" t="s">
        <v>7531</v>
      </c>
      <c r="M82" t="s">
        <v>10519</v>
      </c>
      <c r="N82" t="s">
        <v>10045</v>
      </c>
      <c r="O82" t="s">
        <v>9369</v>
      </c>
      <c r="P82" t="s">
        <v>11330</v>
      </c>
      <c r="Q82" t="s">
        <v>11331</v>
      </c>
      <c r="S82" t="s">
        <v>9309</v>
      </c>
      <c r="T82" s="28" t="s">
        <v>9334</v>
      </c>
      <c r="U82" s="27" t="s">
        <v>508</v>
      </c>
      <c r="V82" t="s">
        <v>194</v>
      </c>
      <c r="W82" t="s">
        <v>9300</v>
      </c>
      <c r="Z82" t="s">
        <v>9311</v>
      </c>
      <c r="AF82" t="s">
        <v>4714</v>
      </c>
      <c r="AG82" t="s">
        <v>11328</v>
      </c>
      <c r="AI82" t="s">
        <v>6955</v>
      </c>
      <c r="AJ82" s="424" t="str">
        <f t="shared" si="3"/>
        <v>252102</v>
      </c>
      <c r="AK82" s="28">
        <v>1</v>
      </c>
      <c r="AL82" s="28">
        <f t="shared" si="5"/>
        <v>1</v>
      </c>
      <c r="AM82" s="28" t="str">
        <f t="shared" si="4"/>
        <v>pracuj.pl</v>
      </c>
    </row>
    <row r="83" spans="1:39" x14ac:dyDescent="0.25">
      <c r="A83" t="s">
        <v>11612</v>
      </c>
      <c r="B83" t="s">
        <v>11613</v>
      </c>
      <c r="C83" t="s">
        <v>507</v>
      </c>
      <c r="D83" s="27" t="s">
        <v>9437</v>
      </c>
      <c r="E83" t="s">
        <v>192</v>
      </c>
      <c r="F83" s="421">
        <v>1</v>
      </c>
      <c r="G83" t="s">
        <v>193</v>
      </c>
      <c r="H83" t="s">
        <v>194</v>
      </c>
      <c r="I83" t="s">
        <v>11614</v>
      </c>
      <c r="J83" t="s">
        <v>9302</v>
      </c>
      <c r="K83" t="s">
        <v>11615</v>
      </c>
      <c r="L83" t="s">
        <v>6921</v>
      </c>
      <c r="M83" t="s">
        <v>11604</v>
      </c>
      <c r="N83" t="s">
        <v>9536</v>
      </c>
      <c r="O83" t="s">
        <v>9461</v>
      </c>
      <c r="P83" t="s">
        <v>11616</v>
      </c>
      <c r="Q83" t="s">
        <v>11617</v>
      </c>
      <c r="S83" t="s">
        <v>9309</v>
      </c>
      <c r="U83" s="27" t="s">
        <v>508</v>
      </c>
      <c r="V83" t="s">
        <v>193</v>
      </c>
      <c r="W83" t="s">
        <v>9310</v>
      </c>
      <c r="Z83" t="s">
        <v>9311</v>
      </c>
      <c r="AF83" t="s">
        <v>4714</v>
      </c>
      <c r="AG83" t="s">
        <v>11613</v>
      </c>
      <c r="AI83" t="s">
        <v>6955</v>
      </c>
      <c r="AJ83" s="424" t="str">
        <f t="shared" si="3"/>
        <v>252102</v>
      </c>
      <c r="AK83" s="28">
        <v>1</v>
      </c>
      <c r="AL83" s="28">
        <f t="shared" si="5"/>
        <v>1</v>
      </c>
      <c r="AM83" s="28" t="str">
        <f t="shared" si="4"/>
        <v>pracuj.pl</v>
      </c>
    </row>
    <row r="84" spans="1:39" x14ac:dyDescent="0.25">
      <c r="A84" t="s">
        <v>11612</v>
      </c>
      <c r="B84" t="s">
        <v>11634</v>
      </c>
      <c r="C84" t="s">
        <v>507</v>
      </c>
      <c r="D84" s="27" t="s">
        <v>9437</v>
      </c>
      <c r="E84" t="s">
        <v>192</v>
      </c>
      <c r="F84" s="421">
        <v>1</v>
      </c>
      <c r="G84" t="s">
        <v>193</v>
      </c>
      <c r="H84" t="s">
        <v>194</v>
      </c>
      <c r="I84" t="s">
        <v>9318</v>
      </c>
      <c r="J84" t="s">
        <v>9302</v>
      </c>
      <c r="K84" t="s">
        <v>11635</v>
      </c>
      <c r="L84" t="s">
        <v>6921</v>
      </c>
      <c r="M84" t="s">
        <v>11604</v>
      </c>
      <c r="N84" t="s">
        <v>9536</v>
      </c>
      <c r="O84" t="s">
        <v>9461</v>
      </c>
      <c r="P84" t="s">
        <v>11636</v>
      </c>
      <c r="Q84" t="s">
        <v>11637</v>
      </c>
      <c r="S84" t="s">
        <v>9309</v>
      </c>
      <c r="U84" s="27" t="s">
        <v>508</v>
      </c>
      <c r="V84" t="s">
        <v>193</v>
      </c>
      <c r="W84" t="s">
        <v>9310</v>
      </c>
      <c r="Z84" t="s">
        <v>9311</v>
      </c>
      <c r="AF84" t="s">
        <v>4714</v>
      </c>
      <c r="AG84" t="s">
        <v>11634</v>
      </c>
      <c r="AI84" t="s">
        <v>6955</v>
      </c>
      <c r="AJ84" s="424" t="str">
        <f t="shared" si="3"/>
        <v>252102</v>
      </c>
      <c r="AK84" s="28">
        <v>1</v>
      </c>
      <c r="AL84" s="28">
        <f t="shared" si="5"/>
        <v>1</v>
      </c>
      <c r="AM84" s="28" t="str">
        <f t="shared" si="4"/>
        <v>pracuj.pl</v>
      </c>
    </row>
    <row r="85" spans="1:39" x14ac:dyDescent="0.25">
      <c r="A85" t="s">
        <v>9522</v>
      </c>
      <c r="B85" t="s">
        <v>10738</v>
      </c>
      <c r="C85" t="s">
        <v>507</v>
      </c>
      <c r="D85" s="27" t="s">
        <v>9437</v>
      </c>
      <c r="E85" t="s">
        <v>217</v>
      </c>
      <c r="F85" s="421">
        <v>1</v>
      </c>
      <c r="G85" t="s">
        <v>193</v>
      </c>
      <c r="H85" t="s">
        <v>194</v>
      </c>
      <c r="I85" t="s">
        <v>9491</v>
      </c>
      <c r="J85" t="s">
        <v>210</v>
      </c>
      <c r="K85" t="s">
        <v>10739</v>
      </c>
      <c r="L85" t="s">
        <v>6261</v>
      </c>
      <c r="M85" t="s">
        <v>11702</v>
      </c>
      <c r="N85" t="s">
        <v>9526</v>
      </c>
      <c r="O85" t="s">
        <v>9305</v>
      </c>
      <c r="P85" t="s">
        <v>11752</v>
      </c>
      <c r="Q85" t="s">
        <v>11753</v>
      </c>
      <c r="S85" t="s">
        <v>9309</v>
      </c>
      <c r="T85" s="28" t="s">
        <v>9334</v>
      </c>
      <c r="U85" s="27" t="s">
        <v>508</v>
      </c>
      <c r="V85" t="s">
        <v>194</v>
      </c>
      <c r="W85" t="s">
        <v>9300</v>
      </c>
      <c r="Z85" t="s">
        <v>9311</v>
      </c>
      <c r="AF85" t="s">
        <v>4714</v>
      </c>
      <c r="AG85" t="s">
        <v>9433</v>
      </c>
      <c r="AI85" t="s">
        <v>6955</v>
      </c>
      <c r="AJ85" s="424" t="str">
        <f t="shared" si="3"/>
        <v>252102</v>
      </c>
      <c r="AK85" s="28">
        <v>1</v>
      </c>
      <c r="AL85" s="28">
        <f t="shared" si="5"/>
        <v>1</v>
      </c>
      <c r="AM85" s="28" t="str">
        <f t="shared" si="4"/>
        <v>agora</v>
      </c>
    </row>
    <row r="86" spans="1:39" x14ac:dyDescent="0.25">
      <c r="A86" t="s">
        <v>9522</v>
      </c>
      <c r="B86" t="s">
        <v>10738</v>
      </c>
      <c r="C86" t="s">
        <v>507</v>
      </c>
      <c r="D86" s="27" t="s">
        <v>10194</v>
      </c>
      <c r="E86" t="s">
        <v>217</v>
      </c>
      <c r="F86" s="421">
        <v>1</v>
      </c>
      <c r="G86" t="s">
        <v>193</v>
      </c>
      <c r="H86" t="s">
        <v>194</v>
      </c>
      <c r="I86" t="s">
        <v>9491</v>
      </c>
      <c r="J86" t="s">
        <v>210</v>
      </c>
      <c r="K86" t="s">
        <v>10739</v>
      </c>
      <c r="L86" t="s">
        <v>6261</v>
      </c>
      <c r="M86" t="s">
        <v>12353</v>
      </c>
      <c r="N86" t="s">
        <v>9493</v>
      </c>
      <c r="O86" t="s">
        <v>9305</v>
      </c>
      <c r="P86" t="s">
        <v>12404</v>
      </c>
      <c r="Q86" t="s">
        <v>12405</v>
      </c>
      <c r="S86" t="s">
        <v>9309</v>
      </c>
      <c r="T86" s="28" t="s">
        <v>9334</v>
      </c>
      <c r="U86" s="27" t="s">
        <v>508</v>
      </c>
      <c r="V86" t="s">
        <v>194</v>
      </c>
      <c r="W86" t="s">
        <v>9300</v>
      </c>
      <c r="Z86" t="s">
        <v>9311</v>
      </c>
      <c r="AF86" t="s">
        <v>4714</v>
      </c>
      <c r="AG86" t="s">
        <v>9433</v>
      </c>
      <c r="AI86" t="s">
        <v>6955</v>
      </c>
      <c r="AJ86" s="424" t="str">
        <f t="shared" si="3"/>
        <v>252102</v>
      </c>
      <c r="AK86" s="28">
        <v>1</v>
      </c>
      <c r="AL86" s="28">
        <f t="shared" si="5"/>
        <v>1</v>
      </c>
      <c r="AM86" s="28" t="str">
        <f t="shared" si="4"/>
        <v>agora</v>
      </c>
    </row>
    <row r="87" spans="1:39" x14ac:dyDescent="0.25">
      <c r="A87" t="s">
        <v>12618</v>
      </c>
      <c r="B87" t="s">
        <v>12619</v>
      </c>
      <c r="C87" t="s">
        <v>507</v>
      </c>
      <c r="D87" s="27" t="s">
        <v>10194</v>
      </c>
      <c r="E87" t="s">
        <v>192</v>
      </c>
      <c r="F87" s="421">
        <v>1</v>
      </c>
      <c r="G87" t="s">
        <v>193</v>
      </c>
      <c r="H87" t="s">
        <v>194</v>
      </c>
      <c r="I87" t="s">
        <v>12285</v>
      </c>
      <c r="J87" t="s">
        <v>9302</v>
      </c>
      <c r="K87" t="s">
        <v>12620</v>
      </c>
      <c r="L87" t="s">
        <v>6286</v>
      </c>
      <c r="M87" t="s">
        <v>12244</v>
      </c>
      <c r="N87" t="s">
        <v>9749</v>
      </c>
      <c r="O87" t="s">
        <v>9574</v>
      </c>
      <c r="P87" t="s">
        <v>12621</v>
      </c>
      <c r="Q87" t="s">
        <v>12622</v>
      </c>
      <c r="S87" t="s">
        <v>9309</v>
      </c>
      <c r="U87" s="27" t="s">
        <v>508</v>
      </c>
      <c r="V87" t="s">
        <v>193</v>
      </c>
      <c r="W87" t="s">
        <v>9310</v>
      </c>
      <c r="Z87" t="s">
        <v>9311</v>
      </c>
      <c r="AF87" t="s">
        <v>4714</v>
      </c>
      <c r="AG87" t="s">
        <v>12619</v>
      </c>
      <c r="AI87" t="s">
        <v>6955</v>
      </c>
      <c r="AJ87" s="424" t="str">
        <f t="shared" si="3"/>
        <v>252102</v>
      </c>
      <c r="AK87" s="28">
        <v>1</v>
      </c>
      <c r="AL87" s="28">
        <f t="shared" si="5"/>
        <v>1</v>
      </c>
      <c r="AM87" s="28" t="str">
        <f t="shared" si="4"/>
        <v>pracuj.pl</v>
      </c>
    </row>
    <row r="88" spans="1:39" x14ac:dyDescent="0.25">
      <c r="A88" t="s">
        <v>9862</v>
      </c>
      <c r="B88" t="s">
        <v>9863</v>
      </c>
      <c r="C88" t="s">
        <v>513</v>
      </c>
      <c r="D88" s="27" t="s">
        <v>9299</v>
      </c>
      <c r="E88" t="s">
        <v>233</v>
      </c>
      <c r="F88" s="421">
        <v>1</v>
      </c>
      <c r="G88" t="s">
        <v>193</v>
      </c>
      <c r="H88" t="s">
        <v>194</v>
      </c>
      <c r="I88" t="s">
        <v>9742</v>
      </c>
      <c r="J88" t="s">
        <v>9302</v>
      </c>
      <c r="K88" t="s">
        <v>9864</v>
      </c>
      <c r="L88" t="s">
        <v>6921</v>
      </c>
      <c r="M88" t="s">
        <v>9794</v>
      </c>
      <c r="N88" t="s">
        <v>9342</v>
      </c>
      <c r="O88" t="s">
        <v>9343</v>
      </c>
      <c r="P88" t="s">
        <v>9865</v>
      </c>
      <c r="Q88" t="s">
        <v>9866</v>
      </c>
      <c r="S88" t="s">
        <v>9309</v>
      </c>
      <c r="U88" s="27" t="s">
        <v>514</v>
      </c>
      <c r="V88" t="s">
        <v>193</v>
      </c>
      <c r="W88" t="s">
        <v>9310</v>
      </c>
      <c r="Z88" t="s">
        <v>9311</v>
      </c>
      <c r="AF88" t="s">
        <v>4714</v>
      </c>
      <c r="AG88" t="s">
        <v>9863</v>
      </c>
      <c r="AI88" t="s">
        <v>6955</v>
      </c>
      <c r="AJ88" s="424" t="str">
        <f t="shared" si="3"/>
        <v>252301</v>
      </c>
      <c r="AK88" s="28">
        <v>1</v>
      </c>
      <c r="AL88" s="28">
        <f t="shared" si="5"/>
        <v>1</v>
      </c>
      <c r="AM88" s="28" t="str">
        <f t="shared" si="4"/>
        <v>praca</v>
      </c>
    </row>
    <row r="89" spans="1:39" x14ac:dyDescent="0.25">
      <c r="A89" t="s">
        <v>9522</v>
      </c>
      <c r="B89" t="s">
        <v>10755</v>
      </c>
      <c r="C89" t="s">
        <v>6050</v>
      </c>
      <c r="D89" s="27" t="s">
        <v>9835</v>
      </c>
      <c r="E89" t="s">
        <v>217</v>
      </c>
      <c r="F89" s="421">
        <v>1</v>
      </c>
      <c r="G89" t="s">
        <v>193</v>
      </c>
      <c r="H89" t="s">
        <v>194</v>
      </c>
      <c r="I89" t="s">
        <v>9491</v>
      </c>
      <c r="J89" t="s">
        <v>9524</v>
      </c>
      <c r="K89" t="s">
        <v>10756</v>
      </c>
      <c r="L89" t="s">
        <v>6261</v>
      </c>
      <c r="M89" t="s">
        <v>10618</v>
      </c>
      <c r="N89" t="s">
        <v>9573</v>
      </c>
      <c r="O89" t="s">
        <v>10757</v>
      </c>
      <c r="P89" t="s">
        <v>10758</v>
      </c>
      <c r="Q89" t="s">
        <v>10759</v>
      </c>
      <c r="S89" t="s">
        <v>9309</v>
      </c>
      <c r="U89" s="27" t="s">
        <v>6052</v>
      </c>
      <c r="V89" t="s">
        <v>193</v>
      </c>
      <c r="W89" t="s">
        <v>9310</v>
      </c>
      <c r="Z89" t="s">
        <v>9311</v>
      </c>
      <c r="AF89" t="s">
        <v>4714</v>
      </c>
      <c r="AG89" t="s">
        <v>9433</v>
      </c>
      <c r="AI89" t="s">
        <v>6955</v>
      </c>
      <c r="AJ89" s="424" t="str">
        <f t="shared" si="3"/>
        <v>251101</v>
      </c>
      <c r="AK89" s="28">
        <v>1</v>
      </c>
      <c r="AL89" s="28">
        <f t="shared" si="5"/>
        <v>1</v>
      </c>
      <c r="AM89" s="28" t="str">
        <f t="shared" si="4"/>
        <v>agora</v>
      </c>
    </row>
    <row r="90" spans="1:39" x14ac:dyDescent="0.25">
      <c r="A90" t="s">
        <v>9522</v>
      </c>
      <c r="B90" t="s">
        <v>10755</v>
      </c>
      <c r="C90" t="s">
        <v>6050</v>
      </c>
      <c r="D90" s="27" t="s">
        <v>9437</v>
      </c>
      <c r="E90" t="s">
        <v>217</v>
      </c>
      <c r="F90" s="421">
        <v>1</v>
      </c>
      <c r="G90" t="s">
        <v>193</v>
      </c>
      <c r="H90" t="s">
        <v>194</v>
      </c>
      <c r="I90" t="s">
        <v>9491</v>
      </c>
      <c r="J90" t="s">
        <v>9524</v>
      </c>
      <c r="K90" t="s">
        <v>10756</v>
      </c>
      <c r="L90" t="s">
        <v>6261</v>
      </c>
      <c r="M90" t="s">
        <v>11702</v>
      </c>
      <c r="N90" t="s">
        <v>9573</v>
      </c>
      <c r="O90" t="s">
        <v>10757</v>
      </c>
      <c r="P90" t="s">
        <v>11767</v>
      </c>
      <c r="Q90" t="s">
        <v>11768</v>
      </c>
      <c r="S90" t="s">
        <v>9309</v>
      </c>
      <c r="U90" s="27" t="s">
        <v>6052</v>
      </c>
      <c r="V90" t="s">
        <v>193</v>
      </c>
      <c r="W90" t="s">
        <v>9310</v>
      </c>
      <c r="Z90" t="s">
        <v>9311</v>
      </c>
      <c r="AF90" t="s">
        <v>4714</v>
      </c>
      <c r="AG90" t="s">
        <v>9433</v>
      </c>
      <c r="AI90" t="s">
        <v>6955</v>
      </c>
      <c r="AJ90" s="424" t="str">
        <f t="shared" si="3"/>
        <v>251101</v>
      </c>
      <c r="AK90" s="28">
        <v>1</v>
      </c>
      <c r="AL90" s="28">
        <f t="shared" si="5"/>
        <v>1</v>
      </c>
      <c r="AM90" s="28" t="str">
        <f t="shared" si="4"/>
        <v>agora</v>
      </c>
    </row>
    <row r="91" spans="1:39" x14ac:dyDescent="0.25">
      <c r="A91" t="s">
        <v>4969</v>
      </c>
      <c r="B91" t="s">
        <v>2269</v>
      </c>
      <c r="C91" t="s">
        <v>6050</v>
      </c>
      <c r="D91" s="27" t="s">
        <v>9437</v>
      </c>
      <c r="E91" t="s">
        <v>192</v>
      </c>
      <c r="F91" s="421">
        <v>1</v>
      </c>
      <c r="G91" t="s">
        <v>193</v>
      </c>
      <c r="H91" t="s">
        <v>194</v>
      </c>
      <c r="I91" t="s">
        <v>11608</v>
      </c>
      <c r="J91" t="s">
        <v>9302</v>
      </c>
      <c r="K91" t="s">
        <v>11965</v>
      </c>
      <c r="L91" t="s">
        <v>6261</v>
      </c>
      <c r="M91" t="s">
        <v>11604</v>
      </c>
      <c r="N91" t="s">
        <v>9536</v>
      </c>
      <c r="O91" t="s">
        <v>9461</v>
      </c>
      <c r="P91" t="s">
        <v>11966</v>
      </c>
      <c r="Q91" t="s">
        <v>11967</v>
      </c>
      <c r="S91" t="s">
        <v>9309</v>
      </c>
      <c r="U91" s="27" t="s">
        <v>6052</v>
      </c>
      <c r="V91" t="s">
        <v>193</v>
      </c>
      <c r="W91" t="s">
        <v>9310</v>
      </c>
      <c r="Z91" t="s">
        <v>9311</v>
      </c>
      <c r="AF91" t="s">
        <v>4714</v>
      </c>
      <c r="AG91" t="s">
        <v>2269</v>
      </c>
      <c r="AI91" t="s">
        <v>6955</v>
      </c>
      <c r="AJ91" s="424" t="str">
        <f t="shared" si="3"/>
        <v>251101</v>
      </c>
      <c r="AK91" s="28">
        <v>1</v>
      </c>
      <c r="AL91" s="28">
        <f t="shared" si="5"/>
        <v>1</v>
      </c>
      <c r="AM91" s="28" t="str">
        <f t="shared" si="4"/>
        <v>pracuj.pl</v>
      </c>
    </row>
    <row r="92" spans="1:39" x14ac:dyDescent="0.25">
      <c r="A92" t="s">
        <v>9522</v>
      </c>
      <c r="B92" t="s">
        <v>10755</v>
      </c>
      <c r="C92" t="s">
        <v>6050</v>
      </c>
      <c r="D92" s="27" t="s">
        <v>10194</v>
      </c>
      <c r="E92" t="s">
        <v>217</v>
      </c>
      <c r="F92" s="421">
        <v>1</v>
      </c>
      <c r="G92" t="s">
        <v>193</v>
      </c>
      <c r="H92" t="s">
        <v>194</v>
      </c>
      <c r="I92" t="s">
        <v>9491</v>
      </c>
      <c r="J92" t="s">
        <v>9524</v>
      </c>
      <c r="K92" t="s">
        <v>10756</v>
      </c>
      <c r="L92" t="s">
        <v>6261</v>
      </c>
      <c r="M92" t="s">
        <v>12353</v>
      </c>
      <c r="N92" t="s">
        <v>9573</v>
      </c>
      <c r="O92" t="s">
        <v>10757</v>
      </c>
      <c r="P92" t="s">
        <v>12412</v>
      </c>
      <c r="Q92" t="s">
        <v>12413</v>
      </c>
      <c r="S92" t="s">
        <v>9309</v>
      </c>
      <c r="U92" s="27" t="s">
        <v>6052</v>
      </c>
      <c r="V92" t="s">
        <v>193</v>
      </c>
      <c r="W92" t="s">
        <v>9310</v>
      </c>
      <c r="Z92" t="s">
        <v>9311</v>
      </c>
      <c r="AF92" t="s">
        <v>4714</v>
      </c>
      <c r="AG92" t="s">
        <v>9433</v>
      </c>
      <c r="AI92" t="s">
        <v>6955</v>
      </c>
      <c r="AJ92" s="424" t="str">
        <f t="shared" si="3"/>
        <v>251101</v>
      </c>
      <c r="AK92" s="28">
        <v>1</v>
      </c>
      <c r="AL92" s="28">
        <f t="shared" si="5"/>
        <v>1</v>
      </c>
      <c r="AM92" s="28" t="str">
        <f t="shared" si="4"/>
        <v>agora</v>
      </c>
    </row>
    <row r="93" spans="1:39" x14ac:dyDescent="0.25">
      <c r="A93" t="s">
        <v>9312</v>
      </c>
      <c r="B93" t="s">
        <v>9322</v>
      </c>
      <c r="C93" t="s">
        <v>37</v>
      </c>
      <c r="D93" s="27" t="s">
        <v>9299</v>
      </c>
      <c r="E93" t="s">
        <v>192</v>
      </c>
      <c r="F93" s="421">
        <v>1</v>
      </c>
      <c r="G93" t="s">
        <v>193</v>
      </c>
      <c r="H93" t="s">
        <v>194</v>
      </c>
      <c r="I93" t="s">
        <v>9301</v>
      </c>
      <c r="J93" t="s">
        <v>9302</v>
      </c>
      <c r="K93" t="s">
        <v>9323</v>
      </c>
      <c r="L93" t="s">
        <v>6261</v>
      </c>
      <c r="M93" t="s">
        <v>9304</v>
      </c>
      <c r="N93" t="s">
        <v>9305</v>
      </c>
      <c r="O93" t="s">
        <v>9306</v>
      </c>
      <c r="P93" t="s">
        <v>9324</v>
      </c>
      <c r="Q93" t="s">
        <v>9325</v>
      </c>
      <c r="S93" t="s">
        <v>9309</v>
      </c>
      <c r="U93" s="27" t="s">
        <v>516</v>
      </c>
      <c r="V93" t="s">
        <v>193</v>
      </c>
      <c r="W93" t="s">
        <v>9310</v>
      </c>
      <c r="Z93" t="s">
        <v>9311</v>
      </c>
      <c r="AF93" t="s">
        <v>4714</v>
      </c>
      <c r="AG93" t="s">
        <v>9322</v>
      </c>
      <c r="AI93" t="s">
        <v>6955</v>
      </c>
      <c r="AJ93" s="424" t="str">
        <f t="shared" si="3"/>
        <v>252302</v>
      </c>
      <c r="AK93" s="28">
        <v>1</v>
      </c>
      <c r="AL93" s="421">
        <f t="shared" si="5"/>
        <v>1</v>
      </c>
      <c r="AM93" s="28" t="str">
        <f t="shared" si="4"/>
        <v>pracuj.pl</v>
      </c>
    </row>
    <row r="94" spans="1:39" x14ac:dyDescent="0.25">
      <c r="A94" t="s">
        <v>9312</v>
      </c>
      <c r="B94" t="s">
        <v>9326</v>
      </c>
      <c r="C94" t="s">
        <v>37</v>
      </c>
      <c r="D94" s="27" t="s">
        <v>9299</v>
      </c>
      <c r="E94" t="s">
        <v>192</v>
      </c>
      <c r="F94" s="421">
        <v>1</v>
      </c>
      <c r="G94" t="s">
        <v>193</v>
      </c>
      <c r="H94" t="s">
        <v>194</v>
      </c>
      <c r="I94" t="s">
        <v>9301</v>
      </c>
      <c r="J94" t="s">
        <v>9302</v>
      </c>
      <c r="K94" t="s">
        <v>9327</v>
      </c>
      <c r="L94" t="s">
        <v>6295</v>
      </c>
      <c r="M94" t="s">
        <v>9304</v>
      </c>
      <c r="N94" t="s">
        <v>9305</v>
      </c>
      <c r="O94" t="s">
        <v>9306</v>
      </c>
      <c r="P94" t="s">
        <v>9328</v>
      </c>
      <c r="Q94" t="s">
        <v>9329</v>
      </c>
      <c r="S94" t="s">
        <v>9309</v>
      </c>
      <c r="U94" s="27" t="s">
        <v>516</v>
      </c>
      <c r="V94" t="s">
        <v>193</v>
      </c>
      <c r="W94" t="s">
        <v>9310</v>
      </c>
      <c r="Z94" t="s">
        <v>9311</v>
      </c>
      <c r="AF94" t="s">
        <v>4714</v>
      </c>
      <c r="AG94" t="s">
        <v>9326</v>
      </c>
      <c r="AI94" t="s">
        <v>6955</v>
      </c>
      <c r="AJ94" s="424" t="str">
        <f t="shared" si="3"/>
        <v>252302</v>
      </c>
      <c r="AK94" s="28">
        <v>1</v>
      </c>
      <c r="AL94" s="421">
        <f t="shared" si="5"/>
        <v>1</v>
      </c>
      <c r="AM94" s="28" t="str">
        <f t="shared" si="4"/>
        <v>pracuj.pl</v>
      </c>
    </row>
    <row r="95" spans="1:39" x14ac:dyDescent="0.25">
      <c r="A95" t="s">
        <v>9346</v>
      </c>
      <c r="B95" t="s">
        <v>9347</v>
      </c>
      <c r="C95" t="s">
        <v>37</v>
      </c>
      <c r="D95" s="27" t="s">
        <v>9299</v>
      </c>
      <c r="E95" t="s">
        <v>192</v>
      </c>
      <c r="F95" s="421">
        <v>1</v>
      </c>
      <c r="G95" t="s">
        <v>193</v>
      </c>
      <c r="H95" t="s">
        <v>194</v>
      </c>
      <c r="I95" t="s">
        <v>9301</v>
      </c>
      <c r="J95" t="s">
        <v>9302</v>
      </c>
      <c r="K95" t="s">
        <v>9348</v>
      </c>
      <c r="L95" t="s">
        <v>6921</v>
      </c>
      <c r="M95" t="s">
        <v>9304</v>
      </c>
      <c r="N95" t="s">
        <v>9305</v>
      </c>
      <c r="O95" t="s">
        <v>9306</v>
      </c>
      <c r="P95" t="s">
        <v>9349</v>
      </c>
      <c r="Q95" t="s">
        <v>9350</v>
      </c>
      <c r="S95" t="s">
        <v>9309</v>
      </c>
      <c r="U95" s="27" t="s">
        <v>516</v>
      </c>
      <c r="V95" t="s">
        <v>193</v>
      </c>
      <c r="W95" t="s">
        <v>9310</v>
      </c>
      <c r="Z95" t="s">
        <v>9311</v>
      </c>
      <c r="AF95" t="s">
        <v>4714</v>
      </c>
      <c r="AG95" t="s">
        <v>9347</v>
      </c>
      <c r="AI95" t="s">
        <v>6955</v>
      </c>
      <c r="AJ95" s="424" t="str">
        <f t="shared" si="3"/>
        <v>252302</v>
      </c>
      <c r="AK95" s="28">
        <v>1</v>
      </c>
      <c r="AL95" s="28">
        <f t="shared" si="5"/>
        <v>1</v>
      </c>
      <c r="AM95" s="28" t="str">
        <f t="shared" si="4"/>
        <v>pracuj.pl</v>
      </c>
    </row>
    <row r="96" spans="1:39" x14ac:dyDescent="0.25">
      <c r="A96" t="s">
        <v>8787</v>
      </c>
      <c r="B96" t="s">
        <v>9194</v>
      </c>
      <c r="C96" t="s">
        <v>37</v>
      </c>
      <c r="D96" s="27" t="s">
        <v>9299</v>
      </c>
      <c r="E96" t="s">
        <v>233</v>
      </c>
      <c r="F96" s="421">
        <v>1</v>
      </c>
      <c r="G96" t="s">
        <v>193</v>
      </c>
      <c r="H96" t="s">
        <v>194</v>
      </c>
      <c r="I96" t="s">
        <v>9737</v>
      </c>
      <c r="J96" t="s">
        <v>9302</v>
      </c>
      <c r="K96" t="s">
        <v>10081</v>
      </c>
      <c r="L96" t="s">
        <v>6261</v>
      </c>
      <c r="M96" t="s">
        <v>9794</v>
      </c>
      <c r="N96" t="s">
        <v>9342</v>
      </c>
      <c r="O96" t="s">
        <v>10073</v>
      </c>
      <c r="P96" t="s">
        <v>10082</v>
      </c>
      <c r="Q96" t="s">
        <v>10083</v>
      </c>
      <c r="S96" t="s">
        <v>9309</v>
      </c>
      <c r="U96" s="27" t="s">
        <v>516</v>
      </c>
      <c r="V96" t="s">
        <v>193</v>
      </c>
      <c r="W96" t="s">
        <v>9310</v>
      </c>
      <c r="Z96" t="s">
        <v>9311</v>
      </c>
      <c r="AF96" t="s">
        <v>4714</v>
      </c>
      <c r="AG96" t="s">
        <v>9194</v>
      </c>
      <c r="AI96" t="s">
        <v>6955</v>
      </c>
      <c r="AJ96" s="424" t="str">
        <f t="shared" si="3"/>
        <v>252302</v>
      </c>
      <c r="AK96" s="28">
        <v>1</v>
      </c>
      <c r="AL96" s="28">
        <f t="shared" si="5"/>
        <v>1</v>
      </c>
      <c r="AM96" s="28" t="str">
        <f t="shared" si="4"/>
        <v>praca</v>
      </c>
    </row>
    <row r="97" spans="1:39" x14ac:dyDescent="0.25">
      <c r="A97" t="s">
        <v>9927</v>
      </c>
      <c r="B97" t="s">
        <v>2853</v>
      </c>
      <c r="C97" t="s">
        <v>37</v>
      </c>
      <c r="D97" s="27" t="s">
        <v>9835</v>
      </c>
      <c r="E97" t="s">
        <v>217</v>
      </c>
      <c r="F97" s="421">
        <v>1</v>
      </c>
      <c r="G97" t="s">
        <v>193</v>
      </c>
      <c r="H97" t="s">
        <v>194</v>
      </c>
      <c r="I97" t="s">
        <v>9557</v>
      </c>
      <c r="J97" t="s">
        <v>210</v>
      </c>
      <c r="K97" t="s">
        <v>11099</v>
      </c>
      <c r="L97" t="s">
        <v>6261</v>
      </c>
      <c r="M97" t="s">
        <v>10618</v>
      </c>
      <c r="N97" t="s">
        <v>11100</v>
      </c>
      <c r="O97" t="s">
        <v>9299</v>
      </c>
      <c r="P97" t="s">
        <v>11101</v>
      </c>
      <c r="Q97" t="s">
        <v>11102</v>
      </c>
      <c r="S97" t="s">
        <v>9309</v>
      </c>
      <c r="T97" s="28" t="s">
        <v>9334</v>
      </c>
      <c r="U97" s="27" t="s">
        <v>516</v>
      </c>
      <c r="V97" t="s">
        <v>194</v>
      </c>
      <c r="W97" t="s">
        <v>9300</v>
      </c>
      <c r="Z97" t="s">
        <v>9311</v>
      </c>
      <c r="AF97" t="s">
        <v>4714</v>
      </c>
      <c r="AG97" t="s">
        <v>9433</v>
      </c>
      <c r="AI97" t="s">
        <v>6955</v>
      </c>
      <c r="AJ97" s="424" t="str">
        <f t="shared" si="3"/>
        <v>252302</v>
      </c>
      <c r="AK97" s="28">
        <v>1</v>
      </c>
      <c r="AL97" s="28">
        <f t="shared" si="5"/>
        <v>1</v>
      </c>
      <c r="AM97" s="28" t="str">
        <f t="shared" si="4"/>
        <v>agora</v>
      </c>
    </row>
    <row r="98" spans="1:39" x14ac:dyDescent="0.25">
      <c r="A98" t="s">
        <v>11612</v>
      </c>
      <c r="B98" t="s">
        <v>11642</v>
      </c>
      <c r="C98" t="s">
        <v>37</v>
      </c>
      <c r="D98" s="27" t="s">
        <v>9437</v>
      </c>
      <c r="E98" t="s">
        <v>192</v>
      </c>
      <c r="F98" s="421">
        <v>1</v>
      </c>
      <c r="G98" t="s">
        <v>193</v>
      </c>
      <c r="H98" t="s">
        <v>194</v>
      </c>
      <c r="I98" t="s">
        <v>11608</v>
      </c>
      <c r="J98" t="s">
        <v>9302</v>
      </c>
      <c r="K98" t="s">
        <v>11643</v>
      </c>
      <c r="L98" t="s">
        <v>6921</v>
      </c>
      <c r="M98" t="s">
        <v>11604</v>
      </c>
      <c r="N98" t="s">
        <v>9536</v>
      </c>
      <c r="O98" t="s">
        <v>9461</v>
      </c>
      <c r="P98" t="s">
        <v>11644</v>
      </c>
      <c r="Q98" t="s">
        <v>11645</v>
      </c>
      <c r="S98" t="s">
        <v>9309</v>
      </c>
      <c r="U98" s="27" t="s">
        <v>516</v>
      </c>
      <c r="V98" t="s">
        <v>193</v>
      </c>
      <c r="W98" t="s">
        <v>9310</v>
      </c>
      <c r="Z98" t="s">
        <v>9311</v>
      </c>
      <c r="AF98" t="s">
        <v>4714</v>
      </c>
      <c r="AG98" t="s">
        <v>11642</v>
      </c>
      <c r="AI98" t="s">
        <v>6955</v>
      </c>
      <c r="AJ98" s="424" t="str">
        <f t="shared" si="3"/>
        <v>252302</v>
      </c>
      <c r="AK98" s="28">
        <v>1</v>
      </c>
      <c r="AL98" s="28">
        <f t="shared" si="5"/>
        <v>1</v>
      </c>
      <c r="AM98" s="28" t="str">
        <f t="shared" si="4"/>
        <v>pracuj.pl</v>
      </c>
    </row>
    <row r="99" spans="1:39" x14ac:dyDescent="0.25">
      <c r="A99" t="s">
        <v>6036</v>
      </c>
      <c r="B99" t="s">
        <v>356</v>
      </c>
      <c r="C99" t="s">
        <v>9722</v>
      </c>
      <c r="D99" s="27" t="s">
        <v>9299</v>
      </c>
      <c r="E99" t="s">
        <v>233</v>
      </c>
      <c r="F99" s="421">
        <v>1</v>
      </c>
      <c r="G99" t="s">
        <v>193</v>
      </c>
      <c r="H99" t="s">
        <v>194</v>
      </c>
      <c r="I99" t="s">
        <v>9301</v>
      </c>
      <c r="J99" t="s">
        <v>8667</v>
      </c>
      <c r="K99" t="s">
        <v>9723</v>
      </c>
      <c r="L99" t="s">
        <v>6275</v>
      </c>
      <c r="M99" t="s">
        <v>9341</v>
      </c>
      <c r="N99" t="s">
        <v>9342</v>
      </c>
      <c r="O99" t="s">
        <v>9343</v>
      </c>
      <c r="P99" t="s">
        <v>9724</v>
      </c>
      <c r="Q99" t="s">
        <v>9725</v>
      </c>
      <c r="S99" t="s">
        <v>9309</v>
      </c>
      <c r="T99" s="28" t="s">
        <v>9726</v>
      </c>
      <c r="U99" s="27" t="s">
        <v>9727</v>
      </c>
      <c r="V99" t="s">
        <v>194</v>
      </c>
      <c r="W99" t="s">
        <v>9300</v>
      </c>
      <c r="Z99" t="s">
        <v>9311</v>
      </c>
      <c r="AF99" t="s">
        <v>4714</v>
      </c>
      <c r="AG99" t="s">
        <v>356</v>
      </c>
      <c r="AI99" t="s">
        <v>6955</v>
      </c>
      <c r="AJ99" s="424" t="str">
        <f t="shared" si="3"/>
        <v>732190</v>
      </c>
      <c r="AK99" s="28">
        <v>1</v>
      </c>
      <c r="AL99" s="28">
        <f t="shared" si="5"/>
        <v>1</v>
      </c>
      <c r="AM99" s="28" t="str">
        <f t="shared" si="4"/>
        <v>praca</v>
      </c>
    </row>
    <row r="100" spans="1:39" x14ac:dyDescent="0.25">
      <c r="A100" t="s">
        <v>9728</v>
      </c>
      <c r="B100" t="s">
        <v>632</v>
      </c>
      <c r="C100" t="s">
        <v>17</v>
      </c>
      <c r="D100" s="27" t="s">
        <v>9299</v>
      </c>
      <c r="E100" t="s">
        <v>192</v>
      </c>
      <c r="F100" s="421">
        <v>1</v>
      </c>
      <c r="G100" t="s">
        <v>193</v>
      </c>
      <c r="H100" t="s">
        <v>194</v>
      </c>
      <c r="I100" t="s">
        <v>9383</v>
      </c>
      <c r="J100" t="s">
        <v>9302</v>
      </c>
      <c r="K100" t="s">
        <v>9729</v>
      </c>
      <c r="L100" t="s">
        <v>6288</v>
      </c>
      <c r="M100" t="s">
        <v>9457</v>
      </c>
      <c r="N100" t="s">
        <v>9305</v>
      </c>
      <c r="O100" t="s">
        <v>9306</v>
      </c>
      <c r="P100" t="s">
        <v>9730</v>
      </c>
      <c r="Q100" t="s">
        <v>9731</v>
      </c>
      <c r="S100" t="s">
        <v>9309</v>
      </c>
      <c r="U100" s="27" t="s">
        <v>624</v>
      </c>
      <c r="V100" t="s">
        <v>193</v>
      </c>
      <c r="W100" t="s">
        <v>9310</v>
      </c>
      <c r="Z100" t="s">
        <v>9311</v>
      </c>
      <c r="AF100" t="s">
        <v>4714</v>
      </c>
      <c r="AG100" t="s">
        <v>17</v>
      </c>
      <c r="AI100" t="s">
        <v>6955</v>
      </c>
      <c r="AJ100" s="424" t="str">
        <f t="shared" si="3"/>
        <v>332203</v>
      </c>
      <c r="AK100" s="28">
        <v>1</v>
      </c>
      <c r="AL100" s="28">
        <f t="shared" si="5"/>
        <v>1</v>
      </c>
      <c r="AM100" s="28" t="str">
        <f t="shared" si="4"/>
        <v>pracuj.pl</v>
      </c>
    </row>
    <row r="101" spans="1:39" x14ac:dyDescent="0.25">
      <c r="A101" t="s">
        <v>1748</v>
      </c>
      <c r="B101" t="s">
        <v>9732</v>
      </c>
      <c r="C101" t="s">
        <v>36</v>
      </c>
      <c r="D101" s="27" t="s">
        <v>9299</v>
      </c>
      <c r="E101" t="s">
        <v>192</v>
      </c>
      <c r="F101" s="421">
        <v>1</v>
      </c>
      <c r="G101" t="s">
        <v>193</v>
      </c>
      <c r="H101" t="s">
        <v>194</v>
      </c>
      <c r="I101" t="s">
        <v>9491</v>
      </c>
      <c r="J101" t="s">
        <v>210</v>
      </c>
      <c r="K101" t="s">
        <v>9733</v>
      </c>
      <c r="L101" t="s">
        <v>7531</v>
      </c>
      <c r="M101" t="s">
        <v>9304</v>
      </c>
      <c r="N101" t="s">
        <v>9305</v>
      </c>
      <c r="O101" t="s">
        <v>9306</v>
      </c>
      <c r="P101" t="s">
        <v>9734</v>
      </c>
      <c r="Q101" t="s">
        <v>9735</v>
      </c>
      <c r="S101" t="s">
        <v>9309</v>
      </c>
      <c r="T101" s="28" t="s">
        <v>9334</v>
      </c>
      <c r="U101" s="27" t="s">
        <v>609</v>
      </c>
      <c r="V101" t="s">
        <v>194</v>
      </c>
      <c r="W101" t="s">
        <v>9300</v>
      </c>
      <c r="Z101" t="s">
        <v>9311</v>
      </c>
      <c r="AF101" t="s">
        <v>4714</v>
      </c>
      <c r="AG101" t="s">
        <v>9732</v>
      </c>
      <c r="AI101" t="s">
        <v>6955</v>
      </c>
      <c r="AJ101" s="424" t="str">
        <f t="shared" si="3"/>
        <v>331301</v>
      </c>
      <c r="AK101" s="28">
        <v>1</v>
      </c>
      <c r="AL101" s="28">
        <f t="shared" si="5"/>
        <v>1</v>
      </c>
      <c r="AM101" s="28" t="str">
        <f t="shared" si="4"/>
        <v>pracuj.pl</v>
      </c>
    </row>
    <row r="102" spans="1:39" x14ac:dyDescent="0.25">
      <c r="A102" t="s">
        <v>1748</v>
      </c>
      <c r="B102" t="s">
        <v>9736</v>
      </c>
      <c r="C102" t="s">
        <v>23</v>
      </c>
      <c r="D102" s="27" t="s">
        <v>9299</v>
      </c>
      <c r="E102" t="s">
        <v>192</v>
      </c>
      <c r="F102" s="421">
        <v>1</v>
      </c>
      <c r="G102" t="s">
        <v>193</v>
      </c>
      <c r="H102" t="s">
        <v>194</v>
      </c>
      <c r="I102" t="s">
        <v>9737</v>
      </c>
      <c r="J102" t="s">
        <v>210</v>
      </c>
      <c r="K102" t="s">
        <v>9738</v>
      </c>
      <c r="L102" t="s">
        <v>6302</v>
      </c>
      <c r="M102" t="s">
        <v>9304</v>
      </c>
      <c r="N102" t="s">
        <v>9305</v>
      </c>
      <c r="O102" t="s">
        <v>9306</v>
      </c>
      <c r="P102" t="s">
        <v>9739</v>
      </c>
      <c r="Q102" t="s">
        <v>9740</v>
      </c>
      <c r="S102" t="s">
        <v>9309</v>
      </c>
      <c r="T102" s="28" t="s">
        <v>9334</v>
      </c>
      <c r="U102" s="27" t="s">
        <v>985</v>
      </c>
      <c r="V102" t="s">
        <v>194</v>
      </c>
      <c r="W102" t="s">
        <v>9300</v>
      </c>
      <c r="Z102" t="s">
        <v>9311</v>
      </c>
      <c r="AF102" t="s">
        <v>4714</v>
      </c>
      <c r="AG102" t="s">
        <v>9736</v>
      </c>
      <c r="AI102" t="s">
        <v>6955</v>
      </c>
      <c r="AJ102" s="424" t="str">
        <f t="shared" si="3"/>
        <v>263204</v>
      </c>
      <c r="AK102" s="28">
        <v>1</v>
      </c>
      <c r="AL102" s="28">
        <f t="shared" si="5"/>
        <v>1</v>
      </c>
      <c r="AM102" s="28" t="str">
        <f t="shared" si="4"/>
        <v>pracuj.pl</v>
      </c>
    </row>
    <row r="103" spans="1:39" x14ac:dyDescent="0.25">
      <c r="A103" t="s">
        <v>4077</v>
      </c>
      <c r="B103" t="s">
        <v>9741</v>
      </c>
      <c r="C103" t="s">
        <v>101</v>
      </c>
      <c r="D103" s="27" t="s">
        <v>9299</v>
      </c>
      <c r="E103" t="s">
        <v>192</v>
      </c>
      <c r="F103" s="421">
        <v>1</v>
      </c>
      <c r="G103" t="s">
        <v>193</v>
      </c>
      <c r="H103" t="s">
        <v>194</v>
      </c>
      <c r="I103" t="s">
        <v>9742</v>
      </c>
      <c r="J103" t="s">
        <v>210</v>
      </c>
      <c r="K103" t="s">
        <v>9743</v>
      </c>
      <c r="L103" t="s">
        <v>7406</v>
      </c>
      <c r="M103" t="s">
        <v>9304</v>
      </c>
      <c r="N103" t="s">
        <v>9305</v>
      </c>
      <c r="O103" t="s">
        <v>9306</v>
      </c>
      <c r="P103" t="s">
        <v>9744</v>
      </c>
      <c r="Q103" t="s">
        <v>9745</v>
      </c>
      <c r="S103" t="s">
        <v>9309</v>
      </c>
      <c r="T103" s="28" t="s">
        <v>9334</v>
      </c>
      <c r="U103" s="27" t="s">
        <v>519</v>
      </c>
      <c r="V103" t="s">
        <v>194</v>
      </c>
      <c r="W103" t="s">
        <v>9300</v>
      </c>
      <c r="Z103" t="s">
        <v>9311</v>
      </c>
      <c r="AF103" t="s">
        <v>4714</v>
      </c>
      <c r="AG103" t="s">
        <v>9741</v>
      </c>
      <c r="AI103" t="s">
        <v>6955</v>
      </c>
      <c r="AJ103" s="424" t="str">
        <f t="shared" si="3"/>
        <v>261103</v>
      </c>
      <c r="AK103" s="28">
        <v>1</v>
      </c>
      <c r="AL103" s="28">
        <f t="shared" si="5"/>
        <v>1</v>
      </c>
      <c r="AM103" s="28" t="str">
        <f t="shared" si="4"/>
        <v>pracuj.pl</v>
      </c>
    </row>
    <row r="104" spans="1:39" x14ac:dyDescent="0.25">
      <c r="A104" t="s">
        <v>9746</v>
      </c>
      <c r="B104" t="s">
        <v>9747</v>
      </c>
      <c r="C104" t="s">
        <v>5312</v>
      </c>
      <c r="D104" s="27" t="s">
        <v>9299</v>
      </c>
      <c r="E104" t="s">
        <v>217</v>
      </c>
      <c r="F104" s="421">
        <v>1</v>
      </c>
      <c r="G104" t="s">
        <v>193</v>
      </c>
      <c r="H104" t="s">
        <v>194</v>
      </c>
      <c r="I104" t="s">
        <v>9343</v>
      </c>
      <c r="J104" t="s">
        <v>305</v>
      </c>
      <c r="K104" t="s">
        <v>9748</v>
      </c>
      <c r="L104" t="s">
        <v>6269</v>
      </c>
      <c r="M104" t="s">
        <v>9436</v>
      </c>
      <c r="N104" t="s">
        <v>9749</v>
      </c>
      <c r="O104" t="s">
        <v>9750</v>
      </c>
      <c r="P104" t="s">
        <v>9751</v>
      </c>
      <c r="Q104" t="s">
        <v>9752</v>
      </c>
      <c r="S104" t="s">
        <v>9309</v>
      </c>
      <c r="T104" s="28" t="s">
        <v>9753</v>
      </c>
      <c r="U104" s="27" t="s">
        <v>5313</v>
      </c>
      <c r="V104" t="s">
        <v>194</v>
      </c>
      <c r="W104" t="s">
        <v>9300</v>
      </c>
      <c r="Z104" t="s">
        <v>9311</v>
      </c>
      <c r="AF104" t="s">
        <v>4714</v>
      </c>
      <c r="AG104" t="s">
        <v>9433</v>
      </c>
      <c r="AI104" t="s">
        <v>6955</v>
      </c>
      <c r="AJ104" s="424" t="str">
        <f t="shared" si="3"/>
        <v>221101</v>
      </c>
      <c r="AK104" s="28">
        <v>1</v>
      </c>
      <c r="AL104" s="28">
        <f t="shared" si="5"/>
        <v>1</v>
      </c>
      <c r="AM104" s="28" t="str">
        <f t="shared" si="4"/>
        <v>agora</v>
      </c>
    </row>
    <row r="105" spans="1:39" x14ac:dyDescent="0.25">
      <c r="A105" t="s">
        <v>9754</v>
      </c>
      <c r="B105" t="s">
        <v>9755</v>
      </c>
      <c r="C105" t="s">
        <v>17</v>
      </c>
      <c r="D105" s="27" t="s">
        <v>9299</v>
      </c>
      <c r="E105" t="s">
        <v>192</v>
      </c>
      <c r="F105" s="421">
        <v>1</v>
      </c>
      <c r="G105" t="s">
        <v>193</v>
      </c>
      <c r="H105" t="s">
        <v>194</v>
      </c>
      <c r="I105" t="s">
        <v>9369</v>
      </c>
      <c r="J105" t="s">
        <v>9302</v>
      </c>
      <c r="K105" t="s">
        <v>9756</v>
      </c>
      <c r="L105" t="s">
        <v>6254</v>
      </c>
      <c r="M105" t="s">
        <v>9304</v>
      </c>
      <c r="N105" t="s">
        <v>9305</v>
      </c>
      <c r="O105" t="s">
        <v>9306</v>
      </c>
      <c r="P105" t="s">
        <v>9757</v>
      </c>
      <c r="Q105" t="s">
        <v>9758</v>
      </c>
      <c r="S105" t="s">
        <v>9309</v>
      </c>
      <c r="U105" s="27" t="s">
        <v>624</v>
      </c>
      <c r="V105" t="s">
        <v>193</v>
      </c>
      <c r="W105" t="s">
        <v>9310</v>
      </c>
      <c r="Z105" t="s">
        <v>9311</v>
      </c>
      <c r="AF105" t="s">
        <v>4714</v>
      </c>
      <c r="AG105" t="s">
        <v>9755</v>
      </c>
      <c r="AI105" t="s">
        <v>6955</v>
      </c>
      <c r="AJ105" s="424" t="str">
        <f t="shared" si="3"/>
        <v>332203</v>
      </c>
      <c r="AK105" s="28">
        <v>1</v>
      </c>
      <c r="AL105" s="28">
        <f t="shared" si="5"/>
        <v>1</v>
      </c>
      <c r="AM105" s="28" t="str">
        <f t="shared" si="4"/>
        <v>pracuj.pl</v>
      </c>
    </row>
    <row r="106" spans="1:39" x14ac:dyDescent="0.25">
      <c r="A106" t="s">
        <v>9759</v>
      </c>
      <c r="B106" t="s">
        <v>3925</v>
      </c>
      <c r="C106" t="s">
        <v>43</v>
      </c>
      <c r="D106" s="27" t="s">
        <v>9299</v>
      </c>
      <c r="E106" t="s">
        <v>192</v>
      </c>
      <c r="F106" s="421">
        <v>1</v>
      </c>
      <c r="G106" t="s">
        <v>193</v>
      </c>
      <c r="H106" t="s">
        <v>194</v>
      </c>
      <c r="I106" t="s">
        <v>9742</v>
      </c>
      <c r="J106" t="s">
        <v>672</v>
      </c>
      <c r="K106" t="s">
        <v>9760</v>
      </c>
      <c r="L106" t="s">
        <v>6245</v>
      </c>
      <c r="M106" t="s">
        <v>9304</v>
      </c>
      <c r="N106" t="s">
        <v>9305</v>
      </c>
      <c r="O106" t="s">
        <v>9306</v>
      </c>
      <c r="P106" t="s">
        <v>9761</v>
      </c>
      <c r="Q106" t="s">
        <v>9762</v>
      </c>
      <c r="S106" t="s">
        <v>9309</v>
      </c>
      <c r="T106" s="28" t="s">
        <v>9726</v>
      </c>
      <c r="U106" s="27" t="s">
        <v>452</v>
      </c>
      <c r="V106" t="s">
        <v>194</v>
      </c>
      <c r="W106" t="s">
        <v>9300</v>
      </c>
      <c r="Z106" t="s">
        <v>9311</v>
      </c>
      <c r="AF106" t="s">
        <v>4714</v>
      </c>
      <c r="AG106" t="s">
        <v>3925</v>
      </c>
      <c r="AI106" t="s">
        <v>6955</v>
      </c>
      <c r="AJ106" s="424" t="str">
        <f t="shared" si="3"/>
        <v>243106</v>
      </c>
      <c r="AK106" s="28">
        <v>1</v>
      </c>
      <c r="AL106" s="28">
        <f t="shared" si="5"/>
        <v>1</v>
      </c>
      <c r="AM106" s="28" t="str">
        <f t="shared" si="4"/>
        <v>pracuj.pl</v>
      </c>
    </row>
    <row r="107" spans="1:39" x14ac:dyDescent="0.25">
      <c r="A107" t="s">
        <v>9763</v>
      </c>
      <c r="B107" t="s">
        <v>9764</v>
      </c>
      <c r="C107" t="s">
        <v>119</v>
      </c>
      <c r="D107" s="27" t="s">
        <v>9299</v>
      </c>
      <c r="E107" t="s">
        <v>233</v>
      </c>
      <c r="F107" s="421">
        <v>1</v>
      </c>
      <c r="G107" t="s">
        <v>193</v>
      </c>
      <c r="H107" t="s">
        <v>194</v>
      </c>
      <c r="I107" t="s">
        <v>9339</v>
      </c>
      <c r="J107" t="s">
        <v>9302</v>
      </c>
      <c r="K107" t="s">
        <v>9765</v>
      </c>
      <c r="L107" t="s">
        <v>6266</v>
      </c>
      <c r="M107" t="s">
        <v>9341</v>
      </c>
      <c r="N107" t="s">
        <v>9342</v>
      </c>
      <c r="O107" t="s">
        <v>9343</v>
      </c>
      <c r="P107" t="s">
        <v>9766</v>
      </c>
      <c r="Q107" t="s">
        <v>9767</v>
      </c>
      <c r="S107" t="s">
        <v>9309</v>
      </c>
      <c r="U107" s="27" t="s">
        <v>666</v>
      </c>
      <c r="V107" t="s">
        <v>193</v>
      </c>
      <c r="W107" t="s">
        <v>9310</v>
      </c>
      <c r="Z107" t="s">
        <v>9311</v>
      </c>
      <c r="AF107" t="s">
        <v>4714</v>
      </c>
      <c r="AG107" t="s">
        <v>9764</v>
      </c>
      <c r="AI107" t="s">
        <v>6955</v>
      </c>
      <c r="AJ107" s="424" t="str">
        <f t="shared" si="3"/>
        <v>333105</v>
      </c>
      <c r="AK107" s="28">
        <v>1</v>
      </c>
      <c r="AL107" s="28">
        <f t="shared" si="5"/>
        <v>1</v>
      </c>
      <c r="AM107" s="28" t="str">
        <f t="shared" si="4"/>
        <v>praca</v>
      </c>
    </row>
    <row r="108" spans="1:39" x14ac:dyDescent="0.25">
      <c r="A108" t="s">
        <v>888</v>
      </c>
      <c r="B108" t="s">
        <v>236</v>
      </c>
      <c r="C108" t="s">
        <v>237</v>
      </c>
      <c r="D108" s="27" t="s">
        <v>9299</v>
      </c>
      <c r="E108" t="s">
        <v>233</v>
      </c>
      <c r="F108" s="421">
        <v>1</v>
      </c>
      <c r="G108" t="s">
        <v>193</v>
      </c>
      <c r="H108" t="s">
        <v>194</v>
      </c>
      <c r="I108" t="s">
        <v>9461</v>
      </c>
      <c r="J108" t="s">
        <v>1995</v>
      </c>
      <c r="K108" t="s">
        <v>9768</v>
      </c>
      <c r="L108" t="s">
        <v>6277</v>
      </c>
      <c r="M108" t="s">
        <v>9457</v>
      </c>
      <c r="N108" t="s">
        <v>9553</v>
      </c>
      <c r="O108" t="s">
        <v>9709</v>
      </c>
      <c r="P108" t="s">
        <v>9769</v>
      </c>
      <c r="Q108" t="s">
        <v>9770</v>
      </c>
      <c r="S108" t="s">
        <v>9309</v>
      </c>
      <c r="T108" s="28" t="s">
        <v>9440</v>
      </c>
      <c r="U108" s="27" t="s">
        <v>239</v>
      </c>
      <c r="V108" t="s">
        <v>194</v>
      </c>
      <c r="W108" t="s">
        <v>9300</v>
      </c>
      <c r="Z108" t="s">
        <v>9311</v>
      </c>
      <c r="AF108" t="s">
        <v>4714</v>
      </c>
      <c r="AG108" t="s">
        <v>237</v>
      </c>
      <c r="AI108" t="s">
        <v>6955</v>
      </c>
      <c r="AJ108" s="424" t="str">
        <f t="shared" si="3"/>
        <v>132404</v>
      </c>
      <c r="AK108" s="28">
        <v>1</v>
      </c>
      <c r="AL108" s="28">
        <f t="shared" si="5"/>
        <v>1</v>
      </c>
      <c r="AM108" s="28" t="str">
        <f t="shared" si="4"/>
        <v>praca</v>
      </c>
    </row>
    <row r="109" spans="1:39" x14ac:dyDescent="0.25">
      <c r="A109" t="s">
        <v>9771</v>
      </c>
      <c r="B109" t="s">
        <v>9772</v>
      </c>
      <c r="C109" t="s">
        <v>7501</v>
      </c>
      <c r="D109" s="27" t="s">
        <v>9299</v>
      </c>
      <c r="E109" t="s">
        <v>192</v>
      </c>
      <c r="F109" s="421">
        <v>1</v>
      </c>
      <c r="G109" t="s">
        <v>193</v>
      </c>
      <c r="H109" t="s">
        <v>194</v>
      </c>
      <c r="I109" t="s">
        <v>9369</v>
      </c>
      <c r="J109" t="s">
        <v>9302</v>
      </c>
      <c r="K109" t="s">
        <v>9773</v>
      </c>
      <c r="L109" t="s">
        <v>6286</v>
      </c>
      <c r="M109" t="s">
        <v>9304</v>
      </c>
      <c r="N109" t="s">
        <v>9305</v>
      </c>
      <c r="O109" t="s">
        <v>9306</v>
      </c>
      <c r="P109" t="s">
        <v>9774</v>
      </c>
      <c r="Q109" t="s">
        <v>9775</v>
      </c>
      <c r="S109" t="s">
        <v>9309</v>
      </c>
      <c r="U109" s="27" t="s">
        <v>4039</v>
      </c>
      <c r="V109" t="s">
        <v>193</v>
      </c>
      <c r="W109" t="s">
        <v>9310</v>
      </c>
      <c r="Z109" t="s">
        <v>9311</v>
      </c>
      <c r="AF109" t="s">
        <v>4714</v>
      </c>
      <c r="AG109" t="s">
        <v>9772</v>
      </c>
      <c r="AI109" t="s">
        <v>6955</v>
      </c>
      <c r="AJ109" s="424" t="str">
        <f t="shared" si="3"/>
        <v>431101</v>
      </c>
      <c r="AK109" s="28">
        <v>1</v>
      </c>
      <c r="AL109" s="28">
        <f t="shared" si="5"/>
        <v>1</v>
      </c>
      <c r="AM109" s="28" t="str">
        <f t="shared" si="4"/>
        <v>pracuj.pl</v>
      </c>
    </row>
    <row r="110" spans="1:39" x14ac:dyDescent="0.25">
      <c r="A110" t="s">
        <v>9776</v>
      </c>
      <c r="B110" t="s">
        <v>9777</v>
      </c>
      <c r="C110" t="s">
        <v>17</v>
      </c>
      <c r="D110" s="27" t="s">
        <v>9299</v>
      </c>
      <c r="E110" t="s">
        <v>192</v>
      </c>
      <c r="F110" s="421">
        <v>1</v>
      </c>
      <c r="G110" t="s">
        <v>193</v>
      </c>
      <c r="H110" t="s">
        <v>194</v>
      </c>
      <c r="I110" t="s">
        <v>9369</v>
      </c>
      <c r="J110" t="s">
        <v>9302</v>
      </c>
      <c r="K110" t="s">
        <v>9778</v>
      </c>
      <c r="L110" t="s">
        <v>8003</v>
      </c>
      <c r="M110" t="s">
        <v>9304</v>
      </c>
      <c r="N110" t="s">
        <v>9305</v>
      </c>
      <c r="O110" t="s">
        <v>9306</v>
      </c>
      <c r="P110" t="s">
        <v>9779</v>
      </c>
      <c r="Q110" t="s">
        <v>9780</v>
      </c>
      <c r="S110" t="s">
        <v>9309</v>
      </c>
      <c r="U110" s="27" t="s">
        <v>624</v>
      </c>
      <c r="V110" t="s">
        <v>193</v>
      </c>
      <c r="W110" t="s">
        <v>9310</v>
      </c>
      <c r="Z110" t="s">
        <v>9311</v>
      </c>
      <c r="AF110" t="s">
        <v>4714</v>
      </c>
      <c r="AG110" t="s">
        <v>9777</v>
      </c>
      <c r="AI110" t="s">
        <v>6955</v>
      </c>
      <c r="AJ110" s="424" t="str">
        <f t="shared" si="3"/>
        <v>332203</v>
      </c>
      <c r="AK110" s="28">
        <v>1</v>
      </c>
      <c r="AL110" s="28">
        <f t="shared" si="5"/>
        <v>1</v>
      </c>
      <c r="AM110" s="28" t="str">
        <f t="shared" si="4"/>
        <v>pracuj.pl</v>
      </c>
    </row>
    <row r="111" spans="1:39" x14ac:dyDescent="0.25">
      <c r="A111" t="s">
        <v>9781</v>
      </c>
      <c r="B111" t="s">
        <v>9782</v>
      </c>
      <c r="C111" t="s">
        <v>2955</v>
      </c>
      <c r="D111" s="27" t="s">
        <v>9299</v>
      </c>
      <c r="E111" t="s">
        <v>192</v>
      </c>
      <c r="F111" s="421">
        <v>1</v>
      </c>
      <c r="G111" t="s">
        <v>193</v>
      </c>
      <c r="H111" t="s">
        <v>194</v>
      </c>
      <c r="I111" t="s">
        <v>9742</v>
      </c>
      <c r="J111" t="s">
        <v>5098</v>
      </c>
      <c r="K111" t="s">
        <v>9783</v>
      </c>
      <c r="L111" t="s">
        <v>6295</v>
      </c>
      <c r="M111" t="s">
        <v>9304</v>
      </c>
      <c r="N111" t="s">
        <v>9305</v>
      </c>
      <c r="O111" t="s">
        <v>9306</v>
      </c>
      <c r="P111" t="s">
        <v>9784</v>
      </c>
      <c r="Q111" t="s">
        <v>9785</v>
      </c>
      <c r="S111" t="s">
        <v>9309</v>
      </c>
      <c r="T111" s="28" t="s">
        <v>9786</v>
      </c>
      <c r="U111" s="27" t="s">
        <v>9787</v>
      </c>
      <c r="V111" t="s">
        <v>194</v>
      </c>
      <c r="W111" t="s">
        <v>9300</v>
      </c>
      <c r="Z111" t="s">
        <v>9311</v>
      </c>
      <c r="AF111" t="s">
        <v>4714</v>
      </c>
      <c r="AG111" t="s">
        <v>9782</v>
      </c>
      <c r="AI111" t="s">
        <v>6955</v>
      </c>
      <c r="AJ111" s="424" t="str">
        <f t="shared" si="3"/>
        <v>311202</v>
      </c>
      <c r="AK111" s="28">
        <v>1</v>
      </c>
      <c r="AL111" s="28">
        <f t="shared" si="5"/>
        <v>1</v>
      </c>
      <c r="AM111" s="28" t="str">
        <f t="shared" si="4"/>
        <v>pracuj.pl</v>
      </c>
    </row>
    <row r="112" spans="1:39" x14ac:dyDescent="0.25">
      <c r="A112" t="s">
        <v>9788</v>
      </c>
      <c r="B112" t="s">
        <v>5434</v>
      </c>
      <c r="C112" t="s">
        <v>1657</v>
      </c>
      <c r="D112" s="27" t="s">
        <v>9299</v>
      </c>
      <c r="E112" t="s">
        <v>217</v>
      </c>
      <c r="F112" s="421">
        <v>1</v>
      </c>
      <c r="G112" t="s">
        <v>193</v>
      </c>
      <c r="H112" t="s">
        <v>194</v>
      </c>
      <c r="I112" t="s">
        <v>9742</v>
      </c>
      <c r="J112" t="s">
        <v>385</v>
      </c>
      <c r="K112" t="s">
        <v>9789</v>
      </c>
      <c r="L112" t="s">
        <v>8339</v>
      </c>
      <c r="M112" t="s">
        <v>9436</v>
      </c>
      <c r="N112" t="s">
        <v>9486</v>
      </c>
      <c r="O112" t="s">
        <v>9557</v>
      </c>
      <c r="P112" t="s">
        <v>9790</v>
      </c>
      <c r="Q112" t="s">
        <v>9791</v>
      </c>
      <c r="S112" t="s">
        <v>9309</v>
      </c>
      <c r="T112" s="28" t="s">
        <v>9410</v>
      </c>
      <c r="U112" s="27" t="s">
        <v>1658</v>
      </c>
      <c r="V112" t="s">
        <v>194</v>
      </c>
      <c r="W112" t="s">
        <v>9300</v>
      </c>
      <c r="Z112" t="s">
        <v>9311</v>
      </c>
      <c r="AF112" t="s">
        <v>4714</v>
      </c>
      <c r="AG112" t="s">
        <v>9433</v>
      </c>
      <c r="AI112" t="s">
        <v>6955</v>
      </c>
      <c r="AJ112" s="424" t="str">
        <f t="shared" si="3"/>
        <v>331502</v>
      </c>
      <c r="AK112" s="28">
        <v>1</v>
      </c>
      <c r="AL112" s="28">
        <f t="shared" si="5"/>
        <v>1</v>
      </c>
      <c r="AM112" s="28" t="str">
        <f t="shared" si="4"/>
        <v>agora</v>
      </c>
    </row>
    <row r="113" spans="1:39" x14ac:dyDescent="0.25">
      <c r="A113" t="s">
        <v>8131</v>
      </c>
      <c r="B113" t="s">
        <v>9792</v>
      </c>
      <c r="C113" t="s">
        <v>36</v>
      </c>
      <c r="D113" s="27" t="s">
        <v>9299</v>
      </c>
      <c r="E113" t="s">
        <v>233</v>
      </c>
      <c r="F113" s="421">
        <v>1</v>
      </c>
      <c r="G113" t="s">
        <v>193</v>
      </c>
      <c r="H113" t="s">
        <v>194</v>
      </c>
      <c r="I113" t="s">
        <v>9742</v>
      </c>
      <c r="J113" t="s">
        <v>9302</v>
      </c>
      <c r="K113" t="s">
        <v>9793</v>
      </c>
      <c r="L113" t="s">
        <v>6254</v>
      </c>
      <c r="M113" t="s">
        <v>9794</v>
      </c>
      <c r="N113" t="s">
        <v>9342</v>
      </c>
      <c r="O113" t="s">
        <v>9343</v>
      </c>
      <c r="P113" t="s">
        <v>9795</v>
      </c>
      <c r="Q113" t="s">
        <v>9796</v>
      </c>
      <c r="S113" t="s">
        <v>9309</v>
      </c>
      <c r="U113" s="27" t="s">
        <v>609</v>
      </c>
      <c r="V113" t="s">
        <v>193</v>
      </c>
      <c r="W113" t="s">
        <v>9310</v>
      </c>
      <c r="Z113" t="s">
        <v>9311</v>
      </c>
      <c r="AF113" t="s">
        <v>4714</v>
      </c>
      <c r="AG113" t="s">
        <v>9792</v>
      </c>
      <c r="AI113" t="s">
        <v>6955</v>
      </c>
      <c r="AJ113" s="424" t="str">
        <f t="shared" si="3"/>
        <v>331301</v>
      </c>
      <c r="AK113" s="28">
        <v>1</v>
      </c>
      <c r="AL113" s="28">
        <f t="shared" si="5"/>
        <v>1</v>
      </c>
      <c r="AM113" s="28" t="str">
        <f t="shared" si="4"/>
        <v>praca</v>
      </c>
    </row>
    <row r="114" spans="1:39" x14ac:dyDescent="0.25">
      <c r="A114" t="s">
        <v>8131</v>
      </c>
      <c r="B114" t="s">
        <v>9797</v>
      </c>
      <c r="C114" t="s">
        <v>9798</v>
      </c>
      <c r="D114" s="27" t="s">
        <v>9299</v>
      </c>
      <c r="E114" t="s">
        <v>233</v>
      </c>
      <c r="F114" s="421">
        <v>1</v>
      </c>
      <c r="G114" t="s">
        <v>193</v>
      </c>
      <c r="H114" t="s">
        <v>194</v>
      </c>
      <c r="I114" t="s">
        <v>9742</v>
      </c>
      <c r="J114" t="s">
        <v>9302</v>
      </c>
      <c r="K114" t="s">
        <v>9799</v>
      </c>
      <c r="L114" t="s">
        <v>6254</v>
      </c>
      <c r="M114" t="s">
        <v>9794</v>
      </c>
      <c r="N114" t="s">
        <v>9342</v>
      </c>
      <c r="O114" t="s">
        <v>9343</v>
      </c>
      <c r="P114" t="s">
        <v>9800</v>
      </c>
      <c r="Q114" t="s">
        <v>9801</v>
      </c>
      <c r="S114" t="s">
        <v>9309</v>
      </c>
      <c r="U114" s="27" t="s">
        <v>1592</v>
      </c>
      <c r="V114" t="s">
        <v>193</v>
      </c>
      <c r="W114" t="s">
        <v>9310</v>
      </c>
      <c r="Z114" t="s">
        <v>9311</v>
      </c>
      <c r="AF114" t="s">
        <v>4714</v>
      </c>
      <c r="AG114" t="s">
        <v>9797</v>
      </c>
      <c r="AI114" t="s">
        <v>6955</v>
      </c>
      <c r="AJ114" s="424" t="str">
        <f t="shared" si="3"/>
        <v>241103</v>
      </c>
      <c r="AK114" s="28">
        <v>1</v>
      </c>
      <c r="AL114" s="28">
        <f t="shared" si="5"/>
        <v>1</v>
      </c>
      <c r="AM114" s="28" t="str">
        <f t="shared" si="4"/>
        <v>praca</v>
      </c>
    </row>
    <row r="115" spans="1:39" x14ac:dyDescent="0.25">
      <c r="A115" t="s">
        <v>8131</v>
      </c>
      <c r="B115" t="s">
        <v>9802</v>
      </c>
      <c r="C115" t="s">
        <v>9803</v>
      </c>
      <c r="D115" s="27" t="s">
        <v>9299</v>
      </c>
      <c r="E115" t="s">
        <v>233</v>
      </c>
      <c r="F115" s="421">
        <v>1</v>
      </c>
      <c r="G115" t="s">
        <v>193</v>
      </c>
      <c r="H115" t="s">
        <v>194</v>
      </c>
      <c r="I115" t="s">
        <v>9742</v>
      </c>
      <c r="J115" t="s">
        <v>9302</v>
      </c>
      <c r="K115" t="s">
        <v>9804</v>
      </c>
      <c r="L115" t="s">
        <v>6254</v>
      </c>
      <c r="M115" t="s">
        <v>9794</v>
      </c>
      <c r="N115" t="s">
        <v>9342</v>
      </c>
      <c r="O115" t="s">
        <v>9306</v>
      </c>
      <c r="P115" t="s">
        <v>9805</v>
      </c>
      <c r="Q115" t="s">
        <v>9806</v>
      </c>
      <c r="S115" t="s">
        <v>9309</v>
      </c>
      <c r="U115" s="27" t="s">
        <v>9807</v>
      </c>
      <c r="V115" t="s">
        <v>193</v>
      </c>
      <c r="W115" t="s">
        <v>9310</v>
      </c>
      <c r="Z115" t="s">
        <v>9311</v>
      </c>
      <c r="AF115" t="s">
        <v>4714</v>
      </c>
      <c r="AG115" t="s">
        <v>9802</v>
      </c>
      <c r="AI115" t="s">
        <v>6955</v>
      </c>
      <c r="AJ115" s="424" t="str">
        <f t="shared" si="3"/>
        <v>241190</v>
      </c>
      <c r="AK115" s="28">
        <v>1</v>
      </c>
      <c r="AL115" s="28">
        <f t="shared" si="5"/>
        <v>1</v>
      </c>
      <c r="AM115" s="28" t="str">
        <f t="shared" si="4"/>
        <v>praca</v>
      </c>
    </row>
    <row r="116" spans="1:39" x14ac:dyDescent="0.25">
      <c r="A116" t="s">
        <v>8131</v>
      </c>
      <c r="B116" t="s">
        <v>9808</v>
      </c>
      <c r="C116" t="s">
        <v>9798</v>
      </c>
      <c r="D116" s="27" t="s">
        <v>9299</v>
      </c>
      <c r="E116" t="s">
        <v>233</v>
      </c>
      <c r="F116" s="421">
        <v>1</v>
      </c>
      <c r="G116" t="s">
        <v>193</v>
      </c>
      <c r="H116" t="s">
        <v>194</v>
      </c>
      <c r="I116" t="s">
        <v>9742</v>
      </c>
      <c r="J116" t="s">
        <v>9302</v>
      </c>
      <c r="K116" t="s">
        <v>9809</v>
      </c>
      <c r="L116" t="s">
        <v>6254</v>
      </c>
      <c r="M116" t="s">
        <v>9794</v>
      </c>
      <c r="N116" t="s">
        <v>9342</v>
      </c>
      <c r="O116" t="s">
        <v>9306</v>
      </c>
      <c r="P116" t="s">
        <v>9810</v>
      </c>
      <c r="Q116" t="s">
        <v>9811</v>
      </c>
      <c r="S116" t="s">
        <v>9309</v>
      </c>
      <c r="U116" s="27" t="s">
        <v>1592</v>
      </c>
      <c r="V116" t="s">
        <v>193</v>
      </c>
      <c r="W116" t="s">
        <v>9310</v>
      </c>
      <c r="Z116" t="s">
        <v>9311</v>
      </c>
      <c r="AF116" t="s">
        <v>4714</v>
      </c>
      <c r="AG116" t="s">
        <v>9808</v>
      </c>
      <c r="AI116" t="s">
        <v>6955</v>
      </c>
      <c r="AJ116" s="424" t="str">
        <f t="shared" si="3"/>
        <v>241103</v>
      </c>
      <c r="AK116" s="28">
        <v>1</v>
      </c>
      <c r="AL116" s="28">
        <f t="shared" si="5"/>
        <v>1</v>
      </c>
      <c r="AM116" s="28" t="str">
        <f t="shared" si="4"/>
        <v>praca</v>
      </c>
    </row>
    <row r="117" spans="1:39" x14ac:dyDescent="0.25">
      <c r="A117" t="s">
        <v>8131</v>
      </c>
      <c r="B117" t="s">
        <v>9812</v>
      </c>
      <c r="C117" t="s">
        <v>100</v>
      </c>
      <c r="D117" s="27" t="s">
        <v>9299</v>
      </c>
      <c r="E117" t="s">
        <v>233</v>
      </c>
      <c r="F117" s="421">
        <v>1</v>
      </c>
      <c r="G117" t="s">
        <v>193</v>
      </c>
      <c r="H117" t="s">
        <v>194</v>
      </c>
      <c r="I117" t="s">
        <v>9742</v>
      </c>
      <c r="J117" t="s">
        <v>9302</v>
      </c>
      <c r="K117" t="s">
        <v>9813</v>
      </c>
      <c r="L117" t="s">
        <v>6266</v>
      </c>
      <c r="M117" t="s">
        <v>9794</v>
      </c>
      <c r="N117" t="s">
        <v>9342</v>
      </c>
      <c r="O117" t="s">
        <v>9343</v>
      </c>
      <c r="P117" t="s">
        <v>9814</v>
      </c>
      <c r="Q117" t="s">
        <v>9815</v>
      </c>
      <c r="S117" t="s">
        <v>9309</v>
      </c>
      <c r="U117" s="27" t="s">
        <v>429</v>
      </c>
      <c r="V117" t="s">
        <v>193</v>
      </c>
      <c r="W117" t="s">
        <v>9310</v>
      </c>
      <c r="Z117" t="s">
        <v>9311</v>
      </c>
      <c r="AF117" t="s">
        <v>4714</v>
      </c>
      <c r="AG117" t="s">
        <v>9812</v>
      </c>
      <c r="AI117" t="s">
        <v>6955</v>
      </c>
      <c r="AJ117" s="424" t="str">
        <f t="shared" si="3"/>
        <v>242108</v>
      </c>
      <c r="AK117" s="28">
        <v>1</v>
      </c>
      <c r="AL117" s="28">
        <f t="shared" si="5"/>
        <v>1</v>
      </c>
      <c r="AM117" s="28" t="str">
        <f t="shared" si="4"/>
        <v>praca</v>
      </c>
    </row>
    <row r="118" spans="1:39" x14ac:dyDescent="0.25">
      <c r="A118" t="s">
        <v>8131</v>
      </c>
      <c r="B118" t="s">
        <v>9816</v>
      </c>
      <c r="C118" t="s">
        <v>100</v>
      </c>
      <c r="D118" s="27" t="s">
        <v>9299</v>
      </c>
      <c r="E118" t="s">
        <v>233</v>
      </c>
      <c r="F118" s="421">
        <v>1</v>
      </c>
      <c r="G118" t="s">
        <v>193</v>
      </c>
      <c r="H118" t="s">
        <v>194</v>
      </c>
      <c r="I118" t="s">
        <v>9742</v>
      </c>
      <c r="J118" t="s">
        <v>9302</v>
      </c>
      <c r="K118" t="s">
        <v>9817</v>
      </c>
      <c r="L118" t="s">
        <v>6277</v>
      </c>
      <c r="M118" t="s">
        <v>9794</v>
      </c>
      <c r="N118" t="s">
        <v>9342</v>
      </c>
      <c r="O118" t="s">
        <v>9343</v>
      </c>
      <c r="P118" t="s">
        <v>9818</v>
      </c>
      <c r="Q118" t="s">
        <v>9819</v>
      </c>
      <c r="S118" t="s">
        <v>9309</v>
      </c>
      <c r="U118" s="27" t="s">
        <v>429</v>
      </c>
      <c r="V118" t="s">
        <v>193</v>
      </c>
      <c r="W118" t="s">
        <v>9310</v>
      </c>
      <c r="Z118" t="s">
        <v>9311</v>
      </c>
      <c r="AF118" t="s">
        <v>4714</v>
      </c>
      <c r="AG118" t="s">
        <v>9816</v>
      </c>
      <c r="AI118" t="s">
        <v>6955</v>
      </c>
      <c r="AJ118" s="424" t="str">
        <f t="shared" si="3"/>
        <v>242108</v>
      </c>
      <c r="AK118" s="28">
        <v>1</v>
      </c>
      <c r="AL118" s="28">
        <f t="shared" si="5"/>
        <v>1</v>
      </c>
      <c r="AM118" s="28" t="str">
        <f t="shared" si="4"/>
        <v>praca</v>
      </c>
    </row>
    <row r="119" spans="1:39" x14ac:dyDescent="0.25">
      <c r="A119" t="s">
        <v>8131</v>
      </c>
      <c r="B119" t="s">
        <v>9820</v>
      </c>
      <c r="C119" t="s">
        <v>9821</v>
      </c>
      <c r="D119" s="27" t="s">
        <v>9299</v>
      </c>
      <c r="E119" t="s">
        <v>233</v>
      </c>
      <c r="F119" s="421">
        <v>1</v>
      </c>
      <c r="G119" t="s">
        <v>193</v>
      </c>
      <c r="H119" t="s">
        <v>194</v>
      </c>
      <c r="I119" t="s">
        <v>9742</v>
      </c>
      <c r="J119" t="s">
        <v>9302</v>
      </c>
      <c r="K119" t="s">
        <v>9822</v>
      </c>
      <c r="L119" t="s">
        <v>6254</v>
      </c>
      <c r="M119" t="s">
        <v>9794</v>
      </c>
      <c r="N119" t="s">
        <v>9342</v>
      </c>
      <c r="O119" t="s">
        <v>9343</v>
      </c>
      <c r="P119" t="s">
        <v>9823</v>
      </c>
      <c r="Q119" t="s">
        <v>9824</v>
      </c>
      <c r="S119" t="s">
        <v>9309</v>
      </c>
      <c r="U119" s="27" t="s">
        <v>9825</v>
      </c>
      <c r="V119" t="s">
        <v>193</v>
      </c>
      <c r="W119" t="s">
        <v>9310</v>
      </c>
      <c r="Z119" t="s">
        <v>9311</v>
      </c>
      <c r="AF119" t="s">
        <v>4714</v>
      </c>
      <c r="AG119" t="s">
        <v>9820</v>
      </c>
      <c r="AI119" t="s">
        <v>6955</v>
      </c>
      <c r="AJ119" s="424" t="str">
        <f t="shared" si="3"/>
        <v>241106</v>
      </c>
      <c r="AK119" s="28">
        <v>1</v>
      </c>
      <c r="AL119" s="28">
        <f t="shared" si="5"/>
        <v>1</v>
      </c>
      <c r="AM119" s="28" t="str">
        <f t="shared" si="4"/>
        <v>praca</v>
      </c>
    </row>
    <row r="120" spans="1:39" x14ac:dyDescent="0.25">
      <c r="A120" t="s">
        <v>8131</v>
      </c>
      <c r="B120" t="s">
        <v>9826</v>
      </c>
      <c r="C120" t="s">
        <v>100</v>
      </c>
      <c r="D120" s="27" t="s">
        <v>9299</v>
      </c>
      <c r="E120" t="s">
        <v>233</v>
      </c>
      <c r="F120" s="421">
        <v>1</v>
      </c>
      <c r="G120" t="s">
        <v>193</v>
      </c>
      <c r="H120" t="s">
        <v>194</v>
      </c>
      <c r="I120" t="s">
        <v>9742</v>
      </c>
      <c r="J120" t="s">
        <v>9302</v>
      </c>
      <c r="K120" t="s">
        <v>9827</v>
      </c>
      <c r="L120" t="s">
        <v>6266</v>
      </c>
      <c r="M120" t="s">
        <v>9794</v>
      </c>
      <c r="N120" t="s">
        <v>9342</v>
      </c>
      <c r="O120" t="s">
        <v>9343</v>
      </c>
      <c r="P120" t="s">
        <v>9828</v>
      </c>
      <c r="Q120" t="s">
        <v>9829</v>
      </c>
      <c r="S120" t="s">
        <v>9309</v>
      </c>
      <c r="U120" s="27" t="s">
        <v>429</v>
      </c>
      <c r="V120" t="s">
        <v>193</v>
      </c>
      <c r="W120" t="s">
        <v>9310</v>
      </c>
      <c r="Z120" t="s">
        <v>9311</v>
      </c>
      <c r="AF120" t="s">
        <v>4714</v>
      </c>
      <c r="AG120" t="s">
        <v>9826</v>
      </c>
      <c r="AI120" t="s">
        <v>6955</v>
      </c>
      <c r="AJ120" s="424" t="str">
        <f t="shared" si="3"/>
        <v>242108</v>
      </c>
      <c r="AK120" s="28">
        <v>1</v>
      </c>
      <c r="AL120" s="28">
        <f t="shared" si="5"/>
        <v>1</v>
      </c>
      <c r="AM120" s="28" t="str">
        <f t="shared" si="4"/>
        <v>praca</v>
      </c>
    </row>
    <row r="121" spans="1:39" x14ac:dyDescent="0.25">
      <c r="A121" t="s">
        <v>8131</v>
      </c>
      <c r="B121" t="s">
        <v>9830</v>
      </c>
      <c r="C121" t="s">
        <v>100</v>
      </c>
      <c r="D121" s="27" t="s">
        <v>9299</v>
      </c>
      <c r="E121" t="s">
        <v>233</v>
      </c>
      <c r="F121" s="421">
        <v>1</v>
      </c>
      <c r="G121" t="s">
        <v>193</v>
      </c>
      <c r="H121" t="s">
        <v>194</v>
      </c>
      <c r="I121" t="s">
        <v>9742</v>
      </c>
      <c r="J121" t="s">
        <v>9302</v>
      </c>
      <c r="K121" t="s">
        <v>9831</v>
      </c>
      <c r="L121" t="s">
        <v>6266</v>
      </c>
      <c r="M121" t="s">
        <v>9794</v>
      </c>
      <c r="N121" t="s">
        <v>9342</v>
      </c>
      <c r="O121" t="s">
        <v>9343</v>
      </c>
      <c r="P121" t="s">
        <v>9832</v>
      </c>
      <c r="Q121" t="s">
        <v>9833</v>
      </c>
      <c r="S121" t="s">
        <v>9309</v>
      </c>
      <c r="U121" s="27" t="s">
        <v>429</v>
      </c>
      <c r="V121" t="s">
        <v>193</v>
      </c>
      <c r="W121" t="s">
        <v>9310</v>
      </c>
      <c r="Z121" t="s">
        <v>9311</v>
      </c>
      <c r="AF121" t="s">
        <v>4714</v>
      </c>
      <c r="AG121" t="s">
        <v>9830</v>
      </c>
      <c r="AI121" t="s">
        <v>6955</v>
      </c>
      <c r="AJ121" s="424" t="str">
        <f t="shared" si="3"/>
        <v>242108</v>
      </c>
      <c r="AK121" s="28">
        <v>1</v>
      </c>
      <c r="AL121" s="28">
        <f t="shared" si="5"/>
        <v>1</v>
      </c>
      <c r="AM121" s="28" t="str">
        <f t="shared" si="4"/>
        <v>praca</v>
      </c>
    </row>
    <row r="122" spans="1:39" x14ac:dyDescent="0.25">
      <c r="A122" t="s">
        <v>940</v>
      </c>
      <c r="B122" t="s">
        <v>537</v>
      </c>
      <c r="C122" t="s">
        <v>778</v>
      </c>
      <c r="D122" s="27" t="s">
        <v>9299</v>
      </c>
      <c r="E122" t="s">
        <v>233</v>
      </c>
      <c r="F122" s="421">
        <v>1</v>
      </c>
      <c r="G122" t="s">
        <v>193</v>
      </c>
      <c r="H122" t="s">
        <v>194</v>
      </c>
      <c r="I122" t="s">
        <v>9461</v>
      </c>
      <c r="J122" t="s">
        <v>385</v>
      </c>
      <c r="K122" t="s">
        <v>9834</v>
      </c>
      <c r="L122" t="s">
        <v>6254</v>
      </c>
      <c r="M122" t="s">
        <v>9457</v>
      </c>
      <c r="N122" t="s">
        <v>9835</v>
      </c>
      <c r="O122" t="s">
        <v>9709</v>
      </c>
      <c r="P122" t="s">
        <v>9836</v>
      </c>
      <c r="Q122" t="s">
        <v>9837</v>
      </c>
      <c r="S122" t="s">
        <v>9309</v>
      </c>
      <c r="T122" s="28" t="s">
        <v>9410</v>
      </c>
      <c r="U122" s="27" t="s">
        <v>779</v>
      </c>
      <c r="V122" t="s">
        <v>194</v>
      </c>
      <c r="W122" t="s">
        <v>9300</v>
      </c>
      <c r="Z122" t="s">
        <v>9311</v>
      </c>
      <c r="AF122" t="s">
        <v>4714</v>
      </c>
      <c r="AG122" t="s">
        <v>778</v>
      </c>
      <c r="AI122" t="s">
        <v>6955</v>
      </c>
      <c r="AJ122" s="424" t="str">
        <f t="shared" si="3"/>
        <v>524902</v>
      </c>
      <c r="AK122" s="28">
        <v>1</v>
      </c>
      <c r="AL122" s="28">
        <f t="shared" si="5"/>
        <v>1</v>
      </c>
      <c r="AM122" s="28" t="str">
        <f t="shared" si="4"/>
        <v>praca</v>
      </c>
    </row>
    <row r="123" spans="1:39" x14ac:dyDescent="0.25">
      <c r="A123" t="s">
        <v>9838</v>
      </c>
      <c r="B123" t="s">
        <v>1644</v>
      </c>
      <c r="C123" t="s">
        <v>80</v>
      </c>
      <c r="D123" s="27" t="s">
        <v>9299</v>
      </c>
      <c r="E123" t="s">
        <v>233</v>
      </c>
      <c r="F123" s="421">
        <v>1</v>
      </c>
      <c r="G123" t="s">
        <v>193</v>
      </c>
      <c r="H123" t="s">
        <v>194</v>
      </c>
      <c r="I123" t="s">
        <v>9339</v>
      </c>
      <c r="J123" t="s">
        <v>9302</v>
      </c>
      <c r="K123" t="s">
        <v>9839</v>
      </c>
      <c r="L123" t="s">
        <v>6277</v>
      </c>
      <c r="M123" t="s">
        <v>9794</v>
      </c>
      <c r="N123" t="s">
        <v>9342</v>
      </c>
      <c r="O123" t="s">
        <v>9343</v>
      </c>
      <c r="P123" t="s">
        <v>9840</v>
      </c>
      <c r="Q123" t="s">
        <v>9841</v>
      </c>
      <c r="S123" t="s">
        <v>9309</v>
      </c>
      <c r="U123" s="27" t="s">
        <v>474</v>
      </c>
      <c r="V123" t="s">
        <v>193</v>
      </c>
      <c r="W123" t="s">
        <v>9310</v>
      </c>
      <c r="Z123" t="s">
        <v>9311</v>
      </c>
      <c r="AF123" t="s">
        <v>4714</v>
      </c>
      <c r="AG123" t="s">
        <v>1644</v>
      </c>
      <c r="AI123" t="s">
        <v>6955</v>
      </c>
      <c r="AJ123" s="424" t="str">
        <f t="shared" si="3"/>
        <v>243304</v>
      </c>
      <c r="AK123" s="28">
        <v>1</v>
      </c>
      <c r="AL123" s="28">
        <f t="shared" si="5"/>
        <v>1</v>
      </c>
      <c r="AM123" s="28" t="str">
        <f t="shared" si="4"/>
        <v>praca</v>
      </c>
    </row>
    <row r="124" spans="1:39" x14ac:dyDescent="0.25">
      <c r="A124" t="s">
        <v>7969</v>
      </c>
      <c r="B124" t="s">
        <v>3243</v>
      </c>
      <c r="C124" t="s">
        <v>43</v>
      </c>
      <c r="D124" s="27" t="s">
        <v>9299</v>
      </c>
      <c r="E124" t="s">
        <v>233</v>
      </c>
      <c r="F124" s="421">
        <v>1</v>
      </c>
      <c r="G124" t="s">
        <v>193</v>
      </c>
      <c r="H124" t="s">
        <v>194</v>
      </c>
      <c r="I124" t="s">
        <v>9742</v>
      </c>
      <c r="J124" t="s">
        <v>976</v>
      </c>
      <c r="K124" t="s">
        <v>9842</v>
      </c>
      <c r="L124" t="s">
        <v>6256</v>
      </c>
      <c r="M124" t="s">
        <v>9341</v>
      </c>
      <c r="N124" t="s">
        <v>9342</v>
      </c>
      <c r="O124" t="s">
        <v>9343</v>
      </c>
      <c r="P124" t="s">
        <v>9843</v>
      </c>
      <c r="Q124" t="s">
        <v>9844</v>
      </c>
      <c r="S124" t="s">
        <v>9309</v>
      </c>
      <c r="T124" s="28" t="s">
        <v>9726</v>
      </c>
      <c r="U124" s="27" t="s">
        <v>452</v>
      </c>
      <c r="V124" t="s">
        <v>194</v>
      </c>
      <c r="W124" t="s">
        <v>9300</v>
      </c>
      <c r="Z124" t="s">
        <v>9311</v>
      </c>
      <c r="AF124" t="s">
        <v>4714</v>
      </c>
      <c r="AG124" t="s">
        <v>3243</v>
      </c>
      <c r="AI124" t="s">
        <v>6955</v>
      </c>
      <c r="AJ124" s="424" t="str">
        <f t="shared" si="3"/>
        <v>243106</v>
      </c>
      <c r="AK124" s="28">
        <v>1</v>
      </c>
      <c r="AL124" s="28">
        <f t="shared" si="5"/>
        <v>1</v>
      </c>
      <c r="AM124" s="28" t="str">
        <f t="shared" si="4"/>
        <v>praca</v>
      </c>
    </row>
    <row r="125" spans="1:39" x14ac:dyDescent="0.25">
      <c r="A125" t="s">
        <v>9845</v>
      </c>
      <c r="B125" t="s">
        <v>9846</v>
      </c>
      <c r="C125" t="s">
        <v>9847</v>
      </c>
      <c r="D125" s="27" t="s">
        <v>9299</v>
      </c>
      <c r="E125" t="s">
        <v>217</v>
      </c>
      <c r="F125" s="421">
        <v>1</v>
      </c>
      <c r="G125" t="s">
        <v>193</v>
      </c>
      <c r="H125" t="s">
        <v>194</v>
      </c>
      <c r="I125" t="s">
        <v>9369</v>
      </c>
      <c r="J125" t="s">
        <v>755</v>
      </c>
      <c r="K125" t="s">
        <v>9848</v>
      </c>
      <c r="L125" t="s">
        <v>6269</v>
      </c>
      <c r="M125" t="s">
        <v>9660</v>
      </c>
      <c r="N125" t="s">
        <v>9661</v>
      </c>
      <c r="O125" t="s">
        <v>9541</v>
      </c>
      <c r="P125" t="s">
        <v>9849</v>
      </c>
      <c r="Q125" t="s">
        <v>9850</v>
      </c>
      <c r="S125" t="s">
        <v>9309</v>
      </c>
      <c r="T125" s="28" t="s">
        <v>9726</v>
      </c>
      <c r="U125" s="27" t="s">
        <v>9851</v>
      </c>
      <c r="V125" t="s">
        <v>194</v>
      </c>
      <c r="W125" t="s">
        <v>9300</v>
      </c>
      <c r="Z125" t="s">
        <v>9311</v>
      </c>
      <c r="AF125" t="s">
        <v>4714</v>
      </c>
      <c r="AG125" t="s">
        <v>9433</v>
      </c>
      <c r="AI125" t="s">
        <v>6955</v>
      </c>
      <c r="AJ125" s="424" t="str">
        <f t="shared" si="3"/>
        <v>432105</v>
      </c>
      <c r="AK125" s="28">
        <v>1</v>
      </c>
      <c r="AL125" s="28">
        <f t="shared" si="5"/>
        <v>1</v>
      </c>
      <c r="AM125" s="28" t="str">
        <f t="shared" si="4"/>
        <v>agora</v>
      </c>
    </row>
    <row r="126" spans="1:39" x14ac:dyDescent="0.25">
      <c r="A126" t="s">
        <v>198</v>
      </c>
      <c r="B126" t="s">
        <v>7163</v>
      </c>
      <c r="C126" t="s">
        <v>9852</v>
      </c>
      <c r="D126" s="27" t="s">
        <v>9299</v>
      </c>
      <c r="E126" t="s">
        <v>192</v>
      </c>
      <c r="F126" s="421">
        <v>1</v>
      </c>
      <c r="G126" t="s">
        <v>193</v>
      </c>
      <c r="H126" t="s">
        <v>194</v>
      </c>
      <c r="I126" t="s">
        <v>9742</v>
      </c>
      <c r="J126" t="s">
        <v>202</v>
      </c>
      <c r="K126" t="s">
        <v>9853</v>
      </c>
      <c r="L126" t="s">
        <v>6258</v>
      </c>
      <c r="M126" t="s">
        <v>9304</v>
      </c>
      <c r="N126" t="s">
        <v>9305</v>
      </c>
      <c r="O126" t="s">
        <v>9306</v>
      </c>
      <c r="P126" t="s">
        <v>9854</v>
      </c>
      <c r="Q126" t="s">
        <v>9855</v>
      </c>
      <c r="S126" t="s">
        <v>9309</v>
      </c>
      <c r="T126" s="28" t="s">
        <v>9856</v>
      </c>
      <c r="U126" s="27" t="s">
        <v>9857</v>
      </c>
      <c r="V126" t="s">
        <v>194</v>
      </c>
      <c r="W126" t="s">
        <v>9300</v>
      </c>
      <c r="Z126" t="s">
        <v>9311</v>
      </c>
      <c r="AF126" t="s">
        <v>4714</v>
      </c>
      <c r="AG126" t="s">
        <v>7163</v>
      </c>
      <c r="AI126" t="s">
        <v>6955</v>
      </c>
      <c r="AJ126" s="424" t="str">
        <f t="shared" si="3"/>
        <v>312305</v>
      </c>
      <c r="AK126" s="28">
        <v>1</v>
      </c>
      <c r="AL126" s="28">
        <f t="shared" si="5"/>
        <v>1</v>
      </c>
      <c r="AM126" s="28" t="str">
        <f t="shared" si="4"/>
        <v>pracuj.pl</v>
      </c>
    </row>
    <row r="127" spans="1:39" x14ac:dyDescent="0.25">
      <c r="A127" t="s">
        <v>9858</v>
      </c>
      <c r="B127" t="s">
        <v>2557</v>
      </c>
      <c r="C127" t="s">
        <v>43</v>
      </c>
      <c r="D127" s="27" t="s">
        <v>9299</v>
      </c>
      <c r="E127" t="s">
        <v>192</v>
      </c>
      <c r="F127" s="421">
        <v>1</v>
      </c>
      <c r="G127" t="s">
        <v>193</v>
      </c>
      <c r="H127" t="s">
        <v>194</v>
      </c>
      <c r="I127" t="s">
        <v>9742</v>
      </c>
      <c r="J127" t="s">
        <v>210</v>
      </c>
      <c r="K127" t="s">
        <v>9859</v>
      </c>
      <c r="L127" t="s">
        <v>6249</v>
      </c>
      <c r="M127" t="s">
        <v>9304</v>
      </c>
      <c r="N127" t="s">
        <v>9305</v>
      </c>
      <c r="O127" t="s">
        <v>9306</v>
      </c>
      <c r="P127" t="s">
        <v>9860</v>
      </c>
      <c r="Q127" t="s">
        <v>9861</v>
      </c>
      <c r="S127" t="s">
        <v>9309</v>
      </c>
      <c r="T127" s="28" t="s">
        <v>9334</v>
      </c>
      <c r="U127" s="27" t="s">
        <v>452</v>
      </c>
      <c r="V127" t="s">
        <v>194</v>
      </c>
      <c r="W127" t="s">
        <v>9300</v>
      </c>
      <c r="Z127" t="s">
        <v>9311</v>
      </c>
      <c r="AF127" t="s">
        <v>4714</v>
      </c>
      <c r="AG127" t="s">
        <v>2557</v>
      </c>
      <c r="AI127" t="s">
        <v>6955</v>
      </c>
      <c r="AJ127" s="424" t="str">
        <f t="shared" si="3"/>
        <v>243106</v>
      </c>
      <c r="AK127" s="28">
        <v>1</v>
      </c>
      <c r="AL127" s="28">
        <f t="shared" si="5"/>
        <v>1</v>
      </c>
      <c r="AM127" s="28" t="str">
        <f t="shared" si="4"/>
        <v>pracuj.pl</v>
      </c>
    </row>
    <row r="128" spans="1:39" x14ac:dyDescent="0.25">
      <c r="A128" t="s">
        <v>8371</v>
      </c>
      <c r="B128" t="s">
        <v>2853</v>
      </c>
      <c r="C128" t="s">
        <v>37</v>
      </c>
      <c r="D128" s="27" t="s">
        <v>9437</v>
      </c>
      <c r="E128" t="s">
        <v>233</v>
      </c>
      <c r="F128" s="421">
        <v>1</v>
      </c>
      <c r="G128" t="s">
        <v>193</v>
      </c>
      <c r="H128" t="s">
        <v>194</v>
      </c>
      <c r="I128" t="s">
        <v>9557</v>
      </c>
      <c r="J128" t="s">
        <v>9302</v>
      </c>
      <c r="K128" t="s">
        <v>11688</v>
      </c>
      <c r="L128" t="s">
        <v>6921</v>
      </c>
      <c r="M128" t="s">
        <v>11670</v>
      </c>
      <c r="N128" t="s">
        <v>10005</v>
      </c>
      <c r="O128" t="s">
        <v>9967</v>
      </c>
      <c r="P128" t="s">
        <v>11689</v>
      </c>
      <c r="Q128" t="s">
        <v>11690</v>
      </c>
      <c r="S128" t="s">
        <v>9309</v>
      </c>
      <c r="U128" s="27" t="s">
        <v>516</v>
      </c>
      <c r="V128" t="s">
        <v>193</v>
      </c>
      <c r="W128" t="s">
        <v>9310</v>
      </c>
      <c r="Z128" t="s">
        <v>9311</v>
      </c>
      <c r="AF128" t="s">
        <v>4714</v>
      </c>
      <c r="AG128" t="s">
        <v>2853</v>
      </c>
      <c r="AI128" t="s">
        <v>6955</v>
      </c>
      <c r="AJ128" s="424" t="str">
        <f t="shared" si="3"/>
        <v>252302</v>
      </c>
      <c r="AK128" s="28">
        <v>1</v>
      </c>
      <c r="AL128" s="28">
        <f t="shared" si="5"/>
        <v>1</v>
      </c>
      <c r="AM128" s="28" t="str">
        <f t="shared" si="4"/>
        <v>praca</v>
      </c>
    </row>
    <row r="129" spans="1:40" x14ac:dyDescent="0.25">
      <c r="A129" t="s">
        <v>9862</v>
      </c>
      <c r="B129" t="s">
        <v>9867</v>
      </c>
      <c r="C129" t="s">
        <v>3424</v>
      </c>
      <c r="D129" s="27" t="s">
        <v>9299</v>
      </c>
      <c r="E129" t="s">
        <v>233</v>
      </c>
      <c r="F129" s="421">
        <v>1</v>
      </c>
      <c r="G129" t="s">
        <v>193</v>
      </c>
      <c r="H129" t="s">
        <v>194</v>
      </c>
      <c r="I129" t="s">
        <v>9742</v>
      </c>
      <c r="J129" t="s">
        <v>9302</v>
      </c>
      <c r="K129" t="s">
        <v>9868</v>
      </c>
      <c r="L129" t="s">
        <v>6921</v>
      </c>
      <c r="M129" t="s">
        <v>9794</v>
      </c>
      <c r="N129" t="s">
        <v>9342</v>
      </c>
      <c r="O129" t="s">
        <v>9343</v>
      </c>
      <c r="P129" t="s">
        <v>9869</v>
      </c>
      <c r="Q129" t="s">
        <v>9870</v>
      </c>
      <c r="S129" t="s">
        <v>9309</v>
      </c>
      <c r="U129" s="27" t="s">
        <v>3425</v>
      </c>
      <c r="V129" t="s">
        <v>193</v>
      </c>
      <c r="W129" t="s">
        <v>9310</v>
      </c>
      <c r="Z129" t="s">
        <v>9311</v>
      </c>
      <c r="AF129" t="s">
        <v>4714</v>
      </c>
      <c r="AG129" t="s">
        <v>9867</v>
      </c>
      <c r="AI129" t="s">
        <v>6955</v>
      </c>
      <c r="AJ129" s="424" t="str">
        <f t="shared" si="3"/>
        <v>243307</v>
      </c>
      <c r="AK129" s="28">
        <v>1</v>
      </c>
      <c r="AL129" s="28">
        <f t="shared" si="5"/>
        <v>1</v>
      </c>
      <c r="AM129" s="28" t="str">
        <f t="shared" si="4"/>
        <v>praca</v>
      </c>
    </row>
    <row r="130" spans="1:40" x14ac:dyDescent="0.25">
      <c r="A130" t="s">
        <v>2365</v>
      </c>
      <c r="B130" t="s">
        <v>9871</v>
      </c>
      <c r="C130" t="s">
        <v>136</v>
      </c>
      <c r="D130" s="27" t="s">
        <v>9299</v>
      </c>
      <c r="E130" t="s">
        <v>192</v>
      </c>
      <c r="F130" s="421">
        <v>1</v>
      </c>
      <c r="G130" t="s">
        <v>193</v>
      </c>
      <c r="H130" t="s">
        <v>194</v>
      </c>
      <c r="I130" t="s">
        <v>9339</v>
      </c>
      <c r="J130" t="s">
        <v>9302</v>
      </c>
      <c r="K130" t="s">
        <v>9872</v>
      </c>
      <c r="L130" t="s">
        <v>7531</v>
      </c>
      <c r="M130" t="s">
        <v>9304</v>
      </c>
      <c r="N130" t="s">
        <v>9305</v>
      </c>
      <c r="O130" t="s">
        <v>9306</v>
      </c>
      <c r="P130" t="s">
        <v>9873</v>
      </c>
      <c r="Q130" t="s">
        <v>9874</v>
      </c>
      <c r="S130" t="s">
        <v>9309</v>
      </c>
      <c r="U130" s="27" t="s">
        <v>461</v>
      </c>
      <c r="V130" t="s">
        <v>193</v>
      </c>
      <c r="W130" t="s">
        <v>9310</v>
      </c>
      <c r="Z130" t="s">
        <v>9311</v>
      </c>
      <c r="AF130" t="s">
        <v>4714</v>
      </c>
      <c r="AG130" t="s">
        <v>9871</v>
      </c>
      <c r="AI130" t="s">
        <v>6955</v>
      </c>
      <c r="AJ130" s="424" t="str">
        <f t="shared" ref="AJ130:AJ193" si="6">MID(U130,8,6)</f>
        <v>243301</v>
      </c>
      <c r="AK130" s="28">
        <v>1</v>
      </c>
      <c r="AL130" s="28">
        <f t="shared" si="5"/>
        <v>1</v>
      </c>
      <c r="AM130" s="28" t="str">
        <f t="shared" ref="AM130:AM193" si="7">T(E130)</f>
        <v>pracuj.pl</v>
      </c>
    </row>
    <row r="131" spans="1:40" x14ac:dyDescent="0.25">
      <c r="A131" t="s">
        <v>800</v>
      </c>
      <c r="B131" t="s">
        <v>9875</v>
      </c>
      <c r="C131" t="s">
        <v>566</v>
      </c>
      <c r="D131" s="27" t="s">
        <v>9299</v>
      </c>
      <c r="E131" t="s">
        <v>192</v>
      </c>
      <c r="F131" s="421">
        <v>1</v>
      </c>
      <c r="G131" t="s">
        <v>193</v>
      </c>
      <c r="H131" t="s">
        <v>194</v>
      </c>
      <c r="I131" t="s">
        <v>9737</v>
      </c>
      <c r="J131" t="s">
        <v>7558</v>
      </c>
      <c r="K131" t="s">
        <v>9876</v>
      </c>
      <c r="L131" t="s">
        <v>6363</v>
      </c>
      <c r="M131" t="s">
        <v>9304</v>
      </c>
      <c r="N131" t="s">
        <v>9305</v>
      </c>
      <c r="O131" t="s">
        <v>9306</v>
      </c>
      <c r="P131" t="s">
        <v>9877</v>
      </c>
      <c r="Q131" t="s">
        <v>9878</v>
      </c>
      <c r="S131" t="s">
        <v>9309</v>
      </c>
      <c r="T131" s="28" t="s">
        <v>9786</v>
      </c>
      <c r="U131" s="27" t="s">
        <v>567</v>
      </c>
      <c r="V131" t="s">
        <v>194</v>
      </c>
      <c r="W131" t="s">
        <v>9300</v>
      </c>
      <c r="Z131" t="s">
        <v>9311</v>
      </c>
      <c r="AF131" t="s">
        <v>4714</v>
      </c>
      <c r="AG131" t="s">
        <v>9875</v>
      </c>
      <c r="AI131" t="s">
        <v>6955</v>
      </c>
      <c r="AJ131" s="424" t="str">
        <f t="shared" si="6"/>
        <v>311504</v>
      </c>
      <c r="AK131" s="28">
        <v>1</v>
      </c>
      <c r="AL131" s="28">
        <f t="shared" ref="AL131:AL194" si="8">SUM(F131)</f>
        <v>1</v>
      </c>
      <c r="AM131" s="28" t="str">
        <f t="shared" si="7"/>
        <v>pracuj.pl</v>
      </c>
    </row>
    <row r="132" spans="1:40" x14ac:dyDescent="0.25">
      <c r="A132" t="s">
        <v>5850</v>
      </c>
      <c r="B132" t="s">
        <v>4258</v>
      </c>
      <c r="C132" t="s">
        <v>5236</v>
      </c>
      <c r="D132" s="27" t="s">
        <v>9299</v>
      </c>
      <c r="E132" t="s">
        <v>233</v>
      </c>
      <c r="F132" s="421">
        <v>1</v>
      </c>
      <c r="G132" t="s">
        <v>193</v>
      </c>
      <c r="H132" t="s">
        <v>194</v>
      </c>
      <c r="I132" t="s">
        <v>9742</v>
      </c>
      <c r="J132" t="s">
        <v>385</v>
      </c>
      <c r="K132" t="s">
        <v>9879</v>
      </c>
      <c r="L132" t="s">
        <v>6275</v>
      </c>
      <c r="M132" t="s">
        <v>9341</v>
      </c>
      <c r="N132" t="s">
        <v>9342</v>
      </c>
      <c r="O132" t="s">
        <v>9343</v>
      </c>
      <c r="P132" t="s">
        <v>9880</v>
      </c>
      <c r="Q132" t="s">
        <v>9881</v>
      </c>
      <c r="S132" t="s">
        <v>9309</v>
      </c>
      <c r="T132" s="28" t="s">
        <v>9410</v>
      </c>
      <c r="U132" s="27" t="s">
        <v>5237</v>
      </c>
      <c r="V132" t="s">
        <v>194</v>
      </c>
      <c r="W132" t="s">
        <v>9300</v>
      </c>
      <c r="Z132" t="s">
        <v>9311</v>
      </c>
      <c r="AF132" t="s">
        <v>4714</v>
      </c>
      <c r="AG132" t="s">
        <v>4258</v>
      </c>
      <c r="AI132" t="s">
        <v>6955</v>
      </c>
      <c r="AJ132" s="424" t="str">
        <f t="shared" si="6"/>
        <v>712604</v>
      </c>
      <c r="AK132" s="28">
        <v>1</v>
      </c>
      <c r="AL132" s="28">
        <f t="shared" si="8"/>
        <v>1</v>
      </c>
      <c r="AM132" s="28" t="str">
        <f t="shared" si="7"/>
        <v>praca</v>
      </c>
    </row>
    <row r="133" spans="1:40" x14ac:dyDescent="0.25">
      <c r="A133" t="s">
        <v>9882</v>
      </c>
      <c r="B133" t="s">
        <v>2491</v>
      </c>
      <c r="C133" t="s">
        <v>770</v>
      </c>
      <c r="D133" s="27" t="s">
        <v>9299</v>
      </c>
      <c r="E133" t="s">
        <v>192</v>
      </c>
      <c r="F133" s="421">
        <v>1</v>
      </c>
      <c r="G133" t="s">
        <v>193</v>
      </c>
      <c r="H133" t="s">
        <v>194</v>
      </c>
      <c r="I133" t="s">
        <v>9339</v>
      </c>
      <c r="J133" t="s">
        <v>385</v>
      </c>
      <c r="K133" t="s">
        <v>9883</v>
      </c>
      <c r="L133" t="s">
        <v>6245</v>
      </c>
      <c r="M133" t="s">
        <v>9304</v>
      </c>
      <c r="N133" t="s">
        <v>9305</v>
      </c>
      <c r="O133" t="s">
        <v>9306</v>
      </c>
      <c r="P133" t="s">
        <v>9884</v>
      </c>
      <c r="Q133" t="s">
        <v>9885</v>
      </c>
      <c r="S133" t="s">
        <v>9309</v>
      </c>
      <c r="T133" s="28" t="s">
        <v>9410</v>
      </c>
      <c r="U133" s="27" t="s">
        <v>772</v>
      </c>
      <c r="V133" t="s">
        <v>194</v>
      </c>
      <c r="W133" t="s">
        <v>9300</v>
      </c>
      <c r="Z133" t="s">
        <v>9311</v>
      </c>
      <c r="AF133" t="s">
        <v>4714</v>
      </c>
      <c r="AG133" t="s">
        <v>2491</v>
      </c>
      <c r="AI133" t="s">
        <v>6955</v>
      </c>
      <c r="AJ133" s="424" t="str">
        <f t="shared" si="6"/>
        <v>522305</v>
      </c>
      <c r="AK133" s="28">
        <v>1</v>
      </c>
      <c r="AL133" s="28">
        <f t="shared" si="8"/>
        <v>1</v>
      </c>
      <c r="AM133" s="28" t="str">
        <f t="shared" si="7"/>
        <v>pracuj.pl</v>
      </c>
    </row>
    <row r="134" spans="1:40" x14ac:dyDescent="0.25">
      <c r="A134" t="s">
        <v>9886</v>
      </c>
      <c r="B134" t="s">
        <v>8</v>
      </c>
      <c r="C134" t="s">
        <v>740</v>
      </c>
      <c r="D134" s="27" t="s">
        <v>9299</v>
      </c>
      <c r="E134" t="s">
        <v>217</v>
      </c>
      <c r="F134" s="421">
        <v>1</v>
      </c>
      <c r="G134" t="s">
        <v>193</v>
      </c>
      <c r="H134" t="s">
        <v>194</v>
      </c>
      <c r="I134" t="s">
        <v>9461</v>
      </c>
      <c r="J134" t="s">
        <v>2183</v>
      </c>
      <c r="K134" t="s">
        <v>9887</v>
      </c>
      <c r="L134" t="s">
        <v>6249</v>
      </c>
      <c r="M134" t="s">
        <v>9888</v>
      </c>
      <c r="N134" t="s">
        <v>9889</v>
      </c>
      <c r="O134" t="s">
        <v>9383</v>
      </c>
      <c r="P134" t="s">
        <v>9890</v>
      </c>
      <c r="Q134" t="s">
        <v>9891</v>
      </c>
      <c r="S134" t="s">
        <v>9309</v>
      </c>
      <c r="T134" s="28" t="s">
        <v>9892</v>
      </c>
      <c r="U134" s="27" t="s">
        <v>741</v>
      </c>
      <c r="V134" t="s">
        <v>194</v>
      </c>
      <c r="W134" t="s">
        <v>9300</v>
      </c>
      <c r="Z134" t="s">
        <v>9311</v>
      </c>
      <c r="AF134" t="s">
        <v>4714</v>
      </c>
      <c r="AG134" t="s">
        <v>8</v>
      </c>
      <c r="AI134" t="s">
        <v>6955</v>
      </c>
      <c r="AJ134" s="424" t="str">
        <f t="shared" si="6"/>
        <v>522301</v>
      </c>
      <c r="AK134" s="28">
        <v>1</v>
      </c>
      <c r="AL134" s="28">
        <f t="shared" si="8"/>
        <v>1</v>
      </c>
      <c r="AM134" s="28" t="str">
        <f t="shared" si="7"/>
        <v>agora</v>
      </c>
    </row>
    <row r="135" spans="1:40" x14ac:dyDescent="0.25">
      <c r="A135" t="s">
        <v>9893</v>
      </c>
      <c r="B135" t="s">
        <v>9894</v>
      </c>
      <c r="C135" t="s">
        <v>9895</v>
      </c>
      <c r="D135" s="27" t="s">
        <v>9299</v>
      </c>
      <c r="E135" t="s">
        <v>192</v>
      </c>
      <c r="F135" s="421">
        <v>1</v>
      </c>
      <c r="G135" t="s">
        <v>193</v>
      </c>
      <c r="H135" t="s">
        <v>194</v>
      </c>
      <c r="I135" t="s">
        <v>9742</v>
      </c>
      <c r="J135" t="s">
        <v>9302</v>
      </c>
      <c r="K135" t="s">
        <v>9896</v>
      </c>
      <c r="L135" t="s">
        <v>6251</v>
      </c>
      <c r="M135" t="s">
        <v>9304</v>
      </c>
      <c r="N135" t="s">
        <v>9305</v>
      </c>
      <c r="O135" t="s">
        <v>9306</v>
      </c>
      <c r="P135" t="s">
        <v>9897</v>
      </c>
      <c r="Q135" t="s">
        <v>9898</v>
      </c>
      <c r="S135" t="s">
        <v>9309</v>
      </c>
      <c r="U135" s="27" t="s">
        <v>9899</v>
      </c>
      <c r="V135" t="s">
        <v>193</v>
      </c>
      <c r="W135" t="s">
        <v>9310</v>
      </c>
      <c r="Z135" t="s">
        <v>9311</v>
      </c>
      <c r="AF135" t="s">
        <v>4714</v>
      </c>
      <c r="AG135" t="s">
        <v>9894</v>
      </c>
      <c r="AI135" t="s">
        <v>6955</v>
      </c>
      <c r="AJ135" s="424" t="str">
        <f t="shared" si="6"/>
        <v>242107</v>
      </c>
      <c r="AK135" s="28">
        <v>1</v>
      </c>
      <c r="AL135" s="28">
        <f t="shared" si="8"/>
        <v>1</v>
      </c>
      <c r="AM135" s="28" t="str">
        <f t="shared" si="7"/>
        <v>pracuj.pl</v>
      </c>
    </row>
    <row r="136" spans="1:40" x14ac:dyDescent="0.25">
      <c r="A136" t="s">
        <v>9900</v>
      </c>
      <c r="B136" t="s">
        <v>3201</v>
      </c>
      <c r="C136" t="s">
        <v>1766</v>
      </c>
      <c r="D136" s="27" t="s">
        <v>9299</v>
      </c>
      <c r="E136" t="s">
        <v>233</v>
      </c>
      <c r="F136" s="421">
        <v>1</v>
      </c>
      <c r="G136" t="s">
        <v>193</v>
      </c>
      <c r="H136" t="s">
        <v>194</v>
      </c>
      <c r="I136" t="s">
        <v>9742</v>
      </c>
      <c r="J136" t="s">
        <v>9302</v>
      </c>
      <c r="K136" t="s">
        <v>9901</v>
      </c>
      <c r="L136" t="s">
        <v>6327</v>
      </c>
      <c r="M136" t="s">
        <v>9341</v>
      </c>
      <c r="N136" t="s">
        <v>9342</v>
      </c>
      <c r="O136" t="s">
        <v>9343</v>
      </c>
      <c r="P136" t="s">
        <v>9902</v>
      </c>
      <c r="Q136" t="s">
        <v>9903</v>
      </c>
      <c r="S136" t="s">
        <v>9309</v>
      </c>
      <c r="U136" s="27" t="s">
        <v>1767</v>
      </c>
      <c r="V136" t="s">
        <v>193</v>
      </c>
      <c r="W136" t="s">
        <v>9310</v>
      </c>
      <c r="Z136" t="s">
        <v>9311</v>
      </c>
      <c r="AF136" t="s">
        <v>4714</v>
      </c>
      <c r="AG136" t="s">
        <v>3201</v>
      </c>
      <c r="AI136" t="s">
        <v>6955</v>
      </c>
      <c r="AJ136" s="424" t="str">
        <f t="shared" si="6"/>
        <v>242112</v>
      </c>
      <c r="AK136" s="28">
        <v>1</v>
      </c>
      <c r="AL136" s="28">
        <f t="shared" si="8"/>
        <v>1</v>
      </c>
      <c r="AM136" s="28" t="str">
        <f t="shared" si="7"/>
        <v>praca</v>
      </c>
    </row>
    <row r="137" spans="1:40" x14ac:dyDescent="0.25">
      <c r="A137" t="s">
        <v>9900</v>
      </c>
      <c r="B137" t="s">
        <v>4356</v>
      </c>
      <c r="C137" t="s">
        <v>129</v>
      </c>
      <c r="D137" s="27" t="s">
        <v>9299</v>
      </c>
      <c r="E137" t="s">
        <v>233</v>
      </c>
      <c r="F137" s="421">
        <v>1</v>
      </c>
      <c r="G137" t="s">
        <v>193</v>
      </c>
      <c r="H137" t="s">
        <v>194</v>
      </c>
      <c r="I137" t="s">
        <v>9742</v>
      </c>
      <c r="J137" t="s">
        <v>9302</v>
      </c>
      <c r="K137" t="s">
        <v>9904</v>
      </c>
      <c r="L137" t="s">
        <v>6327</v>
      </c>
      <c r="M137" t="s">
        <v>9341</v>
      </c>
      <c r="N137" t="s">
        <v>9342</v>
      </c>
      <c r="O137" t="s">
        <v>9343</v>
      </c>
      <c r="P137" t="s">
        <v>9905</v>
      </c>
      <c r="Q137" t="s">
        <v>9906</v>
      </c>
      <c r="S137" t="s">
        <v>9309</v>
      </c>
      <c r="U137" s="27" t="s">
        <v>203</v>
      </c>
      <c r="V137" t="s">
        <v>193</v>
      </c>
      <c r="W137" t="s">
        <v>9310</v>
      </c>
      <c r="Z137" t="s">
        <v>9311</v>
      </c>
      <c r="AF137" t="s">
        <v>4714</v>
      </c>
      <c r="AG137" t="s">
        <v>4356</v>
      </c>
      <c r="AI137" t="s">
        <v>6955</v>
      </c>
      <c r="AJ137" s="424" t="str">
        <f t="shared" si="6"/>
        <v>121904</v>
      </c>
      <c r="AK137" s="28">
        <v>1</v>
      </c>
      <c r="AL137" s="28">
        <f t="shared" si="8"/>
        <v>1</v>
      </c>
      <c r="AM137" s="28" t="str">
        <f t="shared" si="7"/>
        <v>praca</v>
      </c>
    </row>
    <row r="138" spans="1:40" x14ac:dyDescent="0.25">
      <c r="A138" t="s">
        <v>9907</v>
      </c>
      <c r="B138" t="s">
        <v>9908</v>
      </c>
      <c r="C138" t="s">
        <v>9909</v>
      </c>
      <c r="D138" s="27" t="s">
        <v>9299</v>
      </c>
      <c r="E138" t="s">
        <v>217</v>
      </c>
      <c r="F138" s="421">
        <v>1</v>
      </c>
      <c r="G138" t="s">
        <v>193</v>
      </c>
      <c r="H138" t="s">
        <v>194</v>
      </c>
      <c r="I138" t="s">
        <v>9742</v>
      </c>
      <c r="J138" t="s">
        <v>210</v>
      </c>
      <c r="K138" t="s">
        <v>9910</v>
      </c>
      <c r="L138" t="s">
        <v>6340</v>
      </c>
      <c r="M138" t="s">
        <v>9428</v>
      </c>
      <c r="N138" t="s">
        <v>9911</v>
      </c>
      <c r="O138" t="s">
        <v>9750</v>
      </c>
      <c r="P138" t="s">
        <v>9912</v>
      </c>
      <c r="Q138" t="s">
        <v>9913</v>
      </c>
      <c r="S138" t="s">
        <v>9309</v>
      </c>
      <c r="T138" s="28" t="s">
        <v>9334</v>
      </c>
      <c r="U138" s="27" t="s">
        <v>9914</v>
      </c>
      <c r="V138" t="s">
        <v>194</v>
      </c>
      <c r="W138" t="s">
        <v>9300</v>
      </c>
      <c r="Z138" t="s">
        <v>9311</v>
      </c>
      <c r="AF138" t="s">
        <v>4714</v>
      </c>
      <c r="AG138" t="s">
        <v>9433</v>
      </c>
      <c r="AI138" t="s">
        <v>6955</v>
      </c>
      <c r="AJ138" s="424" t="str">
        <f t="shared" si="6"/>
        <v>333302</v>
      </c>
      <c r="AK138" s="28">
        <v>1</v>
      </c>
      <c r="AL138" s="28">
        <f t="shared" si="8"/>
        <v>1</v>
      </c>
      <c r="AM138" s="28" t="str">
        <f t="shared" si="7"/>
        <v>agora</v>
      </c>
    </row>
    <row r="139" spans="1:40" x14ac:dyDescent="0.25">
      <c r="A139" t="s">
        <v>9915</v>
      </c>
      <c r="B139" t="s">
        <v>885</v>
      </c>
      <c r="C139" t="s">
        <v>886</v>
      </c>
      <c r="D139" s="27" t="s">
        <v>9299</v>
      </c>
      <c r="E139" t="s">
        <v>217</v>
      </c>
      <c r="F139" s="421">
        <v>1</v>
      </c>
      <c r="G139" t="s">
        <v>193</v>
      </c>
      <c r="H139" t="s">
        <v>194</v>
      </c>
      <c r="I139" t="s">
        <v>9343</v>
      </c>
      <c r="J139" t="s">
        <v>9916</v>
      </c>
      <c r="K139" t="s">
        <v>9917</v>
      </c>
      <c r="L139" t="s">
        <v>6363</v>
      </c>
      <c r="M139" t="s">
        <v>9428</v>
      </c>
      <c r="N139" t="s">
        <v>9342</v>
      </c>
      <c r="O139" t="s">
        <v>9918</v>
      </c>
      <c r="P139" t="s">
        <v>9919</v>
      </c>
      <c r="Q139" t="s">
        <v>9920</v>
      </c>
      <c r="S139" t="s">
        <v>9309</v>
      </c>
      <c r="T139" s="28" t="s">
        <v>9726</v>
      </c>
      <c r="U139" s="27" t="s">
        <v>887</v>
      </c>
      <c r="V139" t="s">
        <v>194</v>
      </c>
      <c r="W139" t="s">
        <v>9300</v>
      </c>
      <c r="Z139" t="s">
        <v>9311</v>
      </c>
      <c r="AF139" t="s">
        <v>4714</v>
      </c>
      <c r="AG139" t="s">
        <v>9433</v>
      </c>
      <c r="AI139" t="s">
        <v>6955</v>
      </c>
      <c r="AJ139" s="424" t="str">
        <f t="shared" si="6"/>
        <v>834401</v>
      </c>
      <c r="AK139" s="28">
        <v>1</v>
      </c>
      <c r="AL139" s="28">
        <f t="shared" si="8"/>
        <v>1</v>
      </c>
      <c r="AM139" s="28" t="str">
        <f t="shared" si="7"/>
        <v>agora</v>
      </c>
    </row>
    <row r="140" spans="1:40" x14ac:dyDescent="0.25">
      <c r="A140" t="s">
        <v>9915</v>
      </c>
      <c r="B140" t="s">
        <v>9921</v>
      </c>
      <c r="C140" t="s">
        <v>9922</v>
      </c>
      <c r="D140" s="27" t="s">
        <v>9299</v>
      </c>
      <c r="E140" t="s">
        <v>217</v>
      </c>
      <c r="F140" s="421">
        <v>1</v>
      </c>
      <c r="G140" t="s">
        <v>193</v>
      </c>
      <c r="H140" t="s">
        <v>194</v>
      </c>
      <c r="I140" t="s">
        <v>9742</v>
      </c>
      <c r="J140" t="s">
        <v>9916</v>
      </c>
      <c r="K140" t="s">
        <v>9923</v>
      </c>
      <c r="L140" t="s">
        <v>6363</v>
      </c>
      <c r="M140" t="s">
        <v>9436</v>
      </c>
      <c r="N140" t="s">
        <v>9342</v>
      </c>
      <c r="O140" t="s">
        <v>9918</v>
      </c>
      <c r="P140" t="s">
        <v>9924</v>
      </c>
      <c r="Q140" t="s">
        <v>9925</v>
      </c>
      <c r="S140" t="s">
        <v>9309</v>
      </c>
      <c r="T140" s="28" t="s">
        <v>9726</v>
      </c>
      <c r="U140" s="27" t="s">
        <v>9926</v>
      </c>
      <c r="V140" t="s">
        <v>194</v>
      </c>
      <c r="W140" t="s">
        <v>9300</v>
      </c>
      <c r="Z140" t="s">
        <v>9311</v>
      </c>
      <c r="AF140" t="s">
        <v>4714</v>
      </c>
      <c r="AG140" t="s">
        <v>9433</v>
      </c>
      <c r="AI140" t="s">
        <v>6955</v>
      </c>
      <c r="AJ140" s="424" t="str">
        <f t="shared" si="6"/>
        <v>821202</v>
      </c>
      <c r="AK140" s="28">
        <v>1</v>
      </c>
      <c r="AL140" s="28">
        <f t="shared" si="8"/>
        <v>1</v>
      </c>
      <c r="AM140" s="28" t="str">
        <f t="shared" si="7"/>
        <v>agora</v>
      </c>
    </row>
    <row r="141" spans="1:40" x14ac:dyDescent="0.25">
      <c r="A141" t="s">
        <v>9927</v>
      </c>
      <c r="B141" t="s">
        <v>2853</v>
      </c>
      <c r="C141" t="s">
        <v>37</v>
      </c>
      <c r="D141" s="27" t="s">
        <v>9437</v>
      </c>
      <c r="E141" t="s">
        <v>217</v>
      </c>
      <c r="F141" s="421">
        <v>1</v>
      </c>
      <c r="G141" t="s">
        <v>193</v>
      </c>
      <c r="H141" t="s">
        <v>194</v>
      </c>
      <c r="I141" t="s">
        <v>9557</v>
      </c>
      <c r="J141" t="s">
        <v>210</v>
      </c>
      <c r="K141" t="s">
        <v>11099</v>
      </c>
      <c r="L141" t="s">
        <v>6261</v>
      </c>
      <c r="M141" t="s">
        <v>11702</v>
      </c>
      <c r="N141" t="s">
        <v>11100</v>
      </c>
      <c r="O141" t="s">
        <v>9299</v>
      </c>
      <c r="P141" t="s">
        <v>12011</v>
      </c>
      <c r="Q141" t="s">
        <v>12012</v>
      </c>
      <c r="S141" t="s">
        <v>9309</v>
      </c>
      <c r="T141" s="28" t="s">
        <v>9334</v>
      </c>
      <c r="U141" s="27" t="s">
        <v>516</v>
      </c>
      <c r="V141" t="s">
        <v>194</v>
      </c>
      <c r="W141" t="s">
        <v>9300</v>
      </c>
      <c r="Z141" t="s">
        <v>9311</v>
      </c>
      <c r="AF141" t="s">
        <v>4714</v>
      </c>
      <c r="AG141" t="s">
        <v>9433</v>
      </c>
      <c r="AI141" t="s">
        <v>6955</v>
      </c>
      <c r="AJ141" s="424" t="str">
        <f t="shared" si="6"/>
        <v>252302</v>
      </c>
      <c r="AK141" s="28">
        <v>1</v>
      </c>
      <c r="AL141" s="28">
        <f t="shared" si="8"/>
        <v>1</v>
      </c>
      <c r="AM141" s="28" t="str">
        <f t="shared" si="7"/>
        <v>agora</v>
      </c>
    </row>
    <row r="142" spans="1:40" x14ac:dyDescent="0.25">
      <c r="A142" t="s">
        <v>9927</v>
      </c>
      <c r="B142" t="s">
        <v>2853</v>
      </c>
      <c r="C142" t="s">
        <v>37</v>
      </c>
      <c r="D142" s="27" t="s">
        <v>10194</v>
      </c>
      <c r="E142" t="s">
        <v>217</v>
      </c>
      <c r="F142" s="421">
        <v>1</v>
      </c>
      <c r="G142" t="s">
        <v>193</v>
      </c>
      <c r="H142" t="s">
        <v>194</v>
      </c>
      <c r="I142" t="s">
        <v>9557</v>
      </c>
      <c r="J142" t="s">
        <v>210</v>
      </c>
      <c r="K142" t="s">
        <v>11099</v>
      </c>
      <c r="L142" t="s">
        <v>6261</v>
      </c>
      <c r="M142" t="s">
        <v>12353</v>
      </c>
      <c r="N142" t="s">
        <v>11100</v>
      </c>
      <c r="O142" t="s">
        <v>9299</v>
      </c>
      <c r="P142" t="s">
        <v>12616</v>
      </c>
      <c r="Q142" t="s">
        <v>12617</v>
      </c>
      <c r="S142" t="s">
        <v>9309</v>
      </c>
      <c r="T142" s="28" t="s">
        <v>9334</v>
      </c>
      <c r="U142" s="27" t="s">
        <v>516</v>
      </c>
      <c r="V142" t="s">
        <v>194</v>
      </c>
      <c r="W142" t="s">
        <v>9300</v>
      </c>
      <c r="Z142" t="s">
        <v>9311</v>
      </c>
      <c r="AF142" t="s">
        <v>4714</v>
      </c>
      <c r="AG142" t="s">
        <v>9433</v>
      </c>
      <c r="AI142" t="s">
        <v>6955</v>
      </c>
      <c r="AJ142" s="424" t="str">
        <f t="shared" si="6"/>
        <v>252302</v>
      </c>
      <c r="AK142" s="28">
        <v>1</v>
      </c>
      <c r="AL142" s="28">
        <f t="shared" si="8"/>
        <v>1</v>
      </c>
      <c r="AM142" s="28" t="str">
        <f t="shared" si="7"/>
        <v>agora</v>
      </c>
    </row>
    <row r="143" spans="1:40" x14ac:dyDescent="0.25">
      <c r="A143" t="s">
        <v>12918</v>
      </c>
      <c r="B143" t="s">
        <v>12927</v>
      </c>
      <c r="C143" t="s">
        <v>37</v>
      </c>
      <c r="D143" s="27" t="s">
        <v>10194</v>
      </c>
      <c r="E143" t="s">
        <v>192</v>
      </c>
      <c r="F143" s="421">
        <v>1</v>
      </c>
      <c r="G143" t="s">
        <v>193</v>
      </c>
      <c r="H143" t="s">
        <v>194</v>
      </c>
      <c r="I143" t="s">
        <v>12260</v>
      </c>
      <c r="J143" t="s">
        <v>9302</v>
      </c>
      <c r="K143" t="s">
        <v>12928</v>
      </c>
      <c r="L143" t="s">
        <v>6921</v>
      </c>
      <c r="M143" t="s">
        <v>12244</v>
      </c>
      <c r="N143" t="s">
        <v>9749</v>
      </c>
      <c r="O143" t="s">
        <v>9574</v>
      </c>
      <c r="P143" t="s">
        <v>12929</v>
      </c>
      <c r="Q143" t="s">
        <v>12930</v>
      </c>
      <c r="S143" t="s">
        <v>9309</v>
      </c>
      <c r="U143" s="27" t="s">
        <v>516</v>
      </c>
      <c r="V143" t="s">
        <v>193</v>
      </c>
      <c r="W143" t="s">
        <v>9310</v>
      </c>
      <c r="Z143" t="s">
        <v>9311</v>
      </c>
      <c r="AF143" t="s">
        <v>4714</v>
      </c>
      <c r="AG143" t="s">
        <v>12927</v>
      </c>
      <c r="AI143" t="s">
        <v>6955</v>
      </c>
      <c r="AJ143" s="424" t="str">
        <f t="shared" si="6"/>
        <v>252302</v>
      </c>
      <c r="AK143" s="28">
        <v>1</v>
      </c>
      <c r="AL143" s="28">
        <f t="shared" si="8"/>
        <v>1</v>
      </c>
      <c r="AM143" s="28" t="str">
        <f t="shared" si="7"/>
        <v>pracuj.pl</v>
      </c>
    </row>
    <row r="144" spans="1:40" x14ac:dyDescent="0.25">
      <c r="A144" t="s">
        <v>9941</v>
      </c>
      <c r="B144" s="83" t="s">
        <v>9942</v>
      </c>
      <c r="D144" s="27" t="s">
        <v>9299</v>
      </c>
      <c r="E144" t="s">
        <v>192</v>
      </c>
      <c r="F144" s="422">
        <v>1</v>
      </c>
      <c r="G144" t="s">
        <v>194</v>
      </c>
      <c r="H144" t="s">
        <v>193</v>
      </c>
      <c r="I144" t="s">
        <v>9742</v>
      </c>
      <c r="J144" t="s">
        <v>9302</v>
      </c>
      <c r="K144" t="s">
        <v>9943</v>
      </c>
      <c r="L144" t="s">
        <v>6286</v>
      </c>
      <c r="M144" t="s">
        <v>9304</v>
      </c>
      <c r="N144" t="s">
        <v>9305</v>
      </c>
      <c r="O144" t="s">
        <v>9306</v>
      </c>
      <c r="P144" t="s">
        <v>9944</v>
      </c>
      <c r="Q144" t="s">
        <v>9945</v>
      </c>
      <c r="S144" t="s">
        <v>9309</v>
      </c>
      <c r="U144" s="27" t="s">
        <v>519</v>
      </c>
      <c r="V144" t="s">
        <v>194</v>
      </c>
      <c r="W144" t="s">
        <v>9946</v>
      </c>
      <c r="Z144" t="s">
        <v>9311</v>
      </c>
      <c r="AF144" t="s">
        <v>4714</v>
      </c>
      <c r="AG144" t="s">
        <v>9942</v>
      </c>
      <c r="AI144" t="s">
        <v>6955</v>
      </c>
      <c r="AJ144" s="441" t="str">
        <f t="shared" si="6"/>
        <v>261103</v>
      </c>
      <c r="AK144" s="28">
        <v>1</v>
      </c>
      <c r="AL144" s="28">
        <f t="shared" si="8"/>
        <v>1</v>
      </c>
      <c r="AM144" s="28" t="str">
        <f t="shared" si="7"/>
        <v>pracuj.pl</v>
      </c>
      <c r="AN144">
        <v>1</v>
      </c>
    </row>
    <row r="145" spans="1:40" x14ac:dyDescent="0.25">
      <c r="A145" t="s">
        <v>9941</v>
      </c>
      <c r="B145" s="83" t="s">
        <v>9947</v>
      </c>
      <c r="D145" s="27" t="s">
        <v>9299</v>
      </c>
      <c r="E145" t="s">
        <v>192</v>
      </c>
      <c r="F145" s="422">
        <v>1</v>
      </c>
      <c r="G145" t="s">
        <v>194</v>
      </c>
      <c r="H145" t="s">
        <v>193</v>
      </c>
      <c r="I145" t="s">
        <v>9742</v>
      </c>
      <c r="J145" t="s">
        <v>9302</v>
      </c>
      <c r="K145" t="s">
        <v>9948</v>
      </c>
      <c r="L145" t="s">
        <v>6286</v>
      </c>
      <c r="M145" t="s">
        <v>9304</v>
      </c>
      <c r="N145" t="s">
        <v>9305</v>
      </c>
      <c r="O145" t="s">
        <v>9306</v>
      </c>
      <c r="P145" t="s">
        <v>9949</v>
      </c>
      <c r="Q145" t="s">
        <v>9950</v>
      </c>
      <c r="S145" t="s">
        <v>9309</v>
      </c>
      <c r="U145" s="27" t="s">
        <v>519</v>
      </c>
      <c r="V145" t="s">
        <v>194</v>
      </c>
      <c r="W145" t="s">
        <v>9946</v>
      </c>
      <c r="Z145" t="s">
        <v>9311</v>
      </c>
      <c r="AF145" t="s">
        <v>4714</v>
      </c>
      <c r="AG145" t="s">
        <v>9947</v>
      </c>
      <c r="AI145" t="s">
        <v>6955</v>
      </c>
      <c r="AJ145" s="441" t="str">
        <f t="shared" si="6"/>
        <v>261103</v>
      </c>
      <c r="AK145" s="28">
        <v>1</v>
      </c>
      <c r="AL145" s="28">
        <f t="shared" si="8"/>
        <v>1</v>
      </c>
      <c r="AM145" s="28" t="str">
        <f t="shared" si="7"/>
        <v>pracuj.pl</v>
      </c>
      <c r="AN145">
        <v>2</v>
      </c>
    </row>
    <row r="146" spans="1:40" x14ac:dyDescent="0.25">
      <c r="A146" t="s">
        <v>9951</v>
      </c>
      <c r="B146" t="s">
        <v>9952</v>
      </c>
      <c r="C146" t="s">
        <v>9953</v>
      </c>
      <c r="D146" s="27" t="s">
        <v>9299</v>
      </c>
      <c r="E146" t="s">
        <v>217</v>
      </c>
      <c r="F146" s="421">
        <v>1</v>
      </c>
      <c r="G146" t="s">
        <v>193</v>
      </c>
      <c r="H146" t="s">
        <v>194</v>
      </c>
      <c r="I146" t="s">
        <v>9742</v>
      </c>
      <c r="J146" t="s">
        <v>309</v>
      </c>
      <c r="K146" t="s">
        <v>9954</v>
      </c>
      <c r="L146" t="s">
        <v>6249</v>
      </c>
      <c r="M146" t="s">
        <v>9436</v>
      </c>
      <c r="N146" t="s">
        <v>9955</v>
      </c>
      <c r="O146" t="s">
        <v>9956</v>
      </c>
      <c r="P146" t="s">
        <v>9957</v>
      </c>
      <c r="Q146" t="s">
        <v>9958</v>
      </c>
      <c r="S146" t="s">
        <v>9309</v>
      </c>
      <c r="T146" s="28" t="s">
        <v>9518</v>
      </c>
      <c r="U146" s="27" t="s">
        <v>9959</v>
      </c>
      <c r="V146" t="s">
        <v>194</v>
      </c>
      <c r="W146" t="s">
        <v>9300</v>
      </c>
      <c r="Z146" t="s">
        <v>9311</v>
      </c>
      <c r="AF146" t="s">
        <v>4714</v>
      </c>
      <c r="AG146" t="s">
        <v>9433</v>
      </c>
      <c r="AI146" t="s">
        <v>6955</v>
      </c>
      <c r="AJ146" s="424" t="str">
        <f t="shared" si="6"/>
        <v>243390</v>
      </c>
      <c r="AK146" s="28">
        <v>1</v>
      </c>
      <c r="AL146" s="28">
        <f t="shared" si="8"/>
        <v>1</v>
      </c>
      <c r="AM146" s="28" t="str">
        <f t="shared" si="7"/>
        <v>agora</v>
      </c>
    </row>
    <row r="147" spans="1:40" x14ac:dyDescent="0.25">
      <c r="A147" t="s">
        <v>8178</v>
      </c>
      <c r="B147" t="s">
        <v>9960</v>
      </c>
      <c r="C147" t="s">
        <v>43</v>
      </c>
      <c r="D147" s="27" t="s">
        <v>9299</v>
      </c>
      <c r="E147" t="s">
        <v>192</v>
      </c>
      <c r="F147" s="421">
        <v>1</v>
      </c>
      <c r="G147" t="s">
        <v>193</v>
      </c>
      <c r="H147" t="s">
        <v>194</v>
      </c>
      <c r="I147" t="s">
        <v>9742</v>
      </c>
      <c r="J147" t="s">
        <v>210</v>
      </c>
      <c r="K147" t="s">
        <v>9961</v>
      </c>
      <c r="L147" t="s">
        <v>7489</v>
      </c>
      <c r="M147" t="s">
        <v>9304</v>
      </c>
      <c r="N147" t="s">
        <v>9305</v>
      </c>
      <c r="O147" t="s">
        <v>9306</v>
      </c>
      <c r="P147" t="s">
        <v>9962</v>
      </c>
      <c r="Q147" t="s">
        <v>9963</v>
      </c>
      <c r="S147" t="s">
        <v>9309</v>
      </c>
      <c r="T147" s="28" t="s">
        <v>9334</v>
      </c>
      <c r="U147" s="27" t="s">
        <v>452</v>
      </c>
      <c r="V147" t="s">
        <v>194</v>
      </c>
      <c r="W147" t="s">
        <v>9300</v>
      </c>
      <c r="Z147" t="s">
        <v>9311</v>
      </c>
      <c r="AF147" t="s">
        <v>4714</v>
      </c>
      <c r="AG147" t="s">
        <v>9960</v>
      </c>
      <c r="AI147" t="s">
        <v>6955</v>
      </c>
      <c r="AJ147" s="424" t="str">
        <f t="shared" si="6"/>
        <v>243106</v>
      </c>
      <c r="AK147" s="28">
        <v>1</v>
      </c>
      <c r="AL147" s="28">
        <f t="shared" si="8"/>
        <v>1</v>
      </c>
      <c r="AM147" s="28" t="str">
        <f t="shared" si="7"/>
        <v>pracuj.pl</v>
      </c>
    </row>
    <row r="148" spans="1:40" x14ac:dyDescent="0.25">
      <c r="A148" t="s">
        <v>716</v>
      </c>
      <c r="B148" t="s">
        <v>9964</v>
      </c>
      <c r="C148" t="s">
        <v>62</v>
      </c>
      <c r="D148" s="27" t="s">
        <v>9299</v>
      </c>
      <c r="E148" t="s">
        <v>217</v>
      </c>
      <c r="F148" s="421">
        <v>1</v>
      </c>
      <c r="G148" t="s">
        <v>193</v>
      </c>
      <c r="H148" t="s">
        <v>194</v>
      </c>
      <c r="I148" t="s">
        <v>9343</v>
      </c>
      <c r="J148" t="s">
        <v>253</v>
      </c>
      <c r="K148" t="s">
        <v>9965</v>
      </c>
      <c r="L148" t="s">
        <v>6363</v>
      </c>
      <c r="M148" t="s">
        <v>9428</v>
      </c>
      <c r="N148" t="s">
        <v>9966</v>
      </c>
      <c r="O148" t="s">
        <v>9967</v>
      </c>
      <c r="P148" t="s">
        <v>9968</v>
      </c>
      <c r="Q148" t="s">
        <v>9969</v>
      </c>
      <c r="S148" t="s">
        <v>9309</v>
      </c>
      <c r="T148" s="28" t="s">
        <v>9468</v>
      </c>
      <c r="U148" s="27" t="s">
        <v>601</v>
      </c>
      <c r="V148" t="s">
        <v>194</v>
      </c>
      <c r="W148" t="s">
        <v>9300</v>
      </c>
      <c r="Z148" t="s">
        <v>9311</v>
      </c>
      <c r="AF148" t="s">
        <v>4714</v>
      </c>
      <c r="AG148" t="s">
        <v>9433</v>
      </c>
      <c r="AI148" t="s">
        <v>6955</v>
      </c>
      <c r="AJ148" s="424" t="str">
        <f t="shared" si="6"/>
        <v>313904</v>
      </c>
      <c r="AK148" s="28">
        <v>1</v>
      </c>
      <c r="AL148" s="28">
        <f t="shared" si="8"/>
        <v>1</v>
      </c>
      <c r="AM148" s="28" t="str">
        <f t="shared" si="7"/>
        <v>agora</v>
      </c>
    </row>
    <row r="149" spans="1:40" x14ac:dyDescent="0.25">
      <c r="A149" t="s">
        <v>4776</v>
      </c>
      <c r="B149" t="s">
        <v>9970</v>
      </c>
      <c r="C149" t="s">
        <v>700</v>
      </c>
      <c r="D149" s="27" t="s">
        <v>9299</v>
      </c>
      <c r="E149" t="s">
        <v>233</v>
      </c>
      <c r="F149" s="421">
        <v>1</v>
      </c>
      <c r="G149" t="s">
        <v>193</v>
      </c>
      <c r="H149" t="s">
        <v>194</v>
      </c>
      <c r="I149" t="s">
        <v>9742</v>
      </c>
      <c r="J149" t="s">
        <v>367</v>
      </c>
      <c r="K149" t="s">
        <v>9971</v>
      </c>
      <c r="L149" t="s">
        <v>6286</v>
      </c>
      <c r="M149" t="s">
        <v>9341</v>
      </c>
      <c r="N149" t="s">
        <v>9342</v>
      </c>
      <c r="O149" t="s">
        <v>9343</v>
      </c>
      <c r="P149" t="s">
        <v>9972</v>
      </c>
      <c r="Q149" t="s">
        <v>9973</v>
      </c>
      <c r="S149" t="s">
        <v>9309</v>
      </c>
      <c r="T149" s="28" t="s">
        <v>9974</v>
      </c>
      <c r="U149" s="27" t="s">
        <v>701</v>
      </c>
      <c r="V149" t="s">
        <v>194</v>
      </c>
      <c r="W149" t="s">
        <v>9300</v>
      </c>
      <c r="Z149" t="s">
        <v>9311</v>
      </c>
      <c r="AF149" t="s">
        <v>4714</v>
      </c>
      <c r="AG149" t="s">
        <v>9970</v>
      </c>
      <c r="AI149" t="s">
        <v>6955</v>
      </c>
      <c r="AJ149" s="424" t="str">
        <f t="shared" si="6"/>
        <v>411003</v>
      </c>
      <c r="AK149" s="28">
        <v>1</v>
      </c>
      <c r="AL149" s="28">
        <f t="shared" si="8"/>
        <v>1</v>
      </c>
      <c r="AM149" s="28" t="str">
        <f t="shared" si="7"/>
        <v>praca</v>
      </c>
    </row>
    <row r="150" spans="1:40" x14ac:dyDescent="0.25">
      <c r="A150" t="s">
        <v>8187</v>
      </c>
      <c r="B150" t="s">
        <v>9975</v>
      </c>
      <c r="C150" t="s">
        <v>740</v>
      </c>
      <c r="D150" s="27" t="s">
        <v>9299</v>
      </c>
      <c r="E150" t="s">
        <v>192</v>
      </c>
      <c r="F150" s="421">
        <v>1</v>
      </c>
      <c r="G150" t="s">
        <v>193</v>
      </c>
      <c r="H150" t="s">
        <v>194</v>
      </c>
      <c r="I150" t="s">
        <v>9737</v>
      </c>
      <c r="J150" t="s">
        <v>755</v>
      </c>
      <c r="K150" t="s">
        <v>9976</v>
      </c>
      <c r="L150" t="s">
        <v>6251</v>
      </c>
      <c r="M150" t="s">
        <v>9304</v>
      </c>
      <c r="N150" t="s">
        <v>9305</v>
      </c>
      <c r="O150" t="s">
        <v>9977</v>
      </c>
      <c r="P150" t="s">
        <v>9978</v>
      </c>
      <c r="Q150" t="s">
        <v>9979</v>
      </c>
      <c r="S150" t="s">
        <v>9309</v>
      </c>
      <c r="T150" s="28" t="s">
        <v>9726</v>
      </c>
      <c r="U150" s="27" t="s">
        <v>741</v>
      </c>
      <c r="V150" t="s">
        <v>194</v>
      </c>
      <c r="W150" t="s">
        <v>9300</v>
      </c>
      <c r="Z150" t="s">
        <v>9311</v>
      </c>
      <c r="AF150" t="s">
        <v>4714</v>
      </c>
      <c r="AG150" t="s">
        <v>9975</v>
      </c>
      <c r="AI150" t="s">
        <v>6955</v>
      </c>
      <c r="AJ150" s="424" t="str">
        <f t="shared" si="6"/>
        <v>522301</v>
      </c>
      <c r="AK150" s="28">
        <v>1</v>
      </c>
      <c r="AL150" s="28">
        <f t="shared" si="8"/>
        <v>1</v>
      </c>
      <c r="AM150" s="28" t="str">
        <f t="shared" si="7"/>
        <v>pracuj.pl</v>
      </c>
    </row>
    <row r="151" spans="1:40" x14ac:dyDescent="0.25">
      <c r="A151" t="s">
        <v>8187</v>
      </c>
      <c r="B151" t="s">
        <v>9975</v>
      </c>
      <c r="C151" t="s">
        <v>740</v>
      </c>
      <c r="D151" s="27" t="s">
        <v>9299</v>
      </c>
      <c r="E151" t="s">
        <v>192</v>
      </c>
      <c r="F151" s="421">
        <v>1</v>
      </c>
      <c r="G151" t="s">
        <v>193</v>
      </c>
      <c r="H151" t="s">
        <v>194</v>
      </c>
      <c r="I151" t="s">
        <v>9737</v>
      </c>
      <c r="J151" t="s">
        <v>309</v>
      </c>
      <c r="K151" t="s">
        <v>9980</v>
      </c>
      <c r="L151" t="s">
        <v>6251</v>
      </c>
      <c r="M151" t="s">
        <v>9304</v>
      </c>
      <c r="N151" t="s">
        <v>9305</v>
      </c>
      <c r="O151" t="s">
        <v>9977</v>
      </c>
      <c r="P151" t="s">
        <v>9981</v>
      </c>
      <c r="Q151" t="s">
        <v>9982</v>
      </c>
      <c r="S151" t="s">
        <v>9309</v>
      </c>
      <c r="T151" s="28" t="s">
        <v>9518</v>
      </c>
      <c r="U151" s="27" t="s">
        <v>741</v>
      </c>
      <c r="V151" t="s">
        <v>194</v>
      </c>
      <c r="W151" t="s">
        <v>9300</v>
      </c>
      <c r="Z151" t="s">
        <v>9311</v>
      </c>
      <c r="AF151" t="s">
        <v>4714</v>
      </c>
      <c r="AG151" t="s">
        <v>9975</v>
      </c>
      <c r="AI151" t="s">
        <v>6955</v>
      </c>
      <c r="AJ151" s="424" t="str">
        <f t="shared" si="6"/>
        <v>522301</v>
      </c>
      <c r="AK151" s="28">
        <v>1</v>
      </c>
      <c r="AL151" s="28">
        <f t="shared" si="8"/>
        <v>1</v>
      </c>
      <c r="AM151" s="28" t="str">
        <f t="shared" si="7"/>
        <v>pracuj.pl</v>
      </c>
    </row>
    <row r="152" spans="1:40" x14ac:dyDescent="0.25">
      <c r="A152" t="s">
        <v>2772</v>
      </c>
      <c r="B152" t="s">
        <v>9983</v>
      </c>
      <c r="C152" t="s">
        <v>778</v>
      </c>
      <c r="D152" s="27" t="s">
        <v>9299</v>
      </c>
      <c r="E152" t="s">
        <v>192</v>
      </c>
      <c r="F152" s="421">
        <v>1</v>
      </c>
      <c r="G152" t="s">
        <v>193</v>
      </c>
      <c r="H152" t="s">
        <v>194</v>
      </c>
      <c r="I152" t="s">
        <v>9369</v>
      </c>
      <c r="J152" t="s">
        <v>9302</v>
      </c>
      <c r="K152" t="s">
        <v>9984</v>
      </c>
      <c r="L152" t="s">
        <v>6245</v>
      </c>
      <c r="M152" t="s">
        <v>9304</v>
      </c>
      <c r="N152" t="s">
        <v>9305</v>
      </c>
      <c r="O152" t="s">
        <v>9306</v>
      </c>
      <c r="P152" t="s">
        <v>9985</v>
      </c>
      <c r="Q152" t="s">
        <v>9986</v>
      </c>
      <c r="S152" t="s">
        <v>9309</v>
      </c>
      <c r="U152" s="27" t="s">
        <v>779</v>
      </c>
      <c r="V152" t="s">
        <v>193</v>
      </c>
      <c r="W152" t="s">
        <v>9310</v>
      </c>
      <c r="Z152" t="s">
        <v>9311</v>
      </c>
      <c r="AF152" t="s">
        <v>4714</v>
      </c>
      <c r="AG152" t="s">
        <v>9983</v>
      </c>
      <c r="AI152" t="s">
        <v>6955</v>
      </c>
      <c r="AJ152" s="424" t="str">
        <f t="shared" si="6"/>
        <v>524902</v>
      </c>
      <c r="AK152" s="28">
        <v>1</v>
      </c>
      <c r="AL152" s="28">
        <f t="shared" si="8"/>
        <v>1</v>
      </c>
      <c r="AM152" s="28" t="str">
        <f t="shared" si="7"/>
        <v>pracuj.pl</v>
      </c>
    </row>
    <row r="153" spans="1:40" x14ac:dyDescent="0.25">
      <c r="A153" t="s">
        <v>9987</v>
      </c>
      <c r="B153" t="s">
        <v>9988</v>
      </c>
      <c r="C153" t="s">
        <v>1957</v>
      </c>
      <c r="D153" s="27" t="s">
        <v>9299</v>
      </c>
      <c r="E153" t="s">
        <v>192</v>
      </c>
      <c r="F153" s="421">
        <v>1</v>
      </c>
      <c r="G153" t="s">
        <v>193</v>
      </c>
      <c r="H153" t="s">
        <v>194</v>
      </c>
      <c r="I153" t="s">
        <v>9989</v>
      </c>
      <c r="J153" t="s">
        <v>672</v>
      </c>
      <c r="K153" t="s">
        <v>9990</v>
      </c>
      <c r="L153" t="s">
        <v>6258</v>
      </c>
      <c r="M153" t="s">
        <v>9304</v>
      </c>
      <c r="N153" t="s">
        <v>9305</v>
      </c>
      <c r="O153" t="s">
        <v>9306</v>
      </c>
      <c r="P153" t="s">
        <v>9991</v>
      </c>
      <c r="Q153" t="s">
        <v>9992</v>
      </c>
      <c r="S153" t="s">
        <v>9309</v>
      </c>
      <c r="T153" s="28" t="s">
        <v>9726</v>
      </c>
      <c r="U153" s="27" t="s">
        <v>1958</v>
      </c>
      <c r="V153" t="s">
        <v>194</v>
      </c>
      <c r="W153" t="s">
        <v>9300</v>
      </c>
      <c r="Z153" t="s">
        <v>9311</v>
      </c>
      <c r="AF153" t="s">
        <v>4714</v>
      </c>
      <c r="AG153" t="s">
        <v>9988</v>
      </c>
      <c r="AI153" t="s">
        <v>6955</v>
      </c>
      <c r="AJ153" s="424" t="str">
        <f t="shared" si="6"/>
        <v>214408</v>
      </c>
      <c r="AK153" s="28">
        <v>1</v>
      </c>
      <c r="AL153" s="28">
        <f t="shared" si="8"/>
        <v>1</v>
      </c>
      <c r="AM153" s="28" t="str">
        <f t="shared" si="7"/>
        <v>pracuj.pl</v>
      </c>
    </row>
    <row r="154" spans="1:40" x14ac:dyDescent="0.25">
      <c r="A154" t="s">
        <v>9993</v>
      </c>
      <c r="B154" t="s">
        <v>6027</v>
      </c>
      <c r="C154" t="s">
        <v>17</v>
      </c>
      <c r="D154" s="27" t="s">
        <v>9299</v>
      </c>
      <c r="E154" t="s">
        <v>192</v>
      </c>
      <c r="F154" s="421">
        <v>1</v>
      </c>
      <c r="G154" t="s">
        <v>193</v>
      </c>
      <c r="H154" t="s">
        <v>194</v>
      </c>
      <c r="I154" t="s">
        <v>9369</v>
      </c>
      <c r="J154" t="s">
        <v>9302</v>
      </c>
      <c r="K154" t="s">
        <v>9994</v>
      </c>
      <c r="L154" t="s">
        <v>6245</v>
      </c>
      <c r="M154" t="s">
        <v>9304</v>
      </c>
      <c r="N154" t="s">
        <v>9305</v>
      </c>
      <c r="O154" t="s">
        <v>9306</v>
      </c>
      <c r="P154" t="s">
        <v>9995</v>
      </c>
      <c r="Q154" t="s">
        <v>9996</v>
      </c>
      <c r="S154" t="s">
        <v>9309</v>
      </c>
      <c r="U154" s="27" t="s">
        <v>624</v>
      </c>
      <c r="V154" t="s">
        <v>193</v>
      </c>
      <c r="W154" t="s">
        <v>9310</v>
      </c>
      <c r="Z154" t="s">
        <v>9311</v>
      </c>
      <c r="AF154" t="s">
        <v>4714</v>
      </c>
      <c r="AG154" t="s">
        <v>6027</v>
      </c>
      <c r="AI154" t="s">
        <v>6955</v>
      </c>
      <c r="AJ154" s="424" t="str">
        <f t="shared" si="6"/>
        <v>332203</v>
      </c>
      <c r="AK154" s="28">
        <v>1</v>
      </c>
      <c r="AL154" s="28">
        <f t="shared" si="8"/>
        <v>1</v>
      </c>
      <c r="AM154" s="28" t="str">
        <f t="shared" si="7"/>
        <v>pracuj.pl</v>
      </c>
    </row>
    <row r="155" spans="1:40" x14ac:dyDescent="0.25">
      <c r="A155" t="s">
        <v>9997</v>
      </c>
      <c r="B155" t="s">
        <v>9998</v>
      </c>
      <c r="C155" t="s">
        <v>1554</v>
      </c>
      <c r="D155" s="27" t="s">
        <v>9299</v>
      </c>
      <c r="E155" t="s">
        <v>233</v>
      </c>
      <c r="F155" s="421">
        <v>1</v>
      </c>
      <c r="G155" t="s">
        <v>193</v>
      </c>
      <c r="H155" t="s">
        <v>194</v>
      </c>
      <c r="I155" t="s">
        <v>9737</v>
      </c>
      <c r="J155" t="s">
        <v>9302</v>
      </c>
      <c r="K155" t="s">
        <v>9999</v>
      </c>
      <c r="L155" t="s">
        <v>6327</v>
      </c>
      <c r="M155" t="s">
        <v>9341</v>
      </c>
      <c r="N155" t="s">
        <v>9342</v>
      </c>
      <c r="O155" t="s">
        <v>9343</v>
      </c>
      <c r="P155" t="s">
        <v>10000</v>
      </c>
      <c r="Q155" t="s">
        <v>10001</v>
      </c>
      <c r="S155" t="s">
        <v>9309</v>
      </c>
      <c r="U155" s="27" t="s">
        <v>1555</v>
      </c>
      <c r="V155" t="s">
        <v>193</v>
      </c>
      <c r="W155" t="s">
        <v>9310</v>
      </c>
      <c r="Z155" t="s">
        <v>9311</v>
      </c>
      <c r="AF155" t="s">
        <v>4714</v>
      </c>
      <c r="AG155" t="s">
        <v>9998</v>
      </c>
      <c r="AI155" t="s">
        <v>6955</v>
      </c>
      <c r="AJ155" s="424" t="str">
        <f t="shared" si="6"/>
        <v>112013</v>
      </c>
      <c r="AK155" s="28">
        <v>1</v>
      </c>
      <c r="AL155" s="28">
        <f t="shared" si="8"/>
        <v>1</v>
      </c>
      <c r="AM155" s="28" t="str">
        <f t="shared" si="7"/>
        <v>praca</v>
      </c>
    </row>
    <row r="156" spans="1:40" x14ac:dyDescent="0.25">
      <c r="A156" t="s">
        <v>10002</v>
      </c>
      <c r="B156" t="s">
        <v>10003</v>
      </c>
      <c r="C156" t="s">
        <v>740</v>
      </c>
      <c r="D156" s="27" t="s">
        <v>9299</v>
      </c>
      <c r="E156" t="s">
        <v>217</v>
      </c>
      <c r="F156" s="421">
        <v>1</v>
      </c>
      <c r="G156" t="s">
        <v>193</v>
      </c>
      <c r="H156" t="s">
        <v>194</v>
      </c>
      <c r="I156" t="s">
        <v>9412</v>
      </c>
      <c r="J156" t="s">
        <v>210</v>
      </c>
      <c r="K156" t="s">
        <v>10004</v>
      </c>
      <c r="L156" t="s">
        <v>6249</v>
      </c>
      <c r="M156" t="s">
        <v>9436</v>
      </c>
      <c r="N156" t="s">
        <v>10005</v>
      </c>
      <c r="O156" t="s">
        <v>9430</v>
      </c>
      <c r="P156" t="s">
        <v>10006</v>
      </c>
      <c r="Q156" t="s">
        <v>10007</v>
      </c>
      <c r="S156" t="s">
        <v>9309</v>
      </c>
      <c r="T156" s="28" t="s">
        <v>9334</v>
      </c>
      <c r="U156" s="27" t="s">
        <v>741</v>
      </c>
      <c r="V156" t="s">
        <v>194</v>
      </c>
      <c r="W156" t="s">
        <v>9300</v>
      </c>
      <c r="Z156" t="s">
        <v>9311</v>
      </c>
      <c r="AF156" t="s">
        <v>4714</v>
      </c>
      <c r="AG156" t="s">
        <v>9433</v>
      </c>
      <c r="AI156" t="s">
        <v>6955</v>
      </c>
      <c r="AJ156" s="424" t="str">
        <f t="shared" si="6"/>
        <v>522301</v>
      </c>
      <c r="AK156" s="28">
        <v>1</v>
      </c>
      <c r="AL156" s="28">
        <f t="shared" si="8"/>
        <v>1</v>
      </c>
      <c r="AM156" s="28" t="str">
        <f t="shared" si="7"/>
        <v>agora</v>
      </c>
    </row>
    <row r="157" spans="1:40" x14ac:dyDescent="0.25">
      <c r="A157" t="s">
        <v>10002</v>
      </c>
      <c r="B157" t="s">
        <v>10008</v>
      </c>
      <c r="C157" t="s">
        <v>740</v>
      </c>
      <c r="D157" s="27" t="s">
        <v>9299</v>
      </c>
      <c r="E157" t="s">
        <v>217</v>
      </c>
      <c r="F157" s="421">
        <v>1</v>
      </c>
      <c r="G157" t="s">
        <v>193</v>
      </c>
      <c r="H157" t="s">
        <v>194</v>
      </c>
      <c r="I157" t="s">
        <v>9491</v>
      </c>
      <c r="J157" t="s">
        <v>316</v>
      </c>
      <c r="K157" t="s">
        <v>10009</v>
      </c>
      <c r="L157" t="s">
        <v>6251</v>
      </c>
      <c r="M157" t="s">
        <v>9436</v>
      </c>
      <c r="N157" t="s">
        <v>9553</v>
      </c>
      <c r="O157" t="s">
        <v>9343</v>
      </c>
      <c r="P157" t="s">
        <v>10010</v>
      </c>
      <c r="Q157" t="s">
        <v>10011</v>
      </c>
      <c r="S157" t="s">
        <v>9309</v>
      </c>
      <c r="T157" s="28" t="s">
        <v>10012</v>
      </c>
      <c r="U157" s="27" t="s">
        <v>741</v>
      </c>
      <c r="V157" t="s">
        <v>194</v>
      </c>
      <c r="W157" t="s">
        <v>9300</v>
      </c>
      <c r="Z157" t="s">
        <v>9311</v>
      </c>
      <c r="AF157" t="s">
        <v>4714</v>
      </c>
      <c r="AG157" t="s">
        <v>9433</v>
      </c>
      <c r="AI157" t="s">
        <v>6955</v>
      </c>
      <c r="AJ157" s="424" t="str">
        <f t="shared" si="6"/>
        <v>522301</v>
      </c>
      <c r="AK157" s="28">
        <v>1</v>
      </c>
      <c r="AL157" s="28">
        <f t="shared" si="8"/>
        <v>1</v>
      </c>
      <c r="AM157" s="28" t="str">
        <f t="shared" si="7"/>
        <v>agora</v>
      </c>
    </row>
    <row r="158" spans="1:40" x14ac:dyDescent="0.25">
      <c r="A158" t="s">
        <v>7499</v>
      </c>
      <c r="B158" t="s">
        <v>10013</v>
      </c>
      <c r="C158" t="s">
        <v>3688</v>
      </c>
      <c r="D158" s="27" t="s">
        <v>9299</v>
      </c>
      <c r="E158" t="s">
        <v>192</v>
      </c>
      <c r="F158" s="421">
        <v>1</v>
      </c>
      <c r="G158" t="s">
        <v>193</v>
      </c>
      <c r="H158" t="s">
        <v>194</v>
      </c>
      <c r="I158" t="s">
        <v>9339</v>
      </c>
      <c r="J158" t="s">
        <v>7502</v>
      </c>
      <c r="K158" t="s">
        <v>10014</v>
      </c>
      <c r="L158" t="s">
        <v>6275</v>
      </c>
      <c r="M158" t="s">
        <v>9304</v>
      </c>
      <c r="N158" t="s">
        <v>9305</v>
      </c>
      <c r="O158" t="s">
        <v>9306</v>
      </c>
      <c r="P158" t="s">
        <v>10015</v>
      </c>
      <c r="Q158" t="s">
        <v>10016</v>
      </c>
      <c r="S158" t="s">
        <v>9309</v>
      </c>
      <c r="T158" s="28" t="s">
        <v>9440</v>
      </c>
      <c r="U158" s="27" t="s">
        <v>3689</v>
      </c>
      <c r="V158" t="s">
        <v>194</v>
      </c>
      <c r="W158" t="s">
        <v>9300</v>
      </c>
      <c r="Z158" t="s">
        <v>9311</v>
      </c>
      <c r="AF158" t="s">
        <v>4714</v>
      </c>
      <c r="AG158" t="s">
        <v>10013</v>
      </c>
      <c r="AI158" t="s">
        <v>6955</v>
      </c>
      <c r="AJ158" s="424" t="str">
        <f t="shared" si="6"/>
        <v>112007</v>
      </c>
      <c r="AK158" s="28">
        <v>1</v>
      </c>
      <c r="AL158" s="28">
        <f t="shared" si="8"/>
        <v>1</v>
      </c>
      <c r="AM158" s="28" t="str">
        <f t="shared" si="7"/>
        <v>pracuj.pl</v>
      </c>
    </row>
    <row r="159" spans="1:40" x14ac:dyDescent="0.25">
      <c r="A159" t="s">
        <v>10017</v>
      </c>
      <c r="B159" t="s">
        <v>261</v>
      </c>
      <c r="C159" t="s">
        <v>74</v>
      </c>
      <c r="D159" s="27" t="s">
        <v>9299</v>
      </c>
      <c r="E159" t="s">
        <v>192</v>
      </c>
      <c r="F159" s="421">
        <v>1</v>
      </c>
      <c r="G159" t="s">
        <v>193</v>
      </c>
      <c r="H159" t="s">
        <v>194</v>
      </c>
      <c r="I159" t="s">
        <v>9343</v>
      </c>
      <c r="J159" t="s">
        <v>210</v>
      </c>
      <c r="K159" t="s">
        <v>10018</v>
      </c>
      <c r="L159" t="s">
        <v>6249</v>
      </c>
      <c r="M159" t="s">
        <v>9304</v>
      </c>
      <c r="N159" t="s">
        <v>9305</v>
      </c>
      <c r="O159" t="s">
        <v>9306</v>
      </c>
      <c r="P159" t="s">
        <v>10019</v>
      </c>
      <c r="Q159" t="s">
        <v>10020</v>
      </c>
      <c r="S159" t="s">
        <v>9309</v>
      </c>
      <c r="T159" s="28" t="s">
        <v>9334</v>
      </c>
      <c r="U159" s="27" t="s">
        <v>246</v>
      </c>
      <c r="V159" t="s">
        <v>194</v>
      </c>
      <c r="W159" t="s">
        <v>9300</v>
      </c>
      <c r="Z159" t="s">
        <v>9311</v>
      </c>
      <c r="AF159" t="s">
        <v>4714</v>
      </c>
      <c r="AG159" t="s">
        <v>261</v>
      </c>
      <c r="AI159" t="s">
        <v>6955</v>
      </c>
      <c r="AJ159" s="424" t="str">
        <f t="shared" si="6"/>
        <v>142004</v>
      </c>
      <c r="AK159" s="28">
        <v>1</v>
      </c>
      <c r="AL159" s="28">
        <f t="shared" si="8"/>
        <v>1</v>
      </c>
      <c r="AM159" s="28" t="str">
        <f t="shared" si="7"/>
        <v>pracuj.pl</v>
      </c>
    </row>
    <row r="160" spans="1:40" x14ac:dyDescent="0.25">
      <c r="A160" t="s">
        <v>1675</v>
      </c>
      <c r="B160" t="s">
        <v>10021</v>
      </c>
      <c r="C160" t="s">
        <v>4966</v>
      </c>
      <c r="D160" s="27" t="s">
        <v>9299</v>
      </c>
      <c r="E160" t="s">
        <v>233</v>
      </c>
      <c r="F160" s="421">
        <v>1</v>
      </c>
      <c r="G160" t="s">
        <v>193</v>
      </c>
      <c r="H160" t="s">
        <v>194</v>
      </c>
      <c r="I160" t="s">
        <v>9737</v>
      </c>
      <c r="J160" t="s">
        <v>210</v>
      </c>
      <c r="K160" t="s">
        <v>10022</v>
      </c>
      <c r="L160" t="s">
        <v>6254</v>
      </c>
      <c r="M160" t="s">
        <v>9341</v>
      </c>
      <c r="N160" t="s">
        <v>9342</v>
      </c>
      <c r="O160" t="s">
        <v>9343</v>
      </c>
      <c r="P160" t="s">
        <v>10023</v>
      </c>
      <c r="Q160" t="s">
        <v>10024</v>
      </c>
      <c r="S160" t="s">
        <v>9309</v>
      </c>
      <c r="T160" s="28" t="s">
        <v>9334</v>
      </c>
      <c r="U160" s="27" t="s">
        <v>405</v>
      </c>
      <c r="V160" t="s">
        <v>194</v>
      </c>
      <c r="W160" t="s">
        <v>9300</v>
      </c>
      <c r="Z160" t="s">
        <v>9311</v>
      </c>
      <c r="AF160" t="s">
        <v>4714</v>
      </c>
      <c r="AG160" t="s">
        <v>10021</v>
      </c>
      <c r="AI160" t="s">
        <v>6955</v>
      </c>
      <c r="AJ160" s="424" t="str">
        <f t="shared" si="6"/>
        <v>241304</v>
      </c>
      <c r="AK160" s="28">
        <v>1</v>
      </c>
      <c r="AL160" s="28">
        <f t="shared" si="8"/>
        <v>1</v>
      </c>
      <c r="AM160" s="28" t="str">
        <f t="shared" si="7"/>
        <v>praca</v>
      </c>
    </row>
    <row r="161" spans="1:40" x14ac:dyDescent="0.25">
      <c r="A161" t="s">
        <v>7323</v>
      </c>
      <c r="B161" t="s">
        <v>10025</v>
      </c>
      <c r="C161" t="s">
        <v>10026</v>
      </c>
      <c r="D161" s="27" t="s">
        <v>9299</v>
      </c>
      <c r="E161" t="s">
        <v>233</v>
      </c>
      <c r="F161" s="421">
        <v>1</v>
      </c>
      <c r="G161" t="s">
        <v>193</v>
      </c>
      <c r="H161" t="s">
        <v>194</v>
      </c>
      <c r="I161" t="s">
        <v>9343</v>
      </c>
      <c r="J161" t="s">
        <v>9302</v>
      </c>
      <c r="K161" t="s">
        <v>10027</v>
      </c>
      <c r="L161" t="s">
        <v>6288</v>
      </c>
      <c r="M161" t="s">
        <v>9341</v>
      </c>
      <c r="N161" t="s">
        <v>9342</v>
      </c>
      <c r="O161" t="s">
        <v>9343</v>
      </c>
      <c r="P161" t="s">
        <v>10028</v>
      </c>
      <c r="Q161" t="s">
        <v>10029</v>
      </c>
      <c r="S161" t="s">
        <v>9309</v>
      </c>
      <c r="U161" s="27" t="s">
        <v>10030</v>
      </c>
      <c r="V161" t="s">
        <v>193</v>
      </c>
      <c r="W161" t="s">
        <v>9310</v>
      </c>
      <c r="Z161" t="s">
        <v>9311</v>
      </c>
      <c r="AF161" t="s">
        <v>4714</v>
      </c>
      <c r="AG161" t="s">
        <v>10025</v>
      </c>
      <c r="AI161" t="s">
        <v>6955</v>
      </c>
      <c r="AJ161" s="424" t="str">
        <f t="shared" si="6"/>
        <v>221255</v>
      </c>
      <c r="AK161" s="28">
        <v>1</v>
      </c>
      <c r="AL161" s="28">
        <f t="shared" si="8"/>
        <v>1</v>
      </c>
      <c r="AM161" s="28" t="str">
        <f t="shared" si="7"/>
        <v>praca</v>
      </c>
    </row>
    <row r="162" spans="1:40" x14ac:dyDescent="0.25">
      <c r="A162" t="s">
        <v>4975</v>
      </c>
      <c r="B162" t="s">
        <v>67</v>
      </c>
      <c r="C162" t="s">
        <v>67</v>
      </c>
      <c r="D162" s="27" t="s">
        <v>9299</v>
      </c>
      <c r="E162" t="s">
        <v>233</v>
      </c>
      <c r="F162" s="421">
        <v>1</v>
      </c>
      <c r="G162" t="s">
        <v>193</v>
      </c>
      <c r="H162" t="s">
        <v>194</v>
      </c>
      <c r="I162" t="s">
        <v>9461</v>
      </c>
      <c r="J162" t="s">
        <v>253</v>
      </c>
      <c r="K162" t="s">
        <v>10031</v>
      </c>
      <c r="L162" t="s">
        <v>6266</v>
      </c>
      <c r="M162" t="s">
        <v>9341</v>
      </c>
      <c r="N162" t="s">
        <v>9342</v>
      </c>
      <c r="O162" t="s">
        <v>9343</v>
      </c>
      <c r="P162" t="s">
        <v>10032</v>
      </c>
      <c r="Q162" t="s">
        <v>10033</v>
      </c>
      <c r="S162" t="s">
        <v>9309</v>
      </c>
      <c r="T162" s="28" t="s">
        <v>9468</v>
      </c>
      <c r="U162" s="27" t="s">
        <v>709</v>
      </c>
      <c r="V162" t="s">
        <v>194</v>
      </c>
      <c r="W162" t="s">
        <v>9300</v>
      </c>
      <c r="Z162" t="s">
        <v>9311</v>
      </c>
      <c r="AF162" t="s">
        <v>4714</v>
      </c>
      <c r="AG162" t="s">
        <v>67</v>
      </c>
      <c r="AI162" t="s">
        <v>6955</v>
      </c>
      <c r="AJ162" s="424" t="str">
        <f t="shared" si="6"/>
        <v>432103</v>
      </c>
      <c r="AK162" s="28">
        <v>1</v>
      </c>
      <c r="AL162" s="28">
        <f t="shared" si="8"/>
        <v>1</v>
      </c>
      <c r="AM162" s="28" t="str">
        <f t="shared" si="7"/>
        <v>praca</v>
      </c>
    </row>
    <row r="163" spans="1:40" x14ac:dyDescent="0.25">
      <c r="A163" t="s">
        <v>4975</v>
      </c>
      <c r="B163" t="s">
        <v>10034</v>
      </c>
      <c r="C163" t="s">
        <v>740</v>
      </c>
      <c r="D163" s="27" t="s">
        <v>9299</v>
      </c>
      <c r="E163" t="s">
        <v>233</v>
      </c>
      <c r="F163" s="421">
        <v>1</v>
      </c>
      <c r="G163" t="s">
        <v>193</v>
      </c>
      <c r="H163" t="s">
        <v>194</v>
      </c>
      <c r="I163" t="s">
        <v>9412</v>
      </c>
      <c r="J163" t="s">
        <v>408</v>
      </c>
      <c r="K163" t="s">
        <v>10035</v>
      </c>
      <c r="L163" t="s">
        <v>6275</v>
      </c>
      <c r="M163" t="s">
        <v>9341</v>
      </c>
      <c r="N163" t="s">
        <v>9342</v>
      </c>
      <c r="O163" t="s">
        <v>9343</v>
      </c>
      <c r="P163" t="s">
        <v>10036</v>
      </c>
      <c r="Q163" t="s">
        <v>10037</v>
      </c>
      <c r="S163" t="s">
        <v>9309</v>
      </c>
      <c r="T163" s="28" t="s">
        <v>9479</v>
      </c>
      <c r="U163" s="27" t="s">
        <v>741</v>
      </c>
      <c r="V163" t="s">
        <v>194</v>
      </c>
      <c r="W163" t="s">
        <v>9300</v>
      </c>
      <c r="Z163" t="s">
        <v>9311</v>
      </c>
      <c r="AF163" t="s">
        <v>4714</v>
      </c>
      <c r="AG163" t="s">
        <v>10034</v>
      </c>
      <c r="AI163" t="s">
        <v>6955</v>
      </c>
      <c r="AJ163" s="424" t="str">
        <f t="shared" si="6"/>
        <v>522301</v>
      </c>
      <c r="AK163" s="28">
        <v>1</v>
      </c>
      <c r="AL163" s="28">
        <f t="shared" si="8"/>
        <v>1</v>
      </c>
      <c r="AM163" s="28" t="str">
        <f t="shared" si="7"/>
        <v>praca</v>
      </c>
    </row>
    <row r="164" spans="1:40" x14ac:dyDescent="0.25">
      <c r="A164" t="s">
        <v>453</v>
      </c>
      <c r="B164" s="83" t="s">
        <v>10038</v>
      </c>
      <c r="D164" s="27" t="s">
        <v>9299</v>
      </c>
      <c r="E164" t="s">
        <v>217</v>
      </c>
      <c r="F164" s="422">
        <v>1</v>
      </c>
      <c r="G164" t="s">
        <v>194</v>
      </c>
      <c r="H164" t="s">
        <v>193</v>
      </c>
      <c r="I164" t="s">
        <v>9989</v>
      </c>
      <c r="J164" t="s">
        <v>10039</v>
      </c>
      <c r="K164" t="s">
        <v>10040</v>
      </c>
      <c r="L164" t="s">
        <v>6277</v>
      </c>
      <c r="M164" t="s">
        <v>9436</v>
      </c>
      <c r="N164" t="s">
        <v>9536</v>
      </c>
      <c r="O164" t="s">
        <v>9491</v>
      </c>
      <c r="P164" t="s">
        <v>10041</v>
      </c>
      <c r="Q164" t="s">
        <v>10042</v>
      </c>
      <c r="S164" t="s">
        <v>9309</v>
      </c>
      <c r="U164" s="27" t="s">
        <v>203</v>
      </c>
      <c r="V164" t="s">
        <v>194</v>
      </c>
      <c r="W164" t="s">
        <v>9946</v>
      </c>
      <c r="Z164" t="s">
        <v>9311</v>
      </c>
      <c r="AF164" t="s">
        <v>4714</v>
      </c>
      <c r="AG164" t="s">
        <v>9433</v>
      </c>
      <c r="AI164" t="s">
        <v>6955</v>
      </c>
      <c r="AJ164" s="441" t="str">
        <f t="shared" si="6"/>
        <v>121904</v>
      </c>
      <c r="AK164" s="28">
        <v>1</v>
      </c>
      <c r="AL164" s="28">
        <f t="shared" si="8"/>
        <v>1</v>
      </c>
      <c r="AM164" s="28" t="str">
        <f t="shared" si="7"/>
        <v>agora</v>
      </c>
      <c r="AN164">
        <v>3</v>
      </c>
    </row>
    <row r="165" spans="1:40" x14ac:dyDescent="0.25">
      <c r="A165" t="s">
        <v>10043</v>
      </c>
      <c r="B165" t="s">
        <v>1606</v>
      </c>
      <c r="C165" t="s">
        <v>22</v>
      </c>
      <c r="D165" s="27" t="s">
        <v>9299</v>
      </c>
      <c r="E165" t="s">
        <v>217</v>
      </c>
      <c r="F165" s="421">
        <v>1</v>
      </c>
      <c r="G165" t="s">
        <v>193</v>
      </c>
      <c r="H165" t="s">
        <v>194</v>
      </c>
      <c r="I165" t="s">
        <v>9343</v>
      </c>
      <c r="J165" t="s">
        <v>305</v>
      </c>
      <c r="K165" t="s">
        <v>10044</v>
      </c>
      <c r="L165" t="s">
        <v>6288</v>
      </c>
      <c r="M165" t="s">
        <v>9428</v>
      </c>
      <c r="N165" t="s">
        <v>10045</v>
      </c>
      <c r="O165" t="s">
        <v>9383</v>
      </c>
      <c r="P165" t="s">
        <v>10046</v>
      </c>
      <c r="Q165" t="s">
        <v>10047</v>
      </c>
      <c r="S165" t="s">
        <v>9309</v>
      </c>
      <c r="T165" s="28" t="s">
        <v>9753</v>
      </c>
      <c r="U165" s="27" t="s">
        <v>1608</v>
      </c>
      <c r="V165" t="s">
        <v>194</v>
      </c>
      <c r="W165" t="s">
        <v>9300</v>
      </c>
      <c r="Z165" t="s">
        <v>9311</v>
      </c>
      <c r="AF165" t="s">
        <v>4714</v>
      </c>
      <c r="AG165" t="s">
        <v>9433</v>
      </c>
      <c r="AI165" t="s">
        <v>6955</v>
      </c>
      <c r="AJ165" s="424" t="str">
        <f t="shared" si="6"/>
        <v>228101</v>
      </c>
      <c r="AK165" s="28">
        <v>1</v>
      </c>
      <c r="AL165" s="28">
        <f t="shared" si="8"/>
        <v>1</v>
      </c>
      <c r="AM165" s="28" t="str">
        <f t="shared" si="7"/>
        <v>agora</v>
      </c>
    </row>
    <row r="166" spans="1:40" x14ac:dyDescent="0.25">
      <c r="A166" t="s">
        <v>10048</v>
      </c>
      <c r="B166" t="s">
        <v>10049</v>
      </c>
      <c r="C166" t="s">
        <v>396</v>
      </c>
      <c r="D166" s="27" t="s">
        <v>9299</v>
      </c>
      <c r="E166" t="s">
        <v>192</v>
      </c>
      <c r="F166" s="421">
        <v>1</v>
      </c>
      <c r="G166" t="s">
        <v>193</v>
      </c>
      <c r="H166" t="s">
        <v>194</v>
      </c>
      <c r="I166" t="s">
        <v>9737</v>
      </c>
      <c r="J166" t="s">
        <v>210</v>
      </c>
      <c r="K166" t="s">
        <v>10050</v>
      </c>
      <c r="L166" t="s">
        <v>6312</v>
      </c>
      <c r="M166" t="s">
        <v>9457</v>
      </c>
      <c r="N166" t="s">
        <v>9305</v>
      </c>
      <c r="O166" t="s">
        <v>9306</v>
      </c>
      <c r="P166" t="s">
        <v>10051</v>
      </c>
      <c r="Q166" t="s">
        <v>10052</v>
      </c>
      <c r="S166" t="s">
        <v>9309</v>
      </c>
      <c r="T166" s="28" t="s">
        <v>9334</v>
      </c>
      <c r="U166" s="27" t="s">
        <v>397</v>
      </c>
      <c r="V166" t="s">
        <v>194</v>
      </c>
      <c r="W166" t="s">
        <v>9300</v>
      </c>
      <c r="Z166" t="s">
        <v>9311</v>
      </c>
      <c r="AF166" t="s">
        <v>4714</v>
      </c>
      <c r="AG166" t="s">
        <v>49</v>
      </c>
      <c r="AI166" t="s">
        <v>6955</v>
      </c>
      <c r="AJ166" s="424" t="str">
        <f t="shared" si="6"/>
        <v>235301</v>
      </c>
      <c r="AK166" s="28">
        <v>1</v>
      </c>
      <c r="AL166" s="28">
        <f t="shared" si="8"/>
        <v>1</v>
      </c>
      <c r="AM166" s="28" t="str">
        <f t="shared" si="7"/>
        <v>pracuj.pl</v>
      </c>
    </row>
    <row r="167" spans="1:40" x14ac:dyDescent="0.25">
      <c r="A167" t="s">
        <v>493</v>
      </c>
      <c r="B167" t="s">
        <v>11446</v>
      </c>
      <c r="C167" t="s">
        <v>97</v>
      </c>
      <c r="D167" s="27" t="s">
        <v>9835</v>
      </c>
      <c r="E167" t="s">
        <v>192</v>
      </c>
      <c r="F167" s="421">
        <v>1</v>
      </c>
      <c r="G167" t="s">
        <v>193</v>
      </c>
      <c r="H167" t="s">
        <v>194</v>
      </c>
      <c r="I167" t="s">
        <v>10529</v>
      </c>
      <c r="J167" t="s">
        <v>210</v>
      </c>
      <c r="K167" t="s">
        <v>11447</v>
      </c>
      <c r="L167" t="s">
        <v>6327</v>
      </c>
      <c r="M167" t="s">
        <v>10519</v>
      </c>
      <c r="N167" t="s">
        <v>10045</v>
      </c>
      <c r="O167" t="s">
        <v>9369</v>
      </c>
      <c r="P167" t="s">
        <v>11448</v>
      </c>
      <c r="Q167" t="s">
        <v>11449</v>
      </c>
      <c r="S167" t="s">
        <v>9309</v>
      </c>
      <c r="T167" s="28" t="s">
        <v>9334</v>
      </c>
      <c r="U167" s="27" t="s">
        <v>2086</v>
      </c>
      <c r="V167" t="s">
        <v>194</v>
      </c>
      <c r="W167" t="s">
        <v>9300</v>
      </c>
      <c r="Z167" t="s">
        <v>9311</v>
      </c>
      <c r="AF167" t="s">
        <v>4714</v>
      </c>
      <c r="AG167" t="s">
        <v>11446</v>
      </c>
      <c r="AI167" t="s">
        <v>6955</v>
      </c>
      <c r="AJ167" s="424" t="str">
        <f t="shared" si="6"/>
        <v>251102</v>
      </c>
      <c r="AK167" s="28">
        <v>1</v>
      </c>
      <c r="AL167" s="28">
        <f t="shared" si="8"/>
        <v>1</v>
      </c>
      <c r="AM167" s="28" t="str">
        <f t="shared" si="7"/>
        <v>pracuj.pl</v>
      </c>
      <c r="AN167">
        <v>4</v>
      </c>
    </row>
    <row r="168" spans="1:40" x14ac:dyDescent="0.25">
      <c r="A168" t="s">
        <v>8371</v>
      </c>
      <c r="B168" t="s">
        <v>10571</v>
      </c>
      <c r="C168" t="s">
        <v>10572</v>
      </c>
      <c r="D168" s="27" t="s">
        <v>9835</v>
      </c>
      <c r="E168" t="s">
        <v>233</v>
      </c>
      <c r="F168" s="421">
        <v>1</v>
      </c>
      <c r="G168" t="s">
        <v>193</v>
      </c>
      <c r="H168" t="s">
        <v>194</v>
      </c>
      <c r="I168" t="s">
        <v>10529</v>
      </c>
      <c r="J168" t="s">
        <v>9302</v>
      </c>
      <c r="K168" t="s">
        <v>10573</v>
      </c>
      <c r="L168" t="s">
        <v>6921</v>
      </c>
      <c r="M168" t="s">
        <v>10564</v>
      </c>
      <c r="N168" t="s">
        <v>9588</v>
      </c>
      <c r="O168" t="s">
        <v>9491</v>
      </c>
      <c r="P168" t="s">
        <v>10574</v>
      </c>
      <c r="Q168" t="s">
        <v>10575</v>
      </c>
      <c r="S168" t="s">
        <v>9309</v>
      </c>
      <c r="U168" s="27" t="s">
        <v>10576</v>
      </c>
      <c r="V168" t="s">
        <v>193</v>
      </c>
      <c r="W168" t="s">
        <v>9310</v>
      </c>
      <c r="Z168" t="s">
        <v>9311</v>
      </c>
      <c r="AF168" t="s">
        <v>4714</v>
      </c>
      <c r="AG168" t="s">
        <v>10571</v>
      </c>
      <c r="AI168" t="s">
        <v>6955</v>
      </c>
      <c r="AJ168" s="424" t="str">
        <f t="shared" si="6"/>
        <v>251290</v>
      </c>
      <c r="AK168" s="28">
        <v>1</v>
      </c>
      <c r="AL168" s="28">
        <f t="shared" si="8"/>
        <v>1</v>
      </c>
      <c r="AM168" s="28" t="str">
        <f t="shared" si="7"/>
        <v>praca</v>
      </c>
      <c r="AN168">
        <v>5</v>
      </c>
    </row>
    <row r="169" spans="1:40" x14ac:dyDescent="0.25">
      <c r="A169" t="s">
        <v>9312</v>
      </c>
      <c r="B169" t="s">
        <v>9317</v>
      </c>
      <c r="C169" t="s">
        <v>10</v>
      </c>
      <c r="D169" s="27" t="s">
        <v>9299</v>
      </c>
      <c r="E169" t="s">
        <v>192</v>
      </c>
      <c r="F169" s="421">
        <v>1</v>
      </c>
      <c r="G169" t="s">
        <v>193</v>
      </c>
      <c r="H169" t="s">
        <v>194</v>
      </c>
      <c r="I169" t="s">
        <v>9318</v>
      </c>
      <c r="J169" t="s">
        <v>9302</v>
      </c>
      <c r="K169" t="s">
        <v>9319</v>
      </c>
      <c r="L169" t="s">
        <v>6261</v>
      </c>
      <c r="M169" t="s">
        <v>9304</v>
      </c>
      <c r="N169" t="s">
        <v>9305</v>
      </c>
      <c r="O169" t="s">
        <v>9306</v>
      </c>
      <c r="P169" t="s">
        <v>9320</v>
      </c>
      <c r="Q169" t="s">
        <v>9321</v>
      </c>
      <c r="S169" t="s">
        <v>9309</v>
      </c>
      <c r="U169" s="27" t="s">
        <v>484</v>
      </c>
      <c r="V169" t="s">
        <v>193</v>
      </c>
      <c r="W169" t="s">
        <v>9310</v>
      </c>
      <c r="Z169" t="s">
        <v>9311</v>
      </c>
      <c r="AF169" t="s">
        <v>4714</v>
      </c>
      <c r="AG169" t="s">
        <v>9317</v>
      </c>
      <c r="AI169" t="s">
        <v>6955</v>
      </c>
      <c r="AJ169" s="424" t="str">
        <f t="shared" si="6"/>
        <v>251401</v>
      </c>
      <c r="AK169" s="28">
        <v>1</v>
      </c>
      <c r="AL169" s="421">
        <f t="shared" si="8"/>
        <v>1</v>
      </c>
      <c r="AM169" s="28" t="str">
        <f t="shared" si="7"/>
        <v>pracuj.pl</v>
      </c>
    </row>
    <row r="170" spans="1:40" x14ac:dyDescent="0.25">
      <c r="A170" t="s">
        <v>915</v>
      </c>
      <c r="B170" t="s">
        <v>1598</v>
      </c>
      <c r="C170" t="s">
        <v>444</v>
      </c>
      <c r="D170" s="27" t="s">
        <v>9299</v>
      </c>
      <c r="E170" t="s">
        <v>192</v>
      </c>
      <c r="F170" s="421">
        <v>1</v>
      </c>
      <c r="G170" t="s">
        <v>193</v>
      </c>
      <c r="H170" t="s">
        <v>194</v>
      </c>
      <c r="I170" t="s">
        <v>9737</v>
      </c>
      <c r="J170" t="s">
        <v>9302</v>
      </c>
      <c r="K170" t="s">
        <v>10065</v>
      </c>
      <c r="L170" t="s">
        <v>6261</v>
      </c>
      <c r="M170" t="s">
        <v>9304</v>
      </c>
      <c r="N170" t="s">
        <v>9305</v>
      </c>
      <c r="O170" t="s">
        <v>9339</v>
      </c>
      <c r="P170" t="s">
        <v>10066</v>
      </c>
      <c r="Q170" t="s">
        <v>10067</v>
      </c>
      <c r="S170" t="s">
        <v>9309</v>
      </c>
      <c r="U170" s="27" t="s">
        <v>445</v>
      </c>
      <c r="V170" t="s">
        <v>193</v>
      </c>
      <c r="W170" t="s">
        <v>9310</v>
      </c>
      <c r="Z170" t="s">
        <v>9311</v>
      </c>
      <c r="AF170" t="s">
        <v>4714</v>
      </c>
      <c r="AG170" t="s">
        <v>1598</v>
      </c>
      <c r="AI170" t="s">
        <v>6955</v>
      </c>
      <c r="AJ170" s="424" t="str">
        <f t="shared" si="6"/>
        <v>243103</v>
      </c>
      <c r="AK170" s="28">
        <v>1</v>
      </c>
      <c r="AL170" s="28">
        <f t="shared" si="8"/>
        <v>1</v>
      </c>
      <c r="AM170" s="28" t="str">
        <f t="shared" si="7"/>
        <v>pracuj.pl</v>
      </c>
    </row>
    <row r="171" spans="1:40" x14ac:dyDescent="0.25">
      <c r="A171" t="s">
        <v>915</v>
      </c>
      <c r="B171" s="83" t="s">
        <v>10068</v>
      </c>
      <c r="D171" s="27" t="s">
        <v>9299</v>
      </c>
      <c r="E171" t="s">
        <v>233</v>
      </c>
      <c r="F171" s="422">
        <v>1</v>
      </c>
      <c r="G171" t="s">
        <v>194</v>
      </c>
      <c r="H171" t="s">
        <v>193</v>
      </c>
      <c r="I171" t="s">
        <v>9737</v>
      </c>
      <c r="J171" t="s">
        <v>9302</v>
      </c>
      <c r="K171" t="s">
        <v>10069</v>
      </c>
      <c r="L171" t="s">
        <v>6921</v>
      </c>
      <c r="M171" t="s">
        <v>9341</v>
      </c>
      <c r="N171" t="s">
        <v>9342</v>
      </c>
      <c r="O171" t="s">
        <v>9343</v>
      </c>
      <c r="P171" t="s">
        <v>10070</v>
      </c>
      <c r="Q171" t="s">
        <v>10071</v>
      </c>
      <c r="S171" t="s">
        <v>9309</v>
      </c>
      <c r="U171" s="27" t="s">
        <v>375</v>
      </c>
      <c r="V171" t="s">
        <v>194</v>
      </c>
      <c r="W171" t="s">
        <v>9946</v>
      </c>
      <c r="Z171" t="s">
        <v>9311</v>
      </c>
      <c r="AF171" t="s">
        <v>4714</v>
      </c>
      <c r="AG171" t="s">
        <v>10068</v>
      </c>
      <c r="AI171" t="s">
        <v>6955</v>
      </c>
      <c r="AJ171" s="441" t="str">
        <f t="shared" si="6"/>
        <v>215301</v>
      </c>
      <c r="AK171" s="28">
        <v>1</v>
      </c>
      <c r="AL171" s="28">
        <f t="shared" si="8"/>
        <v>1</v>
      </c>
      <c r="AM171" s="28" t="str">
        <f t="shared" si="7"/>
        <v>praca</v>
      </c>
      <c r="AN171">
        <v>6</v>
      </c>
    </row>
    <row r="172" spans="1:40" x14ac:dyDescent="0.25">
      <c r="A172" t="s">
        <v>5810</v>
      </c>
      <c r="B172" t="s">
        <v>2849</v>
      </c>
      <c r="C172" t="s">
        <v>10</v>
      </c>
      <c r="D172" s="27" t="s">
        <v>9299</v>
      </c>
      <c r="E172" t="s">
        <v>233</v>
      </c>
      <c r="F172" s="421">
        <v>1</v>
      </c>
      <c r="G172" t="s">
        <v>193</v>
      </c>
      <c r="H172" t="s">
        <v>194</v>
      </c>
      <c r="I172" t="s">
        <v>9339</v>
      </c>
      <c r="J172" t="s">
        <v>9302</v>
      </c>
      <c r="K172" t="s">
        <v>9340</v>
      </c>
      <c r="L172" t="s">
        <v>6261</v>
      </c>
      <c r="M172" t="s">
        <v>9341</v>
      </c>
      <c r="N172" t="s">
        <v>9342</v>
      </c>
      <c r="O172" t="s">
        <v>9343</v>
      </c>
      <c r="P172" t="s">
        <v>9344</v>
      </c>
      <c r="Q172" t="s">
        <v>9345</v>
      </c>
      <c r="S172" t="s">
        <v>9309</v>
      </c>
      <c r="U172" s="27" t="s">
        <v>484</v>
      </c>
      <c r="V172" t="s">
        <v>193</v>
      </c>
      <c r="W172" t="s">
        <v>9310</v>
      </c>
      <c r="Z172" t="s">
        <v>9311</v>
      </c>
      <c r="AF172" t="s">
        <v>4714</v>
      </c>
      <c r="AG172" t="s">
        <v>2849</v>
      </c>
      <c r="AI172" t="s">
        <v>6955</v>
      </c>
      <c r="AJ172" s="424" t="str">
        <f t="shared" si="6"/>
        <v>251401</v>
      </c>
      <c r="AK172" s="28">
        <v>1</v>
      </c>
      <c r="AL172" s="28">
        <f t="shared" si="8"/>
        <v>1</v>
      </c>
      <c r="AM172" s="28" t="str">
        <f t="shared" si="7"/>
        <v>praca</v>
      </c>
    </row>
    <row r="173" spans="1:40" x14ac:dyDescent="0.25">
      <c r="A173" t="s">
        <v>9165</v>
      </c>
      <c r="B173" t="s">
        <v>9360</v>
      </c>
      <c r="C173" t="s">
        <v>10</v>
      </c>
      <c r="D173" s="27" t="s">
        <v>9299</v>
      </c>
      <c r="E173" t="s">
        <v>233</v>
      </c>
      <c r="F173" s="421">
        <v>1</v>
      </c>
      <c r="G173" t="s">
        <v>193</v>
      </c>
      <c r="H173" t="s">
        <v>194</v>
      </c>
      <c r="I173" t="s">
        <v>9301</v>
      </c>
      <c r="J173" t="s">
        <v>9302</v>
      </c>
      <c r="K173" t="s">
        <v>9361</v>
      </c>
      <c r="L173" t="s">
        <v>6261</v>
      </c>
      <c r="M173" t="s">
        <v>9341</v>
      </c>
      <c r="N173" t="s">
        <v>9342</v>
      </c>
      <c r="O173" t="s">
        <v>9343</v>
      </c>
      <c r="P173" t="s">
        <v>9362</v>
      </c>
      <c r="Q173" t="s">
        <v>9363</v>
      </c>
      <c r="S173" t="s">
        <v>9309</v>
      </c>
      <c r="U173" s="27" t="s">
        <v>484</v>
      </c>
      <c r="V173" t="s">
        <v>193</v>
      </c>
      <c r="W173" t="s">
        <v>9310</v>
      </c>
      <c r="Z173" t="s">
        <v>9311</v>
      </c>
      <c r="AF173" t="s">
        <v>4714</v>
      </c>
      <c r="AG173" t="s">
        <v>9360</v>
      </c>
      <c r="AI173" t="s">
        <v>6955</v>
      </c>
      <c r="AJ173" s="424" t="str">
        <f t="shared" si="6"/>
        <v>251401</v>
      </c>
      <c r="AK173" s="28">
        <v>1</v>
      </c>
      <c r="AL173" s="28">
        <f t="shared" si="8"/>
        <v>1</v>
      </c>
      <c r="AM173" s="28" t="str">
        <f t="shared" si="7"/>
        <v>praca</v>
      </c>
    </row>
    <row r="174" spans="1:40" x14ac:dyDescent="0.25">
      <c r="A174" t="s">
        <v>9373</v>
      </c>
      <c r="B174" t="s">
        <v>2256</v>
      </c>
      <c r="C174" t="s">
        <v>10</v>
      </c>
      <c r="D174" s="27" t="s">
        <v>9299</v>
      </c>
      <c r="E174" t="s">
        <v>192</v>
      </c>
      <c r="F174" s="421">
        <v>1</v>
      </c>
      <c r="G174" t="s">
        <v>193</v>
      </c>
      <c r="H174" t="s">
        <v>194</v>
      </c>
      <c r="I174" t="s">
        <v>9318</v>
      </c>
      <c r="J174" t="s">
        <v>9302</v>
      </c>
      <c r="K174" t="s">
        <v>9374</v>
      </c>
      <c r="L174" t="s">
        <v>6261</v>
      </c>
      <c r="M174" t="s">
        <v>9304</v>
      </c>
      <c r="N174" t="s">
        <v>9305</v>
      </c>
      <c r="O174" t="s">
        <v>9306</v>
      </c>
      <c r="P174" t="s">
        <v>9375</v>
      </c>
      <c r="Q174" t="s">
        <v>9376</v>
      </c>
      <c r="S174" t="s">
        <v>9309</v>
      </c>
      <c r="U174" s="27" t="s">
        <v>484</v>
      </c>
      <c r="V174" t="s">
        <v>193</v>
      </c>
      <c r="W174" t="s">
        <v>9310</v>
      </c>
      <c r="Z174" t="s">
        <v>9311</v>
      </c>
      <c r="AF174" t="s">
        <v>4714</v>
      </c>
      <c r="AG174" t="s">
        <v>2256</v>
      </c>
      <c r="AI174" t="s">
        <v>6955</v>
      </c>
      <c r="AJ174" s="424" t="str">
        <f t="shared" si="6"/>
        <v>251401</v>
      </c>
      <c r="AK174" s="28">
        <v>1</v>
      </c>
      <c r="AL174" s="28">
        <f t="shared" si="8"/>
        <v>1</v>
      </c>
      <c r="AM174" s="28" t="str">
        <f t="shared" si="7"/>
        <v>pracuj.pl</v>
      </c>
    </row>
    <row r="175" spans="1:40" x14ac:dyDescent="0.25">
      <c r="A175" t="s">
        <v>10084</v>
      </c>
      <c r="B175" t="s">
        <v>10085</v>
      </c>
      <c r="C175" t="s">
        <v>118</v>
      </c>
      <c r="D175" s="27" t="s">
        <v>9299</v>
      </c>
      <c r="E175" t="s">
        <v>192</v>
      </c>
      <c r="F175" s="421">
        <v>1</v>
      </c>
      <c r="G175" t="s">
        <v>193</v>
      </c>
      <c r="H175" t="s">
        <v>194</v>
      </c>
      <c r="I175" t="s">
        <v>9989</v>
      </c>
      <c r="J175" t="s">
        <v>1302</v>
      </c>
      <c r="K175" t="s">
        <v>10086</v>
      </c>
      <c r="L175" t="s">
        <v>6363</v>
      </c>
      <c r="M175" t="s">
        <v>9304</v>
      </c>
      <c r="N175" t="s">
        <v>9305</v>
      </c>
      <c r="O175" t="s">
        <v>9306</v>
      </c>
      <c r="P175" t="s">
        <v>10087</v>
      </c>
      <c r="Q175" t="s">
        <v>10088</v>
      </c>
      <c r="S175" t="s">
        <v>9309</v>
      </c>
      <c r="T175" s="28" t="s">
        <v>9786</v>
      </c>
      <c r="U175" s="27" t="s">
        <v>277</v>
      </c>
      <c r="V175" t="s">
        <v>194</v>
      </c>
      <c r="W175" t="s">
        <v>9300</v>
      </c>
      <c r="Z175" t="s">
        <v>9311</v>
      </c>
      <c r="AF175" t="s">
        <v>4714</v>
      </c>
      <c r="AG175" t="s">
        <v>10085</v>
      </c>
      <c r="AI175" t="s">
        <v>6955</v>
      </c>
      <c r="AJ175" s="424" t="str">
        <f t="shared" si="6"/>
        <v>211302</v>
      </c>
      <c r="AK175" s="28">
        <v>1</v>
      </c>
      <c r="AL175" s="28">
        <f t="shared" si="8"/>
        <v>1</v>
      </c>
      <c r="AM175" s="28" t="str">
        <f t="shared" si="7"/>
        <v>pracuj.pl</v>
      </c>
    </row>
    <row r="176" spans="1:40" x14ac:dyDescent="0.25">
      <c r="A176" t="s">
        <v>10089</v>
      </c>
      <c r="B176" t="s">
        <v>10090</v>
      </c>
      <c r="C176" t="s">
        <v>706</v>
      </c>
      <c r="D176" s="27" t="s">
        <v>9299</v>
      </c>
      <c r="E176" t="s">
        <v>217</v>
      </c>
      <c r="F176" s="421">
        <v>1</v>
      </c>
      <c r="G176" t="s">
        <v>193</v>
      </c>
      <c r="H176" t="s">
        <v>194</v>
      </c>
      <c r="I176" t="s">
        <v>9737</v>
      </c>
      <c r="J176" t="s">
        <v>10091</v>
      </c>
      <c r="K176" t="s">
        <v>10092</v>
      </c>
      <c r="L176" t="s">
        <v>6251</v>
      </c>
      <c r="M176" t="s">
        <v>9428</v>
      </c>
      <c r="N176" t="s">
        <v>9305</v>
      </c>
      <c r="O176" t="s">
        <v>9531</v>
      </c>
      <c r="P176" t="s">
        <v>10093</v>
      </c>
      <c r="Q176" t="s">
        <v>10094</v>
      </c>
      <c r="S176" t="s">
        <v>9309</v>
      </c>
      <c r="U176" s="27" t="s">
        <v>707</v>
      </c>
      <c r="V176" t="s">
        <v>193</v>
      </c>
      <c r="W176" t="s">
        <v>9310</v>
      </c>
      <c r="Z176" t="s">
        <v>9311</v>
      </c>
      <c r="AF176" t="s">
        <v>4714</v>
      </c>
      <c r="AG176" t="s">
        <v>9433</v>
      </c>
      <c r="AI176" t="s">
        <v>6955</v>
      </c>
      <c r="AJ176" s="424" t="str">
        <f t="shared" si="6"/>
        <v>422201</v>
      </c>
      <c r="AK176" s="28">
        <v>1</v>
      </c>
      <c r="AL176" s="28">
        <f t="shared" si="8"/>
        <v>1</v>
      </c>
      <c r="AM176" s="28" t="str">
        <f t="shared" si="7"/>
        <v>agora</v>
      </c>
    </row>
    <row r="177" spans="1:39" x14ac:dyDescent="0.25">
      <c r="A177" t="s">
        <v>10089</v>
      </c>
      <c r="B177" t="s">
        <v>10095</v>
      </c>
      <c r="C177" t="s">
        <v>706</v>
      </c>
      <c r="D177" s="27" t="s">
        <v>9299</v>
      </c>
      <c r="E177" t="s">
        <v>217</v>
      </c>
      <c r="F177" s="421">
        <v>1</v>
      </c>
      <c r="G177" t="s">
        <v>193</v>
      </c>
      <c r="H177" t="s">
        <v>194</v>
      </c>
      <c r="I177" t="s">
        <v>9989</v>
      </c>
      <c r="J177" t="s">
        <v>10096</v>
      </c>
      <c r="K177" t="s">
        <v>10097</v>
      </c>
      <c r="L177" t="s">
        <v>6251</v>
      </c>
      <c r="M177" t="s">
        <v>9436</v>
      </c>
      <c r="N177" t="s">
        <v>9305</v>
      </c>
      <c r="O177" t="s">
        <v>9531</v>
      </c>
      <c r="P177" t="s">
        <v>10098</v>
      </c>
      <c r="Q177" t="s">
        <v>10099</v>
      </c>
      <c r="S177" t="s">
        <v>9309</v>
      </c>
      <c r="U177" s="27" t="s">
        <v>707</v>
      </c>
      <c r="V177" t="s">
        <v>193</v>
      </c>
      <c r="W177" t="s">
        <v>9310</v>
      </c>
      <c r="Z177" t="s">
        <v>9311</v>
      </c>
      <c r="AF177" t="s">
        <v>4714</v>
      </c>
      <c r="AG177" t="s">
        <v>9433</v>
      </c>
      <c r="AI177" t="s">
        <v>6955</v>
      </c>
      <c r="AJ177" s="424" t="str">
        <f t="shared" si="6"/>
        <v>422201</v>
      </c>
      <c r="AK177" s="28">
        <v>1</v>
      </c>
      <c r="AL177" s="28">
        <f t="shared" si="8"/>
        <v>1</v>
      </c>
      <c r="AM177" s="28" t="str">
        <f t="shared" si="7"/>
        <v>agora</v>
      </c>
    </row>
    <row r="178" spans="1:39" x14ac:dyDescent="0.25">
      <c r="A178" t="s">
        <v>10100</v>
      </c>
      <c r="B178" t="s">
        <v>10101</v>
      </c>
      <c r="C178" t="s">
        <v>10102</v>
      </c>
      <c r="D178" s="27" t="s">
        <v>9299</v>
      </c>
      <c r="E178" t="s">
        <v>192</v>
      </c>
      <c r="F178" s="421">
        <v>1</v>
      </c>
      <c r="G178" t="s">
        <v>193</v>
      </c>
      <c r="H178" t="s">
        <v>194</v>
      </c>
      <c r="I178" t="s">
        <v>9412</v>
      </c>
      <c r="J178" t="s">
        <v>9302</v>
      </c>
      <c r="K178" t="s">
        <v>10103</v>
      </c>
      <c r="L178" t="s">
        <v>6275</v>
      </c>
      <c r="M178" t="s">
        <v>9304</v>
      </c>
      <c r="N178" t="s">
        <v>9305</v>
      </c>
      <c r="O178" t="s">
        <v>9306</v>
      </c>
      <c r="P178" t="s">
        <v>10104</v>
      </c>
      <c r="Q178" t="s">
        <v>10105</v>
      </c>
      <c r="S178" t="s">
        <v>9309</v>
      </c>
      <c r="U178" s="27" t="s">
        <v>10106</v>
      </c>
      <c r="V178" t="s">
        <v>193</v>
      </c>
      <c r="W178" t="s">
        <v>9310</v>
      </c>
      <c r="Z178" t="s">
        <v>9311</v>
      </c>
      <c r="AF178" t="s">
        <v>4714</v>
      </c>
      <c r="AG178" t="s">
        <v>10101</v>
      </c>
      <c r="AI178" t="s">
        <v>6955</v>
      </c>
      <c r="AJ178" s="424" t="str">
        <f t="shared" si="6"/>
        <v>713104</v>
      </c>
      <c r="AK178" s="28">
        <v>1</v>
      </c>
      <c r="AL178" s="28">
        <f t="shared" si="8"/>
        <v>1</v>
      </c>
      <c r="AM178" s="28" t="str">
        <f t="shared" si="7"/>
        <v>pracuj.pl</v>
      </c>
    </row>
    <row r="179" spans="1:39" x14ac:dyDescent="0.25">
      <c r="A179" t="s">
        <v>2677</v>
      </c>
      <c r="B179" t="s">
        <v>67</v>
      </c>
      <c r="C179" t="s">
        <v>67</v>
      </c>
      <c r="D179" s="27" t="s">
        <v>9299</v>
      </c>
      <c r="E179" t="s">
        <v>192</v>
      </c>
      <c r="F179" s="421">
        <v>1</v>
      </c>
      <c r="G179" t="s">
        <v>193</v>
      </c>
      <c r="H179" t="s">
        <v>194</v>
      </c>
      <c r="I179" t="s">
        <v>9461</v>
      </c>
      <c r="J179" t="s">
        <v>210</v>
      </c>
      <c r="K179" t="s">
        <v>10107</v>
      </c>
      <c r="L179" t="s">
        <v>6266</v>
      </c>
      <c r="M179" t="s">
        <v>9304</v>
      </c>
      <c r="N179" t="s">
        <v>9305</v>
      </c>
      <c r="O179" t="s">
        <v>9306</v>
      </c>
      <c r="P179" t="s">
        <v>10108</v>
      </c>
      <c r="Q179" t="s">
        <v>10109</v>
      </c>
      <c r="S179" t="s">
        <v>9309</v>
      </c>
      <c r="T179" s="28" t="s">
        <v>9334</v>
      </c>
      <c r="U179" s="27" t="s">
        <v>709</v>
      </c>
      <c r="V179" t="s">
        <v>194</v>
      </c>
      <c r="W179" t="s">
        <v>9300</v>
      </c>
      <c r="Z179" t="s">
        <v>9311</v>
      </c>
      <c r="AF179" t="s">
        <v>4714</v>
      </c>
      <c r="AG179" t="s">
        <v>67</v>
      </c>
      <c r="AI179" t="s">
        <v>6955</v>
      </c>
      <c r="AJ179" s="424" t="str">
        <f t="shared" si="6"/>
        <v>432103</v>
      </c>
      <c r="AK179" s="28">
        <v>1</v>
      </c>
      <c r="AL179" s="28">
        <f t="shared" si="8"/>
        <v>1</v>
      </c>
      <c r="AM179" s="28" t="str">
        <f t="shared" si="7"/>
        <v>pracuj.pl</v>
      </c>
    </row>
    <row r="180" spans="1:39" x14ac:dyDescent="0.25">
      <c r="A180" t="s">
        <v>10110</v>
      </c>
      <c r="B180" t="s">
        <v>10111</v>
      </c>
      <c r="C180" t="s">
        <v>18</v>
      </c>
      <c r="D180" s="27" t="s">
        <v>9299</v>
      </c>
      <c r="E180" t="s">
        <v>192</v>
      </c>
      <c r="F180" s="421">
        <v>1</v>
      </c>
      <c r="G180" t="s">
        <v>193</v>
      </c>
      <c r="H180" t="s">
        <v>194</v>
      </c>
      <c r="I180" t="s">
        <v>9989</v>
      </c>
      <c r="J180" t="s">
        <v>9302</v>
      </c>
      <c r="K180" t="s">
        <v>10112</v>
      </c>
      <c r="L180" t="s">
        <v>6340</v>
      </c>
      <c r="M180" t="s">
        <v>9304</v>
      </c>
      <c r="N180" t="s">
        <v>9305</v>
      </c>
      <c r="O180" t="s">
        <v>9306</v>
      </c>
      <c r="P180" t="s">
        <v>10113</v>
      </c>
      <c r="Q180" t="s">
        <v>10114</v>
      </c>
      <c r="S180" t="s">
        <v>9309</v>
      </c>
      <c r="U180" s="27" t="s">
        <v>1476</v>
      </c>
      <c r="V180" t="s">
        <v>193</v>
      </c>
      <c r="W180" t="s">
        <v>9310</v>
      </c>
      <c r="Z180" t="s">
        <v>9311</v>
      </c>
      <c r="AF180" t="s">
        <v>4714</v>
      </c>
      <c r="AG180" t="s">
        <v>10111</v>
      </c>
      <c r="AI180" t="s">
        <v>6955</v>
      </c>
      <c r="AJ180" s="424" t="str">
        <f t="shared" si="6"/>
        <v>242309</v>
      </c>
      <c r="AK180" s="28">
        <v>1</v>
      </c>
      <c r="AL180" s="28">
        <f t="shared" si="8"/>
        <v>1</v>
      </c>
      <c r="AM180" s="28" t="str">
        <f t="shared" si="7"/>
        <v>pracuj.pl</v>
      </c>
    </row>
    <row r="181" spans="1:39" x14ac:dyDescent="0.25">
      <c r="A181" t="s">
        <v>10110</v>
      </c>
      <c r="B181" t="s">
        <v>10115</v>
      </c>
      <c r="C181" t="s">
        <v>18</v>
      </c>
      <c r="D181" s="27" t="s">
        <v>9299</v>
      </c>
      <c r="E181" t="s">
        <v>192</v>
      </c>
      <c r="F181" s="421">
        <v>1</v>
      </c>
      <c r="G181" t="s">
        <v>193</v>
      </c>
      <c r="H181" t="s">
        <v>194</v>
      </c>
      <c r="I181" t="s">
        <v>9737</v>
      </c>
      <c r="J181" t="s">
        <v>9302</v>
      </c>
      <c r="K181" t="s">
        <v>10116</v>
      </c>
      <c r="L181" t="s">
        <v>6340</v>
      </c>
      <c r="M181" t="s">
        <v>9304</v>
      </c>
      <c r="N181" t="s">
        <v>9305</v>
      </c>
      <c r="O181" t="s">
        <v>9306</v>
      </c>
      <c r="P181" t="s">
        <v>10117</v>
      </c>
      <c r="Q181" t="s">
        <v>10118</v>
      </c>
      <c r="S181" t="s">
        <v>9309</v>
      </c>
      <c r="U181" s="27" t="s">
        <v>1476</v>
      </c>
      <c r="V181" t="s">
        <v>193</v>
      </c>
      <c r="W181" t="s">
        <v>9310</v>
      </c>
      <c r="Z181" t="s">
        <v>9311</v>
      </c>
      <c r="AF181" t="s">
        <v>4714</v>
      </c>
      <c r="AG181" t="s">
        <v>10115</v>
      </c>
      <c r="AI181" t="s">
        <v>6955</v>
      </c>
      <c r="AJ181" s="424" t="str">
        <f t="shared" si="6"/>
        <v>242309</v>
      </c>
      <c r="AK181" s="28">
        <v>1</v>
      </c>
      <c r="AL181" s="28">
        <f t="shared" si="8"/>
        <v>1</v>
      </c>
      <c r="AM181" s="28" t="str">
        <f t="shared" si="7"/>
        <v>pracuj.pl</v>
      </c>
    </row>
    <row r="182" spans="1:39" x14ac:dyDescent="0.25">
      <c r="A182" t="s">
        <v>10119</v>
      </c>
      <c r="B182" t="s">
        <v>10120</v>
      </c>
      <c r="C182" t="s">
        <v>10121</v>
      </c>
      <c r="D182" s="27" t="s">
        <v>9299</v>
      </c>
      <c r="E182" t="s">
        <v>233</v>
      </c>
      <c r="F182" s="421">
        <v>1</v>
      </c>
      <c r="G182" t="s">
        <v>193</v>
      </c>
      <c r="H182" t="s">
        <v>194</v>
      </c>
      <c r="I182" t="s">
        <v>9989</v>
      </c>
      <c r="J182" t="s">
        <v>9302</v>
      </c>
      <c r="K182" t="s">
        <v>10122</v>
      </c>
      <c r="L182" t="s">
        <v>6275</v>
      </c>
      <c r="M182" t="s">
        <v>9341</v>
      </c>
      <c r="N182" t="s">
        <v>9342</v>
      </c>
      <c r="O182" t="s">
        <v>9343</v>
      </c>
      <c r="P182" t="s">
        <v>10123</v>
      </c>
      <c r="Q182" t="s">
        <v>10124</v>
      </c>
      <c r="S182" t="s">
        <v>9309</v>
      </c>
      <c r="U182" s="27" t="s">
        <v>10125</v>
      </c>
      <c r="V182" t="s">
        <v>193</v>
      </c>
      <c r="W182" t="s">
        <v>9310</v>
      </c>
      <c r="Z182" t="s">
        <v>9311</v>
      </c>
      <c r="AF182" t="s">
        <v>4714</v>
      </c>
      <c r="AG182" t="s">
        <v>10120</v>
      </c>
      <c r="AI182" t="s">
        <v>6955</v>
      </c>
      <c r="AJ182" s="424" t="str">
        <f t="shared" si="6"/>
        <v>713301</v>
      </c>
      <c r="AK182" s="28">
        <v>1</v>
      </c>
      <c r="AL182" s="28">
        <f t="shared" si="8"/>
        <v>1</v>
      </c>
      <c r="AM182" s="28" t="str">
        <f t="shared" si="7"/>
        <v>praca</v>
      </c>
    </row>
    <row r="183" spans="1:39" x14ac:dyDescent="0.25">
      <c r="A183" t="s">
        <v>7457</v>
      </c>
      <c r="B183" t="s">
        <v>10126</v>
      </c>
      <c r="C183" t="s">
        <v>525</v>
      </c>
      <c r="D183" s="27" t="s">
        <v>9299</v>
      </c>
      <c r="E183" t="s">
        <v>233</v>
      </c>
      <c r="F183" s="421">
        <v>1</v>
      </c>
      <c r="G183" t="s">
        <v>193</v>
      </c>
      <c r="H183" t="s">
        <v>194</v>
      </c>
      <c r="I183" t="s">
        <v>9737</v>
      </c>
      <c r="J183" t="s">
        <v>385</v>
      </c>
      <c r="K183" t="s">
        <v>10127</v>
      </c>
      <c r="L183" t="s">
        <v>6254</v>
      </c>
      <c r="M183" t="s">
        <v>9341</v>
      </c>
      <c r="N183" t="s">
        <v>9342</v>
      </c>
      <c r="O183" t="s">
        <v>9343</v>
      </c>
      <c r="P183" t="s">
        <v>10128</v>
      </c>
      <c r="Q183" t="s">
        <v>10129</v>
      </c>
      <c r="S183" t="s">
        <v>9309</v>
      </c>
      <c r="T183" s="28" t="s">
        <v>9410</v>
      </c>
      <c r="U183" s="27" t="s">
        <v>526</v>
      </c>
      <c r="V183" t="s">
        <v>194</v>
      </c>
      <c r="W183" t="s">
        <v>9300</v>
      </c>
      <c r="Z183" t="s">
        <v>9311</v>
      </c>
      <c r="AF183" t="s">
        <v>4714</v>
      </c>
      <c r="AG183" t="s">
        <v>10126</v>
      </c>
      <c r="AI183" t="s">
        <v>6955</v>
      </c>
      <c r="AJ183" s="424" t="str">
        <f t="shared" si="6"/>
        <v>263102</v>
      </c>
      <c r="AK183" s="28">
        <v>1</v>
      </c>
      <c r="AL183" s="28">
        <f t="shared" si="8"/>
        <v>1</v>
      </c>
      <c r="AM183" s="28" t="str">
        <f t="shared" si="7"/>
        <v>praca</v>
      </c>
    </row>
    <row r="184" spans="1:39" x14ac:dyDescent="0.25">
      <c r="A184" t="s">
        <v>10130</v>
      </c>
      <c r="B184" t="s">
        <v>10131</v>
      </c>
      <c r="C184" t="s">
        <v>727</v>
      </c>
      <c r="D184" s="27" t="s">
        <v>9299</v>
      </c>
      <c r="E184" t="s">
        <v>192</v>
      </c>
      <c r="F184" s="421">
        <v>1</v>
      </c>
      <c r="G184" t="s">
        <v>193</v>
      </c>
      <c r="H184" t="s">
        <v>194</v>
      </c>
      <c r="I184" t="s">
        <v>9737</v>
      </c>
      <c r="J184" t="s">
        <v>10132</v>
      </c>
      <c r="K184" t="s">
        <v>10133</v>
      </c>
      <c r="L184" t="s">
        <v>6343</v>
      </c>
      <c r="M184" t="s">
        <v>9304</v>
      </c>
      <c r="N184" t="s">
        <v>9305</v>
      </c>
      <c r="O184" t="s">
        <v>9306</v>
      </c>
      <c r="P184" t="s">
        <v>10134</v>
      </c>
      <c r="Q184" t="s">
        <v>10135</v>
      </c>
      <c r="S184" t="s">
        <v>9309</v>
      </c>
      <c r="T184" s="28" t="s">
        <v>10136</v>
      </c>
      <c r="U184" s="27" t="s">
        <v>728</v>
      </c>
      <c r="V184" t="s">
        <v>194</v>
      </c>
      <c r="W184" t="s">
        <v>9300</v>
      </c>
      <c r="Z184" t="s">
        <v>9311</v>
      </c>
      <c r="AF184" t="s">
        <v>4714</v>
      </c>
      <c r="AG184" t="s">
        <v>10131</v>
      </c>
      <c r="AI184" t="s">
        <v>6955</v>
      </c>
      <c r="AJ184" s="424" t="str">
        <f t="shared" si="6"/>
        <v>512001</v>
      </c>
      <c r="AK184" s="28">
        <v>1</v>
      </c>
      <c r="AL184" s="28">
        <f t="shared" si="8"/>
        <v>1</v>
      </c>
      <c r="AM184" s="28" t="str">
        <f t="shared" si="7"/>
        <v>pracuj.pl</v>
      </c>
    </row>
    <row r="185" spans="1:39" x14ac:dyDescent="0.25">
      <c r="A185" t="s">
        <v>10130</v>
      </c>
      <c r="B185" t="s">
        <v>10137</v>
      </c>
      <c r="C185" t="s">
        <v>727</v>
      </c>
      <c r="D185" s="27" t="s">
        <v>9299</v>
      </c>
      <c r="E185" t="s">
        <v>192</v>
      </c>
      <c r="F185" s="421">
        <v>1</v>
      </c>
      <c r="G185" t="s">
        <v>193</v>
      </c>
      <c r="H185" t="s">
        <v>194</v>
      </c>
      <c r="I185" t="s">
        <v>9737</v>
      </c>
      <c r="J185" t="s">
        <v>6690</v>
      </c>
      <c r="K185" t="s">
        <v>10138</v>
      </c>
      <c r="L185" t="s">
        <v>6343</v>
      </c>
      <c r="M185" t="s">
        <v>9304</v>
      </c>
      <c r="N185" t="s">
        <v>9305</v>
      </c>
      <c r="O185" t="s">
        <v>9306</v>
      </c>
      <c r="P185" t="s">
        <v>10139</v>
      </c>
      <c r="Q185" t="s">
        <v>10140</v>
      </c>
      <c r="S185" t="s">
        <v>9309</v>
      </c>
      <c r="T185" s="28" t="s">
        <v>9440</v>
      </c>
      <c r="U185" s="27" t="s">
        <v>728</v>
      </c>
      <c r="V185" t="s">
        <v>194</v>
      </c>
      <c r="W185" t="s">
        <v>9300</v>
      </c>
      <c r="Z185" t="s">
        <v>9311</v>
      </c>
      <c r="AF185" t="s">
        <v>4714</v>
      </c>
      <c r="AG185" t="s">
        <v>10137</v>
      </c>
      <c r="AI185" t="s">
        <v>6955</v>
      </c>
      <c r="AJ185" s="424" t="str">
        <f t="shared" si="6"/>
        <v>512001</v>
      </c>
      <c r="AK185" s="28">
        <v>1</v>
      </c>
      <c r="AL185" s="28">
        <f t="shared" si="8"/>
        <v>1</v>
      </c>
      <c r="AM185" s="28" t="str">
        <f t="shared" si="7"/>
        <v>pracuj.pl</v>
      </c>
    </row>
    <row r="186" spans="1:39" x14ac:dyDescent="0.25">
      <c r="A186" t="s">
        <v>10141</v>
      </c>
      <c r="B186" t="s">
        <v>2124</v>
      </c>
      <c r="C186" t="s">
        <v>13</v>
      </c>
      <c r="D186" s="27" t="s">
        <v>9299</v>
      </c>
      <c r="E186" t="s">
        <v>233</v>
      </c>
      <c r="F186" s="421">
        <v>1</v>
      </c>
      <c r="G186" t="s">
        <v>193</v>
      </c>
      <c r="H186" t="s">
        <v>194</v>
      </c>
      <c r="I186" t="s">
        <v>9339</v>
      </c>
      <c r="J186" t="s">
        <v>327</v>
      </c>
      <c r="K186" t="s">
        <v>10142</v>
      </c>
      <c r="L186" t="s">
        <v>6306</v>
      </c>
      <c r="M186" t="s">
        <v>9794</v>
      </c>
      <c r="N186" t="s">
        <v>9342</v>
      </c>
      <c r="O186" t="s">
        <v>9750</v>
      </c>
      <c r="P186" t="s">
        <v>10143</v>
      </c>
      <c r="Q186" t="s">
        <v>10144</v>
      </c>
      <c r="S186" t="s">
        <v>9309</v>
      </c>
      <c r="T186" s="28" t="s">
        <v>9506</v>
      </c>
      <c r="U186" s="27" t="s">
        <v>2125</v>
      </c>
      <c r="V186" t="s">
        <v>194</v>
      </c>
      <c r="W186" t="s">
        <v>9300</v>
      </c>
      <c r="Z186" t="s">
        <v>9311</v>
      </c>
      <c r="AF186" t="s">
        <v>4714</v>
      </c>
      <c r="AG186" t="s">
        <v>2124</v>
      </c>
      <c r="AI186" t="s">
        <v>6955</v>
      </c>
      <c r="AJ186" s="424" t="str">
        <f t="shared" si="6"/>
        <v>225101</v>
      </c>
      <c r="AK186" s="28">
        <v>1</v>
      </c>
      <c r="AL186" s="28">
        <f t="shared" si="8"/>
        <v>1</v>
      </c>
      <c r="AM186" s="28" t="str">
        <f t="shared" si="7"/>
        <v>praca</v>
      </c>
    </row>
    <row r="187" spans="1:39" x14ac:dyDescent="0.25">
      <c r="A187" t="s">
        <v>10145</v>
      </c>
      <c r="B187" t="s">
        <v>10146</v>
      </c>
      <c r="C187" t="s">
        <v>84</v>
      </c>
      <c r="D187" s="27" t="s">
        <v>9299</v>
      </c>
      <c r="E187" t="s">
        <v>217</v>
      </c>
      <c r="F187" s="421">
        <v>1</v>
      </c>
      <c r="G187" t="s">
        <v>193</v>
      </c>
      <c r="H187" t="s">
        <v>194</v>
      </c>
      <c r="I187" t="s">
        <v>9339</v>
      </c>
      <c r="J187" t="s">
        <v>210</v>
      </c>
      <c r="K187" t="s">
        <v>10147</v>
      </c>
      <c r="L187" t="s">
        <v>6275</v>
      </c>
      <c r="M187" t="s">
        <v>9428</v>
      </c>
      <c r="N187" t="s">
        <v>9486</v>
      </c>
      <c r="O187" t="s">
        <v>10148</v>
      </c>
      <c r="P187" t="s">
        <v>10149</v>
      </c>
      <c r="Q187" t="s">
        <v>10150</v>
      </c>
      <c r="S187" t="s">
        <v>9309</v>
      </c>
      <c r="T187" s="28" t="s">
        <v>9334</v>
      </c>
      <c r="U187" s="27" t="s">
        <v>2665</v>
      </c>
      <c r="V187" t="s">
        <v>194</v>
      </c>
      <c r="W187" t="s">
        <v>9300</v>
      </c>
      <c r="Z187" t="s">
        <v>9311</v>
      </c>
      <c r="AF187" t="s">
        <v>4714</v>
      </c>
      <c r="AG187" t="s">
        <v>9433</v>
      </c>
      <c r="AI187" t="s">
        <v>6955</v>
      </c>
      <c r="AJ187" s="424" t="str">
        <f t="shared" si="6"/>
        <v>541315</v>
      </c>
      <c r="AK187" s="28">
        <v>1</v>
      </c>
      <c r="AL187" s="28">
        <f t="shared" si="8"/>
        <v>1</v>
      </c>
      <c r="AM187" s="28" t="str">
        <f t="shared" si="7"/>
        <v>agora</v>
      </c>
    </row>
    <row r="188" spans="1:39" x14ac:dyDescent="0.25">
      <c r="A188" t="s">
        <v>10145</v>
      </c>
      <c r="B188" t="s">
        <v>10146</v>
      </c>
      <c r="C188" t="s">
        <v>84</v>
      </c>
      <c r="D188" s="27" t="s">
        <v>9299</v>
      </c>
      <c r="E188" t="s">
        <v>217</v>
      </c>
      <c r="F188" s="421">
        <v>1</v>
      </c>
      <c r="G188" t="s">
        <v>193</v>
      </c>
      <c r="H188" t="s">
        <v>194</v>
      </c>
      <c r="I188" t="s">
        <v>9339</v>
      </c>
      <c r="J188" t="s">
        <v>210</v>
      </c>
      <c r="K188" t="s">
        <v>10151</v>
      </c>
      <c r="L188" t="s">
        <v>6269</v>
      </c>
      <c r="M188" t="s">
        <v>9428</v>
      </c>
      <c r="N188" t="s">
        <v>9429</v>
      </c>
      <c r="O188" t="s">
        <v>9318</v>
      </c>
      <c r="P188" t="s">
        <v>10152</v>
      </c>
      <c r="Q188" t="s">
        <v>10153</v>
      </c>
      <c r="S188" t="s">
        <v>9309</v>
      </c>
      <c r="T188" s="28" t="s">
        <v>9334</v>
      </c>
      <c r="U188" s="27" t="s">
        <v>2665</v>
      </c>
      <c r="V188" t="s">
        <v>194</v>
      </c>
      <c r="W188" t="s">
        <v>9300</v>
      </c>
      <c r="Z188" t="s">
        <v>9311</v>
      </c>
      <c r="AF188" t="s">
        <v>4714</v>
      </c>
      <c r="AG188" t="s">
        <v>9433</v>
      </c>
      <c r="AI188" t="s">
        <v>6955</v>
      </c>
      <c r="AJ188" s="424" t="str">
        <f t="shared" si="6"/>
        <v>541315</v>
      </c>
      <c r="AK188" s="28">
        <v>1</v>
      </c>
      <c r="AL188" s="28">
        <f t="shared" si="8"/>
        <v>1</v>
      </c>
      <c r="AM188" s="28" t="str">
        <f t="shared" si="7"/>
        <v>agora</v>
      </c>
    </row>
    <row r="189" spans="1:39" x14ac:dyDescent="0.25">
      <c r="A189" t="s">
        <v>10145</v>
      </c>
      <c r="B189" t="s">
        <v>10154</v>
      </c>
      <c r="C189" t="s">
        <v>156</v>
      </c>
      <c r="D189" s="27" t="s">
        <v>9299</v>
      </c>
      <c r="E189" t="s">
        <v>217</v>
      </c>
      <c r="F189" s="421">
        <v>1</v>
      </c>
      <c r="G189" t="s">
        <v>193</v>
      </c>
      <c r="H189" t="s">
        <v>194</v>
      </c>
      <c r="I189" t="s">
        <v>9343</v>
      </c>
      <c r="J189" t="s">
        <v>210</v>
      </c>
      <c r="K189" t="s">
        <v>10155</v>
      </c>
      <c r="L189" t="s">
        <v>6269</v>
      </c>
      <c r="M189" t="s">
        <v>9436</v>
      </c>
      <c r="N189" t="s">
        <v>9305</v>
      </c>
      <c r="O189" t="s">
        <v>9491</v>
      </c>
      <c r="P189" t="s">
        <v>10156</v>
      </c>
      <c r="Q189" t="s">
        <v>10157</v>
      </c>
      <c r="S189" t="s">
        <v>9309</v>
      </c>
      <c r="T189" s="28" t="s">
        <v>9334</v>
      </c>
      <c r="U189" s="27" t="s">
        <v>659</v>
      </c>
      <c r="V189" t="s">
        <v>194</v>
      </c>
      <c r="W189" t="s">
        <v>9300</v>
      </c>
      <c r="Z189" t="s">
        <v>9311</v>
      </c>
      <c r="AF189" t="s">
        <v>4714</v>
      </c>
      <c r="AG189" t="s">
        <v>9433</v>
      </c>
      <c r="AI189" t="s">
        <v>6955</v>
      </c>
      <c r="AJ189" s="424" t="str">
        <f t="shared" si="6"/>
        <v>332302</v>
      </c>
      <c r="AK189" s="28">
        <v>1</v>
      </c>
      <c r="AL189" s="28">
        <f t="shared" si="8"/>
        <v>1</v>
      </c>
      <c r="AM189" s="28" t="str">
        <f t="shared" si="7"/>
        <v>agora</v>
      </c>
    </row>
    <row r="190" spans="1:39" x14ac:dyDescent="0.25">
      <c r="A190" t="s">
        <v>10145</v>
      </c>
      <c r="B190" t="s">
        <v>10158</v>
      </c>
      <c r="C190" t="s">
        <v>3703</v>
      </c>
      <c r="D190" s="27" t="s">
        <v>9299</v>
      </c>
      <c r="E190" t="s">
        <v>217</v>
      </c>
      <c r="F190" s="421">
        <v>1</v>
      </c>
      <c r="G190" t="s">
        <v>193</v>
      </c>
      <c r="H190" t="s">
        <v>194</v>
      </c>
      <c r="I190" t="s">
        <v>9737</v>
      </c>
      <c r="J190" t="s">
        <v>210</v>
      </c>
      <c r="K190" t="s">
        <v>10159</v>
      </c>
      <c r="L190" t="s">
        <v>6249</v>
      </c>
      <c r="M190" t="s">
        <v>9428</v>
      </c>
      <c r="N190" t="s">
        <v>9536</v>
      </c>
      <c r="O190" t="s">
        <v>9491</v>
      </c>
      <c r="P190" t="s">
        <v>10160</v>
      </c>
      <c r="Q190" t="s">
        <v>10161</v>
      </c>
      <c r="S190" t="s">
        <v>9309</v>
      </c>
      <c r="T190" s="28" t="s">
        <v>9334</v>
      </c>
      <c r="U190" s="27" t="s">
        <v>3704</v>
      </c>
      <c r="V190" t="s">
        <v>194</v>
      </c>
      <c r="W190" t="s">
        <v>9300</v>
      </c>
      <c r="Z190" t="s">
        <v>9311</v>
      </c>
      <c r="AF190" t="s">
        <v>4714</v>
      </c>
      <c r="AG190" t="s">
        <v>9433</v>
      </c>
      <c r="AI190" t="s">
        <v>6955</v>
      </c>
      <c r="AJ190" s="424" t="str">
        <f t="shared" si="6"/>
        <v>522302</v>
      </c>
      <c r="AK190" s="28">
        <v>1</v>
      </c>
      <c r="AL190" s="28">
        <f t="shared" si="8"/>
        <v>1</v>
      </c>
      <c r="AM190" s="28" t="str">
        <f t="shared" si="7"/>
        <v>agora</v>
      </c>
    </row>
    <row r="191" spans="1:39" x14ac:dyDescent="0.25">
      <c r="A191" t="s">
        <v>10145</v>
      </c>
      <c r="B191" t="s">
        <v>10158</v>
      </c>
      <c r="C191" t="s">
        <v>3703</v>
      </c>
      <c r="D191" s="27" t="s">
        <v>9299</v>
      </c>
      <c r="E191" t="s">
        <v>217</v>
      </c>
      <c r="F191" s="421">
        <v>1</v>
      </c>
      <c r="G191" t="s">
        <v>193</v>
      </c>
      <c r="H191" t="s">
        <v>194</v>
      </c>
      <c r="I191" t="s">
        <v>9737</v>
      </c>
      <c r="J191" t="s">
        <v>210</v>
      </c>
      <c r="K191" t="s">
        <v>10162</v>
      </c>
      <c r="L191" t="s">
        <v>6249</v>
      </c>
      <c r="M191" t="s">
        <v>9428</v>
      </c>
      <c r="N191" t="s">
        <v>9486</v>
      </c>
      <c r="O191" t="s">
        <v>10148</v>
      </c>
      <c r="P191" t="s">
        <v>10163</v>
      </c>
      <c r="Q191" t="s">
        <v>10164</v>
      </c>
      <c r="S191" t="s">
        <v>9309</v>
      </c>
      <c r="T191" s="28" t="s">
        <v>9334</v>
      </c>
      <c r="U191" s="27" t="s">
        <v>3704</v>
      </c>
      <c r="V191" t="s">
        <v>194</v>
      </c>
      <c r="W191" t="s">
        <v>9300</v>
      </c>
      <c r="Z191" t="s">
        <v>9311</v>
      </c>
      <c r="AF191" t="s">
        <v>4714</v>
      </c>
      <c r="AG191" t="s">
        <v>9433</v>
      </c>
      <c r="AI191" t="s">
        <v>6955</v>
      </c>
      <c r="AJ191" s="424" t="str">
        <f t="shared" si="6"/>
        <v>522302</v>
      </c>
      <c r="AK191" s="28">
        <v>1</v>
      </c>
      <c r="AL191" s="28">
        <f t="shared" si="8"/>
        <v>1</v>
      </c>
      <c r="AM191" s="28" t="str">
        <f t="shared" si="7"/>
        <v>agora</v>
      </c>
    </row>
    <row r="192" spans="1:39" x14ac:dyDescent="0.25">
      <c r="A192" t="s">
        <v>10145</v>
      </c>
      <c r="B192" t="s">
        <v>10165</v>
      </c>
      <c r="C192" t="s">
        <v>886</v>
      </c>
      <c r="D192" s="27" t="s">
        <v>9299</v>
      </c>
      <c r="E192" t="s">
        <v>217</v>
      </c>
      <c r="F192" s="421">
        <v>1</v>
      </c>
      <c r="G192" t="s">
        <v>193</v>
      </c>
      <c r="H192" t="s">
        <v>194</v>
      </c>
      <c r="I192" t="s">
        <v>9343</v>
      </c>
      <c r="J192" t="s">
        <v>210</v>
      </c>
      <c r="K192" t="s">
        <v>10166</v>
      </c>
      <c r="L192" t="s">
        <v>6269</v>
      </c>
      <c r="M192" t="s">
        <v>9436</v>
      </c>
      <c r="N192" t="s">
        <v>9342</v>
      </c>
      <c r="O192" t="s">
        <v>9430</v>
      </c>
      <c r="P192" t="s">
        <v>10167</v>
      </c>
      <c r="Q192" t="s">
        <v>10168</v>
      </c>
      <c r="S192" t="s">
        <v>9309</v>
      </c>
      <c r="T192" s="28" t="s">
        <v>9334</v>
      </c>
      <c r="U192" s="27" t="s">
        <v>887</v>
      </c>
      <c r="V192" t="s">
        <v>194</v>
      </c>
      <c r="W192" t="s">
        <v>9300</v>
      </c>
      <c r="Z192" t="s">
        <v>9311</v>
      </c>
      <c r="AF192" t="s">
        <v>4714</v>
      </c>
      <c r="AG192" t="s">
        <v>9433</v>
      </c>
      <c r="AI192" t="s">
        <v>6955</v>
      </c>
      <c r="AJ192" s="424" t="str">
        <f t="shared" si="6"/>
        <v>834401</v>
      </c>
      <c r="AK192" s="28">
        <v>1</v>
      </c>
      <c r="AL192" s="28">
        <f t="shared" si="8"/>
        <v>1</v>
      </c>
      <c r="AM192" s="28" t="str">
        <f t="shared" si="7"/>
        <v>agora</v>
      </c>
    </row>
    <row r="193" spans="1:39" x14ac:dyDescent="0.25">
      <c r="A193" t="s">
        <v>10145</v>
      </c>
      <c r="B193" t="s">
        <v>10169</v>
      </c>
      <c r="C193" t="s">
        <v>886</v>
      </c>
      <c r="D193" s="27" t="s">
        <v>9299</v>
      </c>
      <c r="E193" t="s">
        <v>217</v>
      </c>
      <c r="F193" s="421">
        <v>1</v>
      </c>
      <c r="G193" t="s">
        <v>193</v>
      </c>
      <c r="H193" t="s">
        <v>194</v>
      </c>
      <c r="I193" t="s">
        <v>9343</v>
      </c>
      <c r="J193" t="s">
        <v>210</v>
      </c>
      <c r="K193" t="s">
        <v>10170</v>
      </c>
      <c r="L193" t="s">
        <v>6269</v>
      </c>
      <c r="M193" t="s">
        <v>9436</v>
      </c>
      <c r="N193" t="s">
        <v>9305</v>
      </c>
      <c r="O193" t="s">
        <v>9491</v>
      </c>
      <c r="P193" t="s">
        <v>10171</v>
      </c>
      <c r="Q193" t="s">
        <v>10172</v>
      </c>
      <c r="S193" t="s">
        <v>9309</v>
      </c>
      <c r="T193" s="28" t="s">
        <v>9334</v>
      </c>
      <c r="U193" s="27" t="s">
        <v>887</v>
      </c>
      <c r="V193" t="s">
        <v>194</v>
      </c>
      <c r="W193" t="s">
        <v>9300</v>
      </c>
      <c r="Z193" t="s">
        <v>9311</v>
      </c>
      <c r="AF193" t="s">
        <v>4714</v>
      </c>
      <c r="AG193" t="s">
        <v>9433</v>
      </c>
      <c r="AI193" t="s">
        <v>6955</v>
      </c>
      <c r="AJ193" s="424" t="str">
        <f t="shared" si="6"/>
        <v>834401</v>
      </c>
      <c r="AK193" s="28">
        <v>1</v>
      </c>
      <c r="AL193" s="28">
        <f t="shared" si="8"/>
        <v>1</v>
      </c>
      <c r="AM193" s="28" t="str">
        <f t="shared" si="7"/>
        <v>agora</v>
      </c>
    </row>
    <row r="194" spans="1:39" x14ac:dyDescent="0.25">
      <c r="A194" t="s">
        <v>10145</v>
      </c>
      <c r="B194" t="s">
        <v>10173</v>
      </c>
      <c r="C194" t="s">
        <v>886</v>
      </c>
      <c r="D194" s="27" t="s">
        <v>9299</v>
      </c>
      <c r="E194" t="s">
        <v>217</v>
      </c>
      <c r="F194" s="421">
        <v>1</v>
      </c>
      <c r="G194" t="s">
        <v>193</v>
      </c>
      <c r="H194" t="s">
        <v>194</v>
      </c>
      <c r="I194" t="s">
        <v>9343</v>
      </c>
      <c r="J194" t="s">
        <v>210</v>
      </c>
      <c r="K194" t="s">
        <v>10174</v>
      </c>
      <c r="L194" t="s">
        <v>6269</v>
      </c>
      <c r="M194" t="s">
        <v>9436</v>
      </c>
      <c r="N194" t="s">
        <v>9536</v>
      </c>
      <c r="O194" t="s">
        <v>9491</v>
      </c>
      <c r="P194" t="s">
        <v>10175</v>
      </c>
      <c r="Q194" t="s">
        <v>10176</v>
      </c>
      <c r="S194" t="s">
        <v>9309</v>
      </c>
      <c r="T194" s="28" t="s">
        <v>9334</v>
      </c>
      <c r="U194" s="27" t="s">
        <v>887</v>
      </c>
      <c r="V194" t="s">
        <v>194</v>
      </c>
      <c r="W194" t="s">
        <v>9300</v>
      </c>
      <c r="Z194" t="s">
        <v>9311</v>
      </c>
      <c r="AF194" t="s">
        <v>4714</v>
      </c>
      <c r="AG194" t="s">
        <v>9433</v>
      </c>
      <c r="AI194" t="s">
        <v>6955</v>
      </c>
      <c r="AJ194" s="424" t="str">
        <f t="shared" ref="AJ194:AJ257" si="9">MID(U194,8,6)</f>
        <v>834401</v>
      </c>
      <c r="AK194" s="28">
        <v>1</v>
      </c>
      <c r="AL194" s="28">
        <f t="shared" si="8"/>
        <v>1</v>
      </c>
      <c r="AM194" s="28" t="str">
        <f t="shared" ref="AM194:AM257" si="10">T(E194)</f>
        <v>agora</v>
      </c>
    </row>
    <row r="195" spans="1:39" x14ac:dyDescent="0.25">
      <c r="A195" t="s">
        <v>10145</v>
      </c>
      <c r="B195" t="s">
        <v>10177</v>
      </c>
      <c r="C195" t="s">
        <v>4896</v>
      </c>
      <c r="D195" s="27" t="s">
        <v>9299</v>
      </c>
      <c r="E195" t="s">
        <v>217</v>
      </c>
      <c r="F195" s="421">
        <v>1</v>
      </c>
      <c r="G195" t="s">
        <v>193</v>
      </c>
      <c r="H195" t="s">
        <v>194</v>
      </c>
      <c r="I195" t="s">
        <v>9737</v>
      </c>
      <c r="J195" t="s">
        <v>2252</v>
      </c>
      <c r="K195" t="s">
        <v>10178</v>
      </c>
      <c r="L195" t="s">
        <v>6275</v>
      </c>
      <c r="M195" t="s">
        <v>9436</v>
      </c>
      <c r="N195" t="s">
        <v>9486</v>
      </c>
      <c r="O195" t="s">
        <v>10148</v>
      </c>
      <c r="P195" t="s">
        <v>10179</v>
      </c>
      <c r="Q195" t="s">
        <v>10180</v>
      </c>
      <c r="S195" t="s">
        <v>9309</v>
      </c>
      <c r="T195" s="28" t="s">
        <v>9726</v>
      </c>
      <c r="U195" s="27" t="s">
        <v>2538</v>
      </c>
      <c r="V195" t="s">
        <v>194</v>
      </c>
      <c r="W195" t="s">
        <v>9300</v>
      </c>
      <c r="Z195" t="s">
        <v>9311</v>
      </c>
      <c r="AF195" t="s">
        <v>4714</v>
      </c>
      <c r="AG195" t="s">
        <v>9433</v>
      </c>
      <c r="AI195" t="s">
        <v>6955</v>
      </c>
      <c r="AJ195" s="424" t="str">
        <f t="shared" si="9"/>
        <v>911207</v>
      </c>
      <c r="AK195" s="28">
        <v>1</v>
      </c>
      <c r="AL195" s="28">
        <f t="shared" ref="AL195:AL258" si="11">SUM(F195)</f>
        <v>1</v>
      </c>
      <c r="AM195" s="28" t="str">
        <f t="shared" si="10"/>
        <v>agora</v>
      </c>
    </row>
    <row r="196" spans="1:39" x14ac:dyDescent="0.25">
      <c r="A196" t="s">
        <v>10145</v>
      </c>
      <c r="B196" t="s">
        <v>10177</v>
      </c>
      <c r="C196" t="s">
        <v>4896</v>
      </c>
      <c r="D196" s="27" t="s">
        <v>9299</v>
      </c>
      <c r="E196" t="s">
        <v>217</v>
      </c>
      <c r="F196" s="421">
        <v>1</v>
      </c>
      <c r="G196" t="s">
        <v>193</v>
      </c>
      <c r="H196" t="s">
        <v>194</v>
      </c>
      <c r="I196" t="s">
        <v>9737</v>
      </c>
      <c r="J196" t="s">
        <v>210</v>
      </c>
      <c r="K196" t="s">
        <v>10181</v>
      </c>
      <c r="L196" t="s">
        <v>6275</v>
      </c>
      <c r="M196" t="s">
        <v>9428</v>
      </c>
      <c r="N196" t="s">
        <v>9486</v>
      </c>
      <c r="O196" t="s">
        <v>10148</v>
      </c>
      <c r="P196" t="s">
        <v>10182</v>
      </c>
      <c r="Q196" t="s">
        <v>10183</v>
      </c>
      <c r="S196" t="s">
        <v>9309</v>
      </c>
      <c r="T196" s="28" t="s">
        <v>9334</v>
      </c>
      <c r="U196" s="27" t="s">
        <v>2538</v>
      </c>
      <c r="V196" t="s">
        <v>194</v>
      </c>
      <c r="W196" t="s">
        <v>9300</v>
      </c>
      <c r="Z196" t="s">
        <v>9311</v>
      </c>
      <c r="AF196" t="s">
        <v>4714</v>
      </c>
      <c r="AG196" t="s">
        <v>9433</v>
      </c>
      <c r="AI196" t="s">
        <v>6955</v>
      </c>
      <c r="AJ196" s="424" t="str">
        <f t="shared" si="9"/>
        <v>911207</v>
      </c>
      <c r="AK196" s="28">
        <v>1</v>
      </c>
      <c r="AL196" s="28">
        <f t="shared" si="11"/>
        <v>1</v>
      </c>
      <c r="AM196" s="28" t="str">
        <f t="shared" si="10"/>
        <v>agora</v>
      </c>
    </row>
    <row r="197" spans="1:39" x14ac:dyDescent="0.25">
      <c r="A197" t="s">
        <v>10145</v>
      </c>
      <c r="B197" t="s">
        <v>10184</v>
      </c>
      <c r="C197" t="s">
        <v>4896</v>
      </c>
      <c r="D197" s="27" t="s">
        <v>9299</v>
      </c>
      <c r="E197" t="s">
        <v>217</v>
      </c>
      <c r="F197" s="421">
        <v>1</v>
      </c>
      <c r="G197" t="s">
        <v>193</v>
      </c>
      <c r="H197" t="s">
        <v>194</v>
      </c>
      <c r="I197" t="s">
        <v>9737</v>
      </c>
      <c r="J197" t="s">
        <v>5261</v>
      </c>
      <c r="K197" t="s">
        <v>10185</v>
      </c>
      <c r="L197" t="s">
        <v>6269</v>
      </c>
      <c r="M197" t="s">
        <v>9436</v>
      </c>
      <c r="N197" t="s">
        <v>9486</v>
      </c>
      <c r="O197" t="s">
        <v>10148</v>
      </c>
      <c r="P197" t="s">
        <v>10186</v>
      </c>
      <c r="Q197" t="s">
        <v>10187</v>
      </c>
      <c r="S197" t="s">
        <v>9309</v>
      </c>
      <c r="T197" s="28" t="s">
        <v>9726</v>
      </c>
      <c r="U197" s="27" t="s">
        <v>2538</v>
      </c>
      <c r="V197" t="s">
        <v>194</v>
      </c>
      <c r="W197" t="s">
        <v>9300</v>
      </c>
      <c r="Z197" t="s">
        <v>9311</v>
      </c>
      <c r="AF197" t="s">
        <v>4714</v>
      </c>
      <c r="AG197" t="s">
        <v>9433</v>
      </c>
      <c r="AI197" t="s">
        <v>6955</v>
      </c>
      <c r="AJ197" s="424" t="str">
        <f t="shared" si="9"/>
        <v>911207</v>
      </c>
      <c r="AK197" s="28">
        <v>1</v>
      </c>
      <c r="AL197" s="28">
        <f t="shared" si="11"/>
        <v>1</v>
      </c>
      <c r="AM197" s="28" t="str">
        <f t="shared" si="10"/>
        <v>agora</v>
      </c>
    </row>
    <row r="198" spans="1:39" x14ac:dyDescent="0.25">
      <c r="A198" t="s">
        <v>10145</v>
      </c>
      <c r="B198" t="s">
        <v>10188</v>
      </c>
      <c r="C198" t="s">
        <v>870</v>
      </c>
      <c r="D198" s="27" t="s">
        <v>9299</v>
      </c>
      <c r="E198" t="s">
        <v>217</v>
      </c>
      <c r="F198" s="421">
        <v>1</v>
      </c>
      <c r="G198" t="s">
        <v>193</v>
      </c>
      <c r="H198" t="s">
        <v>194</v>
      </c>
      <c r="I198" t="s">
        <v>9737</v>
      </c>
      <c r="J198" t="s">
        <v>210</v>
      </c>
      <c r="K198" t="s">
        <v>10189</v>
      </c>
      <c r="L198" t="s">
        <v>6269</v>
      </c>
      <c r="M198" t="s">
        <v>9428</v>
      </c>
      <c r="N198" t="s">
        <v>9342</v>
      </c>
      <c r="O198" t="s">
        <v>9491</v>
      </c>
      <c r="P198" t="s">
        <v>10190</v>
      </c>
      <c r="Q198" t="s">
        <v>10191</v>
      </c>
      <c r="S198" t="s">
        <v>9309</v>
      </c>
      <c r="T198" s="28" t="s">
        <v>9334</v>
      </c>
      <c r="U198" s="27" t="s">
        <v>872</v>
      </c>
      <c r="V198" t="s">
        <v>194</v>
      </c>
      <c r="W198" t="s">
        <v>9300</v>
      </c>
      <c r="Z198" t="s">
        <v>9311</v>
      </c>
      <c r="AF198" t="s">
        <v>4714</v>
      </c>
      <c r="AG198" t="s">
        <v>9433</v>
      </c>
      <c r="AI198" t="s">
        <v>6955</v>
      </c>
      <c r="AJ198" s="424" t="str">
        <f t="shared" si="9"/>
        <v>832202</v>
      </c>
      <c r="AK198" s="28">
        <v>1</v>
      </c>
      <c r="AL198" s="28">
        <f t="shared" si="11"/>
        <v>1</v>
      </c>
      <c r="AM198" s="28" t="str">
        <f t="shared" si="10"/>
        <v>agora</v>
      </c>
    </row>
    <row r="199" spans="1:39" x14ac:dyDescent="0.25">
      <c r="A199" t="s">
        <v>10145</v>
      </c>
      <c r="B199" t="s">
        <v>10192</v>
      </c>
      <c r="C199" t="s">
        <v>17</v>
      </c>
      <c r="D199" s="27" t="s">
        <v>9299</v>
      </c>
      <c r="E199" t="s">
        <v>217</v>
      </c>
      <c r="F199" s="421">
        <v>1</v>
      </c>
      <c r="G199" t="s">
        <v>193</v>
      </c>
      <c r="H199" t="s">
        <v>194</v>
      </c>
      <c r="I199" t="s">
        <v>9369</v>
      </c>
      <c r="J199" t="s">
        <v>210</v>
      </c>
      <c r="K199" t="s">
        <v>10193</v>
      </c>
      <c r="L199" t="s">
        <v>6249</v>
      </c>
      <c r="M199" t="s">
        <v>9436</v>
      </c>
      <c r="N199" t="s">
        <v>10194</v>
      </c>
      <c r="O199" t="s">
        <v>9461</v>
      </c>
      <c r="P199" t="s">
        <v>10195</v>
      </c>
      <c r="Q199" t="s">
        <v>10196</v>
      </c>
      <c r="S199" t="s">
        <v>9309</v>
      </c>
      <c r="T199" s="28" t="s">
        <v>9334</v>
      </c>
      <c r="U199" s="27" t="s">
        <v>624</v>
      </c>
      <c r="V199" t="s">
        <v>194</v>
      </c>
      <c r="W199" t="s">
        <v>9300</v>
      </c>
      <c r="Z199" t="s">
        <v>9311</v>
      </c>
      <c r="AF199" t="s">
        <v>4714</v>
      </c>
      <c r="AG199" t="s">
        <v>9433</v>
      </c>
      <c r="AI199" t="s">
        <v>6955</v>
      </c>
      <c r="AJ199" s="424" t="str">
        <f t="shared" si="9"/>
        <v>332203</v>
      </c>
      <c r="AK199" s="28">
        <v>1</v>
      </c>
      <c r="AL199" s="28">
        <f t="shared" si="11"/>
        <v>1</v>
      </c>
      <c r="AM199" s="28" t="str">
        <f t="shared" si="10"/>
        <v>agora</v>
      </c>
    </row>
    <row r="200" spans="1:39" x14ac:dyDescent="0.25">
      <c r="A200" t="s">
        <v>10145</v>
      </c>
      <c r="B200" t="s">
        <v>10197</v>
      </c>
      <c r="C200" t="s">
        <v>17</v>
      </c>
      <c r="D200" s="27" t="s">
        <v>9299</v>
      </c>
      <c r="E200" t="s">
        <v>217</v>
      </c>
      <c r="F200" s="421">
        <v>1</v>
      </c>
      <c r="G200" t="s">
        <v>193</v>
      </c>
      <c r="H200" t="s">
        <v>194</v>
      </c>
      <c r="I200" t="s">
        <v>9369</v>
      </c>
      <c r="J200" t="s">
        <v>210</v>
      </c>
      <c r="K200" t="s">
        <v>10198</v>
      </c>
      <c r="L200" t="s">
        <v>6249</v>
      </c>
      <c r="M200" t="s">
        <v>9428</v>
      </c>
      <c r="N200" t="s">
        <v>9305</v>
      </c>
      <c r="O200" t="s">
        <v>9531</v>
      </c>
      <c r="P200" t="s">
        <v>10199</v>
      </c>
      <c r="Q200" t="s">
        <v>10200</v>
      </c>
      <c r="S200" t="s">
        <v>9309</v>
      </c>
      <c r="T200" s="28" t="s">
        <v>9334</v>
      </c>
      <c r="U200" s="27" t="s">
        <v>624</v>
      </c>
      <c r="V200" t="s">
        <v>194</v>
      </c>
      <c r="W200" t="s">
        <v>9300</v>
      </c>
      <c r="Z200" t="s">
        <v>9311</v>
      </c>
      <c r="AF200" t="s">
        <v>4714</v>
      </c>
      <c r="AG200" t="s">
        <v>9433</v>
      </c>
      <c r="AI200" t="s">
        <v>6955</v>
      </c>
      <c r="AJ200" s="424" t="str">
        <f t="shared" si="9"/>
        <v>332203</v>
      </c>
      <c r="AK200" s="28">
        <v>1</v>
      </c>
      <c r="AL200" s="28">
        <f t="shared" si="11"/>
        <v>1</v>
      </c>
      <c r="AM200" s="28" t="str">
        <f t="shared" si="10"/>
        <v>agora</v>
      </c>
    </row>
    <row r="201" spans="1:39" x14ac:dyDescent="0.25">
      <c r="A201" t="s">
        <v>10145</v>
      </c>
      <c r="B201" t="s">
        <v>10201</v>
      </c>
      <c r="C201" t="s">
        <v>18</v>
      </c>
      <c r="D201" s="27" t="s">
        <v>9299</v>
      </c>
      <c r="E201" t="s">
        <v>217</v>
      </c>
      <c r="F201" s="421">
        <v>1</v>
      </c>
      <c r="G201" t="s">
        <v>193</v>
      </c>
      <c r="H201" t="s">
        <v>194</v>
      </c>
      <c r="I201" t="s">
        <v>9343</v>
      </c>
      <c r="J201" t="s">
        <v>210</v>
      </c>
      <c r="K201" t="s">
        <v>10202</v>
      </c>
      <c r="L201" t="s">
        <v>6340</v>
      </c>
      <c r="M201" t="s">
        <v>9428</v>
      </c>
      <c r="N201" t="s">
        <v>9719</v>
      </c>
      <c r="O201" t="s">
        <v>9574</v>
      </c>
      <c r="P201" t="s">
        <v>10203</v>
      </c>
      <c r="Q201" t="s">
        <v>10204</v>
      </c>
      <c r="S201" t="s">
        <v>9309</v>
      </c>
      <c r="T201" s="28" t="s">
        <v>9334</v>
      </c>
      <c r="U201" s="27" t="s">
        <v>1476</v>
      </c>
      <c r="V201" t="s">
        <v>194</v>
      </c>
      <c r="W201" t="s">
        <v>9300</v>
      </c>
      <c r="Z201" t="s">
        <v>9311</v>
      </c>
      <c r="AF201" t="s">
        <v>4714</v>
      </c>
      <c r="AG201" t="s">
        <v>9433</v>
      </c>
      <c r="AI201" t="s">
        <v>6955</v>
      </c>
      <c r="AJ201" s="424" t="str">
        <f t="shared" si="9"/>
        <v>242309</v>
      </c>
      <c r="AK201" s="28">
        <v>1</v>
      </c>
      <c r="AL201" s="28">
        <f t="shared" si="11"/>
        <v>1</v>
      </c>
      <c r="AM201" s="28" t="str">
        <f t="shared" si="10"/>
        <v>agora</v>
      </c>
    </row>
    <row r="202" spans="1:39" x14ac:dyDescent="0.25">
      <c r="A202" t="s">
        <v>369</v>
      </c>
      <c r="B202" t="s">
        <v>1913</v>
      </c>
      <c r="C202" t="s">
        <v>366</v>
      </c>
      <c r="D202" s="27" t="s">
        <v>9299</v>
      </c>
      <c r="E202" t="s">
        <v>192</v>
      </c>
      <c r="F202" s="421">
        <v>1</v>
      </c>
      <c r="G202" t="s">
        <v>193</v>
      </c>
      <c r="H202" t="s">
        <v>194</v>
      </c>
      <c r="I202" t="s">
        <v>9339</v>
      </c>
      <c r="J202" t="s">
        <v>210</v>
      </c>
      <c r="K202" t="s">
        <v>10205</v>
      </c>
      <c r="L202" t="s">
        <v>6275</v>
      </c>
      <c r="M202" t="s">
        <v>9304</v>
      </c>
      <c r="N202" t="s">
        <v>9305</v>
      </c>
      <c r="O202" t="s">
        <v>9306</v>
      </c>
      <c r="P202" t="s">
        <v>10206</v>
      </c>
      <c r="Q202" t="s">
        <v>10207</v>
      </c>
      <c r="S202" t="s">
        <v>9309</v>
      </c>
      <c r="T202" s="28" t="s">
        <v>9334</v>
      </c>
      <c r="U202" s="27" t="s">
        <v>368</v>
      </c>
      <c r="V202" t="s">
        <v>194</v>
      </c>
      <c r="W202" t="s">
        <v>9300</v>
      </c>
      <c r="Z202" t="s">
        <v>9311</v>
      </c>
      <c r="AF202" t="s">
        <v>4714</v>
      </c>
      <c r="AG202" t="s">
        <v>1913</v>
      </c>
      <c r="AI202" t="s">
        <v>6955</v>
      </c>
      <c r="AJ202" s="424" t="str">
        <f t="shared" si="9"/>
        <v>215201</v>
      </c>
      <c r="AK202" s="28">
        <v>1</v>
      </c>
      <c r="AL202" s="28">
        <f t="shared" si="11"/>
        <v>1</v>
      </c>
      <c r="AM202" s="28" t="str">
        <f t="shared" si="10"/>
        <v>pracuj.pl</v>
      </c>
    </row>
    <row r="203" spans="1:39" x14ac:dyDescent="0.25">
      <c r="A203" t="s">
        <v>10208</v>
      </c>
      <c r="B203" t="s">
        <v>10209</v>
      </c>
      <c r="C203" t="s">
        <v>10210</v>
      </c>
      <c r="D203" s="27" t="s">
        <v>9299</v>
      </c>
      <c r="E203" t="s">
        <v>192</v>
      </c>
      <c r="F203" s="421">
        <v>1</v>
      </c>
      <c r="G203" t="s">
        <v>193</v>
      </c>
      <c r="H203" t="s">
        <v>194</v>
      </c>
      <c r="I203" t="s">
        <v>9737</v>
      </c>
      <c r="J203" t="s">
        <v>9302</v>
      </c>
      <c r="K203" t="s">
        <v>10211</v>
      </c>
      <c r="L203" t="s">
        <v>6258</v>
      </c>
      <c r="M203" t="s">
        <v>9304</v>
      </c>
      <c r="N203" t="s">
        <v>9305</v>
      </c>
      <c r="O203" t="s">
        <v>9306</v>
      </c>
      <c r="P203" t="s">
        <v>10212</v>
      </c>
      <c r="Q203" t="s">
        <v>10213</v>
      </c>
      <c r="S203" t="s">
        <v>9309</v>
      </c>
      <c r="U203" s="27" t="s">
        <v>3450</v>
      </c>
      <c r="V203" t="s">
        <v>193</v>
      </c>
      <c r="W203" t="s">
        <v>9310</v>
      </c>
      <c r="Z203" t="s">
        <v>9311</v>
      </c>
      <c r="AF203" t="s">
        <v>4714</v>
      </c>
      <c r="AG203" t="s">
        <v>10209</v>
      </c>
      <c r="AI203" t="s">
        <v>6955</v>
      </c>
      <c r="AJ203" s="424" t="str">
        <f t="shared" si="9"/>
        <v>311930</v>
      </c>
      <c r="AK203" s="28">
        <v>1</v>
      </c>
      <c r="AL203" s="28">
        <f t="shared" si="11"/>
        <v>1</v>
      </c>
      <c r="AM203" s="28" t="str">
        <f t="shared" si="10"/>
        <v>pracuj.pl</v>
      </c>
    </row>
    <row r="204" spans="1:39" x14ac:dyDescent="0.25">
      <c r="A204" t="s">
        <v>10214</v>
      </c>
      <c r="B204" t="s">
        <v>10215</v>
      </c>
      <c r="C204" t="s">
        <v>17</v>
      </c>
      <c r="D204" s="27" t="s">
        <v>9299</v>
      </c>
      <c r="E204" t="s">
        <v>192</v>
      </c>
      <c r="F204" s="421">
        <v>1</v>
      </c>
      <c r="G204" t="s">
        <v>193</v>
      </c>
      <c r="H204" t="s">
        <v>194</v>
      </c>
      <c r="I204" t="s">
        <v>9369</v>
      </c>
      <c r="J204" t="s">
        <v>9302</v>
      </c>
      <c r="K204" t="s">
        <v>10216</v>
      </c>
      <c r="L204" t="s">
        <v>6245</v>
      </c>
      <c r="M204" t="s">
        <v>9304</v>
      </c>
      <c r="N204" t="s">
        <v>9305</v>
      </c>
      <c r="O204" t="s">
        <v>9306</v>
      </c>
      <c r="P204" t="s">
        <v>10217</v>
      </c>
      <c r="Q204" t="s">
        <v>10218</v>
      </c>
      <c r="S204" t="s">
        <v>9309</v>
      </c>
      <c r="U204" s="27" t="s">
        <v>624</v>
      </c>
      <c r="V204" t="s">
        <v>193</v>
      </c>
      <c r="W204" t="s">
        <v>9310</v>
      </c>
      <c r="Z204" t="s">
        <v>9311</v>
      </c>
      <c r="AF204" t="s">
        <v>4714</v>
      </c>
      <c r="AG204" t="s">
        <v>10215</v>
      </c>
      <c r="AI204" t="s">
        <v>6955</v>
      </c>
      <c r="AJ204" s="424" t="str">
        <f t="shared" si="9"/>
        <v>332203</v>
      </c>
      <c r="AK204" s="28">
        <v>1</v>
      </c>
      <c r="AL204" s="28">
        <f t="shared" si="11"/>
        <v>1</v>
      </c>
      <c r="AM204" s="28" t="str">
        <f t="shared" si="10"/>
        <v>pracuj.pl</v>
      </c>
    </row>
    <row r="205" spans="1:39" x14ac:dyDescent="0.25">
      <c r="A205" t="s">
        <v>10219</v>
      </c>
      <c r="B205" t="s">
        <v>119</v>
      </c>
      <c r="C205" t="s">
        <v>119</v>
      </c>
      <c r="D205" s="27" t="s">
        <v>9299</v>
      </c>
      <c r="E205" t="s">
        <v>192</v>
      </c>
      <c r="F205" s="421">
        <v>1</v>
      </c>
      <c r="G205" t="s">
        <v>193</v>
      </c>
      <c r="H205" t="s">
        <v>194</v>
      </c>
      <c r="I205" t="s">
        <v>9461</v>
      </c>
      <c r="J205" t="s">
        <v>9302</v>
      </c>
      <c r="K205" t="s">
        <v>10220</v>
      </c>
      <c r="L205" t="s">
        <v>6266</v>
      </c>
      <c r="M205" t="s">
        <v>9304</v>
      </c>
      <c r="N205" t="s">
        <v>9305</v>
      </c>
      <c r="O205" t="s">
        <v>9306</v>
      </c>
      <c r="P205" t="s">
        <v>10221</v>
      </c>
      <c r="Q205" t="s">
        <v>10222</v>
      </c>
      <c r="S205" t="s">
        <v>9309</v>
      </c>
      <c r="U205" s="27" t="s">
        <v>666</v>
      </c>
      <c r="V205" t="s">
        <v>193</v>
      </c>
      <c r="W205" t="s">
        <v>9310</v>
      </c>
      <c r="Z205" t="s">
        <v>9311</v>
      </c>
      <c r="AF205" t="s">
        <v>4714</v>
      </c>
      <c r="AG205" t="s">
        <v>119</v>
      </c>
      <c r="AI205" t="s">
        <v>6955</v>
      </c>
      <c r="AJ205" s="424" t="str">
        <f t="shared" si="9"/>
        <v>333105</v>
      </c>
      <c r="AK205" s="28">
        <v>1</v>
      </c>
      <c r="AL205" s="28">
        <f t="shared" si="11"/>
        <v>1</v>
      </c>
      <c r="AM205" s="28" t="str">
        <f t="shared" si="10"/>
        <v>pracuj.pl</v>
      </c>
    </row>
    <row r="206" spans="1:39" x14ac:dyDescent="0.25">
      <c r="A206" t="s">
        <v>10223</v>
      </c>
      <c r="B206" t="s">
        <v>10224</v>
      </c>
      <c r="C206" t="s">
        <v>74</v>
      </c>
      <c r="D206" s="27" t="s">
        <v>9299</v>
      </c>
      <c r="E206" t="s">
        <v>217</v>
      </c>
      <c r="F206" s="421">
        <v>1</v>
      </c>
      <c r="G206" t="s">
        <v>193</v>
      </c>
      <c r="H206" t="s">
        <v>194</v>
      </c>
      <c r="I206" t="s">
        <v>9491</v>
      </c>
      <c r="J206" t="s">
        <v>210</v>
      </c>
      <c r="K206" t="s">
        <v>10225</v>
      </c>
      <c r="L206" t="s">
        <v>6249</v>
      </c>
      <c r="M206" t="s">
        <v>9428</v>
      </c>
      <c r="N206" t="s">
        <v>10226</v>
      </c>
      <c r="O206" t="s">
        <v>9604</v>
      </c>
      <c r="P206" t="s">
        <v>10227</v>
      </c>
      <c r="Q206" t="s">
        <v>10228</v>
      </c>
      <c r="S206" t="s">
        <v>9309</v>
      </c>
      <c r="T206" s="28" t="s">
        <v>9334</v>
      </c>
      <c r="U206" s="27" t="s">
        <v>246</v>
      </c>
      <c r="V206" t="s">
        <v>194</v>
      </c>
      <c r="W206" t="s">
        <v>9300</v>
      </c>
      <c r="Z206" t="s">
        <v>9311</v>
      </c>
      <c r="AF206" t="s">
        <v>4714</v>
      </c>
      <c r="AG206" t="s">
        <v>9433</v>
      </c>
      <c r="AI206" t="s">
        <v>6955</v>
      </c>
      <c r="AJ206" s="424" t="str">
        <f t="shared" si="9"/>
        <v>142004</v>
      </c>
      <c r="AK206" s="28">
        <v>1</v>
      </c>
      <c r="AL206" s="28">
        <f t="shared" si="11"/>
        <v>1</v>
      </c>
      <c r="AM206" s="28" t="str">
        <f t="shared" si="10"/>
        <v>agora</v>
      </c>
    </row>
    <row r="207" spans="1:39" x14ac:dyDescent="0.25">
      <c r="A207" t="s">
        <v>10223</v>
      </c>
      <c r="B207" t="s">
        <v>10229</v>
      </c>
      <c r="C207" t="s">
        <v>51</v>
      </c>
      <c r="D207" s="27" t="s">
        <v>9299</v>
      </c>
      <c r="E207" t="s">
        <v>217</v>
      </c>
      <c r="F207" s="421">
        <v>1</v>
      </c>
      <c r="G207" t="s">
        <v>193</v>
      </c>
      <c r="H207" t="s">
        <v>194</v>
      </c>
      <c r="I207" t="s">
        <v>9343</v>
      </c>
      <c r="J207" t="s">
        <v>210</v>
      </c>
      <c r="K207" t="s">
        <v>10230</v>
      </c>
      <c r="L207" t="s">
        <v>6249</v>
      </c>
      <c r="M207" t="s">
        <v>9436</v>
      </c>
      <c r="N207" t="s">
        <v>9342</v>
      </c>
      <c r="O207" t="s">
        <v>9918</v>
      </c>
      <c r="P207" t="s">
        <v>10231</v>
      </c>
      <c r="Q207" t="s">
        <v>10232</v>
      </c>
      <c r="S207" t="s">
        <v>9309</v>
      </c>
      <c r="T207" s="28" t="s">
        <v>9334</v>
      </c>
      <c r="U207" s="27" t="s">
        <v>904</v>
      </c>
      <c r="V207" t="s">
        <v>194</v>
      </c>
      <c r="W207" t="s">
        <v>9300</v>
      </c>
      <c r="Z207" t="s">
        <v>9311</v>
      </c>
      <c r="AF207" t="s">
        <v>4714</v>
      </c>
      <c r="AG207" t="s">
        <v>9433</v>
      </c>
      <c r="AI207" t="s">
        <v>6955</v>
      </c>
      <c r="AJ207" s="424" t="str">
        <f t="shared" si="9"/>
        <v>523002</v>
      </c>
      <c r="AK207" s="28">
        <v>1</v>
      </c>
      <c r="AL207" s="28">
        <f t="shared" si="11"/>
        <v>1</v>
      </c>
      <c r="AM207" s="28" t="str">
        <f t="shared" si="10"/>
        <v>agora</v>
      </c>
    </row>
    <row r="208" spans="1:39" x14ac:dyDescent="0.25">
      <c r="A208" t="s">
        <v>10223</v>
      </c>
      <c r="B208" t="s">
        <v>10229</v>
      </c>
      <c r="C208" t="s">
        <v>51</v>
      </c>
      <c r="D208" s="27" t="s">
        <v>9299</v>
      </c>
      <c r="E208" t="s">
        <v>217</v>
      </c>
      <c r="F208" s="421">
        <v>1</v>
      </c>
      <c r="G208" t="s">
        <v>193</v>
      </c>
      <c r="H208" t="s">
        <v>194</v>
      </c>
      <c r="I208" t="s">
        <v>9343</v>
      </c>
      <c r="J208" t="s">
        <v>210</v>
      </c>
      <c r="K208" t="s">
        <v>10233</v>
      </c>
      <c r="L208" t="s">
        <v>6249</v>
      </c>
      <c r="M208" t="s">
        <v>9428</v>
      </c>
      <c r="N208" t="s">
        <v>10234</v>
      </c>
      <c r="O208" t="s">
        <v>9967</v>
      </c>
      <c r="P208" t="s">
        <v>10235</v>
      </c>
      <c r="Q208" t="s">
        <v>10236</v>
      </c>
      <c r="S208" t="s">
        <v>9309</v>
      </c>
      <c r="T208" s="28" t="s">
        <v>9334</v>
      </c>
      <c r="U208" s="27" t="s">
        <v>904</v>
      </c>
      <c r="V208" t="s">
        <v>194</v>
      </c>
      <c r="W208" t="s">
        <v>9300</v>
      </c>
      <c r="Z208" t="s">
        <v>9311</v>
      </c>
      <c r="AF208" t="s">
        <v>4714</v>
      </c>
      <c r="AG208" t="s">
        <v>9433</v>
      </c>
      <c r="AI208" t="s">
        <v>6955</v>
      </c>
      <c r="AJ208" s="424" t="str">
        <f t="shared" si="9"/>
        <v>523002</v>
      </c>
      <c r="AK208" s="28">
        <v>1</v>
      </c>
      <c r="AL208" s="28">
        <f t="shared" si="11"/>
        <v>1</v>
      </c>
      <c r="AM208" s="28" t="str">
        <f t="shared" si="10"/>
        <v>agora</v>
      </c>
    </row>
    <row r="209" spans="1:39" x14ac:dyDescent="0.25">
      <c r="A209" t="s">
        <v>10223</v>
      </c>
      <c r="B209" t="s">
        <v>10237</v>
      </c>
      <c r="C209" t="s">
        <v>51</v>
      </c>
      <c r="D209" s="27" t="s">
        <v>9299</v>
      </c>
      <c r="E209" t="s">
        <v>217</v>
      </c>
      <c r="F209" s="421">
        <v>1</v>
      </c>
      <c r="G209" t="s">
        <v>193</v>
      </c>
      <c r="H209" t="s">
        <v>194</v>
      </c>
      <c r="I209" t="s">
        <v>9343</v>
      </c>
      <c r="J209" t="s">
        <v>408</v>
      </c>
      <c r="K209" t="s">
        <v>10238</v>
      </c>
      <c r="L209" t="s">
        <v>6249</v>
      </c>
      <c r="M209" t="s">
        <v>9436</v>
      </c>
      <c r="N209" t="s">
        <v>9719</v>
      </c>
      <c r="O209" t="s">
        <v>9574</v>
      </c>
      <c r="P209" t="s">
        <v>10239</v>
      </c>
      <c r="Q209" t="s">
        <v>10240</v>
      </c>
      <c r="S209" t="s">
        <v>9309</v>
      </c>
      <c r="T209" s="28" t="s">
        <v>9479</v>
      </c>
      <c r="U209" s="27" t="s">
        <v>904</v>
      </c>
      <c r="V209" t="s">
        <v>194</v>
      </c>
      <c r="W209" t="s">
        <v>9300</v>
      </c>
      <c r="Z209" t="s">
        <v>9311</v>
      </c>
      <c r="AF209" t="s">
        <v>4714</v>
      </c>
      <c r="AG209" t="s">
        <v>9433</v>
      </c>
      <c r="AI209" t="s">
        <v>6955</v>
      </c>
      <c r="AJ209" s="424" t="str">
        <f t="shared" si="9"/>
        <v>523002</v>
      </c>
      <c r="AK209" s="28">
        <v>1</v>
      </c>
      <c r="AL209" s="28">
        <f t="shared" si="11"/>
        <v>1</v>
      </c>
      <c r="AM209" s="28" t="str">
        <f t="shared" si="10"/>
        <v>agora</v>
      </c>
    </row>
    <row r="210" spans="1:39" x14ac:dyDescent="0.25">
      <c r="A210" t="s">
        <v>10223</v>
      </c>
      <c r="B210" t="s">
        <v>10241</v>
      </c>
      <c r="C210" t="s">
        <v>51</v>
      </c>
      <c r="D210" s="27" t="s">
        <v>9299</v>
      </c>
      <c r="E210" t="s">
        <v>217</v>
      </c>
      <c r="F210" s="421">
        <v>1</v>
      </c>
      <c r="G210" t="s">
        <v>193</v>
      </c>
      <c r="H210" t="s">
        <v>194</v>
      </c>
      <c r="I210" t="s">
        <v>9343</v>
      </c>
      <c r="J210" t="s">
        <v>10242</v>
      </c>
      <c r="K210" t="s">
        <v>10243</v>
      </c>
      <c r="L210" t="s">
        <v>6249</v>
      </c>
      <c r="M210" t="s">
        <v>9436</v>
      </c>
      <c r="N210" t="s">
        <v>9486</v>
      </c>
      <c r="O210" t="s">
        <v>10148</v>
      </c>
      <c r="P210" t="s">
        <v>10244</v>
      </c>
      <c r="Q210" t="s">
        <v>10245</v>
      </c>
      <c r="S210" t="s">
        <v>9309</v>
      </c>
      <c r="T210" s="28" t="s">
        <v>9726</v>
      </c>
      <c r="U210" s="27" t="s">
        <v>904</v>
      </c>
      <c r="V210" t="s">
        <v>194</v>
      </c>
      <c r="W210" t="s">
        <v>9300</v>
      </c>
      <c r="Z210" t="s">
        <v>9311</v>
      </c>
      <c r="AF210" t="s">
        <v>4714</v>
      </c>
      <c r="AG210" t="s">
        <v>9433</v>
      </c>
      <c r="AI210" t="s">
        <v>6955</v>
      </c>
      <c r="AJ210" s="424" t="str">
        <f t="shared" si="9"/>
        <v>523002</v>
      </c>
      <c r="AK210" s="28">
        <v>1</v>
      </c>
      <c r="AL210" s="28">
        <f t="shared" si="11"/>
        <v>1</v>
      </c>
      <c r="AM210" s="28" t="str">
        <f t="shared" si="10"/>
        <v>agora</v>
      </c>
    </row>
    <row r="211" spans="1:39" x14ac:dyDescent="0.25">
      <c r="A211" t="s">
        <v>10223</v>
      </c>
      <c r="B211" t="s">
        <v>10246</v>
      </c>
      <c r="C211" t="s">
        <v>51</v>
      </c>
      <c r="D211" s="27" t="s">
        <v>9299</v>
      </c>
      <c r="E211" t="s">
        <v>217</v>
      </c>
      <c r="F211" s="421">
        <v>1</v>
      </c>
      <c r="G211" t="s">
        <v>193</v>
      </c>
      <c r="H211" t="s">
        <v>194</v>
      </c>
      <c r="I211" t="s">
        <v>9343</v>
      </c>
      <c r="J211" t="s">
        <v>10242</v>
      </c>
      <c r="K211" t="s">
        <v>10247</v>
      </c>
      <c r="L211" t="s">
        <v>6249</v>
      </c>
      <c r="M211" t="s">
        <v>9428</v>
      </c>
      <c r="N211" t="s">
        <v>10005</v>
      </c>
      <c r="O211" t="s">
        <v>9930</v>
      </c>
      <c r="P211" t="s">
        <v>10248</v>
      </c>
      <c r="Q211" t="s">
        <v>10249</v>
      </c>
      <c r="S211" t="s">
        <v>9309</v>
      </c>
      <c r="T211" s="28" t="s">
        <v>9726</v>
      </c>
      <c r="U211" s="27" t="s">
        <v>904</v>
      </c>
      <c r="V211" t="s">
        <v>194</v>
      </c>
      <c r="W211" t="s">
        <v>9300</v>
      </c>
      <c r="Z211" t="s">
        <v>9311</v>
      </c>
      <c r="AF211" t="s">
        <v>4714</v>
      </c>
      <c r="AG211" t="s">
        <v>9433</v>
      </c>
      <c r="AI211" t="s">
        <v>6955</v>
      </c>
      <c r="AJ211" s="424" t="str">
        <f t="shared" si="9"/>
        <v>523002</v>
      </c>
      <c r="AK211" s="28">
        <v>1</v>
      </c>
      <c r="AL211" s="28">
        <f t="shared" si="11"/>
        <v>1</v>
      </c>
      <c r="AM211" s="28" t="str">
        <f t="shared" si="10"/>
        <v>agora</v>
      </c>
    </row>
    <row r="212" spans="1:39" x14ac:dyDescent="0.25">
      <c r="A212" t="s">
        <v>10223</v>
      </c>
      <c r="B212" t="s">
        <v>10250</v>
      </c>
      <c r="C212" t="s">
        <v>74</v>
      </c>
      <c r="D212" s="27" t="s">
        <v>9299</v>
      </c>
      <c r="E212" t="s">
        <v>217</v>
      </c>
      <c r="F212" s="421">
        <v>1</v>
      </c>
      <c r="G212" t="s">
        <v>193</v>
      </c>
      <c r="H212" t="s">
        <v>194</v>
      </c>
      <c r="I212" t="s">
        <v>9343</v>
      </c>
      <c r="J212" t="s">
        <v>210</v>
      </c>
      <c r="K212" t="s">
        <v>10251</v>
      </c>
      <c r="L212" t="s">
        <v>6249</v>
      </c>
      <c r="M212" t="s">
        <v>9428</v>
      </c>
      <c r="N212" t="s">
        <v>9486</v>
      </c>
      <c r="O212" t="s">
        <v>10148</v>
      </c>
      <c r="P212" t="s">
        <v>10252</v>
      </c>
      <c r="Q212" t="s">
        <v>10253</v>
      </c>
      <c r="S212" t="s">
        <v>9309</v>
      </c>
      <c r="T212" s="28" t="s">
        <v>9334</v>
      </c>
      <c r="U212" s="27" t="s">
        <v>246</v>
      </c>
      <c r="V212" t="s">
        <v>194</v>
      </c>
      <c r="W212" t="s">
        <v>9300</v>
      </c>
      <c r="Z212" t="s">
        <v>9311</v>
      </c>
      <c r="AF212" t="s">
        <v>4714</v>
      </c>
      <c r="AG212" t="s">
        <v>9433</v>
      </c>
      <c r="AI212" t="s">
        <v>6955</v>
      </c>
      <c r="AJ212" s="424" t="str">
        <f t="shared" si="9"/>
        <v>142004</v>
      </c>
      <c r="AK212" s="28">
        <v>1</v>
      </c>
      <c r="AL212" s="28">
        <f t="shared" si="11"/>
        <v>1</v>
      </c>
      <c r="AM212" s="28" t="str">
        <f t="shared" si="10"/>
        <v>agora</v>
      </c>
    </row>
    <row r="213" spans="1:39" x14ac:dyDescent="0.25">
      <c r="A213" t="s">
        <v>10223</v>
      </c>
      <c r="B213" t="s">
        <v>10254</v>
      </c>
      <c r="C213" t="s">
        <v>3703</v>
      </c>
      <c r="D213" s="27" t="s">
        <v>9299</v>
      </c>
      <c r="E213" t="s">
        <v>217</v>
      </c>
      <c r="F213" s="421">
        <v>1</v>
      </c>
      <c r="G213" t="s">
        <v>193</v>
      </c>
      <c r="H213" t="s">
        <v>194</v>
      </c>
      <c r="I213" t="s">
        <v>9369</v>
      </c>
      <c r="J213" t="s">
        <v>210</v>
      </c>
      <c r="K213" t="s">
        <v>10255</v>
      </c>
      <c r="L213" t="s">
        <v>6249</v>
      </c>
      <c r="M213" t="s">
        <v>9428</v>
      </c>
      <c r="N213" t="s">
        <v>9929</v>
      </c>
      <c r="O213" t="s">
        <v>9930</v>
      </c>
      <c r="P213" t="s">
        <v>10256</v>
      </c>
      <c r="Q213" t="s">
        <v>10257</v>
      </c>
      <c r="S213" t="s">
        <v>9309</v>
      </c>
      <c r="T213" s="28" t="s">
        <v>9334</v>
      </c>
      <c r="U213" s="27" t="s">
        <v>3704</v>
      </c>
      <c r="V213" t="s">
        <v>194</v>
      </c>
      <c r="W213" t="s">
        <v>9300</v>
      </c>
      <c r="Z213" t="s">
        <v>9311</v>
      </c>
      <c r="AF213" t="s">
        <v>4714</v>
      </c>
      <c r="AG213" t="s">
        <v>9433</v>
      </c>
      <c r="AI213" t="s">
        <v>6955</v>
      </c>
      <c r="AJ213" s="424" t="str">
        <f t="shared" si="9"/>
        <v>522302</v>
      </c>
      <c r="AK213" s="28">
        <v>1</v>
      </c>
      <c r="AL213" s="28">
        <f t="shared" si="11"/>
        <v>1</v>
      </c>
      <c r="AM213" s="28" t="str">
        <f t="shared" si="10"/>
        <v>agora</v>
      </c>
    </row>
    <row r="214" spans="1:39" x14ac:dyDescent="0.25">
      <c r="A214" t="s">
        <v>10223</v>
      </c>
      <c r="B214" t="s">
        <v>10258</v>
      </c>
      <c r="C214" t="s">
        <v>3703</v>
      </c>
      <c r="D214" s="27" t="s">
        <v>9299</v>
      </c>
      <c r="E214" t="s">
        <v>217</v>
      </c>
      <c r="F214" s="421">
        <v>1</v>
      </c>
      <c r="G214" t="s">
        <v>193</v>
      </c>
      <c r="H214" t="s">
        <v>194</v>
      </c>
      <c r="I214" t="s">
        <v>9491</v>
      </c>
      <c r="J214" t="s">
        <v>210</v>
      </c>
      <c r="K214" t="s">
        <v>10259</v>
      </c>
      <c r="L214" t="s">
        <v>6249</v>
      </c>
      <c r="M214" t="s">
        <v>9428</v>
      </c>
      <c r="N214" t="s">
        <v>10226</v>
      </c>
      <c r="O214" t="s">
        <v>9604</v>
      </c>
      <c r="P214" t="s">
        <v>10260</v>
      </c>
      <c r="Q214" t="s">
        <v>10261</v>
      </c>
      <c r="S214" t="s">
        <v>9309</v>
      </c>
      <c r="T214" s="28" t="s">
        <v>9334</v>
      </c>
      <c r="U214" s="27" t="s">
        <v>3704</v>
      </c>
      <c r="V214" t="s">
        <v>194</v>
      </c>
      <c r="W214" t="s">
        <v>9300</v>
      </c>
      <c r="Z214" t="s">
        <v>9311</v>
      </c>
      <c r="AF214" t="s">
        <v>4714</v>
      </c>
      <c r="AG214" t="s">
        <v>9433</v>
      </c>
      <c r="AI214" t="s">
        <v>6955</v>
      </c>
      <c r="AJ214" s="424" t="str">
        <f t="shared" si="9"/>
        <v>522302</v>
      </c>
      <c r="AK214" s="28">
        <v>1</v>
      </c>
      <c r="AL214" s="28">
        <f t="shared" si="11"/>
        <v>1</v>
      </c>
      <c r="AM214" s="28" t="str">
        <f t="shared" si="10"/>
        <v>agora</v>
      </c>
    </row>
    <row r="215" spans="1:39" x14ac:dyDescent="0.25">
      <c r="A215" t="s">
        <v>10223</v>
      </c>
      <c r="B215" t="s">
        <v>10262</v>
      </c>
      <c r="C215" t="s">
        <v>74</v>
      </c>
      <c r="D215" s="27" t="s">
        <v>9299</v>
      </c>
      <c r="E215" t="s">
        <v>217</v>
      </c>
      <c r="F215" s="421">
        <v>1</v>
      </c>
      <c r="G215" t="s">
        <v>193</v>
      </c>
      <c r="H215" t="s">
        <v>194</v>
      </c>
      <c r="I215" t="s">
        <v>9491</v>
      </c>
      <c r="J215" t="s">
        <v>210</v>
      </c>
      <c r="K215" t="s">
        <v>10263</v>
      </c>
      <c r="L215" t="s">
        <v>6249</v>
      </c>
      <c r="M215" t="s">
        <v>9436</v>
      </c>
      <c r="N215" t="s">
        <v>10234</v>
      </c>
      <c r="O215" t="s">
        <v>9967</v>
      </c>
      <c r="P215" t="s">
        <v>10264</v>
      </c>
      <c r="Q215" t="s">
        <v>10265</v>
      </c>
      <c r="S215" t="s">
        <v>9309</v>
      </c>
      <c r="T215" s="28" t="s">
        <v>9334</v>
      </c>
      <c r="U215" s="27" t="s">
        <v>246</v>
      </c>
      <c r="V215" t="s">
        <v>194</v>
      </c>
      <c r="W215" t="s">
        <v>9300</v>
      </c>
      <c r="Z215" t="s">
        <v>9311</v>
      </c>
      <c r="AF215" t="s">
        <v>4714</v>
      </c>
      <c r="AG215" t="s">
        <v>9433</v>
      </c>
      <c r="AI215" t="s">
        <v>6955</v>
      </c>
      <c r="AJ215" s="424" t="str">
        <f t="shared" si="9"/>
        <v>142004</v>
      </c>
      <c r="AK215" s="28">
        <v>1</v>
      </c>
      <c r="AL215" s="28">
        <f t="shared" si="11"/>
        <v>1</v>
      </c>
      <c r="AM215" s="28" t="str">
        <f t="shared" si="10"/>
        <v>agora</v>
      </c>
    </row>
    <row r="216" spans="1:39" x14ac:dyDescent="0.25">
      <c r="A216" t="s">
        <v>10266</v>
      </c>
      <c r="B216" t="s">
        <v>614</v>
      </c>
      <c r="C216" t="s">
        <v>111</v>
      </c>
      <c r="D216" s="27" t="s">
        <v>9299</v>
      </c>
      <c r="E216" t="s">
        <v>217</v>
      </c>
      <c r="F216" s="421">
        <v>1</v>
      </c>
      <c r="G216" t="s">
        <v>193</v>
      </c>
      <c r="H216" t="s">
        <v>194</v>
      </c>
      <c r="I216" t="s">
        <v>9461</v>
      </c>
      <c r="J216" t="s">
        <v>210</v>
      </c>
      <c r="K216" t="s">
        <v>10267</v>
      </c>
      <c r="L216" t="s">
        <v>8339</v>
      </c>
      <c r="M216" t="s">
        <v>9457</v>
      </c>
      <c r="N216" t="s">
        <v>10045</v>
      </c>
      <c r="O216" t="s">
        <v>9542</v>
      </c>
      <c r="P216" t="s">
        <v>10268</v>
      </c>
      <c r="Q216" t="s">
        <v>10269</v>
      </c>
      <c r="S216" t="s">
        <v>9309</v>
      </c>
      <c r="T216" s="28" t="s">
        <v>9334</v>
      </c>
      <c r="U216" s="27" t="s">
        <v>612</v>
      </c>
      <c r="V216" t="s">
        <v>194</v>
      </c>
      <c r="W216" t="s">
        <v>9300</v>
      </c>
      <c r="Z216" t="s">
        <v>9311</v>
      </c>
      <c r="AF216" t="s">
        <v>4714</v>
      </c>
      <c r="AG216" t="s">
        <v>111</v>
      </c>
      <c r="AI216" t="s">
        <v>6955</v>
      </c>
      <c r="AJ216" s="424" t="str">
        <f t="shared" si="9"/>
        <v>332101</v>
      </c>
      <c r="AK216" s="28">
        <v>1</v>
      </c>
      <c r="AL216" s="28">
        <f t="shared" si="11"/>
        <v>1</v>
      </c>
      <c r="AM216" s="28" t="str">
        <f t="shared" si="10"/>
        <v>agora</v>
      </c>
    </row>
    <row r="217" spans="1:39" x14ac:dyDescent="0.25">
      <c r="A217" t="s">
        <v>10266</v>
      </c>
      <c r="B217" t="s">
        <v>10270</v>
      </c>
      <c r="C217" t="s">
        <v>111</v>
      </c>
      <c r="D217" s="27" t="s">
        <v>9299</v>
      </c>
      <c r="E217" t="s">
        <v>217</v>
      </c>
      <c r="F217" s="421">
        <v>1</v>
      </c>
      <c r="G217" t="s">
        <v>193</v>
      </c>
      <c r="H217" t="s">
        <v>194</v>
      </c>
      <c r="I217" t="s">
        <v>9491</v>
      </c>
      <c r="J217" t="s">
        <v>253</v>
      </c>
      <c r="K217" t="s">
        <v>10271</v>
      </c>
      <c r="L217" t="s">
        <v>8339</v>
      </c>
      <c r="M217" t="s">
        <v>9428</v>
      </c>
      <c r="N217" t="s">
        <v>9486</v>
      </c>
      <c r="O217" t="s">
        <v>9306</v>
      </c>
      <c r="P217" t="s">
        <v>10272</v>
      </c>
      <c r="Q217" t="s">
        <v>10273</v>
      </c>
      <c r="S217" t="s">
        <v>9309</v>
      </c>
      <c r="T217" s="28" t="s">
        <v>9468</v>
      </c>
      <c r="U217" s="27" t="s">
        <v>612</v>
      </c>
      <c r="V217" t="s">
        <v>194</v>
      </c>
      <c r="W217" t="s">
        <v>9300</v>
      </c>
      <c r="Z217" t="s">
        <v>9311</v>
      </c>
      <c r="AF217" t="s">
        <v>4714</v>
      </c>
      <c r="AG217" t="s">
        <v>9433</v>
      </c>
      <c r="AI217" t="s">
        <v>6955</v>
      </c>
      <c r="AJ217" s="424" t="str">
        <f t="shared" si="9"/>
        <v>332101</v>
      </c>
      <c r="AK217" s="28">
        <v>1</v>
      </c>
      <c r="AL217" s="28">
        <f t="shared" si="11"/>
        <v>1</v>
      </c>
      <c r="AM217" s="28" t="str">
        <f t="shared" si="10"/>
        <v>agora</v>
      </c>
    </row>
    <row r="218" spans="1:39" x14ac:dyDescent="0.25">
      <c r="A218" t="s">
        <v>974</v>
      </c>
      <c r="B218" t="s">
        <v>10274</v>
      </c>
      <c r="C218" t="s">
        <v>103</v>
      </c>
      <c r="D218" s="27" t="s">
        <v>9299</v>
      </c>
      <c r="E218" t="s">
        <v>192</v>
      </c>
      <c r="F218" s="421">
        <v>1</v>
      </c>
      <c r="G218" t="s">
        <v>193</v>
      </c>
      <c r="H218" t="s">
        <v>194</v>
      </c>
      <c r="I218" t="s">
        <v>9737</v>
      </c>
      <c r="J218" t="s">
        <v>253</v>
      </c>
      <c r="K218" t="s">
        <v>10275</v>
      </c>
      <c r="L218" t="s">
        <v>6363</v>
      </c>
      <c r="M218" t="s">
        <v>9304</v>
      </c>
      <c r="N218" t="s">
        <v>9305</v>
      </c>
      <c r="O218" t="s">
        <v>9306</v>
      </c>
      <c r="P218" t="s">
        <v>10276</v>
      </c>
      <c r="Q218" t="s">
        <v>10277</v>
      </c>
      <c r="S218" t="s">
        <v>9309</v>
      </c>
      <c r="T218" s="28" t="s">
        <v>9468</v>
      </c>
      <c r="U218" s="27" t="s">
        <v>1443</v>
      </c>
      <c r="V218" t="s">
        <v>194</v>
      </c>
      <c r="W218" t="s">
        <v>9300</v>
      </c>
      <c r="Z218" t="s">
        <v>9311</v>
      </c>
      <c r="AF218" t="s">
        <v>4714</v>
      </c>
      <c r="AG218" t="s">
        <v>10274</v>
      </c>
      <c r="AI218" t="s">
        <v>6955</v>
      </c>
      <c r="AJ218" s="424" t="str">
        <f t="shared" si="9"/>
        <v>132103</v>
      </c>
      <c r="AK218" s="28">
        <v>1</v>
      </c>
      <c r="AL218" s="28">
        <f t="shared" si="11"/>
        <v>1</v>
      </c>
      <c r="AM218" s="28" t="str">
        <f t="shared" si="10"/>
        <v>pracuj.pl</v>
      </c>
    </row>
    <row r="219" spans="1:39" x14ac:dyDescent="0.25">
      <c r="A219" t="s">
        <v>1405</v>
      </c>
      <c r="B219" t="s">
        <v>1406</v>
      </c>
      <c r="C219" t="s">
        <v>10</v>
      </c>
      <c r="D219" s="27" t="s">
        <v>9299</v>
      </c>
      <c r="E219" t="s">
        <v>233</v>
      </c>
      <c r="F219" s="421">
        <v>1</v>
      </c>
      <c r="G219" t="s">
        <v>193</v>
      </c>
      <c r="H219" t="s">
        <v>194</v>
      </c>
      <c r="I219" t="s">
        <v>9318</v>
      </c>
      <c r="J219" t="s">
        <v>210</v>
      </c>
      <c r="K219" t="s">
        <v>9441</v>
      </c>
      <c r="L219" t="s">
        <v>6261</v>
      </c>
      <c r="M219" t="s">
        <v>9341</v>
      </c>
      <c r="N219" t="s">
        <v>9342</v>
      </c>
      <c r="O219" t="s">
        <v>9343</v>
      </c>
      <c r="P219" t="s">
        <v>9442</v>
      </c>
      <c r="Q219" t="s">
        <v>9443</v>
      </c>
      <c r="S219" t="s">
        <v>9309</v>
      </c>
      <c r="T219" s="28" t="s">
        <v>9334</v>
      </c>
      <c r="U219" s="27" t="s">
        <v>484</v>
      </c>
      <c r="V219" t="s">
        <v>194</v>
      </c>
      <c r="W219" t="s">
        <v>9300</v>
      </c>
      <c r="Z219" t="s">
        <v>9311</v>
      </c>
      <c r="AF219" t="s">
        <v>4714</v>
      </c>
      <c r="AG219" t="s">
        <v>1406</v>
      </c>
      <c r="AI219" t="s">
        <v>6955</v>
      </c>
      <c r="AJ219" s="424" t="str">
        <f t="shared" si="9"/>
        <v>251401</v>
      </c>
      <c r="AK219" s="28">
        <v>1</v>
      </c>
      <c r="AL219" s="28">
        <f t="shared" si="11"/>
        <v>1</v>
      </c>
      <c r="AM219" s="28" t="str">
        <f t="shared" si="10"/>
        <v>praca</v>
      </c>
    </row>
    <row r="220" spans="1:39" x14ac:dyDescent="0.25">
      <c r="A220" t="s">
        <v>1405</v>
      </c>
      <c r="B220" t="s">
        <v>1407</v>
      </c>
      <c r="C220" t="s">
        <v>10</v>
      </c>
      <c r="D220" s="27" t="s">
        <v>9299</v>
      </c>
      <c r="E220" t="s">
        <v>233</v>
      </c>
      <c r="F220" s="421">
        <v>1</v>
      </c>
      <c r="G220" t="s">
        <v>193</v>
      </c>
      <c r="H220" t="s">
        <v>194</v>
      </c>
      <c r="I220" t="s">
        <v>9339</v>
      </c>
      <c r="J220" t="s">
        <v>210</v>
      </c>
      <c r="K220" t="s">
        <v>9444</v>
      </c>
      <c r="L220" t="s">
        <v>6261</v>
      </c>
      <c r="M220" t="s">
        <v>9341</v>
      </c>
      <c r="N220" t="s">
        <v>9342</v>
      </c>
      <c r="O220" t="s">
        <v>9343</v>
      </c>
      <c r="P220" t="s">
        <v>9445</v>
      </c>
      <c r="Q220" t="s">
        <v>9446</v>
      </c>
      <c r="S220" t="s">
        <v>9309</v>
      </c>
      <c r="T220" s="28" t="s">
        <v>9334</v>
      </c>
      <c r="U220" s="27" t="s">
        <v>484</v>
      </c>
      <c r="V220" t="s">
        <v>194</v>
      </c>
      <c r="W220" t="s">
        <v>9300</v>
      </c>
      <c r="Z220" t="s">
        <v>9311</v>
      </c>
      <c r="AF220" t="s">
        <v>4714</v>
      </c>
      <c r="AG220" t="s">
        <v>1407</v>
      </c>
      <c r="AI220" t="s">
        <v>6955</v>
      </c>
      <c r="AJ220" s="424" t="str">
        <f t="shared" si="9"/>
        <v>251401</v>
      </c>
      <c r="AK220" s="28">
        <v>1</v>
      </c>
      <c r="AL220" s="28">
        <f t="shared" si="11"/>
        <v>1</v>
      </c>
      <c r="AM220" s="28" t="str">
        <f t="shared" si="10"/>
        <v>praca</v>
      </c>
    </row>
    <row r="221" spans="1:39" x14ac:dyDescent="0.25">
      <c r="A221" t="s">
        <v>10287</v>
      </c>
      <c r="B221" t="s">
        <v>10288</v>
      </c>
      <c r="C221" t="s">
        <v>35</v>
      </c>
      <c r="D221" s="27" t="s">
        <v>9299</v>
      </c>
      <c r="E221" t="s">
        <v>192</v>
      </c>
      <c r="F221" s="421">
        <v>1</v>
      </c>
      <c r="G221" t="s">
        <v>193</v>
      </c>
      <c r="H221" t="s">
        <v>194</v>
      </c>
      <c r="I221" t="s">
        <v>9989</v>
      </c>
      <c r="J221" t="s">
        <v>276</v>
      </c>
      <c r="K221" t="s">
        <v>10289</v>
      </c>
      <c r="L221" t="s">
        <v>6245</v>
      </c>
      <c r="M221" t="s">
        <v>9304</v>
      </c>
      <c r="N221" t="s">
        <v>9305</v>
      </c>
      <c r="O221" t="s">
        <v>9306</v>
      </c>
      <c r="P221" t="s">
        <v>10290</v>
      </c>
      <c r="Q221" t="s">
        <v>10291</v>
      </c>
      <c r="S221" t="s">
        <v>9309</v>
      </c>
      <c r="T221" s="28" t="s">
        <v>9786</v>
      </c>
      <c r="U221" s="27" t="s">
        <v>207</v>
      </c>
      <c r="V221" t="s">
        <v>194</v>
      </c>
      <c r="W221" t="s">
        <v>9300</v>
      </c>
      <c r="Z221" t="s">
        <v>9311</v>
      </c>
      <c r="AF221" t="s">
        <v>4714</v>
      </c>
      <c r="AG221" t="s">
        <v>10288</v>
      </c>
      <c r="AI221" t="s">
        <v>6955</v>
      </c>
      <c r="AJ221" s="424" t="str">
        <f t="shared" si="9"/>
        <v>122106</v>
      </c>
      <c r="AK221" s="28">
        <v>1</v>
      </c>
      <c r="AL221" s="28">
        <f t="shared" si="11"/>
        <v>1</v>
      </c>
      <c r="AM221" s="28" t="str">
        <f t="shared" si="10"/>
        <v>pracuj.pl</v>
      </c>
    </row>
    <row r="222" spans="1:39" x14ac:dyDescent="0.25">
      <c r="A222" t="s">
        <v>1537</v>
      </c>
      <c r="B222" t="s">
        <v>10292</v>
      </c>
      <c r="C222" t="s">
        <v>85</v>
      </c>
      <c r="D222" s="27" t="s">
        <v>9299</v>
      </c>
      <c r="E222" t="s">
        <v>192</v>
      </c>
      <c r="F222" s="421">
        <v>1</v>
      </c>
      <c r="G222" t="s">
        <v>193</v>
      </c>
      <c r="H222" t="s">
        <v>194</v>
      </c>
      <c r="I222" t="s">
        <v>9989</v>
      </c>
      <c r="J222" t="s">
        <v>301</v>
      </c>
      <c r="K222" t="s">
        <v>10293</v>
      </c>
      <c r="L222" t="s">
        <v>6245</v>
      </c>
      <c r="M222" t="s">
        <v>9304</v>
      </c>
      <c r="N222" t="s">
        <v>9305</v>
      </c>
      <c r="O222" t="s">
        <v>9306</v>
      </c>
      <c r="P222" t="s">
        <v>10294</v>
      </c>
      <c r="Q222" t="s">
        <v>10295</v>
      </c>
      <c r="S222" t="s">
        <v>9309</v>
      </c>
      <c r="T222" s="28" t="s">
        <v>9367</v>
      </c>
      <c r="U222" s="27" t="s">
        <v>477</v>
      </c>
      <c r="V222" t="s">
        <v>194</v>
      </c>
      <c r="W222" t="s">
        <v>9300</v>
      </c>
      <c r="Z222" t="s">
        <v>9311</v>
      </c>
      <c r="AF222" t="s">
        <v>4714</v>
      </c>
      <c r="AG222" t="s">
        <v>10292</v>
      </c>
      <c r="AI222" t="s">
        <v>6955</v>
      </c>
      <c r="AJ222" s="424" t="str">
        <f t="shared" si="9"/>
        <v>243305</v>
      </c>
      <c r="AK222" s="28">
        <v>1</v>
      </c>
      <c r="AL222" s="28">
        <f t="shared" si="11"/>
        <v>1</v>
      </c>
      <c r="AM222" s="28" t="str">
        <f t="shared" si="10"/>
        <v>pracuj.pl</v>
      </c>
    </row>
    <row r="223" spans="1:39" x14ac:dyDescent="0.25">
      <c r="A223" t="s">
        <v>1692</v>
      </c>
      <c r="B223" t="s">
        <v>10296</v>
      </c>
      <c r="C223" t="s">
        <v>17</v>
      </c>
      <c r="D223" s="27" t="s">
        <v>9299</v>
      </c>
      <c r="E223" t="s">
        <v>192</v>
      </c>
      <c r="F223" s="421">
        <v>1</v>
      </c>
      <c r="G223" t="s">
        <v>193</v>
      </c>
      <c r="H223" t="s">
        <v>194</v>
      </c>
      <c r="I223" t="s">
        <v>9989</v>
      </c>
      <c r="J223" t="s">
        <v>276</v>
      </c>
      <c r="K223" t="s">
        <v>10297</v>
      </c>
      <c r="L223" t="s">
        <v>7001</v>
      </c>
      <c r="M223" t="s">
        <v>9304</v>
      </c>
      <c r="N223" t="s">
        <v>9305</v>
      </c>
      <c r="O223" t="s">
        <v>9306</v>
      </c>
      <c r="P223" t="s">
        <v>10298</v>
      </c>
      <c r="Q223" t="s">
        <v>10299</v>
      </c>
      <c r="S223" t="s">
        <v>9309</v>
      </c>
      <c r="T223" s="28" t="s">
        <v>9786</v>
      </c>
      <c r="U223" s="27" t="s">
        <v>624</v>
      </c>
      <c r="V223" t="s">
        <v>194</v>
      </c>
      <c r="W223" t="s">
        <v>9300</v>
      </c>
      <c r="Z223" t="s">
        <v>9311</v>
      </c>
      <c r="AF223" t="s">
        <v>4714</v>
      </c>
      <c r="AG223" t="s">
        <v>10296</v>
      </c>
      <c r="AI223" t="s">
        <v>6955</v>
      </c>
      <c r="AJ223" s="424" t="str">
        <f t="shared" si="9"/>
        <v>332203</v>
      </c>
      <c r="AK223" s="28">
        <v>1</v>
      </c>
      <c r="AL223" s="28">
        <f t="shared" si="11"/>
        <v>1</v>
      </c>
      <c r="AM223" s="28" t="str">
        <f t="shared" si="10"/>
        <v>pracuj.pl</v>
      </c>
    </row>
    <row r="224" spans="1:39" x14ac:dyDescent="0.25">
      <c r="A224" t="s">
        <v>10300</v>
      </c>
      <c r="B224" t="s">
        <v>632</v>
      </c>
      <c r="C224" t="s">
        <v>17</v>
      </c>
      <c r="D224" s="27" t="s">
        <v>9299</v>
      </c>
      <c r="E224" t="s">
        <v>192</v>
      </c>
      <c r="F224" s="421">
        <v>1</v>
      </c>
      <c r="G224" t="s">
        <v>193</v>
      </c>
      <c r="H224" t="s">
        <v>194</v>
      </c>
      <c r="I224" t="s">
        <v>9461</v>
      </c>
      <c r="J224" t="s">
        <v>9302</v>
      </c>
      <c r="K224" t="s">
        <v>10301</v>
      </c>
      <c r="L224" t="s">
        <v>6921</v>
      </c>
      <c r="M224" t="s">
        <v>9457</v>
      </c>
      <c r="N224" t="s">
        <v>9305</v>
      </c>
      <c r="O224" t="s">
        <v>9306</v>
      </c>
      <c r="P224" t="s">
        <v>10302</v>
      </c>
      <c r="Q224" t="s">
        <v>10303</v>
      </c>
      <c r="S224" t="s">
        <v>9309</v>
      </c>
      <c r="U224" s="27" t="s">
        <v>624</v>
      </c>
      <c r="V224" t="s">
        <v>193</v>
      </c>
      <c r="W224" t="s">
        <v>9310</v>
      </c>
      <c r="Z224" t="s">
        <v>9311</v>
      </c>
      <c r="AF224" t="s">
        <v>4714</v>
      </c>
      <c r="AG224" t="s">
        <v>17</v>
      </c>
      <c r="AI224" t="s">
        <v>6955</v>
      </c>
      <c r="AJ224" s="424" t="str">
        <f t="shared" si="9"/>
        <v>332203</v>
      </c>
      <c r="AK224" s="28">
        <v>1</v>
      </c>
      <c r="AL224" s="28">
        <f t="shared" si="11"/>
        <v>1</v>
      </c>
      <c r="AM224" s="28" t="str">
        <f t="shared" si="10"/>
        <v>pracuj.pl</v>
      </c>
    </row>
    <row r="225" spans="1:39" x14ac:dyDescent="0.25">
      <c r="A225" t="s">
        <v>1544</v>
      </c>
      <c r="B225" t="s">
        <v>2491</v>
      </c>
      <c r="C225" t="s">
        <v>770</v>
      </c>
      <c r="D225" s="27" t="s">
        <v>9299</v>
      </c>
      <c r="E225" t="s">
        <v>192</v>
      </c>
      <c r="F225" s="421">
        <v>1</v>
      </c>
      <c r="G225" t="s">
        <v>193</v>
      </c>
      <c r="H225" t="s">
        <v>194</v>
      </c>
      <c r="I225" t="s">
        <v>9339</v>
      </c>
      <c r="J225" t="s">
        <v>309</v>
      </c>
      <c r="K225" t="s">
        <v>10304</v>
      </c>
      <c r="L225" t="s">
        <v>6245</v>
      </c>
      <c r="M225" t="s">
        <v>9304</v>
      </c>
      <c r="N225" t="s">
        <v>9305</v>
      </c>
      <c r="O225" t="s">
        <v>9306</v>
      </c>
      <c r="P225" t="s">
        <v>10305</v>
      </c>
      <c r="Q225" t="s">
        <v>10306</v>
      </c>
      <c r="S225" t="s">
        <v>9309</v>
      </c>
      <c r="T225" s="28" t="s">
        <v>9518</v>
      </c>
      <c r="U225" s="27" t="s">
        <v>772</v>
      </c>
      <c r="V225" t="s">
        <v>194</v>
      </c>
      <c r="W225" t="s">
        <v>9300</v>
      </c>
      <c r="Z225" t="s">
        <v>9311</v>
      </c>
      <c r="AF225" t="s">
        <v>4714</v>
      </c>
      <c r="AG225" t="s">
        <v>2491</v>
      </c>
      <c r="AI225" t="s">
        <v>6955</v>
      </c>
      <c r="AJ225" s="424" t="str">
        <f t="shared" si="9"/>
        <v>522305</v>
      </c>
      <c r="AK225" s="28">
        <v>1</v>
      </c>
      <c r="AL225" s="28">
        <f t="shared" si="11"/>
        <v>1</v>
      </c>
      <c r="AM225" s="28" t="str">
        <f t="shared" si="10"/>
        <v>pracuj.pl</v>
      </c>
    </row>
    <row r="226" spans="1:39" x14ac:dyDescent="0.25">
      <c r="A226" t="s">
        <v>10307</v>
      </c>
      <c r="B226" t="s">
        <v>10308</v>
      </c>
      <c r="C226" t="s">
        <v>36</v>
      </c>
      <c r="D226" s="27" t="s">
        <v>9299</v>
      </c>
      <c r="E226" t="s">
        <v>192</v>
      </c>
      <c r="F226" s="421">
        <v>1</v>
      </c>
      <c r="G226" t="s">
        <v>193</v>
      </c>
      <c r="H226" t="s">
        <v>194</v>
      </c>
      <c r="I226" t="s">
        <v>9989</v>
      </c>
      <c r="J226" t="s">
        <v>9302</v>
      </c>
      <c r="K226" t="s">
        <v>10309</v>
      </c>
      <c r="L226" t="s">
        <v>7531</v>
      </c>
      <c r="M226" t="s">
        <v>9304</v>
      </c>
      <c r="N226" t="s">
        <v>9305</v>
      </c>
      <c r="O226" t="s">
        <v>9306</v>
      </c>
      <c r="P226" t="s">
        <v>10310</v>
      </c>
      <c r="Q226" t="s">
        <v>10311</v>
      </c>
      <c r="S226" t="s">
        <v>9309</v>
      </c>
      <c r="U226" s="27" t="s">
        <v>609</v>
      </c>
      <c r="V226" t="s">
        <v>193</v>
      </c>
      <c r="W226" t="s">
        <v>9310</v>
      </c>
      <c r="Z226" t="s">
        <v>9311</v>
      </c>
      <c r="AF226" t="s">
        <v>4714</v>
      </c>
      <c r="AG226" t="s">
        <v>10308</v>
      </c>
      <c r="AI226" t="s">
        <v>6955</v>
      </c>
      <c r="AJ226" s="424" t="str">
        <f t="shared" si="9"/>
        <v>331301</v>
      </c>
      <c r="AK226" s="28">
        <v>1</v>
      </c>
      <c r="AL226" s="28">
        <f t="shared" si="11"/>
        <v>1</v>
      </c>
      <c r="AM226" s="28" t="str">
        <f t="shared" si="10"/>
        <v>pracuj.pl</v>
      </c>
    </row>
    <row r="227" spans="1:39" x14ac:dyDescent="0.25">
      <c r="A227" t="s">
        <v>9522</v>
      </c>
      <c r="B227" t="s">
        <v>9523</v>
      </c>
      <c r="C227" t="s">
        <v>10</v>
      </c>
      <c r="D227" s="27" t="s">
        <v>9299</v>
      </c>
      <c r="E227" t="s">
        <v>217</v>
      </c>
      <c r="F227" s="421">
        <v>1</v>
      </c>
      <c r="G227" t="s">
        <v>193</v>
      </c>
      <c r="H227" t="s">
        <v>194</v>
      </c>
      <c r="I227" t="s">
        <v>9491</v>
      </c>
      <c r="J227" t="s">
        <v>9524</v>
      </c>
      <c r="K227" t="s">
        <v>9525</v>
      </c>
      <c r="L227" t="s">
        <v>6261</v>
      </c>
      <c r="M227" t="s">
        <v>9428</v>
      </c>
      <c r="N227" t="s">
        <v>9526</v>
      </c>
      <c r="O227" t="s">
        <v>9461</v>
      </c>
      <c r="P227" t="s">
        <v>9527</v>
      </c>
      <c r="Q227" t="s">
        <v>9528</v>
      </c>
      <c r="S227" t="s">
        <v>9309</v>
      </c>
      <c r="U227" s="27" t="s">
        <v>484</v>
      </c>
      <c r="V227" t="s">
        <v>193</v>
      </c>
      <c r="W227" t="s">
        <v>9310</v>
      </c>
      <c r="Z227" t="s">
        <v>9311</v>
      </c>
      <c r="AF227" t="s">
        <v>4714</v>
      </c>
      <c r="AG227" t="s">
        <v>9433</v>
      </c>
      <c r="AI227" t="s">
        <v>6955</v>
      </c>
      <c r="AJ227" s="424" t="str">
        <f t="shared" si="9"/>
        <v>251401</v>
      </c>
      <c r="AK227" s="28">
        <v>1</v>
      </c>
      <c r="AL227" s="28">
        <f t="shared" si="11"/>
        <v>1</v>
      </c>
      <c r="AM227" s="28" t="str">
        <f t="shared" si="10"/>
        <v>agora</v>
      </c>
    </row>
    <row r="228" spans="1:39" x14ac:dyDescent="0.25">
      <c r="A228" t="s">
        <v>9522</v>
      </c>
      <c r="B228" t="s">
        <v>9545</v>
      </c>
      <c r="C228" t="s">
        <v>10</v>
      </c>
      <c r="D228" s="27" t="s">
        <v>9299</v>
      </c>
      <c r="E228" t="s">
        <v>217</v>
      </c>
      <c r="F228" s="421">
        <v>1</v>
      </c>
      <c r="G228" t="s">
        <v>193</v>
      </c>
      <c r="H228" t="s">
        <v>194</v>
      </c>
      <c r="I228" t="s">
        <v>9491</v>
      </c>
      <c r="J228" t="s">
        <v>210</v>
      </c>
      <c r="K228" t="s">
        <v>9546</v>
      </c>
      <c r="L228" t="s">
        <v>6261</v>
      </c>
      <c r="M228" t="s">
        <v>9436</v>
      </c>
      <c r="N228" t="s">
        <v>9342</v>
      </c>
      <c r="O228" t="s">
        <v>9461</v>
      </c>
      <c r="P228" t="s">
        <v>9547</v>
      </c>
      <c r="Q228" t="s">
        <v>9548</v>
      </c>
      <c r="S228" t="s">
        <v>9309</v>
      </c>
      <c r="T228" s="28" t="s">
        <v>9334</v>
      </c>
      <c r="U228" s="27" t="s">
        <v>484</v>
      </c>
      <c r="V228" t="s">
        <v>194</v>
      </c>
      <c r="W228" t="s">
        <v>9300</v>
      </c>
      <c r="Z228" t="s">
        <v>9311</v>
      </c>
      <c r="AF228" t="s">
        <v>4714</v>
      </c>
      <c r="AG228" t="s">
        <v>9433</v>
      </c>
      <c r="AI228" t="s">
        <v>6955</v>
      </c>
      <c r="AJ228" s="424" t="str">
        <f t="shared" si="9"/>
        <v>251401</v>
      </c>
      <c r="AK228" s="28">
        <v>1</v>
      </c>
      <c r="AL228" s="28">
        <f t="shared" si="11"/>
        <v>1</v>
      </c>
      <c r="AM228" s="28" t="str">
        <f t="shared" si="10"/>
        <v>agora</v>
      </c>
    </row>
    <row r="229" spans="1:39" x14ac:dyDescent="0.25">
      <c r="A229" t="s">
        <v>493</v>
      </c>
      <c r="B229" t="s">
        <v>10320</v>
      </c>
      <c r="C229" t="s">
        <v>19</v>
      </c>
      <c r="D229" s="27" t="s">
        <v>9299</v>
      </c>
      <c r="E229" t="s">
        <v>192</v>
      </c>
      <c r="F229" s="421">
        <v>1</v>
      </c>
      <c r="G229" t="s">
        <v>193</v>
      </c>
      <c r="H229" t="s">
        <v>194</v>
      </c>
      <c r="I229" t="s">
        <v>9491</v>
      </c>
      <c r="J229" t="s">
        <v>210</v>
      </c>
      <c r="K229" t="s">
        <v>10321</v>
      </c>
      <c r="L229" t="s">
        <v>6261</v>
      </c>
      <c r="M229" t="s">
        <v>9304</v>
      </c>
      <c r="N229" t="s">
        <v>9305</v>
      </c>
      <c r="O229" t="s">
        <v>9306</v>
      </c>
      <c r="P229" t="s">
        <v>10322</v>
      </c>
      <c r="Q229" t="s">
        <v>10323</v>
      </c>
      <c r="S229" t="s">
        <v>9309</v>
      </c>
      <c r="T229" s="28" t="s">
        <v>9334</v>
      </c>
      <c r="U229" s="27" t="s">
        <v>337</v>
      </c>
      <c r="V229" t="s">
        <v>194</v>
      </c>
      <c r="W229" t="s">
        <v>9300</v>
      </c>
      <c r="Z229" t="s">
        <v>9311</v>
      </c>
      <c r="AF229" t="s">
        <v>4714</v>
      </c>
      <c r="AG229" t="s">
        <v>10320</v>
      </c>
      <c r="AI229" t="s">
        <v>6955</v>
      </c>
      <c r="AJ229" s="424" t="str">
        <f t="shared" si="9"/>
        <v>214903</v>
      </c>
      <c r="AK229" s="28">
        <v>1</v>
      </c>
      <c r="AL229" s="28">
        <f t="shared" si="11"/>
        <v>1</v>
      </c>
      <c r="AM229" s="28" t="str">
        <f t="shared" si="10"/>
        <v>pracuj.pl</v>
      </c>
    </row>
    <row r="230" spans="1:39" x14ac:dyDescent="0.25">
      <c r="A230" t="s">
        <v>9522</v>
      </c>
      <c r="B230" t="s">
        <v>9545</v>
      </c>
      <c r="C230" t="s">
        <v>10</v>
      </c>
      <c r="D230" s="27" t="s">
        <v>9299</v>
      </c>
      <c r="E230" t="s">
        <v>217</v>
      </c>
      <c r="F230" s="421">
        <v>1</v>
      </c>
      <c r="G230" t="s">
        <v>193</v>
      </c>
      <c r="H230" t="s">
        <v>194</v>
      </c>
      <c r="I230" t="s">
        <v>9491</v>
      </c>
      <c r="J230" t="s">
        <v>210</v>
      </c>
      <c r="K230" t="s">
        <v>9549</v>
      </c>
      <c r="L230" t="s">
        <v>6921</v>
      </c>
      <c r="M230" t="s">
        <v>9428</v>
      </c>
      <c r="N230" t="s">
        <v>9305</v>
      </c>
      <c r="O230" t="s">
        <v>9531</v>
      </c>
      <c r="P230" t="s">
        <v>9550</v>
      </c>
      <c r="Q230" t="s">
        <v>9551</v>
      </c>
      <c r="S230" t="s">
        <v>9309</v>
      </c>
      <c r="T230" s="28" t="s">
        <v>9334</v>
      </c>
      <c r="U230" s="27" t="s">
        <v>484</v>
      </c>
      <c r="V230" t="s">
        <v>194</v>
      </c>
      <c r="W230" t="s">
        <v>9300</v>
      </c>
      <c r="Z230" t="s">
        <v>9311</v>
      </c>
      <c r="AF230" t="s">
        <v>4714</v>
      </c>
      <c r="AG230" t="s">
        <v>9433</v>
      </c>
      <c r="AI230" t="s">
        <v>6955</v>
      </c>
      <c r="AJ230" s="424" t="str">
        <f t="shared" si="9"/>
        <v>251401</v>
      </c>
      <c r="AK230" s="28">
        <v>1</v>
      </c>
      <c r="AL230" s="28">
        <f t="shared" si="11"/>
        <v>1</v>
      </c>
      <c r="AM230" s="28" t="str">
        <f t="shared" si="10"/>
        <v>agora</v>
      </c>
    </row>
    <row r="231" spans="1:39" x14ac:dyDescent="0.25">
      <c r="A231" t="s">
        <v>493</v>
      </c>
      <c r="B231" t="s">
        <v>10328</v>
      </c>
      <c r="C231" t="s">
        <v>19</v>
      </c>
      <c r="D231" s="27" t="s">
        <v>9299</v>
      </c>
      <c r="E231" t="s">
        <v>192</v>
      </c>
      <c r="F231" s="421">
        <v>1</v>
      </c>
      <c r="G231" t="s">
        <v>193</v>
      </c>
      <c r="H231" t="s">
        <v>194</v>
      </c>
      <c r="I231" t="s">
        <v>9989</v>
      </c>
      <c r="J231" t="s">
        <v>2285</v>
      </c>
      <c r="K231" t="s">
        <v>10329</v>
      </c>
      <c r="L231" t="s">
        <v>6261</v>
      </c>
      <c r="M231" t="s">
        <v>9304</v>
      </c>
      <c r="N231" t="s">
        <v>9305</v>
      </c>
      <c r="O231" t="s">
        <v>9306</v>
      </c>
      <c r="P231" t="s">
        <v>10330</v>
      </c>
      <c r="Q231" t="s">
        <v>10331</v>
      </c>
      <c r="S231" t="s">
        <v>9309</v>
      </c>
      <c r="U231" s="27" t="s">
        <v>337</v>
      </c>
      <c r="V231" t="s">
        <v>193</v>
      </c>
      <c r="W231" t="s">
        <v>9310</v>
      </c>
      <c r="Z231" t="s">
        <v>9311</v>
      </c>
      <c r="AF231" t="s">
        <v>4714</v>
      </c>
      <c r="AG231" t="s">
        <v>10328</v>
      </c>
      <c r="AI231" t="s">
        <v>6955</v>
      </c>
      <c r="AJ231" s="424" t="str">
        <f t="shared" si="9"/>
        <v>214903</v>
      </c>
      <c r="AK231" s="28">
        <v>1</v>
      </c>
      <c r="AL231" s="28">
        <f t="shared" si="11"/>
        <v>1</v>
      </c>
      <c r="AM231" s="28" t="str">
        <f t="shared" si="10"/>
        <v>pracuj.pl</v>
      </c>
    </row>
    <row r="232" spans="1:39" x14ac:dyDescent="0.25">
      <c r="A232" t="s">
        <v>493</v>
      </c>
      <c r="B232" t="s">
        <v>10332</v>
      </c>
      <c r="C232" t="s">
        <v>54</v>
      </c>
      <c r="D232" s="27" t="s">
        <v>9299</v>
      </c>
      <c r="E232" t="s">
        <v>192</v>
      </c>
      <c r="F232" s="421">
        <v>1</v>
      </c>
      <c r="G232" t="s">
        <v>193</v>
      </c>
      <c r="H232" t="s">
        <v>194</v>
      </c>
      <c r="I232" t="s">
        <v>9989</v>
      </c>
      <c r="J232" t="s">
        <v>210</v>
      </c>
      <c r="K232" t="s">
        <v>10333</v>
      </c>
      <c r="L232" t="s">
        <v>6245</v>
      </c>
      <c r="M232" t="s">
        <v>9304</v>
      </c>
      <c r="N232" t="s">
        <v>9305</v>
      </c>
      <c r="O232" t="s">
        <v>9306</v>
      </c>
      <c r="P232" t="s">
        <v>10334</v>
      </c>
      <c r="Q232" t="s">
        <v>10335</v>
      </c>
      <c r="S232" t="s">
        <v>9309</v>
      </c>
      <c r="T232" s="28" t="s">
        <v>9334</v>
      </c>
      <c r="U232" s="27" t="s">
        <v>1982</v>
      </c>
      <c r="V232" t="s">
        <v>194</v>
      </c>
      <c r="W232" t="s">
        <v>9300</v>
      </c>
      <c r="Z232" t="s">
        <v>9311</v>
      </c>
      <c r="AF232" t="s">
        <v>4714</v>
      </c>
      <c r="AG232" t="s">
        <v>10332</v>
      </c>
      <c r="AI232" t="s">
        <v>6955</v>
      </c>
      <c r="AJ232" s="424" t="str">
        <f t="shared" si="9"/>
        <v>214103</v>
      </c>
      <c r="AK232" s="28">
        <v>1</v>
      </c>
      <c r="AL232" s="28">
        <f t="shared" si="11"/>
        <v>1</v>
      </c>
      <c r="AM232" s="28" t="str">
        <f t="shared" si="10"/>
        <v>pracuj.pl</v>
      </c>
    </row>
    <row r="233" spans="1:39" x14ac:dyDescent="0.25">
      <c r="A233" t="s">
        <v>9522</v>
      </c>
      <c r="B233" t="s">
        <v>9545</v>
      </c>
      <c r="C233" t="s">
        <v>10</v>
      </c>
      <c r="D233" s="27" t="s">
        <v>9299</v>
      </c>
      <c r="E233" t="s">
        <v>217</v>
      </c>
      <c r="F233" s="421">
        <v>1</v>
      </c>
      <c r="G233" t="s">
        <v>193</v>
      </c>
      <c r="H233" t="s">
        <v>194</v>
      </c>
      <c r="I233" t="s">
        <v>9491</v>
      </c>
      <c r="J233" t="s">
        <v>210</v>
      </c>
      <c r="K233" t="s">
        <v>9552</v>
      </c>
      <c r="L233" t="s">
        <v>6921</v>
      </c>
      <c r="M233" t="s">
        <v>9428</v>
      </c>
      <c r="N233" t="s">
        <v>9553</v>
      </c>
      <c r="O233" t="s">
        <v>9537</v>
      </c>
      <c r="P233" t="s">
        <v>9554</v>
      </c>
      <c r="Q233" t="s">
        <v>9555</v>
      </c>
      <c r="S233" t="s">
        <v>9309</v>
      </c>
      <c r="T233" s="28" t="s">
        <v>9334</v>
      </c>
      <c r="U233" s="27" t="s">
        <v>484</v>
      </c>
      <c r="V233" t="s">
        <v>194</v>
      </c>
      <c r="W233" t="s">
        <v>9300</v>
      </c>
      <c r="Z233" t="s">
        <v>9311</v>
      </c>
      <c r="AF233" t="s">
        <v>4714</v>
      </c>
      <c r="AG233" t="s">
        <v>9433</v>
      </c>
      <c r="AI233" t="s">
        <v>6955</v>
      </c>
      <c r="AJ233" s="424" t="str">
        <f t="shared" si="9"/>
        <v>251401</v>
      </c>
      <c r="AK233" s="28">
        <v>1</v>
      </c>
      <c r="AL233" s="28">
        <f t="shared" si="11"/>
        <v>1</v>
      </c>
      <c r="AM233" s="28" t="str">
        <f t="shared" si="10"/>
        <v>agora</v>
      </c>
    </row>
    <row r="234" spans="1:39" x14ac:dyDescent="0.25">
      <c r="A234" t="s">
        <v>493</v>
      </c>
      <c r="B234" t="s">
        <v>2852</v>
      </c>
      <c r="C234" t="s">
        <v>19</v>
      </c>
      <c r="D234" s="27" t="s">
        <v>9299</v>
      </c>
      <c r="E234" t="s">
        <v>192</v>
      </c>
      <c r="F234" s="421">
        <v>1</v>
      </c>
      <c r="G234" t="s">
        <v>193</v>
      </c>
      <c r="H234" t="s">
        <v>194</v>
      </c>
      <c r="I234" t="s">
        <v>9989</v>
      </c>
      <c r="J234" t="s">
        <v>210</v>
      </c>
      <c r="K234" t="s">
        <v>10339</v>
      </c>
      <c r="L234" t="s">
        <v>6261</v>
      </c>
      <c r="M234" t="s">
        <v>9304</v>
      </c>
      <c r="N234" t="s">
        <v>9305</v>
      </c>
      <c r="O234" t="s">
        <v>9306</v>
      </c>
      <c r="P234" t="s">
        <v>10340</v>
      </c>
      <c r="Q234" t="s">
        <v>10341</v>
      </c>
      <c r="S234" t="s">
        <v>9309</v>
      </c>
      <c r="T234" s="28" t="s">
        <v>9334</v>
      </c>
      <c r="U234" s="27" t="s">
        <v>337</v>
      </c>
      <c r="V234" t="s">
        <v>194</v>
      </c>
      <c r="W234" t="s">
        <v>9300</v>
      </c>
      <c r="Z234" t="s">
        <v>9311</v>
      </c>
      <c r="AF234" t="s">
        <v>4714</v>
      </c>
      <c r="AG234" t="s">
        <v>2852</v>
      </c>
      <c r="AI234" t="s">
        <v>6955</v>
      </c>
      <c r="AJ234" s="424" t="str">
        <f t="shared" si="9"/>
        <v>214903</v>
      </c>
      <c r="AK234" s="28">
        <v>1</v>
      </c>
      <c r="AL234" s="28">
        <f t="shared" si="11"/>
        <v>1</v>
      </c>
      <c r="AM234" s="28" t="str">
        <f t="shared" si="10"/>
        <v>pracuj.pl</v>
      </c>
    </row>
    <row r="235" spans="1:39" x14ac:dyDescent="0.25">
      <c r="A235" t="s">
        <v>493</v>
      </c>
      <c r="B235" t="s">
        <v>10342</v>
      </c>
      <c r="C235" t="s">
        <v>69</v>
      </c>
      <c r="D235" s="27" t="s">
        <v>9299</v>
      </c>
      <c r="E235" t="s">
        <v>192</v>
      </c>
      <c r="F235" s="421">
        <v>1</v>
      </c>
      <c r="G235" t="s">
        <v>193</v>
      </c>
      <c r="H235" t="s">
        <v>194</v>
      </c>
      <c r="I235" t="s">
        <v>9737</v>
      </c>
      <c r="J235" t="s">
        <v>210</v>
      </c>
      <c r="K235" t="s">
        <v>10343</v>
      </c>
      <c r="L235" t="s">
        <v>6921</v>
      </c>
      <c r="M235" t="s">
        <v>9304</v>
      </c>
      <c r="N235" t="s">
        <v>9305</v>
      </c>
      <c r="O235" t="s">
        <v>9306</v>
      </c>
      <c r="P235" t="s">
        <v>10344</v>
      </c>
      <c r="Q235" t="s">
        <v>10345</v>
      </c>
      <c r="S235" t="s">
        <v>9309</v>
      </c>
      <c r="T235" s="28" t="s">
        <v>9334</v>
      </c>
      <c r="U235" s="27" t="s">
        <v>375</v>
      </c>
      <c r="V235" t="s">
        <v>194</v>
      </c>
      <c r="W235" t="s">
        <v>9300</v>
      </c>
      <c r="Z235" t="s">
        <v>9311</v>
      </c>
      <c r="AF235" t="s">
        <v>4714</v>
      </c>
      <c r="AG235" t="s">
        <v>10342</v>
      </c>
      <c r="AI235" t="s">
        <v>6955</v>
      </c>
      <c r="AJ235" s="424" t="str">
        <f t="shared" si="9"/>
        <v>215301</v>
      </c>
      <c r="AK235" s="28">
        <v>1</v>
      </c>
      <c r="AL235" s="28">
        <f t="shared" si="11"/>
        <v>1</v>
      </c>
      <c r="AM235" s="28" t="str">
        <f t="shared" si="10"/>
        <v>pracuj.pl</v>
      </c>
    </row>
    <row r="236" spans="1:39" x14ac:dyDescent="0.25">
      <c r="A236" t="s">
        <v>9522</v>
      </c>
      <c r="B236" t="s">
        <v>9545</v>
      </c>
      <c r="C236" t="s">
        <v>10</v>
      </c>
      <c r="D236" s="27" t="s">
        <v>9299</v>
      </c>
      <c r="E236" t="s">
        <v>217</v>
      </c>
      <c r="F236" s="421">
        <v>1</v>
      </c>
      <c r="G236" t="s">
        <v>193</v>
      </c>
      <c r="H236" t="s">
        <v>194</v>
      </c>
      <c r="I236" t="s">
        <v>9491</v>
      </c>
      <c r="J236" t="s">
        <v>210</v>
      </c>
      <c r="K236" t="s">
        <v>9556</v>
      </c>
      <c r="L236" t="s">
        <v>6921</v>
      </c>
      <c r="M236" t="s">
        <v>9428</v>
      </c>
      <c r="N236" t="s">
        <v>9553</v>
      </c>
      <c r="O236" t="s">
        <v>9557</v>
      </c>
      <c r="P236" t="s">
        <v>9558</v>
      </c>
      <c r="Q236" t="s">
        <v>9559</v>
      </c>
      <c r="S236" t="s">
        <v>9309</v>
      </c>
      <c r="T236" s="28" t="s">
        <v>9334</v>
      </c>
      <c r="U236" s="27" t="s">
        <v>484</v>
      </c>
      <c r="V236" t="s">
        <v>194</v>
      </c>
      <c r="W236" t="s">
        <v>9300</v>
      </c>
      <c r="Z236" t="s">
        <v>9311</v>
      </c>
      <c r="AF236" t="s">
        <v>4714</v>
      </c>
      <c r="AG236" t="s">
        <v>9433</v>
      </c>
      <c r="AI236" t="s">
        <v>6955</v>
      </c>
      <c r="AJ236" s="424" t="str">
        <f t="shared" si="9"/>
        <v>251401</v>
      </c>
      <c r="AK236" s="28">
        <v>1</v>
      </c>
      <c r="AL236" s="28">
        <f t="shared" si="11"/>
        <v>1</v>
      </c>
      <c r="AM236" s="28" t="str">
        <f t="shared" si="10"/>
        <v>agora</v>
      </c>
    </row>
    <row r="237" spans="1:39" x14ac:dyDescent="0.25">
      <c r="A237" t="s">
        <v>8026</v>
      </c>
      <c r="B237" t="s">
        <v>869</v>
      </c>
      <c r="C237" t="s">
        <v>6617</v>
      </c>
      <c r="D237" s="27" t="s">
        <v>9299</v>
      </c>
      <c r="E237" t="s">
        <v>233</v>
      </c>
      <c r="F237" s="421">
        <v>1</v>
      </c>
      <c r="G237" t="s">
        <v>193</v>
      </c>
      <c r="H237" t="s">
        <v>194</v>
      </c>
      <c r="I237" t="s">
        <v>9491</v>
      </c>
      <c r="J237" t="s">
        <v>253</v>
      </c>
      <c r="K237" t="s">
        <v>10350</v>
      </c>
      <c r="L237" t="s">
        <v>6266</v>
      </c>
      <c r="M237" t="s">
        <v>9341</v>
      </c>
      <c r="N237" t="s">
        <v>9342</v>
      </c>
      <c r="O237" t="s">
        <v>9343</v>
      </c>
      <c r="P237" t="s">
        <v>10351</v>
      </c>
      <c r="Q237" t="s">
        <v>10352</v>
      </c>
      <c r="S237" t="s">
        <v>9309</v>
      </c>
      <c r="T237" s="28" t="s">
        <v>9468</v>
      </c>
      <c r="U237" s="27" t="s">
        <v>990</v>
      </c>
      <c r="V237" t="s">
        <v>194</v>
      </c>
      <c r="W237" t="s">
        <v>9300</v>
      </c>
      <c r="Z237" t="s">
        <v>9311</v>
      </c>
      <c r="AF237" t="s">
        <v>4714</v>
      </c>
      <c r="AG237" t="s">
        <v>869</v>
      </c>
      <c r="AI237" t="s">
        <v>6955</v>
      </c>
      <c r="AJ237" s="424" t="str">
        <f t="shared" si="9"/>
        <v>833202</v>
      </c>
      <c r="AK237" s="28">
        <v>1</v>
      </c>
      <c r="AL237" s="28">
        <f t="shared" si="11"/>
        <v>1</v>
      </c>
      <c r="AM237" s="28" t="str">
        <f t="shared" si="10"/>
        <v>praca</v>
      </c>
    </row>
    <row r="238" spans="1:39" x14ac:dyDescent="0.25">
      <c r="A238" t="s">
        <v>8026</v>
      </c>
      <c r="B238" t="s">
        <v>10353</v>
      </c>
      <c r="C238" t="s">
        <v>6617</v>
      </c>
      <c r="D238" s="27" t="s">
        <v>9299</v>
      </c>
      <c r="E238" t="s">
        <v>233</v>
      </c>
      <c r="F238" s="421">
        <v>1</v>
      </c>
      <c r="G238" t="s">
        <v>193</v>
      </c>
      <c r="H238" t="s">
        <v>194</v>
      </c>
      <c r="I238" t="s">
        <v>9343</v>
      </c>
      <c r="J238" t="s">
        <v>253</v>
      </c>
      <c r="K238" t="s">
        <v>10354</v>
      </c>
      <c r="L238" t="s">
        <v>6266</v>
      </c>
      <c r="M238" t="s">
        <v>9341</v>
      </c>
      <c r="N238" t="s">
        <v>9342</v>
      </c>
      <c r="O238" t="s">
        <v>9343</v>
      </c>
      <c r="P238" t="s">
        <v>10355</v>
      </c>
      <c r="Q238" t="s">
        <v>10356</v>
      </c>
      <c r="S238" t="s">
        <v>9309</v>
      </c>
      <c r="T238" s="28" t="s">
        <v>9468</v>
      </c>
      <c r="U238" s="27" t="s">
        <v>990</v>
      </c>
      <c r="V238" t="s">
        <v>194</v>
      </c>
      <c r="W238" t="s">
        <v>9300</v>
      </c>
      <c r="Z238" t="s">
        <v>9311</v>
      </c>
      <c r="AF238" t="s">
        <v>4714</v>
      </c>
      <c r="AG238" t="s">
        <v>10353</v>
      </c>
      <c r="AI238" t="s">
        <v>6955</v>
      </c>
      <c r="AJ238" s="424" t="str">
        <f t="shared" si="9"/>
        <v>833202</v>
      </c>
      <c r="AK238" s="28">
        <v>1</v>
      </c>
      <c r="AL238" s="28">
        <f t="shared" si="11"/>
        <v>1</v>
      </c>
      <c r="AM238" s="28" t="str">
        <f t="shared" si="10"/>
        <v>praca</v>
      </c>
    </row>
    <row r="239" spans="1:39" x14ac:dyDescent="0.25">
      <c r="A239" t="s">
        <v>10357</v>
      </c>
      <c r="B239" t="s">
        <v>10358</v>
      </c>
      <c r="C239" t="s">
        <v>10359</v>
      </c>
      <c r="D239" s="27" t="s">
        <v>9299</v>
      </c>
      <c r="E239" t="s">
        <v>233</v>
      </c>
      <c r="F239" s="421">
        <v>1</v>
      </c>
      <c r="G239" t="s">
        <v>193</v>
      </c>
      <c r="H239" t="s">
        <v>194</v>
      </c>
      <c r="I239" t="s">
        <v>9737</v>
      </c>
      <c r="J239" t="s">
        <v>210</v>
      </c>
      <c r="K239" t="s">
        <v>10360</v>
      </c>
      <c r="L239" t="s">
        <v>6269</v>
      </c>
      <c r="M239" t="s">
        <v>9341</v>
      </c>
      <c r="N239" t="s">
        <v>9342</v>
      </c>
      <c r="O239" t="s">
        <v>9343</v>
      </c>
      <c r="P239" t="s">
        <v>10361</v>
      </c>
      <c r="Q239" t="s">
        <v>10362</v>
      </c>
      <c r="S239" t="s">
        <v>9309</v>
      </c>
      <c r="T239" s="28" t="s">
        <v>9334</v>
      </c>
      <c r="U239" s="27" t="s">
        <v>10363</v>
      </c>
      <c r="V239" t="s">
        <v>194</v>
      </c>
      <c r="W239" t="s">
        <v>9300</v>
      </c>
      <c r="Z239" t="s">
        <v>9311</v>
      </c>
      <c r="AF239" t="s">
        <v>4714</v>
      </c>
      <c r="AG239" t="s">
        <v>10358</v>
      </c>
      <c r="AI239" t="s">
        <v>6955</v>
      </c>
      <c r="AJ239" s="424" t="str">
        <f t="shared" si="9"/>
        <v>311501</v>
      </c>
      <c r="AK239" s="28">
        <v>1</v>
      </c>
      <c r="AL239" s="28">
        <f t="shared" si="11"/>
        <v>1</v>
      </c>
      <c r="AM239" s="28" t="str">
        <f t="shared" si="10"/>
        <v>praca</v>
      </c>
    </row>
    <row r="240" spans="1:39" x14ac:dyDescent="0.25">
      <c r="A240" t="s">
        <v>10357</v>
      </c>
      <c r="B240" t="s">
        <v>10364</v>
      </c>
      <c r="C240" t="s">
        <v>166</v>
      </c>
      <c r="D240" s="27" t="s">
        <v>9299</v>
      </c>
      <c r="E240" t="s">
        <v>233</v>
      </c>
      <c r="F240" s="421">
        <v>1</v>
      </c>
      <c r="G240" t="s">
        <v>193</v>
      </c>
      <c r="H240" t="s">
        <v>194</v>
      </c>
      <c r="I240" t="s">
        <v>9737</v>
      </c>
      <c r="J240" t="s">
        <v>210</v>
      </c>
      <c r="K240" t="s">
        <v>10365</v>
      </c>
      <c r="L240" t="s">
        <v>6269</v>
      </c>
      <c r="M240" t="s">
        <v>9341</v>
      </c>
      <c r="N240" t="s">
        <v>9342</v>
      </c>
      <c r="O240" t="s">
        <v>9343</v>
      </c>
      <c r="P240" t="s">
        <v>10366</v>
      </c>
      <c r="Q240" t="s">
        <v>10367</v>
      </c>
      <c r="S240" t="s">
        <v>9309</v>
      </c>
      <c r="T240" s="28" t="s">
        <v>9334</v>
      </c>
      <c r="U240" s="27" t="s">
        <v>580</v>
      </c>
      <c r="V240" t="s">
        <v>194</v>
      </c>
      <c r="W240" t="s">
        <v>9300</v>
      </c>
      <c r="Z240" t="s">
        <v>9311</v>
      </c>
      <c r="AF240" t="s">
        <v>4714</v>
      </c>
      <c r="AG240" t="s">
        <v>10364</v>
      </c>
      <c r="AI240" t="s">
        <v>6955</v>
      </c>
      <c r="AJ240" s="424" t="str">
        <f t="shared" si="9"/>
        <v>311513</v>
      </c>
      <c r="AK240" s="28">
        <v>1</v>
      </c>
      <c r="AL240" s="28">
        <f t="shared" si="11"/>
        <v>1</v>
      </c>
      <c r="AM240" s="28" t="str">
        <f t="shared" si="10"/>
        <v>praca</v>
      </c>
    </row>
    <row r="241" spans="1:39" x14ac:dyDescent="0.25">
      <c r="A241" t="s">
        <v>10357</v>
      </c>
      <c r="B241" t="s">
        <v>10368</v>
      </c>
      <c r="C241" t="s">
        <v>10369</v>
      </c>
      <c r="D241" s="27" t="s">
        <v>9299</v>
      </c>
      <c r="E241" t="s">
        <v>233</v>
      </c>
      <c r="F241" s="421">
        <v>1</v>
      </c>
      <c r="G241" t="s">
        <v>193</v>
      </c>
      <c r="H241" t="s">
        <v>194</v>
      </c>
      <c r="I241" t="s">
        <v>9737</v>
      </c>
      <c r="J241" t="s">
        <v>210</v>
      </c>
      <c r="K241" t="s">
        <v>10370</v>
      </c>
      <c r="L241" t="s">
        <v>6269</v>
      </c>
      <c r="M241" t="s">
        <v>9341</v>
      </c>
      <c r="N241" t="s">
        <v>9342</v>
      </c>
      <c r="O241" t="s">
        <v>9343</v>
      </c>
      <c r="P241" t="s">
        <v>10371</v>
      </c>
      <c r="Q241" t="s">
        <v>10372</v>
      </c>
      <c r="S241" t="s">
        <v>9309</v>
      </c>
      <c r="T241" s="28" t="s">
        <v>9334</v>
      </c>
      <c r="U241" s="27" t="s">
        <v>10373</v>
      </c>
      <c r="V241" t="s">
        <v>194</v>
      </c>
      <c r="W241" t="s">
        <v>9300</v>
      </c>
      <c r="Z241" t="s">
        <v>9311</v>
      </c>
      <c r="AF241" t="s">
        <v>4714</v>
      </c>
      <c r="AG241" t="s">
        <v>10368</v>
      </c>
      <c r="AI241" t="s">
        <v>6955</v>
      </c>
      <c r="AJ241" s="424" t="str">
        <f t="shared" si="9"/>
        <v>912202</v>
      </c>
      <c r="AK241" s="28">
        <v>1</v>
      </c>
      <c r="AL241" s="28">
        <f t="shared" si="11"/>
        <v>1</v>
      </c>
      <c r="AM241" s="28" t="str">
        <f t="shared" si="10"/>
        <v>praca</v>
      </c>
    </row>
    <row r="242" spans="1:39" x14ac:dyDescent="0.25">
      <c r="A242" t="s">
        <v>5975</v>
      </c>
      <c r="B242" t="s">
        <v>10374</v>
      </c>
      <c r="C242" t="s">
        <v>35</v>
      </c>
      <c r="D242" s="27" t="s">
        <v>9299</v>
      </c>
      <c r="E242" t="s">
        <v>233</v>
      </c>
      <c r="F242" s="421">
        <v>2</v>
      </c>
      <c r="G242" t="s">
        <v>193</v>
      </c>
      <c r="H242" t="s">
        <v>194</v>
      </c>
      <c r="I242" t="s">
        <v>9737</v>
      </c>
      <c r="J242" t="s">
        <v>9302</v>
      </c>
      <c r="K242" t="s">
        <v>10375</v>
      </c>
      <c r="L242" t="s">
        <v>6277</v>
      </c>
      <c r="M242" t="s">
        <v>9341</v>
      </c>
      <c r="N242" t="s">
        <v>9342</v>
      </c>
      <c r="O242" t="s">
        <v>9343</v>
      </c>
      <c r="P242" t="s">
        <v>10376</v>
      </c>
      <c r="Q242" t="s">
        <v>10377</v>
      </c>
      <c r="S242" t="s">
        <v>9309</v>
      </c>
      <c r="U242" s="27" t="s">
        <v>207</v>
      </c>
      <c r="V242" t="s">
        <v>193</v>
      </c>
      <c r="W242" t="s">
        <v>9310</v>
      </c>
      <c r="Z242" t="s">
        <v>9311</v>
      </c>
      <c r="AF242" t="s">
        <v>4714</v>
      </c>
      <c r="AG242" t="s">
        <v>10374</v>
      </c>
      <c r="AI242" t="s">
        <v>6955</v>
      </c>
      <c r="AJ242" s="424" t="str">
        <f t="shared" si="9"/>
        <v>122106</v>
      </c>
      <c r="AK242" s="28">
        <v>1</v>
      </c>
      <c r="AL242" s="28">
        <f t="shared" si="11"/>
        <v>2</v>
      </c>
      <c r="AM242" s="28" t="str">
        <f t="shared" si="10"/>
        <v>praca</v>
      </c>
    </row>
    <row r="243" spans="1:39" x14ac:dyDescent="0.25">
      <c r="A243" t="s">
        <v>10378</v>
      </c>
      <c r="B243" t="s">
        <v>10379</v>
      </c>
      <c r="C243" t="s">
        <v>35</v>
      </c>
      <c r="D243" s="27" t="s">
        <v>9299</v>
      </c>
      <c r="E243" t="s">
        <v>192</v>
      </c>
      <c r="F243" s="421">
        <v>1</v>
      </c>
      <c r="G243" t="s">
        <v>193</v>
      </c>
      <c r="H243" t="s">
        <v>194</v>
      </c>
      <c r="I243" t="s">
        <v>9356</v>
      </c>
      <c r="J243" t="s">
        <v>9302</v>
      </c>
      <c r="K243" t="s">
        <v>10380</v>
      </c>
      <c r="L243" t="s">
        <v>7001</v>
      </c>
      <c r="M243" t="s">
        <v>9304</v>
      </c>
      <c r="N243" t="s">
        <v>9305</v>
      </c>
      <c r="O243" t="s">
        <v>9306</v>
      </c>
      <c r="P243" t="s">
        <v>10381</v>
      </c>
      <c r="Q243" t="s">
        <v>10382</v>
      </c>
      <c r="S243" t="s">
        <v>9309</v>
      </c>
      <c r="U243" s="27" t="s">
        <v>207</v>
      </c>
      <c r="V243" t="s">
        <v>193</v>
      </c>
      <c r="W243" t="s">
        <v>9310</v>
      </c>
      <c r="Z243" t="s">
        <v>9311</v>
      </c>
      <c r="AF243" t="s">
        <v>4714</v>
      </c>
      <c r="AG243" t="s">
        <v>10379</v>
      </c>
      <c r="AI243" t="s">
        <v>6955</v>
      </c>
      <c r="AJ243" s="424" t="str">
        <f t="shared" si="9"/>
        <v>122106</v>
      </c>
      <c r="AK243" s="28">
        <v>1</v>
      </c>
      <c r="AL243" s="28">
        <f t="shared" si="11"/>
        <v>1</v>
      </c>
      <c r="AM243" s="28" t="str">
        <f t="shared" si="10"/>
        <v>pracuj.pl</v>
      </c>
    </row>
    <row r="244" spans="1:39" x14ac:dyDescent="0.25">
      <c r="A244" t="s">
        <v>10383</v>
      </c>
      <c r="B244" t="s">
        <v>10384</v>
      </c>
      <c r="C244" t="s">
        <v>17</v>
      </c>
      <c r="D244" s="27" t="s">
        <v>9299</v>
      </c>
      <c r="E244" t="s">
        <v>217</v>
      </c>
      <c r="F244" s="421">
        <v>1</v>
      </c>
      <c r="G244" t="s">
        <v>193</v>
      </c>
      <c r="H244" t="s">
        <v>194</v>
      </c>
      <c r="I244" t="s">
        <v>9491</v>
      </c>
      <c r="J244" t="s">
        <v>4751</v>
      </c>
      <c r="K244" t="s">
        <v>10385</v>
      </c>
      <c r="L244" t="s">
        <v>6249</v>
      </c>
      <c r="M244" t="s">
        <v>9436</v>
      </c>
      <c r="N244" t="s">
        <v>9603</v>
      </c>
      <c r="O244" t="s">
        <v>9604</v>
      </c>
      <c r="P244" t="s">
        <v>10386</v>
      </c>
      <c r="Q244" t="s">
        <v>10387</v>
      </c>
      <c r="S244" t="s">
        <v>9309</v>
      </c>
      <c r="T244" s="28" t="s">
        <v>9472</v>
      </c>
      <c r="U244" s="27" t="s">
        <v>624</v>
      </c>
      <c r="V244" t="s">
        <v>194</v>
      </c>
      <c r="W244" t="s">
        <v>9300</v>
      </c>
      <c r="Z244" t="s">
        <v>9311</v>
      </c>
      <c r="AF244" t="s">
        <v>4714</v>
      </c>
      <c r="AG244" t="s">
        <v>9433</v>
      </c>
      <c r="AI244" t="s">
        <v>6955</v>
      </c>
      <c r="AJ244" s="424" t="str">
        <f t="shared" si="9"/>
        <v>332203</v>
      </c>
      <c r="AK244" s="28">
        <v>1</v>
      </c>
      <c r="AL244" s="28">
        <f t="shared" si="11"/>
        <v>1</v>
      </c>
      <c r="AM244" s="28" t="str">
        <f t="shared" si="10"/>
        <v>agora</v>
      </c>
    </row>
    <row r="245" spans="1:39" x14ac:dyDescent="0.25">
      <c r="A245" t="s">
        <v>10383</v>
      </c>
      <c r="B245" t="s">
        <v>10384</v>
      </c>
      <c r="C245" t="s">
        <v>17</v>
      </c>
      <c r="D245" s="27" t="s">
        <v>9299</v>
      </c>
      <c r="E245" t="s">
        <v>217</v>
      </c>
      <c r="F245" s="421">
        <v>1</v>
      </c>
      <c r="G245" t="s">
        <v>193</v>
      </c>
      <c r="H245" t="s">
        <v>194</v>
      </c>
      <c r="I245" t="s">
        <v>9491</v>
      </c>
      <c r="J245" t="s">
        <v>367</v>
      </c>
      <c r="K245" t="s">
        <v>10388</v>
      </c>
      <c r="L245" t="s">
        <v>6249</v>
      </c>
      <c r="M245" t="s">
        <v>9436</v>
      </c>
      <c r="N245" t="s">
        <v>9603</v>
      </c>
      <c r="O245" t="s">
        <v>9604</v>
      </c>
      <c r="P245" t="s">
        <v>10389</v>
      </c>
      <c r="Q245" t="s">
        <v>10390</v>
      </c>
      <c r="S245" t="s">
        <v>9309</v>
      </c>
      <c r="T245" s="28" t="s">
        <v>9974</v>
      </c>
      <c r="U245" s="27" t="s">
        <v>624</v>
      </c>
      <c r="V245" t="s">
        <v>194</v>
      </c>
      <c r="W245" t="s">
        <v>9300</v>
      </c>
      <c r="Z245" t="s">
        <v>9311</v>
      </c>
      <c r="AF245" t="s">
        <v>4714</v>
      </c>
      <c r="AG245" t="s">
        <v>9433</v>
      </c>
      <c r="AI245" t="s">
        <v>6955</v>
      </c>
      <c r="AJ245" s="424" t="str">
        <f t="shared" si="9"/>
        <v>332203</v>
      </c>
      <c r="AK245" s="28">
        <v>1</v>
      </c>
      <c r="AL245" s="28">
        <f t="shared" si="11"/>
        <v>1</v>
      </c>
      <c r="AM245" s="28" t="str">
        <f t="shared" si="10"/>
        <v>agora</v>
      </c>
    </row>
    <row r="246" spans="1:39" x14ac:dyDescent="0.25">
      <c r="A246" t="s">
        <v>10383</v>
      </c>
      <c r="B246" t="s">
        <v>10384</v>
      </c>
      <c r="C246" t="s">
        <v>17</v>
      </c>
      <c r="D246" s="27" t="s">
        <v>9299</v>
      </c>
      <c r="E246" t="s">
        <v>217</v>
      </c>
      <c r="F246" s="421">
        <v>1</v>
      </c>
      <c r="G246" t="s">
        <v>193</v>
      </c>
      <c r="H246" t="s">
        <v>194</v>
      </c>
      <c r="I246" t="s">
        <v>9491</v>
      </c>
      <c r="J246" t="s">
        <v>210</v>
      </c>
      <c r="K246" t="s">
        <v>10391</v>
      </c>
      <c r="L246" t="s">
        <v>6249</v>
      </c>
      <c r="M246" t="s">
        <v>9436</v>
      </c>
      <c r="N246" t="s">
        <v>9603</v>
      </c>
      <c r="O246" t="s">
        <v>9604</v>
      </c>
      <c r="P246" t="s">
        <v>10392</v>
      </c>
      <c r="Q246" t="s">
        <v>10393</v>
      </c>
      <c r="S246" t="s">
        <v>9309</v>
      </c>
      <c r="T246" s="28" t="s">
        <v>9334</v>
      </c>
      <c r="U246" s="27" t="s">
        <v>624</v>
      </c>
      <c r="V246" t="s">
        <v>194</v>
      </c>
      <c r="W246" t="s">
        <v>9300</v>
      </c>
      <c r="Z246" t="s">
        <v>9311</v>
      </c>
      <c r="AF246" t="s">
        <v>4714</v>
      </c>
      <c r="AG246" t="s">
        <v>9433</v>
      </c>
      <c r="AI246" t="s">
        <v>6955</v>
      </c>
      <c r="AJ246" s="424" t="str">
        <f t="shared" si="9"/>
        <v>332203</v>
      </c>
      <c r="AK246" s="28">
        <v>1</v>
      </c>
      <c r="AL246" s="28">
        <f t="shared" si="11"/>
        <v>1</v>
      </c>
      <c r="AM246" s="28" t="str">
        <f t="shared" si="10"/>
        <v>agora</v>
      </c>
    </row>
    <row r="247" spans="1:39" x14ac:dyDescent="0.25">
      <c r="A247" t="s">
        <v>10383</v>
      </c>
      <c r="B247" t="s">
        <v>10384</v>
      </c>
      <c r="C247" t="s">
        <v>17</v>
      </c>
      <c r="D247" s="27" t="s">
        <v>9299</v>
      </c>
      <c r="E247" t="s">
        <v>217</v>
      </c>
      <c r="F247" s="421">
        <v>1</v>
      </c>
      <c r="G247" t="s">
        <v>193</v>
      </c>
      <c r="H247" t="s">
        <v>194</v>
      </c>
      <c r="I247" t="s">
        <v>9491</v>
      </c>
      <c r="J247" t="s">
        <v>747</v>
      </c>
      <c r="K247" t="s">
        <v>10394</v>
      </c>
      <c r="L247" t="s">
        <v>6249</v>
      </c>
      <c r="M247" t="s">
        <v>9428</v>
      </c>
      <c r="N247" t="s">
        <v>9603</v>
      </c>
      <c r="O247" t="s">
        <v>9604</v>
      </c>
      <c r="P247" t="s">
        <v>10395</v>
      </c>
      <c r="Q247" t="s">
        <v>10396</v>
      </c>
      <c r="S247" t="s">
        <v>9309</v>
      </c>
      <c r="T247" s="28" t="s">
        <v>10397</v>
      </c>
      <c r="U247" s="27" t="s">
        <v>624</v>
      </c>
      <c r="V247" t="s">
        <v>194</v>
      </c>
      <c r="W247" t="s">
        <v>9300</v>
      </c>
      <c r="Z247" t="s">
        <v>9311</v>
      </c>
      <c r="AF247" t="s">
        <v>4714</v>
      </c>
      <c r="AG247" t="s">
        <v>9433</v>
      </c>
      <c r="AI247" t="s">
        <v>6955</v>
      </c>
      <c r="AJ247" s="424" t="str">
        <f t="shared" si="9"/>
        <v>332203</v>
      </c>
      <c r="AK247" s="28">
        <v>1</v>
      </c>
      <c r="AL247" s="28">
        <f t="shared" si="11"/>
        <v>1</v>
      </c>
      <c r="AM247" s="28" t="str">
        <f t="shared" si="10"/>
        <v>agora</v>
      </c>
    </row>
    <row r="248" spans="1:39" x14ac:dyDescent="0.25">
      <c r="A248" t="s">
        <v>10383</v>
      </c>
      <c r="B248" t="s">
        <v>10384</v>
      </c>
      <c r="C248" t="s">
        <v>17</v>
      </c>
      <c r="D248" s="27" t="s">
        <v>9299</v>
      </c>
      <c r="E248" t="s">
        <v>217</v>
      </c>
      <c r="F248" s="421">
        <v>1</v>
      </c>
      <c r="G248" t="s">
        <v>193</v>
      </c>
      <c r="H248" t="s">
        <v>194</v>
      </c>
      <c r="I248" t="s">
        <v>9491</v>
      </c>
      <c r="J248" t="s">
        <v>316</v>
      </c>
      <c r="K248" t="s">
        <v>10398</v>
      </c>
      <c r="L248" t="s">
        <v>6249</v>
      </c>
      <c r="M248" t="s">
        <v>9428</v>
      </c>
      <c r="N248" t="s">
        <v>9603</v>
      </c>
      <c r="O248" t="s">
        <v>9604</v>
      </c>
      <c r="P248" t="s">
        <v>10399</v>
      </c>
      <c r="Q248" t="s">
        <v>10400</v>
      </c>
      <c r="S248" t="s">
        <v>9309</v>
      </c>
      <c r="T248" s="28" t="s">
        <v>10012</v>
      </c>
      <c r="U248" s="27" t="s">
        <v>624</v>
      </c>
      <c r="V248" t="s">
        <v>194</v>
      </c>
      <c r="W248" t="s">
        <v>9300</v>
      </c>
      <c r="Z248" t="s">
        <v>9311</v>
      </c>
      <c r="AF248" t="s">
        <v>4714</v>
      </c>
      <c r="AG248" t="s">
        <v>9433</v>
      </c>
      <c r="AI248" t="s">
        <v>6955</v>
      </c>
      <c r="AJ248" s="424" t="str">
        <f t="shared" si="9"/>
        <v>332203</v>
      </c>
      <c r="AK248" s="28">
        <v>1</v>
      </c>
      <c r="AL248" s="28">
        <f t="shared" si="11"/>
        <v>1</v>
      </c>
      <c r="AM248" s="28" t="str">
        <f t="shared" si="10"/>
        <v>agora</v>
      </c>
    </row>
    <row r="249" spans="1:39" x14ac:dyDescent="0.25">
      <c r="A249" t="s">
        <v>10383</v>
      </c>
      <c r="B249" t="s">
        <v>10384</v>
      </c>
      <c r="C249" t="s">
        <v>17</v>
      </c>
      <c r="D249" s="27" t="s">
        <v>9299</v>
      </c>
      <c r="E249" t="s">
        <v>217</v>
      </c>
      <c r="F249" s="421">
        <v>1</v>
      </c>
      <c r="G249" t="s">
        <v>193</v>
      </c>
      <c r="H249" t="s">
        <v>194</v>
      </c>
      <c r="I249" t="s">
        <v>9491</v>
      </c>
      <c r="J249" t="s">
        <v>253</v>
      </c>
      <c r="K249" t="s">
        <v>10401</v>
      </c>
      <c r="L249" t="s">
        <v>6249</v>
      </c>
      <c r="M249" t="s">
        <v>9428</v>
      </c>
      <c r="N249" t="s">
        <v>9603</v>
      </c>
      <c r="O249" t="s">
        <v>9604</v>
      </c>
      <c r="P249" t="s">
        <v>10402</v>
      </c>
      <c r="Q249" t="s">
        <v>10403</v>
      </c>
      <c r="S249" t="s">
        <v>9309</v>
      </c>
      <c r="T249" s="28" t="s">
        <v>9468</v>
      </c>
      <c r="U249" s="27" t="s">
        <v>624</v>
      </c>
      <c r="V249" t="s">
        <v>194</v>
      </c>
      <c r="W249" t="s">
        <v>9300</v>
      </c>
      <c r="Z249" t="s">
        <v>9311</v>
      </c>
      <c r="AF249" t="s">
        <v>4714</v>
      </c>
      <c r="AG249" t="s">
        <v>9433</v>
      </c>
      <c r="AI249" t="s">
        <v>6955</v>
      </c>
      <c r="AJ249" s="424" t="str">
        <f t="shared" si="9"/>
        <v>332203</v>
      </c>
      <c r="AK249" s="28">
        <v>1</v>
      </c>
      <c r="AL249" s="28">
        <f t="shared" si="11"/>
        <v>1</v>
      </c>
      <c r="AM249" s="28" t="str">
        <f t="shared" si="10"/>
        <v>agora</v>
      </c>
    </row>
    <row r="250" spans="1:39" x14ac:dyDescent="0.25">
      <c r="A250" t="s">
        <v>10404</v>
      </c>
      <c r="B250" t="s">
        <v>10405</v>
      </c>
      <c r="C250" t="s">
        <v>1661</v>
      </c>
      <c r="D250" s="27" t="s">
        <v>9299</v>
      </c>
      <c r="E250" t="s">
        <v>192</v>
      </c>
      <c r="F250" s="421">
        <v>1</v>
      </c>
      <c r="G250" t="s">
        <v>193</v>
      </c>
      <c r="H250" t="s">
        <v>194</v>
      </c>
      <c r="I250" t="s">
        <v>9989</v>
      </c>
      <c r="J250" t="s">
        <v>210</v>
      </c>
      <c r="K250" t="s">
        <v>10406</v>
      </c>
      <c r="L250" t="s">
        <v>6286</v>
      </c>
      <c r="M250" t="s">
        <v>9304</v>
      </c>
      <c r="N250" t="s">
        <v>9305</v>
      </c>
      <c r="O250" t="s">
        <v>9306</v>
      </c>
      <c r="P250" t="s">
        <v>10407</v>
      </c>
      <c r="Q250" t="s">
        <v>10408</v>
      </c>
      <c r="S250" t="s">
        <v>9309</v>
      </c>
      <c r="T250" s="28" t="s">
        <v>9334</v>
      </c>
      <c r="U250" s="27" t="s">
        <v>1662</v>
      </c>
      <c r="V250" t="s">
        <v>194</v>
      </c>
      <c r="W250" t="s">
        <v>9300</v>
      </c>
      <c r="Z250" t="s">
        <v>9311</v>
      </c>
      <c r="AF250" t="s">
        <v>4714</v>
      </c>
      <c r="AG250" t="s">
        <v>10405</v>
      </c>
      <c r="AI250" t="s">
        <v>6955</v>
      </c>
      <c r="AJ250" s="424" t="str">
        <f t="shared" si="9"/>
        <v>241202</v>
      </c>
      <c r="AK250" s="28">
        <v>1</v>
      </c>
      <c r="AL250" s="28">
        <f t="shared" si="11"/>
        <v>1</v>
      </c>
      <c r="AM250" s="28" t="str">
        <f t="shared" si="10"/>
        <v>pracuj.pl</v>
      </c>
    </row>
    <row r="251" spans="1:39" x14ac:dyDescent="0.25">
      <c r="A251" t="s">
        <v>1568</v>
      </c>
      <c r="B251" t="s">
        <v>831</v>
      </c>
      <c r="C251" t="s">
        <v>829</v>
      </c>
      <c r="D251" s="27" t="s">
        <v>9299</v>
      </c>
      <c r="E251" t="s">
        <v>192</v>
      </c>
      <c r="F251" s="421">
        <v>1</v>
      </c>
      <c r="G251" t="s">
        <v>193</v>
      </c>
      <c r="H251" t="s">
        <v>194</v>
      </c>
      <c r="I251" t="s">
        <v>9461</v>
      </c>
      <c r="J251" t="s">
        <v>276</v>
      </c>
      <c r="K251" t="s">
        <v>10409</v>
      </c>
      <c r="L251" t="s">
        <v>6245</v>
      </c>
      <c r="M251" t="s">
        <v>9304</v>
      </c>
      <c r="N251" t="s">
        <v>9305</v>
      </c>
      <c r="O251" t="s">
        <v>9306</v>
      </c>
      <c r="P251" t="s">
        <v>10410</v>
      </c>
      <c r="Q251" t="s">
        <v>10411</v>
      </c>
      <c r="S251" t="s">
        <v>9309</v>
      </c>
      <c r="T251" s="28" t="s">
        <v>9786</v>
      </c>
      <c r="U251" s="27" t="s">
        <v>830</v>
      </c>
      <c r="V251" t="s">
        <v>194</v>
      </c>
      <c r="W251" t="s">
        <v>9300</v>
      </c>
      <c r="Z251" t="s">
        <v>9311</v>
      </c>
      <c r="AF251" t="s">
        <v>4714</v>
      </c>
      <c r="AG251" t="s">
        <v>831</v>
      </c>
      <c r="AI251" t="s">
        <v>6955</v>
      </c>
      <c r="AJ251" s="424" t="str">
        <f t="shared" si="9"/>
        <v>741201</v>
      </c>
      <c r="AK251" s="28">
        <v>1</v>
      </c>
      <c r="AL251" s="28">
        <f t="shared" si="11"/>
        <v>1</v>
      </c>
      <c r="AM251" s="28" t="str">
        <f t="shared" si="10"/>
        <v>pracuj.pl</v>
      </c>
    </row>
    <row r="252" spans="1:39" x14ac:dyDescent="0.25">
      <c r="A252" t="s">
        <v>1568</v>
      </c>
      <c r="B252" t="s">
        <v>10412</v>
      </c>
      <c r="C252" t="s">
        <v>525</v>
      </c>
      <c r="D252" s="27" t="s">
        <v>9299</v>
      </c>
      <c r="E252" t="s">
        <v>192</v>
      </c>
      <c r="F252" s="421">
        <v>1</v>
      </c>
      <c r="G252" t="s">
        <v>193</v>
      </c>
      <c r="H252" t="s">
        <v>194</v>
      </c>
      <c r="I252" t="s">
        <v>9989</v>
      </c>
      <c r="J252" t="s">
        <v>276</v>
      </c>
      <c r="K252" t="s">
        <v>10413</v>
      </c>
      <c r="L252" t="s">
        <v>7489</v>
      </c>
      <c r="M252" t="s">
        <v>9304</v>
      </c>
      <c r="N252" t="s">
        <v>9305</v>
      </c>
      <c r="O252" t="s">
        <v>9306</v>
      </c>
      <c r="P252" t="s">
        <v>10414</v>
      </c>
      <c r="Q252" t="s">
        <v>10415</v>
      </c>
      <c r="S252" t="s">
        <v>9309</v>
      </c>
      <c r="T252" s="28" t="s">
        <v>9786</v>
      </c>
      <c r="U252" s="27" t="s">
        <v>526</v>
      </c>
      <c r="V252" t="s">
        <v>194</v>
      </c>
      <c r="W252" t="s">
        <v>9300</v>
      </c>
      <c r="Z252" t="s">
        <v>9311</v>
      </c>
      <c r="AF252" t="s">
        <v>4714</v>
      </c>
      <c r="AG252" t="s">
        <v>10412</v>
      </c>
      <c r="AI252" t="s">
        <v>6955</v>
      </c>
      <c r="AJ252" s="424" t="str">
        <f t="shared" si="9"/>
        <v>263102</v>
      </c>
      <c r="AK252" s="28">
        <v>1</v>
      </c>
      <c r="AL252" s="28">
        <f t="shared" si="11"/>
        <v>1</v>
      </c>
      <c r="AM252" s="28" t="str">
        <f t="shared" si="10"/>
        <v>pracuj.pl</v>
      </c>
    </row>
    <row r="253" spans="1:39" x14ac:dyDescent="0.25">
      <c r="A253" t="s">
        <v>10416</v>
      </c>
      <c r="B253" t="s">
        <v>1361</v>
      </c>
      <c r="C253" t="s">
        <v>566</v>
      </c>
      <c r="D253" s="27" t="s">
        <v>9299</v>
      </c>
      <c r="E253" t="s">
        <v>192</v>
      </c>
      <c r="F253" s="421">
        <v>1</v>
      </c>
      <c r="G253" t="s">
        <v>193</v>
      </c>
      <c r="H253" t="s">
        <v>194</v>
      </c>
      <c r="I253" t="s">
        <v>9989</v>
      </c>
      <c r="J253" t="s">
        <v>6491</v>
      </c>
      <c r="K253" t="s">
        <v>10417</v>
      </c>
      <c r="L253" t="s">
        <v>6275</v>
      </c>
      <c r="M253" t="s">
        <v>9304</v>
      </c>
      <c r="N253" t="s">
        <v>9305</v>
      </c>
      <c r="O253" t="s">
        <v>9306</v>
      </c>
      <c r="P253" t="s">
        <v>10418</v>
      </c>
      <c r="Q253" t="s">
        <v>10419</v>
      </c>
      <c r="S253" t="s">
        <v>9309</v>
      </c>
      <c r="T253" s="28" t="s">
        <v>9726</v>
      </c>
      <c r="U253" s="27" t="s">
        <v>567</v>
      </c>
      <c r="V253" t="s">
        <v>194</v>
      </c>
      <c r="W253" t="s">
        <v>9300</v>
      </c>
      <c r="Z253" t="s">
        <v>9311</v>
      </c>
      <c r="AF253" t="s">
        <v>4714</v>
      </c>
      <c r="AG253" t="s">
        <v>1361</v>
      </c>
      <c r="AI253" t="s">
        <v>6955</v>
      </c>
      <c r="AJ253" s="424" t="str">
        <f t="shared" si="9"/>
        <v>311504</v>
      </c>
      <c r="AK253" s="28">
        <v>1</v>
      </c>
      <c r="AL253" s="28">
        <f t="shared" si="11"/>
        <v>1</v>
      </c>
      <c r="AM253" s="28" t="str">
        <f t="shared" si="10"/>
        <v>pracuj.pl</v>
      </c>
    </row>
    <row r="254" spans="1:39" x14ac:dyDescent="0.25">
      <c r="A254" t="s">
        <v>10420</v>
      </c>
      <c r="B254" t="s">
        <v>10421</v>
      </c>
      <c r="C254" t="s">
        <v>74</v>
      </c>
      <c r="D254" s="27" t="s">
        <v>9299</v>
      </c>
      <c r="E254" t="s">
        <v>192</v>
      </c>
      <c r="F254" s="421">
        <v>1</v>
      </c>
      <c r="G254" t="s">
        <v>193</v>
      </c>
      <c r="H254" t="s">
        <v>194</v>
      </c>
      <c r="I254" t="s">
        <v>9339</v>
      </c>
      <c r="J254" t="s">
        <v>1059</v>
      </c>
      <c r="K254" t="s">
        <v>10422</v>
      </c>
      <c r="L254" t="s">
        <v>6249</v>
      </c>
      <c r="M254" t="s">
        <v>9304</v>
      </c>
      <c r="N254" t="s">
        <v>9305</v>
      </c>
      <c r="O254" t="s">
        <v>9306</v>
      </c>
      <c r="P254" t="s">
        <v>10423</v>
      </c>
      <c r="Q254" t="s">
        <v>10424</v>
      </c>
      <c r="S254" t="s">
        <v>9309</v>
      </c>
      <c r="T254" s="28" t="s">
        <v>9510</v>
      </c>
      <c r="U254" s="27" t="s">
        <v>246</v>
      </c>
      <c r="V254" t="s">
        <v>194</v>
      </c>
      <c r="W254" t="s">
        <v>9300</v>
      </c>
      <c r="Z254" t="s">
        <v>9311</v>
      </c>
      <c r="AF254" t="s">
        <v>4714</v>
      </c>
      <c r="AG254" t="s">
        <v>10421</v>
      </c>
      <c r="AI254" t="s">
        <v>6955</v>
      </c>
      <c r="AJ254" s="424" t="str">
        <f t="shared" si="9"/>
        <v>142004</v>
      </c>
      <c r="AK254" s="28">
        <v>1</v>
      </c>
      <c r="AL254" s="28">
        <f t="shared" si="11"/>
        <v>1</v>
      </c>
      <c r="AM254" s="28" t="str">
        <f t="shared" si="10"/>
        <v>pracuj.pl</v>
      </c>
    </row>
    <row r="255" spans="1:39" x14ac:dyDescent="0.25">
      <c r="A255" t="s">
        <v>10425</v>
      </c>
      <c r="B255" t="s">
        <v>10426</v>
      </c>
      <c r="C255" t="s">
        <v>35</v>
      </c>
      <c r="D255" s="27" t="s">
        <v>9299</v>
      </c>
      <c r="E255" t="s">
        <v>192</v>
      </c>
      <c r="F255" s="421">
        <v>1</v>
      </c>
      <c r="G255" t="s">
        <v>193</v>
      </c>
      <c r="H255" t="s">
        <v>194</v>
      </c>
      <c r="I255" t="s">
        <v>9412</v>
      </c>
      <c r="J255" t="s">
        <v>9302</v>
      </c>
      <c r="K255" t="s">
        <v>10427</v>
      </c>
      <c r="L255" t="s">
        <v>6254</v>
      </c>
      <c r="M255" t="s">
        <v>9304</v>
      </c>
      <c r="N255" t="s">
        <v>9305</v>
      </c>
      <c r="O255" t="s">
        <v>9306</v>
      </c>
      <c r="P255" t="s">
        <v>10428</v>
      </c>
      <c r="Q255" t="s">
        <v>10429</v>
      </c>
      <c r="S255" t="s">
        <v>9309</v>
      </c>
      <c r="U255" s="27" t="s">
        <v>207</v>
      </c>
      <c r="V255" t="s">
        <v>193</v>
      </c>
      <c r="W255" t="s">
        <v>9310</v>
      </c>
      <c r="Z255" t="s">
        <v>9311</v>
      </c>
      <c r="AF255" t="s">
        <v>4714</v>
      </c>
      <c r="AG255" t="s">
        <v>10426</v>
      </c>
      <c r="AI255" t="s">
        <v>6955</v>
      </c>
      <c r="AJ255" s="424" t="str">
        <f t="shared" si="9"/>
        <v>122106</v>
      </c>
      <c r="AK255" s="28">
        <v>1</v>
      </c>
      <c r="AL255" s="28">
        <f t="shared" si="11"/>
        <v>1</v>
      </c>
      <c r="AM255" s="28" t="str">
        <f t="shared" si="10"/>
        <v>pracuj.pl</v>
      </c>
    </row>
    <row r="256" spans="1:39" x14ac:dyDescent="0.25">
      <c r="A256" t="s">
        <v>10430</v>
      </c>
      <c r="B256" t="s">
        <v>10431</v>
      </c>
      <c r="C256" t="s">
        <v>101</v>
      </c>
      <c r="D256" s="27" t="s">
        <v>9299</v>
      </c>
      <c r="E256" t="s">
        <v>233</v>
      </c>
      <c r="F256" s="421">
        <v>1</v>
      </c>
      <c r="G256" t="s">
        <v>193</v>
      </c>
      <c r="H256" t="s">
        <v>194</v>
      </c>
      <c r="I256" t="s">
        <v>9737</v>
      </c>
      <c r="J256" t="s">
        <v>210</v>
      </c>
      <c r="K256" t="s">
        <v>10432</v>
      </c>
      <c r="L256" t="s">
        <v>6256</v>
      </c>
      <c r="M256" t="s">
        <v>9794</v>
      </c>
      <c r="N256" t="s">
        <v>9342</v>
      </c>
      <c r="O256" t="s">
        <v>9343</v>
      </c>
      <c r="P256" t="s">
        <v>10433</v>
      </c>
      <c r="Q256" t="s">
        <v>10434</v>
      </c>
      <c r="S256" t="s">
        <v>9309</v>
      </c>
      <c r="T256" s="28" t="s">
        <v>9334</v>
      </c>
      <c r="U256" s="27" t="s">
        <v>519</v>
      </c>
      <c r="V256" t="s">
        <v>194</v>
      </c>
      <c r="W256" t="s">
        <v>9300</v>
      </c>
      <c r="Z256" t="s">
        <v>9311</v>
      </c>
      <c r="AF256" t="s">
        <v>4714</v>
      </c>
      <c r="AG256" t="s">
        <v>10431</v>
      </c>
      <c r="AI256" t="s">
        <v>6955</v>
      </c>
      <c r="AJ256" s="424" t="str">
        <f t="shared" si="9"/>
        <v>261103</v>
      </c>
      <c r="AK256" s="28">
        <v>1</v>
      </c>
      <c r="AL256" s="28">
        <f t="shared" si="11"/>
        <v>1</v>
      </c>
      <c r="AM256" s="28" t="str">
        <f t="shared" si="10"/>
        <v>praca</v>
      </c>
    </row>
    <row r="257" spans="1:39" x14ac:dyDescent="0.25">
      <c r="A257" t="s">
        <v>10430</v>
      </c>
      <c r="B257" t="s">
        <v>12</v>
      </c>
      <c r="C257" t="s">
        <v>12</v>
      </c>
      <c r="D257" s="27" t="s">
        <v>9299</v>
      </c>
      <c r="E257" t="s">
        <v>233</v>
      </c>
      <c r="F257" s="421">
        <v>1</v>
      </c>
      <c r="G257" t="s">
        <v>193</v>
      </c>
      <c r="H257" t="s">
        <v>194</v>
      </c>
      <c r="I257" t="s">
        <v>9461</v>
      </c>
      <c r="J257" t="s">
        <v>210</v>
      </c>
      <c r="K257" t="s">
        <v>10435</v>
      </c>
      <c r="L257" t="s">
        <v>6256</v>
      </c>
      <c r="M257" t="s">
        <v>9341</v>
      </c>
      <c r="N257" t="s">
        <v>9342</v>
      </c>
      <c r="O257" t="s">
        <v>9343</v>
      </c>
      <c r="P257" t="s">
        <v>10436</v>
      </c>
      <c r="Q257" t="s">
        <v>10437</v>
      </c>
      <c r="S257" t="s">
        <v>9309</v>
      </c>
      <c r="T257" s="28" t="s">
        <v>9334</v>
      </c>
      <c r="U257" s="27" t="s">
        <v>220</v>
      </c>
      <c r="V257" t="s">
        <v>194</v>
      </c>
      <c r="W257" t="s">
        <v>9300</v>
      </c>
      <c r="Z257" t="s">
        <v>9311</v>
      </c>
      <c r="AF257" t="s">
        <v>4714</v>
      </c>
      <c r="AG257" t="s">
        <v>12</v>
      </c>
      <c r="AI257" t="s">
        <v>6955</v>
      </c>
      <c r="AJ257" s="424" t="str">
        <f t="shared" si="9"/>
        <v>132301</v>
      </c>
      <c r="AK257" s="28">
        <v>1</v>
      </c>
      <c r="AL257" s="28">
        <f t="shared" si="11"/>
        <v>1</v>
      </c>
      <c r="AM257" s="28" t="str">
        <f t="shared" si="10"/>
        <v>praca</v>
      </c>
    </row>
    <row r="258" spans="1:39" x14ac:dyDescent="0.25">
      <c r="A258" t="s">
        <v>10430</v>
      </c>
      <c r="B258" t="s">
        <v>10438</v>
      </c>
      <c r="C258" t="s">
        <v>21</v>
      </c>
      <c r="D258" s="27" t="s">
        <v>9299</v>
      </c>
      <c r="E258" t="s">
        <v>233</v>
      </c>
      <c r="F258" s="421">
        <v>1</v>
      </c>
      <c r="G258" t="s">
        <v>193</v>
      </c>
      <c r="H258" t="s">
        <v>194</v>
      </c>
      <c r="I258" t="s">
        <v>9737</v>
      </c>
      <c r="J258" t="s">
        <v>210</v>
      </c>
      <c r="K258" t="s">
        <v>10439</v>
      </c>
      <c r="L258" t="s">
        <v>6256</v>
      </c>
      <c r="M258" t="s">
        <v>9794</v>
      </c>
      <c r="N258" t="s">
        <v>9342</v>
      </c>
      <c r="O258" t="s">
        <v>9343</v>
      </c>
      <c r="P258" t="s">
        <v>10440</v>
      </c>
      <c r="Q258" t="s">
        <v>10441</v>
      </c>
      <c r="S258" t="s">
        <v>9309</v>
      </c>
      <c r="T258" s="28" t="s">
        <v>9334</v>
      </c>
      <c r="U258" s="27" t="s">
        <v>293</v>
      </c>
      <c r="V258" t="s">
        <v>194</v>
      </c>
      <c r="W258" t="s">
        <v>9300</v>
      </c>
      <c r="Z258" t="s">
        <v>9311</v>
      </c>
      <c r="AF258" t="s">
        <v>4714</v>
      </c>
      <c r="AG258" t="s">
        <v>10438</v>
      </c>
      <c r="AI258" t="s">
        <v>6955</v>
      </c>
      <c r="AJ258" s="424" t="str">
        <f t="shared" ref="AJ258:AJ321" si="12">MID(U258,8,6)</f>
        <v>214202</v>
      </c>
      <c r="AK258" s="28">
        <v>1</v>
      </c>
      <c r="AL258" s="28">
        <f t="shared" si="11"/>
        <v>1</v>
      </c>
      <c r="AM258" s="28" t="str">
        <f t="shared" ref="AM258:AM321" si="13">T(E258)</f>
        <v>praca</v>
      </c>
    </row>
    <row r="259" spans="1:39" x14ac:dyDescent="0.25">
      <c r="A259" t="s">
        <v>10430</v>
      </c>
      <c r="B259" t="s">
        <v>10442</v>
      </c>
      <c r="C259" t="s">
        <v>525</v>
      </c>
      <c r="D259" s="27" t="s">
        <v>9299</v>
      </c>
      <c r="E259" t="s">
        <v>233</v>
      </c>
      <c r="F259" s="421">
        <v>1</v>
      </c>
      <c r="G259" t="s">
        <v>193</v>
      </c>
      <c r="H259" t="s">
        <v>194</v>
      </c>
      <c r="I259" t="s">
        <v>9412</v>
      </c>
      <c r="J259" t="s">
        <v>210</v>
      </c>
      <c r="K259" t="s">
        <v>10443</v>
      </c>
      <c r="L259" t="s">
        <v>6256</v>
      </c>
      <c r="M259" t="s">
        <v>9794</v>
      </c>
      <c r="N259" t="s">
        <v>9342</v>
      </c>
      <c r="O259" t="s">
        <v>9343</v>
      </c>
      <c r="P259" t="s">
        <v>10444</v>
      </c>
      <c r="Q259" t="s">
        <v>10445</v>
      </c>
      <c r="S259" t="s">
        <v>9309</v>
      </c>
      <c r="T259" s="28" t="s">
        <v>9334</v>
      </c>
      <c r="U259" s="27" t="s">
        <v>526</v>
      </c>
      <c r="V259" t="s">
        <v>194</v>
      </c>
      <c r="W259" t="s">
        <v>9300</v>
      </c>
      <c r="Z259" t="s">
        <v>9311</v>
      </c>
      <c r="AF259" t="s">
        <v>4714</v>
      </c>
      <c r="AG259" t="s">
        <v>10442</v>
      </c>
      <c r="AI259" t="s">
        <v>6955</v>
      </c>
      <c r="AJ259" s="424" t="str">
        <f t="shared" si="12"/>
        <v>263102</v>
      </c>
      <c r="AK259" s="28">
        <v>1</v>
      </c>
      <c r="AL259" s="28">
        <f t="shared" ref="AL259:AL322" si="14">SUM(F259)</f>
        <v>1</v>
      </c>
      <c r="AM259" s="28" t="str">
        <f t="shared" si="13"/>
        <v>praca</v>
      </c>
    </row>
    <row r="260" spans="1:39" x14ac:dyDescent="0.25">
      <c r="A260" t="s">
        <v>10446</v>
      </c>
      <c r="B260" t="s">
        <v>10447</v>
      </c>
      <c r="C260" t="s">
        <v>6617</v>
      </c>
      <c r="D260" s="27" t="s">
        <v>9299</v>
      </c>
      <c r="E260" t="s">
        <v>233</v>
      </c>
      <c r="F260" s="421">
        <v>1</v>
      </c>
      <c r="G260" t="s">
        <v>193</v>
      </c>
      <c r="H260" t="s">
        <v>194</v>
      </c>
      <c r="I260" t="s">
        <v>9343</v>
      </c>
      <c r="J260" t="s">
        <v>9302</v>
      </c>
      <c r="K260" t="s">
        <v>10448</v>
      </c>
      <c r="L260" t="s">
        <v>6266</v>
      </c>
      <c r="M260" t="s">
        <v>9341</v>
      </c>
      <c r="N260" t="s">
        <v>9342</v>
      </c>
      <c r="O260" t="s">
        <v>9343</v>
      </c>
      <c r="P260" t="s">
        <v>10449</v>
      </c>
      <c r="Q260" t="s">
        <v>10450</v>
      </c>
      <c r="S260" t="s">
        <v>9309</v>
      </c>
      <c r="T260" s="28" t="s">
        <v>9334</v>
      </c>
      <c r="U260" s="27" t="s">
        <v>990</v>
      </c>
      <c r="V260" t="s">
        <v>194</v>
      </c>
      <c r="W260" t="s">
        <v>9300</v>
      </c>
      <c r="Z260" t="s">
        <v>9311</v>
      </c>
      <c r="AF260" t="s">
        <v>4714</v>
      </c>
      <c r="AG260" t="s">
        <v>10447</v>
      </c>
      <c r="AI260" t="s">
        <v>6955</v>
      </c>
      <c r="AJ260" s="424" t="str">
        <f t="shared" si="12"/>
        <v>833202</v>
      </c>
      <c r="AK260" s="28">
        <v>1</v>
      </c>
      <c r="AL260" s="28">
        <f t="shared" si="14"/>
        <v>1</v>
      </c>
      <c r="AM260" s="28" t="str">
        <f t="shared" si="13"/>
        <v>praca</v>
      </c>
    </row>
    <row r="261" spans="1:39" x14ac:dyDescent="0.25">
      <c r="A261" t="s">
        <v>10446</v>
      </c>
      <c r="B261" t="s">
        <v>10451</v>
      </c>
      <c r="C261" t="s">
        <v>6617</v>
      </c>
      <c r="D261" s="27" t="s">
        <v>9299</v>
      </c>
      <c r="E261" t="s">
        <v>233</v>
      </c>
      <c r="F261" s="421">
        <v>1</v>
      </c>
      <c r="G261" t="s">
        <v>193</v>
      </c>
      <c r="H261" t="s">
        <v>194</v>
      </c>
      <c r="I261" t="s">
        <v>9343</v>
      </c>
      <c r="J261" t="s">
        <v>9302</v>
      </c>
      <c r="K261" t="s">
        <v>10452</v>
      </c>
      <c r="L261" t="s">
        <v>6266</v>
      </c>
      <c r="M261" t="s">
        <v>9341</v>
      </c>
      <c r="N261" t="s">
        <v>9342</v>
      </c>
      <c r="O261" t="s">
        <v>9343</v>
      </c>
      <c r="P261" t="s">
        <v>10453</v>
      </c>
      <c r="Q261" t="s">
        <v>10454</v>
      </c>
      <c r="S261" t="s">
        <v>9309</v>
      </c>
      <c r="U261" s="27" t="s">
        <v>990</v>
      </c>
      <c r="V261" t="s">
        <v>193</v>
      </c>
      <c r="W261" t="s">
        <v>9310</v>
      </c>
      <c r="Z261" t="s">
        <v>9311</v>
      </c>
      <c r="AF261" t="s">
        <v>4714</v>
      </c>
      <c r="AG261" t="s">
        <v>10451</v>
      </c>
      <c r="AI261" t="s">
        <v>6955</v>
      </c>
      <c r="AJ261" s="424" t="str">
        <f t="shared" si="12"/>
        <v>833202</v>
      </c>
      <c r="AK261" s="28">
        <v>1</v>
      </c>
      <c r="AL261" s="28">
        <f t="shared" si="14"/>
        <v>1</v>
      </c>
      <c r="AM261" s="28" t="str">
        <f t="shared" si="13"/>
        <v>praca</v>
      </c>
    </row>
    <row r="262" spans="1:39" x14ac:dyDescent="0.25">
      <c r="A262" t="s">
        <v>10455</v>
      </c>
      <c r="B262" t="s">
        <v>10456</v>
      </c>
      <c r="C262" t="s">
        <v>2644</v>
      </c>
      <c r="D262" s="27" t="s">
        <v>9299</v>
      </c>
      <c r="E262" t="s">
        <v>192</v>
      </c>
      <c r="F262" s="421">
        <v>1</v>
      </c>
      <c r="G262" t="s">
        <v>193</v>
      </c>
      <c r="H262" t="s">
        <v>194</v>
      </c>
      <c r="I262" t="s">
        <v>9737</v>
      </c>
      <c r="J262" t="s">
        <v>327</v>
      </c>
      <c r="K262" t="s">
        <v>10457</v>
      </c>
      <c r="L262" t="s">
        <v>6374</v>
      </c>
      <c r="M262" t="s">
        <v>9304</v>
      </c>
      <c r="N262" t="s">
        <v>9305</v>
      </c>
      <c r="O262" t="s">
        <v>9306</v>
      </c>
      <c r="P262" t="s">
        <v>10458</v>
      </c>
      <c r="Q262" t="s">
        <v>10459</v>
      </c>
      <c r="S262" t="s">
        <v>9309</v>
      </c>
      <c r="T262" s="28" t="s">
        <v>9506</v>
      </c>
      <c r="U262" s="27" t="s">
        <v>2645</v>
      </c>
      <c r="V262" t="s">
        <v>194</v>
      </c>
      <c r="W262" t="s">
        <v>9300</v>
      </c>
      <c r="Z262" t="s">
        <v>9311</v>
      </c>
      <c r="AF262" t="s">
        <v>4714</v>
      </c>
      <c r="AG262" t="s">
        <v>10456</v>
      </c>
      <c r="AI262" t="s">
        <v>6955</v>
      </c>
      <c r="AJ262" s="424" t="str">
        <f t="shared" si="12"/>
        <v>311307</v>
      </c>
      <c r="AK262" s="28">
        <v>1</v>
      </c>
      <c r="AL262" s="28">
        <f t="shared" si="14"/>
        <v>1</v>
      </c>
      <c r="AM262" s="28" t="str">
        <f t="shared" si="13"/>
        <v>pracuj.pl</v>
      </c>
    </row>
    <row r="263" spans="1:39" x14ac:dyDescent="0.25">
      <c r="A263" t="s">
        <v>10460</v>
      </c>
      <c r="B263" t="s">
        <v>10461</v>
      </c>
      <c r="C263" t="s">
        <v>10462</v>
      </c>
      <c r="D263" s="27" t="s">
        <v>9299</v>
      </c>
      <c r="E263" t="s">
        <v>192</v>
      </c>
      <c r="F263" s="421">
        <v>1</v>
      </c>
      <c r="G263" t="s">
        <v>193</v>
      </c>
      <c r="H263" t="s">
        <v>194</v>
      </c>
      <c r="I263" t="s">
        <v>9737</v>
      </c>
      <c r="J263" t="s">
        <v>2614</v>
      </c>
      <c r="K263" t="s">
        <v>10463</v>
      </c>
      <c r="L263" t="s">
        <v>6343</v>
      </c>
      <c r="M263" t="s">
        <v>9304</v>
      </c>
      <c r="N263" t="s">
        <v>9305</v>
      </c>
      <c r="O263" t="s">
        <v>9306</v>
      </c>
      <c r="P263" t="s">
        <v>10464</v>
      </c>
      <c r="Q263" t="s">
        <v>10465</v>
      </c>
      <c r="S263" t="s">
        <v>9309</v>
      </c>
      <c r="T263" s="28" t="s">
        <v>9367</v>
      </c>
      <c r="U263" s="27" t="s">
        <v>10466</v>
      </c>
      <c r="V263" t="s">
        <v>194</v>
      </c>
      <c r="W263" t="s">
        <v>9300</v>
      </c>
      <c r="Z263" t="s">
        <v>9311</v>
      </c>
      <c r="AF263" t="s">
        <v>4714</v>
      </c>
      <c r="AG263" t="s">
        <v>10461</v>
      </c>
      <c r="AI263" t="s">
        <v>6955</v>
      </c>
      <c r="AJ263" s="424" t="str">
        <f t="shared" si="12"/>
        <v>422401</v>
      </c>
      <c r="AK263" s="28">
        <v>1</v>
      </c>
      <c r="AL263" s="28">
        <f t="shared" si="14"/>
        <v>1</v>
      </c>
      <c r="AM263" s="28" t="str">
        <f t="shared" si="13"/>
        <v>pracuj.pl</v>
      </c>
    </row>
    <row r="264" spans="1:39" x14ac:dyDescent="0.25">
      <c r="A264" t="s">
        <v>10467</v>
      </c>
      <c r="B264" t="s">
        <v>10468</v>
      </c>
      <c r="C264" t="s">
        <v>36</v>
      </c>
      <c r="D264" s="27" t="s">
        <v>9299</v>
      </c>
      <c r="E264" t="s">
        <v>192</v>
      </c>
      <c r="F264" s="421">
        <v>1</v>
      </c>
      <c r="G264" t="s">
        <v>193</v>
      </c>
      <c r="H264" t="s">
        <v>194</v>
      </c>
      <c r="I264" t="s">
        <v>9491</v>
      </c>
      <c r="J264" t="s">
        <v>9302</v>
      </c>
      <c r="K264" t="s">
        <v>10469</v>
      </c>
      <c r="L264" t="s">
        <v>6254</v>
      </c>
      <c r="M264" t="s">
        <v>9304</v>
      </c>
      <c r="N264" t="s">
        <v>9305</v>
      </c>
      <c r="O264" t="s">
        <v>9306</v>
      </c>
      <c r="P264" t="s">
        <v>10470</v>
      </c>
      <c r="Q264" t="s">
        <v>10471</v>
      </c>
      <c r="S264" t="s">
        <v>9309</v>
      </c>
      <c r="U264" s="27" t="s">
        <v>609</v>
      </c>
      <c r="V264" t="s">
        <v>193</v>
      </c>
      <c r="W264" t="s">
        <v>9310</v>
      </c>
      <c r="Z264" t="s">
        <v>9311</v>
      </c>
      <c r="AF264" t="s">
        <v>4714</v>
      </c>
      <c r="AG264" t="s">
        <v>10468</v>
      </c>
      <c r="AI264" t="s">
        <v>6955</v>
      </c>
      <c r="AJ264" s="424" t="str">
        <f t="shared" si="12"/>
        <v>331301</v>
      </c>
      <c r="AK264" s="28">
        <v>1</v>
      </c>
      <c r="AL264" s="28">
        <f t="shared" si="14"/>
        <v>1</v>
      </c>
      <c r="AM264" s="28" t="str">
        <f t="shared" si="13"/>
        <v>pracuj.pl</v>
      </c>
    </row>
    <row r="265" spans="1:39" x14ac:dyDescent="0.25">
      <c r="A265" t="s">
        <v>10472</v>
      </c>
      <c r="B265" t="s">
        <v>10473</v>
      </c>
      <c r="C265" t="s">
        <v>778</v>
      </c>
      <c r="D265" s="27" t="s">
        <v>9299</v>
      </c>
      <c r="E265" t="s">
        <v>217</v>
      </c>
      <c r="F265" s="421">
        <v>1</v>
      </c>
      <c r="G265" t="s">
        <v>193</v>
      </c>
      <c r="H265" t="s">
        <v>194</v>
      </c>
      <c r="I265" t="s">
        <v>9369</v>
      </c>
      <c r="J265" t="s">
        <v>8527</v>
      </c>
      <c r="K265" t="s">
        <v>10474</v>
      </c>
      <c r="L265" t="s">
        <v>6249</v>
      </c>
      <c r="M265" t="s">
        <v>9428</v>
      </c>
      <c r="N265" t="s">
        <v>10045</v>
      </c>
      <c r="O265" t="s">
        <v>9491</v>
      </c>
      <c r="P265" t="s">
        <v>10475</v>
      </c>
      <c r="Q265" t="s">
        <v>10476</v>
      </c>
      <c r="S265" t="s">
        <v>9309</v>
      </c>
      <c r="T265" s="28" t="s">
        <v>9726</v>
      </c>
      <c r="U265" s="27" t="s">
        <v>779</v>
      </c>
      <c r="V265" t="s">
        <v>194</v>
      </c>
      <c r="W265" t="s">
        <v>9300</v>
      </c>
      <c r="Z265" t="s">
        <v>9311</v>
      </c>
      <c r="AF265" t="s">
        <v>4714</v>
      </c>
      <c r="AG265" t="s">
        <v>9433</v>
      </c>
      <c r="AI265" t="s">
        <v>6955</v>
      </c>
      <c r="AJ265" s="424" t="str">
        <f t="shared" si="12"/>
        <v>524902</v>
      </c>
      <c r="AK265" s="28">
        <v>1</v>
      </c>
      <c r="AL265" s="28">
        <f t="shared" si="14"/>
        <v>1</v>
      </c>
      <c r="AM265" s="28" t="str">
        <f t="shared" si="13"/>
        <v>agora</v>
      </c>
    </row>
    <row r="266" spans="1:39" x14ac:dyDescent="0.25">
      <c r="A266" t="s">
        <v>10477</v>
      </c>
      <c r="B266" t="s">
        <v>1724</v>
      </c>
      <c r="C266" t="s">
        <v>17</v>
      </c>
      <c r="D266" s="27" t="s">
        <v>9299</v>
      </c>
      <c r="E266" t="s">
        <v>192</v>
      </c>
      <c r="F266" s="421">
        <v>1</v>
      </c>
      <c r="G266" t="s">
        <v>193</v>
      </c>
      <c r="H266" t="s">
        <v>194</v>
      </c>
      <c r="I266" t="s">
        <v>9737</v>
      </c>
      <c r="J266" t="s">
        <v>210</v>
      </c>
      <c r="K266" t="s">
        <v>10478</v>
      </c>
      <c r="L266" t="s">
        <v>6245</v>
      </c>
      <c r="M266" t="s">
        <v>9304</v>
      </c>
      <c r="N266" t="s">
        <v>9305</v>
      </c>
      <c r="O266" t="s">
        <v>9306</v>
      </c>
      <c r="P266" t="s">
        <v>10479</v>
      </c>
      <c r="Q266" t="s">
        <v>10480</v>
      </c>
      <c r="S266" t="s">
        <v>9309</v>
      </c>
      <c r="T266" s="28" t="s">
        <v>9334</v>
      </c>
      <c r="U266" s="27" t="s">
        <v>624</v>
      </c>
      <c r="V266" t="s">
        <v>194</v>
      </c>
      <c r="W266" t="s">
        <v>9300</v>
      </c>
      <c r="Z266" t="s">
        <v>9311</v>
      </c>
      <c r="AF266" t="s">
        <v>4714</v>
      </c>
      <c r="AG266" t="s">
        <v>1724</v>
      </c>
      <c r="AI266" t="s">
        <v>6955</v>
      </c>
      <c r="AJ266" s="424" t="str">
        <f t="shared" si="12"/>
        <v>332203</v>
      </c>
      <c r="AK266" s="28">
        <v>1</v>
      </c>
      <c r="AL266" s="28">
        <f t="shared" si="14"/>
        <v>1</v>
      </c>
      <c r="AM266" s="28" t="str">
        <f t="shared" si="13"/>
        <v>pracuj.pl</v>
      </c>
    </row>
    <row r="267" spans="1:39" x14ac:dyDescent="0.25">
      <c r="A267" t="s">
        <v>10481</v>
      </c>
      <c r="B267" t="s">
        <v>2192</v>
      </c>
      <c r="C267" t="s">
        <v>29</v>
      </c>
      <c r="D267" s="27" t="s">
        <v>9299</v>
      </c>
      <c r="E267" t="s">
        <v>192</v>
      </c>
      <c r="F267" s="421">
        <v>1</v>
      </c>
      <c r="G267" t="s">
        <v>193</v>
      </c>
      <c r="H267" t="s">
        <v>194</v>
      </c>
      <c r="I267" t="s">
        <v>9343</v>
      </c>
      <c r="J267" t="s">
        <v>301</v>
      </c>
      <c r="K267" t="s">
        <v>10482</v>
      </c>
      <c r="L267" t="s">
        <v>6275</v>
      </c>
      <c r="M267" t="s">
        <v>9304</v>
      </c>
      <c r="N267" t="s">
        <v>9305</v>
      </c>
      <c r="O267" t="s">
        <v>9306</v>
      </c>
      <c r="P267" t="s">
        <v>10483</v>
      </c>
      <c r="Q267" t="s">
        <v>10484</v>
      </c>
      <c r="S267" t="s">
        <v>9309</v>
      </c>
      <c r="T267" s="28" t="s">
        <v>9367</v>
      </c>
      <c r="U267" s="27" t="s">
        <v>808</v>
      </c>
      <c r="V267" t="s">
        <v>194</v>
      </c>
      <c r="W267" t="s">
        <v>9300</v>
      </c>
      <c r="Z267" t="s">
        <v>9311</v>
      </c>
      <c r="AF267" t="s">
        <v>4714</v>
      </c>
      <c r="AG267" t="s">
        <v>2192</v>
      </c>
      <c r="AI267" t="s">
        <v>6955</v>
      </c>
      <c r="AJ267" s="424" t="str">
        <f t="shared" si="12"/>
        <v>722308</v>
      </c>
      <c r="AK267" s="28">
        <v>1</v>
      </c>
      <c r="AL267" s="28">
        <f t="shared" si="14"/>
        <v>1</v>
      </c>
      <c r="AM267" s="28" t="str">
        <f t="shared" si="13"/>
        <v>pracuj.pl</v>
      </c>
    </row>
    <row r="268" spans="1:39" x14ac:dyDescent="0.25">
      <c r="A268" t="s">
        <v>10481</v>
      </c>
      <c r="B268" t="s">
        <v>2192</v>
      </c>
      <c r="C268" t="s">
        <v>29</v>
      </c>
      <c r="D268" s="27" t="s">
        <v>9299</v>
      </c>
      <c r="E268" t="s">
        <v>192</v>
      </c>
      <c r="F268" s="421">
        <v>1</v>
      </c>
      <c r="G268" t="s">
        <v>193</v>
      </c>
      <c r="H268" t="s">
        <v>194</v>
      </c>
      <c r="I268" t="s">
        <v>9343</v>
      </c>
      <c r="J268" t="s">
        <v>10485</v>
      </c>
      <c r="K268" t="s">
        <v>10486</v>
      </c>
      <c r="L268" t="s">
        <v>6275</v>
      </c>
      <c r="M268" t="s">
        <v>9304</v>
      </c>
      <c r="N268" t="s">
        <v>9305</v>
      </c>
      <c r="O268" t="s">
        <v>9306</v>
      </c>
      <c r="P268" t="s">
        <v>10487</v>
      </c>
      <c r="Q268" t="s">
        <v>10488</v>
      </c>
      <c r="S268" t="s">
        <v>9309</v>
      </c>
      <c r="T268" s="28" t="s">
        <v>9367</v>
      </c>
      <c r="U268" s="27" t="s">
        <v>808</v>
      </c>
      <c r="V268" t="s">
        <v>194</v>
      </c>
      <c r="W268" t="s">
        <v>9300</v>
      </c>
      <c r="Z268" t="s">
        <v>9311</v>
      </c>
      <c r="AF268" t="s">
        <v>4714</v>
      </c>
      <c r="AG268" t="s">
        <v>2192</v>
      </c>
      <c r="AI268" t="s">
        <v>6955</v>
      </c>
      <c r="AJ268" s="424" t="str">
        <f t="shared" si="12"/>
        <v>722308</v>
      </c>
      <c r="AK268" s="28">
        <v>1</v>
      </c>
      <c r="AL268" s="28">
        <f t="shared" si="14"/>
        <v>1</v>
      </c>
      <c r="AM268" s="28" t="str">
        <f t="shared" si="13"/>
        <v>pracuj.pl</v>
      </c>
    </row>
    <row r="269" spans="1:39" x14ac:dyDescent="0.25">
      <c r="A269" t="s">
        <v>9522</v>
      </c>
      <c r="B269" t="s">
        <v>9560</v>
      </c>
      <c r="C269" t="s">
        <v>10</v>
      </c>
      <c r="D269" s="27" t="s">
        <v>9299</v>
      </c>
      <c r="E269" t="s">
        <v>217</v>
      </c>
      <c r="F269" s="421">
        <v>1</v>
      </c>
      <c r="G269" t="s">
        <v>193</v>
      </c>
      <c r="H269" t="s">
        <v>194</v>
      </c>
      <c r="I269" t="s">
        <v>9491</v>
      </c>
      <c r="J269" t="s">
        <v>9524</v>
      </c>
      <c r="K269" t="s">
        <v>9561</v>
      </c>
      <c r="L269" t="s">
        <v>6261</v>
      </c>
      <c r="M269" t="s">
        <v>9436</v>
      </c>
      <c r="N269" t="s">
        <v>9541</v>
      </c>
      <c r="O269" t="s">
        <v>9306</v>
      </c>
      <c r="P269" t="s">
        <v>9562</v>
      </c>
      <c r="Q269" t="s">
        <v>9563</v>
      </c>
      <c r="S269" t="s">
        <v>9309</v>
      </c>
      <c r="U269" s="27" t="s">
        <v>484</v>
      </c>
      <c r="V269" t="s">
        <v>193</v>
      </c>
      <c r="W269" t="s">
        <v>9310</v>
      </c>
      <c r="Z269" t="s">
        <v>9311</v>
      </c>
      <c r="AF269" t="s">
        <v>4714</v>
      </c>
      <c r="AG269" t="s">
        <v>9433</v>
      </c>
      <c r="AI269" t="s">
        <v>6955</v>
      </c>
      <c r="AJ269" s="424" t="str">
        <f t="shared" si="12"/>
        <v>251401</v>
      </c>
      <c r="AK269" s="28">
        <v>1</v>
      </c>
      <c r="AL269" s="28">
        <f t="shared" si="14"/>
        <v>1</v>
      </c>
      <c r="AM269" s="28" t="str">
        <f t="shared" si="13"/>
        <v>agora</v>
      </c>
    </row>
    <row r="270" spans="1:39" x14ac:dyDescent="0.25">
      <c r="A270" t="s">
        <v>10493</v>
      </c>
      <c r="B270" t="s">
        <v>10494</v>
      </c>
      <c r="C270" t="s">
        <v>778</v>
      </c>
      <c r="D270" s="27" t="s">
        <v>9299</v>
      </c>
      <c r="E270" t="s">
        <v>192</v>
      </c>
      <c r="F270" s="421">
        <v>1</v>
      </c>
      <c r="G270" t="s">
        <v>193</v>
      </c>
      <c r="H270" t="s">
        <v>194</v>
      </c>
      <c r="I270" t="s">
        <v>9369</v>
      </c>
      <c r="J270" t="s">
        <v>210</v>
      </c>
      <c r="K270" t="s">
        <v>10495</v>
      </c>
      <c r="L270" t="s">
        <v>6245</v>
      </c>
      <c r="M270" t="s">
        <v>9304</v>
      </c>
      <c r="N270" t="s">
        <v>9305</v>
      </c>
      <c r="O270" t="s">
        <v>9306</v>
      </c>
      <c r="P270" t="s">
        <v>10496</v>
      </c>
      <c r="Q270" t="s">
        <v>10497</v>
      </c>
      <c r="S270" t="s">
        <v>9309</v>
      </c>
      <c r="T270" s="28" t="s">
        <v>9334</v>
      </c>
      <c r="U270" s="27" t="s">
        <v>779</v>
      </c>
      <c r="V270" t="s">
        <v>194</v>
      </c>
      <c r="W270" t="s">
        <v>9300</v>
      </c>
      <c r="Z270" t="s">
        <v>9311</v>
      </c>
      <c r="AF270" t="s">
        <v>4714</v>
      </c>
      <c r="AG270" t="s">
        <v>10494</v>
      </c>
      <c r="AI270" t="s">
        <v>6955</v>
      </c>
      <c r="AJ270" s="424" t="str">
        <f t="shared" si="12"/>
        <v>524902</v>
      </c>
      <c r="AK270" s="28">
        <v>1</v>
      </c>
      <c r="AL270" s="28">
        <f t="shared" si="14"/>
        <v>1</v>
      </c>
      <c r="AM270" s="28" t="str">
        <f t="shared" si="13"/>
        <v>pracuj.pl</v>
      </c>
    </row>
    <row r="271" spans="1:39" x14ac:dyDescent="0.25">
      <c r="A271" t="s">
        <v>10498</v>
      </c>
      <c r="B271" t="s">
        <v>10499</v>
      </c>
      <c r="C271" t="s">
        <v>525</v>
      </c>
      <c r="D271" s="27" t="s">
        <v>9299</v>
      </c>
      <c r="E271" t="s">
        <v>192</v>
      </c>
      <c r="F271" s="421">
        <v>1</v>
      </c>
      <c r="G271" t="s">
        <v>193</v>
      </c>
      <c r="H271" t="s">
        <v>194</v>
      </c>
      <c r="I271" t="s">
        <v>9989</v>
      </c>
      <c r="J271" t="s">
        <v>9302</v>
      </c>
      <c r="K271" t="s">
        <v>10500</v>
      </c>
      <c r="L271" t="s">
        <v>6286</v>
      </c>
      <c r="M271" t="s">
        <v>9304</v>
      </c>
      <c r="N271" t="s">
        <v>9305</v>
      </c>
      <c r="O271" t="s">
        <v>9306</v>
      </c>
      <c r="P271" t="s">
        <v>10501</v>
      </c>
      <c r="Q271" t="s">
        <v>10502</v>
      </c>
      <c r="S271" t="s">
        <v>9309</v>
      </c>
      <c r="U271" s="27" t="s">
        <v>526</v>
      </c>
      <c r="V271" t="s">
        <v>193</v>
      </c>
      <c r="W271" t="s">
        <v>9310</v>
      </c>
      <c r="Z271" t="s">
        <v>9311</v>
      </c>
      <c r="AF271" t="s">
        <v>4714</v>
      </c>
      <c r="AG271" t="s">
        <v>10499</v>
      </c>
      <c r="AI271" t="s">
        <v>6955</v>
      </c>
      <c r="AJ271" s="424" t="str">
        <f t="shared" si="12"/>
        <v>263102</v>
      </c>
      <c r="AK271" s="28">
        <v>1</v>
      </c>
      <c r="AL271" s="28">
        <f t="shared" si="14"/>
        <v>1</v>
      </c>
      <c r="AM271" s="28" t="str">
        <f t="shared" si="13"/>
        <v>pracuj.pl</v>
      </c>
    </row>
    <row r="272" spans="1:39" x14ac:dyDescent="0.25">
      <c r="A272" t="s">
        <v>10503</v>
      </c>
      <c r="B272" t="s">
        <v>10504</v>
      </c>
      <c r="C272" t="s">
        <v>35</v>
      </c>
      <c r="D272" s="27" t="s">
        <v>9299</v>
      </c>
      <c r="E272" t="s">
        <v>192</v>
      </c>
      <c r="F272" s="421">
        <v>1</v>
      </c>
      <c r="G272" t="s">
        <v>193</v>
      </c>
      <c r="H272" t="s">
        <v>194</v>
      </c>
      <c r="I272" t="s">
        <v>9737</v>
      </c>
      <c r="J272" t="s">
        <v>9302</v>
      </c>
      <c r="K272" t="s">
        <v>10505</v>
      </c>
      <c r="L272" t="s">
        <v>6245</v>
      </c>
      <c r="M272" t="s">
        <v>9304</v>
      </c>
      <c r="N272" t="s">
        <v>9305</v>
      </c>
      <c r="O272" t="s">
        <v>9306</v>
      </c>
      <c r="P272" t="s">
        <v>10506</v>
      </c>
      <c r="Q272" t="s">
        <v>10507</v>
      </c>
      <c r="S272" t="s">
        <v>9309</v>
      </c>
      <c r="U272" s="27" t="s">
        <v>207</v>
      </c>
      <c r="V272" t="s">
        <v>193</v>
      </c>
      <c r="W272" t="s">
        <v>9310</v>
      </c>
      <c r="Z272" t="s">
        <v>9311</v>
      </c>
      <c r="AF272" t="s">
        <v>4714</v>
      </c>
      <c r="AG272" t="s">
        <v>10504</v>
      </c>
      <c r="AI272" t="s">
        <v>6955</v>
      </c>
      <c r="AJ272" s="424" t="str">
        <f t="shared" si="12"/>
        <v>122106</v>
      </c>
      <c r="AK272" s="28">
        <v>1</v>
      </c>
      <c r="AL272" s="28">
        <f t="shared" si="14"/>
        <v>1</v>
      </c>
      <c r="AM272" s="28" t="str">
        <f t="shared" si="13"/>
        <v>pracuj.pl</v>
      </c>
    </row>
    <row r="273" spans="1:39" x14ac:dyDescent="0.25">
      <c r="A273" t="s">
        <v>10508</v>
      </c>
      <c r="B273" t="s">
        <v>17</v>
      </c>
      <c r="C273" t="s">
        <v>17</v>
      </c>
      <c r="D273" s="27" t="s">
        <v>9299</v>
      </c>
      <c r="E273" t="s">
        <v>192</v>
      </c>
      <c r="F273" s="421">
        <v>1</v>
      </c>
      <c r="G273" t="s">
        <v>193</v>
      </c>
      <c r="H273" t="s">
        <v>194</v>
      </c>
      <c r="I273" t="s">
        <v>9461</v>
      </c>
      <c r="J273" t="s">
        <v>9302</v>
      </c>
      <c r="K273" t="s">
        <v>10509</v>
      </c>
      <c r="L273" t="s">
        <v>6245</v>
      </c>
      <c r="M273" t="s">
        <v>9304</v>
      </c>
      <c r="N273" t="s">
        <v>9305</v>
      </c>
      <c r="O273" t="s">
        <v>9306</v>
      </c>
      <c r="P273" t="s">
        <v>10510</v>
      </c>
      <c r="Q273" t="s">
        <v>10511</v>
      </c>
      <c r="S273" t="s">
        <v>9309</v>
      </c>
      <c r="U273" s="27" t="s">
        <v>624</v>
      </c>
      <c r="V273" t="s">
        <v>193</v>
      </c>
      <c r="W273" t="s">
        <v>9310</v>
      </c>
      <c r="Z273" t="s">
        <v>9311</v>
      </c>
      <c r="AF273" t="s">
        <v>4714</v>
      </c>
      <c r="AG273" t="s">
        <v>17</v>
      </c>
      <c r="AI273" t="s">
        <v>6955</v>
      </c>
      <c r="AJ273" s="424" t="str">
        <f t="shared" si="12"/>
        <v>332203</v>
      </c>
      <c r="AK273" s="28">
        <v>1</v>
      </c>
      <c r="AL273" s="28">
        <f t="shared" si="14"/>
        <v>1</v>
      </c>
      <c r="AM273" s="28" t="str">
        <f t="shared" si="13"/>
        <v>pracuj.pl</v>
      </c>
    </row>
    <row r="274" spans="1:39" x14ac:dyDescent="0.25">
      <c r="A274" t="s">
        <v>10512</v>
      </c>
      <c r="B274" t="s">
        <v>10513</v>
      </c>
      <c r="C274" t="s">
        <v>354</v>
      </c>
      <c r="D274" s="27" t="s">
        <v>9299</v>
      </c>
      <c r="E274" t="s">
        <v>217</v>
      </c>
      <c r="F274" s="421">
        <v>1</v>
      </c>
      <c r="G274" t="s">
        <v>193</v>
      </c>
      <c r="H274" t="s">
        <v>194</v>
      </c>
      <c r="I274" t="s">
        <v>9737</v>
      </c>
      <c r="J274" t="s">
        <v>210</v>
      </c>
      <c r="K274" t="s">
        <v>10514</v>
      </c>
      <c r="L274" t="s">
        <v>6269</v>
      </c>
      <c r="M274" t="s">
        <v>9428</v>
      </c>
      <c r="N274" t="s">
        <v>10005</v>
      </c>
      <c r="O274" t="s">
        <v>9537</v>
      </c>
      <c r="P274" t="s">
        <v>10515</v>
      </c>
      <c r="Q274" t="s">
        <v>10516</v>
      </c>
      <c r="S274" t="s">
        <v>9309</v>
      </c>
      <c r="T274" s="28" t="s">
        <v>9334</v>
      </c>
      <c r="U274" s="27" t="s">
        <v>355</v>
      </c>
      <c r="V274" t="s">
        <v>194</v>
      </c>
      <c r="W274" t="s">
        <v>9300</v>
      </c>
      <c r="Z274" t="s">
        <v>9311</v>
      </c>
      <c r="AF274" t="s">
        <v>4714</v>
      </c>
      <c r="AG274" t="s">
        <v>9433</v>
      </c>
      <c r="AI274" t="s">
        <v>6955</v>
      </c>
      <c r="AJ274" s="424" t="str">
        <f t="shared" si="12"/>
        <v>215103</v>
      </c>
      <c r="AK274" s="28">
        <v>1</v>
      </c>
      <c r="AL274" s="28">
        <f t="shared" si="14"/>
        <v>1</v>
      </c>
      <c r="AM274" s="28" t="str">
        <f t="shared" si="13"/>
        <v>agora</v>
      </c>
    </row>
    <row r="275" spans="1:39" x14ac:dyDescent="0.25">
      <c r="A275" t="s">
        <v>10517</v>
      </c>
      <c r="B275" t="s">
        <v>10201</v>
      </c>
      <c r="C275" t="s">
        <v>18</v>
      </c>
      <c r="D275" s="27" t="s">
        <v>9835</v>
      </c>
      <c r="E275" t="s">
        <v>192</v>
      </c>
      <c r="F275" s="421">
        <v>1</v>
      </c>
      <c r="G275" t="s">
        <v>193</v>
      </c>
      <c r="H275" t="s">
        <v>194</v>
      </c>
      <c r="I275" t="s">
        <v>9343</v>
      </c>
      <c r="J275" t="s">
        <v>9302</v>
      </c>
      <c r="K275" t="s">
        <v>10518</v>
      </c>
      <c r="L275" t="s">
        <v>6340</v>
      </c>
      <c r="M275" t="s">
        <v>10519</v>
      </c>
      <c r="N275" t="s">
        <v>10045</v>
      </c>
      <c r="O275" t="s">
        <v>9369</v>
      </c>
      <c r="P275" t="s">
        <v>10520</v>
      </c>
      <c r="Q275" t="s">
        <v>10521</v>
      </c>
      <c r="S275" t="s">
        <v>9309</v>
      </c>
      <c r="U275" s="27" t="s">
        <v>1476</v>
      </c>
      <c r="V275" t="s">
        <v>193</v>
      </c>
      <c r="W275" t="s">
        <v>9310</v>
      </c>
      <c r="Z275" t="s">
        <v>9311</v>
      </c>
      <c r="AF275" t="s">
        <v>4714</v>
      </c>
      <c r="AG275" t="s">
        <v>10201</v>
      </c>
      <c r="AI275" t="s">
        <v>6955</v>
      </c>
      <c r="AJ275" s="424" t="str">
        <f t="shared" si="12"/>
        <v>242309</v>
      </c>
      <c r="AK275" s="28">
        <v>1</v>
      </c>
      <c r="AL275" s="28">
        <f t="shared" si="14"/>
        <v>1</v>
      </c>
      <c r="AM275" s="28" t="str">
        <f t="shared" si="13"/>
        <v>pracuj.pl</v>
      </c>
    </row>
    <row r="276" spans="1:39" x14ac:dyDescent="0.25">
      <c r="A276" t="s">
        <v>10522</v>
      </c>
      <c r="B276" t="s">
        <v>10523</v>
      </c>
      <c r="C276" t="s">
        <v>778</v>
      </c>
      <c r="D276" s="27" t="s">
        <v>9835</v>
      </c>
      <c r="E276" t="s">
        <v>192</v>
      </c>
      <c r="F276" s="421">
        <v>1</v>
      </c>
      <c r="G276" t="s">
        <v>193</v>
      </c>
      <c r="H276" t="s">
        <v>194</v>
      </c>
      <c r="I276" t="s">
        <v>9369</v>
      </c>
      <c r="J276" t="s">
        <v>9302</v>
      </c>
      <c r="K276" t="s">
        <v>10524</v>
      </c>
      <c r="L276" t="s">
        <v>6251</v>
      </c>
      <c r="M276" t="s">
        <v>10519</v>
      </c>
      <c r="N276" t="s">
        <v>10045</v>
      </c>
      <c r="O276" t="s">
        <v>9369</v>
      </c>
      <c r="P276" t="s">
        <v>10525</v>
      </c>
      <c r="Q276" t="s">
        <v>10526</v>
      </c>
      <c r="S276" t="s">
        <v>9309</v>
      </c>
      <c r="U276" s="27" t="s">
        <v>779</v>
      </c>
      <c r="V276" t="s">
        <v>193</v>
      </c>
      <c r="W276" t="s">
        <v>9310</v>
      </c>
      <c r="Z276" t="s">
        <v>9311</v>
      </c>
      <c r="AF276" t="s">
        <v>4714</v>
      </c>
      <c r="AG276" t="s">
        <v>10523</v>
      </c>
      <c r="AI276" t="s">
        <v>6955</v>
      </c>
      <c r="AJ276" s="424" t="str">
        <f t="shared" si="12"/>
        <v>524902</v>
      </c>
      <c r="AK276" s="28">
        <v>1</v>
      </c>
      <c r="AL276" s="28">
        <f t="shared" si="14"/>
        <v>1</v>
      </c>
      <c r="AM276" s="28" t="str">
        <f t="shared" si="13"/>
        <v>pracuj.pl</v>
      </c>
    </row>
    <row r="277" spans="1:39" x14ac:dyDescent="0.25">
      <c r="A277" t="s">
        <v>10527</v>
      </c>
      <c r="B277" t="s">
        <v>10528</v>
      </c>
      <c r="C277" t="s">
        <v>740</v>
      </c>
      <c r="D277" s="27" t="s">
        <v>9835</v>
      </c>
      <c r="E277" t="s">
        <v>192</v>
      </c>
      <c r="F277" s="421">
        <v>1</v>
      </c>
      <c r="G277" t="s">
        <v>193</v>
      </c>
      <c r="H277" t="s">
        <v>194</v>
      </c>
      <c r="I277" t="s">
        <v>10529</v>
      </c>
      <c r="J277" t="s">
        <v>210</v>
      </c>
      <c r="K277" t="s">
        <v>10530</v>
      </c>
      <c r="L277" t="s">
        <v>6343</v>
      </c>
      <c r="M277" t="s">
        <v>10519</v>
      </c>
      <c r="N277" t="s">
        <v>10045</v>
      </c>
      <c r="O277" t="s">
        <v>9369</v>
      </c>
      <c r="P277" t="s">
        <v>10531</v>
      </c>
      <c r="Q277" t="s">
        <v>10532</v>
      </c>
      <c r="S277" t="s">
        <v>9309</v>
      </c>
      <c r="T277" s="28" t="s">
        <v>9334</v>
      </c>
      <c r="U277" s="27" t="s">
        <v>741</v>
      </c>
      <c r="V277" t="s">
        <v>194</v>
      </c>
      <c r="W277" t="s">
        <v>9300</v>
      </c>
      <c r="Z277" t="s">
        <v>9311</v>
      </c>
      <c r="AF277" t="s">
        <v>4714</v>
      </c>
      <c r="AG277" t="s">
        <v>10528</v>
      </c>
      <c r="AI277" t="s">
        <v>6955</v>
      </c>
      <c r="AJ277" s="424" t="str">
        <f t="shared" si="12"/>
        <v>522301</v>
      </c>
      <c r="AK277" s="28">
        <v>1</v>
      </c>
      <c r="AL277" s="28">
        <f t="shared" si="14"/>
        <v>1</v>
      </c>
      <c r="AM277" s="28" t="str">
        <f t="shared" si="13"/>
        <v>pracuj.pl</v>
      </c>
    </row>
    <row r="278" spans="1:39" x14ac:dyDescent="0.25">
      <c r="A278" t="s">
        <v>9522</v>
      </c>
      <c r="B278" t="s">
        <v>9564</v>
      </c>
      <c r="C278" t="s">
        <v>10</v>
      </c>
      <c r="D278" s="27" t="s">
        <v>9299</v>
      </c>
      <c r="E278" t="s">
        <v>217</v>
      </c>
      <c r="F278" s="421">
        <v>1</v>
      </c>
      <c r="G278" t="s">
        <v>193</v>
      </c>
      <c r="H278" t="s">
        <v>194</v>
      </c>
      <c r="I278" t="s">
        <v>9491</v>
      </c>
      <c r="J278" t="s">
        <v>210</v>
      </c>
      <c r="K278" t="s">
        <v>9565</v>
      </c>
      <c r="L278" t="s">
        <v>6261</v>
      </c>
      <c r="M278" t="s">
        <v>9436</v>
      </c>
      <c r="N278" t="s">
        <v>9541</v>
      </c>
      <c r="O278" t="s">
        <v>9461</v>
      </c>
      <c r="P278" t="s">
        <v>9566</v>
      </c>
      <c r="Q278" t="s">
        <v>9567</v>
      </c>
      <c r="S278" t="s">
        <v>9309</v>
      </c>
      <c r="T278" s="28" t="s">
        <v>9334</v>
      </c>
      <c r="U278" s="27" t="s">
        <v>484</v>
      </c>
      <c r="V278" t="s">
        <v>194</v>
      </c>
      <c r="W278" t="s">
        <v>9300</v>
      </c>
      <c r="Z278" t="s">
        <v>9311</v>
      </c>
      <c r="AF278" t="s">
        <v>4714</v>
      </c>
      <c r="AG278" t="s">
        <v>9433</v>
      </c>
      <c r="AI278" t="s">
        <v>6955</v>
      </c>
      <c r="AJ278" s="424" t="str">
        <f t="shared" si="12"/>
        <v>251401</v>
      </c>
      <c r="AK278" s="28">
        <v>1</v>
      </c>
      <c r="AL278" s="28">
        <f t="shared" si="14"/>
        <v>1</v>
      </c>
      <c r="AM278" s="28" t="str">
        <f t="shared" si="13"/>
        <v>agora</v>
      </c>
    </row>
    <row r="279" spans="1:39" x14ac:dyDescent="0.25">
      <c r="A279" t="s">
        <v>5999</v>
      </c>
      <c r="B279" t="s">
        <v>8538</v>
      </c>
      <c r="C279" t="s">
        <v>6617</v>
      </c>
      <c r="D279" s="27" t="s">
        <v>9835</v>
      </c>
      <c r="E279" t="s">
        <v>233</v>
      </c>
      <c r="F279" s="421">
        <v>1</v>
      </c>
      <c r="G279" t="s">
        <v>193</v>
      </c>
      <c r="H279" t="s">
        <v>194</v>
      </c>
      <c r="I279" t="s">
        <v>9343</v>
      </c>
      <c r="J279" t="s">
        <v>9302</v>
      </c>
      <c r="K279" t="s">
        <v>10538</v>
      </c>
      <c r="L279" t="s">
        <v>6266</v>
      </c>
      <c r="M279" t="s">
        <v>10539</v>
      </c>
      <c r="N279" t="s">
        <v>9588</v>
      </c>
      <c r="O279" t="s">
        <v>9537</v>
      </c>
      <c r="P279" t="s">
        <v>10540</v>
      </c>
      <c r="Q279" t="s">
        <v>10541</v>
      </c>
      <c r="S279" t="s">
        <v>9309</v>
      </c>
      <c r="U279" s="27" t="s">
        <v>990</v>
      </c>
      <c r="V279" t="s">
        <v>193</v>
      </c>
      <c r="W279" t="s">
        <v>9310</v>
      </c>
      <c r="Z279" t="s">
        <v>9311</v>
      </c>
      <c r="AF279" t="s">
        <v>4714</v>
      </c>
      <c r="AG279" t="s">
        <v>8538</v>
      </c>
      <c r="AI279" t="s">
        <v>6955</v>
      </c>
      <c r="AJ279" s="424" t="str">
        <f t="shared" si="12"/>
        <v>833202</v>
      </c>
      <c r="AK279" s="28">
        <v>1</v>
      </c>
      <c r="AL279" s="28">
        <f t="shared" si="14"/>
        <v>1</v>
      </c>
      <c r="AM279" s="28" t="str">
        <f t="shared" si="13"/>
        <v>praca</v>
      </c>
    </row>
    <row r="280" spans="1:39" x14ac:dyDescent="0.25">
      <c r="A280" t="s">
        <v>5999</v>
      </c>
      <c r="B280" t="s">
        <v>8538</v>
      </c>
      <c r="C280" t="s">
        <v>6617</v>
      </c>
      <c r="D280" s="27" t="s">
        <v>9835</v>
      </c>
      <c r="E280" t="s">
        <v>233</v>
      </c>
      <c r="F280" s="421">
        <v>1</v>
      </c>
      <c r="G280" t="s">
        <v>193</v>
      </c>
      <c r="H280" t="s">
        <v>194</v>
      </c>
      <c r="I280" t="s">
        <v>9343</v>
      </c>
      <c r="J280" t="s">
        <v>9302</v>
      </c>
      <c r="K280" t="s">
        <v>10542</v>
      </c>
      <c r="L280" t="s">
        <v>6266</v>
      </c>
      <c r="M280" t="s">
        <v>10539</v>
      </c>
      <c r="N280" t="s">
        <v>9588</v>
      </c>
      <c r="O280" t="s">
        <v>9537</v>
      </c>
      <c r="P280" t="s">
        <v>10543</v>
      </c>
      <c r="Q280" t="s">
        <v>10544</v>
      </c>
      <c r="S280" t="s">
        <v>9309</v>
      </c>
      <c r="U280" s="27" t="s">
        <v>990</v>
      </c>
      <c r="V280" t="s">
        <v>193</v>
      </c>
      <c r="W280" t="s">
        <v>9310</v>
      </c>
      <c r="Z280" t="s">
        <v>9311</v>
      </c>
      <c r="AF280" t="s">
        <v>4714</v>
      </c>
      <c r="AG280" t="s">
        <v>8538</v>
      </c>
      <c r="AI280" t="s">
        <v>6955</v>
      </c>
      <c r="AJ280" s="424" t="str">
        <f t="shared" si="12"/>
        <v>833202</v>
      </c>
      <c r="AK280" s="28">
        <v>1</v>
      </c>
      <c r="AL280" s="28">
        <f t="shared" si="14"/>
        <v>1</v>
      </c>
      <c r="AM280" s="28" t="str">
        <f t="shared" si="13"/>
        <v>praca</v>
      </c>
    </row>
    <row r="281" spans="1:39" x14ac:dyDescent="0.25">
      <c r="A281" t="s">
        <v>9522</v>
      </c>
      <c r="B281" t="s">
        <v>9564</v>
      </c>
      <c r="C281" t="s">
        <v>10</v>
      </c>
      <c r="D281" s="27" t="s">
        <v>9299</v>
      </c>
      <c r="E281" t="s">
        <v>217</v>
      </c>
      <c r="F281" s="421">
        <v>1</v>
      </c>
      <c r="G281" t="s">
        <v>193</v>
      </c>
      <c r="H281" t="s">
        <v>194</v>
      </c>
      <c r="I281" t="s">
        <v>9491</v>
      </c>
      <c r="J281" t="s">
        <v>210</v>
      </c>
      <c r="K281" t="s">
        <v>9568</v>
      </c>
      <c r="L281" t="s">
        <v>6261</v>
      </c>
      <c r="M281" t="s">
        <v>9428</v>
      </c>
      <c r="N281" t="s">
        <v>9342</v>
      </c>
      <c r="O281" t="s">
        <v>9542</v>
      </c>
      <c r="P281" t="s">
        <v>9569</v>
      </c>
      <c r="Q281" t="s">
        <v>9570</v>
      </c>
      <c r="S281" t="s">
        <v>9309</v>
      </c>
      <c r="T281" s="28" t="s">
        <v>9334</v>
      </c>
      <c r="U281" s="27" t="s">
        <v>484</v>
      </c>
      <c r="V281" t="s">
        <v>194</v>
      </c>
      <c r="W281" t="s">
        <v>9300</v>
      </c>
      <c r="Z281" t="s">
        <v>9311</v>
      </c>
      <c r="AF281" t="s">
        <v>4714</v>
      </c>
      <c r="AG281" t="s">
        <v>9433</v>
      </c>
      <c r="AI281" t="s">
        <v>6955</v>
      </c>
      <c r="AJ281" s="424" t="str">
        <f t="shared" si="12"/>
        <v>251401</v>
      </c>
      <c r="AK281" s="28">
        <v>1</v>
      </c>
      <c r="AL281" s="28">
        <f t="shared" si="14"/>
        <v>1</v>
      </c>
      <c r="AM281" s="28" t="str">
        <f t="shared" si="13"/>
        <v>agora</v>
      </c>
    </row>
    <row r="282" spans="1:39" x14ac:dyDescent="0.25">
      <c r="A282" t="s">
        <v>9522</v>
      </c>
      <c r="B282" t="s">
        <v>1406</v>
      </c>
      <c r="C282" t="s">
        <v>10</v>
      </c>
      <c r="D282" s="27" t="s">
        <v>9299</v>
      </c>
      <c r="E282" t="s">
        <v>217</v>
      </c>
      <c r="F282" s="421">
        <v>1</v>
      </c>
      <c r="G282" t="s">
        <v>193</v>
      </c>
      <c r="H282" t="s">
        <v>194</v>
      </c>
      <c r="I282" t="s">
        <v>9491</v>
      </c>
      <c r="J282" t="s">
        <v>9524</v>
      </c>
      <c r="K282" t="s">
        <v>9582</v>
      </c>
      <c r="L282" t="s">
        <v>6261</v>
      </c>
      <c r="M282" t="s">
        <v>9436</v>
      </c>
      <c r="N282" t="s">
        <v>9583</v>
      </c>
      <c r="O282" t="s">
        <v>9430</v>
      </c>
      <c r="P282" t="s">
        <v>9584</v>
      </c>
      <c r="Q282" t="s">
        <v>9585</v>
      </c>
      <c r="S282" t="s">
        <v>9309</v>
      </c>
      <c r="U282" s="27" t="s">
        <v>484</v>
      </c>
      <c r="V282" t="s">
        <v>193</v>
      </c>
      <c r="W282" t="s">
        <v>9310</v>
      </c>
      <c r="Z282" t="s">
        <v>9311</v>
      </c>
      <c r="AF282" t="s">
        <v>4714</v>
      </c>
      <c r="AG282" t="s">
        <v>9433</v>
      </c>
      <c r="AI282" t="s">
        <v>6955</v>
      </c>
      <c r="AJ282" s="424" t="str">
        <f t="shared" si="12"/>
        <v>251401</v>
      </c>
      <c r="AK282" s="28">
        <v>1</v>
      </c>
      <c r="AL282" s="28">
        <f t="shared" si="14"/>
        <v>1</v>
      </c>
      <c r="AM282" s="28" t="str">
        <f t="shared" si="13"/>
        <v>agora</v>
      </c>
    </row>
    <row r="283" spans="1:39" x14ac:dyDescent="0.25">
      <c r="A283" t="s">
        <v>9522</v>
      </c>
      <c r="B283" t="s">
        <v>9586</v>
      </c>
      <c r="C283" t="s">
        <v>10</v>
      </c>
      <c r="D283" s="27" t="s">
        <v>9299</v>
      </c>
      <c r="E283" t="s">
        <v>217</v>
      </c>
      <c r="F283" s="421">
        <v>1</v>
      </c>
      <c r="G283" t="s">
        <v>193</v>
      </c>
      <c r="H283" t="s">
        <v>194</v>
      </c>
      <c r="I283" t="s">
        <v>9491</v>
      </c>
      <c r="J283" t="s">
        <v>9524</v>
      </c>
      <c r="K283" t="s">
        <v>9587</v>
      </c>
      <c r="L283" t="s">
        <v>6261</v>
      </c>
      <c r="M283" t="s">
        <v>9428</v>
      </c>
      <c r="N283" t="s">
        <v>9588</v>
      </c>
      <c r="O283" t="s">
        <v>9557</v>
      </c>
      <c r="P283" t="s">
        <v>9589</v>
      </c>
      <c r="Q283" t="s">
        <v>9590</v>
      </c>
      <c r="S283" t="s">
        <v>9309</v>
      </c>
      <c r="U283" s="27" t="s">
        <v>484</v>
      </c>
      <c r="V283" t="s">
        <v>193</v>
      </c>
      <c r="W283" t="s">
        <v>9310</v>
      </c>
      <c r="Z283" t="s">
        <v>9311</v>
      </c>
      <c r="AF283" t="s">
        <v>4714</v>
      </c>
      <c r="AG283" t="s">
        <v>9433</v>
      </c>
      <c r="AI283" t="s">
        <v>6955</v>
      </c>
      <c r="AJ283" s="424" t="str">
        <f t="shared" si="12"/>
        <v>251401</v>
      </c>
      <c r="AK283" s="28">
        <v>1</v>
      </c>
      <c r="AL283" s="28">
        <f t="shared" si="14"/>
        <v>1</v>
      </c>
      <c r="AM283" s="28" t="str">
        <f t="shared" si="13"/>
        <v>agora</v>
      </c>
    </row>
    <row r="284" spans="1:39" x14ac:dyDescent="0.25">
      <c r="A284" t="s">
        <v>9522</v>
      </c>
      <c r="B284" t="s">
        <v>9601</v>
      </c>
      <c r="C284" t="s">
        <v>10</v>
      </c>
      <c r="D284" s="27" t="s">
        <v>9299</v>
      </c>
      <c r="E284" t="s">
        <v>217</v>
      </c>
      <c r="F284" s="421">
        <v>1</v>
      </c>
      <c r="G284" t="s">
        <v>193</v>
      </c>
      <c r="H284" t="s">
        <v>194</v>
      </c>
      <c r="I284" t="s">
        <v>9491</v>
      </c>
      <c r="J284" t="s">
        <v>9524</v>
      </c>
      <c r="K284" t="s">
        <v>9602</v>
      </c>
      <c r="L284" t="s">
        <v>6261</v>
      </c>
      <c r="M284" t="s">
        <v>9436</v>
      </c>
      <c r="N284" t="s">
        <v>9603</v>
      </c>
      <c r="O284" t="s">
        <v>9604</v>
      </c>
      <c r="P284" t="s">
        <v>9605</v>
      </c>
      <c r="Q284" t="s">
        <v>9606</v>
      </c>
      <c r="S284" t="s">
        <v>9309</v>
      </c>
      <c r="U284" s="27" t="s">
        <v>484</v>
      </c>
      <c r="V284" t="s">
        <v>193</v>
      </c>
      <c r="W284" t="s">
        <v>9310</v>
      </c>
      <c r="Z284" t="s">
        <v>9311</v>
      </c>
      <c r="AF284" t="s">
        <v>4714</v>
      </c>
      <c r="AG284" t="s">
        <v>9433</v>
      </c>
      <c r="AI284" t="s">
        <v>6955</v>
      </c>
      <c r="AJ284" s="424" t="str">
        <f t="shared" si="12"/>
        <v>251401</v>
      </c>
      <c r="AK284" s="28">
        <v>1</v>
      </c>
      <c r="AL284" s="28">
        <f t="shared" si="14"/>
        <v>1</v>
      </c>
      <c r="AM284" s="28" t="str">
        <f t="shared" si="13"/>
        <v>agora</v>
      </c>
    </row>
    <row r="285" spans="1:39" x14ac:dyDescent="0.25">
      <c r="A285" t="s">
        <v>9522</v>
      </c>
      <c r="B285" t="s">
        <v>9622</v>
      </c>
      <c r="C285" t="s">
        <v>10</v>
      </c>
      <c r="D285" s="27" t="s">
        <v>9299</v>
      </c>
      <c r="E285" t="s">
        <v>217</v>
      </c>
      <c r="F285" s="421">
        <v>1</v>
      </c>
      <c r="G285" t="s">
        <v>193</v>
      </c>
      <c r="H285" t="s">
        <v>194</v>
      </c>
      <c r="I285" t="s">
        <v>9430</v>
      </c>
      <c r="J285" t="s">
        <v>210</v>
      </c>
      <c r="K285" t="s">
        <v>9623</v>
      </c>
      <c r="L285" t="s">
        <v>6261</v>
      </c>
      <c r="M285" t="s">
        <v>9436</v>
      </c>
      <c r="N285" t="s">
        <v>9541</v>
      </c>
      <c r="O285" t="s">
        <v>9542</v>
      </c>
      <c r="P285" t="s">
        <v>9624</v>
      </c>
      <c r="Q285" t="s">
        <v>9625</v>
      </c>
      <c r="S285" t="s">
        <v>9309</v>
      </c>
      <c r="T285" s="28" t="s">
        <v>9334</v>
      </c>
      <c r="U285" s="27" t="s">
        <v>484</v>
      </c>
      <c r="V285" t="s">
        <v>194</v>
      </c>
      <c r="W285" t="s">
        <v>9300</v>
      </c>
      <c r="Z285" t="s">
        <v>9311</v>
      </c>
      <c r="AF285" t="s">
        <v>4714</v>
      </c>
      <c r="AG285" t="s">
        <v>9433</v>
      </c>
      <c r="AI285" t="s">
        <v>6955</v>
      </c>
      <c r="AJ285" s="424" t="str">
        <f t="shared" si="12"/>
        <v>251401</v>
      </c>
      <c r="AK285" s="28">
        <v>1</v>
      </c>
      <c r="AL285" s="28">
        <f t="shared" si="14"/>
        <v>1</v>
      </c>
      <c r="AM285" s="28" t="str">
        <f t="shared" si="13"/>
        <v>agora</v>
      </c>
    </row>
    <row r="286" spans="1:39" x14ac:dyDescent="0.25">
      <c r="A286" t="s">
        <v>8371</v>
      </c>
      <c r="B286" t="s">
        <v>10567</v>
      </c>
      <c r="C286" t="s">
        <v>273</v>
      </c>
      <c r="D286" s="27" t="s">
        <v>9835</v>
      </c>
      <c r="E286" t="s">
        <v>233</v>
      </c>
      <c r="F286" s="421">
        <v>1</v>
      </c>
      <c r="G286" t="s">
        <v>193</v>
      </c>
      <c r="H286" t="s">
        <v>194</v>
      </c>
      <c r="I286" t="s">
        <v>10529</v>
      </c>
      <c r="J286" t="s">
        <v>9302</v>
      </c>
      <c r="K286" t="s">
        <v>10568</v>
      </c>
      <c r="L286" t="s">
        <v>6921</v>
      </c>
      <c r="M286" t="s">
        <v>10539</v>
      </c>
      <c r="N286" t="s">
        <v>9588</v>
      </c>
      <c r="O286" t="s">
        <v>9977</v>
      </c>
      <c r="P286" t="s">
        <v>10569</v>
      </c>
      <c r="Q286" t="s">
        <v>10570</v>
      </c>
      <c r="S286" t="s">
        <v>9309</v>
      </c>
      <c r="U286" s="27" t="s">
        <v>274</v>
      </c>
      <c r="V286" t="s">
        <v>193</v>
      </c>
      <c r="W286" t="s">
        <v>9310</v>
      </c>
      <c r="Z286" t="s">
        <v>9311</v>
      </c>
      <c r="AF286" t="s">
        <v>4714</v>
      </c>
      <c r="AG286" t="s">
        <v>10567</v>
      </c>
      <c r="AI286" t="s">
        <v>6955</v>
      </c>
      <c r="AJ286" s="424" t="str">
        <f t="shared" si="12"/>
        <v>211301</v>
      </c>
      <c r="AK286" s="28">
        <v>1</v>
      </c>
      <c r="AL286" s="28">
        <f t="shared" si="14"/>
        <v>1</v>
      </c>
      <c r="AM286" s="28" t="str">
        <f t="shared" si="13"/>
        <v>praca</v>
      </c>
    </row>
    <row r="287" spans="1:39" x14ac:dyDescent="0.25">
      <c r="A287" t="s">
        <v>9522</v>
      </c>
      <c r="B287" t="s">
        <v>9626</v>
      </c>
      <c r="C287" t="s">
        <v>10</v>
      </c>
      <c r="D287" s="27" t="s">
        <v>9299</v>
      </c>
      <c r="E287" t="s">
        <v>217</v>
      </c>
      <c r="F287" s="421">
        <v>1</v>
      </c>
      <c r="G287" t="s">
        <v>193</v>
      </c>
      <c r="H287" t="s">
        <v>194</v>
      </c>
      <c r="I287" t="s">
        <v>9430</v>
      </c>
      <c r="J287" t="s">
        <v>210</v>
      </c>
      <c r="K287" t="s">
        <v>9627</v>
      </c>
      <c r="L287" t="s">
        <v>6261</v>
      </c>
      <c r="M287" t="s">
        <v>9436</v>
      </c>
      <c r="N287" t="s">
        <v>9305</v>
      </c>
      <c r="O287" t="s">
        <v>9369</v>
      </c>
      <c r="P287" t="s">
        <v>9628</v>
      </c>
      <c r="Q287" t="s">
        <v>9629</v>
      </c>
      <c r="S287" t="s">
        <v>9309</v>
      </c>
      <c r="T287" s="28" t="s">
        <v>9334</v>
      </c>
      <c r="U287" s="27" t="s">
        <v>484</v>
      </c>
      <c r="V287" t="s">
        <v>194</v>
      </c>
      <c r="W287" t="s">
        <v>9300</v>
      </c>
      <c r="Z287" t="s">
        <v>9311</v>
      </c>
      <c r="AF287" t="s">
        <v>4714</v>
      </c>
      <c r="AG287" t="s">
        <v>9433</v>
      </c>
      <c r="AI287" t="s">
        <v>6955</v>
      </c>
      <c r="AJ287" s="424" t="str">
        <f t="shared" si="12"/>
        <v>251401</v>
      </c>
      <c r="AK287" s="28">
        <v>1</v>
      </c>
      <c r="AL287" s="28">
        <f t="shared" si="14"/>
        <v>1</v>
      </c>
      <c r="AM287" s="28" t="str">
        <f t="shared" si="13"/>
        <v>agora</v>
      </c>
    </row>
    <row r="288" spans="1:39" x14ac:dyDescent="0.25">
      <c r="A288" t="s">
        <v>10577</v>
      </c>
      <c r="B288" t="s">
        <v>10578</v>
      </c>
      <c r="C288" t="s">
        <v>6617</v>
      </c>
      <c r="D288" s="27" t="s">
        <v>9835</v>
      </c>
      <c r="E288" t="s">
        <v>192</v>
      </c>
      <c r="F288" s="421">
        <v>1</v>
      </c>
      <c r="G288" t="s">
        <v>193</v>
      </c>
      <c r="H288" t="s">
        <v>194</v>
      </c>
      <c r="I288" t="s">
        <v>9343</v>
      </c>
      <c r="J288" t="s">
        <v>276</v>
      </c>
      <c r="K288" t="s">
        <v>10579</v>
      </c>
      <c r="L288" t="s">
        <v>6266</v>
      </c>
      <c r="M288" t="s">
        <v>10519</v>
      </c>
      <c r="N288" t="s">
        <v>10045</v>
      </c>
      <c r="O288" t="s">
        <v>9369</v>
      </c>
      <c r="P288" t="s">
        <v>10580</v>
      </c>
      <c r="Q288" t="s">
        <v>10581</v>
      </c>
      <c r="S288" t="s">
        <v>9309</v>
      </c>
      <c r="T288" s="28" t="s">
        <v>9786</v>
      </c>
      <c r="U288" s="27" t="s">
        <v>990</v>
      </c>
      <c r="V288" t="s">
        <v>194</v>
      </c>
      <c r="W288" t="s">
        <v>9300</v>
      </c>
      <c r="Z288" t="s">
        <v>9311</v>
      </c>
      <c r="AF288" t="s">
        <v>4714</v>
      </c>
      <c r="AG288" t="s">
        <v>10578</v>
      </c>
      <c r="AI288" t="s">
        <v>6955</v>
      </c>
      <c r="AJ288" s="424" t="str">
        <f t="shared" si="12"/>
        <v>833202</v>
      </c>
      <c r="AK288" s="28">
        <v>1</v>
      </c>
      <c r="AL288" s="28">
        <f t="shared" si="14"/>
        <v>1</v>
      </c>
      <c r="AM288" s="28" t="str">
        <f t="shared" si="13"/>
        <v>pracuj.pl</v>
      </c>
    </row>
    <row r="289" spans="1:39" x14ac:dyDescent="0.25">
      <c r="A289" t="s">
        <v>1207</v>
      </c>
      <c r="B289" t="s">
        <v>8064</v>
      </c>
      <c r="C289" t="s">
        <v>113</v>
      </c>
      <c r="D289" s="27" t="s">
        <v>9835</v>
      </c>
      <c r="E289" t="s">
        <v>192</v>
      </c>
      <c r="F289" s="421">
        <v>1</v>
      </c>
      <c r="G289" t="s">
        <v>193</v>
      </c>
      <c r="H289" t="s">
        <v>194</v>
      </c>
      <c r="I289" t="s">
        <v>10529</v>
      </c>
      <c r="J289" t="s">
        <v>316</v>
      </c>
      <c r="K289" t="s">
        <v>10582</v>
      </c>
      <c r="L289" t="s">
        <v>6254</v>
      </c>
      <c r="M289" t="s">
        <v>10519</v>
      </c>
      <c r="N289" t="s">
        <v>10045</v>
      </c>
      <c r="O289" t="s">
        <v>9967</v>
      </c>
      <c r="P289" t="s">
        <v>10583</v>
      </c>
      <c r="Q289" t="s">
        <v>10584</v>
      </c>
      <c r="S289" t="s">
        <v>9309</v>
      </c>
      <c r="T289" s="28" t="s">
        <v>10012</v>
      </c>
      <c r="U289" s="27" t="s">
        <v>465</v>
      </c>
      <c r="V289" t="s">
        <v>194</v>
      </c>
      <c r="W289" t="s">
        <v>9300</v>
      </c>
      <c r="Z289" t="s">
        <v>9311</v>
      </c>
      <c r="AF289" t="s">
        <v>4714</v>
      </c>
      <c r="AG289" t="s">
        <v>8064</v>
      </c>
      <c r="AI289" t="s">
        <v>6955</v>
      </c>
      <c r="AJ289" s="424" t="str">
        <f t="shared" si="12"/>
        <v>243302</v>
      </c>
      <c r="AK289" s="28">
        <v>1</v>
      </c>
      <c r="AL289" s="28">
        <f t="shared" si="14"/>
        <v>1</v>
      </c>
      <c r="AM289" s="28" t="str">
        <f t="shared" si="13"/>
        <v>pracuj.pl</v>
      </c>
    </row>
    <row r="290" spans="1:39" x14ac:dyDescent="0.25">
      <c r="A290" t="s">
        <v>9522</v>
      </c>
      <c r="B290" t="s">
        <v>9626</v>
      </c>
      <c r="C290" t="s">
        <v>10</v>
      </c>
      <c r="D290" s="27" t="s">
        <v>9299</v>
      </c>
      <c r="E290" t="s">
        <v>217</v>
      </c>
      <c r="F290" s="421">
        <v>1</v>
      </c>
      <c r="G290" t="s">
        <v>193</v>
      </c>
      <c r="H290" t="s">
        <v>194</v>
      </c>
      <c r="I290" t="s">
        <v>9430</v>
      </c>
      <c r="J290" t="s">
        <v>210</v>
      </c>
      <c r="K290" t="s">
        <v>9630</v>
      </c>
      <c r="L290" t="s">
        <v>6261</v>
      </c>
      <c r="M290" t="s">
        <v>9436</v>
      </c>
      <c r="N290" t="s">
        <v>9541</v>
      </c>
      <c r="O290" t="s">
        <v>9542</v>
      </c>
      <c r="P290" t="s">
        <v>9631</v>
      </c>
      <c r="Q290" t="s">
        <v>9632</v>
      </c>
      <c r="S290" t="s">
        <v>9309</v>
      </c>
      <c r="T290" s="28" t="s">
        <v>9334</v>
      </c>
      <c r="U290" s="27" t="s">
        <v>484</v>
      </c>
      <c r="V290" t="s">
        <v>194</v>
      </c>
      <c r="W290" t="s">
        <v>9300</v>
      </c>
      <c r="Z290" t="s">
        <v>9311</v>
      </c>
      <c r="AF290" t="s">
        <v>4714</v>
      </c>
      <c r="AG290" t="s">
        <v>9433</v>
      </c>
      <c r="AI290" t="s">
        <v>6955</v>
      </c>
      <c r="AJ290" s="424" t="str">
        <f t="shared" si="12"/>
        <v>251401</v>
      </c>
      <c r="AK290" s="28">
        <v>1</v>
      </c>
      <c r="AL290" s="28">
        <f t="shared" si="14"/>
        <v>1</v>
      </c>
      <c r="AM290" s="28" t="str">
        <f t="shared" si="13"/>
        <v>agora</v>
      </c>
    </row>
    <row r="291" spans="1:39" x14ac:dyDescent="0.25">
      <c r="A291" t="s">
        <v>5815</v>
      </c>
      <c r="B291" t="s">
        <v>10588</v>
      </c>
      <c r="C291" t="s">
        <v>778</v>
      </c>
      <c r="D291" s="27" t="s">
        <v>9835</v>
      </c>
      <c r="E291" t="s">
        <v>233</v>
      </c>
      <c r="F291" s="421">
        <v>1</v>
      </c>
      <c r="G291" t="s">
        <v>193</v>
      </c>
      <c r="H291" t="s">
        <v>194</v>
      </c>
      <c r="I291" t="s">
        <v>9369</v>
      </c>
      <c r="J291" t="s">
        <v>5817</v>
      </c>
      <c r="K291" t="s">
        <v>10589</v>
      </c>
      <c r="L291" t="s">
        <v>6254</v>
      </c>
      <c r="M291" t="s">
        <v>10564</v>
      </c>
      <c r="N291" t="s">
        <v>9588</v>
      </c>
      <c r="O291" t="s">
        <v>9318</v>
      </c>
      <c r="P291" t="s">
        <v>10590</v>
      </c>
      <c r="Q291" t="s">
        <v>10591</v>
      </c>
      <c r="S291" t="s">
        <v>9309</v>
      </c>
      <c r="T291" s="28" t="s">
        <v>6264</v>
      </c>
      <c r="U291" s="27" t="s">
        <v>779</v>
      </c>
      <c r="V291" t="s">
        <v>194</v>
      </c>
      <c r="W291" t="s">
        <v>10592</v>
      </c>
      <c r="Z291" t="s">
        <v>9311</v>
      </c>
      <c r="AF291" t="s">
        <v>4714</v>
      </c>
      <c r="AG291" t="s">
        <v>10588</v>
      </c>
      <c r="AI291" t="s">
        <v>6955</v>
      </c>
      <c r="AJ291" s="424" t="str">
        <f t="shared" si="12"/>
        <v>524902</v>
      </c>
      <c r="AK291" s="28">
        <v>1</v>
      </c>
      <c r="AL291" s="28">
        <f t="shared" si="14"/>
        <v>1</v>
      </c>
      <c r="AM291" s="28" t="str">
        <f t="shared" si="13"/>
        <v>praca</v>
      </c>
    </row>
    <row r="292" spans="1:39" x14ac:dyDescent="0.25">
      <c r="A292" t="s">
        <v>9522</v>
      </c>
      <c r="B292" t="s">
        <v>9626</v>
      </c>
      <c r="C292" t="s">
        <v>10</v>
      </c>
      <c r="D292" s="27" t="s">
        <v>9299</v>
      </c>
      <c r="E292" t="s">
        <v>217</v>
      </c>
      <c r="F292" s="421">
        <v>1</v>
      </c>
      <c r="G292" t="s">
        <v>193</v>
      </c>
      <c r="H292" t="s">
        <v>194</v>
      </c>
      <c r="I292" t="s">
        <v>9430</v>
      </c>
      <c r="J292" t="s">
        <v>210</v>
      </c>
      <c r="K292" t="s">
        <v>9633</v>
      </c>
      <c r="L292" t="s">
        <v>6261</v>
      </c>
      <c r="M292" t="s">
        <v>9428</v>
      </c>
      <c r="N292" t="s">
        <v>9305</v>
      </c>
      <c r="O292" t="s">
        <v>9531</v>
      </c>
      <c r="P292" t="s">
        <v>9634</v>
      </c>
      <c r="Q292" t="s">
        <v>9635</v>
      </c>
      <c r="S292" t="s">
        <v>9309</v>
      </c>
      <c r="T292" s="28" t="s">
        <v>9334</v>
      </c>
      <c r="U292" s="27" t="s">
        <v>484</v>
      </c>
      <c r="V292" t="s">
        <v>194</v>
      </c>
      <c r="W292" t="s">
        <v>9300</v>
      </c>
      <c r="Z292" t="s">
        <v>9311</v>
      </c>
      <c r="AF292" t="s">
        <v>4714</v>
      </c>
      <c r="AG292" t="s">
        <v>9433</v>
      </c>
      <c r="AI292" t="s">
        <v>6955</v>
      </c>
      <c r="AJ292" s="424" t="str">
        <f t="shared" si="12"/>
        <v>251401</v>
      </c>
      <c r="AK292" s="28">
        <v>1</v>
      </c>
      <c r="AL292" s="28">
        <f t="shared" si="14"/>
        <v>1</v>
      </c>
      <c r="AM292" s="28" t="str">
        <f t="shared" si="13"/>
        <v>agora</v>
      </c>
    </row>
    <row r="293" spans="1:39" x14ac:dyDescent="0.25">
      <c r="A293" t="s">
        <v>9522</v>
      </c>
      <c r="B293" t="s">
        <v>9636</v>
      </c>
      <c r="C293" t="s">
        <v>10</v>
      </c>
      <c r="D293" s="27" t="s">
        <v>9299</v>
      </c>
      <c r="E293" t="s">
        <v>217</v>
      </c>
      <c r="F293" s="421">
        <v>1</v>
      </c>
      <c r="G293" t="s">
        <v>193</v>
      </c>
      <c r="H293" t="s">
        <v>194</v>
      </c>
      <c r="I293" t="s">
        <v>9430</v>
      </c>
      <c r="J293" t="s">
        <v>210</v>
      </c>
      <c r="K293" t="s">
        <v>9637</v>
      </c>
      <c r="L293" t="s">
        <v>6261</v>
      </c>
      <c r="M293" t="s">
        <v>9436</v>
      </c>
      <c r="N293" t="s">
        <v>9541</v>
      </c>
      <c r="O293" t="s">
        <v>9542</v>
      </c>
      <c r="P293" t="s">
        <v>9638</v>
      </c>
      <c r="Q293" t="s">
        <v>9639</v>
      </c>
      <c r="S293" t="s">
        <v>9309</v>
      </c>
      <c r="T293" s="28" t="s">
        <v>9334</v>
      </c>
      <c r="U293" s="27" t="s">
        <v>484</v>
      </c>
      <c r="V293" t="s">
        <v>194</v>
      </c>
      <c r="W293" t="s">
        <v>9300</v>
      </c>
      <c r="Z293" t="s">
        <v>9311</v>
      </c>
      <c r="AF293" t="s">
        <v>4714</v>
      </c>
      <c r="AG293" t="s">
        <v>9433</v>
      </c>
      <c r="AI293" t="s">
        <v>6955</v>
      </c>
      <c r="AJ293" s="424" t="str">
        <f t="shared" si="12"/>
        <v>251401</v>
      </c>
      <c r="AK293" s="28">
        <v>1</v>
      </c>
      <c r="AL293" s="28">
        <f t="shared" si="14"/>
        <v>1</v>
      </c>
      <c r="AM293" s="28" t="str">
        <f t="shared" si="13"/>
        <v>agora</v>
      </c>
    </row>
    <row r="294" spans="1:39" x14ac:dyDescent="0.25">
      <c r="A294" t="s">
        <v>10601</v>
      </c>
      <c r="B294" t="s">
        <v>10602</v>
      </c>
      <c r="C294" t="s">
        <v>12</v>
      </c>
      <c r="D294" s="27" t="s">
        <v>9835</v>
      </c>
      <c r="E294" t="s">
        <v>192</v>
      </c>
      <c r="F294" s="421">
        <v>1</v>
      </c>
      <c r="G294" t="s">
        <v>193</v>
      </c>
      <c r="H294" t="s">
        <v>194</v>
      </c>
      <c r="I294" t="s">
        <v>10529</v>
      </c>
      <c r="J294" t="s">
        <v>9302</v>
      </c>
      <c r="K294" t="s">
        <v>10603</v>
      </c>
      <c r="L294" t="s">
        <v>6324</v>
      </c>
      <c r="M294" t="s">
        <v>10519</v>
      </c>
      <c r="N294" t="s">
        <v>10045</v>
      </c>
      <c r="O294" t="s">
        <v>9369</v>
      </c>
      <c r="P294" t="s">
        <v>10604</v>
      </c>
      <c r="Q294" t="s">
        <v>10605</v>
      </c>
      <c r="S294" t="s">
        <v>9309</v>
      </c>
      <c r="U294" s="27" t="s">
        <v>220</v>
      </c>
      <c r="V294" t="s">
        <v>193</v>
      </c>
      <c r="W294" t="s">
        <v>9310</v>
      </c>
      <c r="Z294" t="s">
        <v>9311</v>
      </c>
      <c r="AF294" t="s">
        <v>4714</v>
      </c>
      <c r="AG294" t="s">
        <v>10602</v>
      </c>
      <c r="AI294" t="s">
        <v>6955</v>
      </c>
      <c r="AJ294" s="424" t="str">
        <f t="shared" si="12"/>
        <v>132301</v>
      </c>
      <c r="AK294" s="28">
        <v>1</v>
      </c>
      <c r="AL294" s="28">
        <f t="shared" si="14"/>
        <v>1</v>
      </c>
      <c r="AM294" s="28" t="str">
        <f t="shared" si="13"/>
        <v>pracuj.pl</v>
      </c>
    </row>
    <row r="295" spans="1:39" x14ac:dyDescent="0.25">
      <c r="A295" t="s">
        <v>10606</v>
      </c>
      <c r="B295" t="s">
        <v>10607</v>
      </c>
      <c r="C295" t="s">
        <v>121</v>
      </c>
      <c r="D295" s="27" t="s">
        <v>9835</v>
      </c>
      <c r="E295" t="s">
        <v>192</v>
      </c>
      <c r="F295" s="421">
        <v>1</v>
      </c>
      <c r="G295" t="s">
        <v>193</v>
      </c>
      <c r="H295" t="s">
        <v>194</v>
      </c>
      <c r="I295" t="s">
        <v>10529</v>
      </c>
      <c r="J295" t="s">
        <v>755</v>
      </c>
      <c r="K295" t="s">
        <v>10608</v>
      </c>
      <c r="L295" t="s">
        <v>6363</v>
      </c>
      <c r="M295" t="s">
        <v>10519</v>
      </c>
      <c r="N295" t="s">
        <v>10045</v>
      </c>
      <c r="O295" t="s">
        <v>9369</v>
      </c>
      <c r="P295" t="s">
        <v>10609</v>
      </c>
      <c r="Q295" t="s">
        <v>10610</v>
      </c>
      <c r="S295" t="s">
        <v>9309</v>
      </c>
      <c r="T295" s="28" t="s">
        <v>9726</v>
      </c>
      <c r="U295" s="27" t="s">
        <v>994</v>
      </c>
      <c r="V295" t="s">
        <v>194</v>
      </c>
      <c r="W295" t="s">
        <v>9300</v>
      </c>
      <c r="Z295" t="s">
        <v>9311</v>
      </c>
      <c r="AF295" t="s">
        <v>5109</v>
      </c>
      <c r="AG295" t="s">
        <v>10607</v>
      </c>
      <c r="AI295" t="s">
        <v>6955</v>
      </c>
      <c r="AJ295" s="424" t="str">
        <f t="shared" si="12"/>
        <v>214102</v>
      </c>
      <c r="AK295" s="28">
        <v>1</v>
      </c>
      <c r="AL295" s="28">
        <f t="shared" si="14"/>
        <v>1</v>
      </c>
      <c r="AM295" s="28" t="str">
        <f t="shared" si="13"/>
        <v>pracuj.pl</v>
      </c>
    </row>
    <row r="296" spans="1:39" x14ac:dyDescent="0.25">
      <c r="A296" t="s">
        <v>218</v>
      </c>
      <c r="B296" t="s">
        <v>10611</v>
      </c>
      <c r="C296" t="s">
        <v>30</v>
      </c>
      <c r="D296" s="27" t="s">
        <v>9835</v>
      </c>
      <c r="E296" t="s">
        <v>233</v>
      </c>
      <c r="F296" s="421">
        <v>1</v>
      </c>
      <c r="G296" t="s">
        <v>193</v>
      </c>
      <c r="H296" t="s">
        <v>194</v>
      </c>
      <c r="I296" t="s">
        <v>10529</v>
      </c>
      <c r="J296" t="s">
        <v>9302</v>
      </c>
      <c r="K296" t="s">
        <v>10612</v>
      </c>
      <c r="L296" t="s">
        <v>6256</v>
      </c>
      <c r="M296" t="s">
        <v>10539</v>
      </c>
      <c r="N296" t="s">
        <v>9588</v>
      </c>
      <c r="O296" t="s">
        <v>9318</v>
      </c>
      <c r="P296" t="s">
        <v>10613</v>
      </c>
      <c r="Q296" t="s">
        <v>10614</v>
      </c>
      <c r="S296" t="s">
        <v>9309</v>
      </c>
      <c r="U296" s="27" t="s">
        <v>1025</v>
      </c>
      <c r="V296" t="s">
        <v>193</v>
      </c>
      <c r="W296" t="s">
        <v>9310</v>
      </c>
      <c r="Z296" t="s">
        <v>9311</v>
      </c>
      <c r="AF296" t="s">
        <v>4714</v>
      </c>
      <c r="AG296" t="s">
        <v>10611</v>
      </c>
      <c r="AI296" t="s">
        <v>6955</v>
      </c>
      <c r="AJ296" s="424" t="str">
        <f t="shared" si="12"/>
        <v>214207</v>
      </c>
      <c r="AK296" s="28">
        <v>1</v>
      </c>
      <c r="AL296" s="28">
        <f t="shared" si="14"/>
        <v>1</v>
      </c>
      <c r="AM296" s="28" t="str">
        <f t="shared" si="13"/>
        <v>praca</v>
      </c>
    </row>
    <row r="297" spans="1:39" x14ac:dyDescent="0.25">
      <c r="A297" t="s">
        <v>10615</v>
      </c>
      <c r="B297" t="s">
        <v>10616</v>
      </c>
      <c r="C297" t="s">
        <v>17</v>
      </c>
      <c r="D297" s="27" t="s">
        <v>9835</v>
      </c>
      <c r="E297" t="s">
        <v>217</v>
      </c>
      <c r="F297" s="421">
        <v>1</v>
      </c>
      <c r="G297" t="s">
        <v>193</v>
      </c>
      <c r="H297" t="s">
        <v>194</v>
      </c>
      <c r="I297" t="s">
        <v>9369</v>
      </c>
      <c r="J297" t="s">
        <v>210</v>
      </c>
      <c r="K297" t="s">
        <v>10617</v>
      </c>
      <c r="L297" t="s">
        <v>6249</v>
      </c>
      <c r="M297" t="s">
        <v>10618</v>
      </c>
      <c r="N297" t="s">
        <v>10194</v>
      </c>
      <c r="O297" t="s">
        <v>9299</v>
      </c>
      <c r="P297" t="s">
        <v>10619</v>
      </c>
      <c r="Q297" t="s">
        <v>10620</v>
      </c>
      <c r="S297" t="s">
        <v>9309</v>
      </c>
      <c r="T297" s="28" t="s">
        <v>9334</v>
      </c>
      <c r="U297" s="27" t="s">
        <v>624</v>
      </c>
      <c r="V297" t="s">
        <v>194</v>
      </c>
      <c r="W297" t="s">
        <v>9300</v>
      </c>
      <c r="Z297" t="s">
        <v>9311</v>
      </c>
      <c r="AF297" t="s">
        <v>4714</v>
      </c>
      <c r="AG297" t="s">
        <v>9433</v>
      </c>
      <c r="AI297" t="s">
        <v>6955</v>
      </c>
      <c r="AJ297" s="424" t="str">
        <f t="shared" si="12"/>
        <v>332203</v>
      </c>
      <c r="AK297" s="28">
        <v>1</v>
      </c>
      <c r="AL297" s="28">
        <f t="shared" si="14"/>
        <v>1</v>
      </c>
      <c r="AM297" s="28" t="str">
        <f t="shared" si="13"/>
        <v>agora</v>
      </c>
    </row>
    <row r="298" spans="1:39" x14ac:dyDescent="0.25">
      <c r="A298" t="s">
        <v>10621</v>
      </c>
      <c r="B298" t="s">
        <v>10622</v>
      </c>
      <c r="C298" t="s">
        <v>10623</v>
      </c>
      <c r="D298" s="27" t="s">
        <v>9835</v>
      </c>
      <c r="E298" t="s">
        <v>217</v>
      </c>
      <c r="F298" s="421">
        <v>1</v>
      </c>
      <c r="G298" t="s">
        <v>193</v>
      </c>
      <c r="H298" t="s">
        <v>194</v>
      </c>
      <c r="I298" t="s">
        <v>9343</v>
      </c>
      <c r="J298" t="s">
        <v>305</v>
      </c>
      <c r="K298" t="s">
        <v>10624</v>
      </c>
      <c r="L298" t="s">
        <v>6269</v>
      </c>
      <c r="M298" t="s">
        <v>10618</v>
      </c>
      <c r="N298" t="s">
        <v>9955</v>
      </c>
      <c r="O298" t="s">
        <v>9299</v>
      </c>
      <c r="P298" t="s">
        <v>10625</v>
      </c>
      <c r="Q298" t="s">
        <v>10626</v>
      </c>
      <c r="S298" t="s">
        <v>9309</v>
      </c>
      <c r="T298" s="28" t="s">
        <v>9753</v>
      </c>
      <c r="U298" s="27" t="s">
        <v>10627</v>
      </c>
      <c r="V298" t="s">
        <v>194</v>
      </c>
      <c r="W298" t="s">
        <v>9300</v>
      </c>
      <c r="Z298" t="s">
        <v>9311</v>
      </c>
      <c r="AF298" t="s">
        <v>4714</v>
      </c>
      <c r="AG298" t="s">
        <v>9433</v>
      </c>
      <c r="AI298" t="s">
        <v>6955</v>
      </c>
      <c r="AJ298" s="424" t="str">
        <f t="shared" si="12"/>
        <v>314403</v>
      </c>
      <c r="AK298" s="28">
        <v>1</v>
      </c>
      <c r="AL298" s="28">
        <f t="shared" si="14"/>
        <v>1</v>
      </c>
      <c r="AM298" s="28" t="str">
        <f t="shared" si="13"/>
        <v>agora</v>
      </c>
    </row>
    <row r="299" spans="1:39" x14ac:dyDescent="0.25">
      <c r="A299" t="s">
        <v>10621</v>
      </c>
      <c r="B299" t="s">
        <v>10628</v>
      </c>
      <c r="C299" t="s">
        <v>10629</v>
      </c>
      <c r="D299" s="27" t="s">
        <v>9835</v>
      </c>
      <c r="E299" t="s">
        <v>217</v>
      </c>
      <c r="F299" s="421">
        <v>1</v>
      </c>
      <c r="G299" t="s">
        <v>193</v>
      </c>
      <c r="H299" t="s">
        <v>194</v>
      </c>
      <c r="I299" t="s">
        <v>10529</v>
      </c>
      <c r="J299" t="s">
        <v>305</v>
      </c>
      <c r="K299" t="s">
        <v>10630</v>
      </c>
      <c r="L299" t="s">
        <v>8003</v>
      </c>
      <c r="M299" t="s">
        <v>10618</v>
      </c>
      <c r="N299" t="s">
        <v>9955</v>
      </c>
      <c r="O299" t="s">
        <v>9299</v>
      </c>
      <c r="P299" t="s">
        <v>10631</v>
      </c>
      <c r="Q299" t="s">
        <v>10632</v>
      </c>
      <c r="S299" t="s">
        <v>9309</v>
      </c>
      <c r="U299" s="27" t="s">
        <v>10633</v>
      </c>
      <c r="V299" t="s">
        <v>193</v>
      </c>
      <c r="W299" t="s">
        <v>9310</v>
      </c>
      <c r="Z299" t="s">
        <v>9311</v>
      </c>
      <c r="AF299" t="s">
        <v>4714</v>
      </c>
      <c r="AG299" t="s">
        <v>9433</v>
      </c>
      <c r="AI299" t="s">
        <v>6955</v>
      </c>
      <c r="AJ299" s="424" t="str">
        <f t="shared" si="12"/>
        <v>432104</v>
      </c>
      <c r="AK299" s="28">
        <v>1</v>
      </c>
      <c r="AL299" s="28">
        <f t="shared" si="14"/>
        <v>1</v>
      </c>
      <c r="AM299" s="28" t="str">
        <f t="shared" si="13"/>
        <v>agora</v>
      </c>
    </row>
    <row r="300" spans="1:39" x14ac:dyDescent="0.25">
      <c r="A300" t="s">
        <v>9522</v>
      </c>
      <c r="B300" t="s">
        <v>9636</v>
      </c>
      <c r="C300" t="s">
        <v>10</v>
      </c>
      <c r="D300" s="27" t="s">
        <v>9299</v>
      </c>
      <c r="E300" t="s">
        <v>217</v>
      </c>
      <c r="F300" s="421">
        <v>1</v>
      </c>
      <c r="G300" t="s">
        <v>193</v>
      </c>
      <c r="H300" t="s">
        <v>194</v>
      </c>
      <c r="I300" t="s">
        <v>9430</v>
      </c>
      <c r="J300" t="s">
        <v>210</v>
      </c>
      <c r="K300" t="s">
        <v>9640</v>
      </c>
      <c r="L300" t="s">
        <v>6261</v>
      </c>
      <c r="M300" t="s">
        <v>9436</v>
      </c>
      <c r="N300" t="s">
        <v>9342</v>
      </c>
      <c r="O300" t="s">
        <v>9461</v>
      </c>
      <c r="P300" t="s">
        <v>9641</v>
      </c>
      <c r="Q300" t="s">
        <v>9642</v>
      </c>
      <c r="S300" t="s">
        <v>9309</v>
      </c>
      <c r="T300" s="28" t="s">
        <v>9334</v>
      </c>
      <c r="U300" s="27" t="s">
        <v>484</v>
      </c>
      <c r="V300" t="s">
        <v>194</v>
      </c>
      <c r="W300" t="s">
        <v>9300</v>
      </c>
      <c r="Z300" t="s">
        <v>9311</v>
      </c>
      <c r="AF300" t="s">
        <v>4714</v>
      </c>
      <c r="AG300" t="s">
        <v>9433</v>
      </c>
      <c r="AI300" t="s">
        <v>6955</v>
      </c>
      <c r="AJ300" s="424" t="str">
        <f t="shared" si="12"/>
        <v>251401</v>
      </c>
      <c r="AK300" s="28">
        <v>1</v>
      </c>
      <c r="AL300" s="28">
        <f t="shared" si="14"/>
        <v>1</v>
      </c>
      <c r="AM300" s="28" t="str">
        <f t="shared" si="13"/>
        <v>agora</v>
      </c>
    </row>
    <row r="301" spans="1:39" x14ac:dyDescent="0.25">
      <c r="A301" t="s">
        <v>3946</v>
      </c>
      <c r="B301" t="s">
        <v>9426</v>
      </c>
      <c r="C301" t="s">
        <v>740</v>
      </c>
      <c r="D301" s="27" t="s">
        <v>9835</v>
      </c>
      <c r="E301" t="s">
        <v>217</v>
      </c>
      <c r="F301" s="421">
        <v>1</v>
      </c>
      <c r="G301" t="s">
        <v>193</v>
      </c>
      <c r="H301" t="s">
        <v>194</v>
      </c>
      <c r="I301" t="s">
        <v>9369</v>
      </c>
      <c r="J301" t="s">
        <v>385</v>
      </c>
      <c r="K301" t="s">
        <v>9427</v>
      </c>
      <c r="L301" t="s">
        <v>6249</v>
      </c>
      <c r="M301" t="s">
        <v>10618</v>
      </c>
      <c r="N301" t="s">
        <v>9429</v>
      </c>
      <c r="O301" t="s">
        <v>9430</v>
      </c>
      <c r="P301" t="s">
        <v>10639</v>
      </c>
      <c r="Q301" t="s">
        <v>10640</v>
      </c>
      <c r="S301" t="s">
        <v>9309</v>
      </c>
      <c r="T301" s="28" t="s">
        <v>9410</v>
      </c>
      <c r="U301" s="27" t="s">
        <v>741</v>
      </c>
      <c r="V301" t="s">
        <v>194</v>
      </c>
      <c r="W301" t="s">
        <v>9300</v>
      </c>
      <c r="Z301" t="s">
        <v>9311</v>
      </c>
      <c r="AF301" t="s">
        <v>5109</v>
      </c>
      <c r="AG301" t="s">
        <v>9433</v>
      </c>
      <c r="AI301" t="s">
        <v>6955</v>
      </c>
      <c r="AJ301" s="424" t="str">
        <f t="shared" si="12"/>
        <v>522301</v>
      </c>
      <c r="AK301" s="28">
        <v>1</v>
      </c>
      <c r="AL301" s="28">
        <f t="shared" si="14"/>
        <v>1</v>
      </c>
      <c r="AM301" s="28" t="str">
        <f t="shared" si="13"/>
        <v>agora</v>
      </c>
    </row>
    <row r="302" spans="1:39" x14ac:dyDescent="0.25">
      <c r="A302" t="s">
        <v>3946</v>
      </c>
      <c r="B302" t="s">
        <v>9434</v>
      </c>
      <c r="C302" t="s">
        <v>740</v>
      </c>
      <c r="D302" s="27" t="s">
        <v>9835</v>
      </c>
      <c r="E302" t="s">
        <v>217</v>
      </c>
      <c r="F302" s="421">
        <v>1</v>
      </c>
      <c r="G302" t="s">
        <v>193</v>
      </c>
      <c r="H302" t="s">
        <v>194</v>
      </c>
      <c r="I302" t="s">
        <v>9369</v>
      </c>
      <c r="J302" t="s">
        <v>1995</v>
      </c>
      <c r="K302" t="s">
        <v>9435</v>
      </c>
      <c r="L302" t="s">
        <v>6249</v>
      </c>
      <c r="M302" t="s">
        <v>10641</v>
      </c>
      <c r="N302" t="s">
        <v>9437</v>
      </c>
      <c r="O302" t="s">
        <v>9430</v>
      </c>
      <c r="P302" t="s">
        <v>10642</v>
      </c>
      <c r="Q302" t="s">
        <v>10643</v>
      </c>
      <c r="S302" t="s">
        <v>9309</v>
      </c>
      <c r="T302" s="28" t="s">
        <v>9440</v>
      </c>
      <c r="U302" s="27" t="s">
        <v>741</v>
      </c>
      <c r="V302" t="s">
        <v>194</v>
      </c>
      <c r="W302" t="s">
        <v>9300</v>
      </c>
      <c r="Z302" t="s">
        <v>9311</v>
      </c>
      <c r="AF302" t="s">
        <v>5109</v>
      </c>
      <c r="AG302" t="s">
        <v>9433</v>
      </c>
      <c r="AI302" t="s">
        <v>6955</v>
      </c>
      <c r="AJ302" s="424" t="str">
        <f t="shared" si="12"/>
        <v>522301</v>
      </c>
      <c r="AK302" s="28">
        <v>1</v>
      </c>
      <c r="AL302" s="28">
        <f t="shared" si="14"/>
        <v>1</v>
      </c>
      <c r="AM302" s="28" t="str">
        <f t="shared" si="13"/>
        <v>agora</v>
      </c>
    </row>
    <row r="303" spans="1:39" x14ac:dyDescent="0.25">
      <c r="A303" t="s">
        <v>10644</v>
      </c>
      <c r="B303" t="s">
        <v>10645</v>
      </c>
      <c r="C303" t="s">
        <v>5326</v>
      </c>
      <c r="D303" s="27" t="s">
        <v>9835</v>
      </c>
      <c r="E303" t="s">
        <v>192</v>
      </c>
      <c r="F303" s="421">
        <v>1</v>
      </c>
      <c r="G303" t="s">
        <v>193</v>
      </c>
      <c r="H303" t="s">
        <v>194</v>
      </c>
      <c r="I303" t="s">
        <v>10529</v>
      </c>
      <c r="J303" t="s">
        <v>385</v>
      </c>
      <c r="K303" t="s">
        <v>10646</v>
      </c>
      <c r="L303" t="s">
        <v>6295</v>
      </c>
      <c r="M303" t="s">
        <v>10519</v>
      </c>
      <c r="N303" t="s">
        <v>10045</v>
      </c>
      <c r="O303" t="s">
        <v>9369</v>
      </c>
      <c r="P303" t="s">
        <v>10647</v>
      </c>
      <c r="Q303" t="s">
        <v>10648</v>
      </c>
      <c r="S303" t="s">
        <v>9309</v>
      </c>
      <c r="T303" s="28" t="s">
        <v>9410</v>
      </c>
      <c r="U303" s="27" t="s">
        <v>584</v>
      </c>
      <c r="V303" t="s">
        <v>194</v>
      </c>
      <c r="W303" t="s">
        <v>9300</v>
      </c>
      <c r="Z303" t="s">
        <v>9311</v>
      </c>
      <c r="AF303" t="s">
        <v>4714</v>
      </c>
      <c r="AG303" t="s">
        <v>10645</v>
      </c>
      <c r="AI303" t="s">
        <v>6955</v>
      </c>
      <c r="AJ303" s="424" t="str">
        <f t="shared" si="12"/>
        <v>311937</v>
      </c>
      <c r="AK303" s="28">
        <v>1</v>
      </c>
      <c r="AL303" s="28">
        <f t="shared" si="14"/>
        <v>1</v>
      </c>
      <c r="AM303" s="28" t="str">
        <f t="shared" si="13"/>
        <v>pracuj.pl</v>
      </c>
    </row>
    <row r="304" spans="1:39" x14ac:dyDescent="0.25">
      <c r="A304" t="s">
        <v>10644</v>
      </c>
      <c r="B304" t="s">
        <v>10645</v>
      </c>
      <c r="C304" t="s">
        <v>5326</v>
      </c>
      <c r="D304" s="27" t="s">
        <v>9835</v>
      </c>
      <c r="E304" t="s">
        <v>192</v>
      </c>
      <c r="F304" s="421">
        <v>1</v>
      </c>
      <c r="G304" t="s">
        <v>193</v>
      </c>
      <c r="H304" t="s">
        <v>194</v>
      </c>
      <c r="I304" t="s">
        <v>10529</v>
      </c>
      <c r="J304" t="s">
        <v>575</v>
      </c>
      <c r="K304" t="s">
        <v>10649</v>
      </c>
      <c r="L304" t="s">
        <v>6295</v>
      </c>
      <c r="M304" t="s">
        <v>10519</v>
      </c>
      <c r="N304" t="s">
        <v>10045</v>
      </c>
      <c r="O304" t="s">
        <v>9369</v>
      </c>
      <c r="P304" t="s">
        <v>10650</v>
      </c>
      <c r="Q304" t="s">
        <v>10651</v>
      </c>
      <c r="S304" t="s">
        <v>9309</v>
      </c>
      <c r="T304" s="28" t="s">
        <v>9726</v>
      </c>
      <c r="U304" s="27" t="s">
        <v>584</v>
      </c>
      <c r="V304" t="s">
        <v>194</v>
      </c>
      <c r="W304" t="s">
        <v>9300</v>
      </c>
      <c r="Z304" t="s">
        <v>9311</v>
      </c>
      <c r="AF304" t="s">
        <v>4714</v>
      </c>
      <c r="AG304" t="s">
        <v>10645</v>
      </c>
      <c r="AI304" t="s">
        <v>6955</v>
      </c>
      <c r="AJ304" s="424" t="str">
        <f t="shared" si="12"/>
        <v>311937</v>
      </c>
      <c r="AK304" s="28">
        <v>1</v>
      </c>
      <c r="AL304" s="28">
        <f t="shared" si="14"/>
        <v>1</v>
      </c>
      <c r="AM304" s="28" t="str">
        <f t="shared" si="13"/>
        <v>pracuj.pl</v>
      </c>
    </row>
    <row r="305" spans="1:39" x14ac:dyDescent="0.25">
      <c r="A305" t="s">
        <v>10644</v>
      </c>
      <c r="B305" t="s">
        <v>1378</v>
      </c>
      <c r="C305" t="s">
        <v>1379</v>
      </c>
      <c r="D305" s="27" t="s">
        <v>9835</v>
      </c>
      <c r="E305" t="s">
        <v>192</v>
      </c>
      <c r="F305" s="421">
        <v>1</v>
      </c>
      <c r="G305" t="s">
        <v>193</v>
      </c>
      <c r="H305" t="s">
        <v>194</v>
      </c>
      <c r="I305" t="s">
        <v>9461</v>
      </c>
      <c r="J305" t="s">
        <v>385</v>
      </c>
      <c r="K305" t="s">
        <v>10652</v>
      </c>
      <c r="L305" t="s">
        <v>6275</v>
      </c>
      <c r="M305" t="s">
        <v>10519</v>
      </c>
      <c r="N305" t="s">
        <v>10045</v>
      </c>
      <c r="O305" t="s">
        <v>9369</v>
      </c>
      <c r="P305" t="s">
        <v>10653</v>
      </c>
      <c r="Q305" t="s">
        <v>10654</v>
      </c>
      <c r="S305" t="s">
        <v>9309</v>
      </c>
      <c r="T305" s="28" t="s">
        <v>9410</v>
      </c>
      <c r="U305" s="27" t="s">
        <v>1380</v>
      </c>
      <c r="V305" t="s">
        <v>194</v>
      </c>
      <c r="W305" t="s">
        <v>9300</v>
      </c>
      <c r="Z305" t="s">
        <v>9311</v>
      </c>
      <c r="AF305" t="s">
        <v>4714</v>
      </c>
      <c r="AG305" t="s">
        <v>1378</v>
      </c>
      <c r="AI305" t="s">
        <v>6955</v>
      </c>
      <c r="AJ305" s="424" t="str">
        <f t="shared" si="12"/>
        <v>713201</v>
      </c>
      <c r="AK305" s="28">
        <v>1</v>
      </c>
      <c r="AL305" s="28">
        <f t="shared" si="14"/>
        <v>1</v>
      </c>
      <c r="AM305" s="28" t="str">
        <f t="shared" si="13"/>
        <v>pracuj.pl</v>
      </c>
    </row>
    <row r="306" spans="1:39" x14ac:dyDescent="0.25">
      <c r="A306" t="s">
        <v>10644</v>
      </c>
      <c r="B306" t="s">
        <v>1378</v>
      </c>
      <c r="C306" t="s">
        <v>1379</v>
      </c>
      <c r="D306" s="27" t="s">
        <v>9835</v>
      </c>
      <c r="E306" t="s">
        <v>192</v>
      </c>
      <c r="F306" s="421">
        <v>1</v>
      </c>
      <c r="G306" t="s">
        <v>193</v>
      </c>
      <c r="H306" t="s">
        <v>194</v>
      </c>
      <c r="I306" t="s">
        <v>9461</v>
      </c>
      <c r="J306" t="s">
        <v>575</v>
      </c>
      <c r="K306" t="s">
        <v>10655</v>
      </c>
      <c r="L306" t="s">
        <v>6275</v>
      </c>
      <c r="M306" t="s">
        <v>10519</v>
      </c>
      <c r="N306" t="s">
        <v>10045</v>
      </c>
      <c r="O306" t="s">
        <v>9369</v>
      </c>
      <c r="P306" t="s">
        <v>10656</v>
      </c>
      <c r="Q306" t="s">
        <v>10657</v>
      </c>
      <c r="S306" t="s">
        <v>9309</v>
      </c>
      <c r="T306" s="28" t="s">
        <v>9726</v>
      </c>
      <c r="U306" s="27" t="s">
        <v>1380</v>
      </c>
      <c r="V306" t="s">
        <v>194</v>
      </c>
      <c r="W306" t="s">
        <v>9300</v>
      </c>
      <c r="Z306" t="s">
        <v>9311</v>
      </c>
      <c r="AF306" t="s">
        <v>4714</v>
      </c>
      <c r="AG306" t="s">
        <v>1378</v>
      </c>
      <c r="AI306" t="s">
        <v>6955</v>
      </c>
      <c r="AJ306" s="424" t="str">
        <f t="shared" si="12"/>
        <v>713201</v>
      </c>
      <c r="AK306" s="28">
        <v>1</v>
      </c>
      <c r="AL306" s="28">
        <f t="shared" si="14"/>
        <v>1</v>
      </c>
      <c r="AM306" s="28" t="str">
        <f t="shared" si="13"/>
        <v>pracuj.pl</v>
      </c>
    </row>
    <row r="307" spans="1:39" x14ac:dyDescent="0.25">
      <c r="A307" t="s">
        <v>10644</v>
      </c>
      <c r="B307" t="s">
        <v>10658</v>
      </c>
      <c r="C307" t="s">
        <v>7710</v>
      </c>
      <c r="D307" s="27" t="s">
        <v>9835</v>
      </c>
      <c r="E307" t="s">
        <v>192</v>
      </c>
      <c r="F307" s="421">
        <v>1</v>
      </c>
      <c r="G307" t="s">
        <v>193</v>
      </c>
      <c r="H307" t="s">
        <v>194</v>
      </c>
      <c r="I307" t="s">
        <v>10529</v>
      </c>
      <c r="J307" t="s">
        <v>385</v>
      </c>
      <c r="K307" t="s">
        <v>10659</v>
      </c>
      <c r="L307" t="s">
        <v>6245</v>
      </c>
      <c r="M307" t="s">
        <v>10519</v>
      </c>
      <c r="N307" t="s">
        <v>10045</v>
      </c>
      <c r="O307" t="s">
        <v>9369</v>
      </c>
      <c r="P307" t="s">
        <v>10660</v>
      </c>
      <c r="Q307" t="s">
        <v>10661</v>
      </c>
      <c r="S307" t="s">
        <v>9309</v>
      </c>
      <c r="T307" s="28" t="s">
        <v>9410</v>
      </c>
      <c r="U307" s="27" t="s">
        <v>7712</v>
      </c>
      <c r="V307" t="s">
        <v>194</v>
      </c>
      <c r="W307" t="s">
        <v>9300</v>
      </c>
      <c r="Z307" t="s">
        <v>9311</v>
      </c>
      <c r="AF307" t="s">
        <v>4714</v>
      </c>
      <c r="AG307" t="s">
        <v>10658</v>
      </c>
      <c r="AI307" t="s">
        <v>6955</v>
      </c>
      <c r="AJ307" s="424" t="str">
        <f t="shared" si="12"/>
        <v>214401</v>
      </c>
      <c r="AK307" s="28">
        <v>1</v>
      </c>
      <c r="AL307" s="28">
        <f t="shared" si="14"/>
        <v>1</v>
      </c>
      <c r="AM307" s="28" t="str">
        <f t="shared" si="13"/>
        <v>pracuj.pl</v>
      </c>
    </row>
    <row r="308" spans="1:39" x14ac:dyDescent="0.25">
      <c r="A308" t="s">
        <v>10644</v>
      </c>
      <c r="B308" t="s">
        <v>10662</v>
      </c>
      <c r="C308" t="s">
        <v>2929</v>
      </c>
      <c r="D308" s="27" t="s">
        <v>9835</v>
      </c>
      <c r="E308" t="s">
        <v>192</v>
      </c>
      <c r="F308" s="421">
        <v>1</v>
      </c>
      <c r="G308" t="s">
        <v>193</v>
      </c>
      <c r="H308" t="s">
        <v>194</v>
      </c>
      <c r="I308" t="s">
        <v>9343</v>
      </c>
      <c r="J308" t="s">
        <v>385</v>
      </c>
      <c r="K308" t="s">
        <v>10663</v>
      </c>
      <c r="L308" t="s">
        <v>6275</v>
      </c>
      <c r="M308" t="s">
        <v>10519</v>
      </c>
      <c r="N308" t="s">
        <v>10045</v>
      </c>
      <c r="O308" t="s">
        <v>9369</v>
      </c>
      <c r="P308" t="s">
        <v>10664</v>
      </c>
      <c r="Q308" t="s">
        <v>10665</v>
      </c>
      <c r="S308" t="s">
        <v>9309</v>
      </c>
      <c r="T308" s="28" t="s">
        <v>9410</v>
      </c>
      <c r="U308" s="27" t="s">
        <v>4696</v>
      </c>
      <c r="V308" t="s">
        <v>194</v>
      </c>
      <c r="W308" t="s">
        <v>9300</v>
      </c>
      <c r="Z308" t="s">
        <v>9311</v>
      </c>
      <c r="AF308" t="s">
        <v>4714</v>
      </c>
      <c r="AG308" t="s">
        <v>10662</v>
      </c>
      <c r="AI308" t="s">
        <v>6955</v>
      </c>
      <c r="AJ308" s="424" t="str">
        <f t="shared" si="12"/>
        <v>722314</v>
      </c>
      <c r="AK308" s="28">
        <v>1</v>
      </c>
      <c r="AL308" s="28">
        <f t="shared" si="14"/>
        <v>1</v>
      </c>
      <c r="AM308" s="28" t="str">
        <f t="shared" si="13"/>
        <v>pracuj.pl</v>
      </c>
    </row>
    <row r="309" spans="1:39" x14ac:dyDescent="0.25">
      <c r="A309" t="s">
        <v>10644</v>
      </c>
      <c r="B309" t="s">
        <v>10666</v>
      </c>
      <c r="C309" t="s">
        <v>29</v>
      </c>
      <c r="D309" s="27" t="s">
        <v>9835</v>
      </c>
      <c r="E309" t="s">
        <v>192</v>
      </c>
      <c r="F309" s="421">
        <v>1</v>
      </c>
      <c r="G309" t="s">
        <v>193</v>
      </c>
      <c r="H309" t="s">
        <v>194</v>
      </c>
      <c r="I309" t="s">
        <v>9343</v>
      </c>
      <c r="J309" t="s">
        <v>385</v>
      </c>
      <c r="K309" t="s">
        <v>10667</v>
      </c>
      <c r="L309" t="s">
        <v>6275</v>
      </c>
      <c r="M309" t="s">
        <v>10519</v>
      </c>
      <c r="N309" t="s">
        <v>10045</v>
      </c>
      <c r="O309" t="s">
        <v>9369</v>
      </c>
      <c r="P309" t="s">
        <v>10668</v>
      </c>
      <c r="Q309" t="s">
        <v>10669</v>
      </c>
      <c r="S309" t="s">
        <v>9309</v>
      </c>
      <c r="T309" s="28" t="s">
        <v>9410</v>
      </c>
      <c r="U309" s="27" t="s">
        <v>808</v>
      </c>
      <c r="V309" t="s">
        <v>194</v>
      </c>
      <c r="W309" t="s">
        <v>9300</v>
      </c>
      <c r="Z309" t="s">
        <v>9311</v>
      </c>
      <c r="AF309" t="s">
        <v>4714</v>
      </c>
      <c r="AG309" t="s">
        <v>10666</v>
      </c>
      <c r="AI309" t="s">
        <v>6955</v>
      </c>
      <c r="AJ309" s="424" t="str">
        <f t="shared" si="12"/>
        <v>722308</v>
      </c>
      <c r="AK309" s="28">
        <v>1</v>
      </c>
      <c r="AL309" s="28">
        <f t="shared" si="14"/>
        <v>1</v>
      </c>
      <c r="AM309" s="28" t="str">
        <f t="shared" si="13"/>
        <v>pracuj.pl</v>
      </c>
    </row>
    <row r="310" spans="1:39" x14ac:dyDescent="0.25">
      <c r="A310" t="s">
        <v>10644</v>
      </c>
      <c r="B310" t="s">
        <v>10666</v>
      </c>
      <c r="C310" t="s">
        <v>29</v>
      </c>
      <c r="D310" s="27" t="s">
        <v>9835</v>
      </c>
      <c r="E310" t="s">
        <v>192</v>
      </c>
      <c r="F310" s="421">
        <v>1</v>
      </c>
      <c r="G310" t="s">
        <v>193</v>
      </c>
      <c r="H310" t="s">
        <v>194</v>
      </c>
      <c r="I310" t="s">
        <v>9343</v>
      </c>
      <c r="J310" t="s">
        <v>575</v>
      </c>
      <c r="K310" t="s">
        <v>10670</v>
      </c>
      <c r="L310" t="s">
        <v>6275</v>
      </c>
      <c r="M310" t="s">
        <v>10519</v>
      </c>
      <c r="N310" t="s">
        <v>10045</v>
      </c>
      <c r="O310" t="s">
        <v>9369</v>
      </c>
      <c r="P310" t="s">
        <v>10671</v>
      </c>
      <c r="Q310" t="s">
        <v>10672</v>
      </c>
      <c r="S310" t="s">
        <v>9309</v>
      </c>
      <c r="U310" s="27" t="s">
        <v>808</v>
      </c>
      <c r="V310" t="s">
        <v>193</v>
      </c>
      <c r="W310" t="s">
        <v>9310</v>
      </c>
      <c r="Z310" t="s">
        <v>9311</v>
      </c>
      <c r="AF310" t="s">
        <v>4714</v>
      </c>
      <c r="AG310" t="s">
        <v>10666</v>
      </c>
      <c r="AI310" t="s">
        <v>6955</v>
      </c>
      <c r="AJ310" s="424" t="str">
        <f t="shared" si="12"/>
        <v>722308</v>
      </c>
      <c r="AK310" s="28">
        <v>1</v>
      </c>
      <c r="AL310" s="28">
        <f t="shared" si="14"/>
        <v>1</v>
      </c>
      <c r="AM310" s="28" t="str">
        <f t="shared" si="13"/>
        <v>pracuj.pl</v>
      </c>
    </row>
    <row r="311" spans="1:39" x14ac:dyDescent="0.25">
      <c r="A311" t="s">
        <v>10644</v>
      </c>
      <c r="B311" t="s">
        <v>1802</v>
      </c>
      <c r="C311" t="s">
        <v>4072</v>
      </c>
      <c r="D311" s="27" t="s">
        <v>9835</v>
      </c>
      <c r="E311" t="s">
        <v>192</v>
      </c>
      <c r="F311" s="421">
        <v>1</v>
      </c>
      <c r="G311" t="s">
        <v>193</v>
      </c>
      <c r="H311" t="s">
        <v>194</v>
      </c>
      <c r="I311" t="s">
        <v>9343</v>
      </c>
      <c r="J311" t="s">
        <v>575</v>
      </c>
      <c r="K311" t="s">
        <v>10673</v>
      </c>
      <c r="L311" t="s">
        <v>6275</v>
      </c>
      <c r="M311" t="s">
        <v>10519</v>
      </c>
      <c r="N311" t="s">
        <v>10045</v>
      </c>
      <c r="O311" t="s">
        <v>9369</v>
      </c>
      <c r="P311" t="s">
        <v>10674</v>
      </c>
      <c r="Q311" t="s">
        <v>10675</v>
      </c>
      <c r="S311" t="s">
        <v>9309</v>
      </c>
      <c r="T311" s="28" t="s">
        <v>9726</v>
      </c>
      <c r="U311" s="27" t="s">
        <v>4073</v>
      </c>
      <c r="V311" t="s">
        <v>194</v>
      </c>
      <c r="W311" t="s">
        <v>9300</v>
      </c>
      <c r="Z311" t="s">
        <v>9311</v>
      </c>
      <c r="AF311" t="s">
        <v>4714</v>
      </c>
      <c r="AG311" t="s">
        <v>1802</v>
      </c>
      <c r="AI311" t="s">
        <v>6955</v>
      </c>
      <c r="AJ311" s="424" t="str">
        <f t="shared" si="12"/>
        <v>311603</v>
      </c>
      <c r="AK311" s="28">
        <v>1</v>
      </c>
      <c r="AL311" s="28">
        <f t="shared" si="14"/>
        <v>1</v>
      </c>
      <c r="AM311" s="28" t="str">
        <f t="shared" si="13"/>
        <v>pracuj.pl</v>
      </c>
    </row>
    <row r="312" spans="1:39" x14ac:dyDescent="0.25">
      <c r="A312" t="s">
        <v>10644</v>
      </c>
      <c r="B312" t="s">
        <v>10676</v>
      </c>
      <c r="C312" t="s">
        <v>566</v>
      </c>
      <c r="D312" s="27" t="s">
        <v>9835</v>
      </c>
      <c r="E312" t="s">
        <v>192</v>
      </c>
      <c r="F312" s="421">
        <v>1</v>
      </c>
      <c r="G312" t="s">
        <v>193</v>
      </c>
      <c r="H312" t="s">
        <v>194</v>
      </c>
      <c r="I312" t="s">
        <v>9343</v>
      </c>
      <c r="J312" t="s">
        <v>385</v>
      </c>
      <c r="K312" t="s">
        <v>10677</v>
      </c>
      <c r="L312" t="s">
        <v>6275</v>
      </c>
      <c r="M312" t="s">
        <v>10519</v>
      </c>
      <c r="N312" t="s">
        <v>10045</v>
      </c>
      <c r="O312" t="s">
        <v>9369</v>
      </c>
      <c r="P312" t="s">
        <v>10678</v>
      </c>
      <c r="Q312" t="s">
        <v>10679</v>
      </c>
      <c r="S312" t="s">
        <v>9309</v>
      </c>
      <c r="T312" s="28" t="s">
        <v>9410</v>
      </c>
      <c r="U312" s="27" t="s">
        <v>567</v>
      </c>
      <c r="V312" t="s">
        <v>194</v>
      </c>
      <c r="W312" t="s">
        <v>9300</v>
      </c>
      <c r="Z312" t="s">
        <v>9311</v>
      </c>
      <c r="AF312" t="s">
        <v>4714</v>
      </c>
      <c r="AG312" t="s">
        <v>10676</v>
      </c>
      <c r="AI312" t="s">
        <v>6955</v>
      </c>
      <c r="AJ312" s="424" t="str">
        <f t="shared" si="12"/>
        <v>311504</v>
      </c>
      <c r="AK312" s="28">
        <v>1</v>
      </c>
      <c r="AL312" s="28">
        <f t="shared" si="14"/>
        <v>1</v>
      </c>
      <c r="AM312" s="28" t="str">
        <f t="shared" si="13"/>
        <v>pracuj.pl</v>
      </c>
    </row>
    <row r="313" spans="1:39" x14ac:dyDescent="0.25">
      <c r="A313" t="s">
        <v>10644</v>
      </c>
      <c r="B313" t="s">
        <v>1809</v>
      </c>
      <c r="C313" t="s">
        <v>1810</v>
      </c>
      <c r="D313" s="27" t="s">
        <v>9835</v>
      </c>
      <c r="E313" t="s">
        <v>192</v>
      </c>
      <c r="F313" s="421">
        <v>1</v>
      </c>
      <c r="G313" t="s">
        <v>193</v>
      </c>
      <c r="H313" t="s">
        <v>194</v>
      </c>
      <c r="I313" t="s">
        <v>10529</v>
      </c>
      <c r="J313" t="s">
        <v>385</v>
      </c>
      <c r="K313" t="s">
        <v>10680</v>
      </c>
      <c r="L313" t="s">
        <v>6275</v>
      </c>
      <c r="M313" t="s">
        <v>10519</v>
      </c>
      <c r="N313" t="s">
        <v>10045</v>
      </c>
      <c r="O313" t="s">
        <v>9369</v>
      </c>
      <c r="P313" t="s">
        <v>10681</v>
      </c>
      <c r="Q313" t="s">
        <v>10682</v>
      </c>
      <c r="S313" t="s">
        <v>9309</v>
      </c>
      <c r="T313" s="28" t="s">
        <v>9410</v>
      </c>
      <c r="U313" s="27" t="s">
        <v>1811</v>
      </c>
      <c r="V313" t="s">
        <v>194</v>
      </c>
      <c r="W313" t="s">
        <v>9300</v>
      </c>
      <c r="Z313" t="s">
        <v>9311</v>
      </c>
      <c r="AF313" t="s">
        <v>4714</v>
      </c>
      <c r="AG313" t="s">
        <v>1809</v>
      </c>
      <c r="AI313" t="s">
        <v>6955</v>
      </c>
      <c r="AJ313" s="424" t="str">
        <f t="shared" si="12"/>
        <v>722401</v>
      </c>
      <c r="AK313" s="28">
        <v>1</v>
      </c>
      <c r="AL313" s="28">
        <f t="shared" si="14"/>
        <v>1</v>
      </c>
      <c r="AM313" s="28" t="str">
        <f t="shared" si="13"/>
        <v>pracuj.pl</v>
      </c>
    </row>
    <row r="314" spans="1:39" x14ac:dyDescent="0.25">
      <c r="A314" t="s">
        <v>10644</v>
      </c>
      <c r="B314" t="s">
        <v>1809</v>
      </c>
      <c r="C314" t="s">
        <v>1810</v>
      </c>
      <c r="D314" s="27" t="s">
        <v>9835</v>
      </c>
      <c r="E314" t="s">
        <v>192</v>
      </c>
      <c r="F314" s="421">
        <v>1</v>
      </c>
      <c r="G314" t="s">
        <v>193</v>
      </c>
      <c r="H314" t="s">
        <v>194</v>
      </c>
      <c r="I314" t="s">
        <v>10529</v>
      </c>
      <c r="J314" t="s">
        <v>575</v>
      </c>
      <c r="K314" t="s">
        <v>10683</v>
      </c>
      <c r="L314" t="s">
        <v>6275</v>
      </c>
      <c r="M314" t="s">
        <v>10519</v>
      </c>
      <c r="N314" t="s">
        <v>10045</v>
      </c>
      <c r="O314" t="s">
        <v>9369</v>
      </c>
      <c r="P314" t="s">
        <v>10684</v>
      </c>
      <c r="Q314" t="s">
        <v>10685</v>
      </c>
      <c r="S314" t="s">
        <v>9309</v>
      </c>
      <c r="U314" s="27" t="s">
        <v>1811</v>
      </c>
      <c r="V314" t="s">
        <v>193</v>
      </c>
      <c r="W314" t="s">
        <v>9310</v>
      </c>
      <c r="Z314" t="s">
        <v>9311</v>
      </c>
      <c r="AF314" t="s">
        <v>4714</v>
      </c>
      <c r="AG314" t="s">
        <v>1809</v>
      </c>
      <c r="AI314" t="s">
        <v>6955</v>
      </c>
      <c r="AJ314" s="424" t="str">
        <f t="shared" si="12"/>
        <v>722401</v>
      </c>
      <c r="AK314" s="28">
        <v>1</v>
      </c>
      <c r="AL314" s="28">
        <f t="shared" si="14"/>
        <v>1</v>
      </c>
      <c r="AM314" s="28" t="str">
        <f t="shared" si="13"/>
        <v>pracuj.pl</v>
      </c>
    </row>
    <row r="315" spans="1:39" x14ac:dyDescent="0.25">
      <c r="A315" t="s">
        <v>10644</v>
      </c>
      <c r="B315" t="s">
        <v>10686</v>
      </c>
      <c r="C315" t="s">
        <v>100</v>
      </c>
      <c r="D315" s="27" t="s">
        <v>9835</v>
      </c>
      <c r="E315" t="s">
        <v>192</v>
      </c>
      <c r="F315" s="421">
        <v>1</v>
      </c>
      <c r="G315" t="s">
        <v>193</v>
      </c>
      <c r="H315" t="s">
        <v>194</v>
      </c>
      <c r="I315" t="s">
        <v>10529</v>
      </c>
      <c r="J315" t="s">
        <v>575</v>
      </c>
      <c r="K315" t="s">
        <v>10687</v>
      </c>
      <c r="L315" t="s">
        <v>6266</v>
      </c>
      <c r="M315" t="s">
        <v>10519</v>
      </c>
      <c r="N315" t="s">
        <v>10045</v>
      </c>
      <c r="O315" t="s">
        <v>9369</v>
      </c>
      <c r="P315" t="s">
        <v>10688</v>
      </c>
      <c r="Q315" t="s">
        <v>10689</v>
      </c>
      <c r="S315" t="s">
        <v>9309</v>
      </c>
      <c r="U315" s="27" t="s">
        <v>429</v>
      </c>
      <c r="V315" t="s">
        <v>193</v>
      </c>
      <c r="W315" t="s">
        <v>9310</v>
      </c>
      <c r="Z315" t="s">
        <v>9311</v>
      </c>
      <c r="AF315" t="s">
        <v>4714</v>
      </c>
      <c r="AG315" t="s">
        <v>10686</v>
      </c>
      <c r="AI315" t="s">
        <v>6955</v>
      </c>
      <c r="AJ315" s="424" t="str">
        <f t="shared" si="12"/>
        <v>242108</v>
      </c>
      <c r="AK315" s="28">
        <v>1</v>
      </c>
      <c r="AL315" s="28">
        <f t="shared" si="14"/>
        <v>1</v>
      </c>
      <c r="AM315" s="28" t="str">
        <f t="shared" si="13"/>
        <v>pracuj.pl</v>
      </c>
    </row>
    <row r="316" spans="1:39" x14ac:dyDescent="0.25">
      <c r="A316" t="s">
        <v>10690</v>
      </c>
      <c r="B316" t="s">
        <v>10691</v>
      </c>
      <c r="C316" t="s">
        <v>35</v>
      </c>
      <c r="D316" s="27" t="s">
        <v>9835</v>
      </c>
      <c r="E316" t="s">
        <v>233</v>
      </c>
      <c r="F316" s="421">
        <v>1</v>
      </c>
      <c r="G316" t="s">
        <v>193</v>
      </c>
      <c r="H316" t="s">
        <v>194</v>
      </c>
      <c r="I316" t="s">
        <v>10546</v>
      </c>
      <c r="J316" t="s">
        <v>9302</v>
      </c>
      <c r="K316" t="s">
        <v>10692</v>
      </c>
      <c r="L316" t="s">
        <v>6254</v>
      </c>
      <c r="M316" t="s">
        <v>10539</v>
      </c>
      <c r="N316" t="s">
        <v>9588</v>
      </c>
      <c r="O316" t="s">
        <v>9977</v>
      </c>
      <c r="P316" t="s">
        <v>10693</v>
      </c>
      <c r="Q316" t="s">
        <v>10694</v>
      </c>
      <c r="S316" t="s">
        <v>9309</v>
      </c>
      <c r="U316" s="27" t="s">
        <v>207</v>
      </c>
      <c r="V316" t="s">
        <v>193</v>
      </c>
      <c r="W316" t="s">
        <v>9310</v>
      </c>
      <c r="Z316" t="s">
        <v>9311</v>
      </c>
      <c r="AF316" t="s">
        <v>4714</v>
      </c>
      <c r="AG316" t="s">
        <v>10691</v>
      </c>
      <c r="AI316" t="s">
        <v>6955</v>
      </c>
      <c r="AJ316" s="424" t="str">
        <f t="shared" si="12"/>
        <v>122106</v>
      </c>
      <c r="AK316" s="28">
        <v>1</v>
      </c>
      <c r="AL316" s="28">
        <f t="shared" si="14"/>
        <v>1</v>
      </c>
      <c r="AM316" s="28" t="str">
        <f t="shared" si="13"/>
        <v>praca</v>
      </c>
    </row>
    <row r="317" spans="1:39" x14ac:dyDescent="0.25">
      <c r="A317" t="s">
        <v>1410</v>
      </c>
      <c r="B317" t="s">
        <v>9483</v>
      </c>
      <c r="C317" t="s">
        <v>35</v>
      </c>
      <c r="D317" s="27" t="s">
        <v>9835</v>
      </c>
      <c r="E317" t="s">
        <v>217</v>
      </c>
      <c r="F317" s="421">
        <v>1</v>
      </c>
      <c r="G317" t="s">
        <v>193</v>
      </c>
      <c r="H317" t="s">
        <v>194</v>
      </c>
      <c r="I317" t="s">
        <v>10529</v>
      </c>
      <c r="J317" t="s">
        <v>210</v>
      </c>
      <c r="K317" t="s">
        <v>9485</v>
      </c>
      <c r="L317" t="s">
        <v>6249</v>
      </c>
      <c r="M317" t="s">
        <v>10618</v>
      </c>
      <c r="N317" t="s">
        <v>9938</v>
      </c>
      <c r="O317" t="s">
        <v>9351</v>
      </c>
      <c r="P317" t="s">
        <v>10695</v>
      </c>
      <c r="Q317" t="s">
        <v>10696</v>
      </c>
      <c r="S317" t="s">
        <v>9309</v>
      </c>
      <c r="T317" s="28" t="s">
        <v>9334</v>
      </c>
      <c r="U317" s="27" t="s">
        <v>207</v>
      </c>
      <c r="V317" t="s">
        <v>194</v>
      </c>
      <c r="W317" t="s">
        <v>9300</v>
      </c>
      <c r="Z317" t="s">
        <v>9311</v>
      </c>
      <c r="AF317" t="s">
        <v>4714</v>
      </c>
      <c r="AG317" t="s">
        <v>9433</v>
      </c>
      <c r="AI317" t="s">
        <v>6955</v>
      </c>
      <c r="AJ317" s="424" t="str">
        <f t="shared" si="12"/>
        <v>122106</v>
      </c>
      <c r="AK317" s="28">
        <v>1</v>
      </c>
      <c r="AL317" s="28">
        <f t="shared" si="14"/>
        <v>1</v>
      </c>
      <c r="AM317" s="28" t="str">
        <f t="shared" si="13"/>
        <v>agora</v>
      </c>
    </row>
    <row r="318" spans="1:39" x14ac:dyDescent="0.25">
      <c r="A318" t="s">
        <v>1410</v>
      </c>
      <c r="B318" t="s">
        <v>9490</v>
      </c>
      <c r="C318" t="s">
        <v>17</v>
      </c>
      <c r="D318" s="27" t="s">
        <v>9835</v>
      </c>
      <c r="E318" t="s">
        <v>217</v>
      </c>
      <c r="F318" s="421">
        <v>1</v>
      </c>
      <c r="G318" t="s">
        <v>193</v>
      </c>
      <c r="H318" t="s">
        <v>194</v>
      </c>
      <c r="I318" t="s">
        <v>9491</v>
      </c>
      <c r="J318" t="s">
        <v>210</v>
      </c>
      <c r="K318" t="s">
        <v>9492</v>
      </c>
      <c r="L318" t="s">
        <v>6249</v>
      </c>
      <c r="M318" t="s">
        <v>10618</v>
      </c>
      <c r="N318" t="s">
        <v>9493</v>
      </c>
      <c r="O318" t="s">
        <v>9494</v>
      </c>
      <c r="P318" t="s">
        <v>10697</v>
      </c>
      <c r="Q318" t="s">
        <v>10698</v>
      </c>
      <c r="S318" t="s">
        <v>9309</v>
      </c>
      <c r="T318" s="28" t="s">
        <v>9334</v>
      </c>
      <c r="U318" s="27" t="s">
        <v>624</v>
      </c>
      <c r="V318" t="s">
        <v>194</v>
      </c>
      <c r="W318" t="s">
        <v>9300</v>
      </c>
      <c r="Z318" t="s">
        <v>9311</v>
      </c>
      <c r="AF318" t="s">
        <v>4714</v>
      </c>
      <c r="AG318" t="s">
        <v>9433</v>
      </c>
      <c r="AI318" t="s">
        <v>6955</v>
      </c>
      <c r="AJ318" s="424" t="str">
        <f t="shared" si="12"/>
        <v>332203</v>
      </c>
      <c r="AK318" s="28">
        <v>1</v>
      </c>
      <c r="AL318" s="28">
        <f t="shared" si="14"/>
        <v>1</v>
      </c>
      <c r="AM318" s="28" t="str">
        <f t="shared" si="13"/>
        <v>agora</v>
      </c>
    </row>
    <row r="319" spans="1:39" x14ac:dyDescent="0.25">
      <c r="A319" t="s">
        <v>10699</v>
      </c>
      <c r="B319" t="s">
        <v>10700</v>
      </c>
      <c r="C319" t="s">
        <v>136</v>
      </c>
      <c r="D319" s="27" t="s">
        <v>9835</v>
      </c>
      <c r="E319" t="s">
        <v>192</v>
      </c>
      <c r="F319" s="421">
        <v>1</v>
      </c>
      <c r="G319" t="s">
        <v>193</v>
      </c>
      <c r="H319" t="s">
        <v>194</v>
      </c>
      <c r="I319" t="s">
        <v>10529</v>
      </c>
      <c r="J319" t="s">
        <v>575</v>
      </c>
      <c r="K319" t="s">
        <v>10701</v>
      </c>
      <c r="L319" t="s">
        <v>6340</v>
      </c>
      <c r="M319" t="s">
        <v>10519</v>
      </c>
      <c r="N319" t="s">
        <v>10045</v>
      </c>
      <c r="O319" t="s">
        <v>9369</v>
      </c>
      <c r="P319" t="s">
        <v>10702</v>
      </c>
      <c r="Q319" t="s">
        <v>10703</v>
      </c>
      <c r="S319" t="s">
        <v>9309</v>
      </c>
      <c r="T319" s="28" t="s">
        <v>9726</v>
      </c>
      <c r="U319" s="27" t="s">
        <v>461</v>
      </c>
      <c r="V319" t="s">
        <v>194</v>
      </c>
      <c r="W319" t="s">
        <v>9300</v>
      </c>
      <c r="Z319" t="s">
        <v>9311</v>
      </c>
      <c r="AF319" t="s">
        <v>4714</v>
      </c>
      <c r="AG319" t="s">
        <v>10700</v>
      </c>
      <c r="AI319" t="s">
        <v>6955</v>
      </c>
      <c r="AJ319" s="424" t="str">
        <f t="shared" si="12"/>
        <v>243301</v>
      </c>
      <c r="AK319" s="28">
        <v>1</v>
      </c>
      <c r="AL319" s="28">
        <f t="shared" si="14"/>
        <v>1</v>
      </c>
      <c r="AM319" s="28" t="str">
        <f t="shared" si="13"/>
        <v>pracuj.pl</v>
      </c>
    </row>
    <row r="320" spans="1:39" x14ac:dyDescent="0.25">
      <c r="A320" t="s">
        <v>10699</v>
      </c>
      <c r="B320" t="s">
        <v>10704</v>
      </c>
      <c r="C320" t="s">
        <v>18</v>
      </c>
      <c r="D320" s="27" t="s">
        <v>9835</v>
      </c>
      <c r="E320" t="s">
        <v>192</v>
      </c>
      <c r="F320" s="421">
        <v>1</v>
      </c>
      <c r="G320" t="s">
        <v>193</v>
      </c>
      <c r="H320" t="s">
        <v>194</v>
      </c>
      <c r="I320" t="s">
        <v>10529</v>
      </c>
      <c r="J320" t="s">
        <v>210</v>
      </c>
      <c r="K320" t="s">
        <v>10705</v>
      </c>
      <c r="L320" t="s">
        <v>6340</v>
      </c>
      <c r="M320" t="s">
        <v>10519</v>
      </c>
      <c r="N320" t="s">
        <v>10045</v>
      </c>
      <c r="O320" t="s">
        <v>9369</v>
      </c>
      <c r="P320" t="s">
        <v>10706</v>
      </c>
      <c r="Q320" t="s">
        <v>10707</v>
      </c>
      <c r="S320" t="s">
        <v>9309</v>
      </c>
      <c r="T320" s="28" t="s">
        <v>9334</v>
      </c>
      <c r="U320" s="27" t="s">
        <v>1476</v>
      </c>
      <c r="V320" t="s">
        <v>194</v>
      </c>
      <c r="W320" t="s">
        <v>9300</v>
      </c>
      <c r="Z320" t="s">
        <v>9311</v>
      </c>
      <c r="AF320" t="s">
        <v>4714</v>
      </c>
      <c r="AG320" t="s">
        <v>10704</v>
      </c>
      <c r="AI320" t="s">
        <v>6955</v>
      </c>
      <c r="AJ320" s="424" t="str">
        <f t="shared" si="12"/>
        <v>242309</v>
      </c>
      <c r="AK320" s="28">
        <v>1</v>
      </c>
      <c r="AL320" s="28">
        <f t="shared" si="14"/>
        <v>1</v>
      </c>
      <c r="AM320" s="28" t="str">
        <f t="shared" si="13"/>
        <v>pracuj.pl</v>
      </c>
    </row>
    <row r="321" spans="1:39" x14ac:dyDescent="0.25">
      <c r="A321" t="s">
        <v>10699</v>
      </c>
      <c r="B321" t="s">
        <v>17</v>
      </c>
      <c r="C321" t="s">
        <v>17</v>
      </c>
      <c r="D321" s="27" t="s">
        <v>9835</v>
      </c>
      <c r="E321" t="s">
        <v>192</v>
      </c>
      <c r="F321" s="421">
        <v>1</v>
      </c>
      <c r="G321" t="s">
        <v>193</v>
      </c>
      <c r="H321" t="s">
        <v>194</v>
      </c>
      <c r="I321" t="s">
        <v>9461</v>
      </c>
      <c r="J321" t="s">
        <v>9302</v>
      </c>
      <c r="K321" t="s">
        <v>10708</v>
      </c>
      <c r="L321" t="s">
        <v>6254</v>
      </c>
      <c r="M321" t="s">
        <v>10519</v>
      </c>
      <c r="N321" t="s">
        <v>10045</v>
      </c>
      <c r="O321" t="s">
        <v>9369</v>
      </c>
      <c r="P321" t="s">
        <v>10709</v>
      </c>
      <c r="Q321" t="s">
        <v>10710</v>
      </c>
      <c r="S321" t="s">
        <v>9309</v>
      </c>
      <c r="U321" s="27" t="s">
        <v>624</v>
      </c>
      <c r="V321" t="s">
        <v>193</v>
      </c>
      <c r="W321" t="s">
        <v>9310</v>
      </c>
      <c r="Z321" t="s">
        <v>9311</v>
      </c>
      <c r="AF321" t="s">
        <v>4714</v>
      </c>
      <c r="AG321" t="s">
        <v>17</v>
      </c>
      <c r="AI321" t="s">
        <v>6955</v>
      </c>
      <c r="AJ321" s="424" t="str">
        <f t="shared" si="12"/>
        <v>332203</v>
      </c>
      <c r="AK321" s="28">
        <v>1</v>
      </c>
      <c r="AL321" s="28">
        <f t="shared" si="14"/>
        <v>1</v>
      </c>
      <c r="AM321" s="28" t="str">
        <f t="shared" si="13"/>
        <v>pracuj.pl</v>
      </c>
    </row>
    <row r="322" spans="1:39" x14ac:dyDescent="0.25">
      <c r="A322" t="s">
        <v>10711</v>
      </c>
      <c r="B322" t="s">
        <v>10712</v>
      </c>
      <c r="C322" t="s">
        <v>17</v>
      </c>
      <c r="D322" s="27" t="s">
        <v>9835</v>
      </c>
      <c r="E322" t="s">
        <v>192</v>
      </c>
      <c r="F322" s="421">
        <v>1</v>
      </c>
      <c r="G322" t="s">
        <v>193</v>
      </c>
      <c r="H322" t="s">
        <v>194</v>
      </c>
      <c r="I322" t="s">
        <v>10529</v>
      </c>
      <c r="J322" t="s">
        <v>9302</v>
      </c>
      <c r="K322" t="s">
        <v>10713</v>
      </c>
      <c r="L322" t="s">
        <v>6249</v>
      </c>
      <c r="M322" t="s">
        <v>10519</v>
      </c>
      <c r="N322" t="s">
        <v>10045</v>
      </c>
      <c r="O322" t="s">
        <v>9369</v>
      </c>
      <c r="P322" t="s">
        <v>10714</v>
      </c>
      <c r="Q322" t="s">
        <v>10715</v>
      </c>
      <c r="S322" t="s">
        <v>9309</v>
      </c>
      <c r="U322" s="27" t="s">
        <v>624</v>
      </c>
      <c r="V322" t="s">
        <v>193</v>
      </c>
      <c r="W322" t="s">
        <v>9310</v>
      </c>
      <c r="Z322" t="s">
        <v>9311</v>
      </c>
      <c r="AF322" t="s">
        <v>4714</v>
      </c>
      <c r="AG322" t="s">
        <v>10712</v>
      </c>
      <c r="AI322" t="s">
        <v>6955</v>
      </c>
      <c r="AJ322" s="424" t="str">
        <f t="shared" ref="AJ322:AJ385" si="15">MID(U322,8,6)</f>
        <v>332203</v>
      </c>
      <c r="AK322" s="28">
        <v>1</v>
      </c>
      <c r="AL322" s="28">
        <f t="shared" si="14"/>
        <v>1</v>
      </c>
      <c r="AM322" s="28" t="str">
        <f t="shared" ref="AM322:AM385" si="16">T(E322)</f>
        <v>pracuj.pl</v>
      </c>
    </row>
    <row r="323" spans="1:39" x14ac:dyDescent="0.25">
      <c r="A323" t="s">
        <v>9522</v>
      </c>
      <c r="B323" t="s">
        <v>9643</v>
      </c>
      <c r="C323" t="s">
        <v>10</v>
      </c>
      <c r="D323" s="27" t="s">
        <v>9299</v>
      </c>
      <c r="E323" t="s">
        <v>217</v>
      </c>
      <c r="F323" s="421">
        <v>1</v>
      </c>
      <c r="G323" t="s">
        <v>193</v>
      </c>
      <c r="H323" t="s">
        <v>194</v>
      </c>
      <c r="I323" t="s">
        <v>9430</v>
      </c>
      <c r="J323" t="s">
        <v>9524</v>
      </c>
      <c r="K323" t="s">
        <v>9644</v>
      </c>
      <c r="L323" t="s">
        <v>6261</v>
      </c>
      <c r="M323" t="s">
        <v>9428</v>
      </c>
      <c r="N323" t="s">
        <v>9541</v>
      </c>
      <c r="O323" t="s">
        <v>9306</v>
      </c>
      <c r="P323" t="s">
        <v>9645</v>
      </c>
      <c r="Q323" t="s">
        <v>9646</v>
      </c>
      <c r="S323" t="s">
        <v>9309</v>
      </c>
      <c r="U323" s="27" t="s">
        <v>484</v>
      </c>
      <c r="V323" t="s">
        <v>193</v>
      </c>
      <c r="W323" t="s">
        <v>9310</v>
      </c>
      <c r="Z323" t="s">
        <v>9311</v>
      </c>
      <c r="AF323" t="s">
        <v>4714</v>
      </c>
      <c r="AG323" t="s">
        <v>9433</v>
      </c>
      <c r="AI323" t="s">
        <v>6955</v>
      </c>
      <c r="AJ323" s="424" t="str">
        <f t="shared" si="15"/>
        <v>251401</v>
      </c>
      <c r="AK323" s="28">
        <v>1</v>
      </c>
      <c r="AL323" s="28">
        <f t="shared" ref="AL323:AL386" si="17">SUM(F323)</f>
        <v>1</v>
      </c>
      <c r="AM323" s="28" t="str">
        <f t="shared" si="16"/>
        <v>agora</v>
      </c>
    </row>
    <row r="324" spans="1:39" x14ac:dyDescent="0.25">
      <c r="A324" t="s">
        <v>9522</v>
      </c>
      <c r="B324" t="s">
        <v>9651</v>
      </c>
      <c r="C324" t="s">
        <v>10</v>
      </c>
      <c r="D324" s="27" t="s">
        <v>9299</v>
      </c>
      <c r="E324" t="s">
        <v>217</v>
      </c>
      <c r="F324" s="421">
        <v>1</v>
      </c>
      <c r="G324" t="s">
        <v>193</v>
      </c>
      <c r="H324" t="s">
        <v>194</v>
      </c>
      <c r="I324" t="s">
        <v>9430</v>
      </c>
      <c r="J324" t="s">
        <v>210</v>
      </c>
      <c r="K324" t="s">
        <v>9652</v>
      </c>
      <c r="L324" t="s">
        <v>6261</v>
      </c>
      <c r="M324" t="s">
        <v>9436</v>
      </c>
      <c r="N324" t="s">
        <v>9541</v>
      </c>
      <c r="O324" t="s">
        <v>9542</v>
      </c>
      <c r="P324" t="s">
        <v>9653</v>
      </c>
      <c r="Q324" t="s">
        <v>9654</v>
      </c>
      <c r="S324" t="s">
        <v>9309</v>
      </c>
      <c r="T324" s="28" t="s">
        <v>9334</v>
      </c>
      <c r="U324" s="27" t="s">
        <v>484</v>
      </c>
      <c r="V324" t="s">
        <v>194</v>
      </c>
      <c r="W324" t="s">
        <v>9300</v>
      </c>
      <c r="Z324" t="s">
        <v>9311</v>
      </c>
      <c r="AF324" t="s">
        <v>4714</v>
      </c>
      <c r="AG324" t="s">
        <v>9433</v>
      </c>
      <c r="AI324" t="s">
        <v>6955</v>
      </c>
      <c r="AJ324" s="424" t="str">
        <f t="shared" si="15"/>
        <v>251401</v>
      </c>
      <c r="AK324" s="28">
        <v>1</v>
      </c>
      <c r="AL324" s="28">
        <f t="shared" si="17"/>
        <v>1</v>
      </c>
      <c r="AM324" s="28" t="str">
        <f t="shared" si="16"/>
        <v>agora</v>
      </c>
    </row>
    <row r="325" spans="1:39" x14ac:dyDescent="0.25">
      <c r="A325" t="s">
        <v>9522</v>
      </c>
      <c r="B325" t="s">
        <v>9651</v>
      </c>
      <c r="C325" t="s">
        <v>10</v>
      </c>
      <c r="D325" s="27" t="s">
        <v>9299</v>
      </c>
      <c r="E325" t="s">
        <v>217</v>
      </c>
      <c r="F325" s="421">
        <v>1</v>
      </c>
      <c r="G325" t="s">
        <v>193</v>
      </c>
      <c r="H325" t="s">
        <v>194</v>
      </c>
      <c r="I325" t="s">
        <v>9430</v>
      </c>
      <c r="J325" t="s">
        <v>210</v>
      </c>
      <c r="K325" t="s">
        <v>9655</v>
      </c>
      <c r="L325" t="s">
        <v>6261</v>
      </c>
      <c r="M325" t="s">
        <v>9436</v>
      </c>
      <c r="N325" t="s">
        <v>9305</v>
      </c>
      <c r="O325" t="s">
        <v>9531</v>
      </c>
      <c r="P325" t="s">
        <v>9656</v>
      </c>
      <c r="Q325" t="s">
        <v>9657</v>
      </c>
      <c r="S325" t="s">
        <v>9309</v>
      </c>
      <c r="T325" s="28" t="s">
        <v>9334</v>
      </c>
      <c r="U325" s="27" t="s">
        <v>484</v>
      </c>
      <c r="V325" t="s">
        <v>194</v>
      </c>
      <c r="W325" t="s">
        <v>9300</v>
      </c>
      <c r="Z325" t="s">
        <v>9311</v>
      </c>
      <c r="AF325" t="s">
        <v>4714</v>
      </c>
      <c r="AG325" t="s">
        <v>9433</v>
      </c>
      <c r="AI325" t="s">
        <v>6955</v>
      </c>
      <c r="AJ325" s="424" t="str">
        <f t="shared" si="15"/>
        <v>251401</v>
      </c>
      <c r="AK325" s="28">
        <v>1</v>
      </c>
      <c r="AL325" s="28">
        <f t="shared" si="17"/>
        <v>1</v>
      </c>
      <c r="AM325" s="28" t="str">
        <f t="shared" si="16"/>
        <v>agora</v>
      </c>
    </row>
    <row r="326" spans="1:39" x14ac:dyDescent="0.25">
      <c r="A326" t="s">
        <v>9522</v>
      </c>
      <c r="B326" t="s">
        <v>9701</v>
      </c>
      <c r="C326" t="s">
        <v>10</v>
      </c>
      <c r="D326" s="27" t="s">
        <v>9299</v>
      </c>
      <c r="E326" t="s">
        <v>217</v>
      </c>
      <c r="F326" s="421">
        <v>1</v>
      </c>
      <c r="G326" t="s">
        <v>193</v>
      </c>
      <c r="H326" t="s">
        <v>194</v>
      </c>
      <c r="I326" t="s">
        <v>9430</v>
      </c>
      <c r="J326" t="s">
        <v>210</v>
      </c>
      <c r="K326" t="s">
        <v>9702</v>
      </c>
      <c r="L326" t="s">
        <v>6261</v>
      </c>
      <c r="M326" t="s">
        <v>9436</v>
      </c>
      <c r="N326" t="s">
        <v>9541</v>
      </c>
      <c r="O326" t="s">
        <v>9542</v>
      </c>
      <c r="P326" t="s">
        <v>9703</v>
      </c>
      <c r="Q326" t="s">
        <v>9704</v>
      </c>
      <c r="S326" t="s">
        <v>9309</v>
      </c>
      <c r="T326" s="28" t="s">
        <v>9334</v>
      </c>
      <c r="U326" s="27" t="s">
        <v>484</v>
      </c>
      <c r="V326" t="s">
        <v>194</v>
      </c>
      <c r="W326" t="s">
        <v>9300</v>
      </c>
      <c r="Z326" t="s">
        <v>9311</v>
      </c>
      <c r="AF326" t="s">
        <v>4714</v>
      </c>
      <c r="AG326" t="s">
        <v>9433</v>
      </c>
      <c r="AI326" t="s">
        <v>6955</v>
      </c>
      <c r="AJ326" s="424" t="str">
        <f t="shared" si="15"/>
        <v>251401</v>
      </c>
      <c r="AK326" s="28">
        <v>1</v>
      </c>
      <c r="AL326" s="28">
        <f t="shared" si="17"/>
        <v>1</v>
      </c>
      <c r="AM326" s="28" t="str">
        <f t="shared" si="16"/>
        <v>agora</v>
      </c>
    </row>
    <row r="327" spans="1:39" x14ac:dyDescent="0.25">
      <c r="A327" t="s">
        <v>9522</v>
      </c>
      <c r="B327" t="s">
        <v>9701</v>
      </c>
      <c r="C327" t="s">
        <v>10</v>
      </c>
      <c r="D327" s="27" t="s">
        <v>9299</v>
      </c>
      <c r="E327" t="s">
        <v>217</v>
      </c>
      <c r="F327" s="421">
        <v>1</v>
      </c>
      <c r="G327" t="s">
        <v>193</v>
      </c>
      <c r="H327" t="s">
        <v>194</v>
      </c>
      <c r="I327" t="s">
        <v>9430</v>
      </c>
      <c r="J327" t="s">
        <v>210</v>
      </c>
      <c r="K327" t="s">
        <v>9705</v>
      </c>
      <c r="L327" t="s">
        <v>6261</v>
      </c>
      <c r="M327" t="s">
        <v>9428</v>
      </c>
      <c r="N327" t="s">
        <v>9437</v>
      </c>
      <c r="O327" t="s">
        <v>9369</v>
      </c>
      <c r="P327" t="s">
        <v>9706</v>
      </c>
      <c r="Q327" t="s">
        <v>9707</v>
      </c>
      <c r="S327" t="s">
        <v>9309</v>
      </c>
      <c r="T327" s="28" t="s">
        <v>9334</v>
      </c>
      <c r="U327" s="27" t="s">
        <v>484</v>
      </c>
      <c r="V327" t="s">
        <v>194</v>
      </c>
      <c r="W327" t="s">
        <v>9300</v>
      </c>
      <c r="Z327" t="s">
        <v>9311</v>
      </c>
      <c r="AF327" t="s">
        <v>4714</v>
      </c>
      <c r="AG327" t="s">
        <v>9433</v>
      </c>
      <c r="AI327" t="s">
        <v>6955</v>
      </c>
      <c r="AJ327" s="424" t="str">
        <f t="shared" si="15"/>
        <v>251401</v>
      </c>
      <c r="AK327" s="28">
        <v>1</v>
      </c>
      <c r="AL327" s="28">
        <f t="shared" si="17"/>
        <v>1</v>
      </c>
      <c r="AM327" s="28" t="str">
        <f t="shared" si="16"/>
        <v>agora</v>
      </c>
    </row>
    <row r="328" spans="1:39" x14ac:dyDescent="0.25">
      <c r="A328" t="s">
        <v>9522</v>
      </c>
      <c r="B328" t="s">
        <v>9708</v>
      </c>
      <c r="C328" t="s">
        <v>10</v>
      </c>
      <c r="D328" s="27" t="s">
        <v>9299</v>
      </c>
      <c r="E328" t="s">
        <v>217</v>
      </c>
      <c r="F328" s="421">
        <v>1</v>
      </c>
      <c r="G328" t="s">
        <v>193</v>
      </c>
      <c r="H328" t="s">
        <v>194</v>
      </c>
      <c r="I328" t="s">
        <v>9709</v>
      </c>
      <c r="J328" t="s">
        <v>210</v>
      </c>
      <c r="K328" t="s">
        <v>9710</v>
      </c>
      <c r="L328" t="s">
        <v>6261</v>
      </c>
      <c r="M328" t="s">
        <v>9428</v>
      </c>
      <c r="N328" t="s">
        <v>9342</v>
      </c>
      <c r="O328" t="s">
        <v>9542</v>
      </c>
      <c r="P328" t="s">
        <v>9711</v>
      </c>
      <c r="Q328" t="s">
        <v>9712</v>
      </c>
      <c r="S328" t="s">
        <v>9309</v>
      </c>
      <c r="T328" s="28" t="s">
        <v>9334</v>
      </c>
      <c r="U328" s="27" t="s">
        <v>484</v>
      </c>
      <c r="V328" t="s">
        <v>194</v>
      </c>
      <c r="W328" t="s">
        <v>9300</v>
      </c>
      <c r="Z328" t="s">
        <v>9311</v>
      </c>
      <c r="AF328" t="s">
        <v>4714</v>
      </c>
      <c r="AG328" t="s">
        <v>9433</v>
      </c>
      <c r="AI328" t="s">
        <v>6955</v>
      </c>
      <c r="AJ328" s="424" t="str">
        <f t="shared" si="15"/>
        <v>251401</v>
      </c>
      <c r="AK328" s="28">
        <v>1</v>
      </c>
      <c r="AL328" s="28">
        <f t="shared" si="17"/>
        <v>1</v>
      </c>
      <c r="AM328" s="28" t="str">
        <f t="shared" si="16"/>
        <v>agora</v>
      </c>
    </row>
    <row r="329" spans="1:39" x14ac:dyDescent="0.25">
      <c r="A329" t="s">
        <v>9522</v>
      </c>
      <c r="B329" t="s">
        <v>9708</v>
      </c>
      <c r="C329" t="s">
        <v>10</v>
      </c>
      <c r="D329" s="27" t="s">
        <v>9299</v>
      </c>
      <c r="E329" t="s">
        <v>217</v>
      </c>
      <c r="F329" s="421">
        <v>1</v>
      </c>
      <c r="G329" t="s">
        <v>193</v>
      </c>
      <c r="H329" t="s">
        <v>194</v>
      </c>
      <c r="I329" t="s">
        <v>9709</v>
      </c>
      <c r="J329" t="s">
        <v>210</v>
      </c>
      <c r="K329" t="s">
        <v>9713</v>
      </c>
      <c r="L329" t="s">
        <v>6261</v>
      </c>
      <c r="M329" t="s">
        <v>9428</v>
      </c>
      <c r="N329" t="s">
        <v>9342</v>
      </c>
      <c r="O329" t="s">
        <v>9461</v>
      </c>
      <c r="P329" t="s">
        <v>9714</v>
      </c>
      <c r="Q329" t="s">
        <v>9715</v>
      </c>
      <c r="S329" t="s">
        <v>9309</v>
      </c>
      <c r="T329" s="28" t="s">
        <v>9334</v>
      </c>
      <c r="U329" s="27" t="s">
        <v>484</v>
      </c>
      <c r="V329" t="s">
        <v>194</v>
      </c>
      <c r="W329" t="s">
        <v>9300</v>
      </c>
      <c r="Z329" t="s">
        <v>9311</v>
      </c>
      <c r="AF329" t="s">
        <v>4714</v>
      </c>
      <c r="AG329" t="s">
        <v>9433</v>
      </c>
      <c r="AI329" t="s">
        <v>6955</v>
      </c>
      <c r="AJ329" s="424" t="str">
        <f t="shared" si="15"/>
        <v>251401</v>
      </c>
      <c r="AK329" s="28">
        <v>1</v>
      </c>
      <c r="AL329" s="28">
        <f t="shared" si="17"/>
        <v>1</v>
      </c>
      <c r="AM329" s="28" t="str">
        <f t="shared" si="16"/>
        <v>agora</v>
      </c>
    </row>
    <row r="330" spans="1:39" x14ac:dyDescent="0.25">
      <c r="A330" t="s">
        <v>9927</v>
      </c>
      <c r="B330" t="s">
        <v>8932</v>
      </c>
      <c r="C330" t="s">
        <v>10</v>
      </c>
      <c r="D330" s="27" t="s">
        <v>9299</v>
      </c>
      <c r="E330" t="s">
        <v>217</v>
      </c>
      <c r="F330" s="421">
        <v>1</v>
      </c>
      <c r="G330" t="s">
        <v>193</v>
      </c>
      <c r="H330" t="s">
        <v>194</v>
      </c>
      <c r="I330" t="s">
        <v>9318</v>
      </c>
      <c r="J330" t="s">
        <v>4751</v>
      </c>
      <c r="K330" t="s">
        <v>9928</v>
      </c>
      <c r="L330" t="s">
        <v>6261</v>
      </c>
      <c r="M330" t="s">
        <v>9436</v>
      </c>
      <c r="N330" t="s">
        <v>9929</v>
      </c>
      <c r="O330" t="s">
        <v>9930</v>
      </c>
      <c r="P330" t="s">
        <v>9931</v>
      </c>
      <c r="Q330" t="s">
        <v>9932</v>
      </c>
      <c r="S330" t="s">
        <v>9309</v>
      </c>
      <c r="T330" s="28" t="s">
        <v>9472</v>
      </c>
      <c r="U330" s="27" t="s">
        <v>484</v>
      </c>
      <c r="V330" t="s">
        <v>194</v>
      </c>
      <c r="W330" t="s">
        <v>9300</v>
      </c>
      <c r="Z330" t="s">
        <v>9311</v>
      </c>
      <c r="AF330" t="s">
        <v>4714</v>
      </c>
      <c r="AG330" t="s">
        <v>9433</v>
      </c>
      <c r="AI330" t="s">
        <v>6955</v>
      </c>
      <c r="AJ330" s="424" t="str">
        <f t="shared" si="15"/>
        <v>251401</v>
      </c>
      <c r="AK330" s="28">
        <v>1</v>
      </c>
      <c r="AL330" s="28">
        <f t="shared" si="17"/>
        <v>1</v>
      </c>
      <c r="AM330" s="28" t="str">
        <f t="shared" si="16"/>
        <v>agora</v>
      </c>
    </row>
    <row r="331" spans="1:39" x14ac:dyDescent="0.25">
      <c r="A331" t="s">
        <v>9927</v>
      </c>
      <c r="B331" t="s">
        <v>8932</v>
      </c>
      <c r="C331" t="s">
        <v>10</v>
      </c>
      <c r="D331" s="27" t="s">
        <v>9299</v>
      </c>
      <c r="E331" t="s">
        <v>217</v>
      </c>
      <c r="F331" s="421">
        <v>1</v>
      </c>
      <c r="G331" t="s">
        <v>193</v>
      </c>
      <c r="H331" t="s">
        <v>194</v>
      </c>
      <c r="I331" t="s">
        <v>9318</v>
      </c>
      <c r="J331" t="s">
        <v>210</v>
      </c>
      <c r="K331" t="s">
        <v>9933</v>
      </c>
      <c r="L331" t="s">
        <v>6261</v>
      </c>
      <c r="M331" t="s">
        <v>9428</v>
      </c>
      <c r="N331" t="s">
        <v>9929</v>
      </c>
      <c r="O331" t="s">
        <v>9930</v>
      </c>
      <c r="P331" t="s">
        <v>9934</v>
      </c>
      <c r="Q331" t="s">
        <v>9935</v>
      </c>
      <c r="S331" t="s">
        <v>9309</v>
      </c>
      <c r="T331" s="28" t="s">
        <v>9334</v>
      </c>
      <c r="U331" s="27" t="s">
        <v>484</v>
      </c>
      <c r="V331" t="s">
        <v>194</v>
      </c>
      <c r="W331" t="s">
        <v>9300</v>
      </c>
      <c r="Z331" t="s">
        <v>9311</v>
      </c>
      <c r="AF331" t="s">
        <v>4714</v>
      </c>
      <c r="AG331" t="s">
        <v>9433</v>
      </c>
      <c r="AI331" t="s">
        <v>6955</v>
      </c>
      <c r="AJ331" s="424" t="str">
        <f t="shared" si="15"/>
        <v>251401</v>
      </c>
      <c r="AK331" s="28">
        <v>1</v>
      </c>
      <c r="AL331" s="28">
        <f t="shared" si="17"/>
        <v>1</v>
      </c>
      <c r="AM331" s="28" t="str">
        <f t="shared" si="16"/>
        <v>agora</v>
      </c>
    </row>
    <row r="332" spans="1:39" x14ac:dyDescent="0.25">
      <c r="A332" t="s">
        <v>8787</v>
      </c>
      <c r="B332" t="s">
        <v>8816</v>
      </c>
      <c r="C332" t="s">
        <v>10</v>
      </c>
      <c r="D332" s="27" t="s">
        <v>9299</v>
      </c>
      <c r="E332" t="s">
        <v>233</v>
      </c>
      <c r="F332" s="421">
        <v>1</v>
      </c>
      <c r="G332" t="s">
        <v>193</v>
      </c>
      <c r="H332" t="s">
        <v>194</v>
      </c>
      <c r="I332" t="s">
        <v>9737</v>
      </c>
      <c r="J332" t="s">
        <v>9302</v>
      </c>
      <c r="K332" t="s">
        <v>10072</v>
      </c>
      <c r="L332" t="s">
        <v>6921</v>
      </c>
      <c r="M332" t="s">
        <v>9341</v>
      </c>
      <c r="N332" t="s">
        <v>9342</v>
      </c>
      <c r="O332" t="s">
        <v>10073</v>
      </c>
      <c r="P332" t="s">
        <v>10074</v>
      </c>
      <c r="Q332" t="s">
        <v>10075</v>
      </c>
      <c r="S332" t="s">
        <v>9309</v>
      </c>
      <c r="U332" s="27" t="s">
        <v>484</v>
      </c>
      <c r="V332" t="s">
        <v>193</v>
      </c>
      <c r="W332" t="s">
        <v>9310</v>
      </c>
      <c r="Z332" t="s">
        <v>9311</v>
      </c>
      <c r="AF332" t="s">
        <v>4714</v>
      </c>
      <c r="AG332" t="s">
        <v>8816</v>
      </c>
      <c r="AI332" t="s">
        <v>6955</v>
      </c>
      <c r="AJ332" s="424" t="str">
        <f t="shared" si="15"/>
        <v>251401</v>
      </c>
      <c r="AK332" s="28">
        <v>1</v>
      </c>
      <c r="AL332" s="28">
        <f t="shared" si="17"/>
        <v>1</v>
      </c>
      <c r="AM332" s="28" t="str">
        <f t="shared" si="16"/>
        <v>praca</v>
      </c>
    </row>
    <row r="333" spans="1:39" x14ac:dyDescent="0.25">
      <c r="A333" t="s">
        <v>10076</v>
      </c>
      <c r="B333" t="s">
        <v>10077</v>
      </c>
      <c r="C333" t="s">
        <v>10</v>
      </c>
      <c r="D333" s="27" t="s">
        <v>9299</v>
      </c>
      <c r="E333" t="s">
        <v>192</v>
      </c>
      <c r="F333" s="421">
        <v>1</v>
      </c>
      <c r="G333" t="s">
        <v>193</v>
      </c>
      <c r="H333" t="s">
        <v>194</v>
      </c>
      <c r="I333" t="s">
        <v>9318</v>
      </c>
      <c r="J333" t="s">
        <v>9302</v>
      </c>
      <c r="K333" t="s">
        <v>10078</v>
      </c>
      <c r="L333" t="s">
        <v>6261</v>
      </c>
      <c r="M333" t="s">
        <v>9304</v>
      </c>
      <c r="N333" t="s">
        <v>9305</v>
      </c>
      <c r="O333" t="s">
        <v>9306</v>
      </c>
      <c r="P333" t="s">
        <v>10079</v>
      </c>
      <c r="Q333" t="s">
        <v>10080</v>
      </c>
      <c r="S333" t="s">
        <v>9309</v>
      </c>
      <c r="U333" s="27" t="s">
        <v>484</v>
      </c>
      <c r="V333" t="s">
        <v>193</v>
      </c>
      <c r="W333" t="s">
        <v>9310</v>
      </c>
      <c r="Z333" t="s">
        <v>9311</v>
      </c>
      <c r="AF333" t="s">
        <v>4714</v>
      </c>
      <c r="AG333" t="s">
        <v>10077</v>
      </c>
      <c r="AI333" t="s">
        <v>6955</v>
      </c>
      <c r="AJ333" s="424" t="str">
        <f t="shared" si="15"/>
        <v>251401</v>
      </c>
      <c r="AK333" s="28">
        <v>1</v>
      </c>
      <c r="AL333" s="28">
        <f t="shared" si="17"/>
        <v>1</v>
      </c>
      <c r="AM333" s="28" t="str">
        <f t="shared" si="16"/>
        <v>pracuj.pl</v>
      </c>
    </row>
    <row r="334" spans="1:39" x14ac:dyDescent="0.25">
      <c r="A334" t="s">
        <v>10278</v>
      </c>
      <c r="B334" t="s">
        <v>10279</v>
      </c>
      <c r="C334" t="s">
        <v>10</v>
      </c>
      <c r="D334" s="27" t="s">
        <v>9299</v>
      </c>
      <c r="E334" t="s">
        <v>192</v>
      </c>
      <c r="F334" s="421">
        <v>1</v>
      </c>
      <c r="G334" t="s">
        <v>193</v>
      </c>
      <c r="H334" t="s">
        <v>194</v>
      </c>
      <c r="I334" t="s">
        <v>9989</v>
      </c>
      <c r="J334" t="s">
        <v>9302</v>
      </c>
      <c r="K334" t="s">
        <v>10280</v>
      </c>
      <c r="L334" t="s">
        <v>6921</v>
      </c>
      <c r="M334" t="s">
        <v>9304</v>
      </c>
      <c r="N334" t="s">
        <v>9305</v>
      </c>
      <c r="O334" t="s">
        <v>9343</v>
      </c>
      <c r="P334" t="s">
        <v>10281</v>
      </c>
      <c r="Q334" t="s">
        <v>10282</v>
      </c>
      <c r="S334" t="s">
        <v>9309</v>
      </c>
      <c r="U334" s="27" t="s">
        <v>484</v>
      </c>
      <c r="V334" t="s">
        <v>193</v>
      </c>
      <c r="W334" t="s">
        <v>9310</v>
      </c>
      <c r="Z334" t="s">
        <v>9311</v>
      </c>
      <c r="AF334" t="s">
        <v>4714</v>
      </c>
      <c r="AG334" t="s">
        <v>10279</v>
      </c>
      <c r="AI334" t="s">
        <v>6955</v>
      </c>
      <c r="AJ334" s="424" t="str">
        <f t="shared" si="15"/>
        <v>251401</v>
      </c>
      <c r="AK334" s="28">
        <v>1</v>
      </c>
      <c r="AL334" s="28">
        <f t="shared" si="17"/>
        <v>1</v>
      </c>
      <c r="AM334" s="28" t="str">
        <f t="shared" si="16"/>
        <v>pracuj.pl</v>
      </c>
    </row>
    <row r="335" spans="1:39" x14ac:dyDescent="0.25">
      <c r="A335" t="s">
        <v>493</v>
      </c>
      <c r="B335" t="s">
        <v>10312</v>
      </c>
      <c r="C335" t="s">
        <v>10</v>
      </c>
      <c r="D335" s="27" t="s">
        <v>9299</v>
      </c>
      <c r="E335" t="s">
        <v>192</v>
      </c>
      <c r="F335" s="421">
        <v>1</v>
      </c>
      <c r="G335" t="s">
        <v>193</v>
      </c>
      <c r="H335" t="s">
        <v>194</v>
      </c>
      <c r="I335" t="s">
        <v>9491</v>
      </c>
      <c r="J335" t="s">
        <v>210</v>
      </c>
      <c r="K335" t="s">
        <v>10313</v>
      </c>
      <c r="L335" t="s">
        <v>6261</v>
      </c>
      <c r="M335" t="s">
        <v>9304</v>
      </c>
      <c r="N335" t="s">
        <v>9305</v>
      </c>
      <c r="O335" t="s">
        <v>9306</v>
      </c>
      <c r="P335" t="s">
        <v>10314</v>
      </c>
      <c r="Q335" t="s">
        <v>10315</v>
      </c>
      <c r="S335" t="s">
        <v>9309</v>
      </c>
      <c r="T335" s="28" t="s">
        <v>9334</v>
      </c>
      <c r="U335" s="27" t="s">
        <v>484</v>
      </c>
      <c r="V335" t="s">
        <v>194</v>
      </c>
      <c r="W335" t="s">
        <v>9300</v>
      </c>
      <c r="Z335" t="s">
        <v>9311</v>
      </c>
      <c r="AF335" t="s">
        <v>4714</v>
      </c>
      <c r="AG335" t="s">
        <v>10312</v>
      </c>
      <c r="AI335" t="s">
        <v>6955</v>
      </c>
      <c r="AJ335" s="424" t="str">
        <f t="shared" si="15"/>
        <v>251401</v>
      </c>
      <c r="AK335" s="28">
        <v>1</v>
      </c>
      <c r="AL335" s="28">
        <f t="shared" si="17"/>
        <v>1</v>
      </c>
      <c r="AM335" s="28" t="str">
        <f t="shared" si="16"/>
        <v>pracuj.pl</v>
      </c>
    </row>
    <row r="336" spans="1:39" x14ac:dyDescent="0.25">
      <c r="A336" t="s">
        <v>493</v>
      </c>
      <c r="B336" t="s">
        <v>336</v>
      </c>
      <c r="C336" t="s">
        <v>10</v>
      </c>
      <c r="D336" s="27" t="s">
        <v>9299</v>
      </c>
      <c r="E336" t="s">
        <v>192</v>
      </c>
      <c r="F336" s="421">
        <v>1</v>
      </c>
      <c r="G336" t="s">
        <v>193</v>
      </c>
      <c r="H336" t="s">
        <v>194</v>
      </c>
      <c r="I336" t="s">
        <v>9737</v>
      </c>
      <c r="J336" t="s">
        <v>210</v>
      </c>
      <c r="K336" t="s">
        <v>10336</v>
      </c>
      <c r="L336" t="s">
        <v>6245</v>
      </c>
      <c r="M336" t="s">
        <v>9304</v>
      </c>
      <c r="N336" t="s">
        <v>9305</v>
      </c>
      <c r="O336" t="s">
        <v>9306</v>
      </c>
      <c r="P336" t="s">
        <v>10337</v>
      </c>
      <c r="Q336" t="s">
        <v>10338</v>
      </c>
      <c r="S336" t="s">
        <v>9309</v>
      </c>
      <c r="T336" s="28" t="s">
        <v>9334</v>
      </c>
      <c r="U336" s="27" t="s">
        <v>484</v>
      </c>
      <c r="V336" t="s">
        <v>194</v>
      </c>
      <c r="W336" t="s">
        <v>9300</v>
      </c>
      <c r="Z336" t="s">
        <v>9311</v>
      </c>
      <c r="AF336" t="s">
        <v>4714</v>
      </c>
      <c r="AG336" t="s">
        <v>336</v>
      </c>
      <c r="AI336" t="s">
        <v>6955</v>
      </c>
      <c r="AJ336" s="424" t="str">
        <f t="shared" si="15"/>
        <v>251401</v>
      </c>
      <c r="AK336" s="28">
        <v>1</v>
      </c>
      <c r="AL336" s="28">
        <f t="shared" si="17"/>
        <v>1</v>
      </c>
      <c r="AM336" s="28" t="str">
        <f t="shared" si="16"/>
        <v>pracuj.pl</v>
      </c>
    </row>
    <row r="337" spans="1:39" x14ac:dyDescent="0.25">
      <c r="A337" t="s">
        <v>6239</v>
      </c>
      <c r="B337" t="s">
        <v>10489</v>
      </c>
      <c r="C337" t="s">
        <v>10</v>
      </c>
      <c r="D337" s="27" t="s">
        <v>9299</v>
      </c>
      <c r="E337" t="s">
        <v>192</v>
      </c>
      <c r="F337" s="421">
        <v>1</v>
      </c>
      <c r="G337" t="s">
        <v>193</v>
      </c>
      <c r="H337" t="s">
        <v>194</v>
      </c>
      <c r="I337" t="s">
        <v>9737</v>
      </c>
      <c r="J337" t="s">
        <v>9302</v>
      </c>
      <c r="K337" t="s">
        <v>10490</v>
      </c>
      <c r="L337" t="s">
        <v>6389</v>
      </c>
      <c r="M337" t="s">
        <v>9304</v>
      </c>
      <c r="N337" t="s">
        <v>9305</v>
      </c>
      <c r="O337" t="s">
        <v>9306</v>
      </c>
      <c r="P337" t="s">
        <v>10491</v>
      </c>
      <c r="Q337" t="s">
        <v>10492</v>
      </c>
      <c r="S337" t="s">
        <v>9309</v>
      </c>
      <c r="U337" s="27" t="s">
        <v>484</v>
      </c>
      <c r="V337" t="s">
        <v>193</v>
      </c>
      <c r="W337" t="s">
        <v>9310</v>
      </c>
      <c r="Z337" t="s">
        <v>9311</v>
      </c>
      <c r="AF337" t="s">
        <v>4714</v>
      </c>
      <c r="AG337" t="s">
        <v>10489</v>
      </c>
      <c r="AI337" t="s">
        <v>6955</v>
      </c>
      <c r="AJ337" s="424" t="str">
        <f t="shared" si="15"/>
        <v>251401</v>
      </c>
      <c r="AK337" s="28">
        <v>1</v>
      </c>
      <c r="AL337" s="28">
        <f t="shared" si="17"/>
        <v>1</v>
      </c>
      <c r="AM337" s="28" t="str">
        <f t="shared" si="16"/>
        <v>pracuj.pl</v>
      </c>
    </row>
    <row r="338" spans="1:39" x14ac:dyDescent="0.25">
      <c r="A338" t="s">
        <v>9522</v>
      </c>
      <c r="B338" t="s">
        <v>9577</v>
      </c>
      <c r="C338" t="s">
        <v>27</v>
      </c>
      <c r="D338" s="27" t="s">
        <v>9835</v>
      </c>
      <c r="E338" t="s">
        <v>217</v>
      </c>
      <c r="F338" s="421">
        <v>1</v>
      </c>
      <c r="G338" t="s">
        <v>193</v>
      </c>
      <c r="H338" t="s">
        <v>194</v>
      </c>
      <c r="I338" t="s">
        <v>9491</v>
      </c>
      <c r="J338" t="s">
        <v>9578</v>
      </c>
      <c r="K338" t="s">
        <v>9579</v>
      </c>
      <c r="L338" t="s">
        <v>6340</v>
      </c>
      <c r="M338" t="s">
        <v>10641</v>
      </c>
      <c r="N338" t="s">
        <v>9429</v>
      </c>
      <c r="O338" t="s">
        <v>9318</v>
      </c>
      <c r="P338" t="s">
        <v>10760</v>
      </c>
      <c r="Q338" t="s">
        <v>10761</v>
      </c>
      <c r="S338" t="s">
        <v>9309</v>
      </c>
      <c r="U338" s="27" t="s">
        <v>440</v>
      </c>
      <c r="V338" t="s">
        <v>193</v>
      </c>
      <c r="W338" t="s">
        <v>9310</v>
      </c>
      <c r="Z338" t="s">
        <v>9311</v>
      </c>
      <c r="AF338" t="s">
        <v>4714</v>
      </c>
      <c r="AG338" t="s">
        <v>9433</v>
      </c>
      <c r="AI338" t="s">
        <v>6955</v>
      </c>
      <c r="AJ338" s="424" t="str">
        <f t="shared" si="15"/>
        <v>242307</v>
      </c>
      <c r="AK338" s="28">
        <v>1</v>
      </c>
      <c r="AL338" s="28">
        <f t="shared" si="17"/>
        <v>1</v>
      </c>
      <c r="AM338" s="28" t="str">
        <f t="shared" si="16"/>
        <v>agora</v>
      </c>
    </row>
    <row r="339" spans="1:39" x14ac:dyDescent="0.25">
      <c r="A339" t="s">
        <v>8371</v>
      </c>
      <c r="B339" t="s">
        <v>10554</v>
      </c>
      <c r="C339" t="s">
        <v>10</v>
      </c>
      <c r="D339" s="27" t="s">
        <v>9835</v>
      </c>
      <c r="E339" t="s">
        <v>233</v>
      </c>
      <c r="F339" s="421">
        <v>1</v>
      </c>
      <c r="G339" t="s">
        <v>193</v>
      </c>
      <c r="H339" t="s">
        <v>194</v>
      </c>
      <c r="I339" t="s">
        <v>10529</v>
      </c>
      <c r="J339" t="s">
        <v>9302</v>
      </c>
      <c r="K339" t="s">
        <v>10555</v>
      </c>
      <c r="L339" t="s">
        <v>6921</v>
      </c>
      <c r="M339" t="s">
        <v>10539</v>
      </c>
      <c r="N339" t="s">
        <v>9588</v>
      </c>
      <c r="O339" t="s">
        <v>9491</v>
      </c>
      <c r="P339" t="s">
        <v>10556</v>
      </c>
      <c r="Q339" t="s">
        <v>10557</v>
      </c>
      <c r="S339" t="s">
        <v>9309</v>
      </c>
      <c r="U339" s="27" t="s">
        <v>484</v>
      </c>
      <c r="V339" t="s">
        <v>193</v>
      </c>
      <c r="W339" t="s">
        <v>9310</v>
      </c>
      <c r="Z339" t="s">
        <v>9311</v>
      </c>
      <c r="AF339" t="s">
        <v>4714</v>
      </c>
      <c r="AG339" t="s">
        <v>10554</v>
      </c>
      <c r="AI339" t="s">
        <v>6955</v>
      </c>
      <c r="AJ339" s="424" t="str">
        <f t="shared" si="15"/>
        <v>251401</v>
      </c>
      <c r="AK339" s="28">
        <v>1</v>
      </c>
      <c r="AL339" s="28">
        <f t="shared" si="17"/>
        <v>1</v>
      </c>
      <c r="AM339" s="28" t="str">
        <f t="shared" si="16"/>
        <v>praca</v>
      </c>
    </row>
    <row r="340" spans="1:39" x14ac:dyDescent="0.25">
      <c r="A340" t="s">
        <v>8371</v>
      </c>
      <c r="B340" t="s">
        <v>10558</v>
      </c>
      <c r="C340" t="s">
        <v>10</v>
      </c>
      <c r="D340" s="27" t="s">
        <v>9835</v>
      </c>
      <c r="E340" t="s">
        <v>233</v>
      </c>
      <c r="F340" s="421">
        <v>1</v>
      </c>
      <c r="G340" t="s">
        <v>193</v>
      </c>
      <c r="H340" t="s">
        <v>194</v>
      </c>
      <c r="I340" t="s">
        <v>10546</v>
      </c>
      <c r="J340" t="s">
        <v>9302</v>
      </c>
      <c r="K340" t="s">
        <v>10559</v>
      </c>
      <c r="L340" t="s">
        <v>6261</v>
      </c>
      <c r="M340" t="s">
        <v>10539</v>
      </c>
      <c r="N340" t="s">
        <v>9588</v>
      </c>
      <c r="O340" t="s">
        <v>9491</v>
      </c>
      <c r="P340" t="s">
        <v>10560</v>
      </c>
      <c r="Q340" t="s">
        <v>10561</v>
      </c>
      <c r="S340" t="s">
        <v>9309</v>
      </c>
      <c r="U340" s="27" t="s">
        <v>484</v>
      </c>
      <c r="V340" t="s">
        <v>193</v>
      </c>
      <c r="W340" t="s">
        <v>9310</v>
      </c>
      <c r="Z340" t="s">
        <v>9311</v>
      </c>
      <c r="AF340" t="s">
        <v>4714</v>
      </c>
      <c r="AG340" t="s">
        <v>10558</v>
      </c>
      <c r="AI340" t="s">
        <v>6955</v>
      </c>
      <c r="AJ340" s="424" t="str">
        <f t="shared" si="15"/>
        <v>251401</v>
      </c>
      <c r="AK340" s="28">
        <v>1</v>
      </c>
      <c r="AL340" s="28">
        <f t="shared" si="17"/>
        <v>1</v>
      </c>
      <c r="AM340" s="28" t="str">
        <f t="shared" si="16"/>
        <v>praca</v>
      </c>
    </row>
    <row r="341" spans="1:39" x14ac:dyDescent="0.25">
      <c r="A341" t="s">
        <v>8371</v>
      </c>
      <c r="B341" t="s">
        <v>1322</v>
      </c>
      <c r="C341" t="s">
        <v>10</v>
      </c>
      <c r="D341" s="27" t="s">
        <v>9835</v>
      </c>
      <c r="E341" t="s">
        <v>233</v>
      </c>
      <c r="F341" s="421">
        <v>1</v>
      </c>
      <c r="G341" t="s">
        <v>193</v>
      </c>
      <c r="H341" t="s">
        <v>194</v>
      </c>
      <c r="I341" t="s">
        <v>10562</v>
      </c>
      <c r="J341" t="s">
        <v>9302</v>
      </c>
      <c r="K341" t="s">
        <v>10563</v>
      </c>
      <c r="L341" t="s">
        <v>6261</v>
      </c>
      <c r="M341" t="s">
        <v>10564</v>
      </c>
      <c r="N341" t="s">
        <v>9588</v>
      </c>
      <c r="O341" t="s">
        <v>9318</v>
      </c>
      <c r="P341" t="s">
        <v>10565</v>
      </c>
      <c r="Q341" t="s">
        <v>10566</v>
      </c>
      <c r="S341" t="s">
        <v>9309</v>
      </c>
      <c r="U341" s="27" t="s">
        <v>484</v>
      </c>
      <c r="V341" t="s">
        <v>193</v>
      </c>
      <c r="W341" t="s">
        <v>9310</v>
      </c>
      <c r="Z341" t="s">
        <v>9311</v>
      </c>
      <c r="AF341" t="s">
        <v>4714</v>
      </c>
      <c r="AG341" t="s">
        <v>1322</v>
      </c>
      <c r="AI341" t="s">
        <v>6955</v>
      </c>
      <c r="AJ341" s="424" t="str">
        <f t="shared" si="15"/>
        <v>251401</v>
      </c>
      <c r="AK341" s="28">
        <v>1</v>
      </c>
      <c r="AL341" s="28">
        <f t="shared" si="17"/>
        <v>1</v>
      </c>
      <c r="AM341" s="28" t="str">
        <f t="shared" si="16"/>
        <v>praca</v>
      </c>
    </row>
    <row r="342" spans="1:39" x14ac:dyDescent="0.25">
      <c r="A342" t="s">
        <v>10634</v>
      </c>
      <c r="B342" t="s">
        <v>10635</v>
      </c>
      <c r="C342" t="s">
        <v>10</v>
      </c>
      <c r="D342" s="27" t="s">
        <v>9835</v>
      </c>
      <c r="E342" t="s">
        <v>192</v>
      </c>
      <c r="F342" s="421">
        <v>1</v>
      </c>
      <c r="G342" t="s">
        <v>193</v>
      </c>
      <c r="H342" t="s">
        <v>194</v>
      </c>
      <c r="I342" t="s">
        <v>10529</v>
      </c>
      <c r="J342" t="s">
        <v>9302</v>
      </c>
      <c r="K342" t="s">
        <v>10636</v>
      </c>
      <c r="L342" t="s">
        <v>6261</v>
      </c>
      <c r="M342" t="s">
        <v>10519</v>
      </c>
      <c r="N342" t="s">
        <v>10045</v>
      </c>
      <c r="O342" t="s">
        <v>9369</v>
      </c>
      <c r="P342" t="s">
        <v>10637</v>
      </c>
      <c r="Q342" t="s">
        <v>10638</v>
      </c>
      <c r="S342" t="s">
        <v>9309</v>
      </c>
      <c r="U342" s="27" t="s">
        <v>484</v>
      </c>
      <c r="V342" t="s">
        <v>193</v>
      </c>
      <c r="W342" t="s">
        <v>9310</v>
      </c>
      <c r="Z342" t="s">
        <v>9311</v>
      </c>
      <c r="AF342" t="s">
        <v>4714</v>
      </c>
      <c r="AG342" t="s">
        <v>10635</v>
      </c>
      <c r="AI342" t="s">
        <v>6955</v>
      </c>
      <c r="AJ342" s="424" t="str">
        <f t="shared" si="15"/>
        <v>251401</v>
      </c>
      <c r="AK342" s="28">
        <v>1</v>
      </c>
      <c r="AL342" s="28">
        <f t="shared" si="17"/>
        <v>1</v>
      </c>
      <c r="AM342" s="28" t="str">
        <f t="shared" si="16"/>
        <v>pracuj.pl</v>
      </c>
    </row>
    <row r="343" spans="1:39" x14ac:dyDescent="0.25">
      <c r="A343" t="s">
        <v>6422</v>
      </c>
      <c r="B343" t="s">
        <v>10716</v>
      </c>
      <c r="C343" t="s">
        <v>10</v>
      </c>
      <c r="D343" s="27" t="s">
        <v>9835</v>
      </c>
      <c r="E343" t="s">
        <v>192</v>
      </c>
      <c r="F343" s="421">
        <v>1</v>
      </c>
      <c r="G343" t="s">
        <v>193</v>
      </c>
      <c r="H343" t="s">
        <v>194</v>
      </c>
      <c r="I343" t="s">
        <v>10529</v>
      </c>
      <c r="J343" t="s">
        <v>210</v>
      </c>
      <c r="K343" t="s">
        <v>10717</v>
      </c>
      <c r="L343" t="s">
        <v>6261</v>
      </c>
      <c r="M343" t="s">
        <v>10519</v>
      </c>
      <c r="N343" t="s">
        <v>10045</v>
      </c>
      <c r="O343" t="s">
        <v>9369</v>
      </c>
      <c r="P343" t="s">
        <v>10718</v>
      </c>
      <c r="Q343" t="s">
        <v>10719</v>
      </c>
      <c r="S343" t="s">
        <v>9309</v>
      </c>
      <c r="T343" s="28" t="s">
        <v>9334</v>
      </c>
      <c r="U343" s="27" t="s">
        <v>484</v>
      </c>
      <c r="V343" t="s">
        <v>194</v>
      </c>
      <c r="W343" t="s">
        <v>9300</v>
      </c>
      <c r="Z343" t="s">
        <v>9311</v>
      </c>
      <c r="AF343" t="s">
        <v>4714</v>
      </c>
      <c r="AG343" t="s">
        <v>10716</v>
      </c>
      <c r="AI343" t="s">
        <v>6955</v>
      </c>
      <c r="AJ343" s="424" t="str">
        <f t="shared" si="15"/>
        <v>251401</v>
      </c>
      <c r="AK343" s="28">
        <v>1</v>
      </c>
      <c r="AL343" s="28">
        <f t="shared" si="17"/>
        <v>1</v>
      </c>
      <c r="AM343" s="28" t="str">
        <f t="shared" si="16"/>
        <v>pracuj.pl</v>
      </c>
    </row>
    <row r="344" spans="1:39" x14ac:dyDescent="0.25">
      <c r="A344" t="s">
        <v>9522</v>
      </c>
      <c r="B344" t="s">
        <v>9523</v>
      </c>
      <c r="C344" t="s">
        <v>10</v>
      </c>
      <c r="D344" s="27" t="s">
        <v>9835</v>
      </c>
      <c r="E344" t="s">
        <v>217</v>
      </c>
      <c r="F344" s="421">
        <v>1</v>
      </c>
      <c r="G344" t="s">
        <v>193</v>
      </c>
      <c r="H344" t="s">
        <v>194</v>
      </c>
      <c r="I344" t="s">
        <v>9491</v>
      </c>
      <c r="J344" t="s">
        <v>9524</v>
      </c>
      <c r="K344" t="s">
        <v>9525</v>
      </c>
      <c r="L344" t="s">
        <v>6261</v>
      </c>
      <c r="M344" t="s">
        <v>10618</v>
      </c>
      <c r="N344" t="s">
        <v>9526</v>
      </c>
      <c r="O344" t="s">
        <v>9461</v>
      </c>
      <c r="P344" t="s">
        <v>10720</v>
      </c>
      <c r="Q344" t="s">
        <v>10721</v>
      </c>
      <c r="S344" t="s">
        <v>9309</v>
      </c>
      <c r="U344" s="27" t="s">
        <v>484</v>
      </c>
      <c r="V344" t="s">
        <v>193</v>
      </c>
      <c r="W344" t="s">
        <v>9310</v>
      </c>
      <c r="Z344" t="s">
        <v>9311</v>
      </c>
      <c r="AF344" t="s">
        <v>4714</v>
      </c>
      <c r="AG344" t="s">
        <v>9433</v>
      </c>
      <c r="AI344" t="s">
        <v>6955</v>
      </c>
      <c r="AJ344" s="424" t="str">
        <f t="shared" si="15"/>
        <v>251401</v>
      </c>
      <c r="AK344" s="28">
        <v>1</v>
      </c>
      <c r="AL344" s="28">
        <f t="shared" si="17"/>
        <v>1</v>
      </c>
      <c r="AM344" s="28" t="str">
        <f t="shared" si="16"/>
        <v>agora</v>
      </c>
    </row>
    <row r="345" spans="1:39" x14ac:dyDescent="0.25">
      <c r="A345" t="s">
        <v>9522</v>
      </c>
      <c r="B345" t="s">
        <v>9529</v>
      </c>
      <c r="C345" t="s">
        <v>10</v>
      </c>
      <c r="D345" s="27" t="s">
        <v>9835</v>
      </c>
      <c r="E345" t="s">
        <v>217</v>
      </c>
      <c r="F345" s="421">
        <v>1</v>
      </c>
      <c r="G345" t="s">
        <v>193</v>
      </c>
      <c r="H345" t="s">
        <v>194</v>
      </c>
      <c r="I345" t="s">
        <v>9491</v>
      </c>
      <c r="J345" t="s">
        <v>9534</v>
      </c>
      <c r="K345" t="s">
        <v>9535</v>
      </c>
      <c r="L345" t="s">
        <v>6921</v>
      </c>
      <c r="M345" t="s">
        <v>10618</v>
      </c>
      <c r="N345" t="s">
        <v>9536</v>
      </c>
      <c r="O345" t="s">
        <v>9537</v>
      </c>
      <c r="P345" t="s">
        <v>10730</v>
      </c>
      <c r="Q345" t="s">
        <v>10731</v>
      </c>
      <c r="S345" t="s">
        <v>9309</v>
      </c>
      <c r="T345" s="28" t="s">
        <v>9334</v>
      </c>
      <c r="U345" s="27" t="s">
        <v>484</v>
      </c>
      <c r="V345" t="s">
        <v>194</v>
      </c>
      <c r="W345" t="s">
        <v>9300</v>
      </c>
      <c r="Z345" t="s">
        <v>9311</v>
      </c>
      <c r="AF345" t="s">
        <v>4714</v>
      </c>
      <c r="AG345" t="s">
        <v>9433</v>
      </c>
      <c r="AI345" t="s">
        <v>6955</v>
      </c>
      <c r="AJ345" s="424" t="str">
        <f t="shared" si="15"/>
        <v>251401</v>
      </c>
      <c r="AK345" s="28">
        <v>1</v>
      </c>
      <c r="AL345" s="28">
        <f t="shared" si="17"/>
        <v>1</v>
      </c>
      <c r="AM345" s="28" t="str">
        <f t="shared" si="16"/>
        <v>agora</v>
      </c>
    </row>
    <row r="346" spans="1:39" x14ac:dyDescent="0.25">
      <c r="A346" t="s">
        <v>9522</v>
      </c>
      <c r="B346" t="s">
        <v>9545</v>
      </c>
      <c r="C346" t="s">
        <v>10</v>
      </c>
      <c r="D346" s="27" t="s">
        <v>9835</v>
      </c>
      <c r="E346" t="s">
        <v>217</v>
      </c>
      <c r="F346" s="421">
        <v>1</v>
      </c>
      <c r="G346" t="s">
        <v>193</v>
      </c>
      <c r="H346" t="s">
        <v>194</v>
      </c>
      <c r="I346" t="s">
        <v>9491</v>
      </c>
      <c r="J346" t="s">
        <v>210</v>
      </c>
      <c r="K346" t="s">
        <v>9546</v>
      </c>
      <c r="L346" t="s">
        <v>6261</v>
      </c>
      <c r="M346" t="s">
        <v>10618</v>
      </c>
      <c r="N346" t="s">
        <v>10045</v>
      </c>
      <c r="O346" t="s">
        <v>9461</v>
      </c>
      <c r="P346" t="s">
        <v>10742</v>
      </c>
      <c r="Q346" t="s">
        <v>10743</v>
      </c>
      <c r="S346" t="s">
        <v>9309</v>
      </c>
      <c r="T346" s="28" t="s">
        <v>9334</v>
      </c>
      <c r="U346" s="27" t="s">
        <v>484</v>
      </c>
      <c r="V346" t="s">
        <v>194</v>
      </c>
      <c r="W346" t="s">
        <v>9300</v>
      </c>
      <c r="Z346" t="s">
        <v>9311</v>
      </c>
      <c r="AF346" t="s">
        <v>4714</v>
      </c>
      <c r="AG346" t="s">
        <v>9433</v>
      </c>
      <c r="AI346" t="s">
        <v>6955</v>
      </c>
      <c r="AJ346" s="424" t="str">
        <f t="shared" si="15"/>
        <v>251401</v>
      </c>
      <c r="AK346" s="28">
        <v>1</v>
      </c>
      <c r="AL346" s="28">
        <f t="shared" si="17"/>
        <v>1</v>
      </c>
      <c r="AM346" s="28" t="str">
        <f t="shared" si="16"/>
        <v>agora</v>
      </c>
    </row>
    <row r="347" spans="1:39" x14ac:dyDescent="0.25">
      <c r="A347" t="s">
        <v>9522</v>
      </c>
      <c r="B347" t="s">
        <v>9545</v>
      </c>
      <c r="C347" t="s">
        <v>10</v>
      </c>
      <c r="D347" s="27" t="s">
        <v>9835</v>
      </c>
      <c r="E347" t="s">
        <v>217</v>
      </c>
      <c r="F347" s="421">
        <v>1</v>
      </c>
      <c r="G347" t="s">
        <v>193</v>
      </c>
      <c r="H347" t="s">
        <v>194</v>
      </c>
      <c r="I347" t="s">
        <v>9491</v>
      </c>
      <c r="J347" t="s">
        <v>210</v>
      </c>
      <c r="K347" t="s">
        <v>9552</v>
      </c>
      <c r="L347" t="s">
        <v>6921</v>
      </c>
      <c r="M347" t="s">
        <v>10618</v>
      </c>
      <c r="N347" t="s">
        <v>9938</v>
      </c>
      <c r="O347" t="s">
        <v>9537</v>
      </c>
      <c r="P347" t="s">
        <v>10744</v>
      </c>
      <c r="Q347" t="s">
        <v>10745</v>
      </c>
      <c r="S347" t="s">
        <v>9309</v>
      </c>
      <c r="T347" s="28" t="s">
        <v>9334</v>
      </c>
      <c r="U347" s="27" t="s">
        <v>484</v>
      </c>
      <c r="V347" t="s">
        <v>194</v>
      </c>
      <c r="W347" t="s">
        <v>9300</v>
      </c>
      <c r="Z347" t="s">
        <v>9311</v>
      </c>
      <c r="AF347" t="s">
        <v>4714</v>
      </c>
      <c r="AG347" t="s">
        <v>9433</v>
      </c>
      <c r="AI347" t="s">
        <v>6955</v>
      </c>
      <c r="AJ347" s="424" t="str">
        <f t="shared" si="15"/>
        <v>251401</v>
      </c>
      <c r="AK347" s="28">
        <v>1</v>
      </c>
      <c r="AL347" s="28">
        <f t="shared" si="17"/>
        <v>1</v>
      </c>
      <c r="AM347" s="28" t="str">
        <f t="shared" si="16"/>
        <v>agora</v>
      </c>
    </row>
    <row r="348" spans="1:39" x14ac:dyDescent="0.25">
      <c r="A348" t="s">
        <v>9522</v>
      </c>
      <c r="B348" t="s">
        <v>9564</v>
      </c>
      <c r="C348" t="s">
        <v>10</v>
      </c>
      <c r="D348" s="27" t="s">
        <v>9835</v>
      </c>
      <c r="E348" t="s">
        <v>217</v>
      </c>
      <c r="F348" s="421">
        <v>1</v>
      </c>
      <c r="G348" t="s">
        <v>193</v>
      </c>
      <c r="H348" t="s">
        <v>194</v>
      </c>
      <c r="I348" t="s">
        <v>9491</v>
      </c>
      <c r="J348" t="s">
        <v>210</v>
      </c>
      <c r="K348" t="s">
        <v>9568</v>
      </c>
      <c r="L348" t="s">
        <v>6261</v>
      </c>
      <c r="M348" t="s">
        <v>10618</v>
      </c>
      <c r="N348" t="s">
        <v>10045</v>
      </c>
      <c r="O348" t="s">
        <v>9542</v>
      </c>
      <c r="P348" t="s">
        <v>10746</v>
      </c>
      <c r="Q348" t="s">
        <v>10747</v>
      </c>
      <c r="S348" t="s">
        <v>9309</v>
      </c>
      <c r="T348" s="28" t="s">
        <v>9334</v>
      </c>
      <c r="U348" s="27" t="s">
        <v>484</v>
      </c>
      <c r="V348" t="s">
        <v>194</v>
      </c>
      <c r="W348" t="s">
        <v>9300</v>
      </c>
      <c r="Z348" t="s">
        <v>9311</v>
      </c>
      <c r="AF348" t="s">
        <v>4714</v>
      </c>
      <c r="AG348" t="s">
        <v>9433</v>
      </c>
      <c r="AI348" t="s">
        <v>6955</v>
      </c>
      <c r="AJ348" s="424" t="str">
        <f t="shared" si="15"/>
        <v>251401</v>
      </c>
      <c r="AK348" s="28">
        <v>1</v>
      </c>
      <c r="AL348" s="28">
        <f t="shared" si="17"/>
        <v>1</v>
      </c>
      <c r="AM348" s="28" t="str">
        <f t="shared" si="16"/>
        <v>agora</v>
      </c>
    </row>
    <row r="349" spans="1:39" x14ac:dyDescent="0.25">
      <c r="A349" t="s">
        <v>9522</v>
      </c>
      <c r="B349" t="s">
        <v>9564</v>
      </c>
      <c r="C349" t="s">
        <v>10</v>
      </c>
      <c r="D349" s="27" t="s">
        <v>9835</v>
      </c>
      <c r="E349" t="s">
        <v>217</v>
      </c>
      <c r="F349" s="421">
        <v>1</v>
      </c>
      <c r="G349" t="s">
        <v>193</v>
      </c>
      <c r="H349" t="s">
        <v>194</v>
      </c>
      <c r="I349" t="s">
        <v>9491</v>
      </c>
      <c r="J349" t="s">
        <v>210</v>
      </c>
      <c r="K349" t="s">
        <v>10748</v>
      </c>
      <c r="L349" t="s">
        <v>6261</v>
      </c>
      <c r="M349" t="s">
        <v>10618</v>
      </c>
      <c r="N349" t="s">
        <v>10045</v>
      </c>
      <c r="O349" t="s">
        <v>9305</v>
      </c>
      <c r="P349" t="s">
        <v>10749</v>
      </c>
      <c r="Q349" t="s">
        <v>10750</v>
      </c>
      <c r="S349" t="s">
        <v>9309</v>
      </c>
      <c r="T349" s="28" t="s">
        <v>9334</v>
      </c>
      <c r="U349" s="27" t="s">
        <v>484</v>
      </c>
      <c r="V349" t="s">
        <v>194</v>
      </c>
      <c r="W349" t="s">
        <v>9300</v>
      </c>
      <c r="Z349" t="s">
        <v>9311</v>
      </c>
      <c r="AF349" t="s">
        <v>4714</v>
      </c>
      <c r="AG349" t="s">
        <v>9433</v>
      </c>
      <c r="AI349" t="s">
        <v>6955</v>
      </c>
      <c r="AJ349" s="424" t="str">
        <f t="shared" si="15"/>
        <v>251401</v>
      </c>
      <c r="AK349" s="28">
        <v>1</v>
      </c>
      <c r="AL349" s="28">
        <f t="shared" si="17"/>
        <v>1</v>
      </c>
      <c r="AM349" s="28" t="str">
        <f t="shared" si="16"/>
        <v>agora</v>
      </c>
    </row>
    <row r="350" spans="1:39" x14ac:dyDescent="0.25">
      <c r="A350" t="s">
        <v>9522</v>
      </c>
      <c r="B350" t="s">
        <v>9564</v>
      </c>
      <c r="C350" t="s">
        <v>10</v>
      </c>
      <c r="D350" s="27" t="s">
        <v>9835</v>
      </c>
      <c r="E350" t="s">
        <v>217</v>
      </c>
      <c r="F350" s="421">
        <v>1</v>
      </c>
      <c r="G350" t="s">
        <v>193</v>
      </c>
      <c r="H350" t="s">
        <v>194</v>
      </c>
      <c r="I350" t="s">
        <v>9491</v>
      </c>
      <c r="J350" t="s">
        <v>210</v>
      </c>
      <c r="K350" t="s">
        <v>9565</v>
      </c>
      <c r="L350" t="s">
        <v>6261</v>
      </c>
      <c r="M350" t="s">
        <v>10618</v>
      </c>
      <c r="N350" t="s">
        <v>10045</v>
      </c>
      <c r="O350" t="s">
        <v>9461</v>
      </c>
      <c r="P350" t="s">
        <v>10751</v>
      </c>
      <c r="Q350" t="s">
        <v>10752</v>
      </c>
      <c r="S350" t="s">
        <v>9309</v>
      </c>
      <c r="T350" s="28" t="s">
        <v>9334</v>
      </c>
      <c r="U350" s="27" t="s">
        <v>484</v>
      </c>
      <c r="V350" t="s">
        <v>194</v>
      </c>
      <c r="W350" t="s">
        <v>9300</v>
      </c>
      <c r="Z350" t="s">
        <v>9311</v>
      </c>
      <c r="AF350" t="s">
        <v>4714</v>
      </c>
      <c r="AG350" t="s">
        <v>9433</v>
      </c>
      <c r="AI350" t="s">
        <v>6955</v>
      </c>
      <c r="AJ350" s="424" t="str">
        <f t="shared" si="15"/>
        <v>251401</v>
      </c>
      <c r="AK350" s="28">
        <v>1</v>
      </c>
      <c r="AL350" s="28">
        <f t="shared" si="17"/>
        <v>1</v>
      </c>
      <c r="AM350" s="28" t="str">
        <f t="shared" si="16"/>
        <v>agora</v>
      </c>
    </row>
    <row r="351" spans="1:39" x14ac:dyDescent="0.25">
      <c r="A351" t="s">
        <v>9522</v>
      </c>
      <c r="B351" t="s">
        <v>1406</v>
      </c>
      <c r="C351" t="s">
        <v>10</v>
      </c>
      <c r="D351" s="27" t="s">
        <v>9835</v>
      </c>
      <c r="E351" t="s">
        <v>217</v>
      </c>
      <c r="F351" s="421">
        <v>1</v>
      </c>
      <c r="G351" t="s">
        <v>193</v>
      </c>
      <c r="H351" t="s">
        <v>194</v>
      </c>
      <c r="I351" t="s">
        <v>9491</v>
      </c>
      <c r="J351" t="s">
        <v>9524</v>
      </c>
      <c r="K351" t="s">
        <v>9582</v>
      </c>
      <c r="L351" t="s">
        <v>6261</v>
      </c>
      <c r="M351" t="s">
        <v>10618</v>
      </c>
      <c r="N351" t="s">
        <v>9583</v>
      </c>
      <c r="O351" t="s">
        <v>9430</v>
      </c>
      <c r="P351" t="s">
        <v>10762</v>
      </c>
      <c r="Q351" t="s">
        <v>10763</v>
      </c>
      <c r="S351" t="s">
        <v>9309</v>
      </c>
      <c r="U351" s="27" t="s">
        <v>484</v>
      </c>
      <c r="V351" t="s">
        <v>193</v>
      </c>
      <c r="W351" t="s">
        <v>9310</v>
      </c>
      <c r="Z351" t="s">
        <v>9311</v>
      </c>
      <c r="AF351" t="s">
        <v>4714</v>
      </c>
      <c r="AG351" t="s">
        <v>9433</v>
      </c>
      <c r="AI351" t="s">
        <v>6955</v>
      </c>
      <c r="AJ351" s="424" t="str">
        <f t="shared" si="15"/>
        <v>251401</v>
      </c>
      <c r="AK351" s="28">
        <v>1</v>
      </c>
      <c r="AL351" s="28">
        <f t="shared" si="17"/>
        <v>1</v>
      </c>
      <c r="AM351" s="28" t="str">
        <f t="shared" si="16"/>
        <v>agora</v>
      </c>
    </row>
    <row r="352" spans="1:39" x14ac:dyDescent="0.25">
      <c r="A352" t="s">
        <v>9522</v>
      </c>
      <c r="B352" t="s">
        <v>9601</v>
      </c>
      <c r="C352" t="s">
        <v>10</v>
      </c>
      <c r="D352" s="27" t="s">
        <v>9835</v>
      </c>
      <c r="E352" t="s">
        <v>217</v>
      </c>
      <c r="F352" s="421">
        <v>1</v>
      </c>
      <c r="G352" t="s">
        <v>193</v>
      </c>
      <c r="H352" t="s">
        <v>194</v>
      </c>
      <c r="I352" t="s">
        <v>9491</v>
      </c>
      <c r="J352" t="s">
        <v>9524</v>
      </c>
      <c r="K352" t="s">
        <v>9602</v>
      </c>
      <c r="L352" t="s">
        <v>6261</v>
      </c>
      <c r="M352" t="s">
        <v>10618</v>
      </c>
      <c r="N352" t="s">
        <v>9603</v>
      </c>
      <c r="O352" t="s">
        <v>9604</v>
      </c>
      <c r="P352" t="s">
        <v>10770</v>
      </c>
      <c r="Q352" t="s">
        <v>10771</v>
      </c>
      <c r="S352" t="s">
        <v>9309</v>
      </c>
      <c r="U352" s="27" t="s">
        <v>484</v>
      </c>
      <c r="V352" t="s">
        <v>193</v>
      </c>
      <c r="W352" t="s">
        <v>9310</v>
      </c>
      <c r="Z352" t="s">
        <v>9311</v>
      </c>
      <c r="AF352" t="s">
        <v>4714</v>
      </c>
      <c r="AG352" t="s">
        <v>9433</v>
      </c>
      <c r="AI352" t="s">
        <v>6955</v>
      </c>
      <c r="AJ352" s="424" t="str">
        <f t="shared" si="15"/>
        <v>251401</v>
      </c>
      <c r="AK352" s="28">
        <v>1</v>
      </c>
      <c r="AL352" s="28">
        <f t="shared" si="17"/>
        <v>1</v>
      </c>
      <c r="AM352" s="28" t="str">
        <f t="shared" si="16"/>
        <v>agora</v>
      </c>
    </row>
    <row r="353" spans="1:39" x14ac:dyDescent="0.25">
      <c r="A353" t="s">
        <v>9522</v>
      </c>
      <c r="B353" t="s">
        <v>10772</v>
      </c>
      <c r="C353" t="s">
        <v>10</v>
      </c>
      <c r="D353" s="27" t="s">
        <v>9835</v>
      </c>
      <c r="E353" t="s">
        <v>217</v>
      </c>
      <c r="F353" s="421">
        <v>1</v>
      </c>
      <c r="G353" t="s">
        <v>193</v>
      </c>
      <c r="H353" t="s">
        <v>194</v>
      </c>
      <c r="I353" t="s">
        <v>9491</v>
      </c>
      <c r="J353" t="s">
        <v>210</v>
      </c>
      <c r="K353" t="s">
        <v>10773</v>
      </c>
      <c r="L353" t="s">
        <v>6261</v>
      </c>
      <c r="M353" t="s">
        <v>10618</v>
      </c>
      <c r="N353" t="s">
        <v>9429</v>
      </c>
      <c r="O353" t="s">
        <v>10767</v>
      </c>
      <c r="P353" t="s">
        <v>10774</v>
      </c>
      <c r="Q353" t="s">
        <v>10775</v>
      </c>
      <c r="S353" t="s">
        <v>9309</v>
      </c>
      <c r="T353" s="28" t="s">
        <v>9334</v>
      </c>
      <c r="U353" s="27" t="s">
        <v>484</v>
      </c>
      <c r="V353" t="s">
        <v>194</v>
      </c>
      <c r="W353" t="s">
        <v>9300</v>
      </c>
      <c r="Z353" t="s">
        <v>9311</v>
      </c>
      <c r="AF353" t="s">
        <v>4714</v>
      </c>
      <c r="AG353" t="s">
        <v>9433</v>
      </c>
      <c r="AI353" t="s">
        <v>6955</v>
      </c>
      <c r="AJ353" s="424" t="str">
        <f t="shared" si="15"/>
        <v>251401</v>
      </c>
      <c r="AK353" s="28">
        <v>1</v>
      </c>
      <c r="AL353" s="28">
        <f t="shared" si="17"/>
        <v>1</v>
      </c>
      <c r="AM353" s="28" t="str">
        <f t="shared" si="16"/>
        <v>agora</v>
      </c>
    </row>
    <row r="354" spans="1:39" x14ac:dyDescent="0.25">
      <c r="A354" t="s">
        <v>9522</v>
      </c>
      <c r="B354" t="s">
        <v>10772</v>
      </c>
      <c r="C354" t="s">
        <v>10</v>
      </c>
      <c r="D354" s="27" t="s">
        <v>9835</v>
      </c>
      <c r="E354" t="s">
        <v>217</v>
      </c>
      <c r="F354" s="421">
        <v>1</v>
      </c>
      <c r="G354" t="s">
        <v>193</v>
      </c>
      <c r="H354" t="s">
        <v>194</v>
      </c>
      <c r="I354" t="s">
        <v>9491</v>
      </c>
      <c r="J354" t="s">
        <v>210</v>
      </c>
      <c r="K354" t="s">
        <v>10776</v>
      </c>
      <c r="L354" t="s">
        <v>6261</v>
      </c>
      <c r="M354" t="s">
        <v>10618</v>
      </c>
      <c r="N354" t="s">
        <v>9429</v>
      </c>
      <c r="O354" t="s">
        <v>9305</v>
      </c>
      <c r="P354" t="s">
        <v>10777</v>
      </c>
      <c r="Q354" t="s">
        <v>10778</v>
      </c>
      <c r="S354" t="s">
        <v>9309</v>
      </c>
      <c r="T354" s="28" t="s">
        <v>9334</v>
      </c>
      <c r="U354" s="27" t="s">
        <v>484</v>
      </c>
      <c r="V354" t="s">
        <v>194</v>
      </c>
      <c r="W354" t="s">
        <v>9300</v>
      </c>
      <c r="Z354" t="s">
        <v>9311</v>
      </c>
      <c r="AF354" t="s">
        <v>4714</v>
      </c>
      <c r="AG354" t="s">
        <v>9433</v>
      </c>
      <c r="AI354" t="s">
        <v>6955</v>
      </c>
      <c r="AJ354" s="424" t="str">
        <f t="shared" si="15"/>
        <v>251401</v>
      </c>
      <c r="AK354" s="28">
        <v>1</v>
      </c>
      <c r="AL354" s="28">
        <f t="shared" si="17"/>
        <v>1</v>
      </c>
      <c r="AM354" s="28" t="str">
        <f t="shared" si="16"/>
        <v>agora</v>
      </c>
    </row>
    <row r="355" spans="1:39" x14ac:dyDescent="0.25">
      <c r="A355" t="s">
        <v>9522</v>
      </c>
      <c r="B355" t="s">
        <v>9622</v>
      </c>
      <c r="C355" t="s">
        <v>10</v>
      </c>
      <c r="D355" s="27" t="s">
        <v>9835</v>
      </c>
      <c r="E355" t="s">
        <v>217</v>
      </c>
      <c r="F355" s="421">
        <v>1</v>
      </c>
      <c r="G355" t="s">
        <v>193</v>
      </c>
      <c r="H355" t="s">
        <v>194</v>
      </c>
      <c r="I355" t="s">
        <v>9430</v>
      </c>
      <c r="J355" t="s">
        <v>210</v>
      </c>
      <c r="K355" t="s">
        <v>10799</v>
      </c>
      <c r="L355" t="s">
        <v>6261</v>
      </c>
      <c r="M355" t="s">
        <v>10641</v>
      </c>
      <c r="N355" t="s">
        <v>10045</v>
      </c>
      <c r="O355" t="s">
        <v>9305</v>
      </c>
      <c r="P355" t="s">
        <v>10800</v>
      </c>
      <c r="Q355" t="s">
        <v>10801</v>
      </c>
      <c r="S355" t="s">
        <v>9309</v>
      </c>
      <c r="T355" s="28" t="s">
        <v>9334</v>
      </c>
      <c r="U355" s="27" t="s">
        <v>484</v>
      </c>
      <c r="V355" t="s">
        <v>194</v>
      </c>
      <c r="W355" t="s">
        <v>9300</v>
      </c>
      <c r="Z355" t="s">
        <v>9311</v>
      </c>
      <c r="AF355" t="s">
        <v>4714</v>
      </c>
      <c r="AG355" t="s">
        <v>9433</v>
      </c>
      <c r="AI355" t="s">
        <v>6955</v>
      </c>
      <c r="AJ355" s="424" t="str">
        <f t="shared" si="15"/>
        <v>251401</v>
      </c>
      <c r="AK355" s="28">
        <v>1</v>
      </c>
      <c r="AL355" s="28">
        <f t="shared" si="17"/>
        <v>1</v>
      </c>
      <c r="AM355" s="28" t="str">
        <f t="shared" si="16"/>
        <v>agora</v>
      </c>
    </row>
    <row r="356" spans="1:39" x14ac:dyDescent="0.25">
      <c r="A356" t="s">
        <v>9522</v>
      </c>
      <c r="B356" t="s">
        <v>9622</v>
      </c>
      <c r="C356" t="s">
        <v>10</v>
      </c>
      <c r="D356" s="27" t="s">
        <v>9835</v>
      </c>
      <c r="E356" t="s">
        <v>217</v>
      </c>
      <c r="F356" s="421">
        <v>1</v>
      </c>
      <c r="G356" t="s">
        <v>193</v>
      </c>
      <c r="H356" t="s">
        <v>194</v>
      </c>
      <c r="I356" t="s">
        <v>9430</v>
      </c>
      <c r="J356" t="s">
        <v>210</v>
      </c>
      <c r="K356" t="s">
        <v>9623</v>
      </c>
      <c r="L356" t="s">
        <v>6261</v>
      </c>
      <c r="M356" t="s">
        <v>10618</v>
      </c>
      <c r="N356" t="s">
        <v>10045</v>
      </c>
      <c r="O356" t="s">
        <v>9542</v>
      </c>
      <c r="P356" t="s">
        <v>10802</v>
      </c>
      <c r="Q356" t="s">
        <v>10803</v>
      </c>
      <c r="S356" t="s">
        <v>9309</v>
      </c>
      <c r="T356" s="28" t="s">
        <v>9334</v>
      </c>
      <c r="U356" s="27" t="s">
        <v>484</v>
      </c>
      <c r="V356" t="s">
        <v>194</v>
      </c>
      <c r="W356" t="s">
        <v>9300</v>
      </c>
      <c r="Z356" t="s">
        <v>9311</v>
      </c>
      <c r="AF356" t="s">
        <v>4714</v>
      </c>
      <c r="AG356" t="s">
        <v>9433</v>
      </c>
      <c r="AI356" t="s">
        <v>6955</v>
      </c>
      <c r="AJ356" s="424" t="str">
        <f t="shared" si="15"/>
        <v>251401</v>
      </c>
      <c r="AK356" s="28">
        <v>1</v>
      </c>
      <c r="AL356" s="28">
        <f t="shared" si="17"/>
        <v>1</v>
      </c>
      <c r="AM356" s="28" t="str">
        <f t="shared" si="16"/>
        <v>agora</v>
      </c>
    </row>
    <row r="357" spans="1:39" x14ac:dyDescent="0.25">
      <c r="A357" t="s">
        <v>9522</v>
      </c>
      <c r="B357" t="s">
        <v>9626</v>
      </c>
      <c r="C357" t="s">
        <v>10</v>
      </c>
      <c r="D357" s="27" t="s">
        <v>9835</v>
      </c>
      <c r="E357" t="s">
        <v>217</v>
      </c>
      <c r="F357" s="421">
        <v>1</v>
      </c>
      <c r="G357" t="s">
        <v>193</v>
      </c>
      <c r="H357" t="s">
        <v>194</v>
      </c>
      <c r="I357" t="s">
        <v>9430</v>
      </c>
      <c r="J357" t="s">
        <v>210</v>
      </c>
      <c r="K357" t="s">
        <v>9627</v>
      </c>
      <c r="L357" t="s">
        <v>6261</v>
      </c>
      <c r="M357" t="s">
        <v>10618</v>
      </c>
      <c r="N357" t="s">
        <v>9955</v>
      </c>
      <c r="O357" t="s">
        <v>9369</v>
      </c>
      <c r="P357" t="s">
        <v>10804</v>
      </c>
      <c r="Q357" t="s">
        <v>10805</v>
      </c>
      <c r="S357" t="s">
        <v>9309</v>
      </c>
      <c r="T357" s="28" t="s">
        <v>9334</v>
      </c>
      <c r="U357" s="27" t="s">
        <v>484</v>
      </c>
      <c r="V357" t="s">
        <v>194</v>
      </c>
      <c r="W357" t="s">
        <v>9300</v>
      </c>
      <c r="Z357" t="s">
        <v>9311</v>
      </c>
      <c r="AF357" t="s">
        <v>4714</v>
      </c>
      <c r="AG357" t="s">
        <v>9433</v>
      </c>
      <c r="AI357" t="s">
        <v>6955</v>
      </c>
      <c r="AJ357" s="424" t="str">
        <f t="shared" si="15"/>
        <v>251401</v>
      </c>
      <c r="AK357" s="28">
        <v>1</v>
      </c>
      <c r="AL357" s="28">
        <f t="shared" si="17"/>
        <v>1</v>
      </c>
      <c r="AM357" s="28" t="str">
        <f t="shared" si="16"/>
        <v>agora</v>
      </c>
    </row>
    <row r="358" spans="1:39" x14ac:dyDescent="0.25">
      <c r="A358" t="s">
        <v>9522</v>
      </c>
      <c r="B358" t="s">
        <v>9626</v>
      </c>
      <c r="C358" t="s">
        <v>10</v>
      </c>
      <c r="D358" s="27" t="s">
        <v>9835</v>
      </c>
      <c r="E358" t="s">
        <v>217</v>
      </c>
      <c r="F358" s="421">
        <v>1</v>
      </c>
      <c r="G358" t="s">
        <v>193</v>
      </c>
      <c r="H358" t="s">
        <v>194</v>
      </c>
      <c r="I358" t="s">
        <v>9430</v>
      </c>
      <c r="J358" t="s">
        <v>210</v>
      </c>
      <c r="K358" t="s">
        <v>9630</v>
      </c>
      <c r="L358" t="s">
        <v>6261</v>
      </c>
      <c r="M358" t="s">
        <v>10618</v>
      </c>
      <c r="N358" t="s">
        <v>10045</v>
      </c>
      <c r="O358" t="s">
        <v>9542</v>
      </c>
      <c r="P358" t="s">
        <v>10806</v>
      </c>
      <c r="Q358" t="s">
        <v>10807</v>
      </c>
      <c r="S358" t="s">
        <v>9309</v>
      </c>
      <c r="T358" s="28" t="s">
        <v>9334</v>
      </c>
      <c r="U358" s="27" t="s">
        <v>484</v>
      </c>
      <c r="V358" t="s">
        <v>194</v>
      </c>
      <c r="W358" t="s">
        <v>9300</v>
      </c>
      <c r="Z358" t="s">
        <v>9311</v>
      </c>
      <c r="AF358" t="s">
        <v>4714</v>
      </c>
      <c r="AG358" t="s">
        <v>9433</v>
      </c>
      <c r="AI358" t="s">
        <v>6955</v>
      </c>
      <c r="AJ358" s="424" t="str">
        <f t="shared" si="15"/>
        <v>251401</v>
      </c>
      <c r="AK358" s="28">
        <v>1</v>
      </c>
      <c r="AL358" s="28">
        <f t="shared" si="17"/>
        <v>1</v>
      </c>
      <c r="AM358" s="28" t="str">
        <f t="shared" si="16"/>
        <v>agora</v>
      </c>
    </row>
    <row r="359" spans="1:39" x14ac:dyDescent="0.25">
      <c r="A359" t="s">
        <v>9522</v>
      </c>
      <c r="B359" t="s">
        <v>9636</v>
      </c>
      <c r="C359" t="s">
        <v>10</v>
      </c>
      <c r="D359" s="27" t="s">
        <v>9835</v>
      </c>
      <c r="E359" t="s">
        <v>217</v>
      </c>
      <c r="F359" s="421">
        <v>1</v>
      </c>
      <c r="G359" t="s">
        <v>193</v>
      </c>
      <c r="H359" t="s">
        <v>194</v>
      </c>
      <c r="I359" t="s">
        <v>9430</v>
      </c>
      <c r="J359" t="s">
        <v>210</v>
      </c>
      <c r="K359" t="s">
        <v>9640</v>
      </c>
      <c r="L359" t="s">
        <v>6261</v>
      </c>
      <c r="M359" t="s">
        <v>10618</v>
      </c>
      <c r="N359" t="s">
        <v>10045</v>
      </c>
      <c r="O359" t="s">
        <v>9461</v>
      </c>
      <c r="P359" t="s">
        <v>10808</v>
      </c>
      <c r="Q359" t="s">
        <v>10809</v>
      </c>
      <c r="S359" t="s">
        <v>9309</v>
      </c>
      <c r="T359" s="28" t="s">
        <v>9334</v>
      </c>
      <c r="U359" s="27" t="s">
        <v>484</v>
      </c>
      <c r="V359" t="s">
        <v>194</v>
      </c>
      <c r="W359" t="s">
        <v>9300</v>
      </c>
      <c r="Z359" t="s">
        <v>9311</v>
      </c>
      <c r="AF359" t="s">
        <v>4714</v>
      </c>
      <c r="AG359" t="s">
        <v>9433</v>
      </c>
      <c r="AI359" t="s">
        <v>6955</v>
      </c>
      <c r="AJ359" s="424" t="str">
        <f t="shared" si="15"/>
        <v>251401</v>
      </c>
      <c r="AK359" s="28">
        <v>1</v>
      </c>
      <c r="AL359" s="28">
        <f t="shared" si="17"/>
        <v>1</v>
      </c>
      <c r="AM359" s="28" t="str">
        <f t="shared" si="16"/>
        <v>agora</v>
      </c>
    </row>
    <row r="360" spans="1:39" x14ac:dyDescent="0.25">
      <c r="A360" t="s">
        <v>9522</v>
      </c>
      <c r="B360" t="s">
        <v>9636</v>
      </c>
      <c r="C360" t="s">
        <v>10</v>
      </c>
      <c r="D360" s="27" t="s">
        <v>9835</v>
      </c>
      <c r="E360" t="s">
        <v>217</v>
      </c>
      <c r="F360" s="421">
        <v>1</v>
      </c>
      <c r="G360" t="s">
        <v>193</v>
      </c>
      <c r="H360" t="s">
        <v>194</v>
      </c>
      <c r="I360" t="s">
        <v>9430</v>
      </c>
      <c r="J360" t="s">
        <v>210</v>
      </c>
      <c r="K360" t="s">
        <v>10810</v>
      </c>
      <c r="L360" t="s">
        <v>6261</v>
      </c>
      <c r="M360" t="s">
        <v>10618</v>
      </c>
      <c r="N360" t="s">
        <v>9526</v>
      </c>
      <c r="O360" t="s">
        <v>9305</v>
      </c>
      <c r="P360" t="s">
        <v>10811</v>
      </c>
      <c r="Q360" t="s">
        <v>10812</v>
      </c>
      <c r="S360" t="s">
        <v>9309</v>
      </c>
      <c r="T360" s="28" t="s">
        <v>9334</v>
      </c>
      <c r="U360" s="27" t="s">
        <v>484</v>
      </c>
      <c r="V360" t="s">
        <v>194</v>
      </c>
      <c r="W360" t="s">
        <v>9300</v>
      </c>
      <c r="Z360" t="s">
        <v>9311</v>
      </c>
      <c r="AF360" t="s">
        <v>4714</v>
      </c>
      <c r="AG360" t="s">
        <v>9433</v>
      </c>
      <c r="AI360" t="s">
        <v>6955</v>
      </c>
      <c r="AJ360" s="424" t="str">
        <f t="shared" si="15"/>
        <v>251401</v>
      </c>
      <c r="AK360" s="28">
        <v>1</v>
      </c>
      <c r="AL360" s="28">
        <f t="shared" si="17"/>
        <v>1</v>
      </c>
      <c r="AM360" s="28" t="str">
        <f t="shared" si="16"/>
        <v>agora</v>
      </c>
    </row>
    <row r="361" spans="1:39" x14ac:dyDescent="0.25">
      <c r="A361" t="s">
        <v>9522</v>
      </c>
      <c r="B361" t="s">
        <v>9636</v>
      </c>
      <c r="C361" t="s">
        <v>10</v>
      </c>
      <c r="D361" s="27" t="s">
        <v>9835</v>
      </c>
      <c r="E361" t="s">
        <v>217</v>
      </c>
      <c r="F361" s="421">
        <v>1</v>
      </c>
      <c r="G361" t="s">
        <v>193</v>
      </c>
      <c r="H361" t="s">
        <v>194</v>
      </c>
      <c r="I361" t="s">
        <v>9430</v>
      </c>
      <c r="J361" t="s">
        <v>210</v>
      </c>
      <c r="K361" t="s">
        <v>9637</v>
      </c>
      <c r="L361" t="s">
        <v>6261</v>
      </c>
      <c r="M361" t="s">
        <v>10618</v>
      </c>
      <c r="N361" t="s">
        <v>10045</v>
      </c>
      <c r="O361" t="s">
        <v>9542</v>
      </c>
      <c r="P361" t="s">
        <v>10813</v>
      </c>
      <c r="Q361" t="s">
        <v>10814</v>
      </c>
      <c r="S361" t="s">
        <v>9309</v>
      </c>
      <c r="T361" s="28" t="s">
        <v>9334</v>
      </c>
      <c r="U361" s="27" t="s">
        <v>484</v>
      </c>
      <c r="V361" t="s">
        <v>194</v>
      </c>
      <c r="W361" t="s">
        <v>9300</v>
      </c>
      <c r="Z361" t="s">
        <v>9311</v>
      </c>
      <c r="AF361" t="s">
        <v>4714</v>
      </c>
      <c r="AG361" t="s">
        <v>9433</v>
      </c>
      <c r="AI361" t="s">
        <v>6955</v>
      </c>
      <c r="AJ361" s="424" t="str">
        <f t="shared" si="15"/>
        <v>251401</v>
      </c>
      <c r="AK361" s="28">
        <v>1</v>
      </c>
      <c r="AL361" s="28">
        <f t="shared" si="17"/>
        <v>1</v>
      </c>
      <c r="AM361" s="28" t="str">
        <f t="shared" si="16"/>
        <v>agora</v>
      </c>
    </row>
    <row r="362" spans="1:39" x14ac:dyDescent="0.25">
      <c r="A362" t="s">
        <v>9522</v>
      </c>
      <c r="B362" t="s">
        <v>9636</v>
      </c>
      <c r="C362" t="s">
        <v>10</v>
      </c>
      <c r="D362" s="27" t="s">
        <v>9835</v>
      </c>
      <c r="E362" t="s">
        <v>217</v>
      </c>
      <c r="F362" s="421">
        <v>1</v>
      </c>
      <c r="G362" t="s">
        <v>193</v>
      </c>
      <c r="H362" t="s">
        <v>194</v>
      </c>
      <c r="I362" t="s">
        <v>9430</v>
      </c>
      <c r="J362" t="s">
        <v>210</v>
      </c>
      <c r="K362" t="s">
        <v>10815</v>
      </c>
      <c r="L362" t="s">
        <v>6261</v>
      </c>
      <c r="M362" t="s">
        <v>10618</v>
      </c>
      <c r="N362" t="s">
        <v>9429</v>
      </c>
      <c r="O362" t="s">
        <v>10767</v>
      </c>
      <c r="P362" t="s">
        <v>10816</v>
      </c>
      <c r="Q362" t="s">
        <v>10817</v>
      </c>
      <c r="S362" t="s">
        <v>9309</v>
      </c>
      <c r="T362" s="28" t="s">
        <v>9334</v>
      </c>
      <c r="U362" s="27" t="s">
        <v>484</v>
      </c>
      <c r="V362" t="s">
        <v>194</v>
      </c>
      <c r="W362" t="s">
        <v>9300</v>
      </c>
      <c r="Z362" t="s">
        <v>9311</v>
      </c>
      <c r="AF362" t="s">
        <v>4714</v>
      </c>
      <c r="AG362" t="s">
        <v>9433</v>
      </c>
      <c r="AI362" t="s">
        <v>6955</v>
      </c>
      <c r="AJ362" s="424" t="str">
        <f t="shared" si="15"/>
        <v>251401</v>
      </c>
      <c r="AK362" s="28">
        <v>1</v>
      </c>
      <c r="AL362" s="28">
        <f t="shared" si="17"/>
        <v>1</v>
      </c>
      <c r="AM362" s="28" t="str">
        <f t="shared" si="16"/>
        <v>agora</v>
      </c>
    </row>
    <row r="363" spans="1:39" x14ac:dyDescent="0.25">
      <c r="A363" t="s">
        <v>9522</v>
      </c>
      <c r="B363" t="s">
        <v>9651</v>
      </c>
      <c r="C363" t="s">
        <v>10</v>
      </c>
      <c r="D363" s="27" t="s">
        <v>9835</v>
      </c>
      <c r="E363" t="s">
        <v>217</v>
      </c>
      <c r="F363" s="421">
        <v>1</v>
      </c>
      <c r="G363" t="s">
        <v>193</v>
      </c>
      <c r="H363" t="s">
        <v>194</v>
      </c>
      <c r="I363" t="s">
        <v>9430</v>
      </c>
      <c r="J363" t="s">
        <v>210</v>
      </c>
      <c r="K363" t="s">
        <v>10820</v>
      </c>
      <c r="L363" t="s">
        <v>6261</v>
      </c>
      <c r="M363" t="s">
        <v>10618</v>
      </c>
      <c r="N363" t="s">
        <v>10045</v>
      </c>
      <c r="O363" t="s">
        <v>9305</v>
      </c>
      <c r="P363" t="s">
        <v>10821</v>
      </c>
      <c r="Q363" t="s">
        <v>10822</v>
      </c>
      <c r="S363" t="s">
        <v>9309</v>
      </c>
      <c r="T363" s="28" t="s">
        <v>9334</v>
      </c>
      <c r="U363" s="27" t="s">
        <v>484</v>
      </c>
      <c r="V363" t="s">
        <v>194</v>
      </c>
      <c r="W363" t="s">
        <v>9300</v>
      </c>
      <c r="Z363" t="s">
        <v>9311</v>
      </c>
      <c r="AF363" t="s">
        <v>4714</v>
      </c>
      <c r="AG363" t="s">
        <v>9433</v>
      </c>
      <c r="AI363" t="s">
        <v>6955</v>
      </c>
      <c r="AJ363" s="424" t="str">
        <f t="shared" si="15"/>
        <v>251401</v>
      </c>
      <c r="AK363" s="28">
        <v>1</v>
      </c>
      <c r="AL363" s="28">
        <f t="shared" si="17"/>
        <v>1</v>
      </c>
      <c r="AM363" s="28" t="str">
        <f t="shared" si="16"/>
        <v>agora</v>
      </c>
    </row>
    <row r="364" spans="1:39" x14ac:dyDescent="0.25">
      <c r="A364" t="s">
        <v>9522</v>
      </c>
      <c r="B364" t="s">
        <v>9651</v>
      </c>
      <c r="C364" t="s">
        <v>10</v>
      </c>
      <c r="D364" s="27" t="s">
        <v>9835</v>
      </c>
      <c r="E364" t="s">
        <v>217</v>
      </c>
      <c r="F364" s="421">
        <v>1</v>
      </c>
      <c r="G364" t="s">
        <v>193</v>
      </c>
      <c r="H364" t="s">
        <v>194</v>
      </c>
      <c r="I364" t="s">
        <v>9430</v>
      </c>
      <c r="J364" t="s">
        <v>210</v>
      </c>
      <c r="K364" t="s">
        <v>9652</v>
      </c>
      <c r="L364" t="s">
        <v>6261</v>
      </c>
      <c r="M364" t="s">
        <v>10618</v>
      </c>
      <c r="N364" t="s">
        <v>10045</v>
      </c>
      <c r="O364" t="s">
        <v>9542</v>
      </c>
      <c r="P364" t="s">
        <v>10823</v>
      </c>
      <c r="Q364" t="s">
        <v>10824</v>
      </c>
      <c r="S364" t="s">
        <v>9309</v>
      </c>
      <c r="T364" s="28" t="s">
        <v>9334</v>
      </c>
      <c r="U364" s="27" t="s">
        <v>484</v>
      </c>
      <c r="V364" t="s">
        <v>194</v>
      </c>
      <c r="W364" t="s">
        <v>9300</v>
      </c>
      <c r="Z364" t="s">
        <v>9311</v>
      </c>
      <c r="AF364" t="s">
        <v>4714</v>
      </c>
      <c r="AG364" t="s">
        <v>9433</v>
      </c>
      <c r="AI364" t="s">
        <v>6955</v>
      </c>
      <c r="AJ364" s="424" t="str">
        <f t="shared" si="15"/>
        <v>251401</v>
      </c>
      <c r="AK364" s="28">
        <v>1</v>
      </c>
      <c r="AL364" s="28">
        <f t="shared" si="17"/>
        <v>1</v>
      </c>
      <c r="AM364" s="28" t="str">
        <f t="shared" si="16"/>
        <v>agora</v>
      </c>
    </row>
    <row r="365" spans="1:39" x14ac:dyDescent="0.25">
      <c r="A365" t="s">
        <v>9522</v>
      </c>
      <c r="B365" t="s">
        <v>9651</v>
      </c>
      <c r="C365" t="s">
        <v>10</v>
      </c>
      <c r="D365" s="27" t="s">
        <v>9835</v>
      </c>
      <c r="E365" t="s">
        <v>217</v>
      </c>
      <c r="F365" s="421">
        <v>1</v>
      </c>
      <c r="G365" t="s">
        <v>193</v>
      </c>
      <c r="H365" t="s">
        <v>194</v>
      </c>
      <c r="I365" t="s">
        <v>9430</v>
      </c>
      <c r="J365" t="s">
        <v>210</v>
      </c>
      <c r="K365" t="s">
        <v>10825</v>
      </c>
      <c r="L365" t="s">
        <v>6261</v>
      </c>
      <c r="M365" t="s">
        <v>10618</v>
      </c>
      <c r="N365" t="s">
        <v>9429</v>
      </c>
      <c r="O365" t="s">
        <v>10767</v>
      </c>
      <c r="P365" t="s">
        <v>10826</v>
      </c>
      <c r="Q365" t="s">
        <v>10827</v>
      </c>
      <c r="S365" t="s">
        <v>9309</v>
      </c>
      <c r="T365" s="28" t="s">
        <v>9334</v>
      </c>
      <c r="U365" s="27" t="s">
        <v>484</v>
      </c>
      <c r="V365" t="s">
        <v>194</v>
      </c>
      <c r="W365" t="s">
        <v>9300</v>
      </c>
      <c r="Z365" t="s">
        <v>9311</v>
      </c>
      <c r="AF365" t="s">
        <v>4714</v>
      </c>
      <c r="AG365" t="s">
        <v>9433</v>
      </c>
      <c r="AI365" t="s">
        <v>6955</v>
      </c>
      <c r="AJ365" s="424" t="str">
        <f t="shared" si="15"/>
        <v>251401</v>
      </c>
      <c r="AK365" s="28">
        <v>1</v>
      </c>
      <c r="AL365" s="28">
        <f t="shared" si="17"/>
        <v>1</v>
      </c>
      <c r="AM365" s="28" t="str">
        <f t="shared" si="16"/>
        <v>agora</v>
      </c>
    </row>
    <row r="366" spans="1:39" x14ac:dyDescent="0.25">
      <c r="A366" t="s">
        <v>9522</v>
      </c>
      <c r="B366" t="s">
        <v>9701</v>
      </c>
      <c r="C366" t="s">
        <v>10</v>
      </c>
      <c r="D366" s="27" t="s">
        <v>9835</v>
      </c>
      <c r="E366" t="s">
        <v>217</v>
      </c>
      <c r="F366" s="421">
        <v>1</v>
      </c>
      <c r="G366" t="s">
        <v>193</v>
      </c>
      <c r="H366" t="s">
        <v>194</v>
      </c>
      <c r="I366" t="s">
        <v>9430</v>
      </c>
      <c r="J366" t="s">
        <v>210</v>
      </c>
      <c r="K366" t="s">
        <v>9702</v>
      </c>
      <c r="L366" t="s">
        <v>6261</v>
      </c>
      <c r="M366" t="s">
        <v>10641</v>
      </c>
      <c r="N366" t="s">
        <v>10045</v>
      </c>
      <c r="O366" t="s">
        <v>9542</v>
      </c>
      <c r="P366" t="s">
        <v>10855</v>
      </c>
      <c r="Q366" t="s">
        <v>10856</v>
      </c>
      <c r="S366" t="s">
        <v>9309</v>
      </c>
      <c r="T366" s="28" t="s">
        <v>9334</v>
      </c>
      <c r="U366" s="27" t="s">
        <v>484</v>
      </c>
      <c r="V366" t="s">
        <v>194</v>
      </c>
      <c r="W366" t="s">
        <v>9300</v>
      </c>
      <c r="Z366" t="s">
        <v>9311</v>
      </c>
      <c r="AF366" t="s">
        <v>4714</v>
      </c>
      <c r="AG366" t="s">
        <v>9433</v>
      </c>
      <c r="AI366" t="s">
        <v>6955</v>
      </c>
      <c r="AJ366" s="424" t="str">
        <f t="shared" si="15"/>
        <v>251401</v>
      </c>
      <c r="AK366" s="28">
        <v>1</v>
      </c>
      <c r="AL366" s="28">
        <f t="shared" si="17"/>
        <v>1</v>
      </c>
      <c r="AM366" s="28" t="str">
        <f t="shared" si="16"/>
        <v>agora</v>
      </c>
    </row>
    <row r="367" spans="1:39" x14ac:dyDescent="0.25">
      <c r="A367" t="s">
        <v>9522</v>
      </c>
      <c r="B367" t="s">
        <v>9701</v>
      </c>
      <c r="C367" t="s">
        <v>10</v>
      </c>
      <c r="D367" s="27" t="s">
        <v>9835</v>
      </c>
      <c r="E367" t="s">
        <v>217</v>
      </c>
      <c r="F367" s="421">
        <v>1</v>
      </c>
      <c r="G367" t="s">
        <v>193</v>
      </c>
      <c r="H367" t="s">
        <v>194</v>
      </c>
      <c r="I367" t="s">
        <v>9430</v>
      </c>
      <c r="J367" t="s">
        <v>210</v>
      </c>
      <c r="K367" t="s">
        <v>9705</v>
      </c>
      <c r="L367" t="s">
        <v>6261</v>
      </c>
      <c r="M367" t="s">
        <v>10618</v>
      </c>
      <c r="N367" t="s">
        <v>9437</v>
      </c>
      <c r="O367" t="s">
        <v>9369</v>
      </c>
      <c r="P367" t="s">
        <v>10857</v>
      </c>
      <c r="Q367" t="s">
        <v>10858</v>
      </c>
      <c r="S367" t="s">
        <v>9309</v>
      </c>
      <c r="T367" s="28" t="s">
        <v>9334</v>
      </c>
      <c r="U367" s="27" t="s">
        <v>484</v>
      </c>
      <c r="V367" t="s">
        <v>194</v>
      </c>
      <c r="W367" t="s">
        <v>9300</v>
      </c>
      <c r="Z367" t="s">
        <v>9311</v>
      </c>
      <c r="AF367" t="s">
        <v>4714</v>
      </c>
      <c r="AG367" t="s">
        <v>9433</v>
      </c>
      <c r="AI367" t="s">
        <v>6955</v>
      </c>
      <c r="AJ367" s="424" t="str">
        <f t="shared" si="15"/>
        <v>251401</v>
      </c>
      <c r="AK367" s="28">
        <v>1</v>
      </c>
      <c r="AL367" s="28">
        <f t="shared" si="17"/>
        <v>1</v>
      </c>
      <c r="AM367" s="28" t="str">
        <f t="shared" si="16"/>
        <v>agora</v>
      </c>
    </row>
    <row r="368" spans="1:39" x14ac:dyDescent="0.25">
      <c r="A368" t="s">
        <v>9522</v>
      </c>
      <c r="B368" t="s">
        <v>10859</v>
      </c>
      <c r="C368" t="s">
        <v>10</v>
      </c>
      <c r="D368" s="27" t="s">
        <v>9835</v>
      </c>
      <c r="E368" t="s">
        <v>217</v>
      </c>
      <c r="F368" s="421">
        <v>1</v>
      </c>
      <c r="G368" t="s">
        <v>193</v>
      </c>
      <c r="H368" t="s">
        <v>194</v>
      </c>
      <c r="I368" t="s">
        <v>9430</v>
      </c>
      <c r="J368" t="s">
        <v>210</v>
      </c>
      <c r="K368" t="s">
        <v>10860</v>
      </c>
      <c r="L368" t="s">
        <v>6261</v>
      </c>
      <c r="M368" t="s">
        <v>10618</v>
      </c>
      <c r="N368" t="s">
        <v>10045</v>
      </c>
      <c r="O368" t="s">
        <v>9305</v>
      </c>
      <c r="P368" t="s">
        <v>10861</v>
      </c>
      <c r="Q368" t="s">
        <v>10862</v>
      </c>
      <c r="S368" t="s">
        <v>9309</v>
      </c>
      <c r="T368" s="28" t="s">
        <v>9334</v>
      </c>
      <c r="U368" s="27" t="s">
        <v>484</v>
      </c>
      <c r="V368" t="s">
        <v>194</v>
      </c>
      <c r="W368" t="s">
        <v>9300</v>
      </c>
      <c r="Z368" t="s">
        <v>9311</v>
      </c>
      <c r="AF368" t="s">
        <v>4714</v>
      </c>
      <c r="AG368" t="s">
        <v>9433</v>
      </c>
      <c r="AI368" t="s">
        <v>6955</v>
      </c>
      <c r="AJ368" s="424" t="str">
        <f t="shared" si="15"/>
        <v>251401</v>
      </c>
      <c r="AK368" s="28">
        <v>1</v>
      </c>
      <c r="AL368" s="28">
        <f t="shared" si="17"/>
        <v>1</v>
      </c>
      <c r="AM368" s="28" t="str">
        <f t="shared" si="16"/>
        <v>agora</v>
      </c>
    </row>
    <row r="369" spans="1:39" x14ac:dyDescent="0.25">
      <c r="A369" t="s">
        <v>9522</v>
      </c>
      <c r="B369" t="s">
        <v>9708</v>
      </c>
      <c r="C369" t="s">
        <v>10</v>
      </c>
      <c r="D369" s="27" t="s">
        <v>9835</v>
      </c>
      <c r="E369" t="s">
        <v>217</v>
      </c>
      <c r="F369" s="421">
        <v>1</v>
      </c>
      <c r="G369" t="s">
        <v>193</v>
      </c>
      <c r="H369" t="s">
        <v>194</v>
      </c>
      <c r="I369" t="s">
        <v>9709</v>
      </c>
      <c r="J369" t="s">
        <v>210</v>
      </c>
      <c r="K369" t="s">
        <v>10863</v>
      </c>
      <c r="L369" t="s">
        <v>6261</v>
      </c>
      <c r="M369" t="s">
        <v>10618</v>
      </c>
      <c r="N369" t="s">
        <v>9429</v>
      </c>
      <c r="O369" t="s">
        <v>9305</v>
      </c>
      <c r="P369" t="s">
        <v>10864</v>
      </c>
      <c r="Q369" t="s">
        <v>10865</v>
      </c>
      <c r="S369" t="s">
        <v>9309</v>
      </c>
      <c r="T369" s="28" t="s">
        <v>9334</v>
      </c>
      <c r="U369" s="27" t="s">
        <v>484</v>
      </c>
      <c r="V369" t="s">
        <v>194</v>
      </c>
      <c r="W369" t="s">
        <v>9300</v>
      </c>
      <c r="Z369" t="s">
        <v>9311</v>
      </c>
      <c r="AF369" t="s">
        <v>4714</v>
      </c>
      <c r="AG369" t="s">
        <v>9433</v>
      </c>
      <c r="AI369" t="s">
        <v>6955</v>
      </c>
      <c r="AJ369" s="424" t="str">
        <f t="shared" si="15"/>
        <v>251401</v>
      </c>
      <c r="AK369" s="28">
        <v>1</v>
      </c>
      <c r="AL369" s="28">
        <f t="shared" si="17"/>
        <v>1</v>
      </c>
      <c r="AM369" s="28" t="str">
        <f t="shared" si="16"/>
        <v>agora</v>
      </c>
    </row>
    <row r="370" spans="1:39" x14ac:dyDescent="0.25">
      <c r="A370" t="s">
        <v>9522</v>
      </c>
      <c r="B370" t="s">
        <v>9708</v>
      </c>
      <c r="C370" t="s">
        <v>10</v>
      </c>
      <c r="D370" s="27" t="s">
        <v>9835</v>
      </c>
      <c r="E370" t="s">
        <v>217</v>
      </c>
      <c r="F370" s="421">
        <v>1</v>
      </c>
      <c r="G370" t="s">
        <v>193</v>
      </c>
      <c r="H370" t="s">
        <v>194</v>
      </c>
      <c r="I370" t="s">
        <v>9709</v>
      </c>
      <c r="J370" t="s">
        <v>210</v>
      </c>
      <c r="K370" t="s">
        <v>9710</v>
      </c>
      <c r="L370" t="s">
        <v>6261</v>
      </c>
      <c r="M370" t="s">
        <v>10618</v>
      </c>
      <c r="N370" t="s">
        <v>10045</v>
      </c>
      <c r="O370" t="s">
        <v>9542</v>
      </c>
      <c r="P370" t="s">
        <v>10866</v>
      </c>
      <c r="Q370" t="s">
        <v>10867</v>
      </c>
      <c r="S370" t="s">
        <v>9309</v>
      </c>
      <c r="T370" s="28" t="s">
        <v>9334</v>
      </c>
      <c r="U370" s="27" t="s">
        <v>484</v>
      </c>
      <c r="V370" t="s">
        <v>194</v>
      </c>
      <c r="W370" t="s">
        <v>9300</v>
      </c>
      <c r="Z370" t="s">
        <v>9311</v>
      </c>
      <c r="AF370" t="s">
        <v>4714</v>
      </c>
      <c r="AG370" t="s">
        <v>9433</v>
      </c>
      <c r="AI370" t="s">
        <v>6955</v>
      </c>
      <c r="AJ370" s="424" t="str">
        <f t="shared" si="15"/>
        <v>251401</v>
      </c>
      <c r="AK370" s="28">
        <v>1</v>
      </c>
      <c r="AL370" s="28">
        <f t="shared" si="17"/>
        <v>1</v>
      </c>
      <c r="AM370" s="28" t="str">
        <f t="shared" si="16"/>
        <v>agora</v>
      </c>
    </row>
    <row r="371" spans="1:39" x14ac:dyDescent="0.25">
      <c r="A371" t="s">
        <v>9522</v>
      </c>
      <c r="B371" t="s">
        <v>9708</v>
      </c>
      <c r="C371" t="s">
        <v>10</v>
      </c>
      <c r="D371" s="27" t="s">
        <v>9835</v>
      </c>
      <c r="E371" t="s">
        <v>217</v>
      </c>
      <c r="F371" s="421">
        <v>1</v>
      </c>
      <c r="G371" t="s">
        <v>193</v>
      </c>
      <c r="H371" t="s">
        <v>194</v>
      </c>
      <c r="I371" t="s">
        <v>9709</v>
      </c>
      <c r="J371" t="s">
        <v>210</v>
      </c>
      <c r="K371" t="s">
        <v>10868</v>
      </c>
      <c r="L371" t="s">
        <v>6921</v>
      </c>
      <c r="M371" t="s">
        <v>10618</v>
      </c>
      <c r="N371" t="s">
        <v>9938</v>
      </c>
      <c r="O371" t="s">
        <v>10767</v>
      </c>
      <c r="P371" t="s">
        <v>10869</v>
      </c>
      <c r="Q371" t="s">
        <v>10870</v>
      </c>
      <c r="S371" t="s">
        <v>9309</v>
      </c>
      <c r="T371" s="28" t="s">
        <v>9334</v>
      </c>
      <c r="U371" s="27" t="s">
        <v>484</v>
      </c>
      <c r="V371" t="s">
        <v>194</v>
      </c>
      <c r="W371" t="s">
        <v>9300</v>
      </c>
      <c r="Z371" t="s">
        <v>9311</v>
      </c>
      <c r="AF371" t="s">
        <v>4714</v>
      </c>
      <c r="AG371" t="s">
        <v>9433</v>
      </c>
      <c r="AI371" t="s">
        <v>6955</v>
      </c>
      <c r="AJ371" s="424" t="str">
        <f t="shared" si="15"/>
        <v>251401</v>
      </c>
      <c r="AK371" s="28">
        <v>1</v>
      </c>
      <c r="AL371" s="28">
        <f t="shared" si="17"/>
        <v>1</v>
      </c>
      <c r="AM371" s="28" t="str">
        <f t="shared" si="16"/>
        <v>agora</v>
      </c>
    </row>
    <row r="372" spans="1:39" x14ac:dyDescent="0.25">
      <c r="A372" t="s">
        <v>9522</v>
      </c>
      <c r="B372" t="s">
        <v>9708</v>
      </c>
      <c r="C372" t="s">
        <v>10</v>
      </c>
      <c r="D372" s="27" t="s">
        <v>9835</v>
      </c>
      <c r="E372" t="s">
        <v>217</v>
      </c>
      <c r="F372" s="421">
        <v>1</v>
      </c>
      <c r="G372" t="s">
        <v>193</v>
      </c>
      <c r="H372" t="s">
        <v>194</v>
      </c>
      <c r="I372" t="s">
        <v>9709</v>
      </c>
      <c r="J372" t="s">
        <v>210</v>
      </c>
      <c r="K372" t="s">
        <v>9713</v>
      </c>
      <c r="L372" t="s">
        <v>6261</v>
      </c>
      <c r="M372" t="s">
        <v>10618</v>
      </c>
      <c r="N372" t="s">
        <v>10045</v>
      </c>
      <c r="O372" t="s">
        <v>9461</v>
      </c>
      <c r="P372" t="s">
        <v>10871</v>
      </c>
      <c r="Q372" t="s">
        <v>10872</v>
      </c>
      <c r="S372" t="s">
        <v>9309</v>
      </c>
      <c r="T372" s="28" t="s">
        <v>9334</v>
      </c>
      <c r="U372" s="27" t="s">
        <v>484</v>
      </c>
      <c r="V372" t="s">
        <v>194</v>
      </c>
      <c r="W372" t="s">
        <v>9300</v>
      </c>
      <c r="Z372" t="s">
        <v>9311</v>
      </c>
      <c r="AF372" t="s">
        <v>4714</v>
      </c>
      <c r="AG372" t="s">
        <v>9433</v>
      </c>
      <c r="AI372" t="s">
        <v>6955</v>
      </c>
      <c r="AJ372" s="424" t="str">
        <f t="shared" si="15"/>
        <v>251401</v>
      </c>
      <c r="AK372" s="28">
        <v>1</v>
      </c>
      <c r="AL372" s="28">
        <f t="shared" si="17"/>
        <v>1</v>
      </c>
      <c r="AM372" s="28" t="str">
        <f t="shared" si="16"/>
        <v>agora</v>
      </c>
    </row>
    <row r="373" spans="1:39" x14ac:dyDescent="0.25">
      <c r="A373" t="s">
        <v>10932</v>
      </c>
      <c r="B373" t="s">
        <v>10933</v>
      </c>
      <c r="C373" t="s">
        <v>10</v>
      </c>
      <c r="D373" s="27" t="s">
        <v>9835</v>
      </c>
      <c r="E373" t="s">
        <v>233</v>
      </c>
      <c r="F373" s="421">
        <v>1</v>
      </c>
      <c r="G373" t="s">
        <v>193</v>
      </c>
      <c r="H373" t="s">
        <v>194</v>
      </c>
      <c r="I373" t="s">
        <v>9491</v>
      </c>
      <c r="J373" t="s">
        <v>9302</v>
      </c>
      <c r="K373" t="s">
        <v>10934</v>
      </c>
      <c r="L373" t="s">
        <v>6261</v>
      </c>
      <c r="M373" t="s">
        <v>10539</v>
      </c>
      <c r="N373" t="s">
        <v>9588</v>
      </c>
      <c r="O373" t="s">
        <v>9318</v>
      </c>
      <c r="P373" t="s">
        <v>10935</v>
      </c>
      <c r="Q373" t="s">
        <v>10936</v>
      </c>
      <c r="S373" t="s">
        <v>9309</v>
      </c>
      <c r="U373" s="27" t="s">
        <v>484</v>
      </c>
      <c r="V373" t="s">
        <v>193</v>
      </c>
      <c r="W373" t="s">
        <v>9310</v>
      </c>
      <c r="Z373" t="s">
        <v>9311</v>
      </c>
      <c r="AF373" t="s">
        <v>4714</v>
      </c>
      <c r="AG373" t="s">
        <v>10933</v>
      </c>
      <c r="AI373" t="s">
        <v>6955</v>
      </c>
      <c r="AJ373" s="424" t="str">
        <f t="shared" si="15"/>
        <v>251401</v>
      </c>
      <c r="AK373" s="28">
        <v>1</v>
      </c>
      <c r="AL373" s="28">
        <f t="shared" si="17"/>
        <v>1</v>
      </c>
      <c r="AM373" s="28" t="str">
        <f t="shared" si="16"/>
        <v>praca</v>
      </c>
    </row>
    <row r="374" spans="1:39" x14ac:dyDescent="0.25">
      <c r="A374" t="s">
        <v>10937</v>
      </c>
      <c r="B374" t="s">
        <v>10938</v>
      </c>
      <c r="C374" t="s">
        <v>10</v>
      </c>
      <c r="D374" s="27" t="s">
        <v>9835</v>
      </c>
      <c r="E374" t="s">
        <v>192</v>
      </c>
      <c r="F374" s="421">
        <v>1</v>
      </c>
      <c r="G374" t="s">
        <v>193</v>
      </c>
      <c r="H374" t="s">
        <v>194</v>
      </c>
      <c r="I374" t="s">
        <v>10529</v>
      </c>
      <c r="J374" t="s">
        <v>9302</v>
      </c>
      <c r="K374" t="s">
        <v>10939</v>
      </c>
      <c r="L374" t="s">
        <v>6295</v>
      </c>
      <c r="M374" t="s">
        <v>10519</v>
      </c>
      <c r="N374" t="s">
        <v>10045</v>
      </c>
      <c r="O374" t="s">
        <v>9369</v>
      </c>
      <c r="P374" t="s">
        <v>10940</v>
      </c>
      <c r="Q374" t="s">
        <v>10941</v>
      </c>
      <c r="S374" t="s">
        <v>9309</v>
      </c>
      <c r="U374" s="27" t="s">
        <v>484</v>
      </c>
      <c r="V374" t="s">
        <v>193</v>
      </c>
      <c r="W374" t="s">
        <v>9310</v>
      </c>
      <c r="Z374" t="s">
        <v>9311</v>
      </c>
      <c r="AF374" t="s">
        <v>4714</v>
      </c>
      <c r="AG374" t="s">
        <v>10938</v>
      </c>
      <c r="AI374" t="s">
        <v>6955</v>
      </c>
      <c r="AJ374" s="424" t="str">
        <f t="shared" si="15"/>
        <v>251401</v>
      </c>
      <c r="AK374" s="28">
        <v>1</v>
      </c>
      <c r="AL374" s="28">
        <f t="shared" si="17"/>
        <v>1</v>
      </c>
      <c r="AM374" s="28" t="str">
        <f t="shared" si="16"/>
        <v>pracuj.pl</v>
      </c>
    </row>
    <row r="375" spans="1:39" x14ac:dyDescent="0.25">
      <c r="A375" t="s">
        <v>10937</v>
      </c>
      <c r="B375" t="s">
        <v>10942</v>
      </c>
      <c r="C375" t="s">
        <v>10</v>
      </c>
      <c r="D375" s="27" t="s">
        <v>9835</v>
      </c>
      <c r="E375" t="s">
        <v>192</v>
      </c>
      <c r="F375" s="421">
        <v>1</v>
      </c>
      <c r="G375" t="s">
        <v>193</v>
      </c>
      <c r="H375" t="s">
        <v>194</v>
      </c>
      <c r="I375" t="s">
        <v>9369</v>
      </c>
      <c r="J375" t="s">
        <v>9302</v>
      </c>
      <c r="K375" t="s">
        <v>10943</v>
      </c>
      <c r="L375" t="s">
        <v>6261</v>
      </c>
      <c r="M375" t="s">
        <v>10519</v>
      </c>
      <c r="N375" t="s">
        <v>10045</v>
      </c>
      <c r="O375" t="s">
        <v>9369</v>
      </c>
      <c r="P375" t="s">
        <v>10944</v>
      </c>
      <c r="Q375" t="s">
        <v>10945</v>
      </c>
      <c r="S375" t="s">
        <v>9309</v>
      </c>
      <c r="U375" s="27" t="s">
        <v>484</v>
      </c>
      <c r="V375" t="s">
        <v>193</v>
      </c>
      <c r="W375" t="s">
        <v>9310</v>
      </c>
      <c r="Z375" t="s">
        <v>9311</v>
      </c>
      <c r="AF375" t="s">
        <v>4714</v>
      </c>
      <c r="AG375" t="s">
        <v>10942</v>
      </c>
      <c r="AI375" t="s">
        <v>6955</v>
      </c>
      <c r="AJ375" s="424" t="str">
        <f t="shared" si="15"/>
        <v>251401</v>
      </c>
      <c r="AK375" s="28">
        <v>1</v>
      </c>
      <c r="AL375" s="28">
        <f t="shared" si="17"/>
        <v>1</v>
      </c>
      <c r="AM375" s="28" t="str">
        <f t="shared" si="16"/>
        <v>pracuj.pl</v>
      </c>
    </row>
    <row r="376" spans="1:39" x14ac:dyDescent="0.25">
      <c r="A376" t="s">
        <v>10965</v>
      </c>
      <c r="B376" t="s">
        <v>10966</v>
      </c>
      <c r="C376" t="s">
        <v>10</v>
      </c>
      <c r="D376" s="27" t="s">
        <v>9835</v>
      </c>
      <c r="E376" t="s">
        <v>192</v>
      </c>
      <c r="F376" s="421">
        <v>1</v>
      </c>
      <c r="G376" t="s">
        <v>193</v>
      </c>
      <c r="H376" t="s">
        <v>194</v>
      </c>
      <c r="I376" t="s">
        <v>9491</v>
      </c>
      <c r="J376" t="s">
        <v>9302</v>
      </c>
      <c r="K376" t="s">
        <v>10967</v>
      </c>
      <c r="L376" t="s">
        <v>6921</v>
      </c>
      <c r="M376" t="s">
        <v>10519</v>
      </c>
      <c r="N376" t="s">
        <v>10045</v>
      </c>
      <c r="O376" t="s">
        <v>9369</v>
      </c>
      <c r="P376" t="s">
        <v>10968</v>
      </c>
      <c r="Q376" t="s">
        <v>10969</v>
      </c>
      <c r="S376" t="s">
        <v>9309</v>
      </c>
      <c r="U376" s="27" t="s">
        <v>484</v>
      </c>
      <c r="V376" t="s">
        <v>193</v>
      </c>
      <c r="W376" t="s">
        <v>9310</v>
      </c>
      <c r="Z376" t="s">
        <v>9311</v>
      </c>
      <c r="AF376" t="s">
        <v>4714</v>
      </c>
      <c r="AG376" t="s">
        <v>10966</v>
      </c>
      <c r="AI376" t="s">
        <v>6955</v>
      </c>
      <c r="AJ376" s="424" t="str">
        <f t="shared" si="15"/>
        <v>251401</v>
      </c>
      <c r="AK376" s="28">
        <v>1</v>
      </c>
      <c r="AL376" s="28">
        <f t="shared" si="17"/>
        <v>1</v>
      </c>
      <c r="AM376" s="28" t="str">
        <f t="shared" si="16"/>
        <v>pracuj.pl</v>
      </c>
    </row>
    <row r="377" spans="1:39" x14ac:dyDescent="0.25">
      <c r="A377" t="s">
        <v>10965</v>
      </c>
      <c r="B377" t="s">
        <v>10970</v>
      </c>
      <c r="C377" t="s">
        <v>10</v>
      </c>
      <c r="D377" s="27" t="s">
        <v>9835</v>
      </c>
      <c r="E377" t="s">
        <v>192</v>
      </c>
      <c r="F377" s="421">
        <v>1</v>
      </c>
      <c r="G377" t="s">
        <v>193</v>
      </c>
      <c r="H377" t="s">
        <v>194</v>
      </c>
      <c r="I377" t="s">
        <v>9491</v>
      </c>
      <c r="J377" t="s">
        <v>9302</v>
      </c>
      <c r="K377" t="s">
        <v>10971</v>
      </c>
      <c r="L377" t="s">
        <v>6295</v>
      </c>
      <c r="M377" t="s">
        <v>10519</v>
      </c>
      <c r="N377" t="s">
        <v>10045</v>
      </c>
      <c r="O377" t="s">
        <v>9369</v>
      </c>
      <c r="P377" t="s">
        <v>10972</v>
      </c>
      <c r="Q377" t="s">
        <v>10973</v>
      </c>
      <c r="S377" t="s">
        <v>9309</v>
      </c>
      <c r="U377" s="27" t="s">
        <v>484</v>
      </c>
      <c r="V377" t="s">
        <v>193</v>
      </c>
      <c r="W377" t="s">
        <v>9310</v>
      </c>
      <c r="Z377" t="s">
        <v>9311</v>
      </c>
      <c r="AF377" t="s">
        <v>4714</v>
      </c>
      <c r="AG377" t="s">
        <v>10970</v>
      </c>
      <c r="AI377" t="s">
        <v>6955</v>
      </c>
      <c r="AJ377" s="424" t="str">
        <f t="shared" si="15"/>
        <v>251401</v>
      </c>
      <c r="AK377" s="28">
        <v>1</v>
      </c>
      <c r="AL377" s="28">
        <f t="shared" si="17"/>
        <v>1</v>
      </c>
      <c r="AM377" s="28" t="str">
        <f t="shared" si="16"/>
        <v>pracuj.pl</v>
      </c>
    </row>
    <row r="378" spans="1:39" x14ac:dyDescent="0.25">
      <c r="A378" t="s">
        <v>10965</v>
      </c>
      <c r="B378" t="s">
        <v>10974</v>
      </c>
      <c r="C378" t="s">
        <v>10</v>
      </c>
      <c r="D378" s="27" t="s">
        <v>9835</v>
      </c>
      <c r="E378" t="s">
        <v>192</v>
      </c>
      <c r="F378" s="421">
        <v>1</v>
      </c>
      <c r="G378" t="s">
        <v>193</v>
      </c>
      <c r="H378" t="s">
        <v>194</v>
      </c>
      <c r="I378" t="s">
        <v>9491</v>
      </c>
      <c r="J378" t="s">
        <v>9302</v>
      </c>
      <c r="K378" t="s">
        <v>10975</v>
      </c>
      <c r="L378" t="s">
        <v>6261</v>
      </c>
      <c r="M378" t="s">
        <v>10519</v>
      </c>
      <c r="N378" t="s">
        <v>10045</v>
      </c>
      <c r="O378" t="s">
        <v>9369</v>
      </c>
      <c r="P378" t="s">
        <v>10976</v>
      </c>
      <c r="Q378" t="s">
        <v>10977</v>
      </c>
      <c r="S378" t="s">
        <v>9309</v>
      </c>
      <c r="U378" s="27" t="s">
        <v>484</v>
      </c>
      <c r="V378" t="s">
        <v>193</v>
      </c>
      <c r="W378" t="s">
        <v>9310</v>
      </c>
      <c r="Z378" t="s">
        <v>9311</v>
      </c>
      <c r="AF378" t="s">
        <v>4714</v>
      </c>
      <c r="AG378" t="s">
        <v>10974</v>
      </c>
      <c r="AI378" t="s">
        <v>6955</v>
      </c>
      <c r="AJ378" s="424" t="str">
        <f t="shared" si="15"/>
        <v>251401</v>
      </c>
      <c r="AK378" s="28">
        <v>1</v>
      </c>
      <c r="AL378" s="28">
        <f t="shared" si="17"/>
        <v>1</v>
      </c>
      <c r="AM378" s="28" t="str">
        <f t="shared" si="16"/>
        <v>pracuj.pl</v>
      </c>
    </row>
    <row r="379" spans="1:39" x14ac:dyDescent="0.25">
      <c r="A379" t="s">
        <v>1446</v>
      </c>
      <c r="B379" t="s">
        <v>11044</v>
      </c>
      <c r="C379" t="s">
        <v>10</v>
      </c>
      <c r="D379" s="27" t="s">
        <v>9835</v>
      </c>
      <c r="E379" t="s">
        <v>192</v>
      </c>
      <c r="F379" s="421">
        <v>1</v>
      </c>
      <c r="G379" t="s">
        <v>193</v>
      </c>
      <c r="H379" t="s">
        <v>194</v>
      </c>
      <c r="I379" t="s">
        <v>9491</v>
      </c>
      <c r="J379" t="s">
        <v>210</v>
      </c>
      <c r="K379" t="s">
        <v>11045</v>
      </c>
      <c r="L379" t="s">
        <v>6921</v>
      </c>
      <c r="M379" t="s">
        <v>10519</v>
      </c>
      <c r="N379" t="s">
        <v>10045</v>
      </c>
      <c r="O379" t="s">
        <v>9369</v>
      </c>
      <c r="P379" t="s">
        <v>11046</v>
      </c>
      <c r="Q379" t="s">
        <v>11047</v>
      </c>
      <c r="S379" t="s">
        <v>9309</v>
      </c>
      <c r="T379" s="28" t="s">
        <v>9334</v>
      </c>
      <c r="U379" s="27" t="s">
        <v>484</v>
      </c>
      <c r="V379" t="s">
        <v>194</v>
      </c>
      <c r="W379" t="s">
        <v>9300</v>
      </c>
      <c r="Z379" t="s">
        <v>9311</v>
      </c>
      <c r="AF379" t="s">
        <v>4714</v>
      </c>
      <c r="AG379" t="s">
        <v>11044</v>
      </c>
      <c r="AI379" t="s">
        <v>6955</v>
      </c>
      <c r="AJ379" s="424" t="str">
        <f t="shared" si="15"/>
        <v>251401</v>
      </c>
      <c r="AK379" s="28">
        <v>1</v>
      </c>
      <c r="AL379" s="28">
        <f t="shared" si="17"/>
        <v>1</v>
      </c>
      <c r="AM379" s="28" t="str">
        <f t="shared" si="16"/>
        <v>pracuj.pl</v>
      </c>
    </row>
    <row r="380" spans="1:39" x14ac:dyDescent="0.25">
      <c r="A380" t="s">
        <v>11061</v>
      </c>
      <c r="B380" t="s">
        <v>11062</v>
      </c>
      <c r="C380" t="s">
        <v>10</v>
      </c>
      <c r="D380" s="27" t="s">
        <v>9835</v>
      </c>
      <c r="E380" t="s">
        <v>192</v>
      </c>
      <c r="F380" s="421">
        <v>1</v>
      </c>
      <c r="G380" t="s">
        <v>193</v>
      </c>
      <c r="H380" t="s">
        <v>194</v>
      </c>
      <c r="I380" t="s">
        <v>10562</v>
      </c>
      <c r="J380" t="s">
        <v>9302</v>
      </c>
      <c r="K380" t="s">
        <v>11063</v>
      </c>
      <c r="L380" t="s">
        <v>6340</v>
      </c>
      <c r="M380" t="s">
        <v>11064</v>
      </c>
      <c r="N380" t="s">
        <v>4849</v>
      </c>
      <c r="O380" t="s">
        <v>7703</v>
      </c>
      <c r="P380" t="s">
        <v>11065</v>
      </c>
      <c r="Q380" t="s">
        <v>11066</v>
      </c>
      <c r="S380" t="s">
        <v>9309</v>
      </c>
      <c r="U380" s="27" t="s">
        <v>484</v>
      </c>
      <c r="V380" t="s">
        <v>193</v>
      </c>
      <c r="W380" t="s">
        <v>9310</v>
      </c>
      <c r="Z380" t="s">
        <v>9311</v>
      </c>
      <c r="AF380" t="s">
        <v>4714</v>
      </c>
      <c r="AG380" t="s">
        <v>11062</v>
      </c>
      <c r="AI380" t="s">
        <v>6955</v>
      </c>
      <c r="AJ380" s="424" t="str">
        <f t="shared" si="15"/>
        <v>251401</v>
      </c>
      <c r="AK380" s="28">
        <v>1</v>
      </c>
      <c r="AL380" s="28">
        <f t="shared" si="17"/>
        <v>1</v>
      </c>
      <c r="AM380" s="28" t="str">
        <f t="shared" si="16"/>
        <v>pracuj.pl</v>
      </c>
    </row>
    <row r="381" spans="1:39" x14ac:dyDescent="0.25">
      <c r="A381" t="s">
        <v>9900</v>
      </c>
      <c r="B381" t="s">
        <v>8932</v>
      </c>
      <c r="C381" t="s">
        <v>10</v>
      </c>
      <c r="D381" s="27" t="s">
        <v>9835</v>
      </c>
      <c r="E381" t="s">
        <v>233</v>
      </c>
      <c r="F381" s="421">
        <v>1</v>
      </c>
      <c r="G381" t="s">
        <v>193</v>
      </c>
      <c r="H381" t="s">
        <v>194</v>
      </c>
      <c r="I381" t="s">
        <v>9318</v>
      </c>
      <c r="J381" t="s">
        <v>9302</v>
      </c>
      <c r="K381" t="s">
        <v>11070</v>
      </c>
      <c r="L381" t="s">
        <v>6261</v>
      </c>
      <c r="M381" t="s">
        <v>10539</v>
      </c>
      <c r="N381" t="s">
        <v>9588</v>
      </c>
      <c r="O381" t="s">
        <v>9318</v>
      </c>
      <c r="P381" t="s">
        <v>11071</v>
      </c>
      <c r="Q381" t="s">
        <v>11072</v>
      </c>
      <c r="S381" t="s">
        <v>9309</v>
      </c>
      <c r="U381" s="27" t="s">
        <v>484</v>
      </c>
      <c r="V381" t="s">
        <v>193</v>
      </c>
      <c r="W381" t="s">
        <v>9310</v>
      </c>
      <c r="Z381" t="s">
        <v>9311</v>
      </c>
      <c r="AF381" t="s">
        <v>4714</v>
      </c>
      <c r="AG381" t="s">
        <v>8932</v>
      </c>
      <c r="AI381" t="s">
        <v>6955</v>
      </c>
      <c r="AJ381" s="424" t="str">
        <f t="shared" si="15"/>
        <v>251401</v>
      </c>
      <c r="AK381" s="28">
        <v>1</v>
      </c>
      <c r="AL381" s="28">
        <f t="shared" si="17"/>
        <v>1</v>
      </c>
      <c r="AM381" s="28" t="str">
        <f t="shared" si="16"/>
        <v>praca</v>
      </c>
    </row>
    <row r="382" spans="1:39" x14ac:dyDescent="0.25">
      <c r="A382" t="s">
        <v>9927</v>
      </c>
      <c r="B382" t="s">
        <v>8932</v>
      </c>
      <c r="C382" t="s">
        <v>10</v>
      </c>
      <c r="D382" s="27" t="s">
        <v>9835</v>
      </c>
      <c r="E382" t="s">
        <v>217</v>
      </c>
      <c r="F382" s="421">
        <v>1</v>
      </c>
      <c r="G382" t="s">
        <v>193</v>
      </c>
      <c r="H382" t="s">
        <v>194</v>
      </c>
      <c r="I382" t="s">
        <v>9318</v>
      </c>
      <c r="J382" t="s">
        <v>210</v>
      </c>
      <c r="K382" t="s">
        <v>9933</v>
      </c>
      <c r="L382" t="s">
        <v>6261</v>
      </c>
      <c r="M382" t="s">
        <v>10618</v>
      </c>
      <c r="N382" t="s">
        <v>9929</v>
      </c>
      <c r="O382" t="s">
        <v>9930</v>
      </c>
      <c r="P382" t="s">
        <v>11093</v>
      </c>
      <c r="Q382" t="s">
        <v>11094</v>
      </c>
      <c r="S382" t="s">
        <v>9309</v>
      </c>
      <c r="T382" s="28" t="s">
        <v>9334</v>
      </c>
      <c r="U382" s="27" t="s">
        <v>484</v>
      </c>
      <c r="V382" t="s">
        <v>194</v>
      </c>
      <c r="W382" t="s">
        <v>9300</v>
      </c>
      <c r="Z382" t="s">
        <v>9311</v>
      </c>
      <c r="AF382" t="s">
        <v>4714</v>
      </c>
      <c r="AG382" t="s">
        <v>9433</v>
      </c>
      <c r="AI382" t="s">
        <v>6955</v>
      </c>
      <c r="AJ382" s="424" t="str">
        <f t="shared" si="15"/>
        <v>251401</v>
      </c>
      <c r="AK382" s="28">
        <v>1</v>
      </c>
      <c r="AL382" s="28">
        <f t="shared" si="17"/>
        <v>1</v>
      </c>
      <c r="AM382" s="28" t="str">
        <f t="shared" si="16"/>
        <v>agora</v>
      </c>
    </row>
    <row r="383" spans="1:39" x14ac:dyDescent="0.25">
      <c r="A383" t="s">
        <v>9927</v>
      </c>
      <c r="B383" t="s">
        <v>8932</v>
      </c>
      <c r="C383" t="s">
        <v>10</v>
      </c>
      <c r="D383" s="27" t="s">
        <v>9835</v>
      </c>
      <c r="E383" t="s">
        <v>217</v>
      </c>
      <c r="F383" s="421">
        <v>1</v>
      </c>
      <c r="G383" t="s">
        <v>193</v>
      </c>
      <c r="H383" t="s">
        <v>194</v>
      </c>
      <c r="I383" t="s">
        <v>9318</v>
      </c>
      <c r="J383" t="s">
        <v>4751</v>
      </c>
      <c r="K383" t="s">
        <v>9928</v>
      </c>
      <c r="L383" t="s">
        <v>6261</v>
      </c>
      <c r="M383" t="s">
        <v>10618</v>
      </c>
      <c r="N383" t="s">
        <v>9929</v>
      </c>
      <c r="O383" t="s">
        <v>9930</v>
      </c>
      <c r="P383" t="s">
        <v>11095</v>
      </c>
      <c r="Q383" t="s">
        <v>11096</v>
      </c>
      <c r="S383" t="s">
        <v>9309</v>
      </c>
      <c r="T383" s="28" t="s">
        <v>9472</v>
      </c>
      <c r="U383" s="27" t="s">
        <v>484</v>
      </c>
      <c r="V383" t="s">
        <v>194</v>
      </c>
      <c r="W383" t="s">
        <v>9300</v>
      </c>
      <c r="Z383" t="s">
        <v>9311</v>
      </c>
      <c r="AF383" t="s">
        <v>4714</v>
      </c>
      <c r="AG383" t="s">
        <v>9433</v>
      </c>
      <c r="AI383" t="s">
        <v>6955</v>
      </c>
      <c r="AJ383" s="424" t="str">
        <f t="shared" si="15"/>
        <v>251401</v>
      </c>
      <c r="AK383" s="28">
        <v>1</v>
      </c>
      <c r="AL383" s="28">
        <f t="shared" si="17"/>
        <v>1</v>
      </c>
      <c r="AM383" s="28" t="str">
        <f t="shared" si="16"/>
        <v>agora</v>
      </c>
    </row>
    <row r="384" spans="1:39" x14ac:dyDescent="0.25">
      <c r="A384" t="s">
        <v>9927</v>
      </c>
      <c r="B384" t="s">
        <v>9936</v>
      </c>
      <c r="C384" t="s">
        <v>10</v>
      </c>
      <c r="D384" s="27" t="s">
        <v>9835</v>
      </c>
      <c r="E384" t="s">
        <v>217</v>
      </c>
      <c r="F384" s="421">
        <v>1</v>
      </c>
      <c r="G384" t="s">
        <v>193</v>
      </c>
      <c r="H384" t="s">
        <v>194</v>
      </c>
      <c r="I384" t="s">
        <v>10546</v>
      </c>
      <c r="J384" t="s">
        <v>210</v>
      </c>
      <c r="K384" t="s">
        <v>9937</v>
      </c>
      <c r="L384" t="s">
        <v>6261</v>
      </c>
      <c r="M384" t="s">
        <v>10618</v>
      </c>
      <c r="N384" t="s">
        <v>9938</v>
      </c>
      <c r="O384" t="s">
        <v>9351</v>
      </c>
      <c r="P384" t="s">
        <v>11097</v>
      </c>
      <c r="Q384" t="s">
        <v>11098</v>
      </c>
      <c r="S384" t="s">
        <v>9309</v>
      </c>
      <c r="T384" s="28" t="s">
        <v>9334</v>
      </c>
      <c r="U384" s="27" t="s">
        <v>484</v>
      </c>
      <c r="V384" t="s">
        <v>194</v>
      </c>
      <c r="W384" t="s">
        <v>9300</v>
      </c>
      <c r="Z384" t="s">
        <v>9311</v>
      </c>
      <c r="AF384" t="s">
        <v>4714</v>
      </c>
      <c r="AG384" t="s">
        <v>9433</v>
      </c>
      <c r="AI384" t="s">
        <v>6955</v>
      </c>
      <c r="AJ384" s="424" t="str">
        <f t="shared" si="15"/>
        <v>251401</v>
      </c>
      <c r="AK384" s="28">
        <v>1</v>
      </c>
      <c r="AL384" s="28">
        <f t="shared" si="17"/>
        <v>1</v>
      </c>
      <c r="AM384" s="28" t="str">
        <f t="shared" si="16"/>
        <v>agora</v>
      </c>
    </row>
    <row r="385" spans="1:39" x14ac:dyDescent="0.25">
      <c r="A385" t="s">
        <v>10875</v>
      </c>
      <c r="B385" t="s">
        <v>10876</v>
      </c>
      <c r="C385" t="s">
        <v>74</v>
      </c>
      <c r="D385" s="27" t="s">
        <v>9835</v>
      </c>
      <c r="E385" t="s">
        <v>192</v>
      </c>
      <c r="F385" s="421">
        <v>1</v>
      </c>
      <c r="G385" t="s">
        <v>193</v>
      </c>
      <c r="H385" t="s">
        <v>194</v>
      </c>
      <c r="I385" t="s">
        <v>9343</v>
      </c>
      <c r="J385" t="s">
        <v>210</v>
      </c>
      <c r="K385" t="s">
        <v>10877</v>
      </c>
      <c r="L385" t="s">
        <v>6275</v>
      </c>
      <c r="M385" t="s">
        <v>10519</v>
      </c>
      <c r="N385" t="s">
        <v>10045</v>
      </c>
      <c r="O385" t="s">
        <v>9369</v>
      </c>
      <c r="P385" t="s">
        <v>10878</v>
      </c>
      <c r="Q385" t="s">
        <v>10879</v>
      </c>
      <c r="S385" t="s">
        <v>9309</v>
      </c>
      <c r="T385" s="28" t="s">
        <v>9334</v>
      </c>
      <c r="U385" s="27" t="s">
        <v>246</v>
      </c>
      <c r="V385" t="s">
        <v>194</v>
      </c>
      <c r="W385" t="s">
        <v>9300</v>
      </c>
      <c r="Z385" t="s">
        <v>9311</v>
      </c>
      <c r="AF385" t="s">
        <v>4714</v>
      </c>
      <c r="AG385" t="s">
        <v>10876</v>
      </c>
      <c r="AI385" t="s">
        <v>6955</v>
      </c>
      <c r="AJ385" s="424" t="str">
        <f t="shared" si="15"/>
        <v>142004</v>
      </c>
      <c r="AK385" s="28">
        <v>1</v>
      </c>
      <c r="AL385" s="28">
        <f t="shared" si="17"/>
        <v>1</v>
      </c>
      <c r="AM385" s="28" t="str">
        <f t="shared" si="16"/>
        <v>pracuj.pl</v>
      </c>
    </row>
    <row r="386" spans="1:39" x14ac:dyDescent="0.25">
      <c r="A386" t="s">
        <v>1748</v>
      </c>
      <c r="B386" t="s">
        <v>10880</v>
      </c>
      <c r="C386" t="s">
        <v>66</v>
      </c>
      <c r="D386" s="27" t="s">
        <v>9835</v>
      </c>
      <c r="E386" t="s">
        <v>192</v>
      </c>
      <c r="F386" s="421">
        <v>1</v>
      </c>
      <c r="G386" t="s">
        <v>193</v>
      </c>
      <c r="H386" t="s">
        <v>194</v>
      </c>
      <c r="I386" t="s">
        <v>10529</v>
      </c>
      <c r="J386" t="s">
        <v>210</v>
      </c>
      <c r="K386" t="s">
        <v>10881</v>
      </c>
      <c r="L386" t="s">
        <v>7531</v>
      </c>
      <c r="M386" t="s">
        <v>10519</v>
      </c>
      <c r="N386" t="s">
        <v>10045</v>
      </c>
      <c r="O386" t="s">
        <v>9369</v>
      </c>
      <c r="P386" t="s">
        <v>10882</v>
      </c>
      <c r="Q386" t="s">
        <v>10883</v>
      </c>
      <c r="S386" t="s">
        <v>9309</v>
      </c>
      <c r="T386" s="28" t="s">
        <v>9334</v>
      </c>
      <c r="U386" s="27" t="s">
        <v>1503</v>
      </c>
      <c r="V386" t="s">
        <v>194</v>
      </c>
      <c r="W386" t="s">
        <v>9300</v>
      </c>
      <c r="Z386" t="s">
        <v>9311</v>
      </c>
      <c r="AF386" t="s">
        <v>4714</v>
      </c>
      <c r="AG386" t="s">
        <v>10880</v>
      </c>
      <c r="AI386" t="s">
        <v>6955</v>
      </c>
      <c r="AJ386" s="424" t="str">
        <f t="shared" ref="AJ386:AJ449" si="18">MID(U386,8,6)</f>
        <v>241107</v>
      </c>
      <c r="AK386" s="28">
        <v>1</v>
      </c>
      <c r="AL386" s="28">
        <f t="shared" si="17"/>
        <v>1</v>
      </c>
      <c r="AM386" s="28" t="str">
        <f t="shared" ref="AM386:AM449" si="19">T(E386)</f>
        <v>pracuj.pl</v>
      </c>
    </row>
    <row r="387" spans="1:39" x14ac:dyDescent="0.25">
      <c r="A387" t="s">
        <v>9746</v>
      </c>
      <c r="B387" t="s">
        <v>9747</v>
      </c>
      <c r="C387" t="s">
        <v>5312</v>
      </c>
      <c r="D387" s="27" t="s">
        <v>9835</v>
      </c>
      <c r="E387" t="s">
        <v>217</v>
      </c>
      <c r="F387" s="421">
        <v>1</v>
      </c>
      <c r="G387" t="s">
        <v>193</v>
      </c>
      <c r="H387" t="s">
        <v>194</v>
      </c>
      <c r="I387" t="s">
        <v>9343</v>
      </c>
      <c r="J387" t="s">
        <v>305</v>
      </c>
      <c r="K387" t="s">
        <v>9748</v>
      </c>
      <c r="L387" t="s">
        <v>6269</v>
      </c>
      <c r="M387" t="s">
        <v>10618</v>
      </c>
      <c r="N387" t="s">
        <v>9749</v>
      </c>
      <c r="O387" t="s">
        <v>9750</v>
      </c>
      <c r="P387" t="s">
        <v>10884</v>
      </c>
      <c r="Q387" t="s">
        <v>10885</v>
      </c>
      <c r="S387" t="s">
        <v>9309</v>
      </c>
      <c r="T387" s="28" t="s">
        <v>9753</v>
      </c>
      <c r="U387" s="27" t="s">
        <v>5313</v>
      </c>
      <c r="V387" t="s">
        <v>194</v>
      </c>
      <c r="W387" t="s">
        <v>9300</v>
      </c>
      <c r="Z387" t="s">
        <v>9311</v>
      </c>
      <c r="AF387" t="s">
        <v>4714</v>
      </c>
      <c r="AG387" t="s">
        <v>9433</v>
      </c>
      <c r="AI387" t="s">
        <v>6955</v>
      </c>
      <c r="AJ387" s="424" t="str">
        <f t="shared" si="18"/>
        <v>221101</v>
      </c>
      <c r="AK387" s="28">
        <v>1</v>
      </c>
      <c r="AL387" s="28">
        <f t="shared" ref="AL387:AL450" si="20">SUM(F387)</f>
        <v>1</v>
      </c>
      <c r="AM387" s="28" t="str">
        <f t="shared" si="19"/>
        <v>agora</v>
      </c>
    </row>
    <row r="388" spans="1:39" x14ac:dyDescent="0.25">
      <c r="A388" t="s">
        <v>10886</v>
      </c>
      <c r="B388" t="s">
        <v>1606</v>
      </c>
      <c r="C388" t="s">
        <v>22</v>
      </c>
      <c r="D388" s="27" t="s">
        <v>9835</v>
      </c>
      <c r="E388" t="s">
        <v>192</v>
      </c>
      <c r="F388" s="421">
        <v>1</v>
      </c>
      <c r="G388" t="s">
        <v>193</v>
      </c>
      <c r="H388" t="s">
        <v>194</v>
      </c>
      <c r="I388" t="s">
        <v>9343</v>
      </c>
      <c r="J388" t="s">
        <v>276</v>
      </c>
      <c r="K388" t="s">
        <v>10887</v>
      </c>
      <c r="L388" t="s">
        <v>6288</v>
      </c>
      <c r="M388" t="s">
        <v>10519</v>
      </c>
      <c r="N388" t="s">
        <v>10045</v>
      </c>
      <c r="O388" t="s">
        <v>9369</v>
      </c>
      <c r="P388" t="s">
        <v>10888</v>
      </c>
      <c r="Q388" t="s">
        <v>10889</v>
      </c>
      <c r="S388" t="s">
        <v>9309</v>
      </c>
      <c r="T388" s="28" t="s">
        <v>9786</v>
      </c>
      <c r="U388" s="27" t="s">
        <v>1608</v>
      </c>
      <c r="V388" t="s">
        <v>194</v>
      </c>
      <c r="W388" t="s">
        <v>9300</v>
      </c>
      <c r="Z388" t="s">
        <v>9311</v>
      </c>
      <c r="AF388" t="s">
        <v>4714</v>
      </c>
      <c r="AG388" t="s">
        <v>1606</v>
      </c>
      <c r="AI388" t="s">
        <v>6955</v>
      </c>
      <c r="AJ388" s="424" t="str">
        <f t="shared" si="18"/>
        <v>228101</v>
      </c>
      <c r="AK388" s="28">
        <v>1</v>
      </c>
      <c r="AL388" s="28">
        <f t="shared" si="20"/>
        <v>1</v>
      </c>
      <c r="AM388" s="28" t="str">
        <f t="shared" si="19"/>
        <v>pracuj.pl</v>
      </c>
    </row>
    <row r="389" spans="1:39" x14ac:dyDescent="0.25">
      <c r="A389" t="s">
        <v>10886</v>
      </c>
      <c r="B389" t="s">
        <v>1606</v>
      </c>
      <c r="C389" t="s">
        <v>22</v>
      </c>
      <c r="D389" s="27" t="s">
        <v>9835</v>
      </c>
      <c r="E389" t="s">
        <v>192</v>
      </c>
      <c r="F389" s="421">
        <v>1</v>
      </c>
      <c r="G389" t="s">
        <v>193</v>
      </c>
      <c r="H389" t="s">
        <v>194</v>
      </c>
      <c r="I389" t="s">
        <v>9343</v>
      </c>
      <c r="J389" t="s">
        <v>253</v>
      </c>
      <c r="K389" t="s">
        <v>10890</v>
      </c>
      <c r="L389" t="s">
        <v>6288</v>
      </c>
      <c r="M389" t="s">
        <v>10519</v>
      </c>
      <c r="N389" t="s">
        <v>10045</v>
      </c>
      <c r="O389" t="s">
        <v>9369</v>
      </c>
      <c r="P389" t="s">
        <v>10891</v>
      </c>
      <c r="Q389" t="s">
        <v>10892</v>
      </c>
      <c r="S389" t="s">
        <v>9309</v>
      </c>
      <c r="T389" s="28" t="s">
        <v>9468</v>
      </c>
      <c r="U389" s="27" t="s">
        <v>1608</v>
      </c>
      <c r="V389" t="s">
        <v>194</v>
      </c>
      <c r="W389" t="s">
        <v>9300</v>
      </c>
      <c r="Z389" t="s">
        <v>9311</v>
      </c>
      <c r="AF389" t="s">
        <v>4714</v>
      </c>
      <c r="AG389" t="s">
        <v>1606</v>
      </c>
      <c r="AI389" t="s">
        <v>6955</v>
      </c>
      <c r="AJ389" s="424" t="str">
        <f t="shared" si="18"/>
        <v>228101</v>
      </c>
      <c r="AK389" s="28">
        <v>1</v>
      </c>
      <c r="AL389" s="28">
        <f t="shared" si="20"/>
        <v>1</v>
      </c>
      <c r="AM389" s="28" t="str">
        <f t="shared" si="19"/>
        <v>pracuj.pl</v>
      </c>
    </row>
    <row r="390" spans="1:39" x14ac:dyDescent="0.25">
      <c r="A390" t="s">
        <v>10886</v>
      </c>
      <c r="B390" t="s">
        <v>1606</v>
      </c>
      <c r="C390" t="s">
        <v>22</v>
      </c>
      <c r="D390" s="27" t="s">
        <v>9835</v>
      </c>
      <c r="E390" t="s">
        <v>192</v>
      </c>
      <c r="F390" s="421">
        <v>1</v>
      </c>
      <c r="G390" t="s">
        <v>193</v>
      </c>
      <c r="H390" t="s">
        <v>194</v>
      </c>
      <c r="I390" t="s">
        <v>9343</v>
      </c>
      <c r="J390" t="s">
        <v>4751</v>
      </c>
      <c r="K390" t="s">
        <v>10893</v>
      </c>
      <c r="L390" t="s">
        <v>6288</v>
      </c>
      <c r="M390" t="s">
        <v>10519</v>
      </c>
      <c r="N390" t="s">
        <v>10045</v>
      </c>
      <c r="O390" t="s">
        <v>9369</v>
      </c>
      <c r="P390" t="s">
        <v>10894</v>
      </c>
      <c r="Q390" t="s">
        <v>10895</v>
      </c>
      <c r="S390" t="s">
        <v>9309</v>
      </c>
      <c r="T390" s="28" t="s">
        <v>9472</v>
      </c>
      <c r="U390" s="27" t="s">
        <v>1608</v>
      </c>
      <c r="V390" t="s">
        <v>194</v>
      </c>
      <c r="W390" t="s">
        <v>9300</v>
      </c>
      <c r="Z390" t="s">
        <v>9311</v>
      </c>
      <c r="AF390" t="s">
        <v>4714</v>
      </c>
      <c r="AG390" t="s">
        <v>1606</v>
      </c>
      <c r="AI390" t="s">
        <v>6955</v>
      </c>
      <c r="AJ390" s="424" t="str">
        <f t="shared" si="18"/>
        <v>228101</v>
      </c>
      <c r="AK390" s="28">
        <v>1</v>
      </c>
      <c r="AL390" s="28">
        <f t="shared" si="20"/>
        <v>1</v>
      </c>
      <c r="AM390" s="28" t="str">
        <f t="shared" si="19"/>
        <v>pracuj.pl</v>
      </c>
    </row>
    <row r="391" spans="1:39" x14ac:dyDescent="0.25">
      <c r="A391" t="s">
        <v>10886</v>
      </c>
      <c r="B391" t="s">
        <v>1606</v>
      </c>
      <c r="C391" t="s">
        <v>22</v>
      </c>
      <c r="D391" s="27" t="s">
        <v>9835</v>
      </c>
      <c r="E391" t="s">
        <v>192</v>
      </c>
      <c r="F391" s="421">
        <v>1</v>
      </c>
      <c r="G391" t="s">
        <v>193</v>
      </c>
      <c r="H391" t="s">
        <v>194</v>
      </c>
      <c r="I391" t="s">
        <v>9343</v>
      </c>
      <c r="J391" t="s">
        <v>285</v>
      </c>
      <c r="K391" t="s">
        <v>10896</v>
      </c>
      <c r="L391" t="s">
        <v>6288</v>
      </c>
      <c r="M391" t="s">
        <v>10519</v>
      </c>
      <c r="N391" t="s">
        <v>10045</v>
      </c>
      <c r="O391" t="s">
        <v>9369</v>
      </c>
      <c r="P391" t="s">
        <v>10897</v>
      </c>
      <c r="Q391" t="s">
        <v>10898</v>
      </c>
      <c r="S391" t="s">
        <v>9309</v>
      </c>
      <c r="T391" s="28" t="s">
        <v>9518</v>
      </c>
      <c r="U391" s="27" t="s">
        <v>1608</v>
      </c>
      <c r="V391" t="s">
        <v>194</v>
      </c>
      <c r="W391" t="s">
        <v>9300</v>
      </c>
      <c r="Z391" t="s">
        <v>9311</v>
      </c>
      <c r="AF391" t="s">
        <v>4714</v>
      </c>
      <c r="AG391" t="s">
        <v>1606</v>
      </c>
      <c r="AI391" t="s">
        <v>6955</v>
      </c>
      <c r="AJ391" s="424" t="str">
        <f t="shared" si="18"/>
        <v>228101</v>
      </c>
      <c r="AK391" s="28">
        <v>1</v>
      </c>
      <c r="AL391" s="28">
        <f t="shared" si="20"/>
        <v>1</v>
      </c>
      <c r="AM391" s="28" t="str">
        <f t="shared" si="19"/>
        <v>pracuj.pl</v>
      </c>
    </row>
    <row r="392" spans="1:39" x14ac:dyDescent="0.25">
      <c r="A392" t="s">
        <v>10886</v>
      </c>
      <c r="B392" t="s">
        <v>1606</v>
      </c>
      <c r="C392" t="s">
        <v>22</v>
      </c>
      <c r="D392" s="27" t="s">
        <v>9835</v>
      </c>
      <c r="E392" t="s">
        <v>192</v>
      </c>
      <c r="F392" s="421">
        <v>1</v>
      </c>
      <c r="G392" t="s">
        <v>193</v>
      </c>
      <c r="H392" t="s">
        <v>194</v>
      </c>
      <c r="I392" t="s">
        <v>9343</v>
      </c>
      <c r="J392" t="s">
        <v>747</v>
      </c>
      <c r="K392" t="s">
        <v>10899</v>
      </c>
      <c r="L392" t="s">
        <v>6288</v>
      </c>
      <c r="M392" t="s">
        <v>10519</v>
      </c>
      <c r="N392" t="s">
        <v>10045</v>
      </c>
      <c r="O392" t="s">
        <v>9369</v>
      </c>
      <c r="P392" t="s">
        <v>10900</v>
      </c>
      <c r="Q392" t="s">
        <v>10901</v>
      </c>
      <c r="S392" t="s">
        <v>9309</v>
      </c>
      <c r="T392" s="28" t="s">
        <v>10397</v>
      </c>
      <c r="U392" s="27" t="s">
        <v>1608</v>
      </c>
      <c r="V392" t="s">
        <v>194</v>
      </c>
      <c r="W392" t="s">
        <v>9300</v>
      </c>
      <c r="Z392" t="s">
        <v>9311</v>
      </c>
      <c r="AF392" t="s">
        <v>4714</v>
      </c>
      <c r="AG392" t="s">
        <v>1606</v>
      </c>
      <c r="AI392" t="s">
        <v>6955</v>
      </c>
      <c r="AJ392" s="424" t="str">
        <f t="shared" si="18"/>
        <v>228101</v>
      </c>
      <c r="AK392" s="28">
        <v>1</v>
      </c>
      <c r="AL392" s="28">
        <f t="shared" si="20"/>
        <v>1</v>
      </c>
      <c r="AM392" s="28" t="str">
        <f t="shared" si="19"/>
        <v>pracuj.pl</v>
      </c>
    </row>
    <row r="393" spans="1:39" x14ac:dyDescent="0.25">
      <c r="A393" t="s">
        <v>10902</v>
      </c>
      <c r="B393" t="s">
        <v>8</v>
      </c>
      <c r="C393" t="s">
        <v>740</v>
      </c>
      <c r="D393" s="27" t="s">
        <v>9835</v>
      </c>
      <c r="E393" t="s">
        <v>192</v>
      </c>
      <c r="F393" s="421">
        <v>1</v>
      </c>
      <c r="G393" t="s">
        <v>193</v>
      </c>
      <c r="H393" t="s">
        <v>194</v>
      </c>
      <c r="I393" t="s">
        <v>9461</v>
      </c>
      <c r="J393" t="s">
        <v>9302</v>
      </c>
      <c r="K393" t="s">
        <v>10903</v>
      </c>
      <c r="L393" t="s">
        <v>6254</v>
      </c>
      <c r="M393" t="s">
        <v>10519</v>
      </c>
      <c r="N393" t="s">
        <v>10045</v>
      </c>
      <c r="O393" t="s">
        <v>9369</v>
      </c>
      <c r="P393" t="s">
        <v>10904</v>
      </c>
      <c r="Q393" t="s">
        <v>10905</v>
      </c>
      <c r="S393" t="s">
        <v>9309</v>
      </c>
      <c r="U393" s="27" t="s">
        <v>741</v>
      </c>
      <c r="V393" t="s">
        <v>193</v>
      </c>
      <c r="W393" t="s">
        <v>9310</v>
      </c>
      <c r="Z393" t="s">
        <v>9311</v>
      </c>
      <c r="AF393" t="s">
        <v>4714</v>
      </c>
      <c r="AG393" t="s">
        <v>8</v>
      </c>
      <c r="AI393" t="s">
        <v>6955</v>
      </c>
      <c r="AJ393" s="424" t="str">
        <f t="shared" si="18"/>
        <v>522301</v>
      </c>
      <c r="AK393" s="28">
        <v>1</v>
      </c>
      <c r="AL393" s="28">
        <f t="shared" si="20"/>
        <v>1</v>
      </c>
      <c r="AM393" s="28" t="str">
        <f t="shared" si="19"/>
        <v>pracuj.pl</v>
      </c>
    </row>
    <row r="394" spans="1:39" x14ac:dyDescent="0.25">
      <c r="A394" t="s">
        <v>10906</v>
      </c>
      <c r="B394" t="s">
        <v>10907</v>
      </c>
      <c r="C394" t="s">
        <v>554</v>
      </c>
      <c r="D394" s="27" t="s">
        <v>9835</v>
      </c>
      <c r="E394" t="s">
        <v>233</v>
      </c>
      <c r="F394" s="421">
        <v>1</v>
      </c>
      <c r="G394" t="s">
        <v>193</v>
      </c>
      <c r="H394" t="s">
        <v>194</v>
      </c>
      <c r="I394" t="s">
        <v>10562</v>
      </c>
      <c r="J394" t="s">
        <v>9302</v>
      </c>
      <c r="K394" t="s">
        <v>10908</v>
      </c>
      <c r="L394" t="s">
        <v>6245</v>
      </c>
      <c r="M394" t="s">
        <v>10539</v>
      </c>
      <c r="N394" t="s">
        <v>9588</v>
      </c>
      <c r="O394" t="s">
        <v>9318</v>
      </c>
      <c r="P394" t="s">
        <v>10909</v>
      </c>
      <c r="Q394" t="s">
        <v>10910</v>
      </c>
      <c r="S394" t="s">
        <v>9309</v>
      </c>
      <c r="U394" s="27" t="s">
        <v>555</v>
      </c>
      <c r="V394" t="s">
        <v>193</v>
      </c>
      <c r="W394" t="s">
        <v>9310</v>
      </c>
      <c r="Z394" t="s">
        <v>9311</v>
      </c>
      <c r="AF394" t="s">
        <v>4714</v>
      </c>
      <c r="AG394" t="s">
        <v>10907</v>
      </c>
      <c r="AI394" t="s">
        <v>6955</v>
      </c>
      <c r="AJ394" s="424" t="str">
        <f t="shared" si="18"/>
        <v>311303</v>
      </c>
      <c r="AK394" s="28">
        <v>1</v>
      </c>
      <c r="AL394" s="28">
        <f t="shared" si="20"/>
        <v>1</v>
      </c>
      <c r="AM394" s="28" t="str">
        <f t="shared" si="19"/>
        <v>praca</v>
      </c>
    </row>
    <row r="395" spans="1:39" x14ac:dyDescent="0.25">
      <c r="A395" t="s">
        <v>10911</v>
      </c>
      <c r="B395" t="s">
        <v>647</v>
      </c>
      <c r="C395" t="s">
        <v>17</v>
      </c>
      <c r="D395" s="27" t="s">
        <v>9835</v>
      </c>
      <c r="E395" t="s">
        <v>192</v>
      </c>
      <c r="F395" s="421">
        <v>1</v>
      </c>
      <c r="G395" t="s">
        <v>193</v>
      </c>
      <c r="H395" t="s">
        <v>194</v>
      </c>
      <c r="I395" t="s">
        <v>10529</v>
      </c>
      <c r="J395" t="s">
        <v>9302</v>
      </c>
      <c r="K395" t="s">
        <v>10912</v>
      </c>
      <c r="L395" t="s">
        <v>6245</v>
      </c>
      <c r="M395" t="s">
        <v>10519</v>
      </c>
      <c r="N395" t="s">
        <v>10045</v>
      </c>
      <c r="O395" t="s">
        <v>9369</v>
      </c>
      <c r="P395" t="s">
        <v>10913</v>
      </c>
      <c r="Q395" t="s">
        <v>10914</v>
      </c>
      <c r="S395" t="s">
        <v>9309</v>
      </c>
      <c r="U395" s="27" t="s">
        <v>624</v>
      </c>
      <c r="V395" t="s">
        <v>193</v>
      </c>
      <c r="W395" t="s">
        <v>9310</v>
      </c>
      <c r="Z395" t="s">
        <v>9311</v>
      </c>
      <c r="AF395" t="s">
        <v>4714</v>
      </c>
      <c r="AG395" t="s">
        <v>647</v>
      </c>
      <c r="AI395" t="s">
        <v>6955</v>
      </c>
      <c r="AJ395" s="424" t="str">
        <f t="shared" si="18"/>
        <v>332203</v>
      </c>
      <c r="AK395" s="28">
        <v>1</v>
      </c>
      <c r="AL395" s="28">
        <f t="shared" si="20"/>
        <v>1</v>
      </c>
      <c r="AM395" s="28" t="str">
        <f t="shared" si="19"/>
        <v>pracuj.pl</v>
      </c>
    </row>
    <row r="396" spans="1:39" x14ac:dyDescent="0.25">
      <c r="A396" t="s">
        <v>6557</v>
      </c>
      <c r="B396" t="s">
        <v>83</v>
      </c>
      <c r="C396" t="s">
        <v>83</v>
      </c>
      <c r="D396" s="27" t="s">
        <v>9835</v>
      </c>
      <c r="E396" t="s">
        <v>192</v>
      </c>
      <c r="F396" s="421">
        <v>1</v>
      </c>
      <c r="G396" t="s">
        <v>193</v>
      </c>
      <c r="H396" t="s">
        <v>194</v>
      </c>
      <c r="I396" t="s">
        <v>9461</v>
      </c>
      <c r="J396" t="s">
        <v>385</v>
      </c>
      <c r="K396" t="s">
        <v>10915</v>
      </c>
      <c r="L396" t="s">
        <v>6275</v>
      </c>
      <c r="M396" t="s">
        <v>10519</v>
      </c>
      <c r="N396" t="s">
        <v>10045</v>
      </c>
      <c r="O396" t="s">
        <v>9369</v>
      </c>
      <c r="P396" t="s">
        <v>10916</v>
      </c>
      <c r="Q396" t="s">
        <v>10917</v>
      </c>
      <c r="S396" t="s">
        <v>9309</v>
      </c>
      <c r="T396" s="28" t="s">
        <v>9410</v>
      </c>
      <c r="U396" s="27" t="s">
        <v>791</v>
      </c>
      <c r="V396" t="s">
        <v>194</v>
      </c>
      <c r="W396" t="s">
        <v>9300</v>
      </c>
      <c r="Z396" t="s">
        <v>9311</v>
      </c>
      <c r="AF396" t="s">
        <v>4714</v>
      </c>
      <c r="AG396" t="s">
        <v>83</v>
      </c>
      <c r="AI396" t="s">
        <v>6955</v>
      </c>
      <c r="AJ396" s="424" t="str">
        <f t="shared" si="18"/>
        <v>721204</v>
      </c>
      <c r="AK396" s="28">
        <v>1</v>
      </c>
      <c r="AL396" s="28">
        <f t="shared" si="20"/>
        <v>1</v>
      </c>
      <c r="AM396" s="28" t="str">
        <f t="shared" si="19"/>
        <v>pracuj.pl</v>
      </c>
    </row>
    <row r="397" spans="1:39" x14ac:dyDescent="0.25">
      <c r="A397" t="s">
        <v>10918</v>
      </c>
      <c r="B397" t="s">
        <v>10919</v>
      </c>
      <c r="C397" t="s">
        <v>17</v>
      </c>
      <c r="D397" s="27" t="s">
        <v>9835</v>
      </c>
      <c r="E397" t="s">
        <v>192</v>
      </c>
      <c r="F397" s="421">
        <v>1</v>
      </c>
      <c r="G397" t="s">
        <v>193</v>
      </c>
      <c r="H397" t="s">
        <v>194</v>
      </c>
      <c r="I397" t="s">
        <v>10529</v>
      </c>
      <c r="J397" t="s">
        <v>9302</v>
      </c>
      <c r="K397" t="s">
        <v>10920</v>
      </c>
      <c r="L397" t="s">
        <v>6245</v>
      </c>
      <c r="M397" t="s">
        <v>10519</v>
      </c>
      <c r="N397" t="s">
        <v>10045</v>
      </c>
      <c r="O397" t="s">
        <v>9369</v>
      </c>
      <c r="P397" t="s">
        <v>10921</v>
      </c>
      <c r="Q397" t="s">
        <v>10922</v>
      </c>
      <c r="S397" t="s">
        <v>9309</v>
      </c>
      <c r="U397" s="27" t="s">
        <v>624</v>
      </c>
      <c r="V397" t="s">
        <v>193</v>
      </c>
      <c r="W397" t="s">
        <v>9310</v>
      </c>
      <c r="Z397" t="s">
        <v>9311</v>
      </c>
      <c r="AF397" t="s">
        <v>4714</v>
      </c>
      <c r="AG397" t="s">
        <v>10919</v>
      </c>
      <c r="AI397" t="s">
        <v>6955</v>
      </c>
      <c r="AJ397" s="424" t="str">
        <f t="shared" si="18"/>
        <v>332203</v>
      </c>
      <c r="AK397" s="28">
        <v>1</v>
      </c>
      <c r="AL397" s="28">
        <f t="shared" si="20"/>
        <v>1</v>
      </c>
      <c r="AM397" s="28" t="str">
        <f t="shared" si="19"/>
        <v>pracuj.pl</v>
      </c>
    </row>
    <row r="398" spans="1:39" x14ac:dyDescent="0.25">
      <c r="A398" t="s">
        <v>7960</v>
      </c>
      <c r="B398" t="s">
        <v>10923</v>
      </c>
      <c r="C398" t="s">
        <v>740</v>
      </c>
      <c r="D398" s="27" t="s">
        <v>9835</v>
      </c>
      <c r="E398" t="s">
        <v>233</v>
      </c>
      <c r="F398" s="421">
        <v>1</v>
      </c>
      <c r="G398" t="s">
        <v>193</v>
      </c>
      <c r="H398" t="s">
        <v>194</v>
      </c>
      <c r="I398" t="s">
        <v>10529</v>
      </c>
      <c r="J398" t="s">
        <v>9302</v>
      </c>
      <c r="K398" t="s">
        <v>10924</v>
      </c>
      <c r="L398" t="s">
        <v>6302</v>
      </c>
      <c r="M398" t="s">
        <v>10539</v>
      </c>
      <c r="N398" t="s">
        <v>9588</v>
      </c>
      <c r="O398" t="s">
        <v>9537</v>
      </c>
      <c r="P398" t="s">
        <v>10925</v>
      </c>
      <c r="Q398" t="s">
        <v>10926</v>
      </c>
      <c r="S398" t="s">
        <v>9309</v>
      </c>
      <c r="U398" s="27" t="s">
        <v>741</v>
      </c>
      <c r="V398" t="s">
        <v>193</v>
      </c>
      <c r="W398" t="s">
        <v>9310</v>
      </c>
      <c r="Z398" t="s">
        <v>9311</v>
      </c>
      <c r="AF398" t="s">
        <v>4714</v>
      </c>
      <c r="AG398" t="s">
        <v>10923</v>
      </c>
      <c r="AI398" t="s">
        <v>6955</v>
      </c>
      <c r="AJ398" s="424" t="str">
        <f t="shared" si="18"/>
        <v>522301</v>
      </c>
      <c r="AK398" s="28">
        <v>1</v>
      </c>
      <c r="AL398" s="28">
        <f t="shared" si="20"/>
        <v>1</v>
      </c>
      <c r="AM398" s="28" t="str">
        <f t="shared" si="19"/>
        <v>praca</v>
      </c>
    </row>
    <row r="399" spans="1:39" x14ac:dyDescent="0.25">
      <c r="A399" t="s">
        <v>10927</v>
      </c>
      <c r="B399" t="s">
        <v>10928</v>
      </c>
      <c r="C399" t="s">
        <v>129</v>
      </c>
      <c r="D399" s="27" t="s">
        <v>9835</v>
      </c>
      <c r="E399" t="s">
        <v>192</v>
      </c>
      <c r="F399" s="421">
        <v>1</v>
      </c>
      <c r="G399" t="s">
        <v>193</v>
      </c>
      <c r="H399" t="s">
        <v>194</v>
      </c>
      <c r="I399" t="s">
        <v>10529</v>
      </c>
      <c r="J399" t="s">
        <v>210</v>
      </c>
      <c r="K399" t="s">
        <v>10929</v>
      </c>
      <c r="L399" t="s">
        <v>6327</v>
      </c>
      <c r="M399" t="s">
        <v>10519</v>
      </c>
      <c r="N399" t="s">
        <v>10045</v>
      </c>
      <c r="O399" t="s">
        <v>9369</v>
      </c>
      <c r="P399" t="s">
        <v>10930</v>
      </c>
      <c r="Q399" t="s">
        <v>10931</v>
      </c>
      <c r="S399" t="s">
        <v>9309</v>
      </c>
      <c r="T399" s="28" t="s">
        <v>9334</v>
      </c>
      <c r="U399" s="27" t="s">
        <v>203</v>
      </c>
      <c r="V399" t="s">
        <v>194</v>
      </c>
      <c r="W399" t="s">
        <v>9300</v>
      </c>
      <c r="Z399" t="s">
        <v>9311</v>
      </c>
      <c r="AF399" t="s">
        <v>4714</v>
      </c>
      <c r="AG399" t="s">
        <v>10928</v>
      </c>
      <c r="AI399" t="s">
        <v>6955</v>
      </c>
      <c r="AJ399" s="424" t="str">
        <f t="shared" si="18"/>
        <v>121904</v>
      </c>
      <c r="AK399" s="28">
        <v>1</v>
      </c>
      <c r="AL399" s="28">
        <f t="shared" si="20"/>
        <v>1</v>
      </c>
      <c r="AM399" s="28" t="str">
        <f t="shared" si="19"/>
        <v>pracuj.pl</v>
      </c>
    </row>
    <row r="400" spans="1:39" x14ac:dyDescent="0.25">
      <c r="A400" t="s">
        <v>915</v>
      </c>
      <c r="B400" t="s">
        <v>11256</v>
      </c>
      <c r="C400" t="s">
        <v>10</v>
      </c>
      <c r="D400" s="27" t="s">
        <v>9835</v>
      </c>
      <c r="E400" t="s">
        <v>233</v>
      </c>
      <c r="F400" s="421">
        <v>1</v>
      </c>
      <c r="G400" t="s">
        <v>193</v>
      </c>
      <c r="H400" t="s">
        <v>194</v>
      </c>
      <c r="I400" t="s">
        <v>9318</v>
      </c>
      <c r="J400" t="s">
        <v>9302</v>
      </c>
      <c r="K400" t="s">
        <v>11257</v>
      </c>
      <c r="L400" t="s">
        <v>6921</v>
      </c>
      <c r="M400" t="s">
        <v>10539</v>
      </c>
      <c r="N400" t="s">
        <v>9588</v>
      </c>
      <c r="O400" t="s">
        <v>9537</v>
      </c>
      <c r="P400" t="s">
        <v>11258</v>
      </c>
      <c r="Q400" t="s">
        <v>11259</v>
      </c>
      <c r="S400" t="s">
        <v>9309</v>
      </c>
      <c r="U400" s="27" t="s">
        <v>484</v>
      </c>
      <c r="V400" t="s">
        <v>193</v>
      </c>
      <c r="W400" t="s">
        <v>9310</v>
      </c>
      <c r="Z400" t="s">
        <v>9311</v>
      </c>
      <c r="AF400" t="s">
        <v>4714</v>
      </c>
      <c r="AG400" t="s">
        <v>11256</v>
      </c>
      <c r="AI400" t="s">
        <v>6955</v>
      </c>
      <c r="AJ400" s="424" t="str">
        <f t="shared" si="18"/>
        <v>251401</v>
      </c>
      <c r="AK400" s="28">
        <v>1</v>
      </c>
      <c r="AL400" s="28">
        <f t="shared" si="20"/>
        <v>1</v>
      </c>
      <c r="AM400" s="28" t="str">
        <f t="shared" si="19"/>
        <v>praca</v>
      </c>
    </row>
    <row r="401" spans="1:39" x14ac:dyDescent="0.25">
      <c r="A401" t="s">
        <v>915</v>
      </c>
      <c r="B401" t="s">
        <v>11260</v>
      </c>
      <c r="C401" t="s">
        <v>10</v>
      </c>
      <c r="D401" s="27" t="s">
        <v>9835</v>
      </c>
      <c r="E401" t="s">
        <v>233</v>
      </c>
      <c r="F401" s="421">
        <v>1</v>
      </c>
      <c r="G401" t="s">
        <v>194</v>
      </c>
      <c r="H401" t="s">
        <v>193</v>
      </c>
      <c r="I401" t="s">
        <v>10546</v>
      </c>
      <c r="J401" t="s">
        <v>9302</v>
      </c>
      <c r="K401" t="s">
        <v>11261</v>
      </c>
      <c r="L401" t="s">
        <v>6261</v>
      </c>
      <c r="M401" t="s">
        <v>10539</v>
      </c>
      <c r="N401" t="s">
        <v>9588</v>
      </c>
      <c r="O401" t="s">
        <v>9491</v>
      </c>
      <c r="P401" t="s">
        <v>11262</v>
      </c>
      <c r="Q401" t="s">
        <v>11263</v>
      </c>
      <c r="S401" t="s">
        <v>9309</v>
      </c>
      <c r="U401" s="27" t="s">
        <v>484</v>
      </c>
      <c r="V401" t="s">
        <v>194</v>
      </c>
      <c r="W401" t="s">
        <v>9946</v>
      </c>
      <c r="Z401" t="s">
        <v>9311</v>
      </c>
      <c r="AF401" t="s">
        <v>4714</v>
      </c>
      <c r="AG401" t="s">
        <v>11260</v>
      </c>
      <c r="AI401" t="s">
        <v>6955</v>
      </c>
      <c r="AJ401" s="424" t="str">
        <f t="shared" si="18"/>
        <v>251401</v>
      </c>
      <c r="AK401" s="28">
        <v>1</v>
      </c>
      <c r="AL401" s="28">
        <f t="shared" si="20"/>
        <v>1</v>
      </c>
      <c r="AM401" s="28" t="str">
        <f t="shared" si="19"/>
        <v>praca</v>
      </c>
    </row>
    <row r="402" spans="1:39" x14ac:dyDescent="0.25">
      <c r="A402" t="s">
        <v>915</v>
      </c>
      <c r="B402" t="s">
        <v>11264</v>
      </c>
      <c r="C402" t="s">
        <v>10</v>
      </c>
      <c r="D402" s="27" t="s">
        <v>9835</v>
      </c>
      <c r="E402" t="s">
        <v>233</v>
      </c>
      <c r="F402" s="421">
        <v>1</v>
      </c>
      <c r="G402" t="s">
        <v>194</v>
      </c>
      <c r="H402" t="s">
        <v>193</v>
      </c>
      <c r="I402" t="s">
        <v>10529</v>
      </c>
      <c r="J402" t="s">
        <v>9302</v>
      </c>
      <c r="K402" t="s">
        <v>11265</v>
      </c>
      <c r="L402" t="s">
        <v>6921</v>
      </c>
      <c r="M402" t="s">
        <v>10539</v>
      </c>
      <c r="N402" t="s">
        <v>9588</v>
      </c>
      <c r="O402" t="s">
        <v>9318</v>
      </c>
      <c r="P402" t="s">
        <v>11266</v>
      </c>
      <c r="Q402" t="s">
        <v>11267</v>
      </c>
      <c r="S402" t="s">
        <v>9309</v>
      </c>
      <c r="U402" s="27" t="s">
        <v>484</v>
      </c>
      <c r="V402" t="s">
        <v>193</v>
      </c>
      <c r="W402" t="s">
        <v>9310</v>
      </c>
      <c r="Z402" t="s">
        <v>9311</v>
      </c>
      <c r="AF402" t="s">
        <v>4714</v>
      </c>
      <c r="AG402" t="s">
        <v>11264</v>
      </c>
      <c r="AI402" t="s">
        <v>6955</v>
      </c>
      <c r="AJ402" s="424" t="str">
        <f t="shared" si="18"/>
        <v>251401</v>
      </c>
      <c r="AK402" s="28">
        <v>1</v>
      </c>
      <c r="AL402" s="28">
        <f t="shared" si="20"/>
        <v>1</v>
      </c>
      <c r="AM402" s="28" t="str">
        <f t="shared" si="19"/>
        <v>praca</v>
      </c>
    </row>
    <row r="403" spans="1:39" x14ac:dyDescent="0.25">
      <c r="A403" t="s">
        <v>8787</v>
      </c>
      <c r="B403" t="s">
        <v>11273</v>
      </c>
      <c r="C403" t="s">
        <v>10</v>
      </c>
      <c r="D403" s="27" t="s">
        <v>9835</v>
      </c>
      <c r="E403" t="s">
        <v>233</v>
      </c>
      <c r="F403" s="421">
        <v>1</v>
      </c>
      <c r="G403" t="s">
        <v>194</v>
      </c>
      <c r="H403" t="s">
        <v>193</v>
      </c>
      <c r="I403" t="s">
        <v>10546</v>
      </c>
      <c r="J403" t="s">
        <v>9302</v>
      </c>
      <c r="K403" t="s">
        <v>11274</v>
      </c>
      <c r="L403" t="s">
        <v>6261</v>
      </c>
      <c r="M403" t="s">
        <v>10564</v>
      </c>
      <c r="N403" t="s">
        <v>9588</v>
      </c>
      <c r="O403" t="s">
        <v>11275</v>
      </c>
      <c r="P403" t="s">
        <v>11276</v>
      </c>
      <c r="Q403" t="s">
        <v>11277</v>
      </c>
      <c r="S403" t="s">
        <v>9309</v>
      </c>
      <c r="U403" s="27" t="s">
        <v>484</v>
      </c>
      <c r="V403" t="s">
        <v>193</v>
      </c>
      <c r="W403" t="s">
        <v>9310</v>
      </c>
      <c r="Z403" t="s">
        <v>9311</v>
      </c>
      <c r="AF403" t="s">
        <v>4714</v>
      </c>
      <c r="AG403" t="s">
        <v>11273</v>
      </c>
      <c r="AI403" t="s">
        <v>6955</v>
      </c>
      <c r="AJ403" s="424" t="str">
        <f t="shared" si="18"/>
        <v>251401</v>
      </c>
      <c r="AK403" s="28">
        <v>1</v>
      </c>
      <c r="AL403" s="28">
        <f t="shared" si="20"/>
        <v>1</v>
      </c>
      <c r="AM403" s="28" t="str">
        <f t="shared" si="19"/>
        <v>praca</v>
      </c>
    </row>
    <row r="404" spans="1:39" x14ac:dyDescent="0.25">
      <c r="A404" t="s">
        <v>10937</v>
      </c>
      <c r="B404" t="s">
        <v>10950</v>
      </c>
      <c r="C404" t="s">
        <v>103</v>
      </c>
      <c r="D404" s="27" t="s">
        <v>9835</v>
      </c>
      <c r="E404" t="s">
        <v>192</v>
      </c>
      <c r="F404" s="421">
        <v>1</v>
      </c>
      <c r="G404" t="s">
        <v>193</v>
      </c>
      <c r="H404" t="s">
        <v>194</v>
      </c>
      <c r="I404" t="s">
        <v>10529</v>
      </c>
      <c r="J404" t="s">
        <v>9302</v>
      </c>
      <c r="K404" t="s">
        <v>10951</v>
      </c>
      <c r="L404" t="s">
        <v>6261</v>
      </c>
      <c r="M404" t="s">
        <v>10519</v>
      </c>
      <c r="N404" t="s">
        <v>10045</v>
      </c>
      <c r="O404" t="s">
        <v>9369</v>
      </c>
      <c r="P404" t="s">
        <v>10952</v>
      </c>
      <c r="Q404" t="s">
        <v>10953</v>
      </c>
      <c r="S404" t="s">
        <v>9309</v>
      </c>
      <c r="U404" s="27" t="s">
        <v>1443</v>
      </c>
      <c r="V404" t="s">
        <v>193</v>
      </c>
      <c r="W404" t="s">
        <v>9310</v>
      </c>
      <c r="Z404" t="s">
        <v>9311</v>
      </c>
      <c r="AF404" t="s">
        <v>4714</v>
      </c>
      <c r="AG404" t="s">
        <v>10950</v>
      </c>
      <c r="AI404" t="s">
        <v>6955</v>
      </c>
      <c r="AJ404" s="424" t="str">
        <f t="shared" si="18"/>
        <v>132103</v>
      </c>
      <c r="AK404" s="28">
        <v>1</v>
      </c>
      <c r="AL404" s="28">
        <f t="shared" si="20"/>
        <v>1</v>
      </c>
      <c r="AM404" s="28" t="str">
        <f t="shared" si="19"/>
        <v>pracuj.pl</v>
      </c>
    </row>
    <row r="405" spans="1:39" x14ac:dyDescent="0.25">
      <c r="A405" t="s">
        <v>7608</v>
      </c>
      <c r="B405" t="s">
        <v>10954</v>
      </c>
      <c r="C405" t="s">
        <v>17</v>
      </c>
      <c r="D405" s="27" t="s">
        <v>9835</v>
      </c>
      <c r="E405" t="s">
        <v>192</v>
      </c>
      <c r="F405" s="421">
        <v>1</v>
      </c>
      <c r="G405" t="s">
        <v>193</v>
      </c>
      <c r="H405" t="s">
        <v>194</v>
      </c>
      <c r="I405" t="s">
        <v>10529</v>
      </c>
      <c r="J405" t="s">
        <v>9302</v>
      </c>
      <c r="K405" t="s">
        <v>10955</v>
      </c>
      <c r="L405" t="s">
        <v>6245</v>
      </c>
      <c r="M405" t="s">
        <v>10519</v>
      </c>
      <c r="N405" t="s">
        <v>10045</v>
      </c>
      <c r="O405" t="s">
        <v>9369</v>
      </c>
      <c r="P405" t="s">
        <v>10956</v>
      </c>
      <c r="Q405" t="s">
        <v>10957</v>
      </c>
      <c r="S405" t="s">
        <v>9309</v>
      </c>
      <c r="U405" s="27" t="s">
        <v>624</v>
      </c>
      <c r="V405" t="s">
        <v>193</v>
      </c>
      <c r="W405" t="s">
        <v>9310</v>
      </c>
      <c r="Z405" t="s">
        <v>9311</v>
      </c>
      <c r="AF405" t="s">
        <v>4714</v>
      </c>
      <c r="AG405" t="s">
        <v>10954</v>
      </c>
      <c r="AI405" t="s">
        <v>6955</v>
      </c>
      <c r="AJ405" s="424" t="str">
        <f t="shared" si="18"/>
        <v>332203</v>
      </c>
      <c r="AK405" s="28">
        <v>1</v>
      </c>
      <c r="AL405" s="28">
        <f t="shared" si="20"/>
        <v>1</v>
      </c>
      <c r="AM405" s="28" t="str">
        <f t="shared" si="19"/>
        <v>pracuj.pl</v>
      </c>
    </row>
    <row r="406" spans="1:39" x14ac:dyDescent="0.25">
      <c r="A406" t="s">
        <v>10958</v>
      </c>
      <c r="B406" t="s">
        <v>10959</v>
      </c>
      <c r="C406" t="s">
        <v>10960</v>
      </c>
      <c r="D406" s="27" t="s">
        <v>9835</v>
      </c>
      <c r="E406" t="s">
        <v>233</v>
      </c>
      <c r="F406" s="421">
        <v>1</v>
      </c>
      <c r="G406" t="s">
        <v>193</v>
      </c>
      <c r="H406" t="s">
        <v>194</v>
      </c>
      <c r="I406" t="s">
        <v>10546</v>
      </c>
      <c r="J406" t="s">
        <v>210</v>
      </c>
      <c r="K406" t="s">
        <v>10961</v>
      </c>
      <c r="L406" t="s">
        <v>6288</v>
      </c>
      <c r="M406" t="s">
        <v>10564</v>
      </c>
      <c r="N406" t="s">
        <v>9588</v>
      </c>
      <c r="O406" t="s">
        <v>9491</v>
      </c>
      <c r="P406" t="s">
        <v>10962</v>
      </c>
      <c r="Q406" t="s">
        <v>10963</v>
      </c>
      <c r="S406" t="s">
        <v>9309</v>
      </c>
      <c r="T406" s="28" t="s">
        <v>9334</v>
      </c>
      <c r="U406" s="27" t="s">
        <v>10964</v>
      </c>
      <c r="V406" t="s">
        <v>194</v>
      </c>
      <c r="W406" t="s">
        <v>9300</v>
      </c>
      <c r="Z406" t="s">
        <v>9311</v>
      </c>
      <c r="AF406" t="s">
        <v>4714</v>
      </c>
      <c r="AG406" t="s">
        <v>10959</v>
      </c>
      <c r="AI406" t="s">
        <v>6955</v>
      </c>
      <c r="AJ406" s="424" t="str">
        <f t="shared" si="18"/>
        <v>325302</v>
      </c>
      <c r="AK406" s="28">
        <v>1</v>
      </c>
      <c r="AL406" s="28">
        <f t="shared" si="20"/>
        <v>1</v>
      </c>
      <c r="AM406" s="28" t="str">
        <f t="shared" si="19"/>
        <v>praca</v>
      </c>
    </row>
    <row r="407" spans="1:39" x14ac:dyDescent="0.25">
      <c r="A407" t="s">
        <v>11400</v>
      </c>
      <c r="B407" t="s">
        <v>11401</v>
      </c>
      <c r="C407" t="s">
        <v>10</v>
      </c>
      <c r="D407" s="27" t="s">
        <v>9835</v>
      </c>
      <c r="E407" t="s">
        <v>192</v>
      </c>
      <c r="F407" s="421">
        <v>1</v>
      </c>
      <c r="G407" t="s">
        <v>193</v>
      </c>
      <c r="H407" t="s">
        <v>194</v>
      </c>
      <c r="I407" t="s">
        <v>9491</v>
      </c>
      <c r="J407" t="s">
        <v>9302</v>
      </c>
      <c r="K407" t="s">
        <v>11402</v>
      </c>
      <c r="L407" t="s">
        <v>6295</v>
      </c>
      <c r="M407" t="s">
        <v>10519</v>
      </c>
      <c r="N407" t="s">
        <v>10045</v>
      </c>
      <c r="O407" t="s">
        <v>9369</v>
      </c>
      <c r="P407" t="s">
        <v>11403</v>
      </c>
      <c r="Q407" t="s">
        <v>11404</v>
      </c>
      <c r="S407" t="s">
        <v>9309</v>
      </c>
      <c r="U407" s="27" t="s">
        <v>484</v>
      </c>
      <c r="V407" t="s">
        <v>193</v>
      </c>
      <c r="W407" t="s">
        <v>9310</v>
      </c>
      <c r="Z407" t="s">
        <v>9311</v>
      </c>
      <c r="AF407" t="s">
        <v>4714</v>
      </c>
      <c r="AG407" t="s">
        <v>11401</v>
      </c>
      <c r="AI407" t="s">
        <v>6955</v>
      </c>
      <c r="AJ407" s="424" t="str">
        <f t="shared" si="18"/>
        <v>251401</v>
      </c>
      <c r="AK407" s="28">
        <v>1</v>
      </c>
      <c r="AL407" s="28">
        <f t="shared" si="20"/>
        <v>1</v>
      </c>
      <c r="AM407" s="28" t="str">
        <f t="shared" si="19"/>
        <v>pracuj.pl</v>
      </c>
    </row>
    <row r="408" spans="1:39" x14ac:dyDescent="0.25">
      <c r="A408" t="s">
        <v>11405</v>
      </c>
      <c r="B408" t="s">
        <v>8075</v>
      </c>
      <c r="C408" t="s">
        <v>10</v>
      </c>
      <c r="D408" s="27" t="s">
        <v>9835</v>
      </c>
      <c r="E408" t="s">
        <v>192</v>
      </c>
      <c r="F408" s="421">
        <v>1</v>
      </c>
      <c r="G408" t="s">
        <v>193</v>
      </c>
      <c r="H408" t="s">
        <v>194</v>
      </c>
      <c r="I408" t="s">
        <v>9369</v>
      </c>
      <c r="J408" t="s">
        <v>210</v>
      </c>
      <c r="K408" t="s">
        <v>11406</v>
      </c>
      <c r="L408" t="s">
        <v>6261</v>
      </c>
      <c r="M408" t="s">
        <v>10519</v>
      </c>
      <c r="N408" t="s">
        <v>10045</v>
      </c>
      <c r="O408" t="s">
        <v>9369</v>
      </c>
      <c r="P408" t="s">
        <v>11407</v>
      </c>
      <c r="Q408" t="s">
        <v>11408</v>
      </c>
      <c r="S408" t="s">
        <v>9309</v>
      </c>
      <c r="T408" s="28" t="s">
        <v>9334</v>
      </c>
      <c r="U408" s="27" t="s">
        <v>484</v>
      </c>
      <c r="V408" t="s">
        <v>194</v>
      </c>
      <c r="W408" t="s">
        <v>9300</v>
      </c>
      <c r="Z408" t="s">
        <v>9311</v>
      </c>
      <c r="AF408" t="s">
        <v>4714</v>
      </c>
      <c r="AG408" t="s">
        <v>8075</v>
      </c>
      <c r="AI408" t="s">
        <v>6955</v>
      </c>
      <c r="AJ408" s="424" t="str">
        <f t="shared" si="18"/>
        <v>251401</v>
      </c>
      <c r="AK408" s="28">
        <v>1</v>
      </c>
      <c r="AL408" s="28">
        <f t="shared" si="20"/>
        <v>1</v>
      </c>
      <c r="AM408" s="28" t="str">
        <f t="shared" si="19"/>
        <v>pracuj.pl</v>
      </c>
    </row>
    <row r="409" spans="1:39" x14ac:dyDescent="0.25">
      <c r="A409" t="s">
        <v>11405</v>
      </c>
      <c r="B409" t="s">
        <v>4055</v>
      </c>
      <c r="C409" t="s">
        <v>10</v>
      </c>
      <c r="D409" s="27" t="s">
        <v>9835</v>
      </c>
      <c r="E409" t="s">
        <v>192</v>
      </c>
      <c r="F409" s="421">
        <v>1</v>
      </c>
      <c r="G409" t="s">
        <v>193</v>
      </c>
      <c r="H409" t="s">
        <v>194</v>
      </c>
      <c r="I409" t="s">
        <v>10546</v>
      </c>
      <c r="J409" t="s">
        <v>210</v>
      </c>
      <c r="K409" t="s">
        <v>11409</v>
      </c>
      <c r="L409" t="s">
        <v>6261</v>
      </c>
      <c r="M409" t="s">
        <v>10519</v>
      </c>
      <c r="N409" t="s">
        <v>10045</v>
      </c>
      <c r="O409" t="s">
        <v>9369</v>
      </c>
      <c r="P409" t="s">
        <v>11410</v>
      </c>
      <c r="Q409" t="s">
        <v>11411</v>
      </c>
      <c r="S409" t="s">
        <v>9309</v>
      </c>
      <c r="T409" s="28" t="s">
        <v>9334</v>
      </c>
      <c r="U409" s="27" t="s">
        <v>484</v>
      </c>
      <c r="V409" t="s">
        <v>194</v>
      </c>
      <c r="W409" t="s">
        <v>9300</v>
      </c>
      <c r="Z409" t="s">
        <v>9311</v>
      </c>
      <c r="AF409" t="s">
        <v>4714</v>
      </c>
      <c r="AG409" t="s">
        <v>4055</v>
      </c>
      <c r="AI409" t="s">
        <v>6955</v>
      </c>
      <c r="AJ409" s="424" t="str">
        <f t="shared" si="18"/>
        <v>251401</v>
      </c>
      <c r="AK409" s="28">
        <v>1</v>
      </c>
      <c r="AL409" s="28">
        <f t="shared" si="20"/>
        <v>1</v>
      </c>
      <c r="AM409" s="28" t="str">
        <f t="shared" si="19"/>
        <v>pracuj.pl</v>
      </c>
    </row>
    <row r="410" spans="1:39" x14ac:dyDescent="0.25">
      <c r="A410" t="s">
        <v>10965</v>
      </c>
      <c r="B410" t="s">
        <v>10978</v>
      </c>
      <c r="C410" t="s">
        <v>10979</v>
      </c>
      <c r="D410" s="27" t="s">
        <v>9835</v>
      </c>
      <c r="E410" t="s">
        <v>192</v>
      </c>
      <c r="F410" s="421">
        <v>1</v>
      </c>
      <c r="G410" t="s">
        <v>193</v>
      </c>
      <c r="H410" t="s">
        <v>194</v>
      </c>
      <c r="I410" t="s">
        <v>10529</v>
      </c>
      <c r="J410" t="s">
        <v>9302</v>
      </c>
      <c r="K410" t="s">
        <v>10980</v>
      </c>
      <c r="L410" t="s">
        <v>6290</v>
      </c>
      <c r="M410" t="s">
        <v>10519</v>
      </c>
      <c r="N410" t="s">
        <v>10045</v>
      </c>
      <c r="O410" t="s">
        <v>9369</v>
      </c>
      <c r="P410" t="s">
        <v>10981</v>
      </c>
      <c r="Q410" t="s">
        <v>10982</v>
      </c>
      <c r="S410" t="s">
        <v>9309</v>
      </c>
      <c r="U410" s="27" t="s">
        <v>10983</v>
      </c>
      <c r="V410" t="s">
        <v>193</v>
      </c>
      <c r="W410" t="s">
        <v>9310</v>
      </c>
      <c r="Z410" t="s">
        <v>9311</v>
      </c>
      <c r="AF410" t="s">
        <v>4714</v>
      </c>
      <c r="AG410" t="s">
        <v>10978</v>
      </c>
      <c r="AI410" t="s">
        <v>6955</v>
      </c>
      <c r="AJ410" s="424" t="str">
        <f t="shared" si="18"/>
        <v>264303</v>
      </c>
      <c r="AK410" s="28">
        <v>1</v>
      </c>
      <c r="AL410" s="28">
        <f t="shared" si="20"/>
        <v>1</v>
      </c>
      <c r="AM410" s="28" t="str">
        <f t="shared" si="19"/>
        <v>pracuj.pl</v>
      </c>
    </row>
    <row r="411" spans="1:39" x14ac:dyDescent="0.25">
      <c r="A411" t="s">
        <v>10984</v>
      </c>
      <c r="B411" t="s">
        <v>10985</v>
      </c>
      <c r="C411" t="s">
        <v>101</v>
      </c>
      <c r="D411" s="27" t="s">
        <v>9835</v>
      </c>
      <c r="E411" t="s">
        <v>192</v>
      </c>
      <c r="F411" s="421">
        <v>1</v>
      </c>
      <c r="G411" t="s">
        <v>193</v>
      </c>
      <c r="H411" t="s">
        <v>194</v>
      </c>
      <c r="I411" t="s">
        <v>10529</v>
      </c>
      <c r="J411" t="s">
        <v>9302</v>
      </c>
      <c r="K411" t="s">
        <v>10986</v>
      </c>
      <c r="L411" t="s">
        <v>7406</v>
      </c>
      <c r="M411" t="s">
        <v>10519</v>
      </c>
      <c r="N411" t="s">
        <v>10045</v>
      </c>
      <c r="O411" t="s">
        <v>9369</v>
      </c>
      <c r="P411" t="s">
        <v>10987</v>
      </c>
      <c r="Q411" t="s">
        <v>10988</v>
      </c>
      <c r="S411" t="s">
        <v>9309</v>
      </c>
      <c r="U411" s="27" t="s">
        <v>519</v>
      </c>
      <c r="V411" t="s">
        <v>193</v>
      </c>
      <c r="W411" t="s">
        <v>9310</v>
      </c>
      <c r="Z411" t="s">
        <v>9311</v>
      </c>
      <c r="AF411" t="s">
        <v>4714</v>
      </c>
      <c r="AG411" t="s">
        <v>10985</v>
      </c>
      <c r="AI411" t="s">
        <v>6955</v>
      </c>
      <c r="AJ411" s="424" t="str">
        <f t="shared" si="18"/>
        <v>261103</v>
      </c>
      <c r="AK411" s="28">
        <v>1</v>
      </c>
      <c r="AL411" s="28">
        <f t="shared" si="20"/>
        <v>1</v>
      </c>
      <c r="AM411" s="28" t="str">
        <f t="shared" si="19"/>
        <v>pracuj.pl</v>
      </c>
    </row>
    <row r="412" spans="1:39" x14ac:dyDescent="0.25">
      <c r="A412" t="s">
        <v>10989</v>
      </c>
      <c r="B412" t="s">
        <v>4309</v>
      </c>
      <c r="C412" t="s">
        <v>115</v>
      </c>
      <c r="D412" s="27" t="s">
        <v>9835</v>
      </c>
      <c r="E412" t="s">
        <v>192</v>
      </c>
      <c r="F412" s="421">
        <v>1</v>
      </c>
      <c r="G412" t="s">
        <v>193</v>
      </c>
      <c r="H412" t="s">
        <v>194</v>
      </c>
      <c r="I412" t="s">
        <v>10546</v>
      </c>
      <c r="J412" t="s">
        <v>2983</v>
      </c>
      <c r="K412" t="s">
        <v>10990</v>
      </c>
      <c r="L412" t="s">
        <v>6245</v>
      </c>
      <c r="M412" t="s">
        <v>10519</v>
      </c>
      <c r="N412" t="s">
        <v>10045</v>
      </c>
      <c r="O412" t="s">
        <v>9369</v>
      </c>
      <c r="P412" t="s">
        <v>10991</v>
      </c>
      <c r="Q412" t="s">
        <v>10992</v>
      </c>
      <c r="S412" t="s">
        <v>9309</v>
      </c>
      <c r="U412" s="27" t="s">
        <v>1183</v>
      </c>
      <c r="V412" t="s">
        <v>193</v>
      </c>
      <c r="W412" t="s">
        <v>9310</v>
      </c>
      <c r="Z412" t="s">
        <v>9311</v>
      </c>
      <c r="AF412" t="s">
        <v>4714</v>
      </c>
      <c r="AG412" t="s">
        <v>4309</v>
      </c>
      <c r="AI412" t="s">
        <v>6955</v>
      </c>
      <c r="AJ412" s="424" t="str">
        <f t="shared" si="18"/>
        <v>311909</v>
      </c>
      <c r="AK412" s="28">
        <v>1</v>
      </c>
      <c r="AL412" s="28">
        <f t="shared" si="20"/>
        <v>1</v>
      </c>
      <c r="AM412" s="28" t="str">
        <f t="shared" si="19"/>
        <v>pracuj.pl</v>
      </c>
    </row>
    <row r="413" spans="1:39" x14ac:dyDescent="0.25">
      <c r="A413" t="s">
        <v>10989</v>
      </c>
      <c r="B413" t="s">
        <v>10993</v>
      </c>
      <c r="C413" t="s">
        <v>4592</v>
      </c>
      <c r="D413" s="27" t="s">
        <v>9835</v>
      </c>
      <c r="E413" t="s">
        <v>192</v>
      </c>
      <c r="F413" s="421">
        <v>1</v>
      </c>
      <c r="G413" t="s">
        <v>193</v>
      </c>
      <c r="H413" t="s">
        <v>194</v>
      </c>
      <c r="I413" t="s">
        <v>10546</v>
      </c>
      <c r="J413" t="s">
        <v>2983</v>
      </c>
      <c r="K413" t="s">
        <v>10994</v>
      </c>
      <c r="L413" t="s">
        <v>6258</v>
      </c>
      <c r="M413" t="s">
        <v>10519</v>
      </c>
      <c r="N413" t="s">
        <v>10045</v>
      </c>
      <c r="O413" t="s">
        <v>9369</v>
      </c>
      <c r="P413" t="s">
        <v>10995</v>
      </c>
      <c r="Q413" t="s">
        <v>10996</v>
      </c>
      <c r="S413" t="s">
        <v>9309</v>
      </c>
      <c r="U413" s="27" t="s">
        <v>4593</v>
      </c>
      <c r="V413" t="s">
        <v>193</v>
      </c>
      <c r="W413" t="s">
        <v>9310</v>
      </c>
      <c r="Z413" t="s">
        <v>9311</v>
      </c>
      <c r="AF413" t="s">
        <v>4714</v>
      </c>
      <c r="AG413" t="s">
        <v>10993</v>
      </c>
      <c r="AI413" t="s">
        <v>6955</v>
      </c>
      <c r="AJ413" s="424" t="str">
        <f t="shared" si="18"/>
        <v>741210</v>
      </c>
      <c r="AK413" s="28">
        <v>1</v>
      </c>
      <c r="AL413" s="28">
        <f t="shared" si="20"/>
        <v>1</v>
      </c>
      <c r="AM413" s="28" t="str">
        <f t="shared" si="19"/>
        <v>pracuj.pl</v>
      </c>
    </row>
    <row r="414" spans="1:39" x14ac:dyDescent="0.25">
      <c r="A414" t="s">
        <v>10989</v>
      </c>
      <c r="B414" t="s">
        <v>10997</v>
      </c>
      <c r="C414" t="s">
        <v>62</v>
      </c>
      <c r="D414" s="27" t="s">
        <v>9835</v>
      </c>
      <c r="E414" t="s">
        <v>192</v>
      </c>
      <c r="F414" s="421">
        <v>1</v>
      </c>
      <c r="G414" t="s">
        <v>193</v>
      </c>
      <c r="H414" t="s">
        <v>194</v>
      </c>
      <c r="I414" t="s">
        <v>9343</v>
      </c>
      <c r="J414" t="s">
        <v>2983</v>
      </c>
      <c r="K414" t="s">
        <v>10998</v>
      </c>
      <c r="L414" t="s">
        <v>6275</v>
      </c>
      <c r="M414" t="s">
        <v>10519</v>
      </c>
      <c r="N414" t="s">
        <v>10045</v>
      </c>
      <c r="O414" t="s">
        <v>9369</v>
      </c>
      <c r="P414" t="s">
        <v>10999</v>
      </c>
      <c r="Q414" t="s">
        <v>11000</v>
      </c>
      <c r="S414" t="s">
        <v>9309</v>
      </c>
      <c r="T414" s="28" t="s">
        <v>9468</v>
      </c>
      <c r="U414" s="27" t="s">
        <v>601</v>
      </c>
      <c r="V414" t="s">
        <v>194</v>
      </c>
      <c r="W414" t="s">
        <v>9300</v>
      </c>
      <c r="Z414" t="s">
        <v>9311</v>
      </c>
      <c r="AF414" t="s">
        <v>4714</v>
      </c>
      <c r="AG414" t="s">
        <v>10997</v>
      </c>
      <c r="AI414" t="s">
        <v>6955</v>
      </c>
      <c r="AJ414" s="424" t="str">
        <f t="shared" si="18"/>
        <v>313904</v>
      </c>
      <c r="AK414" s="28">
        <v>1</v>
      </c>
      <c r="AL414" s="28">
        <f t="shared" si="20"/>
        <v>1</v>
      </c>
      <c r="AM414" s="28" t="str">
        <f t="shared" si="19"/>
        <v>pracuj.pl</v>
      </c>
    </row>
    <row r="415" spans="1:39" x14ac:dyDescent="0.25">
      <c r="A415" t="s">
        <v>10989</v>
      </c>
      <c r="B415" t="s">
        <v>11001</v>
      </c>
      <c r="C415" t="s">
        <v>118</v>
      </c>
      <c r="D415" s="27" t="s">
        <v>9835</v>
      </c>
      <c r="E415" t="s">
        <v>192</v>
      </c>
      <c r="F415" s="421">
        <v>1</v>
      </c>
      <c r="G415" t="s">
        <v>193</v>
      </c>
      <c r="H415" t="s">
        <v>194</v>
      </c>
      <c r="I415" t="s">
        <v>10529</v>
      </c>
      <c r="J415" t="s">
        <v>2983</v>
      </c>
      <c r="K415" t="s">
        <v>11002</v>
      </c>
      <c r="L415" t="s">
        <v>6295</v>
      </c>
      <c r="M415" t="s">
        <v>10519</v>
      </c>
      <c r="N415" t="s">
        <v>10045</v>
      </c>
      <c r="O415" t="s">
        <v>9369</v>
      </c>
      <c r="P415" t="s">
        <v>11003</v>
      </c>
      <c r="Q415" t="s">
        <v>11004</v>
      </c>
      <c r="S415" t="s">
        <v>9309</v>
      </c>
      <c r="U415" s="27" t="s">
        <v>277</v>
      </c>
      <c r="V415" t="s">
        <v>193</v>
      </c>
      <c r="W415" t="s">
        <v>9310</v>
      </c>
      <c r="Z415" t="s">
        <v>9311</v>
      </c>
      <c r="AF415" t="s">
        <v>4714</v>
      </c>
      <c r="AG415" t="s">
        <v>11001</v>
      </c>
      <c r="AI415" t="s">
        <v>6955</v>
      </c>
      <c r="AJ415" s="424" t="str">
        <f t="shared" si="18"/>
        <v>211302</v>
      </c>
      <c r="AK415" s="28">
        <v>1</v>
      </c>
      <c r="AL415" s="28">
        <f t="shared" si="20"/>
        <v>1</v>
      </c>
      <c r="AM415" s="28" t="str">
        <f t="shared" si="19"/>
        <v>pracuj.pl</v>
      </c>
    </row>
    <row r="416" spans="1:39" x14ac:dyDescent="0.25">
      <c r="A416" t="s">
        <v>11005</v>
      </c>
      <c r="B416" t="s">
        <v>2642</v>
      </c>
      <c r="C416" t="s">
        <v>4592</v>
      </c>
      <c r="D416" s="27" t="s">
        <v>9835</v>
      </c>
      <c r="E416" t="s">
        <v>192</v>
      </c>
      <c r="F416" s="421">
        <v>1</v>
      </c>
      <c r="G416" t="s">
        <v>193</v>
      </c>
      <c r="H416" t="s">
        <v>194</v>
      </c>
      <c r="I416" t="s">
        <v>10546</v>
      </c>
      <c r="J416" t="s">
        <v>755</v>
      </c>
      <c r="K416" t="s">
        <v>11006</v>
      </c>
      <c r="L416" t="s">
        <v>6258</v>
      </c>
      <c r="M416" t="s">
        <v>10519</v>
      </c>
      <c r="N416" t="s">
        <v>10045</v>
      </c>
      <c r="O416" t="s">
        <v>9369</v>
      </c>
      <c r="P416" t="s">
        <v>11007</v>
      </c>
      <c r="Q416" t="s">
        <v>11008</v>
      </c>
      <c r="S416" t="s">
        <v>9309</v>
      </c>
      <c r="T416" s="28" t="s">
        <v>9726</v>
      </c>
      <c r="U416" s="27" t="s">
        <v>4593</v>
      </c>
      <c r="V416" t="s">
        <v>194</v>
      </c>
      <c r="W416" t="s">
        <v>9300</v>
      </c>
      <c r="Z416" t="s">
        <v>9311</v>
      </c>
      <c r="AF416" t="s">
        <v>4714</v>
      </c>
      <c r="AG416" t="s">
        <v>2642</v>
      </c>
      <c r="AI416" t="s">
        <v>6955</v>
      </c>
      <c r="AJ416" s="424" t="str">
        <f t="shared" si="18"/>
        <v>741210</v>
      </c>
      <c r="AK416" s="28">
        <v>1</v>
      </c>
      <c r="AL416" s="28">
        <f t="shared" si="20"/>
        <v>1</v>
      </c>
      <c r="AM416" s="28" t="str">
        <f t="shared" si="19"/>
        <v>pracuj.pl</v>
      </c>
    </row>
    <row r="417" spans="1:39" x14ac:dyDescent="0.25">
      <c r="A417" t="s">
        <v>11009</v>
      </c>
      <c r="B417" t="s">
        <v>11010</v>
      </c>
      <c r="C417" t="s">
        <v>17</v>
      </c>
      <c r="D417" s="27" t="s">
        <v>9835</v>
      </c>
      <c r="E417" t="s">
        <v>192</v>
      </c>
      <c r="F417" s="421">
        <v>1</v>
      </c>
      <c r="G417" t="s">
        <v>193</v>
      </c>
      <c r="H417" t="s">
        <v>194</v>
      </c>
      <c r="I417" t="s">
        <v>9369</v>
      </c>
      <c r="J417" t="s">
        <v>385</v>
      </c>
      <c r="K417" t="s">
        <v>11011</v>
      </c>
      <c r="L417" t="s">
        <v>6245</v>
      </c>
      <c r="M417" t="s">
        <v>10519</v>
      </c>
      <c r="N417" t="s">
        <v>10045</v>
      </c>
      <c r="O417" t="s">
        <v>9369</v>
      </c>
      <c r="P417" t="s">
        <v>11012</v>
      </c>
      <c r="Q417" t="s">
        <v>11013</v>
      </c>
      <c r="S417" t="s">
        <v>9309</v>
      </c>
      <c r="T417" s="28" t="s">
        <v>9410</v>
      </c>
      <c r="U417" s="27" t="s">
        <v>624</v>
      </c>
      <c r="V417" t="s">
        <v>194</v>
      </c>
      <c r="W417" t="s">
        <v>9300</v>
      </c>
      <c r="Z417" t="s">
        <v>9311</v>
      </c>
      <c r="AF417" t="s">
        <v>4714</v>
      </c>
      <c r="AG417" t="s">
        <v>11010</v>
      </c>
      <c r="AI417" t="s">
        <v>6955</v>
      </c>
      <c r="AJ417" s="424" t="str">
        <f t="shared" si="18"/>
        <v>332203</v>
      </c>
      <c r="AK417" s="28">
        <v>1</v>
      </c>
      <c r="AL417" s="28">
        <f t="shared" si="20"/>
        <v>1</v>
      </c>
      <c r="AM417" s="28" t="str">
        <f t="shared" si="19"/>
        <v>pracuj.pl</v>
      </c>
    </row>
    <row r="418" spans="1:39" x14ac:dyDescent="0.25">
      <c r="A418" t="s">
        <v>11009</v>
      </c>
      <c r="B418" t="s">
        <v>11010</v>
      </c>
      <c r="C418" t="s">
        <v>17</v>
      </c>
      <c r="D418" s="27" t="s">
        <v>9835</v>
      </c>
      <c r="E418" t="s">
        <v>192</v>
      </c>
      <c r="F418" s="421">
        <v>1</v>
      </c>
      <c r="G418" t="s">
        <v>193</v>
      </c>
      <c r="H418" t="s">
        <v>194</v>
      </c>
      <c r="I418" t="s">
        <v>9369</v>
      </c>
      <c r="J418" t="s">
        <v>4751</v>
      </c>
      <c r="K418" t="s">
        <v>11014</v>
      </c>
      <c r="L418" t="s">
        <v>6245</v>
      </c>
      <c r="M418" t="s">
        <v>10519</v>
      </c>
      <c r="N418" t="s">
        <v>10045</v>
      </c>
      <c r="O418" t="s">
        <v>9369</v>
      </c>
      <c r="P418" t="s">
        <v>11015</v>
      </c>
      <c r="Q418" t="s">
        <v>11016</v>
      </c>
      <c r="S418" t="s">
        <v>9309</v>
      </c>
      <c r="T418" s="28" t="s">
        <v>9472</v>
      </c>
      <c r="U418" s="27" t="s">
        <v>624</v>
      </c>
      <c r="V418" t="s">
        <v>194</v>
      </c>
      <c r="W418" t="s">
        <v>9300</v>
      </c>
      <c r="Z418" t="s">
        <v>9311</v>
      </c>
      <c r="AF418" t="s">
        <v>4714</v>
      </c>
      <c r="AG418" t="s">
        <v>11010</v>
      </c>
      <c r="AI418" t="s">
        <v>6955</v>
      </c>
      <c r="AJ418" s="424" t="str">
        <f t="shared" si="18"/>
        <v>332203</v>
      </c>
      <c r="AK418" s="28">
        <v>1</v>
      </c>
      <c r="AL418" s="28">
        <f t="shared" si="20"/>
        <v>1</v>
      </c>
      <c r="AM418" s="28" t="str">
        <f t="shared" si="19"/>
        <v>pracuj.pl</v>
      </c>
    </row>
    <row r="419" spans="1:39" x14ac:dyDescent="0.25">
      <c r="A419" t="s">
        <v>11009</v>
      </c>
      <c r="B419" t="s">
        <v>11010</v>
      </c>
      <c r="C419" t="s">
        <v>17</v>
      </c>
      <c r="D419" s="27" t="s">
        <v>9835</v>
      </c>
      <c r="E419" t="s">
        <v>192</v>
      </c>
      <c r="F419" s="421">
        <v>1</v>
      </c>
      <c r="G419" t="s">
        <v>193</v>
      </c>
      <c r="H419" t="s">
        <v>194</v>
      </c>
      <c r="I419" t="s">
        <v>9369</v>
      </c>
      <c r="J419" t="s">
        <v>210</v>
      </c>
      <c r="K419" t="s">
        <v>11017</v>
      </c>
      <c r="L419" t="s">
        <v>6245</v>
      </c>
      <c r="M419" t="s">
        <v>10519</v>
      </c>
      <c r="N419" t="s">
        <v>10045</v>
      </c>
      <c r="O419" t="s">
        <v>9369</v>
      </c>
      <c r="P419" t="s">
        <v>11018</v>
      </c>
      <c r="Q419" t="s">
        <v>11019</v>
      </c>
      <c r="S419" t="s">
        <v>9309</v>
      </c>
      <c r="T419" s="28" t="s">
        <v>9334</v>
      </c>
      <c r="U419" s="27" t="s">
        <v>624</v>
      </c>
      <c r="V419" t="s">
        <v>194</v>
      </c>
      <c r="W419" t="s">
        <v>9300</v>
      </c>
      <c r="Z419" t="s">
        <v>9311</v>
      </c>
      <c r="AF419" t="s">
        <v>4714</v>
      </c>
      <c r="AG419" t="s">
        <v>11010</v>
      </c>
      <c r="AI419" t="s">
        <v>6955</v>
      </c>
      <c r="AJ419" s="424" t="str">
        <f t="shared" si="18"/>
        <v>332203</v>
      </c>
      <c r="AK419" s="28">
        <v>1</v>
      </c>
      <c r="AL419" s="28">
        <f t="shared" si="20"/>
        <v>1</v>
      </c>
      <c r="AM419" s="28" t="str">
        <f t="shared" si="19"/>
        <v>pracuj.pl</v>
      </c>
    </row>
    <row r="420" spans="1:39" x14ac:dyDescent="0.25">
      <c r="A420" t="s">
        <v>11009</v>
      </c>
      <c r="B420" t="s">
        <v>11010</v>
      </c>
      <c r="C420" t="s">
        <v>17</v>
      </c>
      <c r="D420" s="27" t="s">
        <v>9835</v>
      </c>
      <c r="E420" t="s">
        <v>192</v>
      </c>
      <c r="F420" s="421">
        <v>1</v>
      </c>
      <c r="G420" t="s">
        <v>193</v>
      </c>
      <c r="H420" t="s">
        <v>194</v>
      </c>
      <c r="I420" t="s">
        <v>9369</v>
      </c>
      <c r="J420" t="s">
        <v>408</v>
      </c>
      <c r="K420" t="s">
        <v>11020</v>
      </c>
      <c r="L420" t="s">
        <v>6245</v>
      </c>
      <c r="M420" t="s">
        <v>10519</v>
      </c>
      <c r="N420" t="s">
        <v>10045</v>
      </c>
      <c r="O420" t="s">
        <v>9369</v>
      </c>
      <c r="P420" t="s">
        <v>11021</v>
      </c>
      <c r="Q420" t="s">
        <v>11022</v>
      </c>
      <c r="S420" t="s">
        <v>9309</v>
      </c>
      <c r="T420" s="28" t="s">
        <v>9479</v>
      </c>
      <c r="U420" s="27" t="s">
        <v>624</v>
      </c>
      <c r="V420" t="s">
        <v>194</v>
      </c>
      <c r="W420" t="s">
        <v>9300</v>
      </c>
      <c r="Z420" t="s">
        <v>9311</v>
      </c>
      <c r="AF420" t="s">
        <v>4714</v>
      </c>
      <c r="AG420" t="s">
        <v>11010</v>
      </c>
      <c r="AI420" t="s">
        <v>6955</v>
      </c>
      <c r="AJ420" s="424" t="str">
        <f t="shared" si="18"/>
        <v>332203</v>
      </c>
      <c r="AK420" s="28">
        <v>1</v>
      </c>
      <c r="AL420" s="28">
        <f t="shared" si="20"/>
        <v>1</v>
      </c>
      <c r="AM420" s="28" t="str">
        <f t="shared" si="19"/>
        <v>pracuj.pl</v>
      </c>
    </row>
    <row r="421" spans="1:39" x14ac:dyDescent="0.25">
      <c r="A421" t="s">
        <v>11023</v>
      </c>
      <c r="B421" t="s">
        <v>11024</v>
      </c>
      <c r="C421" t="s">
        <v>17</v>
      </c>
      <c r="D421" s="27" t="s">
        <v>9835</v>
      </c>
      <c r="E421" t="s">
        <v>192</v>
      </c>
      <c r="F421" s="421">
        <v>1</v>
      </c>
      <c r="G421" t="s">
        <v>193</v>
      </c>
      <c r="H421" t="s">
        <v>194</v>
      </c>
      <c r="I421" t="s">
        <v>10529</v>
      </c>
      <c r="J421" t="s">
        <v>316</v>
      </c>
      <c r="K421" t="s">
        <v>11025</v>
      </c>
      <c r="L421" t="s">
        <v>6251</v>
      </c>
      <c r="M421" t="s">
        <v>10519</v>
      </c>
      <c r="N421" t="s">
        <v>10045</v>
      </c>
      <c r="O421" t="s">
        <v>9369</v>
      </c>
      <c r="P421" t="s">
        <v>11026</v>
      </c>
      <c r="Q421" t="s">
        <v>11027</v>
      </c>
      <c r="S421" t="s">
        <v>9309</v>
      </c>
      <c r="T421" s="28" t="s">
        <v>10012</v>
      </c>
      <c r="U421" s="27" t="s">
        <v>624</v>
      </c>
      <c r="V421" t="s">
        <v>194</v>
      </c>
      <c r="W421" t="s">
        <v>9300</v>
      </c>
      <c r="Z421" t="s">
        <v>9311</v>
      </c>
      <c r="AF421" t="s">
        <v>4714</v>
      </c>
      <c r="AG421" t="s">
        <v>11024</v>
      </c>
      <c r="AI421" t="s">
        <v>6955</v>
      </c>
      <c r="AJ421" s="424" t="str">
        <f t="shared" si="18"/>
        <v>332203</v>
      </c>
      <c r="AK421" s="28">
        <v>1</v>
      </c>
      <c r="AL421" s="28">
        <f t="shared" si="20"/>
        <v>1</v>
      </c>
      <c r="AM421" s="28" t="str">
        <f t="shared" si="19"/>
        <v>pracuj.pl</v>
      </c>
    </row>
    <row r="422" spans="1:39" x14ac:dyDescent="0.25">
      <c r="A422" t="s">
        <v>9845</v>
      </c>
      <c r="B422" t="s">
        <v>9846</v>
      </c>
      <c r="C422" t="s">
        <v>9847</v>
      </c>
      <c r="D422" s="27" t="s">
        <v>9835</v>
      </c>
      <c r="E422" t="s">
        <v>217</v>
      </c>
      <c r="F422" s="421">
        <v>1</v>
      </c>
      <c r="G422" t="s">
        <v>193</v>
      </c>
      <c r="H422" t="s">
        <v>194</v>
      </c>
      <c r="I422" t="s">
        <v>9369</v>
      </c>
      <c r="J422" t="s">
        <v>755</v>
      </c>
      <c r="K422" t="s">
        <v>9848</v>
      </c>
      <c r="L422" t="s">
        <v>6269</v>
      </c>
      <c r="M422" t="s">
        <v>10618</v>
      </c>
      <c r="N422" t="s">
        <v>9661</v>
      </c>
      <c r="O422" t="s">
        <v>10828</v>
      </c>
      <c r="P422" t="s">
        <v>11028</v>
      </c>
      <c r="Q422" t="s">
        <v>11029</v>
      </c>
      <c r="S422" t="s">
        <v>9309</v>
      </c>
      <c r="T422" s="28" t="s">
        <v>9726</v>
      </c>
      <c r="U422" s="27" t="s">
        <v>9851</v>
      </c>
      <c r="V422" t="s">
        <v>194</v>
      </c>
      <c r="W422" t="s">
        <v>9300</v>
      </c>
      <c r="Z422" t="s">
        <v>9311</v>
      </c>
      <c r="AF422" t="s">
        <v>4714</v>
      </c>
      <c r="AG422" t="s">
        <v>9433</v>
      </c>
      <c r="AI422" t="s">
        <v>6955</v>
      </c>
      <c r="AJ422" s="424" t="str">
        <f t="shared" si="18"/>
        <v>432105</v>
      </c>
      <c r="AK422" s="28">
        <v>1</v>
      </c>
      <c r="AL422" s="28">
        <f t="shared" si="20"/>
        <v>1</v>
      </c>
      <c r="AM422" s="28" t="str">
        <f t="shared" si="19"/>
        <v>agora</v>
      </c>
    </row>
    <row r="423" spans="1:39" x14ac:dyDescent="0.25">
      <c r="A423" t="s">
        <v>11030</v>
      </c>
      <c r="B423" t="s">
        <v>11031</v>
      </c>
      <c r="C423" t="s">
        <v>95</v>
      </c>
      <c r="D423" s="27" t="s">
        <v>9835</v>
      </c>
      <c r="E423" t="s">
        <v>233</v>
      </c>
      <c r="F423" s="421">
        <v>1</v>
      </c>
      <c r="G423" t="s">
        <v>193</v>
      </c>
      <c r="H423" t="s">
        <v>194</v>
      </c>
      <c r="I423" t="s">
        <v>10529</v>
      </c>
      <c r="J423" t="s">
        <v>9302</v>
      </c>
      <c r="K423" t="s">
        <v>11032</v>
      </c>
      <c r="L423" t="s">
        <v>6277</v>
      </c>
      <c r="M423" t="s">
        <v>10564</v>
      </c>
      <c r="N423" t="s">
        <v>9588</v>
      </c>
      <c r="O423" t="s">
        <v>9318</v>
      </c>
      <c r="P423" t="s">
        <v>11033</v>
      </c>
      <c r="Q423" t="s">
        <v>11034</v>
      </c>
      <c r="S423" t="s">
        <v>9309</v>
      </c>
      <c r="U423" s="27" t="s">
        <v>1015</v>
      </c>
      <c r="V423" t="s">
        <v>193</v>
      </c>
      <c r="W423" t="s">
        <v>9310</v>
      </c>
      <c r="Z423" t="s">
        <v>9311</v>
      </c>
      <c r="AF423" t="s">
        <v>4714</v>
      </c>
      <c r="AG423" t="s">
        <v>11031</v>
      </c>
      <c r="AI423" t="s">
        <v>6955</v>
      </c>
      <c r="AJ423" s="424" t="str">
        <f t="shared" si="18"/>
        <v>122102</v>
      </c>
      <c r="AK423" s="28">
        <v>1</v>
      </c>
      <c r="AL423" s="28">
        <f t="shared" si="20"/>
        <v>1</v>
      </c>
      <c r="AM423" s="28" t="str">
        <f t="shared" si="19"/>
        <v>praca</v>
      </c>
    </row>
    <row r="424" spans="1:39" x14ac:dyDescent="0.25">
      <c r="A424" t="s">
        <v>11035</v>
      </c>
      <c r="B424" t="s">
        <v>11036</v>
      </c>
      <c r="C424" t="s">
        <v>10462</v>
      </c>
      <c r="D424" s="27" t="s">
        <v>9835</v>
      </c>
      <c r="E424" t="s">
        <v>233</v>
      </c>
      <c r="F424" s="421">
        <v>1</v>
      </c>
      <c r="G424" t="s">
        <v>194</v>
      </c>
      <c r="H424" t="s">
        <v>193</v>
      </c>
      <c r="I424" t="s">
        <v>10529</v>
      </c>
      <c r="J424" t="s">
        <v>9302</v>
      </c>
      <c r="K424" t="s">
        <v>11037</v>
      </c>
      <c r="L424" t="s">
        <v>6286</v>
      </c>
      <c r="M424" t="s">
        <v>10539</v>
      </c>
      <c r="N424" t="s">
        <v>9588</v>
      </c>
      <c r="O424" t="s">
        <v>9537</v>
      </c>
      <c r="P424" t="s">
        <v>11038</v>
      </c>
      <c r="Q424" t="s">
        <v>11039</v>
      </c>
      <c r="S424" t="s">
        <v>9309</v>
      </c>
      <c r="U424" s="27" t="s">
        <v>10466</v>
      </c>
      <c r="V424" t="s">
        <v>193</v>
      </c>
      <c r="W424" t="s">
        <v>9310</v>
      </c>
      <c r="Z424" t="s">
        <v>9311</v>
      </c>
      <c r="AF424" t="s">
        <v>4714</v>
      </c>
      <c r="AG424" t="s">
        <v>11036</v>
      </c>
      <c r="AI424" t="s">
        <v>6955</v>
      </c>
      <c r="AJ424" s="424" t="str">
        <f t="shared" si="18"/>
        <v>422401</v>
      </c>
      <c r="AK424" s="28">
        <v>1</v>
      </c>
      <c r="AL424" s="28">
        <f t="shared" si="20"/>
        <v>1</v>
      </c>
      <c r="AM424" s="28" t="str">
        <f t="shared" si="19"/>
        <v>praca</v>
      </c>
    </row>
    <row r="425" spans="1:39" x14ac:dyDescent="0.25">
      <c r="A425" t="s">
        <v>11035</v>
      </c>
      <c r="B425" t="s">
        <v>11040</v>
      </c>
      <c r="C425" t="s">
        <v>10462</v>
      </c>
      <c r="D425" s="27" t="s">
        <v>9835</v>
      </c>
      <c r="E425" t="s">
        <v>233</v>
      </c>
      <c r="F425" s="421">
        <v>1</v>
      </c>
      <c r="G425" t="s">
        <v>194</v>
      </c>
      <c r="H425" t="s">
        <v>193</v>
      </c>
      <c r="I425" t="s">
        <v>10529</v>
      </c>
      <c r="J425" t="s">
        <v>9302</v>
      </c>
      <c r="K425" t="s">
        <v>11041</v>
      </c>
      <c r="L425" t="s">
        <v>6286</v>
      </c>
      <c r="M425" t="s">
        <v>10539</v>
      </c>
      <c r="N425" t="s">
        <v>9588</v>
      </c>
      <c r="O425" t="s">
        <v>9537</v>
      </c>
      <c r="P425" t="s">
        <v>11042</v>
      </c>
      <c r="Q425" t="s">
        <v>11043</v>
      </c>
      <c r="S425" t="s">
        <v>9309</v>
      </c>
      <c r="U425" s="27" t="s">
        <v>10466</v>
      </c>
      <c r="V425" t="s">
        <v>193</v>
      </c>
      <c r="W425" t="s">
        <v>9310</v>
      </c>
      <c r="Z425" t="s">
        <v>9311</v>
      </c>
      <c r="AF425" t="s">
        <v>4714</v>
      </c>
      <c r="AG425" t="s">
        <v>11040</v>
      </c>
      <c r="AI425" t="s">
        <v>6955</v>
      </c>
      <c r="AJ425" s="424" t="str">
        <f t="shared" si="18"/>
        <v>422401</v>
      </c>
      <c r="AK425" s="28">
        <v>1</v>
      </c>
      <c r="AL425" s="28">
        <f t="shared" si="20"/>
        <v>1</v>
      </c>
      <c r="AM425" s="28" t="str">
        <f t="shared" si="19"/>
        <v>praca</v>
      </c>
    </row>
    <row r="426" spans="1:39" x14ac:dyDescent="0.25">
      <c r="A426" t="s">
        <v>247</v>
      </c>
      <c r="B426" t="s">
        <v>11425</v>
      </c>
      <c r="C426" t="s">
        <v>10</v>
      </c>
      <c r="D426" s="27" t="s">
        <v>9835</v>
      </c>
      <c r="E426" t="s">
        <v>192</v>
      </c>
      <c r="F426" s="421">
        <v>1</v>
      </c>
      <c r="G426" t="s">
        <v>193</v>
      </c>
      <c r="H426" t="s">
        <v>194</v>
      </c>
      <c r="I426" t="s">
        <v>10529</v>
      </c>
      <c r="J426" t="s">
        <v>9302</v>
      </c>
      <c r="K426" t="s">
        <v>11426</v>
      </c>
      <c r="L426" t="s">
        <v>6921</v>
      </c>
      <c r="M426" t="s">
        <v>10519</v>
      </c>
      <c r="N426" t="s">
        <v>10045</v>
      </c>
      <c r="O426" t="s">
        <v>9369</v>
      </c>
      <c r="P426" t="s">
        <v>11427</v>
      </c>
      <c r="Q426" t="s">
        <v>11428</v>
      </c>
      <c r="S426" t="s">
        <v>9309</v>
      </c>
      <c r="U426" s="27" t="s">
        <v>484</v>
      </c>
      <c r="V426" t="s">
        <v>193</v>
      </c>
      <c r="W426" t="s">
        <v>9310</v>
      </c>
      <c r="Z426" t="s">
        <v>9311</v>
      </c>
      <c r="AF426" t="s">
        <v>4714</v>
      </c>
      <c r="AG426" t="s">
        <v>11425</v>
      </c>
      <c r="AI426" t="s">
        <v>6955</v>
      </c>
      <c r="AJ426" s="424" t="str">
        <f t="shared" si="18"/>
        <v>251401</v>
      </c>
      <c r="AK426" s="28">
        <v>1</v>
      </c>
      <c r="AL426" s="28">
        <f t="shared" si="20"/>
        <v>1</v>
      </c>
      <c r="AM426" s="28" t="str">
        <f t="shared" si="19"/>
        <v>pracuj.pl</v>
      </c>
    </row>
    <row r="427" spans="1:39" x14ac:dyDescent="0.25">
      <c r="A427" t="s">
        <v>11048</v>
      </c>
      <c r="B427" t="s">
        <v>11049</v>
      </c>
      <c r="C427" t="s">
        <v>17</v>
      </c>
      <c r="D427" s="27" t="s">
        <v>9835</v>
      </c>
      <c r="E427" t="s">
        <v>192</v>
      </c>
      <c r="F427" s="421">
        <v>1</v>
      </c>
      <c r="G427" t="s">
        <v>193</v>
      </c>
      <c r="H427" t="s">
        <v>194</v>
      </c>
      <c r="I427" t="s">
        <v>10529</v>
      </c>
      <c r="J427" t="s">
        <v>9302</v>
      </c>
      <c r="K427" t="s">
        <v>11050</v>
      </c>
      <c r="L427" t="s">
        <v>6266</v>
      </c>
      <c r="M427" t="s">
        <v>10519</v>
      </c>
      <c r="N427" t="s">
        <v>10045</v>
      </c>
      <c r="O427" t="s">
        <v>9369</v>
      </c>
      <c r="P427" t="s">
        <v>11051</v>
      </c>
      <c r="Q427" t="s">
        <v>11052</v>
      </c>
      <c r="S427" t="s">
        <v>9309</v>
      </c>
      <c r="U427" s="27" t="s">
        <v>624</v>
      </c>
      <c r="V427" t="s">
        <v>193</v>
      </c>
      <c r="W427" t="s">
        <v>9310</v>
      </c>
      <c r="Z427" t="s">
        <v>9311</v>
      </c>
      <c r="AF427" t="s">
        <v>4714</v>
      </c>
      <c r="AG427" t="s">
        <v>11049</v>
      </c>
      <c r="AI427" t="s">
        <v>6955</v>
      </c>
      <c r="AJ427" s="424" t="str">
        <f t="shared" si="18"/>
        <v>332203</v>
      </c>
      <c r="AK427" s="28">
        <v>1</v>
      </c>
      <c r="AL427" s="28">
        <f t="shared" si="20"/>
        <v>1</v>
      </c>
      <c r="AM427" s="28" t="str">
        <f t="shared" si="19"/>
        <v>pracuj.pl</v>
      </c>
    </row>
    <row r="428" spans="1:39" x14ac:dyDescent="0.25">
      <c r="A428" t="s">
        <v>11053</v>
      </c>
      <c r="B428" t="s">
        <v>2333</v>
      </c>
      <c r="C428" t="s">
        <v>468</v>
      </c>
      <c r="D428" s="27" t="s">
        <v>9835</v>
      </c>
      <c r="E428" t="s">
        <v>192</v>
      </c>
      <c r="F428" s="421">
        <v>1</v>
      </c>
      <c r="G428" t="s">
        <v>193</v>
      </c>
      <c r="H428" t="s">
        <v>194</v>
      </c>
      <c r="I428" t="s">
        <v>9369</v>
      </c>
      <c r="J428" t="s">
        <v>9302</v>
      </c>
      <c r="K428" t="s">
        <v>11054</v>
      </c>
      <c r="L428" t="s">
        <v>6288</v>
      </c>
      <c r="M428" t="s">
        <v>10519</v>
      </c>
      <c r="N428" t="s">
        <v>10045</v>
      </c>
      <c r="O428" t="s">
        <v>9369</v>
      </c>
      <c r="P428" t="s">
        <v>11055</v>
      </c>
      <c r="Q428" t="s">
        <v>11056</v>
      </c>
      <c r="S428" t="s">
        <v>9309</v>
      </c>
      <c r="U428" s="27" t="s">
        <v>469</v>
      </c>
      <c r="V428" t="s">
        <v>193</v>
      </c>
      <c r="W428" t="s">
        <v>9310</v>
      </c>
      <c r="Z428" t="s">
        <v>9311</v>
      </c>
      <c r="AF428" t="s">
        <v>4714</v>
      </c>
      <c r="AG428" t="s">
        <v>2333</v>
      </c>
      <c r="AI428" t="s">
        <v>6955</v>
      </c>
      <c r="AJ428" s="424" t="str">
        <f t="shared" si="18"/>
        <v>243303</v>
      </c>
      <c r="AK428" s="28">
        <v>1</v>
      </c>
      <c r="AL428" s="28">
        <f t="shared" si="20"/>
        <v>1</v>
      </c>
      <c r="AM428" s="28" t="str">
        <f t="shared" si="19"/>
        <v>pracuj.pl</v>
      </c>
    </row>
    <row r="429" spans="1:39" x14ac:dyDescent="0.25">
      <c r="A429" t="s">
        <v>11057</v>
      </c>
      <c r="B429" t="s">
        <v>17</v>
      </c>
      <c r="C429" t="s">
        <v>17</v>
      </c>
      <c r="D429" s="27" t="s">
        <v>9835</v>
      </c>
      <c r="E429" t="s">
        <v>192</v>
      </c>
      <c r="F429" s="421">
        <v>1</v>
      </c>
      <c r="G429" t="s">
        <v>193</v>
      </c>
      <c r="H429" t="s">
        <v>194</v>
      </c>
      <c r="I429" t="s">
        <v>9461</v>
      </c>
      <c r="J429" t="s">
        <v>9302</v>
      </c>
      <c r="K429" t="s">
        <v>11058</v>
      </c>
      <c r="L429" t="s">
        <v>6245</v>
      </c>
      <c r="M429" t="s">
        <v>10519</v>
      </c>
      <c r="N429" t="s">
        <v>10045</v>
      </c>
      <c r="O429" t="s">
        <v>9318</v>
      </c>
      <c r="P429" t="s">
        <v>11059</v>
      </c>
      <c r="Q429" t="s">
        <v>11060</v>
      </c>
      <c r="S429" t="s">
        <v>9309</v>
      </c>
      <c r="U429" s="27" t="s">
        <v>624</v>
      </c>
      <c r="V429" t="s">
        <v>193</v>
      </c>
      <c r="W429" t="s">
        <v>9310</v>
      </c>
      <c r="Z429" t="s">
        <v>9311</v>
      </c>
      <c r="AF429" t="s">
        <v>4714</v>
      </c>
      <c r="AG429" t="s">
        <v>17</v>
      </c>
      <c r="AI429" t="s">
        <v>6955</v>
      </c>
      <c r="AJ429" s="424" t="str">
        <f t="shared" si="18"/>
        <v>332203</v>
      </c>
      <c r="AK429" s="28">
        <v>1</v>
      </c>
      <c r="AL429" s="28">
        <f t="shared" si="20"/>
        <v>1</v>
      </c>
      <c r="AM429" s="28" t="str">
        <f t="shared" si="19"/>
        <v>pracuj.pl</v>
      </c>
    </row>
    <row r="430" spans="1:39" x14ac:dyDescent="0.25">
      <c r="A430" t="s">
        <v>493</v>
      </c>
      <c r="B430" t="s">
        <v>11438</v>
      </c>
      <c r="C430" t="s">
        <v>10</v>
      </c>
      <c r="D430" s="27" t="s">
        <v>9835</v>
      </c>
      <c r="E430" t="s">
        <v>192</v>
      </c>
      <c r="F430" s="421">
        <v>1</v>
      </c>
      <c r="G430" t="s">
        <v>193</v>
      </c>
      <c r="H430" t="s">
        <v>194</v>
      </c>
      <c r="I430" t="s">
        <v>9491</v>
      </c>
      <c r="J430" t="s">
        <v>210</v>
      </c>
      <c r="K430" t="s">
        <v>11439</v>
      </c>
      <c r="L430" t="s">
        <v>6261</v>
      </c>
      <c r="M430" t="s">
        <v>10519</v>
      </c>
      <c r="N430" t="s">
        <v>10045</v>
      </c>
      <c r="O430" t="s">
        <v>9369</v>
      </c>
      <c r="P430" t="s">
        <v>11440</v>
      </c>
      <c r="Q430" t="s">
        <v>11441</v>
      </c>
      <c r="S430" t="s">
        <v>9309</v>
      </c>
      <c r="T430" s="28" t="s">
        <v>9334</v>
      </c>
      <c r="U430" s="27" t="s">
        <v>484</v>
      </c>
      <c r="V430" t="s">
        <v>194</v>
      </c>
      <c r="W430" t="s">
        <v>9300</v>
      </c>
      <c r="Z430" t="s">
        <v>9311</v>
      </c>
      <c r="AF430" t="s">
        <v>4714</v>
      </c>
      <c r="AG430" t="s">
        <v>11438</v>
      </c>
      <c r="AI430" t="s">
        <v>6955</v>
      </c>
      <c r="AJ430" s="424" t="str">
        <f t="shared" si="18"/>
        <v>251401</v>
      </c>
      <c r="AK430" s="28">
        <v>1</v>
      </c>
      <c r="AL430" s="28">
        <f t="shared" si="20"/>
        <v>1</v>
      </c>
      <c r="AM430" s="28" t="str">
        <f t="shared" si="19"/>
        <v>pracuj.pl</v>
      </c>
    </row>
    <row r="431" spans="1:39" x14ac:dyDescent="0.25">
      <c r="A431" t="s">
        <v>9886</v>
      </c>
      <c r="B431" t="s">
        <v>8</v>
      </c>
      <c r="C431" t="s">
        <v>740</v>
      </c>
      <c r="D431" s="27" t="s">
        <v>9835</v>
      </c>
      <c r="E431" t="s">
        <v>217</v>
      </c>
      <c r="F431" s="421">
        <v>1</v>
      </c>
      <c r="G431" t="s">
        <v>193</v>
      </c>
      <c r="H431" t="s">
        <v>194</v>
      </c>
      <c r="I431" t="s">
        <v>9461</v>
      </c>
      <c r="J431" t="s">
        <v>2183</v>
      </c>
      <c r="K431" t="s">
        <v>9887</v>
      </c>
      <c r="L431" t="s">
        <v>6249</v>
      </c>
      <c r="M431" t="s">
        <v>11067</v>
      </c>
      <c r="N431" t="s">
        <v>9889</v>
      </c>
      <c r="O431" t="s">
        <v>9383</v>
      </c>
      <c r="P431" t="s">
        <v>11068</v>
      </c>
      <c r="Q431" t="s">
        <v>11069</v>
      </c>
      <c r="S431" t="s">
        <v>9309</v>
      </c>
      <c r="T431" s="28" t="s">
        <v>9892</v>
      </c>
      <c r="U431" s="27" t="s">
        <v>741</v>
      </c>
      <c r="V431" t="s">
        <v>194</v>
      </c>
      <c r="W431" t="s">
        <v>9300</v>
      </c>
      <c r="Z431" t="s">
        <v>9311</v>
      </c>
      <c r="AF431" t="s">
        <v>4714</v>
      </c>
      <c r="AG431" t="s">
        <v>8</v>
      </c>
      <c r="AI431" t="s">
        <v>6955</v>
      </c>
      <c r="AJ431" s="424" t="str">
        <f t="shared" si="18"/>
        <v>522301</v>
      </c>
      <c r="AK431" s="28">
        <v>1</v>
      </c>
      <c r="AL431" s="28">
        <f t="shared" si="20"/>
        <v>1</v>
      </c>
      <c r="AM431" s="28" t="str">
        <f t="shared" si="19"/>
        <v>agora</v>
      </c>
    </row>
    <row r="432" spans="1:39" x14ac:dyDescent="0.25">
      <c r="A432" t="s">
        <v>493</v>
      </c>
      <c r="B432" t="s">
        <v>11442</v>
      </c>
      <c r="C432" t="s">
        <v>10</v>
      </c>
      <c r="D432" s="27" t="s">
        <v>9835</v>
      </c>
      <c r="E432" t="s">
        <v>192</v>
      </c>
      <c r="F432" s="421">
        <v>1</v>
      </c>
      <c r="G432" t="s">
        <v>193</v>
      </c>
      <c r="H432" t="s">
        <v>194</v>
      </c>
      <c r="I432" t="s">
        <v>10546</v>
      </c>
      <c r="J432" t="s">
        <v>210</v>
      </c>
      <c r="K432" t="s">
        <v>11443</v>
      </c>
      <c r="L432" t="s">
        <v>6261</v>
      </c>
      <c r="M432" t="s">
        <v>10519</v>
      </c>
      <c r="N432" t="s">
        <v>10045</v>
      </c>
      <c r="O432" t="s">
        <v>9369</v>
      </c>
      <c r="P432" t="s">
        <v>11444</v>
      </c>
      <c r="Q432" t="s">
        <v>11445</v>
      </c>
      <c r="S432" t="s">
        <v>9309</v>
      </c>
      <c r="T432" s="28" t="s">
        <v>9334</v>
      </c>
      <c r="U432" s="27" t="s">
        <v>484</v>
      </c>
      <c r="V432" t="s">
        <v>194</v>
      </c>
      <c r="W432" t="s">
        <v>9300</v>
      </c>
      <c r="Z432" t="s">
        <v>9311</v>
      </c>
      <c r="AF432" t="s">
        <v>4714</v>
      </c>
      <c r="AG432" t="s">
        <v>11442</v>
      </c>
      <c r="AI432" t="s">
        <v>6955</v>
      </c>
      <c r="AJ432" s="424" t="str">
        <f t="shared" si="18"/>
        <v>251401</v>
      </c>
      <c r="AK432" s="28">
        <v>1</v>
      </c>
      <c r="AL432" s="28">
        <f t="shared" si="20"/>
        <v>1</v>
      </c>
      <c r="AM432" s="28" t="str">
        <f t="shared" si="19"/>
        <v>pracuj.pl</v>
      </c>
    </row>
    <row r="433" spans="1:39" x14ac:dyDescent="0.25">
      <c r="A433" t="s">
        <v>2093</v>
      </c>
      <c r="B433" t="s">
        <v>2675</v>
      </c>
      <c r="C433" t="s">
        <v>3438</v>
      </c>
      <c r="D433" s="27" t="s">
        <v>9835</v>
      </c>
      <c r="E433" t="s">
        <v>233</v>
      </c>
      <c r="F433" s="421">
        <v>1</v>
      </c>
      <c r="G433" t="s">
        <v>193</v>
      </c>
      <c r="H433" t="s">
        <v>194</v>
      </c>
      <c r="I433" t="s">
        <v>10529</v>
      </c>
      <c r="J433" t="s">
        <v>210</v>
      </c>
      <c r="K433" t="s">
        <v>11073</v>
      </c>
      <c r="L433" t="s">
        <v>6306</v>
      </c>
      <c r="M433" t="s">
        <v>10564</v>
      </c>
      <c r="N433" t="s">
        <v>9588</v>
      </c>
      <c r="O433" t="s">
        <v>9305</v>
      </c>
      <c r="P433" t="s">
        <v>11074</v>
      </c>
      <c r="Q433" t="s">
        <v>11075</v>
      </c>
      <c r="S433" t="s">
        <v>9309</v>
      </c>
      <c r="T433" s="28" t="s">
        <v>9334</v>
      </c>
      <c r="U433" s="27" t="s">
        <v>3439</v>
      </c>
      <c r="V433" t="s">
        <v>194</v>
      </c>
      <c r="W433" t="s">
        <v>9300</v>
      </c>
      <c r="Z433" t="s">
        <v>9311</v>
      </c>
      <c r="AF433" t="s">
        <v>4714</v>
      </c>
      <c r="AG433" t="s">
        <v>2675</v>
      </c>
      <c r="AI433" t="s">
        <v>6955</v>
      </c>
      <c r="AJ433" s="424" t="str">
        <f t="shared" si="18"/>
        <v>334306</v>
      </c>
      <c r="AK433" s="28">
        <v>1</v>
      </c>
      <c r="AL433" s="28">
        <f t="shared" si="20"/>
        <v>1</v>
      </c>
      <c r="AM433" s="28" t="str">
        <f t="shared" si="19"/>
        <v>praca</v>
      </c>
    </row>
    <row r="434" spans="1:39" x14ac:dyDescent="0.25">
      <c r="A434" t="s">
        <v>2093</v>
      </c>
      <c r="B434" t="s">
        <v>2675</v>
      </c>
      <c r="C434" t="s">
        <v>7</v>
      </c>
      <c r="D434" s="27" t="s">
        <v>9835</v>
      </c>
      <c r="E434" t="s">
        <v>233</v>
      </c>
      <c r="F434" s="421">
        <v>1</v>
      </c>
      <c r="G434" t="s">
        <v>193</v>
      </c>
      <c r="H434" t="s">
        <v>194</v>
      </c>
      <c r="I434" t="s">
        <v>10529</v>
      </c>
      <c r="J434" t="s">
        <v>385</v>
      </c>
      <c r="K434" t="s">
        <v>11076</v>
      </c>
      <c r="L434" t="s">
        <v>6306</v>
      </c>
      <c r="M434" t="s">
        <v>10564</v>
      </c>
      <c r="N434" t="s">
        <v>9588</v>
      </c>
      <c r="O434" t="s">
        <v>9305</v>
      </c>
      <c r="P434" t="s">
        <v>11077</v>
      </c>
      <c r="Q434" t="s">
        <v>11078</v>
      </c>
      <c r="S434" t="s">
        <v>9309</v>
      </c>
      <c r="T434" s="28" t="s">
        <v>9410</v>
      </c>
      <c r="U434" s="27" t="s">
        <v>2698</v>
      </c>
      <c r="V434" t="s">
        <v>194</v>
      </c>
      <c r="W434" t="s">
        <v>9300</v>
      </c>
      <c r="Z434" t="s">
        <v>9311</v>
      </c>
      <c r="AF434" t="s">
        <v>4714</v>
      </c>
      <c r="AG434" t="s">
        <v>2675</v>
      </c>
      <c r="AI434" t="s">
        <v>6955</v>
      </c>
      <c r="AJ434" s="424" t="str">
        <f t="shared" si="18"/>
        <v>335203</v>
      </c>
      <c r="AK434" s="28">
        <v>1</v>
      </c>
      <c r="AL434" s="28">
        <f t="shared" si="20"/>
        <v>1</v>
      </c>
      <c r="AM434" s="28" t="str">
        <f t="shared" si="19"/>
        <v>praca</v>
      </c>
    </row>
    <row r="435" spans="1:39" x14ac:dyDescent="0.25">
      <c r="A435" t="s">
        <v>9907</v>
      </c>
      <c r="B435" t="s">
        <v>9908</v>
      </c>
      <c r="C435" t="s">
        <v>18</v>
      </c>
      <c r="D435" s="27" t="s">
        <v>9835</v>
      </c>
      <c r="E435" t="s">
        <v>217</v>
      </c>
      <c r="F435" s="421">
        <v>1</v>
      </c>
      <c r="G435" t="s">
        <v>193</v>
      </c>
      <c r="H435" t="s">
        <v>194</v>
      </c>
      <c r="I435" t="s">
        <v>10529</v>
      </c>
      <c r="J435" t="s">
        <v>210</v>
      </c>
      <c r="K435" t="s">
        <v>9910</v>
      </c>
      <c r="L435" t="s">
        <v>6340</v>
      </c>
      <c r="M435" t="s">
        <v>10618</v>
      </c>
      <c r="N435" t="s">
        <v>9911</v>
      </c>
      <c r="O435" t="s">
        <v>9750</v>
      </c>
      <c r="P435" t="s">
        <v>11079</v>
      </c>
      <c r="Q435" t="s">
        <v>11080</v>
      </c>
      <c r="S435" t="s">
        <v>9309</v>
      </c>
      <c r="T435" s="28" t="s">
        <v>9334</v>
      </c>
      <c r="U435" s="27" t="s">
        <v>1476</v>
      </c>
      <c r="V435" t="s">
        <v>194</v>
      </c>
      <c r="W435" t="s">
        <v>9300</v>
      </c>
      <c r="Z435" t="s">
        <v>9311</v>
      </c>
      <c r="AF435" t="s">
        <v>4714</v>
      </c>
      <c r="AG435" t="s">
        <v>9433</v>
      </c>
      <c r="AI435" t="s">
        <v>6955</v>
      </c>
      <c r="AJ435" s="424" t="str">
        <f t="shared" si="18"/>
        <v>242309</v>
      </c>
      <c r="AK435" s="28">
        <v>1</v>
      </c>
      <c r="AL435" s="28">
        <f t="shared" si="20"/>
        <v>1</v>
      </c>
      <c r="AM435" s="28" t="str">
        <f t="shared" si="19"/>
        <v>agora</v>
      </c>
    </row>
    <row r="436" spans="1:39" x14ac:dyDescent="0.25">
      <c r="A436" t="s">
        <v>9915</v>
      </c>
      <c r="B436" t="s">
        <v>67</v>
      </c>
      <c r="C436" t="s">
        <v>67</v>
      </c>
      <c r="D436" s="27" t="s">
        <v>9835</v>
      </c>
      <c r="E436" t="s">
        <v>217</v>
      </c>
      <c r="F436" s="421">
        <v>1</v>
      </c>
      <c r="G436" t="s">
        <v>194</v>
      </c>
      <c r="H436" t="s">
        <v>193</v>
      </c>
      <c r="I436" t="s">
        <v>9461</v>
      </c>
      <c r="J436" t="s">
        <v>755</v>
      </c>
      <c r="K436" t="s">
        <v>11081</v>
      </c>
      <c r="L436" t="s">
        <v>6363</v>
      </c>
      <c r="M436" t="s">
        <v>11067</v>
      </c>
      <c r="N436" t="s">
        <v>10234</v>
      </c>
      <c r="O436" t="s">
        <v>9299</v>
      </c>
      <c r="P436" t="s">
        <v>11082</v>
      </c>
      <c r="Q436" t="s">
        <v>11083</v>
      </c>
      <c r="S436" t="s">
        <v>9309</v>
      </c>
      <c r="T436" s="28" t="s">
        <v>9726</v>
      </c>
      <c r="U436" s="27" t="s">
        <v>709</v>
      </c>
      <c r="V436" t="s">
        <v>194</v>
      </c>
      <c r="W436" t="s">
        <v>9300</v>
      </c>
      <c r="Z436" t="s">
        <v>9311</v>
      </c>
      <c r="AF436" t="s">
        <v>4714</v>
      </c>
      <c r="AG436" t="s">
        <v>67</v>
      </c>
      <c r="AI436" t="s">
        <v>6955</v>
      </c>
      <c r="AJ436" s="424" t="str">
        <f t="shared" si="18"/>
        <v>432103</v>
      </c>
      <c r="AK436" s="28">
        <v>1</v>
      </c>
      <c r="AL436" s="28">
        <f t="shared" si="20"/>
        <v>1</v>
      </c>
      <c r="AM436" s="28" t="str">
        <f t="shared" si="19"/>
        <v>agora</v>
      </c>
    </row>
    <row r="437" spans="1:39" x14ac:dyDescent="0.25">
      <c r="A437" t="s">
        <v>11084</v>
      </c>
      <c r="B437" t="s">
        <v>11085</v>
      </c>
      <c r="C437" t="s">
        <v>740</v>
      </c>
      <c r="D437" s="27" t="s">
        <v>9835</v>
      </c>
      <c r="E437" t="s">
        <v>192</v>
      </c>
      <c r="F437" s="421">
        <v>1</v>
      </c>
      <c r="G437" t="s">
        <v>193</v>
      </c>
      <c r="H437" t="s">
        <v>194</v>
      </c>
      <c r="I437" t="s">
        <v>10529</v>
      </c>
      <c r="J437" t="s">
        <v>9302</v>
      </c>
      <c r="K437" t="s">
        <v>11086</v>
      </c>
      <c r="L437" t="s">
        <v>6275</v>
      </c>
      <c r="M437" t="s">
        <v>10519</v>
      </c>
      <c r="N437" t="s">
        <v>10045</v>
      </c>
      <c r="O437" t="s">
        <v>9369</v>
      </c>
      <c r="P437" t="s">
        <v>11087</v>
      </c>
      <c r="Q437" t="s">
        <v>11088</v>
      </c>
      <c r="S437" t="s">
        <v>9309</v>
      </c>
      <c r="U437" s="27" t="s">
        <v>741</v>
      </c>
      <c r="V437" t="s">
        <v>193</v>
      </c>
      <c r="W437" t="s">
        <v>9310</v>
      </c>
      <c r="Z437" t="s">
        <v>9311</v>
      </c>
      <c r="AF437" t="s">
        <v>4714</v>
      </c>
      <c r="AG437" t="s">
        <v>11085</v>
      </c>
      <c r="AI437" t="s">
        <v>6955</v>
      </c>
      <c r="AJ437" s="424" t="str">
        <f t="shared" si="18"/>
        <v>522301</v>
      </c>
      <c r="AK437" s="28">
        <v>1</v>
      </c>
      <c r="AL437" s="28">
        <f t="shared" si="20"/>
        <v>1</v>
      </c>
      <c r="AM437" s="28" t="str">
        <f t="shared" si="19"/>
        <v>pracuj.pl</v>
      </c>
    </row>
    <row r="438" spans="1:39" x14ac:dyDescent="0.25">
      <c r="A438" t="s">
        <v>9037</v>
      </c>
      <c r="B438" t="s">
        <v>11089</v>
      </c>
      <c r="C438" t="s">
        <v>2805</v>
      </c>
      <c r="D438" s="27" t="s">
        <v>9835</v>
      </c>
      <c r="E438" t="s">
        <v>233</v>
      </c>
      <c r="F438" s="421">
        <v>1</v>
      </c>
      <c r="G438" t="s">
        <v>193</v>
      </c>
      <c r="H438" t="s">
        <v>194</v>
      </c>
      <c r="I438" t="s">
        <v>10546</v>
      </c>
      <c r="J438" t="s">
        <v>9302</v>
      </c>
      <c r="K438" t="s">
        <v>11090</v>
      </c>
      <c r="L438" t="s">
        <v>6245</v>
      </c>
      <c r="M438" t="s">
        <v>10564</v>
      </c>
      <c r="N438" t="s">
        <v>9588</v>
      </c>
      <c r="O438" t="s">
        <v>9537</v>
      </c>
      <c r="P438" t="s">
        <v>11091</v>
      </c>
      <c r="Q438" t="s">
        <v>11092</v>
      </c>
      <c r="S438" t="s">
        <v>9309</v>
      </c>
      <c r="U438" s="27" t="s">
        <v>3659</v>
      </c>
      <c r="V438" t="s">
        <v>193</v>
      </c>
      <c r="W438" t="s">
        <v>9310</v>
      </c>
      <c r="Z438" t="s">
        <v>9311</v>
      </c>
      <c r="AF438" t="s">
        <v>4714</v>
      </c>
      <c r="AG438" t="s">
        <v>11089</v>
      </c>
      <c r="AI438" t="s">
        <v>6955</v>
      </c>
      <c r="AJ438" s="424" t="str">
        <f t="shared" si="18"/>
        <v>214410</v>
      </c>
      <c r="AK438" s="28">
        <v>1</v>
      </c>
      <c r="AL438" s="28">
        <f t="shared" si="20"/>
        <v>1</v>
      </c>
      <c r="AM438" s="28" t="str">
        <f t="shared" si="19"/>
        <v>praca</v>
      </c>
    </row>
    <row r="439" spans="1:39" x14ac:dyDescent="0.25">
      <c r="A439" t="s">
        <v>493</v>
      </c>
      <c r="B439" t="s">
        <v>4055</v>
      </c>
      <c r="C439" t="s">
        <v>10</v>
      </c>
      <c r="D439" s="27" t="s">
        <v>9835</v>
      </c>
      <c r="E439" t="s">
        <v>192</v>
      </c>
      <c r="F439" s="421">
        <v>1</v>
      </c>
      <c r="G439" t="s">
        <v>193</v>
      </c>
      <c r="H439" t="s">
        <v>194</v>
      </c>
      <c r="I439" t="s">
        <v>10546</v>
      </c>
      <c r="J439" t="s">
        <v>210</v>
      </c>
      <c r="K439" t="s">
        <v>11450</v>
      </c>
      <c r="L439" t="s">
        <v>6261</v>
      </c>
      <c r="M439" t="s">
        <v>10519</v>
      </c>
      <c r="N439" t="s">
        <v>10045</v>
      </c>
      <c r="O439" t="s">
        <v>9369</v>
      </c>
      <c r="P439" t="s">
        <v>11451</v>
      </c>
      <c r="Q439" t="s">
        <v>11452</v>
      </c>
      <c r="S439" t="s">
        <v>9309</v>
      </c>
      <c r="T439" s="28" t="s">
        <v>9334</v>
      </c>
      <c r="U439" s="27" t="s">
        <v>484</v>
      </c>
      <c r="V439" t="s">
        <v>194</v>
      </c>
      <c r="W439" t="s">
        <v>9300</v>
      </c>
      <c r="Z439" t="s">
        <v>9311</v>
      </c>
      <c r="AF439" t="s">
        <v>4714</v>
      </c>
      <c r="AG439" t="s">
        <v>4055</v>
      </c>
      <c r="AI439" t="s">
        <v>6955</v>
      </c>
      <c r="AJ439" s="424" t="str">
        <f t="shared" si="18"/>
        <v>251401</v>
      </c>
      <c r="AK439" s="28">
        <v>1</v>
      </c>
      <c r="AL439" s="28">
        <f t="shared" si="20"/>
        <v>1</v>
      </c>
      <c r="AM439" s="28" t="str">
        <f t="shared" si="19"/>
        <v>pracuj.pl</v>
      </c>
    </row>
    <row r="440" spans="1:39" x14ac:dyDescent="0.25">
      <c r="A440" t="s">
        <v>493</v>
      </c>
      <c r="B440" t="s">
        <v>11453</v>
      </c>
      <c r="C440" t="s">
        <v>10</v>
      </c>
      <c r="D440" s="27" t="s">
        <v>9835</v>
      </c>
      <c r="E440" t="s">
        <v>192</v>
      </c>
      <c r="F440" s="421">
        <v>1</v>
      </c>
      <c r="G440" t="s">
        <v>193</v>
      </c>
      <c r="H440" t="s">
        <v>194</v>
      </c>
      <c r="I440" t="s">
        <v>10546</v>
      </c>
      <c r="J440" t="s">
        <v>210</v>
      </c>
      <c r="K440" t="s">
        <v>11454</v>
      </c>
      <c r="L440" t="s">
        <v>6261</v>
      </c>
      <c r="M440" t="s">
        <v>10519</v>
      </c>
      <c r="N440" t="s">
        <v>10045</v>
      </c>
      <c r="O440" t="s">
        <v>9369</v>
      </c>
      <c r="P440" t="s">
        <v>11455</v>
      </c>
      <c r="Q440" t="s">
        <v>11456</v>
      </c>
      <c r="S440" t="s">
        <v>9309</v>
      </c>
      <c r="T440" s="28" t="s">
        <v>9334</v>
      </c>
      <c r="U440" s="27" t="s">
        <v>484</v>
      </c>
      <c r="V440" t="s">
        <v>194</v>
      </c>
      <c r="W440" t="s">
        <v>9300</v>
      </c>
      <c r="Z440" t="s">
        <v>9311</v>
      </c>
      <c r="AF440" t="s">
        <v>4714</v>
      </c>
      <c r="AG440" t="s">
        <v>11453</v>
      </c>
      <c r="AI440" t="s">
        <v>6955</v>
      </c>
      <c r="AJ440" s="424" t="str">
        <f t="shared" si="18"/>
        <v>251401</v>
      </c>
      <c r="AK440" s="28">
        <v>1</v>
      </c>
      <c r="AL440" s="28">
        <f t="shared" si="20"/>
        <v>1</v>
      </c>
      <c r="AM440" s="28" t="str">
        <f t="shared" si="19"/>
        <v>pracuj.pl</v>
      </c>
    </row>
    <row r="441" spans="1:39" x14ac:dyDescent="0.25">
      <c r="A441" t="s">
        <v>493</v>
      </c>
      <c r="B441" t="s">
        <v>11457</v>
      </c>
      <c r="C441" t="s">
        <v>10</v>
      </c>
      <c r="D441" s="27" t="s">
        <v>9835</v>
      </c>
      <c r="E441" t="s">
        <v>192</v>
      </c>
      <c r="F441" s="421">
        <v>1</v>
      </c>
      <c r="G441" t="s">
        <v>193</v>
      </c>
      <c r="H441" t="s">
        <v>194</v>
      </c>
      <c r="I441" t="s">
        <v>10546</v>
      </c>
      <c r="J441" t="s">
        <v>210</v>
      </c>
      <c r="K441" t="s">
        <v>11458</v>
      </c>
      <c r="L441" t="s">
        <v>6261</v>
      </c>
      <c r="M441" t="s">
        <v>10519</v>
      </c>
      <c r="N441" t="s">
        <v>10045</v>
      </c>
      <c r="O441" t="s">
        <v>9369</v>
      </c>
      <c r="P441" t="s">
        <v>11459</v>
      </c>
      <c r="Q441" t="s">
        <v>11460</v>
      </c>
      <c r="S441" t="s">
        <v>9309</v>
      </c>
      <c r="T441" s="28" t="s">
        <v>9334</v>
      </c>
      <c r="U441" s="27" t="s">
        <v>484</v>
      </c>
      <c r="V441" t="s">
        <v>194</v>
      </c>
      <c r="W441" t="s">
        <v>9300</v>
      </c>
      <c r="Z441" t="s">
        <v>9311</v>
      </c>
      <c r="AF441" t="s">
        <v>4714</v>
      </c>
      <c r="AG441" t="s">
        <v>11457</v>
      </c>
      <c r="AI441" t="s">
        <v>6955</v>
      </c>
      <c r="AJ441" s="424" t="str">
        <f t="shared" si="18"/>
        <v>251401</v>
      </c>
      <c r="AK441" s="28">
        <v>1</v>
      </c>
      <c r="AL441" s="28">
        <f t="shared" si="20"/>
        <v>1</v>
      </c>
      <c r="AM441" s="28" t="str">
        <f t="shared" si="19"/>
        <v>pracuj.pl</v>
      </c>
    </row>
    <row r="442" spans="1:39" x14ac:dyDescent="0.25">
      <c r="A442" t="s">
        <v>493</v>
      </c>
      <c r="B442" t="s">
        <v>11461</v>
      </c>
      <c r="C442" t="s">
        <v>10</v>
      </c>
      <c r="D442" s="27" t="s">
        <v>9835</v>
      </c>
      <c r="E442" t="s">
        <v>192</v>
      </c>
      <c r="F442" s="421">
        <v>1</v>
      </c>
      <c r="G442" t="s">
        <v>193</v>
      </c>
      <c r="H442" t="s">
        <v>194</v>
      </c>
      <c r="I442" t="s">
        <v>10546</v>
      </c>
      <c r="J442" t="s">
        <v>210</v>
      </c>
      <c r="K442" t="s">
        <v>11462</v>
      </c>
      <c r="L442" t="s">
        <v>6261</v>
      </c>
      <c r="M442" t="s">
        <v>10519</v>
      </c>
      <c r="N442" t="s">
        <v>10045</v>
      </c>
      <c r="O442" t="s">
        <v>9369</v>
      </c>
      <c r="P442" t="s">
        <v>11463</v>
      </c>
      <c r="Q442" t="s">
        <v>11464</v>
      </c>
      <c r="S442" t="s">
        <v>9309</v>
      </c>
      <c r="T442" s="28" t="s">
        <v>9334</v>
      </c>
      <c r="U442" s="27" t="s">
        <v>484</v>
      </c>
      <c r="V442" t="s">
        <v>194</v>
      </c>
      <c r="W442" t="s">
        <v>9300</v>
      </c>
      <c r="Z442" t="s">
        <v>9311</v>
      </c>
      <c r="AF442" t="s">
        <v>4714</v>
      </c>
      <c r="AG442" t="s">
        <v>11461</v>
      </c>
      <c r="AI442" t="s">
        <v>6955</v>
      </c>
      <c r="AJ442" s="424" t="str">
        <f t="shared" si="18"/>
        <v>251401</v>
      </c>
      <c r="AK442" s="28">
        <v>1</v>
      </c>
      <c r="AL442" s="28">
        <f t="shared" si="20"/>
        <v>1</v>
      </c>
      <c r="AM442" s="28" t="str">
        <f t="shared" si="19"/>
        <v>pracuj.pl</v>
      </c>
    </row>
    <row r="443" spans="1:39" x14ac:dyDescent="0.25">
      <c r="A443" t="s">
        <v>9951</v>
      </c>
      <c r="B443" t="s">
        <v>9952</v>
      </c>
      <c r="C443" t="s">
        <v>17</v>
      </c>
      <c r="D443" s="27" t="s">
        <v>9835</v>
      </c>
      <c r="E443" t="s">
        <v>217</v>
      </c>
      <c r="F443" s="421">
        <v>1</v>
      </c>
      <c r="G443" t="s">
        <v>193</v>
      </c>
      <c r="H443" t="s">
        <v>194</v>
      </c>
      <c r="I443" t="s">
        <v>10529</v>
      </c>
      <c r="J443" t="s">
        <v>309</v>
      </c>
      <c r="K443" t="s">
        <v>9954</v>
      </c>
      <c r="L443" t="s">
        <v>6249</v>
      </c>
      <c r="M443" t="s">
        <v>10618</v>
      </c>
      <c r="N443" t="s">
        <v>9955</v>
      </c>
      <c r="O443" t="s">
        <v>9956</v>
      </c>
      <c r="P443" t="s">
        <v>11103</v>
      </c>
      <c r="Q443" t="s">
        <v>11104</v>
      </c>
      <c r="S443" t="s">
        <v>9309</v>
      </c>
      <c r="T443" s="28" t="s">
        <v>9518</v>
      </c>
      <c r="U443" s="27" t="s">
        <v>624</v>
      </c>
      <c r="V443" t="s">
        <v>194</v>
      </c>
      <c r="W443" t="s">
        <v>9300</v>
      </c>
      <c r="Z443" t="s">
        <v>9311</v>
      </c>
      <c r="AF443" t="s">
        <v>4714</v>
      </c>
      <c r="AG443" t="s">
        <v>9433</v>
      </c>
      <c r="AI443" t="s">
        <v>6955</v>
      </c>
      <c r="AJ443" s="424" t="str">
        <f t="shared" si="18"/>
        <v>332203</v>
      </c>
      <c r="AK443" s="28">
        <v>1</v>
      </c>
      <c r="AL443" s="28">
        <f t="shared" si="20"/>
        <v>1</v>
      </c>
      <c r="AM443" s="28" t="str">
        <f t="shared" si="19"/>
        <v>agora</v>
      </c>
    </row>
    <row r="444" spans="1:39" x14ac:dyDescent="0.25">
      <c r="A444" t="s">
        <v>1471</v>
      </c>
      <c r="B444" t="s">
        <v>11105</v>
      </c>
      <c r="C444" t="s">
        <v>2836</v>
      </c>
      <c r="D444" s="27" t="s">
        <v>9835</v>
      </c>
      <c r="E444" t="s">
        <v>233</v>
      </c>
      <c r="F444" s="421">
        <v>1</v>
      </c>
      <c r="G444" t="s">
        <v>193</v>
      </c>
      <c r="H444" t="s">
        <v>194</v>
      </c>
      <c r="I444" t="s">
        <v>10546</v>
      </c>
      <c r="J444" t="s">
        <v>253</v>
      </c>
      <c r="K444" t="s">
        <v>11106</v>
      </c>
      <c r="L444" t="s">
        <v>6275</v>
      </c>
      <c r="M444" t="s">
        <v>10539</v>
      </c>
      <c r="N444" t="s">
        <v>9588</v>
      </c>
      <c r="O444" t="s">
        <v>9537</v>
      </c>
      <c r="P444" t="s">
        <v>11107</v>
      </c>
      <c r="Q444" t="s">
        <v>11108</v>
      </c>
      <c r="S444" t="s">
        <v>9309</v>
      </c>
      <c r="T444" s="28" t="s">
        <v>9468</v>
      </c>
      <c r="U444" s="27" t="s">
        <v>11109</v>
      </c>
      <c r="V444" t="s">
        <v>194</v>
      </c>
      <c r="W444" t="s">
        <v>9300</v>
      </c>
      <c r="Z444" t="s">
        <v>9311</v>
      </c>
      <c r="AF444" t="s">
        <v>4714</v>
      </c>
      <c r="AG444" t="s">
        <v>11105</v>
      </c>
      <c r="AI444" t="s">
        <v>6955</v>
      </c>
      <c r="AJ444" s="424" t="str">
        <f t="shared" si="18"/>
        <v>813101</v>
      </c>
      <c r="AK444" s="28">
        <v>1</v>
      </c>
      <c r="AL444" s="28">
        <f t="shared" si="20"/>
        <v>1</v>
      </c>
      <c r="AM444" s="28" t="str">
        <f t="shared" si="19"/>
        <v>praca</v>
      </c>
    </row>
    <row r="445" spans="1:39" x14ac:dyDescent="0.25">
      <c r="A445" t="s">
        <v>1471</v>
      </c>
      <c r="B445" t="s">
        <v>11110</v>
      </c>
      <c r="C445" t="s">
        <v>103</v>
      </c>
      <c r="D445" s="27" t="s">
        <v>9835</v>
      </c>
      <c r="E445" t="s">
        <v>233</v>
      </c>
      <c r="F445" s="421">
        <v>1</v>
      </c>
      <c r="G445" t="s">
        <v>193</v>
      </c>
      <c r="H445" t="s">
        <v>194</v>
      </c>
      <c r="I445" t="s">
        <v>10529</v>
      </c>
      <c r="J445" t="s">
        <v>11111</v>
      </c>
      <c r="K445" t="s">
        <v>11112</v>
      </c>
      <c r="L445" t="s">
        <v>6245</v>
      </c>
      <c r="M445" t="s">
        <v>10564</v>
      </c>
      <c r="N445" t="s">
        <v>9588</v>
      </c>
      <c r="O445" t="s">
        <v>9491</v>
      </c>
      <c r="P445" t="s">
        <v>11113</v>
      </c>
      <c r="Q445" t="s">
        <v>11114</v>
      </c>
      <c r="S445" t="s">
        <v>9309</v>
      </c>
      <c r="T445" s="28" t="s">
        <v>9786</v>
      </c>
      <c r="U445" s="27" t="s">
        <v>1443</v>
      </c>
      <c r="V445" t="s">
        <v>194</v>
      </c>
      <c r="W445" t="s">
        <v>9300</v>
      </c>
      <c r="Z445" t="s">
        <v>9311</v>
      </c>
      <c r="AF445" t="s">
        <v>4714</v>
      </c>
      <c r="AG445" t="s">
        <v>11110</v>
      </c>
      <c r="AI445" t="s">
        <v>6955</v>
      </c>
      <c r="AJ445" s="424" t="str">
        <f t="shared" si="18"/>
        <v>132103</v>
      </c>
      <c r="AK445" s="28">
        <v>1</v>
      </c>
      <c r="AL445" s="28">
        <f t="shared" si="20"/>
        <v>1</v>
      </c>
      <c r="AM445" s="28" t="str">
        <f t="shared" si="19"/>
        <v>praca</v>
      </c>
    </row>
    <row r="446" spans="1:39" x14ac:dyDescent="0.25">
      <c r="A446" t="s">
        <v>11115</v>
      </c>
      <c r="B446" t="s">
        <v>47</v>
      </c>
      <c r="C446" t="s">
        <v>5538</v>
      </c>
      <c r="D446" s="27" t="s">
        <v>9835</v>
      </c>
      <c r="E446" t="s">
        <v>233</v>
      </c>
      <c r="F446" s="421">
        <v>1</v>
      </c>
      <c r="G446" t="s">
        <v>194</v>
      </c>
      <c r="H446" t="s">
        <v>193</v>
      </c>
      <c r="I446" t="s">
        <v>9461</v>
      </c>
      <c r="J446" t="s">
        <v>9302</v>
      </c>
      <c r="K446" t="s">
        <v>11116</v>
      </c>
      <c r="L446" t="s">
        <v>6256</v>
      </c>
      <c r="M446" t="s">
        <v>10539</v>
      </c>
      <c r="N446" t="s">
        <v>9588</v>
      </c>
      <c r="O446" t="s">
        <v>9318</v>
      </c>
      <c r="P446" t="s">
        <v>11117</v>
      </c>
      <c r="Q446" t="s">
        <v>11118</v>
      </c>
      <c r="S446" t="s">
        <v>9309</v>
      </c>
      <c r="U446" s="27" t="s">
        <v>4213</v>
      </c>
      <c r="V446" t="s">
        <v>194</v>
      </c>
      <c r="W446" t="s">
        <v>9946</v>
      </c>
      <c r="Z446" t="s">
        <v>9311</v>
      </c>
      <c r="AF446" t="s">
        <v>4714</v>
      </c>
      <c r="AG446" t="s">
        <v>47</v>
      </c>
      <c r="AI446" t="s">
        <v>6955</v>
      </c>
      <c r="AJ446" s="424" t="str">
        <f t="shared" si="18"/>
        <v>711501</v>
      </c>
      <c r="AK446" s="28">
        <v>1</v>
      </c>
      <c r="AL446" s="28">
        <f t="shared" si="20"/>
        <v>1</v>
      </c>
      <c r="AM446" s="28" t="str">
        <f t="shared" si="19"/>
        <v>praca</v>
      </c>
    </row>
    <row r="447" spans="1:39" x14ac:dyDescent="0.25">
      <c r="A447" t="s">
        <v>11115</v>
      </c>
      <c r="B447" t="s">
        <v>11119</v>
      </c>
      <c r="C447" t="s">
        <v>11120</v>
      </c>
      <c r="D447" s="27" t="s">
        <v>9835</v>
      </c>
      <c r="E447" t="s">
        <v>233</v>
      </c>
      <c r="F447" s="421">
        <v>1</v>
      </c>
      <c r="G447" t="s">
        <v>193</v>
      </c>
      <c r="H447" t="s">
        <v>194</v>
      </c>
      <c r="I447" t="s">
        <v>10546</v>
      </c>
      <c r="J447" t="s">
        <v>9302</v>
      </c>
      <c r="K447" t="s">
        <v>11121</v>
      </c>
      <c r="L447" t="s">
        <v>6256</v>
      </c>
      <c r="M447" t="s">
        <v>10564</v>
      </c>
      <c r="N447" t="s">
        <v>10045</v>
      </c>
      <c r="O447" t="s">
        <v>9318</v>
      </c>
      <c r="P447" t="s">
        <v>11122</v>
      </c>
      <c r="Q447" t="s">
        <v>11123</v>
      </c>
      <c r="S447" t="s">
        <v>9309</v>
      </c>
      <c r="U447" s="27" t="s">
        <v>11124</v>
      </c>
      <c r="V447" t="s">
        <v>193</v>
      </c>
      <c r="W447" t="s">
        <v>9310</v>
      </c>
      <c r="Z447" t="s">
        <v>9311</v>
      </c>
      <c r="AF447" t="s">
        <v>4714</v>
      </c>
      <c r="AG447" t="s">
        <v>11119</v>
      </c>
      <c r="AI447" t="s">
        <v>6955</v>
      </c>
      <c r="AJ447" s="424" t="str">
        <f t="shared" si="18"/>
        <v>712901</v>
      </c>
      <c r="AK447" s="28">
        <v>1</v>
      </c>
      <c r="AL447" s="28">
        <f t="shared" si="20"/>
        <v>1</v>
      </c>
      <c r="AM447" s="28" t="str">
        <f t="shared" si="19"/>
        <v>praca</v>
      </c>
    </row>
    <row r="448" spans="1:39" x14ac:dyDescent="0.25">
      <c r="A448" t="s">
        <v>493</v>
      </c>
      <c r="B448" t="s">
        <v>11469</v>
      </c>
      <c r="C448" t="s">
        <v>10</v>
      </c>
      <c r="D448" s="27" t="s">
        <v>9835</v>
      </c>
      <c r="E448" t="s">
        <v>192</v>
      </c>
      <c r="F448" s="421">
        <v>1</v>
      </c>
      <c r="G448" t="s">
        <v>193</v>
      </c>
      <c r="H448" t="s">
        <v>194</v>
      </c>
      <c r="I448" t="s">
        <v>10562</v>
      </c>
      <c r="J448" t="s">
        <v>210</v>
      </c>
      <c r="K448" t="s">
        <v>11470</v>
      </c>
      <c r="L448" t="s">
        <v>6261</v>
      </c>
      <c r="M448" t="s">
        <v>10519</v>
      </c>
      <c r="N448" t="s">
        <v>10045</v>
      </c>
      <c r="O448" t="s">
        <v>9369</v>
      </c>
      <c r="P448" t="s">
        <v>11471</v>
      </c>
      <c r="Q448" t="s">
        <v>11472</v>
      </c>
      <c r="S448" t="s">
        <v>9309</v>
      </c>
      <c r="T448" s="28" t="s">
        <v>9334</v>
      </c>
      <c r="U448" s="27" t="s">
        <v>484</v>
      </c>
      <c r="V448" t="s">
        <v>194</v>
      </c>
      <c r="W448" t="s">
        <v>9300</v>
      </c>
      <c r="Z448" t="s">
        <v>9311</v>
      </c>
      <c r="AF448" t="s">
        <v>4714</v>
      </c>
      <c r="AG448" t="s">
        <v>11469</v>
      </c>
      <c r="AI448" t="s">
        <v>6955</v>
      </c>
      <c r="AJ448" s="424" t="str">
        <f t="shared" si="18"/>
        <v>251401</v>
      </c>
      <c r="AK448" s="28">
        <v>1</v>
      </c>
      <c r="AL448" s="28">
        <f t="shared" si="20"/>
        <v>1</v>
      </c>
      <c r="AM448" s="28" t="str">
        <f t="shared" si="19"/>
        <v>pracuj.pl</v>
      </c>
    </row>
    <row r="449" spans="1:40" x14ac:dyDescent="0.25">
      <c r="A449" t="s">
        <v>716</v>
      </c>
      <c r="B449" t="s">
        <v>9964</v>
      </c>
      <c r="C449" t="s">
        <v>62</v>
      </c>
      <c r="D449" s="27" t="s">
        <v>9835</v>
      </c>
      <c r="E449" t="s">
        <v>217</v>
      </c>
      <c r="F449" s="421">
        <v>1</v>
      </c>
      <c r="G449" t="s">
        <v>193</v>
      </c>
      <c r="H449" t="s">
        <v>194</v>
      </c>
      <c r="I449" t="s">
        <v>9343</v>
      </c>
      <c r="J449" t="s">
        <v>253</v>
      </c>
      <c r="K449" t="s">
        <v>9965</v>
      </c>
      <c r="L449" t="s">
        <v>6363</v>
      </c>
      <c r="M449" t="s">
        <v>10618</v>
      </c>
      <c r="N449" t="s">
        <v>9966</v>
      </c>
      <c r="O449" t="s">
        <v>9967</v>
      </c>
      <c r="P449" t="s">
        <v>11130</v>
      </c>
      <c r="Q449" t="s">
        <v>11131</v>
      </c>
      <c r="S449" t="s">
        <v>9309</v>
      </c>
      <c r="T449" s="28" t="s">
        <v>9468</v>
      </c>
      <c r="U449" s="27" t="s">
        <v>601</v>
      </c>
      <c r="V449" t="s">
        <v>194</v>
      </c>
      <c r="W449" t="s">
        <v>9300</v>
      </c>
      <c r="Z449" t="s">
        <v>9311</v>
      </c>
      <c r="AF449" t="s">
        <v>4714</v>
      </c>
      <c r="AG449" t="s">
        <v>9433</v>
      </c>
      <c r="AI449" t="s">
        <v>6955</v>
      </c>
      <c r="AJ449" s="424" t="str">
        <f t="shared" si="18"/>
        <v>313904</v>
      </c>
      <c r="AK449" s="28">
        <v>1</v>
      </c>
      <c r="AL449" s="28">
        <f t="shared" si="20"/>
        <v>1</v>
      </c>
      <c r="AM449" s="28" t="str">
        <f t="shared" si="19"/>
        <v>agora</v>
      </c>
    </row>
    <row r="450" spans="1:40" x14ac:dyDescent="0.25">
      <c r="A450" t="s">
        <v>8187</v>
      </c>
      <c r="B450" t="s">
        <v>9975</v>
      </c>
      <c r="C450" t="s">
        <v>740</v>
      </c>
      <c r="D450" s="27" t="s">
        <v>9835</v>
      </c>
      <c r="E450" t="s">
        <v>192</v>
      </c>
      <c r="F450" s="421">
        <v>1</v>
      </c>
      <c r="G450" t="s">
        <v>193</v>
      </c>
      <c r="H450" t="s">
        <v>194</v>
      </c>
      <c r="I450" t="s">
        <v>10546</v>
      </c>
      <c r="J450" t="s">
        <v>399</v>
      </c>
      <c r="K450" t="s">
        <v>11132</v>
      </c>
      <c r="L450" t="s">
        <v>6251</v>
      </c>
      <c r="M450" t="s">
        <v>10519</v>
      </c>
      <c r="N450" t="s">
        <v>10045</v>
      </c>
      <c r="O450" t="s">
        <v>9967</v>
      </c>
      <c r="P450" t="s">
        <v>11133</v>
      </c>
      <c r="Q450" t="s">
        <v>11134</v>
      </c>
      <c r="S450" t="s">
        <v>9309</v>
      </c>
      <c r="T450" s="28" t="s">
        <v>11135</v>
      </c>
      <c r="U450" s="27" t="s">
        <v>741</v>
      </c>
      <c r="V450" t="s">
        <v>194</v>
      </c>
      <c r="W450" t="s">
        <v>9300</v>
      </c>
      <c r="Z450" t="s">
        <v>9311</v>
      </c>
      <c r="AF450" t="s">
        <v>4714</v>
      </c>
      <c r="AG450" t="s">
        <v>9975</v>
      </c>
      <c r="AI450" t="s">
        <v>6955</v>
      </c>
      <c r="AJ450" s="424" t="str">
        <f t="shared" ref="AJ450:AJ513" si="21">MID(U450,8,6)</f>
        <v>522301</v>
      </c>
      <c r="AK450" s="28">
        <v>1</v>
      </c>
      <c r="AL450" s="28">
        <f t="shared" si="20"/>
        <v>1</v>
      </c>
      <c r="AM450" s="28" t="str">
        <f t="shared" ref="AM450:AM513" si="22">T(E450)</f>
        <v>pracuj.pl</v>
      </c>
    </row>
    <row r="451" spans="1:40" x14ac:dyDescent="0.25">
      <c r="A451" t="s">
        <v>8187</v>
      </c>
      <c r="B451" t="s">
        <v>9975</v>
      </c>
      <c r="C451" t="s">
        <v>740</v>
      </c>
      <c r="D451" s="27" t="s">
        <v>9835</v>
      </c>
      <c r="E451" t="s">
        <v>192</v>
      </c>
      <c r="F451" s="421">
        <v>1</v>
      </c>
      <c r="G451" t="s">
        <v>193</v>
      </c>
      <c r="H451" t="s">
        <v>194</v>
      </c>
      <c r="I451" t="s">
        <v>10546</v>
      </c>
      <c r="J451" t="s">
        <v>747</v>
      </c>
      <c r="K451" t="s">
        <v>11136</v>
      </c>
      <c r="L451" t="s">
        <v>6251</v>
      </c>
      <c r="M451" t="s">
        <v>10519</v>
      </c>
      <c r="N451" t="s">
        <v>10045</v>
      </c>
      <c r="O451" t="s">
        <v>9967</v>
      </c>
      <c r="P451" t="s">
        <v>11137</v>
      </c>
      <c r="Q451" t="s">
        <v>11138</v>
      </c>
      <c r="S451" t="s">
        <v>9309</v>
      </c>
      <c r="T451" s="28" t="s">
        <v>10397</v>
      </c>
      <c r="U451" s="27" t="s">
        <v>741</v>
      </c>
      <c r="V451" t="s">
        <v>194</v>
      </c>
      <c r="W451" t="s">
        <v>9300</v>
      </c>
      <c r="Z451" t="s">
        <v>9311</v>
      </c>
      <c r="AF451" t="s">
        <v>4714</v>
      </c>
      <c r="AG451" t="s">
        <v>9975</v>
      </c>
      <c r="AI451" t="s">
        <v>6955</v>
      </c>
      <c r="AJ451" s="424" t="str">
        <f t="shared" si="21"/>
        <v>522301</v>
      </c>
      <c r="AK451" s="28">
        <v>1</v>
      </c>
      <c r="AL451" s="28">
        <f t="shared" ref="AL451:AL514" si="23">SUM(F451)</f>
        <v>1</v>
      </c>
      <c r="AM451" s="28" t="str">
        <f t="shared" si="22"/>
        <v>pracuj.pl</v>
      </c>
    </row>
    <row r="452" spans="1:40" x14ac:dyDescent="0.25">
      <c r="A452" t="s">
        <v>694</v>
      </c>
      <c r="B452" t="s">
        <v>695</v>
      </c>
      <c r="C452" t="s">
        <v>157</v>
      </c>
      <c r="D452" s="27" t="s">
        <v>9835</v>
      </c>
      <c r="E452" t="s">
        <v>192</v>
      </c>
      <c r="F452" s="421">
        <v>1</v>
      </c>
      <c r="G452" t="s">
        <v>193</v>
      </c>
      <c r="H452" t="s">
        <v>194</v>
      </c>
      <c r="I452" t="s">
        <v>10529</v>
      </c>
      <c r="J452" t="s">
        <v>253</v>
      </c>
      <c r="K452" t="s">
        <v>11139</v>
      </c>
      <c r="L452" t="s">
        <v>6921</v>
      </c>
      <c r="M452" t="s">
        <v>10519</v>
      </c>
      <c r="N452" t="s">
        <v>10045</v>
      </c>
      <c r="O452" t="s">
        <v>9369</v>
      </c>
      <c r="P452" t="s">
        <v>11140</v>
      </c>
      <c r="Q452" t="s">
        <v>11141</v>
      </c>
      <c r="S452" t="s">
        <v>9309</v>
      </c>
      <c r="T452" s="28" t="s">
        <v>9468</v>
      </c>
      <c r="U452" s="27" t="s">
        <v>2425</v>
      </c>
      <c r="V452" t="s">
        <v>194</v>
      </c>
      <c r="W452" t="s">
        <v>9300</v>
      </c>
      <c r="Z452" t="s">
        <v>9311</v>
      </c>
      <c r="AF452" t="s">
        <v>4714</v>
      </c>
      <c r="AG452" t="s">
        <v>695</v>
      </c>
      <c r="AI452" t="s">
        <v>6955</v>
      </c>
      <c r="AJ452" s="424" t="str">
        <f t="shared" si="21"/>
        <v>742208</v>
      </c>
      <c r="AK452" s="28">
        <v>1</v>
      </c>
      <c r="AL452" s="28">
        <f t="shared" si="23"/>
        <v>1</v>
      </c>
      <c r="AM452" s="28" t="str">
        <f t="shared" si="22"/>
        <v>pracuj.pl</v>
      </c>
    </row>
    <row r="453" spans="1:40" x14ac:dyDescent="0.25">
      <c r="A453" t="s">
        <v>10002</v>
      </c>
      <c r="B453" t="s">
        <v>10003</v>
      </c>
      <c r="C453" t="s">
        <v>740</v>
      </c>
      <c r="D453" s="27" t="s">
        <v>9835</v>
      </c>
      <c r="E453" t="s">
        <v>217</v>
      </c>
      <c r="F453" s="421">
        <v>1</v>
      </c>
      <c r="G453" t="s">
        <v>193</v>
      </c>
      <c r="H453" t="s">
        <v>194</v>
      </c>
      <c r="I453" t="s">
        <v>10546</v>
      </c>
      <c r="J453" t="s">
        <v>210</v>
      </c>
      <c r="K453" t="s">
        <v>10004</v>
      </c>
      <c r="L453" t="s">
        <v>6249</v>
      </c>
      <c r="M453" t="s">
        <v>10641</v>
      </c>
      <c r="N453" t="s">
        <v>10005</v>
      </c>
      <c r="O453" t="s">
        <v>9430</v>
      </c>
      <c r="P453" t="s">
        <v>11142</v>
      </c>
      <c r="Q453" t="s">
        <v>11143</v>
      </c>
      <c r="S453" t="s">
        <v>9309</v>
      </c>
      <c r="T453" s="28" t="s">
        <v>9334</v>
      </c>
      <c r="U453" s="27" t="s">
        <v>741</v>
      </c>
      <c r="V453" t="s">
        <v>194</v>
      </c>
      <c r="W453" t="s">
        <v>9300</v>
      </c>
      <c r="Z453" t="s">
        <v>9311</v>
      </c>
      <c r="AF453" t="s">
        <v>4714</v>
      </c>
      <c r="AG453" t="s">
        <v>9433</v>
      </c>
      <c r="AI453" t="s">
        <v>6955</v>
      </c>
      <c r="AJ453" s="424" t="str">
        <f t="shared" si="21"/>
        <v>522301</v>
      </c>
      <c r="AK453" s="28">
        <v>1</v>
      </c>
      <c r="AL453" s="28">
        <f t="shared" si="23"/>
        <v>1</v>
      </c>
      <c r="AM453" s="28" t="str">
        <f t="shared" si="22"/>
        <v>agora</v>
      </c>
    </row>
    <row r="454" spans="1:40" x14ac:dyDescent="0.25">
      <c r="A454" t="s">
        <v>11144</v>
      </c>
      <c r="B454" t="s">
        <v>11145</v>
      </c>
      <c r="C454" t="s">
        <v>341</v>
      </c>
      <c r="D454" s="27" t="s">
        <v>9835</v>
      </c>
      <c r="E454" t="s">
        <v>233</v>
      </c>
      <c r="F454" s="421">
        <v>1</v>
      </c>
      <c r="G454" t="s">
        <v>193</v>
      </c>
      <c r="H454" t="s">
        <v>194</v>
      </c>
      <c r="I454" t="s">
        <v>10529</v>
      </c>
      <c r="J454" t="s">
        <v>9302</v>
      </c>
      <c r="K454" t="s">
        <v>11146</v>
      </c>
      <c r="L454" t="s">
        <v>6249</v>
      </c>
      <c r="M454" t="s">
        <v>10564</v>
      </c>
      <c r="N454" t="s">
        <v>9588</v>
      </c>
      <c r="O454" t="s">
        <v>9537</v>
      </c>
      <c r="P454" t="s">
        <v>11147</v>
      </c>
      <c r="Q454" t="s">
        <v>11148</v>
      </c>
      <c r="S454" t="s">
        <v>9309</v>
      </c>
      <c r="U454" s="27" t="s">
        <v>342</v>
      </c>
      <c r="V454" t="s">
        <v>193</v>
      </c>
      <c r="W454" t="s">
        <v>9310</v>
      </c>
      <c r="Z454" t="s">
        <v>9311</v>
      </c>
      <c r="AF454" t="s">
        <v>4714</v>
      </c>
      <c r="AG454" t="s">
        <v>11145</v>
      </c>
      <c r="AI454" t="s">
        <v>6955</v>
      </c>
      <c r="AJ454" s="424" t="str">
        <f t="shared" si="21"/>
        <v>214906</v>
      </c>
      <c r="AK454" s="28">
        <v>1</v>
      </c>
      <c r="AL454" s="28">
        <f t="shared" si="23"/>
        <v>1</v>
      </c>
      <c r="AM454" s="28" t="str">
        <f t="shared" si="22"/>
        <v>praca</v>
      </c>
    </row>
    <row r="455" spans="1:40" x14ac:dyDescent="0.25">
      <c r="A455" t="s">
        <v>11149</v>
      </c>
      <c r="B455" t="s">
        <v>2192</v>
      </c>
      <c r="C455" t="s">
        <v>29</v>
      </c>
      <c r="D455" s="27" t="s">
        <v>9835</v>
      </c>
      <c r="E455" t="s">
        <v>192</v>
      </c>
      <c r="F455" s="421">
        <v>1</v>
      </c>
      <c r="G455" t="s">
        <v>193</v>
      </c>
      <c r="H455" t="s">
        <v>194</v>
      </c>
      <c r="I455" t="s">
        <v>9343</v>
      </c>
      <c r="J455" t="s">
        <v>11150</v>
      </c>
      <c r="K455" t="s">
        <v>11151</v>
      </c>
      <c r="L455" t="s">
        <v>6275</v>
      </c>
      <c r="M455" t="s">
        <v>10519</v>
      </c>
      <c r="N455" t="s">
        <v>10045</v>
      </c>
      <c r="O455" t="s">
        <v>9369</v>
      </c>
      <c r="P455" t="s">
        <v>11152</v>
      </c>
      <c r="Q455" t="s">
        <v>11153</v>
      </c>
      <c r="S455" t="s">
        <v>9309</v>
      </c>
      <c r="T455" s="28" t="s">
        <v>11154</v>
      </c>
      <c r="U455" s="27" t="s">
        <v>808</v>
      </c>
      <c r="V455" t="s">
        <v>194</v>
      </c>
      <c r="W455" t="s">
        <v>9300</v>
      </c>
      <c r="Z455" t="s">
        <v>9311</v>
      </c>
      <c r="AF455" t="s">
        <v>4714</v>
      </c>
      <c r="AG455" t="s">
        <v>2192</v>
      </c>
      <c r="AI455" t="s">
        <v>6955</v>
      </c>
      <c r="AJ455" s="424" t="str">
        <f t="shared" si="21"/>
        <v>722308</v>
      </c>
      <c r="AK455" s="28">
        <v>1</v>
      </c>
      <c r="AL455" s="28">
        <f t="shared" si="23"/>
        <v>1</v>
      </c>
      <c r="AM455" s="28" t="str">
        <f t="shared" si="22"/>
        <v>pracuj.pl</v>
      </c>
    </row>
    <row r="456" spans="1:40" x14ac:dyDescent="0.25">
      <c r="A456" t="s">
        <v>9133</v>
      </c>
      <c r="B456" t="s">
        <v>11155</v>
      </c>
      <c r="C456" t="s">
        <v>3219</v>
      </c>
      <c r="D456" s="27" t="s">
        <v>9835</v>
      </c>
      <c r="E456" t="s">
        <v>233</v>
      </c>
      <c r="F456" s="421">
        <v>1</v>
      </c>
      <c r="G456" t="s">
        <v>193</v>
      </c>
      <c r="H456" t="s">
        <v>194</v>
      </c>
      <c r="I456" t="s">
        <v>10529</v>
      </c>
      <c r="J456" t="s">
        <v>9302</v>
      </c>
      <c r="K456" t="s">
        <v>11156</v>
      </c>
      <c r="L456" t="s">
        <v>6302</v>
      </c>
      <c r="M456" t="s">
        <v>10564</v>
      </c>
      <c r="N456" t="s">
        <v>9588</v>
      </c>
      <c r="O456" t="s">
        <v>9318</v>
      </c>
      <c r="P456" t="s">
        <v>11157</v>
      </c>
      <c r="Q456" t="s">
        <v>11158</v>
      </c>
      <c r="S456" t="s">
        <v>9309</v>
      </c>
      <c r="U456" s="27" t="s">
        <v>3620</v>
      </c>
      <c r="V456" t="s">
        <v>193</v>
      </c>
      <c r="W456" t="s">
        <v>9310</v>
      </c>
      <c r="Z456" t="s">
        <v>9311</v>
      </c>
      <c r="AF456" t="s">
        <v>4714</v>
      </c>
      <c r="AG456" t="s">
        <v>11155</v>
      </c>
      <c r="AI456" t="s">
        <v>6955</v>
      </c>
      <c r="AJ456" s="424" t="str">
        <f t="shared" si="21"/>
        <v>243109</v>
      </c>
      <c r="AK456" s="28">
        <v>1</v>
      </c>
      <c r="AL456" s="28">
        <f t="shared" si="23"/>
        <v>1</v>
      </c>
      <c r="AM456" s="28" t="str">
        <f t="shared" si="22"/>
        <v>praca</v>
      </c>
    </row>
    <row r="457" spans="1:40" x14ac:dyDescent="0.25">
      <c r="A457" t="s">
        <v>540</v>
      </c>
      <c r="B457" t="s">
        <v>356</v>
      </c>
      <c r="C457" t="s">
        <v>62</v>
      </c>
      <c r="D457" s="27" t="s">
        <v>9835</v>
      </c>
      <c r="E457" t="s">
        <v>252</v>
      </c>
      <c r="F457" s="421">
        <v>1</v>
      </c>
      <c r="G457" t="s">
        <v>193</v>
      </c>
      <c r="H457" t="s">
        <v>194</v>
      </c>
      <c r="I457" t="s">
        <v>10546</v>
      </c>
      <c r="J457" t="s">
        <v>223</v>
      </c>
      <c r="K457" t="s">
        <v>11159</v>
      </c>
      <c r="L457" t="s">
        <v>6275</v>
      </c>
      <c r="M457" t="s">
        <v>11160</v>
      </c>
      <c r="N457" t="s">
        <v>9835</v>
      </c>
      <c r="O457" t="s">
        <v>10767</v>
      </c>
      <c r="P457" t="s">
        <v>11161</v>
      </c>
      <c r="Q457" t="s">
        <v>11162</v>
      </c>
      <c r="S457" t="s">
        <v>9309</v>
      </c>
      <c r="T457" s="28" t="s">
        <v>11163</v>
      </c>
      <c r="U457" s="27" t="s">
        <v>601</v>
      </c>
      <c r="V457" t="s">
        <v>194</v>
      </c>
      <c r="W457" t="s">
        <v>9300</v>
      </c>
      <c r="Z457" t="s">
        <v>9311</v>
      </c>
      <c r="AF457" t="s">
        <v>4714</v>
      </c>
      <c r="AG457" t="s">
        <v>9433</v>
      </c>
      <c r="AI457" t="s">
        <v>6955</v>
      </c>
      <c r="AJ457" s="424" t="str">
        <f t="shared" si="21"/>
        <v>313904</v>
      </c>
      <c r="AK457" s="28">
        <v>1</v>
      </c>
      <c r="AL457" s="28">
        <f t="shared" si="23"/>
        <v>1</v>
      </c>
      <c r="AM457" s="28" t="str">
        <f t="shared" si="22"/>
        <v>gratka</v>
      </c>
    </row>
    <row r="458" spans="1:40" x14ac:dyDescent="0.25">
      <c r="A458" t="s">
        <v>7323</v>
      </c>
      <c r="B458" t="s">
        <v>11164</v>
      </c>
      <c r="C458" t="s">
        <v>7332</v>
      </c>
      <c r="D458" s="27" t="s">
        <v>9835</v>
      </c>
      <c r="E458" t="s">
        <v>233</v>
      </c>
      <c r="F458" s="421">
        <v>1</v>
      </c>
      <c r="G458" t="s">
        <v>193</v>
      </c>
      <c r="H458" t="s">
        <v>194</v>
      </c>
      <c r="I458" t="s">
        <v>9343</v>
      </c>
      <c r="J458" t="s">
        <v>210</v>
      </c>
      <c r="K458" t="s">
        <v>11165</v>
      </c>
      <c r="L458" t="s">
        <v>6288</v>
      </c>
      <c r="M458" t="s">
        <v>10539</v>
      </c>
      <c r="N458" t="s">
        <v>9588</v>
      </c>
      <c r="O458" t="s">
        <v>9318</v>
      </c>
      <c r="P458" t="s">
        <v>11166</v>
      </c>
      <c r="Q458" t="s">
        <v>11167</v>
      </c>
      <c r="S458" t="s">
        <v>9309</v>
      </c>
      <c r="T458" s="28" t="s">
        <v>9334</v>
      </c>
      <c r="U458" s="27" t="s">
        <v>7334</v>
      </c>
      <c r="V458" t="s">
        <v>194</v>
      </c>
      <c r="W458" t="s">
        <v>9300</v>
      </c>
      <c r="Z458" t="s">
        <v>9311</v>
      </c>
      <c r="AF458" t="s">
        <v>4714</v>
      </c>
      <c r="AG458" t="s">
        <v>11164</v>
      </c>
      <c r="AI458" t="s">
        <v>6955</v>
      </c>
      <c r="AJ458" s="424" t="str">
        <f t="shared" si="21"/>
        <v>226208</v>
      </c>
      <c r="AK458" s="28">
        <v>1</v>
      </c>
      <c r="AL458" s="28">
        <f t="shared" si="23"/>
        <v>1</v>
      </c>
      <c r="AM458" s="28" t="str">
        <f t="shared" si="22"/>
        <v>praca</v>
      </c>
    </row>
    <row r="459" spans="1:40" x14ac:dyDescent="0.25">
      <c r="A459" t="s">
        <v>7323</v>
      </c>
      <c r="B459" t="s">
        <v>7339</v>
      </c>
      <c r="C459" t="s">
        <v>11168</v>
      </c>
      <c r="D459" s="27" t="s">
        <v>9835</v>
      </c>
      <c r="E459" t="s">
        <v>233</v>
      </c>
      <c r="F459" s="421">
        <v>1</v>
      </c>
      <c r="G459" t="s">
        <v>193</v>
      </c>
      <c r="H459" t="s">
        <v>194</v>
      </c>
      <c r="I459" t="s">
        <v>9343</v>
      </c>
      <c r="J459" t="s">
        <v>210</v>
      </c>
      <c r="K459" t="s">
        <v>11169</v>
      </c>
      <c r="L459" t="s">
        <v>6288</v>
      </c>
      <c r="M459" t="s">
        <v>10539</v>
      </c>
      <c r="N459" t="s">
        <v>9588</v>
      </c>
      <c r="O459" t="s">
        <v>9318</v>
      </c>
      <c r="P459" t="s">
        <v>11170</v>
      </c>
      <c r="Q459" t="s">
        <v>11171</v>
      </c>
      <c r="S459" t="s">
        <v>9309</v>
      </c>
      <c r="T459" s="28" t="s">
        <v>9334</v>
      </c>
      <c r="U459" s="27" t="s">
        <v>11172</v>
      </c>
      <c r="V459" t="s">
        <v>194</v>
      </c>
      <c r="W459" t="s">
        <v>9300</v>
      </c>
      <c r="Z459" t="s">
        <v>9311</v>
      </c>
      <c r="AF459" t="s">
        <v>4714</v>
      </c>
      <c r="AG459" t="s">
        <v>7339</v>
      </c>
      <c r="AI459" t="s">
        <v>6955</v>
      </c>
      <c r="AJ459" s="424" t="str">
        <f t="shared" si="21"/>
        <v>226207</v>
      </c>
      <c r="AK459" s="28">
        <v>1</v>
      </c>
      <c r="AL459" s="28">
        <f t="shared" si="23"/>
        <v>1</v>
      </c>
      <c r="AM459" s="28" t="str">
        <f t="shared" si="22"/>
        <v>praca</v>
      </c>
    </row>
    <row r="460" spans="1:40" x14ac:dyDescent="0.25">
      <c r="A460" t="s">
        <v>11173</v>
      </c>
      <c r="B460" t="s">
        <v>11174</v>
      </c>
      <c r="C460" t="s">
        <v>706</v>
      </c>
      <c r="D460" s="27" t="s">
        <v>9835</v>
      </c>
      <c r="E460" t="s">
        <v>192</v>
      </c>
      <c r="F460" s="421">
        <v>1</v>
      </c>
      <c r="G460" t="s">
        <v>193</v>
      </c>
      <c r="H460" t="s">
        <v>194</v>
      </c>
      <c r="I460" t="s">
        <v>10529</v>
      </c>
      <c r="J460" t="s">
        <v>9302</v>
      </c>
      <c r="K460" t="s">
        <v>11175</v>
      </c>
      <c r="L460" t="s">
        <v>6251</v>
      </c>
      <c r="M460" t="s">
        <v>10519</v>
      </c>
      <c r="N460" t="s">
        <v>10045</v>
      </c>
      <c r="O460" t="s">
        <v>9318</v>
      </c>
      <c r="P460" t="s">
        <v>11176</v>
      </c>
      <c r="Q460" t="s">
        <v>11177</v>
      </c>
      <c r="S460" t="s">
        <v>9309</v>
      </c>
      <c r="U460" s="27" t="s">
        <v>707</v>
      </c>
      <c r="V460" t="s">
        <v>193</v>
      </c>
      <c r="W460" t="s">
        <v>9310</v>
      </c>
      <c r="Z460" t="s">
        <v>9311</v>
      </c>
      <c r="AF460" t="s">
        <v>4714</v>
      </c>
      <c r="AG460" t="s">
        <v>11174</v>
      </c>
      <c r="AI460" t="s">
        <v>6955</v>
      </c>
      <c r="AJ460" s="424" t="str">
        <f t="shared" si="21"/>
        <v>422201</v>
      </c>
      <c r="AK460" s="28">
        <v>1</v>
      </c>
      <c r="AL460" s="28">
        <f t="shared" si="23"/>
        <v>1</v>
      </c>
      <c r="AM460" s="28" t="str">
        <f t="shared" si="22"/>
        <v>pracuj.pl</v>
      </c>
    </row>
    <row r="461" spans="1:40" x14ac:dyDescent="0.25">
      <c r="A461" t="s">
        <v>7773</v>
      </c>
      <c r="B461" t="s">
        <v>11178</v>
      </c>
      <c r="C461" t="s">
        <v>778</v>
      </c>
      <c r="D461" s="27" t="s">
        <v>9835</v>
      </c>
      <c r="E461" t="s">
        <v>192</v>
      </c>
      <c r="F461" s="421">
        <v>1</v>
      </c>
      <c r="G461" t="s">
        <v>193</v>
      </c>
      <c r="H461" t="s">
        <v>194</v>
      </c>
      <c r="I461" t="s">
        <v>9369</v>
      </c>
      <c r="J461" t="s">
        <v>276</v>
      </c>
      <c r="K461" t="s">
        <v>11179</v>
      </c>
      <c r="L461" t="s">
        <v>6254</v>
      </c>
      <c r="M461" t="s">
        <v>10519</v>
      </c>
      <c r="N461" t="s">
        <v>10045</v>
      </c>
      <c r="O461" t="s">
        <v>9369</v>
      </c>
      <c r="P461" t="s">
        <v>11180</v>
      </c>
      <c r="Q461" t="s">
        <v>11181</v>
      </c>
      <c r="S461" t="s">
        <v>9309</v>
      </c>
      <c r="T461" s="28" t="s">
        <v>9786</v>
      </c>
      <c r="U461" s="27" t="s">
        <v>779</v>
      </c>
      <c r="V461" t="s">
        <v>194</v>
      </c>
      <c r="W461" t="s">
        <v>9300</v>
      </c>
      <c r="Z461" t="s">
        <v>9311</v>
      </c>
      <c r="AF461" t="s">
        <v>4714</v>
      </c>
      <c r="AG461" t="s">
        <v>11178</v>
      </c>
      <c r="AI461" t="s">
        <v>6955</v>
      </c>
      <c r="AJ461" s="424" t="str">
        <f t="shared" si="21"/>
        <v>524902</v>
      </c>
      <c r="AK461" s="28">
        <v>1</v>
      </c>
      <c r="AL461" s="28">
        <f t="shared" si="23"/>
        <v>1</v>
      </c>
      <c r="AM461" s="28" t="str">
        <f t="shared" si="22"/>
        <v>pracuj.pl</v>
      </c>
    </row>
    <row r="462" spans="1:40" x14ac:dyDescent="0.25">
      <c r="A462" t="s">
        <v>413</v>
      </c>
      <c r="B462" t="s">
        <v>11182</v>
      </c>
      <c r="C462" t="s">
        <v>1775</v>
      </c>
      <c r="D462" s="27" t="s">
        <v>9835</v>
      </c>
      <c r="E462" t="s">
        <v>233</v>
      </c>
      <c r="F462" s="421">
        <v>1</v>
      </c>
      <c r="G462" t="s">
        <v>193</v>
      </c>
      <c r="H462" t="s">
        <v>194</v>
      </c>
      <c r="I462" t="s">
        <v>10529</v>
      </c>
      <c r="J462" t="s">
        <v>210</v>
      </c>
      <c r="K462" t="s">
        <v>11183</v>
      </c>
      <c r="L462" t="s">
        <v>6254</v>
      </c>
      <c r="M462" t="s">
        <v>10539</v>
      </c>
      <c r="N462" t="s">
        <v>9588</v>
      </c>
      <c r="O462" t="s">
        <v>9318</v>
      </c>
      <c r="P462" t="s">
        <v>11184</v>
      </c>
      <c r="Q462" t="s">
        <v>11185</v>
      </c>
      <c r="S462" t="s">
        <v>9309</v>
      </c>
      <c r="T462" s="28" t="s">
        <v>9334</v>
      </c>
      <c r="U462" s="27" t="s">
        <v>1777</v>
      </c>
      <c r="V462" t="s">
        <v>194</v>
      </c>
      <c r="W462" t="s">
        <v>9300</v>
      </c>
      <c r="Z462" t="s">
        <v>9311</v>
      </c>
      <c r="AF462" t="s">
        <v>4714</v>
      </c>
      <c r="AG462" t="s">
        <v>11182</v>
      </c>
      <c r="AI462" t="s">
        <v>6955</v>
      </c>
      <c r="AJ462" s="424" t="str">
        <f t="shared" si="21"/>
        <v>241302</v>
      </c>
      <c r="AK462" s="28">
        <v>1</v>
      </c>
      <c r="AL462" s="28">
        <f t="shared" si="23"/>
        <v>1</v>
      </c>
      <c r="AM462" s="28" t="str">
        <f t="shared" si="22"/>
        <v>praca</v>
      </c>
    </row>
    <row r="463" spans="1:40" x14ac:dyDescent="0.25">
      <c r="A463" t="s">
        <v>413</v>
      </c>
      <c r="B463" t="s">
        <v>11186</v>
      </c>
      <c r="C463" t="s">
        <v>113</v>
      </c>
      <c r="D463" s="27" t="s">
        <v>9835</v>
      </c>
      <c r="E463" t="s">
        <v>233</v>
      </c>
      <c r="F463" s="421">
        <v>1</v>
      </c>
      <c r="G463" t="s">
        <v>193</v>
      </c>
      <c r="H463" t="s">
        <v>194</v>
      </c>
      <c r="I463" t="s">
        <v>10546</v>
      </c>
      <c r="J463" t="s">
        <v>253</v>
      </c>
      <c r="K463" t="s">
        <v>11187</v>
      </c>
      <c r="L463" t="s">
        <v>6254</v>
      </c>
      <c r="M463" t="s">
        <v>10539</v>
      </c>
      <c r="N463" t="s">
        <v>9588</v>
      </c>
      <c r="O463" t="s">
        <v>9318</v>
      </c>
      <c r="P463" t="s">
        <v>11188</v>
      </c>
      <c r="Q463" t="s">
        <v>11189</v>
      </c>
      <c r="S463" t="s">
        <v>9309</v>
      </c>
      <c r="T463" s="28" t="s">
        <v>9468</v>
      </c>
      <c r="U463" s="27" t="s">
        <v>465</v>
      </c>
      <c r="V463" t="s">
        <v>194</v>
      </c>
      <c r="W463" t="s">
        <v>9300</v>
      </c>
      <c r="Z463" t="s">
        <v>9311</v>
      </c>
      <c r="AF463" t="s">
        <v>4714</v>
      </c>
      <c r="AG463" t="s">
        <v>11186</v>
      </c>
      <c r="AI463" t="s">
        <v>6955</v>
      </c>
      <c r="AJ463" s="424" t="str">
        <f t="shared" si="21"/>
        <v>243302</v>
      </c>
      <c r="AK463" s="28">
        <v>1</v>
      </c>
      <c r="AL463" s="28">
        <f t="shared" si="23"/>
        <v>1</v>
      </c>
      <c r="AM463" s="28" t="str">
        <f t="shared" si="22"/>
        <v>praca</v>
      </c>
    </row>
    <row r="464" spans="1:40" x14ac:dyDescent="0.25">
      <c r="A464" t="s">
        <v>9239</v>
      </c>
      <c r="B464" t="s">
        <v>885</v>
      </c>
      <c r="D464" s="27" t="s">
        <v>9835</v>
      </c>
      <c r="E464" t="s">
        <v>233</v>
      </c>
      <c r="F464" s="422">
        <v>1</v>
      </c>
      <c r="G464" t="s">
        <v>194</v>
      </c>
      <c r="H464" t="s">
        <v>193</v>
      </c>
      <c r="I464" t="s">
        <v>9343</v>
      </c>
      <c r="J464" t="s">
        <v>9302</v>
      </c>
      <c r="K464" t="s">
        <v>11190</v>
      </c>
      <c r="L464" t="s">
        <v>6266</v>
      </c>
      <c r="M464" t="s">
        <v>10564</v>
      </c>
      <c r="N464" t="s">
        <v>9588</v>
      </c>
      <c r="O464" t="s">
        <v>9318</v>
      </c>
      <c r="P464" t="s">
        <v>11191</v>
      </c>
      <c r="Q464" t="s">
        <v>11192</v>
      </c>
      <c r="S464" t="s">
        <v>9309</v>
      </c>
      <c r="U464" s="27" t="s">
        <v>887</v>
      </c>
      <c r="V464" t="s">
        <v>194</v>
      </c>
      <c r="W464" t="s">
        <v>9946</v>
      </c>
      <c r="Z464" t="s">
        <v>9311</v>
      </c>
      <c r="AF464" t="s">
        <v>4714</v>
      </c>
      <c r="AG464" t="s">
        <v>885</v>
      </c>
      <c r="AI464" t="s">
        <v>6955</v>
      </c>
      <c r="AJ464" s="336" t="str">
        <f t="shared" si="21"/>
        <v>834401</v>
      </c>
      <c r="AK464" s="28">
        <v>1</v>
      </c>
      <c r="AL464" s="28">
        <f t="shared" si="23"/>
        <v>1</v>
      </c>
      <c r="AM464" s="28" t="str">
        <f t="shared" si="22"/>
        <v>praca</v>
      </c>
      <c r="AN464">
        <v>11</v>
      </c>
    </row>
    <row r="465" spans="1:39" x14ac:dyDescent="0.25">
      <c r="A465" t="s">
        <v>9239</v>
      </c>
      <c r="B465" t="s">
        <v>11193</v>
      </c>
      <c r="C465" t="s">
        <v>11194</v>
      </c>
      <c r="D465" s="27" t="s">
        <v>9835</v>
      </c>
      <c r="E465" t="s">
        <v>233</v>
      </c>
      <c r="F465" s="421">
        <v>1</v>
      </c>
      <c r="G465" t="s">
        <v>194</v>
      </c>
      <c r="H465" t="s">
        <v>193</v>
      </c>
      <c r="I465" t="s">
        <v>10529</v>
      </c>
      <c r="J465" t="s">
        <v>9302</v>
      </c>
      <c r="K465" t="s">
        <v>11195</v>
      </c>
      <c r="L465" t="s">
        <v>6275</v>
      </c>
      <c r="M465" t="s">
        <v>10564</v>
      </c>
      <c r="N465" t="s">
        <v>9588</v>
      </c>
      <c r="O465" t="s">
        <v>9537</v>
      </c>
      <c r="P465" t="s">
        <v>11196</v>
      </c>
      <c r="Q465" t="s">
        <v>11197</v>
      </c>
      <c r="S465" t="s">
        <v>9309</v>
      </c>
      <c r="U465" s="27" t="s">
        <v>11198</v>
      </c>
      <c r="V465" t="s">
        <v>194</v>
      </c>
      <c r="W465" t="s">
        <v>9946</v>
      </c>
      <c r="Z465" t="s">
        <v>9311</v>
      </c>
      <c r="AF465" t="s">
        <v>4714</v>
      </c>
      <c r="AG465" t="s">
        <v>11193</v>
      </c>
      <c r="AI465" t="s">
        <v>6955</v>
      </c>
      <c r="AJ465" s="424" t="str">
        <f t="shared" si="21"/>
        <v>815702</v>
      </c>
      <c r="AK465" s="28">
        <v>1</v>
      </c>
      <c r="AL465" s="28">
        <f t="shared" si="23"/>
        <v>1</v>
      </c>
      <c r="AM465" s="28" t="str">
        <f t="shared" si="22"/>
        <v>praca</v>
      </c>
    </row>
    <row r="466" spans="1:39" x14ac:dyDescent="0.25">
      <c r="A466" t="s">
        <v>9239</v>
      </c>
      <c r="B466" t="s">
        <v>11199</v>
      </c>
      <c r="C466" t="s">
        <v>11194</v>
      </c>
      <c r="D466" s="27" t="s">
        <v>9835</v>
      </c>
      <c r="E466" t="s">
        <v>233</v>
      </c>
      <c r="F466" s="421">
        <v>1</v>
      </c>
      <c r="G466" t="s">
        <v>194</v>
      </c>
      <c r="H466" t="s">
        <v>193</v>
      </c>
      <c r="I466" t="s">
        <v>10529</v>
      </c>
      <c r="J466" t="s">
        <v>9302</v>
      </c>
      <c r="K466" t="s">
        <v>11200</v>
      </c>
      <c r="L466" t="s">
        <v>6275</v>
      </c>
      <c r="M466" t="s">
        <v>10564</v>
      </c>
      <c r="N466" t="s">
        <v>9588</v>
      </c>
      <c r="O466" t="s">
        <v>9318</v>
      </c>
      <c r="P466" t="s">
        <v>11201</v>
      </c>
      <c r="Q466" t="s">
        <v>11202</v>
      </c>
      <c r="S466" t="s">
        <v>9309</v>
      </c>
      <c r="U466" s="27" t="s">
        <v>11198</v>
      </c>
      <c r="V466" t="s">
        <v>194</v>
      </c>
      <c r="W466" t="s">
        <v>9946</v>
      </c>
      <c r="Z466" t="s">
        <v>9311</v>
      </c>
      <c r="AF466" t="s">
        <v>4714</v>
      </c>
      <c r="AG466" t="s">
        <v>11199</v>
      </c>
      <c r="AI466" t="s">
        <v>6955</v>
      </c>
      <c r="AJ466" s="424" t="str">
        <f t="shared" si="21"/>
        <v>815702</v>
      </c>
      <c r="AK466" s="28">
        <v>1</v>
      </c>
      <c r="AL466" s="28">
        <f t="shared" si="23"/>
        <v>1</v>
      </c>
      <c r="AM466" s="28" t="str">
        <f t="shared" si="22"/>
        <v>praca</v>
      </c>
    </row>
    <row r="467" spans="1:39" x14ac:dyDescent="0.25">
      <c r="A467" t="s">
        <v>9239</v>
      </c>
      <c r="B467" t="s">
        <v>11203</v>
      </c>
      <c r="C467" t="s">
        <v>11204</v>
      </c>
      <c r="D467" s="27" t="s">
        <v>9835</v>
      </c>
      <c r="E467" t="s">
        <v>233</v>
      </c>
      <c r="F467" s="421">
        <v>1</v>
      </c>
      <c r="G467" t="s">
        <v>194</v>
      </c>
      <c r="H467" t="s">
        <v>193</v>
      </c>
      <c r="I467" t="s">
        <v>10529</v>
      </c>
      <c r="J467" t="s">
        <v>9302</v>
      </c>
      <c r="K467" t="s">
        <v>11205</v>
      </c>
      <c r="L467" t="s">
        <v>6275</v>
      </c>
      <c r="M467" t="s">
        <v>10564</v>
      </c>
      <c r="N467" t="s">
        <v>9588</v>
      </c>
      <c r="O467" t="s">
        <v>9318</v>
      </c>
      <c r="P467" t="s">
        <v>11206</v>
      </c>
      <c r="Q467" t="s">
        <v>11207</v>
      </c>
      <c r="S467" t="s">
        <v>9309</v>
      </c>
      <c r="U467" s="27" t="s">
        <v>11208</v>
      </c>
      <c r="V467" t="s">
        <v>194</v>
      </c>
      <c r="W467" t="s">
        <v>9946</v>
      </c>
      <c r="Z467" t="s">
        <v>9311</v>
      </c>
      <c r="AF467" t="s">
        <v>4714</v>
      </c>
      <c r="AG467" t="s">
        <v>11203</v>
      </c>
      <c r="AI467" t="s">
        <v>6955</v>
      </c>
      <c r="AJ467" s="424" t="str">
        <f t="shared" si="21"/>
        <v>911204</v>
      </c>
      <c r="AK467" s="28">
        <v>1</v>
      </c>
      <c r="AL467" s="28">
        <f t="shared" si="23"/>
        <v>1</v>
      </c>
      <c r="AM467" s="28" t="str">
        <f t="shared" si="22"/>
        <v>praca</v>
      </c>
    </row>
    <row r="468" spans="1:39" x14ac:dyDescent="0.25">
      <c r="A468" t="s">
        <v>9239</v>
      </c>
      <c r="B468" t="s">
        <v>11209</v>
      </c>
      <c r="C468" t="s">
        <v>7125</v>
      </c>
      <c r="D468" s="27" t="s">
        <v>9835</v>
      </c>
      <c r="E468" t="s">
        <v>233</v>
      </c>
      <c r="F468" s="421">
        <v>1</v>
      </c>
      <c r="G468" t="s">
        <v>194</v>
      </c>
      <c r="H468" t="s">
        <v>193</v>
      </c>
      <c r="I468" t="s">
        <v>10529</v>
      </c>
      <c r="J468" t="s">
        <v>9302</v>
      </c>
      <c r="K468" t="s">
        <v>11210</v>
      </c>
      <c r="L468" t="s">
        <v>6275</v>
      </c>
      <c r="M468" t="s">
        <v>10564</v>
      </c>
      <c r="N468" t="s">
        <v>9588</v>
      </c>
      <c r="O468" t="s">
        <v>9318</v>
      </c>
      <c r="P468" t="s">
        <v>11211</v>
      </c>
      <c r="Q468" t="s">
        <v>11212</v>
      </c>
      <c r="S468" t="s">
        <v>9309</v>
      </c>
      <c r="U468" s="27" t="s">
        <v>7127</v>
      </c>
      <c r="V468" t="s">
        <v>194</v>
      </c>
      <c r="W468" t="s">
        <v>9946</v>
      </c>
      <c r="Z468" t="s">
        <v>9311</v>
      </c>
      <c r="AF468" t="s">
        <v>4714</v>
      </c>
      <c r="AG468" t="s">
        <v>11209</v>
      </c>
      <c r="AI468" t="s">
        <v>6955</v>
      </c>
      <c r="AJ468" s="424" t="str">
        <f t="shared" si="21"/>
        <v>932990</v>
      </c>
      <c r="AK468" s="28">
        <v>1</v>
      </c>
      <c r="AL468" s="28">
        <f t="shared" si="23"/>
        <v>1</v>
      </c>
      <c r="AM468" s="28" t="str">
        <f t="shared" si="22"/>
        <v>praca</v>
      </c>
    </row>
    <row r="469" spans="1:39" x14ac:dyDescent="0.25">
      <c r="A469" t="s">
        <v>3046</v>
      </c>
      <c r="B469" t="s">
        <v>11213</v>
      </c>
      <c r="C469" t="s">
        <v>81</v>
      </c>
      <c r="D469" s="27" t="s">
        <v>9835</v>
      </c>
      <c r="E469" t="s">
        <v>192</v>
      </c>
      <c r="F469" s="421">
        <v>1</v>
      </c>
      <c r="G469" t="s">
        <v>193</v>
      </c>
      <c r="H469" t="s">
        <v>194</v>
      </c>
      <c r="I469" t="s">
        <v>10529</v>
      </c>
      <c r="J469" t="s">
        <v>210</v>
      </c>
      <c r="K469" t="s">
        <v>11214</v>
      </c>
      <c r="L469" t="s">
        <v>6254</v>
      </c>
      <c r="M469" t="s">
        <v>10519</v>
      </c>
      <c r="N469" t="s">
        <v>10045</v>
      </c>
      <c r="O469" t="s">
        <v>9369</v>
      </c>
      <c r="P469" t="s">
        <v>11215</v>
      </c>
      <c r="Q469" t="s">
        <v>11216</v>
      </c>
      <c r="S469" t="s">
        <v>9309</v>
      </c>
      <c r="T469" s="28" t="s">
        <v>9334</v>
      </c>
      <c r="U469" s="27" t="s">
        <v>402</v>
      </c>
      <c r="V469" t="s">
        <v>194</v>
      </c>
      <c r="W469" t="s">
        <v>9300</v>
      </c>
      <c r="Z469" t="s">
        <v>9311</v>
      </c>
      <c r="AF469" t="s">
        <v>5109</v>
      </c>
      <c r="AG469" t="s">
        <v>11213</v>
      </c>
      <c r="AI469" t="s">
        <v>6955</v>
      </c>
      <c r="AJ469" s="424" t="str">
        <f t="shared" si="21"/>
        <v>241205</v>
      </c>
      <c r="AK469" s="28">
        <v>1</v>
      </c>
      <c r="AL469" s="28">
        <f t="shared" si="23"/>
        <v>1</v>
      </c>
      <c r="AM469" s="28" t="str">
        <f t="shared" si="22"/>
        <v>pracuj.pl</v>
      </c>
    </row>
    <row r="470" spans="1:39" x14ac:dyDescent="0.25">
      <c r="A470" t="s">
        <v>453</v>
      </c>
      <c r="B470" t="s">
        <v>10038</v>
      </c>
      <c r="C470" t="s">
        <v>129</v>
      </c>
      <c r="D470" s="27" t="s">
        <v>9835</v>
      </c>
      <c r="E470" t="s">
        <v>217</v>
      </c>
      <c r="F470" s="421">
        <v>1</v>
      </c>
      <c r="G470" t="s">
        <v>194</v>
      </c>
      <c r="H470" t="s">
        <v>193</v>
      </c>
      <c r="I470" t="s">
        <v>10529</v>
      </c>
      <c r="J470" t="s">
        <v>10039</v>
      </c>
      <c r="K470" t="s">
        <v>10040</v>
      </c>
      <c r="L470" t="s">
        <v>6277</v>
      </c>
      <c r="M470" t="s">
        <v>10618</v>
      </c>
      <c r="N470" t="s">
        <v>9536</v>
      </c>
      <c r="O470" t="s">
        <v>9491</v>
      </c>
      <c r="P470" t="s">
        <v>11217</v>
      </c>
      <c r="Q470" t="s">
        <v>11218</v>
      </c>
      <c r="S470" t="s">
        <v>9309</v>
      </c>
      <c r="U470" s="27" t="s">
        <v>203</v>
      </c>
      <c r="V470" t="s">
        <v>194</v>
      </c>
      <c r="W470" t="s">
        <v>9946</v>
      </c>
      <c r="Z470" t="s">
        <v>9311</v>
      </c>
      <c r="AF470" t="s">
        <v>4714</v>
      </c>
      <c r="AG470" t="s">
        <v>9433</v>
      </c>
      <c r="AI470" t="s">
        <v>6955</v>
      </c>
      <c r="AJ470" s="424" t="str">
        <f t="shared" si="21"/>
        <v>121904</v>
      </c>
      <c r="AK470" s="28">
        <v>1</v>
      </c>
      <c r="AL470" s="28">
        <f t="shared" si="23"/>
        <v>1</v>
      </c>
      <c r="AM470" s="28" t="str">
        <f t="shared" si="22"/>
        <v>agora</v>
      </c>
    </row>
    <row r="471" spans="1:39" x14ac:dyDescent="0.25">
      <c r="A471" t="s">
        <v>1490</v>
      </c>
      <c r="B471" t="s">
        <v>11219</v>
      </c>
      <c r="C471" t="s">
        <v>4639</v>
      </c>
      <c r="D471" s="27" t="s">
        <v>9835</v>
      </c>
      <c r="E471" t="s">
        <v>192</v>
      </c>
      <c r="F471" s="421">
        <v>1</v>
      </c>
      <c r="G471" t="s">
        <v>193</v>
      </c>
      <c r="H471" t="s">
        <v>194</v>
      </c>
      <c r="I471" t="s">
        <v>9369</v>
      </c>
      <c r="J471" t="s">
        <v>575</v>
      </c>
      <c r="K471" t="s">
        <v>11220</v>
      </c>
      <c r="L471" t="s">
        <v>6290</v>
      </c>
      <c r="M471" t="s">
        <v>11221</v>
      </c>
      <c r="N471" t="s">
        <v>9749</v>
      </c>
      <c r="O471" t="s">
        <v>9574</v>
      </c>
      <c r="P471" t="s">
        <v>11222</v>
      </c>
      <c r="Q471" t="s">
        <v>11223</v>
      </c>
      <c r="S471" t="s">
        <v>9309</v>
      </c>
      <c r="T471" s="28" t="s">
        <v>9726</v>
      </c>
      <c r="U471" s="27" t="s">
        <v>4640</v>
      </c>
      <c r="V471" t="s">
        <v>194</v>
      </c>
      <c r="W471" t="s">
        <v>9300</v>
      </c>
      <c r="Z471" t="s">
        <v>9311</v>
      </c>
      <c r="AF471" t="s">
        <v>5109</v>
      </c>
      <c r="AG471" t="s">
        <v>11219</v>
      </c>
      <c r="AI471" t="s">
        <v>6955</v>
      </c>
      <c r="AJ471" s="424" t="str">
        <f t="shared" si="21"/>
        <v>243203</v>
      </c>
      <c r="AK471" s="28">
        <v>1</v>
      </c>
      <c r="AL471" s="28">
        <f t="shared" si="23"/>
        <v>1</v>
      </c>
      <c r="AM471" s="28" t="str">
        <f t="shared" si="22"/>
        <v>pracuj.pl</v>
      </c>
    </row>
    <row r="472" spans="1:39" x14ac:dyDescent="0.25">
      <c r="A472" t="s">
        <v>7451</v>
      </c>
      <c r="B472" t="s">
        <v>1411</v>
      </c>
      <c r="C472" t="s">
        <v>17</v>
      </c>
      <c r="D472" s="27" t="s">
        <v>9835</v>
      </c>
      <c r="E472" t="s">
        <v>192</v>
      </c>
      <c r="F472" s="421">
        <v>1</v>
      </c>
      <c r="G472" t="s">
        <v>193</v>
      </c>
      <c r="H472" t="s">
        <v>194</v>
      </c>
      <c r="I472" t="s">
        <v>10529</v>
      </c>
      <c r="J472" t="s">
        <v>9302</v>
      </c>
      <c r="K472" t="s">
        <v>11224</v>
      </c>
      <c r="L472" t="s">
        <v>6254</v>
      </c>
      <c r="M472" t="s">
        <v>10519</v>
      </c>
      <c r="N472" t="s">
        <v>10045</v>
      </c>
      <c r="O472" t="s">
        <v>9369</v>
      </c>
      <c r="P472" t="s">
        <v>11225</v>
      </c>
      <c r="Q472" t="s">
        <v>11226</v>
      </c>
      <c r="S472" t="s">
        <v>9309</v>
      </c>
      <c r="U472" s="27" t="s">
        <v>624</v>
      </c>
      <c r="V472" t="s">
        <v>193</v>
      </c>
      <c r="W472" t="s">
        <v>9310</v>
      </c>
      <c r="Z472" t="s">
        <v>9311</v>
      </c>
      <c r="AF472" t="s">
        <v>4714</v>
      </c>
      <c r="AG472" t="s">
        <v>1411</v>
      </c>
      <c r="AI472" t="s">
        <v>6955</v>
      </c>
      <c r="AJ472" s="424" t="str">
        <f t="shared" si="21"/>
        <v>332203</v>
      </c>
      <c r="AK472" s="28">
        <v>1</v>
      </c>
      <c r="AL472" s="28">
        <f t="shared" si="23"/>
        <v>1</v>
      </c>
      <c r="AM472" s="28" t="str">
        <f t="shared" si="22"/>
        <v>pracuj.pl</v>
      </c>
    </row>
    <row r="473" spans="1:39" x14ac:dyDescent="0.25">
      <c r="A473" t="s">
        <v>11227</v>
      </c>
      <c r="B473" t="s">
        <v>2368</v>
      </c>
      <c r="C473" t="s">
        <v>468</v>
      </c>
      <c r="D473" s="27" t="s">
        <v>9835</v>
      </c>
      <c r="E473" t="s">
        <v>192</v>
      </c>
      <c r="F473" s="421">
        <v>1</v>
      </c>
      <c r="G473" t="s">
        <v>193</v>
      </c>
      <c r="H473" t="s">
        <v>194</v>
      </c>
      <c r="I473" t="s">
        <v>9369</v>
      </c>
      <c r="J473" t="s">
        <v>9302</v>
      </c>
      <c r="K473" t="s">
        <v>11228</v>
      </c>
      <c r="L473" t="s">
        <v>6288</v>
      </c>
      <c r="M473" t="s">
        <v>10519</v>
      </c>
      <c r="N473" t="s">
        <v>10045</v>
      </c>
      <c r="O473" t="s">
        <v>9369</v>
      </c>
      <c r="P473" t="s">
        <v>11229</v>
      </c>
      <c r="Q473" t="s">
        <v>11230</v>
      </c>
      <c r="S473" t="s">
        <v>9309</v>
      </c>
      <c r="U473" s="27" t="s">
        <v>469</v>
      </c>
      <c r="V473" t="s">
        <v>193</v>
      </c>
      <c r="W473" t="s">
        <v>9310</v>
      </c>
      <c r="Z473" t="s">
        <v>9311</v>
      </c>
      <c r="AF473" t="s">
        <v>4714</v>
      </c>
      <c r="AG473" t="s">
        <v>2368</v>
      </c>
      <c r="AI473" t="s">
        <v>6955</v>
      </c>
      <c r="AJ473" s="424" t="str">
        <f t="shared" si="21"/>
        <v>243303</v>
      </c>
      <c r="AK473" s="28">
        <v>1</v>
      </c>
      <c r="AL473" s="28">
        <f t="shared" si="23"/>
        <v>1</v>
      </c>
      <c r="AM473" s="28" t="str">
        <f t="shared" si="22"/>
        <v>pracuj.pl</v>
      </c>
    </row>
    <row r="474" spans="1:39" x14ac:dyDescent="0.25">
      <c r="A474" t="s">
        <v>11231</v>
      </c>
      <c r="B474" t="s">
        <v>11232</v>
      </c>
      <c r="C474" t="s">
        <v>3170</v>
      </c>
      <c r="D474" s="27" t="s">
        <v>9835</v>
      </c>
      <c r="E474" t="s">
        <v>192</v>
      </c>
      <c r="F474" s="421">
        <v>1</v>
      </c>
      <c r="G474" t="s">
        <v>193</v>
      </c>
      <c r="H474" t="s">
        <v>194</v>
      </c>
      <c r="I474" t="s">
        <v>10529</v>
      </c>
      <c r="J474" t="s">
        <v>9302</v>
      </c>
      <c r="K474" t="s">
        <v>11233</v>
      </c>
      <c r="L474" t="s">
        <v>6302</v>
      </c>
      <c r="M474" t="s">
        <v>10519</v>
      </c>
      <c r="N474" t="s">
        <v>10045</v>
      </c>
      <c r="O474" t="s">
        <v>9369</v>
      </c>
      <c r="P474" t="s">
        <v>11234</v>
      </c>
      <c r="Q474" t="s">
        <v>11235</v>
      </c>
      <c r="S474" t="s">
        <v>9309</v>
      </c>
      <c r="U474" s="27" t="s">
        <v>11236</v>
      </c>
      <c r="V474" t="s">
        <v>193</v>
      </c>
      <c r="W474" t="s">
        <v>9310</v>
      </c>
      <c r="Z474" t="s">
        <v>9311</v>
      </c>
      <c r="AF474" t="s">
        <v>4714</v>
      </c>
      <c r="AG474" t="s">
        <v>11232</v>
      </c>
      <c r="AI474" t="s">
        <v>6955</v>
      </c>
      <c r="AJ474" s="424" t="str">
        <f t="shared" si="21"/>
        <v>351404</v>
      </c>
      <c r="AK474" s="28">
        <v>1</v>
      </c>
      <c r="AL474" s="28">
        <f t="shared" si="23"/>
        <v>1</v>
      </c>
      <c r="AM474" s="28" t="str">
        <f t="shared" si="22"/>
        <v>pracuj.pl</v>
      </c>
    </row>
    <row r="475" spans="1:39" x14ac:dyDescent="0.25">
      <c r="A475" t="s">
        <v>10043</v>
      </c>
      <c r="B475" t="s">
        <v>1606</v>
      </c>
      <c r="C475" t="s">
        <v>22</v>
      </c>
      <c r="D475" s="27" t="s">
        <v>9835</v>
      </c>
      <c r="E475" t="s">
        <v>217</v>
      </c>
      <c r="F475" s="421">
        <v>1</v>
      </c>
      <c r="G475" t="s">
        <v>193</v>
      </c>
      <c r="H475" t="s">
        <v>194</v>
      </c>
      <c r="I475" t="s">
        <v>9343</v>
      </c>
      <c r="J475" t="s">
        <v>305</v>
      </c>
      <c r="K475" t="s">
        <v>10044</v>
      </c>
      <c r="L475" t="s">
        <v>6288</v>
      </c>
      <c r="M475" t="s">
        <v>10618</v>
      </c>
      <c r="N475" t="s">
        <v>10045</v>
      </c>
      <c r="O475" t="s">
        <v>9383</v>
      </c>
      <c r="P475" t="s">
        <v>11237</v>
      </c>
      <c r="Q475" t="s">
        <v>11238</v>
      </c>
      <c r="S475" t="s">
        <v>9309</v>
      </c>
      <c r="T475" s="28" t="s">
        <v>9753</v>
      </c>
      <c r="U475" s="27" t="s">
        <v>1608</v>
      </c>
      <c r="V475" t="s">
        <v>194</v>
      </c>
      <c r="W475" t="s">
        <v>9300</v>
      </c>
      <c r="Z475" t="s">
        <v>9311</v>
      </c>
      <c r="AF475" t="s">
        <v>4714</v>
      </c>
      <c r="AG475" t="s">
        <v>9433</v>
      </c>
      <c r="AI475" t="s">
        <v>6955</v>
      </c>
      <c r="AJ475" s="424" t="str">
        <f t="shared" si="21"/>
        <v>228101</v>
      </c>
      <c r="AK475" s="28">
        <v>1</v>
      </c>
      <c r="AL475" s="28">
        <f t="shared" si="23"/>
        <v>1</v>
      </c>
      <c r="AM475" s="28" t="str">
        <f t="shared" si="22"/>
        <v>agora</v>
      </c>
    </row>
    <row r="476" spans="1:39" x14ac:dyDescent="0.25">
      <c r="A476" t="s">
        <v>10043</v>
      </c>
      <c r="B476" t="s">
        <v>11239</v>
      </c>
      <c r="C476" t="s">
        <v>944</v>
      </c>
      <c r="D476" s="27" t="s">
        <v>9835</v>
      </c>
      <c r="E476" t="s">
        <v>217</v>
      </c>
      <c r="F476" s="421">
        <v>1</v>
      </c>
      <c r="G476" t="s">
        <v>193</v>
      </c>
      <c r="H476" t="s">
        <v>194</v>
      </c>
      <c r="I476" t="s">
        <v>9557</v>
      </c>
      <c r="J476" t="s">
        <v>276</v>
      </c>
      <c r="K476" t="s">
        <v>11240</v>
      </c>
      <c r="L476" t="s">
        <v>6288</v>
      </c>
      <c r="M476" t="s">
        <v>10618</v>
      </c>
      <c r="N476" t="s">
        <v>10226</v>
      </c>
      <c r="O476" t="s">
        <v>9299</v>
      </c>
      <c r="P476" t="s">
        <v>11241</v>
      </c>
      <c r="Q476" t="s">
        <v>11242</v>
      </c>
      <c r="S476" t="s">
        <v>9309</v>
      </c>
      <c r="T476" s="28" t="s">
        <v>9786</v>
      </c>
      <c r="U476" s="27" t="s">
        <v>945</v>
      </c>
      <c r="V476" t="s">
        <v>194</v>
      </c>
      <c r="W476" t="s">
        <v>9300</v>
      </c>
      <c r="Z476" t="s">
        <v>9311</v>
      </c>
      <c r="AF476" t="s">
        <v>4714</v>
      </c>
      <c r="AG476" t="s">
        <v>9433</v>
      </c>
      <c r="AI476" t="s">
        <v>6955</v>
      </c>
      <c r="AJ476" s="424" t="str">
        <f t="shared" si="21"/>
        <v>321301</v>
      </c>
      <c r="AK476" s="28">
        <v>1</v>
      </c>
      <c r="AL476" s="28">
        <f t="shared" si="23"/>
        <v>1</v>
      </c>
      <c r="AM476" s="28" t="str">
        <f t="shared" si="22"/>
        <v>agora</v>
      </c>
    </row>
    <row r="477" spans="1:39" x14ac:dyDescent="0.25">
      <c r="A477" t="s">
        <v>915</v>
      </c>
      <c r="B477" t="s">
        <v>11243</v>
      </c>
      <c r="C477" t="s">
        <v>69</v>
      </c>
      <c r="D477" s="27" t="s">
        <v>9835</v>
      </c>
      <c r="E477" t="s">
        <v>233</v>
      </c>
      <c r="F477" s="421">
        <v>1</v>
      </c>
      <c r="G477" t="s">
        <v>194</v>
      </c>
      <c r="H477" t="s">
        <v>193</v>
      </c>
      <c r="I477" t="s">
        <v>10529</v>
      </c>
      <c r="J477" t="s">
        <v>9302</v>
      </c>
      <c r="K477" t="s">
        <v>11244</v>
      </c>
      <c r="L477" t="s">
        <v>6921</v>
      </c>
      <c r="M477" t="s">
        <v>10539</v>
      </c>
      <c r="N477" t="s">
        <v>9588</v>
      </c>
      <c r="O477" t="s">
        <v>9491</v>
      </c>
      <c r="P477" t="s">
        <v>11245</v>
      </c>
      <c r="Q477" t="s">
        <v>11246</v>
      </c>
      <c r="S477" t="s">
        <v>9309</v>
      </c>
      <c r="U477" s="27" t="s">
        <v>375</v>
      </c>
      <c r="V477" t="s">
        <v>193</v>
      </c>
      <c r="W477" t="s">
        <v>9310</v>
      </c>
      <c r="Z477" t="s">
        <v>9311</v>
      </c>
      <c r="AF477" t="s">
        <v>4714</v>
      </c>
      <c r="AG477" t="s">
        <v>11243</v>
      </c>
      <c r="AI477" t="s">
        <v>6955</v>
      </c>
      <c r="AJ477" s="424" t="str">
        <f t="shared" si="21"/>
        <v>215301</v>
      </c>
      <c r="AK477" s="28">
        <v>1</v>
      </c>
      <c r="AL477" s="28">
        <f t="shared" si="23"/>
        <v>1</v>
      </c>
      <c r="AM477" s="28" t="str">
        <f t="shared" si="22"/>
        <v>praca</v>
      </c>
    </row>
    <row r="478" spans="1:39" x14ac:dyDescent="0.25">
      <c r="A478" t="s">
        <v>915</v>
      </c>
      <c r="B478" t="s">
        <v>11247</v>
      </c>
      <c r="C478" t="s">
        <v>129</v>
      </c>
      <c r="D478" s="27" t="s">
        <v>9835</v>
      </c>
      <c r="E478" t="s">
        <v>192</v>
      </c>
      <c r="F478" s="421">
        <v>1</v>
      </c>
      <c r="G478" t="s">
        <v>193</v>
      </c>
      <c r="H478" t="s">
        <v>194</v>
      </c>
      <c r="I478" t="s">
        <v>10529</v>
      </c>
      <c r="J478" t="s">
        <v>9302</v>
      </c>
      <c r="K478" t="s">
        <v>11248</v>
      </c>
      <c r="L478" t="s">
        <v>6261</v>
      </c>
      <c r="M478" t="s">
        <v>10519</v>
      </c>
      <c r="N478" t="s">
        <v>10045</v>
      </c>
      <c r="O478" t="s">
        <v>11249</v>
      </c>
      <c r="P478" t="s">
        <v>11250</v>
      </c>
      <c r="Q478" t="s">
        <v>11251</v>
      </c>
      <c r="S478" t="s">
        <v>9309</v>
      </c>
      <c r="U478" s="27" t="s">
        <v>203</v>
      </c>
      <c r="V478" t="s">
        <v>193</v>
      </c>
      <c r="W478" t="s">
        <v>9310</v>
      </c>
      <c r="Z478" t="s">
        <v>9311</v>
      </c>
      <c r="AF478" t="s">
        <v>4714</v>
      </c>
      <c r="AG478" t="s">
        <v>11247</v>
      </c>
      <c r="AI478" t="s">
        <v>6955</v>
      </c>
      <c r="AJ478" s="424" t="str">
        <f t="shared" si="21"/>
        <v>121904</v>
      </c>
      <c r="AK478" s="28">
        <v>1</v>
      </c>
      <c r="AL478" s="28">
        <f t="shared" si="23"/>
        <v>1</v>
      </c>
      <c r="AM478" s="28" t="str">
        <f t="shared" si="22"/>
        <v>pracuj.pl</v>
      </c>
    </row>
    <row r="479" spans="1:39" x14ac:dyDescent="0.25">
      <c r="A479" t="s">
        <v>915</v>
      </c>
      <c r="B479" t="s">
        <v>11252</v>
      </c>
      <c r="C479" t="s">
        <v>444</v>
      </c>
      <c r="D479" s="27" t="s">
        <v>9835</v>
      </c>
      <c r="E479" t="s">
        <v>233</v>
      </c>
      <c r="F479" s="421">
        <v>1</v>
      </c>
      <c r="G479" t="s">
        <v>194</v>
      </c>
      <c r="H479" t="s">
        <v>193</v>
      </c>
      <c r="I479" t="s">
        <v>10546</v>
      </c>
      <c r="J479" t="s">
        <v>9302</v>
      </c>
      <c r="K479" t="s">
        <v>11253</v>
      </c>
      <c r="L479" t="s">
        <v>6921</v>
      </c>
      <c r="M479" t="s">
        <v>10539</v>
      </c>
      <c r="N479" t="s">
        <v>9588</v>
      </c>
      <c r="O479" t="s">
        <v>9537</v>
      </c>
      <c r="P479" t="s">
        <v>11254</v>
      </c>
      <c r="Q479" t="s">
        <v>11255</v>
      </c>
      <c r="S479" t="s">
        <v>9309</v>
      </c>
      <c r="U479" s="27" t="s">
        <v>445</v>
      </c>
      <c r="V479" t="s">
        <v>193</v>
      </c>
      <c r="W479" t="s">
        <v>9310</v>
      </c>
      <c r="Z479" t="s">
        <v>9311</v>
      </c>
      <c r="AF479" t="s">
        <v>4714</v>
      </c>
      <c r="AG479" t="s">
        <v>11252</v>
      </c>
      <c r="AI479" t="s">
        <v>6955</v>
      </c>
      <c r="AJ479" s="424" t="str">
        <f t="shared" si="21"/>
        <v>243103</v>
      </c>
      <c r="AK479" s="28">
        <v>1</v>
      </c>
      <c r="AL479" s="28">
        <f t="shared" si="23"/>
        <v>1</v>
      </c>
      <c r="AM479" s="28" t="str">
        <f t="shared" si="22"/>
        <v>praca</v>
      </c>
    </row>
    <row r="480" spans="1:39" x14ac:dyDescent="0.25">
      <c r="A480" t="s">
        <v>11473</v>
      </c>
      <c r="B480" t="s">
        <v>11474</v>
      </c>
      <c r="C480" t="s">
        <v>10</v>
      </c>
      <c r="D480" s="27" t="s">
        <v>9835</v>
      </c>
      <c r="E480" t="s">
        <v>192</v>
      </c>
      <c r="F480" s="421">
        <v>1</v>
      </c>
      <c r="G480" t="s">
        <v>193</v>
      </c>
      <c r="H480" t="s">
        <v>194</v>
      </c>
      <c r="I480" t="s">
        <v>10529</v>
      </c>
      <c r="J480" t="s">
        <v>9302</v>
      </c>
      <c r="K480" t="s">
        <v>11475</v>
      </c>
      <c r="L480" t="s">
        <v>6261</v>
      </c>
      <c r="M480" t="s">
        <v>10519</v>
      </c>
      <c r="N480" t="s">
        <v>10045</v>
      </c>
      <c r="O480" t="s">
        <v>9369</v>
      </c>
      <c r="P480" t="s">
        <v>11476</v>
      </c>
      <c r="Q480" t="s">
        <v>11477</v>
      </c>
      <c r="S480" t="s">
        <v>9309</v>
      </c>
      <c r="U480" s="27" t="s">
        <v>484</v>
      </c>
      <c r="V480" t="s">
        <v>193</v>
      </c>
      <c r="W480" t="s">
        <v>9310</v>
      </c>
      <c r="Z480" t="s">
        <v>9311</v>
      </c>
      <c r="AF480" t="s">
        <v>4714</v>
      </c>
      <c r="AG480" t="s">
        <v>11474</v>
      </c>
      <c r="AI480" t="s">
        <v>6955</v>
      </c>
      <c r="AJ480" s="424" t="str">
        <f t="shared" si="21"/>
        <v>251401</v>
      </c>
      <c r="AK480" s="28">
        <v>1</v>
      </c>
      <c r="AL480" s="28">
        <f t="shared" si="23"/>
        <v>1</v>
      </c>
      <c r="AM480" s="28" t="str">
        <f t="shared" si="22"/>
        <v>pracuj.pl</v>
      </c>
    </row>
    <row r="481" spans="1:39" x14ac:dyDescent="0.25">
      <c r="A481" t="s">
        <v>11529</v>
      </c>
      <c r="B481" t="s">
        <v>1053</v>
      </c>
      <c r="C481" t="s">
        <v>10</v>
      </c>
      <c r="D481" s="27" t="s">
        <v>9835</v>
      </c>
      <c r="E481" t="s">
        <v>192</v>
      </c>
      <c r="F481" s="421">
        <v>1</v>
      </c>
      <c r="G481" t="s">
        <v>193</v>
      </c>
      <c r="H481" t="s">
        <v>194</v>
      </c>
      <c r="I481" t="s">
        <v>9491</v>
      </c>
      <c r="J481" t="s">
        <v>9302</v>
      </c>
      <c r="K481" t="s">
        <v>11530</v>
      </c>
      <c r="L481" t="s">
        <v>6921</v>
      </c>
      <c r="M481" t="s">
        <v>10519</v>
      </c>
      <c r="N481" t="s">
        <v>10045</v>
      </c>
      <c r="O481" t="s">
        <v>9369</v>
      </c>
      <c r="P481" t="s">
        <v>11531</v>
      </c>
      <c r="Q481" t="s">
        <v>11532</v>
      </c>
      <c r="S481" t="s">
        <v>9309</v>
      </c>
      <c r="U481" s="27" t="s">
        <v>484</v>
      </c>
      <c r="V481" t="s">
        <v>193</v>
      </c>
      <c r="W481" t="s">
        <v>9310</v>
      </c>
      <c r="Z481" t="s">
        <v>9311</v>
      </c>
      <c r="AF481" t="s">
        <v>4714</v>
      </c>
      <c r="AG481" t="s">
        <v>1053</v>
      </c>
      <c r="AI481" t="s">
        <v>6955</v>
      </c>
      <c r="AJ481" s="424" t="str">
        <f t="shared" si="21"/>
        <v>251401</v>
      </c>
      <c r="AK481" s="28">
        <v>1</v>
      </c>
      <c r="AL481" s="28">
        <f t="shared" si="23"/>
        <v>1</v>
      </c>
      <c r="AM481" s="28" t="str">
        <f t="shared" si="22"/>
        <v>pracuj.pl</v>
      </c>
    </row>
    <row r="482" spans="1:39" x14ac:dyDescent="0.25">
      <c r="A482" t="s">
        <v>11529</v>
      </c>
      <c r="B482" t="s">
        <v>11533</v>
      </c>
      <c r="C482" t="s">
        <v>10</v>
      </c>
      <c r="D482" s="27" t="s">
        <v>9835</v>
      </c>
      <c r="E482" t="s">
        <v>192</v>
      </c>
      <c r="F482" s="421">
        <v>1</v>
      </c>
      <c r="G482" t="s">
        <v>193</v>
      </c>
      <c r="H482" t="s">
        <v>194</v>
      </c>
      <c r="I482" t="s">
        <v>9318</v>
      </c>
      <c r="J482" t="s">
        <v>9302</v>
      </c>
      <c r="K482" t="s">
        <v>11534</v>
      </c>
      <c r="L482" t="s">
        <v>6261</v>
      </c>
      <c r="M482" t="s">
        <v>10519</v>
      </c>
      <c r="N482" t="s">
        <v>10045</v>
      </c>
      <c r="O482" t="s">
        <v>9369</v>
      </c>
      <c r="P482" t="s">
        <v>11535</v>
      </c>
      <c r="Q482" t="s">
        <v>11536</v>
      </c>
      <c r="S482" t="s">
        <v>9309</v>
      </c>
      <c r="U482" s="27" t="s">
        <v>484</v>
      </c>
      <c r="V482" t="s">
        <v>193</v>
      </c>
      <c r="W482" t="s">
        <v>9310</v>
      </c>
      <c r="Z482" t="s">
        <v>9311</v>
      </c>
      <c r="AF482" t="s">
        <v>4714</v>
      </c>
      <c r="AG482" t="s">
        <v>11533</v>
      </c>
      <c r="AI482" t="s">
        <v>6955</v>
      </c>
      <c r="AJ482" s="424" t="str">
        <f t="shared" si="21"/>
        <v>251401</v>
      </c>
      <c r="AK482" s="28">
        <v>1</v>
      </c>
      <c r="AL482" s="28">
        <f t="shared" si="23"/>
        <v>1</v>
      </c>
      <c r="AM482" s="28" t="str">
        <f t="shared" si="22"/>
        <v>pracuj.pl</v>
      </c>
    </row>
    <row r="483" spans="1:39" x14ac:dyDescent="0.25">
      <c r="A483" t="s">
        <v>11268</v>
      </c>
      <c r="B483" t="s">
        <v>11269</v>
      </c>
      <c r="C483" t="s">
        <v>468</v>
      </c>
      <c r="D483" s="27" t="s">
        <v>9835</v>
      </c>
      <c r="E483" t="s">
        <v>192</v>
      </c>
      <c r="F483" s="421">
        <v>1</v>
      </c>
      <c r="G483" t="s">
        <v>193</v>
      </c>
      <c r="H483" t="s">
        <v>194</v>
      </c>
      <c r="I483" t="s">
        <v>9369</v>
      </c>
      <c r="J483" t="s">
        <v>210</v>
      </c>
      <c r="K483" t="s">
        <v>11270</v>
      </c>
      <c r="L483" t="s">
        <v>6288</v>
      </c>
      <c r="M483" t="s">
        <v>10519</v>
      </c>
      <c r="N483" t="s">
        <v>10045</v>
      </c>
      <c r="O483" t="s">
        <v>9369</v>
      </c>
      <c r="P483" t="s">
        <v>11271</v>
      </c>
      <c r="Q483" t="s">
        <v>11272</v>
      </c>
      <c r="S483" t="s">
        <v>9309</v>
      </c>
      <c r="T483" s="28" t="s">
        <v>9334</v>
      </c>
      <c r="U483" s="27" t="s">
        <v>469</v>
      </c>
      <c r="V483" t="s">
        <v>194</v>
      </c>
      <c r="W483" t="s">
        <v>9300</v>
      </c>
      <c r="Z483" t="s">
        <v>9311</v>
      </c>
      <c r="AF483" t="s">
        <v>4714</v>
      </c>
      <c r="AG483" t="s">
        <v>11269</v>
      </c>
      <c r="AI483" t="s">
        <v>6955</v>
      </c>
      <c r="AJ483" s="424" t="str">
        <f t="shared" si="21"/>
        <v>243303</v>
      </c>
      <c r="AK483" s="28">
        <v>1</v>
      </c>
      <c r="AL483" s="28">
        <f t="shared" si="23"/>
        <v>1</v>
      </c>
      <c r="AM483" s="28" t="str">
        <f t="shared" si="22"/>
        <v>pracuj.pl</v>
      </c>
    </row>
    <row r="484" spans="1:39" x14ac:dyDescent="0.25">
      <c r="A484" t="s">
        <v>11612</v>
      </c>
      <c r="B484" t="s">
        <v>11618</v>
      </c>
      <c r="C484" t="s">
        <v>10</v>
      </c>
      <c r="D484" s="27" t="s">
        <v>9437</v>
      </c>
      <c r="E484" t="s">
        <v>192</v>
      </c>
      <c r="F484" s="421">
        <v>1</v>
      </c>
      <c r="G484" t="s">
        <v>193</v>
      </c>
      <c r="H484" t="s">
        <v>194</v>
      </c>
      <c r="I484" t="s">
        <v>11608</v>
      </c>
      <c r="J484" t="s">
        <v>9302</v>
      </c>
      <c r="K484" t="s">
        <v>11619</v>
      </c>
      <c r="L484" t="s">
        <v>6921</v>
      </c>
      <c r="M484" t="s">
        <v>11604</v>
      </c>
      <c r="N484" t="s">
        <v>9536</v>
      </c>
      <c r="O484" t="s">
        <v>9461</v>
      </c>
      <c r="P484" t="s">
        <v>11620</v>
      </c>
      <c r="Q484" t="s">
        <v>11621</v>
      </c>
      <c r="S484" t="s">
        <v>9309</v>
      </c>
      <c r="U484" s="27" t="s">
        <v>484</v>
      </c>
      <c r="V484" t="s">
        <v>193</v>
      </c>
      <c r="W484" t="s">
        <v>9310</v>
      </c>
      <c r="Z484" t="s">
        <v>9311</v>
      </c>
      <c r="AF484" t="s">
        <v>4714</v>
      </c>
      <c r="AG484" t="s">
        <v>11618</v>
      </c>
      <c r="AI484" t="s">
        <v>6955</v>
      </c>
      <c r="AJ484" s="424" t="str">
        <f t="shared" si="21"/>
        <v>251401</v>
      </c>
      <c r="AK484" s="28">
        <v>1</v>
      </c>
      <c r="AL484" s="28">
        <f t="shared" si="23"/>
        <v>1</v>
      </c>
      <c r="AM484" s="28" t="str">
        <f t="shared" si="22"/>
        <v>pracuj.pl</v>
      </c>
    </row>
    <row r="485" spans="1:39" x14ac:dyDescent="0.25">
      <c r="A485" t="s">
        <v>10076</v>
      </c>
      <c r="B485" t="s">
        <v>10928</v>
      </c>
      <c r="C485" t="s">
        <v>129</v>
      </c>
      <c r="D485" s="27" t="s">
        <v>9835</v>
      </c>
      <c r="E485" t="s">
        <v>192</v>
      </c>
      <c r="F485" s="421">
        <v>1</v>
      </c>
      <c r="G485" t="s">
        <v>193</v>
      </c>
      <c r="H485" t="s">
        <v>194</v>
      </c>
      <c r="I485" t="s">
        <v>10529</v>
      </c>
      <c r="J485" t="s">
        <v>9302</v>
      </c>
      <c r="K485" t="s">
        <v>11278</v>
      </c>
      <c r="L485" t="s">
        <v>6254</v>
      </c>
      <c r="M485" t="s">
        <v>10519</v>
      </c>
      <c r="N485" t="s">
        <v>10045</v>
      </c>
      <c r="O485" t="s">
        <v>9369</v>
      </c>
      <c r="P485" t="s">
        <v>11279</v>
      </c>
      <c r="Q485" t="s">
        <v>11280</v>
      </c>
      <c r="S485" t="s">
        <v>9309</v>
      </c>
      <c r="U485" s="27" t="s">
        <v>203</v>
      </c>
      <c r="V485" t="s">
        <v>193</v>
      </c>
      <c r="W485" t="s">
        <v>9310</v>
      </c>
      <c r="Z485" t="s">
        <v>9311</v>
      </c>
      <c r="AF485" t="s">
        <v>4714</v>
      </c>
      <c r="AG485" t="s">
        <v>10928</v>
      </c>
      <c r="AI485" t="s">
        <v>6955</v>
      </c>
      <c r="AJ485" s="424" t="str">
        <f t="shared" si="21"/>
        <v>121904</v>
      </c>
      <c r="AK485" s="28">
        <v>1</v>
      </c>
      <c r="AL485" s="28">
        <f t="shared" si="23"/>
        <v>1</v>
      </c>
      <c r="AM485" s="28" t="str">
        <f t="shared" si="22"/>
        <v>pracuj.pl</v>
      </c>
    </row>
    <row r="486" spans="1:39" x14ac:dyDescent="0.25">
      <c r="A486" t="s">
        <v>1831</v>
      </c>
      <c r="B486" t="s">
        <v>537</v>
      </c>
      <c r="C486" t="s">
        <v>778</v>
      </c>
      <c r="D486" s="27" t="s">
        <v>9835</v>
      </c>
      <c r="E486" t="s">
        <v>233</v>
      </c>
      <c r="F486" s="421">
        <v>1</v>
      </c>
      <c r="G486" t="s">
        <v>193</v>
      </c>
      <c r="H486" t="s">
        <v>194</v>
      </c>
      <c r="I486" t="s">
        <v>9461</v>
      </c>
      <c r="J486" t="s">
        <v>11281</v>
      </c>
      <c r="K486" t="s">
        <v>11282</v>
      </c>
      <c r="L486" t="s">
        <v>6249</v>
      </c>
      <c r="M486" t="s">
        <v>11283</v>
      </c>
      <c r="N486" t="s">
        <v>10045</v>
      </c>
      <c r="O486" t="s">
        <v>9299</v>
      </c>
      <c r="P486" t="s">
        <v>11284</v>
      </c>
      <c r="Q486" t="s">
        <v>11285</v>
      </c>
      <c r="S486" t="s">
        <v>9309</v>
      </c>
      <c r="T486" s="28" t="s">
        <v>11163</v>
      </c>
      <c r="U486" s="27" t="s">
        <v>779</v>
      </c>
      <c r="V486" t="s">
        <v>194</v>
      </c>
      <c r="W486" t="s">
        <v>9300</v>
      </c>
      <c r="Z486" t="s">
        <v>9311</v>
      </c>
      <c r="AF486" t="s">
        <v>4714</v>
      </c>
      <c r="AG486" t="s">
        <v>778</v>
      </c>
      <c r="AI486" t="s">
        <v>6955</v>
      </c>
      <c r="AJ486" s="424" t="str">
        <f t="shared" si="21"/>
        <v>524902</v>
      </c>
      <c r="AK486" s="28">
        <v>1</v>
      </c>
      <c r="AL486" s="28">
        <f t="shared" si="23"/>
        <v>1</v>
      </c>
      <c r="AM486" s="28" t="str">
        <f t="shared" si="22"/>
        <v>praca</v>
      </c>
    </row>
    <row r="487" spans="1:39" x14ac:dyDescent="0.25">
      <c r="A487" t="s">
        <v>1831</v>
      </c>
      <c r="B487" t="s">
        <v>537</v>
      </c>
      <c r="C487" t="s">
        <v>778</v>
      </c>
      <c r="D487" s="27" t="s">
        <v>9835</v>
      </c>
      <c r="E487" t="s">
        <v>233</v>
      </c>
      <c r="F487" s="421">
        <v>1</v>
      </c>
      <c r="G487" t="s">
        <v>193</v>
      </c>
      <c r="H487" t="s">
        <v>194</v>
      </c>
      <c r="I487" t="s">
        <v>9461</v>
      </c>
      <c r="J487" t="s">
        <v>385</v>
      </c>
      <c r="K487" t="s">
        <v>11286</v>
      </c>
      <c r="L487" t="s">
        <v>6249</v>
      </c>
      <c r="M487" t="s">
        <v>11283</v>
      </c>
      <c r="N487" t="s">
        <v>10045</v>
      </c>
      <c r="O487" t="s">
        <v>9299</v>
      </c>
      <c r="P487" t="s">
        <v>11287</v>
      </c>
      <c r="Q487" t="s">
        <v>11288</v>
      </c>
      <c r="S487" t="s">
        <v>9309</v>
      </c>
      <c r="T487" s="28" t="s">
        <v>9410</v>
      </c>
      <c r="U487" s="27" t="s">
        <v>779</v>
      </c>
      <c r="V487" t="s">
        <v>194</v>
      </c>
      <c r="W487" t="s">
        <v>9300</v>
      </c>
      <c r="Z487" t="s">
        <v>9311</v>
      </c>
      <c r="AF487" t="s">
        <v>4714</v>
      </c>
      <c r="AG487" t="s">
        <v>778</v>
      </c>
      <c r="AI487" t="s">
        <v>6955</v>
      </c>
      <c r="AJ487" s="424" t="str">
        <f t="shared" si="21"/>
        <v>524902</v>
      </c>
      <c r="AK487" s="28">
        <v>1</v>
      </c>
      <c r="AL487" s="28">
        <f t="shared" si="23"/>
        <v>1</v>
      </c>
      <c r="AM487" s="28" t="str">
        <f t="shared" si="22"/>
        <v>praca</v>
      </c>
    </row>
    <row r="488" spans="1:39" x14ac:dyDescent="0.25">
      <c r="A488" t="s">
        <v>2233</v>
      </c>
      <c r="B488" t="s">
        <v>11289</v>
      </c>
      <c r="C488" t="s">
        <v>733</v>
      </c>
      <c r="D488" s="27" t="s">
        <v>9835</v>
      </c>
      <c r="E488" t="s">
        <v>192</v>
      </c>
      <c r="F488" s="421">
        <v>1</v>
      </c>
      <c r="G488" t="s">
        <v>193</v>
      </c>
      <c r="H488" t="s">
        <v>194</v>
      </c>
      <c r="I488" t="s">
        <v>9369</v>
      </c>
      <c r="J488" t="s">
        <v>9302</v>
      </c>
      <c r="K488" t="s">
        <v>11290</v>
      </c>
      <c r="L488" t="s">
        <v>6340</v>
      </c>
      <c r="M488" t="s">
        <v>10519</v>
      </c>
      <c r="N488" t="s">
        <v>10045</v>
      </c>
      <c r="O488" t="s">
        <v>9369</v>
      </c>
      <c r="P488" t="s">
        <v>11291</v>
      </c>
      <c r="Q488" t="s">
        <v>11292</v>
      </c>
      <c r="S488" t="s">
        <v>9309</v>
      </c>
      <c r="U488" s="27" t="s">
        <v>734</v>
      </c>
      <c r="V488" t="s">
        <v>193</v>
      </c>
      <c r="W488" t="s">
        <v>9310</v>
      </c>
      <c r="Z488" t="s">
        <v>9311</v>
      </c>
      <c r="AF488" t="s">
        <v>4714</v>
      </c>
      <c r="AG488" t="s">
        <v>11289</v>
      </c>
      <c r="AI488" t="s">
        <v>6955</v>
      </c>
      <c r="AJ488" s="424" t="str">
        <f t="shared" si="21"/>
        <v>514202</v>
      </c>
      <c r="AK488" s="28">
        <v>1</v>
      </c>
      <c r="AL488" s="28">
        <f t="shared" si="23"/>
        <v>1</v>
      </c>
      <c r="AM488" s="28" t="str">
        <f t="shared" si="22"/>
        <v>pracuj.pl</v>
      </c>
    </row>
    <row r="489" spans="1:39" x14ac:dyDescent="0.25">
      <c r="A489" t="s">
        <v>11293</v>
      </c>
      <c r="B489" t="s">
        <v>11294</v>
      </c>
      <c r="C489" t="s">
        <v>43</v>
      </c>
      <c r="D489" s="27" t="s">
        <v>9835</v>
      </c>
      <c r="E489" t="s">
        <v>233</v>
      </c>
      <c r="F489" s="421">
        <v>1</v>
      </c>
      <c r="G489" t="s">
        <v>193</v>
      </c>
      <c r="H489" t="s">
        <v>194</v>
      </c>
      <c r="I489" t="s">
        <v>9318</v>
      </c>
      <c r="J489" t="s">
        <v>9302</v>
      </c>
      <c r="K489" t="s">
        <v>11295</v>
      </c>
      <c r="L489" t="s">
        <v>6302</v>
      </c>
      <c r="M489" t="s">
        <v>10539</v>
      </c>
      <c r="N489" t="s">
        <v>9588</v>
      </c>
      <c r="O489" t="s">
        <v>9318</v>
      </c>
      <c r="P489" t="s">
        <v>11296</v>
      </c>
      <c r="Q489" t="s">
        <v>11297</v>
      </c>
      <c r="S489" t="s">
        <v>9309</v>
      </c>
      <c r="U489" s="27" t="s">
        <v>452</v>
      </c>
      <c r="V489" t="s">
        <v>193</v>
      </c>
      <c r="W489" t="s">
        <v>9310</v>
      </c>
      <c r="Z489" t="s">
        <v>9311</v>
      </c>
      <c r="AF489" t="s">
        <v>4714</v>
      </c>
      <c r="AG489" t="s">
        <v>11294</v>
      </c>
      <c r="AI489" t="s">
        <v>6955</v>
      </c>
      <c r="AJ489" s="424" t="str">
        <f t="shared" si="21"/>
        <v>243106</v>
      </c>
      <c r="AK489" s="28">
        <v>1</v>
      </c>
      <c r="AL489" s="28">
        <f t="shared" si="23"/>
        <v>1</v>
      </c>
      <c r="AM489" s="28" t="str">
        <f t="shared" si="22"/>
        <v>praca</v>
      </c>
    </row>
    <row r="490" spans="1:39" x14ac:dyDescent="0.25">
      <c r="A490" t="s">
        <v>9136</v>
      </c>
      <c r="B490" t="s">
        <v>11298</v>
      </c>
      <c r="C490" t="s">
        <v>3219</v>
      </c>
      <c r="D490" s="27" t="s">
        <v>9835</v>
      </c>
      <c r="E490" t="s">
        <v>192</v>
      </c>
      <c r="F490" s="421">
        <v>1</v>
      </c>
      <c r="G490" t="s">
        <v>193</v>
      </c>
      <c r="H490" t="s">
        <v>194</v>
      </c>
      <c r="I490" t="s">
        <v>10529</v>
      </c>
      <c r="J490" t="s">
        <v>9302</v>
      </c>
      <c r="K490" t="s">
        <v>11299</v>
      </c>
      <c r="L490" t="s">
        <v>6302</v>
      </c>
      <c r="M490" t="s">
        <v>10519</v>
      </c>
      <c r="N490" t="s">
        <v>10045</v>
      </c>
      <c r="O490" t="s">
        <v>9369</v>
      </c>
      <c r="P490" t="s">
        <v>11300</v>
      </c>
      <c r="Q490" t="s">
        <v>11301</v>
      </c>
      <c r="S490" t="s">
        <v>9309</v>
      </c>
      <c r="U490" s="27" t="s">
        <v>3620</v>
      </c>
      <c r="V490" t="s">
        <v>193</v>
      </c>
      <c r="W490" t="s">
        <v>9310</v>
      </c>
      <c r="Z490" t="s">
        <v>9311</v>
      </c>
      <c r="AF490" t="s">
        <v>4714</v>
      </c>
      <c r="AG490" t="s">
        <v>11298</v>
      </c>
      <c r="AI490" t="s">
        <v>6955</v>
      </c>
      <c r="AJ490" s="424" t="str">
        <f t="shared" si="21"/>
        <v>243109</v>
      </c>
      <c r="AK490" s="28">
        <v>1</v>
      </c>
      <c r="AL490" s="28">
        <f t="shared" si="23"/>
        <v>1</v>
      </c>
      <c r="AM490" s="28" t="str">
        <f t="shared" si="22"/>
        <v>pracuj.pl</v>
      </c>
    </row>
    <row r="491" spans="1:39" x14ac:dyDescent="0.25">
      <c r="A491" t="s">
        <v>11302</v>
      </c>
      <c r="B491" t="s">
        <v>11303</v>
      </c>
      <c r="C491" t="s">
        <v>133</v>
      </c>
      <c r="D491" s="27" t="s">
        <v>9835</v>
      </c>
      <c r="E491" t="s">
        <v>192</v>
      </c>
      <c r="F491" s="421">
        <v>1</v>
      </c>
      <c r="G491" t="s">
        <v>194</v>
      </c>
      <c r="H491" t="s">
        <v>193</v>
      </c>
      <c r="I491" t="s">
        <v>10529</v>
      </c>
      <c r="J491" t="s">
        <v>210</v>
      </c>
      <c r="K491" t="s">
        <v>11304</v>
      </c>
      <c r="L491" t="s">
        <v>6266</v>
      </c>
      <c r="M491" t="s">
        <v>10519</v>
      </c>
      <c r="N491" t="s">
        <v>10045</v>
      </c>
      <c r="O491" t="s">
        <v>9369</v>
      </c>
      <c r="P491" t="s">
        <v>11305</v>
      </c>
      <c r="Q491" t="s">
        <v>11306</v>
      </c>
      <c r="S491" t="s">
        <v>9309</v>
      </c>
      <c r="T491" s="28" t="s">
        <v>9334</v>
      </c>
      <c r="U491" s="27" t="s">
        <v>673</v>
      </c>
      <c r="V491" t="s">
        <v>194</v>
      </c>
      <c r="W491" t="s">
        <v>9300</v>
      </c>
      <c r="Z491" t="s">
        <v>9311</v>
      </c>
      <c r="AF491" t="s">
        <v>4714</v>
      </c>
      <c r="AG491" t="s">
        <v>11303</v>
      </c>
      <c r="AI491" t="s">
        <v>6955</v>
      </c>
      <c r="AJ491" s="424" t="str">
        <f t="shared" si="21"/>
        <v>333107</v>
      </c>
      <c r="AK491" s="28">
        <v>1</v>
      </c>
      <c r="AL491" s="28">
        <f t="shared" si="23"/>
        <v>1</v>
      </c>
      <c r="AM491" s="28" t="str">
        <f t="shared" si="22"/>
        <v>pracuj.pl</v>
      </c>
    </row>
    <row r="492" spans="1:39" x14ac:dyDescent="0.25">
      <c r="A492" t="s">
        <v>11302</v>
      </c>
      <c r="B492" t="s">
        <v>11307</v>
      </c>
      <c r="C492" t="s">
        <v>20</v>
      </c>
      <c r="D492" s="27" t="s">
        <v>9835</v>
      </c>
      <c r="E492" t="s">
        <v>192</v>
      </c>
      <c r="F492" s="421">
        <v>1</v>
      </c>
      <c r="G492" t="s">
        <v>193</v>
      </c>
      <c r="H492" t="s">
        <v>194</v>
      </c>
      <c r="I492" t="s">
        <v>10562</v>
      </c>
      <c r="J492" t="s">
        <v>210</v>
      </c>
      <c r="K492" t="s">
        <v>11308</v>
      </c>
      <c r="L492" t="s">
        <v>6245</v>
      </c>
      <c r="M492" t="s">
        <v>10519</v>
      </c>
      <c r="N492" t="s">
        <v>10045</v>
      </c>
      <c r="O492" t="s">
        <v>9369</v>
      </c>
      <c r="P492" t="s">
        <v>11309</v>
      </c>
      <c r="Q492" t="s">
        <v>11310</v>
      </c>
      <c r="S492" t="s">
        <v>9309</v>
      </c>
      <c r="T492" s="28" t="s">
        <v>9334</v>
      </c>
      <c r="U492" s="27" t="s">
        <v>286</v>
      </c>
      <c r="V492" t="s">
        <v>194</v>
      </c>
      <c r="W492" t="s">
        <v>9300</v>
      </c>
      <c r="Z492" t="s">
        <v>9311</v>
      </c>
      <c r="AF492" t="s">
        <v>4714</v>
      </c>
      <c r="AG492" t="s">
        <v>11307</v>
      </c>
      <c r="AI492" t="s">
        <v>6955</v>
      </c>
      <c r="AJ492" s="424" t="str">
        <f t="shared" si="21"/>
        <v>214109</v>
      </c>
      <c r="AK492" s="28">
        <v>1</v>
      </c>
      <c r="AL492" s="28">
        <f t="shared" si="23"/>
        <v>1</v>
      </c>
      <c r="AM492" s="28" t="str">
        <f t="shared" si="22"/>
        <v>pracuj.pl</v>
      </c>
    </row>
    <row r="493" spans="1:39" x14ac:dyDescent="0.25">
      <c r="A493" t="s">
        <v>11311</v>
      </c>
      <c r="B493" t="s">
        <v>11312</v>
      </c>
      <c r="C493" t="s">
        <v>778</v>
      </c>
      <c r="D493" s="27" t="s">
        <v>9835</v>
      </c>
      <c r="E493" t="s">
        <v>192</v>
      </c>
      <c r="F493" s="421">
        <v>1</v>
      </c>
      <c r="G493" t="s">
        <v>193</v>
      </c>
      <c r="H493" t="s">
        <v>194</v>
      </c>
      <c r="I493" t="s">
        <v>9369</v>
      </c>
      <c r="J493" t="s">
        <v>9302</v>
      </c>
      <c r="K493" t="s">
        <v>11313</v>
      </c>
      <c r="L493" t="s">
        <v>6251</v>
      </c>
      <c r="M493" t="s">
        <v>10519</v>
      </c>
      <c r="N493" t="s">
        <v>10045</v>
      </c>
      <c r="O493" t="s">
        <v>9369</v>
      </c>
      <c r="P493" t="s">
        <v>11314</v>
      </c>
      <c r="Q493" t="s">
        <v>11315</v>
      </c>
      <c r="S493" t="s">
        <v>9309</v>
      </c>
      <c r="U493" s="27" t="s">
        <v>779</v>
      </c>
      <c r="V493" t="s">
        <v>193</v>
      </c>
      <c r="W493" t="s">
        <v>9310</v>
      </c>
      <c r="Z493" t="s">
        <v>9311</v>
      </c>
      <c r="AF493" t="s">
        <v>4714</v>
      </c>
      <c r="AG493" t="s">
        <v>11312</v>
      </c>
      <c r="AI493" t="s">
        <v>6955</v>
      </c>
      <c r="AJ493" s="424" t="str">
        <f t="shared" si="21"/>
        <v>524902</v>
      </c>
      <c r="AK493" s="28">
        <v>1</v>
      </c>
      <c r="AL493" s="28">
        <f t="shared" si="23"/>
        <v>1</v>
      </c>
      <c r="AM493" s="28" t="str">
        <f t="shared" si="22"/>
        <v>pracuj.pl</v>
      </c>
    </row>
    <row r="494" spans="1:39" x14ac:dyDescent="0.25">
      <c r="A494" t="s">
        <v>3853</v>
      </c>
      <c r="B494" t="s">
        <v>11316</v>
      </c>
      <c r="C494" t="s">
        <v>11317</v>
      </c>
      <c r="D494" s="27" t="s">
        <v>9835</v>
      </c>
      <c r="E494" t="s">
        <v>233</v>
      </c>
      <c r="F494" s="421">
        <v>1</v>
      </c>
      <c r="G494" t="s">
        <v>193</v>
      </c>
      <c r="H494" t="s">
        <v>194</v>
      </c>
      <c r="I494" t="s">
        <v>10529</v>
      </c>
      <c r="J494" t="s">
        <v>210</v>
      </c>
      <c r="K494" t="s">
        <v>11318</v>
      </c>
      <c r="L494" t="s">
        <v>6327</v>
      </c>
      <c r="M494" t="s">
        <v>10539</v>
      </c>
      <c r="N494" t="s">
        <v>9588</v>
      </c>
      <c r="O494" t="s">
        <v>9967</v>
      </c>
      <c r="P494" t="s">
        <v>11319</v>
      </c>
      <c r="Q494" t="s">
        <v>11320</v>
      </c>
      <c r="S494" t="s">
        <v>9309</v>
      </c>
      <c r="T494" s="28" t="s">
        <v>9334</v>
      </c>
      <c r="U494" s="27" t="s">
        <v>11321</v>
      </c>
      <c r="V494" t="s">
        <v>194</v>
      </c>
      <c r="W494" t="s">
        <v>9300</v>
      </c>
      <c r="Z494" t="s">
        <v>9311</v>
      </c>
      <c r="AF494" t="s">
        <v>4714</v>
      </c>
      <c r="AG494" t="s">
        <v>11316</v>
      </c>
      <c r="AI494" t="s">
        <v>6955</v>
      </c>
      <c r="AJ494" s="424" t="str">
        <f t="shared" si="21"/>
        <v>214920</v>
      </c>
      <c r="AK494" s="28">
        <v>1</v>
      </c>
      <c r="AL494" s="28">
        <f t="shared" si="23"/>
        <v>1</v>
      </c>
      <c r="AM494" s="28" t="str">
        <f t="shared" si="22"/>
        <v>praca</v>
      </c>
    </row>
    <row r="495" spans="1:39" x14ac:dyDescent="0.25">
      <c r="A495" t="s">
        <v>11322</v>
      </c>
      <c r="B495" t="s">
        <v>11323</v>
      </c>
      <c r="C495" t="s">
        <v>35</v>
      </c>
      <c r="D495" s="27" t="s">
        <v>9835</v>
      </c>
      <c r="E495" t="s">
        <v>192</v>
      </c>
      <c r="F495" s="421">
        <v>1</v>
      </c>
      <c r="G495" t="s">
        <v>193</v>
      </c>
      <c r="H495" t="s">
        <v>194</v>
      </c>
      <c r="I495" t="s">
        <v>10529</v>
      </c>
      <c r="J495" t="s">
        <v>9302</v>
      </c>
      <c r="K495" t="s">
        <v>11324</v>
      </c>
      <c r="L495" t="s">
        <v>6254</v>
      </c>
      <c r="M495" t="s">
        <v>10519</v>
      </c>
      <c r="N495" t="s">
        <v>10045</v>
      </c>
      <c r="O495" t="s">
        <v>9369</v>
      </c>
      <c r="P495" t="s">
        <v>11325</v>
      </c>
      <c r="Q495" t="s">
        <v>11326</v>
      </c>
      <c r="S495" t="s">
        <v>9309</v>
      </c>
      <c r="U495" s="27" t="s">
        <v>207</v>
      </c>
      <c r="V495" t="s">
        <v>193</v>
      </c>
      <c r="W495" t="s">
        <v>9310</v>
      </c>
      <c r="Z495" t="s">
        <v>9311</v>
      </c>
      <c r="AF495" t="s">
        <v>4714</v>
      </c>
      <c r="AG495" t="s">
        <v>11323</v>
      </c>
      <c r="AI495" t="s">
        <v>6955</v>
      </c>
      <c r="AJ495" s="424" t="str">
        <f t="shared" si="21"/>
        <v>122106</v>
      </c>
      <c r="AK495" s="28">
        <v>1</v>
      </c>
      <c r="AL495" s="28">
        <f t="shared" si="23"/>
        <v>1</v>
      </c>
      <c r="AM495" s="28" t="str">
        <f t="shared" si="22"/>
        <v>pracuj.pl</v>
      </c>
    </row>
    <row r="496" spans="1:39" x14ac:dyDescent="0.25">
      <c r="A496" t="s">
        <v>11612</v>
      </c>
      <c r="B496" t="s">
        <v>11622</v>
      </c>
      <c r="C496" t="s">
        <v>10</v>
      </c>
      <c r="D496" s="27" t="s">
        <v>9437</v>
      </c>
      <c r="E496" t="s">
        <v>192</v>
      </c>
      <c r="F496" s="421">
        <v>1</v>
      </c>
      <c r="G496" t="s">
        <v>193</v>
      </c>
      <c r="H496" t="s">
        <v>194</v>
      </c>
      <c r="I496" t="s">
        <v>9491</v>
      </c>
      <c r="J496" t="s">
        <v>9302</v>
      </c>
      <c r="K496" t="s">
        <v>11623</v>
      </c>
      <c r="L496" t="s">
        <v>6261</v>
      </c>
      <c r="M496" t="s">
        <v>11604</v>
      </c>
      <c r="N496" t="s">
        <v>9536</v>
      </c>
      <c r="O496" t="s">
        <v>9461</v>
      </c>
      <c r="P496" t="s">
        <v>11624</v>
      </c>
      <c r="Q496" t="s">
        <v>11625</v>
      </c>
      <c r="S496" t="s">
        <v>9309</v>
      </c>
      <c r="U496" s="27" t="s">
        <v>484</v>
      </c>
      <c r="V496" t="s">
        <v>193</v>
      </c>
      <c r="W496" t="s">
        <v>9310</v>
      </c>
      <c r="Z496" t="s">
        <v>9311</v>
      </c>
      <c r="AF496" t="s">
        <v>4714</v>
      </c>
      <c r="AG496" t="s">
        <v>11622</v>
      </c>
      <c r="AI496" t="s">
        <v>6955</v>
      </c>
      <c r="AJ496" s="424" t="str">
        <f t="shared" si="21"/>
        <v>251401</v>
      </c>
      <c r="AK496" s="28">
        <v>1</v>
      </c>
      <c r="AL496" s="28">
        <f t="shared" si="23"/>
        <v>1</v>
      </c>
      <c r="AM496" s="28" t="str">
        <f t="shared" si="22"/>
        <v>pracuj.pl</v>
      </c>
    </row>
    <row r="497" spans="1:39" x14ac:dyDescent="0.25">
      <c r="A497" t="s">
        <v>11332</v>
      </c>
      <c r="B497" t="s">
        <v>1517</v>
      </c>
      <c r="C497" t="s">
        <v>21</v>
      </c>
      <c r="D497" s="27" t="s">
        <v>9835</v>
      </c>
      <c r="E497" t="s">
        <v>233</v>
      </c>
      <c r="F497" s="421">
        <v>1</v>
      </c>
      <c r="G497" t="s">
        <v>193</v>
      </c>
      <c r="H497" t="s">
        <v>194</v>
      </c>
      <c r="I497" t="s">
        <v>10546</v>
      </c>
      <c r="J497" t="s">
        <v>327</v>
      </c>
      <c r="K497" t="s">
        <v>11333</v>
      </c>
      <c r="L497" t="s">
        <v>6306</v>
      </c>
      <c r="M497" t="s">
        <v>10564</v>
      </c>
      <c r="N497" t="s">
        <v>9588</v>
      </c>
      <c r="O497" t="s">
        <v>9383</v>
      </c>
      <c r="P497" t="s">
        <v>11334</v>
      </c>
      <c r="Q497" t="s">
        <v>11335</v>
      </c>
      <c r="S497" t="s">
        <v>9309</v>
      </c>
      <c r="T497" s="28" t="s">
        <v>9506</v>
      </c>
      <c r="U497" s="27" t="s">
        <v>293</v>
      </c>
      <c r="V497" t="s">
        <v>194</v>
      </c>
      <c r="W497" t="s">
        <v>9300</v>
      </c>
      <c r="Z497" t="s">
        <v>9311</v>
      </c>
      <c r="AF497" t="s">
        <v>4714</v>
      </c>
      <c r="AG497" t="s">
        <v>1517</v>
      </c>
      <c r="AI497" t="s">
        <v>6955</v>
      </c>
      <c r="AJ497" s="424" t="str">
        <f t="shared" si="21"/>
        <v>214202</v>
      </c>
      <c r="AK497" s="28">
        <v>1</v>
      </c>
      <c r="AL497" s="28">
        <f t="shared" si="23"/>
        <v>1</v>
      </c>
      <c r="AM497" s="28" t="str">
        <f t="shared" si="22"/>
        <v>praca</v>
      </c>
    </row>
    <row r="498" spans="1:39" x14ac:dyDescent="0.25">
      <c r="A498" t="s">
        <v>10145</v>
      </c>
      <c r="B498" t="s">
        <v>10146</v>
      </c>
      <c r="C498" t="s">
        <v>4896</v>
      </c>
      <c r="D498" s="27" t="s">
        <v>9835</v>
      </c>
      <c r="E498" t="s">
        <v>217</v>
      </c>
      <c r="F498" s="421">
        <v>1</v>
      </c>
      <c r="G498" t="s">
        <v>193</v>
      </c>
      <c r="H498" t="s">
        <v>194</v>
      </c>
      <c r="I498" t="s">
        <v>9491</v>
      </c>
      <c r="J498" t="s">
        <v>210</v>
      </c>
      <c r="K498" t="s">
        <v>10151</v>
      </c>
      <c r="L498" t="s">
        <v>6269</v>
      </c>
      <c r="M498" t="s">
        <v>10618</v>
      </c>
      <c r="N498" t="s">
        <v>9429</v>
      </c>
      <c r="O498" t="s">
        <v>9318</v>
      </c>
      <c r="P498" t="s">
        <v>11336</v>
      </c>
      <c r="Q498" t="s">
        <v>11337</v>
      </c>
      <c r="S498" t="s">
        <v>9309</v>
      </c>
      <c r="T498" s="28" t="s">
        <v>9334</v>
      </c>
      <c r="U498" s="27" t="s">
        <v>2538</v>
      </c>
      <c r="V498" t="s">
        <v>194</v>
      </c>
      <c r="W498" t="s">
        <v>9300</v>
      </c>
      <c r="Z498" t="s">
        <v>9311</v>
      </c>
      <c r="AF498" t="s">
        <v>4714</v>
      </c>
      <c r="AG498" t="s">
        <v>9433</v>
      </c>
      <c r="AI498" t="s">
        <v>6955</v>
      </c>
      <c r="AJ498" s="424" t="str">
        <f t="shared" si="21"/>
        <v>911207</v>
      </c>
      <c r="AK498" s="28">
        <v>1</v>
      </c>
      <c r="AL498" s="28">
        <f t="shared" si="23"/>
        <v>1</v>
      </c>
      <c r="AM498" s="28" t="str">
        <f t="shared" si="22"/>
        <v>agora</v>
      </c>
    </row>
    <row r="499" spans="1:39" x14ac:dyDescent="0.25">
      <c r="A499" t="s">
        <v>10145</v>
      </c>
      <c r="B499" t="s">
        <v>10154</v>
      </c>
      <c r="C499" t="s">
        <v>156</v>
      </c>
      <c r="D499" s="27" t="s">
        <v>9835</v>
      </c>
      <c r="E499" t="s">
        <v>217</v>
      </c>
      <c r="F499" s="421">
        <v>1</v>
      </c>
      <c r="G499" t="s">
        <v>193</v>
      </c>
      <c r="H499" t="s">
        <v>194</v>
      </c>
      <c r="I499" t="s">
        <v>9343</v>
      </c>
      <c r="J499" t="s">
        <v>210</v>
      </c>
      <c r="K499" t="s">
        <v>10155</v>
      </c>
      <c r="L499" t="s">
        <v>6269</v>
      </c>
      <c r="M499" t="s">
        <v>10618</v>
      </c>
      <c r="N499" t="s">
        <v>9955</v>
      </c>
      <c r="O499" t="s">
        <v>9491</v>
      </c>
      <c r="P499" t="s">
        <v>11338</v>
      </c>
      <c r="Q499" t="s">
        <v>11339</v>
      </c>
      <c r="S499" t="s">
        <v>9309</v>
      </c>
      <c r="T499" s="28" t="s">
        <v>9334</v>
      </c>
      <c r="U499" s="27" t="s">
        <v>659</v>
      </c>
      <c r="V499" t="s">
        <v>194</v>
      </c>
      <c r="W499" t="s">
        <v>9300</v>
      </c>
      <c r="Z499" t="s">
        <v>9311</v>
      </c>
      <c r="AF499" t="s">
        <v>4714</v>
      </c>
      <c r="AG499" t="s">
        <v>9433</v>
      </c>
      <c r="AI499" t="s">
        <v>6955</v>
      </c>
      <c r="AJ499" s="424" t="str">
        <f t="shared" si="21"/>
        <v>332302</v>
      </c>
      <c r="AK499" s="28">
        <v>1</v>
      </c>
      <c r="AL499" s="28">
        <f t="shared" si="23"/>
        <v>1</v>
      </c>
      <c r="AM499" s="28" t="str">
        <f t="shared" si="22"/>
        <v>agora</v>
      </c>
    </row>
    <row r="500" spans="1:39" x14ac:dyDescent="0.25">
      <c r="A500" t="s">
        <v>10145</v>
      </c>
      <c r="B500" t="s">
        <v>10158</v>
      </c>
      <c r="C500" t="s">
        <v>3703</v>
      </c>
      <c r="D500" s="27" t="s">
        <v>9835</v>
      </c>
      <c r="E500" t="s">
        <v>217</v>
      </c>
      <c r="F500" s="421">
        <v>1</v>
      </c>
      <c r="G500" t="s">
        <v>193</v>
      </c>
      <c r="H500" t="s">
        <v>194</v>
      </c>
      <c r="I500" t="s">
        <v>10529</v>
      </c>
      <c r="J500" t="s">
        <v>210</v>
      </c>
      <c r="K500" t="s">
        <v>10159</v>
      </c>
      <c r="L500" t="s">
        <v>6249</v>
      </c>
      <c r="M500" t="s">
        <v>10618</v>
      </c>
      <c r="N500" t="s">
        <v>9536</v>
      </c>
      <c r="O500" t="s">
        <v>9491</v>
      </c>
      <c r="P500" t="s">
        <v>11340</v>
      </c>
      <c r="Q500" t="s">
        <v>11341</v>
      </c>
      <c r="S500" t="s">
        <v>9309</v>
      </c>
      <c r="T500" s="28" t="s">
        <v>9334</v>
      </c>
      <c r="U500" s="27" t="s">
        <v>3704</v>
      </c>
      <c r="V500" t="s">
        <v>194</v>
      </c>
      <c r="W500" t="s">
        <v>9300</v>
      </c>
      <c r="Z500" t="s">
        <v>9311</v>
      </c>
      <c r="AF500" t="s">
        <v>4714</v>
      </c>
      <c r="AG500" t="s">
        <v>9433</v>
      </c>
      <c r="AI500" t="s">
        <v>6955</v>
      </c>
      <c r="AJ500" s="424" t="str">
        <f t="shared" si="21"/>
        <v>522302</v>
      </c>
      <c r="AK500" s="28">
        <v>1</v>
      </c>
      <c r="AL500" s="28">
        <f t="shared" si="23"/>
        <v>1</v>
      </c>
      <c r="AM500" s="28" t="str">
        <f t="shared" si="22"/>
        <v>agora</v>
      </c>
    </row>
    <row r="501" spans="1:39" x14ac:dyDescent="0.25">
      <c r="A501" t="s">
        <v>10145</v>
      </c>
      <c r="B501" t="s">
        <v>10165</v>
      </c>
      <c r="C501" t="s">
        <v>886</v>
      </c>
      <c r="D501" s="27" t="s">
        <v>9835</v>
      </c>
      <c r="E501" t="s">
        <v>217</v>
      </c>
      <c r="F501" s="421">
        <v>1</v>
      </c>
      <c r="G501" t="s">
        <v>193</v>
      </c>
      <c r="H501" t="s">
        <v>194</v>
      </c>
      <c r="I501" t="s">
        <v>9343</v>
      </c>
      <c r="J501" t="s">
        <v>210</v>
      </c>
      <c r="K501" t="s">
        <v>10166</v>
      </c>
      <c r="L501" t="s">
        <v>6269</v>
      </c>
      <c r="M501" t="s">
        <v>10641</v>
      </c>
      <c r="N501" t="s">
        <v>10045</v>
      </c>
      <c r="O501" t="s">
        <v>9430</v>
      </c>
      <c r="P501" t="s">
        <v>11342</v>
      </c>
      <c r="Q501" t="s">
        <v>11343</v>
      </c>
      <c r="S501" t="s">
        <v>9309</v>
      </c>
      <c r="T501" s="28" t="s">
        <v>9334</v>
      </c>
      <c r="U501" s="27" t="s">
        <v>887</v>
      </c>
      <c r="V501" t="s">
        <v>194</v>
      </c>
      <c r="W501" t="s">
        <v>9300</v>
      </c>
      <c r="Z501" t="s">
        <v>9311</v>
      </c>
      <c r="AF501" t="s">
        <v>4714</v>
      </c>
      <c r="AG501" t="s">
        <v>9433</v>
      </c>
      <c r="AI501" t="s">
        <v>6955</v>
      </c>
      <c r="AJ501" s="424" t="str">
        <f t="shared" si="21"/>
        <v>834401</v>
      </c>
      <c r="AK501" s="28">
        <v>1</v>
      </c>
      <c r="AL501" s="28">
        <f t="shared" si="23"/>
        <v>1</v>
      </c>
      <c r="AM501" s="28" t="str">
        <f t="shared" si="22"/>
        <v>agora</v>
      </c>
    </row>
    <row r="502" spans="1:39" x14ac:dyDescent="0.25">
      <c r="A502" t="s">
        <v>10145</v>
      </c>
      <c r="B502" t="s">
        <v>10169</v>
      </c>
      <c r="C502" t="s">
        <v>886</v>
      </c>
      <c r="D502" s="27" t="s">
        <v>9835</v>
      </c>
      <c r="E502" t="s">
        <v>217</v>
      </c>
      <c r="F502" s="421">
        <v>1</v>
      </c>
      <c r="G502" t="s">
        <v>193</v>
      </c>
      <c r="H502" t="s">
        <v>194</v>
      </c>
      <c r="I502" t="s">
        <v>9343</v>
      </c>
      <c r="J502" t="s">
        <v>210</v>
      </c>
      <c r="K502" t="s">
        <v>10170</v>
      </c>
      <c r="L502" t="s">
        <v>6269</v>
      </c>
      <c r="M502" t="s">
        <v>10618</v>
      </c>
      <c r="N502" t="s">
        <v>9955</v>
      </c>
      <c r="O502" t="s">
        <v>9491</v>
      </c>
      <c r="P502" t="s">
        <v>11344</v>
      </c>
      <c r="Q502" t="s">
        <v>11345</v>
      </c>
      <c r="S502" t="s">
        <v>9309</v>
      </c>
      <c r="T502" s="28" t="s">
        <v>9334</v>
      </c>
      <c r="U502" s="27" t="s">
        <v>887</v>
      </c>
      <c r="V502" t="s">
        <v>194</v>
      </c>
      <c r="W502" t="s">
        <v>9300</v>
      </c>
      <c r="Z502" t="s">
        <v>9311</v>
      </c>
      <c r="AF502" t="s">
        <v>4714</v>
      </c>
      <c r="AG502" t="s">
        <v>9433</v>
      </c>
      <c r="AI502" t="s">
        <v>6955</v>
      </c>
      <c r="AJ502" s="424" t="str">
        <f t="shared" si="21"/>
        <v>834401</v>
      </c>
      <c r="AK502" s="28">
        <v>1</v>
      </c>
      <c r="AL502" s="28">
        <f t="shared" si="23"/>
        <v>1</v>
      </c>
      <c r="AM502" s="28" t="str">
        <f t="shared" si="22"/>
        <v>agora</v>
      </c>
    </row>
    <row r="503" spans="1:39" x14ac:dyDescent="0.25">
      <c r="A503" t="s">
        <v>10145</v>
      </c>
      <c r="B503" t="s">
        <v>10173</v>
      </c>
      <c r="C503" t="s">
        <v>886</v>
      </c>
      <c r="D503" s="27" t="s">
        <v>9835</v>
      </c>
      <c r="E503" t="s">
        <v>217</v>
      </c>
      <c r="F503" s="421">
        <v>1</v>
      </c>
      <c r="G503" t="s">
        <v>193</v>
      </c>
      <c r="H503" t="s">
        <v>194</v>
      </c>
      <c r="I503" t="s">
        <v>9343</v>
      </c>
      <c r="J503" t="s">
        <v>210</v>
      </c>
      <c r="K503" t="s">
        <v>10174</v>
      </c>
      <c r="L503" t="s">
        <v>6269</v>
      </c>
      <c r="M503" t="s">
        <v>10641</v>
      </c>
      <c r="N503" t="s">
        <v>9536</v>
      </c>
      <c r="O503" t="s">
        <v>9491</v>
      </c>
      <c r="P503" t="s">
        <v>11346</v>
      </c>
      <c r="Q503" t="s">
        <v>11347</v>
      </c>
      <c r="S503" t="s">
        <v>9309</v>
      </c>
      <c r="T503" s="28" t="s">
        <v>9334</v>
      </c>
      <c r="U503" s="27" t="s">
        <v>887</v>
      </c>
      <c r="V503" t="s">
        <v>194</v>
      </c>
      <c r="W503" t="s">
        <v>9300</v>
      </c>
      <c r="Z503" t="s">
        <v>9311</v>
      </c>
      <c r="AF503" t="s">
        <v>4714</v>
      </c>
      <c r="AG503" t="s">
        <v>9433</v>
      </c>
      <c r="AI503" t="s">
        <v>6955</v>
      </c>
      <c r="AJ503" s="424" t="str">
        <f t="shared" si="21"/>
        <v>834401</v>
      </c>
      <c r="AK503" s="28">
        <v>1</v>
      </c>
      <c r="AL503" s="28">
        <f t="shared" si="23"/>
        <v>1</v>
      </c>
      <c r="AM503" s="28" t="str">
        <f t="shared" si="22"/>
        <v>agora</v>
      </c>
    </row>
    <row r="504" spans="1:39" x14ac:dyDescent="0.25">
      <c r="A504" t="s">
        <v>10145</v>
      </c>
      <c r="B504" t="s">
        <v>10188</v>
      </c>
      <c r="C504" t="s">
        <v>870</v>
      </c>
      <c r="D504" s="27" t="s">
        <v>9835</v>
      </c>
      <c r="E504" t="s">
        <v>217</v>
      </c>
      <c r="F504" s="421">
        <v>1</v>
      </c>
      <c r="G504" t="s">
        <v>193</v>
      </c>
      <c r="H504" t="s">
        <v>194</v>
      </c>
      <c r="I504" t="s">
        <v>10529</v>
      </c>
      <c r="J504" t="s">
        <v>210</v>
      </c>
      <c r="K504" t="s">
        <v>10189</v>
      </c>
      <c r="L504" t="s">
        <v>6269</v>
      </c>
      <c r="M504" t="s">
        <v>10618</v>
      </c>
      <c r="N504" t="s">
        <v>9955</v>
      </c>
      <c r="O504" t="s">
        <v>9491</v>
      </c>
      <c r="P504" t="s">
        <v>11348</v>
      </c>
      <c r="Q504" t="s">
        <v>11349</v>
      </c>
      <c r="S504" t="s">
        <v>9309</v>
      </c>
      <c r="T504" s="28" t="s">
        <v>9334</v>
      </c>
      <c r="U504" s="27" t="s">
        <v>872</v>
      </c>
      <c r="V504" t="s">
        <v>194</v>
      </c>
      <c r="W504" t="s">
        <v>9300</v>
      </c>
      <c r="Z504" t="s">
        <v>9311</v>
      </c>
      <c r="AF504" t="s">
        <v>4714</v>
      </c>
      <c r="AG504" t="s">
        <v>9433</v>
      </c>
      <c r="AI504" t="s">
        <v>6955</v>
      </c>
      <c r="AJ504" s="424" t="str">
        <f t="shared" si="21"/>
        <v>832202</v>
      </c>
      <c r="AK504" s="28">
        <v>1</v>
      </c>
      <c r="AL504" s="28">
        <f t="shared" si="23"/>
        <v>1</v>
      </c>
      <c r="AM504" s="28" t="str">
        <f t="shared" si="22"/>
        <v>agora</v>
      </c>
    </row>
    <row r="505" spans="1:39" x14ac:dyDescent="0.25">
      <c r="A505" t="s">
        <v>10145</v>
      </c>
      <c r="B505" t="s">
        <v>10192</v>
      </c>
      <c r="C505" t="s">
        <v>17</v>
      </c>
      <c r="D505" s="27" t="s">
        <v>9835</v>
      </c>
      <c r="E505" t="s">
        <v>217</v>
      </c>
      <c r="F505" s="421">
        <v>1</v>
      </c>
      <c r="G505" t="s">
        <v>193</v>
      </c>
      <c r="H505" t="s">
        <v>194</v>
      </c>
      <c r="I505" t="s">
        <v>9369</v>
      </c>
      <c r="J505" t="s">
        <v>210</v>
      </c>
      <c r="K505" t="s">
        <v>10193</v>
      </c>
      <c r="L505" t="s">
        <v>6249</v>
      </c>
      <c r="M505" t="s">
        <v>10618</v>
      </c>
      <c r="N505" t="s">
        <v>10194</v>
      </c>
      <c r="O505" t="s">
        <v>9461</v>
      </c>
      <c r="P505" t="s">
        <v>11350</v>
      </c>
      <c r="Q505" t="s">
        <v>11351</v>
      </c>
      <c r="S505" t="s">
        <v>9309</v>
      </c>
      <c r="T505" s="28" t="s">
        <v>9334</v>
      </c>
      <c r="U505" s="27" t="s">
        <v>624</v>
      </c>
      <c r="V505" t="s">
        <v>194</v>
      </c>
      <c r="W505" t="s">
        <v>9300</v>
      </c>
      <c r="Z505" t="s">
        <v>9311</v>
      </c>
      <c r="AF505" t="s">
        <v>4714</v>
      </c>
      <c r="AG505" t="s">
        <v>9433</v>
      </c>
      <c r="AI505" t="s">
        <v>6955</v>
      </c>
      <c r="AJ505" s="424" t="str">
        <f t="shared" si="21"/>
        <v>332203</v>
      </c>
      <c r="AK505" s="28">
        <v>1</v>
      </c>
      <c r="AL505" s="28">
        <f t="shared" si="23"/>
        <v>1</v>
      </c>
      <c r="AM505" s="28" t="str">
        <f t="shared" si="22"/>
        <v>agora</v>
      </c>
    </row>
    <row r="506" spans="1:39" x14ac:dyDescent="0.25">
      <c r="A506" t="s">
        <v>10145</v>
      </c>
      <c r="B506" t="s">
        <v>10197</v>
      </c>
      <c r="C506" t="s">
        <v>17</v>
      </c>
      <c r="D506" s="27" t="s">
        <v>9835</v>
      </c>
      <c r="E506" t="s">
        <v>217</v>
      </c>
      <c r="F506" s="421">
        <v>1</v>
      </c>
      <c r="G506" t="s">
        <v>193</v>
      </c>
      <c r="H506" t="s">
        <v>194</v>
      </c>
      <c r="I506" t="s">
        <v>9369</v>
      </c>
      <c r="J506" t="s">
        <v>210</v>
      </c>
      <c r="K506" t="s">
        <v>11352</v>
      </c>
      <c r="L506" t="s">
        <v>6286</v>
      </c>
      <c r="M506" t="s">
        <v>10618</v>
      </c>
      <c r="N506" t="s">
        <v>11100</v>
      </c>
      <c r="O506" t="s">
        <v>9299</v>
      </c>
      <c r="P506" t="s">
        <v>11353</v>
      </c>
      <c r="Q506" t="s">
        <v>11354</v>
      </c>
      <c r="S506" t="s">
        <v>9309</v>
      </c>
      <c r="T506" s="28" t="s">
        <v>9334</v>
      </c>
      <c r="U506" s="27" t="s">
        <v>624</v>
      </c>
      <c r="V506" t="s">
        <v>194</v>
      </c>
      <c r="W506" t="s">
        <v>9300</v>
      </c>
      <c r="Z506" t="s">
        <v>9311</v>
      </c>
      <c r="AF506" t="s">
        <v>4714</v>
      </c>
      <c r="AG506" t="s">
        <v>9433</v>
      </c>
      <c r="AI506" t="s">
        <v>6955</v>
      </c>
      <c r="AJ506" s="424" t="str">
        <f t="shared" si="21"/>
        <v>332203</v>
      </c>
      <c r="AK506" s="28">
        <v>1</v>
      </c>
      <c r="AL506" s="28">
        <f t="shared" si="23"/>
        <v>1</v>
      </c>
      <c r="AM506" s="28" t="str">
        <f t="shared" si="22"/>
        <v>agora</v>
      </c>
    </row>
    <row r="507" spans="1:39" x14ac:dyDescent="0.25">
      <c r="A507" t="s">
        <v>10145</v>
      </c>
      <c r="B507" t="s">
        <v>10201</v>
      </c>
      <c r="C507" t="s">
        <v>18</v>
      </c>
      <c r="D507" s="27" t="s">
        <v>9835</v>
      </c>
      <c r="E507" t="s">
        <v>217</v>
      </c>
      <c r="F507" s="421">
        <v>1</v>
      </c>
      <c r="G507" t="s">
        <v>193</v>
      </c>
      <c r="H507" t="s">
        <v>194</v>
      </c>
      <c r="I507" t="s">
        <v>9343</v>
      </c>
      <c r="J507" t="s">
        <v>210</v>
      </c>
      <c r="K507" t="s">
        <v>10202</v>
      </c>
      <c r="L507" t="s">
        <v>6340</v>
      </c>
      <c r="M507" t="s">
        <v>10618</v>
      </c>
      <c r="N507" t="s">
        <v>9719</v>
      </c>
      <c r="O507" t="s">
        <v>9574</v>
      </c>
      <c r="P507" t="s">
        <v>11355</v>
      </c>
      <c r="Q507" t="s">
        <v>11356</v>
      </c>
      <c r="S507" t="s">
        <v>9309</v>
      </c>
      <c r="T507" s="28" t="s">
        <v>9334</v>
      </c>
      <c r="U507" s="27" t="s">
        <v>1476</v>
      </c>
      <c r="V507" t="s">
        <v>194</v>
      </c>
      <c r="W507" t="s">
        <v>9300</v>
      </c>
      <c r="Z507" t="s">
        <v>9311</v>
      </c>
      <c r="AF507" t="s">
        <v>4714</v>
      </c>
      <c r="AG507" t="s">
        <v>9433</v>
      </c>
      <c r="AI507" t="s">
        <v>6955</v>
      </c>
      <c r="AJ507" s="424" t="str">
        <f t="shared" si="21"/>
        <v>242309</v>
      </c>
      <c r="AK507" s="28">
        <v>1</v>
      </c>
      <c r="AL507" s="28">
        <f t="shared" si="23"/>
        <v>1</v>
      </c>
      <c r="AM507" s="28" t="str">
        <f t="shared" si="22"/>
        <v>agora</v>
      </c>
    </row>
    <row r="508" spans="1:39" x14ac:dyDescent="0.25">
      <c r="A508" t="s">
        <v>11357</v>
      </c>
      <c r="B508" t="s">
        <v>11358</v>
      </c>
      <c r="C508" t="s">
        <v>113</v>
      </c>
      <c r="D508" s="27" t="s">
        <v>9835</v>
      </c>
      <c r="E508" t="s">
        <v>233</v>
      </c>
      <c r="F508" s="421">
        <v>1</v>
      </c>
      <c r="G508" t="s">
        <v>193</v>
      </c>
      <c r="H508" t="s">
        <v>194</v>
      </c>
      <c r="I508" t="s">
        <v>10529</v>
      </c>
      <c r="J508" t="s">
        <v>9302</v>
      </c>
      <c r="K508" t="s">
        <v>11359</v>
      </c>
      <c r="L508" t="s">
        <v>6249</v>
      </c>
      <c r="M508" t="s">
        <v>10539</v>
      </c>
      <c r="N508" t="s">
        <v>9588</v>
      </c>
      <c r="O508" t="s">
        <v>9318</v>
      </c>
      <c r="P508" t="s">
        <v>11360</v>
      </c>
      <c r="Q508" t="s">
        <v>11361</v>
      </c>
      <c r="S508" t="s">
        <v>9309</v>
      </c>
      <c r="U508" s="27" t="s">
        <v>465</v>
      </c>
      <c r="V508" t="s">
        <v>193</v>
      </c>
      <c r="W508" t="s">
        <v>9310</v>
      </c>
      <c r="Z508" t="s">
        <v>9311</v>
      </c>
      <c r="AF508" t="s">
        <v>4714</v>
      </c>
      <c r="AG508" t="s">
        <v>11358</v>
      </c>
      <c r="AI508" t="s">
        <v>6955</v>
      </c>
      <c r="AJ508" s="424" t="str">
        <f t="shared" si="21"/>
        <v>243302</v>
      </c>
      <c r="AK508" s="28">
        <v>1</v>
      </c>
      <c r="AL508" s="28">
        <f t="shared" si="23"/>
        <v>1</v>
      </c>
      <c r="AM508" s="28" t="str">
        <f t="shared" si="22"/>
        <v>praca</v>
      </c>
    </row>
    <row r="509" spans="1:39" x14ac:dyDescent="0.25">
      <c r="A509" t="s">
        <v>10223</v>
      </c>
      <c r="B509" t="s">
        <v>10224</v>
      </c>
      <c r="C509" t="s">
        <v>74</v>
      </c>
      <c r="D509" s="27" t="s">
        <v>9835</v>
      </c>
      <c r="E509" t="s">
        <v>217</v>
      </c>
      <c r="F509" s="421">
        <v>1</v>
      </c>
      <c r="G509" t="s">
        <v>193</v>
      </c>
      <c r="H509" t="s">
        <v>194</v>
      </c>
      <c r="I509" t="s">
        <v>9491</v>
      </c>
      <c r="J509" t="s">
        <v>210</v>
      </c>
      <c r="K509" t="s">
        <v>10225</v>
      </c>
      <c r="L509" t="s">
        <v>6249</v>
      </c>
      <c r="M509" t="s">
        <v>10618</v>
      </c>
      <c r="N509" t="s">
        <v>10226</v>
      </c>
      <c r="O509" t="s">
        <v>9604</v>
      </c>
      <c r="P509" t="s">
        <v>11362</v>
      </c>
      <c r="Q509" t="s">
        <v>11363</v>
      </c>
      <c r="S509" t="s">
        <v>9309</v>
      </c>
      <c r="T509" s="28" t="s">
        <v>9334</v>
      </c>
      <c r="U509" s="27" t="s">
        <v>246</v>
      </c>
      <c r="V509" t="s">
        <v>194</v>
      </c>
      <c r="W509" t="s">
        <v>9300</v>
      </c>
      <c r="Z509" t="s">
        <v>9311</v>
      </c>
      <c r="AF509" t="s">
        <v>4714</v>
      </c>
      <c r="AG509" t="s">
        <v>9433</v>
      </c>
      <c r="AI509" t="s">
        <v>6955</v>
      </c>
      <c r="AJ509" s="424" t="str">
        <f t="shared" si="21"/>
        <v>142004</v>
      </c>
      <c r="AK509" s="28">
        <v>1</v>
      </c>
      <c r="AL509" s="28">
        <f t="shared" si="23"/>
        <v>1</v>
      </c>
      <c r="AM509" s="28" t="str">
        <f t="shared" si="22"/>
        <v>agora</v>
      </c>
    </row>
    <row r="510" spans="1:39" x14ac:dyDescent="0.25">
      <c r="A510" t="s">
        <v>10223</v>
      </c>
      <c r="B510" t="s">
        <v>10229</v>
      </c>
      <c r="C510" t="s">
        <v>51</v>
      </c>
      <c r="D510" s="27" t="s">
        <v>9835</v>
      </c>
      <c r="E510" t="s">
        <v>217</v>
      </c>
      <c r="F510" s="421">
        <v>1</v>
      </c>
      <c r="G510" t="s">
        <v>193</v>
      </c>
      <c r="H510" t="s">
        <v>194</v>
      </c>
      <c r="I510" t="s">
        <v>9343</v>
      </c>
      <c r="J510" t="s">
        <v>210</v>
      </c>
      <c r="K510" t="s">
        <v>10233</v>
      </c>
      <c r="L510" t="s">
        <v>6249</v>
      </c>
      <c r="M510" t="s">
        <v>10618</v>
      </c>
      <c r="N510" t="s">
        <v>10234</v>
      </c>
      <c r="O510" t="s">
        <v>9967</v>
      </c>
      <c r="P510" t="s">
        <v>11364</v>
      </c>
      <c r="Q510" t="s">
        <v>11365</v>
      </c>
      <c r="S510" t="s">
        <v>9309</v>
      </c>
      <c r="T510" s="28" t="s">
        <v>9334</v>
      </c>
      <c r="U510" s="27" t="s">
        <v>904</v>
      </c>
      <c r="V510" t="s">
        <v>194</v>
      </c>
      <c r="W510" t="s">
        <v>9300</v>
      </c>
      <c r="Z510" t="s">
        <v>9311</v>
      </c>
      <c r="AF510" t="s">
        <v>4714</v>
      </c>
      <c r="AG510" t="s">
        <v>9433</v>
      </c>
      <c r="AI510" t="s">
        <v>6955</v>
      </c>
      <c r="AJ510" s="424" t="str">
        <f t="shared" si="21"/>
        <v>523002</v>
      </c>
      <c r="AK510" s="28">
        <v>1</v>
      </c>
      <c r="AL510" s="28">
        <f t="shared" si="23"/>
        <v>1</v>
      </c>
      <c r="AM510" s="28" t="str">
        <f t="shared" si="22"/>
        <v>agora</v>
      </c>
    </row>
    <row r="511" spans="1:39" x14ac:dyDescent="0.25">
      <c r="A511" t="s">
        <v>10223</v>
      </c>
      <c r="B511" t="s">
        <v>10237</v>
      </c>
      <c r="C511" t="s">
        <v>51</v>
      </c>
      <c r="D511" s="27" t="s">
        <v>9835</v>
      </c>
      <c r="E511" t="s">
        <v>217</v>
      </c>
      <c r="F511" s="421">
        <v>1</v>
      </c>
      <c r="G511" t="s">
        <v>193</v>
      </c>
      <c r="H511" t="s">
        <v>194</v>
      </c>
      <c r="I511" t="s">
        <v>9343</v>
      </c>
      <c r="J511" t="s">
        <v>408</v>
      </c>
      <c r="K511" t="s">
        <v>10238</v>
      </c>
      <c r="L511" t="s">
        <v>6249</v>
      </c>
      <c r="M511" t="s">
        <v>10618</v>
      </c>
      <c r="N511" t="s">
        <v>9719</v>
      </c>
      <c r="O511" t="s">
        <v>9574</v>
      </c>
      <c r="P511" t="s">
        <v>11366</v>
      </c>
      <c r="Q511" t="s">
        <v>11367</v>
      </c>
      <c r="S511" t="s">
        <v>9309</v>
      </c>
      <c r="T511" s="28" t="s">
        <v>9479</v>
      </c>
      <c r="U511" s="27" t="s">
        <v>904</v>
      </c>
      <c r="V511" t="s">
        <v>194</v>
      </c>
      <c r="W511" t="s">
        <v>9300</v>
      </c>
      <c r="Z511" t="s">
        <v>9311</v>
      </c>
      <c r="AF511" t="s">
        <v>4714</v>
      </c>
      <c r="AG511" t="s">
        <v>9433</v>
      </c>
      <c r="AI511" t="s">
        <v>6955</v>
      </c>
      <c r="AJ511" s="424" t="str">
        <f t="shared" si="21"/>
        <v>523002</v>
      </c>
      <c r="AK511" s="28">
        <v>1</v>
      </c>
      <c r="AL511" s="28">
        <f t="shared" si="23"/>
        <v>1</v>
      </c>
      <c r="AM511" s="28" t="str">
        <f t="shared" si="22"/>
        <v>agora</v>
      </c>
    </row>
    <row r="512" spans="1:39" x14ac:dyDescent="0.25">
      <c r="A512" t="s">
        <v>10223</v>
      </c>
      <c r="B512" t="s">
        <v>10246</v>
      </c>
      <c r="C512" t="s">
        <v>51</v>
      </c>
      <c r="D512" s="27" t="s">
        <v>9835</v>
      </c>
      <c r="E512" t="s">
        <v>217</v>
      </c>
      <c r="F512" s="421">
        <v>1</v>
      </c>
      <c r="G512" t="s">
        <v>193</v>
      </c>
      <c r="H512" t="s">
        <v>194</v>
      </c>
      <c r="I512" t="s">
        <v>9343</v>
      </c>
      <c r="J512" t="s">
        <v>10242</v>
      </c>
      <c r="K512" t="s">
        <v>10247</v>
      </c>
      <c r="L512" t="s">
        <v>6249</v>
      </c>
      <c r="M512" t="s">
        <v>10618</v>
      </c>
      <c r="N512" t="s">
        <v>10005</v>
      </c>
      <c r="O512" t="s">
        <v>9930</v>
      </c>
      <c r="P512" t="s">
        <v>11368</v>
      </c>
      <c r="Q512" t="s">
        <v>11369</v>
      </c>
      <c r="S512" t="s">
        <v>9309</v>
      </c>
      <c r="T512" s="28" t="s">
        <v>9726</v>
      </c>
      <c r="U512" s="27" t="s">
        <v>904</v>
      </c>
      <c r="V512" t="s">
        <v>194</v>
      </c>
      <c r="W512" t="s">
        <v>9300</v>
      </c>
      <c r="Z512" t="s">
        <v>9311</v>
      </c>
      <c r="AF512" t="s">
        <v>4714</v>
      </c>
      <c r="AG512" t="s">
        <v>9433</v>
      </c>
      <c r="AI512" t="s">
        <v>6955</v>
      </c>
      <c r="AJ512" s="424" t="str">
        <f t="shared" si="21"/>
        <v>523002</v>
      </c>
      <c r="AK512" s="28">
        <v>1</v>
      </c>
      <c r="AL512" s="28">
        <f t="shared" si="23"/>
        <v>1</v>
      </c>
      <c r="AM512" s="28" t="str">
        <f t="shared" si="22"/>
        <v>agora</v>
      </c>
    </row>
    <row r="513" spans="1:39" x14ac:dyDescent="0.25">
      <c r="A513" t="s">
        <v>10223</v>
      </c>
      <c r="B513" t="s">
        <v>10250</v>
      </c>
      <c r="C513" t="s">
        <v>74</v>
      </c>
      <c r="D513" s="27" t="s">
        <v>9835</v>
      </c>
      <c r="E513" t="s">
        <v>217</v>
      </c>
      <c r="F513" s="421">
        <v>1</v>
      </c>
      <c r="G513" t="s">
        <v>193</v>
      </c>
      <c r="H513" t="s">
        <v>194</v>
      </c>
      <c r="I513" t="s">
        <v>9343</v>
      </c>
      <c r="J513" t="s">
        <v>210</v>
      </c>
      <c r="K513" t="s">
        <v>11370</v>
      </c>
      <c r="L513" t="s">
        <v>6249</v>
      </c>
      <c r="M513" t="s">
        <v>10618</v>
      </c>
      <c r="N513" t="s">
        <v>11371</v>
      </c>
      <c r="O513" t="s">
        <v>9305</v>
      </c>
      <c r="P513" t="s">
        <v>11372</v>
      </c>
      <c r="Q513" t="s">
        <v>11373</v>
      </c>
      <c r="S513" t="s">
        <v>9309</v>
      </c>
      <c r="T513" s="28" t="s">
        <v>9334</v>
      </c>
      <c r="U513" s="27" t="s">
        <v>246</v>
      </c>
      <c r="V513" t="s">
        <v>194</v>
      </c>
      <c r="W513" t="s">
        <v>9300</v>
      </c>
      <c r="Z513" t="s">
        <v>9311</v>
      </c>
      <c r="AF513" t="s">
        <v>4714</v>
      </c>
      <c r="AG513" t="s">
        <v>9433</v>
      </c>
      <c r="AI513" t="s">
        <v>6955</v>
      </c>
      <c r="AJ513" s="424" t="str">
        <f t="shared" si="21"/>
        <v>142004</v>
      </c>
      <c r="AK513" s="28">
        <v>1</v>
      </c>
      <c r="AL513" s="28">
        <f t="shared" si="23"/>
        <v>1</v>
      </c>
      <c r="AM513" s="28" t="str">
        <f t="shared" si="22"/>
        <v>agora</v>
      </c>
    </row>
    <row r="514" spans="1:39" x14ac:dyDescent="0.25">
      <c r="A514" t="s">
        <v>10223</v>
      </c>
      <c r="B514" t="s">
        <v>10254</v>
      </c>
      <c r="C514" t="s">
        <v>3703</v>
      </c>
      <c r="D514" s="27" t="s">
        <v>9835</v>
      </c>
      <c r="E514" t="s">
        <v>217</v>
      </c>
      <c r="F514" s="421">
        <v>1</v>
      </c>
      <c r="G514" t="s">
        <v>193</v>
      </c>
      <c r="H514" t="s">
        <v>194</v>
      </c>
      <c r="I514" t="s">
        <v>9369</v>
      </c>
      <c r="J514" t="s">
        <v>210</v>
      </c>
      <c r="K514" t="s">
        <v>10255</v>
      </c>
      <c r="L514" t="s">
        <v>6249</v>
      </c>
      <c r="M514" t="s">
        <v>10618</v>
      </c>
      <c r="N514" t="s">
        <v>9929</v>
      </c>
      <c r="O514" t="s">
        <v>9930</v>
      </c>
      <c r="P514" t="s">
        <v>11374</v>
      </c>
      <c r="Q514" t="s">
        <v>11375</v>
      </c>
      <c r="S514" t="s">
        <v>9309</v>
      </c>
      <c r="T514" s="28" t="s">
        <v>9334</v>
      </c>
      <c r="U514" s="27" t="s">
        <v>3704</v>
      </c>
      <c r="V514" t="s">
        <v>194</v>
      </c>
      <c r="W514" t="s">
        <v>9300</v>
      </c>
      <c r="Z514" t="s">
        <v>9311</v>
      </c>
      <c r="AF514" t="s">
        <v>4714</v>
      </c>
      <c r="AG514" t="s">
        <v>9433</v>
      </c>
      <c r="AI514" t="s">
        <v>6955</v>
      </c>
      <c r="AJ514" s="424" t="str">
        <f t="shared" ref="AJ514:AJ577" si="24">MID(U514,8,6)</f>
        <v>522302</v>
      </c>
      <c r="AK514" s="28">
        <v>1</v>
      </c>
      <c r="AL514" s="28">
        <f t="shared" si="23"/>
        <v>1</v>
      </c>
      <c r="AM514" s="28" t="str">
        <f t="shared" ref="AM514:AM577" si="25">T(E514)</f>
        <v>agora</v>
      </c>
    </row>
    <row r="515" spans="1:39" x14ac:dyDescent="0.25">
      <c r="A515" t="s">
        <v>10223</v>
      </c>
      <c r="B515" t="s">
        <v>10258</v>
      </c>
      <c r="C515" t="s">
        <v>3703</v>
      </c>
      <c r="D515" s="27" t="s">
        <v>9835</v>
      </c>
      <c r="E515" t="s">
        <v>217</v>
      </c>
      <c r="F515" s="421">
        <v>1</v>
      </c>
      <c r="G515" t="s">
        <v>193</v>
      </c>
      <c r="H515" t="s">
        <v>194</v>
      </c>
      <c r="I515" t="s">
        <v>9491</v>
      </c>
      <c r="J515" t="s">
        <v>210</v>
      </c>
      <c r="K515" t="s">
        <v>10259</v>
      </c>
      <c r="L515" t="s">
        <v>6249</v>
      </c>
      <c r="M515" t="s">
        <v>10618</v>
      </c>
      <c r="N515" t="s">
        <v>10226</v>
      </c>
      <c r="O515" t="s">
        <v>9604</v>
      </c>
      <c r="P515" t="s">
        <v>11376</v>
      </c>
      <c r="Q515" t="s">
        <v>11377</v>
      </c>
      <c r="S515" t="s">
        <v>9309</v>
      </c>
      <c r="T515" s="28" t="s">
        <v>9334</v>
      </c>
      <c r="U515" s="27" t="s">
        <v>3704</v>
      </c>
      <c r="V515" t="s">
        <v>194</v>
      </c>
      <c r="W515" t="s">
        <v>9300</v>
      </c>
      <c r="Z515" t="s">
        <v>9311</v>
      </c>
      <c r="AF515" t="s">
        <v>4714</v>
      </c>
      <c r="AG515" t="s">
        <v>9433</v>
      </c>
      <c r="AI515" t="s">
        <v>6955</v>
      </c>
      <c r="AJ515" s="424" t="str">
        <f t="shared" si="24"/>
        <v>522302</v>
      </c>
      <c r="AK515" s="28">
        <v>1</v>
      </c>
      <c r="AL515" s="28">
        <f t="shared" ref="AL515:AL578" si="26">SUM(F515)</f>
        <v>1</v>
      </c>
      <c r="AM515" s="28" t="str">
        <f t="shared" si="25"/>
        <v>agora</v>
      </c>
    </row>
    <row r="516" spans="1:39" x14ac:dyDescent="0.25">
      <c r="A516" t="s">
        <v>10223</v>
      </c>
      <c r="B516" t="s">
        <v>10262</v>
      </c>
      <c r="C516" t="s">
        <v>74</v>
      </c>
      <c r="D516" s="27" t="s">
        <v>9835</v>
      </c>
      <c r="E516" t="s">
        <v>217</v>
      </c>
      <c r="F516" s="421">
        <v>1</v>
      </c>
      <c r="G516" t="s">
        <v>193</v>
      </c>
      <c r="H516" t="s">
        <v>194</v>
      </c>
      <c r="I516" t="s">
        <v>9491</v>
      </c>
      <c r="J516" t="s">
        <v>210</v>
      </c>
      <c r="K516" t="s">
        <v>10263</v>
      </c>
      <c r="L516" t="s">
        <v>6249</v>
      </c>
      <c r="M516" t="s">
        <v>10618</v>
      </c>
      <c r="N516" t="s">
        <v>10234</v>
      </c>
      <c r="O516" t="s">
        <v>9967</v>
      </c>
      <c r="P516" t="s">
        <v>11378</v>
      </c>
      <c r="Q516" t="s">
        <v>11379</v>
      </c>
      <c r="S516" t="s">
        <v>9309</v>
      </c>
      <c r="T516" s="28" t="s">
        <v>9334</v>
      </c>
      <c r="U516" s="27" t="s">
        <v>246</v>
      </c>
      <c r="V516" t="s">
        <v>194</v>
      </c>
      <c r="W516" t="s">
        <v>9300</v>
      </c>
      <c r="Z516" t="s">
        <v>9311</v>
      </c>
      <c r="AF516" t="s">
        <v>4714</v>
      </c>
      <c r="AG516" t="s">
        <v>9433</v>
      </c>
      <c r="AI516" t="s">
        <v>6955</v>
      </c>
      <c r="AJ516" s="424" t="str">
        <f t="shared" si="24"/>
        <v>142004</v>
      </c>
      <c r="AK516" s="28">
        <v>1</v>
      </c>
      <c r="AL516" s="28">
        <f t="shared" si="26"/>
        <v>1</v>
      </c>
      <c r="AM516" s="28" t="str">
        <f t="shared" si="25"/>
        <v>agora</v>
      </c>
    </row>
    <row r="517" spans="1:39" x14ac:dyDescent="0.25">
      <c r="A517" t="s">
        <v>10266</v>
      </c>
      <c r="B517" t="s">
        <v>614</v>
      </c>
      <c r="C517" t="s">
        <v>111</v>
      </c>
      <c r="D517" s="27" t="s">
        <v>9835</v>
      </c>
      <c r="E517" t="s">
        <v>217</v>
      </c>
      <c r="F517" s="421">
        <v>1</v>
      </c>
      <c r="G517" t="s">
        <v>193</v>
      </c>
      <c r="H517" t="s">
        <v>194</v>
      </c>
      <c r="I517" t="s">
        <v>9461</v>
      </c>
      <c r="J517" t="s">
        <v>285</v>
      </c>
      <c r="K517" t="s">
        <v>11380</v>
      </c>
      <c r="L517" t="s">
        <v>8339</v>
      </c>
      <c r="M517" t="s">
        <v>11283</v>
      </c>
      <c r="N517" t="s">
        <v>11381</v>
      </c>
      <c r="O517" t="s">
        <v>10767</v>
      </c>
      <c r="P517" t="s">
        <v>11382</v>
      </c>
      <c r="Q517" t="s">
        <v>11383</v>
      </c>
      <c r="S517" t="s">
        <v>9309</v>
      </c>
      <c r="T517" s="28" t="s">
        <v>9518</v>
      </c>
      <c r="U517" s="27" t="s">
        <v>612</v>
      </c>
      <c r="V517" t="s">
        <v>194</v>
      </c>
      <c r="W517" t="s">
        <v>9300</v>
      </c>
      <c r="Z517" t="s">
        <v>9311</v>
      </c>
      <c r="AF517" t="s">
        <v>4714</v>
      </c>
      <c r="AG517" t="s">
        <v>111</v>
      </c>
      <c r="AI517" t="s">
        <v>6955</v>
      </c>
      <c r="AJ517" s="424" t="str">
        <f t="shared" si="24"/>
        <v>332101</v>
      </c>
      <c r="AK517" s="28">
        <v>1</v>
      </c>
      <c r="AL517" s="28">
        <f t="shared" si="26"/>
        <v>1</v>
      </c>
      <c r="AM517" s="28" t="str">
        <f t="shared" si="25"/>
        <v>agora</v>
      </c>
    </row>
    <row r="518" spans="1:39" x14ac:dyDescent="0.25">
      <c r="A518" t="s">
        <v>10266</v>
      </c>
      <c r="B518" t="s">
        <v>614</v>
      </c>
      <c r="C518" t="s">
        <v>111</v>
      </c>
      <c r="D518" s="27" t="s">
        <v>9835</v>
      </c>
      <c r="E518" t="s">
        <v>217</v>
      </c>
      <c r="F518" s="421">
        <v>1</v>
      </c>
      <c r="G518" t="s">
        <v>193</v>
      </c>
      <c r="H518" t="s">
        <v>194</v>
      </c>
      <c r="I518" t="s">
        <v>9461</v>
      </c>
      <c r="J518" t="s">
        <v>253</v>
      </c>
      <c r="K518" t="s">
        <v>11384</v>
      </c>
      <c r="L518" t="s">
        <v>8339</v>
      </c>
      <c r="M518" t="s">
        <v>11283</v>
      </c>
      <c r="N518" t="s">
        <v>11385</v>
      </c>
      <c r="O518" t="s">
        <v>9955</v>
      </c>
      <c r="P518" t="s">
        <v>11386</v>
      </c>
      <c r="Q518" t="s">
        <v>11387</v>
      </c>
      <c r="S518" t="s">
        <v>9309</v>
      </c>
      <c r="T518" s="28" t="s">
        <v>9468</v>
      </c>
      <c r="U518" s="27" t="s">
        <v>612</v>
      </c>
      <c r="V518" t="s">
        <v>194</v>
      </c>
      <c r="W518" t="s">
        <v>9300</v>
      </c>
      <c r="Z518" t="s">
        <v>9311</v>
      </c>
      <c r="AF518" t="s">
        <v>4714</v>
      </c>
      <c r="AG518" t="s">
        <v>111</v>
      </c>
      <c r="AI518" t="s">
        <v>6955</v>
      </c>
      <c r="AJ518" s="424" t="str">
        <f t="shared" si="24"/>
        <v>332101</v>
      </c>
      <c r="AK518" s="28">
        <v>1</v>
      </c>
      <c r="AL518" s="28">
        <f t="shared" si="26"/>
        <v>1</v>
      </c>
      <c r="AM518" s="28" t="str">
        <f t="shared" si="25"/>
        <v>agora</v>
      </c>
    </row>
    <row r="519" spans="1:39" x14ac:dyDescent="0.25">
      <c r="A519" t="s">
        <v>10266</v>
      </c>
      <c r="B519" t="s">
        <v>614</v>
      </c>
      <c r="C519" t="s">
        <v>111</v>
      </c>
      <c r="D519" s="27" t="s">
        <v>9835</v>
      </c>
      <c r="E519" t="s">
        <v>217</v>
      </c>
      <c r="F519" s="421">
        <v>1</v>
      </c>
      <c r="G519" t="s">
        <v>193</v>
      </c>
      <c r="H519" t="s">
        <v>194</v>
      </c>
      <c r="I519" t="s">
        <v>9461</v>
      </c>
      <c r="J519" t="s">
        <v>385</v>
      </c>
      <c r="K519" t="s">
        <v>11388</v>
      </c>
      <c r="L519" t="s">
        <v>8339</v>
      </c>
      <c r="M519" t="s">
        <v>11283</v>
      </c>
      <c r="N519" t="s">
        <v>9966</v>
      </c>
      <c r="O519" t="s">
        <v>10757</v>
      </c>
      <c r="P519" t="s">
        <v>11389</v>
      </c>
      <c r="Q519" t="s">
        <v>11390</v>
      </c>
      <c r="S519" t="s">
        <v>9309</v>
      </c>
      <c r="T519" s="28" t="s">
        <v>9410</v>
      </c>
      <c r="U519" s="27" t="s">
        <v>612</v>
      </c>
      <c r="V519" t="s">
        <v>194</v>
      </c>
      <c r="W519" t="s">
        <v>9300</v>
      </c>
      <c r="Z519" t="s">
        <v>9311</v>
      </c>
      <c r="AF519" t="s">
        <v>4714</v>
      </c>
      <c r="AG519" t="s">
        <v>111</v>
      </c>
      <c r="AI519" t="s">
        <v>6955</v>
      </c>
      <c r="AJ519" s="424" t="str">
        <f t="shared" si="24"/>
        <v>332101</v>
      </c>
      <c r="AK519" s="28">
        <v>1</v>
      </c>
      <c r="AL519" s="28">
        <f t="shared" si="26"/>
        <v>1</v>
      </c>
      <c r="AM519" s="28" t="str">
        <f t="shared" si="25"/>
        <v>agora</v>
      </c>
    </row>
    <row r="520" spans="1:39" x14ac:dyDescent="0.25">
      <c r="A520" t="s">
        <v>10266</v>
      </c>
      <c r="B520" t="s">
        <v>614</v>
      </c>
      <c r="C520" t="s">
        <v>111</v>
      </c>
      <c r="D520" s="27" t="s">
        <v>9835</v>
      </c>
      <c r="E520" t="s">
        <v>217</v>
      </c>
      <c r="F520" s="421">
        <v>1</v>
      </c>
      <c r="G520" t="s">
        <v>193</v>
      </c>
      <c r="H520" t="s">
        <v>194</v>
      </c>
      <c r="I520" t="s">
        <v>9461</v>
      </c>
      <c r="J520" t="s">
        <v>962</v>
      </c>
      <c r="K520" t="s">
        <v>11391</v>
      </c>
      <c r="L520" t="s">
        <v>8339</v>
      </c>
      <c r="M520" t="s">
        <v>11283</v>
      </c>
      <c r="N520" t="s">
        <v>11385</v>
      </c>
      <c r="O520" t="s">
        <v>9955</v>
      </c>
      <c r="P520" t="s">
        <v>11392</v>
      </c>
      <c r="Q520" t="s">
        <v>11393</v>
      </c>
      <c r="S520" t="s">
        <v>9309</v>
      </c>
      <c r="T520" s="28" t="s">
        <v>11394</v>
      </c>
      <c r="U520" s="27" t="s">
        <v>612</v>
      </c>
      <c r="V520" t="s">
        <v>194</v>
      </c>
      <c r="W520" t="s">
        <v>9300</v>
      </c>
      <c r="Z520" t="s">
        <v>9311</v>
      </c>
      <c r="AF520" t="s">
        <v>4714</v>
      </c>
      <c r="AG520" t="s">
        <v>111</v>
      </c>
      <c r="AI520" t="s">
        <v>6955</v>
      </c>
      <c r="AJ520" s="424" t="str">
        <f t="shared" si="24"/>
        <v>332101</v>
      </c>
      <c r="AK520" s="28">
        <v>1</v>
      </c>
      <c r="AL520" s="28">
        <f t="shared" si="26"/>
        <v>1</v>
      </c>
      <c r="AM520" s="28" t="str">
        <f t="shared" si="25"/>
        <v>agora</v>
      </c>
    </row>
    <row r="521" spans="1:39" x14ac:dyDescent="0.25">
      <c r="A521" t="s">
        <v>10266</v>
      </c>
      <c r="B521" t="s">
        <v>614</v>
      </c>
      <c r="C521" t="s">
        <v>111</v>
      </c>
      <c r="D521" s="27" t="s">
        <v>9835</v>
      </c>
      <c r="E521" t="s">
        <v>217</v>
      </c>
      <c r="F521" s="421">
        <v>1</v>
      </c>
      <c r="G521" t="s">
        <v>193</v>
      </c>
      <c r="H521" t="s">
        <v>194</v>
      </c>
      <c r="I521" t="s">
        <v>9461</v>
      </c>
      <c r="J521" t="s">
        <v>210</v>
      </c>
      <c r="K521" t="s">
        <v>10267</v>
      </c>
      <c r="L521" t="s">
        <v>8339</v>
      </c>
      <c r="M521" t="s">
        <v>11283</v>
      </c>
      <c r="N521" t="s">
        <v>10045</v>
      </c>
      <c r="O521" t="s">
        <v>9542</v>
      </c>
      <c r="P521" t="s">
        <v>11395</v>
      </c>
      <c r="Q521" t="s">
        <v>11396</v>
      </c>
      <c r="S521" t="s">
        <v>9309</v>
      </c>
      <c r="T521" s="28" t="s">
        <v>9334</v>
      </c>
      <c r="U521" s="27" t="s">
        <v>612</v>
      </c>
      <c r="V521" t="s">
        <v>194</v>
      </c>
      <c r="W521" t="s">
        <v>9300</v>
      </c>
      <c r="Z521" t="s">
        <v>9311</v>
      </c>
      <c r="AF521" t="s">
        <v>4714</v>
      </c>
      <c r="AG521" t="s">
        <v>111</v>
      </c>
      <c r="AI521" t="s">
        <v>6955</v>
      </c>
      <c r="AJ521" s="424" t="str">
        <f t="shared" si="24"/>
        <v>332101</v>
      </c>
      <c r="AK521" s="28">
        <v>1</v>
      </c>
      <c r="AL521" s="28">
        <f t="shared" si="26"/>
        <v>1</v>
      </c>
      <c r="AM521" s="28" t="str">
        <f t="shared" si="25"/>
        <v>agora</v>
      </c>
    </row>
    <row r="522" spans="1:39" x14ac:dyDescent="0.25">
      <c r="A522" t="s">
        <v>10266</v>
      </c>
      <c r="B522" t="s">
        <v>614</v>
      </c>
      <c r="C522" t="s">
        <v>111</v>
      </c>
      <c r="D522" s="27" t="s">
        <v>9835</v>
      </c>
      <c r="E522" t="s">
        <v>217</v>
      </c>
      <c r="F522" s="421">
        <v>1</v>
      </c>
      <c r="G522" t="s">
        <v>193</v>
      </c>
      <c r="H522" t="s">
        <v>194</v>
      </c>
      <c r="I522" t="s">
        <v>9461</v>
      </c>
      <c r="J522" t="s">
        <v>276</v>
      </c>
      <c r="K522" t="s">
        <v>11397</v>
      </c>
      <c r="L522" t="s">
        <v>8339</v>
      </c>
      <c r="M522" t="s">
        <v>11283</v>
      </c>
      <c r="N522" t="s">
        <v>11381</v>
      </c>
      <c r="O522" t="s">
        <v>10767</v>
      </c>
      <c r="P522" t="s">
        <v>11398</v>
      </c>
      <c r="Q522" t="s">
        <v>11399</v>
      </c>
      <c r="S522" t="s">
        <v>9309</v>
      </c>
      <c r="T522" s="28" t="s">
        <v>9786</v>
      </c>
      <c r="U522" s="27" t="s">
        <v>612</v>
      </c>
      <c r="V522" t="s">
        <v>194</v>
      </c>
      <c r="W522" t="s">
        <v>9300</v>
      </c>
      <c r="Z522" t="s">
        <v>9311</v>
      </c>
      <c r="AF522" t="s">
        <v>4714</v>
      </c>
      <c r="AG522" t="s">
        <v>111</v>
      </c>
      <c r="AI522" t="s">
        <v>6955</v>
      </c>
      <c r="AJ522" s="424" t="str">
        <f t="shared" si="24"/>
        <v>332101</v>
      </c>
      <c r="AK522" s="28">
        <v>1</v>
      </c>
      <c r="AL522" s="28">
        <f t="shared" si="26"/>
        <v>1</v>
      </c>
      <c r="AM522" s="28" t="str">
        <f t="shared" si="25"/>
        <v>agora</v>
      </c>
    </row>
    <row r="523" spans="1:39" x14ac:dyDescent="0.25">
      <c r="A523" t="s">
        <v>11612</v>
      </c>
      <c r="B523" t="s">
        <v>11626</v>
      </c>
      <c r="C523" t="s">
        <v>10</v>
      </c>
      <c r="D523" s="27" t="s">
        <v>9437</v>
      </c>
      <c r="E523" t="s">
        <v>192</v>
      </c>
      <c r="F523" s="421">
        <v>1</v>
      </c>
      <c r="G523" t="s">
        <v>193</v>
      </c>
      <c r="H523" t="s">
        <v>194</v>
      </c>
      <c r="I523" t="s">
        <v>9369</v>
      </c>
      <c r="J523" t="s">
        <v>9302</v>
      </c>
      <c r="K523" t="s">
        <v>11627</v>
      </c>
      <c r="L523" t="s">
        <v>6295</v>
      </c>
      <c r="M523" t="s">
        <v>11604</v>
      </c>
      <c r="N523" t="s">
        <v>9536</v>
      </c>
      <c r="O523" t="s">
        <v>9461</v>
      </c>
      <c r="P523" t="s">
        <v>11628</v>
      </c>
      <c r="Q523" t="s">
        <v>11629</v>
      </c>
      <c r="S523" t="s">
        <v>9309</v>
      </c>
      <c r="U523" s="27" t="s">
        <v>484</v>
      </c>
      <c r="V523" t="s">
        <v>193</v>
      </c>
      <c r="W523" t="s">
        <v>9310</v>
      </c>
      <c r="Z523" t="s">
        <v>9311</v>
      </c>
      <c r="AF523" t="s">
        <v>4714</v>
      </c>
      <c r="AG523" t="s">
        <v>11626</v>
      </c>
      <c r="AI523" t="s">
        <v>6955</v>
      </c>
      <c r="AJ523" s="424" t="str">
        <f t="shared" si="24"/>
        <v>251401</v>
      </c>
      <c r="AK523" s="28">
        <v>1</v>
      </c>
      <c r="AL523" s="28">
        <f t="shared" si="26"/>
        <v>1</v>
      </c>
      <c r="AM523" s="28" t="str">
        <f t="shared" si="25"/>
        <v>pracuj.pl</v>
      </c>
    </row>
    <row r="524" spans="1:39" x14ac:dyDescent="0.25">
      <c r="A524" t="s">
        <v>3171</v>
      </c>
      <c r="B524" t="s">
        <v>4055</v>
      </c>
      <c r="C524" t="s">
        <v>10</v>
      </c>
      <c r="D524" s="27" t="s">
        <v>9437</v>
      </c>
      <c r="E524" t="s">
        <v>192</v>
      </c>
      <c r="F524" s="421">
        <v>1</v>
      </c>
      <c r="G524" t="s">
        <v>193</v>
      </c>
      <c r="H524" t="s">
        <v>194</v>
      </c>
      <c r="I524" t="s">
        <v>11608</v>
      </c>
      <c r="J524" t="s">
        <v>210</v>
      </c>
      <c r="K524" t="s">
        <v>11655</v>
      </c>
      <c r="L524" t="s">
        <v>6261</v>
      </c>
      <c r="M524" t="s">
        <v>11604</v>
      </c>
      <c r="N524" t="s">
        <v>9536</v>
      </c>
      <c r="O524" t="s">
        <v>9461</v>
      </c>
      <c r="P524" t="s">
        <v>11656</v>
      </c>
      <c r="Q524" t="s">
        <v>11657</v>
      </c>
      <c r="S524" t="s">
        <v>9309</v>
      </c>
      <c r="T524" s="28" t="s">
        <v>9334</v>
      </c>
      <c r="U524" s="27" t="s">
        <v>484</v>
      </c>
      <c r="V524" t="s">
        <v>194</v>
      </c>
      <c r="W524" t="s">
        <v>9300</v>
      </c>
      <c r="Z524" t="s">
        <v>9311</v>
      </c>
      <c r="AF524" t="s">
        <v>4714</v>
      </c>
      <c r="AG524" t="s">
        <v>4055</v>
      </c>
      <c r="AI524" t="s">
        <v>6955</v>
      </c>
      <c r="AJ524" s="424" t="str">
        <f t="shared" si="24"/>
        <v>251401</v>
      </c>
      <c r="AK524" s="28">
        <v>1</v>
      </c>
      <c r="AL524" s="28">
        <f t="shared" si="26"/>
        <v>1</v>
      </c>
      <c r="AM524" s="28" t="str">
        <f t="shared" si="25"/>
        <v>pracuj.pl</v>
      </c>
    </row>
    <row r="525" spans="1:39" x14ac:dyDescent="0.25">
      <c r="A525" t="s">
        <v>11674</v>
      </c>
      <c r="B525" t="s">
        <v>4055</v>
      </c>
      <c r="C525" t="s">
        <v>10</v>
      </c>
      <c r="D525" s="27" t="s">
        <v>9437</v>
      </c>
      <c r="E525" t="s">
        <v>192</v>
      </c>
      <c r="F525" s="421">
        <v>1</v>
      </c>
      <c r="G525" t="s">
        <v>193</v>
      </c>
      <c r="H525" t="s">
        <v>194</v>
      </c>
      <c r="I525" t="s">
        <v>11608</v>
      </c>
      <c r="J525" t="s">
        <v>9302</v>
      </c>
      <c r="K525" t="s">
        <v>11675</v>
      </c>
      <c r="L525" t="s">
        <v>6921</v>
      </c>
      <c r="M525" t="s">
        <v>11604</v>
      </c>
      <c r="N525" t="s">
        <v>9536</v>
      </c>
      <c r="O525" t="s">
        <v>9461</v>
      </c>
      <c r="P525" t="s">
        <v>11676</v>
      </c>
      <c r="Q525" t="s">
        <v>11677</v>
      </c>
      <c r="S525" t="s">
        <v>9309</v>
      </c>
      <c r="U525" s="27" t="s">
        <v>484</v>
      </c>
      <c r="V525" t="s">
        <v>193</v>
      </c>
      <c r="W525" t="s">
        <v>9310</v>
      </c>
      <c r="Z525" t="s">
        <v>9311</v>
      </c>
      <c r="AF525" t="s">
        <v>4714</v>
      </c>
      <c r="AG525" t="s">
        <v>4055</v>
      </c>
      <c r="AI525" t="s">
        <v>6955</v>
      </c>
      <c r="AJ525" s="424" t="str">
        <f t="shared" si="24"/>
        <v>251401</v>
      </c>
      <c r="AK525" s="28">
        <v>1</v>
      </c>
      <c r="AL525" s="28">
        <f t="shared" si="26"/>
        <v>1</v>
      </c>
      <c r="AM525" s="28" t="str">
        <f t="shared" si="25"/>
        <v>pracuj.pl</v>
      </c>
    </row>
    <row r="526" spans="1:39" x14ac:dyDescent="0.25">
      <c r="A526" t="s">
        <v>4022</v>
      </c>
      <c r="B526" t="s">
        <v>8022</v>
      </c>
      <c r="C526" t="s">
        <v>7617</v>
      </c>
      <c r="D526" s="27" t="s">
        <v>9835</v>
      </c>
      <c r="E526" t="s">
        <v>217</v>
      </c>
      <c r="F526" s="421">
        <v>1</v>
      </c>
      <c r="G526" t="s">
        <v>193</v>
      </c>
      <c r="H526" t="s">
        <v>194</v>
      </c>
      <c r="I526" t="s">
        <v>10529</v>
      </c>
      <c r="J526" t="s">
        <v>210</v>
      </c>
      <c r="K526" t="s">
        <v>11412</v>
      </c>
      <c r="L526" t="s">
        <v>6290</v>
      </c>
      <c r="M526" t="s">
        <v>10618</v>
      </c>
      <c r="N526" t="s">
        <v>9429</v>
      </c>
      <c r="O526" t="s">
        <v>10757</v>
      </c>
      <c r="P526" t="s">
        <v>11413</v>
      </c>
      <c r="Q526" t="s">
        <v>11414</v>
      </c>
      <c r="S526" t="s">
        <v>9309</v>
      </c>
      <c r="T526" s="28" t="s">
        <v>9334</v>
      </c>
      <c r="U526" s="27" t="s">
        <v>7620</v>
      </c>
      <c r="V526" t="s">
        <v>194</v>
      </c>
      <c r="W526" t="s">
        <v>9300</v>
      </c>
      <c r="Z526" t="s">
        <v>9311</v>
      </c>
      <c r="AF526" t="s">
        <v>4714</v>
      </c>
      <c r="AG526" t="s">
        <v>9433</v>
      </c>
      <c r="AI526" t="s">
        <v>6955</v>
      </c>
      <c r="AJ526" s="424" t="str">
        <f t="shared" si="24"/>
        <v>516903</v>
      </c>
      <c r="AK526" s="28">
        <v>1</v>
      </c>
      <c r="AL526" s="28">
        <f t="shared" si="26"/>
        <v>1</v>
      </c>
      <c r="AM526" s="28" t="str">
        <f t="shared" si="25"/>
        <v>agora</v>
      </c>
    </row>
    <row r="527" spans="1:39" x14ac:dyDescent="0.25">
      <c r="A527" t="s">
        <v>11415</v>
      </c>
      <c r="B527" t="s">
        <v>8016</v>
      </c>
      <c r="C527" t="s">
        <v>99</v>
      </c>
      <c r="D527" s="27" t="s">
        <v>9835</v>
      </c>
      <c r="E527" t="s">
        <v>217</v>
      </c>
      <c r="F527" s="421">
        <v>1</v>
      </c>
      <c r="G527" t="s">
        <v>193</v>
      </c>
      <c r="H527" t="s">
        <v>194</v>
      </c>
      <c r="I527" t="s">
        <v>9369</v>
      </c>
      <c r="J527" t="s">
        <v>210</v>
      </c>
      <c r="K527" t="s">
        <v>11416</v>
      </c>
      <c r="L527" t="s">
        <v>6286</v>
      </c>
      <c r="M527" t="s">
        <v>10618</v>
      </c>
      <c r="N527" t="s">
        <v>9429</v>
      </c>
      <c r="O527" t="s">
        <v>10757</v>
      </c>
      <c r="P527" t="s">
        <v>11417</v>
      </c>
      <c r="Q527" t="s">
        <v>11418</v>
      </c>
      <c r="S527" t="s">
        <v>9309</v>
      </c>
      <c r="T527" s="28" t="s">
        <v>9334</v>
      </c>
      <c r="U527" s="27" t="s">
        <v>2421</v>
      </c>
      <c r="V527" t="s">
        <v>194</v>
      </c>
      <c r="W527" t="s">
        <v>9300</v>
      </c>
      <c r="Z527" t="s">
        <v>9311</v>
      </c>
      <c r="AF527" t="s">
        <v>4714</v>
      </c>
      <c r="AG527" t="s">
        <v>9433</v>
      </c>
      <c r="AI527" t="s">
        <v>6955</v>
      </c>
      <c r="AJ527" s="424" t="str">
        <f t="shared" si="24"/>
        <v>412001</v>
      </c>
      <c r="AK527" s="28">
        <v>1</v>
      </c>
      <c r="AL527" s="28">
        <f t="shared" si="26"/>
        <v>1</v>
      </c>
      <c r="AM527" s="28" t="str">
        <f t="shared" si="25"/>
        <v>agora</v>
      </c>
    </row>
    <row r="528" spans="1:39" x14ac:dyDescent="0.25">
      <c r="A528" t="s">
        <v>8572</v>
      </c>
      <c r="B528" t="s">
        <v>883</v>
      </c>
      <c r="C528" t="s">
        <v>883</v>
      </c>
      <c r="D528" s="27" t="s">
        <v>9835</v>
      </c>
      <c r="E528" t="s">
        <v>233</v>
      </c>
      <c r="F528" s="421">
        <v>1</v>
      </c>
      <c r="G528" t="s">
        <v>194</v>
      </c>
      <c r="H528" t="s">
        <v>193</v>
      </c>
      <c r="I528" t="s">
        <v>9461</v>
      </c>
      <c r="J528" t="s">
        <v>9302</v>
      </c>
      <c r="K528" t="s">
        <v>11419</v>
      </c>
      <c r="L528" t="s">
        <v>6256</v>
      </c>
      <c r="M528" t="s">
        <v>10564</v>
      </c>
      <c r="N528" t="s">
        <v>9588</v>
      </c>
      <c r="O528" t="s">
        <v>9537</v>
      </c>
      <c r="P528" t="s">
        <v>11420</v>
      </c>
      <c r="Q528" t="s">
        <v>11421</v>
      </c>
      <c r="S528" t="s">
        <v>9309</v>
      </c>
      <c r="U528" s="27" t="s">
        <v>884</v>
      </c>
      <c r="V528" t="s">
        <v>194</v>
      </c>
      <c r="W528" t="s">
        <v>9946</v>
      </c>
      <c r="Z528" t="s">
        <v>9311</v>
      </c>
      <c r="AF528" t="s">
        <v>4714</v>
      </c>
      <c r="AG528" t="s">
        <v>883</v>
      </c>
      <c r="AI528" t="s">
        <v>6955</v>
      </c>
      <c r="AJ528" s="424" t="str">
        <f t="shared" si="24"/>
        <v>834205</v>
      </c>
      <c r="AK528" s="28">
        <v>1</v>
      </c>
      <c r="AL528" s="28">
        <f t="shared" si="26"/>
        <v>1</v>
      </c>
      <c r="AM528" s="28" t="str">
        <f t="shared" si="25"/>
        <v>praca</v>
      </c>
    </row>
    <row r="529" spans="1:39" x14ac:dyDescent="0.25">
      <c r="A529" t="s">
        <v>247</v>
      </c>
      <c r="B529" t="s">
        <v>248</v>
      </c>
      <c r="C529" t="s">
        <v>74</v>
      </c>
      <c r="D529" s="27" t="s">
        <v>9835</v>
      </c>
      <c r="E529" t="s">
        <v>192</v>
      </c>
      <c r="F529" s="421">
        <v>1</v>
      </c>
      <c r="G529" t="s">
        <v>193</v>
      </c>
      <c r="H529" t="s">
        <v>194</v>
      </c>
      <c r="I529" t="s">
        <v>9369</v>
      </c>
      <c r="J529" t="s">
        <v>210</v>
      </c>
      <c r="K529" t="s">
        <v>11422</v>
      </c>
      <c r="L529" t="s">
        <v>6251</v>
      </c>
      <c r="M529" t="s">
        <v>10519</v>
      </c>
      <c r="N529" t="s">
        <v>10045</v>
      </c>
      <c r="O529" t="s">
        <v>9318</v>
      </c>
      <c r="P529" t="s">
        <v>11423</v>
      </c>
      <c r="Q529" t="s">
        <v>11424</v>
      </c>
      <c r="S529" t="s">
        <v>9309</v>
      </c>
      <c r="T529" s="28" t="s">
        <v>9334</v>
      </c>
      <c r="U529" s="27" t="s">
        <v>246</v>
      </c>
      <c r="V529" t="s">
        <v>194</v>
      </c>
      <c r="W529" t="s">
        <v>9300</v>
      </c>
      <c r="Z529" t="s">
        <v>9311</v>
      </c>
      <c r="AF529" t="s">
        <v>4714</v>
      </c>
      <c r="AG529" t="s">
        <v>248</v>
      </c>
      <c r="AI529" t="s">
        <v>6955</v>
      </c>
      <c r="AJ529" s="424" t="str">
        <f t="shared" si="24"/>
        <v>142004</v>
      </c>
      <c r="AK529" s="28">
        <v>1</v>
      </c>
      <c r="AL529" s="28">
        <f t="shared" si="26"/>
        <v>1</v>
      </c>
      <c r="AM529" s="28" t="str">
        <f t="shared" si="25"/>
        <v>pracuj.pl</v>
      </c>
    </row>
    <row r="530" spans="1:39" x14ac:dyDescent="0.25">
      <c r="A530" t="s">
        <v>8371</v>
      </c>
      <c r="B530" t="s">
        <v>11684</v>
      </c>
      <c r="C530" t="s">
        <v>10</v>
      </c>
      <c r="D530" s="27" t="s">
        <v>9437</v>
      </c>
      <c r="E530" t="s">
        <v>233</v>
      </c>
      <c r="F530" s="421">
        <v>1</v>
      </c>
      <c r="G530" t="s">
        <v>193</v>
      </c>
      <c r="H530" t="s">
        <v>194</v>
      </c>
      <c r="I530" t="s">
        <v>11608</v>
      </c>
      <c r="J530" t="s">
        <v>9302</v>
      </c>
      <c r="K530" t="s">
        <v>11685</v>
      </c>
      <c r="L530" t="s">
        <v>6261</v>
      </c>
      <c r="M530" t="s">
        <v>11670</v>
      </c>
      <c r="N530" t="s">
        <v>10005</v>
      </c>
      <c r="O530" t="s">
        <v>9967</v>
      </c>
      <c r="P530" t="s">
        <v>11686</v>
      </c>
      <c r="Q530" t="s">
        <v>11687</v>
      </c>
      <c r="S530" t="s">
        <v>9309</v>
      </c>
      <c r="U530" s="27" t="s">
        <v>484</v>
      </c>
      <c r="V530" t="s">
        <v>193</v>
      </c>
      <c r="W530" t="s">
        <v>9310</v>
      </c>
      <c r="Z530" t="s">
        <v>9311</v>
      </c>
      <c r="AF530" t="s">
        <v>4714</v>
      </c>
      <c r="AG530" t="s">
        <v>11684</v>
      </c>
      <c r="AI530" t="s">
        <v>6955</v>
      </c>
      <c r="AJ530" s="424" t="str">
        <f t="shared" si="24"/>
        <v>251401</v>
      </c>
      <c r="AK530" s="28">
        <v>1</v>
      </c>
      <c r="AL530" s="28">
        <f t="shared" si="26"/>
        <v>1</v>
      </c>
      <c r="AM530" s="28" t="str">
        <f t="shared" si="25"/>
        <v>praca</v>
      </c>
    </row>
    <row r="531" spans="1:39" x14ac:dyDescent="0.25">
      <c r="A531" t="s">
        <v>11429</v>
      </c>
      <c r="B531" t="s">
        <v>11430</v>
      </c>
      <c r="C531" t="s">
        <v>6617</v>
      </c>
      <c r="D531" s="27" t="s">
        <v>9835</v>
      </c>
      <c r="E531" t="s">
        <v>192</v>
      </c>
      <c r="F531" s="421">
        <v>1</v>
      </c>
      <c r="G531" t="s">
        <v>193</v>
      </c>
      <c r="H531" t="s">
        <v>194</v>
      </c>
      <c r="I531" t="s">
        <v>9343</v>
      </c>
      <c r="J531" t="s">
        <v>9302</v>
      </c>
      <c r="K531" t="s">
        <v>11431</v>
      </c>
      <c r="L531" t="s">
        <v>6266</v>
      </c>
      <c r="M531" t="s">
        <v>10519</v>
      </c>
      <c r="N531" t="s">
        <v>10045</v>
      </c>
      <c r="O531" t="s">
        <v>9369</v>
      </c>
      <c r="P531" t="s">
        <v>11432</v>
      </c>
      <c r="Q531" t="s">
        <v>11433</v>
      </c>
      <c r="S531" t="s">
        <v>9309</v>
      </c>
      <c r="U531" s="27" t="s">
        <v>990</v>
      </c>
      <c r="V531" t="s">
        <v>193</v>
      </c>
      <c r="W531" t="s">
        <v>9310</v>
      </c>
      <c r="Z531" t="s">
        <v>9311</v>
      </c>
      <c r="AF531" t="s">
        <v>4714</v>
      </c>
      <c r="AG531" t="s">
        <v>11430</v>
      </c>
      <c r="AI531" t="s">
        <v>6955</v>
      </c>
      <c r="AJ531" s="424" t="str">
        <f t="shared" si="24"/>
        <v>833202</v>
      </c>
      <c r="AK531" s="28">
        <v>1</v>
      </c>
      <c r="AL531" s="28">
        <f t="shared" si="26"/>
        <v>1</v>
      </c>
      <c r="AM531" s="28" t="str">
        <f t="shared" si="25"/>
        <v>pracuj.pl</v>
      </c>
    </row>
    <row r="532" spans="1:39" x14ac:dyDescent="0.25">
      <c r="A532" t="s">
        <v>11434</v>
      </c>
      <c r="B532" t="s">
        <v>647</v>
      </c>
      <c r="C532" t="s">
        <v>17</v>
      </c>
      <c r="D532" s="27" t="s">
        <v>9835</v>
      </c>
      <c r="E532" t="s">
        <v>192</v>
      </c>
      <c r="F532" s="421">
        <v>1</v>
      </c>
      <c r="G532" t="s">
        <v>193</v>
      </c>
      <c r="H532" t="s">
        <v>194</v>
      </c>
      <c r="I532" t="s">
        <v>10529</v>
      </c>
      <c r="J532" t="s">
        <v>9302</v>
      </c>
      <c r="K532" t="s">
        <v>11435</v>
      </c>
      <c r="L532" t="s">
        <v>6245</v>
      </c>
      <c r="M532" t="s">
        <v>10519</v>
      </c>
      <c r="N532" t="s">
        <v>10045</v>
      </c>
      <c r="O532" t="s">
        <v>9369</v>
      </c>
      <c r="P532" t="s">
        <v>11436</v>
      </c>
      <c r="Q532" t="s">
        <v>11437</v>
      </c>
      <c r="S532" t="s">
        <v>9309</v>
      </c>
      <c r="U532" s="27" t="s">
        <v>624</v>
      </c>
      <c r="V532" t="s">
        <v>193</v>
      </c>
      <c r="W532" t="s">
        <v>9310</v>
      </c>
      <c r="Z532" t="s">
        <v>9311</v>
      </c>
      <c r="AF532" t="s">
        <v>4714</v>
      </c>
      <c r="AG532" t="s">
        <v>647</v>
      </c>
      <c r="AI532" t="s">
        <v>6955</v>
      </c>
      <c r="AJ532" s="424" t="str">
        <f t="shared" si="24"/>
        <v>332203</v>
      </c>
      <c r="AK532" s="28">
        <v>1</v>
      </c>
      <c r="AL532" s="28">
        <f t="shared" si="26"/>
        <v>1</v>
      </c>
      <c r="AM532" s="28" t="str">
        <f t="shared" si="25"/>
        <v>pracuj.pl</v>
      </c>
    </row>
    <row r="533" spans="1:39" x14ac:dyDescent="0.25">
      <c r="A533" t="s">
        <v>9400</v>
      </c>
      <c r="B533" t="s">
        <v>11705</v>
      </c>
      <c r="C533" t="s">
        <v>10</v>
      </c>
      <c r="D533" s="27" t="s">
        <v>9437</v>
      </c>
      <c r="E533" t="s">
        <v>192</v>
      </c>
      <c r="F533" s="421">
        <v>1</v>
      </c>
      <c r="G533" t="s">
        <v>193</v>
      </c>
      <c r="H533" t="s">
        <v>194</v>
      </c>
      <c r="I533" t="s">
        <v>11608</v>
      </c>
      <c r="J533" t="s">
        <v>210</v>
      </c>
      <c r="K533" t="s">
        <v>11706</v>
      </c>
      <c r="L533" t="s">
        <v>6261</v>
      </c>
      <c r="M533" t="s">
        <v>11604</v>
      </c>
      <c r="N533" t="s">
        <v>9536</v>
      </c>
      <c r="O533" t="s">
        <v>9461</v>
      </c>
      <c r="P533" t="s">
        <v>11707</v>
      </c>
      <c r="Q533" t="s">
        <v>11708</v>
      </c>
      <c r="S533" t="s">
        <v>9309</v>
      </c>
      <c r="T533" s="28" t="s">
        <v>9334</v>
      </c>
      <c r="U533" s="27" t="s">
        <v>484</v>
      </c>
      <c r="V533" t="s">
        <v>194</v>
      </c>
      <c r="W533" t="s">
        <v>9300</v>
      </c>
      <c r="Z533" t="s">
        <v>9311</v>
      </c>
      <c r="AF533" t="s">
        <v>4714</v>
      </c>
      <c r="AG533" t="s">
        <v>11705</v>
      </c>
      <c r="AI533" t="s">
        <v>6955</v>
      </c>
      <c r="AJ533" s="424" t="str">
        <f t="shared" si="24"/>
        <v>251401</v>
      </c>
      <c r="AK533" s="28">
        <v>1</v>
      </c>
      <c r="AL533" s="28">
        <f t="shared" si="26"/>
        <v>1</v>
      </c>
      <c r="AM533" s="28" t="str">
        <f t="shared" si="25"/>
        <v>pracuj.pl</v>
      </c>
    </row>
    <row r="534" spans="1:39" x14ac:dyDescent="0.25">
      <c r="A534" t="s">
        <v>780</v>
      </c>
      <c r="B534" t="s">
        <v>11738</v>
      </c>
      <c r="C534" t="s">
        <v>10</v>
      </c>
      <c r="D534" s="27" t="s">
        <v>9437</v>
      </c>
      <c r="E534" t="s">
        <v>192</v>
      </c>
      <c r="F534" s="421">
        <v>1</v>
      </c>
      <c r="G534" t="s">
        <v>193</v>
      </c>
      <c r="H534" t="s">
        <v>194</v>
      </c>
      <c r="I534" t="s">
        <v>11608</v>
      </c>
      <c r="J534" t="s">
        <v>9302</v>
      </c>
      <c r="K534" t="s">
        <v>11739</v>
      </c>
      <c r="L534" t="s">
        <v>6921</v>
      </c>
      <c r="M534" t="s">
        <v>11604</v>
      </c>
      <c r="N534" t="s">
        <v>9536</v>
      </c>
      <c r="O534" t="s">
        <v>9461</v>
      </c>
      <c r="P534" t="s">
        <v>11740</v>
      </c>
      <c r="Q534" t="s">
        <v>11741</v>
      </c>
      <c r="S534" t="s">
        <v>9309</v>
      </c>
      <c r="U534" s="27" t="s">
        <v>484</v>
      </c>
      <c r="V534" t="s">
        <v>193</v>
      </c>
      <c r="W534" t="s">
        <v>9310</v>
      </c>
      <c r="Z534" t="s">
        <v>9311</v>
      </c>
      <c r="AF534" t="s">
        <v>4714</v>
      </c>
      <c r="AG534" t="s">
        <v>11738</v>
      </c>
      <c r="AI534" t="s">
        <v>6955</v>
      </c>
      <c r="AJ534" s="424" t="str">
        <f t="shared" si="24"/>
        <v>251401</v>
      </c>
      <c r="AK534" s="28">
        <v>1</v>
      </c>
      <c r="AL534" s="28">
        <f t="shared" si="26"/>
        <v>1</v>
      </c>
      <c r="AM534" s="28" t="str">
        <f t="shared" si="25"/>
        <v>pracuj.pl</v>
      </c>
    </row>
    <row r="535" spans="1:39" x14ac:dyDescent="0.25">
      <c r="A535" t="s">
        <v>9522</v>
      </c>
      <c r="B535" t="s">
        <v>9523</v>
      </c>
      <c r="C535" t="s">
        <v>10</v>
      </c>
      <c r="D535" s="27" t="s">
        <v>9437</v>
      </c>
      <c r="E535" t="s">
        <v>217</v>
      </c>
      <c r="F535" s="421">
        <v>1</v>
      </c>
      <c r="G535" t="s">
        <v>193</v>
      </c>
      <c r="H535" t="s">
        <v>194</v>
      </c>
      <c r="I535" t="s">
        <v>9491</v>
      </c>
      <c r="J535" t="s">
        <v>9524</v>
      </c>
      <c r="K535" t="s">
        <v>9525</v>
      </c>
      <c r="L535" t="s">
        <v>6261</v>
      </c>
      <c r="M535" t="s">
        <v>11702</v>
      </c>
      <c r="N535" t="s">
        <v>9526</v>
      </c>
      <c r="O535" t="s">
        <v>9461</v>
      </c>
      <c r="P535" t="s">
        <v>11742</v>
      </c>
      <c r="Q535" t="s">
        <v>11743</v>
      </c>
      <c r="S535" t="s">
        <v>9309</v>
      </c>
      <c r="U535" s="27" t="s">
        <v>484</v>
      </c>
      <c r="V535" t="s">
        <v>193</v>
      </c>
      <c r="W535" t="s">
        <v>9310</v>
      </c>
      <c r="Z535" t="s">
        <v>9311</v>
      </c>
      <c r="AF535" t="s">
        <v>4714</v>
      </c>
      <c r="AG535" t="s">
        <v>9433</v>
      </c>
      <c r="AI535" t="s">
        <v>6955</v>
      </c>
      <c r="AJ535" s="424" t="str">
        <f t="shared" si="24"/>
        <v>251401</v>
      </c>
      <c r="AK535" s="28">
        <v>1</v>
      </c>
      <c r="AL535" s="28">
        <f t="shared" si="26"/>
        <v>1</v>
      </c>
      <c r="AM535" s="28" t="str">
        <f t="shared" si="25"/>
        <v>agora</v>
      </c>
    </row>
    <row r="536" spans="1:39" x14ac:dyDescent="0.25">
      <c r="A536" t="s">
        <v>9522</v>
      </c>
      <c r="B536" t="s">
        <v>9545</v>
      </c>
      <c r="C536" t="s">
        <v>10</v>
      </c>
      <c r="D536" s="27" t="s">
        <v>9437</v>
      </c>
      <c r="E536" t="s">
        <v>217</v>
      </c>
      <c r="F536" s="421">
        <v>1</v>
      </c>
      <c r="G536" t="s">
        <v>193</v>
      </c>
      <c r="H536" t="s">
        <v>194</v>
      </c>
      <c r="I536" t="s">
        <v>9491</v>
      </c>
      <c r="J536" t="s">
        <v>210</v>
      </c>
      <c r="K536" t="s">
        <v>9546</v>
      </c>
      <c r="L536" t="s">
        <v>6261</v>
      </c>
      <c r="M536" t="s">
        <v>11702</v>
      </c>
      <c r="N536" t="s">
        <v>9526</v>
      </c>
      <c r="O536" t="s">
        <v>9461</v>
      </c>
      <c r="P536" t="s">
        <v>11754</v>
      </c>
      <c r="Q536" t="s">
        <v>11755</v>
      </c>
      <c r="S536" t="s">
        <v>9309</v>
      </c>
      <c r="T536" s="28" t="s">
        <v>9334</v>
      </c>
      <c r="U536" s="27" t="s">
        <v>484</v>
      </c>
      <c r="V536" t="s">
        <v>194</v>
      </c>
      <c r="W536" t="s">
        <v>9300</v>
      </c>
      <c r="Z536" t="s">
        <v>9311</v>
      </c>
      <c r="AF536" t="s">
        <v>4714</v>
      </c>
      <c r="AG536" t="s">
        <v>9433</v>
      </c>
      <c r="AI536" t="s">
        <v>6955</v>
      </c>
      <c r="AJ536" s="424" t="str">
        <f t="shared" si="24"/>
        <v>251401</v>
      </c>
      <c r="AK536" s="28">
        <v>1</v>
      </c>
      <c r="AL536" s="28">
        <f t="shared" si="26"/>
        <v>1</v>
      </c>
      <c r="AM536" s="28" t="str">
        <f t="shared" si="25"/>
        <v>agora</v>
      </c>
    </row>
    <row r="537" spans="1:39" x14ac:dyDescent="0.25">
      <c r="A537" t="s">
        <v>9522</v>
      </c>
      <c r="B537" t="s">
        <v>9545</v>
      </c>
      <c r="C537" t="s">
        <v>10</v>
      </c>
      <c r="D537" s="27" t="s">
        <v>9437</v>
      </c>
      <c r="E537" t="s">
        <v>217</v>
      </c>
      <c r="F537" s="421">
        <v>1</v>
      </c>
      <c r="G537" t="s">
        <v>193</v>
      </c>
      <c r="H537" t="s">
        <v>194</v>
      </c>
      <c r="I537" t="s">
        <v>9491</v>
      </c>
      <c r="J537" t="s">
        <v>210</v>
      </c>
      <c r="K537" t="s">
        <v>9552</v>
      </c>
      <c r="L537" t="s">
        <v>6921</v>
      </c>
      <c r="M537" t="s">
        <v>11702</v>
      </c>
      <c r="N537" t="s">
        <v>9536</v>
      </c>
      <c r="O537" t="s">
        <v>9537</v>
      </c>
      <c r="P537" t="s">
        <v>11756</v>
      </c>
      <c r="Q537" t="s">
        <v>11757</v>
      </c>
      <c r="S537" t="s">
        <v>9309</v>
      </c>
      <c r="T537" s="28" t="s">
        <v>9334</v>
      </c>
      <c r="U537" s="27" t="s">
        <v>484</v>
      </c>
      <c r="V537" t="s">
        <v>194</v>
      </c>
      <c r="W537" t="s">
        <v>9300</v>
      </c>
      <c r="Z537" t="s">
        <v>9311</v>
      </c>
      <c r="AF537" t="s">
        <v>4714</v>
      </c>
      <c r="AG537" t="s">
        <v>9433</v>
      </c>
      <c r="AI537" t="s">
        <v>6955</v>
      </c>
      <c r="AJ537" s="424" t="str">
        <f t="shared" si="24"/>
        <v>251401</v>
      </c>
      <c r="AK537" s="28">
        <v>1</v>
      </c>
      <c r="AL537" s="28">
        <f t="shared" si="26"/>
        <v>1</v>
      </c>
      <c r="AM537" s="28" t="str">
        <f t="shared" si="25"/>
        <v>agora</v>
      </c>
    </row>
    <row r="538" spans="1:39" x14ac:dyDescent="0.25">
      <c r="A538" t="s">
        <v>9522</v>
      </c>
      <c r="B538" t="s">
        <v>9564</v>
      </c>
      <c r="C538" t="s">
        <v>10</v>
      </c>
      <c r="D538" s="27" t="s">
        <v>9437</v>
      </c>
      <c r="E538" t="s">
        <v>217</v>
      </c>
      <c r="F538" s="421">
        <v>1</v>
      </c>
      <c r="G538" t="s">
        <v>193</v>
      </c>
      <c r="H538" t="s">
        <v>194</v>
      </c>
      <c r="I538" t="s">
        <v>9491</v>
      </c>
      <c r="J538" t="s">
        <v>210</v>
      </c>
      <c r="K538" t="s">
        <v>10748</v>
      </c>
      <c r="L538" t="s">
        <v>6261</v>
      </c>
      <c r="M538" t="s">
        <v>11702</v>
      </c>
      <c r="N538" t="s">
        <v>9526</v>
      </c>
      <c r="O538" t="s">
        <v>9305</v>
      </c>
      <c r="P538" t="s">
        <v>11758</v>
      </c>
      <c r="Q538" t="s">
        <v>11759</v>
      </c>
      <c r="S538" t="s">
        <v>9309</v>
      </c>
      <c r="T538" s="28" t="s">
        <v>9334</v>
      </c>
      <c r="U538" s="27" t="s">
        <v>484</v>
      </c>
      <c r="V538" t="s">
        <v>194</v>
      </c>
      <c r="W538" t="s">
        <v>9300</v>
      </c>
      <c r="Z538" t="s">
        <v>9311</v>
      </c>
      <c r="AF538" t="s">
        <v>4714</v>
      </c>
      <c r="AG538" t="s">
        <v>9433</v>
      </c>
      <c r="AI538" t="s">
        <v>6955</v>
      </c>
      <c r="AJ538" s="424" t="str">
        <f t="shared" si="24"/>
        <v>251401</v>
      </c>
      <c r="AK538" s="28">
        <v>1</v>
      </c>
      <c r="AL538" s="28">
        <f t="shared" si="26"/>
        <v>1</v>
      </c>
      <c r="AM538" s="28" t="str">
        <f t="shared" si="25"/>
        <v>agora</v>
      </c>
    </row>
    <row r="539" spans="1:39" x14ac:dyDescent="0.25">
      <c r="A539" t="s">
        <v>9522</v>
      </c>
      <c r="B539" t="s">
        <v>9564</v>
      </c>
      <c r="C539" t="s">
        <v>10</v>
      </c>
      <c r="D539" s="27" t="s">
        <v>9437</v>
      </c>
      <c r="E539" t="s">
        <v>217</v>
      </c>
      <c r="F539" s="421">
        <v>1</v>
      </c>
      <c r="G539" t="s">
        <v>193</v>
      </c>
      <c r="H539" t="s">
        <v>194</v>
      </c>
      <c r="I539" t="s">
        <v>9491</v>
      </c>
      <c r="J539" t="s">
        <v>210</v>
      </c>
      <c r="K539" t="s">
        <v>9565</v>
      </c>
      <c r="L539" t="s">
        <v>6261</v>
      </c>
      <c r="M539" t="s">
        <v>11702</v>
      </c>
      <c r="N539" t="s">
        <v>10005</v>
      </c>
      <c r="O539" t="s">
        <v>9461</v>
      </c>
      <c r="P539" t="s">
        <v>11760</v>
      </c>
      <c r="Q539" t="s">
        <v>11761</v>
      </c>
      <c r="S539" t="s">
        <v>9309</v>
      </c>
      <c r="T539" s="28" t="s">
        <v>9334</v>
      </c>
      <c r="U539" s="27" t="s">
        <v>484</v>
      </c>
      <c r="V539" t="s">
        <v>194</v>
      </c>
      <c r="W539" t="s">
        <v>9300</v>
      </c>
      <c r="Z539" t="s">
        <v>9311</v>
      </c>
      <c r="AF539" t="s">
        <v>4714</v>
      </c>
      <c r="AG539" t="s">
        <v>9433</v>
      </c>
      <c r="AI539" t="s">
        <v>6955</v>
      </c>
      <c r="AJ539" s="424" t="str">
        <f t="shared" si="24"/>
        <v>251401</v>
      </c>
      <c r="AK539" s="28">
        <v>1</v>
      </c>
      <c r="AL539" s="28">
        <f t="shared" si="26"/>
        <v>1</v>
      </c>
      <c r="AM539" s="28" t="str">
        <f t="shared" si="25"/>
        <v>agora</v>
      </c>
    </row>
    <row r="540" spans="1:39" x14ac:dyDescent="0.25">
      <c r="A540" t="s">
        <v>9522</v>
      </c>
      <c r="B540" t="s">
        <v>9564</v>
      </c>
      <c r="C540" t="s">
        <v>10</v>
      </c>
      <c r="D540" s="27" t="s">
        <v>9437</v>
      </c>
      <c r="E540" t="s">
        <v>217</v>
      </c>
      <c r="F540" s="421">
        <v>1</v>
      </c>
      <c r="G540" t="s">
        <v>193</v>
      </c>
      <c r="H540" t="s">
        <v>194</v>
      </c>
      <c r="I540" t="s">
        <v>9491</v>
      </c>
      <c r="J540" t="s">
        <v>210</v>
      </c>
      <c r="K540" t="s">
        <v>11762</v>
      </c>
      <c r="L540" t="s">
        <v>6261</v>
      </c>
      <c r="M540" t="s">
        <v>11702</v>
      </c>
      <c r="N540" t="s">
        <v>9889</v>
      </c>
      <c r="O540" t="s">
        <v>9835</v>
      </c>
      <c r="P540" t="s">
        <v>11763</v>
      </c>
      <c r="Q540" t="s">
        <v>11764</v>
      </c>
      <c r="S540" t="s">
        <v>9309</v>
      </c>
      <c r="T540" s="28" t="s">
        <v>9334</v>
      </c>
      <c r="U540" s="27" t="s">
        <v>484</v>
      </c>
      <c r="V540" t="s">
        <v>194</v>
      </c>
      <c r="W540" t="s">
        <v>9300</v>
      </c>
      <c r="Z540" t="s">
        <v>9311</v>
      </c>
      <c r="AF540" t="s">
        <v>4714</v>
      </c>
      <c r="AG540" t="s">
        <v>9433</v>
      </c>
      <c r="AI540" t="s">
        <v>6955</v>
      </c>
      <c r="AJ540" s="424" t="str">
        <f t="shared" si="24"/>
        <v>251401</v>
      </c>
      <c r="AK540" s="28">
        <v>1</v>
      </c>
      <c r="AL540" s="28">
        <f t="shared" si="26"/>
        <v>1</v>
      </c>
      <c r="AM540" s="28" t="str">
        <f t="shared" si="25"/>
        <v>agora</v>
      </c>
    </row>
    <row r="541" spans="1:39" x14ac:dyDescent="0.25">
      <c r="A541" t="s">
        <v>9522</v>
      </c>
      <c r="B541" t="s">
        <v>1406</v>
      </c>
      <c r="C541" t="s">
        <v>10</v>
      </c>
      <c r="D541" s="27" t="s">
        <v>9437</v>
      </c>
      <c r="E541" t="s">
        <v>217</v>
      </c>
      <c r="F541" s="421">
        <v>1</v>
      </c>
      <c r="G541" t="s">
        <v>193</v>
      </c>
      <c r="H541" t="s">
        <v>194</v>
      </c>
      <c r="I541" t="s">
        <v>9491</v>
      </c>
      <c r="J541" t="s">
        <v>9524</v>
      </c>
      <c r="K541" t="s">
        <v>9582</v>
      </c>
      <c r="L541" t="s">
        <v>6261</v>
      </c>
      <c r="M541" t="s">
        <v>11702</v>
      </c>
      <c r="N541" t="s">
        <v>10005</v>
      </c>
      <c r="O541" t="s">
        <v>9430</v>
      </c>
      <c r="P541" t="s">
        <v>11769</v>
      </c>
      <c r="Q541" t="s">
        <v>11770</v>
      </c>
      <c r="S541" t="s">
        <v>9309</v>
      </c>
      <c r="U541" s="27" t="s">
        <v>484</v>
      </c>
      <c r="V541" t="s">
        <v>193</v>
      </c>
      <c r="W541" t="s">
        <v>9310</v>
      </c>
      <c r="Z541" t="s">
        <v>9311</v>
      </c>
      <c r="AF541" t="s">
        <v>4714</v>
      </c>
      <c r="AG541" t="s">
        <v>9433</v>
      </c>
      <c r="AI541" t="s">
        <v>6955</v>
      </c>
      <c r="AJ541" s="424" t="str">
        <f t="shared" si="24"/>
        <v>251401</v>
      </c>
      <c r="AK541" s="28">
        <v>1</v>
      </c>
      <c r="AL541" s="28">
        <f t="shared" si="26"/>
        <v>1</v>
      </c>
      <c r="AM541" s="28" t="str">
        <f t="shared" si="25"/>
        <v>agora</v>
      </c>
    </row>
    <row r="542" spans="1:39" x14ac:dyDescent="0.25">
      <c r="A542" t="s">
        <v>9522</v>
      </c>
      <c r="B542" t="s">
        <v>9601</v>
      </c>
      <c r="C542" t="s">
        <v>10</v>
      </c>
      <c r="D542" s="27" t="s">
        <v>9437</v>
      </c>
      <c r="E542" t="s">
        <v>217</v>
      </c>
      <c r="F542" s="421">
        <v>1</v>
      </c>
      <c r="G542" t="s">
        <v>193</v>
      </c>
      <c r="H542" t="s">
        <v>194</v>
      </c>
      <c r="I542" t="s">
        <v>9491</v>
      </c>
      <c r="J542" t="s">
        <v>9524</v>
      </c>
      <c r="K542" t="s">
        <v>9602</v>
      </c>
      <c r="L542" t="s">
        <v>6261</v>
      </c>
      <c r="M542" t="s">
        <v>11702</v>
      </c>
      <c r="N542" t="s">
        <v>9603</v>
      </c>
      <c r="O542" t="s">
        <v>9604</v>
      </c>
      <c r="P542" t="s">
        <v>11775</v>
      </c>
      <c r="Q542" t="s">
        <v>11776</v>
      </c>
      <c r="S542" t="s">
        <v>9309</v>
      </c>
      <c r="U542" s="27" t="s">
        <v>484</v>
      </c>
      <c r="V542" t="s">
        <v>193</v>
      </c>
      <c r="W542" t="s">
        <v>9310</v>
      </c>
      <c r="Z542" t="s">
        <v>9311</v>
      </c>
      <c r="AF542" t="s">
        <v>4714</v>
      </c>
      <c r="AG542" t="s">
        <v>9433</v>
      </c>
      <c r="AI542" t="s">
        <v>6955</v>
      </c>
      <c r="AJ542" s="424" t="str">
        <f t="shared" si="24"/>
        <v>251401</v>
      </c>
      <c r="AK542" s="28">
        <v>1</v>
      </c>
      <c r="AL542" s="28">
        <f t="shared" si="26"/>
        <v>1</v>
      </c>
      <c r="AM542" s="28" t="str">
        <f t="shared" si="25"/>
        <v>agora</v>
      </c>
    </row>
    <row r="543" spans="1:39" x14ac:dyDescent="0.25">
      <c r="A543" t="s">
        <v>11478</v>
      </c>
      <c r="B543" t="s">
        <v>11479</v>
      </c>
      <c r="C543" t="s">
        <v>3315</v>
      </c>
      <c r="D543" s="27" t="s">
        <v>9835</v>
      </c>
      <c r="E543" t="s">
        <v>233</v>
      </c>
      <c r="F543" s="421">
        <v>1</v>
      </c>
      <c r="G543" t="s">
        <v>193</v>
      </c>
      <c r="H543" t="s">
        <v>194</v>
      </c>
      <c r="I543" t="s">
        <v>9491</v>
      </c>
      <c r="J543" t="s">
        <v>9302</v>
      </c>
      <c r="K543" t="s">
        <v>11480</v>
      </c>
      <c r="L543" t="s">
        <v>6245</v>
      </c>
      <c r="M543" t="s">
        <v>10564</v>
      </c>
      <c r="N543" t="s">
        <v>9588</v>
      </c>
      <c r="O543" t="s">
        <v>9318</v>
      </c>
      <c r="P543" t="s">
        <v>11481</v>
      </c>
      <c r="Q543" t="s">
        <v>11482</v>
      </c>
      <c r="S543" t="s">
        <v>9309</v>
      </c>
      <c r="U543" s="27" t="s">
        <v>3317</v>
      </c>
      <c r="V543" t="s">
        <v>193</v>
      </c>
      <c r="W543" t="s">
        <v>9310</v>
      </c>
      <c r="Z543" t="s">
        <v>9311</v>
      </c>
      <c r="AF543" t="s">
        <v>4714</v>
      </c>
      <c r="AG543" t="s">
        <v>11479</v>
      </c>
      <c r="AI543" t="s">
        <v>6955</v>
      </c>
      <c r="AJ543" s="424" t="str">
        <f t="shared" si="24"/>
        <v>216101</v>
      </c>
      <c r="AK543" s="28">
        <v>1</v>
      </c>
      <c r="AL543" s="28">
        <f t="shared" si="26"/>
        <v>1</v>
      </c>
      <c r="AM543" s="28" t="str">
        <f t="shared" si="25"/>
        <v>praca</v>
      </c>
    </row>
    <row r="544" spans="1:39" x14ac:dyDescent="0.25">
      <c r="A544" t="s">
        <v>11483</v>
      </c>
      <c r="B544" t="s">
        <v>11484</v>
      </c>
      <c r="C544" t="s">
        <v>17</v>
      </c>
      <c r="D544" s="27" t="s">
        <v>9835</v>
      </c>
      <c r="E544" t="s">
        <v>192</v>
      </c>
      <c r="F544" s="440">
        <v>2</v>
      </c>
      <c r="G544" t="s">
        <v>193</v>
      </c>
      <c r="H544" t="s">
        <v>194</v>
      </c>
      <c r="I544" t="s">
        <v>10529</v>
      </c>
      <c r="J544" t="s">
        <v>9302</v>
      </c>
      <c r="K544" t="s">
        <v>11485</v>
      </c>
      <c r="L544" t="s">
        <v>6245</v>
      </c>
      <c r="M544" t="s">
        <v>10519</v>
      </c>
      <c r="N544" t="s">
        <v>10045</v>
      </c>
      <c r="O544" t="s">
        <v>9369</v>
      </c>
      <c r="P544" t="s">
        <v>11486</v>
      </c>
      <c r="Q544" t="s">
        <v>11487</v>
      </c>
      <c r="S544" t="s">
        <v>9309</v>
      </c>
      <c r="U544" s="27" t="s">
        <v>624</v>
      </c>
      <c r="V544" t="s">
        <v>193</v>
      </c>
      <c r="W544" t="s">
        <v>9310</v>
      </c>
      <c r="Z544" t="s">
        <v>9311</v>
      </c>
      <c r="AF544" t="s">
        <v>4714</v>
      </c>
      <c r="AG544" t="s">
        <v>11484</v>
      </c>
      <c r="AI544" t="s">
        <v>6955</v>
      </c>
      <c r="AJ544" s="424" t="str">
        <f t="shared" si="24"/>
        <v>332203</v>
      </c>
      <c r="AK544" s="28">
        <v>1</v>
      </c>
      <c r="AL544" s="28">
        <f t="shared" si="26"/>
        <v>2</v>
      </c>
      <c r="AM544" s="28" t="str">
        <f t="shared" si="25"/>
        <v>pracuj.pl</v>
      </c>
    </row>
    <row r="545" spans="1:39" x14ac:dyDescent="0.25">
      <c r="A545" t="s">
        <v>11483</v>
      </c>
      <c r="B545" t="s">
        <v>11488</v>
      </c>
      <c r="C545" t="s">
        <v>17</v>
      </c>
      <c r="D545" s="27" t="s">
        <v>9835</v>
      </c>
      <c r="E545" t="s">
        <v>192</v>
      </c>
      <c r="F545" s="421">
        <v>1</v>
      </c>
      <c r="G545" t="s">
        <v>193</v>
      </c>
      <c r="H545" t="s">
        <v>194</v>
      </c>
      <c r="I545" t="s">
        <v>9369</v>
      </c>
      <c r="J545" t="s">
        <v>9302</v>
      </c>
      <c r="K545" t="s">
        <v>11489</v>
      </c>
      <c r="L545" t="s">
        <v>6245</v>
      </c>
      <c r="M545" t="s">
        <v>10519</v>
      </c>
      <c r="N545" t="s">
        <v>10045</v>
      </c>
      <c r="O545" t="s">
        <v>9369</v>
      </c>
      <c r="P545" t="s">
        <v>11490</v>
      </c>
      <c r="Q545" t="s">
        <v>11491</v>
      </c>
      <c r="S545" t="s">
        <v>9309</v>
      </c>
      <c r="U545" s="27" t="s">
        <v>624</v>
      </c>
      <c r="V545" t="s">
        <v>193</v>
      </c>
      <c r="W545" t="s">
        <v>9310</v>
      </c>
      <c r="Z545" t="s">
        <v>9311</v>
      </c>
      <c r="AF545" t="s">
        <v>4714</v>
      </c>
      <c r="AG545" t="s">
        <v>11488</v>
      </c>
      <c r="AI545" t="s">
        <v>6955</v>
      </c>
      <c r="AJ545" s="424" t="str">
        <f t="shared" si="24"/>
        <v>332203</v>
      </c>
      <c r="AK545" s="28">
        <v>1</v>
      </c>
      <c r="AL545" s="28">
        <f t="shared" si="26"/>
        <v>1</v>
      </c>
      <c r="AM545" s="28" t="str">
        <f t="shared" si="25"/>
        <v>pracuj.pl</v>
      </c>
    </row>
    <row r="546" spans="1:39" x14ac:dyDescent="0.25">
      <c r="A546" t="s">
        <v>11483</v>
      </c>
      <c r="B546" t="s">
        <v>11492</v>
      </c>
      <c r="C546" t="s">
        <v>11493</v>
      </c>
      <c r="D546" s="27" t="s">
        <v>9835</v>
      </c>
      <c r="E546" t="s">
        <v>192</v>
      </c>
      <c r="F546" s="421">
        <v>1</v>
      </c>
      <c r="G546" t="s">
        <v>193</v>
      </c>
      <c r="H546" t="s">
        <v>194</v>
      </c>
      <c r="I546" t="s">
        <v>10529</v>
      </c>
      <c r="J546" t="s">
        <v>9302</v>
      </c>
      <c r="K546" t="s">
        <v>11494</v>
      </c>
      <c r="L546" t="s">
        <v>6374</v>
      </c>
      <c r="M546" t="s">
        <v>10519</v>
      </c>
      <c r="N546" t="s">
        <v>10045</v>
      </c>
      <c r="O546" t="s">
        <v>9369</v>
      </c>
      <c r="P546" t="s">
        <v>11495</v>
      </c>
      <c r="Q546" t="s">
        <v>11496</v>
      </c>
      <c r="S546" t="s">
        <v>9309</v>
      </c>
      <c r="U546" s="27" t="s">
        <v>11497</v>
      </c>
      <c r="V546" t="s">
        <v>193</v>
      </c>
      <c r="W546" t="s">
        <v>9310</v>
      </c>
      <c r="Z546" t="s">
        <v>9311</v>
      </c>
      <c r="AF546" t="s">
        <v>4714</v>
      </c>
      <c r="AG546" t="s">
        <v>11492</v>
      </c>
      <c r="AI546" t="s">
        <v>6955</v>
      </c>
      <c r="AJ546" s="424" t="str">
        <f t="shared" si="24"/>
        <v>214306</v>
      </c>
      <c r="AK546" s="28">
        <v>1</v>
      </c>
      <c r="AL546" s="28">
        <f t="shared" si="26"/>
        <v>1</v>
      </c>
      <c r="AM546" s="28" t="str">
        <f t="shared" si="25"/>
        <v>pracuj.pl</v>
      </c>
    </row>
    <row r="547" spans="1:39" x14ac:dyDescent="0.25">
      <c r="A547" t="s">
        <v>992</v>
      </c>
      <c r="B547" t="s">
        <v>11498</v>
      </c>
      <c r="C547" t="s">
        <v>11499</v>
      </c>
      <c r="D547" s="27" t="s">
        <v>9835</v>
      </c>
      <c r="E547" t="s">
        <v>192</v>
      </c>
      <c r="F547" s="421">
        <v>1</v>
      </c>
      <c r="G547" t="s">
        <v>193</v>
      </c>
      <c r="H547" t="s">
        <v>194</v>
      </c>
      <c r="I547" t="s">
        <v>10529</v>
      </c>
      <c r="J547" t="s">
        <v>575</v>
      </c>
      <c r="K547" t="s">
        <v>11500</v>
      </c>
      <c r="L547" t="s">
        <v>6275</v>
      </c>
      <c r="M547" t="s">
        <v>10519</v>
      </c>
      <c r="N547" t="s">
        <v>10045</v>
      </c>
      <c r="O547" t="s">
        <v>9369</v>
      </c>
      <c r="P547" t="s">
        <v>11501</v>
      </c>
      <c r="Q547" t="s">
        <v>11502</v>
      </c>
      <c r="S547" t="s">
        <v>9309</v>
      </c>
      <c r="T547" s="28" t="s">
        <v>9726</v>
      </c>
      <c r="U547" s="27" t="s">
        <v>11503</v>
      </c>
      <c r="V547" t="s">
        <v>194</v>
      </c>
      <c r="W547" t="s">
        <v>9300</v>
      </c>
      <c r="Z547" t="s">
        <v>9311</v>
      </c>
      <c r="AF547" t="s">
        <v>5109</v>
      </c>
      <c r="AG547" t="s">
        <v>11498</v>
      </c>
      <c r="AI547" t="s">
        <v>6955</v>
      </c>
      <c r="AJ547" s="424" t="str">
        <f t="shared" si="24"/>
        <v>812114</v>
      </c>
      <c r="AK547" s="28">
        <v>1</v>
      </c>
      <c r="AL547" s="28">
        <f t="shared" si="26"/>
        <v>1</v>
      </c>
      <c r="AM547" s="28" t="str">
        <f t="shared" si="25"/>
        <v>pracuj.pl</v>
      </c>
    </row>
    <row r="548" spans="1:39" x14ac:dyDescent="0.25">
      <c r="A548" t="s">
        <v>10383</v>
      </c>
      <c r="B548" t="s">
        <v>10384</v>
      </c>
      <c r="C548" t="s">
        <v>17</v>
      </c>
      <c r="D548" s="27" t="s">
        <v>9835</v>
      </c>
      <c r="E548" t="s">
        <v>217</v>
      </c>
      <c r="F548" s="421">
        <v>1</v>
      </c>
      <c r="G548" t="s">
        <v>193</v>
      </c>
      <c r="H548" t="s">
        <v>194</v>
      </c>
      <c r="I548" t="s">
        <v>9491</v>
      </c>
      <c r="J548" t="s">
        <v>367</v>
      </c>
      <c r="K548" t="s">
        <v>10388</v>
      </c>
      <c r="L548" t="s">
        <v>6249</v>
      </c>
      <c r="M548" t="s">
        <v>10618</v>
      </c>
      <c r="N548" t="s">
        <v>9603</v>
      </c>
      <c r="O548" t="s">
        <v>9604</v>
      </c>
      <c r="P548" t="s">
        <v>11504</v>
      </c>
      <c r="Q548" t="s">
        <v>11505</v>
      </c>
      <c r="S548" t="s">
        <v>9309</v>
      </c>
      <c r="T548" s="28" t="s">
        <v>9974</v>
      </c>
      <c r="U548" s="27" t="s">
        <v>624</v>
      </c>
      <c r="V548" t="s">
        <v>194</v>
      </c>
      <c r="W548" t="s">
        <v>9300</v>
      </c>
      <c r="Z548" t="s">
        <v>9311</v>
      </c>
      <c r="AF548" t="s">
        <v>4714</v>
      </c>
      <c r="AG548" t="s">
        <v>9433</v>
      </c>
      <c r="AI548" t="s">
        <v>6955</v>
      </c>
      <c r="AJ548" s="424" t="str">
        <f t="shared" si="24"/>
        <v>332203</v>
      </c>
      <c r="AK548" s="28">
        <v>1</v>
      </c>
      <c r="AL548" s="28">
        <f t="shared" si="26"/>
        <v>1</v>
      </c>
      <c r="AM548" s="28" t="str">
        <f t="shared" si="25"/>
        <v>agora</v>
      </c>
    </row>
    <row r="549" spans="1:39" x14ac:dyDescent="0.25">
      <c r="A549" t="s">
        <v>10383</v>
      </c>
      <c r="B549" t="s">
        <v>10384</v>
      </c>
      <c r="C549" t="s">
        <v>17</v>
      </c>
      <c r="D549" s="27" t="s">
        <v>9835</v>
      </c>
      <c r="E549" t="s">
        <v>217</v>
      </c>
      <c r="F549" s="421">
        <v>1</v>
      </c>
      <c r="G549" t="s">
        <v>193</v>
      </c>
      <c r="H549" t="s">
        <v>194</v>
      </c>
      <c r="I549" t="s">
        <v>9491</v>
      </c>
      <c r="J549" t="s">
        <v>210</v>
      </c>
      <c r="K549" t="s">
        <v>10391</v>
      </c>
      <c r="L549" t="s">
        <v>6249</v>
      </c>
      <c r="M549" t="s">
        <v>10618</v>
      </c>
      <c r="N549" t="s">
        <v>9603</v>
      </c>
      <c r="O549" t="s">
        <v>9604</v>
      </c>
      <c r="P549" t="s">
        <v>11506</v>
      </c>
      <c r="Q549" t="s">
        <v>11507</v>
      </c>
      <c r="S549" t="s">
        <v>9309</v>
      </c>
      <c r="T549" s="28" t="s">
        <v>9334</v>
      </c>
      <c r="U549" s="27" t="s">
        <v>624</v>
      </c>
      <c r="V549" t="s">
        <v>194</v>
      </c>
      <c r="W549" t="s">
        <v>9300</v>
      </c>
      <c r="Z549" t="s">
        <v>9311</v>
      </c>
      <c r="AF549" t="s">
        <v>4714</v>
      </c>
      <c r="AG549" t="s">
        <v>9433</v>
      </c>
      <c r="AI549" t="s">
        <v>6955</v>
      </c>
      <c r="AJ549" s="424" t="str">
        <f t="shared" si="24"/>
        <v>332203</v>
      </c>
      <c r="AK549" s="28">
        <v>1</v>
      </c>
      <c r="AL549" s="28">
        <f t="shared" si="26"/>
        <v>1</v>
      </c>
      <c r="AM549" s="28" t="str">
        <f t="shared" si="25"/>
        <v>agora</v>
      </c>
    </row>
    <row r="550" spans="1:39" x14ac:dyDescent="0.25">
      <c r="A550" t="s">
        <v>10383</v>
      </c>
      <c r="B550" t="s">
        <v>10384</v>
      </c>
      <c r="C550" t="s">
        <v>17</v>
      </c>
      <c r="D550" s="27" t="s">
        <v>9835</v>
      </c>
      <c r="E550" t="s">
        <v>217</v>
      </c>
      <c r="F550" s="421">
        <v>1</v>
      </c>
      <c r="G550" t="s">
        <v>193</v>
      </c>
      <c r="H550" t="s">
        <v>194</v>
      </c>
      <c r="I550" t="s">
        <v>9491</v>
      </c>
      <c r="J550" t="s">
        <v>747</v>
      </c>
      <c r="K550" t="s">
        <v>10394</v>
      </c>
      <c r="L550" t="s">
        <v>6249</v>
      </c>
      <c r="M550" t="s">
        <v>10618</v>
      </c>
      <c r="N550" t="s">
        <v>9603</v>
      </c>
      <c r="O550" t="s">
        <v>9604</v>
      </c>
      <c r="P550" t="s">
        <v>11508</v>
      </c>
      <c r="Q550" t="s">
        <v>11509</v>
      </c>
      <c r="S550" t="s">
        <v>9309</v>
      </c>
      <c r="T550" s="28" t="s">
        <v>10397</v>
      </c>
      <c r="U550" s="27" t="s">
        <v>624</v>
      </c>
      <c r="V550" t="s">
        <v>194</v>
      </c>
      <c r="W550" t="s">
        <v>9300</v>
      </c>
      <c r="Z550" t="s">
        <v>9311</v>
      </c>
      <c r="AF550" t="s">
        <v>4714</v>
      </c>
      <c r="AG550" t="s">
        <v>9433</v>
      </c>
      <c r="AI550" t="s">
        <v>6955</v>
      </c>
      <c r="AJ550" s="424" t="str">
        <f t="shared" si="24"/>
        <v>332203</v>
      </c>
      <c r="AK550" s="28">
        <v>1</v>
      </c>
      <c r="AL550" s="28">
        <f t="shared" si="26"/>
        <v>1</v>
      </c>
      <c r="AM550" s="28" t="str">
        <f t="shared" si="25"/>
        <v>agora</v>
      </c>
    </row>
    <row r="551" spans="1:39" x14ac:dyDescent="0.25">
      <c r="A551" t="s">
        <v>10383</v>
      </c>
      <c r="B551" t="s">
        <v>10384</v>
      </c>
      <c r="C551" t="s">
        <v>17</v>
      </c>
      <c r="D551" s="27" t="s">
        <v>9835</v>
      </c>
      <c r="E551" t="s">
        <v>217</v>
      </c>
      <c r="F551" s="421">
        <v>1</v>
      </c>
      <c r="G551" t="s">
        <v>193</v>
      </c>
      <c r="H551" t="s">
        <v>194</v>
      </c>
      <c r="I551" t="s">
        <v>9491</v>
      </c>
      <c r="J551" t="s">
        <v>316</v>
      </c>
      <c r="K551" t="s">
        <v>10398</v>
      </c>
      <c r="L551" t="s">
        <v>6249</v>
      </c>
      <c r="M551" t="s">
        <v>10618</v>
      </c>
      <c r="N551" t="s">
        <v>9603</v>
      </c>
      <c r="O551" t="s">
        <v>9604</v>
      </c>
      <c r="P551" t="s">
        <v>11510</v>
      </c>
      <c r="Q551" t="s">
        <v>11511</v>
      </c>
      <c r="S551" t="s">
        <v>9309</v>
      </c>
      <c r="T551" s="28" t="s">
        <v>10012</v>
      </c>
      <c r="U551" s="27" t="s">
        <v>624</v>
      </c>
      <c r="V551" t="s">
        <v>194</v>
      </c>
      <c r="W551" t="s">
        <v>9300</v>
      </c>
      <c r="Z551" t="s">
        <v>9311</v>
      </c>
      <c r="AF551" t="s">
        <v>4714</v>
      </c>
      <c r="AG551" t="s">
        <v>9433</v>
      </c>
      <c r="AI551" t="s">
        <v>6955</v>
      </c>
      <c r="AJ551" s="424" t="str">
        <f t="shared" si="24"/>
        <v>332203</v>
      </c>
      <c r="AK551" s="28">
        <v>1</v>
      </c>
      <c r="AL551" s="28">
        <f t="shared" si="26"/>
        <v>1</v>
      </c>
      <c r="AM551" s="28" t="str">
        <f t="shared" si="25"/>
        <v>agora</v>
      </c>
    </row>
    <row r="552" spans="1:39" x14ac:dyDescent="0.25">
      <c r="A552" t="s">
        <v>10383</v>
      </c>
      <c r="B552" t="s">
        <v>10384</v>
      </c>
      <c r="C552" t="s">
        <v>17</v>
      </c>
      <c r="D552" s="27" t="s">
        <v>9835</v>
      </c>
      <c r="E552" t="s">
        <v>217</v>
      </c>
      <c r="F552" s="421">
        <v>1</v>
      </c>
      <c r="G552" t="s">
        <v>193</v>
      </c>
      <c r="H552" t="s">
        <v>194</v>
      </c>
      <c r="I552" t="s">
        <v>9491</v>
      </c>
      <c r="J552" t="s">
        <v>253</v>
      </c>
      <c r="K552" t="s">
        <v>10401</v>
      </c>
      <c r="L552" t="s">
        <v>6249</v>
      </c>
      <c r="M552" t="s">
        <v>10618</v>
      </c>
      <c r="N552" t="s">
        <v>9603</v>
      </c>
      <c r="O552" t="s">
        <v>9604</v>
      </c>
      <c r="P552" t="s">
        <v>11512</v>
      </c>
      <c r="Q552" t="s">
        <v>11513</v>
      </c>
      <c r="S552" t="s">
        <v>9309</v>
      </c>
      <c r="T552" s="28" t="s">
        <v>9468</v>
      </c>
      <c r="U552" s="27" t="s">
        <v>624</v>
      </c>
      <c r="V552" t="s">
        <v>194</v>
      </c>
      <c r="W552" t="s">
        <v>9300</v>
      </c>
      <c r="Z552" t="s">
        <v>9311</v>
      </c>
      <c r="AF552" t="s">
        <v>4714</v>
      </c>
      <c r="AG552" t="s">
        <v>9433</v>
      </c>
      <c r="AI552" t="s">
        <v>6955</v>
      </c>
      <c r="AJ552" s="424" t="str">
        <f t="shared" si="24"/>
        <v>332203</v>
      </c>
      <c r="AK552" s="28">
        <v>1</v>
      </c>
      <c r="AL552" s="28">
        <f t="shared" si="26"/>
        <v>1</v>
      </c>
      <c r="AM552" s="28" t="str">
        <f t="shared" si="25"/>
        <v>agora</v>
      </c>
    </row>
    <row r="553" spans="1:39" x14ac:dyDescent="0.25">
      <c r="A553" t="s">
        <v>10383</v>
      </c>
      <c r="B553" t="s">
        <v>10384</v>
      </c>
      <c r="C553" t="s">
        <v>17</v>
      </c>
      <c r="D553" s="27" t="s">
        <v>9835</v>
      </c>
      <c r="E553" t="s">
        <v>217</v>
      </c>
      <c r="F553" s="421">
        <v>1</v>
      </c>
      <c r="G553" t="s">
        <v>193</v>
      </c>
      <c r="H553" t="s">
        <v>194</v>
      </c>
      <c r="I553" t="s">
        <v>9491</v>
      </c>
      <c r="J553" t="s">
        <v>4751</v>
      </c>
      <c r="K553" t="s">
        <v>10385</v>
      </c>
      <c r="L553" t="s">
        <v>6249</v>
      </c>
      <c r="M553" t="s">
        <v>10618</v>
      </c>
      <c r="N553" t="s">
        <v>9603</v>
      </c>
      <c r="O553" t="s">
        <v>9604</v>
      </c>
      <c r="P553" t="s">
        <v>11514</v>
      </c>
      <c r="Q553" t="s">
        <v>11515</v>
      </c>
      <c r="S553" t="s">
        <v>9309</v>
      </c>
      <c r="T553" s="28" t="s">
        <v>9472</v>
      </c>
      <c r="U553" s="27" t="s">
        <v>624</v>
      </c>
      <c r="V553" t="s">
        <v>194</v>
      </c>
      <c r="W553" t="s">
        <v>9300</v>
      </c>
      <c r="Z553" t="s">
        <v>9311</v>
      </c>
      <c r="AF553" t="s">
        <v>4714</v>
      </c>
      <c r="AG553" t="s">
        <v>9433</v>
      </c>
      <c r="AI553" t="s">
        <v>6955</v>
      </c>
      <c r="AJ553" s="424" t="str">
        <f t="shared" si="24"/>
        <v>332203</v>
      </c>
      <c r="AK553" s="28">
        <v>1</v>
      </c>
      <c r="AL553" s="28">
        <f t="shared" si="26"/>
        <v>1</v>
      </c>
      <c r="AM553" s="28" t="str">
        <f t="shared" si="25"/>
        <v>agora</v>
      </c>
    </row>
    <row r="554" spans="1:39" x14ac:dyDescent="0.25">
      <c r="A554" t="s">
        <v>11516</v>
      </c>
      <c r="B554" t="s">
        <v>1488</v>
      </c>
      <c r="C554" t="s">
        <v>12</v>
      </c>
      <c r="D554" s="27" t="s">
        <v>9835</v>
      </c>
      <c r="E554" t="s">
        <v>192</v>
      </c>
      <c r="F554" s="421">
        <v>1</v>
      </c>
      <c r="G554" t="s">
        <v>193</v>
      </c>
      <c r="H554" t="s">
        <v>194</v>
      </c>
      <c r="I554" t="s">
        <v>9461</v>
      </c>
      <c r="J554" t="s">
        <v>9302</v>
      </c>
      <c r="K554" t="s">
        <v>11517</v>
      </c>
      <c r="L554" t="s">
        <v>6324</v>
      </c>
      <c r="M554" t="s">
        <v>11283</v>
      </c>
      <c r="N554" t="s">
        <v>10045</v>
      </c>
      <c r="O554" t="s">
        <v>9369</v>
      </c>
      <c r="P554" t="s">
        <v>11518</v>
      </c>
      <c r="Q554" t="s">
        <v>11519</v>
      </c>
      <c r="S554" t="s">
        <v>9309</v>
      </c>
      <c r="U554" s="27" t="s">
        <v>220</v>
      </c>
      <c r="V554" t="s">
        <v>193</v>
      </c>
      <c r="W554" t="s">
        <v>9310</v>
      </c>
      <c r="Z554" t="s">
        <v>9311</v>
      </c>
      <c r="AF554" t="s">
        <v>4714</v>
      </c>
      <c r="AG554" t="s">
        <v>12</v>
      </c>
      <c r="AI554" t="s">
        <v>6955</v>
      </c>
      <c r="AJ554" s="424" t="str">
        <f t="shared" si="24"/>
        <v>132301</v>
      </c>
      <c r="AK554" s="28">
        <v>1</v>
      </c>
      <c r="AL554" s="28">
        <f t="shared" si="26"/>
        <v>1</v>
      </c>
      <c r="AM554" s="28" t="str">
        <f t="shared" si="25"/>
        <v>pracuj.pl</v>
      </c>
    </row>
    <row r="555" spans="1:39" x14ac:dyDescent="0.25">
      <c r="A555" t="s">
        <v>11516</v>
      </c>
      <c r="B555" t="s">
        <v>11520</v>
      </c>
      <c r="C555" t="s">
        <v>63</v>
      </c>
      <c r="D555" s="27" t="s">
        <v>9835</v>
      </c>
      <c r="E555" t="s">
        <v>192</v>
      </c>
      <c r="F555" s="421">
        <v>1</v>
      </c>
      <c r="G555" t="s">
        <v>193</v>
      </c>
      <c r="H555" t="s">
        <v>194</v>
      </c>
      <c r="I555" t="s">
        <v>10529</v>
      </c>
      <c r="J555" t="s">
        <v>9302</v>
      </c>
      <c r="K555" t="s">
        <v>11521</v>
      </c>
      <c r="L555" t="s">
        <v>6324</v>
      </c>
      <c r="M555" t="s">
        <v>10519</v>
      </c>
      <c r="N555" t="s">
        <v>10045</v>
      </c>
      <c r="O555" t="s">
        <v>9369</v>
      </c>
      <c r="P555" t="s">
        <v>11522</v>
      </c>
      <c r="Q555" t="s">
        <v>11523</v>
      </c>
      <c r="S555" t="s">
        <v>9309</v>
      </c>
      <c r="U555" s="27" t="s">
        <v>2104</v>
      </c>
      <c r="V555" t="s">
        <v>193</v>
      </c>
      <c r="W555" t="s">
        <v>9310</v>
      </c>
      <c r="Z555" t="s">
        <v>9311</v>
      </c>
      <c r="AF555" t="s">
        <v>4714</v>
      </c>
      <c r="AG555" t="s">
        <v>11520</v>
      </c>
      <c r="AI555" t="s">
        <v>6955</v>
      </c>
      <c r="AJ555" s="424" t="str">
        <f t="shared" si="24"/>
        <v>311201</v>
      </c>
      <c r="AK555" s="28">
        <v>1</v>
      </c>
      <c r="AL555" s="28">
        <f t="shared" si="26"/>
        <v>1</v>
      </c>
      <c r="AM555" s="28" t="str">
        <f t="shared" si="25"/>
        <v>pracuj.pl</v>
      </c>
    </row>
    <row r="556" spans="1:39" x14ac:dyDescent="0.25">
      <c r="A556" t="s">
        <v>11524</v>
      </c>
      <c r="B556" t="s">
        <v>11525</v>
      </c>
      <c r="C556" t="s">
        <v>542</v>
      </c>
      <c r="D556" s="27" t="s">
        <v>9835</v>
      </c>
      <c r="E556" t="s">
        <v>192</v>
      </c>
      <c r="F556" s="421">
        <v>1</v>
      </c>
      <c r="G556" t="s">
        <v>193</v>
      </c>
      <c r="H556" t="s">
        <v>194</v>
      </c>
      <c r="I556" t="s">
        <v>10529</v>
      </c>
      <c r="J556" t="s">
        <v>9302</v>
      </c>
      <c r="K556" t="s">
        <v>11526</v>
      </c>
      <c r="L556" t="s">
        <v>6286</v>
      </c>
      <c r="M556" t="s">
        <v>10519</v>
      </c>
      <c r="N556" t="s">
        <v>10045</v>
      </c>
      <c r="O556" t="s">
        <v>9369</v>
      </c>
      <c r="P556" t="s">
        <v>11527</v>
      </c>
      <c r="Q556" t="s">
        <v>11528</v>
      </c>
      <c r="S556" t="s">
        <v>9309</v>
      </c>
      <c r="U556" s="27" t="s">
        <v>543</v>
      </c>
      <c r="V556" t="s">
        <v>193</v>
      </c>
      <c r="W556" t="s">
        <v>9310</v>
      </c>
      <c r="Z556" t="s">
        <v>9311</v>
      </c>
      <c r="AF556" t="s">
        <v>4714</v>
      </c>
      <c r="AG556" t="s">
        <v>11525</v>
      </c>
      <c r="AI556" t="s">
        <v>6955</v>
      </c>
      <c r="AJ556" s="424" t="str">
        <f t="shared" si="24"/>
        <v>264304</v>
      </c>
      <c r="AK556" s="28">
        <v>1</v>
      </c>
      <c r="AL556" s="28">
        <f t="shared" si="26"/>
        <v>1</v>
      </c>
      <c r="AM556" s="28" t="str">
        <f t="shared" si="25"/>
        <v>pracuj.pl</v>
      </c>
    </row>
    <row r="557" spans="1:39" x14ac:dyDescent="0.25">
      <c r="A557" t="s">
        <v>9522</v>
      </c>
      <c r="B557" t="s">
        <v>10772</v>
      </c>
      <c r="C557" t="s">
        <v>10</v>
      </c>
      <c r="D557" s="27" t="s">
        <v>9437</v>
      </c>
      <c r="E557" t="s">
        <v>217</v>
      </c>
      <c r="F557" s="421">
        <v>1</v>
      </c>
      <c r="G557" t="s">
        <v>193</v>
      </c>
      <c r="H557" t="s">
        <v>194</v>
      </c>
      <c r="I557" t="s">
        <v>9491</v>
      </c>
      <c r="J557" t="s">
        <v>210</v>
      </c>
      <c r="K557" t="s">
        <v>10773</v>
      </c>
      <c r="L557" t="s">
        <v>6261</v>
      </c>
      <c r="M557" t="s">
        <v>11702</v>
      </c>
      <c r="N557" t="s">
        <v>9526</v>
      </c>
      <c r="O557" t="s">
        <v>10767</v>
      </c>
      <c r="P557" t="s">
        <v>11777</v>
      </c>
      <c r="Q557" t="s">
        <v>11778</v>
      </c>
      <c r="S557" t="s">
        <v>9309</v>
      </c>
      <c r="T557" s="28" t="s">
        <v>9334</v>
      </c>
      <c r="U557" s="27" t="s">
        <v>484</v>
      </c>
      <c r="V557" t="s">
        <v>194</v>
      </c>
      <c r="W557" t="s">
        <v>9300</v>
      </c>
      <c r="Z557" t="s">
        <v>9311</v>
      </c>
      <c r="AF557" t="s">
        <v>4714</v>
      </c>
      <c r="AG557" t="s">
        <v>9433</v>
      </c>
      <c r="AI557" t="s">
        <v>6955</v>
      </c>
      <c r="AJ557" s="424" t="str">
        <f t="shared" si="24"/>
        <v>251401</v>
      </c>
      <c r="AK557" s="28">
        <v>1</v>
      </c>
      <c r="AL557" s="28">
        <f t="shared" si="26"/>
        <v>1</v>
      </c>
      <c r="AM557" s="28" t="str">
        <f t="shared" si="25"/>
        <v>agora</v>
      </c>
    </row>
    <row r="558" spans="1:39" x14ac:dyDescent="0.25">
      <c r="A558" t="s">
        <v>9522</v>
      </c>
      <c r="B558" t="s">
        <v>10772</v>
      </c>
      <c r="C558" t="s">
        <v>10</v>
      </c>
      <c r="D558" s="27" t="s">
        <v>9437</v>
      </c>
      <c r="E558" t="s">
        <v>217</v>
      </c>
      <c r="F558" s="421">
        <v>1</v>
      </c>
      <c r="G558" t="s">
        <v>193</v>
      </c>
      <c r="H558" t="s">
        <v>194</v>
      </c>
      <c r="I558" t="s">
        <v>9491</v>
      </c>
      <c r="J558" t="s">
        <v>210</v>
      </c>
      <c r="K558" t="s">
        <v>10776</v>
      </c>
      <c r="L558" t="s">
        <v>6261</v>
      </c>
      <c r="M558" t="s">
        <v>11702</v>
      </c>
      <c r="N558" t="s">
        <v>9526</v>
      </c>
      <c r="O558" t="s">
        <v>9305</v>
      </c>
      <c r="P558" t="s">
        <v>11779</v>
      </c>
      <c r="Q558" t="s">
        <v>11780</v>
      </c>
      <c r="S558" t="s">
        <v>9309</v>
      </c>
      <c r="T558" s="28" t="s">
        <v>9334</v>
      </c>
      <c r="U558" s="27" t="s">
        <v>484</v>
      </c>
      <c r="V558" t="s">
        <v>194</v>
      </c>
      <c r="W558" t="s">
        <v>9300</v>
      </c>
      <c r="Z558" t="s">
        <v>9311</v>
      </c>
      <c r="AF558" t="s">
        <v>4714</v>
      </c>
      <c r="AG558" t="s">
        <v>9433</v>
      </c>
      <c r="AI558" t="s">
        <v>6955</v>
      </c>
      <c r="AJ558" s="424" t="str">
        <f t="shared" si="24"/>
        <v>251401</v>
      </c>
      <c r="AK558" s="28">
        <v>1</v>
      </c>
      <c r="AL558" s="28">
        <f t="shared" si="26"/>
        <v>1</v>
      </c>
      <c r="AM558" s="28" t="str">
        <f t="shared" si="25"/>
        <v>agora</v>
      </c>
    </row>
    <row r="559" spans="1:39" x14ac:dyDescent="0.25">
      <c r="A559" t="s">
        <v>11537</v>
      </c>
      <c r="B559" t="s">
        <v>11538</v>
      </c>
      <c r="C559" t="s">
        <v>101</v>
      </c>
      <c r="D559" s="27" t="s">
        <v>9835</v>
      </c>
      <c r="E559" t="s">
        <v>192</v>
      </c>
      <c r="F559" s="421">
        <v>1</v>
      </c>
      <c r="G559" t="s">
        <v>193</v>
      </c>
      <c r="H559" t="s">
        <v>194</v>
      </c>
      <c r="I559" t="s">
        <v>10529</v>
      </c>
      <c r="J559" t="s">
        <v>9302</v>
      </c>
      <c r="K559" t="s">
        <v>11539</v>
      </c>
      <c r="L559" t="s">
        <v>6286</v>
      </c>
      <c r="M559" t="s">
        <v>10519</v>
      </c>
      <c r="N559" t="s">
        <v>10045</v>
      </c>
      <c r="O559" t="s">
        <v>9369</v>
      </c>
      <c r="P559" t="s">
        <v>11540</v>
      </c>
      <c r="Q559" t="s">
        <v>11541</v>
      </c>
      <c r="S559" t="s">
        <v>9309</v>
      </c>
      <c r="U559" s="27" t="s">
        <v>519</v>
      </c>
      <c r="V559" t="s">
        <v>193</v>
      </c>
      <c r="W559" t="s">
        <v>9310</v>
      </c>
      <c r="Z559" t="s">
        <v>9311</v>
      </c>
      <c r="AF559" t="s">
        <v>4714</v>
      </c>
      <c r="AG559" t="s">
        <v>11538</v>
      </c>
      <c r="AI559" t="s">
        <v>6955</v>
      </c>
      <c r="AJ559" s="424" t="str">
        <f t="shared" si="24"/>
        <v>261103</v>
      </c>
      <c r="AK559" s="28">
        <v>1</v>
      </c>
      <c r="AL559" s="28">
        <f t="shared" si="26"/>
        <v>1</v>
      </c>
      <c r="AM559" s="28" t="str">
        <f t="shared" si="25"/>
        <v>pracuj.pl</v>
      </c>
    </row>
    <row r="560" spans="1:39" x14ac:dyDescent="0.25">
      <c r="A560" t="s">
        <v>11542</v>
      </c>
      <c r="B560" t="s">
        <v>11543</v>
      </c>
      <c r="C560" t="s">
        <v>11544</v>
      </c>
      <c r="D560" s="27" t="s">
        <v>9835</v>
      </c>
      <c r="E560" t="s">
        <v>192</v>
      </c>
      <c r="F560" s="421">
        <v>1</v>
      </c>
      <c r="G560" t="s">
        <v>193</v>
      </c>
      <c r="H560" t="s">
        <v>194</v>
      </c>
      <c r="I560" t="s">
        <v>9461</v>
      </c>
      <c r="J560" t="s">
        <v>672</v>
      </c>
      <c r="K560" t="s">
        <v>11545</v>
      </c>
      <c r="L560" t="s">
        <v>6275</v>
      </c>
      <c r="M560" t="s">
        <v>11283</v>
      </c>
      <c r="N560" t="s">
        <v>10045</v>
      </c>
      <c r="O560" t="s">
        <v>9369</v>
      </c>
      <c r="P560" t="s">
        <v>11546</v>
      </c>
      <c r="Q560" t="s">
        <v>11547</v>
      </c>
      <c r="S560" t="s">
        <v>9309</v>
      </c>
      <c r="T560" s="28" t="s">
        <v>9726</v>
      </c>
      <c r="U560" s="27" t="s">
        <v>11548</v>
      </c>
      <c r="V560" t="s">
        <v>194</v>
      </c>
      <c r="W560" t="s">
        <v>9300</v>
      </c>
      <c r="Z560" t="s">
        <v>9311</v>
      </c>
      <c r="AF560" t="s">
        <v>4714</v>
      </c>
      <c r="AG560" t="s">
        <v>11544</v>
      </c>
      <c r="AI560" t="s">
        <v>6955</v>
      </c>
      <c r="AJ560" s="424" t="str">
        <f t="shared" si="24"/>
        <v>752208</v>
      </c>
      <c r="AK560" s="28">
        <v>1</v>
      </c>
      <c r="AL560" s="28">
        <f t="shared" si="26"/>
        <v>1</v>
      </c>
      <c r="AM560" s="28" t="str">
        <f t="shared" si="25"/>
        <v>pracuj.pl</v>
      </c>
    </row>
    <row r="561" spans="1:39" x14ac:dyDescent="0.25">
      <c r="A561" t="s">
        <v>11549</v>
      </c>
      <c r="B561" t="s">
        <v>11550</v>
      </c>
      <c r="C561" t="s">
        <v>17</v>
      </c>
      <c r="D561" s="27" t="s">
        <v>9835</v>
      </c>
      <c r="E561" t="s">
        <v>217</v>
      </c>
      <c r="F561" s="421">
        <v>1</v>
      </c>
      <c r="G561" t="s">
        <v>193</v>
      </c>
      <c r="H561" t="s">
        <v>194</v>
      </c>
      <c r="I561" t="s">
        <v>10529</v>
      </c>
      <c r="J561" t="s">
        <v>210</v>
      </c>
      <c r="K561" t="s">
        <v>11551</v>
      </c>
      <c r="L561" t="s">
        <v>6249</v>
      </c>
      <c r="M561" t="s">
        <v>10618</v>
      </c>
      <c r="N561" t="s">
        <v>9938</v>
      </c>
      <c r="O561" t="s">
        <v>9486</v>
      </c>
      <c r="P561" t="s">
        <v>11552</v>
      </c>
      <c r="Q561" t="s">
        <v>11553</v>
      </c>
      <c r="S561" t="s">
        <v>9309</v>
      </c>
      <c r="T561" s="28" t="s">
        <v>9334</v>
      </c>
      <c r="U561" s="27" t="s">
        <v>624</v>
      </c>
      <c r="V561" t="s">
        <v>194</v>
      </c>
      <c r="W561" t="s">
        <v>9300</v>
      </c>
      <c r="Z561" t="s">
        <v>9311</v>
      </c>
      <c r="AF561" t="s">
        <v>4714</v>
      </c>
      <c r="AG561" t="s">
        <v>9433</v>
      </c>
      <c r="AI561" t="s">
        <v>6955</v>
      </c>
      <c r="AJ561" s="424" t="str">
        <f t="shared" si="24"/>
        <v>332203</v>
      </c>
      <c r="AK561" s="28">
        <v>1</v>
      </c>
      <c r="AL561" s="28">
        <f t="shared" si="26"/>
        <v>1</v>
      </c>
      <c r="AM561" s="28" t="str">
        <f t="shared" si="25"/>
        <v>agora</v>
      </c>
    </row>
    <row r="562" spans="1:39" x14ac:dyDescent="0.25">
      <c r="A562" t="s">
        <v>11554</v>
      </c>
      <c r="B562" t="s">
        <v>632</v>
      </c>
      <c r="C562" t="s">
        <v>17</v>
      </c>
      <c r="D562" s="27" t="s">
        <v>9835</v>
      </c>
      <c r="E562" t="s">
        <v>192</v>
      </c>
      <c r="F562" s="421">
        <v>1</v>
      </c>
      <c r="G562" t="s">
        <v>193</v>
      </c>
      <c r="H562" t="s">
        <v>194</v>
      </c>
      <c r="I562" t="s">
        <v>9461</v>
      </c>
      <c r="J562" t="s">
        <v>9302</v>
      </c>
      <c r="K562" t="s">
        <v>11555</v>
      </c>
      <c r="L562" t="s">
        <v>6245</v>
      </c>
      <c r="M562" t="s">
        <v>11283</v>
      </c>
      <c r="N562" t="s">
        <v>10045</v>
      </c>
      <c r="O562" t="s">
        <v>9369</v>
      </c>
      <c r="P562" t="s">
        <v>11556</v>
      </c>
      <c r="Q562" t="s">
        <v>11557</v>
      </c>
      <c r="S562" t="s">
        <v>9309</v>
      </c>
      <c r="U562" s="27" t="s">
        <v>624</v>
      </c>
      <c r="V562" t="s">
        <v>193</v>
      </c>
      <c r="W562" t="s">
        <v>9310</v>
      </c>
      <c r="Z562" t="s">
        <v>9311</v>
      </c>
      <c r="AF562" t="s">
        <v>4714</v>
      </c>
      <c r="AG562" t="s">
        <v>17</v>
      </c>
      <c r="AI562" t="s">
        <v>6955</v>
      </c>
      <c r="AJ562" s="424" t="str">
        <f t="shared" si="24"/>
        <v>332203</v>
      </c>
      <c r="AK562" s="28">
        <v>1</v>
      </c>
      <c r="AL562" s="28">
        <f t="shared" si="26"/>
        <v>1</v>
      </c>
      <c r="AM562" s="28" t="str">
        <f t="shared" si="25"/>
        <v>pracuj.pl</v>
      </c>
    </row>
    <row r="563" spans="1:39" x14ac:dyDescent="0.25">
      <c r="A563" t="s">
        <v>11558</v>
      </c>
      <c r="B563" t="s">
        <v>1234</v>
      </c>
      <c r="C563" t="s">
        <v>86</v>
      </c>
      <c r="D563" s="27" t="s">
        <v>9835</v>
      </c>
      <c r="E563" t="s">
        <v>192</v>
      </c>
      <c r="F563" s="421">
        <v>1</v>
      </c>
      <c r="G563" t="s">
        <v>193</v>
      </c>
      <c r="H563" t="s">
        <v>194</v>
      </c>
      <c r="I563" t="s">
        <v>10529</v>
      </c>
      <c r="J563" t="s">
        <v>8129</v>
      </c>
      <c r="K563" t="s">
        <v>11559</v>
      </c>
      <c r="L563" t="s">
        <v>6254</v>
      </c>
      <c r="M563" t="s">
        <v>10519</v>
      </c>
      <c r="N563" t="s">
        <v>10045</v>
      </c>
      <c r="O563" t="s">
        <v>9369</v>
      </c>
      <c r="P563" t="s">
        <v>11560</v>
      </c>
      <c r="Q563" t="s">
        <v>11561</v>
      </c>
      <c r="S563" t="s">
        <v>9309</v>
      </c>
      <c r="T563" s="28" t="s">
        <v>9726</v>
      </c>
      <c r="U563" s="27" t="s">
        <v>1107</v>
      </c>
      <c r="V563" t="s">
        <v>194</v>
      </c>
      <c r="W563" t="s">
        <v>9300</v>
      </c>
      <c r="Z563" t="s">
        <v>9311</v>
      </c>
      <c r="AF563" t="s">
        <v>4714</v>
      </c>
      <c r="AG563" t="s">
        <v>1234</v>
      </c>
      <c r="AI563" t="s">
        <v>6955</v>
      </c>
      <c r="AJ563" s="424" t="str">
        <f t="shared" si="24"/>
        <v>121101</v>
      </c>
      <c r="AK563" s="28">
        <v>1</v>
      </c>
      <c r="AL563" s="28">
        <f t="shared" si="26"/>
        <v>1</v>
      </c>
      <c r="AM563" s="28" t="str">
        <f t="shared" si="25"/>
        <v>pracuj.pl</v>
      </c>
    </row>
    <row r="564" spans="1:39" x14ac:dyDescent="0.25">
      <c r="A564" t="s">
        <v>11562</v>
      </c>
      <c r="B564" t="s">
        <v>11563</v>
      </c>
      <c r="C564" t="s">
        <v>778</v>
      </c>
      <c r="D564" s="27" t="s">
        <v>9835</v>
      </c>
      <c r="E564" t="s">
        <v>192</v>
      </c>
      <c r="F564" s="421">
        <v>1</v>
      </c>
      <c r="G564" t="s">
        <v>193</v>
      </c>
      <c r="H564" t="s">
        <v>194</v>
      </c>
      <c r="I564" t="s">
        <v>9369</v>
      </c>
      <c r="J564" t="s">
        <v>9302</v>
      </c>
      <c r="K564" t="s">
        <v>11564</v>
      </c>
      <c r="L564" t="s">
        <v>6245</v>
      </c>
      <c r="M564" t="s">
        <v>10519</v>
      </c>
      <c r="N564" t="s">
        <v>10045</v>
      </c>
      <c r="O564" t="s">
        <v>9369</v>
      </c>
      <c r="P564" t="s">
        <v>11565</v>
      </c>
      <c r="Q564" t="s">
        <v>11566</v>
      </c>
      <c r="S564" t="s">
        <v>9309</v>
      </c>
      <c r="U564" s="27" t="s">
        <v>779</v>
      </c>
      <c r="V564" t="s">
        <v>193</v>
      </c>
      <c r="W564" t="s">
        <v>9310</v>
      </c>
      <c r="Z564" t="s">
        <v>9311</v>
      </c>
      <c r="AF564" t="s">
        <v>4714</v>
      </c>
      <c r="AG564" t="s">
        <v>11563</v>
      </c>
      <c r="AI564" t="s">
        <v>6955</v>
      </c>
      <c r="AJ564" s="424" t="str">
        <f t="shared" si="24"/>
        <v>524902</v>
      </c>
      <c r="AK564" s="28">
        <v>1</v>
      </c>
      <c r="AL564" s="28">
        <f t="shared" si="26"/>
        <v>1</v>
      </c>
      <c r="AM564" s="28" t="str">
        <f t="shared" si="25"/>
        <v>pracuj.pl</v>
      </c>
    </row>
    <row r="565" spans="1:39" x14ac:dyDescent="0.25">
      <c r="A565" t="s">
        <v>11567</v>
      </c>
      <c r="B565" t="s">
        <v>11568</v>
      </c>
      <c r="C565" t="s">
        <v>778</v>
      </c>
      <c r="D565" s="27" t="s">
        <v>9835</v>
      </c>
      <c r="E565" t="s">
        <v>192</v>
      </c>
      <c r="F565" s="421">
        <v>1</v>
      </c>
      <c r="G565" t="s">
        <v>193</v>
      </c>
      <c r="H565" t="s">
        <v>194</v>
      </c>
      <c r="I565" t="s">
        <v>9369</v>
      </c>
      <c r="J565" t="s">
        <v>9302</v>
      </c>
      <c r="K565" t="s">
        <v>11569</v>
      </c>
      <c r="L565" t="s">
        <v>6245</v>
      </c>
      <c r="M565" t="s">
        <v>10519</v>
      </c>
      <c r="N565" t="s">
        <v>10045</v>
      </c>
      <c r="O565" t="s">
        <v>9318</v>
      </c>
      <c r="P565" t="s">
        <v>11570</v>
      </c>
      <c r="Q565" t="s">
        <v>11571</v>
      </c>
      <c r="S565" t="s">
        <v>9309</v>
      </c>
      <c r="U565" s="27" t="s">
        <v>779</v>
      </c>
      <c r="V565" t="s">
        <v>193</v>
      </c>
      <c r="W565" t="s">
        <v>9310</v>
      </c>
      <c r="Z565" t="s">
        <v>9311</v>
      </c>
      <c r="AF565" t="s">
        <v>4714</v>
      </c>
      <c r="AG565" t="s">
        <v>11568</v>
      </c>
      <c r="AI565" t="s">
        <v>6955</v>
      </c>
      <c r="AJ565" s="424" t="str">
        <f t="shared" si="24"/>
        <v>524902</v>
      </c>
      <c r="AK565" s="28">
        <v>1</v>
      </c>
      <c r="AL565" s="28">
        <f t="shared" si="26"/>
        <v>1</v>
      </c>
      <c r="AM565" s="28" t="str">
        <f t="shared" si="25"/>
        <v>pracuj.pl</v>
      </c>
    </row>
    <row r="566" spans="1:39" x14ac:dyDescent="0.25">
      <c r="A566" t="s">
        <v>10472</v>
      </c>
      <c r="B566" t="s">
        <v>10473</v>
      </c>
      <c r="C566" t="s">
        <v>778</v>
      </c>
      <c r="D566" s="27" t="s">
        <v>9835</v>
      </c>
      <c r="E566" t="s">
        <v>217</v>
      </c>
      <c r="F566" s="421">
        <v>1</v>
      </c>
      <c r="G566" t="s">
        <v>193</v>
      </c>
      <c r="H566" t="s">
        <v>194</v>
      </c>
      <c r="I566" t="s">
        <v>9369</v>
      </c>
      <c r="J566" t="s">
        <v>8527</v>
      </c>
      <c r="K566" t="s">
        <v>10474</v>
      </c>
      <c r="L566" t="s">
        <v>6249</v>
      </c>
      <c r="M566" t="s">
        <v>10618</v>
      </c>
      <c r="N566" t="s">
        <v>10045</v>
      </c>
      <c r="O566" t="s">
        <v>9491</v>
      </c>
      <c r="P566" t="s">
        <v>11572</v>
      </c>
      <c r="Q566" t="s">
        <v>11573</v>
      </c>
      <c r="S566" t="s">
        <v>9309</v>
      </c>
      <c r="U566" s="27" t="s">
        <v>779</v>
      </c>
      <c r="V566" t="s">
        <v>193</v>
      </c>
      <c r="W566" t="s">
        <v>9310</v>
      </c>
      <c r="Z566" t="s">
        <v>9311</v>
      </c>
      <c r="AF566" t="s">
        <v>4714</v>
      </c>
      <c r="AG566" t="s">
        <v>9433</v>
      </c>
      <c r="AI566" t="s">
        <v>6955</v>
      </c>
      <c r="AJ566" s="424" t="str">
        <f t="shared" si="24"/>
        <v>524902</v>
      </c>
      <c r="AK566" s="28">
        <v>1</v>
      </c>
      <c r="AL566" s="28">
        <f t="shared" si="26"/>
        <v>1</v>
      </c>
      <c r="AM566" s="28" t="str">
        <f t="shared" si="25"/>
        <v>agora</v>
      </c>
    </row>
    <row r="567" spans="1:39" x14ac:dyDescent="0.25">
      <c r="A567" t="s">
        <v>11574</v>
      </c>
      <c r="B567" t="s">
        <v>632</v>
      </c>
      <c r="C567" t="s">
        <v>17</v>
      </c>
      <c r="D567" s="27" t="s">
        <v>9835</v>
      </c>
      <c r="E567" t="s">
        <v>192</v>
      </c>
      <c r="F567" s="421">
        <v>1</v>
      </c>
      <c r="G567" t="s">
        <v>193</v>
      </c>
      <c r="H567" t="s">
        <v>194</v>
      </c>
      <c r="I567" t="s">
        <v>9461</v>
      </c>
      <c r="J567" t="s">
        <v>399</v>
      </c>
      <c r="K567" t="s">
        <v>11575</v>
      </c>
      <c r="L567" t="s">
        <v>6251</v>
      </c>
      <c r="M567" t="s">
        <v>11283</v>
      </c>
      <c r="N567" t="s">
        <v>10045</v>
      </c>
      <c r="O567" t="s">
        <v>9369</v>
      </c>
      <c r="P567" t="s">
        <v>11576</v>
      </c>
      <c r="Q567" t="s">
        <v>11577</v>
      </c>
      <c r="S567" t="s">
        <v>9309</v>
      </c>
      <c r="T567" s="28" t="s">
        <v>11135</v>
      </c>
      <c r="U567" s="27" t="s">
        <v>624</v>
      </c>
      <c r="V567" t="s">
        <v>194</v>
      </c>
      <c r="W567" t="s">
        <v>9300</v>
      </c>
      <c r="Z567" t="s">
        <v>9311</v>
      </c>
      <c r="AF567" t="s">
        <v>4714</v>
      </c>
      <c r="AG567" t="s">
        <v>17</v>
      </c>
      <c r="AI567" t="s">
        <v>6955</v>
      </c>
      <c r="AJ567" s="424" t="str">
        <f t="shared" si="24"/>
        <v>332203</v>
      </c>
      <c r="AK567" s="28">
        <v>1</v>
      </c>
      <c r="AL567" s="28">
        <f t="shared" si="26"/>
        <v>1</v>
      </c>
      <c r="AM567" s="28" t="str">
        <f t="shared" si="25"/>
        <v>pracuj.pl</v>
      </c>
    </row>
    <row r="568" spans="1:39" x14ac:dyDescent="0.25">
      <c r="A568" t="s">
        <v>11578</v>
      </c>
      <c r="B568" t="s">
        <v>11579</v>
      </c>
      <c r="C568" t="s">
        <v>17</v>
      </c>
      <c r="D568" s="27" t="s">
        <v>9835</v>
      </c>
      <c r="E568" t="s">
        <v>233</v>
      </c>
      <c r="F568" s="421">
        <v>1</v>
      </c>
      <c r="G568" t="s">
        <v>193</v>
      </c>
      <c r="H568" t="s">
        <v>194</v>
      </c>
      <c r="I568" t="s">
        <v>9369</v>
      </c>
      <c r="J568" t="s">
        <v>210</v>
      </c>
      <c r="K568" t="s">
        <v>11580</v>
      </c>
      <c r="L568" t="s">
        <v>6269</v>
      </c>
      <c r="M568" t="s">
        <v>10539</v>
      </c>
      <c r="N568" t="s">
        <v>9588</v>
      </c>
      <c r="O568" t="s">
        <v>9318</v>
      </c>
      <c r="P568" t="s">
        <v>11581</v>
      </c>
      <c r="Q568" t="s">
        <v>11582</v>
      </c>
      <c r="S568" t="s">
        <v>9309</v>
      </c>
      <c r="T568" s="28" t="s">
        <v>9334</v>
      </c>
      <c r="U568" s="27" t="s">
        <v>624</v>
      </c>
      <c r="V568" t="s">
        <v>194</v>
      </c>
      <c r="W568" t="s">
        <v>9300</v>
      </c>
      <c r="Z568" t="s">
        <v>9311</v>
      </c>
      <c r="AF568" t="s">
        <v>4714</v>
      </c>
      <c r="AG568" t="s">
        <v>11579</v>
      </c>
      <c r="AI568" t="s">
        <v>6955</v>
      </c>
      <c r="AJ568" s="424" t="str">
        <f t="shared" si="24"/>
        <v>332203</v>
      </c>
      <c r="AK568" s="28">
        <v>1</v>
      </c>
      <c r="AL568" s="28">
        <f t="shared" si="26"/>
        <v>1</v>
      </c>
      <c r="AM568" s="28" t="str">
        <f t="shared" si="25"/>
        <v>praca</v>
      </c>
    </row>
    <row r="569" spans="1:39" x14ac:dyDescent="0.25">
      <c r="A569" t="s">
        <v>1716</v>
      </c>
      <c r="B569" t="s">
        <v>11583</v>
      </c>
      <c r="C569" t="s">
        <v>35</v>
      </c>
      <c r="D569" s="27" t="s">
        <v>9835</v>
      </c>
      <c r="E569" t="s">
        <v>192</v>
      </c>
      <c r="F569" s="421">
        <v>1</v>
      </c>
      <c r="G569" t="s">
        <v>193</v>
      </c>
      <c r="H569" t="s">
        <v>194</v>
      </c>
      <c r="I569" t="s">
        <v>10546</v>
      </c>
      <c r="J569" t="s">
        <v>210</v>
      </c>
      <c r="K569" t="s">
        <v>11584</v>
      </c>
      <c r="L569" t="s">
        <v>6249</v>
      </c>
      <c r="M569" t="s">
        <v>10519</v>
      </c>
      <c r="N569" t="s">
        <v>10045</v>
      </c>
      <c r="O569" t="s">
        <v>9369</v>
      </c>
      <c r="P569" t="s">
        <v>11585</v>
      </c>
      <c r="Q569" t="s">
        <v>11586</v>
      </c>
      <c r="S569" t="s">
        <v>9309</v>
      </c>
      <c r="T569" s="28" t="s">
        <v>9334</v>
      </c>
      <c r="U569" s="27" t="s">
        <v>207</v>
      </c>
      <c r="V569" t="s">
        <v>194</v>
      </c>
      <c r="W569" t="s">
        <v>9300</v>
      </c>
      <c r="Z569" t="s">
        <v>9311</v>
      </c>
      <c r="AF569" t="s">
        <v>4714</v>
      </c>
      <c r="AG569" t="s">
        <v>11583</v>
      </c>
      <c r="AI569" t="s">
        <v>6955</v>
      </c>
      <c r="AJ569" s="424" t="str">
        <f t="shared" si="24"/>
        <v>122106</v>
      </c>
      <c r="AK569" s="28">
        <v>1</v>
      </c>
      <c r="AL569" s="28">
        <f t="shared" si="26"/>
        <v>1</v>
      </c>
      <c r="AM569" s="28" t="str">
        <f t="shared" si="25"/>
        <v>pracuj.pl</v>
      </c>
    </row>
    <row r="570" spans="1:39" x14ac:dyDescent="0.25">
      <c r="A570" t="s">
        <v>11587</v>
      </c>
      <c r="B570" t="s">
        <v>11588</v>
      </c>
      <c r="C570" t="s">
        <v>566</v>
      </c>
      <c r="D570" s="27" t="s">
        <v>9835</v>
      </c>
      <c r="E570" t="s">
        <v>192</v>
      </c>
      <c r="F570" s="421">
        <v>1</v>
      </c>
      <c r="G570" t="s">
        <v>193</v>
      </c>
      <c r="H570" t="s">
        <v>194</v>
      </c>
      <c r="I570" t="s">
        <v>10546</v>
      </c>
      <c r="J570" t="s">
        <v>323</v>
      </c>
      <c r="K570" t="s">
        <v>11589</v>
      </c>
      <c r="L570" t="s">
        <v>6266</v>
      </c>
      <c r="M570" t="s">
        <v>10519</v>
      </c>
      <c r="N570" t="s">
        <v>10045</v>
      </c>
      <c r="O570" t="s">
        <v>9369</v>
      </c>
      <c r="P570" t="s">
        <v>11590</v>
      </c>
      <c r="Q570" t="s">
        <v>11591</v>
      </c>
      <c r="S570" t="s">
        <v>9309</v>
      </c>
      <c r="T570" s="28" t="s">
        <v>9514</v>
      </c>
      <c r="U570" s="27" t="s">
        <v>567</v>
      </c>
      <c r="V570" t="s">
        <v>194</v>
      </c>
      <c r="W570" t="s">
        <v>9300</v>
      </c>
      <c r="Z570" t="s">
        <v>9311</v>
      </c>
      <c r="AF570" t="s">
        <v>4714</v>
      </c>
      <c r="AG570" t="s">
        <v>11588</v>
      </c>
      <c r="AI570" t="s">
        <v>6955</v>
      </c>
      <c r="AJ570" s="424" t="str">
        <f t="shared" si="24"/>
        <v>311504</v>
      </c>
      <c r="AK570" s="28">
        <v>1</v>
      </c>
      <c r="AL570" s="28">
        <f t="shared" si="26"/>
        <v>1</v>
      </c>
      <c r="AM570" s="28" t="str">
        <f t="shared" si="25"/>
        <v>pracuj.pl</v>
      </c>
    </row>
    <row r="571" spans="1:39" x14ac:dyDescent="0.25">
      <c r="A571" t="s">
        <v>10498</v>
      </c>
      <c r="B571" t="s">
        <v>11592</v>
      </c>
      <c r="C571" t="s">
        <v>85</v>
      </c>
      <c r="D571" s="27" t="s">
        <v>9835</v>
      </c>
      <c r="E571" t="s">
        <v>192</v>
      </c>
      <c r="F571" s="421">
        <v>1</v>
      </c>
      <c r="G571" t="s">
        <v>193</v>
      </c>
      <c r="H571" t="s">
        <v>194</v>
      </c>
      <c r="I571" t="s">
        <v>10529</v>
      </c>
      <c r="J571" t="s">
        <v>9302</v>
      </c>
      <c r="K571" t="s">
        <v>11593</v>
      </c>
      <c r="L571" t="s">
        <v>6302</v>
      </c>
      <c r="M571" t="s">
        <v>10519</v>
      </c>
      <c r="N571" t="s">
        <v>10045</v>
      </c>
      <c r="O571" t="s">
        <v>9369</v>
      </c>
      <c r="P571" t="s">
        <v>11594</v>
      </c>
      <c r="Q571" t="s">
        <v>11595</v>
      </c>
      <c r="S571" t="s">
        <v>9309</v>
      </c>
      <c r="U571" s="27" t="s">
        <v>477</v>
      </c>
      <c r="V571" t="s">
        <v>193</v>
      </c>
      <c r="W571" t="s">
        <v>9310</v>
      </c>
      <c r="Z571" t="s">
        <v>9311</v>
      </c>
      <c r="AF571" t="s">
        <v>4714</v>
      </c>
      <c r="AG571" t="s">
        <v>11592</v>
      </c>
      <c r="AI571" t="s">
        <v>6955</v>
      </c>
      <c r="AJ571" s="424" t="str">
        <f t="shared" si="24"/>
        <v>243305</v>
      </c>
      <c r="AK571" s="28">
        <v>1</v>
      </c>
      <c r="AL571" s="28">
        <f t="shared" si="26"/>
        <v>1</v>
      </c>
      <c r="AM571" s="28" t="str">
        <f t="shared" si="25"/>
        <v>pracuj.pl</v>
      </c>
    </row>
    <row r="572" spans="1:39" x14ac:dyDescent="0.25">
      <c r="A572" t="s">
        <v>10512</v>
      </c>
      <c r="B572" t="s">
        <v>10513</v>
      </c>
      <c r="C572" t="s">
        <v>554</v>
      </c>
      <c r="D572" s="27" t="s">
        <v>9835</v>
      </c>
      <c r="E572" t="s">
        <v>217</v>
      </c>
      <c r="F572" s="421">
        <v>1</v>
      </c>
      <c r="G572" t="s">
        <v>193</v>
      </c>
      <c r="H572" t="s">
        <v>194</v>
      </c>
      <c r="I572" t="s">
        <v>10529</v>
      </c>
      <c r="J572" t="s">
        <v>210</v>
      </c>
      <c r="K572" t="s">
        <v>10514</v>
      </c>
      <c r="L572" t="s">
        <v>6269</v>
      </c>
      <c r="M572" t="s">
        <v>10618</v>
      </c>
      <c r="N572" t="s">
        <v>10005</v>
      </c>
      <c r="O572" t="s">
        <v>9537</v>
      </c>
      <c r="P572" t="s">
        <v>11596</v>
      </c>
      <c r="Q572" t="s">
        <v>11597</v>
      </c>
      <c r="S572" t="s">
        <v>9309</v>
      </c>
      <c r="U572" s="27" t="s">
        <v>555</v>
      </c>
      <c r="V572" t="s">
        <v>193</v>
      </c>
      <c r="W572" t="s">
        <v>9310</v>
      </c>
      <c r="Z572" t="s">
        <v>9311</v>
      </c>
      <c r="AF572" t="s">
        <v>4714</v>
      </c>
      <c r="AG572" t="s">
        <v>9433</v>
      </c>
      <c r="AI572" t="s">
        <v>6955</v>
      </c>
      <c r="AJ572" s="424" t="str">
        <f t="shared" si="24"/>
        <v>311303</v>
      </c>
      <c r="AK572" s="28">
        <v>1</v>
      </c>
      <c r="AL572" s="28">
        <f t="shared" si="26"/>
        <v>1</v>
      </c>
      <c r="AM572" s="28" t="str">
        <f t="shared" si="25"/>
        <v>agora</v>
      </c>
    </row>
    <row r="573" spans="1:39" x14ac:dyDescent="0.25">
      <c r="A573" t="s">
        <v>7726</v>
      </c>
      <c r="B573" t="s">
        <v>921</v>
      </c>
      <c r="C573" t="s">
        <v>922</v>
      </c>
      <c r="D573" s="27" t="s">
        <v>9437</v>
      </c>
      <c r="E573" t="s">
        <v>192</v>
      </c>
      <c r="F573" s="421">
        <v>1</v>
      </c>
      <c r="G573" t="s">
        <v>193</v>
      </c>
      <c r="H573" t="s">
        <v>194</v>
      </c>
      <c r="I573" t="s">
        <v>9461</v>
      </c>
      <c r="J573" t="s">
        <v>253</v>
      </c>
      <c r="K573" t="s">
        <v>11598</v>
      </c>
      <c r="L573" t="s">
        <v>7531</v>
      </c>
      <c r="M573" t="s">
        <v>11599</v>
      </c>
      <c r="N573" t="s">
        <v>9536</v>
      </c>
      <c r="O573" t="s">
        <v>9461</v>
      </c>
      <c r="P573" t="s">
        <v>11600</v>
      </c>
      <c r="Q573" t="s">
        <v>11601</v>
      </c>
      <c r="S573" t="s">
        <v>9309</v>
      </c>
      <c r="T573" s="28" t="s">
        <v>9468</v>
      </c>
      <c r="U573" s="27" t="s">
        <v>923</v>
      </c>
      <c r="V573" t="s">
        <v>194</v>
      </c>
      <c r="W573" t="s">
        <v>9300</v>
      </c>
      <c r="Z573" t="s">
        <v>9311</v>
      </c>
      <c r="AF573" t="s">
        <v>4714</v>
      </c>
      <c r="AG573" t="s">
        <v>922</v>
      </c>
      <c r="AI573" t="s">
        <v>6955</v>
      </c>
      <c r="AJ573" s="424" t="str">
        <f t="shared" si="24"/>
        <v>112006</v>
      </c>
      <c r="AK573" s="28">
        <v>1</v>
      </c>
      <c r="AL573" s="28">
        <f t="shared" si="26"/>
        <v>1</v>
      </c>
      <c r="AM573" s="28" t="str">
        <f t="shared" si="25"/>
        <v>pracuj.pl</v>
      </c>
    </row>
    <row r="574" spans="1:39" x14ac:dyDescent="0.25">
      <c r="A574" t="s">
        <v>11602</v>
      </c>
      <c r="B574" t="s">
        <v>1985</v>
      </c>
      <c r="C574" t="s">
        <v>54</v>
      </c>
      <c r="D574" s="27" t="s">
        <v>9437</v>
      </c>
      <c r="E574" t="s">
        <v>192</v>
      </c>
      <c r="F574" s="421">
        <v>1</v>
      </c>
      <c r="G574" t="s">
        <v>193</v>
      </c>
      <c r="H574" t="s">
        <v>194</v>
      </c>
      <c r="I574" t="s">
        <v>9461</v>
      </c>
      <c r="J574" t="s">
        <v>316</v>
      </c>
      <c r="K574" t="s">
        <v>11603</v>
      </c>
      <c r="L574" t="s">
        <v>6363</v>
      </c>
      <c r="M574" t="s">
        <v>11604</v>
      </c>
      <c r="N574" t="s">
        <v>9536</v>
      </c>
      <c r="O574" t="s">
        <v>9461</v>
      </c>
      <c r="P574" t="s">
        <v>11605</v>
      </c>
      <c r="Q574" t="s">
        <v>11606</v>
      </c>
      <c r="S574" t="s">
        <v>9309</v>
      </c>
      <c r="T574" s="28" t="s">
        <v>10012</v>
      </c>
      <c r="U574" s="27" t="s">
        <v>1982</v>
      </c>
      <c r="V574" t="s">
        <v>194</v>
      </c>
      <c r="W574" t="s">
        <v>9300</v>
      </c>
      <c r="Z574" t="s">
        <v>9311</v>
      </c>
      <c r="AF574" t="s">
        <v>4714</v>
      </c>
      <c r="AG574" t="s">
        <v>1985</v>
      </c>
      <c r="AI574" t="s">
        <v>6955</v>
      </c>
      <c r="AJ574" s="424" t="str">
        <f t="shared" si="24"/>
        <v>214103</v>
      </c>
      <c r="AK574" s="28">
        <v>1</v>
      </c>
      <c r="AL574" s="28">
        <f t="shared" si="26"/>
        <v>1</v>
      </c>
      <c r="AM574" s="28" t="str">
        <f t="shared" si="25"/>
        <v>pracuj.pl</v>
      </c>
    </row>
    <row r="575" spans="1:39" x14ac:dyDescent="0.25">
      <c r="A575" t="s">
        <v>11602</v>
      </c>
      <c r="B575" t="s">
        <v>11607</v>
      </c>
      <c r="C575" t="s">
        <v>566</v>
      </c>
      <c r="D575" s="27" t="s">
        <v>9437</v>
      </c>
      <c r="E575" t="s">
        <v>192</v>
      </c>
      <c r="F575" s="421">
        <v>1</v>
      </c>
      <c r="G575" t="s">
        <v>193</v>
      </c>
      <c r="H575" t="s">
        <v>194</v>
      </c>
      <c r="I575" t="s">
        <v>11608</v>
      </c>
      <c r="J575" t="s">
        <v>316</v>
      </c>
      <c r="K575" t="s">
        <v>11609</v>
      </c>
      <c r="L575" t="s">
        <v>6275</v>
      </c>
      <c r="M575" t="s">
        <v>11604</v>
      </c>
      <c r="N575" t="s">
        <v>9536</v>
      </c>
      <c r="O575" t="s">
        <v>9461</v>
      </c>
      <c r="P575" t="s">
        <v>11610</v>
      </c>
      <c r="Q575" t="s">
        <v>11611</v>
      </c>
      <c r="S575" t="s">
        <v>9309</v>
      </c>
      <c r="T575" s="28" t="s">
        <v>10012</v>
      </c>
      <c r="U575" s="27" t="s">
        <v>567</v>
      </c>
      <c r="V575" t="s">
        <v>194</v>
      </c>
      <c r="W575" t="s">
        <v>9300</v>
      </c>
      <c r="Z575" t="s">
        <v>9311</v>
      </c>
      <c r="AF575" t="s">
        <v>4714</v>
      </c>
      <c r="AG575" t="s">
        <v>11607</v>
      </c>
      <c r="AI575" t="s">
        <v>6955</v>
      </c>
      <c r="AJ575" s="424" t="str">
        <f t="shared" si="24"/>
        <v>311504</v>
      </c>
      <c r="AK575" s="28">
        <v>1</v>
      </c>
      <c r="AL575" s="28">
        <f t="shared" si="26"/>
        <v>1</v>
      </c>
      <c r="AM575" s="28" t="str">
        <f t="shared" si="25"/>
        <v>pracuj.pl</v>
      </c>
    </row>
    <row r="576" spans="1:39" x14ac:dyDescent="0.25">
      <c r="A576" t="s">
        <v>9522</v>
      </c>
      <c r="B576" t="s">
        <v>9622</v>
      </c>
      <c r="C576" t="s">
        <v>10</v>
      </c>
      <c r="D576" s="27" t="s">
        <v>9437</v>
      </c>
      <c r="E576" t="s">
        <v>217</v>
      </c>
      <c r="F576" s="421">
        <v>2</v>
      </c>
      <c r="G576" t="s">
        <v>193</v>
      </c>
      <c r="H576" t="s">
        <v>194</v>
      </c>
      <c r="I576" t="s">
        <v>9430</v>
      </c>
      <c r="J576" t="s">
        <v>210</v>
      </c>
      <c r="K576" t="s">
        <v>10799</v>
      </c>
      <c r="L576" t="s">
        <v>6261</v>
      </c>
      <c r="M576" t="s">
        <v>11702</v>
      </c>
      <c r="N576" t="s">
        <v>9526</v>
      </c>
      <c r="O576" t="s">
        <v>9305</v>
      </c>
      <c r="P576" t="s">
        <v>11796</v>
      </c>
      <c r="Q576" t="s">
        <v>11797</v>
      </c>
      <c r="S576" t="s">
        <v>9309</v>
      </c>
      <c r="T576" s="28" t="s">
        <v>9334</v>
      </c>
      <c r="U576" s="27" t="s">
        <v>484</v>
      </c>
      <c r="V576" t="s">
        <v>194</v>
      </c>
      <c r="W576" t="s">
        <v>9300</v>
      </c>
      <c r="Z576" t="s">
        <v>9311</v>
      </c>
      <c r="AF576" t="s">
        <v>4714</v>
      </c>
      <c r="AG576" t="s">
        <v>9433</v>
      </c>
      <c r="AI576" t="s">
        <v>6955</v>
      </c>
      <c r="AJ576" s="424" t="str">
        <f t="shared" si="24"/>
        <v>251401</v>
      </c>
      <c r="AK576" s="28">
        <v>1</v>
      </c>
      <c r="AL576" s="28">
        <f t="shared" si="26"/>
        <v>2</v>
      </c>
      <c r="AM576" s="28" t="str">
        <f t="shared" si="25"/>
        <v>agora</v>
      </c>
    </row>
    <row r="577" spans="1:39" x14ac:dyDescent="0.25">
      <c r="A577" t="s">
        <v>9522</v>
      </c>
      <c r="B577" t="s">
        <v>9622</v>
      </c>
      <c r="C577" t="s">
        <v>10</v>
      </c>
      <c r="D577" s="27" t="s">
        <v>9437</v>
      </c>
      <c r="E577" t="s">
        <v>217</v>
      </c>
      <c r="F577" s="421">
        <v>1</v>
      </c>
      <c r="G577" t="s">
        <v>193</v>
      </c>
      <c r="H577" t="s">
        <v>194</v>
      </c>
      <c r="I577" t="s">
        <v>9430</v>
      </c>
      <c r="J577" t="s">
        <v>210</v>
      </c>
      <c r="K577" t="s">
        <v>11798</v>
      </c>
      <c r="L577" t="s">
        <v>6261</v>
      </c>
      <c r="M577" t="s">
        <v>11702</v>
      </c>
      <c r="N577" t="s">
        <v>9573</v>
      </c>
      <c r="O577" t="s">
        <v>9835</v>
      </c>
      <c r="P577" t="s">
        <v>11799</v>
      </c>
      <c r="Q577" t="s">
        <v>11800</v>
      </c>
      <c r="S577" t="s">
        <v>9309</v>
      </c>
      <c r="T577" s="28" t="s">
        <v>9334</v>
      </c>
      <c r="U577" s="27" t="s">
        <v>484</v>
      </c>
      <c r="V577" t="s">
        <v>194</v>
      </c>
      <c r="W577" t="s">
        <v>9300</v>
      </c>
      <c r="Z577" t="s">
        <v>9311</v>
      </c>
      <c r="AF577" t="s">
        <v>4714</v>
      </c>
      <c r="AG577" t="s">
        <v>9433</v>
      </c>
      <c r="AI577" t="s">
        <v>6955</v>
      </c>
      <c r="AJ577" s="424" t="str">
        <f t="shared" si="24"/>
        <v>251401</v>
      </c>
      <c r="AK577" s="28">
        <v>1</v>
      </c>
      <c r="AL577" s="28">
        <f t="shared" si="26"/>
        <v>1</v>
      </c>
      <c r="AM577" s="28" t="str">
        <f t="shared" si="25"/>
        <v>agora</v>
      </c>
    </row>
    <row r="578" spans="1:39" x14ac:dyDescent="0.25">
      <c r="A578" t="s">
        <v>9522</v>
      </c>
      <c r="B578" t="s">
        <v>9636</v>
      </c>
      <c r="C578" t="s">
        <v>10</v>
      </c>
      <c r="D578" s="27" t="s">
        <v>9437</v>
      </c>
      <c r="E578" t="s">
        <v>217</v>
      </c>
      <c r="F578" s="421">
        <v>1</v>
      </c>
      <c r="G578" t="s">
        <v>193</v>
      </c>
      <c r="H578" t="s">
        <v>194</v>
      </c>
      <c r="I578" t="s">
        <v>9430</v>
      </c>
      <c r="J578" t="s">
        <v>210</v>
      </c>
      <c r="K578" t="s">
        <v>9640</v>
      </c>
      <c r="L578" t="s">
        <v>6261</v>
      </c>
      <c r="M578" t="s">
        <v>11702</v>
      </c>
      <c r="N578" t="s">
        <v>9526</v>
      </c>
      <c r="O578" t="s">
        <v>9461</v>
      </c>
      <c r="P578" t="s">
        <v>11801</v>
      </c>
      <c r="Q578" t="s">
        <v>11802</v>
      </c>
      <c r="S578" t="s">
        <v>9309</v>
      </c>
      <c r="T578" s="28" t="s">
        <v>9334</v>
      </c>
      <c r="U578" s="27" t="s">
        <v>484</v>
      </c>
      <c r="V578" t="s">
        <v>194</v>
      </c>
      <c r="W578" t="s">
        <v>9300</v>
      </c>
      <c r="Z578" t="s">
        <v>9311</v>
      </c>
      <c r="AF578" t="s">
        <v>4714</v>
      </c>
      <c r="AG578" t="s">
        <v>9433</v>
      </c>
      <c r="AI578" t="s">
        <v>6955</v>
      </c>
      <c r="AJ578" s="424" t="str">
        <f t="shared" ref="AJ578:AJ641" si="27">MID(U578,8,6)</f>
        <v>251401</v>
      </c>
      <c r="AK578" s="28">
        <v>1</v>
      </c>
      <c r="AL578" s="28">
        <f t="shared" si="26"/>
        <v>1</v>
      </c>
      <c r="AM578" s="28" t="str">
        <f t="shared" ref="AM578:AM641" si="28">T(E578)</f>
        <v>agora</v>
      </c>
    </row>
    <row r="579" spans="1:39" x14ac:dyDescent="0.25">
      <c r="A579" t="s">
        <v>9522</v>
      </c>
      <c r="B579" t="s">
        <v>9636</v>
      </c>
      <c r="C579" t="s">
        <v>10</v>
      </c>
      <c r="D579" s="27" t="s">
        <v>9437</v>
      </c>
      <c r="E579" t="s">
        <v>217</v>
      </c>
      <c r="F579" s="421">
        <v>1</v>
      </c>
      <c r="G579" t="s">
        <v>193</v>
      </c>
      <c r="H579" t="s">
        <v>194</v>
      </c>
      <c r="I579" t="s">
        <v>9430</v>
      </c>
      <c r="J579" t="s">
        <v>210</v>
      </c>
      <c r="K579" t="s">
        <v>10810</v>
      </c>
      <c r="L579" t="s">
        <v>6261</v>
      </c>
      <c r="M579" t="s">
        <v>11702</v>
      </c>
      <c r="N579" t="s">
        <v>9526</v>
      </c>
      <c r="O579" t="s">
        <v>9305</v>
      </c>
      <c r="P579" t="s">
        <v>11803</v>
      </c>
      <c r="Q579" t="s">
        <v>11804</v>
      </c>
      <c r="S579" t="s">
        <v>9309</v>
      </c>
      <c r="T579" s="28" t="s">
        <v>9334</v>
      </c>
      <c r="U579" s="27" t="s">
        <v>484</v>
      </c>
      <c r="V579" t="s">
        <v>194</v>
      </c>
      <c r="W579" t="s">
        <v>9300</v>
      </c>
      <c r="Z579" t="s">
        <v>9311</v>
      </c>
      <c r="AF579" t="s">
        <v>4714</v>
      </c>
      <c r="AG579" t="s">
        <v>9433</v>
      </c>
      <c r="AI579" t="s">
        <v>6955</v>
      </c>
      <c r="AJ579" s="424" t="str">
        <f t="shared" si="27"/>
        <v>251401</v>
      </c>
      <c r="AK579" s="28">
        <v>1</v>
      </c>
      <c r="AL579" s="28">
        <f t="shared" ref="AL579:AL642" si="29">SUM(F579)</f>
        <v>1</v>
      </c>
      <c r="AM579" s="28" t="str">
        <f t="shared" si="28"/>
        <v>agora</v>
      </c>
    </row>
    <row r="580" spans="1:39" x14ac:dyDescent="0.25">
      <c r="A580" t="s">
        <v>9522</v>
      </c>
      <c r="B580" t="s">
        <v>9636</v>
      </c>
      <c r="C580" t="s">
        <v>10</v>
      </c>
      <c r="D580" s="27" t="s">
        <v>9437</v>
      </c>
      <c r="E580" t="s">
        <v>217</v>
      </c>
      <c r="F580" s="421">
        <v>1</v>
      </c>
      <c r="G580" t="s">
        <v>193</v>
      </c>
      <c r="H580" t="s">
        <v>194</v>
      </c>
      <c r="I580" t="s">
        <v>9430</v>
      </c>
      <c r="J580" t="s">
        <v>210</v>
      </c>
      <c r="K580" t="s">
        <v>10815</v>
      </c>
      <c r="L580" t="s">
        <v>6261</v>
      </c>
      <c r="M580" t="s">
        <v>11702</v>
      </c>
      <c r="N580" t="s">
        <v>9526</v>
      </c>
      <c r="O580" t="s">
        <v>10767</v>
      </c>
      <c r="P580" t="s">
        <v>11805</v>
      </c>
      <c r="Q580" t="s">
        <v>11806</v>
      </c>
      <c r="S580" t="s">
        <v>9309</v>
      </c>
      <c r="T580" s="28" t="s">
        <v>9334</v>
      </c>
      <c r="U580" s="27" t="s">
        <v>484</v>
      </c>
      <c r="V580" t="s">
        <v>194</v>
      </c>
      <c r="W580" t="s">
        <v>9300</v>
      </c>
      <c r="Z580" t="s">
        <v>9311</v>
      </c>
      <c r="AF580" t="s">
        <v>4714</v>
      </c>
      <c r="AG580" t="s">
        <v>9433</v>
      </c>
      <c r="AI580" t="s">
        <v>6955</v>
      </c>
      <c r="AJ580" s="424" t="str">
        <f t="shared" si="27"/>
        <v>251401</v>
      </c>
      <c r="AK580" s="28">
        <v>1</v>
      </c>
      <c r="AL580" s="28">
        <f t="shared" si="29"/>
        <v>1</v>
      </c>
      <c r="AM580" s="28" t="str">
        <f t="shared" si="28"/>
        <v>agora</v>
      </c>
    </row>
    <row r="581" spans="1:39" x14ac:dyDescent="0.25">
      <c r="A581" t="s">
        <v>9522</v>
      </c>
      <c r="B581" t="s">
        <v>9651</v>
      </c>
      <c r="C581" t="s">
        <v>10</v>
      </c>
      <c r="D581" s="27" t="s">
        <v>9437</v>
      </c>
      <c r="E581" t="s">
        <v>217</v>
      </c>
      <c r="F581" s="421">
        <v>1</v>
      </c>
      <c r="G581" t="s">
        <v>193</v>
      </c>
      <c r="H581" t="s">
        <v>194</v>
      </c>
      <c r="I581" t="s">
        <v>9430</v>
      </c>
      <c r="J581" t="s">
        <v>210</v>
      </c>
      <c r="K581" t="s">
        <v>10820</v>
      </c>
      <c r="L581" t="s">
        <v>6261</v>
      </c>
      <c r="M581" t="s">
        <v>11702</v>
      </c>
      <c r="N581" t="s">
        <v>9526</v>
      </c>
      <c r="O581" t="s">
        <v>9305</v>
      </c>
      <c r="P581" t="s">
        <v>11809</v>
      </c>
      <c r="Q581" t="s">
        <v>11810</v>
      </c>
      <c r="S581" t="s">
        <v>9309</v>
      </c>
      <c r="T581" s="28" t="s">
        <v>9334</v>
      </c>
      <c r="U581" s="27" t="s">
        <v>484</v>
      </c>
      <c r="V581" t="s">
        <v>194</v>
      </c>
      <c r="W581" t="s">
        <v>9300</v>
      </c>
      <c r="Z581" t="s">
        <v>9311</v>
      </c>
      <c r="AF581" t="s">
        <v>4714</v>
      </c>
      <c r="AG581" t="s">
        <v>9433</v>
      </c>
      <c r="AI581" t="s">
        <v>6955</v>
      </c>
      <c r="AJ581" s="424" t="str">
        <f t="shared" si="27"/>
        <v>251401</v>
      </c>
      <c r="AK581" s="28">
        <v>1</v>
      </c>
      <c r="AL581" s="28">
        <f t="shared" si="29"/>
        <v>1</v>
      </c>
      <c r="AM581" s="28" t="str">
        <f t="shared" si="28"/>
        <v>agora</v>
      </c>
    </row>
    <row r="582" spans="1:39" x14ac:dyDescent="0.25">
      <c r="A582" t="s">
        <v>9522</v>
      </c>
      <c r="B582" t="s">
        <v>9651</v>
      </c>
      <c r="C582" t="s">
        <v>10</v>
      </c>
      <c r="D582" s="27" t="s">
        <v>9437</v>
      </c>
      <c r="E582" t="s">
        <v>217</v>
      </c>
      <c r="F582" s="421">
        <v>1</v>
      </c>
      <c r="G582" t="s">
        <v>193</v>
      </c>
      <c r="H582" t="s">
        <v>194</v>
      </c>
      <c r="I582" t="s">
        <v>9430</v>
      </c>
      <c r="J582" t="s">
        <v>210</v>
      </c>
      <c r="K582" t="s">
        <v>10825</v>
      </c>
      <c r="L582" t="s">
        <v>6261</v>
      </c>
      <c r="M582" t="s">
        <v>11702</v>
      </c>
      <c r="N582" t="s">
        <v>9526</v>
      </c>
      <c r="O582" t="s">
        <v>10767</v>
      </c>
      <c r="P582" t="s">
        <v>11811</v>
      </c>
      <c r="Q582" t="s">
        <v>11812</v>
      </c>
      <c r="S582" t="s">
        <v>9309</v>
      </c>
      <c r="T582" s="28" t="s">
        <v>9334</v>
      </c>
      <c r="U582" s="27" t="s">
        <v>484</v>
      </c>
      <c r="V582" t="s">
        <v>194</v>
      </c>
      <c r="W582" t="s">
        <v>9300</v>
      </c>
      <c r="Z582" t="s">
        <v>9311</v>
      </c>
      <c r="AF582" t="s">
        <v>4714</v>
      </c>
      <c r="AG582" t="s">
        <v>9433</v>
      </c>
      <c r="AI582" t="s">
        <v>6955</v>
      </c>
      <c r="AJ582" s="424" t="str">
        <f t="shared" si="27"/>
        <v>251401</v>
      </c>
      <c r="AK582" s="28">
        <v>1</v>
      </c>
      <c r="AL582" s="28">
        <f t="shared" si="29"/>
        <v>1</v>
      </c>
      <c r="AM582" s="28" t="str">
        <f t="shared" si="28"/>
        <v>agora</v>
      </c>
    </row>
    <row r="583" spans="1:39" x14ac:dyDescent="0.25">
      <c r="A583" t="s">
        <v>9522</v>
      </c>
      <c r="B583" t="s">
        <v>10859</v>
      </c>
      <c r="C583" t="s">
        <v>10</v>
      </c>
      <c r="D583" s="27" t="s">
        <v>9437</v>
      </c>
      <c r="E583" t="s">
        <v>217</v>
      </c>
      <c r="F583" s="421">
        <v>1</v>
      </c>
      <c r="G583" t="s">
        <v>193</v>
      </c>
      <c r="H583" t="s">
        <v>194</v>
      </c>
      <c r="I583" t="s">
        <v>9430</v>
      </c>
      <c r="J583" t="s">
        <v>210</v>
      </c>
      <c r="K583" t="s">
        <v>10860</v>
      </c>
      <c r="L583" t="s">
        <v>6261</v>
      </c>
      <c r="M583" t="s">
        <v>11702</v>
      </c>
      <c r="N583" t="s">
        <v>9536</v>
      </c>
      <c r="O583" t="s">
        <v>9305</v>
      </c>
      <c r="P583" t="s">
        <v>11839</v>
      </c>
      <c r="Q583" t="s">
        <v>11840</v>
      </c>
      <c r="S583" t="s">
        <v>9309</v>
      </c>
      <c r="T583" s="28" t="s">
        <v>9334</v>
      </c>
      <c r="U583" s="27" t="s">
        <v>484</v>
      </c>
      <c r="V583" t="s">
        <v>194</v>
      </c>
      <c r="W583" t="s">
        <v>9300</v>
      </c>
      <c r="Z583" t="s">
        <v>9311</v>
      </c>
      <c r="AF583" t="s">
        <v>4714</v>
      </c>
      <c r="AG583" t="s">
        <v>9433</v>
      </c>
      <c r="AI583" t="s">
        <v>6955</v>
      </c>
      <c r="AJ583" s="424" t="str">
        <f t="shared" si="27"/>
        <v>251401</v>
      </c>
      <c r="AK583" s="28">
        <v>1</v>
      </c>
      <c r="AL583" s="28">
        <f t="shared" si="29"/>
        <v>1</v>
      </c>
      <c r="AM583" s="28" t="str">
        <f t="shared" si="28"/>
        <v>agora</v>
      </c>
    </row>
    <row r="584" spans="1:39" x14ac:dyDescent="0.25">
      <c r="A584" t="s">
        <v>919</v>
      </c>
      <c r="B584" t="s">
        <v>1200</v>
      </c>
      <c r="C584" t="s">
        <v>4966</v>
      </c>
      <c r="D584" s="27" t="s">
        <v>9437</v>
      </c>
      <c r="E584" t="s">
        <v>192</v>
      </c>
      <c r="F584" s="421">
        <v>1</v>
      </c>
      <c r="G584" t="s">
        <v>193</v>
      </c>
      <c r="H584" t="s">
        <v>194</v>
      </c>
      <c r="I584" t="s">
        <v>11608</v>
      </c>
      <c r="J584" t="s">
        <v>276</v>
      </c>
      <c r="K584" t="s">
        <v>11646</v>
      </c>
      <c r="L584" t="s">
        <v>6254</v>
      </c>
      <c r="M584" t="s">
        <v>11604</v>
      </c>
      <c r="N584" t="s">
        <v>9536</v>
      </c>
      <c r="O584" t="s">
        <v>9461</v>
      </c>
      <c r="P584" t="s">
        <v>11647</v>
      </c>
      <c r="Q584" t="s">
        <v>11648</v>
      </c>
      <c r="S584" t="s">
        <v>9309</v>
      </c>
      <c r="T584" s="28" t="s">
        <v>9786</v>
      </c>
      <c r="U584" s="27" t="s">
        <v>405</v>
      </c>
      <c r="V584" t="s">
        <v>194</v>
      </c>
      <c r="W584" t="s">
        <v>9300</v>
      </c>
      <c r="Z584" t="s">
        <v>9311</v>
      </c>
      <c r="AF584" t="s">
        <v>4714</v>
      </c>
      <c r="AG584" t="s">
        <v>1200</v>
      </c>
      <c r="AI584" t="s">
        <v>6955</v>
      </c>
      <c r="AJ584" s="424" t="str">
        <f t="shared" si="27"/>
        <v>241304</v>
      </c>
      <c r="AK584" s="28">
        <v>1</v>
      </c>
      <c r="AL584" s="28">
        <f t="shared" si="29"/>
        <v>1</v>
      </c>
      <c r="AM584" s="28" t="str">
        <f t="shared" si="28"/>
        <v>pracuj.pl</v>
      </c>
    </row>
    <row r="585" spans="1:39" x14ac:dyDescent="0.25">
      <c r="A585" t="s">
        <v>919</v>
      </c>
      <c r="B585" t="s">
        <v>1200</v>
      </c>
      <c r="C585" t="s">
        <v>4966</v>
      </c>
      <c r="D585" s="27" t="s">
        <v>9437</v>
      </c>
      <c r="E585" t="s">
        <v>192</v>
      </c>
      <c r="F585" s="421">
        <v>1</v>
      </c>
      <c r="G585" t="s">
        <v>193</v>
      </c>
      <c r="H585" t="s">
        <v>194</v>
      </c>
      <c r="I585" t="s">
        <v>11608</v>
      </c>
      <c r="J585" t="s">
        <v>385</v>
      </c>
      <c r="K585" t="s">
        <v>11649</v>
      </c>
      <c r="L585" t="s">
        <v>6254</v>
      </c>
      <c r="M585" t="s">
        <v>11604</v>
      </c>
      <c r="N585" t="s">
        <v>9536</v>
      </c>
      <c r="O585" t="s">
        <v>9461</v>
      </c>
      <c r="P585" t="s">
        <v>11650</v>
      </c>
      <c r="Q585" t="s">
        <v>11651</v>
      </c>
      <c r="S585" t="s">
        <v>9309</v>
      </c>
      <c r="T585" s="28" t="s">
        <v>9410</v>
      </c>
      <c r="U585" s="27" t="s">
        <v>405</v>
      </c>
      <c r="V585" t="s">
        <v>194</v>
      </c>
      <c r="W585" t="s">
        <v>9300</v>
      </c>
      <c r="Z585" t="s">
        <v>9311</v>
      </c>
      <c r="AF585" t="s">
        <v>4714</v>
      </c>
      <c r="AG585" t="s">
        <v>1200</v>
      </c>
      <c r="AI585" t="s">
        <v>6955</v>
      </c>
      <c r="AJ585" s="424" t="str">
        <f t="shared" si="27"/>
        <v>241304</v>
      </c>
      <c r="AK585" s="28">
        <v>1</v>
      </c>
      <c r="AL585" s="28">
        <f t="shared" si="29"/>
        <v>1</v>
      </c>
      <c r="AM585" s="28" t="str">
        <f t="shared" si="28"/>
        <v>pracuj.pl</v>
      </c>
    </row>
    <row r="586" spans="1:39" x14ac:dyDescent="0.25">
      <c r="A586" t="s">
        <v>919</v>
      </c>
      <c r="B586" t="s">
        <v>1200</v>
      </c>
      <c r="C586" t="s">
        <v>4966</v>
      </c>
      <c r="D586" s="27" t="s">
        <v>9437</v>
      </c>
      <c r="E586" t="s">
        <v>192</v>
      </c>
      <c r="F586" s="421">
        <v>1</v>
      </c>
      <c r="G586" t="s">
        <v>193</v>
      </c>
      <c r="H586" t="s">
        <v>194</v>
      </c>
      <c r="I586" t="s">
        <v>11608</v>
      </c>
      <c r="J586" t="s">
        <v>210</v>
      </c>
      <c r="K586" t="s">
        <v>11652</v>
      </c>
      <c r="L586" t="s">
        <v>6254</v>
      </c>
      <c r="M586" t="s">
        <v>11604</v>
      </c>
      <c r="N586" t="s">
        <v>9536</v>
      </c>
      <c r="O586" t="s">
        <v>9461</v>
      </c>
      <c r="P586" t="s">
        <v>11653</v>
      </c>
      <c r="Q586" t="s">
        <v>11654</v>
      </c>
      <c r="S586" t="s">
        <v>9309</v>
      </c>
      <c r="T586" s="28" t="s">
        <v>9334</v>
      </c>
      <c r="U586" s="27" t="s">
        <v>405</v>
      </c>
      <c r="V586" t="s">
        <v>194</v>
      </c>
      <c r="W586" t="s">
        <v>9300</v>
      </c>
      <c r="Z586" t="s">
        <v>9311</v>
      </c>
      <c r="AF586" t="s">
        <v>4714</v>
      </c>
      <c r="AG586" t="s">
        <v>1200</v>
      </c>
      <c r="AI586" t="s">
        <v>6955</v>
      </c>
      <c r="AJ586" s="424" t="str">
        <f t="shared" si="27"/>
        <v>241304</v>
      </c>
      <c r="AK586" s="28">
        <v>1</v>
      </c>
      <c r="AL586" s="28">
        <f t="shared" si="29"/>
        <v>1</v>
      </c>
      <c r="AM586" s="28" t="str">
        <f t="shared" si="28"/>
        <v>pracuj.pl</v>
      </c>
    </row>
    <row r="587" spans="1:39" x14ac:dyDescent="0.25">
      <c r="A587" t="s">
        <v>9522</v>
      </c>
      <c r="B587" t="s">
        <v>10859</v>
      </c>
      <c r="C587" t="s">
        <v>10</v>
      </c>
      <c r="D587" s="27" t="s">
        <v>9437</v>
      </c>
      <c r="E587" t="s">
        <v>217</v>
      </c>
      <c r="F587" s="421">
        <v>1</v>
      </c>
      <c r="G587" t="s">
        <v>193</v>
      </c>
      <c r="H587" t="s">
        <v>194</v>
      </c>
      <c r="I587" t="s">
        <v>9430</v>
      </c>
      <c r="J587" t="s">
        <v>210</v>
      </c>
      <c r="K587" t="s">
        <v>11841</v>
      </c>
      <c r="L587" t="s">
        <v>6261</v>
      </c>
      <c r="M587" t="s">
        <v>11702</v>
      </c>
      <c r="N587" t="s">
        <v>10234</v>
      </c>
      <c r="O587" t="s">
        <v>9835</v>
      </c>
      <c r="P587" t="s">
        <v>11842</v>
      </c>
      <c r="Q587" t="s">
        <v>11843</v>
      </c>
      <c r="S587" t="s">
        <v>9309</v>
      </c>
      <c r="T587" s="28" t="s">
        <v>9334</v>
      </c>
      <c r="U587" s="27" t="s">
        <v>484</v>
      </c>
      <c r="V587" t="s">
        <v>194</v>
      </c>
      <c r="W587" t="s">
        <v>9300</v>
      </c>
      <c r="Z587" t="s">
        <v>9311</v>
      </c>
      <c r="AF587" t="s">
        <v>4714</v>
      </c>
      <c r="AG587" t="s">
        <v>9433</v>
      </c>
      <c r="AI587" t="s">
        <v>6955</v>
      </c>
      <c r="AJ587" s="424" t="str">
        <f t="shared" si="27"/>
        <v>251401</v>
      </c>
      <c r="AK587" s="28">
        <v>1</v>
      </c>
      <c r="AL587" s="28">
        <f t="shared" si="29"/>
        <v>1</v>
      </c>
      <c r="AM587" s="28" t="str">
        <f t="shared" si="28"/>
        <v>agora</v>
      </c>
    </row>
    <row r="588" spans="1:39" x14ac:dyDescent="0.25">
      <c r="A588" t="s">
        <v>11658</v>
      </c>
      <c r="B588" t="s">
        <v>6194</v>
      </c>
      <c r="C588" t="s">
        <v>21</v>
      </c>
      <c r="D588" s="27" t="s">
        <v>9437</v>
      </c>
      <c r="E588" t="s">
        <v>192</v>
      </c>
      <c r="F588" s="421">
        <v>1</v>
      </c>
      <c r="G588" t="s">
        <v>193</v>
      </c>
      <c r="H588" t="s">
        <v>194</v>
      </c>
      <c r="I588" t="s">
        <v>9343</v>
      </c>
      <c r="J588" t="s">
        <v>223</v>
      </c>
      <c r="K588" t="s">
        <v>11659</v>
      </c>
      <c r="L588" t="s">
        <v>6324</v>
      </c>
      <c r="M588" t="s">
        <v>11604</v>
      </c>
      <c r="N588" t="s">
        <v>9536</v>
      </c>
      <c r="O588" t="s">
        <v>9461</v>
      </c>
      <c r="P588" t="s">
        <v>11660</v>
      </c>
      <c r="Q588" t="s">
        <v>11661</v>
      </c>
      <c r="S588" t="s">
        <v>9309</v>
      </c>
      <c r="T588" s="28" t="s">
        <v>11163</v>
      </c>
      <c r="U588" s="27" t="s">
        <v>293</v>
      </c>
      <c r="V588" t="s">
        <v>194</v>
      </c>
      <c r="W588" t="s">
        <v>9300</v>
      </c>
      <c r="Z588" t="s">
        <v>9311</v>
      </c>
      <c r="AF588" t="s">
        <v>4714</v>
      </c>
      <c r="AG588" t="s">
        <v>6194</v>
      </c>
      <c r="AI588" t="s">
        <v>6955</v>
      </c>
      <c r="AJ588" s="424" t="str">
        <f t="shared" si="27"/>
        <v>214202</v>
      </c>
      <c r="AK588" s="28">
        <v>1</v>
      </c>
      <c r="AL588" s="28">
        <f t="shared" si="29"/>
        <v>1</v>
      </c>
      <c r="AM588" s="28" t="str">
        <f t="shared" si="28"/>
        <v>pracuj.pl</v>
      </c>
    </row>
    <row r="589" spans="1:39" x14ac:dyDescent="0.25">
      <c r="A589" t="s">
        <v>11658</v>
      </c>
      <c r="B589" t="s">
        <v>11662</v>
      </c>
      <c r="C589" t="s">
        <v>21</v>
      </c>
      <c r="D589" s="27" t="s">
        <v>9437</v>
      </c>
      <c r="E589" t="s">
        <v>192</v>
      </c>
      <c r="F589" s="421">
        <v>1</v>
      </c>
      <c r="G589" t="s">
        <v>193</v>
      </c>
      <c r="H589" t="s">
        <v>194</v>
      </c>
      <c r="I589" t="s">
        <v>9343</v>
      </c>
      <c r="J589" t="s">
        <v>223</v>
      </c>
      <c r="K589" t="s">
        <v>11663</v>
      </c>
      <c r="L589" t="s">
        <v>6324</v>
      </c>
      <c r="M589" t="s">
        <v>11604</v>
      </c>
      <c r="N589" t="s">
        <v>9536</v>
      </c>
      <c r="O589" t="s">
        <v>9461</v>
      </c>
      <c r="P589" t="s">
        <v>11664</v>
      </c>
      <c r="Q589" t="s">
        <v>11665</v>
      </c>
      <c r="S589" t="s">
        <v>9309</v>
      </c>
      <c r="T589" s="28" t="s">
        <v>11163</v>
      </c>
      <c r="U589" s="27" t="s">
        <v>293</v>
      </c>
      <c r="V589" t="s">
        <v>194</v>
      </c>
      <c r="W589" t="s">
        <v>9300</v>
      </c>
      <c r="Z589" t="s">
        <v>9311</v>
      </c>
      <c r="AF589" t="s">
        <v>4714</v>
      </c>
      <c r="AG589" t="s">
        <v>11662</v>
      </c>
      <c r="AI589" t="s">
        <v>6955</v>
      </c>
      <c r="AJ589" s="424" t="str">
        <f t="shared" si="27"/>
        <v>214202</v>
      </c>
      <c r="AK589" s="28">
        <v>1</v>
      </c>
      <c r="AL589" s="28">
        <f t="shared" si="29"/>
        <v>1</v>
      </c>
      <c r="AM589" s="28" t="str">
        <f t="shared" si="28"/>
        <v>pracuj.pl</v>
      </c>
    </row>
    <row r="590" spans="1:39" x14ac:dyDescent="0.25">
      <c r="A590" t="s">
        <v>11666</v>
      </c>
      <c r="B590" t="s">
        <v>11667</v>
      </c>
      <c r="C590" t="s">
        <v>11668</v>
      </c>
      <c r="D590" s="27" t="s">
        <v>9437</v>
      </c>
      <c r="E590" t="s">
        <v>233</v>
      </c>
      <c r="F590" s="421">
        <v>1</v>
      </c>
      <c r="G590" t="s">
        <v>193</v>
      </c>
      <c r="H590" t="s">
        <v>194</v>
      </c>
      <c r="I590" t="s">
        <v>11614</v>
      </c>
      <c r="J590" t="s">
        <v>4751</v>
      </c>
      <c r="K590" t="s">
        <v>11669</v>
      </c>
      <c r="L590" t="s">
        <v>6286</v>
      </c>
      <c r="M590" t="s">
        <v>11670</v>
      </c>
      <c r="N590" t="s">
        <v>10005</v>
      </c>
      <c r="O590" t="s">
        <v>9305</v>
      </c>
      <c r="P590" t="s">
        <v>11671</v>
      </c>
      <c r="Q590" t="s">
        <v>11672</v>
      </c>
      <c r="S590" t="s">
        <v>9309</v>
      </c>
      <c r="T590" s="28" t="s">
        <v>9472</v>
      </c>
      <c r="U590" s="27" t="s">
        <v>11673</v>
      </c>
      <c r="V590" t="s">
        <v>194</v>
      </c>
      <c r="W590" t="s">
        <v>9300</v>
      </c>
      <c r="Z590" t="s">
        <v>9311</v>
      </c>
      <c r="AF590" t="s">
        <v>4714</v>
      </c>
      <c r="AG590" t="s">
        <v>11667</v>
      </c>
      <c r="AI590" t="s">
        <v>6955</v>
      </c>
      <c r="AJ590" s="424" t="str">
        <f t="shared" si="27"/>
        <v>262101</v>
      </c>
      <c r="AK590" s="28">
        <v>1</v>
      </c>
      <c r="AL590" s="28">
        <f t="shared" si="29"/>
        <v>1</v>
      </c>
      <c r="AM590" s="28" t="str">
        <f t="shared" si="28"/>
        <v>praca</v>
      </c>
    </row>
    <row r="591" spans="1:39" x14ac:dyDescent="0.25">
      <c r="A591" t="s">
        <v>9522</v>
      </c>
      <c r="B591" t="s">
        <v>9708</v>
      </c>
      <c r="C591" t="s">
        <v>10</v>
      </c>
      <c r="D591" s="27" t="s">
        <v>9437</v>
      </c>
      <c r="E591" t="s">
        <v>217</v>
      </c>
      <c r="F591" s="421">
        <v>1</v>
      </c>
      <c r="G591" t="s">
        <v>193</v>
      </c>
      <c r="H591" t="s">
        <v>194</v>
      </c>
      <c r="I591" t="s">
        <v>9709</v>
      </c>
      <c r="J591" t="s">
        <v>210</v>
      </c>
      <c r="K591" t="s">
        <v>10863</v>
      </c>
      <c r="L591" t="s">
        <v>6261</v>
      </c>
      <c r="M591" t="s">
        <v>11702</v>
      </c>
      <c r="N591" t="s">
        <v>9526</v>
      </c>
      <c r="O591" t="s">
        <v>9305</v>
      </c>
      <c r="P591" t="s">
        <v>11844</v>
      </c>
      <c r="Q591" t="s">
        <v>11845</v>
      </c>
      <c r="S591" t="s">
        <v>9309</v>
      </c>
      <c r="T591" s="28" t="s">
        <v>9334</v>
      </c>
      <c r="U591" s="27" t="s">
        <v>484</v>
      </c>
      <c r="V591" t="s">
        <v>194</v>
      </c>
      <c r="W591" t="s">
        <v>9300</v>
      </c>
      <c r="Z591" t="s">
        <v>9311</v>
      </c>
      <c r="AF591" t="s">
        <v>4714</v>
      </c>
      <c r="AG591" t="s">
        <v>9433</v>
      </c>
      <c r="AI591" t="s">
        <v>6955</v>
      </c>
      <c r="AJ591" s="424" t="str">
        <f t="shared" si="27"/>
        <v>251401</v>
      </c>
      <c r="AK591" s="28">
        <v>1</v>
      </c>
      <c r="AL591" s="28">
        <f t="shared" si="29"/>
        <v>1</v>
      </c>
      <c r="AM591" s="28" t="str">
        <f t="shared" si="28"/>
        <v>agora</v>
      </c>
    </row>
    <row r="592" spans="1:39" x14ac:dyDescent="0.25">
      <c r="A592" t="s">
        <v>11674</v>
      </c>
      <c r="B592" t="s">
        <v>11678</v>
      </c>
      <c r="C592" t="s">
        <v>11679</v>
      </c>
      <c r="D592" s="27" t="s">
        <v>9437</v>
      </c>
      <c r="E592" t="s">
        <v>192</v>
      </c>
      <c r="F592" s="421">
        <v>1</v>
      </c>
      <c r="G592" t="s">
        <v>193</v>
      </c>
      <c r="H592" t="s">
        <v>194</v>
      </c>
      <c r="I592" t="s">
        <v>11608</v>
      </c>
      <c r="J592" t="s">
        <v>9302</v>
      </c>
      <c r="K592" t="s">
        <v>11680</v>
      </c>
      <c r="L592" t="s">
        <v>6921</v>
      </c>
      <c r="M592" t="s">
        <v>11604</v>
      </c>
      <c r="N592" t="s">
        <v>9536</v>
      </c>
      <c r="O592" t="s">
        <v>9461</v>
      </c>
      <c r="P592" t="s">
        <v>11681</v>
      </c>
      <c r="Q592" t="s">
        <v>11682</v>
      </c>
      <c r="S592" t="s">
        <v>9309</v>
      </c>
      <c r="U592" s="27" t="s">
        <v>11683</v>
      </c>
      <c r="V592" t="s">
        <v>193</v>
      </c>
      <c r="W592" t="s">
        <v>9310</v>
      </c>
      <c r="Z592" t="s">
        <v>9311</v>
      </c>
      <c r="AF592" t="s">
        <v>4714</v>
      </c>
      <c r="AG592" t="s">
        <v>11678</v>
      </c>
      <c r="AI592" t="s">
        <v>6955</v>
      </c>
      <c r="AJ592" s="424" t="str">
        <f t="shared" si="27"/>
        <v>214105</v>
      </c>
      <c r="AK592" s="28">
        <v>1</v>
      </c>
      <c r="AL592" s="28">
        <f t="shared" si="29"/>
        <v>1</v>
      </c>
      <c r="AM592" s="28" t="str">
        <f t="shared" si="28"/>
        <v>pracuj.pl</v>
      </c>
    </row>
    <row r="593" spans="1:40" x14ac:dyDescent="0.25">
      <c r="A593" t="s">
        <v>9522</v>
      </c>
      <c r="B593" t="s">
        <v>9708</v>
      </c>
      <c r="C593" t="s">
        <v>10</v>
      </c>
      <c r="D593" s="27" t="s">
        <v>9437</v>
      </c>
      <c r="E593" t="s">
        <v>217</v>
      </c>
      <c r="F593" s="421">
        <v>1</v>
      </c>
      <c r="G593" t="s">
        <v>193</v>
      </c>
      <c r="H593" t="s">
        <v>194</v>
      </c>
      <c r="I593" t="s">
        <v>9709</v>
      </c>
      <c r="J593" t="s">
        <v>210</v>
      </c>
      <c r="K593" t="s">
        <v>10868</v>
      </c>
      <c r="L593" t="s">
        <v>6921</v>
      </c>
      <c r="M593" t="s">
        <v>11702</v>
      </c>
      <c r="N593" t="s">
        <v>10194</v>
      </c>
      <c r="O593" t="s">
        <v>10767</v>
      </c>
      <c r="P593" t="s">
        <v>11846</v>
      </c>
      <c r="Q593" t="s">
        <v>11847</v>
      </c>
      <c r="S593" t="s">
        <v>9309</v>
      </c>
      <c r="T593" s="28" t="s">
        <v>9334</v>
      </c>
      <c r="U593" s="27" t="s">
        <v>484</v>
      </c>
      <c r="V593" t="s">
        <v>194</v>
      </c>
      <c r="W593" t="s">
        <v>9300</v>
      </c>
      <c r="Z593" t="s">
        <v>9311</v>
      </c>
      <c r="AF593" t="s">
        <v>4714</v>
      </c>
      <c r="AG593" t="s">
        <v>9433</v>
      </c>
      <c r="AI593" t="s">
        <v>6955</v>
      </c>
      <c r="AJ593" s="424" t="str">
        <f t="shared" si="27"/>
        <v>251401</v>
      </c>
      <c r="AK593" s="28">
        <v>1</v>
      </c>
      <c r="AL593" s="28">
        <f t="shared" si="29"/>
        <v>1</v>
      </c>
      <c r="AM593" s="28" t="str">
        <f t="shared" si="28"/>
        <v>agora</v>
      </c>
    </row>
    <row r="594" spans="1:40" x14ac:dyDescent="0.25">
      <c r="A594" t="s">
        <v>9522</v>
      </c>
      <c r="B594" t="s">
        <v>9708</v>
      </c>
      <c r="C594" t="s">
        <v>10</v>
      </c>
      <c r="D594" s="27" t="s">
        <v>9437</v>
      </c>
      <c r="E594" t="s">
        <v>217</v>
      </c>
      <c r="F594" s="421">
        <v>1</v>
      </c>
      <c r="G594" t="s">
        <v>193</v>
      </c>
      <c r="H594" t="s">
        <v>194</v>
      </c>
      <c r="I594" t="s">
        <v>9709</v>
      </c>
      <c r="J594" t="s">
        <v>210</v>
      </c>
      <c r="K594" t="s">
        <v>9713</v>
      </c>
      <c r="L594" t="s">
        <v>6261</v>
      </c>
      <c r="M594" t="s">
        <v>11702</v>
      </c>
      <c r="N594" t="s">
        <v>10005</v>
      </c>
      <c r="O594" t="s">
        <v>9461</v>
      </c>
      <c r="P594" t="s">
        <v>11848</v>
      </c>
      <c r="Q594" t="s">
        <v>11849</v>
      </c>
      <c r="S594" t="s">
        <v>9309</v>
      </c>
      <c r="T594" s="28" t="s">
        <v>9334</v>
      </c>
      <c r="U594" s="27" t="s">
        <v>484</v>
      </c>
      <c r="V594" t="s">
        <v>194</v>
      </c>
      <c r="W594" t="s">
        <v>9300</v>
      </c>
      <c r="Z594" t="s">
        <v>9311</v>
      </c>
      <c r="AF594" t="s">
        <v>4714</v>
      </c>
      <c r="AG594" t="s">
        <v>9433</v>
      </c>
      <c r="AI594" t="s">
        <v>6955</v>
      </c>
      <c r="AJ594" s="424" t="str">
        <f t="shared" si="27"/>
        <v>251401</v>
      </c>
      <c r="AK594" s="28">
        <v>1</v>
      </c>
      <c r="AL594" s="28">
        <f t="shared" si="29"/>
        <v>1</v>
      </c>
      <c r="AM594" s="28" t="str">
        <f t="shared" si="28"/>
        <v>agora</v>
      </c>
    </row>
    <row r="595" spans="1:40" x14ac:dyDescent="0.25">
      <c r="A595" t="s">
        <v>4969</v>
      </c>
      <c r="B595" t="s">
        <v>8952</v>
      </c>
      <c r="C595" t="s">
        <v>10</v>
      </c>
      <c r="D595" s="27" t="s">
        <v>9437</v>
      </c>
      <c r="E595" t="s">
        <v>192</v>
      </c>
      <c r="F595" s="421">
        <v>1</v>
      </c>
      <c r="G595" t="s">
        <v>193</v>
      </c>
      <c r="H595" t="s">
        <v>194</v>
      </c>
      <c r="I595" t="s">
        <v>9491</v>
      </c>
      <c r="J595" t="s">
        <v>9302</v>
      </c>
      <c r="K595" t="s">
        <v>11948</v>
      </c>
      <c r="L595" t="s">
        <v>6295</v>
      </c>
      <c r="M595" t="s">
        <v>11604</v>
      </c>
      <c r="N595" t="s">
        <v>9536</v>
      </c>
      <c r="O595" t="s">
        <v>9461</v>
      </c>
      <c r="P595" t="s">
        <v>11949</v>
      </c>
      <c r="Q595" t="s">
        <v>11950</v>
      </c>
      <c r="S595" t="s">
        <v>9309</v>
      </c>
      <c r="U595" s="27" t="s">
        <v>484</v>
      </c>
      <c r="V595" t="s">
        <v>193</v>
      </c>
      <c r="W595" t="s">
        <v>9310</v>
      </c>
      <c r="Z595" t="s">
        <v>9311</v>
      </c>
      <c r="AF595" t="s">
        <v>4714</v>
      </c>
      <c r="AG595" t="s">
        <v>8952</v>
      </c>
      <c r="AI595" t="s">
        <v>6955</v>
      </c>
      <c r="AJ595" s="424" t="str">
        <f t="shared" si="27"/>
        <v>251401</v>
      </c>
      <c r="AK595" s="28">
        <v>1</v>
      </c>
      <c r="AL595" s="28">
        <f t="shared" si="29"/>
        <v>1</v>
      </c>
      <c r="AM595" s="28" t="str">
        <f t="shared" si="28"/>
        <v>pracuj.pl</v>
      </c>
    </row>
    <row r="596" spans="1:40" x14ac:dyDescent="0.25">
      <c r="A596" t="s">
        <v>4969</v>
      </c>
      <c r="B596" t="s">
        <v>11951</v>
      </c>
      <c r="C596" t="s">
        <v>10</v>
      </c>
      <c r="D596" s="27" t="s">
        <v>9437</v>
      </c>
      <c r="E596" t="s">
        <v>192</v>
      </c>
      <c r="F596" s="421">
        <v>1</v>
      </c>
      <c r="G596" t="s">
        <v>193</v>
      </c>
      <c r="H596" t="s">
        <v>194</v>
      </c>
      <c r="I596" t="s">
        <v>9491</v>
      </c>
      <c r="J596" t="s">
        <v>9302</v>
      </c>
      <c r="K596" t="s">
        <v>11952</v>
      </c>
      <c r="L596" t="s">
        <v>6921</v>
      </c>
      <c r="M596" t="s">
        <v>11604</v>
      </c>
      <c r="N596" t="s">
        <v>9536</v>
      </c>
      <c r="O596" t="s">
        <v>9461</v>
      </c>
      <c r="P596" t="s">
        <v>11953</v>
      </c>
      <c r="Q596" t="s">
        <v>11954</v>
      </c>
      <c r="S596" t="s">
        <v>9309</v>
      </c>
      <c r="U596" s="27" t="s">
        <v>484</v>
      </c>
      <c r="V596" t="s">
        <v>193</v>
      </c>
      <c r="W596" t="s">
        <v>9310</v>
      </c>
      <c r="Z596" t="s">
        <v>9311</v>
      </c>
      <c r="AF596" t="s">
        <v>4714</v>
      </c>
      <c r="AG596" t="s">
        <v>11951</v>
      </c>
      <c r="AI596" t="s">
        <v>6955</v>
      </c>
      <c r="AJ596" s="424" t="str">
        <f t="shared" si="27"/>
        <v>251401</v>
      </c>
      <c r="AK596" s="28">
        <v>1</v>
      </c>
      <c r="AL596" s="28">
        <f t="shared" si="29"/>
        <v>1</v>
      </c>
      <c r="AM596" s="28" t="str">
        <f t="shared" si="28"/>
        <v>pracuj.pl</v>
      </c>
    </row>
    <row r="597" spans="1:40" x14ac:dyDescent="0.25">
      <c r="A597" t="s">
        <v>218</v>
      </c>
      <c r="B597" t="s">
        <v>11698</v>
      </c>
      <c r="D597" s="27" t="s">
        <v>9437</v>
      </c>
      <c r="E597" t="s">
        <v>233</v>
      </c>
      <c r="F597" s="422">
        <v>1</v>
      </c>
      <c r="G597" t="s">
        <v>194</v>
      </c>
      <c r="H597" t="s">
        <v>193</v>
      </c>
      <c r="I597" t="s">
        <v>11614</v>
      </c>
      <c r="J597" t="s">
        <v>9302</v>
      </c>
      <c r="K597" t="s">
        <v>11699</v>
      </c>
      <c r="L597" t="s">
        <v>6256</v>
      </c>
      <c r="M597" t="s">
        <v>11670</v>
      </c>
      <c r="N597" t="s">
        <v>10005</v>
      </c>
      <c r="O597" t="s">
        <v>9537</v>
      </c>
      <c r="P597" t="s">
        <v>11700</v>
      </c>
      <c r="Q597" t="s">
        <v>11701</v>
      </c>
      <c r="S597" t="s">
        <v>9309</v>
      </c>
      <c r="U597" s="27" t="s">
        <v>3349</v>
      </c>
      <c r="V597" t="s">
        <v>194</v>
      </c>
      <c r="W597" t="s">
        <v>9946</v>
      </c>
      <c r="Z597" t="s">
        <v>9311</v>
      </c>
      <c r="AF597" t="s">
        <v>4714</v>
      </c>
      <c r="AG597" t="s">
        <v>11698</v>
      </c>
      <c r="AI597" t="s">
        <v>6955</v>
      </c>
      <c r="AJ597" s="336" t="str">
        <f t="shared" si="27"/>
        <v>216503</v>
      </c>
      <c r="AK597" s="28">
        <v>1</v>
      </c>
      <c r="AL597" s="28">
        <f t="shared" si="29"/>
        <v>1</v>
      </c>
      <c r="AM597" s="28" t="str">
        <f t="shared" si="28"/>
        <v>praca</v>
      </c>
      <c r="AN597">
        <v>7</v>
      </c>
    </row>
    <row r="598" spans="1:40" x14ac:dyDescent="0.25">
      <c r="A598" t="s">
        <v>10615</v>
      </c>
      <c r="B598" t="s">
        <v>10616</v>
      </c>
      <c r="C598" t="s">
        <v>17</v>
      </c>
      <c r="D598" s="27" t="s">
        <v>9437</v>
      </c>
      <c r="E598" t="s">
        <v>217</v>
      </c>
      <c r="F598" s="421">
        <v>1</v>
      </c>
      <c r="G598" t="s">
        <v>193</v>
      </c>
      <c r="H598" t="s">
        <v>194</v>
      </c>
      <c r="I598" t="s">
        <v>9369</v>
      </c>
      <c r="J598" t="s">
        <v>210</v>
      </c>
      <c r="K598" t="s">
        <v>10617</v>
      </c>
      <c r="L598" t="s">
        <v>6249</v>
      </c>
      <c r="M598" t="s">
        <v>11702</v>
      </c>
      <c r="N598" t="s">
        <v>10194</v>
      </c>
      <c r="O598" t="s">
        <v>9299</v>
      </c>
      <c r="P598" t="s">
        <v>11703</v>
      </c>
      <c r="Q598" t="s">
        <v>11704</v>
      </c>
      <c r="S598" t="s">
        <v>9309</v>
      </c>
      <c r="T598" s="28" t="s">
        <v>9334</v>
      </c>
      <c r="U598" s="27" t="s">
        <v>624</v>
      </c>
      <c r="V598" t="s">
        <v>194</v>
      </c>
      <c r="W598" t="s">
        <v>9300</v>
      </c>
      <c r="Z598" t="s">
        <v>9311</v>
      </c>
      <c r="AF598" t="s">
        <v>4714</v>
      </c>
      <c r="AG598" t="s">
        <v>9433</v>
      </c>
      <c r="AI598" t="s">
        <v>6955</v>
      </c>
      <c r="AJ598" s="424" t="str">
        <f t="shared" si="27"/>
        <v>332203</v>
      </c>
      <c r="AK598" s="28">
        <v>1</v>
      </c>
      <c r="AL598" s="28">
        <f t="shared" si="29"/>
        <v>1</v>
      </c>
      <c r="AM598" s="28" t="str">
        <f t="shared" si="28"/>
        <v>agora</v>
      </c>
    </row>
    <row r="599" spans="1:40" x14ac:dyDescent="0.25">
      <c r="A599" t="s">
        <v>4969</v>
      </c>
      <c r="B599" t="s">
        <v>8075</v>
      </c>
      <c r="C599" t="s">
        <v>10</v>
      </c>
      <c r="D599" s="27" t="s">
        <v>9437</v>
      </c>
      <c r="E599" t="s">
        <v>192</v>
      </c>
      <c r="F599" s="421">
        <v>1</v>
      </c>
      <c r="G599" t="s">
        <v>193</v>
      </c>
      <c r="H599" t="s">
        <v>194</v>
      </c>
      <c r="I599" t="s">
        <v>9369</v>
      </c>
      <c r="J599" t="s">
        <v>9302</v>
      </c>
      <c r="K599" t="s">
        <v>11955</v>
      </c>
      <c r="L599" t="s">
        <v>6261</v>
      </c>
      <c r="M599" t="s">
        <v>11604</v>
      </c>
      <c r="N599" t="s">
        <v>9536</v>
      </c>
      <c r="O599" t="s">
        <v>9461</v>
      </c>
      <c r="P599" t="s">
        <v>11956</v>
      </c>
      <c r="Q599" t="s">
        <v>11957</v>
      </c>
      <c r="S599" t="s">
        <v>9309</v>
      </c>
      <c r="U599" s="27" t="s">
        <v>484</v>
      </c>
      <c r="V599" t="s">
        <v>193</v>
      </c>
      <c r="W599" t="s">
        <v>9310</v>
      </c>
      <c r="Z599" t="s">
        <v>9311</v>
      </c>
      <c r="AF599" t="s">
        <v>4714</v>
      </c>
      <c r="AG599" t="s">
        <v>8075</v>
      </c>
      <c r="AI599" t="s">
        <v>6955</v>
      </c>
      <c r="AJ599" s="424" t="str">
        <f t="shared" si="27"/>
        <v>251401</v>
      </c>
      <c r="AK599" s="28">
        <v>1</v>
      </c>
      <c r="AL599" s="28">
        <f t="shared" si="29"/>
        <v>1</v>
      </c>
      <c r="AM599" s="28" t="str">
        <f t="shared" si="28"/>
        <v>pracuj.pl</v>
      </c>
    </row>
    <row r="600" spans="1:40" x14ac:dyDescent="0.25">
      <c r="A600" t="s">
        <v>10621</v>
      </c>
      <c r="B600" t="s">
        <v>10622</v>
      </c>
      <c r="C600" t="s">
        <v>10623</v>
      </c>
      <c r="D600" s="27" t="s">
        <v>9437</v>
      </c>
      <c r="E600" t="s">
        <v>217</v>
      </c>
      <c r="F600" s="421">
        <v>1</v>
      </c>
      <c r="G600" t="s">
        <v>193</v>
      </c>
      <c r="H600" t="s">
        <v>194</v>
      </c>
      <c r="I600" t="s">
        <v>9343</v>
      </c>
      <c r="J600" t="s">
        <v>305</v>
      </c>
      <c r="K600" t="s">
        <v>10624</v>
      </c>
      <c r="L600" t="s">
        <v>6269</v>
      </c>
      <c r="M600" t="s">
        <v>11702</v>
      </c>
      <c r="N600" t="s">
        <v>10005</v>
      </c>
      <c r="O600" t="s">
        <v>9299</v>
      </c>
      <c r="P600" t="s">
        <v>11709</v>
      </c>
      <c r="Q600" t="s">
        <v>11710</v>
      </c>
      <c r="S600" t="s">
        <v>9309</v>
      </c>
      <c r="T600" s="28" t="s">
        <v>9753</v>
      </c>
      <c r="U600" s="27" t="s">
        <v>10627</v>
      </c>
      <c r="V600" t="s">
        <v>194</v>
      </c>
      <c r="W600" t="s">
        <v>9300</v>
      </c>
      <c r="Z600" t="s">
        <v>9311</v>
      </c>
      <c r="AF600" t="s">
        <v>4714</v>
      </c>
      <c r="AG600" t="s">
        <v>9433</v>
      </c>
      <c r="AI600" t="s">
        <v>6955</v>
      </c>
      <c r="AJ600" s="424" t="str">
        <f t="shared" si="27"/>
        <v>314403</v>
      </c>
      <c r="AK600" s="28">
        <v>1</v>
      </c>
      <c r="AL600" s="28">
        <f t="shared" si="29"/>
        <v>1</v>
      </c>
      <c r="AM600" s="28" t="str">
        <f t="shared" si="28"/>
        <v>agora</v>
      </c>
    </row>
    <row r="601" spans="1:40" x14ac:dyDescent="0.25">
      <c r="A601" t="s">
        <v>10621</v>
      </c>
      <c r="B601" t="s">
        <v>10628</v>
      </c>
      <c r="C601" t="s">
        <v>10629</v>
      </c>
      <c r="D601" s="27" t="s">
        <v>9437</v>
      </c>
      <c r="E601" t="s">
        <v>217</v>
      </c>
      <c r="F601" s="421">
        <v>1</v>
      </c>
      <c r="G601" t="s">
        <v>193</v>
      </c>
      <c r="H601" t="s">
        <v>194</v>
      </c>
      <c r="I601" t="s">
        <v>11614</v>
      </c>
      <c r="J601" t="s">
        <v>305</v>
      </c>
      <c r="K601" t="s">
        <v>10630</v>
      </c>
      <c r="L601" t="s">
        <v>8003</v>
      </c>
      <c r="M601" t="s">
        <v>11702</v>
      </c>
      <c r="N601" t="s">
        <v>10005</v>
      </c>
      <c r="O601" t="s">
        <v>9299</v>
      </c>
      <c r="P601" t="s">
        <v>11711</v>
      </c>
      <c r="Q601" t="s">
        <v>11712</v>
      </c>
      <c r="S601" t="s">
        <v>9309</v>
      </c>
      <c r="T601" s="28" t="s">
        <v>9753</v>
      </c>
      <c r="U601" s="27" t="s">
        <v>10633</v>
      </c>
      <c r="V601" t="s">
        <v>194</v>
      </c>
      <c r="W601" t="s">
        <v>9300</v>
      </c>
      <c r="Z601" t="s">
        <v>9311</v>
      </c>
      <c r="AF601" t="s">
        <v>4714</v>
      </c>
      <c r="AG601" t="s">
        <v>9433</v>
      </c>
      <c r="AI601" t="s">
        <v>6955</v>
      </c>
      <c r="AJ601" s="424" t="str">
        <f t="shared" si="27"/>
        <v>432104</v>
      </c>
      <c r="AK601" s="28">
        <v>1</v>
      </c>
      <c r="AL601" s="28">
        <f t="shared" si="29"/>
        <v>1</v>
      </c>
      <c r="AM601" s="28" t="str">
        <f t="shared" si="28"/>
        <v>agora</v>
      </c>
    </row>
    <row r="602" spans="1:40" x14ac:dyDescent="0.25">
      <c r="A602" t="s">
        <v>3946</v>
      </c>
      <c r="B602" t="s">
        <v>9426</v>
      </c>
      <c r="C602" t="s">
        <v>740</v>
      </c>
      <c r="D602" s="27" t="s">
        <v>9437</v>
      </c>
      <c r="E602" t="s">
        <v>217</v>
      </c>
      <c r="F602" s="421">
        <v>1</v>
      </c>
      <c r="G602" t="s">
        <v>193</v>
      </c>
      <c r="H602" t="s">
        <v>194</v>
      </c>
      <c r="I602" t="s">
        <v>9369</v>
      </c>
      <c r="J602" t="s">
        <v>385</v>
      </c>
      <c r="K602" t="s">
        <v>9427</v>
      </c>
      <c r="L602" t="s">
        <v>6249</v>
      </c>
      <c r="M602" t="s">
        <v>11702</v>
      </c>
      <c r="N602" t="s">
        <v>10005</v>
      </c>
      <c r="O602" t="s">
        <v>9430</v>
      </c>
      <c r="P602" t="s">
        <v>11713</v>
      </c>
      <c r="Q602" t="s">
        <v>11714</v>
      </c>
      <c r="S602" t="s">
        <v>9309</v>
      </c>
      <c r="T602" s="28" t="s">
        <v>9410</v>
      </c>
      <c r="U602" s="27" t="s">
        <v>741</v>
      </c>
      <c r="V602" t="s">
        <v>194</v>
      </c>
      <c r="W602" t="s">
        <v>9300</v>
      </c>
      <c r="Z602" t="s">
        <v>9311</v>
      </c>
      <c r="AF602" t="s">
        <v>5109</v>
      </c>
      <c r="AG602" t="s">
        <v>9433</v>
      </c>
      <c r="AI602" t="s">
        <v>6955</v>
      </c>
      <c r="AJ602" s="424" t="str">
        <f t="shared" si="27"/>
        <v>522301</v>
      </c>
      <c r="AK602" s="28">
        <v>1</v>
      </c>
      <c r="AL602" s="28">
        <f t="shared" si="29"/>
        <v>1</v>
      </c>
      <c r="AM602" s="28" t="str">
        <f t="shared" si="28"/>
        <v>agora</v>
      </c>
    </row>
    <row r="603" spans="1:40" x14ac:dyDescent="0.25">
      <c r="A603" t="s">
        <v>3946</v>
      </c>
      <c r="B603" t="s">
        <v>9434</v>
      </c>
      <c r="C603" t="s">
        <v>740</v>
      </c>
      <c r="D603" s="27" t="s">
        <v>9437</v>
      </c>
      <c r="E603" t="s">
        <v>217</v>
      </c>
      <c r="F603" s="421">
        <v>1</v>
      </c>
      <c r="G603" t="s">
        <v>193</v>
      </c>
      <c r="H603" t="s">
        <v>194</v>
      </c>
      <c r="I603" t="s">
        <v>9369</v>
      </c>
      <c r="J603" t="s">
        <v>1995</v>
      </c>
      <c r="K603" t="s">
        <v>9435</v>
      </c>
      <c r="L603" t="s">
        <v>6249</v>
      </c>
      <c r="M603" t="s">
        <v>11702</v>
      </c>
      <c r="N603" t="s">
        <v>10005</v>
      </c>
      <c r="O603" t="s">
        <v>9430</v>
      </c>
      <c r="P603" t="s">
        <v>11715</v>
      </c>
      <c r="Q603" t="s">
        <v>11716</v>
      </c>
      <c r="S603" t="s">
        <v>9309</v>
      </c>
      <c r="T603" s="28" t="s">
        <v>9440</v>
      </c>
      <c r="U603" s="27" t="s">
        <v>741</v>
      </c>
      <c r="V603" t="s">
        <v>194</v>
      </c>
      <c r="W603" t="s">
        <v>9300</v>
      </c>
      <c r="Z603" t="s">
        <v>9311</v>
      </c>
      <c r="AF603" t="s">
        <v>5109</v>
      </c>
      <c r="AG603" t="s">
        <v>9433</v>
      </c>
      <c r="AI603" t="s">
        <v>6955</v>
      </c>
      <c r="AJ603" s="424" t="str">
        <f t="shared" si="27"/>
        <v>522301</v>
      </c>
      <c r="AK603" s="28">
        <v>1</v>
      </c>
      <c r="AL603" s="28">
        <f t="shared" si="29"/>
        <v>1</v>
      </c>
      <c r="AM603" s="28" t="str">
        <f t="shared" si="28"/>
        <v>agora</v>
      </c>
    </row>
    <row r="604" spans="1:40" x14ac:dyDescent="0.25">
      <c r="A604" t="s">
        <v>3370</v>
      </c>
      <c r="B604" t="s">
        <v>11717</v>
      </c>
      <c r="C604" t="s">
        <v>35</v>
      </c>
      <c r="D604" s="27" t="s">
        <v>9437</v>
      </c>
      <c r="E604" t="s">
        <v>192</v>
      </c>
      <c r="F604" s="421">
        <v>1</v>
      </c>
      <c r="G604" t="s">
        <v>193</v>
      </c>
      <c r="H604" t="s">
        <v>194</v>
      </c>
      <c r="I604" t="s">
        <v>11608</v>
      </c>
      <c r="J604" t="s">
        <v>385</v>
      </c>
      <c r="K604" t="s">
        <v>11718</v>
      </c>
      <c r="L604" t="s">
        <v>6286</v>
      </c>
      <c r="M604" t="s">
        <v>11604</v>
      </c>
      <c r="N604" t="s">
        <v>9536</v>
      </c>
      <c r="O604" t="s">
        <v>9461</v>
      </c>
      <c r="P604" t="s">
        <v>11719</v>
      </c>
      <c r="Q604" t="s">
        <v>11720</v>
      </c>
      <c r="S604" t="s">
        <v>9309</v>
      </c>
      <c r="T604" s="28" t="s">
        <v>9410</v>
      </c>
      <c r="U604" s="27" t="s">
        <v>207</v>
      </c>
      <c r="V604" t="s">
        <v>194</v>
      </c>
      <c r="W604" t="s">
        <v>9300</v>
      </c>
      <c r="Z604" t="s">
        <v>9311</v>
      </c>
      <c r="AF604" t="s">
        <v>4714</v>
      </c>
      <c r="AG604" t="s">
        <v>11717</v>
      </c>
      <c r="AI604" t="s">
        <v>6955</v>
      </c>
      <c r="AJ604" s="424" t="str">
        <f t="shared" si="27"/>
        <v>122106</v>
      </c>
      <c r="AK604" s="28">
        <v>1</v>
      </c>
      <c r="AL604" s="28">
        <f t="shared" si="29"/>
        <v>1</v>
      </c>
      <c r="AM604" s="28" t="str">
        <f t="shared" si="28"/>
        <v>pracuj.pl</v>
      </c>
    </row>
    <row r="605" spans="1:40" x14ac:dyDescent="0.25">
      <c r="A605" t="s">
        <v>1020</v>
      </c>
      <c r="B605" t="s">
        <v>11721</v>
      </c>
      <c r="C605" t="s">
        <v>4459</v>
      </c>
      <c r="D605" s="27" t="s">
        <v>9437</v>
      </c>
      <c r="E605" t="s">
        <v>192</v>
      </c>
      <c r="F605" s="421">
        <v>1</v>
      </c>
      <c r="G605" t="s">
        <v>193</v>
      </c>
      <c r="H605" t="s">
        <v>194</v>
      </c>
      <c r="I605" t="s">
        <v>9557</v>
      </c>
      <c r="J605" t="s">
        <v>9302</v>
      </c>
      <c r="K605" t="s">
        <v>11722</v>
      </c>
      <c r="L605" t="s">
        <v>6295</v>
      </c>
      <c r="M605" t="s">
        <v>11604</v>
      </c>
      <c r="N605" t="s">
        <v>9536</v>
      </c>
      <c r="O605" t="s">
        <v>9461</v>
      </c>
      <c r="P605" t="s">
        <v>11723</v>
      </c>
      <c r="Q605" t="s">
        <v>11724</v>
      </c>
      <c r="S605" t="s">
        <v>9309</v>
      </c>
      <c r="U605" s="27" t="s">
        <v>4460</v>
      </c>
      <c r="V605" t="s">
        <v>193</v>
      </c>
      <c r="W605" t="s">
        <v>9310</v>
      </c>
      <c r="Z605" t="s">
        <v>9311</v>
      </c>
      <c r="AF605" t="s">
        <v>4714</v>
      </c>
      <c r="AG605" t="s">
        <v>11721</v>
      </c>
      <c r="AI605" t="s">
        <v>6955</v>
      </c>
      <c r="AJ605" s="424" t="str">
        <f t="shared" si="27"/>
        <v>214912</v>
      </c>
      <c r="AK605" s="28">
        <v>1</v>
      </c>
      <c r="AL605" s="28">
        <f t="shared" si="29"/>
        <v>1</v>
      </c>
      <c r="AM605" s="28" t="str">
        <f t="shared" si="28"/>
        <v>pracuj.pl</v>
      </c>
    </row>
    <row r="606" spans="1:40" x14ac:dyDescent="0.25">
      <c r="A606" t="s">
        <v>10644</v>
      </c>
      <c r="B606" t="s">
        <v>5611</v>
      </c>
      <c r="C606" t="s">
        <v>115</v>
      </c>
      <c r="D606" s="27" t="s">
        <v>9437</v>
      </c>
      <c r="E606" t="s">
        <v>192</v>
      </c>
      <c r="F606" s="421">
        <v>1</v>
      </c>
      <c r="G606" t="s">
        <v>193</v>
      </c>
      <c r="H606" t="s">
        <v>194</v>
      </c>
      <c r="I606" t="s">
        <v>11608</v>
      </c>
      <c r="J606" t="s">
        <v>385</v>
      </c>
      <c r="K606" t="s">
        <v>11725</v>
      </c>
      <c r="L606" t="s">
        <v>6275</v>
      </c>
      <c r="M606" t="s">
        <v>11604</v>
      </c>
      <c r="N606" t="s">
        <v>9536</v>
      </c>
      <c r="O606" t="s">
        <v>9461</v>
      </c>
      <c r="P606" t="s">
        <v>11726</v>
      </c>
      <c r="Q606" t="s">
        <v>11727</v>
      </c>
      <c r="S606" t="s">
        <v>9309</v>
      </c>
      <c r="T606" s="28" t="s">
        <v>9410</v>
      </c>
      <c r="U606" s="27" t="s">
        <v>1183</v>
      </c>
      <c r="V606" t="s">
        <v>194</v>
      </c>
      <c r="W606" t="s">
        <v>9300</v>
      </c>
      <c r="Z606" t="s">
        <v>9311</v>
      </c>
      <c r="AF606" t="s">
        <v>4714</v>
      </c>
      <c r="AG606" t="s">
        <v>5611</v>
      </c>
      <c r="AI606" t="s">
        <v>6955</v>
      </c>
      <c r="AJ606" s="424" t="str">
        <f t="shared" si="27"/>
        <v>311909</v>
      </c>
      <c r="AK606" s="28">
        <v>1</v>
      </c>
      <c r="AL606" s="28">
        <f t="shared" si="29"/>
        <v>1</v>
      </c>
      <c r="AM606" s="28" t="str">
        <f t="shared" si="28"/>
        <v>pracuj.pl</v>
      </c>
    </row>
    <row r="607" spans="1:40" x14ac:dyDescent="0.25">
      <c r="A607" t="s">
        <v>4887</v>
      </c>
      <c r="B607" t="s">
        <v>212</v>
      </c>
      <c r="C607" t="s">
        <v>35</v>
      </c>
      <c r="D607" s="27" t="s">
        <v>9437</v>
      </c>
      <c r="E607" t="s">
        <v>192</v>
      </c>
      <c r="F607" s="421">
        <v>1</v>
      </c>
      <c r="G607" t="s">
        <v>193</v>
      </c>
      <c r="H607" t="s">
        <v>194</v>
      </c>
      <c r="I607" t="s">
        <v>9461</v>
      </c>
      <c r="J607" t="s">
        <v>9302</v>
      </c>
      <c r="K607" t="s">
        <v>11728</v>
      </c>
      <c r="L607" t="s">
        <v>6245</v>
      </c>
      <c r="M607" t="s">
        <v>11604</v>
      </c>
      <c r="N607" t="s">
        <v>9536</v>
      </c>
      <c r="O607" t="s">
        <v>9461</v>
      </c>
      <c r="P607" t="s">
        <v>11729</v>
      </c>
      <c r="Q607" t="s">
        <v>11730</v>
      </c>
      <c r="S607" t="s">
        <v>9309</v>
      </c>
      <c r="U607" s="27" t="s">
        <v>207</v>
      </c>
      <c r="V607" t="s">
        <v>193</v>
      </c>
      <c r="W607" t="s">
        <v>9310</v>
      </c>
      <c r="Z607" t="s">
        <v>9311</v>
      </c>
      <c r="AF607" t="s">
        <v>4714</v>
      </c>
      <c r="AG607" t="s">
        <v>212</v>
      </c>
      <c r="AI607" t="s">
        <v>6955</v>
      </c>
      <c r="AJ607" s="424" t="str">
        <f t="shared" si="27"/>
        <v>122106</v>
      </c>
      <c r="AK607" s="28">
        <v>1</v>
      </c>
      <c r="AL607" s="28">
        <f t="shared" si="29"/>
        <v>1</v>
      </c>
      <c r="AM607" s="28" t="str">
        <f t="shared" si="28"/>
        <v>pracuj.pl</v>
      </c>
    </row>
    <row r="608" spans="1:40" x14ac:dyDescent="0.25">
      <c r="A608" t="s">
        <v>1410</v>
      </c>
      <c r="B608" t="s">
        <v>9490</v>
      </c>
      <c r="C608" t="s">
        <v>17</v>
      </c>
      <c r="D608" s="27" t="s">
        <v>9437</v>
      </c>
      <c r="E608" t="s">
        <v>217</v>
      </c>
      <c r="F608" s="421">
        <v>1</v>
      </c>
      <c r="G608" t="s">
        <v>193</v>
      </c>
      <c r="H608" t="s">
        <v>194</v>
      </c>
      <c r="I608" t="s">
        <v>9491</v>
      </c>
      <c r="J608" t="s">
        <v>210</v>
      </c>
      <c r="K608" t="s">
        <v>9492</v>
      </c>
      <c r="L608" t="s">
        <v>6249</v>
      </c>
      <c r="M608" t="s">
        <v>11702</v>
      </c>
      <c r="N608" t="s">
        <v>9493</v>
      </c>
      <c r="O608" t="s">
        <v>9494</v>
      </c>
      <c r="P608" t="s">
        <v>11731</v>
      </c>
      <c r="Q608" t="s">
        <v>11732</v>
      </c>
      <c r="S608" t="s">
        <v>9309</v>
      </c>
      <c r="T608" s="28" t="s">
        <v>9334</v>
      </c>
      <c r="U608" s="27" t="s">
        <v>624</v>
      </c>
      <c r="V608" t="s">
        <v>194</v>
      </c>
      <c r="W608" t="s">
        <v>9300</v>
      </c>
      <c r="Z608" t="s">
        <v>9311</v>
      </c>
      <c r="AF608" t="s">
        <v>4714</v>
      </c>
      <c r="AG608" t="s">
        <v>9433</v>
      </c>
      <c r="AI608" t="s">
        <v>6955</v>
      </c>
      <c r="AJ608" s="424" t="str">
        <f t="shared" si="27"/>
        <v>332203</v>
      </c>
      <c r="AK608" s="28">
        <v>1</v>
      </c>
      <c r="AL608" s="28">
        <f t="shared" si="29"/>
        <v>1</v>
      </c>
      <c r="AM608" s="28" t="str">
        <f t="shared" si="28"/>
        <v>agora</v>
      </c>
    </row>
    <row r="609" spans="1:39" x14ac:dyDescent="0.25">
      <c r="A609" t="s">
        <v>11733</v>
      </c>
      <c r="B609" t="s">
        <v>11734</v>
      </c>
      <c r="C609" t="s">
        <v>35</v>
      </c>
      <c r="D609" s="27" t="s">
        <v>9437</v>
      </c>
      <c r="E609" t="s">
        <v>192</v>
      </c>
      <c r="F609" s="421">
        <v>1</v>
      </c>
      <c r="G609" t="s">
        <v>193</v>
      </c>
      <c r="H609" t="s">
        <v>194</v>
      </c>
      <c r="I609" t="s">
        <v>9491</v>
      </c>
      <c r="J609" t="s">
        <v>9302</v>
      </c>
      <c r="K609" t="s">
        <v>11735</v>
      </c>
      <c r="L609" t="s">
        <v>6245</v>
      </c>
      <c r="M609" t="s">
        <v>11604</v>
      </c>
      <c r="N609" t="s">
        <v>9536</v>
      </c>
      <c r="O609" t="s">
        <v>9461</v>
      </c>
      <c r="P609" t="s">
        <v>11736</v>
      </c>
      <c r="Q609" t="s">
        <v>11737</v>
      </c>
      <c r="S609" t="s">
        <v>9309</v>
      </c>
      <c r="U609" s="27" t="s">
        <v>207</v>
      </c>
      <c r="V609" t="s">
        <v>193</v>
      </c>
      <c r="W609" t="s">
        <v>9310</v>
      </c>
      <c r="Z609" t="s">
        <v>9311</v>
      </c>
      <c r="AF609" t="s">
        <v>4714</v>
      </c>
      <c r="AG609" t="s">
        <v>11734</v>
      </c>
      <c r="AI609" t="s">
        <v>6955</v>
      </c>
      <c r="AJ609" s="424" t="str">
        <f t="shared" si="27"/>
        <v>122106</v>
      </c>
      <c r="AK609" s="28">
        <v>1</v>
      </c>
      <c r="AL609" s="28">
        <f t="shared" si="29"/>
        <v>1</v>
      </c>
      <c r="AM609" s="28" t="str">
        <f t="shared" si="28"/>
        <v>pracuj.pl</v>
      </c>
    </row>
    <row r="610" spans="1:39" x14ac:dyDescent="0.25">
      <c r="A610" t="s">
        <v>4969</v>
      </c>
      <c r="B610" t="s">
        <v>11533</v>
      </c>
      <c r="C610" t="s">
        <v>10</v>
      </c>
      <c r="D610" s="27" t="s">
        <v>9437</v>
      </c>
      <c r="E610" t="s">
        <v>192</v>
      </c>
      <c r="F610" s="421">
        <v>1</v>
      </c>
      <c r="G610" t="s">
        <v>193</v>
      </c>
      <c r="H610" t="s">
        <v>194</v>
      </c>
      <c r="I610" t="s">
        <v>9318</v>
      </c>
      <c r="J610" t="s">
        <v>210</v>
      </c>
      <c r="K610" t="s">
        <v>11958</v>
      </c>
      <c r="L610" t="s">
        <v>6261</v>
      </c>
      <c r="M610" t="s">
        <v>11604</v>
      </c>
      <c r="N610" t="s">
        <v>9536</v>
      </c>
      <c r="O610" t="s">
        <v>9461</v>
      </c>
      <c r="P610" t="s">
        <v>11959</v>
      </c>
      <c r="Q610" t="s">
        <v>11960</v>
      </c>
      <c r="S610" t="s">
        <v>9309</v>
      </c>
      <c r="T610" s="28" t="s">
        <v>9334</v>
      </c>
      <c r="U610" s="27" t="s">
        <v>484</v>
      </c>
      <c r="V610" t="s">
        <v>194</v>
      </c>
      <c r="W610" t="s">
        <v>9300</v>
      </c>
      <c r="Z610" t="s">
        <v>9311</v>
      </c>
      <c r="AF610" t="s">
        <v>4714</v>
      </c>
      <c r="AG610" t="s">
        <v>11533</v>
      </c>
      <c r="AI610" t="s">
        <v>6955</v>
      </c>
      <c r="AJ610" s="424" t="str">
        <f t="shared" si="27"/>
        <v>251401</v>
      </c>
      <c r="AK610" s="28">
        <v>1</v>
      </c>
      <c r="AL610" s="28">
        <f t="shared" si="29"/>
        <v>1</v>
      </c>
      <c r="AM610" s="28" t="str">
        <f t="shared" si="28"/>
        <v>pracuj.pl</v>
      </c>
    </row>
    <row r="611" spans="1:39" x14ac:dyDescent="0.25">
      <c r="A611" t="s">
        <v>4969</v>
      </c>
      <c r="B611" t="s">
        <v>11961</v>
      </c>
      <c r="C611" t="s">
        <v>10</v>
      </c>
      <c r="D611" s="27" t="s">
        <v>9437</v>
      </c>
      <c r="E611" t="s">
        <v>192</v>
      </c>
      <c r="F611" s="421">
        <v>1</v>
      </c>
      <c r="G611" t="s">
        <v>193</v>
      </c>
      <c r="H611" t="s">
        <v>194</v>
      </c>
      <c r="I611" t="s">
        <v>11614</v>
      </c>
      <c r="J611" t="s">
        <v>9302</v>
      </c>
      <c r="K611" t="s">
        <v>11962</v>
      </c>
      <c r="L611" t="s">
        <v>6295</v>
      </c>
      <c r="M611" t="s">
        <v>11604</v>
      </c>
      <c r="N611" t="s">
        <v>9536</v>
      </c>
      <c r="O611" t="s">
        <v>9461</v>
      </c>
      <c r="P611" t="s">
        <v>11963</v>
      </c>
      <c r="Q611" t="s">
        <v>11964</v>
      </c>
      <c r="S611" t="s">
        <v>9309</v>
      </c>
      <c r="U611" s="27" t="s">
        <v>484</v>
      </c>
      <c r="V611" t="s">
        <v>193</v>
      </c>
      <c r="W611" t="s">
        <v>9310</v>
      </c>
      <c r="Z611" t="s">
        <v>9311</v>
      </c>
      <c r="AF611" t="s">
        <v>4714</v>
      </c>
      <c r="AG611" t="s">
        <v>11961</v>
      </c>
      <c r="AI611" t="s">
        <v>6955</v>
      </c>
      <c r="AJ611" s="424" t="str">
        <f t="shared" si="27"/>
        <v>251401</v>
      </c>
      <c r="AK611" s="28">
        <v>1</v>
      </c>
      <c r="AL611" s="28">
        <f t="shared" si="29"/>
        <v>1</v>
      </c>
      <c r="AM611" s="28" t="str">
        <f t="shared" si="28"/>
        <v>pracuj.pl</v>
      </c>
    </row>
    <row r="612" spans="1:39" x14ac:dyDescent="0.25">
      <c r="A612" t="s">
        <v>9927</v>
      </c>
      <c r="B612" t="s">
        <v>8932</v>
      </c>
      <c r="C612" t="s">
        <v>10</v>
      </c>
      <c r="D612" s="27" t="s">
        <v>9437</v>
      </c>
      <c r="E612" t="s">
        <v>217</v>
      </c>
      <c r="F612" s="421">
        <v>1</v>
      </c>
      <c r="G612" t="s">
        <v>193</v>
      </c>
      <c r="H612" t="s">
        <v>194</v>
      </c>
      <c r="I612" t="s">
        <v>9318</v>
      </c>
      <c r="J612" t="s">
        <v>210</v>
      </c>
      <c r="K612" t="s">
        <v>9933</v>
      </c>
      <c r="L612" t="s">
        <v>6261</v>
      </c>
      <c r="M612" t="s">
        <v>11702</v>
      </c>
      <c r="N612" t="s">
        <v>9929</v>
      </c>
      <c r="O612" t="s">
        <v>9930</v>
      </c>
      <c r="P612" t="s">
        <v>12002</v>
      </c>
      <c r="Q612" t="s">
        <v>12003</v>
      </c>
      <c r="S612" t="s">
        <v>9309</v>
      </c>
      <c r="T612" s="28" t="s">
        <v>9334</v>
      </c>
      <c r="U612" s="27" t="s">
        <v>484</v>
      </c>
      <c r="V612" t="s">
        <v>194</v>
      </c>
      <c r="W612" t="s">
        <v>9300</v>
      </c>
      <c r="Z612" t="s">
        <v>9311</v>
      </c>
      <c r="AF612" t="s">
        <v>4714</v>
      </c>
      <c r="AG612" t="s">
        <v>9433</v>
      </c>
      <c r="AI612" t="s">
        <v>6955</v>
      </c>
      <c r="AJ612" s="424" t="str">
        <f t="shared" si="27"/>
        <v>251401</v>
      </c>
      <c r="AK612" s="28">
        <v>1</v>
      </c>
      <c r="AL612" s="28">
        <f t="shared" si="29"/>
        <v>1</v>
      </c>
      <c r="AM612" s="28" t="str">
        <f t="shared" si="28"/>
        <v>agora</v>
      </c>
    </row>
    <row r="613" spans="1:39" x14ac:dyDescent="0.25">
      <c r="A613" t="s">
        <v>9927</v>
      </c>
      <c r="B613" t="s">
        <v>8932</v>
      </c>
      <c r="C613" t="s">
        <v>10</v>
      </c>
      <c r="D613" s="27" t="s">
        <v>9437</v>
      </c>
      <c r="E613" t="s">
        <v>217</v>
      </c>
      <c r="F613" s="421">
        <v>1</v>
      </c>
      <c r="G613" t="s">
        <v>193</v>
      </c>
      <c r="H613" t="s">
        <v>194</v>
      </c>
      <c r="I613" t="s">
        <v>9318</v>
      </c>
      <c r="J613" t="s">
        <v>4751</v>
      </c>
      <c r="K613" t="s">
        <v>9928</v>
      </c>
      <c r="L613" t="s">
        <v>6261</v>
      </c>
      <c r="M613" t="s">
        <v>11702</v>
      </c>
      <c r="N613" t="s">
        <v>9929</v>
      </c>
      <c r="O613" t="s">
        <v>9930</v>
      </c>
      <c r="P613" t="s">
        <v>12004</v>
      </c>
      <c r="Q613" t="s">
        <v>12005</v>
      </c>
      <c r="S613" t="s">
        <v>9309</v>
      </c>
      <c r="T613" s="28" t="s">
        <v>9472</v>
      </c>
      <c r="U613" s="27" t="s">
        <v>484</v>
      </c>
      <c r="V613" t="s">
        <v>194</v>
      </c>
      <c r="W613" t="s">
        <v>9300</v>
      </c>
      <c r="Z613" t="s">
        <v>9311</v>
      </c>
      <c r="AF613" t="s">
        <v>4714</v>
      </c>
      <c r="AG613" t="s">
        <v>9433</v>
      </c>
      <c r="AI613" t="s">
        <v>6955</v>
      </c>
      <c r="AJ613" s="424" t="str">
        <f t="shared" si="27"/>
        <v>251401</v>
      </c>
      <c r="AK613" s="28">
        <v>1</v>
      </c>
      <c r="AL613" s="28">
        <f t="shared" si="29"/>
        <v>1</v>
      </c>
      <c r="AM613" s="28" t="str">
        <f t="shared" si="28"/>
        <v>agora</v>
      </c>
    </row>
    <row r="614" spans="1:39" x14ac:dyDescent="0.25">
      <c r="A614" t="s">
        <v>9927</v>
      </c>
      <c r="B614" t="s">
        <v>12006</v>
      </c>
      <c r="C614" t="s">
        <v>10</v>
      </c>
      <c r="D614" s="27" t="s">
        <v>9437</v>
      </c>
      <c r="E614" t="s">
        <v>217</v>
      </c>
      <c r="F614" s="421">
        <v>1</v>
      </c>
      <c r="G614" t="s">
        <v>193</v>
      </c>
      <c r="H614" t="s">
        <v>194</v>
      </c>
      <c r="I614" t="s">
        <v>11608</v>
      </c>
      <c r="J614" t="s">
        <v>210</v>
      </c>
      <c r="K614" t="s">
        <v>12007</v>
      </c>
      <c r="L614" t="s">
        <v>6261</v>
      </c>
      <c r="M614" t="s">
        <v>11702</v>
      </c>
      <c r="N614" t="s">
        <v>12008</v>
      </c>
      <c r="O614" t="s">
        <v>10045</v>
      </c>
      <c r="P614" t="s">
        <v>12009</v>
      </c>
      <c r="Q614" t="s">
        <v>12010</v>
      </c>
      <c r="S614" t="s">
        <v>9309</v>
      </c>
      <c r="T614" s="28" t="s">
        <v>9334</v>
      </c>
      <c r="U614" s="27" t="s">
        <v>484</v>
      </c>
      <c r="V614" t="s">
        <v>194</v>
      </c>
      <c r="W614" t="s">
        <v>9300</v>
      </c>
      <c r="Z614" t="s">
        <v>9311</v>
      </c>
      <c r="AF614" t="s">
        <v>4714</v>
      </c>
      <c r="AG614" t="s">
        <v>9433</v>
      </c>
      <c r="AI614" t="s">
        <v>6955</v>
      </c>
      <c r="AJ614" s="424" t="str">
        <f t="shared" si="27"/>
        <v>251401</v>
      </c>
      <c r="AK614" s="28">
        <v>1</v>
      </c>
      <c r="AL614" s="28">
        <f t="shared" si="29"/>
        <v>1</v>
      </c>
      <c r="AM614" s="28" t="str">
        <f t="shared" si="28"/>
        <v>agora</v>
      </c>
    </row>
    <row r="615" spans="1:39" x14ac:dyDescent="0.25">
      <c r="A615" t="s">
        <v>8787</v>
      </c>
      <c r="B615" t="s">
        <v>12061</v>
      </c>
      <c r="C615" t="s">
        <v>10</v>
      </c>
      <c r="D615" s="27" t="s">
        <v>9437</v>
      </c>
      <c r="E615" t="s">
        <v>233</v>
      </c>
      <c r="F615" s="421">
        <v>1</v>
      </c>
      <c r="G615" t="s">
        <v>193</v>
      </c>
      <c r="H615" t="s">
        <v>194</v>
      </c>
      <c r="I615" t="s">
        <v>9491</v>
      </c>
      <c r="J615" t="s">
        <v>9302</v>
      </c>
      <c r="K615" t="s">
        <v>12062</v>
      </c>
      <c r="L615" t="s">
        <v>6261</v>
      </c>
      <c r="M615" t="s">
        <v>11670</v>
      </c>
      <c r="N615" t="s">
        <v>10005</v>
      </c>
      <c r="O615" t="s">
        <v>9494</v>
      </c>
      <c r="P615" t="s">
        <v>12063</v>
      </c>
      <c r="Q615" t="s">
        <v>12064</v>
      </c>
      <c r="S615" t="s">
        <v>9309</v>
      </c>
      <c r="U615" s="27" t="s">
        <v>484</v>
      </c>
      <c r="V615" t="s">
        <v>193</v>
      </c>
      <c r="W615" t="s">
        <v>9310</v>
      </c>
      <c r="Z615" t="s">
        <v>9311</v>
      </c>
      <c r="AF615" t="s">
        <v>4714</v>
      </c>
      <c r="AG615" t="s">
        <v>12061</v>
      </c>
      <c r="AI615" t="s">
        <v>6955</v>
      </c>
      <c r="AJ615" s="424" t="str">
        <f t="shared" si="27"/>
        <v>251401</v>
      </c>
      <c r="AK615" s="28">
        <v>1</v>
      </c>
      <c r="AL615" s="28">
        <f t="shared" si="29"/>
        <v>1</v>
      </c>
      <c r="AM615" s="28" t="str">
        <f t="shared" si="28"/>
        <v>praca</v>
      </c>
    </row>
    <row r="616" spans="1:39" x14ac:dyDescent="0.25">
      <c r="A616" t="s">
        <v>8787</v>
      </c>
      <c r="B616" t="s">
        <v>12061</v>
      </c>
      <c r="C616" t="s">
        <v>10</v>
      </c>
      <c r="D616" s="27" t="s">
        <v>9437</v>
      </c>
      <c r="E616" t="s">
        <v>233</v>
      </c>
      <c r="F616" s="421">
        <v>1</v>
      </c>
      <c r="G616" t="s">
        <v>193</v>
      </c>
      <c r="H616" t="s">
        <v>194</v>
      </c>
      <c r="I616" t="s">
        <v>9491</v>
      </c>
      <c r="J616" t="s">
        <v>9302</v>
      </c>
      <c r="K616" t="s">
        <v>12065</v>
      </c>
      <c r="L616" t="s">
        <v>6261</v>
      </c>
      <c r="M616" t="s">
        <v>11670</v>
      </c>
      <c r="N616" t="s">
        <v>10005</v>
      </c>
      <c r="O616" t="s">
        <v>9494</v>
      </c>
      <c r="P616" t="s">
        <v>12066</v>
      </c>
      <c r="Q616" t="s">
        <v>12067</v>
      </c>
      <c r="S616" t="s">
        <v>9309</v>
      </c>
      <c r="U616" s="27" t="s">
        <v>484</v>
      </c>
      <c r="V616" t="s">
        <v>193</v>
      </c>
      <c r="W616" t="s">
        <v>9310</v>
      </c>
      <c r="Z616" t="s">
        <v>9311</v>
      </c>
      <c r="AF616" t="s">
        <v>4714</v>
      </c>
      <c r="AG616" t="s">
        <v>12061</v>
      </c>
      <c r="AI616" t="s">
        <v>6955</v>
      </c>
      <c r="AJ616" s="424" t="str">
        <f t="shared" si="27"/>
        <v>251401</v>
      </c>
      <c r="AK616" s="28">
        <v>1</v>
      </c>
      <c r="AL616" s="28">
        <f t="shared" si="29"/>
        <v>1</v>
      </c>
      <c r="AM616" s="28" t="str">
        <f t="shared" si="28"/>
        <v>praca</v>
      </c>
    </row>
    <row r="617" spans="1:39" x14ac:dyDescent="0.25">
      <c r="A617" t="s">
        <v>8787</v>
      </c>
      <c r="B617" t="s">
        <v>1406</v>
      </c>
      <c r="C617" t="s">
        <v>10</v>
      </c>
      <c r="D617" s="27" t="s">
        <v>9437</v>
      </c>
      <c r="E617" t="s">
        <v>233</v>
      </c>
      <c r="F617" s="421">
        <v>1</v>
      </c>
      <c r="G617" t="s">
        <v>193</v>
      </c>
      <c r="H617" t="s">
        <v>194</v>
      </c>
      <c r="I617" t="s">
        <v>9318</v>
      </c>
      <c r="J617" t="s">
        <v>9302</v>
      </c>
      <c r="K617" t="s">
        <v>12068</v>
      </c>
      <c r="L617" t="s">
        <v>6261</v>
      </c>
      <c r="M617" t="s">
        <v>11670</v>
      </c>
      <c r="N617" t="s">
        <v>10005</v>
      </c>
      <c r="O617" t="s">
        <v>9494</v>
      </c>
      <c r="P617" t="s">
        <v>12069</v>
      </c>
      <c r="Q617" t="s">
        <v>12070</v>
      </c>
      <c r="S617" t="s">
        <v>9309</v>
      </c>
      <c r="U617" s="27" t="s">
        <v>484</v>
      </c>
      <c r="V617" t="s">
        <v>193</v>
      </c>
      <c r="W617" t="s">
        <v>9310</v>
      </c>
      <c r="Z617" t="s">
        <v>9311</v>
      </c>
      <c r="AF617" t="s">
        <v>4714</v>
      </c>
      <c r="AG617" t="s">
        <v>1406</v>
      </c>
      <c r="AI617" t="s">
        <v>6955</v>
      </c>
      <c r="AJ617" s="424" t="str">
        <f t="shared" si="27"/>
        <v>251401</v>
      </c>
      <c r="AK617" s="28">
        <v>1</v>
      </c>
      <c r="AL617" s="28">
        <f t="shared" si="29"/>
        <v>1</v>
      </c>
      <c r="AM617" s="28" t="str">
        <f t="shared" si="28"/>
        <v>praca</v>
      </c>
    </row>
    <row r="618" spans="1:39" x14ac:dyDescent="0.25">
      <c r="A618" t="s">
        <v>8787</v>
      </c>
      <c r="B618" t="s">
        <v>2276</v>
      </c>
      <c r="C618" t="s">
        <v>10</v>
      </c>
      <c r="D618" s="27" t="s">
        <v>9437</v>
      </c>
      <c r="E618" t="s">
        <v>233</v>
      </c>
      <c r="F618" s="421">
        <v>1</v>
      </c>
      <c r="G618" t="s">
        <v>193</v>
      </c>
      <c r="H618" t="s">
        <v>194</v>
      </c>
      <c r="I618" t="s">
        <v>11608</v>
      </c>
      <c r="J618" t="s">
        <v>9302</v>
      </c>
      <c r="K618" t="s">
        <v>12071</v>
      </c>
      <c r="L618" t="s">
        <v>6261</v>
      </c>
      <c r="M618" t="s">
        <v>11670</v>
      </c>
      <c r="N618" t="s">
        <v>10005</v>
      </c>
      <c r="O618" t="s">
        <v>9494</v>
      </c>
      <c r="P618" t="s">
        <v>12072</v>
      </c>
      <c r="Q618" t="s">
        <v>12073</v>
      </c>
      <c r="S618" t="s">
        <v>9309</v>
      </c>
      <c r="U618" s="27" t="s">
        <v>484</v>
      </c>
      <c r="V618" t="s">
        <v>193</v>
      </c>
      <c r="W618" t="s">
        <v>9310</v>
      </c>
      <c r="Z618" t="s">
        <v>9311</v>
      </c>
      <c r="AF618" t="s">
        <v>4714</v>
      </c>
      <c r="AG618" t="s">
        <v>2276</v>
      </c>
      <c r="AI618" t="s">
        <v>6955</v>
      </c>
      <c r="AJ618" s="424" t="str">
        <f t="shared" si="27"/>
        <v>251401</v>
      </c>
      <c r="AK618" s="28">
        <v>1</v>
      </c>
      <c r="AL618" s="28">
        <f t="shared" si="29"/>
        <v>1</v>
      </c>
      <c r="AM618" s="28" t="str">
        <f t="shared" si="28"/>
        <v>praca</v>
      </c>
    </row>
    <row r="619" spans="1:39" x14ac:dyDescent="0.25">
      <c r="A619" t="s">
        <v>10076</v>
      </c>
      <c r="B619" t="s">
        <v>9194</v>
      </c>
      <c r="C619" t="s">
        <v>10</v>
      </c>
      <c r="D619" s="27" t="s">
        <v>9437</v>
      </c>
      <c r="E619" t="s">
        <v>192</v>
      </c>
      <c r="F619" s="421">
        <v>1</v>
      </c>
      <c r="G619" t="s">
        <v>193</v>
      </c>
      <c r="H619" t="s">
        <v>194</v>
      </c>
      <c r="I619" t="s">
        <v>11608</v>
      </c>
      <c r="J619" t="s">
        <v>9302</v>
      </c>
      <c r="K619" t="s">
        <v>12074</v>
      </c>
      <c r="L619" t="s">
        <v>6921</v>
      </c>
      <c r="M619" t="s">
        <v>11604</v>
      </c>
      <c r="N619" t="s">
        <v>9536</v>
      </c>
      <c r="O619" t="s">
        <v>9461</v>
      </c>
      <c r="P619" t="s">
        <v>12075</v>
      </c>
      <c r="Q619" t="s">
        <v>12076</v>
      </c>
      <c r="S619" t="s">
        <v>9309</v>
      </c>
      <c r="U619" s="27" t="s">
        <v>484</v>
      </c>
      <c r="V619" t="s">
        <v>193</v>
      </c>
      <c r="W619" t="s">
        <v>9310</v>
      </c>
      <c r="Z619" t="s">
        <v>9311</v>
      </c>
      <c r="AF619" t="s">
        <v>4714</v>
      </c>
      <c r="AG619" t="s">
        <v>9194</v>
      </c>
      <c r="AI619" t="s">
        <v>6955</v>
      </c>
      <c r="AJ619" s="424" t="str">
        <f t="shared" si="27"/>
        <v>251401</v>
      </c>
      <c r="AK619" s="28">
        <v>1</v>
      </c>
      <c r="AL619" s="28">
        <f t="shared" si="29"/>
        <v>1</v>
      </c>
      <c r="AM619" s="28" t="str">
        <f t="shared" si="28"/>
        <v>pracuj.pl</v>
      </c>
    </row>
    <row r="620" spans="1:39" x14ac:dyDescent="0.25">
      <c r="A620" t="s">
        <v>12084</v>
      </c>
      <c r="B620" t="s">
        <v>12089</v>
      </c>
      <c r="C620" t="s">
        <v>10</v>
      </c>
      <c r="D620" s="27" t="s">
        <v>9437</v>
      </c>
      <c r="E620" t="s">
        <v>233</v>
      </c>
      <c r="F620" s="421">
        <v>1</v>
      </c>
      <c r="G620" t="s">
        <v>193</v>
      </c>
      <c r="H620" t="s">
        <v>194</v>
      </c>
      <c r="I620" t="s">
        <v>9318</v>
      </c>
      <c r="J620" t="s">
        <v>9302</v>
      </c>
      <c r="K620" t="s">
        <v>12090</v>
      </c>
      <c r="L620" t="s">
        <v>6921</v>
      </c>
      <c r="M620" t="s">
        <v>11670</v>
      </c>
      <c r="N620" t="s">
        <v>10005</v>
      </c>
      <c r="O620" t="s">
        <v>10767</v>
      </c>
      <c r="P620" t="s">
        <v>12091</v>
      </c>
      <c r="Q620" t="s">
        <v>12092</v>
      </c>
      <c r="S620" t="s">
        <v>9309</v>
      </c>
      <c r="U620" s="27" t="s">
        <v>484</v>
      </c>
      <c r="V620" t="s">
        <v>193</v>
      </c>
      <c r="W620" t="s">
        <v>9310</v>
      </c>
      <c r="Z620" t="s">
        <v>9311</v>
      </c>
      <c r="AF620" t="s">
        <v>4714</v>
      </c>
      <c r="AG620" t="s">
        <v>12089</v>
      </c>
      <c r="AI620" t="s">
        <v>6955</v>
      </c>
      <c r="AJ620" s="424" t="str">
        <f t="shared" si="27"/>
        <v>251401</v>
      </c>
      <c r="AK620" s="28">
        <v>1</v>
      </c>
      <c r="AL620" s="28">
        <f t="shared" si="29"/>
        <v>1</v>
      </c>
      <c r="AM620" s="28" t="str">
        <f t="shared" si="28"/>
        <v>praca</v>
      </c>
    </row>
    <row r="621" spans="1:39" x14ac:dyDescent="0.25">
      <c r="A621" t="s">
        <v>12084</v>
      </c>
      <c r="B621" t="s">
        <v>12097</v>
      </c>
      <c r="C621" t="s">
        <v>10</v>
      </c>
      <c r="D621" s="27" t="s">
        <v>9437</v>
      </c>
      <c r="E621" t="s">
        <v>233</v>
      </c>
      <c r="F621" s="421">
        <v>1</v>
      </c>
      <c r="G621" t="s">
        <v>193</v>
      </c>
      <c r="H621" t="s">
        <v>194</v>
      </c>
      <c r="I621" t="s">
        <v>11608</v>
      </c>
      <c r="J621" t="s">
        <v>9302</v>
      </c>
      <c r="K621" t="s">
        <v>12098</v>
      </c>
      <c r="L621" t="s">
        <v>6921</v>
      </c>
      <c r="M621" t="s">
        <v>11670</v>
      </c>
      <c r="N621" t="s">
        <v>10005</v>
      </c>
      <c r="O621" t="s">
        <v>10767</v>
      </c>
      <c r="P621" t="s">
        <v>12099</v>
      </c>
      <c r="Q621" t="s">
        <v>12100</v>
      </c>
      <c r="S621" t="s">
        <v>9309</v>
      </c>
      <c r="U621" s="27" t="s">
        <v>484</v>
      </c>
      <c r="V621" t="s">
        <v>193</v>
      </c>
      <c r="W621" t="s">
        <v>9310</v>
      </c>
      <c r="Z621" t="s">
        <v>9311</v>
      </c>
      <c r="AF621" t="s">
        <v>4714</v>
      </c>
      <c r="AG621" t="s">
        <v>12097</v>
      </c>
      <c r="AI621" t="s">
        <v>6955</v>
      </c>
      <c r="AJ621" s="424" t="str">
        <f t="shared" si="27"/>
        <v>251401</v>
      </c>
      <c r="AK621" s="28">
        <v>1</v>
      </c>
      <c r="AL621" s="28">
        <f t="shared" si="29"/>
        <v>1</v>
      </c>
      <c r="AM621" s="28" t="str">
        <f t="shared" si="28"/>
        <v>praca</v>
      </c>
    </row>
    <row r="622" spans="1:39" x14ac:dyDescent="0.25">
      <c r="A622" t="s">
        <v>12119</v>
      </c>
      <c r="B622" t="s">
        <v>12124</v>
      </c>
      <c r="C622" t="s">
        <v>10</v>
      </c>
      <c r="D622" s="27" t="s">
        <v>9437</v>
      </c>
      <c r="E622" t="s">
        <v>192</v>
      </c>
      <c r="F622" s="421">
        <v>1</v>
      </c>
      <c r="G622" t="s">
        <v>193</v>
      </c>
      <c r="H622" t="s">
        <v>194</v>
      </c>
      <c r="I622" t="s">
        <v>11608</v>
      </c>
      <c r="J622" t="s">
        <v>9302</v>
      </c>
      <c r="K622" t="s">
        <v>12125</v>
      </c>
      <c r="L622" t="s">
        <v>6261</v>
      </c>
      <c r="M622" t="s">
        <v>11604</v>
      </c>
      <c r="N622" t="s">
        <v>9536</v>
      </c>
      <c r="O622" t="s">
        <v>9461</v>
      </c>
      <c r="P622" t="s">
        <v>12126</v>
      </c>
      <c r="Q622" t="s">
        <v>12127</v>
      </c>
      <c r="S622" t="s">
        <v>9309</v>
      </c>
      <c r="U622" s="27" t="s">
        <v>484</v>
      </c>
      <c r="V622" t="s">
        <v>193</v>
      </c>
      <c r="W622" t="s">
        <v>9310</v>
      </c>
      <c r="Z622" t="s">
        <v>9311</v>
      </c>
      <c r="AF622" t="s">
        <v>4714</v>
      </c>
      <c r="AG622" t="s">
        <v>12124</v>
      </c>
      <c r="AI622" t="s">
        <v>6955</v>
      </c>
      <c r="AJ622" s="424" t="str">
        <f t="shared" si="27"/>
        <v>251401</v>
      </c>
      <c r="AK622" s="28">
        <v>1</v>
      </c>
      <c r="AL622" s="28">
        <f t="shared" si="29"/>
        <v>1</v>
      </c>
      <c r="AM622" s="28" t="str">
        <f t="shared" si="28"/>
        <v>pracuj.pl</v>
      </c>
    </row>
    <row r="623" spans="1:39" x14ac:dyDescent="0.25">
      <c r="A623" t="s">
        <v>493</v>
      </c>
      <c r="B623" t="s">
        <v>12177</v>
      </c>
      <c r="C623" t="s">
        <v>10</v>
      </c>
      <c r="D623" s="27" t="s">
        <v>9437</v>
      </c>
      <c r="E623" t="s">
        <v>192</v>
      </c>
      <c r="F623" s="421">
        <v>1</v>
      </c>
      <c r="G623" t="s">
        <v>193</v>
      </c>
      <c r="H623" t="s">
        <v>194</v>
      </c>
      <c r="I623" t="s">
        <v>9491</v>
      </c>
      <c r="J623" t="s">
        <v>210</v>
      </c>
      <c r="K623" t="s">
        <v>12178</v>
      </c>
      <c r="L623" t="s">
        <v>6261</v>
      </c>
      <c r="M623" t="s">
        <v>11604</v>
      </c>
      <c r="N623" t="s">
        <v>9536</v>
      </c>
      <c r="O623" t="s">
        <v>9461</v>
      </c>
      <c r="P623" t="s">
        <v>12179</v>
      </c>
      <c r="Q623" t="s">
        <v>12180</v>
      </c>
      <c r="S623" t="s">
        <v>9309</v>
      </c>
      <c r="T623" s="28" t="s">
        <v>9334</v>
      </c>
      <c r="U623" s="27" t="s">
        <v>484</v>
      </c>
      <c r="V623" t="s">
        <v>194</v>
      </c>
      <c r="W623" t="s">
        <v>9300</v>
      </c>
      <c r="Z623" t="s">
        <v>9311</v>
      </c>
      <c r="AF623" t="s">
        <v>4714</v>
      </c>
      <c r="AG623" t="s">
        <v>12177</v>
      </c>
      <c r="AI623" t="s">
        <v>6955</v>
      </c>
      <c r="AJ623" s="424" t="str">
        <f t="shared" si="27"/>
        <v>251401</v>
      </c>
      <c r="AK623" s="28">
        <v>1</v>
      </c>
      <c r="AL623" s="28">
        <f t="shared" si="29"/>
        <v>1</v>
      </c>
      <c r="AM623" s="28" t="str">
        <f t="shared" si="28"/>
        <v>pracuj.pl</v>
      </c>
    </row>
    <row r="624" spans="1:39" x14ac:dyDescent="0.25">
      <c r="A624" t="s">
        <v>493</v>
      </c>
      <c r="B624" t="s">
        <v>12181</v>
      </c>
      <c r="C624" t="s">
        <v>10</v>
      </c>
      <c r="D624" s="27" t="s">
        <v>9437</v>
      </c>
      <c r="E624" t="s">
        <v>192</v>
      </c>
      <c r="F624" s="421">
        <v>1</v>
      </c>
      <c r="G624" t="s">
        <v>193</v>
      </c>
      <c r="H624" t="s">
        <v>194</v>
      </c>
      <c r="I624" t="s">
        <v>11608</v>
      </c>
      <c r="J624" t="s">
        <v>210</v>
      </c>
      <c r="K624" t="s">
        <v>12182</v>
      </c>
      <c r="L624" t="s">
        <v>6261</v>
      </c>
      <c r="M624" t="s">
        <v>11604</v>
      </c>
      <c r="N624" t="s">
        <v>9536</v>
      </c>
      <c r="O624" t="s">
        <v>9461</v>
      </c>
      <c r="P624" t="s">
        <v>12183</v>
      </c>
      <c r="Q624" t="s">
        <v>12184</v>
      </c>
      <c r="S624" t="s">
        <v>9309</v>
      </c>
      <c r="T624" s="28" t="s">
        <v>9334</v>
      </c>
      <c r="U624" s="27" t="s">
        <v>484</v>
      </c>
      <c r="V624" t="s">
        <v>194</v>
      </c>
      <c r="W624" t="s">
        <v>9300</v>
      </c>
      <c r="Z624" t="s">
        <v>9311</v>
      </c>
      <c r="AF624" t="s">
        <v>4714</v>
      </c>
      <c r="AG624" t="s">
        <v>12181</v>
      </c>
      <c r="AI624" t="s">
        <v>6955</v>
      </c>
      <c r="AJ624" s="424" t="str">
        <f t="shared" si="27"/>
        <v>251401</v>
      </c>
      <c r="AK624" s="28">
        <v>1</v>
      </c>
      <c r="AL624" s="28">
        <f t="shared" si="29"/>
        <v>1</v>
      </c>
      <c r="AM624" s="28" t="str">
        <f t="shared" si="28"/>
        <v>pracuj.pl</v>
      </c>
    </row>
    <row r="625" spans="1:39" x14ac:dyDescent="0.25">
      <c r="A625" t="s">
        <v>493</v>
      </c>
      <c r="B625" t="s">
        <v>12185</v>
      </c>
      <c r="C625" t="s">
        <v>10</v>
      </c>
      <c r="D625" s="27" t="s">
        <v>9437</v>
      </c>
      <c r="E625" t="s">
        <v>192</v>
      </c>
      <c r="F625" s="421">
        <v>1</v>
      </c>
      <c r="G625" t="s">
        <v>193</v>
      </c>
      <c r="H625" t="s">
        <v>194</v>
      </c>
      <c r="I625" t="s">
        <v>11608</v>
      </c>
      <c r="J625" t="s">
        <v>210</v>
      </c>
      <c r="K625" t="s">
        <v>12186</v>
      </c>
      <c r="L625" t="s">
        <v>6261</v>
      </c>
      <c r="M625" t="s">
        <v>11604</v>
      </c>
      <c r="N625" t="s">
        <v>9536</v>
      </c>
      <c r="O625" t="s">
        <v>9461</v>
      </c>
      <c r="P625" t="s">
        <v>12187</v>
      </c>
      <c r="Q625" t="s">
        <v>12188</v>
      </c>
      <c r="S625" t="s">
        <v>9309</v>
      </c>
      <c r="T625" s="28" t="s">
        <v>9334</v>
      </c>
      <c r="U625" s="27" t="s">
        <v>484</v>
      </c>
      <c r="V625" t="s">
        <v>194</v>
      </c>
      <c r="W625" t="s">
        <v>9300</v>
      </c>
      <c r="Z625" t="s">
        <v>9311</v>
      </c>
      <c r="AF625" t="s">
        <v>4714</v>
      </c>
      <c r="AG625" t="s">
        <v>12185</v>
      </c>
      <c r="AI625" t="s">
        <v>6955</v>
      </c>
      <c r="AJ625" s="424" t="str">
        <f t="shared" si="27"/>
        <v>251401</v>
      </c>
      <c r="AK625" s="28">
        <v>1</v>
      </c>
      <c r="AL625" s="28">
        <f t="shared" si="29"/>
        <v>1</v>
      </c>
      <c r="AM625" s="28" t="str">
        <f t="shared" si="28"/>
        <v>pracuj.pl</v>
      </c>
    </row>
    <row r="626" spans="1:39" x14ac:dyDescent="0.25">
      <c r="A626" t="s">
        <v>9312</v>
      </c>
      <c r="B626" t="s">
        <v>12259</v>
      </c>
      <c r="C626" t="s">
        <v>10</v>
      </c>
      <c r="D626" s="27" t="s">
        <v>10194</v>
      </c>
      <c r="E626" t="s">
        <v>192</v>
      </c>
      <c r="F626" s="421">
        <v>1</v>
      </c>
      <c r="G626" t="s">
        <v>193</v>
      </c>
      <c r="H626" t="s">
        <v>194</v>
      </c>
      <c r="I626" t="s">
        <v>12260</v>
      </c>
      <c r="J626" t="s">
        <v>9302</v>
      </c>
      <c r="K626" t="s">
        <v>12261</v>
      </c>
      <c r="L626" t="s">
        <v>6921</v>
      </c>
      <c r="M626" t="s">
        <v>12244</v>
      </c>
      <c r="N626" t="s">
        <v>9749</v>
      </c>
      <c r="O626" t="s">
        <v>9574</v>
      </c>
      <c r="P626" t="s">
        <v>12262</v>
      </c>
      <c r="Q626" t="s">
        <v>12263</v>
      </c>
      <c r="S626" t="s">
        <v>9309</v>
      </c>
      <c r="U626" s="27" t="s">
        <v>484</v>
      </c>
      <c r="V626" t="s">
        <v>193</v>
      </c>
      <c r="W626" t="s">
        <v>9310</v>
      </c>
      <c r="Z626" t="s">
        <v>9311</v>
      </c>
      <c r="AF626" t="s">
        <v>4714</v>
      </c>
      <c r="AG626" t="s">
        <v>12259</v>
      </c>
      <c r="AI626" t="s">
        <v>6955</v>
      </c>
      <c r="AJ626" s="424" t="str">
        <f t="shared" si="27"/>
        <v>251401</v>
      </c>
      <c r="AK626" s="28">
        <v>1</v>
      </c>
      <c r="AL626" s="28">
        <f t="shared" si="29"/>
        <v>1</v>
      </c>
      <c r="AM626" s="28" t="str">
        <f t="shared" si="28"/>
        <v>pracuj.pl</v>
      </c>
    </row>
    <row r="627" spans="1:39" x14ac:dyDescent="0.25">
      <c r="A627" t="s">
        <v>12279</v>
      </c>
      <c r="B627" t="s">
        <v>12280</v>
      </c>
      <c r="C627" t="s">
        <v>10</v>
      </c>
      <c r="D627" s="27" t="s">
        <v>10194</v>
      </c>
      <c r="E627" t="s">
        <v>192</v>
      </c>
      <c r="F627" s="421">
        <v>1</v>
      </c>
      <c r="G627" t="s">
        <v>193</v>
      </c>
      <c r="H627" t="s">
        <v>194</v>
      </c>
      <c r="I627" t="s">
        <v>11614</v>
      </c>
      <c r="J627" t="s">
        <v>210</v>
      </c>
      <c r="K627" t="s">
        <v>12281</v>
      </c>
      <c r="L627" t="s">
        <v>6295</v>
      </c>
      <c r="M627" t="s">
        <v>12244</v>
      </c>
      <c r="N627" t="s">
        <v>9749</v>
      </c>
      <c r="O627" t="s">
        <v>9574</v>
      </c>
      <c r="P627" t="s">
        <v>12282</v>
      </c>
      <c r="Q627" t="s">
        <v>12283</v>
      </c>
      <c r="S627" t="s">
        <v>9309</v>
      </c>
      <c r="T627" s="28" t="s">
        <v>9334</v>
      </c>
      <c r="U627" s="27" t="s">
        <v>484</v>
      </c>
      <c r="V627" t="s">
        <v>194</v>
      </c>
      <c r="W627" t="s">
        <v>9300</v>
      </c>
      <c r="Z627" t="s">
        <v>9311</v>
      </c>
      <c r="AF627" t="s">
        <v>4714</v>
      </c>
      <c r="AG627" t="s">
        <v>12280</v>
      </c>
      <c r="AI627" t="s">
        <v>6955</v>
      </c>
      <c r="AJ627" s="424" t="str">
        <f t="shared" si="27"/>
        <v>251401</v>
      </c>
      <c r="AK627" s="28">
        <v>1</v>
      </c>
      <c r="AL627" s="28">
        <f t="shared" si="29"/>
        <v>1</v>
      </c>
      <c r="AM627" s="28" t="str">
        <f t="shared" si="28"/>
        <v>pracuj.pl</v>
      </c>
    </row>
    <row r="628" spans="1:39" x14ac:dyDescent="0.25">
      <c r="A628" t="s">
        <v>1639</v>
      </c>
      <c r="B628" t="s">
        <v>12301</v>
      </c>
      <c r="C628" t="s">
        <v>10</v>
      </c>
      <c r="D628" s="27" t="s">
        <v>10194</v>
      </c>
      <c r="E628" t="s">
        <v>192</v>
      </c>
      <c r="F628" s="421">
        <v>1</v>
      </c>
      <c r="G628" t="s">
        <v>193</v>
      </c>
      <c r="H628" t="s">
        <v>194</v>
      </c>
      <c r="I628" t="s">
        <v>11614</v>
      </c>
      <c r="J628" t="s">
        <v>210</v>
      </c>
      <c r="K628" t="s">
        <v>12302</v>
      </c>
      <c r="L628" t="s">
        <v>6921</v>
      </c>
      <c r="M628" t="s">
        <v>12244</v>
      </c>
      <c r="N628" t="s">
        <v>9749</v>
      </c>
      <c r="O628" t="s">
        <v>9574</v>
      </c>
      <c r="P628" t="s">
        <v>12303</v>
      </c>
      <c r="Q628" t="s">
        <v>12304</v>
      </c>
      <c r="S628" t="s">
        <v>9309</v>
      </c>
      <c r="T628" s="28" t="s">
        <v>9334</v>
      </c>
      <c r="U628" s="27" t="s">
        <v>484</v>
      </c>
      <c r="V628" t="s">
        <v>194</v>
      </c>
      <c r="W628" t="s">
        <v>9300</v>
      </c>
      <c r="Z628" t="s">
        <v>9311</v>
      </c>
      <c r="AF628" t="s">
        <v>4714</v>
      </c>
      <c r="AG628" t="s">
        <v>12301</v>
      </c>
      <c r="AI628" t="s">
        <v>6955</v>
      </c>
      <c r="AJ628" s="424" t="str">
        <f t="shared" si="27"/>
        <v>251401</v>
      </c>
      <c r="AK628" s="28">
        <v>1</v>
      </c>
      <c r="AL628" s="28">
        <f t="shared" si="29"/>
        <v>1</v>
      </c>
      <c r="AM628" s="28" t="str">
        <f t="shared" si="28"/>
        <v>pracuj.pl</v>
      </c>
    </row>
    <row r="629" spans="1:39" x14ac:dyDescent="0.25">
      <c r="A629" t="s">
        <v>1945</v>
      </c>
      <c r="B629" t="s">
        <v>12310</v>
      </c>
      <c r="C629" t="s">
        <v>10</v>
      </c>
      <c r="D629" s="27" t="s">
        <v>10194</v>
      </c>
      <c r="E629" t="s">
        <v>192</v>
      </c>
      <c r="F629" s="421">
        <v>1</v>
      </c>
      <c r="G629" t="s">
        <v>193</v>
      </c>
      <c r="H629" t="s">
        <v>194</v>
      </c>
      <c r="I629" t="s">
        <v>12271</v>
      </c>
      <c r="J629" t="s">
        <v>316</v>
      </c>
      <c r="K629" t="s">
        <v>12311</v>
      </c>
      <c r="L629" t="s">
        <v>6921</v>
      </c>
      <c r="M629" t="s">
        <v>12244</v>
      </c>
      <c r="N629" t="s">
        <v>9749</v>
      </c>
      <c r="O629" t="s">
        <v>9574</v>
      </c>
      <c r="P629" t="s">
        <v>12312</v>
      </c>
      <c r="Q629" t="s">
        <v>12313</v>
      </c>
      <c r="S629" t="s">
        <v>9309</v>
      </c>
      <c r="T629" s="28" t="s">
        <v>10012</v>
      </c>
      <c r="U629" s="27" t="s">
        <v>484</v>
      </c>
      <c r="V629" t="s">
        <v>194</v>
      </c>
      <c r="W629" t="s">
        <v>9300</v>
      </c>
      <c r="Z629" t="s">
        <v>9311</v>
      </c>
      <c r="AF629" t="s">
        <v>4714</v>
      </c>
      <c r="AG629" t="s">
        <v>12310</v>
      </c>
      <c r="AI629" t="s">
        <v>6955</v>
      </c>
      <c r="AJ629" s="424" t="str">
        <f t="shared" si="27"/>
        <v>251401</v>
      </c>
      <c r="AK629" s="28">
        <v>1</v>
      </c>
      <c r="AL629" s="28">
        <f t="shared" si="29"/>
        <v>1</v>
      </c>
      <c r="AM629" s="28" t="str">
        <f t="shared" si="28"/>
        <v>pracuj.pl</v>
      </c>
    </row>
    <row r="630" spans="1:39" x14ac:dyDescent="0.25">
      <c r="A630" t="s">
        <v>8074</v>
      </c>
      <c r="B630" t="s">
        <v>1407</v>
      </c>
      <c r="C630" t="s">
        <v>10</v>
      </c>
      <c r="D630" s="27" t="s">
        <v>10194</v>
      </c>
      <c r="E630" t="s">
        <v>192</v>
      </c>
      <c r="F630" s="421">
        <v>1</v>
      </c>
      <c r="G630" t="s">
        <v>193</v>
      </c>
      <c r="H630" t="s">
        <v>194</v>
      </c>
      <c r="I630" t="s">
        <v>9989</v>
      </c>
      <c r="J630" t="s">
        <v>210</v>
      </c>
      <c r="K630" t="s">
        <v>12318</v>
      </c>
      <c r="L630" t="s">
        <v>6921</v>
      </c>
      <c r="M630" t="s">
        <v>12244</v>
      </c>
      <c r="N630" t="s">
        <v>9749</v>
      </c>
      <c r="O630" t="s">
        <v>9574</v>
      </c>
      <c r="P630" t="s">
        <v>12319</v>
      </c>
      <c r="Q630" t="s">
        <v>12320</v>
      </c>
      <c r="S630" t="s">
        <v>9309</v>
      </c>
      <c r="T630" s="28" t="s">
        <v>9334</v>
      </c>
      <c r="U630" s="27" t="s">
        <v>484</v>
      </c>
      <c r="V630" t="s">
        <v>194</v>
      </c>
      <c r="W630" t="s">
        <v>9300</v>
      </c>
      <c r="Z630" t="s">
        <v>9311</v>
      </c>
      <c r="AF630" t="s">
        <v>4714</v>
      </c>
      <c r="AG630" t="s">
        <v>1407</v>
      </c>
      <c r="AI630" t="s">
        <v>6955</v>
      </c>
      <c r="AJ630" s="424" t="str">
        <f t="shared" si="27"/>
        <v>251401</v>
      </c>
      <c r="AK630" s="28">
        <v>1</v>
      </c>
      <c r="AL630" s="28">
        <f t="shared" si="29"/>
        <v>1</v>
      </c>
      <c r="AM630" s="28" t="str">
        <f t="shared" si="28"/>
        <v>pracuj.pl</v>
      </c>
    </row>
    <row r="631" spans="1:39" x14ac:dyDescent="0.25">
      <c r="A631" t="s">
        <v>10634</v>
      </c>
      <c r="B631" t="s">
        <v>12360</v>
      </c>
      <c r="C631" t="s">
        <v>10</v>
      </c>
      <c r="D631" s="27" t="s">
        <v>10194</v>
      </c>
      <c r="E631" t="s">
        <v>192</v>
      </c>
      <c r="F631" s="421">
        <v>1</v>
      </c>
      <c r="G631" t="s">
        <v>193</v>
      </c>
      <c r="H631" t="s">
        <v>194</v>
      </c>
      <c r="I631" t="s">
        <v>12285</v>
      </c>
      <c r="J631" t="s">
        <v>9302</v>
      </c>
      <c r="K631" t="s">
        <v>12361</v>
      </c>
      <c r="L631" t="s">
        <v>6921</v>
      </c>
      <c r="M631" t="s">
        <v>12244</v>
      </c>
      <c r="N631" t="s">
        <v>9749</v>
      </c>
      <c r="O631" t="s">
        <v>9574</v>
      </c>
      <c r="P631" t="s">
        <v>12362</v>
      </c>
      <c r="Q631" t="s">
        <v>12363</v>
      </c>
      <c r="S631" t="s">
        <v>9309</v>
      </c>
      <c r="U631" s="27" t="s">
        <v>484</v>
      </c>
      <c r="V631" t="s">
        <v>193</v>
      </c>
      <c r="W631" t="s">
        <v>9310</v>
      </c>
      <c r="Z631" t="s">
        <v>9311</v>
      </c>
      <c r="AF631" t="s">
        <v>4714</v>
      </c>
      <c r="AG631" t="s">
        <v>12360</v>
      </c>
      <c r="AI631" t="s">
        <v>6955</v>
      </c>
      <c r="AJ631" s="424" t="str">
        <f t="shared" si="27"/>
        <v>251401</v>
      </c>
      <c r="AK631" s="28">
        <v>1</v>
      </c>
      <c r="AL631" s="28">
        <f t="shared" si="29"/>
        <v>1</v>
      </c>
      <c r="AM631" s="28" t="str">
        <f t="shared" si="28"/>
        <v>pracuj.pl</v>
      </c>
    </row>
    <row r="632" spans="1:39" x14ac:dyDescent="0.25">
      <c r="A632" t="s">
        <v>1405</v>
      </c>
      <c r="B632" t="s">
        <v>5101</v>
      </c>
      <c r="C632" t="s">
        <v>10</v>
      </c>
      <c r="D632" s="27" t="s">
        <v>10194</v>
      </c>
      <c r="E632" t="s">
        <v>233</v>
      </c>
      <c r="F632" s="421">
        <v>1</v>
      </c>
      <c r="G632" t="s">
        <v>193</v>
      </c>
      <c r="H632" t="s">
        <v>194</v>
      </c>
      <c r="I632" t="s">
        <v>9369</v>
      </c>
      <c r="J632" t="s">
        <v>210</v>
      </c>
      <c r="K632" t="s">
        <v>12364</v>
      </c>
      <c r="L632" t="s">
        <v>6261</v>
      </c>
      <c r="M632" t="s">
        <v>12365</v>
      </c>
      <c r="N632" t="s">
        <v>9929</v>
      </c>
      <c r="O632" t="s">
        <v>10757</v>
      </c>
      <c r="P632" t="s">
        <v>12366</v>
      </c>
      <c r="Q632" t="s">
        <v>12367</v>
      </c>
      <c r="S632" t="s">
        <v>9309</v>
      </c>
      <c r="T632" s="28" t="s">
        <v>9334</v>
      </c>
      <c r="U632" s="27" t="s">
        <v>484</v>
      </c>
      <c r="V632" t="s">
        <v>194</v>
      </c>
      <c r="W632" t="s">
        <v>9300</v>
      </c>
      <c r="Z632" t="s">
        <v>9311</v>
      </c>
      <c r="AF632" t="s">
        <v>4714</v>
      </c>
      <c r="AG632" t="s">
        <v>5101</v>
      </c>
      <c r="AI632" t="s">
        <v>6955</v>
      </c>
      <c r="AJ632" s="424" t="str">
        <f t="shared" si="27"/>
        <v>251401</v>
      </c>
      <c r="AK632" s="28">
        <v>1</v>
      </c>
      <c r="AL632" s="28">
        <f t="shared" si="29"/>
        <v>1</v>
      </c>
      <c r="AM632" s="28" t="str">
        <f t="shared" si="28"/>
        <v>praca</v>
      </c>
    </row>
    <row r="633" spans="1:39" x14ac:dyDescent="0.25">
      <c r="A633" t="s">
        <v>9522</v>
      </c>
      <c r="B633" t="s">
        <v>9564</v>
      </c>
      <c r="C633" t="s">
        <v>10</v>
      </c>
      <c r="D633" s="27" t="s">
        <v>10194</v>
      </c>
      <c r="E633" t="s">
        <v>217</v>
      </c>
      <c r="F633" s="421">
        <v>1</v>
      </c>
      <c r="G633" t="s">
        <v>193</v>
      </c>
      <c r="H633" t="s">
        <v>194</v>
      </c>
      <c r="I633" t="s">
        <v>9491</v>
      </c>
      <c r="J633" t="s">
        <v>210</v>
      </c>
      <c r="K633" t="s">
        <v>10748</v>
      </c>
      <c r="L633" t="s">
        <v>6261</v>
      </c>
      <c r="M633" t="s">
        <v>12353</v>
      </c>
      <c r="N633" t="s">
        <v>9493</v>
      </c>
      <c r="O633" t="s">
        <v>9305</v>
      </c>
      <c r="P633" t="s">
        <v>12406</v>
      </c>
      <c r="Q633" t="s">
        <v>12407</v>
      </c>
      <c r="S633" t="s">
        <v>9309</v>
      </c>
      <c r="T633" s="28" t="s">
        <v>9334</v>
      </c>
      <c r="U633" s="27" t="s">
        <v>484</v>
      </c>
      <c r="V633" t="s">
        <v>194</v>
      </c>
      <c r="W633" t="s">
        <v>9300</v>
      </c>
      <c r="Z633" t="s">
        <v>9311</v>
      </c>
      <c r="AF633" t="s">
        <v>4714</v>
      </c>
      <c r="AG633" t="s">
        <v>9433</v>
      </c>
      <c r="AI633" t="s">
        <v>6955</v>
      </c>
      <c r="AJ633" s="424" t="str">
        <f t="shared" si="27"/>
        <v>251401</v>
      </c>
      <c r="AK633" s="28">
        <v>1</v>
      </c>
      <c r="AL633" s="28">
        <f t="shared" si="29"/>
        <v>1</v>
      </c>
      <c r="AM633" s="28" t="str">
        <f t="shared" si="28"/>
        <v>agora</v>
      </c>
    </row>
    <row r="634" spans="1:39" x14ac:dyDescent="0.25">
      <c r="A634" t="s">
        <v>9522</v>
      </c>
      <c r="B634" t="s">
        <v>9564</v>
      </c>
      <c r="C634" t="s">
        <v>10</v>
      </c>
      <c r="D634" s="27" t="s">
        <v>10194</v>
      </c>
      <c r="E634" t="s">
        <v>217</v>
      </c>
      <c r="F634" s="421">
        <v>1</v>
      </c>
      <c r="G634" t="s">
        <v>193</v>
      </c>
      <c r="H634" t="s">
        <v>194</v>
      </c>
      <c r="I634" t="s">
        <v>9491</v>
      </c>
      <c r="J634" t="s">
        <v>210</v>
      </c>
      <c r="K634" t="s">
        <v>11762</v>
      </c>
      <c r="L634" t="s">
        <v>6261</v>
      </c>
      <c r="M634" t="s">
        <v>12353</v>
      </c>
      <c r="N634" t="s">
        <v>9573</v>
      </c>
      <c r="O634" t="s">
        <v>9835</v>
      </c>
      <c r="P634" t="s">
        <v>12408</v>
      </c>
      <c r="Q634" t="s">
        <v>12409</v>
      </c>
      <c r="S634" t="s">
        <v>9309</v>
      </c>
      <c r="T634" s="28" t="s">
        <v>9334</v>
      </c>
      <c r="U634" s="27" t="s">
        <v>484</v>
      </c>
      <c r="V634" t="s">
        <v>194</v>
      </c>
      <c r="W634" t="s">
        <v>9300</v>
      </c>
      <c r="Z634" t="s">
        <v>9311</v>
      </c>
      <c r="AF634" t="s">
        <v>4714</v>
      </c>
      <c r="AG634" t="s">
        <v>9433</v>
      </c>
      <c r="AI634" t="s">
        <v>6955</v>
      </c>
      <c r="AJ634" s="424" t="str">
        <f t="shared" si="27"/>
        <v>251401</v>
      </c>
      <c r="AK634" s="28">
        <v>1</v>
      </c>
      <c r="AL634" s="28">
        <f t="shared" si="29"/>
        <v>1</v>
      </c>
      <c r="AM634" s="28" t="str">
        <f t="shared" si="28"/>
        <v>agora</v>
      </c>
    </row>
    <row r="635" spans="1:39" x14ac:dyDescent="0.25">
      <c r="A635" t="s">
        <v>9522</v>
      </c>
      <c r="B635" t="s">
        <v>9601</v>
      </c>
      <c r="C635" t="s">
        <v>10</v>
      </c>
      <c r="D635" s="27" t="s">
        <v>10194</v>
      </c>
      <c r="E635" t="s">
        <v>217</v>
      </c>
      <c r="F635" s="421">
        <v>1</v>
      </c>
      <c r="G635" t="s">
        <v>193</v>
      </c>
      <c r="H635" t="s">
        <v>194</v>
      </c>
      <c r="I635" t="s">
        <v>9491</v>
      </c>
      <c r="J635" t="s">
        <v>9524</v>
      </c>
      <c r="K635" t="s">
        <v>9602</v>
      </c>
      <c r="L635" t="s">
        <v>6261</v>
      </c>
      <c r="M635" t="s">
        <v>12353</v>
      </c>
      <c r="N635" t="s">
        <v>9603</v>
      </c>
      <c r="O635" t="s">
        <v>9604</v>
      </c>
      <c r="P635" t="s">
        <v>12416</v>
      </c>
      <c r="Q635" t="s">
        <v>12417</v>
      </c>
      <c r="S635" t="s">
        <v>9309</v>
      </c>
      <c r="U635" s="27" t="s">
        <v>484</v>
      </c>
      <c r="V635" t="s">
        <v>193</v>
      </c>
      <c r="W635" t="s">
        <v>9310</v>
      </c>
      <c r="Z635" t="s">
        <v>9311</v>
      </c>
      <c r="AF635" t="s">
        <v>4714</v>
      </c>
      <c r="AG635" t="s">
        <v>9433</v>
      </c>
      <c r="AI635" t="s">
        <v>6955</v>
      </c>
      <c r="AJ635" s="424" t="str">
        <f t="shared" si="27"/>
        <v>251401</v>
      </c>
      <c r="AK635" s="28">
        <v>1</v>
      </c>
      <c r="AL635" s="28">
        <f t="shared" si="29"/>
        <v>1</v>
      </c>
      <c r="AM635" s="28" t="str">
        <f t="shared" si="28"/>
        <v>agora</v>
      </c>
    </row>
    <row r="636" spans="1:39" x14ac:dyDescent="0.25">
      <c r="A636" t="s">
        <v>9522</v>
      </c>
      <c r="B636" t="s">
        <v>10772</v>
      </c>
      <c r="C636" t="s">
        <v>10</v>
      </c>
      <c r="D636" s="27" t="s">
        <v>10194</v>
      </c>
      <c r="E636" t="s">
        <v>217</v>
      </c>
      <c r="F636" s="421">
        <v>1</v>
      </c>
      <c r="G636" t="s">
        <v>193</v>
      </c>
      <c r="H636" t="s">
        <v>194</v>
      </c>
      <c r="I636" t="s">
        <v>9491</v>
      </c>
      <c r="J636" t="s">
        <v>210</v>
      </c>
      <c r="K636" t="s">
        <v>10776</v>
      </c>
      <c r="L636" t="s">
        <v>6261</v>
      </c>
      <c r="M636" t="s">
        <v>12353</v>
      </c>
      <c r="N636" t="s">
        <v>9493</v>
      </c>
      <c r="O636" t="s">
        <v>9305</v>
      </c>
      <c r="P636" t="s">
        <v>12418</v>
      </c>
      <c r="Q636" t="s">
        <v>12419</v>
      </c>
      <c r="S636" t="s">
        <v>9309</v>
      </c>
      <c r="T636" s="28" t="s">
        <v>9334</v>
      </c>
      <c r="U636" s="27" t="s">
        <v>484</v>
      </c>
      <c r="V636" t="s">
        <v>194</v>
      </c>
      <c r="W636" t="s">
        <v>9300</v>
      </c>
      <c r="Z636" t="s">
        <v>9311</v>
      </c>
      <c r="AF636" t="s">
        <v>4714</v>
      </c>
      <c r="AG636" t="s">
        <v>9433</v>
      </c>
      <c r="AI636" t="s">
        <v>6955</v>
      </c>
      <c r="AJ636" s="424" t="str">
        <f t="shared" si="27"/>
        <v>251401</v>
      </c>
      <c r="AK636" s="28">
        <v>1</v>
      </c>
      <c r="AL636" s="28">
        <f t="shared" si="29"/>
        <v>1</v>
      </c>
      <c r="AM636" s="28" t="str">
        <f t="shared" si="28"/>
        <v>agora</v>
      </c>
    </row>
    <row r="637" spans="1:39" x14ac:dyDescent="0.25">
      <c r="A637" t="s">
        <v>9522</v>
      </c>
      <c r="B637" t="s">
        <v>10772</v>
      </c>
      <c r="C637" t="s">
        <v>10</v>
      </c>
      <c r="D637" s="27" t="s">
        <v>10194</v>
      </c>
      <c r="E637" t="s">
        <v>217</v>
      </c>
      <c r="F637" s="421">
        <v>1</v>
      </c>
      <c r="G637" t="s">
        <v>193</v>
      </c>
      <c r="H637" t="s">
        <v>194</v>
      </c>
      <c r="I637" t="s">
        <v>9491</v>
      </c>
      <c r="J637" t="s">
        <v>210</v>
      </c>
      <c r="K637" t="s">
        <v>10773</v>
      </c>
      <c r="L637" t="s">
        <v>6261</v>
      </c>
      <c r="M637" t="s">
        <v>12353</v>
      </c>
      <c r="N637" t="s">
        <v>9493</v>
      </c>
      <c r="O637" t="s">
        <v>10767</v>
      </c>
      <c r="P637" t="s">
        <v>12420</v>
      </c>
      <c r="Q637" t="s">
        <v>12421</v>
      </c>
      <c r="S637" t="s">
        <v>9309</v>
      </c>
      <c r="T637" s="28" t="s">
        <v>9334</v>
      </c>
      <c r="U637" s="27" t="s">
        <v>484</v>
      </c>
      <c r="V637" t="s">
        <v>194</v>
      </c>
      <c r="W637" t="s">
        <v>9300</v>
      </c>
      <c r="Z637" t="s">
        <v>9311</v>
      </c>
      <c r="AF637" t="s">
        <v>4714</v>
      </c>
      <c r="AG637" t="s">
        <v>9433</v>
      </c>
      <c r="AI637" t="s">
        <v>6955</v>
      </c>
      <c r="AJ637" s="424" t="str">
        <f t="shared" si="27"/>
        <v>251401</v>
      </c>
      <c r="AK637" s="28">
        <v>1</v>
      </c>
      <c r="AL637" s="28">
        <f t="shared" si="29"/>
        <v>1</v>
      </c>
      <c r="AM637" s="28" t="str">
        <f t="shared" si="28"/>
        <v>agora</v>
      </c>
    </row>
    <row r="638" spans="1:39" x14ac:dyDescent="0.25">
      <c r="A638" t="s">
        <v>9522</v>
      </c>
      <c r="B638" t="s">
        <v>9622</v>
      </c>
      <c r="C638" t="s">
        <v>10</v>
      </c>
      <c r="D638" s="27" t="s">
        <v>10194</v>
      </c>
      <c r="E638" t="s">
        <v>217</v>
      </c>
      <c r="F638" s="421">
        <v>1</v>
      </c>
      <c r="G638" t="s">
        <v>193</v>
      </c>
      <c r="H638" t="s">
        <v>194</v>
      </c>
      <c r="I638" t="s">
        <v>9430</v>
      </c>
      <c r="J638" t="s">
        <v>210</v>
      </c>
      <c r="K638" t="s">
        <v>10799</v>
      </c>
      <c r="L638" t="s">
        <v>6261</v>
      </c>
      <c r="M638" t="s">
        <v>12353</v>
      </c>
      <c r="N638" t="s">
        <v>9493</v>
      </c>
      <c r="O638" t="s">
        <v>9305</v>
      </c>
      <c r="P638" t="s">
        <v>12434</v>
      </c>
      <c r="Q638" t="s">
        <v>12435</v>
      </c>
      <c r="S638" t="s">
        <v>9309</v>
      </c>
      <c r="T638" s="28" t="s">
        <v>9334</v>
      </c>
      <c r="U638" s="27" t="s">
        <v>484</v>
      </c>
      <c r="V638" t="s">
        <v>194</v>
      </c>
      <c r="W638" t="s">
        <v>9300</v>
      </c>
      <c r="Z638" t="s">
        <v>9311</v>
      </c>
      <c r="AF638" t="s">
        <v>4714</v>
      </c>
      <c r="AG638" t="s">
        <v>9433</v>
      </c>
      <c r="AI638" t="s">
        <v>6955</v>
      </c>
      <c r="AJ638" s="424" t="str">
        <f t="shared" si="27"/>
        <v>251401</v>
      </c>
      <c r="AK638" s="28">
        <v>1</v>
      </c>
      <c r="AL638" s="28">
        <f t="shared" si="29"/>
        <v>1</v>
      </c>
      <c r="AM638" s="28" t="str">
        <f t="shared" si="28"/>
        <v>agora</v>
      </c>
    </row>
    <row r="639" spans="1:39" x14ac:dyDescent="0.25">
      <c r="A639" t="s">
        <v>9522</v>
      </c>
      <c r="B639" t="s">
        <v>9622</v>
      </c>
      <c r="C639" t="s">
        <v>10</v>
      </c>
      <c r="D639" s="27" t="s">
        <v>10194</v>
      </c>
      <c r="E639" t="s">
        <v>217</v>
      </c>
      <c r="F639" s="421">
        <v>1</v>
      </c>
      <c r="G639" t="s">
        <v>193</v>
      </c>
      <c r="H639" t="s">
        <v>194</v>
      </c>
      <c r="I639" t="s">
        <v>9430</v>
      </c>
      <c r="J639" t="s">
        <v>210</v>
      </c>
      <c r="K639" t="s">
        <v>11798</v>
      </c>
      <c r="L639" t="s">
        <v>6261</v>
      </c>
      <c r="M639" t="s">
        <v>12353</v>
      </c>
      <c r="N639" t="s">
        <v>9573</v>
      </c>
      <c r="O639" t="s">
        <v>9835</v>
      </c>
      <c r="P639" t="s">
        <v>12436</v>
      </c>
      <c r="Q639" t="s">
        <v>12437</v>
      </c>
      <c r="S639" t="s">
        <v>9309</v>
      </c>
      <c r="T639" s="28" t="s">
        <v>9334</v>
      </c>
      <c r="U639" s="27" t="s">
        <v>484</v>
      </c>
      <c r="V639" t="s">
        <v>194</v>
      </c>
      <c r="W639" t="s">
        <v>9300</v>
      </c>
      <c r="Z639" t="s">
        <v>9311</v>
      </c>
      <c r="AF639" t="s">
        <v>4714</v>
      </c>
      <c r="AG639" t="s">
        <v>9433</v>
      </c>
      <c r="AI639" t="s">
        <v>6955</v>
      </c>
      <c r="AJ639" s="424" t="str">
        <f t="shared" si="27"/>
        <v>251401</v>
      </c>
      <c r="AK639" s="28">
        <v>1</v>
      </c>
      <c r="AL639" s="28">
        <f t="shared" si="29"/>
        <v>1</v>
      </c>
      <c r="AM639" s="28" t="str">
        <f t="shared" si="28"/>
        <v>agora</v>
      </c>
    </row>
    <row r="640" spans="1:39" x14ac:dyDescent="0.25">
      <c r="A640" t="s">
        <v>9522</v>
      </c>
      <c r="B640" t="s">
        <v>9636</v>
      </c>
      <c r="C640" t="s">
        <v>10</v>
      </c>
      <c r="D640" s="27" t="s">
        <v>10194</v>
      </c>
      <c r="E640" t="s">
        <v>217</v>
      </c>
      <c r="F640" s="421">
        <v>1</v>
      </c>
      <c r="G640" t="s">
        <v>193</v>
      </c>
      <c r="H640" t="s">
        <v>194</v>
      </c>
      <c r="I640" t="s">
        <v>9430</v>
      </c>
      <c r="J640" t="s">
        <v>210</v>
      </c>
      <c r="K640" t="s">
        <v>10815</v>
      </c>
      <c r="L640" t="s">
        <v>6261</v>
      </c>
      <c r="M640" t="s">
        <v>12353</v>
      </c>
      <c r="N640" t="s">
        <v>9493</v>
      </c>
      <c r="O640" t="s">
        <v>10767</v>
      </c>
      <c r="P640" t="s">
        <v>12438</v>
      </c>
      <c r="Q640" t="s">
        <v>12439</v>
      </c>
      <c r="S640" t="s">
        <v>9309</v>
      </c>
      <c r="T640" s="28" t="s">
        <v>9334</v>
      </c>
      <c r="U640" s="27" t="s">
        <v>484</v>
      </c>
      <c r="V640" t="s">
        <v>194</v>
      </c>
      <c r="W640" t="s">
        <v>9300</v>
      </c>
      <c r="Z640" t="s">
        <v>9311</v>
      </c>
      <c r="AF640" t="s">
        <v>4714</v>
      </c>
      <c r="AG640" t="s">
        <v>9433</v>
      </c>
      <c r="AI640" t="s">
        <v>6955</v>
      </c>
      <c r="AJ640" s="424" t="str">
        <f t="shared" si="27"/>
        <v>251401</v>
      </c>
      <c r="AK640" s="28">
        <v>1</v>
      </c>
      <c r="AL640" s="28">
        <f t="shared" si="29"/>
        <v>1</v>
      </c>
      <c r="AM640" s="28" t="str">
        <f t="shared" si="28"/>
        <v>agora</v>
      </c>
    </row>
    <row r="641" spans="1:39" x14ac:dyDescent="0.25">
      <c r="A641" t="s">
        <v>9522</v>
      </c>
      <c r="B641" t="s">
        <v>9636</v>
      </c>
      <c r="C641" t="s">
        <v>10</v>
      </c>
      <c r="D641" s="27" t="s">
        <v>10194</v>
      </c>
      <c r="E641" t="s">
        <v>217</v>
      </c>
      <c r="F641" s="421">
        <v>1</v>
      </c>
      <c r="G641" t="s">
        <v>193</v>
      </c>
      <c r="H641" t="s">
        <v>194</v>
      </c>
      <c r="I641" t="s">
        <v>9430</v>
      </c>
      <c r="J641" t="s">
        <v>210</v>
      </c>
      <c r="K641" t="s">
        <v>10810</v>
      </c>
      <c r="L641" t="s">
        <v>6261</v>
      </c>
      <c r="M641" t="s">
        <v>12353</v>
      </c>
      <c r="N641" t="s">
        <v>9493</v>
      </c>
      <c r="O641" t="s">
        <v>9305</v>
      </c>
      <c r="P641" t="s">
        <v>12440</v>
      </c>
      <c r="Q641" t="s">
        <v>12441</v>
      </c>
      <c r="S641" t="s">
        <v>9309</v>
      </c>
      <c r="T641" s="28" t="s">
        <v>9334</v>
      </c>
      <c r="U641" s="27" t="s">
        <v>484</v>
      </c>
      <c r="V641" t="s">
        <v>194</v>
      </c>
      <c r="W641" t="s">
        <v>9300</v>
      </c>
      <c r="Z641" t="s">
        <v>9311</v>
      </c>
      <c r="AF641" t="s">
        <v>4714</v>
      </c>
      <c r="AG641" t="s">
        <v>9433</v>
      </c>
      <c r="AI641" t="s">
        <v>6955</v>
      </c>
      <c r="AJ641" s="424" t="str">
        <f t="shared" si="27"/>
        <v>251401</v>
      </c>
      <c r="AK641" s="28">
        <v>1</v>
      </c>
      <c r="AL641" s="28">
        <f t="shared" si="29"/>
        <v>1</v>
      </c>
      <c r="AM641" s="28" t="str">
        <f t="shared" si="28"/>
        <v>agora</v>
      </c>
    </row>
    <row r="642" spans="1:39" x14ac:dyDescent="0.25">
      <c r="A642" t="s">
        <v>9522</v>
      </c>
      <c r="B642" t="s">
        <v>9651</v>
      </c>
      <c r="C642" t="s">
        <v>10</v>
      </c>
      <c r="D642" s="27" t="s">
        <v>10194</v>
      </c>
      <c r="E642" t="s">
        <v>217</v>
      </c>
      <c r="F642" s="421">
        <v>1</v>
      </c>
      <c r="G642" t="s">
        <v>193</v>
      </c>
      <c r="H642" t="s">
        <v>194</v>
      </c>
      <c r="I642" t="s">
        <v>9430</v>
      </c>
      <c r="J642" t="s">
        <v>210</v>
      </c>
      <c r="K642" t="s">
        <v>10825</v>
      </c>
      <c r="L642" t="s">
        <v>6261</v>
      </c>
      <c r="M642" t="s">
        <v>12353</v>
      </c>
      <c r="N642" t="s">
        <v>9493</v>
      </c>
      <c r="O642" t="s">
        <v>10767</v>
      </c>
      <c r="P642" t="s">
        <v>12444</v>
      </c>
      <c r="Q642" t="s">
        <v>12445</v>
      </c>
      <c r="S642" t="s">
        <v>9309</v>
      </c>
      <c r="T642" s="28" t="s">
        <v>9334</v>
      </c>
      <c r="U642" s="27" t="s">
        <v>484</v>
      </c>
      <c r="V642" t="s">
        <v>194</v>
      </c>
      <c r="W642" t="s">
        <v>9300</v>
      </c>
      <c r="Z642" t="s">
        <v>9311</v>
      </c>
      <c r="AF642" t="s">
        <v>4714</v>
      </c>
      <c r="AG642" t="s">
        <v>9433</v>
      </c>
      <c r="AI642" t="s">
        <v>6955</v>
      </c>
      <c r="AJ642" s="424" t="str">
        <f t="shared" ref="AJ642:AJ705" si="30">MID(U642,8,6)</f>
        <v>251401</v>
      </c>
      <c r="AK642" s="28">
        <v>1</v>
      </c>
      <c r="AL642" s="28">
        <f t="shared" si="29"/>
        <v>1</v>
      </c>
      <c r="AM642" s="28" t="str">
        <f t="shared" ref="AM642:AM705" si="31">T(E642)</f>
        <v>agora</v>
      </c>
    </row>
    <row r="643" spans="1:39" x14ac:dyDescent="0.25">
      <c r="A643" t="s">
        <v>9522</v>
      </c>
      <c r="B643" t="s">
        <v>9651</v>
      </c>
      <c r="C643" t="s">
        <v>10</v>
      </c>
      <c r="D643" s="27" t="s">
        <v>10194</v>
      </c>
      <c r="E643" t="s">
        <v>217</v>
      </c>
      <c r="F643" s="421">
        <v>1</v>
      </c>
      <c r="G643" t="s">
        <v>193</v>
      </c>
      <c r="H643" t="s">
        <v>194</v>
      </c>
      <c r="I643" t="s">
        <v>9430</v>
      </c>
      <c r="J643" t="s">
        <v>210</v>
      </c>
      <c r="K643" t="s">
        <v>10820</v>
      </c>
      <c r="L643" t="s">
        <v>6261</v>
      </c>
      <c r="M643" t="s">
        <v>12353</v>
      </c>
      <c r="N643" t="s">
        <v>9493</v>
      </c>
      <c r="O643" t="s">
        <v>9305</v>
      </c>
      <c r="P643" t="s">
        <v>12446</v>
      </c>
      <c r="Q643" t="s">
        <v>12447</v>
      </c>
      <c r="S643" t="s">
        <v>9309</v>
      </c>
      <c r="T643" s="28" t="s">
        <v>9334</v>
      </c>
      <c r="U643" s="27" t="s">
        <v>484</v>
      </c>
      <c r="V643" t="s">
        <v>194</v>
      </c>
      <c r="W643" t="s">
        <v>9300</v>
      </c>
      <c r="Z643" t="s">
        <v>9311</v>
      </c>
      <c r="AF643" t="s">
        <v>4714</v>
      </c>
      <c r="AG643" t="s">
        <v>9433</v>
      </c>
      <c r="AI643" t="s">
        <v>6955</v>
      </c>
      <c r="AJ643" s="424" t="str">
        <f t="shared" si="30"/>
        <v>251401</v>
      </c>
      <c r="AK643" s="28">
        <v>1</v>
      </c>
      <c r="AL643" s="28">
        <f t="shared" ref="AL643:AL706" si="32">SUM(F643)</f>
        <v>1</v>
      </c>
      <c r="AM643" s="28" t="str">
        <f t="shared" si="31"/>
        <v>agora</v>
      </c>
    </row>
    <row r="644" spans="1:39" x14ac:dyDescent="0.25">
      <c r="A644" t="s">
        <v>9522</v>
      </c>
      <c r="B644" t="s">
        <v>10859</v>
      </c>
      <c r="C644" t="s">
        <v>10</v>
      </c>
      <c r="D644" s="27" t="s">
        <v>10194</v>
      </c>
      <c r="E644" t="s">
        <v>217</v>
      </c>
      <c r="F644" s="421">
        <v>1</v>
      </c>
      <c r="G644" t="s">
        <v>193</v>
      </c>
      <c r="H644" t="s">
        <v>194</v>
      </c>
      <c r="I644" t="s">
        <v>9430</v>
      </c>
      <c r="J644" t="s">
        <v>210</v>
      </c>
      <c r="K644" t="s">
        <v>10860</v>
      </c>
      <c r="L644" t="s">
        <v>6261</v>
      </c>
      <c r="M644" t="s">
        <v>12353</v>
      </c>
      <c r="N644" t="s">
        <v>9493</v>
      </c>
      <c r="O644" t="s">
        <v>9305</v>
      </c>
      <c r="P644" t="s">
        <v>12450</v>
      </c>
      <c r="Q644" t="s">
        <v>12451</v>
      </c>
      <c r="S644" t="s">
        <v>9309</v>
      </c>
      <c r="T644" s="28" t="s">
        <v>9334</v>
      </c>
      <c r="U644" s="27" t="s">
        <v>484</v>
      </c>
      <c r="V644" t="s">
        <v>194</v>
      </c>
      <c r="W644" t="s">
        <v>9300</v>
      </c>
      <c r="Z644" t="s">
        <v>9311</v>
      </c>
      <c r="AF644" t="s">
        <v>4714</v>
      </c>
      <c r="AG644" t="s">
        <v>9433</v>
      </c>
      <c r="AI644" t="s">
        <v>6955</v>
      </c>
      <c r="AJ644" s="424" t="str">
        <f t="shared" si="30"/>
        <v>251401</v>
      </c>
      <c r="AK644" s="28">
        <v>1</v>
      </c>
      <c r="AL644" s="28">
        <f t="shared" si="32"/>
        <v>1</v>
      </c>
      <c r="AM644" s="28" t="str">
        <f t="shared" si="31"/>
        <v>agora</v>
      </c>
    </row>
    <row r="645" spans="1:39" x14ac:dyDescent="0.25">
      <c r="A645" t="s">
        <v>9522</v>
      </c>
      <c r="B645" t="s">
        <v>10859</v>
      </c>
      <c r="C645" t="s">
        <v>10</v>
      </c>
      <c r="D645" s="27" t="s">
        <v>10194</v>
      </c>
      <c r="E645" t="s">
        <v>217</v>
      </c>
      <c r="F645" s="421">
        <v>1</v>
      </c>
      <c r="G645" t="s">
        <v>193</v>
      </c>
      <c r="H645" t="s">
        <v>194</v>
      </c>
      <c r="I645" t="s">
        <v>9430</v>
      </c>
      <c r="J645" t="s">
        <v>210</v>
      </c>
      <c r="K645" t="s">
        <v>11841</v>
      </c>
      <c r="L645" t="s">
        <v>6261</v>
      </c>
      <c r="M645" t="s">
        <v>12353</v>
      </c>
      <c r="N645" t="s">
        <v>10234</v>
      </c>
      <c r="O645" t="s">
        <v>9835</v>
      </c>
      <c r="P645" t="s">
        <v>12452</v>
      </c>
      <c r="Q645" t="s">
        <v>12453</v>
      </c>
      <c r="S645" t="s">
        <v>9309</v>
      </c>
      <c r="T645" s="28" t="s">
        <v>9334</v>
      </c>
      <c r="U645" s="27" t="s">
        <v>484</v>
      </c>
      <c r="V645" t="s">
        <v>194</v>
      </c>
      <c r="W645" t="s">
        <v>9300</v>
      </c>
      <c r="Z645" t="s">
        <v>9311</v>
      </c>
      <c r="AF645" t="s">
        <v>4714</v>
      </c>
      <c r="AG645" t="s">
        <v>9433</v>
      </c>
      <c r="AI645" t="s">
        <v>6955</v>
      </c>
      <c r="AJ645" s="424" t="str">
        <f t="shared" si="30"/>
        <v>251401</v>
      </c>
      <c r="AK645" s="28">
        <v>1</v>
      </c>
      <c r="AL645" s="28">
        <f t="shared" si="32"/>
        <v>1</v>
      </c>
      <c r="AM645" s="28" t="str">
        <f t="shared" si="31"/>
        <v>agora</v>
      </c>
    </row>
    <row r="646" spans="1:39" x14ac:dyDescent="0.25">
      <c r="A646" t="s">
        <v>9522</v>
      </c>
      <c r="B646" t="s">
        <v>9708</v>
      </c>
      <c r="C646" t="s">
        <v>10</v>
      </c>
      <c r="D646" s="27" t="s">
        <v>10194</v>
      </c>
      <c r="E646" t="s">
        <v>217</v>
      </c>
      <c r="F646" s="421">
        <v>1</v>
      </c>
      <c r="G646" t="s">
        <v>193</v>
      </c>
      <c r="H646" t="s">
        <v>194</v>
      </c>
      <c r="I646" t="s">
        <v>9709</v>
      </c>
      <c r="J646" t="s">
        <v>210</v>
      </c>
      <c r="K646" t="s">
        <v>10863</v>
      </c>
      <c r="L646" t="s">
        <v>6261</v>
      </c>
      <c r="M646" t="s">
        <v>12353</v>
      </c>
      <c r="N646" t="s">
        <v>9493</v>
      </c>
      <c r="O646" t="s">
        <v>9305</v>
      </c>
      <c r="P646" t="s">
        <v>12454</v>
      </c>
      <c r="Q646" t="s">
        <v>12455</v>
      </c>
      <c r="S646" t="s">
        <v>9309</v>
      </c>
      <c r="T646" s="28" t="s">
        <v>9334</v>
      </c>
      <c r="U646" s="27" t="s">
        <v>484</v>
      </c>
      <c r="V646" t="s">
        <v>194</v>
      </c>
      <c r="W646" t="s">
        <v>9300</v>
      </c>
      <c r="Z646" t="s">
        <v>9311</v>
      </c>
      <c r="AF646" t="s">
        <v>4714</v>
      </c>
      <c r="AG646" t="s">
        <v>9433</v>
      </c>
      <c r="AI646" t="s">
        <v>6955</v>
      </c>
      <c r="AJ646" s="424" t="str">
        <f t="shared" si="30"/>
        <v>251401</v>
      </c>
      <c r="AK646" s="28">
        <v>1</v>
      </c>
      <c r="AL646" s="28">
        <f t="shared" si="32"/>
        <v>1</v>
      </c>
      <c r="AM646" s="28" t="str">
        <f t="shared" si="31"/>
        <v>agora</v>
      </c>
    </row>
    <row r="647" spans="1:39" x14ac:dyDescent="0.25">
      <c r="A647" t="s">
        <v>9522</v>
      </c>
      <c r="B647" t="s">
        <v>9708</v>
      </c>
      <c r="C647" t="s">
        <v>10</v>
      </c>
      <c r="D647" s="27" t="s">
        <v>10194</v>
      </c>
      <c r="E647" t="s">
        <v>217</v>
      </c>
      <c r="F647" s="421">
        <v>1</v>
      </c>
      <c r="G647" t="s">
        <v>193</v>
      </c>
      <c r="H647" t="s">
        <v>194</v>
      </c>
      <c r="I647" t="s">
        <v>9709</v>
      </c>
      <c r="J647" t="s">
        <v>210</v>
      </c>
      <c r="K647" t="s">
        <v>10868</v>
      </c>
      <c r="L647" t="s">
        <v>6921</v>
      </c>
      <c r="M647" t="s">
        <v>12353</v>
      </c>
      <c r="N647" t="s">
        <v>9911</v>
      </c>
      <c r="O647" t="s">
        <v>10767</v>
      </c>
      <c r="P647" t="s">
        <v>12456</v>
      </c>
      <c r="Q647" t="s">
        <v>12457</v>
      </c>
      <c r="S647" t="s">
        <v>9309</v>
      </c>
      <c r="T647" s="28" t="s">
        <v>9334</v>
      </c>
      <c r="U647" s="27" t="s">
        <v>484</v>
      </c>
      <c r="V647" t="s">
        <v>194</v>
      </c>
      <c r="W647" t="s">
        <v>9300</v>
      </c>
      <c r="Z647" t="s">
        <v>9311</v>
      </c>
      <c r="AF647" t="s">
        <v>4714</v>
      </c>
      <c r="AG647" t="s">
        <v>9433</v>
      </c>
      <c r="AI647" t="s">
        <v>6955</v>
      </c>
      <c r="AJ647" s="424" t="str">
        <f t="shared" si="30"/>
        <v>251401</v>
      </c>
      <c r="AK647" s="28">
        <v>1</v>
      </c>
      <c r="AL647" s="28">
        <f t="shared" si="32"/>
        <v>1</v>
      </c>
      <c r="AM647" s="28" t="str">
        <f t="shared" si="31"/>
        <v>agora</v>
      </c>
    </row>
    <row r="648" spans="1:39" x14ac:dyDescent="0.25">
      <c r="A648" t="s">
        <v>12470</v>
      </c>
      <c r="B648" t="s">
        <v>1419</v>
      </c>
      <c r="C648" t="s">
        <v>10</v>
      </c>
      <c r="D648" s="27" t="s">
        <v>10194</v>
      </c>
      <c r="E648" t="s">
        <v>192</v>
      </c>
      <c r="F648" s="421">
        <v>1</v>
      </c>
      <c r="G648" t="s">
        <v>193</v>
      </c>
      <c r="H648" t="s">
        <v>194</v>
      </c>
      <c r="I648" t="s">
        <v>9989</v>
      </c>
      <c r="J648" t="s">
        <v>210</v>
      </c>
      <c r="K648" t="s">
        <v>12471</v>
      </c>
      <c r="L648" t="s">
        <v>6261</v>
      </c>
      <c r="M648" t="s">
        <v>12244</v>
      </c>
      <c r="N648" t="s">
        <v>9749</v>
      </c>
      <c r="O648" t="s">
        <v>9574</v>
      </c>
      <c r="P648" t="s">
        <v>12472</v>
      </c>
      <c r="Q648" t="s">
        <v>12473</v>
      </c>
      <c r="S648" t="s">
        <v>9309</v>
      </c>
      <c r="T648" s="28" t="s">
        <v>9334</v>
      </c>
      <c r="U648" s="27" t="s">
        <v>484</v>
      </c>
      <c r="V648" t="s">
        <v>194</v>
      </c>
      <c r="W648" t="s">
        <v>9300</v>
      </c>
      <c r="Z648" t="s">
        <v>9311</v>
      </c>
      <c r="AF648" t="s">
        <v>4714</v>
      </c>
      <c r="AG648" t="s">
        <v>1419</v>
      </c>
      <c r="AI648" t="s">
        <v>6955</v>
      </c>
      <c r="AJ648" s="424" t="str">
        <f t="shared" si="30"/>
        <v>251401</v>
      </c>
      <c r="AK648" s="28">
        <v>1</v>
      </c>
      <c r="AL648" s="28">
        <f t="shared" si="32"/>
        <v>1</v>
      </c>
      <c r="AM648" s="28" t="str">
        <f t="shared" si="31"/>
        <v>pracuj.pl</v>
      </c>
    </row>
    <row r="649" spans="1:39" x14ac:dyDescent="0.25">
      <c r="A649" t="s">
        <v>9927</v>
      </c>
      <c r="B649" t="s">
        <v>8932</v>
      </c>
      <c r="C649" t="s">
        <v>10</v>
      </c>
      <c r="D649" s="27" t="s">
        <v>10194</v>
      </c>
      <c r="E649" t="s">
        <v>217</v>
      </c>
      <c r="F649" s="421">
        <v>1</v>
      </c>
      <c r="G649" t="s">
        <v>193</v>
      </c>
      <c r="H649" t="s">
        <v>194</v>
      </c>
      <c r="I649" t="s">
        <v>9318</v>
      </c>
      <c r="J649" t="s">
        <v>4751</v>
      </c>
      <c r="K649" t="s">
        <v>9928</v>
      </c>
      <c r="L649" t="s">
        <v>6261</v>
      </c>
      <c r="M649" t="s">
        <v>12353</v>
      </c>
      <c r="N649" t="s">
        <v>9929</v>
      </c>
      <c r="O649" t="s">
        <v>9930</v>
      </c>
      <c r="P649" t="s">
        <v>12610</v>
      </c>
      <c r="Q649" t="s">
        <v>12611</v>
      </c>
      <c r="S649" t="s">
        <v>9309</v>
      </c>
      <c r="T649" s="28" t="s">
        <v>9472</v>
      </c>
      <c r="U649" s="27" t="s">
        <v>484</v>
      </c>
      <c r="V649" t="s">
        <v>194</v>
      </c>
      <c r="W649" t="s">
        <v>9300</v>
      </c>
      <c r="Z649" t="s">
        <v>9311</v>
      </c>
      <c r="AF649" t="s">
        <v>4714</v>
      </c>
      <c r="AG649" t="s">
        <v>9433</v>
      </c>
      <c r="AI649" t="s">
        <v>6955</v>
      </c>
      <c r="AJ649" s="424" t="str">
        <f t="shared" si="30"/>
        <v>251401</v>
      </c>
      <c r="AK649" s="28">
        <v>1</v>
      </c>
      <c r="AL649" s="28">
        <f t="shared" si="32"/>
        <v>1</v>
      </c>
      <c r="AM649" s="28" t="str">
        <f t="shared" si="31"/>
        <v>agora</v>
      </c>
    </row>
    <row r="650" spans="1:39" x14ac:dyDescent="0.25">
      <c r="A650" t="s">
        <v>9927</v>
      </c>
      <c r="B650" t="s">
        <v>8932</v>
      </c>
      <c r="C650" t="s">
        <v>10</v>
      </c>
      <c r="D650" s="27" t="s">
        <v>10194</v>
      </c>
      <c r="E650" t="s">
        <v>217</v>
      </c>
      <c r="F650" s="421">
        <v>1</v>
      </c>
      <c r="G650" t="s">
        <v>193</v>
      </c>
      <c r="H650" t="s">
        <v>194</v>
      </c>
      <c r="I650" t="s">
        <v>9318</v>
      </c>
      <c r="J650" t="s">
        <v>210</v>
      </c>
      <c r="K650" t="s">
        <v>9933</v>
      </c>
      <c r="L650" t="s">
        <v>6261</v>
      </c>
      <c r="M650" t="s">
        <v>12353</v>
      </c>
      <c r="N650" t="s">
        <v>9929</v>
      </c>
      <c r="O650" t="s">
        <v>9930</v>
      </c>
      <c r="P650" t="s">
        <v>12612</v>
      </c>
      <c r="Q650" t="s">
        <v>12613</v>
      </c>
      <c r="S650" t="s">
        <v>9309</v>
      </c>
      <c r="T650" s="28" t="s">
        <v>9334</v>
      </c>
      <c r="U650" s="27" t="s">
        <v>484</v>
      </c>
      <c r="V650" t="s">
        <v>194</v>
      </c>
      <c r="W650" t="s">
        <v>9300</v>
      </c>
      <c r="Z650" t="s">
        <v>9311</v>
      </c>
      <c r="AF650" t="s">
        <v>4714</v>
      </c>
      <c r="AG650" t="s">
        <v>9433</v>
      </c>
      <c r="AI650" t="s">
        <v>6955</v>
      </c>
      <c r="AJ650" s="424" t="str">
        <f t="shared" si="30"/>
        <v>251401</v>
      </c>
      <c r="AK650" s="28">
        <v>1</v>
      </c>
      <c r="AL650" s="28">
        <f t="shared" si="32"/>
        <v>1</v>
      </c>
      <c r="AM650" s="28" t="str">
        <f t="shared" si="31"/>
        <v>agora</v>
      </c>
    </row>
    <row r="651" spans="1:39" x14ac:dyDescent="0.25">
      <c r="A651" t="s">
        <v>9927</v>
      </c>
      <c r="B651" t="s">
        <v>12006</v>
      </c>
      <c r="C651" t="s">
        <v>10</v>
      </c>
      <c r="D651" s="27" t="s">
        <v>10194</v>
      </c>
      <c r="E651" t="s">
        <v>217</v>
      </c>
      <c r="F651" s="421">
        <v>1</v>
      </c>
      <c r="G651" t="s">
        <v>193</v>
      </c>
      <c r="H651" t="s">
        <v>194</v>
      </c>
      <c r="I651" t="s">
        <v>9989</v>
      </c>
      <c r="J651" t="s">
        <v>210</v>
      </c>
      <c r="K651" t="s">
        <v>12007</v>
      </c>
      <c r="L651" t="s">
        <v>6261</v>
      </c>
      <c r="M651" t="s">
        <v>12353</v>
      </c>
      <c r="N651" t="s">
        <v>12008</v>
      </c>
      <c r="O651" t="s">
        <v>10045</v>
      </c>
      <c r="P651" t="s">
        <v>12614</v>
      </c>
      <c r="Q651" t="s">
        <v>12615</v>
      </c>
      <c r="S651" t="s">
        <v>9309</v>
      </c>
      <c r="T651" s="28" t="s">
        <v>9334</v>
      </c>
      <c r="U651" s="27" t="s">
        <v>484</v>
      </c>
      <c r="V651" t="s">
        <v>194</v>
      </c>
      <c r="W651" t="s">
        <v>9300</v>
      </c>
      <c r="Z651" t="s">
        <v>9311</v>
      </c>
      <c r="AF651" t="s">
        <v>4714</v>
      </c>
      <c r="AG651" t="s">
        <v>9433</v>
      </c>
      <c r="AI651" t="s">
        <v>6955</v>
      </c>
      <c r="AJ651" s="424" t="str">
        <f t="shared" si="30"/>
        <v>251401</v>
      </c>
      <c r="AK651" s="28">
        <v>1</v>
      </c>
      <c r="AL651" s="28">
        <f t="shared" si="32"/>
        <v>1</v>
      </c>
      <c r="AM651" s="28" t="str">
        <f t="shared" si="31"/>
        <v>agora</v>
      </c>
    </row>
    <row r="652" spans="1:39" x14ac:dyDescent="0.25">
      <c r="A652" t="s">
        <v>12758</v>
      </c>
      <c r="B652" t="s">
        <v>12759</v>
      </c>
      <c r="C652" t="s">
        <v>10</v>
      </c>
      <c r="D652" s="27" t="s">
        <v>10194</v>
      </c>
      <c r="E652" t="s">
        <v>192</v>
      </c>
      <c r="F652" s="421">
        <v>1</v>
      </c>
      <c r="G652" t="s">
        <v>193</v>
      </c>
      <c r="H652" t="s">
        <v>194</v>
      </c>
      <c r="I652" t="s">
        <v>9709</v>
      </c>
      <c r="J652" t="s">
        <v>210</v>
      </c>
      <c r="K652" t="s">
        <v>12760</v>
      </c>
      <c r="L652" t="s">
        <v>6261</v>
      </c>
      <c r="M652" t="s">
        <v>12244</v>
      </c>
      <c r="N652" t="s">
        <v>9749</v>
      </c>
      <c r="O652" t="s">
        <v>9574</v>
      </c>
      <c r="P652" t="s">
        <v>12761</v>
      </c>
      <c r="Q652" t="s">
        <v>12762</v>
      </c>
      <c r="S652" t="s">
        <v>9309</v>
      </c>
      <c r="T652" s="28" t="s">
        <v>9334</v>
      </c>
      <c r="U652" s="27" t="s">
        <v>484</v>
      </c>
      <c r="V652" t="s">
        <v>194</v>
      </c>
      <c r="W652" t="s">
        <v>9300</v>
      </c>
      <c r="Z652" t="s">
        <v>9311</v>
      </c>
      <c r="AF652" t="s">
        <v>4714</v>
      </c>
      <c r="AG652" t="s">
        <v>12759</v>
      </c>
      <c r="AI652" t="s">
        <v>6955</v>
      </c>
      <c r="AJ652" s="424" t="str">
        <f t="shared" si="30"/>
        <v>251401</v>
      </c>
      <c r="AK652" s="28">
        <v>1</v>
      </c>
      <c r="AL652" s="28">
        <f t="shared" si="32"/>
        <v>1</v>
      </c>
      <c r="AM652" s="28" t="str">
        <f t="shared" si="31"/>
        <v>pracuj.pl</v>
      </c>
    </row>
    <row r="653" spans="1:39" x14ac:dyDescent="0.25">
      <c r="A653" t="s">
        <v>915</v>
      </c>
      <c r="B653" t="s">
        <v>8075</v>
      </c>
      <c r="C653" t="s">
        <v>10</v>
      </c>
      <c r="D653" s="27" t="s">
        <v>10194</v>
      </c>
      <c r="E653" t="s">
        <v>233</v>
      </c>
      <c r="F653" s="421">
        <v>1</v>
      </c>
      <c r="G653" t="s">
        <v>193</v>
      </c>
      <c r="H653" t="s">
        <v>194</v>
      </c>
      <c r="I653" t="s">
        <v>9369</v>
      </c>
      <c r="J653" t="s">
        <v>9302</v>
      </c>
      <c r="K653" t="s">
        <v>12767</v>
      </c>
      <c r="L653" t="s">
        <v>6261</v>
      </c>
      <c r="M653" t="s">
        <v>12365</v>
      </c>
      <c r="N653" t="s">
        <v>9929</v>
      </c>
      <c r="O653" t="s">
        <v>10757</v>
      </c>
      <c r="P653" t="s">
        <v>12768</v>
      </c>
      <c r="Q653" t="s">
        <v>12769</v>
      </c>
      <c r="S653" t="s">
        <v>9309</v>
      </c>
      <c r="U653" s="27" t="s">
        <v>484</v>
      </c>
      <c r="V653" t="s">
        <v>193</v>
      </c>
      <c r="W653" t="s">
        <v>9310</v>
      </c>
      <c r="Z653" t="s">
        <v>9311</v>
      </c>
      <c r="AF653" t="s">
        <v>4714</v>
      </c>
      <c r="AG653" t="s">
        <v>8075</v>
      </c>
      <c r="AI653" t="s">
        <v>6955</v>
      </c>
      <c r="AJ653" s="424" t="str">
        <f t="shared" si="30"/>
        <v>251401</v>
      </c>
      <c r="AK653" s="28">
        <v>1</v>
      </c>
      <c r="AL653" s="28">
        <f t="shared" si="32"/>
        <v>1</v>
      </c>
      <c r="AM653" s="28" t="str">
        <f t="shared" si="31"/>
        <v>praca</v>
      </c>
    </row>
    <row r="654" spans="1:39" x14ac:dyDescent="0.25">
      <c r="A654" t="s">
        <v>915</v>
      </c>
      <c r="B654" t="s">
        <v>12770</v>
      </c>
      <c r="C654" t="s">
        <v>10</v>
      </c>
      <c r="D654" s="27" t="s">
        <v>10194</v>
      </c>
      <c r="E654" t="s">
        <v>233</v>
      </c>
      <c r="F654" s="421">
        <v>1</v>
      </c>
      <c r="G654" t="s">
        <v>194</v>
      </c>
      <c r="H654" t="s">
        <v>193</v>
      </c>
      <c r="I654" t="s">
        <v>9989</v>
      </c>
      <c r="J654" t="s">
        <v>9302</v>
      </c>
      <c r="K654" t="s">
        <v>12771</v>
      </c>
      <c r="L654" t="s">
        <v>6261</v>
      </c>
      <c r="M654" t="s">
        <v>12365</v>
      </c>
      <c r="N654" t="s">
        <v>9929</v>
      </c>
      <c r="O654" t="s">
        <v>10757</v>
      </c>
      <c r="P654" t="s">
        <v>12772</v>
      </c>
      <c r="Q654" t="s">
        <v>12773</v>
      </c>
      <c r="S654" t="s">
        <v>9309</v>
      </c>
      <c r="U654" s="27" t="s">
        <v>484</v>
      </c>
      <c r="V654" t="s">
        <v>193</v>
      </c>
      <c r="W654" t="s">
        <v>9310</v>
      </c>
      <c r="Z654" t="s">
        <v>9311</v>
      </c>
      <c r="AF654" t="s">
        <v>4714</v>
      </c>
      <c r="AG654" t="s">
        <v>12770</v>
      </c>
      <c r="AI654" t="s">
        <v>6955</v>
      </c>
      <c r="AJ654" s="424" t="str">
        <f t="shared" si="30"/>
        <v>251401</v>
      </c>
      <c r="AK654" s="28">
        <v>1</v>
      </c>
      <c r="AL654" s="28">
        <f t="shared" si="32"/>
        <v>1</v>
      </c>
      <c r="AM654" s="28" t="str">
        <f t="shared" si="31"/>
        <v>praca</v>
      </c>
    </row>
    <row r="655" spans="1:39" x14ac:dyDescent="0.25">
      <c r="A655" t="s">
        <v>12807</v>
      </c>
      <c r="B655" t="s">
        <v>12808</v>
      </c>
      <c r="C655" t="s">
        <v>10</v>
      </c>
      <c r="D655" s="27" t="s">
        <v>10194</v>
      </c>
      <c r="E655" t="s">
        <v>192</v>
      </c>
      <c r="F655" s="421">
        <v>1</v>
      </c>
      <c r="G655" t="s">
        <v>193</v>
      </c>
      <c r="H655" t="s">
        <v>194</v>
      </c>
      <c r="I655" t="s">
        <v>9989</v>
      </c>
      <c r="J655" t="s">
        <v>210</v>
      </c>
      <c r="K655" t="s">
        <v>12809</v>
      </c>
      <c r="L655" t="s">
        <v>6261</v>
      </c>
      <c r="M655" t="s">
        <v>12244</v>
      </c>
      <c r="N655" t="s">
        <v>9749</v>
      </c>
      <c r="O655" t="s">
        <v>9574</v>
      </c>
      <c r="P655" t="s">
        <v>12810</v>
      </c>
      <c r="Q655" t="s">
        <v>12811</v>
      </c>
      <c r="S655" t="s">
        <v>9309</v>
      </c>
      <c r="T655" s="28" t="s">
        <v>9334</v>
      </c>
      <c r="U655" s="27" t="s">
        <v>484</v>
      </c>
      <c r="V655" t="s">
        <v>194</v>
      </c>
      <c r="W655" t="s">
        <v>9300</v>
      </c>
      <c r="Z655" t="s">
        <v>9311</v>
      </c>
      <c r="AF655" t="s">
        <v>4714</v>
      </c>
      <c r="AG655" t="s">
        <v>12808</v>
      </c>
      <c r="AI655" t="s">
        <v>6955</v>
      </c>
      <c r="AJ655" s="424" t="str">
        <f t="shared" si="30"/>
        <v>251401</v>
      </c>
      <c r="AK655" s="28">
        <v>1</v>
      </c>
      <c r="AL655" s="28">
        <f t="shared" si="32"/>
        <v>1</v>
      </c>
      <c r="AM655" s="28" t="str">
        <f t="shared" si="31"/>
        <v>pracuj.pl</v>
      </c>
    </row>
    <row r="656" spans="1:39" x14ac:dyDescent="0.25">
      <c r="A656" t="s">
        <v>493</v>
      </c>
      <c r="B656" t="s">
        <v>12931</v>
      </c>
      <c r="C656" t="s">
        <v>10</v>
      </c>
      <c r="D656" s="27" t="s">
        <v>10194</v>
      </c>
      <c r="E656" t="s">
        <v>192</v>
      </c>
      <c r="F656" s="421">
        <v>1</v>
      </c>
      <c r="G656" t="s">
        <v>193</v>
      </c>
      <c r="H656" t="s">
        <v>194</v>
      </c>
      <c r="I656" t="s">
        <v>9491</v>
      </c>
      <c r="J656" t="s">
        <v>210</v>
      </c>
      <c r="K656" t="s">
        <v>12932</v>
      </c>
      <c r="L656" t="s">
        <v>6261</v>
      </c>
      <c r="M656" t="s">
        <v>12244</v>
      </c>
      <c r="N656" t="s">
        <v>9749</v>
      </c>
      <c r="O656" t="s">
        <v>9574</v>
      </c>
      <c r="P656" t="s">
        <v>12933</v>
      </c>
      <c r="Q656" t="s">
        <v>12934</v>
      </c>
      <c r="S656" t="s">
        <v>9309</v>
      </c>
      <c r="T656" s="28" t="s">
        <v>9334</v>
      </c>
      <c r="U656" s="27" t="s">
        <v>484</v>
      </c>
      <c r="V656" t="s">
        <v>194</v>
      </c>
      <c r="W656" t="s">
        <v>9300</v>
      </c>
      <c r="Z656" t="s">
        <v>9311</v>
      </c>
      <c r="AF656" t="s">
        <v>4714</v>
      </c>
      <c r="AG656" t="s">
        <v>12931</v>
      </c>
      <c r="AI656" t="s">
        <v>6955</v>
      </c>
      <c r="AJ656" s="424" t="str">
        <f t="shared" si="30"/>
        <v>251401</v>
      </c>
      <c r="AK656" s="28">
        <v>1</v>
      </c>
      <c r="AL656" s="28">
        <f t="shared" si="32"/>
        <v>1</v>
      </c>
      <c r="AM656" s="28" t="str">
        <f t="shared" si="31"/>
        <v>pracuj.pl</v>
      </c>
    </row>
    <row r="657" spans="1:39" x14ac:dyDescent="0.25">
      <c r="A657" t="s">
        <v>493</v>
      </c>
      <c r="B657" t="s">
        <v>12935</v>
      </c>
      <c r="C657" t="s">
        <v>10</v>
      </c>
      <c r="D657" s="27" t="s">
        <v>10194</v>
      </c>
      <c r="E657" t="s">
        <v>192</v>
      </c>
      <c r="F657" s="421">
        <v>1</v>
      </c>
      <c r="G657" t="s">
        <v>193</v>
      </c>
      <c r="H657" t="s">
        <v>194</v>
      </c>
      <c r="I657" t="s">
        <v>9351</v>
      </c>
      <c r="J657" t="s">
        <v>210</v>
      </c>
      <c r="K657" t="s">
        <v>12936</v>
      </c>
      <c r="L657" t="s">
        <v>6261</v>
      </c>
      <c r="M657" t="s">
        <v>12244</v>
      </c>
      <c r="N657" t="s">
        <v>9749</v>
      </c>
      <c r="O657" t="s">
        <v>9574</v>
      </c>
      <c r="P657" t="s">
        <v>12937</v>
      </c>
      <c r="Q657" t="s">
        <v>12938</v>
      </c>
      <c r="S657" t="s">
        <v>9309</v>
      </c>
      <c r="T657" s="28" t="s">
        <v>9334</v>
      </c>
      <c r="U657" s="27" t="s">
        <v>484</v>
      </c>
      <c r="V657" t="s">
        <v>194</v>
      </c>
      <c r="W657" t="s">
        <v>9300</v>
      </c>
      <c r="Z657" t="s">
        <v>9311</v>
      </c>
      <c r="AF657" t="s">
        <v>4714</v>
      </c>
      <c r="AG657" t="s">
        <v>12935</v>
      </c>
      <c r="AI657" t="s">
        <v>6955</v>
      </c>
      <c r="AJ657" s="424" t="str">
        <f t="shared" si="30"/>
        <v>251401</v>
      </c>
      <c r="AK657" s="28">
        <v>1</v>
      </c>
      <c r="AL657" s="28">
        <f t="shared" si="32"/>
        <v>1</v>
      </c>
      <c r="AM657" s="28" t="str">
        <f t="shared" si="31"/>
        <v>pracuj.pl</v>
      </c>
    </row>
    <row r="658" spans="1:39" x14ac:dyDescent="0.25">
      <c r="A658" t="s">
        <v>493</v>
      </c>
      <c r="B658" t="s">
        <v>12939</v>
      </c>
      <c r="C658" t="s">
        <v>10</v>
      </c>
      <c r="D658" s="27" t="s">
        <v>10194</v>
      </c>
      <c r="E658" t="s">
        <v>192</v>
      </c>
      <c r="F658" s="421">
        <v>1</v>
      </c>
      <c r="G658" t="s">
        <v>193</v>
      </c>
      <c r="H658" t="s">
        <v>194</v>
      </c>
      <c r="I658" t="s">
        <v>9989</v>
      </c>
      <c r="J658" t="s">
        <v>210</v>
      </c>
      <c r="K658" t="s">
        <v>12940</v>
      </c>
      <c r="L658" t="s">
        <v>6261</v>
      </c>
      <c r="M658" t="s">
        <v>12244</v>
      </c>
      <c r="N658" t="s">
        <v>9749</v>
      </c>
      <c r="O658" t="s">
        <v>9574</v>
      </c>
      <c r="P658" t="s">
        <v>12941</v>
      </c>
      <c r="Q658" t="s">
        <v>12942</v>
      </c>
      <c r="S658" t="s">
        <v>9309</v>
      </c>
      <c r="T658" s="28" t="s">
        <v>9334</v>
      </c>
      <c r="U658" s="27" t="s">
        <v>484</v>
      </c>
      <c r="V658" t="s">
        <v>194</v>
      </c>
      <c r="W658" t="s">
        <v>9300</v>
      </c>
      <c r="Z658" t="s">
        <v>9311</v>
      </c>
      <c r="AF658" t="s">
        <v>4714</v>
      </c>
      <c r="AG658" t="s">
        <v>12939</v>
      </c>
      <c r="AI658" t="s">
        <v>6955</v>
      </c>
      <c r="AJ658" s="424" t="str">
        <f t="shared" si="30"/>
        <v>251401</v>
      </c>
      <c r="AK658" s="28">
        <v>1</v>
      </c>
      <c r="AL658" s="28">
        <f t="shared" si="32"/>
        <v>1</v>
      </c>
      <c r="AM658" s="28" t="str">
        <f t="shared" si="31"/>
        <v>pracuj.pl</v>
      </c>
    </row>
    <row r="659" spans="1:39" x14ac:dyDescent="0.25">
      <c r="A659" t="s">
        <v>13011</v>
      </c>
      <c r="B659" t="s">
        <v>1406</v>
      </c>
      <c r="C659" t="s">
        <v>10</v>
      </c>
      <c r="D659" s="27" t="s">
        <v>10194</v>
      </c>
      <c r="E659" t="s">
        <v>233</v>
      </c>
      <c r="F659" s="421">
        <v>1</v>
      </c>
      <c r="G659" t="s">
        <v>193</v>
      </c>
      <c r="H659" t="s">
        <v>194</v>
      </c>
      <c r="I659" t="s">
        <v>9491</v>
      </c>
      <c r="J659" t="s">
        <v>9302</v>
      </c>
      <c r="K659" t="s">
        <v>13012</v>
      </c>
      <c r="L659" t="s">
        <v>6261</v>
      </c>
      <c r="M659" t="s">
        <v>12365</v>
      </c>
      <c r="N659" t="s">
        <v>9929</v>
      </c>
      <c r="O659" t="s">
        <v>9604</v>
      </c>
      <c r="P659" t="s">
        <v>13013</v>
      </c>
      <c r="Q659" t="s">
        <v>13014</v>
      </c>
      <c r="S659" t="s">
        <v>9309</v>
      </c>
      <c r="U659" s="27" t="s">
        <v>484</v>
      </c>
      <c r="V659" t="s">
        <v>193</v>
      </c>
      <c r="W659" t="s">
        <v>9310</v>
      </c>
      <c r="Z659" t="s">
        <v>9311</v>
      </c>
      <c r="AF659" t="s">
        <v>4714</v>
      </c>
      <c r="AG659" t="s">
        <v>1406</v>
      </c>
      <c r="AI659" t="s">
        <v>6955</v>
      </c>
      <c r="AJ659" s="424" t="str">
        <f t="shared" si="30"/>
        <v>251401</v>
      </c>
      <c r="AK659" s="28">
        <v>1</v>
      </c>
      <c r="AL659" s="28">
        <f t="shared" si="32"/>
        <v>1</v>
      </c>
      <c r="AM659" s="28" t="str">
        <f t="shared" si="31"/>
        <v>praca</v>
      </c>
    </row>
    <row r="660" spans="1:39" x14ac:dyDescent="0.25">
      <c r="A660" t="s">
        <v>9312</v>
      </c>
      <c r="B660" t="s">
        <v>9313</v>
      </c>
      <c r="C660" t="s">
        <v>1408</v>
      </c>
      <c r="D660" s="27" t="s">
        <v>9299</v>
      </c>
      <c r="E660" t="s">
        <v>192</v>
      </c>
      <c r="F660" s="421">
        <v>1</v>
      </c>
      <c r="G660" t="s">
        <v>193</v>
      </c>
      <c r="H660" t="s">
        <v>194</v>
      </c>
      <c r="I660" t="s">
        <v>9301</v>
      </c>
      <c r="J660" t="s">
        <v>9302</v>
      </c>
      <c r="K660" t="s">
        <v>9314</v>
      </c>
      <c r="L660" t="s">
        <v>6261</v>
      </c>
      <c r="M660" t="s">
        <v>9304</v>
      </c>
      <c r="N660" t="s">
        <v>9305</v>
      </c>
      <c r="O660" t="s">
        <v>9306</v>
      </c>
      <c r="P660" t="s">
        <v>9315</v>
      </c>
      <c r="Q660" t="s">
        <v>9316</v>
      </c>
      <c r="S660" t="s">
        <v>9309</v>
      </c>
      <c r="U660" s="27" t="s">
        <v>1409</v>
      </c>
      <c r="V660" t="s">
        <v>193</v>
      </c>
      <c r="W660" t="s">
        <v>9310</v>
      </c>
      <c r="Z660" t="s">
        <v>9311</v>
      </c>
      <c r="AF660" t="s">
        <v>4714</v>
      </c>
      <c r="AG660" t="s">
        <v>9313</v>
      </c>
      <c r="AI660" t="s">
        <v>6955</v>
      </c>
      <c r="AJ660" s="424" t="str">
        <f t="shared" si="30"/>
        <v>251402</v>
      </c>
      <c r="AK660" s="28">
        <v>1</v>
      </c>
      <c r="AL660" s="421">
        <f t="shared" si="32"/>
        <v>1</v>
      </c>
      <c r="AM660" s="28" t="str">
        <f t="shared" si="31"/>
        <v>pracuj.pl</v>
      </c>
    </row>
    <row r="661" spans="1:39" x14ac:dyDescent="0.25">
      <c r="A661" t="s">
        <v>9927</v>
      </c>
      <c r="B661" t="s">
        <v>9936</v>
      </c>
      <c r="C661" t="s">
        <v>61</v>
      </c>
      <c r="D661" s="27" t="s">
        <v>9299</v>
      </c>
      <c r="E661" t="s">
        <v>217</v>
      </c>
      <c r="F661" s="421">
        <v>1</v>
      </c>
      <c r="G661" t="s">
        <v>193</v>
      </c>
      <c r="H661" t="s">
        <v>194</v>
      </c>
      <c r="I661" t="s">
        <v>9742</v>
      </c>
      <c r="J661" t="s">
        <v>210</v>
      </c>
      <c r="K661" t="s">
        <v>9937</v>
      </c>
      <c r="L661" t="s">
        <v>6261</v>
      </c>
      <c r="M661" t="s">
        <v>9428</v>
      </c>
      <c r="N661" t="s">
        <v>9938</v>
      </c>
      <c r="O661" t="s">
        <v>9351</v>
      </c>
      <c r="P661" t="s">
        <v>9939</v>
      </c>
      <c r="Q661" t="s">
        <v>9940</v>
      </c>
      <c r="S661" t="s">
        <v>9309</v>
      </c>
      <c r="T661" s="28" t="s">
        <v>9334</v>
      </c>
      <c r="U661" s="27" t="s">
        <v>2282</v>
      </c>
      <c r="V661" t="s">
        <v>194</v>
      </c>
      <c r="W661" t="s">
        <v>9300</v>
      </c>
      <c r="Z661" t="s">
        <v>9311</v>
      </c>
      <c r="AF661" t="s">
        <v>4714</v>
      </c>
      <c r="AG661" t="s">
        <v>9433</v>
      </c>
      <c r="AI661" t="s">
        <v>6955</v>
      </c>
      <c r="AJ661" s="424" t="str">
        <f t="shared" si="30"/>
        <v>251103</v>
      </c>
      <c r="AK661" s="28">
        <v>1</v>
      </c>
      <c r="AL661" s="28">
        <f t="shared" si="32"/>
        <v>1</v>
      </c>
      <c r="AM661" s="28" t="str">
        <f t="shared" si="31"/>
        <v>agora</v>
      </c>
    </row>
    <row r="662" spans="1:39" x14ac:dyDescent="0.25">
      <c r="A662" t="s">
        <v>11612</v>
      </c>
      <c r="B662" t="s">
        <v>11638</v>
      </c>
      <c r="C662" t="s">
        <v>8953</v>
      </c>
      <c r="D662" s="27" t="s">
        <v>9437</v>
      </c>
      <c r="E662" t="s">
        <v>192</v>
      </c>
      <c r="F662" s="421">
        <v>1</v>
      </c>
      <c r="G662" t="s">
        <v>193</v>
      </c>
      <c r="H662" t="s">
        <v>194</v>
      </c>
      <c r="I662" t="s">
        <v>11608</v>
      </c>
      <c r="J662" t="s">
        <v>9302</v>
      </c>
      <c r="K662" t="s">
        <v>11639</v>
      </c>
      <c r="L662" t="s">
        <v>6921</v>
      </c>
      <c r="M662" t="s">
        <v>11604</v>
      </c>
      <c r="N662" t="s">
        <v>9536</v>
      </c>
      <c r="O662" t="s">
        <v>9461</v>
      </c>
      <c r="P662" t="s">
        <v>11640</v>
      </c>
      <c r="Q662" t="s">
        <v>11641</v>
      </c>
      <c r="S662" t="s">
        <v>9309</v>
      </c>
      <c r="U662" s="27" t="s">
        <v>8955</v>
      </c>
      <c r="V662" t="s">
        <v>193</v>
      </c>
      <c r="W662" t="s">
        <v>9310</v>
      </c>
      <c r="Z662" t="s">
        <v>9311</v>
      </c>
      <c r="AF662" t="s">
        <v>4714</v>
      </c>
      <c r="AG662" t="s">
        <v>11638</v>
      </c>
      <c r="AI662" t="s">
        <v>6955</v>
      </c>
      <c r="AJ662" s="424" t="str">
        <f t="shared" si="30"/>
        <v>252103</v>
      </c>
      <c r="AK662" s="28">
        <v>1</v>
      </c>
      <c r="AL662" s="28">
        <f t="shared" si="32"/>
        <v>1</v>
      </c>
      <c r="AM662" s="28" t="str">
        <f t="shared" si="31"/>
        <v>pracuj.pl</v>
      </c>
    </row>
    <row r="663" spans="1:39" x14ac:dyDescent="0.25">
      <c r="A663" t="s">
        <v>9522</v>
      </c>
      <c r="B663" t="s">
        <v>9529</v>
      </c>
      <c r="C663" t="s">
        <v>8953</v>
      </c>
      <c r="D663" s="27" t="s">
        <v>9437</v>
      </c>
      <c r="E663" t="s">
        <v>217</v>
      </c>
      <c r="F663" s="421">
        <v>1</v>
      </c>
      <c r="G663" t="s">
        <v>193</v>
      </c>
      <c r="H663" t="s">
        <v>194</v>
      </c>
      <c r="I663" t="s">
        <v>9491</v>
      </c>
      <c r="J663" t="s">
        <v>9534</v>
      </c>
      <c r="K663" t="s">
        <v>9535</v>
      </c>
      <c r="L663" t="s">
        <v>6921</v>
      </c>
      <c r="M663" t="s">
        <v>11702</v>
      </c>
      <c r="N663" t="s">
        <v>9536</v>
      </c>
      <c r="O663" t="s">
        <v>9537</v>
      </c>
      <c r="P663" t="s">
        <v>11748</v>
      </c>
      <c r="Q663" t="s">
        <v>11749</v>
      </c>
      <c r="S663" t="s">
        <v>9309</v>
      </c>
      <c r="T663" s="28" t="s">
        <v>9334</v>
      </c>
      <c r="U663" s="27" t="s">
        <v>8955</v>
      </c>
      <c r="V663" t="s">
        <v>194</v>
      </c>
      <c r="W663" t="s">
        <v>9300</v>
      </c>
      <c r="Z663" t="s">
        <v>9311</v>
      </c>
      <c r="AF663" t="s">
        <v>4714</v>
      </c>
      <c r="AG663" t="s">
        <v>9433</v>
      </c>
      <c r="AI663" t="s">
        <v>6955</v>
      </c>
      <c r="AJ663" s="424" t="str">
        <f t="shared" si="30"/>
        <v>252103</v>
      </c>
      <c r="AK663" s="28">
        <v>1</v>
      </c>
      <c r="AL663" s="28">
        <f t="shared" si="32"/>
        <v>1</v>
      </c>
      <c r="AM663" s="28" t="str">
        <f t="shared" si="31"/>
        <v>agora</v>
      </c>
    </row>
    <row r="664" spans="1:39" x14ac:dyDescent="0.25">
      <c r="A664" t="s">
        <v>9522</v>
      </c>
      <c r="B664" t="s">
        <v>9647</v>
      </c>
      <c r="C664" t="s">
        <v>480</v>
      </c>
      <c r="D664" s="27" t="s">
        <v>9299</v>
      </c>
      <c r="E664" t="s">
        <v>217</v>
      </c>
      <c r="F664" s="421">
        <v>1</v>
      </c>
      <c r="G664" t="s">
        <v>193</v>
      </c>
      <c r="H664" t="s">
        <v>194</v>
      </c>
      <c r="I664" t="s">
        <v>9430</v>
      </c>
      <c r="J664" t="s">
        <v>9524</v>
      </c>
      <c r="K664" t="s">
        <v>9648</v>
      </c>
      <c r="L664" t="s">
        <v>6261</v>
      </c>
      <c r="M664" t="s">
        <v>9436</v>
      </c>
      <c r="N664" t="s">
        <v>9573</v>
      </c>
      <c r="O664" t="s">
        <v>9574</v>
      </c>
      <c r="P664" t="s">
        <v>9649</v>
      </c>
      <c r="Q664" t="s">
        <v>9650</v>
      </c>
      <c r="S664" t="s">
        <v>9309</v>
      </c>
      <c r="U664" s="27" t="s">
        <v>481</v>
      </c>
      <c r="V664" t="s">
        <v>193</v>
      </c>
      <c r="W664" t="s">
        <v>9310</v>
      </c>
      <c r="Z664" t="s">
        <v>9311</v>
      </c>
      <c r="AF664" t="s">
        <v>4714</v>
      </c>
      <c r="AG664" t="s">
        <v>9433</v>
      </c>
      <c r="AI664" t="s">
        <v>6955</v>
      </c>
      <c r="AJ664" s="424" t="str">
        <f t="shared" si="30"/>
        <v>251201</v>
      </c>
      <c r="AK664" s="28">
        <v>1</v>
      </c>
      <c r="AL664" s="28">
        <f t="shared" si="32"/>
        <v>1</v>
      </c>
      <c r="AM664" s="28" t="str">
        <f t="shared" si="31"/>
        <v>agora</v>
      </c>
    </row>
    <row r="665" spans="1:39" x14ac:dyDescent="0.25">
      <c r="A665" t="s">
        <v>9346</v>
      </c>
      <c r="B665" t="s">
        <v>10550</v>
      </c>
      <c r="C665" t="s">
        <v>480</v>
      </c>
      <c r="D665" s="27" t="s">
        <v>9835</v>
      </c>
      <c r="E665" t="s">
        <v>192</v>
      </c>
      <c r="F665" s="421">
        <v>1</v>
      </c>
      <c r="G665" t="s">
        <v>193</v>
      </c>
      <c r="H665" t="s">
        <v>194</v>
      </c>
      <c r="I665" t="s">
        <v>10529</v>
      </c>
      <c r="J665" t="s">
        <v>9302</v>
      </c>
      <c r="K665" t="s">
        <v>10551</v>
      </c>
      <c r="L665" t="s">
        <v>6261</v>
      </c>
      <c r="M665" t="s">
        <v>10519</v>
      </c>
      <c r="N665" t="s">
        <v>10045</v>
      </c>
      <c r="O665" t="s">
        <v>9369</v>
      </c>
      <c r="P665" t="s">
        <v>10552</v>
      </c>
      <c r="Q665" t="s">
        <v>10553</v>
      </c>
      <c r="S665" t="s">
        <v>9309</v>
      </c>
      <c r="U665" s="27" t="s">
        <v>481</v>
      </c>
      <c r="V665" t="s">
        <v>193</v>
      </c>
      <c r="W665" t="s">
        <v>9310</v>
      </c>
      <c r="Z665" t="s">
        <v>9311</v>
      </c>
      <c r="AF665" t="s">
        <v>4714</v>
      </c>
      <c r="AG665" t="s">
        <v>10550</v>
      </c>
      <c r="AI665" t="s">
        <v>6955</v>
      </c>
      <c r="AJ665" s="424" t="str">
        <f t="shared" si="30"/>
        <v>251201</v>
      </c>
      <c r="AK665" s="28">
        <v>1</v>
      </c>
      <c r="AL665" s="28">
        <f t="shared" si="32"/>
        <v>1</v>
      </c>
      <c r="AM665" s="28" t="str">
        <f t="shared" si="31"/>
        <v>pracuj.pl</v>
      </c>
    </row>
    <row r="666" spans="1:39" x14ac:dyDescent="0.25">
      <c r="A666" t="s">
        <v>1748</v>
      </c>
      <c r="B666" t="s">
        <v>11860</v>
      </c>
      <c r="C666" t="s">
        <v>69</v>
      </c>
      <c r="D666" s="27" t="s">
        <v>9437</v>
      </c>
      <c r="E666" t="s">
        <v>192</v>
      </c>
      <c r="F666" s="421">
        <v>1</v>
      </c>
      <c r="G666" t="s">
        <v>193</v>
      </c>
      <c r="H666" t="s">
        <v>194</v>
      </c>
      <c r="I666" t="s">
        <v>11608</v>
      </c>
      <c r="J666" t="s">
        <v>210</v>
      </c>
      <c r="K666" t="s">
        <v>11861</v>
      </c>
      <c r="L666" t="s">
        <v>6921</v>
      </c>
      <c r="M666" t="s">
        <v>11604</v>
      </c>
      <c r="N666" t="s">
        <v>9536</v>
      </c>
      <c r="O666" t="s">
        <v>9461</v>
      </c>
      <c r="P666" t="s">
        <v>11862</v>
      </c>
      <c r="Q666" t="s">
        <v>11863</v>
      </c>
      <c r="S666" t="s">
        <v>9309</v>
      </c>
      <c r="T666" s="28" t="s">
        <v>9334</v>
      </c>
      <c r="U666" s="27" t="s">
        <v>375</v>
      </c>
      <c r="V666" t="s">
        <v>194</v>
      </c>
      <c r="W666" t="s">
        <v>9300</v>
      </c>
      <c r="Z666" t="s">
        <v>9311</v>
      </c>
      <c r="AF666" t="s">
        <v>4714</v>
      </c>
      <c r="AG666" t="s">
        <v>11860</v>
      </c>
      <c r="AI666" t="s">
        <v>6955</v>
      </c>
      <c r="AJ666" s="424" t="str">
        <f t="shared" si="30"/>
        <v>215301</v>
      </c>
      <c r="AK666" s="28">
        <v>1</v>
      </c>
      <c r="AL666" s="28">
        <f t="shared" si="32"/>
        <v>1</v>
      </c>
      <c r="AM666" s="28" t="str">
        <f t="shared" si="31"/>
        <v>pracuj.pl</v>
      </c>
    </row>
    <row r="667" spans="1:39" x14ac:dyDescent="0.25">
      <c r="A667" t="s">
        <v>9746</v>
      </c>
      <c r="B667" t="s">
        <v>9747</v>
      </c>
      <c r="C667" t="s">
        <v>5312</v>
      </c>
      <c r="D667" s="27" t="s">
        <v>9437</v>
      </c>
      <c r="E667" t="s">
        <v>217</v>
      </c>
      <c r="F667" s="421">
        <v>1</v>
      </c>
      <c r="G667" t="s">
        <v>193</v>
      </c>
      <c r="H667" t="s">
        <v>194</v>
      </c>
      <c r="I667" t="s">
        <v>9343</v>
      </c>
      <c r="J667" t="s">
        <v>305</v>
      </c>
      <c r="K667" t="s">
        <v>9748</v>
      </c>
      <c r="L667" t="s">
        <v>6269</v>
      </c>
      <c r="M667" t="s">
        <v>11702</v>
      </c>
      <c r="N667" t="s">
        <v>9749</v>
      </c>
      <c r="O667" t="s">
        <v>9750</v>
      </c>
      <c r="P667" t="s">
        <v>11864</v>
      </c>
      <c r="Q667" t="s">
        <v>11865</v>
      </c>
      <c r="S667" t="s">
        <v>9309</v>
      </c>
      <c r="T667" s="28" t="s">
        <v>9753</v>
      </c>
      <c r="U667" s="27" t="s">
        <v>5313</v>
      </c>
      <c r="V667" t="s">
        <v>194</v>
      </c>
      <c r="W667" t="s">
        <v>9300</v>
      </c>
      <c r="Z667" t="s">
        <v>9311</v>
      </c>
      <c r="AF667" t="s">
        <v>4714</v>
      </c>
      <c r="AG667" t="s">
        <v>9433</v>
      </c>
      <c r="AI667" t="s">
        <v>6955</v>
      </c>
      <c r="AJ667" s="424" t="str">
        <f t="shared" si="30"/>
        <v>221101</v>
      </c>
      <c r="AK667" s="28">
        <v>1</v>
      </c>
      <c r="AL667" s="28">
        <f t="shared" si="32"/>
        <v>1</v>
      </c>
      <c r="AM667" s="28" t="str">
        <f t="shared" si="31"/>
        <v>agora</v>
      </c>
    </row>
    <row r="668" spans="1:39" x14ac:dyDescent="0.25">
      <c r="A668" t="s">
        <v>11866</v>
      </c>
      <c r="B668" t="s">
        <v>11867</v>
      </c>
      <c r="C668" t="s">
        <v>778</v>
      </c>
      <c r="D668" s="27" t="s">
        <v>9437</v>
      </c>
      <c r="E668" t="s">
        <v>192</v>
      </c>
      <c r="F668" s="421">
        <v>1</v>
      </c>
      <c r="G668" t="s">
        <v>193</v>
      </c>
      <c r="H668" t="s">
        <v>194</v>
      </c>
      <c r="I668" t="s">
        <v>9369</v>
      </c>
      <c r="J668" t="s">
        <v>9302</v>
      </c>
      <c r="K668" t="s">
        <v>11868</v>
      </c>
      <c r="L668" t="s">
        <v>6245</v>
      </c>
      <c r="M668" t="s">
        <v>11604</v>
      </c>
      <c r="N668" t="s">
        <v>9536</v>
      </c>
      <c r="O668" t="s">
        <v>9461</v>
      </c>
      <c r="P668" t="s">
        <v>11869</v>
      </c>
      <c r="Q668" t="s">
        <v>11870</v>
      </c>
      <c r="S668" t="s">
        <v>9309</v>
      </c>
      <c r="U668" s="27" t="s">
        <v>779</v>
      </c>
      <c r="V668" t="s">
        <v>193</v>
      </c>
      <c r="W668" t="s">
        <v>9310</v>
      </c>
      <c r="Z668" t="s">
        <v>9311</v>
      </c>
      <c r="AF668" t="s">
        <v>4714</v>
      </c>
      <c r="AG668" t="s">
        <v>11867</v>
      </c>
      <c r="AI668" t="s">
        <v>6955</v>
      </c>
      <c r="AJ668" s="424" t="str">
        <f t="shared" si="30"/>
        <v>524902</v>
      </c>
      <c r="AK668" s="28">
        <v>1</v>
      </c>
      <c r="AL668" s="28">
        <f t="shared" si="32"/>
        <v>1</v>
      </c>
      <c r="AM668" s="28" t="str">
        <f t="shared" si="31"/>
        <v>pracuj.pl</v>
      </c>
    </row>
    <row r="669" spans="1:39" x14ac:dyDescent="0.25">
      <c r="A669" t="s">
        <v>11871</v>
      </c>
      <c r="B669" t="s">
        <v>11872</v>
      </c>
      <c r="C669" t="s">
        <v>1276</v>
      </c>
      <c r="D669" s="27" t="s">
        <v>9437</v>
      </c>
      <c r="E669" t="s">
        <v>192</v>
      </c>
      <c r="F669" s="421">
        <v>1</v>
      </c>
      <c r="G669" t="s">
        <v>193</v>
      </c>
      <c r="H669" t="s">
        <v>194</v>
      </c>
      <c r="I669" t="s">
        <v>9343</v>
      </c>
      <c r="J669" t="s">
        <v>672</v>
      </c>
      <c r="K669" t="s">
        <v>11873</v>
      </c>
      <c r="L669" t="s">
        <v>6245</v>
      </c>
      <c r="M669" t="s">
        <v>11604</v>
      </c>
      <c r="N669" t="s">
        <v>9536</v>
      </c>
      <c r="O669" t="s">
        <v>9461</v>
      </c>
      <c r="P669" t="s">
        <v>11874</v>
      </c>
      <c r="Q669" t="s">
        <v>11875</v>
      </c>
      <c r="S669" t="s">
        <v>9309</v>
      </c>
      <c r="T669" s="28" t="s">
        <v>9726</v>
      </c>
      <c r="U669" s="27" t="s">
        <v>1277</v>
      </c>
      <c r="V669" t="s">
        <v>194</v>
      </c>
      <c r="W669" t="s">
        <v>9300</v>
      </c>
      <c r="Z669" t="s">
        <v>9311</v>
      </c>
      <c r="AF669" t="s">
        <v>4714</v>
      </c>
      <c r="AG669" t="s">
        <v>11872</v>
      </c>
      <c r="AI669" t="s">
        <v>6955</v>
      </c>
      <c r="AJ669" s="424" t="str">
        <f t="shared" si="30"/>
        <v>315317</v>
      </c>
      <c r="AK669" s="28">
        <v>1</v>
      </c>
      <c r="AL669" s="28">
        <f t="shared" si="32"/>
        <v>1</v>
      </c>
      <c r="AM669" s="28" t="str">
        <f t="shared" si="31"/>
        <v>pracuj.pl</v>
      </c>
    </row>
    <row r="670" spans="1:39" x14ac:dyDescent="0.25">
      <c r="A670" t="s">
        <v>11876</v>
      </c>
      <c r="B670" t="s">
        <v>1524</v>
      </c>
      <c r="C670" t="s">
        <v>86</v>
      </c>
      <c r="D670" s="27" t="s">
        <v>9437</v>
      </c>
      <c r="E670" t="s">
        <v>192</v>
      </c>
      <c r="F670" s="421">
        <v>1</v>
      </c>
      <c r="G670" t="s">
        <v>193</v>
      </c>
      <c r="H670" t="s">
        <v>194</v>
      </c>
      <c r="I670" t="s">
        <v>9461</v>
      </c>
      <c r="J670" t="s">
        <v>210</v>
      </c>
      <c r="K670" t="s">
        <v>11877</v>
      </c>
      <c r="L670" t="s">
        <v>6254</v>
      </c>
      <c r="M670" t="s">
        <v>11599</v>
      </c>
      <c r="N670" t="s">
        <v>9536</v>
      </c>
      <c r="O670" t="s">
        <v>9461</v>
      </c>
      <c r="P670" t="s">
        <v>11878</v>
      </c>
      <c r="Q670" t="s">
        <v>11879</v>
      </c>
      <c r="S670" t="s">
        <v>9309</v>
      </c>
      <c r="T670" s="28" t="s">
        <v>9334</v>
      </c>
      <c r="U670" s="27" t="s">
        <v>1107</v>
      </c>
      <c r="V670" t="s">
        <v>194</v>
      </c>
      <c r="W670" t="s">
        <v>9300</v>
      </c>
      <c r="Z670" t="s">
        <v>9311</v>
      </c>
      <c r="AF670" t="s">
        <v>4714</v>
      </c>
      <c r="AG670" t="s">
        <v>86</v>
      </c>
      <c r="AI670" t="s">
        <v>6955</v>
      </c>
      <c r="AJ670" s="424" t="str">
        <f t="shared" si="30"/>
        <v>121101</v>
      </c>
      <c r="AK670" s="28">
        <v>1</v>
      </c>
      <c r="AL670" s="28">
        <f t="shared" si="32"/>
        <v>1</v>
      </c>
      <c r="AM670" s="28" t="str">
        <f t="shared" si="31"/>
        <v>pracuj.pl</v>
      </c>
    </row>
    <row r="671" spans="1:39" x14ac:dyDescent="0.25">
      <c r="A671" t="s">
        <v>11880</v>
      </c>
      <c r="B671" t="s">
        <v>11881</v>
      </c>
      <c r="C671" t="s">
        <v>21</v>
      </c>
      <c r="D671" s="27" t="s">
        <v>9437</v>
      </c>
      <c r="E671" t="s">
        <v>192</v>
      </c>
      <c r="F671" s="421">
        <v>1</v>
      </c>
      <c r="G671" t="s">
        <v>193</v>
      </c>
      <c r="H671" t="s">
        <v>194</v>
      </c>
      <c r="I671" t="s">
        <v>9343</v>
      </c>
      <c r="J671" t="s">
        <v>9302</v>
      </c>
      <c r="K671" t="s">
        <v>11882</v>
      </c>
      <c r="L671" t="s">
        <v>6374</v>
      </c>
      <c r="M671" t="s">
        <v>11604</v>
      </c>
      <c r="N671" t="s">
        <v>9536</v>
      </c>
      <c r="O671" t="s">
        <v>9461</v>
      </c>
      <c r="P671" t="s">
        <v>11883</v>
      </c>
      <c r="Q671" t="s">
        <v>11884</v>
      </c>
      <c r="S671" t="s">
        <v>9309</v>
      </c>
      <c r="U671" s="27" t="s">
        <v>293</v>
      </c>
      <c r="V671" t="s">
        <v>193</v>
      </c>
      <c r="W671" t="s">
        <v>9310</v>
      </c>
      <c r="Z671" t="s">
        <v>9311</v>
      </c>
      <c r="AF671" t="s">
        <v>4714</v>
      </c>
      <c r="AG671" t="s">
        <v>11881</v>
      </c>
      <c r="AI671" t="s">
        <v>6955</v>
      </c>
      <c r="AJ671" s="424" t="str">
        <f t="shared" si="30"/>
        <v>214202</v>
      </c>
      <c r="AK671" s="28">
        <v>1</v>
      </c>
      <c r="AL671" s="28">
        <f t="shared" si="32"/>
        <v>1</v>
      </c>
      <c r="AM671" s="28" t="str">
        <f t="shared" si="31"/>
        <v>pracuj.pl</v>
      </c>
    </row>
    <row r="672" spans="1:39" x14ac:dyDescent="0.25">
      <c r="A672" t="s">
        <v>11885</v>
      </c>
      <c r="B672" t="s">
        <v>11886</v>
      </c>
      <c r="C672" t="s">
        <v>17</v>
      </c>
      <c r="D672" s="27" t="s">
        <v>9437</v>
      </c>
      <c r="E672" t="s">
        <v>192</v>
      </c>
      <c r="F672" s="421">
        <v>1</v>
      </c>
      <c r="G672" t="s">
        <v>193</v>
      </c>
      <c r="H672" t="s">
        <v>194</v>
      </c>
      <c r="I672" t="s">
        <v>9369</v>
      </c>
      <c r="J672" t="s">
        <v>210</v>
      </c>
      <c r="K672" t="s">
        <v>11887</v>
      </c>
      <c r="L672" t="s">
        <v>6251</v>
      </c>
      <c r="M672" t="s">
        <v>11604</v>
      </c>
      <c r="N672" t="s">
        <v>9536</v>
      </c>
      <c r="O672" t="s">
        <v>9461</v>
      </c>
      <c r="P672" t="s">
        <v>11888</v>
      </c>
      <c r="Q672" t="s">
        <v>11889</v>
      </c>
      <c r="S672" t="s">
        <v>9309</v>
      </c>
      <c r="T672" s="28" t="s">
        <v>9334</v>
      </c>
      <c r="U672" s="27" t="s">
        <v>624</v>
      </c>
      <c r="V672" t="s">
        <v>194</v>
      </c>
      <c r="W672" t="s">
        <v>9300</v>
      </c>
      <c r="Z672" t="s">
        <v>9311</v>
      </c>
      <c r="AF672" t="s">
        <v>4714</v>
      </c>
      <c r="AG672" t="s">
        <v>11886</v>
      </c>
      <c r="AI672" t="s">
        <v>6955</v>
      </c>
      <c r="AJ672" s="424" t="str">
        <f t="shared" si="30"/>
        <v>332203</v>
      </c>
      <c r="AK672" s="28">
        <v>1</v>
      </c>
      <c r="AL672" s="28">
        <f t="shared" si="32"/>
        <v>1</v>
      </c>
      <c r="AM672" s="28" t="str">
        <f t="shared" si="31"/>
        <v>pracuj.pl</v>
      </c>
    </row>
    <row r="673" spans="1:39" x14ac:dyDescent="0.25">
      <c r="A673" t="s">
        <v>11885</v>
      </c>
      <c r="B673" t="s">
        <v>11886</v>
      </c>
      <c r="C673" t="s">
        <v>17</v>
      </c>
      <c r="D673" s="27" t="s">
        <v>9437</v>
      </c>
      <c r="E673" t="s">
        <v>192</v>
      </c>
      <c r="F673" s="421">
        <v>1</v>
      </c>
      <c r="G673" t="s">
        <v>193</v>
      </c>
      <c r="H673" t="s">
        <v>194</v>
      </c>
      <c r="I673" t="s">
        <v>9369</v>
      </c>
      <c r="J673" t="s">
        <v>276</v>
      </c>
      <c r="K673" t="s">
        <v>11890</v>
      </c>
      <c r="L673" t="s">
        <v>6251</v>
      </c>
      <c r="M673" t="s">
        <v>11604</v>
      </c>
      <c r="N673" t="s">
        <v>9536</v>
      </c>
      <c r="O673" t="s">
        <v>9461</v>
      </c>
      <c r="P673" t="s">
        <v>11891</v>
      </c>
      <c r="Q673" t="s">
        <v>11892</v>
      </c>
      <c r="S673" t="s">
        <v>9309</v>
      </c>
      <c r="T673" s="28" t="s">
        <v>9786</v>
      </c>
      <c r="U673" s="27" t="s">
        <v>624</v>
      </c>
      <c r="V673" t="s">
        <v>194</v>
      </c>
      <c r="W673" t="s">
        <v>9300</v>
      </c>
      <c r="Z673" t="s">
        <v>9311</v>
      </c>
      <c r="AF673" t="s">
        <v>4714</v>
      </c>
      <c r="AG673" t="s">
        <v>11886</v>
      </c>
      <c r="AI673" t="s">
        <v>6955</v>
      </c>
      <c r="AJ673" s="424" t="str">
        <f t="shared" si="30"/>
        <v>332203</v>
      </c>
      <c r="AK673" s="28">
        <v>1</v>
      </c>
      <c r="AL673" s="28">
        <f t="shared" si="32"/>
        <v>1</v>
      </c>
      <c r="AM673" s="28" t="str">
        <f t="shared" si="31"/>
        <v>pracuj.pl</v>
      </c>
    </row>
    <row r="674" spans="1:39" x14ac:dyDescent="0.25">
      <c r="A674" t="s">
        <v>11885</v>
      </c>
      <c r="B674" t="s">
        <v>11886</v>
      </c>
      <c r="C674" t="s">
        <v>17</v>
      </c>
      <c r="D674" s="27" t="s">
        <v>9437</v>
      </c>
      <c r="E674" t="s">
        <v>192</v>
      </c>
      <c r="F674" s="421">
        <v>1</v>
      </c>
      <c r="G674" t="s">
        <v>193</v>
      </c>
      <c r="H674" t="s">
        <v>194</v>
      </c>
      <c r="I674" t="s">
        <v>9369</v>
      </c>
      <c r="J674" t="s">
        <v>223</v>
      </c>
      <c r="K674" t="s">
        <v>11893</v>
      </c>
      <c r="L674" t="s">
        <v>6251</v>
      </c>
      <c r="M674" t="s">
        <v>11604</v>
      </c>
      <c r="N674" t="s">
        <v>9536</v>
      </c>
      <c r="O674" t="s">
        <v>9461</v>
      </c>
      <c r="P674" t="s">
        <v>11894</v>
      </c>
      <c r="Q674" t="s">
        <v>11895</v>
      </c>
      <c r="S674" t="s">
        <v>9309</v>
      </c>
      <c r="T674" s="28" t="s">
        <v>11163</v>
      </c>
      <c r="U674" s="27" t="s">
        <v>624</v>
      </c>
      <c r="V674" t="s">
        <v>194</v>
      </c>
      <c r="W674" t="s">
        <v>9300</v>
      </c>
      <c r="Z674" t="s">
        <v>9311</v>
      </c>
      <c r="AF674" t="s">
        <v>4714</v>
      </c>
      <c r="AG674" t="s">
        <v>11886</v>
      </c>
      <c r="AI674" t="s">
        <v>6955</v>
      </c>
      <c r="AJ674" s="424" t="str">
        <f t="shared" si="30"/>
        <v>332203</v>
      </c>
      <c r="AK674" s="28">
        <v>1</v>
      </c>
      <c r="AL674" s="28">
        <f t="shared" si="32"/>
        <v>1</v>
      </c>
      <c r="AM674" s="28" t="str">
        <f t="shared" si="31"/>
        <v>pracuj.pl</v>
      </c>
    </row>
    <row r="675" spans="1:39" x14ac:dyDescent="0.25">
      <c r="A675" t="s">
        <v>11885</v>
      </c>
      <c r="B675" t="s">
        <v>11886</v>
      </c>
      <c r="C675" t="s">
        <v>17</v>
      </c>
      <c r="D675" s="27" t="s">
        <v>9437</v>
      </c>
      <c r="E675" t="s">
        <v>192</v>
      </c>
      <c r="F675" s="421">
        <v>1</v>
      </c>
      <c r="G675" t="s">
        <v>193</v>
      </c>
      <c r="H675" t="s">
        <v>194</v>
      </c>
      <c r="I675" t="s">
        <v>9369</v>
      </c>
      <c r="J675" t="s">
        <v>4751</v>
      </c>
      <c r="K675" t="s">
        <v>11896</v>
      </c>
      <c r="L675" t="s">
        <v>6251</v>
      </c>
      <c r="M675" t="s">
        <v>11604</v>
      </c>
      <c r="N675" t="s">
        <v>9536</v>
      </c>
      <c r="O675" t="s">
        <v>9461</v>
      </c>
      <c r="P675" t="s">
        <v>11897</v>
      </c>
      <c r="Q675" t="s">
        <v>11898</v>
      </c>
      <c r="S675" t="s">
        <v>9309</v>
      </c>
      <c r="T675" s="28" t="s">
        <v>9472</v>
      </c>
      <c r="U675" s="27" t="s">
        <v>624</v>
      </c>
      <c r="V675" t="s">
        <v>194</v>
      </c>
      <c r="W675" t="s">
        <v>9300</v>
      </c>
      <c r="Z675" t="s">
        <v>9311</v>
      </c>
      <c r="AF675" t="s">
        <v>4714</v>
      </c>
      <c r="AG675" t="s">
        <v>11886</v>
      </c>
      <c r="AI675" t="s">
        <v>6955</v>
      </c>
      <c r="AJ675" s="424" t="str">
        <f t="shared" si="30"/>
        <v>332203</v>
      </c>
      <c r="AK675" s="28">
        <v>1</v>
      </c>
      <c r="AL675" s="28">
        <f t="shared" si="32"/>
        <v>1</v>
      </c>
      <c r="AM675" s="28" t="str">
        <f t="shared" si="31"/>
        <v>pracuj.pl</v>
      </c>
    </row>
    <row r="676" spans="1:39" x14ac:dyDescent="0.25">
      <c r="A676" t="s">
        <v>11885</v>
      </c>
      <c r="B676" t="s">
        <v>11886</v>
      </c>
      <c r="C676" t="s">
        <v>17</v>
      </c>
      <c r="D676" s="27" t="s">
        <v>9437</v>
      </c>
      <c r="E676" t="s">
        <v>192</v>
      </c>
      <c r="F676" s="421">
        <v>1</v>
      </c>
      <c r="G676" t="s">
        <v>193</v>
      </c>
      <c r="H676" t="s">
        <v>194</v>
      </c>
      <c r="I676" t="s">
        <v>9369</v>
      </c>
      <c r="J676" t="s">
        <v>305</v>
      </c>
      <c r="K676" t="s">
        <v>11899</v>
      </c>
      <c r="L676" t="s">
        <v>6251</v>
      </c>
      <c r="M676" t="s">
        <v>11604</v>
      </c>
      <c r="N676" t="s">
        <v>9536</v>
      </c>
      <c r="O676" t="s">
        <v>9461</v>
      </c>
      <c r="P676" t="s">
        <v>11900</v>
      </c>
      <c r="Q676" t="s">
        <v>11901</v>
      </c>
      <c r="S676" t="s">
        <v>9309</v>
      </c>
      <c r="T676" s="28" t="s">
        <v>9753</v>
      </c>
      <c r="U676" s="27" t="s">
        <v>624</v>
      </c>
      <c r="V676" t="s">
        <v>194</v>
      </c>
      <c r="W676" t="s">
        <v>9300</v>
      </c>
      <c r="Z676" t="s">
        <v>9311</v>
      </c>
      <c r="AF676" t="s">
        <v>4714</v>
      </c>
      <c r="AG676" t="s">
        <v>11886</v>
      </c>
      <c r="AI676" t="s">
        <v>6955</v>
      </c>
      <c r="AJ676" s="424" t="str">
        <f t="shared" si="30"/>
        <v>332203</v>
      </c>
      <c r="AK676" s="28">
        <v>1</v>
      </c>
      <c r="AL676" s="28">
        <f t="shared" si="32"/>
        <v>1</v>
      </c>
      <c r="AM676" s="28" t="str">
        <f t="shared" si="31"/>
        <v>pracuj.pl</v>
      </c>
    </row>
    <row r="677" spans="1:39" x14ac:dyDescent="0.25">
      <c r="A677" t="s">
        <v>11885</v>
      </c>
      <c r="B677" t="s">
        <v>11886</v>
      </c>
      <c r="C677" t="s">
        <v>17</v>
      </c>
      <c r="D677" s="27" t="s">
        <v>9437</v>
      </c>
      <c r="E677" t="s">
        <v>192</v>
      </c>
      <c r="F677" s="421">
        <v>1</v>
      </c>
      <c r="G677" t="s">
        <v>193</v>
      </c>
      <c r="H677" t="s">
        <v>194</v>
      </c>
      <c r="I677" t="s">
        <v>9369</v>
      </c>
      <c r="J677" t="s">
        <v>747</v>
      </c>
      <c r="K677" t="s">
        <v>11902</v>
      </c>
      <c r="L677" t="s">
        <v>6251</v>
      </c>
      <c r="M677" t="s">
        <v>11604</v>
      </c>
      <c r="N677" t="s">
        <v>9536</v>
      </c>
      <c r="O677" t="s">
        <v>9461</v>
      </c>
      <c r="P677" t="s">
        <v>11903</v>
      </c>
      <c r="Q677" t="s">
        <v>11904</v>
      </c>
      <c r="S677" t="s">
        <v>9309</v>
      </c>
      <c r="T677" s="28" t="s">
        <v>10397</v>
      </c>
      <c r="U677" s="27" t="s">
        <v>624</v>
      </c>
      <c r="V677" t="s">
        <v>194</v>
      </c>
      <c r="W677" t="s">
        <v>9300</v>
      </c>
      <c r="Z677" t="s">
        <v>9311</v>
      </c>
      <c r="AF677" t="s">
        <v>4714</v>
      </c>
      <c r="AG677" t="s">
        <v>11886</v>
      </c>
      <c r="AI677" t="s">
        <v>6955</v>
      </c>
      <c r="AJ677" s="424" t="str">
        <f t="shared" si="30"/>
        <v>332203</v>
      </c>
      <c r="AK677" s="28">
        <v>1</v>
      </c>
      <c r="AL677" s="28">
        <f t="shared" si="32"/>
        <v>1</v>
      </c>
      <c r="AM677" s="28" t="str">
        <f t="shared" si="31"/>
        <v>pracuj.pl</v>
      </c>
    </row>
    <row r="678" spans="1:39" x14ac:dyDescent="0.25">
      <c r="A678" t="s">
        <v>11885</v>
      </c>
      <c r="B678" t="s">
        <v>11886</v>
      </c>
      <c r="C678" t="s">
        <v>17</v>
      </c>
      <c r="D678" s="27" t="s">
        <v>9437</v>
      </c>
      <c r="E678" t="s">
        <v>192</v>
      </c>
      <c r="F678" s="421">
        <v>1</v>
      </c>
      <c r="G678" t="s">
        <v>193</v>
      </c>
      <c r="H678" t="s">
        <v>194</v>
      </c>
      <c r="I678" t="s">
        <v>9369</v>
      </c>
      <c r="J678" t="s">
        <v>316</v>
      </c>
      <c r="K678" t="s">
        <v>11905</v>
      </c>
      <c r="L678" t="s">
        <v>6251</v>
      </c>
      <c r="M678" t="s">
        <v>11604</v>
      </c>
      <c r="N678" t="s">
        <v>9536</v>
      </c>
      <c r="O678" t="s">
        <v>9461</v>
      </c>
      <c r="P678" t="s">
        <v>11906</v>
      </c>
      <c r="Q678" t="s">
        <v>11907</v>
      </c>
      <c r="S678" t="s">
        <v>9309</v>
      </c>
      <c r="T678" s="28" t="s">
        <v>10012</v>
      </c>
      <c r="U678" s="27" t="s">
        <v>624</v>
      </c>
      <c r="V678" t="s">
        <v>194</v>
      </c>
      <c r="W678" t="s">
        <v>9300</v>
      </c>
      <c r="Z678" t="s">
        <v>9311</v>
      </c>
      <c r="AF678" t="s">
        <v>4714</v>
      </c>
      <c r="AG678" t="s">
        <v>11886</v>
      </c>
      <c r="AI678" t="s">
        <v>6955</v>
      </c>
      <c r="AJ678" s="424" t="str">
        <f t="shared" si="30"/>
        <v>332203</v>
      </c>
      <c r="AK678" s="28">
        <v>1</v>
      </c>
      <c r="AL678" s="28">
        <f t="shared" si="32"/>
        <v>1</v>
      </c>
      <c r="AM678" s="28" t="str">
        <f t="shared" si="31"/>
        <v>pracuj.pl</v>
      </c>
    </row>
    <row r="679" spans="1:39" x14ac:dyDescent="0.25">
      <c r="A679" t="s">
        <v>11885</v>
      </c>
      <c r="B679" t="s">
        <v>11886</v>
      </c>
      <c r="C679" t="s">
        <v>17</v>
      </c>
      <c r="D679" s="27" t="s">
        <v>9437</v>
      </c>
      <c r="E679" t="s">
        <v>192</v>
      </c>
      <c r="F679" s="421">
        <v>1</v>
      </c>
      <c r="G679" t="s">
        <v>193</v>
      </c>
      <c r="H679" t="s">
        <v>194</v>
      </c>
      <c r="I679" t="s">
        <v>9369</v>
      </c>
      <c r="J679" t="s">
        <v>253</v>
      </c>
      <c r="K679" t="s">
        <v>11908</v>
      </c>
      <c r="L679" t="s">
        <v>6251</v>
      </c>
      <c r="M679" t="s">
        <v>11604</v>
      </c>
      <c r="N679" t="s">
        <v>9536</v>
      </c>
      <c r="O679" t="s">
        <v>9461</v>
      </c>
      <c r="P679" t="s">
        <v>11909</v>
      </c>
      <c r="Q679" t="s">
        <v>11910</v>
      </c>
      <c r="S679" t="s">
        <v>9309</v>
      </c>
      <c r="T679" s="28" t="s">
        <v>9468</v>
      </c>
      <c r="U679" s="27" t="s">
        <v>624</v>
      </c>
      <c r="V679" t="s">
        <v>194</v>
      </c>
      <c r="W679" t="s">
        <v>9300</v>
      </c>
      <c r="Z679" t="s">
        <v>9311</v>
      </c>
      <c r="AF679" t="s">
        <v>4714</v>
      </c>
      <c r="AG679" t="s">
        <v>11886</v>
      </c>
      <c r="AI679" t="s">
        <v>6955</v>
      </c>
      <c r="AJ679" s="424" t="str">
        <f t="shared" si="30"/>
        <v>332203</v>
      </c>
      <c r="AK679" s="28">
        <v>1</v>
      </c>
      <c r="AL679" s="28">
        <f t="shared" si="32"/>
        <v>1</v>
      </c>
      <c r="AM679" s="28" t="str">
        <f t="shared" si="31"/>
        <v>pracuj.pl</v>
      </c>
    </row>
    <row r="680" spans="1:39" x14ac:dyDescent="0.25">
      <c r="A680" t="s">
        <v>11885</v>
      </c>
      <c r="B680" t="s">
        <v>11886</v>
      </c>
      <c r="C680" t="s">
        <v>17</v>
      </c>
      <c r="D680" s="27" t="s">
        <v>9437</v>
      </c>
      <c r="E680" t="s">
        <v>192</v>
      </c>
      <c r="F680" s="421">
        <v>1</v>
      </c>
      <c r="G680" t="s">
        <v>193</v>
      </c>
      <c r="H680" t="s">
        <v>194</v>
      </c>
      <c r="I680" t="s">
        <v>9369</v>
      </c>
      <c r="J680" t="s">
        <v>408</v>
      </c>
      <c r="K680" t="s">
        <v>11911</v>
      </c>
      <c r="L680" t="s">
        <v>6251</v>
      </c>
      <c r="M680" t="s">
        <v>11604</v>
      </c>
      <c r="N680" t="s">
        <v>9536</v>
      </c>
      <c r="O680" t="s">
        <v>9461</v>
      </c>
      <c r="P680" t="s">
        <v>11912</v>
      </c>
      <c r="Q680" t="s">
        <v>11913</v>
      </c>
      <c r="S680" t="s">
        <v>9309</v>
      </c>
      <c r="T680" s="28" t="s">
        <v>9479</v>
      </c>
      <c r="U680" s="27" t="s">
        <v>624</v>
      </c>
      <c r="V680" t="s">
        <v>194</v>
      </c>
      <c r="W680" t="s">
        <v>9300</v>
      </c>
      <c r="Z680" t="s">
        <v>9311</v>
      </c>
      <c r="AF680" t="s">
        <v>4714</v>
      </c>
      <c r="AG680" t="s">
        <v>11886</v>
      </c>
      <c r="AI680" t="s">
        <v>6955</v>
      </c>
      <c r="AJ680" s="424" t="str">
        <f t="shared" si="30"/>
        <v>332203</v>
      </c>
      <c r="AK680" s="28">
        <v>1</v>
      </c>
      <c r="AL680" s="28">
        <f t="shared" si="32"/>
        <v>1</v>
      </c>
      <c r="AM680" s="28" t="str">
        <f t="shared" si="31"/>
        <v>pracuj.pl</v>
      </c>
    </row>
    <row r="681" spans="1:39" x14ac:dyDescent="0.25">
      <c r="A681" t="s">
        <v>11914</v>
      </c>
      <c r="B681" t="s">
        <v>11915</v>
      </c>
      <c r="C681" t="s">
        <v>778</v>
      </c>
      <c r="D681" s="27" t="s">
        <v>9437</v>
      </c>
      <c r="E681" t="s">
        <v>233</v>
      </c>
      <c r="F681" s="421">
        <v>1</v>
      </c>
      <c r="G681" t="s">
        <v>193</v>
      </c>
      <c r="H681" t="s">
        <v>194</v>
      </c>
      <c r="I681" t="s">
        <v>9369</v>
      </c>
      <c r="J681" t="s">
        <v>9302</v>
      </c>
      <c r="K681" t="s">
        <v>11916</v>
      </c>
      <c r="L681" t="s">
        <v>6258</v>
      </c>
      <c r="M681" t="s">
        <v>11670</v>
      </c>
      <c r="N681" t="s">
        <v>10005</v>
      </c>
      <c r="O681" t="s">
        <v>9604</v>
      </c>
      <c r="P681" t="s">
        <v>11917</v>
      </c>
      <c r="Q681" t="s">
        <v>11918</v>
      </c>
      <c r="S681" t="s">
        <v>9309</v>
      </c>
      <c r="U681" s="27" t="s">
        <v>779</v>
      </c>
      <c r="V681" t="s">
        <v>193</v>
      </c>
      <c r="W681" t="s">
        <v>9310</v>
      </c>
      <c r="Z681" t="s">
        <v>9311</v>
      </c>
      <c r="AF681" t="s">
        <v>4714</v>
      </c>
      <c r="AG681" t="s">
        <v>11915</v>
      </c>
      <c r="AI681" t="s">
        <v>6955</v>
      </c>
      <c r="AJ681" s="424" t="str">
        <f t="shared" si="30"/>
        <v>524902</v>
      </c>
      <c r="AK681" s="28">
        <v>1</v>
      </c>
      <c r="AL681" s="28">
        <f t="shared" si="32"/>
        <v>1</v>
      </c>
      <c r="AM681" s="28" t="str">
        <f t="shared" si="31"/>
        <v>praca</v>
      </c>
    </row>
    <row r="682" spans="1:39" x14ac:dyDescent="0.25">
      <c r="A682" t="s">
        <v>11919</v>
      </c>
      <c r="B682" t="s">
        <v>11920</v>
      </c>
      <c r="C682" t="s">
        <v>6617</v>
      </c>
      <c r="D682" s="27" t="s">
        <v>9437</v>
      </c>
      <c r="E682" t="s">
        <v>192</v>
      </c>
      <c r="F682" s="421">
        <v>1</v>
      </c>
      <c r="G682" t="s">
        <v>193</v>
      </c>
      <c r="H682" t="s">
        <v>194</v>
      </c>
      <c r="I682" t="s">
        <v>9343</v>
      </c>
      <c r="J682" t="s">
        <v>9302</v>
      </c>
      <c r="K682" t="s">
        <v>11921</v>
      </c>
      <c r="L682" t="s">
        <v>6266</v>
      </c>
      <c r="M682" t="s">
        <v>11604</v>
      </c>
      <c r="N682" t="s">
        <v>9536</v>
      </c>
      <c r="O682" t="s">
        <v>9461</v>
      </c>
      <c r="P682" t="s">
        <v>11922</v>
      </c>
      <c r="Q682" t="s">
        <v>11923</v>
      </c>
      <c r="S682" t="s">
        <v>9309</v>
      </c>
      <c r="U682" s="27" t="s">
        <v>990</v>
      </c>
      <c r="V682" t="s">
        <v>193</v>
      </c>
      <c r="W682" t="s">
        <v>9310</v>
      </c>
      <c r="Z682" t="s">
        <v>9311</v>
      </c>
      <c r="AF682" t="s">
        <v>4714</v>
      </c>
      <c r="AG682" t="s">
        <v>11920</v>
      </c>
      <c r="AI682" t="s">
        <v>6955</v>
      </c>
      <c r="AJ682" s="424" t="str">
        <f t="shared" si="30"/>
        <v>833202</v>
      </c>
      <c r="AK682" s="28">
        <v>1</v>
      </c>
      <c r="AL682" s="28">
        <f t="shared" si="32"/>
        <v>1</v>
      </c>
      <c r="AM682" s="28" t="str">
        <f t="shared" si="31"/>
        <v>pracuj.pl</v>
      </c>
    </row>
    <row r="683" spans="1:39" x14ac:dyDescent="0.25">
      <c r="A683" t="s">
        <v>1122</v>
      </c>
      <c r="B683" t="s">
        <v>11924</v>
      </c>
      <c r="C683" t="s">
        <v>7501</v>
      </c>
      <c r="D683" s="27" t="s">
        <v>9437</v>
      </c>
      <c r="E683" t="s">
        <v>192</v>
      </c>
      <c r="F683" s="421">
        <v>1</v>
      </c>
      <c r="G683" t="s">
        <v>193</v>
      </c>
      <c r="H683" t="s">
        <v>194</v>
      </c>
      <c r="I683" t="s">
        <v>9369</v>
      </c>
      <c r="J683" t="s">
        <v>210</v>
      </c>
      <c r="K683" t="s">
        <v>11925</v>
      </c>
      <c r="L683" t="s">
        <v>6286</v>
      </c>
      <c r="M683" t="s">
        <v>11604</v>
      </c>
      <c r="N683" t="s">
        <v>9536</v>
      </c>
      <c r="O683" t="s">
        <v>9461</v>
      </c>
      <c r="P683" t="s">
        <v>11926</v>
      </c>
      <c r="Q683" t="s">
        <v>11927</v>
      </c>
      <c r="S683" t="s">
        <v>9309</v>
      </c>
      <c r="T683" s="28" t="s">
        <v>9334</v>
      </c>
      <c r="U683" s="27" t="s">
        <v>4039</v>
      </c>
      <c r="V683" t="s">
        <v>194</v>
      </c>
      <c r="W683" t="s">
        <v>9300</v>
      </c>
      <c r="Z683" t="s">
        <v>9311</v>
      </c>
      <c r="AF683" t="s">
        <v>4714</v>
      </c>
      <c r="AG683" t="s">
        <v>11924</v>
      </c>
      <c r="AI683" t="s">
        <v>6955</v>
      </c>
      <c r="AJ683" s="424" t="str">
        <f t="shared" si="30"/>
        <v>431101</v>
      </c>
      <c r="AK683" s="28">
        <v>1</v>
      </c>
      <c r="AL683" s="28">
        <f t="shared" si="32"/>
        <v>1</v>
      </c>
      <c r="AM683" s="28" t="str">
        <f t="shared" si="31"/>
        <v>pracuj.pl</v>
      </c>
    </row>
    <row r="684" spans="1:39" x14ac:dyDescent="0.25">
      <c r="A684" t="s">
        <v>11928</v>
      </c>
      <c r="B684" t="s">
        <v>11929</v>
      </c>
      <c r="C684" t="s">
        <v>9798</v>
      </c>
      <c r="D684" s="27" t="s">
        <v>9437</v>
      </c>
      <c r="E684" t="s">
        <v>192</v>
      </c>
      <c r="F684" s="421">
        <v>1</v>
      </c>
      <c r="G684" t="s">
        <v>193</v>
      </c>
      <c r="H684" t="s">
        <v>194</v>
      </c>
      <c r="I684" t="s">
        <v>11608</v>
      </c>
      <c r="J684" t="s">
        <v>11930</v>
      </c>
      <c r="K684" t="s">
        <v>11931</v>
      </c>
      <c r="L684" t="s">
        <v>6254</v>
      </c>
      <c r="M684" t="s">
        <v>11604</v>
      </c>
      <c r="N684" t="s">
        <v>9536</v>
      </c>
      <c r="O684" t="s">
        <v>9461</v>
      </c>
      <c r="P684" t="s">
        <v>11932</v>
      </c>
      <c r="Q684" t="s">
        <v>11933</v>
      </c>
      <c r="S684" t="s">
        <v>9309</v>
      </c>
      <c r="T684" s="28" t="s">
        <v>11163</v>
      </c>
      <c r="U684" s="27" t="s">
        <v>1592</v>
      </c>
      <c r="V684" t="s">
        <v>194</v>
      </c>
      <c r="W684" t="s">
        <v>9300</v>
      </c>
      <c r="Z684" t="s">
        <v>9311</v>
      </c>
      <c r="AF684" t="s">
        <v>4714</v>
      </c>
      <c r="AG684" t="s">
        <v>11929</v>
      </c>
      <c r="AI684" t="s">
        <v>6955</v>
      </c>
      <c r="AJ684" s="424" t="str">
        <f t="shared" si="30"/>
        <v>241103</v>
      </c>
      <c r="AK684" s="28">
        <v>1</v>
      </c>
      <c r="AL684" s="28">
        <f t="shared" si="32"/>
        <v>1</v>
      </c>
      <c r="AM684" s="28" t="str">
        <f t="shared" si="31"/>
        <v>pracuj.pl</v>
      </c>
    </row>
    <row r="685" spans="1:39" x14ac:dyDescent="0.25">
      <c r="A685" t="s">
        <v>890</v>
      </c>
      <c r="B685" t="s">
        <v>11934</v>
      </c>
      <c r="C685" t="s">
        <v>36</v>
      </c>
      <c r="D685" s="27" t="s">
        <v>9437</v>
      </c>
      <c r="E685" t="s">
        <v>192</v>
      </c>
      <c r="F685" s="421">
        <v>1</v>
      </c>
      <c r="G685" t="s">
        <v>193</v>
      </c>
      <c r="H685" t="s">
        <v>194</v>
      </c>
      <c r="I685" t="s">
        <v>11608</v>
      </c>
      <c r="J685" t="s">
        <v>210</v>
      </c>
      <c r="K685" t="s">
        <v>11935</v>
      </c>
      <c r="L685" t="s">
        <v>6254</v>
      </c>
      <c r="M685" t="s">
        <v>11604</v>
      </c>
      <c r="N685" t="s">
        <v>9536</v>
      </c>
      <c r="O685" t="s">
        <v>9461</v>
      </c>
      <c r="P685" t="s">
        <v>11936</v>
      </c>
      <c r="Q685" t="s">
        <v>11937</v>
      </c>
      <c r="S685" t="s">
        <v>9309</v>
      </c>
      <c r="T685" s="28" t="s">
        <v>9334</v>
      </c>
      <c r="U685" s="27" t="s">
        <v>609</v>
      </c>
      <c r="V685" t="s">
        <v>194</v>
      </c>
      <c r="W685" t="s">
        <v>9300</v>
      </c>
      <c r="Z685" t="s">
        <v>9311</v>
      </c>
      <c r="AF685" t="s">
        <v>4714</v>
      </c>
      <c r="AG685" t="s">
        <v>11934</v>
      </c>
      <c r="AI685" t="s">
        <v>6955</v>
      </c>
      <c r="AJ685" s="424" t="str">
        <f t="shared" si="30"/>
        <v>331301</v>
      </c>
      <c r="AK685" s="28">
        <v>1</v>
      </c>
      <c r="AL685" s="28">
        <f t="shared" si="32"/>
        <v>1</v>
      </c>
      <c r="AM685" s="28" t="str">
        <f t="shared" si="31"/>
        <v>pracuj.pl</v>
      </c>
    </row>
    <row r="686" spans="1:39" x14ac:dyDescent="0.25">
      <c r="A686" t="s">
        <v>11938</v>
      </c>
      <c r="B686" t="s">
        <v>11939</v>
      </c>
      <c r="C686" t="s">
        <v>74</v>
      </c>
      <c r="D686" s="27" t="s">
        <v>9437</v>
      </c>
      <c r="E686" t="s">
        <v>192</v>
      </c>
      <c r="F686" s="421">
        <v>1</v>
      </c>
      <c r="G686" t="s">
        <v>193</v>
      </c>
      <c r="H686" t="s">
        <v>194</v>
      </c>
      <c r="I686" t="s">
        <v>9318</v>
      </c>
      <c r="J686" t="s">
        <v>210</v>
      </c>
      <c r="K686" t="s">
        <v>11940</v>
      </c>
      <c r="L686" t="s">
        <v>7001</v>
      </c>
      <c r="M686" t="s">
        <v>11604</v>
      </c>
      <c r="N686" t="s">
        <v>9536</v>
      </c>
      <c r="O686" t="s">
        <v>9461</v>
      </c>
      <c r="P686" t="s">
        <v>11941</v>
      </c>
      <c r="Q686" t="s">
        <v>11942</v>
      </c>
      <c r="S686" t="s">
        <v>9309</v>
      </c>
      <c r="T686" s="28" t="s">
        <v>9334</v>
      </c>
      <c r="U686" s="27" t="s">
        <v>246</v>
      </c>
      <c r="V686" t="s">
        <v>194</v>
      </c>
      <c r="W686" t="s">
        <v>9300</v>
      </c>
      <c r="Z686" t="s">
        <v>9311</v>
      </c>
      <c r="AF686" t="s">
        <v>4714</v>
      </c>
      <c r="AG686" t="s">
        <v>11939</v>
      </c>
      <c r="AI686" t="s">
        <v>6955</v>
      </c>
      <c r="AJ686" s="424" t="str">
        <f t="shared" si="30"/>
        <v>142004</v>
      </c>
      <c r="AK686" s="28">
        <v>1</v>
      </c>
      <c r="AL686" s="28">
        <f t="shared" si="32"/>
        <v>1</v>
      </c>
      <c r="AM686" s="28" t="str">
        <f t="shared" si="31"/>
        <v>pracuj.pl</v>
      </c>
    </row>
    <row r="687" spans="1:39" x14ac:dyDescent="0.25">
      <c r="A687" t="s">
        <v>9845</v>
      </c>
      <c r="B687" t="s">
        <v>9846</v>
      </c>
      <c r="C687" t="s">
        <v>9847</v>
      </c>
      <c r="D687" s="27" t="s">
        <v>9437</v>
      </c>
      <c r="E687" t="s">
        <v>217</v>
      </c>
      <c r="F687" s="421">
        <v>1</v>
      </c>
      <c r="G687" t="s">
        <v>193</v>
      </c>
      <c r="H687" t="s">
        <v>194</v>
      </c>
      <c r="I687" t="s">
        <v>9369</v>
      </c>
      <c r="J687" t="s">
        <v>755</v>
      </c>
      <c r="K687" t="s">
        <v>9848</v>
      </c>
      <c r="L687" t="s">
        <v>6269</v>
      </c>
      <c r="M687" t="s">
        <v>11702</v>
      </c>
      <c r="N687" t="s">
        <v>9661</v>
      </c>
      <c r="O687" t="s">
        <v>10828</v>
      </c>
      <c r="P687" t="s">
        <v>11943</v>
      </c>
      <c r="Q687" t="s">
        <v>11944</v>
      </c>
      <c r="S687" t="s">
        <v>9309</v>
      </c>
      <c r="T687" s="28" t="s">
        <v>9726</v>
      </c>
      <c r="U687" s="27" t="s">
        <v>9851</v>
      </c>
      <c r="V687" t="s">
        <v>194</v>
      </c>
      <c r="W687" t="s">
        <v>9300</v>
      </c>
      <c r="Z687" t="s">
        <v>9311</v>
      </c>
      <c r="AF687" t="s">
        <v>4714</v>
      </c>
      <c r="AG687" t="s">
        <v>9433</v>
      </c>
      <c r="AI687" t="s">
        <v>6955</v>
      </c>
      <c r="AJ687" s="424" t="str">
        <f t="shared" si="30"/>
        <v>432105</v>
      </c>
      <c r="AK687" s="28">
        <v>1</v>
      </c>
      <c r="AL687" s="28">
        <f t="shared" si="32"/>
        <v>1</v>
      </c>
      <c r="AM687" s="28" t="str">
        <f t="shared" si="31"/>
        <v>agora</v>
      </c>
    </row>
    <row r="688" spans="1:39" x14ac:dyDescent="0.25">
      <c r="A688" t="s">
        <v>9858</v>
      </c>
      <c r="B688" t="s">
        <v>10201</v>
      </c>
      <c r="C688" t="s">
        <v>18</v>
      </c>
      <c r="D688" s="27" t="s">
        <v>9437</v>
      </c>
      <c r="E688" t="s">
        <v>192</v>
      </c>
      <c r="F688" s="421">
        <v>1</v>
      </c>
      <c r="G688" t="s">
        <v>193</v>
      </c>
      <c r="H688" t="s">
        <v>194</v>
      </c>
      <c r="I688" t="s">
        <v>9343</v>
      </c>
      <c r="J688" t="s">
        <v>210</v>
      </c>
      <c r="K688" t="s">
        <v>11945</v>
      </c>
      <c r="L688" t="s">
        <v>6340</v>
      </c>
      <c r="M688" t="s">
        <v>11604</v>
      </c>
      <c r="N688" t="s">
        <v>9536</v>
      </c>
      <c r="O688" t="s">
        <v>9461</v>
      </c>
      <c r="P688" t="s">
        <v>11946</v>
      </c>
      <c r="Q688" t="s">
        <v>11947</v>
      </c>
      <c r="S688" t="s">
        <v>9309</v>
      </c>
      <c r="T688" s="28" t="s">
        <v>9334</v>
      </c>
      <c r="U688" s="27" t="s">
        <v>1476</v>
      </c>
      <c r="V688" t="s">
        <v>194</v>
      </c>
      <c r="W688" t="s">
        <v>9300</v>
      </c>
      <c r="Z688" t="s">
        <v>9311</v>
      </c>
      <c r="AF688" t="s">
        <v>4714</v>
      </c>
      <c r="AG688" t="s">
        <v>10201</v>
      </c>
      <c r="AI688" t="s">
        <v>6955</v>
      </c>
      <c r="AJ688" s="424" t="str">
        <f t="shared" si="30"/>
        <v>242309</v>
      </c>
      <c r="AK688" s="28">
        <v>1</v>
      </c>
      <c r="AL688" s="28">
        <f t="shared" si="32"/>
        <v>1</v>
      </c>
      <c r="AM688" s="28" t="str">
        <f t="shared" si="31"/>
        <v>pracuj.pl</v>
      </c>
    </row>
    <row r="689" spans="1:39" x14ac:dyDescent="0.25">
      <c r="A689" t="s">
        <v>4726</v>
      </c>
      <c r="B689" t="s">
        <v>9586</v>
      </c>
      <c r="C689" t="s">
        <v>480</v>
      </c>
      <c r="D689" s="27" t="s">
        <v>9835</v>
      </c>
      <c r="E689" t="s">
        <v>192</v>
      </c>
      <c r="F689" s="421">
        <v>1</v>
      </c>
      <c r="G689" t="s">
        <v>193</v>
      </c>
      <c r="H689" t="s">
        <v>194</v>
      </c>
      <c r="I689" t="s">
        <v>9318</v>
      </c>
      <c r="J689" t="s">
        <v>9302</v>
      </c>
      <c r="K689" t="s">
        <v>10585</v>
      </c>
      <c r="L689" t="s">
        <v>6261</v>
      </c>
      <c r="M689" t="s">
        <v>10519</v>
      </c>
      <c r="N689" t="s">
        <v>10045</v>
      </c>
      <c r="O689" t="s">
        <v>9369</v>
      </c>
      <c r="P689" t="s">
        <v>10586</v>
      </c>
      <c r="Q689" t="s">
        <v>10587</v>
      </c>
      <c r="S689" t="s">
        <v>9309</v>
      </c>
      <c r="U689" s="27" t="s">
        <v>481</v>
      </c>
      <c r="V689" t="s">
        <v>193</v>
      </c>
      <c r="W689" t="s">
        <v>9310</v>
      </c>
      <c r="Z689" t="s">
        <v>9311</v>
      </c>
      <c r="AF689" t="s">
        <v>4714</v>
      </c>
      <c r="AG689" t="s">
        <v>9586</v>
      </c>
      <c r="AI689" t="s">
        <v>6955</v>
      </c>
      <c r="AJ689" s="424" t="str">
        <f t="shared" si="30"/>
        <v>251201</v>
      </c>
      <c r="AK689" s="28">
        <v>1</v>
      </c>
      <c r="AL689" s="28">
        <f t="shared" si="32"/>
        <v>1</v>
      </c>
      <c r="AM689" s="28" t="str">
        <f t="shared" si="31"/>
        <v>pracuj.pl</v>
      </c>
    </row>
    <row r="690" spans="1:39" x14ac:dyDescent="0.25">
      <c r="A690" t="s">
        <v>9522</v>
      </c>
      <c r="B690" t="s">
        <v>9647</v>
      </c>
      <c r="C690" t="s">
        <v>480</v>
      </c>
      <c r="D690" s="27" t="s">
        <v>9835</v>
      </c>
      <c r="E690" t="s">
        <v>217</v>
      </c>
      <c r="F690" s="421">
        <v>1</v>
      </c>
      <c r="G690" t="s">
        <v>193</v>
      </c>
      <c r="H690" t="s">
        <v>194</v>
      </c>
      <c r="I690" t="s">
        <v>9430</v>
      </c>
      <c r="J690" t="s">
        <v>9524</v>
      </c>
      <c r="K690" t="s">
        <v>9648</v>
      </c>
      <c r="L690" t="s">
        <v>6261</v>
      </c>
      <c r="M690" t="s">
        <v>10618</v>
      </c>
      <c r="N690" t="s">
        <v>9573</v>
      </c>
      <c r="O690" t="s">
        <v>9574</v>
      </c>
      <c r="P690" t="s">
        <v>10818</v>
      </c>
      <c r="Q690" t="s">
        <v>10819</v>
      </c>
      <c r="S690" t="s">
        <v>9309</v>
      </c>
      <c r="U690" s="27" t="s">
        <v>481</v>
      </c>
      <c r="V690" t="s">
        <v>193</v>
      </c>
      <c r="W690" t="s">
        <v>9310</v>
      </c>
      <c r="Z690" t="s">
        <v>9311</v>
      </c>
      <c r="AF690" t="s">
        <v>4714</v>
      </c>
      <c r="AG690" t="s">
        <v>9433</v>
      </c>
      <c r="AI690" t="s">
        <v>6955</v>
      </c>
      <c r="AJ690" s="424" t="str">
        <f t="shared" si="30"/>
        <v>251201</v>
      </c>
      <c r="AK690" s="28">
        <v>1</v>
      </c>
      <c r="AL690" s="28">
        <f t="shared" si="32"/>
        <v>1</v>
      </c>
      <c r="AM690" s="28" t="str">
        <f t="shared" si="31"/>
        <v>agora</v>
      </c>
    </row>
    <row r="691" spans="1:39" x14ac:dyDescent="0.25">
      <c r="A691" t="s">
        <v>493</v>
      </c>
      <c r="B691" t="s">
        <v>11465</v>
      </c>
      <c r="C691" t="s">
        <v>480</v>
      </c>
      <c r="D691" s="27" t="s">
        <v>9835</v>
      </c>
      <c r="E691" t="s">
        <v>192</v>
      </c>
      <c r="F691" s="421">
        <v>1</v>
      </c>
      <c r="G691" t="s">
        <v>193</v>
      </c>
      <c r="H691" t="s">
        <v>194</v>
      </c>
      <c r="I691" t="s">
        <v>10529</v>
      </c>
      <c r="J691" t="s">
        <v>210</v>
      </c>
      <c r="K691" t="s">
        <v>11466</v>
      </c>
      <c r="L691" t="s">
        <v>6261</v>
      </c>
      <c r="M691" t="s">
        <v>10519</v>
      </c>
      <c r="N691" t="s">
        <v>10045</v>
      </c>
      <c r="O691" t="s">
        <v>9369</v>
      </c>
      <c r="P691" t="s">
        <v>11467</v>
      </c>
      <c r="Q691" t="s">
        <v>11468</v>
      </c>
      <c r="S691" t="s">
        <v>9309</v>
      </c>
      <c r="T691" s="28" t="s">
        <v>9334</v>
      </c>
      <c r="U691" s="27" t="s">
        <v>481</v>
      </c>
      <c r="V691" t="s">
        <v>194</v>
      </c>
      <c r="W691" t="s">
        <v>9300</v>
      </c>
      <c r="Z691" t="s">
        <v>9311</v>
      </c>
      <c r="AF691" t="s">
        <v>4714</v>
      </c>
      <c r="AG691" t="s">
        <v>11465</v>
      </c>
      <c r="AI691" t="s">
        <v>6955</v>
      </c>
      <c r="AJ691" s="424" t="str">
        <f t="shared" si="30"/>
        <v>251201</v>
      </c>
      <c r="AK691" s="28">
        <v>1</v>
      </c>
      <c r="AL691" s="28">
        <f t="shared" si="32"/>
        <v>1</v>
      </c>
      <c r="AM691" s="28" t="str">
        <f t="shared" si="31"/>
        <v>pracuj.pl</v>
      </c>
    </row>
    <row r="692" spans="1:39" x14ac:dyDescent="0.25">
      <c r="A692" t="s">
        <v>9373</v>
      </c>
      <c r="B692" t="s">
        <v>1053</v>
      </c>
      <c r="C692" t="s">
        <v>480</v>
      </c>
      <c r="D692" s="27" t="s">
        <v>9437</v>
      </c>
      <c r="E692" t="s">
        <v>192</v>
      </c>
      <c r="F692" s="421">
        <v>1</v>
      </c>
      <c r="G692" t="s">
        <v>193</v>
      </c>
      <c r="H692" t="s">
        <v>194</v>
      </c>
      <c r="I692" t="s">
        <v>11608</v>
      </c>
      <c r="J692" t="s">
        <v>9302</v>
      </c>
      <c r="K692" t="s">
        <v>11695</v>
      </c>
      <c r="L692" t="s">
        <v>6921</v>
      </c>
      <c r="M692" t="s">
        <v>11604</v>
      </c>
      <c r="N692" t="s">
        <v>9536</v>
      </c>
      <c r="O692" t="s">
        <v>9461</v>
      </c>
      <c r="P692" t="s">
        <v>11696</v>
      </c>
      <c r="Q692" t="s">
        <v>11697</v>
      </c>
      <c r="S692" t="s">
        <v>9309</v>
      </c>
      <c r="U692" s="27" t="s">
        <v>481</v>
      </c>
      <c r="V692" t="s">
        <v>193</v>
      </c>
      <c r="W692" t="s">
        <v>9310</v>
      </c>
      <c r="Z692" t="s">
        <v>9311</v>
      </c>
      <c r="AF692" t="s">
        <v>4714</v>
      </c>
      <c r="AG692" t="s">
        <v>1053</v>
      </c>
      <c r="AI692" t="s">
        <v>6955</v>
      </c>
      <c r="AJ692" s="424" t="str">
        <f t="shared" si="30"/>
        <v>251201</v>
      </c>
      <c r="AK692" s="28">
        <v>1</v>
      </c>
      <c r="AL692" s="28">
        <f t="shared" si="32"/>
        <v>1</v>
      </c>
      <c r="AM692" s="28" t="str">
        <f t="shared" si="31"/>
        <v>pracuj.pl</v>
      </c>
    </row>
    <row r="693" spans="1:39" x14ac:dyDescent="0.25">
      <c r="A693" t="s">
        <v>9522</v>
      </c>
      <c r="B693" t="s">
        <v>9647</v>
      </c>
      <c r="C693" t="s">
        <v>480</v>
      </c>
      <c r="D693" s="27" t="s">
        <v>9437</v>
      </c>
      <c r="E693" t="s">
        <v>217</v>
      </c>
      <c r="F693" s="421">
        <v>1</v>
      </c>
      <c r="G693" t="s">
        <v>193</v>
      </c>
      <c r="H693" t="s">
        <v>194</v>
      </c>
      <c r="I693" t="s">
        <v>9430</v>
      </c>
      <c r="J693" t="s">
        <v>9524</v>
      </c>
      <c r="K693" t="s">
        <v>9648</v>
      </c>
      <c r="L693" t="s">
        <v>6261</v>
      </c>
      <c r="M693" t="s">
        <v>11702</v>
      </c>
      <c r="N693" t="s">
        <v>9573</v>
      </c>
      <c r="O693" t="s">
        <v>9574</v>
      </c>
      <c r="P693" t="s">
        <v>11807</v>
      </c>
      <c r="Q693" t="s">
        <v>11808</v>
      </c>
      <c r="S693" t="s">
        <v>9309</v>
      </c>
      <c r="U693" s="27" t="s">
        <v>481</v>
      </c>
      <c r="V693" t="s">
        <v>193</v>
      </c>
      <c r="W693" t="s">
        <v>9310</v>
      </c>
      <c r="Z693" t="s">
        <v>9311</v>
      </c>
      <c r="AF693" t="s">
        <v>4714</v>
      </c>
      <c r="AG693" t="s">
        <v>9433</v>
      </c>
      <c r="AI693" t="s">
        <v>6955</v>
      </c>
      <c r="AJ693" s="424" t="str">
        <f t="shared" si="30"/>
        <v>251201</v>
      </c>
      <c r="AK693" s="28">
        <v>1</v>
      </c>
      <c r="AL693" s="28">
        <f t="shared" si="32"/>
        <v>1</v>
      </c>
      <c r="AM693" s="28" t="str">
        <f t="shared" si="31"/>
        <v>agora</v>
      </c>
    </row>
    <row r="694" spans="1:39" x14ac:dyDescent="0.25">
      <c r="A694" t="s">
        <v>12084</v>
      </c>
      <c r="B694" t="s">
        <v>12085</v>
      </c>
      <c r="C694" t="s">
        <v>480</v>
      </c>
      <c r="D694" s="27" t="s">
        <v>9437</v>
      </c>
      <c r="E694" t="s">
        <v>233</v>
      </c>
      <c r="F694" s="421">
        <v>1</v>
      </c>
      <c r="G694" t="s">
        <v>193</v>
      </c>
      <c r="H694" t="s">
        <v>194</v>
      </c>
      <c r="I694" t="s">
        <v>11608</v>
      </c>
      <c r="J694" t="s">
        <v>9302</v>
      </c>
      <c r="K694" t="s">
        <v>12086</v>
      </c>
      <c r="L694" t="s">
        <v>6340</v>
      </c>
      <c r="M694" t="s">
        <v>11670</v>
      </c>
      <c r="N694" t="s">
        <v>10005</v>
      </c>
      <c r="O694" t="s">
        <v>10767</v>
      </c>
      <c r="P694" t="s">
        <v>12087</v>
      </c>
      <c r="Q694" t="s">
        <v>12088</v>
      </c>
      <c r="S694" t="s">
        <v>9309</v>
      </c>
      <c r="U694" s="27" t="s">
        <v>481</v>
      </c>
      <c r="V694" t="s">
        <v>193</v>
      </c>
      <c r="W694" t="s">
        <v>9310</v>
      </c>
      <c r="Z694" t="s">
        <v>9311</v>
      </c>
      <c r="AF694" t="s">
        <v>4714</v>
      </c>
      <c r="AG694" t="s">
        <v>12085</v>
      </c>
      <c r="AI694" t="s">
        <v>6955</v>
      </c>
      <c r="AJ694" s="424" t="str">
        <f t="shared" si="30"/>
        <v>251201</v>
      </c>
      <c r="AK694" s="28">
        <v>1</v>
      </c>
      <c r="AL694" s="28">
        <f t="shared" si="32"/>
        <v>1</v>
      </c>
      <c r="AM694" s="28" t="str">
        <f t="shared" si="31"/>
        <v>praca</v>
      </c>
    </row>
    <row r="695" spans="1:39" x14ac:dyDescent="0.25">
      <c r="A695" t="s">
        <v>4969</v>
      </c>
      <c r="B695" t="s">
        <v>11968</v>
      </c>
      <c r="C695" t="s">
        <v>1046</v>
      </c>
      <c r="D695" s="27" t="s">
        <v>9437</v>
      </c>
      <c r="E695" t="s">
        <v>192</v>
      </c>
      <c r="F695" s="421">
        <v>1</v>
      </c>
      <c r="G695" t="s">
        <v>193</v>
      </c>
      <c r="H695" t="s">
        <v>194</v>
      </c>
      <c r="I695" t="s">
        <v>11608</v>
      </c>
      <c r="J695" t="s">
        <v>9302</v>
      </c>
      <c r="K695" t="s">
        <v>11969</v>
      </c>
      <c r="L695" t="s">
        <v>6921</v>
      </c>
      <c r="M695" t="s">
        <v>11604</v>
      </c>
      <c r="N695" t="s">
        <v>9536</v>
      </c>
      <c r="O695" t="s">
        <v>9461</v>
      </c>
      <c r="P695" t="s">
        <v>11970</v>
      </c>
      <c r="Q695" t="s">
        <v>11971</v>
      </c>
      <c r="S695" t="s">
        <v>9309</v>
      </c>
      <c r="U695" s="27" t="s">
        <v>1047</v>
      </c>
      <c r="V695" t="s">
        <v>193</v>
      </c>
      <c r="W695" t="s">
        <v>9310</v>
      </c>
      <c r="Z695" t="s">
        <v>9311</v>
      </c>
      <c r="AF695" t="s">
        <v>4714</v>
      </c>
      <c r="AG695" t="s">
        <v>11968</v>
      </c>
      <c r="AI695" t="s">
        <v>6955</v>
      </c>
      <c r="AJ695" s="424" t="str">
        <f t="shared" si="30"/>
        <v>352203</v>
      </c>
      <c r="AK695" s="28">
        <v>1</v>
      </c>
      <c r="AL695" s="28">
        <f t="shared" si="32"/>
        <v>1</v>
      </c>
      <c r="AM695" s="28" t="str">
        <f t="shared" si="31"/>
        <v>pracuj.pl</v>
      </c>
    </row>
    <row r="696" spans="1:39" x14ac:dyDescent="0.25">
      <c r="A696" t="s">
        <v>9886</v>
      </c>
      <c r="B696" t="s">
        <v>8</v>
      </c>
      <c r="C696" t="s">
        <v>740</v>
      </c>
      <c r="D696" s="27" t="s">
        <v>9437</v>
      </c>
      <c r="E696" t="s">
        <v>217</v>
      </c>
      <c r="F696" s="421">
        <v>1</v>
      </c>
      <c r="G696" t="s">
        <v>193</v>
      </c>
      <c r="H696" t="s">
        <v>194</v>
      </c>
      <c r="I696" t="s">
        <v>9461</v>
      </c>
      <c r="J696" t="s">
        <v>2183</v>
      </c>
      <c r="K696" t="s">
        <v>9887</v>
      </c>
      <c r="L696" t="s">
        <v>6249</v>
      </c>
      <c r="M696" t="s">
        <v>11972</v>
      </c>
      <c r="N696" t="s">
        <v>9889</v>
      </c>
      <c r="O696" t="s">
        <v>9383</v>
      </c>
      <c r="P696" t="s">
        <v>11973</v>
      </c>
      <c r="Q696" t="s">
        <v>11974</v>
      </c>
      <c r="S696" t="s">
        <v>9309</v>
      </c>
      <c r="T696" s="28" t="s">
        <v>9892</v>
      </c>
      <c r="U696" s="27" t="s">
        <v>741</v>
      </c>
      <c r="V696" t="s">
        <v>194</v>
      </c>
      <c r="W696" t="s">
        <v>9300</v>
      </c>
      <c r="Z696" t="s">
        <v>9311</v>
      </c>
      <c r="AF696" t="s">
        <v>4714</v>
      </c>
      <c r="AG696" t="s">
        <v>8</v>
      </c>
      <c r="AI696" t="s">
        <v>6955</v>
      </c>
      <c r="AJ696" s="424" t="str">
        <f t="shared" si="30"/>
        <v>522301</v>
      </c>
      <c r="AK696" s="28">
        <v>1</v>
      </c>
      <c r="AL696" s="28">
        <f t="shared" si="32"/>
        <v>1</v>
      </c>
      <c r="AM696" s="28" t="str">
        <f t="shared" si="31"/>
        <v>agora</v>
      </c>
    </row>
    <row r="697" spans="1:39" x14ac:dyDescent="0.25">
      <c r="A697" t="s">
        <v>11975</v>
      </c>
      <c r="B697" t="s">
        <v>11976</v>
      </c>
      <c r="C697" t="s">
        <v>3671</v>
      </c>
      <c r="D697" s="27" t="s">
        <v>9437</v>
      </c>
      <c r="E697" t="s">
        <v>192</v>
      </c>
      <c r="F697" s="421">
        <v>1</v>
      </c>
      <c r="G697" t="s">
        <v>193</v>
      </c>
      <c r="H697" t="s">
        <v>194</v>
      </c>
      <c r="I697" t="s">
        <v>11608</v>
      </c>
      <c r="J697" t="s">
        <v>4751</v>
      </c>
      <c r="K697" t="s">
        <v>11977</v>
      </c>
      <c r="L697" t="s">
        <v>6251</v>
      </c>
      <c r="M697" t="s">
        <v>11604</v>
      </c>
      <c r="N697" t="s">
        <v>9536</v>
      </c>
      <c r="O697" t="s">
        <v>9461</v>
      </c>
      <c r="P697" t="s">
        <v>11978</v>
      </c>
      <c r="Q697" t="s">
        <v>11979</v>
      </c>
      <c r="S697" t="s">
        <v>9309</v>
      </c>
      <c r="T697" s="28" t="s">
        <v>9472</v>
      </c>
      <c r="U697" s="27" t="s">
        <v>3672</v>
      </c>
      <c r="V697" t="s">
        <v>194</v>
      </c>
      <c r="W697" t="s">
        <v>9300</v>
      </c>
      <c r="Z697" t="s">
        <v>9311</v>
      </c>
      <c r="AF697" t="s">
        <v>4714</v>
      </c>
      <c r="AG697" t="s">
        <v>11976</v>
      </c>
      <c r="AI697" t="s">
        <v>6955</v>
      </c>
      <c r="AJ697" s="424" t="str">
        <f t="shared" si="30"/>
        <v>522303</v>
      </c>
      <c r="AK697" s="28">
        <v>1</v>
      </c>
      <c r="AL697" s="28">
        <f t="shared" si="32"/>
        <v>1</v>
      </c>
      <c r="AM697" s="28" t="str">
        <f t="shared" si="31"/>
        <v>pracuj.pl</v>
      </c>
    </row>
    <row r="698" spans="1:39" x14ac:dyDescent="0.25">
      <c r="A698" t="s">
        <v>2093</v>
      </c>
      <c r="B698" t="s">
        <v>538</v>
      </c>
      <c r="C698" t="s">
        <v>538</v>
      </c>
      <c r="D698" s="27" t="s">
        <v>9437</v>
      </c>
      <c r="E698" t="s">
        <v>233</v>
      </c>
      <c r="F698" s="421">
        <v>1</v>
      </c>
      <c r="G698" t="s">
        <v>193</v>
      </c>
      <c r="H698" t="s">
        <v>194</v>
      </c>
      <c r="I698" t="s">
        <v>9461</v>
      </c>
      <c r="J698" t="s">
        <v>210</v>
      </c>
      <c r="K698" t="s">
        <v>11980</v>
      </c>
      <c r="L698" t="s">
        <v>6306</v>
      </c>
      <c r="M698" t="s">
        <v>11670</v>
      </c>
      <c r="N698" t="s">
        <v>10005</v>
      </c>
      <c r="O698" t="s">
        <v>9486</v>
      </c>
      <c r="P698" t="s">
        <v>11981</v>
      </c>
      <c r="Q698" t="s">
        <v>11982</v>
      </c>
      <c r="S698" t="s">
        <v>9309</v>
      </c>
      <c r="T698" s="28" t="s">
        <v>9334</v>
      </c>
      <c r="U698" s="27" t="s">
        <v>539</v>
      </c>
      <c r="V698" t="s">
        <v>194</v>
      </c>
      <c r="W698" t="s">
        <v>9300</v>
      </c>
      <c r="Z698" t="s">
        <v>9311</v>
      </c>
      <c r="AF698" t="s">
        <v>4714</v>
      </c>
      <c r="AG698" t="s">
        <v>538</v>
      </c>
      <c r="AI698" t="s">
        <v>6955</v>
      </c>
      <c r="AJ698" s="424" t="str">
        <f t="shared" si="30"/>
        <v>263401</v>
      </c>
      <c r="AK698" s="28">
        <v>1</v>
      </c>
      <c r="AL698" s="28">
        <f t="shared" si="32"/>
        <v>1</v>
      </c>
      <c r="AM698" s="28" t="str">
        <f t="shared" si="31"/>
        <v>praca</v>
      </c>
    </row>
    <row r="699" spans="1:39" x14ac:dyDescent="0.25">
      <c r="A699" t="s">
        <v>430</v>
      </c>
      <c r="B699" t="s">
        <v>1756</v>
      </c>
      <c r="C699" t="s">
        <v>50</v>
      </c>
      <c r="D699" s="27" t="s">
        <v>9437</v>
      </c>
      <c r="E699" t="s">
        <v>192</v>
      </c>
      <c r="F699" s="421">
        <v>1</v>
      </c>
      <c r="G699" t="s">
        <v>193</v>
      </c>
      <c r="H699" t="s">
        <v>194</v>
      </c>
      <c r="I699" t="s">
        <v>9461</v>
      </c>
      <c r="J699" t="s">
        <v>4751</v>
      </c>
      <c r="K699" t="s">
        <v>11983</v>
      </c>
      <c r="L699" t="s">
        <v>6286</v>
      </c>
      <c r="M699" t="s">
        <v>11599</v>
      </c>
      <c r="N699" t="s">
        <v>9536</v>
      </c>
      <c r="O699" t="s">
        <v>9461</v>
      </c>
      <c r="P699" t="s">
        <v>11984</v>
      </c>
      <c r="Q699" t="s">
        <v>11985</v>
      </c>
      <c r="S699" t="s">
        <v>9309</v>
      </c>
      <c r="T699" s="28" t="s">
        <v>9472</v>
      </c>
      <c r="U699" s="27" t="s">
        <v>906</v>
      </c>
      <c r="V699" t="s">
        <v>194</v>
      </c>
      <c r="W699" t="s">
        <v>9300</v>
      </c>
      <c r="Z699" t="s">
        <v>9311</v>
      </c>
      <c r="AF699" t="s">
        <v>4714</v>
      </c>
      <c r="AG699" t="s">
        <v>50</v>
      </c>
      <c r="AI699" t="s">
        <v>6955</v>
      </c>
      <c r="AJ699" s="424" t="str">
        <f t="shared" si="30"/>
        <v>333101</v>
      </c>
      <c r="AK699" s="28">
        <v>1</v>
      </c>
      <c r="AL699" s="28">
        <f t="shared" si="32"/>
        <v>1</v>
      </c>
      <c r="AM699" s="28" t="str">
        <f t="shared" si="31"/>
        <v>pracuj.pl</v>
      </c>
    </row>
    <row r="700" spans="1:39" x14ac:dyDescent="0.25">
      <c r="A700" t="s">
        <v>430</v>
      </c>
      <c r="B700" t="s">
        <v>1756</v>
      </c>
      <c r="C700" t="s">
        <v>50</v>
      </c>
      <c r="D700" s="27" t="s">
        <v>9437</v>
      </c>
      <c r="E700" t="s">
        <v>192</v>
      </c>
      <c r="F700" s="421">
        <v>1</v>
      </c>
      <c r="G700" t="s">
        <v>193</v>
      </c>
      <c r="H700" t="s">
        <v>194</v>
      </c>
      <c r="I700" t="s">
        <v>9461</v>
      </c>
      <c r="J700" t="s">
        <v>316</v>
      </c>
      <c r="K700" t="s">
        <v>11986</v>
      </c>
      <c r="L700" t="s">
        <v>6286</v>
      </c>
      <c r="M700" t="s">
        <v>11599</v>
      </c>
      <c r="N700" t="s">
        <v>9536</v>
      </c>
      <c r="O700" t="s">
        <v>9461</v>
      </c>
      <c r="P700" t="s">
        <v>11987</v>
      </c>
      <c r="Q700" t="s">
        <v>11988</v>
      </c>
      <c r="S700" t="s">
        <v>9309</v>
      </c>
      <c r="T700" s="28" t="s">
        <v>10012</v>
      </c>
      <c r="U700" s="27" t="s">
        <v>906</v>
      </c>
      <c r="V700" t="s">
        <v>194</v>
      </c>
      <c r="W700" t="s">
        <v>9300</v>
      </c>
      <c r="Z700" t="s">
        <v>9311</v>
      </c>
      <c r="AF700" t="s">
        <v>4714</v>
      </c>
      <c r="AG700" t="s">
        <v>50</v>
      </c>
      <c r="AI700" t="s">
        <v>6955</v>
      </c>
      <c r="AJ700" s="424" t="str">
        <f t="shared" si="30"/>
        <v>333101</v>
      </c>
      <c r="AK700" s="28">
        <v>1</v>
      </c>
      <c r="AL700" s="28">
        <f t="shared" si="32"/>
        <v>1</v>
      </c>
      <c r="AM700" s="28" t="str">
        <f t="shared" si="31"/>
        <v>pracuj.pl</v>
      </c>
    </row>
    <row r="701" spans="1:39" x14ac:dyDescent="0.25">
      <c r="A701" t="s">
        <v>430</v>
      </c>
      <c r="B701" t="s">
        <v>1756</v>
      </c>
      <c r="C701" t="s">
        <v>50</v>
      </c>
      <c r="D701" s="27" t="s">
        <v>9437</v>
      </c>
      <c r="E701" t="s">
        <v>192</v>
      </c>
      <c r="F701" s="421">
        <v>1</v>
      </c>
      <c r="G701" t="s">
        <v>193</v>
      </c>
      <c r="H701" t="s">
        <v>194</v>
      </c>
      <c r="I701" t="s">
        <v>9461</v>
      </c>
      <c r="J701" t="s">
        <v>210</v>
      </c>
      <c r="K701" t="s">
        <v>11989</v>
      </c>
      <c r="L701" t="s">
        <v>6286</v>
      </c>
      <c r="M701" t="s">
        <v>11599</v>
      </c>
      <c r="N701" t="s">
        <v>9536</v>
      </c>
      <c r="O701" t="s">
        <v>9461</v>
      </c>
      <c r="P701" t="s">
        <v>11990</v>
      </c>
      <c r="Q701" t="s">
        <v>11991</v>
      </c>
      <c r="S701" t="s">
        <v>9309</v>
      </c>
      <c r="T701" s="28" t="s">
        <v>9334</v>
      </c>
      <c r="U701" s="27" t="s">
        <v>906</v>
      </c>
      <c r="V701" t="s">
        <v>194</v>
      </c>
      <c r="W701" t="s">
        <v>9300</v>
      </c>
      <c r="Z701" t="s">
        <v>9311</v>
      </c>
      <c r="AF701" t="s">
        <v>4714</v>
      </c>
      <c r="AG701" t="s">
        <v>50</v>
      </c>
      <c r="AI701" t="s">
        <v>6955</v>
      </c>
      <c r="AJ701" s="424" t="str">
        <f t="shared" si="30"/>
        <v>333101</v>
      </c>
      <c r="AK701" s="28">
        <v>1</v>
      </c>
      <c r="AL701" s="28">
        <f t="shared" si="32"/>
        <v>1</v>
      </c>
      <c r="AM701" s="28" t="str">
        <f t="shared" si="31"/>
        <v>pracuj.pl</v>
      </c>
    </row>
    <row r="702" spans="1:39" x14ac:dyDescent="0.25">
      <c r="A702" t="s">
        <v>430</v>
      </c>
      <c r="B702" t="s">
        <v>11992</v>
      </c>
      <c r="C702" t="s">
        <v>886</v>
      </c>
      <c r="D702" s="27" t="s">
        <v>9437</v>
      </c>
      <c r="E702" t="s">
        <v>192</v>
      </c>
      <c r="F702" s="421">
        <v>1</v>
      </c>
      <c r="G702" t="s">
        <v>193</v>
      </c>
      <c r="H702" t="s">
        <v>194</v>
      </c>
      <c r="I702" t="s">
        <v>9343</v>
      </c>
      <c r="J702" t="s">
        <v>672</v>
      </c>
      <c r="K702" t="s">
        <v>11993</v>
      </c>
      <c r="L702" t="s">
        <v>6266</v>
      </c>
      <c r="M702" t="s">
        <v>11604</v>
      </c>
      <c r="N702" t="s">
        <v>9536</v>
      </c>
      <c r="O702" t="s">
        <v>9461</v>
      </c>
      <c r="P702" t="s">
        <v>11994</v>
      </c>
      <c r="Q702" t="s">
        <v>11995</v>
      </c>
      <c r="S702" t="s">
        <v>9309</v>
      </c>
      <c r="T702" s="28" t="s">
        <v>9726</v>
      </c>
      <c r="U702" s="27" t="s">
        <v>887</v>
      </c>
      <c r="V702" t="s">
        <v>194</v>
      </c>
      <c r="W702" t="s">
        <v>9300</v>
      </c>
      <c r="Z702" t="s">
        <v>9311</v>
      </c>
      <c r="AF702" t="s">
        <v>4714</v>
      </c>
      <c r="AG702" t="s">
        <v>11992</v>
      </c>
      <c r="AI702" t="s">
        <v>6955</v>
      </c>
      <c r="AJ702" s="424" t="str">
        <f t="shared" si="30"/>
        <v>834401</v>
      </c>
      <c r="AK702" s="28">
        <v>1</v>
      </c>
      <c r="AL702" s="28">
        <f t="shared" si="32"/>
        <v>1</v>
      </c>
      <c r="AM702" s="28" t="str">
        <f t="shared" si="31"/>
        <v>pracuj.pl</v>
      </c>
    </row>
    <row r="703" spans="1:39" x14ac:dyDescent="0.25">
      <c r="A703" t="s">
        <v>9915</v>
      </c>
      <c r="B703" t="s">
        <v>67</v>
      </c>
      <c r="C703" t="s">
        <v>67</v>
      </c>
      <c r="D703" s="27" t="s">
        <v>9437</v>
      </c>
      <c r="E703" t="s">
        <v>217</v>
      </c>
      <c r="F703" s="421">
        <v>1</v>
      </c>
      <c r="G703" t="s">
        <v>194</v>
      </c>
      <c r="H703" t="s">
        <v>193</v>
      </c>
      <c r="I703" t="s">
        <v>9461</v>
      </c>
      <c r="J703" t="s">
        <v>755</v>
      </c>
      <c r="K703" t="s">
        <v>11081</v>
      </c>
      <c r="L703" t="s">
        <v>6363</v>
      </c>
      <c r="M703" t="s">
        <v>11972</v>
      </c>
      <c r="N703" t="s">
        <v>10234</v>
      </c>
      <c r="O703" t="s">
        <v>9299</v>
      </c>
      <c r="P703" t="s">
        <v>11996</v>
      </c>
      <c r="Q703" t="s">
        <v>11997</v>
      </c>
      <c r="S703" t="s">
        <v>9309</v>
      </c>
      <c r="T703" s="28" t="s">
        <v>9726</v>
      </c>
      <c r="U703" s="27" t="s">
        <v>709</v>
      </c>
      <c r="V703" t="s">
        <v>194</v>
      </c>
      <c r="W703" t="s">
        <v>9300</v>
      </c>
      <c r="Z703" t="s">
        <v>9311</v>
      </c>
      <c r="AF703" t="s">
        <v>4714</v>
      </c>
      <c r="AG703" t="s">
        <v>67</v>
      </c>
      <c r="AI703" t="s">
        <v>6955</v>
      </c>
      <c r="AJ703" s="424" t="str">
        <f t="shared" si="30"/>
        <v>432103</v>
      </c>
      <c r="AK703" s="28">
        <v>1</v>
      </c>
      <c r="AL703" s="28">
        <f t="shared" si="32"/>
        <v>1</v>
      </c>
      <c r="AM703" s="28" t="str">
        <f t="shared" si="31"/>
        <v>agora</v>
      </c>
    </row>
    <row r="704" spans="1:39" x14ac:dyDescent="0.25">
      <c r="A704" t="s">
        <v>11998</v>
      </c>
      <c r="B704" t="s">
        <v>632</v>
      </c>
      <c r="C704" t="s">
        <v>17</v>
      </c>
      <c r="D704" s="27" t="s">
        <v>9437</v>
      </c>
      <c r="E704" t="s">
        <v>233</v>
      </c>
      <c r="F704" s="421">
        <v>1</v>
      </c>
      <c r="G704" t="s">
        <v>193</v>
      </c>
      <c r="H704" t="s">
        <v>194</v>
      </c>
      <c r="I704" t="s">
        <v>9461</v>
      </c>
      <c r="J704" t="s">
        <v>9302</v>
      </c>
      <c r="K704" t="s">
        <v>11999</v>
      </c>
      <c r="L704" t="s">
        <v>6249</v>
      </c>
      <c r="M704" t="s">
        <v>11599</v>
      </c>
      <c r="N704" t="s">
        <v>10194</v>
      </c>
      <c r="O704" t="s">
        <v>10828</v>
      </c>
      <c r="P704" t="s">
        <v>12000</v>
      </c>
      <c r="Q704" t="s">
        <v>12001</v>
      </c>
      <c r="S704" t="s">
        <v>9309</v>
      </c>
      <c r="U704" s="27" t="s">
        <v>624</v>
      </c>
      <c r="V704" t="s">
        <v>193</v>
      </c>
      <c r="W704" t="s">
        <v>9310</v>
      </c>
      <c r="Z704" t="s">
        <v>9311</v>
      </c>
      <c r="AF704" t="s">
        <v>4714</v>
      </c>
      <c r="AG704" t="s">
        <v>17</v>
      </c>
      <c r="AI704" t="s">
        <v>6955</v>
      </c>
      <c r="AJ704" s="424" t="str">
        <f t="shared" si="30"/>
        <v>332203</v>
      </c>
      <c r="AK704" s="28">
        <v>1</v>
      </c>
      <c r="AL704" s="28">
        <f t="shared" si="32"/>
        <v>1</v>
      </c>
      <c r="AM704" s="28" t="str">
        <f t="shared" si="31"/>
        <v>praca</v>
      </c>
    </row>
    <row r="705" spans="1:39" x14ac:dyDescent="0.25">
      <c r="A705" t="s">
        <v>12236</v>
      </c>
      <c r="B705" t="s">
        <v>9586</v>
      </c>
      <c r="C705" t="s">
        <v>480</v>
      </c>
      <c r="D705" s="27" t="s">
        <v>9437</v>
      </c>
      <c r="E705" t="s">
        <v>192</v>
      </c>
      <c r="F705" s="421">
        <v>1</v>
      </c>
      <c r="G705" t="s">
        <v>193</v>
      </c>
      <c r="H705" t="s">
        <v>194</v>
      </c>
      <c r="I705" t="s">
        <v>9318</v>
      </c>
      <c r="J705" t="s">
        <v>9302</v>
      </c>
      <c r="K705" t="s">
        <v>12237</v>
      </c>
      <c r="L705" t="s">
        <v>6261</v>
      </c>
      <c r="M705" t="s">
        <v>11604</v>
      </c>
      <c r="N705" t="s">
        <v>9536</v>
      </c>
      <c r="O705" t="s">
        <v>9461</v>
      </c>
      <c r="P705" t="s">
        <v>12238</v>
      </c>
      <c r="Q705" t="s">
        <v>12239</v>
      </c>
      <c r="S705" t="s">
        <v>9309</v>
      </c>
      <c r="U705" s="27" t="s">
        <v>481</v>
      </c>
      <c r="V705" t="s">
        <v>193</v>
      </c>
      <c r="W705" t="s">
        <v>9310</v>
      </c>
      <c r="Z705" t="s">
        <v>9311</v>
      </c>
      <c r="AF705" t="s">
        <v>4714</v>
      </c>
      <c r="AG705" t="s">
        <v>9586</v>
      </c>
      <c r="AI705" t="s">
        <v>6955</v>
      </c>
      <c r="AJ705" s="424" t="str">
        <f t="shared" si="30"/>
        <v>251201</v>
      </c>
      <c r="AK705" s="28">
        <v>1</v>
      </c>
      <c r="AL705" s="28">
        <f t="shared" si="32"/>
        <v>1</v>
      </c>
      <c r="AM705" s="28" t="str">
        <f t="shared" si="31"/>
        <v>pracuj.pl</v>
      </c>
    </row>
    <row r="706" spans="1:39" x14ac:dyDescent="0.25">
      <c r="A706" t="s">
        <v>9522</v>
      </c>
      <c r="B706" t="s">
        <v>9647</v>
      </c>
      <c r="C706" t="s">
        <v>480</v>
      </c>
      <c r="D706" s="27" t="s">
        <v>10194</v>
      </c>
      <c r="E706" t="s">
        <v>217</v>
      </c>
      <c r="F706" s="421">
        <v>1</v>
      </c>
      <c r="G706" t="s">
        <v>193</v>
      </c>
      <c r="H706" t="s">
        <v>194</v>
      </c>
      <c r="I706" t="s">
        <v>9430</v>
      </c>
      <c r="J706" t="s">
        <v>9524</v>
      </c>
      <c r="K706" t="s">
        <v>9648</v>
      </c>
      <c r="L706" t="s">
        <v>6261</v>
      </c>
      <c r="M706" t="s">
        <v>12353</v>
      </c>
      <c r="N706" t="s">
        <v>9573</v>
      </c>
      <c r="O706" t="s">
        <v>9574</v>
      </c>
      <c r="P706" t="s">
        <v>12442</v>
      </c>
      <c r="Q706" t="s">
        <v>12443</v>
      </c>
      <c r="S706" t="s">
        <v>9309</v>
      </c>
      <c r="U706" s="27" t="s">
        <v>481</v>
      </c>
      <c r="V706" t="s">
        <v>193</v>
      </c>
      <c r="W706" t="s">
        <v>9310</v>
      </c>
      <c r="Z706" t="s">
        <v>9311</v>
      </c>
      <c r="AF706" t="s">
        <v>4714</v>
      </c>
      <c r="AG706" t="s">
        <v>9433</v>
      </c>
      <c r="AI706" t="s">
        <v>6955</v>
      </c>
      <c r="AJ706" s="424" t="str">
        <f t="shared" ref="AJ706:AJ769" si="33">MID(U706,8,6)</f>
        <v>251201</v>
      </c>
      <c r="AK706" s="28">
        <v>1</v>
      </c>
      <c r="AL706" s="28">
        <f t="shared" si="32"/>
        <v>1</v>
      </c>
      <c r="AM706" s="28" t="str">
        <f t="shared" ref="AM706:AM769" si="34">T(E706)</f>
        <v>agora</v>
      </c>
    </row>
    <row r="707" spans="1:39" x14ac:dyDescent="0.25">
      <c r="A707" t="s">
        <v>9522</v>
      </c>
      <c r="B707" t="s">
        <v>10734</v>
      </c>
      <c r="C707" t="s">
        <v>3427</v>
      </c>
      <c r="D707" s="27" t="s">
        <v>9835</v>
      </c>
      <c r="E707" t="s">
        <v>217</v>
      </c>
      <c r="F707" s="421">
        <v>1</v>
      </c>
      <c r="G707" t="s">
        <v>193</v>
      </c>
      <c r="H707" t="s">
        <v>194</v>
      </c>
      <c r="I707" t="s">
        <v>9491</v>
      </c>
      <c r="J707" t="s">
        <v>9524</v>
      </c>
      <c r="K707" t="s">
        <v>10735</v>
      </c>
      <c r="L707" t="s">
        <v>6921</v>
      </c>
      <c r="M707" t="s">
        <v>10618</v>
      </c>
      <c r="N707" t="s">
        <v>9929</v>
      </c>
      <c r="O707" t="s">
        <v>9342</v>
      </c>
      <c r="P707" t="s">
        <v>10736</v>
      </c>
      <c r="Q707" t="s">
        <v>10737</v>
      </c>
      <c r="S707" t="s">
        <v>9309</v>
      </c>
      <c r="U707" s="27" t="s">
        <v>3428</v>
      </c>
      <c r="V707" t="s">
        <v>193</v>
      </c>
      <c r="W707" t="s">
        <v>9310</v>
      </c>
      <c r="Z707" t="s">
        <v>9311</v>
      </c>
      <c r="AF707" t="s">
        <v>4714</v>
      </c>
      <c r="AG707" t="s">
        <v>9433</v>
      </c>
      <c r="AI707" t="s">
        <v>6955</v>
      </c>
      <c r="AJ707" s="424" t="str">
        <f t="shared" si="33"/>
        <v>251202</v>
      </c>
      <c r="AK707" s="28">
        <v>1</v>
      </c>
      <c r="AL707" s="28">
        <f t="shared" ref="AL707:AL770" si="35">SUM(F707)</f>
        <v>1</v>
      </c>
      <c r="AM707" s="28" t="str">
        <f t="shared" si="34"/>
        <v>agora</v>
      </c>
    </row>
    <row r="708" spans="1:39" x14ac:dyDescent="0.25">
      <c r="A708" t="s">
        <v>9522</v>
      </c>
      <c r="B708" t="s">
        <v>10734</v>
      </c>
      <c r="C708" t="s">
        <v>3427</v>
      </c>
      <c r="D708" s="27" t="s">
        <v>9437</v>
      </c>
      <c r="E708" t="s">
        <v>217</v>
      </c>
      <c r="F708" s="421">
        <v>1</v>
      </c>
      <c r="G708" t="s">
        <v>193</v>
      </c>
      <c r="H708" t="s">
        <v>194</v>
      </c>
      <c r="I708" t="s">
        <v>9491</v>
      </c>
      <c r="J708" t="s">
        <v>9524</v>
      </c>
      <c r="K708" t="s">
        <v>10735</v>
      </c>
      <c r="L708" t="s">
        <v>6921</v>
      </c>
      <c r="M708" t="s">
        <v>11702</v>
      </c>
      <c r="N708" t="s">
        <v>9929</v>
      </c>
      <c r="O708" t="s">
        <v>9342</v>
      </c>
      <c r="P708" t="s">
        <v>11750</v>
      </c>
      <c r="Q708" t="s">
        <v>11751</v>
      </c>
      <c r="S708" t="s">
        <v>9309</v>
      </c>
      <c r="U708" s="27" t="s">
        <v>3428</v>
      </c>
      <c r="V708" t="s">
        <v>193</v>
      </c>
      <c r="W708" t="s">
        <v>9310</v>
      </c>
      <c r="Z708" t="s">
        <v>9311</v>
      </c>
      <c r="AF708" t="s">
        <v>4714</v>
      </c>
      <c r="AG708" t="s">
        <v>9433</v>
      </c>
      <c r="AI708" t="s">
        <v>6955</v>
      </c>
      <c r="AJ708" s="424" t="str">
        <f t="shared" si="33"/>
        <v>251202</v>
      </c>
      <c r="AK708" s="28">
        <v>1</v>
      </c>
      <c r="AL708" s="28">
        <f t="shared" si="35"/>
        <v>1</v>
      </c>
      <c r="AM708" s="28" t="str">
        <f t="shared" si="34"/>
        <v>agora</v>
      </c>
    </row>
    <row r="709" spans="1:39" x14ac:dyDescent="0.25">
      <c r="A709" t="s">
        <v>716</v>
      </c>
      <c r="B709" t="s">
        <v>9964</v>
      </c>
      <c r="C709" t="s">
        <v>62</v>
      </c>
      <c r="D709" s="27" t="s">
        <v>9437</v>
      </c>
      <c r="E709" t="s">
        <v>217</v>
      </c>
      <c r="F709" s="421">
        <v>1</v>
      </c>
      <c r="G709" t="s">
        <v>193</v>
      </c>
      <c r="H709" t="s">
        <v>194</v>
      </c>
      <c r="I709" t="s">
        <v>9343</v>
      </c>
      <c r="J709" t="s">
        <v>253</v>
      </c>
      <c r="K709" t="s">
        <v>9965</v>
      </c>
      <c r="L709" t="s">
        <v>6363</v>
      </c>
      <c r="M709" t="s">
        <v>11702</v>
      </c>
      <c r="N709" t="s">
        <v>9966</v>
      </c>
      <c r="O709" t="s">
        <v>9967</v>
      </c>
      <c r="P709" t="s">
        <v>12013</v>
      </c>
      <c r="Q709" t="s">
        <v>12014</v>
      </c>
      <c r="S709" t="s">
        <v>9309</v>
      </c>
      <c r="T709" s="28" t="s">
        <v>9468</v>
      </c>
      <c r="U709" s="27" t="s">
        <v>601</v>
      </c>
      <c r="V709" t="s">
        <v>194</v>
      </c>
      <c r="W709" t="s">
        <v>9300</v>
      </c>
      <c r="Z709" t="s">
        <v>9311</v>
      </c>
      <c r="AF709" t="s">
        <v>4714</v>
      </c>
      <c r="AG709" t="s">
        <v>9433</v>
      </c>
      <c r="AI709" t="s">
        <v>6955</v>
      </c>
      <c r="AJ709" s="424" t="str">
        <f t="shared" si="33"/>
        <v>313904</v>
      </c>
      <c r="AK709" s="28">
        <v>1</v>
      </c>
      <c r="AL709" s="28">
        <f t="shared" si="35"/>
        <v>1</v>
      </c>
      <c r="AM709" s="28" t="str">
        <f t="shared" si="34"/>
        <v>agora</v>
      </c>
    </row>
    <row r="710" spans="1:39" x14ac:dyDescent="0.25">
      <c r="A710" t="s">
        <v>10002</v>
      </c>
      <c r="B710" t="s">
        <v>10003</v>
      </c>
      <c r="C710" t="s">
        <v>740</v>
      </c>
      <c r="D710" s="27" t="s">
        <v>9437</v>
      </c>
      <c r="E710" t="s">
        <v>217</v>
      </c>
      <c r="F710" s="421">
        <v>1</v>
      </c>
      <c r="G710" t="s">
        <v>193</v>
      </c>
      <c r="H710" t="s">
        <v>194</v>
      </c>
      <c r="I710" t="s">
        <v>11608</v>
      </c>
      <c r="J710" t="s">
        <v>210</v>
      </c>
      <c r="K710" t="s">
        <v>10004</v>
      </c>
      <c r="L710" t="s">
        <v>6249</v>
      </c>
      <c r="M710" t="s">
        <v>11702</v>
      </c>
      <c r="N710" t="s">
        <v>10005</v>
      </c>
      <c r="O710" t="s">
        <v>9430</v>
      </c>
      <c r="P710" t="s">
        <v>12015</v>
      </c>
      <c r="Q710" t="s">
        <v>12016</v>
      </c>
      <c r="S710" t="s">
        <v>9309</v>
      </c>
      <c r="T710" s="28" t="s">
        <v>9334</v>
      </c>
      <c r="U710" s="27" t="s">
        <v>741</v>
      </c>
      <c r="V710" t="s">
        <v>194</v>
      </c>
      <c r="W710" t="s">
        <v>9300</v>
      </c>
      <c r="Z710" t="s">
        <v>9311</v>
      </c>
      <c r="AF710" t="s">
        <v>4714</v>
      </c>
      <c r="AG710" t="s">
        <v>9433</v>
      </c>
      <c r="AI710" t="s">
        <v>6955</v>
      </c>
      <c r="AJ710" s="424" t="str">
        <f t="shared" si="33"/>
        <v>522301</v>
      </c>
      <c r="AK710" s="28">
        <v>1</v>
      </c>
      <c r="AL710" s="28">
        <f t="shared" si="35"/>
        <v>1</v>
      </c>
      <c r="AM710" s="28" t="str">
        <f t="shared" si="34"/>
        <v>agora</v>
      </c>
    </row>
    <row r="711" spans="1:39" x14ac:dyDescent="0.25">
      <c r="A711" t="s">
        <v>12017</v>
      </c>
      <c r="B711" t="s">
        <v>12018</v>
      </c>
      <c r="C711" t="s">
        <v>6617</v>
      </c>
      <c r="D711" s="27" t="s">
        <v>9437</v>
      </c>
      <c r="E711" t="s">
        <v>192</v>
      </c>
      <c r="F711" s="421">
        <v>1</v>
      </c>
      <c r="G711" t="s">
        <v>193</v>
      </c>
      <c r="H711" t="s">
        <v>194</v>
      </c>
      <c r="I711" t="s">
        <v>9343</v>
      </c>
      <c r="J711" t="s">
        <v>9302</v>
      </c>
      <c r="K711" t="s">
        <v>12019</v>
      </c>
      <c r="L711" t="s">
        <v>6266</v>
      </c>
      <c r="M711" t="s">
        <v>11604</v>
      </c>
      <c r="N711" t="s">
        <v>9536</v>
      </c>
      <c r="O711" t="s">
        <v>9343</v>
      </c>
      <c r="P711" t="s">
        <v>12020</v>
      </c>
      <c r="Q711" t="s">
        <v>12021</v>
      </c>
      <c r="S711" t="s">
        <v>9309</v>
      </c>
      <c r="U711" s="27" t="s">
        <v>990</v>
      </c>
      <c r="V711" t="s">
        <v>193</v>
      </c>
      <c r="W711" t="s">
        <v>9310</v>
      </c>
      <c r="Z711" t="s">
        <v>9311</v>
      </c>
      <c r="AF711" t="s">
        <v>4714</v>
      </c>
      <c r="AG711" t="s">
        <v>12018</v>
      </c>
      <c r="AI711" t="s">
        <v>6955</v>
      </c>
      <c r="AJ711" s="424" t="str">
        <f t="shared" si="33"/>
        <v>833202</v>
      </c>
      <c r="AK711" s="28">
        <v>1</v>
      </c>
      <c r="AL711" s="28">
        <f t="shared" si="35"/>
        <v>1</v>
      </c>
      <c r="AM711" s="28" t="str">
        <f t="shared" si="34"/>
        <v>pracuj.pl</v>
      </c>
    </row>
    <row r="712" spans="1:39" x14ac:dyDescent="0.25">
      <c r="A712" t="s">
        <v>2108</v>
      </c>
      <c r="B712" t="s">
        <v>12022</v>
      </c>
      <c r="C712" t="s">
        <v>163</v>
      </c>
      <c r="D712" s="27" t="s">
        <v>9437</v>
      </c>
      <c r="E712" t="s">
        <v>192</v>
      </c>
      <c r="F712" s="440">
        <v>4</v>
      </c>
      <c r="G712" t="s">
        <v>193</v>
      </c>
      <c r="H712" t="s">
        <v>194</v>
      </c>
      <c r="I712" t="s">
        <v>11608</v>
      </c>
      <c r="J712" t="s">
        <v>276</v>
      </c>
      <c r="K712" t="s">
        <v>12024</v>
      </c>
      <c r="L712" t="s">
        <v>6921</v>
      </c>
      <c r="M712" t="s">
        <v>11604</v>
      </c>
      <c r="N712" t="s">
        <v>9536</v>
      </c>
      <c r="O712" t="s">
        <v>9461</v>
      </c>
      <c r="P712" t="s">
        <v>12025</v>
      </c>
      <c r="Q712" t="s">
        <v>12026</v>
      </c>
      <c r="S712" t="s">
        <v>9309</v>
      </c>
      <c r="T712" s="28" t="s">
        <v>12027</v>
      </c>
      <c r="U712" s="27" t="s">
        <v>697</v>
      </c>
      <c r="V712" t="s">
        <v>194</v>
      </c>
      <c r="W712" t="s">
        <v>12023</v>
      </c>
      <c r="Z712" t="s">
        <v>9311</v>
      </c>
      <c r="AF712" t="s">
        <v>4714</v>
      </c>
      <c r="AG712" t="s">
        <v>12022</v>
      </c>
      <c r="AI712" t="s">
        <v>6955</v>
      </c>
      <c r="AJ712" s="424" t="str">
        <f t="shared" si="33"/>
        <v>351203</v>
      </c>
      <c r="AK712" s="28">
        <v>1</v>
      </c>
      <c r="AL712" s="28">
        <f t="shared" si="35"/>
        <v>4</v>
      </c>
      <c r="AM712" s="28" t="str">
        <f t="shared" si="34"/>
        <v>pracuj.pl</v>
      </c>
    </row>
    <row r="713" spans="1:39" x14ac:dyDescent="0.25">
      <c r="A713" t="s">
        <v>540</v>
      </c>
      <c r="B713" t="s">
        <v>12028</v>
      </c>
      <c r="C713" t="s">
        <v>2805</v>
      </c>
      <c r="D713" s="27" t="s">
        <v>9437</v>
      </c>
      <c r="E713" t="s">
        <v>252</v>
      </c>
      <c r="F713" s="421">
        <v>1</v>
      </c>
      <c r="G713" t="s">
        <v>193</v>
      </c>
      <c r="H713" t="s">
        <v>194</v>
      </c>
      <c r="I713" t="s">
        <v>11614</v>
      </c>
      <c r="J713" t="s">
        <v>210</v>
      </c>
      <c r="K713" t="s">
        <v>12029</v>
      </c>
      <c r="L713" t="s">
        <v>6269</v>
      </c>
      <c r="M713" t="s">
        <v>12030</v>
      </c>
      <c r="N713" t="s">
        <v>9437</v>
      </c>
      <c r="O713" t="s">
        <v>9429</v>
      </c>
      <c r="P713" t="s">
        <v>12031</v>
      </c>
      <c r="Q713" t="s">
        <v>12032</v>
      </c>
      <c r="S713" t="s">
        <v>9309</v>
      </c>
      <c r="T713" s="28" t="s">
        <v>9334</v>
      </c>
      <c r="U713" s="27" t="s">
        <v>3659</v>
      </c>
      <c r="V713" t="s">
        <v>194</v>
      </c>
      <c r="W713" t="s">
        <v>9300</v>
      </c>
      <c r="Z713" t="s">
        <v>9311</v>
      </c>
      <c r="AF713" t="s">
        <v>4714</v>
      </c>
      <c r="AG713" t="s">
        <v>9433</v>
      </c>
      <c r="AI713" t="s">
        <v>6955</v>
      </c>
      <c r="AJ713" s="424" t="str">
        <f t="shared" si="33"/>
        <v>214410</v>
      </c>
      <c r="AK713" s="28">
        <v>1</v>
      </c>
      <c r="AL713" s="28">
        <f t="shared" si="35"/>
        <v>1</v>
      </c>
      <c r="AM713" s="28" t="str">
        <f t="shared" si="34"/>
        <v>gratka</v>
      </c>
    </row>
    <row r="714" spans="1:39" x14ac:dyDescent="0.25">
      <c r="A714" t="s">
        <v>1289</v>
      </c>
      <c r="B714" t="s">
        <v>7600</v>
      </c>
      <c r="C714" t="s">
        <v>1848</v>
      </c>
      <c r="D714" s="27" t="s">
        <v>9437</v>
      </c>
      <c r="E714" t="s">
        <v>192</v>
      </c>
      <c r="F714" s="421">
        <v>1</v>
      </c>
      <c r="G714" t="s">
        <v>193</v>
      </c>
      <c r="H714" t="s">
        <v>194</v>
      </c>
      <c r="I714" t="s">
        <v>11608</v>
      </c>
      <c r="J714" t="s">
        <v>276</v>
      </c>
      <c r="K714" t="s">
        <v>12033</v>
      </c>
      <c r="L714" t="s">
        <v>7001</v>
      </c>
      <c r="M714" t="s">
        <v>11604</v>
      </c>
      <c r="N714" t="s">
        <v>9536</v>
      </c>
      <c r="O714" t="s">
        <v>9461</v>
      </c>
      <c r="P714" t="s">
        <v>12034</v>
      </c>
      <c r="Q714" t="s">
        <v>12035</v>
      </c>
      <c r="S714" t="s">
        <v>9309</v>
      </c>
      <c r="T714" s="28" t="s">
        <v>9786</v>
      </c>
      <c r="U714" s="27" t="s">
        <v>1849</v>
      </c>
      <c r="V714" t="s">
        <v>194</v>
      </c>
      <c r="W714" t="s">
        <v>9300</v>
      </c>
      <c r="Z714" t="s">
        <v>9311</v>
      </c>
      <c r="AF714" t="s">
        <v>4714</v>
      </c>
      <c r="AG714" t="s">
        <v>7600</v>
      </c>
      <c r="AI714" t="s">
        <v>6955</v>
      </c>
      <c r="AJ714" s="424" t="str">
        <f t="shared" si="33"/>
        <v>112009</v>
      </c>
      <c r="AK714" s="28">
        <v>1</v>
      </c>
      <c r="AL714" s="28">
        <f t="shared" si="35"/>
        <v>1</v>
      </c>
      <c r="AM714" s="28" t="str">
        <f t="shared" si="34"/>
        <v>pracuj.pl</v>
      </c>
    </row>
    <row r="715" spans="1:39" x14ac:dyDescent="0.25">
      <c r="A715" t="s">
        <v>4975</v>
      </c>
      <c r="B715" t="s">
        <v>12036</v>
      </c>
      <c r="C715" t="s">
        <v>886</v>
      </c>
      <c r="D715" s="27" t="s">
        <v>9437</v>
      </c>
      <c r="E715" t="s">
        <v>233</v>
      </c>
      <c r="F715" s="421">
        <v>1</v>
      </c>
      <c r="G715" t="s">
        <v>193</v>
      </c>
      <c r="H715" t="s">
        <v>194</v>
      </c>
      <c r="I715" t="s">
        <v>9343</v>
      </c>
      <c r="J715" t="s">
        <v>210</v>
      </c>
      <c r="K715" t="s">
        <v>12037</v>
      </c>
      <c r="L715" t="s">
        <v>6266</v>
      </c>
      <c r="M715" t="s">
        <v>11670</v>
      </c>
      <c r="N715" t="s">
        <v>10005</v>
      </c>
      <c r="O715" t="s">
        <v>9604</v>
      </c>
      <c r="P715" t="s">
        <v>12038</v>
      </c>
      <c r="Q715" t="s">
        <v>12039</v>
      </c>
      <c r="S715" t="s">
        <v>9309</v>
      </c>
      <c r="T715" s="28" t="s">
        <v>9334</v>
      </c>
      <c r="U715" s="27" t="s">
        <v>887</v>
      </c>
      <c r="V715" t="s">
        <v>194</v>
      </c>
      <c r="W715" t="s">
        <v>9300</v>
      </c>
      <c r="Z715" t="s">
        <v>9311</v>
      </c>
      <c r="AF715" t="s">
        <v>4714</v>
      </c>
      <c r="AG715" t="s">
        <v>12036</v>
      </c>
      <c r="AI715" t="s">
        <v>6955</v>
      </c>
      <c r="AJ715" s="424" t="str">
        <f t="shared" si="33"/>
        <v>834401</v>
      </c>
      <c r="AK715" s="28">
        <v>1</v>
      </c>
      <c r="AL715" s="28">
        <f t="shared" si="35"/>
        <v>1</v>
      </c>
      <c r="AM715" s="28" t="str">
        <f t="shared" si="34"/>
        <v>praca</v>
      </c>
    </row>
    <row r="716" spans="1:39" x14ac:dyDescent="0.25">
      <c r="A716" t="s">
        <v>4975</v>
      </c>
      <c r="B716" t="s">
        <v>12040</v>
      </c>
      <c r="C716" t="s">
        <v>4896</v>
      </c>
      <c r="D716" s="27" t="s">
        <v>9437</v>
      </c>
      <c r="E716" t="s">
        <v>233</v>
      </c>
      <c r="F716" s="421">
        <v>1</v>
      </c>
      <c r="G716" t="s">
        <v>193</v>
      </c>
      <c r="H716" t="s">
        <v>194</v>
      </c>
      <c r="I716" t="s">
        <v>9351</v>
      </c>
      <c r="J716" t="s">
        <v>276</v>
      </c>
      <c r="K716" t="s">
        <v>12041</v>
      </c>
      <c r="L716" t="s">
        <v>6275</v>
      </c>
      <c r="M716" t="s">
        <v>11670</v>
      </c>
      <c r="N716" t="s">
        <v>10005</v>
      </c>
      <c r="O716" t="s">
        <v>9604</v>
      </c>
      <c r="P716" t="s">
        <v>12042</v>
      </c>
      <c r="Q716" t="s">
        <v>12043</v>
      </c>
      <c r="S716" t="s">
        <v>9309</v>
      </c>
      <c r="T716" s="28" t="s">
        <v>9786</v>
      </c>
      <c r="U716" s="27" t="s">
        <v>2538</v>
      </c>
      <c r="V716" t="s">
        <v>194</v>
      </c>
      <c r="W716" t="s">
        <v>9300</v>
      </c>
      <c r="Z716" t="s">
        <v>9311</v>
      </c>
      <c r="AF716" t="s">
        <v>4714</v>
      </c>
      <c r="AG716" t="s">
        <v>12040</v>
      </c>
      <c r="AI716" t="s">
        <v>6955</v>
      </c>
      <c r="AJ716" s="424" t="str">
        <f t="shared" si="33"/>
        <v>911207</v>
      </c>
      <c r="AK716" s="28">
        <v>1</v>
      </c>
      <c r="AL716" s="28">
        <f t="shared" si="35"/>
        <v>1</v>
      </c>
      <c r="AM716" s="28" t="str">
        <f t="shared" si="34"/>
        <v>praca</v>
      </c>
    </row>
    <row r="717" spans="1:39" x14ac:dyDescent="0.25">
      <c r="A717" t="s">
        <v>4975</v>
      </c>
      <c r="B717" t="s">
        <v>7069</v>
      </c>
      <c r="C717" t="s">
        <v>3671</v>
      </c>
      <c r="D717" s="27" t="s">
        <v>9437</v>
      </c>
      <c r="E717" t="s">
        <v>233</v>
      </c>
      <c r="F717" s="421">
        <v>1</v>
      </c>
      <c r="G717" t="s">
        <v>193</v>
      </c>
      <c r="H717" t="s">
        <v>194</v>
      </c>
      <c r="I717" t="s">
        <v>9491</v>
      </c>
      <c r="J717" t="s">
        <v>210</v>
      </c>
      <c r="K717" t="s">
        <v>12044</v>
      </c>
      <c r="L717" t="s">
        <v>6275</v>
      </c>
      <c r="M717" t="s">
        <v>11670</v>
      </c>
      <c r="N717" t="s">
        <v>10005</v>
      </c>
      <c r="O717" t="s">
        <v>9604</v>
      </c>
      <c r="P717" t="s">
        <v>12045</v>
      </c>
      <c r="Q717" t="s">
        <v>12046</v>
      </c>
      <c r="S717" t="s">
        <v>9309</v>
      </c>
      <c r="T717" s="28" t="s">
        <v>9334</v>
      </c>
      <c r="U717" s="27" t="s">
        <v>3672</v>
      </c>
      <c r="V717" t="s">
        <v>194</v>
      </c>
      <c r="W717" t="s">
        <v>9300</v>
      </c>
      <c r="Z717" t="s">
        <v>9311</v>
      </c>
      <c r="AF717" t="s">
        <v>4714</v>
      </c>
      <c r="AG717" t="s">
        <v>7069</v>
      </c>
      <c r="AI717" t="s">
        <v>6955</v>
      </c>
      <c r="AJ717" s="424" t="str">
        <f t="shared" si="33"/>
        <v>522303</v>
      </c>
      <c r="AK717" s="28">
        <v>1</v>
      </c>
      <c r="AL717" s="28">
        <f t="shared" si="35"/>
        <v>1</v>
      </c>
      <c r="AM717" s="28" t="str">
        <f t="shared" si="34"/>
        <v>praca</v>
      </c>
    </row>
    <row r="718" spans="1:39" x14ac:dyDescent="0.25">
      <c r="A718" t="s">
        <v>9239</v>
      </c>
      <c r="B718" t="s">
        <v>12047</v>
      </c>
      <c r="C718" t="s">
        <v>12048</v>
      </c>
      <c r="D718" s="27" t="s">
        <v>9437</v>
      </c>
      <c r="E718" t="s">
        <v>233</v>
      </c>
      <c r="F718" s="421">
        <v>1</v>
      </c>
      <c r="G718" t="s">
        <v>194</v>
      </c>
      <c r="H718" t="s">
        <v>193</v>
      </c>
      <c r="I718" t="s">
        <v>11608</v>
      </c>
      <c r="J718" t="s">
        <v>9302</v>
      </c>
      <c r="K718" t="s">
        <v>12049</v>
      </c>
      <c r="L718" t="s">
        <v>6275</v>
      </c>
      <c r="M718" t="s">
        <v>11670</v>
      </c>
      <c r="N718" t="s">
        <v>10005</v>
      </c>
      <c r="O718" t="s">
        <v>9604</v>
      </c>
      <c r="P718" t="s">
        <v>12050</v>
      </c>
      <c r="Q718" t="s">
        <v>12051</v>
      </c>
      <c r="S718" t="s">
        <v>9309</v>
      </c>
      <c r="U718" s="27" t="s">
        <v>12052</v>
      </c>
      <c r="V718" t="s">
        <v>194</v>
      </c>
      <c r="W718" t="s">
        <v>9946</v>
      </c>
      <c r="Z718" t="s">
        <v>9311</v>
      </c>
      <c r="AF718" t="s">
        <v>4714</v>
      </c>
      <c r="AG718" t="s">
        <v>12047</v>
      </c>
      <c r="AI718" t="s">
        <v>6955</v>
      </c>
      <c r="AJ718" s="424" t="str">
        <f t="shared" si="33"/>
        <v>816017</v>
      </c>
      <c r="AK718" s="28">
        <v>1</v>
      </c>
      <c r="AL718" s="28">
        <f t="shared" si="35"/>
        <v>1</v>
      </c>
      <c r="AM718" s="28" t="str">
        <f t="shared" si="34"/>
        <v>praca</v>
      </c>
    </row>
    <row r="719" spans="1:39" x14ac:dyDescent="0.25">
      <c r="A719" t="s">
        <v>12053</v>
      </c>
      <c r="B719" t="s">
        <v>1768</v>
      </c>
      <c r="C719" t="s">
        <v>420</v>
      </c>
      <c r="D719" s="27" t="s">
        <v>9437</v>
      </c>
      <c r="E719" t="s">
        <v>192</v>
      </c>
      <c r="F719" s="421">
        <v>1</v>
      </c>
      <c r="G719" t="s">
        <v>193</v>
      </c>
      <c r="H719" t="s">
        <v>194</v>
      </c>
      <c r="I719" t="s">
        <v>9461</v>
      </c>
      <c r="J719" t="s">
        <v>9302</v>
      </c>
      <c r="K719" t="s">
        <v>12054</v>
      </c>
      <c r="L719" t="s">
        <v>7531</v>
      </c>
      <c r="M719" t="s">
        <v>11604</v>
      </c>
      <c r="N719" t="s">
        <v>9536</v>
      </c>
      <c r="O719" t="s">
        <v>9461</v>
      </c>
      <c r="P719" t="s">
        <v>12055</v>
      </c>
      <c r="Q719" t="s">
        <v>12056</v>
      </c>
      <c r="S719" t="s">
        <v>9309</v>
      </c>
      <c r="U719" s="27" t="s">
        <v>421</v>
      </c>
      <c r="V719" t="s">
        <v>193</v>
      </c>
      <c r="W719" t="s">
        <v>9310</v>
      </c>
      <c r="Z719" t="s">
        <v>9311</v>
      </c>
      <c r="AF719" t="s">
        <v>4714</v>
      </c>
      <c r="AG719" t="s">
        <v>1768</v>
      </c>
      <c r="AI719" t="s">
        <v>6955</v>
      </c>
      <c r="AJ719" s="424" t="str">
        <f t="shared" si="33"/>
        <v>241306</v>
      </c>
      <c r="AK719" s="28">
        <v>1</v>
      </c>
      <c r="AL719" s="28">
        <f t="shared" si="35"/>
        <v>1</v>
      </c>
      <c r="AM719" s="28" t="str">
        <f t="shared" si="34"/>
        <v>pracuj.pl</v>
      </c>
    </row>
    <row r="720" spans="1:39" x14ac:dyDescent="0.25">
      <c r="A720" t="s">
        <v>10043</v>
      </c>
      <c r="B720" t="s">
        <v>1606</v>
      </c>
      <c r="C720" t="s">
        <v>22</v>
      </c>
      <c r="D720" s="27" t="s">
        <v>9437</v>
      </c>
      <c r="E720" t="s">
        <v>217</v>
      </c>
      <c r="F720" s="421">
        <v>1</v>
      </c>
      <c r="G720" t="s">
        <v>193</v>
      </c>
      <c r="H720" t="s">
        <v>194</v>
      </c>
      <c r="I720" t="s">
        <v>9343</v>
      </c>
      <c r="J720" t="s">
        <v>305</v>
      </c>
      <c r="K720" t="s">
        <v>10044</v>
      </c>
      <c r="L720" t="s">
        <v>6288</v>
      </c>
      <c r="M720" t="s">
        <v>11702</v>
      </c>
      <c r="N720" t="s">
        <v>9966</v>
      </c>
      <c r="O720" t="s">
        <v>9383</v>
      </c>
      <c r="P720" t="s">
        <v>12057</v>
      </c>
      <c r="Q720" t="s">
        <v>12058</v>
      </c>
      <c r="S720" t="s">
        <v>9309</v>
      </c>
      <c r="T720" s="28" t="s">
        <v>9753</v>
      </c>
      <c r="U720" s="27" t="s">
        <v>1608</v>
      </c>
      <c r="V720" t="s">
        <v>194</v>
      </c>
      <c r="W720" t="s">
        <v>9300</v>
      </c>
      <c r="Z720" t="s">
        <v>9311</v>
      </c>
      <c r="AF720" t="s">
        <v>4714</v>
      </c>
      <c r="AG720" t="s">
        <v>9433</v>
      </c>
      <c r="AI720" t="s">
        <v>6955</v>
      </c>
      <c r="AJ720" s="424" t="str">
        <f t="shared" si="33"/>
        <v>228101</v>
      </c>
      <c r="AK720" s="28">
        <v>1</v>
      </c>
      <c r="AL720" s="28">
        <f t="shared" si="35"/>
        <v>1</v>
      </c>
      <c r="AM720" s="28" t="str">
        <f t="shared" si="34"/>
        <v>agora</v>
      </c>
    </row>
    <row r="721" spans="1:39" x14ac:dyDescent="0.25">
      <c r="A721" t="s">
        <v>10043</v>
      </c>
      <c r="B721" t="s">
        <v>11239</v>
      </c>
      <c r="C721" t="s">
        <v>944</v>
      </c>
      <c r="D721" s="27" t="s">
        <v>9437</v>
      </c>
      <c r="E721" t="s">
        <v>217</v>
      </c>
      <c r="F721" s="421">
        <v>1</v>
      </c>
      <c r="G721" t="s">
        <v>193</v>
      </c>
      <c r="H721" t="s">
        <v>194</v>
      </c>
      <c r="I721" t="s">
        <v>9557</v>
      </c>
      <c r="J721" t="s">
        <v>276</v>
      </c>
      <c r="K721" t="s">
        <v>11240</v>
      </c>
      <c r="L721" t="s">
        <v>6288</v>
      </c>
      <c r="M721" t="s">
        <v>11702</v>
      </c>
      <c r="N721" t="s">
        <v>10226</v>
      </c>
      <c r="O721" t="s">
        <v>9299</v>
      </c>
      <c r="P721" t="s">
        <v>12059</v>
      </c>
      <c r="Q721" t="s">
        <v>12060</v>
      </c>
      <c r="S721" t="s">
        <v>9309</v>
      </c>
      <c r="T721" s="28" t="s">
        <v>9786</v>
      </c>
      <c r="U721" s="27" t="s">
        <v>945</v>
      </c>
      <c r="V721" t="s">
        <v>194</v>
      </c>
      <c r="W721" t="s">
        <v>9300</v>
      </c>
      <c r="Z721" t="s">
        <v>9311</v>
      </c>
      <c r="AF721" t="s">
        <v>4714</v>
      </c>
      <c r="AG721" t="s">
        <v>9433</v>
      </c>
      <c r="AI721" t="s">
        <v>6955</v>
      </c>
      <c r="AJ721" s="424" t="str">
        <f t="shared" si="33"/>
        <v>321301</v>
      </c>
      <c r="AK721" s="28">
        <v>1</v>
      </c>
      <c r="AL721" s="28">
        <f t="shared" si="35"/>
        <v>1</v>
      </c>
      <c r="AM721" s="28" t="str">
        <f t="shared" si="34"/>
        <v>agora</v>
      </c>
    </row>
    <row r="722" spans="1:39" x14ac:dyDescent="0.25">
      <c r="A722" t="s">
        <v>9522</v>
      </c>
      <c r="B722" t="s">
        <v>10734</v>
      </c>
      <c r="C722" t="s">
        <v>3427</v>
      </c>
      <c r="D722" s="27" t="s">
        <v>10194</v>
      </c>
      <c r="E722" t="s">
        <v>217</v>
      </c>
      <c r="F722" s="421">
        <v>1</v>
      </c>
      <c r="G722" t="s">
        <v>193</v>
      </c>
      <c r="H722" t="s">
        <v>194</v>
      </c>
      <c r="I722" t="s">
        <v>9491</v>
      </c>
      <c r="J722" t="s">
        <v>9524</v>
      </c>
      <c r="K722" t="s">
        <v>10735</v>
      </c>
      <c r="L722" t="s">
        <v>6921</v>
      </c>
      <c r="M722" t="s">
        <v>12353</v>
      </c>
      <c r="N722" t="s">
        <v>9929</v>
      </c>
      <c r="O722" t="s">
        <v>9342</v>
      </c>
      <c r="P722" t="s">
        <v>12402</v>
      </c>
      <c r="Q722" t="s">
        <v>12403</v>
      </c>
      <c r="S722" t="s">
        <v>9309</v>
      </c>
      <c r="U722" s="27" t="s">
        <v>3428</v>
      </c>
      <c r="V722" t="s">
        <v>193</v>
      </c>
      <c r="W722" t="s">
        <v>9310</v>
      </c>
      <c r="Z722" t="s">
        <v>9311</v>
      </c>
      <c r="AF722" t="s">
        <v>4714</v>
      </c>
      <c r="AG722" t="s">
        <v>9433</v>
      </c>
      <c r="AI722" t="s">
        <v>6955</v>
      </c>
      <c r="AJ722" s="424" t="str">
        <f t="shared" si="33"/>
        <v>251202</v>
      </c>
      <c r="AK722" s="28">
        <v>1</v>
      </c>
      <c r="AL722" s="28">
        <f t="shared" si="35"/>
        <v>1</v>
      </c>
      <c r="AM722" s="28" t="str">
        <f t="shared" si="34"/>
        <v>agora</v>
      </c>
    </row>
    <row r="723" spans="1:39" x14ac:dyDescent="0.25">
      <c r="A723" t="s">
        <v>7155</v>
      </c>
      <c r="B723" t="s">
        <v>12812</v>
      </c>
      <c r="C723" t="s">
        <v>4259</v>
      </c>
      <c r="D723" s="27" t="s">
        <v>10194</v>
      </c>
      <c r="E723" t="s">
        <v>233</v>
      </c>
      <c r="F723" s="421">
        <v>1</v>
      </c>
      <c r="G723" t="s">
        <v>193</v>
      </c>
      <c r="H723" t="s">
        <v>194</v>
      </c>
      <c r="I723" t="s">
        <v>12285</v>
      </c>
      <c r="J723" t="s">
        <v>210</v>
      </c>
      <c r="K723" t="s">
        <v>12813</v>
      </c>
      <c r="L723" t="s">
        <v>6921</v>
      </c>
      <c r="M723" t="s">
        <v>12365</v>
      </c>
      <c r="N723" t="s">
        <v>9929</v>
      </c>
      <c r="O723" t="s">
        <v>10757</v>
      </c>
      <c r="P723" t="s">
        <v>12814</v>
      </c>
      <c r="Q723" t="s">
        <v>12815</v>
      </c>
      <c r="S723" t="s">
        <v>9309</v>
      </c>
      <c r="T723" s="28" t="s">
        <v>9334</v>
      </c>
      <c r="U723" s="27" t="s">
        <v>4260</v>
      </c>
      <c r="V723" t="s">
        <v>194</v>
      </c>
      <c r="W723" t="s">
        <v>9300</v>
      </c>
      <c r="Z723" t="s">
        <v>9311</v>
      </c>
      <c r="AF723" t="s">
        <v>4714</v>
      </c>
      <c r="AG723" t="s">
        <v>12812</v>
      </c>
      <c r="AI723" t="s">
        <v>6955</v>
      </c>
      <c r="AJ723" s="424" t="str">
        <f t="shared" si="33"/>
        <v>251902</v>
      </c>
      <c r="AK723" s="28">
        <v>1</v>
      </c>
      <c r="AL723" s="28">
        <f t="shared" si="35"/>
        <v>1</v>
      </c>
      <c r="AM723" s="28" t="str">
        <f t="shared" si="34"/>
        <v>praca</v>
      </c>
    </row>
    <row r="724" spans="1:39" x14ac:dyDescent="0.25">
      <c r="A724" t="s">
        <v>9387</v>
      </c>
      <c r="B724" t="s">
        <v>9392</v>
      </c>
      <c r="C724" t="s">
        <v>2861</v>
      </c>
      <c r="D724" s="27" t="s">
        <v>9299</v>
      </c>
      <c r="E724" t="s">
        <v>192</v>
      </c>
      <c r="F724" s="421">
        <v>1</v>
      </c>
      <c r="G724" t="s">
        <v>193</v>
      </c>
      <c r="H724" t="s">
        <v>194</v>
      </c>
      <c r="I724" t="s">
        <v>9356</v>
      </c>
      <c r="J724" t="s">
        <v>9302</v>
      </c>
      <c r="K724" t="s">
        <v>9393</v>
      </c>
      <c r="L724" t="s">
        <v>6921</v>
      </c>
      <c r="M724" t="s">
        <v>9304</v>
      </c>
      <c r="N724" t="s">
        <v>9305</v>
      </c>
      <c r="O724" t="s">
        <v>9306</v>
      </c>
      <c r="P724" t="s">
        <v>9394</v>
      </c>
      <c r="Q724" t="s">
        <v>9395</v>
      </c>
      <c r="S724" t="s">
        <v>9309</v>
      </c>
      <c r="U724" s="27" t="s">
        <v>3629</v>
      </c>
      <c r="V724" t="s">
        <v>193</v>
      </c>
      <c r="W724" t="s">
        <v>9310</v>
      </c>
      <c r="Z724" t="s">
        <v>9311</v>
      </c>
      <c r="AF724" t="s">
        <v>4714</v>
      </c>
      <c r="AG724" t="s">
        <v>9392</v>
      </c>
      <c r="AI724" t="s">
        <v>6955</v>
      </c>
      <c r="AJ724" s="424" t="str">
        <f t="shared" si="33"/>
        <v>251903</v>
      </c>
      <c r="AK724" s="28">
        <v>1</v>
      </c>
      <c r="AL724" s="28">
        <f t="shared" si="35"/>
        <v>1</v>
      </c>
      <c r="AM724" s="28" t="str">
        <f t="shared" si="34"/>
        <v>pracuj.pl</v>
      </c>
    </row>
    <row r="725" spans="1:39" x14ac:dyDescent="0.25">
      <c r="A725" t="s">
        <v>9522</v>
      </c>
      <c r="B725" t="s">
        <v>9614</v>
      </c>
      <c r="C725" t="s">
        <v>2861</v>
      </c>
      <c r="D725" s="27" t="s">
        <v>9299</v>
      </c>
      <c r="E725" t="s">
        <v>217</v>
      </c>
      <c r="F725" s="421">
        <v>1</v>
      </c>
      <c r="G725" t="s">
        <v>193</v>
      </c>
      <c r="H725" t="s">
        <v>194</v>
      </c>
      <c r="I725" t="s">
        <v>9430</v>
      </c>
      <c r="J725" t="s">
        <v>9524</v>
      </c>
      <c r="K725" t="s">
        <v>9615</v>
      </c>
      <c r="L725" t="s">
        <v>6261</v>
      </c>
      <c r="M725" t="s">
        <v>9436</v>
      </c>
      <c r="N725" t="s">
        <v>9486</v>
      </c>
      <c r="O725" t="s">
        <v>9306</v>
      </c>
      <c r="P725" t="s">
        <v>9616</v>
      </c>
      <c r="Q725" t="s">
        <v>9617</v>
      </c>
      <c r="S725" t="s">
        <v>9309</v>
      </c>
      <c r="U725" s="27" t="s">
        <v>3629</v>
      </c>
      <c r="V725" t="s">
        <v>193</v>
      </c>
      <c r="W725" t="s">
        <v>9310</v>
      </c>
      <c r="Z725" t="s">
        <v>9311</v>
      </c>
      <c r="AF725" t="s">
        <v>4714</v>
      </c>
      <c r="AG725" t="s">
        <v>9433</v>
      </c>
      <c r="AI725" t="s">
        <v>6955</v>
      </c>
      <c r="AJ725" s="424" t="str">
        <f t="shared" si="33"/>
        <v>251903</v>
      </c>
      <c r="AK725" s="28">
        <v>1</v>
      </c>
      <c r="AL725" s="28">
        <f t="shared" si="35"/>
        <v>1</v>
      </c>
      <c r="AM725" s="28" t="str">
        <f t="shared" si="34"/>
        <v>agora</v>
      </c>
    </row>
    <row r="726" spans="1:39" x14ac:dyDescent="0.25">
      <c r="A726" t="s">
        <v>9522</v>
      </c>
      <c r="B726" t="s">
        <v>9618</v>
      </c>
      <c r="C726" t="s">
        <v>2861</v>
      </c>
      <c r="D726" s="27" t="s">
        <v>9299</v>
      </c>
      <c r="E726" t="s">
        <v>217</v>
      </c>
      <c r="F726" s="421">
        <v>1</v>
      </c>
      <c r="G726" t="s">
        <v>193</v>
      </c>
      <c r="H726" t="s">
        <v>194</v>
      </c>
      <c r="I726" t="s">
        <v>9430</v>
      </c>
      <c r="J726" t="s">
        <v>210</v>
      </c>
      <c r="K726" t="s">
        <v>9619</v>
      </c>
      <c r="L726" t="s">
        <v>6261</v>
      </c>
      <c r="M726" t="s">
        <v>9428</v>
      </c>
      <c r="N726" t="s">
        <v>9553</v>
      </c>
      <c r="O726" t="s">
        <v>9557</v>
      </c>
      <c r="P726" t="s">
        <v>9620</v>
      </c>
      <c r="Q726" t="s">
        <v>9621</v>
      </c>
      <c r="S726" t="s">
        <v>9309</v>
      </c>
      <c r="T726" s="28" t="s">
        <v>9334</v>
      </c>
      <c r="U726" s="27" t="s">
        <v>3629</v>
      </c>
      <c r="V726" t="s">
        <v>194</v>
      </c>
      <c r="W726" t="s">
        <v>9300</v>
      </c>
      <c r="Z726" t="s">
        <v>9311</v>
      </c>
      <c r="AF726" t="s">
        <v>4714</v>
      </c>
      <c r="AG726" t="s">
        <v>9433</v>
      </c>
      <c r="AI726" t="s">
        <v>6955</v>
      </c>
      <c r="AJ726" s="424" t="str">
        <f t="shared" si="33"/>
        <v>251903</v>
      </c>
      <c r="AK726" s="28">
        <v>1</v>
      </c>
      <c r="AL726" s="28">
        <f t="shared" si="35"/>
        <v>1</v>
      </c>
      <c r="AM726" s="28" t="str">
        <f t="shared" si="34"/>
        <v>agora</v>
      </c>
    </row>
    <row r="727" spans="1:39" x14ac:dyDescent="0.25">
      <c r="A727" t="s">
        <v>1989</v>
      </c>
      <c r="B727" t="s">
        <v>12077</v>
      </c>
      <c r="C727" t="s">
        <v>51</v>
      </c>
      <c r="D727" s="27" t="s">
        <v>9437</v>
      </c>
      <c r="E727" t="s">
        <v>192</v>
      </c>
      <c r="F727" s="421">
        <v>1</v>
      </c>
      <c r="G727" t="s">
        <v>193</v>
      </c>
      <c r="H727" t="s">
        <v>194</v>
      </c>
      <c r="I727" t="s">
        <v>9343</v>
      </c>
      <c r="J727" t="s">
        <v>408</v>
      </c>
      <c r="K727" t="s">
        <v>12078</v>
      </c>
      <c r="L727" t="s">
        <v>6275</v>
      </c>
      <c r="M727" t="s">
        <v>11604</v>
      </c>
      <c r="N727" t="s">
        <v>9536</v>
      </c>
      <c r="O727" t="s">
        <v>9461</v>
      </c>
      <c r="P727" t="s">
        <v>12079</v>
      </c>
      <c r="Q727" t="s">
        <v>12080</v>
      </c>
      <c r="S727" t="s">
        <v>9309</v>
      </c>
      <c r="T727" s="28" t="s">
        <v>9479</v>
      </c>
      <c r="U727" s="27" t="s">
        <v>904</v>
      </c>
      <c r="V727" t="s">
        <v>194</v>
      </c>
      <c r="W727" t="s">
        <v>9300</v>
      </c>
      <c r="Z727" t="s">
        <v>9311</v>
      </c>
      <c r="AF727" t="s">
        <v>4714</v>
      </c>
      <c r="AG727" t="s">
        <v>12077</v>
      </c>
      <c r="AI727" t="s">
        <v>6955</v>
      </c>
      <c r="AJ727" s="424" t="str">
        <f t="shared" si="33"/>
        <v>523002</v>
      </c>
      <c r="AK727" s="28">
        <v>1</v>
      </c>
      <c r="AL727" s="28">
        <f t="shared" si="35"/>
        <v>1</v>
      </c>
      <c r="AM727" s="28" t="str">
        <f t="shared" si="34"/>
        <v>pracuj.pl</v>
      </c>
    </row>
    <row r="728" spans="1:39" x14ac:dyDescent="0.25">
      <c r="A728" t="s">
        <v>491</v>
      </c>
      <c r="B728" t="s">
        <v>1765</v>
      </c>
      <c r="C728" t="s">
        <v>1766</v>
      </c>
      <c r="D728" s="27" t="s">
        <v>9437</v>
      </c>
      <c r="E728" t="s">
        <v>192</v>
      </c>
      <c r="F728" s="421">
        <v>1</v>
      </c>
      <c r="G728" t="s">
        <v>193</v>
      </c>
      <c r="H728" t="s">
        <v>194</v>
      </c>
      <c r="I728" t="s">
        <v>9461</v>
      </c>
      <c r="J728" t="s">
        <v>210</v>
      </c>
      <c r="K728" t="s">
        <v>12081</v>
      </c>
      <c r="L728" t="s">
        <v>6261</v>
      </c>
      <c r="M728" t="s">
        <v>11604</v>
      </c>
      <c r="N728" t="s">
        <v>9536</v>
      </c>
      <c r="O728" t="s">
        <v>9461</v>
      </c>
      <c r="P728" t="s">
        <v>12082</v>
      </c>
      <c r="Q728" t="s">
        <v>12083</v>
      </c>
      <c r="S728" t="s">
        <v>9309</v>
      </c>
      <c r="T728" s="28" t="s">
        <v>9334</v>
      </c>
      <c r="U728" s="27" t="s">
        <v>1767</v>
      </c>
      <c r="V728" t="s">
        <v>194</v>
      </c>
      <c r="W728" t="s">
        <v>9300</v>
      </c>
      <c r="Z728" t="s">
        <v>9311</v>
      </c>
      <c r="AF728" t="s">
        <v>4714</v>
      </c>
      <c r="AG728" t="s">
        <v>1765</v>
      </c>
      <c r="AI728" t="s">
        <v>6955</v>
      </c>
      <c r="AJ728" s="424" t="str">
        <f t="shared" si="33"/>
        <v>242112</v>
      </c>
      <c r="AK728" s="28">
        <v>1</v>
      </c>
      <c r="AL728" s="28">
        <f t="shared" si="35"/>
        <v>1</v>
      </c>
      <c r="AM728" s="28" t="str">
        <f t="shared" si="34"/>
        <v>pracuj.pl</v>
      </c>
    </row>
    <row r="729" spans="1:39" x14ac:dyDescent="0.25">
      <c r="A729" t="s">
        <v>9522</v>
      </c>
      <c r="B729" t="s">
        <v>9664</v>
      </c>
      <c r="C729" t="s">
        <v>2861</v>
      </c>
      <c r="D729" s="27" t="s">
        <v>9299</v>
      </c>
      <c r="E729" t="s">
        <v>217</v>
      </c>
      <c r="F729" s="421">
        <v>1</v>
      </c>
      <c r="G729" t="s">
        <v>193</v>
      </c>
      <c r="H729" t="s">
        <v>194</v>
      </c>
      <c r="I729" t="s">
        <v>9430</v>
      </c>
      <c r="J729" t="s">
        <v>9524</v>
      </c>
      <c r="K729" t="s">
        <v>9665</v>
      </c>
      <c r="L729" t="s">
        <v>6261</v>
      </c>
      <c r="M729" t="s">
        <v>9436</v>
      </c>
      <c r="N729" t="s">
        <v>9536</v>
      </c>
      <c r="O729" t="s">
        <v>9537</v>
      </c>
      <c r="P729" t="s">
        <v>9666</v>
      </c>
      <c r="Q729" t="s">
        <v>9667</v>
      </c>
      <c r="S729" t="s">
        <v>9309</v>
      </c>
      <c r="U729" s="27" t="s">
        <v>3629</v>
      </c>
      <c r="V729" t="s">
        <v>193</v>
      </c>
      <c r="W729" t="s">
        <v>9310</v>
      </c>
      <c r="Z729" t="s">
        <v>9311</v>
      </c>
      <c r="AF729" t="s">
        <v>4714</v>
      </c>
      <c r="AG729" t="s">
        <v>9433</v>
      </c>
      <c r="AI729" t="s">
        <v>6955</v>
      </c>
      <c r="AJ729" s="424" t="str">
        <f t="shared" si="33"/>
        <v>251903</v>
      </c>
      <c r="AK729" s="28">
        <v>1</v>
      </c>
      <c r="AL729" s="28">
        <f t="shared" si="35"/>
        <v>1</v>
      </c>
      <c r="AM729" s="28" t="str">
        <f t="shared" si="34"/>
        <v>agora</v>
      </c>
    </row>
    <row r="730" spans="1:39" x14ac:dyDescent="0.25">
      <c r="A730" t="s">
        <v>9522</v>
      </c>
      <c r="B730" t="s">
        <v>9664</v>
      </c>
      <c r="C730" t="s">
        <v>2861</v>
      </c>
      <c r="D730" s="27" t="s">
        <v>9299</v>
      </c>
      <c r="E730" t="s">
        <v>217</v>
      </c>
      <c r="F730" s="421">
        <v>1</v>
      </c>
      <c r="G730" t="s">
        <v>193</v>
      </c>
      <c r="H730" t="s">
        <v>194</v>
      </c>
      <c r="I730" t="s">
        <v>9430</v>
      </c>
      <c r="J730" t="s">
        <v>9524</v>
      </c>
      <c r="K730" t="s">
        <v>9668</v>
      </c>
      <c r="L730" t="s">
        <v>6261</v>
      </c>
      <c r="M730" t="s">
        <v>9436</v>
      </c>
      <c r="N730" t="s">
        <v>9536</v>
      </c>
      <c r="O730" t="s">
        <v>9537</v>
      </c>
      <c r="P730" t="s">
        <v>9669</v>
      </c>
      <c r="Q730" t="s">
        <v>9670</v>
      </c>
      <c r="S730" t="s">
        <v>9309</v>
      </c>
      <c r="U730" s="27" t="s">
        <v>3629</v>
      </c>
      <c r="V730" t="s">
        <v>193</v>
      </c>
      <c r="W730" t="s">
        <v>9310</v>
      </c>
      <c r="Z730" t="s">
        <v>9311</v>
      </c>
      <c r="AF730" t="s">
        <v>4714</v>
      </c>
      <c r="AG730" t="s">
        <v>9433</v>
      </c>
      <c r="AI730" t="s">
        <v>6955</v>
      </c>
      <c r="AJ730" s="424" t="str">
        <f t="shared" si="33"/>
        <v>251903</v>
      </c>
      <c r="AK730" s="28">
        <v>1</v>
      </c>
      <c r="AL730" s="28">
        <f t="shared" si="35"/>
        <v>1</v>
      </c>
      <c r="AM730" s="28" t="str">
        <f t="shared" si="34"/>
        <v>agora</v>
      </c>
    </row>
    <row r="731" spans="1:39" x14ac:dyDescent="0.25">
      <c r="A731" t="s">
        <v>9522</v>
      </c>
      <c r="B731" t="s">
        <v>9664</v>
      </c>
      <c r="C731" t="s">
        <v>2861</v>
      </c>
      <c r="D731" s="27" t="s">
        <v>9299</v>
      </c>
      <c r="E731" t="s">
        <v>217</v>
      </c>
      <c r="F731" s="421">
        <v>1</v>
      </c>
      <c r="G731" t="s">
        <v>193</v>
      </c>
      <c r="H731" t="s">
        <v>194</v>
      </c>
      <c r="I731" t="s">
        <v>9430</v>
      </c>
      <c r="J731" t="s">
        <v>9524</v>
      </c>
      <c r="K731" t="s">
        <v>9671</v>
      </c>
      <c r="L731" t="s">
        <v>6261</v>
      </c>
      <c r="M731" t="s">
        <v>9436</v>
      </c>
      <c r="N731" t="s">
        <v>9536</v>
      </c>
      <c r="O731" t="s">
        <v>9537</v>
      </c>
      <c r="P731" t="s">
        <v>9672</v>
      </c>
      <c r="Q731" t="s">
        <v>9673</v>
      </c>
      <c r="S731" t="s">
        <v>9309</v>
      </c>
      <c r="U731" s="27" t="s">
        <v>3629</v>
      </c>
      <c r="V731" t="s">
        <v>193</v>
      </c>
      <c r="W731" t="s">
        <v>9310</v>
      </c>
      <c r="Z731" t="s">
        <v>9311</v>
      </c>
      <c r="AF731" t="s">
        <v>4714</v>
      </c>
      <c r="AG731" t="s">
        <v>9433</v>
      </c>
      <c r="AI731" t="s">
        <v>6955</v>
      </c>
      <c r="AJ731" s="424" t="str">
        <f t="shared" si="33"/>
        <v>251903</v>
      </c>
      <c r="AK731" s="28">
        <v>1</v>
      </c>
      <c r="AL731" s="28">
        <f t="shared" si="35"/>
        <v>1</v>
      </c>
      <c r="AM731" s="28" t="str">
        <f t="shared" si="34"/>
        <v>agora</v>
      </c>
    </row>
    <row r="732" spans="1:39" x14ac:dyDescent="0.25">
      <c r="A732" t="s">
        <v>9522</v>
      </c>
      <c r="B732" t="s">
        <v>9664</v>
      </c>
      <c r="C732" t="s">
        <v>2861</v>
      </c>
      <c r="D732" s="27" t="s">
        <v>9299</v>
      </c>
      <c r="E732" t="s">
        <v>217</v>
      </c>
      <c r="F732" s="421">
        <v>1</v>
      </c>
      <c r="G732" t="s">
        <v>193</v>
      </c>
      <c r="H732" t="s">
        <v>194</v>
      </c>
      <c r="I732" t="s">
        <v>9430</v>
      </c>
      <c r="J732" t="s">
        <v>9524</v>
      </c>
      <c r="K732" t="s">
        <v>9674</v>
      </c>
      <c r="L732" t="s">
        <v>6261</v>
      </c>
      <c r="M732" t="s">
        <v>9436</v>
      </c>
      <c r="N732" t="s">
        <v>9526</v>
      </c>
      <c r="O732" t="s">
        <v>9461</v>
      </c>
      <c r="P732" t="s">
        <v>9675</v>
      </c>
      <c r="Q732" t="s">
        <v>9676</v>
      </c>
      <c r="S732" t="s">
        <v>9309</v>
      </c>
      <c r="U732" s="27" t="s">
        <v>3629</v>
      </c>
      <c r="V732" t="s">
        <v>193</v>
      </c>
      <c r="W732" t="s">
        <v>9310</v>
      </c>
      <c r="Z732" t="s">
        <v>9311</v>
      </c>
      <c r="AF732" t="s">
        <v>4714</v>
      </c>
      <c r="AG732" t="s">
        <v>9433</v>
      </c>
      <c r="AI732" t="s">
        <v>6955</v>
      </c>
      <c r="AJ732" s="424" t="str">
        <f t="shared" si="33"/>
        <v>251903</v>
      </c>
      <c r="AK732" s="28">
        <v>1</v>
      </c>
      <c r="AL732" s="28">
        <f t="shared" si="35"/>
        <v>1</v>
      </c>
      <c r="AM732" s="28" t="str">
        <f t="shared" si="34"/>
        <v>agora</v>
      </c>
    </row>
    <row r="733" spans="1:39" x14ac:dyDescent="0.25">
      <c r="A733" t="s">
        <v>4591</v>
      </c>
      <c r="B733" t="s">
        <v>12101</v>
      </c>
      <c r="C733" t="s">
        <v>29</v>
      </c>
      <c r="D733" s="27" t="s">
        <v>9437</v>
      </c>
      <c r="E733" t="s">
        <v>192</v>
      </c>
      <c r="F733" s="421">
        <v>1</v>
      </c>
      <c r="G733" t="s">
        <v>193</v>
      </c>
      <c r="H733" t="s">
        <v>194</v>
      </c>
      <c r="I733" t="s">
        <v>9343</v>
      </c>
      <c r="J733" t="s">
        <v>4751</v>
      </c>
      <c r="K733" t="s">
        <v>12102</v>
      </c>
      <c r="L733" t="s">
        <v>6275</v>
      </c>
      <c r="M733" t="s">
        <v>11604</v>
      </c>
      <c r="N733" t="s">
        <v>9536</v>
      </c>
      <c r="O733" t="s">
        <v>9461</v>
      </c>
      <c r="P733" t="s">
        <v>12103</v>
      </c>
      <c r="Q733" t="s">
        <v>12104</v>
      </c>
      <c r="S733" t="s">
        <v>9309</v>
      </c>
      <c r="T733" s="28" t="s">
        <v>9472</v>
      </c>
      <c r="U733" s="27" t="s">
        <v>808</v>
      </c>
      <c r="V733" t="s">
        <v>194</v>
      </c>
      <c r="W733" t="s">
        <v>9300</v>
      </c>
      <c r="Z733" t="s">
        <v>9311</v>
      </c>
      <c r="AF733" t="s">
        <v>4714</v>
      </c>
      <c r="AG733" t="s">
        <v>12101</v>
      </c>
      <c r="AI733" t="s">
        <v>6955</v>
      </c>
      <c r="AJ733" s="424" t="str">
        <f t="shared" si="33"/>
        <v>722308</v>
      </c>
      <c r="AK733" s="28">
        <v>1</v>
      </c>
      <c r="AL733" s="28">
        <f t="shared" si="35"/>
        <v>1</v>
      </c>
      <c r="AM733" s="28" t="str">
        <f t="shared" si="34"/>
        <v>pracuj.pl</v>
      </c>
    </row>
    <row r="734" spans="1:39" x14ac:dyDescent="0.25">
      <c r="A734" t="s">
        <v>10145</v>
      </c>
      <c r="B734" t="s">
        <v>10154</v>
      </c>
      <c r="C734" t="s">
        <v>156</v>
      </c>
      <c r="D734" s="27" t="s">
        <v>9437</v>
      </c>
      <c r="E734" t="s">
        <v>217</v>
      </c>
      <c r="F734" s="421">
        <v>1</v>
      </c>
      <c r="G734" t="s">
        <v>193</v>
      </c>
      <c r="H734" t="s">
        <v>194</v>
      </c>
      <c r="I734" t="s">
        <v>9343</v>
      </c>
      <c r="J734" t="s">
        <v>210</v>
      </c>
      <c r="K734" t="s">
        <v>10155</v>
      </c>
      <c r="L734" t="s">
        <v>6269</v>
      </c>
      <c r="M734" t="s">
        <v>11702</v>
      </c>
      <c r="N734" t="s">
        <v>9536</v>
      </c>
      <c r="O734" t="s">
        <v>9491</v>
      </c>
      <c r="P734" t="s">
        <v>12105</v>
      </c>
      <c r="Q734" t="s">
        <v>12106</v>
      </c>
      <c r="S734" t="s">
        <v>9309</v>
      </c>
      <c r="T734" s="28" t="s">
        <v>9334</v>
      </c>
      <c r="U734" s="27" t="s">
        <v>659</v>
      </c>
      <c r="V734" t="s">
        <v>194</v>
      </c>
      <c r="W734" t="s">
        <v>9300</v>
      </c>
      <c r="Z734" t="s">
        <v>9311</v>
      </c>
      <c r="AF734" t="s">
        <v>4714</v>
      </c>
      <c r="AG734" t="s">
        <v>9433</v>
      </c>
      <c r="AI734" t="s">
        <v>6955</v>
      </c>
      <c r="AJ734" s="424" t="str">
        <f t="shared" si="33"/>
        <v>332302</v>
      </c>
      <c r="AK734" s="28">
        <v>1</v>
      </c>
      <c r="AL734" s="28">
        <f t="shared" si="35"/>
        <v>1</v>
      </c>
      <c r="AM734" s="28" t="str">
        <f t="shared" si="34"/>
        <v>agora</v>
      </c>
    </row>
    <row r="735" spans="1:39" x14ac:dyDescent="0.25">
      <c r="A735" t="s">
        <v>10145</v>
      </c>
      <c r="B735" t="s">
        <v>10165</v>
      </c>
      <c r="C735" t="s">
        <v>886</v>
      </c>
      <c r="D735" s="27" t="s">
        <v>9437</v>
      </c>
      <c r="E735" t="s">
        <v>217</v>
      </c>
      <c r="F735" s="421">
        <v>1</v>
      </c>
      <c r="G735" t="s">
        <v>193</v>
      </c>
      <c r="H735" t="s">
        <v>194</v>
      </c>
      <c r="I735" t="s">
        <v>9343</v>
      </c>
      <c r="J735" t="s">
        <v>210</v>
      </c>
      <c r="K735" t="s">
        <v>10166</v>
      </c>
      <c r="L735" t="s">
        <v>6269</v>
      </c>
      <c r="M735" t="s">
        <v>11702</v>
      </c>
      <c r="N735" t="s">
        <v>10005</v>
      </c>
      <c r="O735" t="s">
        <v>9430</v>
      </c>
      <c r="P735" t="s">
        <v>12107</v>
      </c>
      <c r="Q735" t="s">
        <v>12108</v>
      </c>
      <c r="S735" t="s">
        <v>9309</v>
      </c>
      <c r="T735" s="28" t="s">
        <v>9334</v>
      </c>
      <c r="U735" s="27" t="s">
        <v>887</v>
      </c>
      <c r="V735" t="s">
        <v>194</v>
      </c>
      <c r="W735" t="s">
        <v>9300</v>
      </c>
      <c r="Z735" t="s">
        <v>9311</v>
      </c>
      <c r="AF735" t="s">
        <v>4714</v>
      </c>
      <c r="AG735" t="s">
        <v>9433</v>
      </c>
      <c r="AI735" t="s">
        <v>6955</v>
      </c>
      <c r="AJ735" s="424" t="str">
        <f t="shared" si="33"/>
        <v>834401</v>
      </c>
      <c r="AK735" s="28">
        <v>1</v>
      </c>
      <c r="AL735" s="28">
        <f t="shared" si="35"/>
        <v>1</v>
      </c>
      <c r="AM735" s="28" t="str">
        <f t="shared" si="34"/>
        <v>agora</v>
      </c>
    </row>
    <row r="736" spans="1:39" x14ac:dyDescent="0.25">
      <c r="A736" t="s">
        <v>10145</v>
      </c>
      <c r="B736" t="s">
        <v>10169</v>
      </c>
      <c r="C736" t="s">
        <v>886</v>
      </c>
      <c r="D736" s="27" t="s">
        <v>9437</v>
      </c>
      <c r="E736" t="s">
        <v>217</v>
      </c>
      <c r="F736" s="421">
        <v>1</v>
      </c>
      <c r="G736" t="s">
        <v>193</v>
      </c>
      <c r="H736" t="s">
        <v>194</v>
      </c>
      <c r="I736" t="s">
        <v>9343</v>
      </c>
      <c r="J736" t="s">
        <v>210</v>
      </c>
      <c r="K736" t="s">
        <v>10170</v>
      </c>
      <c r="L736" t="s">
        <v>6269</v>
      </c>
      <c r="M736" t="s">
        <v>11702</v>
      </c>
      <c r="N736" t="s">
        <v>9536</v>
      </c>
      <c r="O736" t="s">
        <v>9491</v>
      </c>
      <c r="P736" t="s">
        <v>12109</v>
      </c>
      <c r="Q736" t="s">
        <v>12110</v>
      </c>
      <c r="S736" t="s">
        <v>9309</v>
      </c>
      <c r="T736" s="28" t="s">
        <v>9334</v>
      </c>
      <c r="U736" s="27" t="s">
        <v>887</v>
      </c>
      <c r="V736" t="s">
        <v>194</v>
      </c>
      <c r="W736" t="s">
        <v>9300</v>
      </c>
      <c r="Z736" t="s">
        <v>9311</v>
      </c>
      <c r="AF736" t="s">
        <v>4714</v>
      </c>
      <c r="AG736" t="s">
        <v>9433</v>
      </c>
      <c r="AI736" t="s">
        <v>6955</v>
      </c>
      <c r="AJ736" s="424" t="str">
        <f t="shared" si="33"/>
        <v>834401</v>
      </c>
      <c r="AK736" s="28">
        <v>1</v>
      </c>
      <c r="AL736" s="28">
        <f t="shared" si="35"/>
        <v>1</v>
      </c>
      <c r="AM736" s="28" t="str">
        <f t="shared" si="34"/>
        <v>agora</v>
      </c>
    </row>
    <row r="737" spans="1:39" x14ac:dyDescent="0.25">
      <c r="A737" t="s">
        <v>10145</v>
      </c>
      <c r="B737" t="s">
        <v>10173</v>
      </c>
      <c r="C737" t="s">
        <v>886</v>
      </c>
      <c r="D737" s="27" t="s">
        <v>9437</v>
      </c>
      <c r="E737" t="s">
        <v>217</v>
      </c>
      <c r="F737" s="421">
        <v>1</v>
      </c>
      <c r="G737" t="s">
        <v>193</v>
      </c>
      <c r="H737" t="s">
        <v>194</v>
      </c>
      <c r="I737" t="s">
        <v>9343</v>
      </c>
      <c r="J737" t="s">
        <v>210</v>
      </c>
      <c r="K737" t="s">
        <v>10174</v>
      </c>
      <c r="L737" t="s">
        <v>6269</v>
      </c>
      <c r="M737" t="s">
        <v>11702</v>
      </c>
      <c r="N737" t="s">
        <v>9536</v>
      </c>
      <c r="O737" t="s">
        <v>9491</v>
      </c>
      <c r="P737" t="s">
        <v>12111</v>
      </c>
      <c r="Q737" t="s">
        <v>12112</v>
      </c>
      <c r="S737" t="s">
        <v>9309</v>
      </c>
      <c r="T737" s="28" t="s">
        <v>9334</v>
      </c>
      <c r="U737" s="27" t="s">
        <v>887</v>
      </c>
      <c r="V737" t="s">
        <v>194</v>
      </c>
      <c r="W737" t="s">
        <v>9300</v>
      </c>
      <c r="Z737" t="s">
        <v>9311</v>
      </c>
      <c r="AF737" t="s">
        <v>4714</v>
      </c>
      <c r="AG737" t="s">
        <v>9433</v>
      </c>
      <c r="AI737" t="s">
        <v>6955</v>
      </c>
      <c r="AJ737" s="424" t="str">
        <f t="shared" si="33"/>
        <v>834401</v>
      </c>
      <c r="AK737" s="28">
        <v>1</v>
      </c>
      <c r="AL737" s="28">
        <f t="shared" si="35"/>
        <v>1</v>
      </c>
      <c r="AM737" s="28" t="str">
        <f t="shared" si="34"/>
        <v>agora</v>
      </c>
    </row>
    <row r="738" spans="1:39" x14ac:dyDescent="0.25">
      <c r="A738" t="s">
        <v>10145</v>
      </c>
      <c r="B738" t="s">
        <v>10192</v>
      </c>
      <c r="C738" t="s">
        <v>17</v>
      </c>
      <c r="D738" s="27" t="s">
        <v>9437</v>
      </c>
      <c r="E738" t="s">
        <v>217</v>
      </c>
      <c r="F738" s="421">
        <v>1</v>
      </c>
      <c r="G738" t="s">
        <v>193</v>
      </c>
      <c r="H738" t="s">
        <v>194</v>
      </c>
      <c r="I738" t="s">
        <v>9369</v>
      </c>
      <c r="J738" t="s">
        <v>210</v>
      </c>
      <c r="K738" t="s">
        <v>10193</v>
      </c>
      <c r="L738" t="s">
        <v>6249</v>
      </c>
      <c r="M738" t="s">
        <v>11702</v>
      </c>
      <c r="N738" t="s">
        <v>10194</v>
      </c>
      <c r="O738" t="s">
        <v>9461</v>
      </c>
      <c r="P738" t="s">
        <v>12113</v>
      </c>
      <c r="Q738" t="s">
        <v>12114</v>
      </c>
      <c r="S738" t="s">
        <v>9309</v>
      </c>
      <c r="T738" s="28" t="s">
        <v>9334</v>
      </c>
      <c r="U738" s="27" t="s">
        <v>624</v>
      </c>
      <c r="V738" t="s">
        <v>194</v>
      </c>
      <c r="W738" t="s">
        <v>9300</v>
      </c>
      <c r="Z738" t="s">
        <v>9311</v>
      </c>
      <c r="AF738" t="s">
        <v>4714</v>
      </c>
      <c r="AG738" t="s">
        <v>9433</v>
      </c>
      <c r="AI738" t="s">
        <v>6955</v>
      </c>
      <c r="AJ738" s="424" t="str">
        <f t="shared" si="33"/>
        <v>332203</v>
      </c>
      <c r="AK738" s="28">
        <v>1</v>
      </c>
      <c r="AL738" s="28">
        <f t="shared" si="35"/>
        <v>1</v>
      </c>
      <c r="AM738" s="28" t="str">
        <f t="shared" si="34"/>
        <v>agora</v>
      </c>
    </row>
    <row r="739" spans="1:39" x14ac:dyDescent="0.25">
      <c r="A739" t="s">
        <v>10145</v>
      </c>
      <c r="B739" t="s">
        <v>10197</v>
      </c>
      <c r="C739" t="s">
        <v>17</v>
      </c>
      <c r="D739" s="27" t="s">
        <v>9437</v>
      </c>
      <c r="E739" t="s">
        <v>217</v>
      </c>
      <c r="F739" s="421">
        <v>1</v>
      </c>
      <c r="G739" t="s">
        <v>193</v>
      </c>
      <c r="H739" t="s">
        <v>194</v>
      </c>
      <c r="I739" t="s">
        <v>9369</v>
      </c>
      <c r="J739" t="s">
        <v>210</v>
      </c>
      <c r="K739" t="s">
        <v>11352</v>
      </c>
      <c r="L739" t="s">
        <v>6286</v>
      </c>
      <c r="M739" t="s">
        <v>11702</v>
      </c>
      <c r="N739" t="s">
        <v>11100</v>
      </c>
      <c r="O739" t="s">
        <v>9299</v>
      </c>
      <c r="P739" t="s">
        <v>12115</v>
      </c>
      <c r="Q739" t="s">
        <v>12116</v>
      </c>
      <c r="S739" t="s">
        <v>9309</v>
      </c>
      <c r="T739" s="28" t="s">
        <v>9334</v>
      </c>
      <c r="U739" s="27" t="s">
        <v>624</v>
      </c>
      <c r="V739" t="s">
        <v>194</v>
      </c>
      <c r="W739" t="s">
        <v>9300</v>
      </c>
      <c r="Z739" t="s">
        <v>9311</v>
      </c>
      <c r="AF739" t="s">
        <v>4714</v>
      </c>
      <c r="AG739" t="s">
        <v>9433</v>
      </c>
      <c r="AI739" t="s">
        <v>6955</v>
      </c>
      <c r="AJ739" s="424" t="str">
        <f t="shared" si="33"/>
        <v>332203</v>
      </c>
      <c r="AK739" s="28">
        <v>1</v>
      </c>
      <c r="AL739" s="28">
        <f t="shared" si="35"/>
        <v>1</v>
      </c>
      <c r="AM739" s="28" t="str">
        <f t="shared" si="34"/>
        <v>agora</v>
      </c>
    </row>
    <row r="740" spans="1:39" x14ac:dyDescent="0.25">
      <c r="A740" t="s">
        <v>10145</v>
      </c>
      <c r="B740" t="s">
        <v>10201</v>
      </c>
      <c r="C740" t="s">
        <v>18</v>
      </c>
      <c r="D740" s="27" t="s">
        <v>9437</v>
      </c>
      <c r="E740" t="s">
        <v>217</v>
      </c>
      <c r="F740" s="421">
        <v>1</v>
      </c>
      <c r="G740" t="s">
        <v>193</v>
      </c>
      <c r="H740" t="s">
        <v>194</v>
      </c>
      <c r="I740" t="s">
        <v>9343</v>
      </c>
      <c r="J740" t="s">
        <v>210</v>
      </c>
      <c r="K740" t="s">
        <v>10202</v>
      </c>
      <c r="L740" t="s">
        <v>6340</v>
      </c>
      <c r="M740" t="s">
        <v>11702</v>
      </c>
      <c r="N740" t="s">
        <v>9719</v>
      </c>
      <c r="O740" t="s">
        <v>9574</v>
      </c>
      <c r="P740" t="s">
        <v>12117</v>
      </c>
      <c r="Q740" t="s">
        <v>12118</v>
      </c>
      <c r="S740" t="s">
        <v>9309</v>
      </c>
      <c r="T740" s="28" t="s">
        <v>9334</v>
      </c>
      <c r="U740" s="27" t="s">
        <v>1476</v>
      </c>
      <c r="V740" t="s">
        <v>194</v>
      </c>
      <c r="W740" t="s">
        <v>9300</v>
      </c>
      <c r="Z740" t="s">
        <v>9311</v>
      </c>
      <c r="AF740" t="s">
        <v>4714</v>
      </c>
      <c r="AG740" t="s">
        <v>9433</v>
      </c>
      <c r="AI740" t="s">
        <v>6955</v>
      </c>
      <c r="AJ740" s="424" t="str">
        <f t="shared" si="33"/>
        <v>242309</v>
      </c>
      <c r="AK740" s="28">
        <v>1</v>
      </c>
      <c r="AL740" s="28">
        <f t="shared" si="35"/>
        <v>1</v>
      </c>
      <c r="AM740" s="28" t="str">
        <f t="shared" si="34"/>
        <v>agora</v>
      </c>
    </row>
    <row r="741" spans="1:39" x14ac:dyDescent="0.25">
      <c r="A741" t="s">
        <v>9522</v>
      </c>
      <c r="B741" t="s">
        <v>9664</v>
      </c>
      <c r="C741" t="s">
        <v>2861</v>
      </c>
      <c r="D741" s="27" t="s">
        <v>9299</v>
      </c>
      <c r="E741" t="s">
        <v>217</v>
      </c>
      <c r="F741" s="421">
        <v>1</v>
      </c>
      <c r="G741" t="s">
        <v>193</v>
      </c>
      <c r="H741" t="s">
        <v>194</v>
      </c>
      <c r="I741" t="s">
        <v>9430</v>
      </c>
      <c r="J741" t="s">
        <v>9524</v>
      </c>
      <c r="K741" t="s">
        <v>9677</v>
      </c>
      <c r="L741" t="s">
        <v>6261</v>
      </c>
      <c r="M741" t="s">
        <v>9436</v>
      </c>
      <c r="N741" t="s">
        <v>9526</v>
      </c>
      <c r="O741" t="s">
        <v>9461</v>
      </c>
      <c r="P741" t="s">
        <v>9678</v>
      </c>
      <c r="Q741" t="s">
        <v>9679</v>
      </c>
      <c r="S741" t="s">
        <v>9309</v>
      </c>
      <c r="U741" s="27" t="s">
        <v>3629</v>
      </c>
      <c r="V741" t="s">
        <v>193</v>
      </c>
      <c r="W741" t="s">
        <v>9310</v>
      </c>
      <c r="Z741" t="s">
        <v>9311</v>
      </c>
      <c r="AF741" t="s">
        <v>4714</v>
      </c>
      <c r="AG741" t="s">
        <v>9433</v>
      </c>
      <c r="AI741" t="s">
        <v>6955</v>
      </c>
      <c r="AJ741" s="424" t="str">
        <f t="shared" si="33"/>
        <v>251903</v>
      </c>
      <c r="AK741" s="28">
        <v>1</v>
      </c>
      <c r="AL741" s="28">
        <f t="shared" si="35"/>
        <v>1</v>
      </c>
      <c r="AM741" s="28" t="str">
        <f t="shared" si="34"/>
        <v>agora</v>
      </c>
    </row>
    <row r="742" spans="1:39" x14ac:dyDescent="0.25">
      <c r="A742" t="s">
        <v>9522</v>
      </c>
      <c r="B742" t="s">
        <v>9664</v>
      </c>
      <c r="C742" t="s">
        <v>2861</v>
      </c>
      <c r="D742" s="27" t="s">
        <v>9299</v>
      </c>
      <c r="E742" t="s">
        <v>217</v>
      </c>
      <c r="F742" s="421">
        <v>1</v>
      </c>
      <c r="G742" t="s">
        <v>193</v>
      </c>
      <c r="H742" t="s">
        <v>194</v>
      </c>
      <c r="I742" t="s">
        <v>9430</v>
      </c>
      <c r="J742" t="s">
        <v>9524</v>
      </c>
      <c r="K742" t="s">
        <v>9680</v>
      </c>
      <c r="L742" t="s">
        <v>6261</v>
      </c>
      <c r="M742" t="s">
        <v>9436</v>
      </c>
      <c r="N742" t="s">
        <v>9526</v>
      </c>
      <c r="O742" t="s">
        <v>9461</v>
      </c>
      <c r="P742" t="s">
        <v>9681</v>
      </c>
      <c r="Q742" t="s">
        <v>9682</v>
      </c>
      <c r="S742" t="s">
        <v>9309</v>
      </c>
      <c r="U742" s="27" t="s">
        <v>3629</v>
      </c>
      <c r="V742" t="s">
        <v>193</v>
      </c>
      <c r="W742" t="s">
        <v>9310</v>
      </c>
      <c r="Z742" t="s">
        <v>9311</v>
      </c>
      <c r="AF742" t="s">
        <v>4714</v>
      </c>
      <c r="AG742" t="s">
        <v>9433</v>
      </c>
      <c r="AI742" t="s">
        <v>6955</v>
      </c>
      <c r="AJ742" s="424" t="str">
        <f t="shared" si="33"/>
        <v>251903</v>
      </c>
      <c r="AK742" s="28">
        <v>1</v>
      </c>
      <c r="AL742" s="28">
        <f t="shared" si="35"/>
        <v>1</v>
      </c>
      <c r="AM742" s="28" t="str">
        <f t="shared" si="34"/>
        <v>agora</v>
      </c>
    </row>
    <row r="743" spans="1:39" x14ac:dyDescent="0.25">
      <c r="A743" t="s">
        <v>10223</v>
      </c>
      <c r="B743" t="s">
        <v>10224</v>
      </c>
      <c r="C743" t="s">
        <v>74</v>
      </c>
      <c r="D743" s="27" t="s">
        <v>9437</v>
      </c>
      <c r="E743" t="s">
        <v>217</v>
      </c>
      <c r="F743" s="421">
        <v>1</v>
      </c>
      <c r="G743" t="s">
        <v>193</v>
      </c>
      <c r="H743" t="s">
        <v>194</v>
      </c>
      <c r="I743" t="s">
        <v>9491</v>
      </c>
      <c r="J743" t="s">
        <v>210</v>
      </c>
      <c r="K743" t="s">
        <v>10225</v>
      </c>
      <c r="L743" t="s">
        <v>6249</v>
      </c>
      <c r="M743" t="s">
        <v>11702</v>
      </c>
      <c r="N743" t="s">
        <v>10226</v>
      </c>
      <c r="O743" t="s">
        <v>9604</v>
      </c>
      <c r="P743" t="s">
        <v>12128</v>
      </c>
      <c r="Q743" t="s">
        <v>12129</v>
      </c>
      <c r="S743" t="s">
        <v>9309</v>
      </c>
      <c r="T743" s="28" t="s">
        <v>9334</v>
      </c>
      <c r="U743" s="27" t="s">
        <v>246</v>
      </c>
      <c r="V743" t="s">
        <v>194</v>
      </c>
      <c r="W743" t="s">
        <v>9300</v>
      </c>
      <c r="Z743" t="s">
        <v>9311</v>
      </c>
      <c r="AF743" t="s">
        <v>4714</v>
      </c>
      <c r="AG743" t="s">
        <v>9433</v>
      </c>
      <c r="AI743" t="s">
        <v>6955</v>
      </c>
      <c r="AJ743" s="424" t="str">
        <f t="shared" si="33"/>
        <v>142004</v>
      </c>
      <c r="AK743" s="28">
        <v>1</v>
      </c>
      <c r="AL743" s="28">
        <f t="shared" si="35"/>
        <v>1</v>
      </c>
      <c r="AM743" s="28" t="str">
        <f t="shared" si="34"/>
        <v>agora</v>
      </c>
    </row>
    <row r="744" spans="1:39" x14ac:dyDescent="0.25">
      <c r="A744" t="s">
        <v>10223</v>
      </c>
      <c r="B744" t="s">
        <v>10229</v>
      </c>
      <c r="C744" t="s">
        <v>51</v>
      </c>
      <c r="D744" s="27" t="s">
        <v>9437</v>
      </c>
      <c r="E744" t="s">
        <v>217</v>
      </c>
      <c r="F744" s="421">
        <v>1</v>
      </c>
      <c r="G744" t="s">
        <v>193</v>
      </c>
      <c r="H744" t="s">
        <v>194</v>
      </c>
      <c r="I744" t="s">
        <v>9343</v>
      </c>
      <c r="J744" t="s">
        <v>210</v>
      </c>
      <c r="K744" t="s">
        <v>10233</v>
      </c>
      <c r="L744" t="s">
        <v>6249</v>
      </c>
      <c r="M744" t="s">
        <v>11702</v>
      </c>
      <c r="N744" t="s">
        <v>10234</v>
      </c>
      <c r="O744" t="s">
        <v>9967</v>
      </c>
      <c r="P744" t="s">
        <v>12130</v>
      </c>
      <c r="Q744" t="s">
        <v>12131</v>
      </c>
      <c r="S744" t="s">
        <v>9309</v>
      </c>
      <c r="T744" s="28" t="s">
        <v>9334</v>
      </c>
      <c r="U744" s="27" t="s">
        <v>904</v>
      </c>
      <c r="V744" t="s">
        <v>194</v>
      </c>
      <c r="W744" t="s">
        <v>9300</v>
      </c>
      <c r="Z744" t="s">
        <v>9311</v>
      </c>
      <c r="AF744" t="s">
        <v>4714</v>
      </c>
      <c r="AG744" t="s">
        <v>9433</v>
      </c>
      <c r="AI744" t="s">
        <v>6955</v>
      </c>
      <c r="AJ744" s="424" t="str">
        <f t="shared" si="33"/>
        <v>523002</v>
      </c>
      <c r="AK744" s="28">
        <v>1</v>
      </c>
      <c r="AL744" s="28">
        <f t="shared" si="35"/>
        <v>1</v>
      </c>
      <c r="AM744" s="28" t="str">
        <f t="shared" si="34"/>
        <v>agora</v>
      </c>
    </row>
    <row r="745" spans="1:39" x14ac:dyDescent="0.25">
      <c r="A745" t="s">
        <v>10223</v>
      </c>
      <c r="B745" t="s">
        <v>10237</v>
      </c>
      <c r="C745" t="s">
        <v>51</v>
      </c>
      <c r="D745" s="27" t="s">
        <v>9437</v>
      </c>
      <c r="E745" t="s">
        <v>217</v>
      </c>
      <c r="F745" s="421">
        <v>1</v>
      </c>
      <c r="G745" t="s">
        <v>193</v>
      </c>
      <c r="H745" t="s">
        <v>194</v>
      </c>
      <c r="I745" t="s">
        <v>9343</v>
      </c>
      <c r="J745" t="s">
        <v>408</v>
      </c>
      <c r="K745" t="s">
        <v>10238</v>
      </c>
      <c r="L745" t="s">
        <v>6249</v>
      </c>
      <c r="M745" t="s">
        <v>11702</v>
      </c>
      <c r="N745" t="s">
        <v>9719</v>
      </c>
      <c r="O745" t="s">
        <v>9574</v>
      </c>
      <c r="P745" t="s">
        <v>12132</v>
      </c>
      <c r="Q745" t="s">
        <v>12133</v>
      </c>
      <c r="S745" t="s">
        <v>9309</v>
      </c>
      <c r="T745" s="28" t="s">
        <v>9479</v>
      </c>
      <c r="U745" s="27" t="s">
        <v>904</v>
      </c>
      <c r="V745" t="s">
        <v>194</v>
      </c>
      <c r="W745" t="s">
        <v>9300</v>
      </c>
      <c r="Z745" t="s">
        <v>9311</v>
      </c>
      <c r="AF745" t="s">
        <v>4714</v>
      </c>
      <c r="AG745" t="s">
        <v>9433</v>
      </c>
      <c r="AI745" t="s">
        <v>6955</v>
      </c>
      <c r="AJ745" s="424" t="str">
        <f t="shared" si="33"/>
        <v>523002</v>
      </c>
      <c r="AK745" s="28">
        <v>1</v>
      </c>
      <c r="AL745" s="28">
        <f t="shared" si="35"/>
        <v>1</v>
      </c>
      <c r="AM745" s="28" t="str">
        <f t="shared" si="34"/>
        <v>agora</v>
      </c>
    </row>
    <row r="746" spans="1:39" x14ac:dyDescent="0.25">
      <c r="A746" t="s">
        <v>10223</v>
      </c>
      <c r="B746" t="s">
        <v>10246</v>
      </c>
      <c r="C746" t="s">
        <v>51</v>
      </c>
      <c r="D746" s="27" t="s">
        <v>9437</v>
      </c>
      <c r="E746" t="s">
        <v>217</v>
      </c>
      <c r="F746" s="421">
        <v>1</v>
      </c>
      <c r="G746" t="s">
        <v>193</v>
      </c>
      <c r="H746" t="s">
        <v>194</v>
      </c>
      <c r="I746" t="s">
        <v>9343</v>
      </c>
      <c r="J746" t="s">
        <v>10242</v>
      </c>
      <c r="K746" t="s">
        <v>10247</v>
      </c>
      <c r="L746" t="s">
        <v>6249</v>
      </c>
      <c r="M746" t="s">
        <v>11702</v>
      </c>
      <c r="N746" t="s">
        <v>10005</v>
      </c>
      <c r="O746" t="s">
        <v>9930</v>
      </c>
      <c r="P746" t="s">
        <v>12134</v>
      </c>
      <c r="Q746" t="s">
        <v>12135</v>
      </c>
      <c r="S746" t="s">
        <v>9309</v>
      </c>
      <c r="T746" s="28" t="s">
        <v>9726</v>
      </c>
      <c r="U746" s="27" t="s">
        <v>904</v>
      </c>
      <c r="V746" t="s">
        <v>194</v>
      </c>
      <c r="W746" t="s">
        <v>9300</v>
      </c>
      <c r="Z746" t="s">
        <v>9311</v>
      </c>
      <c r="AF746" t="s">
        <v>4714</v>
      </c>
      <c r="AG746" t="s">
        <v>9433</v>
      </c>
      <c r="AI746" t="s">
        <v>6955</v>
      </c>
      <c r="AJ746" s="424" t="str">
        <f t="shared" si="33"/>
        <v>523002</v>
      </c>
      <c r="AK746" s="28">
        <v>1</v>
      </c>
      <c r="AL746" s="28">
        <f t="shared" si="35"/>
        <v>1</v>
      </c>
      <c r="AM746" s="28" t="str">
        <f t="shared" si="34"/>
        <v>agora</v>
      </c>
    </row>
    <row r="747" spans="1:39" x14ac:dyDescent="0.25">
      <c r="A747" t="s">
        <v>10223</v>
      </c>
      <c r="B747" t="s">
        <v>10250</v>
      </c>
      <c r="C747" t="s">
        <v>74</v>
      </c>
      <c r="D747" s="27" t="s">
        <v>9437</v>
      </c>
      <c r="E747" t="s">
        <v>217</v>
      </c>
      <c r="F747" s="421">
        <v>1</v>
      </c>
      <c r="G747" t="s">
        <v>193</v>
      </c>
      <c r="H747" t="s">
        <v>194</v>
      </c>
      <c r="I747" t="s">
        <v>9343</v>
      </c>
      <c r="J747" t="s">
        <v>210</v>
      </c>
      <c r="K747" t="s">
        <v>11370</v>
      </c>
      <c r="L747" t="s">
        <v>6249</v>
      </c>
      <c r="M747" t="s">
        <v>11702</v>
      </c>
      <c r="N747" t="s">
        <v>11371</v>
      </c>
      <c r="O747" t="s">
        <v>9305</v>
      </c>
      <c r="P747" t="s">
        <v>12136</v>
      </c>
      <c r="Q747" t="s">
        <v>12137</v>
      </c>
      <c r="S747" t="s">
        <v>9309</v>
      </c>
      <c r="T747" s="28" t="s">
        <v>9334</v>
      </c>
      <c r="U747" s="27" t="s">
        <v>246</v>
      </c>
      <c r="V747" t="s">
        <v>194</v>
      </c>
      <c r="W747" t="s">
        <v>9300</v>
      </c>
      <c r="Z747" t="s">
        <v>9311</v>
      </c>
      <c r="AF747" t="s">
        <v>4714</v>
      </c>
      <c r="AG747" t="s">
        <v>9433</v>
      </c>
      <c r="AI747" t="s">
        <v>6955</v>
      </c>
      <c r="AJ747" s="424" t="str">
        <f t="shared" si="33"/>
        <v>142004</v>
      </c>
      <c r="AK747" s="28">
        <v>1</v>
      </c>
      <c r="AL747" s="28">
        <f t="shared" si="35"/>
        <v>1</v>
      </c>
      <c r="AM747" s="28" t="str">
        <f t="shared" si="34"/>
        <v>agora</v>
      </c>
    </row>
    <row r="748" spans="1:39" x14ac:dyDescent="0.25">
      <c r="A748" t="s">
        <v>10223</v>
      </c>
      <c r="B748" t="s">
        <v>10254</v>
      </c>
      <c r="C748" t="s">
        <v>3703</v>
      </c>
      <c r="D748" s="27" t="s">
        <v>9437</v>
      </c>
      <c r="E748" t="s">
        <v>217</v>
      </c>
      <c r="F748" s="421">
        <v>1</v>
      </c>
      <c r="G748" t="s">
        <v>193</v>
      </c>
      <c r="H748" t="s">
        <v>194</v>
      </c>
      <c r="I748" t="s">
        <v>9369</v>
      </c>
      <c r="J748" t="s">
        <v>210</v>
      </c>
      <c r="K748" t="s">
        <v>10255</v>
      </c>
      <c r="L748" t="s">
        <v>6249</v>
      </c>
      <c r="M748" t="s">
        <v>11702</v>
      </c>
      <c r="N748" t="s">
        <v>9929</v>
      </c>
      <c r="O748" t="s">
        <v>9930</v>
      </c>
      <c r="P748" t="s">
        <v>12138</v>
      </c>
      <c r="Q748" t="s">
        <v>12139</v>
      </c>
      <c r="S748" t="s">
        <v>9309</v>
      </c>
      <c r="T748" s="28" t="s">
        <v>9334</v>
      </c>
      <c r="U748" s="27" t="s">
        <v>3704</v>
      </c>
      <c r="V748" t="s">
        <v>194</v>
      </c>
      <c r="W748" t="s">
        <v>9300</v>
      </c>
      <c r="Z748" t="s">
        <v>9311</v>
      </c>
      <c r="AF748" t="s">
        <v>4714</v>
      </c>
      <c r="AG748" t="s">
        <v>9433</v>
      </c>
      <c r="AI748" t="s">
        <v>6955</v>
      </c>
      <c r="AJ748" s="424" t="str">
        <f t="shared" si="33"/>
        <v>522302</v>
      </c>
      <c r="AK748" s="28">
        <v>1</v>
      </c>
      <c r="AL748" s="28">
        <f t="shared" si="35"/>
        <v>1</v>
      </c>
      <c r="AM748" s="28" t="str">
        <f t="shared" si="34"/>
        <v>agora</v>
      </c>
    </row>
    <row r="749" spans="1:39" x14ac:dyDescent="0.25">
      <c r="A749" t="s">
        <v>10223</v>
      </c>
      <c r="B749" t="s">
        <v>10258</v>
      </c>
      <c r="C749" t="s">
        <v>3703</v>
      </c>
      <c r="D749" s="27" t="s">
        <v>9437</v>
      </c>
      <c r="E749" t="s">
        <v>217</v>
      </c>
      <c r="F749" s="421">
        <v>1</v>
      </c>
      <c r="G749" t="s">
        <v>193</v>
      </c>
      <c r="H749" t="s">
        <v>194</v>
      </c>
      <c r="I749" t="s">
        <v>9491</v>
      </c>
      <c r="J749" t="s">
        <v>210</v>
      </c>
      <c r="K749" t="s">
        <v>10259</v>
      </c>
      <c r="L749" t="s">
        <v>6249</v>
      </c>
      <c r="M749" t="s">
        <v>11702</v>
      </c>
      <c r="N749" t="s">
        <v>10226</v>
      </c>
      <c r="O749" t="s">
        <v>9604</v>
      </c>
      <c r="P749" t="s">
        <v>12140</v>
      </c>
      <c r="Q749" t="s">
        <v>12141</v>
      </c>
      <c r="S749" t="s">
        <v>9309</v>
      </c>
      <c r="T749" s="28" t="s">
        <v>9334</v>
      </c>
      <c r="U749" s="27" t="s">
        <v>3704</v>
      </c>
      <c r="V749" t="s">
        <v>194</v>
      </c>
      <c r="W749" t="s">
        <v>9300</v>
      </c>
      <c r="Z749" t="s">
        <v>9311</v>
      </c>
      <c r="AF749" t="s">
        <v>4714</v>
      </c>
      <c r="AG749" t="s">
        <v>9433</v>
      </c>
      <c r="AI749" t="s">
        <v>6955</v>
      </c>
      <c r="AJ749" s="424" t="str">
        <f t="shared" si="33"/>
        <v>522302</v>
      </c>
      <c r="AK749" s="28">
        <v>1</v>
      </c>
      <c r="AL749" s="28">
        <f t="shared" si="35"/>
        <v>1</v>
      </c>
      <c r="AM749" s="28" t="str">
        <f t="shared" si="34"/>
        <v>agora</v>
      </c>
    </row>
    <row r="750" spans="1:39" x14ac:dyDescent="0.25">
      <c r="A750" t="s">
        <v>10223</v>
      </c>
      <c r="B750" t="s">
        <v>10262</v>
      </c>
      <c r="C750" t="s">
        <v>74</v>
      </c>
      <c r="D750" s="27" t="s">
        <v>9437</v>
      </c>
      <c r="E750" t="s">
        <v>217</v>
      </c>
      <c r="F750" s="421">
        <v>1</v>
      </c>
      <c r="G750" t="s">
        <v>193</v>
      </c>
      <c r="H750" t="s">
        <v>194</v>
      </c>
      <c r="I750" t="s">
        <v>9491</v>
      </c>
      <c r="J750" t="s">
        <v>210</v>
      </c>
      <c r="K750" t="s">
        <v>10263</v>
      </c>
      <c r="L750" t="s">
        <v>6249</v>
      </c>
      <c r="M750" t="s">
        <v>11702</v>
      </c>
      <c r="N750" t="s">
        <v>10234</v>
      </c>
      <c r="O750" t="s">
        <v>9967</v>
      </c>
      <c r="P750" t="s">
        <v>12142</v>
      </c>
      <c r="Q750" t="s">
        <v>12143</v>
      </c>
      <c r="S750" t="s">
        <v>9309</v>
      </c>
      <c r="T750" s="28" t="s">
        <v>9334</v>
      </c>
      <c r="U750" s="27" t="s">
        <v>246</v>
      </c>
      <c r="V750" t="s">
        <v>194</v>
      </c>
      <c r="W750" t="s">
        <v>9300</v>
      </c>
      <c r="Z750" t="s">
        <v>9311</v>
      </c>
      <c r="AF750" t="s">
        <v>4714</v>
      </c>
      <c r="AG750" t="s">
        <v>9433</v>
      </c>
      <c r="AI750" t="s">
        <v>6955</v>
      </c>
      <c r="AJ750" s="424" t="str">
        <f t="shared" si="33"/>
        <v>142004</v>
      </c>
      <c r="AK750" s="28">
        <v>1</v>
      </c>
      <c r="AL750" s="28">
        <f t="shared" si="35"/>
        <v>1</v>
      </c>
      <c r="AM750" s="28" t="str">
        <f t="shared" si="34"/>
        <v>agora</v>
      </c>
    </row>
    <row r="751" spans="1:39" x14ac:dyDescent="0.25">
      <c r="A751" t="s">
        <v>10266</v>
      </c>
      <c r="B751" t="s">
        <v>614</v>
      </c>
      <c r="C751" t="s">
        <v>111</v>
      </c>
      <c r="D751" s="27" t="s">
        <v>9437</v>
      </c>
      <c r="E751" t="s">
        <v>217</v>
      </c>
      <c r="F751" s="421">
        <v>1</v>
      </c>
      <c r="G751" t="s">
        <v>193</v>
      </c>
      <c r="H751" t="s">
        <v>194</v>
      </c>
      <c r="I751" t="s">
        <v>9461</v>
      </c>
      <c r="J751" t="s">
        <v>285</v>
      </c>
      <c r="K751" t="s">
        <v>11380</v>
      </c>
      <c r="L751" t="s">
        <v>8339</v>
      </c>
      <c r="M751" t="s">
        <v>11599</v>
      </c>
      <c r="N751" t="s">
        <v>11381</v>
      </c>
      <c r="O751" t="s">
        <v>10767</v>
      </c>
      <c r="P751" t="s">
        <v>12144</v>
      </c>
      <c r="Q751" t="s">
        <v>12145</v>
      </c>
      <c r="S751" t="s">
        <v>9309</v>
      </c>
      <c r="T751" s="28" t="s">
        <v>9518</v>
      </c>
      <c r="U751" s="27" t="s">
        <v>612</v>
      </c>
      <c r="V751" t="s">
        <v>194</v>
      </c>
      <c r="W751" t="s">
        <v>9300</v>
      </c>
      <c r="Z751" t="s">
        <v>9311</v>
      </c>
      <c r="AF751" t="s">
        <v>4714</v>
      </c>
      <c r="AG751" t="s">
        <v>111</v>
      </c>
      <c r="AI751" t="s">
        <v>6955</v>
      </c>
      <c r="AJ751" s="424" t="str">
        <f t="shared" si="33"/>
        <v>332101</v>
      </c>
      <c r="AK751" s="28">
        <v>1</v>
      </c>
      <c r="AL751" s="28">
        <f t="shared" si="35"/>
        <v>1</v>
      </c>
      <c r="AM751" s="28" t="str">
        <f t="shared" si="34"/>
        <v>agora</v>
      </c>
    </row>
    <row r="752" spans="1:39" x14ac:dyDescent="0.25">
      <c r="A752" t="s">
        <v>10266</v>
      </c>
      <c r="B752" t="s">
        <v>614</v>
      </c>
      <c r="C752" t="s">
        <v>111</v>
      </c>
      <c r="D752" s="27" t="s">
        <v>9437</v>
      </c>
      <c r="E752" t="s">
        <v>217</v>
      </c>
      <c r="F752" s="421">
        <v>1</v>
      </c>
      <c r="G752" t="s">
        <v>193</v>
      </c>
      <c r="H752" t="s">
        <v>194</v>
      </c>
      <c r="I752" t="s">
        <v>9461</v>
      </c>
      <c r="J752" t="s">
        <v>253</v>
      </c>
      <c r="K752" t="s">
        <v>11384</v>
      </c>
      <c r="L752" t="s">
        <v>8339</v>
      </c>
      <c r="M752" t="s">
        <v>11599</v>
      </c>
      <c r="N752" t="s">
        <v>11385</v>
      </c>
      <c r="O752" t="s">
        <v>9486</v>
      </c>
      <c r="P752" t="s">
        <v>12146</v>
      </c>
      <c r="Q752" t="s">
        <v>12147</v>
      </c>
      <c r="S752" t="s">
        <v>9309</v>
      </c>
      <c r="T752" s="28" t="s">
        <v>9468</v>
      </c>
      <c r="U752" s="27" t="s">
        <v>612</v>
      </c>
      <c r="V752" t="s">
        <v>194</v>
      </c>
      <c r="W752" t="s">
        <v>9300</v>
      </c>
      <c r="Z752" t="s">
        <v>9311</v>
      </c>
      <c r="AF752" t="s">
        <v>4714</v>
      </c>
      <c r="AG752" t="s">
        <v>111</v>
      </c>
      <c r="AI752" t="s">
        <v>6955</v>
      </c>
      <c r="AJ752" s="424" t="str">
        <f t="shared" si="33"/>
        <v>332101</v>
      </c>
      <c r="AK752" s="28">
        <v>1</v>
      </c>
      <c r="AL752" s="28">
        <f t="shared" si="35"/>
        <v>1</v>
      </c>
      <c r="AM752" s="28" t="str">
        <f t="shared" si="34"/>
        <v>agora</v>
      </c>
    </row>
    <row r="753" spans="1:39" x14ac:dyDescent="0.25">
      <c r="A753" t="s">
        <v>10266</v>
      </c>
      <c r="B753" t="s">
        <v>614</v>
      </c>
      <c r="C753" t="s">
        <v>111</v>
      </c>
      <c r="D753" s="27" t="s">
        <v>9437</v>
      </c>
      <c r="E753" t="s">
        <v>217</v>
      </c>
      <c r="F753" s="421">
        <v>1</v>
      </c>
      <c r="G753" t="s">
        <v>193</v>
      </c>
      <c r="H753" t="s">
        <v>194</v>
      </c>
      <c r="I753" t="s">
        <v>9461</v>
      </c>
      <c r="J753" t="s">
        <v>385</v>
      </c>
      <c r="K753" t="s">
        <v>11388</v>
      </c>
      <c r="L753" t="s">
        <v>8339</v>
      </c>
      <c r="M753" t="s">
        <v>11599</v>
      </c>
      <c r="N753" t="s">
        <v>9966</v>
      </c>
      <c r="O753" t="s">
        <v>10757</v>
      </c>
      <c r="P753" t="s">
        <v>12148</v>
      </c>
      <c r="Q753" t="s">
        <v>12149</v>
      </c>
      <c r="S753" t="s">
        <v>9309</v>
      </c>
      <c r="T753" s="28" t="s">
        <v>9410</v>
      </c>
      <c r="U753" s="27" t="s">
        <v>612</v>
      </c>
      <c r="V753" t="s">
        <v>194</v>
      </c>
      <c r="W753" t="s">
        <v>9300</v>
      </c>
      <c r="Z753" t="s">
        <v>9311</v>
      </c>
      <c r="AF753" t="s">
        <v>4714</v>
      </c>
      <c r="AG753" t="s">
        <v>111</v>
      </c>
      <c r="AI753" t="s">
        <v>6955</v>
      </c>
      <c r="AJ753" s="424" t="str">
        <f t="shared" si="33"/>
        <v>332101</v>
      </c>
      <c r="AK753" s="28">
        <v>1</v>
      </c>
      <c r="AL753" s="28">
        <f t="shared" si="35"/>
        <v>1</v>
      </c>
      <c r="AM753" s="28" t="str">
        <f t="shared" si="34"/>
        <v>agora</v>
      </c>
    </row>
    <row r="754" spans="1:39" x14ac:dyDescent="0.25">
      <c r="A754" t="s">
        <v>10266</v>
      </c>
      <c r="B754" t="s">
        <v>614</v>
      </c>
      <c r="C754" t="s">
        <v>111</v>
      </c>
      <c r="D754" s="27" t="s">
        <v>9437</v>
      </c>
      <c r="E754" t="s">
        <v>217</v>
      </c>
      <c r="F754" s="421">
        <v>1</v>
      </c>
      <c r="G754" t="s">
        <v>193</v>
      </c>
      <c r="H754" t="s">
        <v>194</v>
      </c>
      <c r="I754" t="s">
        <v>9461</v>
      </c>
      <c r="J754" t="s">
        <v>962</v>
      </c>
      <c r="K754" t="s">
        <v>11391</v>
      </c>
      <c r="L754" t="s">
        <v>8339</v>
      </c>
      <c r="M754" t="s">
        <v>11599</v>
      </c>
      <c r="N754" t="s">
        <v>11385</v>
      </c>
      <c r="O754" t="s">
        <v>9486</v>
      </c>
      <c r="P754" t="s">
        <v>12150</v>
      </c>
      <c r="Q754" t="s">
        <v>12151</v>
      </c>
      <c r="S754" t="s">
        <v>9309</v>
      </c>
      <c r="T754" s="28" t="s">
        <v>11394</v>
      </c>
      <c r="U754" s="27" t="s">
        <v>612</v>
      </c>
      <c r="V754" t="s">
        <v>194</v>
      </c>
      <c r="W754" t="s">
        <v>9300</v>
      </c>
      <c r="Z754" t="s">
        <v>9311</v>
      </c>
      <c r="AF754" t="s">
        <v>4714</v>
      </c>
      <c r="AG754" t="s">
        <v>111</v>
      </c>
      <c r="AI754" t="s">
        <v>6955</v>
      </c>
      <c r="AJ754" s="424" t="str">
        <f t="shared" si="33"/>
        <v>332101</v>
      </c>
      <c r="AK754" s="28">
        <v>1</v>
      </c>
      <c r="AL754" s="28">
        <f t="shared" si="35"/>
        <v>1</v>
      </c>
      <c r="AM754" s="28" t="str">
        <f t="shared" si="34"/>
        <v>agora</v>
      </c>
    </row>
    <row r="755" spans="1:39" x14ac:dyDescent="0.25">
      <c r="A755" t="s">
        <v>10266</v>
      </c>
      <c r="B755" t="s">
        <v>614</v>
      </c>
      <c r="C755" t="s">
        <v>111</v>
      </c>
      <c r="D755" s="27" t="s">
        <v>9437</v>
      </c>
      <c r="E755" t="s">
        <v>217</v>
      </c>
      <c r="F755" s="421">
        <v>1</v>
      </c>
      <c r="G755" t="s">
        <v>193</v>
      </c>
      <c r="H755" t="s">
        <v>194</v>
      </c>
      <c r="I755" t="s">
        <v>9461</v>
      </c>
      <c r="J755" t="s">
        <v>276</v>
      </c>
      <c r="K755" t="s">
        <v>11397</v>
      </c>
      <c r="L755" t="s">
        <v>8339</v>
      </c>
      <c r="M755" t="s">
        <v>11599</v>
      </c>
      <c r="N755" t="s">
        <v>11381</v>
      </c>
      <c r="O755" t="s">
        <v>10767</v>
      </c>
      <c r="P755" t="s">
        <v>12152</v>
      </c>
      <c r="Q755" t="s">
        <v>12153</v>
      </c>
      <c r="S755" t="s">
        <v>9309</v>
      </c>
      <c r="T755" s="28" t="s">
        <v>9786</v>
      </c>
      <c r="U755" s="27" t="s">
        <v>612</v>
      </c>
      <c r="V755" t="s">
        <v>194</v>
      </c>
      <c r="W755" t="s">
        <v>9300</v>
      </c>
      <c r="Z755" t="s">
        <v>9311</v>
      </c>
      <c r="AF755" t="s">
        <v>4714</v>
      </c>
      <c r="AG755" t="s">
        <v>111</v>
      </c>
      <c r="AI755" t="s">
        <v>6955</v>
      </c>
      <c r="AJ755" s="424" t="str">
        <f t="shared" si="33"/>
        <v>332101</v>
      </c>
      <c r="AK755" s="28">
        <v>1</v>
      </c>
      <c r="AL755" s="28">
        <f t="shared" si="35"/>
        <v>1</v>
      </c>
      <c r="AM755" s="28" t="str">
        <f t="shared" si="34"/>
        <v>agora</v>
      </c>
    </row>
    <row r="756" spans="1:39" x14ac:dyDescent="0.25">
      <c r="A756" t="s">
        <v>5393</v>
      </c>
      <c r="B756" t="s">
        <v>614</v>
      </c>
      <c r="C756" t="s">
        <v>111</v>
      </c>
      <c r="D756" s="27" t="s">
        <v>9437</v>
      </c>
      <c r="E756" t="s">
        <v>192</v>
      </c>
      <c r="F756" s="421">
        <v>1</v>
      </c>
      <c r="G756" t="s">
        <v>193</v>
      </c>
      <c r="H756" t="s">
        <v>194</v>
      </c>
      <c r="I756" t="s">
        <v>9461</v>
      </c>
      <c r="J756" t="s">
        <v>3148</v>
      </c>
      <c r="K756" t="s">
        <v>12154</v>
      </c>
      <c r="L756" t="s">
        <v>6254</v>
      </c>
      <c r="M756" t="s">
        <v>11599</v>
      </c>
      <c r="N756" t="s">
        <v>9536</v>
      </c>
      <c r="O756" t="s">
        <v>9461</v>
      </c>
      <c r="P756" t="s">
        <v>12155</v>
      </c>
      <c r="Q756" t="s">
        <v>12156</v>
      </c>
      <c r="S756" t="s">
        <v>9309</v>
      </c>
      <c r="T756" s="28" t="s">
        <v>9892</v>
      </c>
      <c r="U756" s="27" t="s">
        <v>612</v>
      </c>
      <c r="V756" t="s">
        <v>194</v>
      </c>
      <c r="W756" t="s">
        <v>9300</v>
      </c>
      <c r="Z756" t="s">
        <v>9311</v>
      </c>
      <c r="AF756" t="s">
        <v>4714</v>
      </c>
      <c r="AG756" t="s">
        <v>111</v>
      </c>
      <c r="AI756" t="s">
        <v>6955</v>
      </c>
      <c r="AJ756" s="424" t="str">
        <f t="shared" si="33"/>
        <v>332101</v>
      </c>
      <c r="AK756" s="28">
        <v>1</v>
      </c>
      <c r="AL756" s="28">
        <f t="shared" si="35"/>
        <v>1</v>
      </c>
      <c r="AM756" s="28" t="str">
        <f t="shared" si="34"/>
        <v>pracuj.pl</v>
      </c>
    </row>
    <row r="757" spans="1:39" x14ac:dyDescent="0.25">
      <c r="A757" t="s">
        <v>5393</v>
      </c>
      <c r="B757" t="s">
        <v>5509</v>
      </c>
      <c r="C757" t="s">
        <v>778</v>
      </c>
      <c r="D757" s="27" t="s">
        <v>9437</v>
      </c>
      <c r="E757" t="s">
        <v>192</v>
      </c>
      <c r="F757" s="421">
        <v>1</v>
      </c>
      <c r="G757" t="s">
        <v>193</v>
      </c>
      <c r="H757" t="s">
        <v>194</v>
      </c>
      <c r="I757" t="s">
        <v>9369</v>
      </c>
      <c r="J757" t="s">
        <v>3148</v>
      </c>
      <c r="K757" t="s">
        <v>12157</v>
      </c>
      <c r="L757" t="s">
        <v>6254</v>
      </c>
      <c r="M757" t="s">
        <v>11604</v>
      </c>
      <c r="N757" t="s">
        <v>9536</v>
      </c>
      <c r="O757" t="s">
        <v>9461</v>
      </c>
      <c r="P757" t="s">
        <v>12158</v>
      </c>
      <c r="Q757" t="s">
        <v>12159</v>
      </c>
      <c r="S757" t="s">
        <v>9309</v>
      </c>
      <c r="T757" s="28" t="s">
        <v>9892</v>
      </c>
      <c r="U757" s="27" t="s">
        <v>779</v>
      </c>
      <c r="V757" t="s">
        <v>194</v>
      </c>
      <c r="W757" t="s">
        <v>9300</v>
      </c>
      <c r="Z757" t="s">
        <v>9311</v>
      </c>
      <c r="AF757" t="s">
        <v>4714</v>
      </c>
      <c r="AG757" t="s">
        <v>5509</v>
      </c>
      <c r="AI757" t="s">
        <v>6955</v>
      </c>
      <c r="AJ757" s="424" t="str">
        <f t="shared" si="33"/>
        <v>524902</v>
      </c>
      <c r="AK757" s="28">
        <v>1</v>
      </c>
      <c r="AL757" s="28">
        <f t="shared" si="35"/>
        <v>1</v>
      </c>
      <c r="AM757" s="28" t="str">
        <f t="shared" si="34"/>
        <v>pracuj.pl</v>
      </c>
    </row>
    <row r="758" spans="1:39" x14ac:dyDescent="0.25">
      <c r="A758" t="s">
        <v>11415</v>
      </c>
      <c r="B758" t="s">
        <v>8016</v>
      </c>
      <c r="C758" t="s">
        <v>99</v>
      </c>
      <c r="D758" s="27" t="s">
        <v>9437</v>
      </c>
      <c r="E758" t="s">
        <v>217</v>
      </c>
      <c r="F758" s="421">
        <v>1</v>
      </c>
      <c r="G758" t="s">
        <v>193</v>
      </c>
      <c r="H758" t="s">
        <v>194</v>
      </c>
      <c r="I758" t="s">
        <v>9369</v>
      </c>
      <c r="J758" t="s">
        <v>210</v>
      </c>
      <c r="K758" t="s">
        <v>11416</v>
      </c>
      <c r="L758" t="s">
        <v>6286</v>
      </c>
      <c r="M758" t="s">
        <v>11702</v>
      </c>
      <c r="N758" t="s">
        <v>10226</v>
      </c>
      <c r="O758" t="s">
        <v>10757</v>
      </c>
      <c r="P758" t="s">
        <v>12160</v>
      </c>
      <c r="Q758" t="s">
        <v>12161</v>
      </c>
      <c r="S758" t="s">
        <v>9309</v>
      </c>
      <c r="T758" s="28" t="s">
        <v>9334</v>
      </c>
      <c r="U758" s="27" t="s">
        <v>2421</v>
      </c>
      <c r="V758" t="s">
        <v>194</v>
      </c>
      <c r="W758" t="s">
        <v>9300</v>
      </c>
      <c r="Z758" t="s">
        <v>9311</v>
      </c>
      <c r="AF758" t="s">
        <v>4714</v>
      </c>
      <c r="AG758" t="s">
        <v>9433</v>
      </c>
      <c r="AI758" t="s">
        <v>6955</v>
      </c>
      <c r="AJ758" s="424" t="str">
        <f t="shared" si="33"/>
        <v>412001</v>
      </c>
      <c r="AK758" s="28">
        <v>1</v>
      </c>
      <c r="AL758" s="28">
        <f t="shared" si="35"/>
        <v>1</v>
      </c>
      <c r="AM758" s="28" t="str">
        <f t="shared" si="34"/>
        <v>agora</v>
      </c>
    </row>
    <row r="759" spans="1:39" x14ac:dyDescent="0.25">
      <c r="A759" t="s">
        <v>12162</v>
      </c>
      <c r="B759" t="s">
        <v>12163</v>
      </c>
      <c r="C759" t="s">
        <v>17</v>
      </c>
      <c r="D759" s="27" t="s">
        <v>9437</v>
      </c>
      <c r="E759" t="s">
        <v>192</v>
      </c>
      <c r="F759" s="421">
        <v>1</v>
      </c>
      <c r="G759" t="s">
        <v>193</v>
      </c>
      <c r="H759" t="s">
        <v>194</v>
      </c>
      <c r="I759" t="s">
        <v>9369</v>
      </c>
      <c r="J759" t="s">
        <v>9302</v>
      </c>
      <c r="K759" t="s">
        <v>12164</v>
      </c>
      <c r="L759" t="s">
        <v>6324</v>
      </c>
      <c r="M759" t="s">
        <v>11604</v>
      </c>
      <c r="N759" t="s">
        <v>9536</v>
      </c>
      <c r="O759" t="s">
        <v>9461</v>
      </c>
      <c r="P759" t="s">
        <v>12165</v>
      </c>
      <c r="Q759" t="s">
        <v>12166</v>
      </c>
      <c r="S759" t="s">
        <v>9309</v>
      </c>
      <c r="U759" s="27" t="s">
        <v>624</v>
      </c>
      <c r="V759" t="s">
        <v>193</v>
      </c>
      <c r="W759" t="s">
        <v>9310</v>
      </c>
      <c r="Z759" t="s">
        <v>9311</v>
      </c>
      <c r="AF759" t="s">
        <v>4714</v>
      </c>
      <c r="AG759" t="s">
        <v>12163</v>
      </c>
      <c r="AI759" t="s">
        <v>6955</v>
      </c>
      <c r="AJ759" s="424" t="str">
        <f t="shared" si="33"/>
        <v>332203</v>
      </c>
      <c r="AK759" s="28">
        <v>1</v>
      </c>
      <c r="AL759" s="28">
        <f t="shared" si="35"/>
        <v>1</v>
      </c>
      <c r="AM759" s="28" t="str">
        <f t="shared" si="34"/>
        <v>pracuj.pl</v>
      </c>
    </row>
    <row r="760" spans="1:39" x14ac:dyDescent="0.25">
      <c r="A760" t="s">
        <v>12167</v>
      </c>
      <c r="B760" t="s">
        <v>12168</v>
      </c>
      <c r="C760" t="s">
        <v>19</v>
      </c>
      <c r="D760" s="27" t="s">
        <v>9437</v>
      </c>
      <c r="E760" t="s">
        <v>233</v>
      </c>
      <c r="F760" s="421">
        <v>1</v>
      </c>
      <c r="G760" t="s">
        <v>193</v>
      </c>
      <c r="H760" t="s">
        <v>194</v>
      </c>
      <c r="I760" t="s">
        <v>11608</v>
      </c>
      <c r="J760" t="s">
        <v>9302</v>
      </c>
      <c r="K760" t="s">
        <v>12169</v>
      </c>
      <c r="L760" t="s">
        <v>6261</v>
      </c>
      <c r="M760" t="s">
        <v>11670</v>
      </c>
      <c r="N760" t="s">
        <v>10005</v>
      </c>
      <c r="O760" t="s">
        <v>12170</v>
      </c>
      <c r="P760" t="s">
        <v>12171</v>
      </c>
      <c r="Q760" t="s">
        <v>12172</v>
      </c>
      <c r="S760" t="s">
        <v>9309</v>
      </c>
      <c r="U760" s="27" t="s">
        <v>337</v>
      </c>
      <c r="V760" t="s">
        <v>193</v>
      </c>
      <c r="W760" t="s">
        <v>9310</v>
      </c>
      <c r="Z760" t="s">
        <v>9311</v>
      </c>
      <c r="AF760" t="s">
        <v>4714</v>
      </c>
      <c r="AG760" t="s">
        <v>12168</v>
      </c>
      <c r="AI760" t="s">
        <v>6955</v>
      </c>
      <c r="AJ760" s="424" t="str">
        <f t="shared" si="33"/>
        <v>214903</v>
      </c>
      <c r="AK760" s="28">
        <v>1</v>
      </c>
      <c r="AL760" s="28">
        <f t="shared" si="35"/>
        <v>1</v>
      </c>
      <c r="AM760" s="28" t="str">
        <f t="shared" si="34"/>
        <v>praca</v>
      </c>
    </row>
    <row r="761" spans="1:39" x14ac:dyDescent="0.25">
      <c r="A761" t="s">
        <v>9522</v>
      </c>
      <c r="B761" t="s">
        <v>9664</v>
      </c>
      <c r="C761" t="s">
        <v>2861</v>
      </c>
      <c r="D761" s="27" t="s">
        <v>9299</v>
      </c>
      <c r="E761" t="s">
        <v>217</v>
      </c>
      <c r="F761" s="421">
        <v>1</v>
      </c>
      <c r="G761" t="s">
        <v>193</v>
      </c>
      <c r="H761" t="s">
        <v>194</v>
      </c>
      <c r="I761" t="s">
        <v>9430</v>
      </c>
      <c r="J761" t="s">
        <v>9524</v>
      </c>
      <c r="K761" t="s">
        <v>9683</v>
      </c>
      <c r="L761" t="s">
        <v>6261</v>
      </c>
      <c r="M761" t="s">
        <v>9428</v>
      </c>
      <c r="N761" t="s">
        <v>9526</v>
      </c>
      <c r="O761" t="s">
        <v>9461</v>
      </c>
      <c r="P761" t="s">
        <v>9684</v>
      </c>
      <c r="Q761" t="s">
        <v>9685</v>
      </c>
      <c r="S761" t="s">
        <v>9309</v>
      </c>
      <c r="U761" s="27" t="s">
        <v>3629</v>
      </c>
      <c r="V761" t="s">
        <v>193</v>
      </c>
      <c r="W761" t="s">
        <v>9310</v>
      </c>
      <c r="Z761" t="s">
        <v>9311</v>
      </c>
      <c r="AF761" t="s">
        <v>4714</v>
      </c>
      <c r="AG761" t="s">
        <v>9433</v>
      </c>
      <c r="AI761" t="s">
        <v>6955</v>
      </c>
      <c r="AJ761" s="424" t="str">
        <f t="shared" si="33"/>
        <v>251903</v>
      </c>
      <c r="AK761" s="28">
        <v>1</v>
      </c>
      <c r="AL761" s="28">
        <f t="shared" si="35"/>
        <v>1</v>
      </c>
      <c r="AM761" s="28" t="str">
        <f t="shared" si="34"/>
        <v>agora</v>
      </c>
    </row>
    <row r="762" spans="1:39" x14ac:dyDescent="0.25">
      <c r="A762" t="s">
        <v>9522</v>
      </c>
      <c r="B762" t="s">
        <v>9664</v>
      </c>
      <c r="C762" t="s">
        <v>2861</v>
      </c>
      <c r="D762" s="27" t="s">
        <v>9299</v>
      </c>
      <c r="E762" t="s">
        <v>217</v>
      </c>
      <c r="F762" s="421">
        <v>1</v>
      </c>
      <c r="G762" t="s">
        <v>193</v>
      </c>
      <c r="H762" t="s">
        <v>194</v>
      </c>
      <c r="I762" t="s">
        <v>9430</v>
      </c>
      <c r="J762" t="s">
        <v>9524</v>
      </c>
      <c r="K762" t="s">
        <v>9686</v>
      </c>
      <c r="L762" t="s">
        <v>6261</v>
      </c>
      <c r="M762" t="s">
        <v>9428</v>
      </c>
      <c r="N762" t="s">
        <v>9536</v>
      </c>
      <c r="O762" t="s">
        <v>9537</v>
      </c>
      <c r="P762" t="s">
        <v>9687</v>
      </c>
      <c r="Q762" t="s">
        <v>9688</v>
      </c>
      <c r="S762" t="s">
        <v>9309</v>
      </c>
      <c r="U762" s="27" t="s">
        <v>3629</v>
      </c>
      <c r="V762" t="s">
        <v>193</v>
      </c>
      <c r="W762" t="s">
        <v>9310</v>
      </c>
      <c r="Z762" t="s">
        <v>9311</v>
      </c>
      <c r="AF762" t="s">
        <v>4714</v>
      </c>
      <c r="AG762" t="s">
        <v>9433</v>
      </c>
      <c r="AI762" t="s">
        <v>6955</v>
      </c>
      <c r="AJ762" s="424" t="str">
        <f t="shared" si="33"/>
        <v>251903</v>
      </c>
      <c r="AK762" s="28">
        <v>1</v>
      </c>
      <c r="AL762" s="28">
        <f t="shared" si="35"/>
        <v>1</v>
      </c>
      <c r="AM762" s="28" t="str">
        <f t="shared" si="34"/>
        <v>agora</v>
      </c>
    </row>
    <row r="763" spans="1:39" x14ac:dyDescent="0.25">
      <c r="A763" t="s">
        <v>9522</v>
      </c>
      <c r="B763" t="s">
        <v>9664</v>
      </c>
      <c r="C763" t="s">
        <v>2861</v>
      </c>
      <c r="D763" s="27" t="s">
        <v>9299</v>
      </c>
      <c r="E763" t="s">
        <v>217</v>
      </c>
      <c r="F763" s="421">
        <v>1</v>
      </c>
      <c r="G763" t="s">
        <v>193</v>
      </c>
      <c r="H763" t="s">
        <v>194</v>
      </c>
      <c r="I763" t="s">
        <v>9430</v>
      </c>
      <c r="J763" t="s">
        <v>9524</v>
      </c>
      <c r="K763" t="s">
        <v>9689</v>
      </c>
      <c r="L763" t="s">
        <v>6261</v>
      </c>
      <c r="M763" t="s">
        <v>9428</v>
      </c>
      <c r="N763" t="s">
        <v>9526</v>
      </c>
      <c r="O763" t="s">
        <v>9461</v>
      </c>
      <c r="P763" t="s">
        <v>9690</v>
      </c>
      <c r="Q763" t="s">
        <v>9691</v>
      </c>
      <c r="S763" t="s">
        <v>9309</v>
      </c>
      <c r="U763" s="27" t="s">
        <v>3629</v>
      </c>
      <c r="V763" t="s">
        <v>193</v>
      </c>
      <c r="W763" t="s">
        <v>9310</v>
      </c>
      <c r="Z763" t="s">
        <v>9311</v>
      </c>
      <c r="AF763" t="s">
        <v>4714</v>
      </c>
      <c r="AG763" t="s">
        <v>9433</v>
      </c>
      <c r="AI763" t="s">
        <v>6955</v>
      </c>
      <c r="AJ763" s="424" t="str">
        <f t="shared" si="33"/>
        <v>251903</v>
      </c>
      <c r="AK763" s="28">
        <v>1</v>
      </c>
      <c r="AL763" s="28">
        <f t="shared" si="35"/>
        <v>1</v>
      </c>
      <c r="AM763" s="28" t="str">
        <f t="shared" si="34"/>
        <v>agora</v>
      </c>
    </row>
    <row r="764" spans="1:39" x14ac:dyDescent="0.25">
      <c r="A764" t="s">
        <v>9522</v>
      </c>
      <c r="B764" t="s">
        <v>9664</v>
      </c>
      <c r="C764" t="s">
        <v>2861</v>
      </c>
      <c r="D764" s="27" t="s">
        <v>9299</v>
      </c>
      <c r="E764" t="s">
        <v>217</v>
      </c>
      <c r="F764" s="421">
        <v>1</v>
      </c>
      <c r="G764" t="s">
        <v>193</v>
      </c>
      <c r="H764" t="s">
        <v>194</v>
      </c>
      <c r="I764" t="s">
        <v>9430</v>
      </c>
      <c r="J764" t="s">
        <v>9524</v>
      </c>
      <c r="K764" t="s">
        <v>9692</v>
      </c>
      <c r="L764" t="s">
        <v>6261</v>
      </c>
      <c r="M764" t="s">
        <v>9428</v>
      </c>
      <c r="N764" t="s">
        <v>9526</v>
      </c>
      <c r="O764" t="s">
        <v>9461</v>
      </c>
      <c r="P764" t="s">
        <v>9693</v>
      </c>
      <c r="Q764" t="s">
        <v>9694</v>
      </c>
      <c r="S764" t="s">
        <v>9309</v>
      </c>
      <c r="U764" s="27" t="s">
        <v>3629</v>
      </c>
      <c r="V764" t="s">
        <v>193</v>
      </c>
      <c r="W764" t="s">
        <v>9310</v>
      </c>
      <c r="Z764" t="s">
        <v>9311</v>
      </c>
      <c r="AF764" t="s">
        <v>4714</v>
      </c>
      <c r="AG764" t="s">
        <v>9433</v>
      </c>
      <c r="AI764" t="s">
        <v>6955</v>
      </c>
      <c r="AJ764" s="424" t="str">
        <f t="shared" si="33"/>
        <v>251903</v>
      </c>
      <c r="AK764" s="28">
        <v>1</v>
      </c>
      <c r="AL764" s="28">
        <f t="shared" si="35"/>
        <v>1</v>
      </c>
      <c r="AM764" s="28" t="str">
        <f t="shared" si="34"/>
        <v>agora</v>
      </c>
    </row>
    <row r="765" spans="1:39" x14ac:dyDescent="0.25">
      <c r="A765" t="s">
        <v>9522</v>
      </c>
      <c r="B765" t="s">
        <v>9664</v>
      </c>
      <c r="C765" t="s">
        <v>2861</v>
      </c>
      <c r="D765" s="27" t="s">
        <v>9299</v>
      </c>
      <c r="E765" t="s">
        <v>217</v>
      </c>
      <c r="F765" s="421">
        <v>1</v>
      </c>
      <c r="G765" t="s">
        <v>193</v>
      </c>
      <c r="H765" t="s">
        <v>194</v>
      </c>
      <c r="I765" t="s">
        <v>9430</v>
      </c>
      <c r="J765" t="s">
        <v>9524</v>
      </c>
      <c r="K765" t="s">
        <v>9695</v>
      </c>
      <c r="L765" t="s">
        <v>6261</v>
      </c>
      <c r="M765" t="s">
        <v>9428</v>
      </c>
      <c r="N765" t="s">
        <v>9536</v>
      </c>
      <c r="O765" t="s">
        <v>9537</v>
      </c>
      <c r="P765" t="s">
        <v>9696</v>
      </c>
      <c r="Q765" t="s">
        <v>9697</v>
      </c>
      <c r="S765" t="s">
        <v>9309</v>
      </c>
      <c r="U765" s="27" t="s">
        <v>3629</v>
      </c>
      <c r="V765" t="s">
        <v>193</v>
      </c>
      <c r="W765" t="s">
        <v>9310</v>
      </c>
      <c r="Z765" t="s">
        <v>9311</v>
      </c>
      <c r="AF765" t="s">
        <v>4714</v>
      </c>
      <c r="AG765" t="s">
        <v>9433</v>
      </c>
      <c r="AI765" t="s">
        <v>6955</v>
      </c>
      <c r="AJ765" s="424" t="str">
        <f t="shared" si="33"/>
        <v>251903</v>
      </c>
      <c r="AK765" s="28">
        <v>1</v>
      </c>
      <c r="AL765" s="28">
        <f t="shared" si="35"/>
        <v>1</v>
      </c>
      <c r="AM765" s="28" t="str">
        <f t="shared" si="34"/>
        <v>agora</v>
      </c>
    </row>
    <row r="766" spans="1:39" x14ac:dyDescent="0.25">
      <c r="A766" t="s">
        <v>10383</v>
      </c>
      <c r="B766" t="s">
        <v>10384</v>
      </c>
      <c r="C766" t="s">
        <v>17</v>
      </c>
      <c r="D766" s="27" t="s">
        <v>9437</v>
      </c>
      <c r="E766" t="s">
        <v>217</v>
      </c>
      <c r="F766" s="421">
        <v>1</v>
      </c>
      <c r="G766" t="s">
        <v>193</v>
      </c>
      <c r="H766" t="s">
        <v>194</v>
      </c>
      <c r="I766" t="s">
        <v>9491</v>
      </c>
      <c r="J766" t="s">
        <v>367</v>
      </c>
      <c r="K766" t="s">
        <v>10388</v>
      </c>
      <c r="L766" t="s">
        <v>6249</v>
      </c>
      <c r="M766" t="s">
        <v>11702</v>
      </c>
      <c r="N766" t="s">
        <v>9603</v>
      </c>
      <c r="O766" t="s">
        <v>9604</v>
      </c>
      <c r="P766" t="s">
        <v>12192</v>
      </c>
      <c r="Q766" t="s">
        <v>12193</v>
      </c>
      <c r="S766" t="s">
        <v>9309</v>
      </c>
      <c r="T766" s="28" t="s">
        <v>9974</v>
      </c>
      <c r="U766" s="27" t="s">
        <v>624</v>
      </c>
      <c r="V766" t="s">
        <v>194</v>
      </c>
      <c r="W766" t="s">
        <v>9300</v>
      </c>
      <c r="Z766" t="s">
        <v>9311</v>
      </c>
      <c r="AF766" t="s">
        <v>4714</v>
      </c>
      <c r="AG766" t="s">
        <v>9433</v>
      </c>
      <c r="AI766" t="s">
        <v>6955</v>
      </c>
      <c r="AJ766" s="424" t="str">
        <f t="shared" si="33"/>
        <v>332203</v>
      </c>
      <c r="AK766" s="28">
        <v>1</v>
      </c>
      <c r="AL766" s="28">
        <f t="shared" si="35"/>
        <v>1</v>
      </c>
      <c r="AM766" s="28" t="str">
        <f t="shared" si="34"/>
        <v>agora</v>
      </c>
    </row>
    <row r="767" spans="1:39" x14ac:dyDescent="0.25">
      <c r="A767" t="s">
        <v>10383</v>
      </c>
      <c r="B767" t="s">
        <v>10384</v>
      </c>
      <c r="C767" t="s">
        <v>17</v>
      </c>
      <c r="D767" s="27" t="s">
        <v>9437</v>
      </c>
      <c r="E767" t="s">
        <v>217</v>
      </c>
      <c r="F767" s="421">
        <v>1</v>
      </c>
      <c r="G767" t="s">
        <v>193</v>
      </c>
      <c r="H767" t="s">
        <v>194</v>
      </c>
      <c r="I767" t="s">
        <v>9491</v>
      </c>
      <c r="J767" t="s">
        <v>210</v>
      </c>
      <c r="K767" t="s">
        <v>10391</v>
      </c>
      <c r="L767" t="s">
        <v>6249</v>
      </c>
      <c r="M767" t="s">
        <v>11702</v>
      </c>
      <c r="N767" t="s">
        <v>9603</v>
      </c>
      <c r="O767" t="s">
        <v>9604</v>
      </c>
      <c r="P767" t="s">
        <v>12194</v>
      </c>
      <c r="Q767" t="s">
        <v>12195</v>
      </c>
      <c r="S767" t="s">
        <v>9309</v>
      </c>
      <c r="T767" s="28" t="s">
        <v>9334</v>
      </c>
      <c r="U767" s="27" t="s">
        <v>624</v>
      </c>
      <c r="V767" t="s">
        <v>194</v>
      </c>
      <c r="W767" t="s">
        <v>9300</v>
      </c>
      <c r="Z767" t="s">
        <v>9311</v>
      </c>
      <c r="AF767" t="s">
        <v>4714</v>
      </c>
      <c r="AG767" t="s">
        <v>9433</v>
      </c>
      <c r="AI767" t="s">
        <v>6955</v>
      </c>
      <c r="AJ767" s="424" t="str">
        <f t="shared" si="33"/>
        <v>332203</v>
      </c>
      <c r="AK767" s="28">
        <v>1</v>
      </c>
      <c r="AL767" s="28">
        <f t="shared" si="35"/>
        <v>1</v>
      </c>
      <c r="AM767" s="28" t="str">
        <f t="shared" si="34"/>
        <v>agora</v>
      </c>
    </row>
    <row r="768" spans="1:39" x14ac:dyDescent="0.25">
      <c r="A768" t="s">
        <v>10383</v>
      </c>
      <c r="B768" t="s">
        <v>10384</v>
      </c>
      <c r="C768" t="s">
        <v>17</v>
      </c>
      <c r="D768" s="27" t="s">
        <v>9437</v>
      </c>
      <c r="E768" t="s">
        <v>217</v>
      </c>
      <c r="F768" s="421">
        <v>1</v>
      </c>
      <c r="G768" t="s">
        <v>193</v>
      </c>
      <c r="H768" t="s">
        <v>194</v>
      </c>
      <c r="I768" t="s">
        <v>9491</v>
      </c>
      <c r="J768" t="s">
        <v>747</v>
      </c>
      <c r="K768" t="s">
        <v>10394</v>
      </c>
      <c r="L768" t="s">
        <v>6249</v>
      </c>
      <c r="M768" t="s">
        <v>11702</v>
      </c>
      <c r="N768" t="s">
        <v>9603</v>
      </c>
      <c r="O768" t="s">
        <v>9604</v>
      </c>
      <c r="P768" t="s">
        <v>12196</v>
      </c>
      <c r="Q768" t="s">
        <v>12197</v>
      </c>
      <c r="S768" t="s">
        <v>9309</v>
      </c>
      <c r="T768" s="28" t="s">
        <v>10397</v>
      </c>
      <c r="U768" s="27" t="s">
        <v>624</v>
      </c>
      <c r="V768" t="s">
        <v>194</v>
      </c>
      <c r="W768" t="s">
        <v>9300</v>
      </c>
      <c r="Z768" t="s">
        <v>9311</v>
      </c>
      <c r="AF768" t="s">
        <v>4714</v>
      </c>
      <c r="AG768" t="s">
        <v>9433</v>
      </c>
      <c r="AI768" t="s">
        <v>6955</v>
      </c>
      <c r="AJ768" s="424" t="str">
        <f t="shared" si="33"/>
        <v>332203</v>
      </c>
      <c r="AK768" s="28">
        <v>1</v>
      </c>
      <c r="AL768" s="28">
        <f t="shared" si="35"/>
        <v>1</v>
      </c>
      <c r="AM768" s="28" t="str">
        <f t="shared" si="34"/>
        <v>agora</v>
      </c>
    </row>
    <row r="769" spans="1:40" x14ac:dyDescent="0.25">
      <c r="A769" t="s">
        <v>10383</v>
      </c>
      <c r="B769" t="s">
        <v>10384</v>
      </c>
      <c r="C769" t="s">
        <v>17</v>
      </c>
      <c r="D769" s="27" t="s">
        <v>9437</v>
      </c>
      <c r="E769" t="s">
        <v>217</v>
      </c>
      <c r="F769" s="421">
        <v>1</v>
      </c>
      <c r="G769" t="s">
        <v>193</v>
      </c>
      <c r="H769" t="s">
        <v>194</v>
      </c>
      <c r="I769" t="s">
        <v>9491</v>
      </c>
      <c r="J769" t="s">
        <v>316</v>
      </c>
      <c r="K769" t="s">
        <v>10398</v>
      </c>
      <c r="L769" t="s">
        <v>6249</v>
      </c>
      <c r="M769" t="s">
        <v>11702</v>
      </c>
      <c r="N769" t="s">
        <v>9603</v>
      </c>
      <c r="O769" t="s">
        <v>9604</v>
      </c>
      <c r="P769" t="s">
        <v>12198</v>
      </c>
      <c r="Q769" t="s">
        <v>12199</v>
      </c>
      <c r="S769" t="s">
        <v>9309</v>
      </c>
      <c r="T769" s="28" t="s">
        <v>10012</v>
      </c>
      <c r="U769" s="27" t="s">
        <v>624</v>
      </c>
      <c r="V769" t="s">
        <v>194</v>
      </c>
      <c r="W769" t="s">
        <v>9300</v>
      </c>
      <c r="Z769" t="s">
        <v>9311</v>
      </c>
      <c r="AF769" t="s">
        <v>4714</v>
      </c>
      <c r="AG769" t="s">
        <v>9433</v>
      </c>
      <c r="AI769" t="s">
        <v>6955</v>
      </c>
      <c r="AJ769" s="424" t="str">
        <f t="shared" si="33"/>
        <v>332203</v>
      </c>
      <c r="AK769" s="28">
        <v>1</v>
      </c>
      <c r="AL769" s="28">
        <f t="shared" si="35"/>
        <v>1</v>
      </c>
      <c r="AM769" s="28" t="str">
        <f t="shared" si="34"/>
        <v>agora</v>
      </c>
    </row>
    <row r="770" spans="1:40" x14ac:dyDescent="0.25">
      <c r="A770" t="s">
        <v>10383</v>
      </c>
      <c r="B770" t="s">
        <v>10384</v>
      </c>
      <c r="C770" t="s">
        <v>17</v>
      </c>
      <c r="D770" s="27" t="s">
        <v>9437</v>
      </c>
      <c r="E770" t="s">
        <v>217</v>
      </c>
      <c r="F770" s="421">
        <v>1</v>
      </c>
      <c r="G770" t="s">
        <v>193</v>
      </c>
      <c r="H770" t="s">
        <v>194</v>
      </c>
      <c r="I770" t="s">
        <v>9491</v>
      </c>
      <c r="J770" t="s">
        <v>253</v>
      </c>
      <c r="K770" t="s">
        <v>10401</v>
      </c>
      <c r="L770" t="s">
        <v>6249</v>
      </c>
      <c r="M770" t="s">
        <v>11702</v>
      </c>
      <c r="N770" t="s">
        <v>9603</v>
      </c>
      <c r="O770" t="s">
        <v>9604</v>
      </c>
      <c r="P770" t="s">
        <v>12200</v>
      </c>
      <c r="Q770" t="s">
        <v>12201</v>
      </c>
      <c r="S770" t="s">
        <v>9309</v>
      </c>
      <c r="T770" s="28" t="s">
        <v>9468</v>
      </c>
      <c r="U770" s="27" t="s">
        <v>624</v>
      </c>
      <c r="V770" t="s">
        <v>194</v>
      </c>
      <c r="W770" t="s">
        <v>9300</v>
      </c>
      <c r="Z770" t="s">
        <v>9311</v>
      </c>
      <c r="AF770" t="s">
        <v>4714</v>
      </c>
      <c r="AG770" t="s">
        <v>9433</v>
      </c>
      <c r="AI770" t="s">
        <v>6955</v>
      </c>
      <c r="AJ770" s="424" t="str">
        <f t="shared" ref="AJ770:AJ833" si="36">MID(U770,8,6)</f>
        <v>332203</v>
      </c>
      <c r="AK770" s="28">
        <v>1</v>
      </c>
      <c r="AL770" s="28">
        <f t="shared" si="35"/>
        <v>1</v>
      </c>
      <c r="AM770" s="28" t="str">
        <f t="shared" ref="AM770:AM833" si="37">T(E770)</f>
        <v>agora</v>
      </c>
    </row>
    <row r="771" spans="1:40" x14ac:dyDescent="0.25">
      <c r="A771" t="s">
        <v>10383</v>
      </c>
      <c r="B771" t="s">
        <v>10384</v>
      </c>
      <c r="C771" t="s">
        <v>17</v>
      </c>
      <c r="D771" s="27" t="s">
        <v>9437</v>
      </c>
      <c r="E771" t="s">
        <v>217</v>
      </c>
      <c r="F771" s="421">
        <v>1</v>
      </c>
      <c r="G771" t="s">
        <v>193</v>
      </c>
      <c r="H771" t="s">
        <v>194</v>
      </c>
      <c r="I771" t="s">
        <v>9491</v>
      </c>
      <c r="J771" t="s">
        <v>4751</v>
      </c>
      <c r="K771" t="s">
        <v>10385</v>
      </c>
      <c r="L771" t="s">
        <v>6249</v>
      </c>
      <c r="M771" t="s">
        <v>11702</v>
      </c>
      <c r="N771" t="s">
        <v>9603</v>
      </c>
      <c r="O771" t="s">
        <v>9604</v>
      </c>
      <c r="P771" t="s">
        <v>12202</v>
      </c>
      <c r="Q771" t="s">
        <v>12203</v>
      </c>
      <c r="S771" t="s">
        <v>9309</v>
      </c>
      <c r="T771" s="28" t="s">
        <v>9472</v>
      </c>
      <c r="U771" s="27" t="s">
        <v>624</v>
      </c>
      <c r="V771" t="s">
        <v>194</v>
      </c>
      <c r="W771" t="s">
        <v>9300</v>
      </c>
      <c r="Z771" t="s">
        <v>9311</v>
      </c>
      <c r="AF771" t="s">
        <v>4714</v>
      </c>
      <c r="AG771" t="s">
        <v>9433</v>
      </c>
      <c r="AI771" t="s">
        <v>6955</v>
      </c>
      <c r="AJ771" s="424" t="str">
        <f t="shared" si="36"/>
        <v>332203</v>
      </c>
      <c r="AK771" s="28">
        <v>1</v>
      </c>
      <c r="AL771" s="28">
        <f t="shared" ref="AL771:AL834" si="38">SUM(F771)</f>
        <v>1</v>
      </c>
      <c r="AM771" s="28" t="str">
        <f t="shared" si="37"/>
        <v>agora</v>
      </c>
    </row>
    <row r="772" spans="1:40" x14ac:dyDescent="0.25">
      <c r="A772" t="s">
        <v>12204</v>
      </c>
      <c r="B772" t="s">
        <v>12205</v>
      </c>
      <c r="C772" t="s">
        <v>468</v>
      </c>
      <c r="D772" s="27" t="s">
        <v>9437</v>
      </c>
      <c r="E772" t="s">
        <v>192</v>
      </c>
      <c r="F772" s="421">
        <v>1</v>
      </c>
      <c r="G772" t="s">
        <v>193</v>
      </c>
      <c r="H772" t="s">
        <v>194</v>
      </c>
      <c r="I772" t="s">
        <v>9369</v>
      </c>
      <c r="J772" t="s">
        <v>9302</v>
      </c>
      <c r="K772" t="s">
        <v>12206</v>
      </c>
      <c r="L772" t="s">
        <v>6288</v>
      </c>
      <c r="M772" t="s">
        <v>11604</v>
      </c>
      <c r="N772" t="s">
        <v>9536</v>
      </c>
      <c r="O772" t="s">
        <v>9461</v>
      </c>
      <c r="P772" t="s">
        <v>12207</v>
      </c>
      <c r="Q772" t="s">
        <v>12208</v>
      </c>
      <c r="S772" t="s">
        <v>9309</v>
      </c>
      <c r="U772" s="27" t="s">
        <v>469</v>
      </c>
      <c r="V772" t="s">
        <v>193</v>
      </c>
      <c r="W772" t="s">
        <v>9310</v>
      </c>
      <c r="Z772" t="s">
        <v>9311</v>
      </c>
      <c r="AF772" t="s">
        <v>4714</v>
      </c>
      <c r="AG772" t="s">
        <v>12205</v>
      </c>
      <c r="AI772" t="s">
        <v>6955</v>
      </c>
      <c r="AJ772" s="424" t="str">
        <f t="shared" si="36"/>
        <v>243303</v>
      </c>
      <c r="AK772" s="28">
        <v>1</v>
      </c>
      <c r="AL772" s="28">
        <f t="shared" si="38"/>
        <v>1</v>
      </c>
      <c r="AM772" s="28" t="str">
        <f t="shared" si="37"/>
        <v>pracuj.pl</v>
      </c>
    </row>
    <row r="773" spans="1:40" x14ac:dyDescent="0.25">
      <c r="A773" t="s">
        <v>12209</v>
      </c>
      <c r="B773" t="s">
        <v>12210</v>
      </c>
      <c r="C773" t="s">
        <v>17</v>
      </c>
      <c r="D773" s="27" t="s">
        <v>9437</v>
      </c>
      <c r="E773" t="s">
        <v>233</v>
      </c>
      <c r="F773" s="421">
        <v>1</v>
      </c>
      <c r="G773" t="s">
        <v>193</v>
      </c>
      <c r="H773" t="s">
        <v>194</v>
      </c>
      <c r="I773" t="s">
        <v>9369</v>
      </c>
      <c r="J773" t="s">
        <v>9302</v>
      </c>
      <c r="K773" t="s">
        <v>12211</v>
      </c>
      <c r="L773" t="s">
        <v>6249</v>
      </c>
      <c r="M773" t="s">
        <v>11670</v>
      </c>
      <c r="N773" t="s">
        <v>10005</v>
      </c>
      <c r="O773" t="s">
        <v>9604</v>
      </c>
      <c r="P773" t="s">
        <v>12212</v>
      </c>
      <c r="Q773" t="s">
        <v>12213</v>
      </c>
      <c r="S773" t="s">
        <v>9309</v>
      </c>
      <c r="U773" s="27" t="s">
        <v>624</v>
      </c>
      <c r="V773" t="s">
        <v>193</v>
      </c>
      <c r="W773" t="s">
        <v>9310</v>
      </c>
      <c r="Z773" t="s">
        <v>9311</v>
      </c>
      <c r="AF773" t="s">
        <v>4714</v>
      </c>
      <c r="AG773" t="s">
        <v>12210</v>
      </c>
      <c r="AI773" t="s">
        <v>6955</v>
      </c>
      <c r="AJ773" s="424" t="str">
        <f t="shared" si="36"/>
        <v>332203</v>
      </c>
      <c r="AK773" s="28">
        <v>1</v>
      </c>
      <c r="AL773" s="28">
        <f t="shared" si="38"/>
        <v>1</v>
      </c>
      <c r="AM773" s="28" t="str">
        <f t="shared" si="37"/>
        <v>praca</v>
      </c>
    </row>
    <row r="774" spans="1:40" x14ac:dyDescent="0.25">
      <c r="A774" t="s">
        <v>11549</v>
      </c>
      <c r="B774" t="s">
        <v>11550</v>
      </c>
      <c r="C774" t="s">
        <v>85</v>
      </c>
      <c r="D774" s="27" t="s">
        <v>9437</v>
      </c>
      <c r="E774" t="s">
        <v>217</v>
      </c>
      <c r="F774" s="421">
        <v>1</v>
      </c>
      <c r="G774" t="s">
        <v>193</v>
      </c>
      <c r="H774" t="s">
        <v>194</v>
      </c>
      <c r="I774" t="s">
        <v>11608</v>
      </c>
      <c r="J774" t="s">
        <v>210</v>
      </c>
      <c r="K774" t="s">
        <v>11551</v>
      </c>
      <c r="L774" t="s">
        <v>6249</v>
      </c>
      <c r="M774" t="s">
        <v>11702</v>
      </c>
      <c r="N774" t="s">
        <v>9889</v>
      </c>
      <c r="O774" t="s">
        <v>9486</v>
      </c>
      <c r="P774" t="s">
        <v>12214</v>
      </c>
      <c r="Q774" t="s">
        <v>12215</v>
      </c>
      <c r="S774" t="s">
        <v>9309</v>
      </c>
      <c r="T774" s="28" t="s">
        <v>9334</v>
      </c>
      <c r="U774" s="27" t="s">
        <v>477</v>
      </c>
      <c r="V774" t="s">
        <v>194</v>
      </c>
      <c r="W774" t="s">
        <v>9300</v>
      </c>
      <c r="Z774" t="s">
        <v>9311</v>
      </c>
      <c r="AF774" t="s">
        <v>4714</v>
      </c>
      <c r="AG774" t="s">
        <v>9433</v>
      </c>
      <c r="AI774" t="s">
        <v>6955</v>
      </c>
      <c r="AJ774" s="424" t="str">
        <f t="shared" si="36"/>
        <v>243305</v>
      </c>
      <c r="AK774" s="28">
        <v>1</v>
      </c>
      <c r="AL774" s="28">
        <f t="shared" si="38"/>
        <v>1</v>
      </c>
      <c r="AM774" s="28" t="str">
        <f t="shared" si="37"/>
        <v>agora</v>
      </c>
    </row>
    <row r="775" spans="1:40" x14ac:dyDescent="0.25">
      <c r="A775" t="s">
        <v>581</v>
      </c>
      <c r="B775" t="s">
        <v>3873</v>
      </c>
      <c r="C775" t="s">
        <v>62</v>
      </c>
      <c r="D775" s="27" t="s">
        <v>9437</v>
      </c>
      <c r="E775" t="s">
        <v>217</v>
      </c>
      <c r="F775" s="421">
        <v>1</v>
      </c>
      <c r="G775" t="s">
        <v>193</v>
      </c>
      <c r="H775" t="s">
        <v>194</v>
      </c>
      <c r="I775" t="s">
        <v>9343</v>
      </c>
      <c r="J775" t="s">
        <v>12216</v>
      </c>
      <c r="K775" t="s">
        <v>12217</v>
      </c>
      <c r="L775" t="s">
        <v>6275</v>
      </c>
      <c r="M775" t="s">
        <v>11702</v>
      </c>
      <c r="N775" t="s">
        <v>10005</v>
      </c>
      <c r="O775" t="s">
        <v>9588</v>
      </c>
      <c r="P775" t="s">
        <v>12218</v>
      </c>
      <c r="Q775" t="s">
        <v>12219</v>
      </c>
      <c r="S775" t="s">
        <v>9309</v>
      </c>
      <c r="T775" s="28" t="s">
        <v>9468</v>
      </c>
      <c r="U775" s="27" t="s">
        <v>601</v>
      </c>
      <c r="V775" t="s">
        <v>194</v>
      </c>
      <c r="W775" t="s">
        <v>9300</v>
      </c>
      <c r="Z775" t="s">
        <v>9311</v>
      </c>
      <c r="AF775" t="s">
        <v>4714</v>
      </c>
      <c r="AG775" t="s">
        <v>9433</v>
      </c>
      <c r="AI775" t="s">
        <v>6955</v>
      </c>
      <c r="AJ775" s="424" t="str">
        <f t="shared" si="36"/>
        <v>313904</v>
      </c>
      <c r="AK775" s="28">
        <v>1</v>
      </c>
      <c r="AL775" s="28">
        <f t="shared" si="38"/>
        <v>1</v>
      </c>
      <c r="AM775" s="28" t="str">
        <f t="shared" si="37"/>
        <v>agora</v>
      </c>
    </row>
    <row r="776" spans="1:40" x14ac:dyDescent="0.25">
      <c r="A776" t="s">
        <v>12220</v>
      </c>
      <c r="B776" t="s">
        <v>5976</v>
      </c>
      <c r="C776" t="s">
        <v>17</v>
      </c>
      <c r="D776" s="27" t="s">
        <v>9437</v>
      </c>
      <c r="E776" t="s">
        <v>192</v>
      </c>
      <c r="F776" s="421">
        <v>1</v>
      </c>
      <c r="G776" t="s">
        <v>193</v>
      </c>
      <c r="H776" t="s">
        <v>194</v>
      </c>
      <c r="I776" t="s">
        <v>11608</v>
      </c>
      <c r="J776" t="s">
        <v>9302</v>
      </c>
      <c r="K776" t="s">
        <v>12221</v>
      </c>
      <c r="L776" t="s">
        <v>6251</v>
      </c>
      <c r="M776" t="s">
        <v>11604</v>
      </c>
      <c r="N776" t="s">
        <v>9536</v>
      </c>
      <c r="O776" t="s">
        <v>9461</v>
      </c>
      <c r="P776" t="s">
        <v>12222</v>
      </c>
      <c r="Q776" t="s">
        <v>12223</v>
      </c>
      <c r="S776" t="s">
        <v>9309</v>
      </c>
      <c r="U776" s="27" t="s">
        <v>624</v>
      </c>
      <c r="V776" t="s">
        <v>193</v>
      </c>
      <c r="W776" t="s">
        <v>9310</v>
      </c>
      <c r="Z776" t="s">
        <v>9311</v>
      </c>
      <c r="AF776" t="s">
        <v>4714</v>
      </c>
      <c r="AG776" t="s">
        <v>5976</v>
      </c>
      <c r="AI776" t="s">
        <v>6955</v>
      </c>
      <c r="AJ776" s="424" t="str">
        <f t="shared" si="36"/>
        <v>332203</v>
      </c>
      <c r="AK776" s="28">
        <v>1</v>
      </c>
      <c r="AL776" s="28">
        <f t="shared" si="38"/>
        <v>1</v>
      </c>
      <c r="AM776" s="28" t="str">
        <f t="shared" si="37"/>
        <v>pracuj.pl</v>
      </c>
    </row>
    <row r="777" spans="1:40" x14ac:dyDescent="0.25">
      <c r="A777" t="s">
        <v>12224</v>
      </c>
      <c r="B777" t="s">
        <v>472</v>
      </c>
      <c r="C777" t="s">
        <v>80</v>
      </c>
      <c r="D777" s="27" t="s">
        <v>9437</v>
      </c>
      <c r="E777" t="s">
        <v>192</v>
      </c>
      <c r="F777" s="421">
        <v>1</v>
      </c>
      <c r="G777" t="s">
        <v>193</v>
      </c>
      <c r="H777" t="s">
        <v>194</v>
      </c>
      <c r="I777" t="s">
        <v>9318</v>
      </c>
      <c r="J777" t="s">
        <v>9302</v>
      </c>
      <c r="K777" t="s">
        <v>12225</v>
      </c>
      <c r="L777" t="s">
        <v>6245</v>
      </c>
      <c r="M777" t="s">
        <v>11604</v>
      </c>
      <c r="N777" t="s">
        <v>9536</v>
      </c>
      <c r="O777" t="s">
        <v>9461</v>
      </c>
      <c r="P777" t="s">
        <v>12226</v>
      </c>
      <c r="Q777" t="s">
        <v>12227</v>
      </c>
      <c r="S777" t="s">
        <v>9309</v>
      </c>
      <c r="U777" s="27" t="s">
        <v>474</v>
      </c>
      <c r="V777" t="s">
        <v>193</v>
      </c>
      <c r="W777" t="s">
        <v>9310</v>
      </c>
      <c r="Z777" t="s">
        <v>9311</v>
      </c>
      <c r="AF777" t="s">
        <v>4714</v>
      </c>
      <c r="AG777" t="s">
        <v>472</v>
      </c>
      <c r="AI777" t="s">
        <v>6955</v>
      </c>
      <c r="AJ777" s="424" t="str">
        <f t="shared" si="36"/>
        <v>243304</v>
      </c>
      <c r="AK777" s="28">
        <v>1</v>
      </c>
      <c r="AL777" s="28">
        <f t="shared" si="38"/>
        <v>1</v>
      </c>
      <c r="AM777" s="28" t="str">
        <f t="shared" si="37"/>
        <v>pracuj.pl</v>
      </c>
    </row>
    <row r="778" spans="1:40" x14ac:dyDescent="0.25">
      <c r="A778" t="s">
        <v>10472</v>
      </c>
      <c r="B778" t="s">
        <v>10473</v>
      </c>
      <c r="C778" t="s">
        <v>778</v>
      </c>
      <c r="D778" s="27" t="s">
        <v>9437</v>
      </c>
      <c r="E778" t="s">
        <v>217</v>
      </c>
      <c r="F778" s="421">
        <v>1</v>
      </c>
      <c r="G778" t="s">
        <v>193</v>
      </c>
      <c r="H778" t="s">
        <v>194</v>
      </c>
      <c r="I778" t="s">
        <v>9369</v>
      </c>
      <c r="J778" t="s">
        <v>8527</v>
      </c>
      <c r="K778" t="s">
        <v>10474</v>
      </c>
      <c r="L778" t="s">
        <v>6249</v>
      </c>
      <c r="M778" t="s">
        <v>11702</v>
      </c>
      <c r="N778" t="s">
        <v>9536</v>
      </c>
      <c r="O778" t="s">
        <v>9491</v>
      </c>
      <c r="P778" t="s">
        <v>12228</v>
      </c>
      <c r="Q778" t="s">
        <v>12229</v>
      </c>
      <c r="S778" t="s">
        <v>9309</v>
      </c>
      <c r="T778" s="28" t="s">
        <v>9726</v>
      </c>
      <c r="U778" s="27" t="s">
        <v>779</v>
      </c>
      <c r="V778" t="s">
        <v>194</v>
      </c>
      <c r="W778" t="s">
        <v>9300</v>
      </c>
      <c r="Z778" t="s">
        <v>9311</v>
      </c>
      <c r="AF778" t="s">
        <v>4714</v>
      </c>
      <c r="AG778" t="s">
        <v>9433</v>
      </c>
      <c r="AI778" t="s">
        <v>6955</v>
      </c>
      <c r="AJ778" s="424" t="str">
        <f t="shared" si="36"/>
        <v>524902</v>
      </c>
      <c r="AK778" s="28">
        <v>1</v>
      </c>
      <c r="AL778" s="28">
        <f t="shared" si="38"/>
        <v>1</v>
      </c>
      <c r="AM778" s="28" t="str">
        <f t="shared" si="37"/>
        <v>agora</v>
      </c>
    </row>
    <row r="779" spans="1:40" x14ac:dyDescent="0.25">
      <c r="A779" t="s">
        <v>12230</v>
      </c>
      <c r="B779" t="s">
        <v>12231</v>
      </c>
      <c r="C779" t="s">
        <v>5692</v>
      </c>
      <c r="D779" s="27" t="s">
        <v>9437</v>
      </c>
      <c r="E779" t="s">
        <v>233</v>
      </c>
      <c r="F779" s="421">
        <v>1</v>
      </c>
      <c r="G779" t="s">
        <v>194</v>
      </c>
      <c r="H779" t="s">
        <v>193</v>
      </c>
      <c r="I779" t="s">
        <v>11608</v>
      </c>
      <c r="J779" t="s">
        <v>9302</v>
      </c>
      <c r="K779" t="s">
        <v>12232</v>
      </c>
      <c r="L779" t="s">
        <v>6275</v>
      </c>
      <c r="M779" t="s">
        <v>12233</v>
      </c>
      <c r="N779" t="s">
        <v>9929</v>
      </c>
      <c r="O779" t="s">
        <v>9604</v>
      </c>
      <c r="P779" t="s">
        <v>12234</v>
      </c>
      <c r="Q779" t="s">
        <v>12235</v>
      </c>
      <c r="S779" t="s">
        <v>9309</v>
      </c>
      <c r="U779" s="27" t="s">
        <v>2139</v>
      </c>
      <c r="V779" t="s">
        <v>194</v>
      </c>
      <c r="W779" t="s">
        <v>9946</v>
      </c>
      <c r="Z779" t="s">
        <v>9311</v>
      </c>
      <c r="AF779" t="s">
        <v>4714</v>
      </c>
      <c r="AG779" t="s">
        <v>12231</v>
      </c>
      <c r="AI779" t="s">
        <v>6955</v>
      </c>
      <c r="AJ779" s="424" t="str">
        <f t="shared" si="36"/>
        <v>723307</v>
      </c>
      <c r="AK779" s="28">
        <v>1</v>
      </c>
      <c r="AL779" s="28">
        <f t="shared" si="38"/>
        <v>1</v>
      </c>
      <c r="AM779" s="28" t="str">
        <f t="shared" si="37"/>
        <v>praca</v>
      </c>
    </row>
    <row r="780" spans="1:40" x14ac:dyDescent="0.25">
      <c r="A780" t="s">
        <v>9522</v>
      </c>
      <c r="B780" t="s">
        <v>9664</v>
      </c>
      <c r="C780" t="s">
        <v>2861</v>
      </c>
      <c r="D780" s="27" t="s">
        <v>9299</v>
      </c>
      <c r="E780" t="s">
        <v>217</v>
      </c>
      <c r="F780" s="421">
        <v>1</v>
      </c>
      <c r="G780" t="s">
        <v>193</v>
      </c>
      <c r="H780" t="s">
        <v>194</v>
      </c>
      <c r="I780" t="s">
        <v>9430</v>
      </c>
      <c r="J780" t="s">
        <v>9524</v>
      </c>
      <c r="K780" t="s">
        <v>9698</v>
      </c>
      <c r="L780" t="s">
        <v>6261</v>
      </c>
      <c r="M780" t="s">
        <v>9428</v>
      </c>
      <c r="N780" t="s">
        <v>9526</v>
      </c>
      <c r="O780" t="s">
        <v>9461</v>
      </c>
      <c r="P780" t="s">
        <v>9699</v>
      </c>
      <c r="Q780" t="s">
        <v>9700</v>
      </c>
      <c r="S780" t="s">
        <v>9309</v>
      </c>
      <c r="U780" s="27" t="s">
        <v>3629</v>
      </c>
      <c r="V780" t="s">
        <v>193</v>
      </c>
      <c r="W780" t="s">
        <v>9310</v>
      </c>
      <c r="Z780" t="s">
        <v>9311</v>
      </c>
      <c r="AF780" t="s">
        <v>4714</v>
      </c>
      <c r="AG780" t="s">
        <v>9433</v>
      </c>
      <c r="AI780" t="s">
        <v>6955</v>
      </c>
      <c r="AJ780" s="424" t="str">
        <f t="shared" si="36"/>
        <v>251903</v>
      </c>
      <c r="AK780" s="28">
        <v>1</v>
      </c>
      <c r="AL780" s="28">
        <f t="shared" si="38"/>
        <v>1</v>
      </c>
      <c r="AM780" s="28" t="str">
        <f t="shared" si="37"/>
        <v>agora</v>
      </c>
    </row>
    <row r="781" spans="1:40" x14ac:dyDescent="0.25">
      <c r="A781" t="s">
        <v>10512</v>
      </c>
      <c r="B781" t="s">
        <v>10513</v>
      </c>
      <c r="C781" t="s">
        <v>554</v>
      </c>
      <c r="D781" s="27" t="s">
        <v>9437</v>
      </c>
      <c r="E781" t="s">
        <v>217</v>
      </c>
      <c r="F781" s="421">
        <v>1</v>
      </c>
      <c r="G781" t="s">
        <v>193</v>
      </c>
      <c r="H781" t="s">
        <v>194</v>
      </c>
      <c r="I781" t="s">
        <v>11608</v>
      </c>
      <c r="J781" t="s">
        <v>210</v>
      </c>
      <c r="K781" t="s">
        <v>10514</v>
      </c>
      <c r="L781" t="s">
        <v>6269</v>
      </c>
      <c r="M781" t="s">
        <v>11702</v>
      </c>
      <c r="N781" t="s">
        <v>10005</v>
      </c>
      <c r="O781" t="s">
        <v>9537</v>
      </c>
      <c r="P781" t="s">
        <v>12240</v>
      </c>
      <c r="Q781" t="s">
        <v>12241</v>
      </c>
      <c r="S781" t="s">
        <v>9309</v>
      </c>
      <c r="T781" s="28" t="s">
        <v>9334</v>
      </c>
      <c r="U781" s="27" t="s">
        <v>555</v>
      </c>
      <c r="V781" t="s">
        <v>194</v>
      </c>
      <c r="W781" t="s">
        <v>9300</v>
      </c>
      <c r="Z781" t="s">
        <v>9311</v>
      </c>
      <c r="AF781" t="s">
        <v>4714</v>
      </c>
      <c r="AG781" t="s">
        <v>9433</v>
      </c>
      <c r="AI781" t="s">
        <v>6955</v>
      </c>
      <c r="AJ781" s="424" t="str">
        <f t="shared" si="36"/>
        <v>311303</v>
      </c>
      <c r="AK781" s="28">
        <v>1</v>
      </c>
      <c r="AL781" s="28">
        <f t="shared" si="38"/>
        <v>1</v>
      </c>
      <c r="AM781" s="28" t="str">
        <f t="shared" si="37"/>
        <v>agora</v>
      </c>
    </row>
    <row r="782" spans="1:40" x14ac:dyDescent="0.25">
      <c r="A782" t="s">
        <v>5585</v>
      </c>
      <c r="B782" t="s">
        <v>12242</v>
      </c>
      <c r="C782" t="s">
        <v>118</v>
      </c>
      <c r="D782" s="27" t="s">
        <v>10194</v>
      </c>
      <c r="E782" t="s">
        <v>192</v>
      </c>
      <c r="F782" s="421">
        <v>1</v>
      </c>
      <c r="G782" t="s">
        <v>193</v>
      </c>
      <c r="H782" t="s">
        <v>194</v>
      </c>
      <c r="I782" t="s">
        <v>9491</v>
      </c>
      <c r="J782" t="s">
        <v>385</v>
      </c>
      <c r="K782" t="s">
        <v>12243</v>
      </c>
      <c r="L782" t="s">
        <v>6295</v>
      </c>
      <c r="M782" t="s">
        <v>12244</v>
      </c>
      <c r="N782" t="s">
        <v>9749</v>
      </c>
      <c r="O782" t="s">
        <v>9574</v>
      </c>
      <c r="P782" t="s">
        <v>12245</v>
      </c>
      <c r="Q782" t="s">
        <v>12246</v>
      </c>
      <c r="S782" t="s">
        <v>9309</v>
      </c>
      <c r="T782" s="28" t="s">
        <v>9410</v>
      </c>
      <c r="U782" s="27" t="s">
        <v>277</v>
      </c>
      <c r="V782" t="s">
        <v>194</v>
      </c>
      <c r="W782" t="s">
        <v>9300</v>
      </c>
      <c r="Z782" t="s">
        <v>9311</v>
      </c>
      <c r="AF782" t="s">
        <v>4714</v>
      </c>
      <c r="AG782" t="s">
        <v>12242</v>
      </c>
      <c r="AI782" t="s">
        <v>6955</v>
      </c>
      <c r="AJ782" s="424" t="str">
        <f t="shared" si="36"/>
        <v>211302</v>
      </c>
      <c r="AK782" s="28">
        <v>1</v>
      </c>
      <c r="AL782" s="28">
        <f t="shared" si="38"/>
        <v>1</v>
      </c>
      <c r="AM782" s="28" t="str">
        <f t="shared" si="37"/>
        <v>pracuj.pl</v>
      </c>
    </row>
    <row r="783" spans="1:40" x14ac:dyDescent="0.25">
      <c r="A783" t="s">
        <v>9522</v>
      </c>
      <c r="B783" t="s">
        <v>9716</v>
      </c>
      <c r="C783" t="s">
        <v>2861</v>
      </c>
      <c r="D783" s="27" t="s">
        <v>9299</v>
      </c>
      <c r="E783" t="s">
        <v>217</v>
      </c>
      <c r="F783" s="421">
        <v>1</v>
      </c>
      <c r="G783" t="s">
        <v>193</v>
      </c>
      <c r="H783" t="s">
        <v>194</v>
      </c>
      <c r="I783" t="s">
        <v>9430</v>
      </c>
      <c r="J783" t="s">
        <v>9717</v>
      </c>
      <c r="K783" t="s">
        <v>9718</v>
      </c>
      <c r="L783" t="s">
        <v>6261</v>
      </c>
      <c r="M783" t="s">
        <v>9428</v>
      </c>
      <c r="N783" t="s">
        <v>9719</v>
      </c>
      <c r="O783" t="s">
        <v>9574</v>
      </c>
      <c r="P783" t="s">
        <v>9720</v>
      </c>
      <c r="Q783" t="s">
        <v>9721</v>
      </c>
      <c r="S783" t="s">
        <v>9309</v>
      </c>
      <c r="U783" s="27" t="s">
        <v>3629</v>
      </c>
      <c r="V783" t="s">
        <v>193</v>
      </c>
      <c r="W783" t="s">
        <v>9310</v>
      </c>
      <c r="Z783" t="s">
        <v>9311</v>
      </c>
      <c r="AF783" t="s">
        <v>4714</v>
      </c>
      <c r="AG783" t="s">
        <v>9433</v>
      </c>
      <c r="AI783" t="s">
        <v>6955</v>
      </c>
      <c r="AJ783" s="424" t="str">
        <f t="shared" si="36"/>
        <v>251903</v>
      </c>
      <c r="AK783" s="28">
        <v>1</v>
      </c>
      <c r="AL783" s="28">
        <f t="shared" si="38"/>
        <v>1</v>
      </c>
      <c r="AM783" s="28" t="str">
        <f t="shared" si="37"/>
        <v>agora</v>
      </c>
      <c r="AN783">
        <v>8</v>
      </c>
    </row>
    <row r="784" spans="1:40" x14ac:dyDescent="0.25">
      <c r="A784" t="s">
        <v>493</v>
      </c>
      <c r="B784" t="s">
        <v>10316</v>
      </c>
      <c r="C784" t="s">
        <v>2861</v>
      </c>
      <c r="D784" s="27" t="s">
        <v>9299</v>
      </c>
      <c r="E784" t="s">
        <v>192</v>
      </c>
      <c r="F784" s="421">
        <v>1</v>
      </c>
      <c r="G784" t="s">
        <v>193</v>
      </c>
      <c r="H784" t="s">
        <v>194</v>
      </c>
      <c r="I784" t="s">
        <v>9412</v>
      </c>
      <c r="J784" t="s">
        <v>210</v>
      </c>
      <c r="K784" t="s">
        <v>10317</v>
      </c>
      <c r="L784" t="s">
        <v>6327</v>
      </c>
      <c r="M784" t="s">
        <v>9304</v>
      </c>
      <c r="N784" t="s">
        <v>9305</v>
      </c>
      <c r="O784" t="s">
        <v>9306</v>
      </c>
      <c r="P784" t="s">
        <v>10318</v>
      </c>
      <c r="Q784" t="s">
        <v>10319</v>
      </c>
      <c r="S784" t="s">
        <v>9309</v>
      </c>
      <c r="T784" s="28" t="s">
        <v>9334</v>
      </c>
      <c r="U784" s="27" t="s">
        <v>3629</v>
      </c>
      <c r="V784" t="s">
        <v>194</v>
      </c>
      <c r="W784" t="s">
        <v>9300</v>
      </c>
      <c r="Z784" t="s">
        <v>9311</v>
      </c>
      <c r="AF784" t="s">
        <v>4714</v>
      </c>
      <c r="AG784" t="s">
        <v>10316</v>
      </c>
      <c r="AI784" t="s">
        <v>6955</v>
      </c>
      <c r="AJ784" s="424" t="str">
        <f t="shared" si="36"/>
        <v>251903</v>
      </c>
      <c r="AK784" s="28">
        <v>1</v>
      </c>
      <c r="AL784" s="28">
        <f t="shared" si="38"/>
        <v>1</v>
      </c>
      <c r="AM784" s="28" t="str">
        <f t="shared" si="37"/>
        <v>pracuj.pl</v>
      </c>
      <c r="AN784">
        <v>9</v>
      </c>
    </row>
    <row r="785" spans="1:40" x14ac:dyDescent="0.25">
      <c r="A785" t="s">
        <v>493</v>
      </c>
      <c r="B785" t="s">
        <v>10324</v>
      </c>
      <c r="C785" t="s">
        <v>2861</v>
      </c>
      <c r="D785" s="27" t="s">
        <v>9299</v>
      </c>
      <c r="E785" t="s">
        <v>192</v>
      </c>
      <c r="F785" s="421">
        <v>1</v>
      </c>
      <c r="G785" t="s">
        <v>193</v>
      </c>
      <c r="H785" t="s">
        <v>194</v>
      </c>
      <c r="I785" t="s">
        <v>9989</v>
      </c>
      <c r="J785" t="s">
        <v>210</v>
      </c>
      <c r="K785" t="s">
        <v>10325</v>
      </c>
      <c r="L785" t="s">
        <v>6261</v>
      </c>
      <c r="M785" t="s">
        <v>9304</v>
      </c>
      <c r="N785" t="s">
        <v>9305</v>
      </c>
      <c r="O785" t="s">
        <v>9306</v>
      </c>
      <c r="P785" t="s">
        <v>10326</v>
      </c>
      <c r="Q785" t="s">
        <v>10327</v>
      </c>
      <c r="S785" t="s">
        <v>9309</v>
      </c>
      <c r="T785" s="28" t="s">
        <v>9334</v>
      </c>
      <c r="U785" s="27" t="s">
        <v>3629</v>
      </c>
      <c r="V785" t="s">
        <v>194</v>
      </c>
      <c r="W785" t="s">
        <v>9300</v>
      </c>
      <c r="Z785" t="s">
        <v>9311</v>
      </c>
      <c r="AF785" t="s">
        <v>4714</v>
      </c>
      <c r="AG785" t="s">
        <v>10324</v>
      </c>
      <c r="AI785" t="s">
        <v>6955</v>
      </c>
      <c r="AJ785" s="424" t="str">
        <f t="shared" si="36"/>
        <v>251903</v>
      </c>
      <c r="AK785" s="28">
        <v>1</v>
      </c>
      <c r="AL785" s="28">
        <f t="shared" si="38"/>
        <v>1</v>
      </c>
      <c r="AM785" s="28" t="str">
        <f t="shared" si="37"/>
        <v>pracuj.pl</v>
      </c>
      <c r="AN785">
        <v>10</v>
      </c>
    </row>
    <row r="786" spans="1:40" x14ac:dyDescent="0.25">
      <c r="A786" t="s">
        <v>493</v>
      </c>
      <c r="B786" t="s">
        <v>10346</v>
      </c>
      <c r="C786" t="s">
        <v>2861</v>
      </c>
      <c r="D786" s="27" t="s">
        <v>9299</v>
      </c>
      <c r="E786" t="s">
        <v>192</v>
      </c>
      <c r="F786" s="421">
        <v>1</v>
      </c>
      <c r="G786" t="s">
        <v>193</v>
      </c>
      <c r="H786" t="s">
        <v>194</v>
      </c>
      <c r="I786" t="s">
        <v>9412</v>
      </c>
      <c r="J786" t="s">
        <v>210</v>
      </c>
      <c r="K786" t="s">
        <v>10347</v>
      </c>
      <c r="L786" t="s">
        <v>6261</v>
      </c>
      <c r="M786" t="s">
        <v>9304</v>
      </c>
      <c r="N786" t="s">
        <v>9305</v>
      </c>
      <c r="O786" t="s">
        <v>9306</v>
      </c>
      <c r="P786" t="s">
        <v>10348</v>
      </c>
      <c r="Q786" t="s">
        <v>10349</v>
      </c>
      <c r="S786" t="s">
        <v>9309</v>
      </c>
      <c r="T786" s="28" t="s">
        <v>9334</v>
      </c>
      <c r="U786" s="27" t="s">
        <v>3629</v>
      </c>
      <c r="V786" t="s">
        <v>194</v>
      </c>
      <c r="W786" t="s">
        <v>9300</v>
      </c>
      <c r="Z786" t="s">
        <v>9311</v>
      </c>
      <c r="AF786" t="s">
        <v>4714</v>
      </c>
      <c r="AG786" t="s">
        <v>10346</v>
      </c>
      <c r="AI786" t="s">
        <v>6955</v>
      </c>
      <c r="AJ786" s="424" t="str">
        <f t="shared" si="36"/>
        <v>251903</v>
      </c>
      <c r="AK786" s="28">
        <v>1</v>
      </c>
      <c r="AL786" s="28">
        <f t="shared" si="38"/>
        <v>1</v>
      </c>
      <c r="AM786" s="28" t="str">
        <f t="shared" si="37"/>
        <v>pracuj.pl</v>
      </c>
    </row>
    <row r="787" spans="1:40" x14ac:dyDescent="0.25">
      <c r="A787" t="s">
        <v>12264</v>
      </c>
      <c r="B787" t="s">
        <v>12265</v>
      </c>
      <c r="C787" t="s">
        <v>18</v>
      </c>
      <c r="D787" s="27" t="s">
        <v>10194</v>
      </c>
      <c r="E787" t="s">
        <v>192</v>
      </c>
      <c r="F787" s="421">
        <v>1</v>
      </c>
      <c r="G787" t="s">
        <v>193</v>
      </c>
      <c r="H787" t="s">
        <v>194</v>
      </c>
      <c r="I787" t="s">
        <v>12260</v>
      </c>
      <c r="J787" t="s">
        <v>9302</v>
      </c>
      <c r="K787" t="s">
        <v>12266</v>
      </c>
      <c r="L787" t="s">
        <v>6286</v>
      </c>
      <c r="M787" t="s">
        <v>12244</v>
      </c>
      <c r="N787" t="s">
        <v>9749</v>
      </c>
      <c r="O787" t="s">
        <v>9574</v>
      </c>
      <c r="P787" t="s">
        <v>12267</v>
      </c>
      <c r="Q787" t="s">
        <v>12268</v>
      </c>
      <c r="S787" t="s">
        <v>9309</v>
      </c>
      <c r="U787" s="27" t="s">
        <v>1476</v>
      </c>
      <c r="V787" t="s">
        <v>193</v>
      </c>
      <c r="W787" t="s">
        <v>9310</v>
      </c>
      <c r="Z787" t="s">
        <v>9311</v>
      </c>
      <c r="AF787" t="s">
        <v>4714</v>
      </c>
      <c r="AG787" t="s">
        <v>12265</v>
      </c>
      <c r="AI787" t="s">
        <v>6955</v>
      </c>
      <c r="AJ787" s="424" t="str">
        <f t="shared" si="36"/>
        <v>242309</v>
      </c>
      <c r="AK787" s="28">
        <v>1</v>
      </c>
      <c r="AL787" s="28">
        <f t="shared" si="38"/>
        <v>1</v>
      </c>
      <c r="AM787" s="28" t="str">
        <f t="shared" si="37"/>
        <v>pracuj.pl</v>
      </c>
    </row>
    <row r="788" spans="1:40" x14ac:dyDescent="0.25">
      <c r="A788" t="s">
        <v>12269</v>
      </c>
      <c r="B788" t="s">
        <v>12270</v>
      </c>
      <c r="C788" t="s">
        <v>119</v>
      </c>
      <c r="D788" s="27" t="s">
        <v>10194</v>
      </c>
      <c r="E788" t="s">
        <v>192</v>
      </c>
      <c r="F788" s="421">
        <v>1</v>
      </c>
      <c r="G788" t="s">
        <v>193</v>
      </c>
      <c r="H788" t="s">
        <v>194</v>
      </c>
      <c r="I788" t="s">
        <v>12271</v>
      </c>
      <c r="J788" t="s">
        <v>210</v>
      </c>
      <c r="K788" t="s">
        <v>12272</v>
      </c>
      <c r="L788" t="s">
        <v>6266</v>
      </c>
      <c r="M788" t="s">
        <v>12244</v>
      </c>
      <c r="N788" t="s">
        <v>9749</v>
      </c>
      <c r="O788" t="s">
        <v>9574</v>
      </c>
      <c r="P788" t="s">
        <v>12273</v>
      </c>
      <c r="Q788" t="s">
        <v>12274</v>
      </c>
      <c r="S788" t="s">
        <v>9309</v>
      </c>
      <c r="T788" s="28" t="s">
        <v>9334</v>
      </c>
      <c r="U788" s="27" t="s">
        <v>666</v>
      </c>
      <c r="V788" t="s">
        <v>194</v>
      </c>
      <c r="W788" t="s">
        <v>9300</v>
      </c>
      <c r="Z788" t="s">
        <v>9311</v>
      </c>
      <c r="AF788" t="s">
        <v>4714</v>
      </c>
      <c r="AG788" t="s">
        <v>12270</v>
      </c>
      <c r="AI788" t="s">
        <v>6955</v>
      </c>
      <c r="AJ788" s="424" t="str">
        <f t="shared" si="36"/>
        <v>333105</v>
      </c>
      <c r="AK788" s="28">
        <v>1</v>
      </c>
      <c r="AL788" s="28">
        <f t="shared" si="38"/>
        <v>1</v>
      </c>
      <c r="AM788" s="28" t="str">
        <f t="shared" si="37"/>
        <v>pracuj.pl</v>
      </c>
    </row>
    <row r="789" spans="1:40" x14ac:dyDescent="0.25">
      <c r="A789" t="s">
        <v>919</v>
      </c>
      <c r="B789" t="s">
        <v>12275</v>
      </c>
      <c r="C789" t="s">
        <v>706</v>
      </c>
      <c r="D789" s="27" t="s">
        <v>10194</v>
      </c>
      <c r="E789" t="s">
        <v>192</v>
      </c>
      <c r="F789" s="421">
        <v>1</v>
      </c>
      <c r="G789" t="s">
        <v>193</v>
      </c>
      <c r="H789" t="s">
        <v>194</v>
      </c>
      <c r="I789" t="s">
        <v>9369</v>
      </c>
      <c r="J789" t="s">
        <v>210</v>
      </c>
      <c r="K789" t="s">
        <v>12276</v>
      </c>
      <c r="L789" t="s">
        <v>6254</v>
      </c>
      <c r="M789" t="s">
        <v>12244</v>
      </c>
      <c r="N789" t="s">
        <v>9749</v>
      </c>
      <c r="O789" t="s">
        <v>9574</v>
      </c>
      <c r="P789" t="s">
        <v>12277</v>
      </c>
      <c r="Q789" t="s">
        <v>12278</v>
      </c>
      <c r="S789" t="s">
        <v>9309</v>
      </c>
      <c r="T789" s="28" t="s">
        <v>9334</v>
      </c>
      <c r="U789" s="27" t="s">
        <v>707</v>
      </c>
      <c r="V789" t="s">
        <v>194</v>
      </c>
      <c r="W789" t="s">
        <v>9300</v>
      </c>
      <c r="Z789" t="s">
        <v>9311</v>
      </c>
      <c r="AF789" t="s">
        <v>4714</v>
      </c>
      <c r="AG789" t="s">
        <v>12275</v>
      </c>
      <c r="AI789" t="s">
        <v>6955</v>
      </c>
      <c r="AJ789" s="424" t="str">
        <f t="shared" si="36"/>
        <v>422201</v>
      </c>
      <c r="AK789" s="28">
        <v>1</v>
      </c>
      <c r="AL789" s="28">
        <f t="shared" si="38"/>
        <v>1</v>
      </c>
      <c r="AM789" s="28" t="str">
        <f t="shared" si="37"/>
        <v>pracuj.pl</v>
      </c>
    </row>
    <row r="790" spans="1:40" x14ac:dyDescent="0.25">
      <c r="A790" t="s">
        <v>9373</v>
      </c>
      <c r="B790" t="s">
        <v>10597</v>
      </c>
      <c r="C790" t="s">
        <v>2861</v>
      </c>
      <c r="D790" s="27" t="s">
        <v>9835</v>
      </c>
      <c r="E790" t="s">
        <v>192</v>
      </c>
      <c r="F790" s="421">
        <v>1</v>
      </c>
      <c r="G790" t="s">
        <v>193</v>
      </c>
      <c r="H790" t="s">
        <v>194</v>
      </c>
      <c r="I790" t="s">
        <v>10529</v>
      </c>
      <c r="J790" t="s">
        <v>9302</v>
      </c>
      <c r="K790" t="s">
        <v>10598</v>
      </c>
      <c r="L790" t="s">
        <v>6261</v>
      </c>
      <c r="M790" t="s">
        <v>10519</v>
      </c>
      <c r="N790" t="s">
        <v>10045</v>
      </c>
      <c r="O790" t="s">
        <v>9369</v>
      </c>
      <c r="P790" t="s">
        <v>10599</v>
      </c>
      <c r="Q790" t="s">
        <v>10600</v>
      </c>
      <c r="S790" t="s">
        <v>9309</v>
      </c>
      <c r="U790" s="27" t="s">
        <v>3629</v>
      </c>
      <c r="V790" t="s">
        <v>193</v>
      </c>
      <c r="W790" t="s">
        <v>9310</v>
      </c>
      <c r="Z790" t="s">
        <v>9311</v>
      </c>
      <c r="AF790" t="s">
        <v>4714</v>
      </c>
      <c r="AG790" t="s">
        <v>10597</v>
      </c>
      <c r="AI790" t="s">
        <v>6955</v>
      </c>
      <c r="AJ790" s="424" t="str">
        <f t="shared" si="36"/>
        <v>251903</v>
      </c>
      <c r="AK790" s="28">
        <v>1</v>
      </c>
      <c r="AL790" s="28">
        <f t="shared" si="38"/>
        <v>1</v>
      </c>
      <c r="AM790" s="28" t="str">
        <f t="shared" si="37"/>
        <v>pracuj.pl</v>
      </c>
    </row>
    <row r="791" spans="1:40" x14ac:dyDescent="0.25">
      <c r="A791" t="s">
        <v>10533</v>
      </c>
      <c r="B791" t="s">
        <v>12284</v>
      </c>
      <c r="C791" t="s">
        <v>113</v>
      </c>
      <c r="D791" s="27" t="s">
        <v>10194</v>
      </c>
      <c r="E791" t="s">
        <v>192</v>
      </c>
      <c r="F791" s="421">
        <v>1</v>
      </c>
      <c r="G791" t="s">
        <v>193</v>
      </c>
      <c r="H791" t="s">
        <v>194</v>
      </c>
      <c r="I791" t="s">
        <v>12285</v>
      </c>
      <c r="J791" t="s">
        <v>210</v>
      </c>
      <c r="K791" t="s">
        <v>12286</v>
      </c>
      <c r="L791" t="s">
        <v>6340</v>
      </c>
      <c r="M791" t="s">
        <v>12244</v>
      </c>
      <c r="N791" t="s">
        <v>9749</v>
      </c>
      <c r="O791" t="s">
        <v>9574</v>
      </c>
      <c r="P791" t="s">
        <v>12287</v>
      </c>
      <c r="Q791" t="s">
        <v>12288</v>
      </c>
      <c r="S791" t="s">
        <v>9309</v>
      </c>
      <c r="T791" s="28" t="s">
        <v>9334</v>
      </c>
      <c r="U791" s="27" t="s">
        <v>465</v>
      </c>
      <c r="V791" t="s">
        <v>194</v>
      </c>
      <c r="W791" t="s">
        <v>9300</v>
      </c>
      <c r="Z791" t="s">
        <v>9311</v>
      </c>
      <c r="AF791" t="s">
        <v>4714</v>
      </c>
      <c r="AG791" t="s">
        <v>12284</v>
      </c>
      <c r="AI791" t="s">
        <v>6955</v>
      </c>
      <c r="AJ791" s="424" t="str">
        <f t="shared" si="36"/>
        <v>243302</v>
      </c>
      <c r="AK791" s="28">
        <v>1</v>
      </c>
      <c r="AL791" s="28">
        <f t="shared" si="38"/>
        <v>1</v>
      </c>
      <c r="AM791" s="28" t="str">
        <f t="shared" si="37"/>
        <v>pracuj.pl</v>
      </c>
    </row>
    <row r="792" spans="1:40" x14ac:dyDescent="0.25">
      <c r="A792" t="s">
        <v>10533</v>
      </c>
      <c r="B792" t="s">
        <v>12289</v>
      </c>
      <c r="C792" t="s">
        <v>27</v>
      </c>
      <c r="D792" s="27" t="s">
        <v>10194</v>
      </c>
      <c r="E792" t="s">
        <v>192</v>
      </c>
      <c r="F792" s="421">
        <v>1</v>
      </c>
      <c r="G792" t="s">
        <v>193</v>
      </c>
      <c r="H792" t="s">
        <v>194</v>
      </c>
      <c r="I792" t="s">
        <v>9318</v>
      </c>
      <c r="J792" t="s">
        <v>210</v>
      </c>
      <c r="K792" t="s">
        <v>12290</v>
      </c>
      <c r="L792" t="s">
        <v>7531</v>
      </c>
      <c r="M792" t="s">
        <v>12244</v>
      </c>
      <c r="N792" t="s">
        <v>9749</v>
      </c>
      <c r="O792" t="s">
        <v>9574</v>
      </c>
      <c r="P792" t="s">
        <v>12291</v>
      </c>
      <c r="Q792" t="s">
        <v>12292</v>
      </c>
      <c r="S792" t="s">
        <v>9309</v>
      </c>
      <c r="T792" s="28" t="s">
        <v>9334</v>
      </c>
      <c r="U792" s="27" t="s">
        <v>440</v>
      </c>
      <c r="V792" t="s">
        <v>194</v>
      </c>
      <c r="W792" t="s">
        <v>9300</v>
      </c>
      <c r="Z792" t="s">
        <v>9311</v>
      </c>
      <c r="AF792" t="s">
        <v>4714</v>
      </c>
      <c r="AG792" t="s">
        <v>12289</v>
      </c>
      <c r="AI792" t="s">
        <v>6955</v>
      </c>
      <c r="AJ792" s="424" t="str">
        <f t="shared" si="36"/>
        <v>242307</v>
      </c>
      <c r="AK792" s="28">
        <v>1</v>
      </c>
      <c r="AL792" s="28">
        <f t="shared" si="38"/>
        <v>1</v>
      </c>
      <c r="AM792" s="28" t="str">
        <f t="shared" si="37"/>
        <v>pracuj.pl</v>
      </c>
    </row>
    <row r="793" spans="1:40" x14ac:dyDescent="0.25">
      <c r="A793" t="s">
        <v>10533</v>
      </c>
      <c r="B793" t="s">
        <v>12293</v>
      </c>
      <c r="C793" t="s">
        <v>27</v>
      </c>
      <c r="D793" s="27" t="s">
        <v>10194</v>
      </c>
      <c r="E793" t="s">
        <v>192</v>
      </c>
      <c r="F793" s="421">
        <v>1</v>
      </c>
      <c r="G793" t="s">
        <v>193</v>
      </c>
      <c r="H793" t="s">
        <v>194</v>
      </c>
      <c r="I793" t="s">
        <v>9318</v>
      </c>
      <c r="J793" t="s">
        <v>210</v>
      </c>
      <c r="K793" t="s">
        <v>12294</v>
      </c>
      <c r="L793" t="s">
        <v>7531</v>
      </c>
      <c r="M793" t="s">
        <v>12244</v>
      </c>
      <c r="N793" t="s">
        <v>9749</v>
      </c>
      <c r="O793" t="s">
        <v>9574</v>
      </c>
      <c r="P793" t="s">
        <v>12295</v>
      </c>
      <c r="Q793" t="s">
        <v>12296</v>
      </c>
      <c r="S793" t="s">
        <v>9309</v>
      </c>
      <c r="T793" s="28" t="s">
        <v>9334</v>
      </c>
      <c r="U793" s="27" t="s">
        <v>440</v>
      </c>
      <c r="V793" t="s">
        <v>194</v>
      </c>
      <c r="W793" t="s">
        <v>9300</v>
      </c>
      <c r="Z793" t="s">
        <v>9311</v>
      </c>
      <c r="AF793" t="s">
        <v>4714</v>
      </c>
      <c r="AG793" t="s">
        <v>12293</v>
      </c>
      <c r="AI793" t="s">
        <v>6955</v>
      </c>
      <c r="AJ793" s="424" t="str">
        <f t="shared" si="36"/>
        <v>242307</v>
      </c>
      <c r="AK793" s="28">
        <v>1</v>
      </c>
      <c r="AL793" s="28">
        <f t="shared" si="38"/>
        <v>1</v>
      </c>
      <c r="AM793" s="28" t="str">
        <f t="shared" si="37"/>
        <v>pracuj.pl</v>
      </c>
    </row>
    <row r="794" spans="1:40" x14ac:dyDescent="0.25">
      <c r="A794" t="s">
        <v>602</v>
      </c>
      <c r="B794" t="s">
        <v>12297</v>
      </c>
      <c r="C794" t="s">
        <v>3845</v>
      </c>
      <c r="D794" s="27" t="s">
        <v>10194</v>
      </c>
      <c r="E794" t="s">
        <v>192</v>
      </c>
      <c r="F794" s="421">
        <v>1</v>
      </c>
      <c r="G794" t="s">
        <v>193</v>
      </c>
      <c r="H794" t="s">
        <v>194</v>
      </c>
      <c r="I794" t="s">
        <v>12285</v>
      </c>
      <c r="J794" t="s">
        <v>4751</v>
      </c>
      <c r="K794" t="s">
        <v>12298</v>
      </c>
      <c r="L794" t="s">
        <v>6288</v>
      </c>
      <c r="M794" t="s">
        <v>12244</v>
      </c>
      <c r="N794" t="s">
        <v>9749</v>
      </c>
      <c r="O794" t="s">
        <v>9574</v>
      </c>
      <c r="P794" t="s">
        <v>12299</v>
      </c>
      <c r="Q794" t="s">
        <v>12300</v>
      </c>
      <c r="S794" t="s">
        <v>9309</v>
      </c>
      <c r="T794" s="28" t="s">
        <v>9472</v>
      </c>
      <c r="U794" s="27" t="s">
        <v>3846</v>
      </c>
      <c r="V794" t="s">
        <v>194</v>
      </c>
      <c r="W794" t="s">
        <v>9300</v>
      </c>
      <c r="Z794" t="s">
        <v>9311</v>
      </c>
      <c r="AF794" t="s">
        <v>4714</v>
      </c>
      <c r="AG794" t="s">
        <v>12297</v>
      </c>
      <c r="AI794" t="s">
        <v>6955</v>
      </c>
      <c r="AJ794" s="424" t="str">
        <f t="shared" si="36"/>
        <v>229301</v>
      </c>
      <c r="AK794" s="28">
        <v>1</v>
      </c>
      <c r="AL794" s="28">
        <f t="shared" si="38"/>
        <v>1</v>
      </c>
      <c r="AM794" s="28" t="str">
        <f t="shared" si="37"/>
        <v>pracuj.pl</v>
      </c>
    </row>
    <row r="795" spans="1:40" x14ac:dyDescent="0.25">
      <c r="A795" t="s">
        <v>9522</v>
      </c>
      <c r="B795" t="s">
        <v>10722</v>
      </c>
      <c r="C795" t="s">
        <v>2861</v>
      </c>
      <c r="D795" s="27" t="s">
        <v>9835</v>
      </c>
      <c r="E795" t="s">
        <v>217</v>
      </c>
      <c r="F795" s="421">
        <v>1</v>
      </c>
      <c r="G795" t="s">
        <v>193</v>
      </c>
      <c r="H795" t="s">
        <v>194</v>
      </c>
      <c r="I795" t="s">
        <v>9491</v>
      </c>
      <c r="J795" t="s">
        <v>9524</v>
      </c>
      <c r="K795" t="s">
        <v>10723</v>
      </c>
      <c r="L795" t="s">
        <v>6921</v>
      </c>
      <c r="M795" t="s">
        <v>10618</v>
      </c>
      <c r="N795" t="s">
        <v>9911</v>
      </c>
      <c r="O795" t="s">
        <v>9342</v>
      </c>
      <c r="P795" t="s">
        <v>10724</v>
      </c>
      <c r="Q795" t="s">
        <v>10725</v>
      </c>
      <c r="S795" t="s">
        <v>9309</v>
      </c>
      <c r="U795" s="27" t="s">
        <v>3629</v>
      </c>
      <c r="V795" t="s">
        <v>193</v>
      </c>
      <c r="W795" t="s">
        <v>9310</v>
      </c>
      <c r="Z795" t="s">
        <v>9311</v>
      </c>
      <c r="AF795" t="s">
        <v>4714</v>
      </c>
      <c r="AG795" t="s">
        <v>9433</v>
      </c>
      <c r="AI795" t="s">
        <v>6955</v>
      </c>
      <c r="AJ795" s="424" t="str">
        <f t="shared" si="36"/>
        <v>251903</v>
      </c>
      <c r="AK795" s="28">
        <v>1</v>
      </c>
      <c r="AL795" s="28">
        <f t="shared" si="38"/>
        <v>1</v>
      </c>
      <c r="AM795" s="28" t="str">
        <f t="shared" si="37"/>
        <v>agora</v>
      </c>
    </row>
    <row r="796" spans="1:40" x14ac:dyDescent="0.25">
      <c r="A796" t="s">
        <v>9522</v>
      </c>
      <c r="B796" t="s">
        <v>10726</v>
      </c>
      <c r="C796" t="s">
        <v>2861</v>
      </c>
      <c r="D796" s="27" t="s">
        <v>9835</v>
      </c>
      <c r="E796" t="s">
        <v>217</v>
      </c>
      <c r="F796" s="421">
        <v>1</v>
      </c>
      <c r="G796" t="s">
        <v>193</v>
      </c>
      <c r="H796" t="s">
        <v>194</v>
      </c>
      <c r="I796" t="s">
        <v>9491</v>
      </c>
      <c r="J796" t="s">
        <v>9524</v>
      </c>
      <c r="K796" t="s">
        <v>10727</v>
      </c>
      <c r="L796" t="s">
        <v>6921</v>
      </c>
      <c r="M796" t="s">
        <v>10618</v>
      </c>
      <c r="N796" t="s">
        <v>9573</v>
      </c>
      <c r="O796" t="s">
        <v>9342</v>
      </c>
      <c r="P796" t="s">
        <v>10728</v>
      </c>
      <c r="Q796" t="s">
        <v>10729</v>
      </c>
      <c r="S796" t="s">
        <v>9309</v>
      </c>
      <c r="U796" s="27" t="s">
        <v>3629</v>
      </c>
      <c r="V796" t="s">
        <v>193</v>
      </c>
      <c r="W796" t="s">
        <v>9310</v>
      </c>
      <c r="Z796" t="s">
        <v>9311</v>
      </c>
      <c r="AF796" t="s">
        <v>4714</v>
      </c>
      <c r="AG796" t="s">
        <v>9433</v>
      </c>
      <c r="AI796" t="s">
        <v>6955</v>
      </c>
      <c r="AJ796" s="424" t="str">
        <f t="shared" si="36"/>
        <v>251903</v>
      </c>
      <c r="AK796" s="28">
        <v>1</v>
      </c>
      <c r="AL796" s="28">
        <f t="shared" si="38"/>
        <v>1</v>
      </c>
      <c r="AM796" s="28" t="str">
        <f t="shared" si="37"/>
        <v>agora</v>
      </c>
    </row>
    <row r="797" spans="1:40" x14ac:dyDescent="0.25">
      <c r="A797" t="s">
        <v>9522</v>
      </c>
      <c r="B797" t="s">
        <v>10789</v>
      </c>
      <c r="C797" t="s">
        <v>2861</v>
      </c>
      <c r="D797" s="27" t="s">
        <v>9835</v>
      </c>
      <c r="E797" t="s">
        <v>217</v>
      </c>
      <c r="F797" s="421">
        <v>1</v>
      </c>
      <c r="G797" t="s">
        <v>193</v>
      </c>
      <c r="H797" t="s">
        <v>194</v>
      </c>
      <c r="I797" t="s">
        <v>9430</v>
      </c>
      <c r="J797" t="s">
        <v>210</v>
      </c>
      <c r="K797" t="s">
        <v>10790</v>
      </c>
      <c r="L797" t="s">
        <v>6261</v>
      </c>
      <c r="M797" t="s">
        <v>10618</v>
      </c>
      <c r="N797" t="s">
        <v>9429</v>
      </c>
      <c r="O797" t="s">
        <v>9305</v>
      </c>
      <c r="P797" t="s">
        <v>10791</v>
      </c>
      <c r="Q797" t="s">
        <v>10792</v>
      </c>
      <c r="S797" t="s">
        <v>9309</v>
      </c>
      <c r="T797" s="28" t="s">
        <v>9334</v>
      </c>
      <c r="U797" s="27" t="s">
        <v>3629</v>
      </c>
      <c r="V797" t="s">
        <v>194</v>
      </c>
      <c r="W797" t="s">
        <v>9300</v>
      </c>
      <c r="Z797" t="s">
        <v>9311</v>
      </c>
      <c r="AF797" t="s">
        <v>4714</v>
      </c>
      <c r="AG797" t="s">
        <v>9433</v>
      </c>
      <c r="AI797" t="s">
        <v>6955</v>
      </c>
      <c r="AJ797" s="424" t="str">
        <f t="shared" si="36"/>
        <v>251903</v>
      </c>
      <c r="AK797" s="28">
        <v>1</v>
      </c>
      <c r="AL797" s="28">
        <f t="shared" si="38"/>
        <v>1</v>
      </c>
      <c r="AM797" s="28" t="str">
        <f t="shared" si="37"/>
        <v>agora</v>
      </c>
    </row>
    <row r="798" spans="1:40" x14ac:dyDescent="0.25">
      <c r="A798" t="s">
        <v>1390</v>
      </c>
      <c r="B798" t="s">
        <v>12314</v>
      </c>
      <c r="C798" t="s">
        <v>721</v>
      </c>
      <c r="D798" s="27" t="s">
        <v>10194</v>
      </c>
      <c r="E798" t="s">
        <v>192</v>
      </c>
      <c r="F798" s="421">
        <v>1</v>
      </c>
      <c r="G798" t="s">
        <v>193</v>
      </c>
      <c r="H798" t="s">
        <v>194</v>
      </c>
      <c r="I798" t="s">
        <v>12306</v>
      </c>
      <c r="J798" t="s">
        <v>1392</v>
      </c>
      <c r="K798" t="s">
        <v>12315</v>
      </c>
      <c r="L798" t="s">
        <v>6363</v>
      </c>
      <c r="M798" t="s">
        <v>12244</v>
      </c>
      <c r="N798" t="s">
        <v>9749</v>
      </c>
      <c r="O798" t="s">
        <v>9574</v>
      </c>
      <c r="P798" t="s">
        <v>12316</v>
      </c>
      <c r="Q798" t="s">
        <v>12317</v>
      </c>
      <c r="S798" t="s">
        <v>9309</v>
      </c>
      <c r="T798" s="28" t="s">
        <v>9753</v>
      </c>
      <c r="U798" s="27" t="s">
        <v>723</v>
      </c>
      <c r="V798" t="s">
        <v>194</v>
      </c>
      <c r="W798" t="s">
        <v>9300</v>
      </c>
      <c r="Z798" t="s">
        <v>9311</v>
      </c>
      <c r="AF798" t="s">
        <v>4714</v>
      </c>
      <c r="AG798" t="s">
        <v>12314</v>
      </c>
      <c r="AI798" t="s">
        <v>6955</v>
      </c>
      <c r="AJ798" s="424" t="str">
        <f t="shared" si="36"/>
        <v>432201</v>
      </c>
      <c r="AK798" s="28">
        <v>1</v>
      </c>
      <c r="AL798" s="28">
        <f t="shared" si="38"/>
        <v>1</v>
      </c>
      <c r="AM798" s="28" t="str">
        <f t="shared" si="37"/>
        <v>pracuj.pl</v>
      </c>
    </row>
    <row r="799" spans="1:40" x14ac:dyDescent="0.25">
      <c r="A799" t="s">
        <v>9522</v>
      </c>
      <c r="B799" t="s">
        <v>9618</v>
      </c>
      <c r="C799" t="s">
        <v>2861</v>
      </c>
      <c r="D799" s="27" t="s">
        <v>9835</v>
      </c>
      <c r="E799" t="s">
        <v>217</v>
      </c>
      <c r="F799" s="421">
        <v>1</v>
      </c>
      <c r="G799" t="s">
        <v>193</v>
      </c>
      <c r="H799" t="s">
        <v>194</v>
      </c>
      <c r="I799" t="s">
        <v>9430</v>
      </c>
      <c r="J799" t="s">
        <v>210</v>
      </c>
      <c r="K799" t="s">
        <v>10793</v>
      </c>
      <c r="L799" t="s">
        <v>6261</v>
      </c>
      <c r="M799" t="s">
        <v>10641</v>
      </c>
      <c r="N799" t="s">
        <v>10045</v>
      </c>
      <c r="O799" t="s">
        <v>9305</v>
      </c>
      <c r="P799" t="s">
        <v>10794</v>
      </c>
      <c r="Q799" t="s">
        <v>10795</v>
      </c>
      <c r="S799" t="s">
        <v>9309</v>
      </c>
      <c r="T799" s="28" t="s">
        <v>9334</v>
      </c>
      <c r="U799" s="27" t="s">
        <v>3629</v>
      </c>
      <c r="V799" t="s">
        <v>194</v>
      </c>
      <c r="W799" t="s">
        <v>9300</v>
      </c>
      <c r="Z799" t="s">
        <v>9311</v>
      </c>
      <c r="AF799" t="s">
        <v>4714</v>
      </c>
      <c r="AG799" t="s">
        <v>9433</v>
      </c>
      <c r="AI799" t="s">
        <v>6955</v>
      </c>
      <c r="AJ799" s="424" t="str">
        <f t="shared" si="36"/>
        <v>251903</v>
      </c>
      <c r="AK799" s="28">
        <v>1</v>
      </c>
      <c r="AL799" s="28">
        <f t="shared" si="38"/>
        <v>1</v>
      </c>
      <c r="AM799" s="28" t="str">
        <f t="shared" si="37"/>
        <v>agora</v>
      </c>
    </row>
    <row r="800" spans="1:40" x14ac:dyDescent="0.25">
      <c r="A800" t="s">
        <v>470</v>
      </c>
      <c r="B800" t="s">
        <v>12321</v>
      </c>
      <c r="C800" t="s">
        <v>468</v>
      </c>
      <c r="D800" s="27" t="s">
        <v>10194</v>
      </c>
      <c r="E800" t="s">
        <v>192</v>
      </c>
      <c r="F800" s="421">
        <v>1</v>
      </c>
      <c r="G800" t="s">
        <v>193</v>
      </c>
      <c r="H800" t="s">
        <v>194</v>
      </c>
      <c r="I800" t="s">
        <v>9369</v>
      </c>
      <c r="J800" t="s">
        <v>210</v>
      </c>
      <c r="K800" t="s">
        <v>12322</v>
      </c>
      <c r="L800" t="s">
        <v>6288</v>
      </c>
      <c r="M800" t="s">
        <v>12244</v>
      </c>
      <c r="N800" t="s">
        <v>9749</v>
      </c>
      <c r="O800" t="s">
        <v>9574</v>
      </c>
      <c r="P800" t="s">
        <v>12323</v>
      </c>
      <c r="Q800" t="s">
        <v>12324</v>
      </c>
      <c r="S800" t="s">
        <v>9309</v>
      </c>
      <c r="T800" s="28" t="s">
        <v>9334</v>
      </c>
      <c r="U800" s="27" t="s">
        <v>469</v>
      </c>
      <c r="V800" t="s">
        <v>194</v>
      </c>
      <c r="W800" t="s">
        <v>9300</v>
      </c>
      <c r="Z800" t="s">
        <v>9311</v>
      </c>
      <c r="AF800" t="s">
        <v>4714</v>
      </c>
      <c r="AG800" t="s">
        <v>12321</v>
      </c>
      <c r="AI800" t="s">
        <v>6955</v>
      </c>
      <c r="AJ800" s="424" t="str">
        <f t="shared" si="36"/>
        <v>243303</v>
      </c>
      <c r="AK800" s="28">
        <v>1</v>
      </c>
      <c r="AL800" s="28">
        <f t="shared" si="38"/>
        <v>1</v>
      </c>
      <c r="AM800" s="28" t="str">
        <f t="shared" si="37"/>
        <v>pracuj.pl</v>
      </c>
    </row>
    <row r="801" spans="1:39" x14ac:dyDescent="0.25">
      <c r="A801" t="s">
        <v>470</v>
      </c>
      <c r="B801" t="s">
        <v>12321</v>
      </c>
      <c r="C801" t="s">
        <v>468</v>
      </c>
      <c r="D801" s="27" t="s">
        <v>10194</v>
      </c>
      <c r="E801" t="s">
        <v>192</v>
      </c>
      <c r="F801" s="421">
        <v>1</v>
      </c>
      <c r="G801" t="s">
        <v>193</v>
      </c>
      <c r="H801" t="s">
        <v>194</v>
      </c>
      <c r="I801" t="s">
        <v>9369</v>
      </c>
      <c r="J801" t="s">
        <v>276</v>
      </c>
      <c r="K801" t="s">
        <v>12325</v>
      </c>
      <c r="L801" t="s">
        <v>6288</v>
      </c>
      <c r="M801" t="s">
        <v>12244</v>
      </c>
      <c r="N801" t="s">
        <v>9749</v>
      </c>
      <c r="O801" t="s">
        <v>9574</v>
      </c>
      <c r="P801" t="s">
        <v>12326</v>
      </c>
      <c r="Q801" t="s">
        <v>12327</v>
      </c>
      <c r="S801" t="s">
        <v>9309</v>
      </c>
      <c r="T801" s="28" t="s">
        <v>9786</v>
      </c>
      <c r="U801" s="27" t="s">
        <v>469</v>
      </c>
      <c r="V801" t="s">
        <v>194</v>
      </c>
      <c r="W801" t="s">
        <v>9300</v>
      </c>
      <c r="Z801" t="s">
        <v>9311</v>
      </c>
      <c r="AF801" t="s">
        <v>4714</v>
      </c>
      <c r="AG801" t="s">
        <v>12321</v>
      </c>
      <c r="AI801" t="s">
        <v>6955</v>
      </c>
      <c r="AJ801" s="424" t="str">
        <f t="shared" si="36"/>
        <v>243303</v>
      </c>
      <c r="AK801" s="28">
        <v>1</v>
      </c>
      <c r="AL801" s="28">
        <f t="shared" si="38"/>
        <v>1</v>
      </c>
      <c r="AM801" s="28" t="str">
        <f t="shared" si="37"/>
        <v>pracuj.pl</v>
      </c>
    </row>
    <row r="802" spans="1:39" x14ac:dyDescent="0.25">
      <c r="A802" t="s">
        <v>470</v>
      </c>
      <c r="B802" t="s">
        <v>12321</v>
      </c>
      <c r="C802" t="s">
        <v>468</v>
      </c>
      <c r="D802" s="27" t="s">
        <v>10194</v>
      </c>
      <c r="E802" t="s">
        <v>192</v>
      </c>
      <c r="F802" s="421">
        <v>1</v>
      </c>
      <c r="G802" t="s">
        <v>193</v>
      </c>
      <c r="H802" t="s">
        <v>194</v>
      </c>
      <c r="I802" t="s">
        <v>9369</v>
      </c>
      <c r="J802" t="s">
        <v>223</v>
      </c>
      <c r="K802" t="s">
        <v>12328</v>
      </c>
      <c r="L802" t="s">
        <v>6288</v>
      </c>
      <c r="M802" t="s">
        <v>12244</v>
      </c>
      <c r="N802" t="s">
        <v>9749</v>
      </c>
      <c r="O802" t="s">
        <v>9574</v>
      </c>
      <c r="P802" t="s">
        <v>12329</v>
      </c>
      <c r="Q802" t="s">
        <v>12330</v>
      </c>
      <c r="S802" t="s">
        <v>9309</v>
      </c>
      <c r="T802" s="28" t="s">
        <v>11163</v>
      </c>
      <c r="U802" s="27" t="s">
        <v>469</v>
      </c>
      <c r="V802" t="s">
        <v>194</v>
      </c>
      <c r="W802" t="s">
        <v>9300</v>
      </c>
      <c r="Z802" t="s">
        <v>9311</v>
      </c>
      <c r="AF802" t="s">
        <v>4714</v>
      </c>
      <c r="AG802" t="s">
        <v>12321</v>
      </c>
      <c r="AI802" t="s">
        <v>6955</v>
      </c>
      <c r="AJ802" s="424" t="str">
        <f t="shared" si="36"/>
        <v>243303</v>
      </c>
      <c r="AK802" s="28">
        <v>1</v>
      </c>
      <c r="AL802" s="28">
        <f t="shared" si="38"/>
        <v>1</v>
      </c>
      <c r="AM802" s="28" t="str">
        <f t="shared" si="37"/>
        <v>pracuj.pl</v>
      </c>
    </row>
    <row r="803" spans="1:39" x14ac:dyDescent="0.25">
      <c r="A803" t="s">
        <v>470</v>
      </c>
      <c r="B803" t="s">
        <v>12321</v>
      </c>
      <c r="C803" t="s">
        <v>468</v>
      </c>
      <c r="D803" s="27" t="s">
        <v>10194</v>
      </c>
      <c r="E803" t="s">
        <v>192</v>
      </c>
      <c r="F803" s="421">
        <v>1</v>
      </c>
      <c r="G803" t="s">
        <v>193</v>
      </c>
      <c r="H803" t="s">
        <v>194</v>
      </c>
      <c r="I803" t="s">
        <v>9369</v>
      </c>
      <c r="J803" t="s">
        <v>367</v>
      </c>
      <c r="K803" t="s">
        <v>12331</v>
      </c>
      <c r="L803" t="s">
        <v>6288</v>
      </c>
      <c r="M803" t="s">
        <v>12244</v>
      </c>
      <c r="N803" t="s">
        <v>9749</v>
      </c>
      <c r="O803" t="s">
        <v>9574</v>
      </c>
      <c r="P803" t="s">
        <v>12332</v>
      </c>
      <c r="Q803" t="s">
        <v>12333</v>
      </c>
      <c r="S803" t="s">
        <v>9309</v>
      </c>
      <c r="T803" s="28" t="s">
        <v>9974</v>
      </c>
      <c r="U803" s="27" t="s">
        <v>469</v>
      </c>
      <c r="V803" t="s">
        <v>194</v>
      </c>
      <c r="W803" t="s">
        <v>9300</v>
      </c>
      <c r="Z803" t="s">
        <v>9311</v>
      </c>
      <c r="AF803" t="s">
        <v>4714</v>
      </c>
      <c r="AG803" t="s">
        <v>12321</v>
      </c>
      <c r="AI803" t="s">
        <v>6955</v>
      </c>
      <c r="AJ803" s="424" t="str">
        <f t="shared" si="36"/>
        <v>243303</v>
      </c>
      <c r="AK803" s="28">
        <v>1</v>
      </c>
      <c r="AL803" s="28">
        <f t="shared" si="38"/>
        <v>1</v>
      </c>
      <c r="AM803" s="28" t="str">
        <f t="shared" si="37"/>
        <v>pracuj.pl</v>
      </c>
    </row>
    <row r="804" spans="1:39" x14ac:dyDescent="0.25">
      <c r="A804" t="s">
        <v>470</v>
      </c>
      <c r="B804" t="s">
        <v>12321</v>
      </c>
      <c r="C804" t="s">
        <v>468</v>
      </c>
      <c r="D804" s="27" t="s">
        <v>10194</v>
      </c>
      <c r="E804" t="s">
        <v>192</v>
      </c>
      <c r="F804" s="421">
        <v>1</v>
      </c>
      <c r="G804" t="s">
        <v>193</v>
      </c>
      <c r="H804" t="s">
        <v>194</v>
      </c>
      <c r="I804" t="s">
        <v>9369</v>
      </c>
      <c r="J804" t="s">
        <v>385</v>
      </c>
      <c r="K804" t="s">
        <v>12334</v>
      </c>
      <c r="L804" t="s">
        <v>6288</v>
      </c>
      <c r="M804" t="s">
        <v>12244</v>
      </c>
      <c r="N804" t="s">
        <v>9749</v>
      </c>
      <c r="O804" t="s">
        <v>9574</v>
      </c>
      <c r="P804" t="s">
        <v>12335</v>
      </c>
      <c r="Q804" t="s">
        <v>12336</v>
      </c>
      <c r="S804" t="s">
        <v>9309</v>
      </c>
      <c r="T804" s="28" t="s">
        <v>9410</v>
      </c>
      <c r="U804" s="27" t="s">
        <v>469</v>
      </c>
      <c r="V804" t="s">
        <v>194</v>
      </c>
      <c r="W804" t="s">
        <v>9300</v>
      </c>
      <c r="Z804" t="s">
        <v>9311</v>
      </c>
      <c r="AF804" t="s">
        <v>4714</v>
      </c>
      <c r="AG804" t="s">
        <v>12321</v>
      </c>
      <c r="AI804" t="s">
        <v>6955</v>
      </c>
      <c r="AJ804" s="424" t="str">
        <f t="shared" si="36"/>
        <v>243303</v>
      </c>
      <c r="AK804" s="28">
        <v>1</v>
      </c>
      <c r="AL804" s="28">
        <f t="shared" si="38"/>
        <v>1</v>
      </c>
      <c r="AM804" s="28" t="str">
        <f t="shared" si="37"/>
        <v>pracuj.pl</v>
      </c>
    </row>
    <row r="805" spans="1:39" x14ac:dyDescent="0.25">
      <c r="A805" t="s">
        <v>470</v>
      </c>
      <c r="B805" t="s">
        <v>12321</v>
      </c>
      <c r="C805" t="s">
        <v>468</v>
      </c>
      <c r="D805" s="27" t="s">
        <v>10194</v>
      </c>
      <c r="E805" t="s">
        <v>192</v>
      </c>
      <c r="F805" s="421">
        <v>1</v>
      </c>
      <c r="G805" t="s">
        <v>193</v>
      </c>
      <c r="H805" t="s">
        <v>194</v>
      </c>
      <c r="I805" t="s">
        <v>9369</v>
      </c>
      <c r="J805" t="s">
        <v>4751</v>
      </c>
      <c r="K805" t="s">
        <v>12337</v>
      </c>
      <c r="L805" t="s">
        <v>6288</v>
      </c>
      <c r="M805" t="s">
        <v>12244</v>
      </c>
      <c r="N805" t="s">
        <v>9749</v>
      </c>
      <c r="O805" t="s">
        <v>9574</v>
      </c>
      <c r="P805" t="s">
        <v>12338</v>
      </c>
      <c r="Q805" t="s">
        <v>12339</v>
      </c>
      <c r="S805" t="s">
        <v>9309</v>
      </c>
      <c r="T805" s="28" t="s">
        <v>9472</v>
      </c>
      <c r="U805" s="27" t="s">
        <v>469</v>
      </c>
      <c r="V805" t="s">
        <v>194</v>
      </c>
      <c r="W805" t="s">
        <v>9300</v>
      </c>
      <c r="Z805" t="s">
        <v>9311</v>
      </c>
      <c r="AF805" t="s">
        <v>4714</v>
      </c>
      <c r="AG805" t="s">
        <v>12321</v>
      </c>
      <c r="AI805" t="s">
        <v>6955</v>
      </c>
      <c r="AJ805" s="424" t="str">
        <f t="shared" si="36"/>
        <v>243303</v>
      </c>
      <c r="AK805" s="28">
        <v>1</v>
      </c>
      <c r="AL805" s="28">
        <f t="shared" si="38"/>
        <v>1</v>
      </c>
      <c r="AM805" s="28" t="str">
        <f t="shared" si="37"/>
        <v>pracuj.pl</v>
      </c>
    </row>
    <row r="806" spans="1:39" x14ac:dyDescent="0.25">
      <c r="A806" t="s">
        <v>470</v>
      </c>
      <c r="B806" t="s">
        <v>12321</v>
      </c>
      <c r="C806" t="s">
        <v>468</v>
      </c>
      <c r="D806" s="27" t="s">
        <v>10194</v>
      </c>
      <c r="E806" t="s">
        <v>192</v>
      </c>
      <c r="F806" s="421">
        <v>1</v>
      </c>
      <c r="G806" t="s">
        <v>193</v>
      </c>
      <c r="H806" t="s">
        <v>194</v>
      </c>
      <c r="I806" t="s">
        <v>9369</v>
      </c>
      <c r="J806" t="s">
        <v>747</v>
      </c>
      <c r="K806" t="s">
        <v>12340</v>
      </c>
      <c r="L806" t="s">
        <v>6288</v>
      </c>
      <c r="M806" t="s">
        <v>12244</v>
      </c>
      <c r="N806" t="s">
        <v>9749</v>
      </c>
      <c r="O806" t="s">
        <v>9574</v>
      </c>
      <c r="P806" t="s">
        <v>12341</v>
      </c>
      <c r="Q806" t="s">
        <v>12342</v>
      </c>
      <c r="S806" t="s">
        <v>9309</v>
      </c>
      <c r="T806" s="28" t="s">
        <v>10397</v>
      </c>
      <c r="U806" s="27" t="s">
        <v>469</v>
      </c>
      <c r="V806" t="s">
        <v>194</v>
      </c>
      <c r="W806" t="s">
        <v>9300</v>
      </c>
      <c r="Z806" t="s">
        <v>9311</v>
      </c>
      <c r="AF806" t="s">
        <v>4714</v>
      </c>
      <c r="AG806" t="s">
        <v>12321</v>
      </c>
      <c r="AI806" t="s">
        <v>6955</v>
      </c>
      <c r="AJ806" s="424" t="str">
        <f t="shared" si="36"/>
        <v>243303</v>
      </c>
      <c r="AK806" s="28">
        <v>1</v>
      </c>
      <c r="AL806" s="28">
        <f t="shared" si="38"/>
        <v>1</v>
      </c>
      <c r="AM806" s="28" t="str">
        <f t="shared" si="37"/>
        <v>pracuj.pl</v>
      </c>
    </row>
    <row r="807" spans="1:39" x14ac:dyDescent="0.25">
      <c r="A807" t="s">
        <v>470</v>
      </c>
      <c r="B807" t="s">
        <v>12321</v>
      </c>
      <c r="C807" t="s">
        <v>468</v>
      </c>
      <c r="D807" s="27" t="s">
        <v>10194</v>
      </c>
      <c r="E807" t="s">
        <v>192</v>
      </c>
      <c r="F807" s="421">
        <v>1</v>
      </c>
      <c r="G807" t="s">
        <v>193</v>
      </c>
      <c r="H807" t="s">
        <v>194</v>
      </c>
      <c r="I807" t="s">
        <v>9369</v>
      </c>
      <c r="J807" t="s">
        <v>316</v>
      </c>
      <c r="K807" t="s">
        <v>12343</v>
      </c>
      <c r="L807" t="s">
        <v>6288</v>
      </c>
      <c r="M807" t="s">
        <v>12244</v>
      </c>
      <c r="N807" t="s">
        <v>9749</v>
      </c>
      <c r="O807" t="s">
        <v>9574</v>
      </c>
      <c r="P807" t="s">
        <v>12344</v>
      </c>
      <c r="Q807" t="s">
        <v>12345</v>
      </c>
      <c r="S807" t="s">
        <v>9309</v>
      </c>
      <c r="T807" s="28" t="s">
        <v>10012</v>
      </c>
      <c r="U807" s="27" t="s">
        <v>469</v>
      </c>
      <c r="V807" t="s">
        <v>194</v>
      </c>
      <c r="W807" t="s">
        <v>9300</v>
      </c>
      <c r="Z807" t="s">
        <v>9311</v>
      </c>
      <c r="AF807" t="s">
        <v>4714</v>
      </c>
      <c r="AG807" t="s">
        <v>12321</v>
      </c>
      <c r="AI807" t="s">
        <v>6955</v>
      </c>
      <c r="AJ807" s="424" t="str">
        <f t="shared" si="36"/>
        <v>243303</v>
      </c>
      <c r="AK807" s="28">
        <v>1</v>
      </c>
      <c r="AL807" s="28">
        <f t="shared" si="38"/>
        <v>1</v>
      </c>
      <c r="AM807" s="28" t="str">
        <f t="shared" si="37"/>
        <v>pracuj.pl</v>
      </c>
    </row>
    <row r="808" spans="1:39" x14ac:dyDescent="0.25">
      <c r="A808" t="s">
        <v>470</v>
      </c>
      <c r="B808" t="s">
        <v>12321</v>
      </c>
      <c r="C808" t="s">
        <v>468</v>
      </c>
      <c r="D808" s="27" t="s">
        <v>10194</v>
      </c>
      <c r="E808" t="s">
        <v>192</v>
      </c>
      <c r="F808" s="421">
        <v>1</v>
      </c>
      <c r="G808" t="s">
        <v>193</v>
      </c>
      <c r="H808" t="s">
        <v>194</v>
      </c>
      <c r="I808" t="s">
        <v>9369</v>
      </c>
      <c r="J808" t="s">
        <v>408</v>
      </c>
      <c r="K808" t="s">
        <v>12346</v>
      </c>
      <c r="L808" t="s">
        <v>6288</v>
      </c>
      <c r="M808" t="s">
        <v>12244</v>
      </c>
      <c r="N808" t="s">
        <v>9749</v>
      </c>
      <c r="O808" t="s">
        <v>9574</v>
      </c>
      <c r="P808" t="s">
        <v>12347</v>
      </c>
      <c r="Q808" t="s">
        <v>12348</v>
      </c>
      <c r="S808" t="s">
        <v>9309</v>
      </c>
      <c r="T808" s="28" t="s">
        <v>9479</v>
      </c>
      <c r="U808" s="27" t="s">
        <v>469</v>
      </c>
      <c r="V808" t="s">
        <v>194</v>
      </c>
      <c r="W808" t="s">
        <v>9300</v>
      </c>
      <c r="Z808" t="s">
        <v>9311</v>
      </c>
      <c r="AF808" t="s">
        <v>4714</v>
      </c>
      <c r="AG808" t="s">
        <v>12321</v>
      </c>
      <c r="AI808" t="s">
        <v>6955</v>
      </c>
      <c r="AJ808" s="424" t="str">
        <f t="shared" si="36"/>
        <v>243303</v>
      </c>
      <c r="AK808" s="28">
        <v>1</v>
      </c>
      <c r="AL808" s="28">
        <f t="shared" si="38"/>
        <v>1</v>
      </c>
      <c r="AM808" s="28" t="str">
        <f t="shared" si="37"/>
        <v>pracuj.pl</v>
      </c>
    </row>
    <row r="809" spans="1:39" x14ac:dyDescent="0.25">
      <c r="A809" t="s">
        <v>12349</v>
      </c>
      <c r="B809" t="s">
        <v>657</v>
      </c>
      <c r="C809" t="s">
        <v>122</v>
      </c>
      <c r="D809" s="27" t="s">
        <v>10194</v>
      </c>
      <c r="E809" t="s">
        <v>192</v>
      </c>
      <c r="F809" s="421">
        <v>1</v>
      </c>
      <c r="G809" t="s">
        <v>193</v>
      </c>
      <c r="H809" t="s">
        <v>194</v>
      </c>
      <c r="I809" t="s">
        <v>12271</v>
      </c>
      <c r="J809" t="s">
        <v>9302</v>
      </c>
      <c r="K809" t="s">
        <v>12350</v>
      </c>
      <c r="L809" t="s">
        <v>7489</v>
      </c>
      <c r="M809" t="s">
        <v>12244</v>
      </c>
      <c r="N809" t="s">
        <v>9749</v>
      </c>
      <c r="O809" t="s">
        <v>9574</v>
      </c>
      <c r="P809" t="s">
        <v>12351</v>
      </c>
      <c r="Q809" t="s">
        <v>12352</v>
      </c>
      <c r="S809" t="s">
        <v>9309</v>
      </c>
      <c r="U809" s="27" t="s">
        <v>655</v>
      </c>
      <c r="V809" t="s">
        <v>193</v>
      </c>
      <c r="W809" t="s">
        <v>9310</v>
      </c>
      <c r="Z809" t="s">
        <v>9311</v>
      </c>
      <c r="AF809" t="s">
        <v>4714</v>
      </c>
      <c r="AG809" t="s">
        <v>657</v>
      </c>
      <c r="AI809" t="s">
        <v>6955</v>
      </c>
      <c r="AJ809" s="424" t="str">
        <f t="shared" si="36"/>
        <v>332301</v>
      </c>
      <c r="AK809" s="28">
        <v>1</v>
      </c>
      <c r="AL809" s="28">
        <f t="shared" si="38"/>
        <v>1</v>
      </c>
      <c r="AM809" s="28" t="str">
        <f t="shared" si="37"/>
        <v>pracuj.pl</v>
      </c>
    </row>
    <row r="810" spans="1:39" x14ac:dyDescent="0.25">
      <c r="A810" t="s">
        <v>10615</v>
      </c>
      <c r="B810" t="s">
        <v>10616</v>
      </c>
      <c r="C810" t="s">
        <v>17</v>
      </c>
      <c r="D810" s="27" t="s">
        <v>10194</v>
      </c>
      <c r="E810" t="s">
        <v>217</v>
      </c>
      <c r="F810" s="421">
        <v>1</v>
      </c>
      <c r="G810" t="s">
        <v>193</v>
      </c>
      <c r="H810" t="s">
        <v>194</v>
      </c>
      <c r="I810" t="s">
        <v>9369</v>
      </c>
      <c r="J810" t="s">
        <v>210</v>
      </c>
      <c r="K810" t="s">
        <v>10617</v>
      </c>
      <c r="L810" t="s">
        <v>6249</v>
      </c>
      <c r="M810" t="s">
        <v>12353</v>
      </c>
      <c r="N810" t="s">
        <v>11100</v>
      </c>
      <c r="O810" t="s">
        <v>9299</v>
      </c>
      <c r="P810" t="s">
        <v>12354</v>
      </c>
      <c r="Q810" t="s">
        <v>12355</v>
      </c>
      <c r="S810" t="s">
        <v>9309</v>
      </c>
      <c r="T810" s="28" t="s">
        <v>9334</v>
      </c>
      <c r="U810" s="27" t="s">
        <v>624</v>
      </c>
      <c r="V810" t="s">
        <v>194</v>
      </c>
      <c r="W810" t="s">
        <v>9300</v>
      </c>
      <c r="Z810" t="s">
        <v>9311</v>
      </c>
      <c r="AF810" t="s">
        <v>4714</v>
      </c>
      <c r="AG810" t="s">
        <v>9433</v>
      </c>
      <c r="AI810" t="s">
        <v>6955</v>
      </c>
      <c r="AJ810" s="424" t="str">
        <f t="shared" si="36"/>
        <v>332203</v>
      </c>
      <c r="AK810" s="28">
        <v>1</v>
      </c>
      <c r="AL810" s="28">
        <f t="shared" si="38"/>
        <v>1</v>
      </c>
      <c r="AM810" s="28" t="str">
        <f t="shared" si="37"/>
        <v>agora</v>
      </c>
    </row>
    <row r="811" spans="1:39" x14ac:dyDescent="0.25">
      <c r="A811" t="s">
        <v>10621</v>
      </c>
      <c r="B811" t="s">
        <v>10622</v>
      </c>
      <c r="C811" t="s">
        <v>10623</v>
      </c>
      <c r="D811" s="27" t="s">
        <v>10194</v>
      </c>
      <c r="E811" t="s">
        <v>217</v>
      </c>
      <c r="F811" s="421">
        <v>1</v>
      </c>
      <c r="G811" t="s">
        <v>193</v>
      </c>
      <c r="H811" t="s">
        <v>194</v>
      </c>
      <c r="I811" t="s">
        <v>9343</v>
      </c>
      <c r="J811" t="s">
        <v>305</v>
      </c>
      <c r="K811" t="s">
        <v>10624</v>
      </c>
      <c r="L811" t="s">
        <v>6269</v>
      </c>
      <c r="M811" t="s">
        <v>12353</v>
      </c>
      <c r="N811" t="s">
        <v>9493</v>
      </c>
      <c r="O811" t="s">
        <v>9299</v>
      </c>
      <c r="P811" t="s">
        <v>12356</v>
      </c>
      <c r="Q811" t="s">
        <v>12357</v>
      </c>
      <c r="S811" t="s">
        <v>9309</v>
      </c>
      <c r="T811" s="28" t="s">
        <v>9753</v>
      </c>
      <c r="U811" s="27" t="s">
        <v>10627</v>
      </c>
      <c r="V811" t="s">
        <v>194</v>
      </c>
      <c r="W811" t="s">
        <v>9300</v>
      </c>
      <c r="Z811" t="s">
        <v>9311</v>
      </c>
      <c r="AF811" t="s">
        <v>4714</v>
      </c>
      <c r="AG811" t="s">
        <v>9433</v>
      </c>
      <c r="AI811" t="s">
        <v>6955</v>
      </c>
      <c r="AJ811" s="424" t="str">
        <f t="shared" si="36"/>
        <v>314403</v>
      </c>
      <c r="AK811" s="28">
        <v>1</v>
      </c>
      <c r="AL811" s="28">
        <f t="shared" si="38"/>
        <v>1</v>
      </c>
      <c r="AM811" s="28" t="str">
        <f t="shared" si="37"/>
        <v>agora</v>
      </c>
    </row>
    <row r="812" spans="1:39" x14ac:dyDescent="0.25">
      <c r="A812" t="s">
        <v>10621</v>
      </c>
      <c r="B812" t="s">
        <v>10628</v>
      </c>
      <c r="C812" t="s">
        <v>10629</v>
      </c>
      <c r="D812" s="27" t="s">
        <v>10194</v>
      </c>
      <c r="E812" t="s">
        <v>217</v>
      </c>
      <c r="F812" s="421">
        <v>1</v>
      </c>
      <c r="G812" t="s">
        <v>193</v>
      </c>
      <c r="H812" t="s">
        <v>194</v>
      </c>
      <c r="I812" t="s">
        <v>12306</v>
      </c>
      <c r="J812" t="s">
        <v>305</v>
      </c>
      <c r="K812" t="s">
        <v>10630</v>
      </c>
      <c r="L812" t="s">
        <v>8003</v>
      </c>
      <c r="M812" t="s">
        <v>12353</v>
      </c>
      <c r="N812" t="s">
        <v>9493</v>
      </c>
      <c r="O812" t="s">
        <v>9299</v>
      </c>
      <c r="P812" t="s">
        <v>12358</v>
      </c>
      <c r="Q812" t="s">
        <v>12359</v>
      </c>
      <c r="S812" t="s">
        <v>9309</v>
      </c>
      <c r="T812" s="28" t="s">
        <v>9753</v>
      </c>
      <c r="U812" s="27" t="s">
        <v>10633</v>
      </c>
      <c r="V812" t="s">
        <v>194</v>
      </c>
      <c r="W812" t="s">
        <v>9300</v>
      </c>
      <c r="Z812" t="s">
        <v>9311</v>
      </c>
      <c r="AF812" t="s">
        <v>4714</v>
      </c>
      <c r="AG812" t="s">
        <v>9433</v>
      </c>
      <c r="AI812" t="s">
        <v>6955</v>
      </c>
      <c r="AJ812" s="424" t="str">
        <f t="shared" si="36"/>
        <v>432104</v>
      </c>
      <c r="AK812" s="28">
        <v>1</v>
      </c>
      <c r="AL812" s="28">
        <f t="shared" si="38"/>
        <v>1</v>
      </c>
      <c r="AM812" s="28" t="str">
        <f t="shared" si="37"/>
        <v>agora</v>
      </c>
    </row>
    <row r="813" spans="1:39" x14ac:dyDescent="0.25">
      <c r="A813" t="s">
        <v>9522</v>
      </c>
      <c r="B813" t="s">
        <v>9618</v>
      </c>
      <c r="C813" t="s">
        <v>2861</v>
      </c>
      <c r="D813" s="27" t="s">
        <v>9835</v>
      </c>
      <c r="E813" t="s">
        <v>217</v>
      </c>
      <c r="F813" s="421">
        <v>1</v>
      </c>
      <c r="G813" t="s">
        <v>193</v>
      </c>
      <c r="H813" t="s">
        <v>194</v>
      </c>
      <c r="I813" t="s">
        <v>9430</v>
      </c>
      <c r="J813" t="s">
        <v>210</v>
      </c>
      <c r="K813" t="s">
        <v>10796</v>
      </c>
      <c r="L813" t="s">
        <v>6261</v>
      </c>
      <c r="M813" t="s">
        <v>10618</v>
      </c>
      <c r="N813" t="s">
        <v>10005</v>
      </c>
      <c r="O813" t="s">
        <v>10767</v>
      </c>
      <c r="P813" t="s">
        <v>10797</v>
      </c>
      <c r="Q813" t="s">
        <v>10798</v>
      </c>
      <c r="S813" t="s">
        <v>9309</v>
      </c>
      <c r="T813" s="28" t="s">
        <v>9334</v>
      </c>
      <c r="U813" s="27" t="s">
        <v>3629</v>
      </c>
      <c r="V813" t="s">
        <v>194</v>
      </c>
      <c r="W813" t="s">
        <v>9300</v>
      </c>
      <c r="Z813" t="s">
        <v>9311</v>
      </c>
      <c r="AF813" t="s">
        <v>4714</v>
      </c>
      <c r="AG813" t="s">
        <v>9433</v>
      </c>
      <c r="AI813" t="s">
        <v>6955</v>
      </c>
      <c r="AJ813" s="424" t="str">
        <f t="shared" si="36"/>
        <v>251903</v>
      </c>
      <c r="AK813" s="28">
        <v>1</v>
      </c>
      <c r="AL813" s="28">
        <f t="shared" si="38"/>
        <v>1</v>
      </c>
      <c r="AM813" s="28" t="str">
        <f t="shared" si="37"/>
        <v>agora</v>
      </c>
    </row>
    <row r="814" spans="1:39" x14ac:dyDescent="0.25">
      <c r="A814" t="s">
        <v>9522</v>
      </c>
      <c r="B814" t="s">
        <v>9664</v>
      </c>
      <c r="C814" t="s">
        <v>2861</v>
      </c>
      <c r="D814" s="27" t="s">
        <v>9835</v>
      </c>
      <c r="E814" t="s">
        <v>217</v>
      </c>
      <c r="F814" s="421">
        <v>1</v>
      </c>
      <c r="G814" t="s">
        <v>193</v>
      </c>
      <c r="H814" t="s">
        <v>194</v>
      </c>
      <c r="I814" t="s">
        <v>9430</v>
      </c>
      <c r="J814" t="s">
        <v>9524</v>
      </c>
      <c r="K814" t="s">
        <v>9665</v>
      </c>
      <c r="L814" t="s">
        <v>6261</v>
      </c>
      <c r="M814" t="s">
        <v>10641</v>
      </c>
      <c r="N814" t="s">
        <v>9536</v>
      </c>
      <c r="O814" t="s">
        <v>9537</v>
      </c>
      <c r="P814" t="s">
        <v>10831</v>
      </c>
      <c r="Q814" t="s">
        <v>10832</v>
      </c>
      <c r="S814" t="s">
        <v>9309</v>
      </c>
      <c r="U814" s="27" t="s">
        <v>3629</v>
      </c>
      <c r="V814" t="s">
        <v>193</v>
      </c>
      <c r="W814" t="s">
        <v>9310</v>
      </c>
      <c r="Z814" t="s">
        <v>9311</v>
      </c>
      <c r="AF814" t="s">
        <v>4714</v>
      </c>
      <c r="AG814" t="s">
        <v>9433</v>
      </c>
      <c r="AI814" t="s">
        <v>6955</v>
      </c>
      <c r="AJ814" s="424" t="str">
        <f t="shared" si="36"/>
        <v>251903</v>
      </c>
      <c r="AK814" s="28">
        <v>1</v>
      </c>
      <c r="AL814" s="28">
        <f t="shared" si="38"/>
        <v>1</v>
      </c>
      <c r="AM814" s="28" t="str">
        <f t="shared" si="37"/>
        <v>agora</v>
      </c>
    </row>
    <row r="815" spans="1:39" x14ac:dyDescent="0.25">
      <c r="A815" t="s">
        <v>12368</v>
      </c>
      <c r="B815" t="s">
        <v>1342</v>
      </c>
      <c r="C815" t="s">
        <v>95</v>
      </c>
      <c r="D815" s="27" t="s">
        <v>10194</v>
      </c>
      <c r="E815" t="s">
        <v>192</v>
      </c>
      <c r="F815" s="421">
        <v>1</v>
      </c>
      <c r="G815" t="s">
        <v>193</v>
      </c>
      <c r="H815" t="s">
        <v>194</v>
      </c>
      <c r="I815" t="s">
        <v>11614</v>
      </c>
      <c r="J815" t="s">
        <v>210</v>
      </c>
      <c r="K815" t="s">
        <v>12369</v>
      </c>
      <c r="L815" t="s">
        <v>6245</v>
      </c>
      <c r="M815" t="s">
        <v>12244</v>
      </c>
      <c r="N815" t="s">
        <v>9749</v>
      </c>
      <c r="O815" t="s">
        <v>9574</v>
      </c>
      <c r="P815" t="s">
        <v>12370</v>
      </c>
      <c r="Q815" t="s">
        <v>12371</v>
      </c>
      <c r="S815" t="s">
        <v>9309</v>
      </c>
      <c r="T815" s="28" t="s">
        <v>9334</v>
      </c>
      <c r="U815" s="27" t="s">
        <v>1015</v>
      </c>
      <c r="V815" t="s">
        <v>194</v>
      </c>
      <c r="W815" t="s">
        <v>9300</v>
      </c>
      <c r="Z815" t="s">
        <v>9311</v>
      </c>
      <c r="AF815" t="s">
        <v>4714</v>
      </c>
      <c r="AG815" t="s">
        <v>1342</v>
      </c>
      <c r="AI815" t="s">
        <v>6955</v>
      </c>
      <c r="AJ815" s="424" t="str">
        <f t="shared" si="36"/>
        <v>122102</v>
      </c>
      <c r="AK815" s="28">
        <v>1</v>
      </c>
      <c r="AL815" s="28">
        <f t="shared" si="38"/>
        <v>1</v>
      </c>
      <c r="AM815" s="28" t="str">
        <f t="shared" si="37"/>
        <v>pracuj.pl</v>
      </c>
    </row>
    <row r="816" spans="1:39" x14ac:dyDescent="0.25">
      <c r="A816" t="s">
        <v>4887</v>
      </c>
      <c r="B816" t="s">
        <v>12372</v>
      </c>
      <c r="C816" t="s">
        <v>778</v>
      </c>
      <c r="D816" s="27" t="s">
        <v>10194</v>
      </c>
      <c r="E816" t="s">
        <v>192</v>
      </c>
      <c r="F816" s="421">
        <v>1</v>
      </c>
      <c r="G816" t="s">
        <v>193</v>
      </c>
      <c r="H816" t="s">
        <v>194</v>
      </c>
      <c r="I816" t="s">
        <v>9369</v>
      </c>
      <c r="J816" t="s">
        <v>9302</v>
      </c>
      <c r="K816" t="s">
        <v>12373</v>
      </c>
      <c r="L816" t="s">
        <v>6251</v>
      </c>
      <c r="M816" t="s">
        <v>12244</v>
      </c>
      <c r="N816" t="s">
        <v>9749</v>
      </c>
      <c r="O816" t="s">
        <v>9574</v>
      </c>
      <c r="P816" t="s">
        <v>12374</v>
      </c>
      <c r="Q816" t="s">
        <v>12375</v>
      </c>
      <c r="S816" t="s">
        <v>9309</v>
      </c>
      <c r="U816" s="27" t="s">
        <v>779</v>
      </c>
      <c r="V816" t="s">
        <v>193</v>
      </c>
      <c r="W816" t="s">
        <v>9310</v>
      </c>
      <c r="Z816" t="s">
        <v>9311</v>
      </c>
      <c r="AF816" t="s">
        <v>4714</v>
      </c>
      <c r="AG816" t="s">
        <v>12372</v>
      </c>
      <c r="AI816" t="s">
        <v>6955</v>
      </c>
      <c r="AJ816" s="424" t="str">
        <f t="shared" si="36"/>
        <v>524902</v>
      </c>
      <c r="AK816" s="28">
        <v>1</v>
      </c>
      <c r="AL816" s="28">
        <f t="shared" si="38"/>
        <v>1</v>
      </c>
      <c r="AM816" s="28" t="str">
        <f t="shared" si="37"/>
        <v>pracuj.pl</v>
      </c>
    </row>
    <row r="817" spans="1:39" x14ac:dyDescent="0.25">
      <c r="A817" t="s">
        <v>4887</v>
      </c>
      <c r="B817" t="s">
        <v>12376</v>
      </c>
      <c r="C817" t="s">
        <v>778</v>
      </c>
      <c r="D817" s="27" t="s">
        <v>10194</v>
      </c>
      <c r="E817" t="s">
        <v>192</v>
      </c>
      <c r="F817" s="421">
        <v>1</v>
      </c>
      <c r="G817" t="s">
        <v>193</v>
      </c>
      <c r="H817" t="s">
        <v>194</v>
      </c>
      <c r="I817" t="s">
        <v>9369</v>
      </c>
      <c r="J817" t="s">
        <v>9302</v>
      </c>
      <c r="K817" t="s">
        <v>12377</v>
      </c>
      <c r="L817" t="s">
        <v>6245</v>
      </c>
      <c r="M817" t="s">
        <v>12244</v>
      </c>
      <c r="N817" t="s">
        <v>9749</v>
      </c>
      <c r="O817" t="s">
        <v>9574</v>
      </c>
      <c r="P817" t="s">
        <v>12378</v>
      </c>
      <c r="Q817" t="s">
        <v>12379</v>
      </c>
      <c r="S817" t="s">
        <v>9309</v>
      </c>
      <c r="U817" s="27" t="s">
        <v>779</v>
      </c>
      <c r="V817" t="s">
        <v>193</v>
      </c>
      <c r="W817" t="s">
        <v>9310</v>
      </c>
      <c r="Z817" t="s">
        <v>9311</v>
      </c>
      <c r="AF817" t="s">
        <v>4714</v>
      </c>
      <c r="AG817" t="s">
        <v>12376</v>
      </c>
      <c r="AI817" t="s">
        <v>6955</v>
      </c>
      <c r="AJ817" s="424" t="str">
        <f t="shared" si="36"/>
        <v>524902</v>
      </c>
      <c r="AK817" s="28">
        <v>1</v>
      </c>
      <c r="AL817" s="28">
        <f t="shared" si="38"/>
        <v>1</v>
      </c>
      <c r="AM817" s="28" t="str">
        <f t="shared" si="37"/>
        <v>pracuj.pl</v>
      </c>
    </row>
    <row r="818" spans="1:39" x14ac:dyDescent="0.25">
      <c r="A818" t="s">
        <v>4887</v>
      </c>
      <c r="B818" t="s">
        <v>12380</v>
      </c>
      <c r="C818" t="s">
        <v>778</v>
      </c>
      <c r="D818" s="27" t="s">
        <v>10194</v>
      </c>
      <c r="E818" t="s">
        <v>192</v>
      </c>
      <c r="F818" s="421">
        <v>1</v>
      </c>
      <c r="G818" t="s">
        <v>193</v>
      </c>
      <c r="H818" t="s">
        <v>194</v>
      </c>
      <c r="I818" t="s">
        <v>9369</v>
      </c>
      <c r="J818" t="s">
        <v>9302</v>
      </c>
      <c r="K818" t="s">
        <v>12381</v>
      </c>
      <c r="L818" t="s">
        <v>6245</v>
      </c>
      <c r="M818" t="s">
        <v>12244</v>
      </c>
      <c r="N818" t="s">
        <v>9749</v>
      </c>
      <c r="O818" t="s">
        <v>9574</v>
      </c>
      <c r="P818" t="s">
        <v>12382</v>
      </c>
      <c r="Q818" t="s">
        <v>12383</v>
      </c>
      <c r="S818" t="s">
        <v>9309</v>
      </c>
      <c r="U818" s="27" t="s">
        <v>779</v>
      </c>
      <c r="V818" t="s">
        <v>193</v>
      </c>
      <c r="W818" t="s">
        <v>9310</v>
      </c>
      <c r="Z818" t="s">
        <v>9311</v>
      </c>
      <c r="AF818" t="s">
        <v>4714</v>
      </c>
      <c r="AG818" t="s">
        <v>12380</v>
      </c>
      <c r="AI818" t="s">
        <v>6955</v>
      </c>
      <c r="AJ818" s="424" t="str">
        <f t="shared" si="36"/>
        <v>524902</v>
      </c>
      <c r="AK818" s="28">
        <v>1</v>
      </c>
      <c r="AL818" s="28">
        <f t="shared" si="38"/>
        <v>1</v>
      </c>
      <c r="AM818" s="28" t="str">
        <f t="shared" si="37"/>
        <v>pracuj.pl</v>
      </c>
    </row>
    <row r="819" spans="1:39" x14ac:dyDescent="0.25">
      <c r="A819" t="s">
        <v>4887</v>
      </c>
      <c r="B819" t="s">
        <v>12384</v>
      </c>
      <c r="C819" t="s">
        <v>778</v>
      </c>
      <c r="D819" s="27" t="s">
        <v>10194</v>
      </c>
      <c r="E819" t="s">
        <v>192</v>
      </c>
      <c r="F819" s="421">
        <v>1</v>
      </c>
      <c r="G819" t="s">
        <v>193</v>
      </c>
      <c r="H819" t="s">
        <v>194</v>
      </c>
      <c r="I819" t="s">
        <v>9369</v>
      </c>
      <c r="J819" t="s">
        <v>9302</v>
      </c>
      <c r="K819" t="s">
        <v>12385</v>
      </c>
      <c r="L819" t="s">
        <v>6245</v>
      </c>
      <c r="M819" t="s">
        <v>12244</v>
      </c>
      <c r="N819" t="s">
        <v>9749</v>
      </c>
      <c r="O819" t="s">
        <v>9574</v>
      </c>
      <c r="P819" t="s">
        <v>12386</v>
      </c>
      <c r="Q819" t="s">
        <v>12387</v>
      </c>
      <c r="S819" t="s">
        <v>9309</v>
      </c>
      <c r="U819" s="27" t="s">
        <v>779</v>
      </c>
      <c r="V819" t="s">
        <v>193</v>
      </c>
      <c r="W819" t="s">
        <v>9310</v>
      </c>
      <c r="Z819" t="s">
        <v>9311</v>
      </c>
      <c r="AF819" t="s">
        <v>4714</v>
      </c>
      <c r="AG819" t="s">
        <v>12384</v>
      </c>
      <c r="AI819" t="s">
        <v>6955</v>
      </c>
      <c r="AJ819" s="424" t="str">
        <f t="shared" si="36"/>
        <v>524902</v>
      </c>
      <c r="AK819" s="28">
        <v>1</v>
      </c>
      <c r="AL819" s="28">
        <f t="shared" si="38"/>
        <v>1</v>
      </c>
      <c r="AM819" s="28" t="str">
        <f t="shared" si="37"/>
        <v>pracuj.pl</v>
      </c>
    </row>
    <row r="820" spans="1:39" x14ac:dyDescent="0.25">
      <c r="A820" t="s">
        <v>4887</v>
      </c>
      <c r="B820" t="s">
        <v>12388</v>
      </c>
      <c r="C820" t="s">
        <v>778</v>
      </c>
      <c r="D820" s="27" t="s">
        <v>10194</v>
      </c>
      <c r="E820" t="s">
        <v>192</v>
      </c>
      <c r="F820" s="421">
        <v>1</v>
      </c>
      <c r="G820" t="s">
        <v>193</v>
      </c>
      <c r="H820" t="s">
        <v>194</v>
      </c>
      <c r="I820" t="s">
        <v>9369</v>
      </c>
      <c r="J820" t="s">
        <v>9302</v>
      </c>
      <c r="K820" t="s">
        <v>12389</v>
      </c>
      <c r="L820" t="s">
        <v>6245</v>
      </c>
      <c r="M820" t="s">
        <v>12244</v>
      </c>
      <c r="N820" t="s">
        <v>9749</v>
      </c>
      <c r="O820" t="s">
        <v>9574</v>
      </c>
      <c r="P820" t="s">
        <v>12390</v>
      </c>
      <c r="Q820" t="s">
        <v>12391</v>
      </c>
      <c r="S820" t="s">
        <v>9309</v>
      </c>
      <c r="U820" s="27" t="s">
        <v>779</v>
      </c>
      <c r="V820" t="s">
        <v>193</v>
      </c>
      <c r="W820" t="s">
        <v>9310</v>
      </c>
      <c r="Z820" t="s">
        <v>9311</v>
      </c>
      <c r="AF820" t="s">
        <v>4714</v>
      </c>
      <c r="AG820" t="s">
        <v>12388</v>
      </c>
      <c r="AI820" t="s">
        <v>6955</v>
      </c>
      <c r="AJ820" s="424" t="str">
        <f t="shared" si="36"/>
        <v>524902</v>
      </c>
      <c r="AK820" s="28">
        <v>1</v>
      </c>
      <c r="AL820" s="28">
        <f t="shared" si="38"/>
        <v>1</v>
      </c>
      <c r="AM820" s="28" t="str">
        <f t="shared" si="37"/>
        <v>pracuj.pl</v>
      </c>
    </row>
    <row r="821" spans="1:39" x14ac:dyDescent="0.25">
      <c r="A821" t="s">
        <v>4887</v>
      </c>
      <c r="B821" t="s">
        <v>12392</v>
      </c>
      <c r="C821" t="s">
        <v>778</v>
      </c>
      <c r="D821" s="27" t="s">
        <v>10194</v>
      </c>
      <c r="E821" t="s">
        <v>192</v>
      </c>
      <c r="F821" s="421">
        <v>1</v>
      </c>
      <c r="G821" t="s">
        <v>193</v>
      </c>
      <c r="H821" t="s">
        <v>194</v>
      </c>
      <c r="I821" t="s">
        <v>9491</v>
      </c>
      <c r="J821" t="s">
        <v>9302</v>
      </c>
      <c r="K821" t="s">
        <v>12393</v>
      </c>
      <c r="L821" t="s">
        <v>6245</v>
      </c>
      <c r="M821" t="s">
        <v>12244</v>
      </c>
      <c r="N821" t="s">
        <v>9749</v>
      </c>
      <c r="O821" t="s">
        <v>9574</v>
      </c>
      <c r="P821" t="s">
        <v>12394</v>
      </c>
      <c r="Q821" t="s">
        <v>12395</v>
      </c>
      <c r="S821" t="s">
        <v>9309</v>
      </c>
      <c r="U821" s="27" t="s">
        <v>779</v>
      </c>
      <c r="V821" t="s">
        <v>193</v>
      </c>
      <c r="W821" t="s">
        <v>9310</v>
      </c>
      <c r="Z821" t="s">
        <v>9311</v>
      </c>
      <c r="AF821" t="s">
        <v>4714</v>
      </c>
      <c r="AG821" t="s">
        <v>12392</v>
      </c>
      <c r="AI821" t="s">
        <v>6955</v>
      </c>
      <c r="AJ821" s="424" t="str">
        <f t="shared" si="36"/>
        <v>524902</v>
      </c>
      <c r="AK821" s="28">
        <v>1</v>
      </c>
      <c r="AL821" s="28">
        <f t="shared" si="38"/>
        <v>1</v>
      </c>
      <c r="AM821" s="28" t="str">
        <f t="shared" si="37"/>
        <v>pracuj.pl</v>
      </c>
    </row>
    <row r="822" spans="1:39" x14ac:dyDescent="0.25">
      <c r="A822" t="s">
        <v>1410</v>
      </c>
      <c r="B822" t="s">
        <v>9490</v>
      </c>
      <c r="C822" t="s">
        <v>17</v>
      </c>
      <c r="D822" s="27" t="s">
        <v>10194</v>
      </c>
      <c r="E822" t="s">
        <v>217</v>
      </c>
      <c r="F822" s="421">
        <v>1</v>
      </c>
      <c r="G822" t="s">
        <v>193</v>
      </c>
      <c r="H822" t="s">
        <v>194</v>
      </c>
      <c r="I822" t="s">
        <v>9491</v>
      </c>
      <c r="J822" t="s">
        <v>210</v>
      </c>
      <c r="K822" t="s">
        <v>9492</v>
      </c>
      <c r="L822" t="s">
        <v>6249</v>
      </c>
      <c r="M822" t="s">
        <v>12353</v>
      </c>
      <c r="N822" t="s">
        <v>9493</v>
      </c>
      <c r="O822" t="s">
        <v>9494</v>
      </c>
      <c r="P822" t="s">
        <v>12396</v>
      </c>
      <c r="Q822" t="s">
        <v>12397</v>
      </c>
      <c r="S822" t="s">
        <v>9309</v>
      </c>
      <c r="T822" s="28" t="s">
        <v>9334</v>
      </c>
      <c r="U822" s="27" t="s">
        <v>624</v>
      </c>
      <c r="V822" t="s">
        <v>194</v>
      </c>
      <c r="W822" t="s">
        <v>9300</v>
      </c>
      <c r="Z822" t="s">
        <v>9311</v>
      </c>
      <c r="AF822" t="s">
        <v>4714</v>
      </c>
      <c r="AG822" t="s">
        <v>9433</v>
      </c>
      <c r="AI822" t="s">
        <v>6955</v>
      </c>
      <c r="AJ822" s="424" t="str">
        <f t="shared" si="36"/>
        <v>332203</v>
      </c>
      <c r="AK822" s="28">
        <v>1</v>
      </c>
      <c r="AL822" s="28">
        <f t="shared" si="38"/>
        <v>1</v>
      </c>
      <c r="AM822" s="28" t="str">
        <f t="shared" si="37"/>
        <v>agora</v>
      </c>
    </row>
    <row r="823" spans="1:39" x14ac:dyDescent="0.25">
      <c r="A823" t="s">
        <v>9522</v>
      </c>
      <c r="B823" t="s">
        <v>9664</v>
      </c>
      <c r="C823" t="s">
        <v>2861</v>
      </c>
      <c r="D823" s="27" t="s">
        <v>9835</v>
      </c>
      <c r="E823" t="s">
        <v>217</v>
      </c>
      <c r="F823" s="421">
        <v>1</v>
      </c>
      <c r="G823" t="s">
        <v>193</v>
      </c>
      <c r="H823" t="s">
        <v>194</v>
      </c>
      <c r="I823" t="s">
        <v>9430</v>
      </c>
      <c r="J823" t="s">
        <v>9524</v>
      </c>
      <c r="K823" t="s">
        <v>9671</v>
      </c>
      <c r="L823" t="s">
        <v>6261</v>
      </c>
      <c r="M823" t="s">
        <v>10618</v>
      </c>
      <c r="N823" t="s">
        <v>9536</v>
      </c>
      <c r="O823" t="s">
        <v>9537</v>
      </c>
      <c r="P823" t="s">
        <v>10833</v>
      </c>
      <c r="Q823" t="s">
        <v>10834</v>
      </c>
      <c r="S823" t="s">
        <v>9309</v>
      </c>
      <c r="U823" s="27" t="s">
        <v>3629</v>
      </c>
      <c r="V823" t="s">
        <v>193</v>
      </c>
      <c r="W823" t="s">
        <v>9310</v>
      </c>
      <c r="Z823" t="s">
        <v>9311</v>
      </c>
      <c r="AF823" t="s">
        <v>4714</v>
      </c>
      <c r="AG823" t="s">
        <v>9433</v>
      </c>
      <c r="AI823" t="s">
        <v>6955</v>
      </c>
      <c r="AJ823" s="424" t="str">
        <f t="shared" si="36"/>
        <v>251903</v>
      </c>
      <c r="AK823" s="28">
        <v>1</v>
      </c>
      <c r="AL823" s="28">
        <f t="shared" si="38"/>
        <v>1</v>
      </c>
      <c r="AM823" s="28" t="str">
        <f t="shared" si="37"/>
        <v>agora</v>
      </c>
    </row>
    <row r="824" spans="1:39" x14ac:dyDescent="0.25">
      <c r="A824" t="s">
        <v>9522</v>
      </c>
      <c r="B824" t="s">
        <v>9664</v>
      </c>
      <c r="C824" t="s">
        <v>2861</v>
      </c>
      <c r="D824" s="27" t="s">
        <v>9835</v>
      </c>
      <c r="E824" t="s">
        <v>217</v>
      </c>
      <c r="F824" s="421">
        <v>1</v>
      </c>
      <c r="G824" t="s">
        <v>193</v>
      </c>
      <c r="H824" t="s">
        <v>194</v>
      </c>
      <c r="I824" t="s">
        <v>9430</v>
      </c>
      <c r="J824" t="s">
        <v>9524</v>
      </c>
      <c r="K824" t="s">
        <v>9677</v>
      </c>
      <c r="L824" t="s">
        <v>6261</v>
      </c>
      <c r="M824" t="s">
        <v>10618</v>
      </c>
      <c r="N824" t="s">
        <v>9526</v>
      </c>
      <c r="O824" t="s">
        <v>9461</v>
      </c>
      <c r="P824" t="s">
        <v>10835</v>
      </c>
      <c r="Q824" t="s">
        <v>10836</v>
      </c>
      <c r="S824" t="s">
        <v>9309</v>
      </c>
      <c r="U824" s="27" t="s">
        <v>3629</v>
      </c>
      <c r="V824" t="s">
        <v>193</v>
      </c>
      <c r="W824" t="s">
        <v>9310</v>
      </c>
      <c r="Z824" t="s">
        <v>9311</v>
      </c>
      <c r="AF824" t="s">
        <v>4714</v>
      </c>
      <c r="AG824" t="s">
        <v>9433</v>
      </c>
      <c r="AI824" t="s">
        <v>6955</v>
      </c>
      <c r="AJ824" s="424" t="str">
        <f t="shared" si="36"/>
        <v>251903</v>
      </c>
      <c r="AK824" s="28">
        <v>1</v>
      </c>
      <c r="AL824" s="28">
        <f t="shared" si="38"/>
        <v>1</v>
      </c>
      <c r="AM824" s="28" t="str">
        <f t="shared" si="37"/>
        <v>agora</v>
      </c>
    </row>
    <row r="825" spans="1:39" x14ac:dyDescent="0.25">
      <c r="A825" t="s">
        <v>9522</v>
      </c>
      <c r="B825" t="s">
        <v>9664</v>
      </c>
      <c r="C825" t="s">
        <v>2861</v>
      </c>
      <c r="D825" s="27" t="s">
        <v>9835</v>
      </c>
      <c r="E825" t="s">
        <v>217</v>
      </c>
      <c r="F825" s="421">
        <v>1</v>
      </c>
      <c r="G825" t="s">
        <v>193</v>
      </c>
      <c r="H825" t="s">
        <v>194</v>
      </c>
      <c r="I825" t="s">
        <v>9430</v>
      </c>
      <c r="J825" t="s">
        <v>9524</v>
      </c>
      <c r="K825" t="s">
        <v>9680</v>
      </c>
      <c r="L825" t="s">
        <v>6261</v>
      </c>
      <c r="M825" t="s">
        <v>10618</v>
      </c>
      <c r="N825" t="s">
        <v>9526</v>
      </c>
      <c r="O825" t="s">
        <v>9461</v>
      </c>
      <c r="P825" t="s">
        <v>10837</v>
      </c>
      <c r="Q825" t="s">
        <v>10838</v>
      </c>
      <c r="S825" t="s">
        <v>9309</v>
      </c>
      <c r="U825" s="27" t="s">
        <v>3629</v>
      </c>
      <c r="V825" t="s">
        <v>193</v>
      </c>
      <c r="W825" t="s">
        <v>9310</v>
      </c>
      <c r="Z825" t="s">
        <v>9311</v>
      </c>
      <c r="AF825" t="s">
        <v>4714</v>
      </c>
      <c r="AG825" t="s">
        <v>9433</v>
      </c>
      <c r="AI825" t="s">
        <v>6955</v>
      </c>
      <c r="AJ825" s="424" t="str">
        <f t="shared" si="36"/>
        <v>251903</v>
      </c>
      <c r="AK825" s="28">
        <v>1</v>
      </c>
      <c r="AL825" s="28">
        <f t="shared" si="38"/>
        <v>1</v>
      </c>
      <c r="AM825" s="28" t="str">
        <f t="shared" si="37"/>
        <v>agora</v>
      </c>
    </row>
    <row r="826" spans="1:39" x14ac:dyDescent="0.25">
      <c r="A826" t="s">
        <v>9522</v>
      </c>
      <c r="B826" t="s">
        <v>9664</v>
      </c>
      <c r="C826" t="s">
        <v>2861</v>
      </c>
      <c r="D826" s="27" t="s">
        <v>9835</v>
      </c>
      <c r="E826" t="s">
        <v>217</v>
      </c>
      <c r="F826" s="421">
        <v>1</v>
      </c>
      <c r="G826" t="s">
        <v>193</v>
      </c>
      <c r="H826" t="s">
        <v>194</v>
      </c>
      <c r="I826" t="s">
        <v>9430</v>
      </c>
      <c r="J826" t="s">
        <v>9524</v>
      </c>
      <c r="K826" t="s">
        <v>9689</v>
      </c>
      <c r="L826" t="s">
        <v>6261</v>
      </c>
      <c r="M826" t="s">
        <v>10618</v>
      </c>
      <c r="N826" t="s">
        <v>9526</v>
      </c>
      <c r="O826" t="s">
        <v>9461</v>
      </c>
      <c r="P826" t="s">
        <v>10839</v>
      </c>
      <c r="Q826" t="s">
        <v>10840</v>
      </c>
      <c r="S826" t="s">
        <v>9309</v>
      </c>
      <c r="U826" s="27" t="s">
        <v>3629</v>
      </c>
      <c r="V826" t="s">
        <v>193</v>
      </c>
      <c r="W826" t="s">
        <v>9310</v>
      </c>
      <c r="Z826" t="s">
        <v>9311</v>
      </c>
      <c r="AF826" t="s">
        <v>4714</v>
      </c>
      <c r="AG826" t="s">
        <v>9433</v>
      </c>
      <c r="AI826" t="s">
        <v>6955</v>
      </c>
      <c r="AJ826" s="424" t="str">
        <f t="shared" si="36"/>
        <v>251903</v>
      </c>
      <c r="AK826" s="28">
        <v>1</v>
      </c>
      <c r="AL826" s="28">
        <f t="shared" si="38"/>
        <v>1</v>
      </c>
      <c r="AM826" s="28" t="str">
        <f t="shared" si="37"/>
        <v>agora</v>
      </c>
    </row>
    <row r="827" spans="1:39" x14ac:dyDescent="0.25">
      <c r="A827" t="s">
        <v>9522</v>
      </c>
      <c r="B827" t="s">
        <v>9664</v>
      </c>
      <c r="C827" t="s">
        <v>2861</v>
      </c>
      <c r="D827" s="27" t="s">
        <v>9835</v>
      </c>
      <c r="E827" t="s">
        <v>217</v>
      </c>
      <c r="F827" s="421">
        <v>1</v>
      </c>
      <c r="G827" t="s">
        <v>193</v>
      </c>
      <c r="H827" t="s">
        <v>194</v>
      </c>
      <c r="I827" t="s">
        <v>9430</v>
      </c>
      <c r="J827" t="s">
        <v>9524</v>
      </c>
      <c r="K827" t="s">
        <v>9698</v>
      </c>
      <c r="L827" t="s">
        <v>6261</v>
      </c>
      <c r="M827" t="s">
        <v>10618</v>
      </c>
      <c r="N827" t="s">
        <v>9526</v>
      </c>
      <c r="O827" t="s">
        <v>9461</v>
      </c>
      <c r="P827" t="s">
        <v>10841</v>
      </c>
      <c r="Q827" t="s">
        <v>10842</v>
      </c>
      <c r="S827" t="s">
        <v>9309</v>
      </c>
      <c r="U827" s="27" t="s">
        <v>3629</v>
      </c>
      <c r="V827" t="s">
        <v>193</v>
      </c>
      <c r="W827" t="s">
        <v>9310</v>
      </c>
      <c r="Z827" t="s">
        <v>9311</v>
      </c>
      <c r="AF827" t="s">
        <v>4714</v>
      </c>
      <c r="AG827" t="s">
        <v>9433</v>
      </c>
      <c r="AI827" t="s">
        <v>6955</v>
      </c>
      <c r="AJ827" s="424" t="str">
        <f t="shared" si="36"/>
        <v>251903</v>
      </c>
      <c r="AK827" s="28">
        <v>1</v>
      </c>
      <c r="AL827" s="28">
        <f t="shared" si="38"/>
        <v>1</v>
      </c>
      <c r="AM827" s="28" t="str">
        <f t="shared" si="37"/>
        <v>agora</v>
      </c>
    </row>
    <row r="828" spans="1:39" x14ac:dyDescent="0.25">
      <c r="A828" t="s">
        <v>9522</v>
      </c>
      <c r="B828" t="s">
        <v>9664</v>
      </c>
      <c r="C828" t="s">
        <v>2861</v>
      </c>
      <c r="D828" s="27" t="s">
        <v>9835</v>
      </c>
      <c r="E828" t="s">
        <v>217</v>
      </c>
      <c r="F828" s="421">
        <v>1</v>
      </c>
      <c r="G828" t="s">
        <v>193</v>
      </c>
      <c r="H828" t="s">
        <v>194</v>
      </c>
      <c r="I828" t="s">
        <v>9430</v>
      </c>
      <c r="J828" t="s">
        <v>9524</v>
      </c>
      <c r="K828" t="s">
        <v>9668</v>
      </c>
      <c r="L828" t="s">
        <v>6261</v>
      </c>
      <c r="M828" t="s">
        <v>10618</v>
      </c>
      <c r="N828" t="s">
        <v>9536</v>
      </c>
      <c r="O828" t="s">
        <v>9537</v>
      </c>
      <c r="P828" t="s">
        <v>10843</v>
      </c>
      <c r="Q828" t="s">
        <v>10844</v>
      </c>
      <c r="S828" t="s">
        <v>9309</v>
      </c>
      <c r="U828" s="27" t="s">
        <v>3629</v>
      </c>
      <c r="V828" t="s">
        <v>193</v>
      </c>
      <c r="W828" t="s">
        <v>9310</v>
      </c>
      <c r="Z828" t="s">
        <v>9311</v>
      </c>
      <c r="AF828" t="s">
        <v>4714</v>
      </c>
      <c r="AG828" t="s">
        <v>9433</v>
      </c>
      <c r="AI828" t="s">
        <v>6955</v>
      </c>
      <c r="AJ828" s="424" t="str">
        <f t="shared" si="36"/>
        <v>251903</v>
      </c>
      <c r="AK828" s="28">
        <v>1</v>
      </c>
      <c r="AL828" s="28">
        <f t="shared" si="38"/>
        <v>1</v>
      </c>
      <c r="AM828" s="28" t="str">
        <f t="shared" si="37"/>
        <v>agora</v>
      </c>
    </row>
    <row r="829" spans="1:39" x14ac:dyDescent="0.25">
      <c r="A829" t="s">
        <v>9522</v>
      </c>
      <c r="B829" t="s">
        <v>9664</v>
      </c>
      <c r="C829" t="s">
        <v>2861</v>
      </c>
      <c r="D829" s="27" t="s">
        <v>9835</v>
      </c>
      <c r="E829" t="s">
        <v>217</v>
      </c>
      <c r="F829" s="421">
        <v>1</v>
      </c>
      <c r="G829" t="s">
        <v>193</v>
      </c>
      <c r="H829" t="s">
        <v>194</v>
      </c>
      <c r="I829" t="s">
        <v>9430</v>
      </c>
      <c r="J829" t="s">
        <v>9524</v>
      </c>
      <c r="K829" t="s">
        <v>9674</v>
      </c>
      <c r="L829" t="s">
        <v>6261</v>
      </c>
      <c r="M829" t="s">
        <v>10618</v>
      </c>
      <c r="N829" t="s">
        <v>9526</v>
      </c>
      <c r="O829" t="s">
        <v>9461</v>
      </c>
      <c r="P829" t="s">
        <v>10845</v>
      </c>
      <c r="Q829" t="s">
        <v>10846</v>
      </c>
      <c r="S829" t="s">
        <v>9309</v>
      </c>
      <c r="U829" s="27" t="s">
        <v>3629</v>
      </c>
      <c r="V829" t="s">
        <v>193</v>
      </c>
      <c r="W829" t="s">
        <v>9310</v>
      </c>
      <c r="Z829" t="s">
        <v>9311</v>
      </c>
      <c r="AF829" t="s">
        <v>4714</v>
      </c>
      <c r="AG829" t="s">
        <v>9433</v>
      </c>
      <c r="AI829" t="s">
        <v>6955</v>
      </c>
      <c r="AJ829" s="424" t="str">
        <f t="shared" si="36"/>
        <v>251903</v>
      </c>
      <c r="AK829" s="28">
        <v>1</v>
      </c>
      <c r="AL829" s="28">
        <f t="shared" si="38"/>
        <v>1</v>
      </c>
      <c r="AM829" s="28" t="str">
        <f t="shared" si="37"/>
        <v>agora</v>
      </c>
    </row>
    <row r="830" spans="1:39" x14ac:dyDescent="0.25">
      <c r="A830" t="s">
        <v>9522</v>
      </c>
      <c r="B830" t="s">
        <v>9664</v>
      </c>
      <c r="C830" t="s">
        <v>2861</v>
      </c>
      <c r="D830" s="27" t="s">
        <v>9835</v>
      </c>
      <c r="E830" t="s">
        <v>217</v>
      </c>
      <c r="F830" s="421">
        <v>1</v>
      </c>
      <c r="G830" t="s">
        <v>193</v>
      </c>
      <c r="H830" t="s">
        <v>194</v>
      </c>
      <c r="I830" t="s">
        <v>9430</v>
      </c>
      <c r="J830" t="s">
        <v>9524</v>
      </c>
      <c r="K830" t="s">
        <v>9683</v>
      </c>
      <c r="L830" t="s">
        <v>6261</v>
      </c>
      <c r="M830" t="s">
        <v>10618</v>
      </c>
      <c r="N830" t="s">
        <v>9526</v>
      </c>
      <c r="O830" t="s">
        <v>9461</v>
      </c>
      <c r="P830" t="s">
        <v>10847</v>
      </c>
      <c r="Q830" t="s">
        <v>10848</v>
      </c>
      <c r="S830" t="s">
        <v>9309</v>
      </c>
      <c r="U830" s="27" t="s">
        <v>3629</v>
      </c>
      <c r="V830" t="s">
        <v>193</v>
      </c>
      <c r="W830" t="s">
        <v>9310</v>
      </c>
      <c r="Z830" t="s">
        <v>9311</v>
      </c>
      <c r="AF830" t="s">
        <v>4714</v>
      </c>
      <c r="AG830" t="s">
        <v>9433</v>
      </c>
      <c r="AI830" t="s">
        <v>6955</v>
      </c>
      <c r="AJ830" s="424" t="str">
        <f t="shared" si="36"/>
        <v>251903</v>
      </c>
      <c r="AK830" s="28">
        <v>1</v>
      </c>
      <c r="AL830" s="28">
        <f t="shared" si="38"/>
        <v>1</v>
      </c>
      <c r="AM830" s="28" t="str">
        <f t="shared" si="37"/>
        <v>agora</v>
      </c>
    </row>
    <row r="831" spans="1:39" x14ac:dyDescent="0.25">
      <c r="A831" t="s">
        <v>9522</v>
      </c>
      <c r="B831" t="s">
        <v>9664</v>
      </c>
      <c r="C831" t="s">
        <v>2861</v>
      </c>
      <c r="D831" s="27" t="s">
        <v>9835</v>
      </c>
      <c r="E831" t="s">
        <v>217</v>
      </c>
      <c r="F831" s="421">
        <v>1</v>
      </c>
      <c r="G831" t="s">
        <v>193</v>
      </c>
      <c r="H831" t="s">
        <v>194</v>
      </c>
      <c r="I831" t="s">
        <v>9430</v>
      </c>
      <c r="J831" t="s">
        <v>9524</v>
      </c>
      <c r="K831" t="s">
        <v>9686</v>
      </c>
      <c r="L831" t="s">
        <v>6261</v>
      </c>
      <c r="M831" t="s">
        <v>10618</v>
      </c>
      <c r="N831" t="s">
        <v>9536</v>
      </c>
      <c r="O831" t="s">
        <v>9537</v>
      </c>
      <c r="P831" t="s">
        <v>10849</v>
      </c>
      <c r="Q831" t="s">
        <v>10850</v>
      </c>
      <c r="S831" t="s">
        <v>9309</v>
      </c>
      <c r="U831" s="27" t="s">
        <v>3629</v>
      </c>
      <c r="V831" t="s">
        <v>193</v>
      </c>
      <c r="W831" t="s">
        <v>9310</v>
      </c>
      <c r="Z831" t="s">
        <v>9311</v>
      </c>
      <c r="AF831" t="s">
        <v>4714</v>
      </c>
      <c r="AG831" t="s">
        <v>9433</v>
      </c>
      <c r="AI831" t="s">
        <v>6955</v>
      </c>
      <c r="AJ831" s="424" t="str">
        <f t="shared" si="36"/>
        <v>251903</v>
      </c>
      <c r="AK831" s="28">
        <v>1</v>
      </c>
      <c r="AL831" s="28">
        <f t="shared" si="38"/>
        <v>1</v>
      </c>
      <c r="AM831" s="28" t="str">
        <f t="shared" si="37"/>
        <v>agora</v>
      </c>
    </row>
    <row r="832" spans="1:39" x14ac:dyDescent="0.25">
      <c r="A832" t="s">
        <v>9522</v>
      </c>
      <c r="B832" t="s">
        <v>9664</v>
      </c>
      <c r="C832" t="s">
        <v>2861</v>
      </c>
      <c r="D832" s="27" t="s">
        <v>9835</v>
      </c>
      <c r="E832" t="s">
        <v>217</v>
      </c>
      <c r="F832" s="421">
        <v>1</v>
      </c>
      <c r="G832" t="s">
        <v>193</v>
      </c>
      <c r="H832" t="s">
        <v>194</v>
      </c>
      <c r="I832" t="s">
        <v>9430</v>
      </c>
      <c r="J832" t="s">
        <v>9524</v>
      </c>
      <c r="K832" t="s">
        <v>9692</v>
      </c>
      <c r="L832" t="s">
        <v>6261</v>
      </c>
      <c r="M832" t="s">
        <v>10618</v>
      </c>
      <c r="N832" t="s">
        <v>9526</v>
      </c>
      <c r="O832" t="s">
        <v>9461</v>
      </c>
      <c r="P832" t="s">
        <v>10851</v>
      </c>
      <c r="Q832" t="s">
        <v>10852</v>
      </c>
      <c r="S832" t="s">
        <v>9309</v>
      </c>
      <c r="U832" s="27" t="s">
        <v>3629</v>
      </c>
      <c r="V832" t="s">
        <v>193</v>
      </c>
      <c r="W832" t="s">
        <v>9310</v>
      </c>
      <c r="Z832" t="s">
        <v>9311</v>
      </c>
      <c r="AF832" t="s">
        <v>4714</v>
      </c>
      <c r="AG832" t="s">
        <v>9433</v>
      </c>
      <c r="AI832" t="s">
        <v>6955</v>
      </c>
      <c r="AJ832" s="424" t="str">
        <f t="shared" si="36"/>
        <v>251903</v>
      </c>
      <c r="AK832" s="28">
        <v>1</v>
      </c>
      <c r="AL832" s="28">
        <f t="shared" si="38"/>
        <v>1</v>
      </c>
      <c r="AM832" s="28" t="str">
        <f t="shared" si="37"/>
        <v>agora</v>
      </c>
    </row>
    <row r="833" spans="1:39" x14ac:dyDescent="0.25">
      <c r="A833" t="s">
        <v>9522</v>
      </c>
      <c r="B833" t="s">
        <v>9664</v>
      </c>
      <c r="C833" t="s">
        <v>2861</v>
      </c>
      <c r="D833" s="27" t="s">
        <v>9835</v>
      </c>
      <c r="E833" t="s">
        <v>217</v>
      </c>
      <c r="F833" s="421">
        <v>1</v>
      </c>
      <c r="G833" t="s">
        <v>193</v>
      </c>
      <c r="H833" t="s">
        <v>194</v>
      </c>
      <c r="I833" t="s">
        <v>9430</v>
      </c>
      <c r="J833" t="s">
        <v>9524</v>
      </c>
      <c r="K833" t="s">
        <v>9695</v>
      </c>
      <c r="L833" t="s">
        <v>6261</v>
      </c>
      <c r="M833" t="s">
        <v>10618</v>
      </c>
      <c r="N833" t="s">
        <v>9536</v>
      </c>
      <c r="O833" t="s">
        <v>9537</v>
      </c>
      <c r="P833" t="s">
        <v>10853</v>
      </c>
      <c r="Q833" t="s">
        <v>10854</v>
      </c>
      <c r="S833" t="s">
        <v>9309</v>
      </c>
      <c r="U833" s="27" t="s">
        <v>3629</v>
      </c>
      <c r="V833" t="s">
        <v>193</v>
      </c>
      <c r="W833" t="s">
        <v>9310</v>
      </c>
      <c r="Z833" t="s">
        <v>9311</v>
      </c>
      <c r="AF833" t="s">
        <v>4714</v>
      </c>
      <c r="AG833" t="s">
        <v>9433</v>
      </c>
      <c r="AI833" t="s">
        <v>6955</v>
      </c>
      <c r="AJ833" s="424" t="str">
        <f t="shared" si="36"/>
        <v>251903</v>
      </c>
      <c r="AK833" s="28">
        <v>1</v>
      </c>
      <c r="AL833" s="28">
        <f t="shared" si="38"/>
        <v>1</v>
      </c>
      <c r="AM833" s="28" t="str">
        <f t="shared" si="37"/>
        <v>agora</v>
      </c>
    </row>
    <row r="834" spans="1:39" x14ac:dyDescent="0.25">
      <c r="A834" t="s">
        <v>9522</v>
      </c>
      <c r="B834" t="s">
        <v>9716</v>
      </c>
      <c r="C834" t="s">
        <v>2861</v>
      </c>
      <c r="D834" s="27" t="s">
        <v>9835</v>
      </c>
      <c r="E834" t="s">
        <v>217</v>
      </c>
      <c r="F834" s="421">
        <v>1</v>
      </c>
      <c r="G834" t="s">
        <v>193</v>
      </c>
      <c r="H834" t="s">
        <v>194</v>
      </c>
      <c r="I834" t="s">
        <v>9430</v>
      </c>
      <c r="J834" t="s">
        <v>9717</v>
      </c>
      <c r="K834" t="s">
        <v>9718</v>
      </c>
      <c r="L834" t="s">
        <v>6261</v>
      </c>
      <c r="M834" t="s">
        <v>10618</v>
      </c>
      <c r="N834" t="s">
        <v>9719</v>
      </c>
      <c r="O834" t="s">
        <v>9574</v>
      </c>
      <c r="P834" t="s">
        <v>10873</v>
      </c>
      <c r="Q834" t="s">
        <v>10874</v>
      </c>
      <c r="S834" t="s">
        <v>9309</v>
      </c>
      <c r="U834" s="27" t="s">
        <v>3629</v>
      </c>
      <c r="V834" t="s">
        <v>193</v>
      </c>
      <c r="W834" t="s">
        <v>9310</v>
      </c>
      <c r="Z834" t="s">
        <v>9311</v>
      </c>
      <c r="AF834" t="s">
        <v>4714</v>
      </c>
      <c r="AG834" t="s">
        <v>9433</v>
      </c>
      <c r="AI834" t="s">
        <v>6955</v>
      </c>
      <c r="AJ834" s="424" t="str">
        <f t="shared" ref="AJ834:AJ897" si="39">MID(U834,8,6)</f>
        <v>251903</v>
      </c>
      <c r="AK834" s="28">
        <v>1</v>
      </c>
      <c r="AL834" s="28">
        <f t="shared" si="38"/>
        <v>1</v>
      </c>
      <c r="AM834" s="28" t="str">
        <f t="shared" ref="AM834:AM897" si="40">T(E834)</f>
        <v>agora</v>
      </c>
    </row>
    <row r="835" spans="1:39" x14ac:dyDescent="0.25">
      <c r="A835" t="s">
        <v>9522</v>
      </c>
      <c r="B835" t="s">
        <v>10722</v>
      </c>
      <c r="C835" t="s">
        <v>2861</v>
      </c>
      <c r="D835" s="27" t="s">
        <v>9437</v>
      </c>
      <c r="E835" t="s">
        <v>217</v>
      </c>
      <c r="F835" s="421">
        <v>1</v>
      </c>
      <c r="G835" t="s">
        <v>193</v>
      </c>
      <c r="H835" t="s">
        <v>194</v>
      </c>
      <c r="I835" t="s">
        <v>9491</v>
      </c>
      <c r="J835" t="s">
        <v>9524</v>
      </c>
      <c r="K835" t="s">
        <v>10723</v>
      </c>
      <c r="L835" t="s">
        <v>6921</v>
      </c>
      <c r="M835" t="s">
        <v>11702</v>
      </c>
      <c r="N835" t="s">
        <v>9911</v>
      </c>
      <c r="O835" t="s">
        <v>9342</v>
      </c>
      <c r="P835" t="s">
        <v>11744</v>
      </c>
      <c r="Q835" t="s">
        <v>11745</v>
      </c>
      <c r="S835" t="s">
        <v>9309</v>
      </c>
      <c r="U835" s="27" t="s">
        <v>3629</v>
      </c>
      <c r="V835" t="s">
        <v>193</v>
      </c>
      <c r="W835" t="s">
        <v>9310</v>
      </c>
      <c r="Z835" t="s">
        <v>9311</v>
      </c>
      <c r="AF835" t="s">
        <v>4714</v>
      </c>
      <c r="AG835" t="s">
        <v>9433</v>
      </c>
      <c r="AI835" t="s">
        <v>6955</v>
      </c>
      <c r="AJ835" s="424" t="str">
        <f t="shared" si="39"/>
        <v>251903</v>
      </c>
      <c r="AK835" s="28">
        <v>1</v>
      </c>
      <c r="AL835" s="28">
        <f t="shared" ref="AL835:AL898" si="41">SUM(F835)</f>
        <v>1</v>
      </c>
      <c r="AM835" s="28" t="str">
        <f t="shared" si="40"/>
        <v>agora</v>
      </c>
    </row>
    <row r="836" spans="1:39" x14ac:dyDescent="0.25">
      <c r="A836" t="s">
        <v>9522</v>
      </c>
      <c r="B836" t="s">
        <v>10726</v>
      </c>
      <c r="C836" t="s">
        <v>2861</v>
      </c>
      <c r="D836" s="27" t="s">
        <v>9437</v>
      </c>
      <c r="E836" t="s">
        <v>217</v>
      </c>
      <c r="F836" s="421">
        <v>1</v>
      </c>
      <c r="G836" t="s">
        <v>193</v>
      </c>
      <c r="H836" t="s">
        <v>194</v>
      </c>
      <c r="I836" t="s">
        <v>9491</v>
      </c>
      <c r="J836" t="s">
        <v>9524</v>
      </c>
      <c r="K836" t="s">
        <v>10727</v>
      </c>
      <c r="L836" t="s">
        <v>6921</v>
      </c>
      <c r="M836" t="s">
        <v>11702</v>
      </c>
      <c r="N836" t="s">
        <v>9573</v>
      </c>
      <c r="O836" t="s">
        <v>9342</v>
      </c>
      <c r="P836" t="s">
        <v>11746</v>
      </c>
      <c r="Q836" t="s">
        <v>11747</v>
      </c>
      <c r="S836" t="s">
        <v>9309</v>
      </c>
      <c r="U836" s="27" t="s">
        <v>3629</v>
      </c>
      <c r="V836" t="s">
        <v>193</v>
      </c>
      <c r="W836" t="s">
        <v>9310</v>
      </c>
      <c r="Z836" t="s">
        <v>9311</v>
      </c>
      <c r="AF836" t="s">
        <v>4714</v>
      </c>
      <c r="AG836" t="s">
        <v>9433</v>
      </c>
      <c r="AI836" t="s">
        <v>6955</v>
      </c>
      <c r="AJ836" s="424" t="str">
        <f t="shared" si="39"/>
        <v>251903</v>
      </c>
      <c r="AK836" s="28">
        <v>1</v>
      </c>
      <c r="AL836" s="28">
        <f t="shared" si="41"/>
        <v>1</v>
      </c>
      <c r="AM836" s="28" t="str">
        <f t="shared" si="40"/>
        <v>agora</v>
      </c>
    </row>
    <row r="837" spans="1:39" x14ac:dyDescent="0.25">
      <c r="A837" t="s">
        <v>9522</v>
      </c>
      <c r="B837" t="s">
        <v>10789</v>
      </c>
      <c r="C837" t="s">
        <v>2861</v>
      </c>
      <c r="D837" s="27" t="s">
        <v>9437</v>
      </c>
      <c r="E837" t="s">
        <v>217</v>
      </c>
      <c r="F837" s="421">
        <v>1</v>
      </c>
      <c r="G837" t="s">
        <v>193</v>
      </c>
      <c r="H837" t="s">
        <v>194</v>
      </c>
      <c r="I837" t="s">
        <v>9430</v>
      </c>
      <c r="J837" t="s">
        <v>210</v>
      </c>
      <c r="K837" t="s">
        <v>11787</v>
      </c>
      <c r="L837" t="s">
        <v>6261</v>
      </c>
      <c r="M837" t="s">
        <v>11702</v>
      </c>
      <c r="N837" t="s">
        <v>9889</v>
      </c>
      <c r="O837" t="s">
        <v>9835</v>
      </c>
      <c r="P837" t="s">
        <v>11788</v>
      </c>
      <c r="Q837" t="s">
        <v>11789</v>
      </c>
      <c r="S837" t="s">
        <v>9309</v>
      </c>
      <c r="T837" s="28" t="s">
        <v>9334</v>
      </c>
      <c r="U837" s="27" t="s">
        <v>3629</v>
      </c>
      <c r="V837" t="s">
        <v>194</v>
      </c>
      <c r="W837" t="s">
        <v>9300</v>
      </c>
      <c r="Z837" t="s">
        <v>9311</v>
      </c>
      <c r="AF837" t="s">
        <v>4714</v>
      </c>
      <c r="AG837" t="s">
        <v>9433</v>
      </c>
      <c r="AI837" t="s">
        <v>6955</v>
      </c>
      <c r="AJ837" s="424" t="str">
        <f t="shared" si="39"/>
        <v>251903</v>
      </c>
      <c r="AK837" s="28">
        <v>1</v>
      </c>
      <c r="AL837" s="28">
        <f t="shared" si="41"/>
        <v>1</v>
      </c>
      <c r="AM837" s="28" t="str">
        <f t="shared" si="40"/>
        <v>agora</v>
      </c>
    </row>
    <row r="838" spans="1:39" x14ac:dyDescent="0.25">
      <c r="A838" t="s">
        <v>9522</v>
      </c>
      <c r="B838" t="s">
        <v>10789</v>
      </c>
      <c r="C838" t="s">
        <v>2861</v>
      </c>
      <c r="D838" s="27" t="s">
        <v>9437</v>
      </c>
      <c r="E838" t="s">
        <v>217</v>
      </c>
      <c r="F838" s="421">
        <v>1</v>
      </c>
      <c r="G838" t="s">
        <v>193</v>
      </c>
      <c r="H838" t="s">
        <v>194</v>
      </c>
      <c r="I838" t="s">
        <v>9430</v>
      </c>
      <c r="J838" t="s">
        <v>210</v>
      </c>
      <c r="K838" t="s">
        <v>10790</v>
      </c>
      <c r="L838" t="s">
        <v>6261</v>
      </c>
      <c r="M838" t="s">
        <v>11702</v>
      </c>
      <c r="N838" t="s">
        <v>9526</v>
      </c>
      <c r="O838" t="s">
        <v>9305</v>
      </c>
      <c r="P838" t="s">
        <v>11790</v>
      </c>
      <c r="Q838" t="s">
        <v>11791</v>
      </c>
      <c r="S838" t="s">
        <v>9309</v>
      </c>
      <c r="T838" s="28" t="s">
        <v>9334</v>
      </c>
      <c r="U838" s="27" t="s">
        <v>3629</v>
      </c>
      <c r="V838" t="s">
        <v>194</v>
      </c>
      <c r="W838" t="s">
        <v>9300</v>
      </c>
      <c r="Z838" t="s">
        <v>9311</v>
      </c>
      <c r="AF838" t="s">
        <v>4714</v>
      </c>
      <c r="AG838" t="s">
        <v>9433</v>
      </c>
      <c r="AI838" t="s">
        <v>6955</v>
      </c>
      <c r="AJ838" s="424" t="str">
        <f t="shared" si="39"/>
        <v>251903</v>
      </c>
      <c r="AK838" s="28">
        <v>1</v>
      </c>
      <c r="AL838" s="28">
        <f t="shared" si="41"/>
        <v>1</v>
      </c>
      <c r="AM838" s="28" t="str">
        <f t="shared" si="40"/>
        <v>agora</v>
      </c>
    </row>
    <row r="839" spans="1:39" x14ac:dyDescent="0.25">
      <c r="A839" t="s">
        <v>9522</v>
      </c>
      <c r="B839" t="s">
        <v>9618</v>
      </c>
      <c r="C839" t="s">
        <v>2861</v>
      </c>
      <c r="D839" s="27" t="s">
        <v>9437</v>
      </c>
      <c r="E839" t="s">
        <v>217</v>
      </c>
      <c r="F839" s="421">
        <v>1</v>
      </c>
      <c r="G839" t="s">
        <v>193</v>
      </c>
      <c r="H839" t="s">
        <v>194</v>
      </c>
      <c r="I839" t="s">
        <v>9430</v>
      </c>
      <c r="J839" t="s">
        <v>210</v>
      </c>
      <c r="K839" t="s">
        <v>10793</v>
      </c>
      <c r="L839" t="s">
        <v>6261</v>
      </c>
      <c r="M839" t="s">
        <v>11702</v>
      </c>
      <c r="N839" t="s">
        <v>9526</v>
      </c>
      <c r="O839" t="s">
        <v>9305</v>
      </c>
      <c r="P839" t="s">
        <v>11792</v>
      </c>
      <c r="Q839" t="s">
        <v>11793</v>
      </c>
      <c r="S839" t="s">
        <v>9309</v>
      </c>
      <c r="T839" s="28" t="s">
        <v>9334</v>
      </c>
      <c r="U839" s="27" t="s">
        <v>3629</v>
      </c>
      <c r="V839" t="s">
        <v>194</v>
      </c>
      <c r="W839" t="s">
        <v>9300</v>
      </c>
      <c r="Z839" t="s">
        <v>9311</v>
      </c>
      <c r="AF839" t="s">
        <v>4714</v>
      </c>
      <c r="AG839" t="s">
        <v>9433</v>
      </c>
      <c r="AI839" t="s">
        <v>6955</v>
      </c>
      <c r="AJ839" s="424" t="str">
        <f t="shared" si="39"/>
        <v>251903</v>
      </c>
      <c r="AK839" s="28">
        <v>1</v>
      </c>
      <c r="AL839" s="28">
        <f t="shared" si="41"/>
        <v>1</v>
      </c>
      <c r="AM839" s="28" t="str">
        <f t="shared" si="40"/>
        <v>agora</v>
      </c>
    </row>
    <row r="840" spans="1:39" x14ac:dyDescent="0.25">
      <c r="A840" t="s">
        <v>9522</v>
      </c>
      <c r="B840" t="s">
        <v>9618</v>
      </c>
      <c r="C840" t="s">
        <v>2861</v>
      </c>
      <c r="D840" s="27" t="s">
        <v>9437</v>
      </c>
      <c r="E840" t="s">
        <v>217</v>
      </c>
      <c r="F840" s="421">
        <v>1</v>
      </c>
      <c r="G840" t="s">
        <v>193</v>
      </c>
      <c r="H840" t="s">
        <v>194</v>
      </c>
      <c r="I840" t="s">
        <v>9430</v>
      </c>
      <c r="J840" t="s">
        <v>210</v>
      </c>
      <c r="K840" t="s">
        <v>10796</v>
      </c>
      <c r="L840" t="s">
        <v>6261</v>
      </c>
      <c r="M840" t="s">
        <v>11702</v>
      </c>
      <c r="N840" t="s">
        <v>10005</v>
      </c>
      <c r="O840" t="s">
        <v>10767</v>
      </c>
      <c r="P840" t="s">
        <v>11794</v>
      </c>
      <c r="Q840" t="s">
        <v>11795</v>
      </c>
      <c r="S840" t="s">
        <v>9309</v>
      </c>
      <c r="T840" s="28" t="s">
        <v>9334</v>
      </c>
      <c r="U840" s="27" t="s">
        <v>3629</v>
      </c>
      <c r="V840" t="s">
        <v>194</v>
      </c>
      <c r="W840" t="s">
        <v>9300</v>
      </c>
      <c r="Z840" t="s">
        <v>9311</v>
      </c>
      <c r="AF840" t="s">
        <v>4714</v>
      </c>
      <c r="AG840" t="s">
        <v>9433</v>
      </c>
      <c r="AI840" t="s">
        <v>6955</v>
      </c>
      <c r="AJ840" s="424" t="str">
        <f t="shared" si="39"/>
        <v>251903</v>
      </c>
      <c r="AK840" s="28">
        <v>1</v>
      </c>
      <c r="AL840" s="28">
        <f t="shared" si="41"/>
        <v>1</v>
      </c>
      <c r="AM840" s="28" t="str">
        <f t="shared" si="40"/>
        <v>agora</v>
      </c>
    </row>
    <row r="841" spans="1:39" x14ac:dyDescent="0.25">
      <c r="A841" t="s">
        <v>9522</v>
      </c>
      <c r="B841" t="s">
        <v>9664</v>
      </c>
      <c r="C841" t="s">
        <v>2861</v>
      </c>
      <c r="D841" s="27" t="s">
        <v>9437</v>
      </c>
      <c r="E841" t="s">
        <v>217</v>
      </c>
      <c r="F841" s="421">
        <v>1</v>
      </c>
      <c r="G841" t="s">
        <v>193</v>
      </c>
      <c r="H841" t="s">
        <v>194</v>
      </c>
      <c r="I841" t="s">
        <v>9430</v>
      </c>
      <c r="J841" t="s">
        <v>9524</v>
      </c>
      <c r="K841" t="s">
        <v>9665</v>
      </c>
      <c r="L841" t="s">
        <v>6261</v>
      </c>
      <c r="M841" t="s">
        <v>11702</v>
      </c>
      <c r="N841" t="s">
        <v>9536</v>
      </c>
      <c r="O841" t="s">
        <v>9537</v>
      </c>
      <c r="P841" t="s">
        <v>11815</v>
      </c>
      <c r="Q841" t="s">
        <v>11816</v>
      </c>
      <c r="S841" t="s">
        <v>9309</v>
      </c>
      <c r="U841" s="27" t="s">
        <v>3629</v>
      </c>
      <c r="V841" t="s">
        <v>193</v>
      </c>
      <c r="W841" t="s">
        <v>9310</v>
      </c>
      <c r="Z841" t="s">
        <v>9311</v>
      </c>
      <c r="AF841" t="s">
        <v>4714</v>
      </c>
      <c r="AG841" t="s">
        <v>9433</v>
      </c>
      <c r="AI841" t="s">
        <v>6955</v>
      </c>
      <c r="AJ841" s="424" t="str">
        <f t="shared" si="39"/>
        <v>251903</v>
      </c>
      <c r="AK841" s="28">
        <v>1</v>
      </c>
      <c r="AL841" s="28">
        <f t="shared" si="41"/>
        <v>1</v>
      </c>
      <c r="AM841" s="28" t="str">
        <f t="shared" si="40"/>
        <v>agora</v>
      </c>
    </row>
    <row r="842" spans="1:39" x14ac:dyDescent="0.25">
      <c r="A842" t="s">
        <v>9522</v>
      </c>
      <c r="B842" t="s">
        <v>9664</v>
      </c>
      <c r="C842" t="s">
        <v>2861</v>
      </c>
      <c r="D842" s="27" t="s">
        <v>9437</v>
      </c>
      <c r="E842" t="s">
        <v>217</v>
      </c>
      <c r="F842" s="421">
        <v>1</v>
      </c>
      <c r="G842" t="s">
        <v>193</v>
      </c>
      <c r="H842" t="s">
        <v>194</v>
      </c>
      <c r="I842" t="s">
        <v>9430</v>
      </c>
      <c r="J842" t="s">
        <v>9524</v>
      </c>
      <c r="K842" t="s">
        <v>9671</v>
      </c>
      <c r="L842" t="s">
        <v>6261</v>
      </c>
      <c r="M842" t="s">
        <v>11702</v>
      </c>
      <c r="N842" t="s">
        <v>9536</v>
      </c>
      <c r="O842" t="s">
        <v>9537</v>
      </c>
      <c r="P842" t="s">
        <v>11817</v>
      </c>
      <c r="Q842" t="s">
        <v>11818</v>
      </c>
      <c r="S842" t="s">
        <v>9309</v>
      </c>
      <c r="U842" s="27" t="s">
        <v>3629</v>
      </c>
      <c r="V842" t="s">
        <v>193</v>
      </c>
      <c r="W842" t="s">
        <v>9310</v>
      </c>
      <c r="Z842" t="s">
        <v>9311</v>
      </c>
      <c r="AF842" t="s">
        <v>4714</v>
      </c>
      <c r="AG842" t="s">
        <v>9433</v>
      </c>
      <c r="AI842" t="s">
        <v>6955</v>
      </c>
      <c r="AJ842" s="424" t="str">
        <f t="shared" si="39"/>
        <v>251903</v>
      </c>
      <c r="AK842" s="28">
        <v>1</v>
      </c>
      <c r="AL842" s="28">
        <f t="shared" si="41"/>
        <v>1</v>
      </c>
      <c r="AM842" s="28" t="str">
        <f t="shared" si="40"/>
        <v>agora</v>
      </c>
    </row>
    <row r="843" spans="1:39" x14ac:dyDescent="0.25">
      <c r="A843" t="s">
        <v>9522</v>
      </c>
      <c r="B843" t="s">
        <v>9664</v>
      </c>
      <c r="C843" t="s">
        <v>2861</v>
      </c>
      <c r="D843" s="27" t="s">
        <v>9437</v>
      </c>
      <c r="E843" t="s">
        <v>217</v>
      </c>
      <c r="F843" s="421">
        <v>1</v>
      </c>
      <c r="G843" t="s">
        <v>193</v>
      </c>
      <c r="H843" t="s">
        <v>194</v>
      </c>
      <c r="I843" t="s">
        <v>9430</v>
      </c>
      <c r="J843" t="s">
        <v>9524</v>
      </c>
      <c r="K843" t="s">
        <v>9677</v>
      </c>
      <c r="L843" t="s">
        <v>6261</v>
      </c>
      <c r="M843" t="s">
        <v>11702</v>
      </c>
      <c r="N843" t="s">
        <v>9526</v>
      </c>
      <c r="O843" t="s">
        <v>9461</v>
      </c>
      <c r="P843" t="s">
        <v>11819</v>
      </c>
      <c r="Q843" t="s">
        <v>11820</v>
      </c>
      <c r="S843" t="s">
        <v>9309</v>
      </c>
      <c r="U843" s="27" t="s">
        <v>3629</v>
      </c>
      <c r="V843" t="s">
        <v>193</v>
      </c>
      <c r="W843" t="s">
        <v>9310</v>
      </c>
      <c r="Z843" t="s">
        <v>9311</v>
      </c>
      <c r="AF843" t="s">
        <v>4714</v>
      </c>
      <c r="AG843" t="s">
        <v>9433</v>
      </c>
      <c r="AI843" t="s">
        <v>6955</v>
      </c>
      <c r="AJ843" s="424" t="str">
        <f t="shared" si="39"/>
        <v>251903</v>
      </c>
      <c r="AK843" s="28">
        <v>1</v>
      </c>
      <c r="AL843" s="28">
        <f t="shared" si="41"/>
        <v>1</v>
      </c>
      <c r="AM843" s="28" t="str">
        <f t="shared" si="40"/>
        <v>agora</v>
      </c>
    </row>
    <row r="844" spans="1:39" x14ac:dyDescent="0.25">
      <c r="A844" t="s">
        <v>9522</v>
      </c>
      <c r="B844" t="s">
        <v>9664</v>
      </c>
      <c r="C844" t="s">
        <v>2861</v>
      </c>
      <c r="D844" s="27" t="s">
        <v>9437</v>
      </c>
      <c r="E844" t="s">
        <v>217</v>
      </c>
      <c r="F844" s="421">
        <v>1</v>
      </c>
      <c r="G844" t="s">
        <v>193</v>
      </c>
      <c r="H844" t="s">
        <v>194</v>
      </c>
      <c r="I844" t="s">
        <v>9430</v>
      </c>
      <c r="J844" t="s">
        <v>9524</v>
      </c>
      <c r="K844" t="s">
        <v>9680</v>
      </c>
      <c r="L844" t="s">
        <v>6261</v>
      </c>
      <c r="M844" t="s">
        <v>11702</v>
      </c>
      <c r="N844" t="s">
        <v>9526</v>
      </c>
      <c r="O844" t="s">
        <v>9461</v>
      </c>
      <c r="P844" t="s">
        <v>11821</v>
      </c>
      <c r="Q844" t="s">
        <v>11822</v>
      </c>
      <c r="S844" t="s">
        <v>9309</v>
      </c>
      <c r="U844" s="27" t="s">
        <v>3629</v>
      </c>
      <c r="V844" t="s">
        <v>193</v>
      </c>
      <c r="W844" t="s">
        <v>9310</v>
      </c>
      <c r="Z844" t="s">
        <v>9311</v>
      </c>
      <c r="AF844" t="s">
        <v>4714</v>
      </c>
      <c r="AG844" t="s">
        <v>9433</v>
      </c>
      <c r="AI844" t="s">
        <v>6955</v>
      </c>
      <c r="AJ844" s="424" t="str">
        <f t="shared" si="39"/>
        <v>251903</v>
      </c>
      <c r="AK844" s="28">
        <v>1</v>
      </c>
      <c r="AL844" s="28">
        <f t="shared" si="41"/>
        <v>1</v>
      </c>
      <c r="AM844" s="28" t="str">
        <f t="shared" si="40"/>
        <v>agora</v>
      </c>
    </row>
    <row r="845" spans="1:39" x14ac:dyDescent="0.25">
      <c r="A845" t="s">
        <v>9522</v>
      </c>
      <c r="B845" t="s">
        <v>9664</v>
      </c>
      <c r="C845" t="s">
        <v>2861</v>
      </c>
      <c r="D845" s="27" t="s">
        <v>9437</v>
      </c>
      <c r="E845" t="s">
        <v>217</v>
      </c>
      <c r="F845" s="421">
        <v>1</v>
      </c>
      <c r="G845" t="s">
        <v>193</v>
      </c>
      <c r="H845" t="s">
        <v>194</v>
      </c>
      <c r="I845" t="s">
        <v>9430</v>
      </c>
      <c r="J845" t="s">
        <v>9524</v>
      </c>
      <c r="K845" t="s">
        <v>9689</v>
      </c>
      <c r="L845" t="s">
        <v>6261</v>
      </c>
      <c r="M845" t="s">
        <v>11702</v>
      </c>
      <c r="N845" t="s">
        <v>9526</v>
      </c>
      <c r="O845" t="s">
        <v>9461</v>
      </c>
      <c r="P845" t="s">
        <v>11823</v>
      </c>
      <c r="Q845" t="s">
        <v>11824</v>
      </c>
      <c r="S845" t="s">
        <v>9309</v>
      </c>
      <c r="U845" s="27" t="s">
        <v>3629</v>
      </c>
      <c r="V845" t="s">
        <v>193</v>
      </c>
      <c r="W845" t="s">
        <v>9310</v>
      </c>
      <c r="Z845" t="s">
        <v>9311</v>
      </c>
      <c r="AF845" t="s">
        <v>4714</v>
      </c>
      <c r="AG845" t="s">
        <v>9433</v>
      </c>
      <c r="AI845" t="s">
        <v>6955</v>
      </c>
      <c r="AJ845" s="424" t="str">
        <f t="shared" si="39"/>
        <v>251903</v>
      </c>
      <c r="AK845" s="28">
        <v>1</v>
      </c>
      <c r="AL845" s="28">
        <f t="shared" si="41"/>
        <v>1</v>
      </c>
      <c r="AM845" s="28" t="str">
        <f t="shared" si="40"/>
        <v>agora</v>
      </c>
    </row>
    <row r="846" spans="1:39" x14ac:dyDescent="0.25">
      <c r="A846" t="s">
        <v>9522</v>
      </c>
      <c r="B846" t="s">
        <v>9664</v>
      </c>
      <c r="C846" t="s">
        <v>2861</v>
      </c>
      <c r="D846" s="27" t="s">
        <v>9437</v>
      </c>
      <c r="E846" t="s">
        <v>217</v>
      </c>
      <c r="F846" s="421">
        <v>1</v>
      </c>
      <c r="G846" t="s">
        <v>193</v>
      </c>
      <c r="H846" t="s">
        <v>194</v>
      </c>
      <c r="I846" t="s">
        <v>9430</v>
      </c>
      <c r="J846" t="s">
        <v>9524</v>
      </c>
      <c r="K846" t="s">
        <v>9698</v>
      </c>
      <c r="L846" t="s">
        <v>6261</v>
      </c>
      <c r="M846" t="s">
        <v>11702</v>
      </c>
      <c r="N846" t="s">
        <v>9526</v>
      </c>
      <c r="O846" t="s">
        <v>9461</v>
      </c>
      <c r="P846" t="s">
        <v>11825</v>
      </c>
      <c r="Q846" t="s">
        <v>11826</v>
      </c>
      <c r="S846" t="s">
        <v>9309</v>
      </c>
      <c r="U846" s="27" t="s">
        <v>3629</v>
      </c>
      <c r="V846" t="s">
        <v>193</v>
      </c>
      <c r="W846" t="s">
        <v>9310</v>
      </c>
      <c r="Z846" t="s">
        <v>9311</v>
      </c>
      <c r="AF846" t="s">
        <v>4714</v>
      </c>
      <c r="AG846" t="s">
        <v>9433</v>
      </c>
      <c r="AI846" t="s">
        <v>6955</v>
      </c>
      <c r="AJ846" s="424" t="str">
        <f t="shared" si="39"/>
        <v>251903</v>
      </c>
      <c r="AK846" s="28">
        <v>1</v>
      </c>
      <c r="AL846" s="28">
        <f t="shared" si="41"/>
        <v>1</v>
      </c>
      <c r="AM846" s="28" t="str">
        <f t="shared" si="40"/>
        <v>agora</v>
      </c>
    </row>
    <row r="847" spans="1:39" x14ac:dyDescent="0.25">
      <c r="A847" t="s">
        <v>9522</v>
      </c>
      <c r="B847" t="s">
        <v>9664</v>
      </c>
      <c r="C847" t="s">
        <v>2861</v>
      </c>
      <c r="D847" s="27" t="s">
        <v>9437</v>
      </c>
      <c r="E847" t="s">
        <v>217</v>
      </c>
      <c r="F847" s="421">
        <v>1</v>
      </c>
      <c r="G847" t="s">
        <v>193</v>
      </c>
      <c r="H847" t="s">
        <v>194</v>
      </c>
      <c r="I847" t="s">
        <v>9430</v>
      </c>
      <c r="J847" t="s">
        <v>9524</v>
      </c>
      <c r="K847" t="s">
        <v>9668</v>
      </c>
      <c r="L847" t="s">
        <v>6261</v>
      </c>
      <c r="M847" t="s">
        <v>11702</v>
      </c>
      <c r="N847" t="s">
        <v>9536</v>
      </c>
      <c r="O847" t="s">
        <v>9537</v>
      </c>
      <c r="P847" t="s">
        <v>11827</v>
      </c>
      <c r="Q847" t="s">
        <v>11828</v>
      </c>
      <c r="S847" t="s">
        <v>9309</v>
      </c>
      <c r="U847" s="27" t="s">
        <v>3629</v>
      </c>
      <c r="V847" t="s">
        <v>193</v>
      </c>
      <c r="W847" t="s">
        <v>9310</v>
      </c>
      <c r="Z847" t="s">
        <v>9311</v>
      </c>
      <c r="AF847" t="s">
        <v>4714</v>
      </c>
      <c r="AG847" t="s">
        <v>9433</v>
      </c>
      <c r="AI847" t="s">
        <v>6955</v>
      </c>
      <c r="AJ847" s="424" t="str">
        <f t="shared" si="39"/>
        <v>251903</v>
      </c>
      <c r="AK847" s="28">
        <v>1</v>
      </c>
      <c r="AL847" s="28">
        <f t="shared" si="41"/>
        <v>1</v>
      </c>
      <c r="AM847" s="28" t="str">
        <f t="shared" si="40"/>
        <v>agora</v>
      </c>
    </row>
    <row r="848" spans="1:39" x14ac:dyDescent="0.25">
      <c r="A848" t="s">
        <v>9522</v>
      </c>
      <c r="B848" t="s">
        <v>9664</v>
      </c>
      <c r="C848" t="s">
        <v>2861</v>
      </c>
      <c r="D848" s="27" t="s">
        <v>9437</v>
      </c>
      <c r="E848" t="s">
        <v>217</v>
      </c>
      <c r="F848" s="421">
        <v>1</v>
      </c>
      <c r="G848" t="s">
        <v>193</v>
      </c>
      <c r="H848" t="s">
        <v>194</v>
      </c>
      <c r="I848" t="s">
        <v>9430</v>
      </c>
      <c r="J848" t="s">
        <v>9524</v>
      </c>
      <c r="K848" t="s">
        <v>9674</v>
      </c>
      <c r="L848" t="s">
        <v>6261</v>
      </c>
      <c r="M848" t="s">
        <v>11702</v>
      </c>
      <c r="N848" t="s">
        <v>9526</v>
      </c>
      <c r="O848" t="s">
        <v>9461</v>
      </c>
      <c r="P848" t="s">
        <v>11829</v>
      </c>
      <c r="Q848" t="s">
        <v>11830</v>
      </c>
      <c r="S848" t="s">
        <v>9309</v>
      </c>
      <c r="U848" s="27" t="s">
        <v>3629</v>
      </c>
      <c r="V848" t="s">
        <v>193</v>
      </c>
      <c r="W848" t="s">
        <v>9310</v>
      </c>
      <c r="Z848" t="s">
        <v>9311</v>
      </c>
      <c r="AF848" t="s">
        <v>4714</v>
      </c>
      <c r="AG848" t="s">
        <v>9433</v>
      </c>
      <c r="AI848" t="s">
        <v>6955</v>
      </c>
      <c r="AJ848" s="424" t="str">
        <f t="shared" si="39"/>
        <v>251903</v>
      </c>
      <c r="AK848" s="28">
        <v>1</v>
      </c>
      <c r="AL848" s="28">
        <f t="shared" si="41"/>
        <v>1</v>
      </c>
      <c r="AM848" s="28" t="str">
        <f t="shared" si="40"/>
        <v>agora</v>
      </c>
    </row>
    <row r="849" spans="1:39" x14ac:dyDescent="0.25">
      <c r="A849" t="s">
        <v>9522</v>
      </c>
      <c r="B849" t="s">
        <v>9664</v>
      </c>
      <c r="C849" t="s">
        <v>2861</v>
      </c>
      <c r="D849" s="27" t="s">
        <v>9437</v>
      </c>
      <c r="E849" t="s">
        <v>217</v>
      </c>
      <c r="F849" s="421">
        <v>1</v>
      </c>
      <c r="G849" t="s">
        <v>193</v>
      </c>
      <c r="H849" t="s">
        <v>194</v>
      </c>
      <c r="I849" t="s">
        <v>9430</v>
      </c>
      <c r="J849" t="s">
        <v>9524</v>
      </c>
      <c r="K849" t="s">
        <v>9683</v>
      </c>
      <c r="L849" t="s">
        <v>6261</v>
      </c>
      <c r="M849" t="s">
        <v>11702</v>
      </c>
      <c r="N849" t="s">
        <v>9526</v>
      </c>
      <c r="O849" t="s">
        <v>9461</v>
      </c>
      <c r="P849" t="s">
        <v>11831</v>
      </c>
      <c r="Q849" t="s">
        <v>11832</v>
      </c>
      <c r="S849" t="s">
        <v>9309</v>
      </c>
      <c r="U849" s="27" t="s">
        <v>3629</v>
      </c>
      <c r="V849" t="s">
        <v>193</v>
      </c>
      <c r="W849" t="s">
        <v>9310</v>
      </c>
      <c r="Z849" t="s">
        <v>9311</v>
      </c>
      <c r="AF849" t="s">
        <v>4714</v>
      </c>
      <c r="AG849" t="s">
        <v>9433</v>
      </c>
      <c r="AI849" t="s">
        <v>6955</v>
      </c>
      <c r="AJ849" s="424" t="str">
        <f t="shared" si="39"/>
        <v>251903</v>
      </c>
      <c r="AK849" s="28">
        <v>1</v>
      </c>
      <c r="AL849" s="28">
        <f t="shared" si="41"/>
        <v>1</v>
      </c>
      <c r="AM849" s="28" t="str">
        <f t="shared" si="40"/>
        <v>agora</v>
      </c>
    </row>
    <row r="850" spans="1:39" x14ac:dyDescent="0.25">
      <c r="A850" t="s">
        <v>9522</v>
      </c>
      <c r="B850" t="s">
        <v>9664</v>
      </c>
      <c r="C850" t="s">
        <v>2861</v>
      </c>
      <c r="D850" s="27" t="s">
        <v>9437</v>
      </c>
      <c r="E850" t="s">
        <v>217</v>
      </c>
      <c r="F850" s="421">
        <v>1</v>
      </c>
      <c r="G850" t="s">
        <v>193</v>
      </c>
      <c r="H850" t="s">
        <v>194</v>
      </c>
      <c r="I850" t="s">
        <v>9430</v>
      </c>
      <c r="J850" t="s">
        <v>9524</v>
      </c>
      <c r="K850" t="s">
        <v>9686</v>
      </c>
      <c r="L850" t="s">
        <v>6261</v>
      </c>
      <c r="M850" t="s">
        <v>11702</v>
      </c>
      <c r="N850" t="s">
        <v>9536</v>
      </c>
      <c r="O850" t="s">
        <v>9537</v>
      </c>
      <c r="P850" t="s">
        <v>11833</v>
      </c>
      <c r="Q850" t="s">
        <v>11834</v>
      </c>
      <c r="S850" t="s">
        <v>9309</v>
      </c>
      <c r="U850" s="27" t="s">
        <v>3629</v>
      </c>
      <c r="V850" t="s">
        <v>193</v>
      </c>
      <c r="W850" t="s">
        <v>9310</v>
      </c>
      <c r="Z850" t="s">
        <v>9311</v>
      </c>
      <c r="AF850" t="s">
        <v>4714</v>
      </c>
      <c r="AG850" t="s">
        <v>9433</v>
      </c>
      <c r="AI850" t="s">
        <v>6955</v>
      </c>
      <c r="AJ850" s="424" t="str">
        <f t="shared" si="39"/>
        <v>251903</v>
      </c>
      <c r="AK850" s="28">
        <v>1</v>
      </c>
      <c r="AL850" s="28">
        <f t="shared" si="41"/>
        <v>1</v>
      </c>
      <c r="AM850" s="28" t="str">
        <f t="shared" si="40"/>
        <v>agora</v>
      </c>
    </row>
    <row r="851" spans="1:39" x14ac:dyDescent="0.25">
      <c r="A851" t="s">
        <v>9522</v>
      </c>
      <c r="B851" t="s">
        <v>9664</v>
      </c>
      <c r="C851" t="s">
        <v>2861</v>
      </c>
      <c r="D851" s="27" t="s">
        <v>9437</v>
      </c>
      <c r="E851" t="s">
        <v>217</v>
      </c>
      <c r="F851" s="421">
        <v>1</v>
      </c>
      <c r="G851" t="s">
        <v>193</v>
      </c>
      <c r="H851" t="s">
        <v>194</v>
      </c>
      <c r="I851" t="s">
        <v>9430</v>
      </c>
      <c r="J851" t="s">
        <v>9524</v>
      </c>
      <c r="K851" t="s">
        <v>9692</v>
      </c>
      <c r="L851" t="s">
        <v>6261</v>
      </c>
      <c r="M851" t="s">
        <v>11702</v>
      </c>
      <c r="N851" t="s">
        <v>9526</v>
      </c>
      <c r="O851" t="s">
        <v>9461</v>
      </c>
      <c r="P851" t="s">
        <v>11835</v>
      </c>
      <c r="Q851" t="s">
        <v>11836</v>
      </c>
      <c r="S851" t="s">
        <v>9309</v>
      </c>
      <c r="U851" s="27" t="s">
        <v>3629</v>
      </c>
      <c r="V851" t="s">
        <v>193</v>
      </c>
      <c r="W851" t="s">
        <v>9310</v>
      </c>
      <c r="Z851" t="s">
        <v>9311</v>
      </c>
      <c r="AF851" t="s">
        <v>4714</v>
      </c>
      <c r="AG851" t="s">
        <v>9433</v>
      </c>
      <c r="AI851" t="s">
        <v>6955</v>
      </c>
      <c r="AJ851" s="424" t="str">
        <f t="shared" si="39"/>
        <v>251903</v>
      </c>
      <c r="AK851" s="28">
        <v>1</v>
      </c>
      <c r="AL851" s="28">
        <f t="shared" si="41"/>
        <v>1</v>
      </c>
      <c r="AM851" s="28" t="str">
        <f t="shared" si="40"/>
        <v>agora</v>
      </c>
    </row>
    <row r="852" spans="1:39" x14ac:dyDescent="0.25">
      <c r="A852" t="s">
        <v>9522</v>
      </c>
      <c r="B852" t="s">
        <v>9664</v>
      </c>
      <c r="C852" t="s">
        <v>2861</v>
      </c>
      <c r="D852" s="27" t="s">
        <v>9437</v>
      </c>
      <c r="E852" t="s">
        <v>217</v>
      </c>
      <c r="F852" s="421">
        <v>1</v>
      </c>
      <c r="G852" t="s">
        <v>193</v>
      </c>
      <c r="H852" t="s">
        <v>194</v>
      </c>
      <c r="I852" t="s">
        <v>9430</v>
      </c>
      <c r="J852" t="s">
        <v>9524</v>
      </c>
      <c r="K852" t="s">
        <v>9695</v>
      </c>
      <c r="L852" t="s">
        <v>6261</v>
      </c>
      <c r="M852" t="s">
        <v>11702</v>
      </c>
      <c r="N852" t="s">
        <v>9536</v>
      </c>
      <c r="O852" t="s">
        <v>9537</v>
      </c>
      <c r="P852" t="s">
        <v>11837</v>
      </c>
      <c r="Q852" t="s">
        <v>11838</v>
      </c>
      <c r="S852" t="s">
        <v>9309</v>
      </c>
      <c r="U852" s="27" t="s">
        <v>3629</v>
      </c>
      <c r="V852" t="s">
        <v>193</v>
      </c>
      <c r="W852" t="s">
        <v>9310</v>
      </c>
      <c r="Z852" t="s">
        <v>9311</v>
      </c>
      <c r="AF852" t="s">
        <v>4714</v>
      </c>
      <c r="AG852" t="s">
        <v>9433</v>
      </c>
      <c r="AI852" t="s">
        <v>6955</v>
      </c>
      <c r="AJ852" s="424" t="str">
        <f t="shared" si="39"/>
        <v>251903</v>
      </c>
      <c r="AK852" s="28">
        <v>1</v>
      </c>
      <c r="AL852" s="28">
        <f t="shared" si="41"/>
        <v>1</v>
      </c>
      <c r="AM852" s="28" t="str">
        <f t="shared" si="40"/>
        <v>agora</v>
      </c>
    </row>
    <row r="853" spans="1:39" x14ac:dyDescent="0.25">
      <c r="A853" t="s">
        <v>9522</v>
      </c>
      <c r="B853" t="s">
        <v>9716</v>
      </c>
      <c r="C853" t="s">
        <v>2861</v>
      </c>
      <c r="D853" s="27" t="s">
        <v>9437</v>
      </c>
      <c r="E853" t="s">
        <v>217</v>
      </c>
      <c r="F853" s="421">
        <v>1</v>
      </c>
      <c r="G853" t="s">
        <v>193</v>
      </c>
      <c r="H853" t="s">
        <v>194</v>
      </c>
      <c r="I853" t="s">
        <v>9430</v>
      </c>
      <c r="J853" t="s">
        <v>9717</v>
      </c>
      <c r="K853" t="s">
        <v>9718</v>
      </c>
      <c r="L853" t="s">
        <v>6261</v>
      </c>
      <c r="M853" t="s">
        <v>11702</v>
      </c>
      <c r="N853" t="s">
        <v>9719</v>
      </c>
      <c r="O853" t="s">
        <v>9574</v>
      </c>
      <c r="P853" t="s">
        <v>11850</v>
      </c>
      <c r="Q853" t="s">
        <v>11851</v>
      </c>
      <c r="S853" t="s">
        <v>9309</v>
      </c>
      <c r="U853" s="27" t="s">
        <v>3629</v>
      </c>
      <c r="V853" t="s">
        <v>193</v>
      </c>
      <c r="W853" t="s">
        <v>9310</v>
      </c>
      <c r="Z853" t="s">
        <v>9311</v>
      </c>
      <c r="AF853" t="s">
        <v>4714</v>
      </c>
      <c r="AG853" t="s">
        <v>9433</v>
      </c>
      <c r="AI853" t="s">
        <v>6955</v>
      </c>
      <c r="AJ853" s="424" t="str">
        <f t="shared" si="39"/>
        <v>251903</v>
      </c>
      <c r="AK853" s="28">
        <v>1</v>
      </c>
      <c r="AL853" s="28">
        <f t="shared" si="41"/>
        <v>1</v>
      </c>
      <c r="AM853" s="28" t="str">
        <f t="shared" si="40"/>
        <v>agora</v>
      </c>
    </row>
    <row r="854" spans="1:39" x14ac:dyDescent="0.25">
      <c r="A854" t="s">
        <v>9522</v>
      </c>
      <c r="B854" t="s">
        <v>11852</v>
      </c>
      <c r="C854" t="s">
        <v>2861</v>
      </c>
      <c r="D854" s="27" t="s">
        <v>9437</v>
      </c>
      <c r="E854" t="s">
        <v>217</v>
      </c>
      <c r="F854" s="421">
        <v>1</v>
      </c>
      <c r="G854" t="s">
        <v>193</v>
      </c>
      <c r="H854" t="s">
        <v>194</v>
      </c>
      <c r="I854" t="s">
        <v>9430</v>
      </c>
      <c r="J854" t="s">
        <v>210</v>
      </c>
      <c r="K854" t="s">
        <v>11853</v>
      </c>
      <c r="L854" t="s">
        <v>6261</v>
      </c>
      <c r="M854" t="s">
        <v>11702</v>
      </c>
      <c r="N854" t="s">
        <v>9526</v>
      </c>
      <c r="O854" t="s">
        <v>9835</v>
      </c>
      <c r="P854" t="s">
        <v>11854</v>
      </c>
      <c r="Q854" t="s">
        <v>11855</v>
      </c>
      <c r="S854" t="s">
        <v>9309</v>
      </c>
      <c r="T854" s="28" t="s">
        <v>9334</v>
      </c>
      <c r="U854" s="27" t="s">
        <v>3629</v>
      </c>
      <c r="V854" t="s">
        <v>194</v>
      </c>
      <c r="W854" t="s">
        <v>9300</v>
      </c>
      <c r="Z854" t="s">
        <v>9311</v>
      </c>
      <c r="AF854" t="s">
        <v>4714</v>
      </c>
      <c r="AG854" t="s">
        <v>9433</v>
      </c>
      <c r="AI854" t="s">
        <v>6955</v>
      </c>
      <c r="AJ854" s="424" t="str">
        <f t="shared" si="39"/>
        <v>251903</v>
      </c>
      <c r="AK854" s="28">
        <v>1</v>
      </c>
      <c r="AL854" s="28">
        <f t="shared" si="41"/>
        <v>1</v>
      </c>
      <c r="AM854" s="28" t="str">
        <f t="shared" si="40"/>
        <v>agora</v>
      </c>
    </row>
    <row r="855" spans="1:39" x14ac:dyDescent="0.25">
      <c r="A855" t="s">
        <v>9522</v>
      </c>
      <c r="B855" t="s">
        <v>11856</v>
      </c>
      <c r="C855" t="s">
        <v>2861</v>
      </c>
      <c r="D855" s="27" t="s">
        <v>9437</v>
      </c>
      <c r="E855" t="s">
        <v>217</v>
      </c>
      <c r="F855" s="421">
        <v>1</v>
      </c>
      <c r="G855" t="s">
        <v>193</v>
      </c>
      <c r="H855" t="s">
        <v>194</v>
      </c>
      <c r="I855" t="s">
        <v>9430</v>
      </c>
      <c r="J855" t="s">
        <v>210</v>
      </c>
      <c r="K855" t="s">
        <v>11857</v>
      </c>
      <c r="L855" t="s">
        <v>6261</v>
      </c>
      <c r="M855" t="s">
        <v>11702</v>
      </c>
      <c r="N855" t="s">
        <v>11100</v>
      </c>
      <c r="O855" t="s">
        <v>9835</v>
      </c>
      <c r="P855" t="s">
        <v>11858</v>
      </c>
      <c r="Q855" t="s">
        <v>11859</v>
      </c>
      <c r="S855" t="s">
        <v>9309</v>
      </c>
      <c r="T855" s="28" t="s">
        <v>9334</v>
      </c>
      <c r="U855" s="27" t="s">
        <v>3629</v>
      </c>
      <c r="V855" t="s">
        <v>194</v>
      </c>
      <c r="W855" t="s">
        <v>9300</v>
      </c>
      <c r="Z855" t="s">
        <v>9311</v>
      </c>
      <c r="AF855" t="s">
        <v>4714</v>
      </c>
      <c r="AG855" t="s">
        <v>9433</v>
      </c>
      <c r="AI855" t="s">
        <v>6955</v>
      </c>
      <c r="AJ855" s="424" t="str">
        <f t="shared" si="39"/>
        <v>251903</v>
      </c>
      <c r="AK855" s="28">
        <v>1</v>
      </c>
      <c r="AL855" s="28">
        <f t="shared" si="41"/>
        <v>1</v>
      </c>
      <c r="AM855" s="28" t="str">
        <f t="shared" si="40"/>
        <v>agora</v>
      </c>
    </row>
    <row r="856" spans="1:39" x14ac:dyDescent="0.25">
      <c r="A856" t="s">
        <v>1748</v>
      </c>
      <c r="B856" t="s">
        <v>12464</v>
      </c>
      <c r="C856" t="s">
        <v>43</v>
      </c>
      <c r="D856" s="27" t="s">
        <v>10194</v>
      </c>
      <c r="E856" t="s">
        <v>192</v>
      </c>
      <c r="F856" s="421">
        <v>1</v>
      </c>
      <c r="G856" t="s">
        <v>193</v>
      </c>
      <c r="H856" t="s">
        <v>194</v>
      </c>
      <c r="I856" t="s">
        <v>9989</v>
      </c>
      <c r="J856" t="s">
        <v>210</v>
      </c>
      <c r="K856" t="s">
        <v>12465</v>
      </c>
      <c r="L856" t="s">
        <v>6340</v>
      </c>
      <c r="M856" t="s">
        <v>12244</v>
      </c>
      <c r="N856" t="s">
        <v>9749</v>
      </c>
      <c r="O856" t="s">
        <v>9574</v>
      </c>
      <c r="P856" t="s">
        <v>12466</v>
      </c>
      <c r="Q856" t="s">
        <v>12467</v>
      </c>
      <c r="S856" t="s">
        <v>9309</v>
      </c>
      <c r="T856" s="28" t="s">
        <v>9334</v>
      </c>
      <c r="U856" s="27" t="s">
        <v>452</v>
      </c>
      <c r="V856" t="s">
        <v>194</v>
      </c>
      <c r="W856" t="s">
        <v>9300</v>
      </c>
      <c r="Z856" t="s">
        <v>9311</v>
      </c>
      <c r="AF856" t="s">
        <v>4714</v>
      </c>
      <c r="AG856" t="s">
        <v>12464</v>
      </c>
      <c r="AI856" t="s">
        <v>6955</v>
      </c>
      <c r="AJ856" s="424" t="str">
        <f t="shared" si="39"/>
        <v>243106</v>
      </c>
      <c r="AK856" s="28">
        <v>1</v>
      </c>
      <c r="AL856" s="28">
        <f t="shared" si="41"/>
        <v>1</v>
      </c>
      <c r="AM856" s="28" t="str">
        <f t="shared" si="40"/>
        <v>pracuj.pl</v>
      </c>
    </row>
    <row r="857" spans="1:39" x14ac:dyDescent="0.25">
      <c r="A857" t="s">
        <v>9746</v>
      </c>
      <c r="B857" t="s">
        <v>9747</v>
      </c>
      <c r="C857" t="s">
        <v>5312</v>
      </c>
      <c r="D857" s="27" t="s">
        <v>10194</v>
      </c>
      <c r="E857" t="s">
        <v>217</v>
      </c>
      <c r="F857" s="421">
        <v>1</v>
      </c>
      <c r="G857" t="s">
        <v>193</v>
      </c>
      <c r="H857" t="s">
        <v>194</v>
      </c>
      <c r="I857" t="s">
        <v>9343</v>
      </c>
      <c r="J857" t="s">
        <v>305</v>
      </c>
      <c r="K857" t="s">
        <v>9748</v>
      </c>
      <c r="L857" t="s">
        <v>6269</v>
      </c>
      <c r="M857" t="s">
        <v>12353</v>
      </c>
      <c r="N857" t="s">
        <v>9749</v>
      </c>
      <c r="O857" t="s">
        <v>9750</v>
      </c>
      <c r="P857" t="s">
        <v>12468</v>
      </c>
      <c r="Q857" t="s">
        <v>12469</v>
      </c>
      <c r="S857" t="s">
        <v>9309</v>
      </c>
      <c r="T857" s="28" t="s">
        <v>9753</v>
      </c>
      <c r="U857" s="27" t="s">
        <v>5313</v>
      </c>
      <c r="V857" t="s">
        <v>194</v>
      </c>
      <c r="W857" t="s">
        <v>9300</v>
      </c>
      <c r="Z857" t="s">
        <v>9311</v>
      </c>
      <c r="AF857" t="s">
        <v>4714</v>
      </c>
      <c r="AG857" t="s">
        <v>9433</v>
      </c>
      <c r="AI857" t="s">
        <v>6955</v>
      </c>
      <c r="AJ857" s="424" t="str">
        <f t="shared" si="39"/>
        <v>221101</v>
      </c>
      <c r="AK857" s="28">
        <v>1</v>
      </c>
      <c r="AL857" s="28">
        <f t="shared" si="41"/>
        <v>1</v>
      </c>
      <c r="AM857" s="28" t="str">
        <f t="shared" si="40"/>
        <v>agora</v>
      </c>
    </row>
    <row r="858" spans="1:39" x14ac:dyDescent="0.25">
      <c r="A858" t="s">
        <v>12084</v>
      </c>
      <c r="B858" t="s">
        <v>12093</v>
      </c>
      <c r="C858" t="s">
        <v>2861</v>
      </c>
      <c r="D858" s="27" t="s">
        <v>9437</v>
      </c>
      <c r="E858" t="s">
        <v>233</v>
      </c>
      <c r="F858" s="421">
        <v>1</v>
      </c>
      <c r="G858" t="s">
        <v>193</v>
      </c>
      <c r="H858" t="s">
        <v>194</v>
      </c>
      <c r="I858" t="s">
        <v>11608</v>
      </c>
      <c r="J858" t="s">
        <v>9302</v>
      </c>
      <c r="K858" t="s">
        <v>12094</v>
      </c>
      <c r="L858" t="s">
        <v>6340</v>
      </c>
      <c r="M858" t="s">
        <v>11670</v>
      </c>
      <c r="N858" t="s">
        <v>10005</v>
      </c>
      <c r="O858" t="s">
        <v>10767</v>
      </c>
      <c r="P858" t="s">
        <v>12095</v>
      </c>
      <c r="Q858" t="s">
        <v>12096</v>
      </c>
      <c r="S858" t="s">
        <v>9309</v>
      </c>
      <c r="U858" s="27" t="s">
        <v>3629</v>
      </c>
      <c r="V858" t="s">
        <v>193</v>
      </c>
      <c r="W858" t="s">
        <v>9310</v>
      </c>
      <c r="Z858" t="s">
        <v>9311</v>
      </c>
      <c r="AF858" t="s">
        <v>4714</v>
      </c>
      <c r="AG858" t="s">
        <v>12093</v>
      </c>
      <c r="AI858" t="s">
        <v>6955</v>
      </c>
      <c r="AJ858" s="424" t="str">
        <f t="shared" si="39"/>
        <v>251903</v>
      </c>
      <c r="AK858" s="28">
        <v>1</v>
      </c>
      <c r="AL858" s="28">
        <f t="shared" si="41"/>
        <v>1</v>
      </c>
      <c r="AM858" s="28" t="str">
        <f t="shared" si="40"/>
        <v>praca</v>
      </c>
    </row>
    <row r="859" spans="1:39" x14ac:dyDescent="0.25">
      <c r="A859" t="s">
        <v>12474</v>
      </c>
      <c r="B859" t="s">
        <v>12475</v>
      </c>
      <c r="C859" t="s">
        <v>12475</v>
      </c>
      <c r="D859" s="27" t="s">
        <v>10194</v>
      </c>
      <c r="E859" t="s">
        <v>233</v>
      </c>
      <c r="F859" s="421">
        <v>1</v>
      </c>
      <c r="G859" t="s">
        <v>194</v>
      </c>
      <c r="H859" t="s">
        <v>193</v>
      </c>
      <c r="I859" t="s">
        <v>9461</v>
      </c>
      <c r="J859" t="s">
        <v>9302</v>
      </c>
      <c r="K859" t="s">
        <v>12476</v>
      </c>
      <c r="L859" t="s">
        <v>6256</v>
      </c>
      <c r="M859" t="s">
        <v>12365</v>
      </c>
      <c r="N859" t="s">
        <v>9929</v>
      </c>
      <c r="O859" t="s">
        <v>10757</v>
      </c>
      <c r="P859" t="s">
        <v>12477</v>
      </c>
      <c r="Q859" t="s">
        <v>12478</v>
      </c>
      <c r="S859" t="s">
        <v>9309</v>
      </c>
      <c r="U859" s="27" t="s">
        <v>1808</v>
      </c>
      <c r="V859" t="s">
        <v>194</v>
      </c>
      <c r="W859" t="s">
        <v>9946</v>
      </c>
      <c r="Z859" t="s">
        <v>9311</v>
      </c>
      <c r="AF859" t="s">
        <v>4714</v>
      </c>
      <c r="AG859" t="s">
        <v>12475</v>
      </c>
      <c r="AI859" t="s">
        <v>6955</v>
      </c>
      <c r="AJ859" s="424" t="str">
        <f t="shared" si="39"/>
        <v>711502</v>
      </c>
      <c r="AK859" s="28">
        <v>1</v>
      </c>
      <c r="AL859" s="28">
        <f t="shared" si="41"/>
        <v>1</v>
      </c>
      <c r="AM859" s="28" t="str">
        <f t="shared" si="40"/>
        <v>praca</v>
      </c>
    </row>
    <row r="860" spans="1:39" x14ac:dyDescent="0.25">
      <c r="A860" t="s">
        <v>12474</v>
      </c>
      <c r="B860" t="s">
        <v>12479</v>
      </c>
      <c r="C860" t="s">
        <v>785</v>
      </c>
      <c r="D860" s="27" t="s">
        <v>10194</v>
      </c>
      <c r="E860" t="s">
        <v>233</v>
      </c>
      <c r="F860" s="421">
        <v>1</v>
      </c>
      <c r="G860" t="s">
        <v>193</v>
      </c>
      <c r="H860" t="s">
        <v>194</v>
      </c>
      <c r="I860" t="s">
        <v>9343</v>
      </c>
      <c r="J860" t="s">
        <v>9302</v>
      </c>
      <c r="K860" t="s">
        <v>12480</v>
      </c>
      <c r="L860" t="s">
        <v>6256</v>
      </c>
      <c r="M860" t="s">
        <v>12365</v>
      </c>
      <c r="N860" t="s">
        <v>9929</v>
      </c>
      <c r="O860" t="s">
        <v>10757</v>
      </c>
      <c r="P860" t="s">
        <v>12481</v>
      </c>
      <c r="Q860" t="s">
        <v>12482</v>
      </c>
      <c r="S860" t="s">
        <v>9309</v>
      </c>
      <c r="T860" s="28" t="s">
        <v>9468</v>
      </c>
      <c r="U860" s="27" t="s">
        <v>787</v>
      </c>
      <c r="V860" t="s">
        <v>194</v>
      </c>
      <c r="W860" t="s">
        <v>9300</v>
      </c>
      <c r="Z860" t="s">
        <v>9311</v>
      </c>
      <c r="AF860" t="s">
        <v>4714</v>
      </c>
      <c r="AG860" t="s">
        <v>12479</v>
      </c>
      <c r="AI860" t="s">
        <v>6955</v>
      </c>
      <c r="AJ860" s="424" t="str">
        <f t="shared" si="39"/>
        <v>711202</v>
      </c>
      <c r="AK860" s="28">
        <v>1</v>
      </c>
      <c r="AL860" s="28">
        <f t="shared" si="41"/>
        <v>1</v>
      </c>
      <c r="AM860" s="28" t="str">
        <f t="shared" si="40"/>
        <v>praca</v>
      </c>
    </row>
    <row r="861" spans="1:39" x14ac:dyDescent="0.25">
      <c r="A861" t="s">
        <v>12483</v>
      </c>
      <c r="B861" t="s">
        <v>12484</v>
      </c>
      <c r="C861" t="s">
        <v>10359</v>
      </c>
      <c r="D861" s="27" t="s">
        <v>10194</v>
      </c>
      <c r="E861" t="s">
        <v>233</v>
      </c>
      <c r="F861" s="421">
        <v>1</v>
      </c>
      <c r="G861" t="s">
        <v>193</v>
      </c>
      <c r="H861" t="s">
        <v>194</v>
      </c>
      <c r="I861" t="s">
        <v>11614</v>
      </c>
      <c r="J861" t="s">
        <v>9302</v>
      </c>
      <c r="K861" t="s">
        <v>12485</v>
      </c>
      <c r="L861" t="s">
        <v>6269</v>
      </c>
      <c r="M861" t="s">
        <v>12365</v>
      </c>
      <c r="N861" t="s">
        <v>9929</v>
      </c>
      <c r="O861" t="s">
        <v>9604</v>
      </c>
      <c r="P861" t="s">
        <v>12486</v>
      </c>
      <c r="Q861" t="s">
        <v>12487</v>
      </c>
      <c r="S861" t="s">
        <v>9309</v>
      </c>
      <c r="U861" s="27" t="s">
        <v>10363</v>
      </c>
      <c r="V861" t="s">
        <v>193</v>
      </c>
      <c r="W861" t="s">
        <v>9310</v>
      </c>
      <c r="Z861" t="s">
        <v>9311</v>
      </c>
      <c r="AF861" t="s">
        <v>4714</v>
      </c>
      <c r="AG861" t="s">
        <v>12484</v>
      </c>
      <c r="AI861" t="s">
        <v>6955</v>
      </c>
      <c r="AJ861" s="424" t="str">
        <f t="shared" si="39"/>
        <v>311501</v>
      </c>
      <c r="AK861" s="28">
        <v>1</v>
      </c>
      <c r="AL861" s="28">
        <f t="shared" si="41"/>
        <v>1</v>
      </c>
      <c r="AM861" s="28" t="str">
        <f t="shared" si="40"/>
        <v>praca</v>
      </c>
    </row>
    <row r="862" spans="1:39" x14ac:dyDescent="0.25">
      <c r="A862" t="s">
        <v>12488</v>
      </c>
      <c r="B862" t="s">
        <v>12489</v>
      </c>
      <c r="C862" t="s">
        <v>12489</v>
      </c>
      <c r="D862" s="27" t="s">
        <v>10194</v>
      </c>
      <c r="E862" t="s">
        <v>233</v>
      </c>
      <c r="F862" s="421">
        <v>3</v>
      </c>
      <c r="G862" t="s">
        <v>193</v>
      </c>
      <c r="H862" t="s">
        <v>194</v>
      </c>
      <c r="I862" t="s">
        <v>9461</v>
      </c>
      <c r="J862" t="s">
        <v>9302</v>
      </c>
      <c r="K862" t="s">
        <v>12490</v>
      </c>
      <c r="L862" t="s">
        <v>6275</v>
      </c>
      <c r="M862" t="s">
        <v>12365</v>
      </c>
      <c r="N862" t="s">
        <v>9929</v>
      </c>
      <c r="O862" t="s">
        <v>9486</v>
      </c>
      <c r="P862" t="s">
        <v>12491</v>
      </c>
      <c r="Q862" t="s">
        <v>12492</v>
      </c>
      <c r="S862" t="s">
        <v>9309</v>
      </c>
      <c r="U862" s="27" t="s">
        <v>12493</v>
      </c>
      <c r="V862" t="s">
        <v>193</v>
      </c>
      <c r="W862" t="s">
        <v>9310</v>
      </c>
      <c r="Z862" t="s">
        <v>9311</v>
      </c>
      <c r="AF862" t="s">
        <v>4714</v>
      </c>
      <c r="AG862" t="s">
        <v>12489</v>
      </c>
      <c r="AI862" t="s">
        <v>6955</v>
      </c>
      <c r="AJ862" s="424" t="str">
        <f t="shared" si="39"/>
        <v>711902</v>
      </c>
      <c r="AK862" s="28">
        <v>1</v>
      </c>
      <c r="AL862" s="28">
        <f t="shared" si="41"/>
        <v>3</v>
      </c>
      <c r="AM862" s="28" t="str">
        <f t="shared" si="40"/>
        <v>praca</v>
      </c>
    </row>
    <row r="863" spans="1:39" x14ac:dyDescent="0.25">
      <c r="A863" t="s">
        <v>12119</v>
      </c>
      <c r="B863" t="s">
        <v>12120</v>
      </c>
      <c r="C863" t="s">
        <v>2861</v>
      </c>
      <c r="D863" s="27" t="s">
        <v>9437</v>
      </c>
      <c r="E863" t="s">
        <v>192</v>
      </c>
      <c r="F863" s="421">
        <v>1</v>
      </c>
      <c r="G863" t="s">
        <v>193</v>
      </c>
      <c r="H863" t="s">
        <v>194</v>
      </c>
      <c r="I863" t="s">
        <v>11608</v>
      </c>
      <c r="J863" t="s">
        <v>9302</v>
      </c>
      <c r="K863" t="s">
        <v>12121</v>
      </c>
      <c r="L863" t="s">
        <v>6261</v>
      </c>
      <c r="M863" t="s">
        <v>11604</v>
      </c>
      <c r="N863" t="s">
        <v>9536</v>
      </c>
      <c r="O863" t="s">
        <v>9461</v>
      </c>
      <c r="P863" t="s">
        <v>12122</v>
      </c>
      <c r="Q863" t="s">
        <v>12123</v>
      </c>
      <c r="S863" t="s">
        <v>9309</v>
      </c>
      <c r="U863" s="27" t="s">
        <v>3629</v>
      </c>
      <c r="V863" t="s">
        <v>193</v>
      </c>
      <c r="W863" t="s">
        <v>9310</v>
      </c>
      <c r="Z863" t="s">
        <v>9311</v>
      </c>
      <c r="AF863" t="s">
        <v>4714</v>
      </c>
      <c r="AG863" t="s">
        <v>12120</v>
      </c>
      <c r="AI863" t="s">
        <v>6955</v>
      </c>
      <c r="AJ863" s="424" t="str">
        <f t="shared" si="39"/>
        <v>251903</v>
      </c>
      <c r="AK863" s="28">
        <v>1</v>
      </c>
      <c r="AL863" s="28">
        <f t="shared" si="41"/>
        <v>1</v>
      </c>
      <c r="AM863" s="28" t="str">
        <f t="shared" si="40"/>
        <v>pracuj.pl</v>
      </c>
    </row>
    <row r="864" spans="1:39" x14ac:dyDescent="0.25">
      <c r="A864" t="s">
        <v>12498</v>
      </c>
      <c r="B864" t="s">
        <v>12499</v>
      </c>
      <c r="C864" t="s">
        <v>12500</v>
      </c>
      <c r="D864" s="27" t="s">
        <v>10194</v>
      </c>
      <c r="E864" t="s">
        <v>192</v>
      </c>
      <c r="F864" s="421">
        <v>1</v>
      </c>
      <c r="G864" t="s">
        <v>193</v>
      </c>
      <c r="H864" t="s">
        <v>194</v>
      </c>
      <c r="I864" t="s">
        <v>9989</v>
      </c>
      <c r="J864" t="s">
        <v>9302</v>
      </c>
      <c r="K864" t="s">
        <v>12501</v>
      </c>
      <c r="L864" t="s">
        <v>6275</v>
      </c>
      <c r="M864" t="s">
        <v>12244</v>
      </c>
      <c r="N864" t="s">
        <v>9749</v>
      </c>
      <c r="O864" t="s">
        <v>9574</v>
      </c>
      <c r="P864" t="s">
        <v>12502</v>
      </c>
      <c r="Q864" t="s">
        <v>12503</v>
      </c>
      <c r="S864" t="s">
        <v>9309</v>
      </c>
      <c r="U864" s="27" t="s">
        <v>12504</v>
      </c>
      <c r="V864" t="s">
        <v>193</v>
      </c>
      <c r="W864" t="s">
        <v>9310</v>
      </c>
      <c r="Z864" t="s">
        <v>9311</v>
      </c>
      <c r="AF864" t="s">
        <v>4714</v>
      </c>
      <c r="AG864" t="s">
        <v>12499</v>
      </c>
      <c r="AI864" t="s">
        <v>6955</v>
      </c>
      <c r="AJ864" s="424" t="str">
        <f t="shared" si="39"/>
        <v>817210</v>
      </c>
      <c r="AK864" s="28">
        <v>1</v>
      </c>
      <c r="AL864" s="28">
        <f t="shared" si="41"/>
        <v>1</v>
      </c>
      <c r="AM864" s="28" t="str">
        <f t="shared" si="40"/>
        <v>pracuj.pl</v>
      </c>
    </row>
    <row r="865" spans="1:39" x14ac:dyDescent="0.25">
      <c r="A865" t="s">
        <v>12505</v>
      </c>
      <c r="B865" t="s">
        <v>718</v>
      </c>
      <c r="C865" t="s">
        <v>67</v>
      </c>
      <c r="D865" s="27" t="s">
        <v>10194</v>
      </c>
      <c r="E865" t="s">
        <v>192</v>
      </c>
      <c r="F865" s="421">
        <v>1</v>
      </c>
      <c r="G865" t="s">
        <v>193</v>
      </c>
      <c r="H865" t="s">
        <v>194</v>
      </c>
      <c r="I865" t="s">
        <v>11614</v>
      </c>
      <c r="J865" t="s">
        <v>9302</v>
      </c>
      <c r="K865" t="s">
        <v>12506</v>
      </c>
      <c r="L865" t="s">
        <v>6275</v>
      </c>
      <c r="M865" t="s">
        <v>12244</v>
      </c>
      <c r="N865" t="s">
        <v>9749</v>
      </c>
      <c r="O865" t="s">
        <v>9574</v>
      </c>
      <c r="P865" t="s">
        <v>12507</v>
      </c>
      <c r="Q865" t="s">
        <v>12508</v>
      </c>
      <c r="S865" t="s">
        <v>9309</v>
      </c>
      <c r="U865" s="27" t="s">
        <v>709</v>
      </c>
      <c r="V865" t="s">
        <v>193</v>
      </c>
      <c r="W865" t="s">
        <v>9310</v>
      </c>
      <c r="Z865" t="s">
        <v>9311</v>
      </c>
      <c r="AF865" t="s">
        <v>4714</v>
      </c>
      <c r="AG865" t="s">
        <v>718</v>
      </c>
      <c r="AI865" t="s">
        <v>6955</v>
      </c>
      <c r="AJ865" s="424" t="str">
        <f t="shared" si="39"/>
        <v>432103</v>
      </c>
      <c r="AK865" s="28">
        <v>1</v>
      </c>
      <c r="AL865" s="28">
        <f t="shared" si="41"/>
        <v>1</v>
      </c>
      <c r="AM865" s="28" t="str">
        <f t="shared" si="40"/>
        <v>pracuj.pl</v>
      </c>
    </row>
    <row r="866" spans="1:39" x14ac:dyDescent="0.25">
      <c r="A866" t="s">
        <v>12509</v>
      </c>
      <c r="B866" t="s">
        <v>6074</v>
      </c>
      <c r="C866" t="s">
        <v>5326</v>
      </c>
      <c r="D866" s="27" t="s">
        <v>10194</v>
      </c>
      <c r="E866" t="s">
        <v>233</v>
      </c>
      <c r="F866" s="421">
        <v>1</v>
      </c>
      <c r="G866" t="s">
        <v>194</v>
      </c>
      <c r="H866" t="s">
        <v>193</v>
      </c>
      <c r="I866" t="s">
        <v>9343</v>
      </c>
      <c r="J866" t="s">
        <v>9302</v>
      </c>
      <c r="K866" t="s">
        <v>12510</v>
      </c>
      <c r="L866" t="s">
        <v>6279</v>
      </c>
      <c r="M866" t="s">
        <v>12365</v>
      </c>
      <c r="N866" t="s">
        <v>9929</v>
      </c>
      <c r="O866" t="s">
        <v>9750</v>
      </c>
      <c r="P866" t="s">
        <v>12511</v>
      </c>
      <c r="Q866" t="s">
        <v>12512</v>
      </c>
      <c r="S866" t="s">
        <v>9309</v>
      </c>
      <c r="U866" s="27" t="s">
        <v>584</v>
      </c>
      <c r="V866" t="s">
        <v>194</v>
      </c>
      <c r="W866" t="s">
        <v>9946</v>
      </c>
      <c r="Z866" t="s">
        <v>9311</v>
      </c>
      <c r="AF866" t="s">
        <v>4714</v>
      </c>
      <c r="AG866" t="s">
        <v>6074</v>
      </c>
      <c r="AI866" t="s">
        <v>6955</v>
      </c>
      <c r="AJ866" s="424" t="str">
        <f t="shared" si="39"/>
        <v>311937</v>
      </c>
      <c r="AK866" s="28">
        <v>1</v>
      </c>
      <c r="AL866" s="28">
        <f t="shared" si="41"/>
        <v>1</v>
      </c>
      <c r="AM866" s="28" t="str">
        <f t="shared" si="40"/>
        <v>praca</v>
      </c>
    </row>
    <row r="867" spans="1:39" x14ac:dyDescent="0.25">
      <c r="A867" t="s">
        <v>11473</v>
      </c>
      <c r="B867" t="s">
        <v>7706</v>
      </c>
      <c r="C867" t="s">
        <v>2861</v>
      </c>
      <c r="D867" s="27" t="s">
        <v>9437</v>
      </c>
      <c r="E867" t="s">
        <v>192</v>
      </c>
      <c r="F867" s="421">
        <v>1</v>
      </c>
      <c r="G867" t="s">
        <v>193</v>
      </c>
      <c r="H867" t="s">
        <v>194</v>
      </c>
      <c r="I867" t="s">
        <v>11608</v>
      </c>
      <c r="J867" t="s">
        <v>9302</v>
      </c>
      <c r="K867" t="s">
        <v>12189</v>
      </c>
      <c r="L867" t="s">
        <v>6261</v>
      </c>
      <c r="M867" t="s">
        <v>11604</v>
      </c>
      <c r="N867" t="s">
        <v>9536</v>
      </c>
      <c r="O867" t="s">
        <v>9461</v>
      </c>
      <c r="P867" t="s">
        <v>12190</v>
      </c>
      <c r="Q867" t="s">
        <v>12191</v>
      </c>
      <c r="S867" t="s">
        <v>9309</v>
      </c>
      <c r="U867" s="27" t="s">
        <v>3629</v>
      </c>
      <c r="V867" t="s">
        <v>193</v>
      </c>
      <c r="W867" t="s">
        <v>9310</v>
      </c>
      <c r="Z867" t="s">
        <v>9311</v>
      </c>
      <c r="AF867" t="s">
        <v>4714</v>
      </c>
      <c r="AG867" t="s">
        <v>7706</v>
      </c>
      <c r="AI867" t="s">
        <v>6955</v>
      </c>
      <c r="AJ867" s="424" t="str">
        <f t="shared" si="39"/>
        <v>251903</v>
      </c>
      <c r="AK867" s="28">
        <v>1</v>
      </c>
      <c r="AL867" s="28">
        <f t="shared" si="41"/>
        <v>1</v>
      </c>
      <c r="AM867" s="28" t="str">
        <f t="shared" si="40"/>
        <v>pracuj.pl</v>
      </c>
    </row>
    <row r="868" spans="1:39" x14ac:dyDescent="0.25">
      <c r="A868" t="s">
        <v>8145</v>
      </c>
      <c r="B868" t="s">
        <v>12517</v>
      </c>
      <c r="C868" t="s">
        <v>17</v>
      </c>
      <c r="D868" s="27" t="s">
        <v>10194</v>
      </c>
      <c r="E868" t="s">
        <v>192</v>
      </c>
      <c r="F868" s="421">
        <v>1</v>
      </c>
      <c r="G868" t="s">
        <v>193</v>
      </c>
      <c r="H868" t="s">
        <v>194</v>
      </c>
      <c r="I868" t="s">
        <v>9369</v>
      </c>
      <c r="J868" t="s">
        <v>210</v>
      </c>
      <c r="K868" t="s">
        <v>12518</v>
      </c>
      <c r="L868" t="s">
        <v>8003</v>
      </c>
      <c r="M868" t="s">
        <v>12244</v>
      </c>
      <c r="N868" t="s">
        <v>9749</v>
      </c>
      <c r="O868" t="s">
        <v>9574</v>
      </c>
      <c r="P868" t="s">
        <v>12519</v>
      </c>
      <c r="Q868" t="s">
        <v>12520</v>
      </c>
      <c r="S868" t="s">
        <v>9309</v>
      </c>
      <c r="T868" s="28" t="s">
        <v>9334</v>
      </c>
      <c r="U868" s="27" t="s">
        <v>624</v>
      </c>
      <c r="V868" t="s">
        <v>194</v>
      </c>
      <c r="W868" t="s">
        <v>9300</v>
      </c>
      <c r="Z868" t="s">
        <v>9311</v>
      </c>
      <c r="AF868" t="s">
        <v>4714</v>
      </c>
      <c r="AG868" t="s">
        <v>12517</v>
      </c>
      <c r="AI868" t="s">
        <v>6955</v>
      </c>
      <c r="AJ868" s="424" t="str">
        <f t="shared" si="39"/>
        <v>332203</v>
      </c>
      <c r="AK868" s="28">
        <v>1</v>
      </c>
      <c r="AL868" s="28">
        <f t="shared" si="41"/>
        <v>1</v>
      </c>
      <c r="AM868" s="28" t="str">
        <f t="shared" si="40"/>
        <v>pracuj.pl</v>
      </c>
    </row>
    <row r="869" spans="1:39" x14ac:dyDescent="0.25">
      <c r="A869" t="s">
        <v>12521</v>
      </c>
      <c r="B869" t="s">
        <v>12522</v>
      </c>
      <c r="C869" t="s">
        <v>778</v>
      </c>
      <c r="D869" s="27" t="s">
        <v>10194</v>
      </c>
      <c r="E869" t="s">
        <v>192</v>
      </c>
      <c r="F869" s="421">
        <v>1</v>
      </c>
      <c r="G869" t="s">
        <v>193</v>
      </c>
      <c r="H869" t="s">
        <v>194</v>
      </c>
      <c r="I869" t="s">
        <v>9369</v>
      </c>
      <c r="J869" t="s">
        <v>9302</v>
      </c>
      <c r="K869" t="s">
        <v>12523</v>
      </c>
      <c r="L869" t="s">
        <v>6254</v>
      </c>
      <c r="M869" t="s">
        <v>12244</v>
      </c>
      <c r="N869" t="s">
        <v>9749</v>
      </c>
      <c r="O869" t="s">
        <v>9574</v>
      </c>
      <c r="P869" t="s">
        <v>12524</v>
      </c>
      <c r="Q869" t="s">
        <v>12525</v>
      </c>
      <c r="S869" t="s">
        <v>9309</v>
      </c>
      <c r="U869" s="27" t="s">
        <v>779</v>
      </c>
      <c r="V869" t="s">
        <v>193</v>
      </c>
      <c r="W869" t="s">
        <v>9310</v>
      </c>
      <c r="Z869" t="s">
        <v>9311</v>
      </c>
      <c r="AF869" t="s">
        <v>4714</v>
      </c>
      <c r="AG869" t="s">
        <v>12522</v>
      </c>
      <c r="AI869" t="s">
        <v>6955</v>
      </c>
      <c r="AJ869" s="424" t="str">
        <f t="shared" si="39"/>
        <v>524902</v>
      </c>
      <c r="AK869" s="28">
        <v>1</v>
      </c>
      <c r="AL869" s="28">
        <f t="shared" si="41"/>
        <v>1</v>
      </c>
      <c r="AM869" s="28" t="str">
        <f t="shared" si="40"/>
        <v>pracuj.pl</v>
      </c>
    </row>
    <row r="870" spans="1:39" x14ac:dyDescent="0.25">
      <c r="A870" t="s">
        <v>9845</v>
      </c>
      <c r="B870" t="s">
        <v>9846</v>
      </c>
      <c r="C870" t="s">
        <v>9847</v>
      </c>
      <c r="D870" s="27" t="s">
        <v>10194</v>
      </c>
      <c r="E870" t="s">
        <v>217</v>
      </c>
      <c r="F870" s="421">
        <v>1</v>
      </c>
      <c r="G870" t="s">
        <v>193</v>
      </c>
      <c r="H870" t="s">
        <v>194</v>
      </c>
      <c r="I870" t="s">
        <v>9369</v>
      </c>
      <c r="J870" t="s">
        <v>755</v>
      </c>
      <c r="K870" t="s">
        <v>9848</v>
      </c>
      <c r="L870" t="s">
        <v>6269</v>
      </c>
      <c r="M870" t="s">
        <v>12353</v>
      </c>
      <c r="N870" t="s">
        <v>9661</v>
      </c>
      <c r="O870" t="s">
        <v>10828</v>
      </c>
      <c r="P870" t="s">
        <v>12526</v>
      </c>
      <c r="Q870" t="s">
        <v>12527</v>
      </c>
      <c r="S870" t="s">
        <v>9309</v>
      </c>
      <c r="T870" s="28" t="s">
        <v>9726</v>
      </c>
      <c r="U870" s="27" t="s">
        <v>9851</v>
      </c>
      <c r="V870" t="s">
        <v>194</v>
      </c>
      <c r="W870" t="s">
        <v>9300</v>
      </c>
      <c r="Z870" t="s">
        <v>9311</v>
      </c>
      <c r="AF870" t="s">
        <v>4714</v>
      </c>
      <c r="AG870" t="s">
        <v>9433</v>
      </c>
      <c r="AI870" t="s">
        <v>6955</v>
      </c>
      <c r="AJ870" s="424" t="str">
        <f t="shared" si="39"/>
        <v>432105</v>
      </c>
      <c r="AK870" s="28">
        <v>1</v>
      </c>
      <c r="AL870" s="28">
        <f t="shared" si="41"/>
        <v>1</v>
      </c>
      <c r="AM870" s="28" t="str">
        <f t="shared" si="40"/>
        <v>agora</v>
      </c>
    </row>
    <row r="871" spans="1:39" x14ac:dyDescent="0.25">
      <c r="A871" t="s">
        <v>6090</v>
      </c>
      <c r="B871" t="s">
        <v>31</v>
      </c>
      <c r="C871" t="s">
        <v>31</v>
      </c>
      <c r="D871" s="27" t="s">
        <v>10194</v>
      </c>
      <c r="E871" t="s">
        <v>192</v>
      </c>
      <c r="F871" s="421">
        <v>1</v>
      </c>
      <c r="G871" t="s">
        <v>193</v>
      </c>
      <c r="H871" t="s">
        <v>194</v>
      </c>
      <c r="I871" t="s">
        <v>9461</v>
      </c>
      <c r="J871" t="s">
        <v>253</v>
      </c>
      <c r="K871" t="s">
        <v>12528</v>
      </c>
      <c r="L871" t="s">
        <v>12529</v>
      </c>
      <c r="M871" t="s">
        <v>12244</v>
      </c>
      <c r="N871" t="s">
        <v>9749</v>
      </c>
      <c r="O871" t="s">
        <v>9574</v>
      </c>
      <c r="P871" t="s">
        <v>12530</v>
      </c>
      <c r="Q871" t="s">
        <v>12531</v>
      </c>
      <c r="S871" t="s">
        <v>9309</v>
      </c>
      <c r="T871" s="28" t="s">
        <v>9468</v>
      </c>
      <c r="U871" s="27" t="s">
        <v>1884</v>
      </c>
      <c r="V871" t="s">
        <v>194</v>
      </c>
      <c r="W871" t="s">
        <v>9300</v>
      </c>
      <c r="Z871" t="s">
        <v>9311</v>
      </c>
      <c r="AF871" t="s">
        <v>4714</v>
      </c>
      <c r="AG871" t="s">
        <v>31</v>
      </c>
      <c r="AI871" t="s">
        <v>6955</v>
      </c>
      <c r="AJ871" s="424" t="str">
        <f t="shared" si="39"/>
        <v>229201</v>
      </c>
      <c r="AK871" s="28">
        <v>1</v>
      </c>
      <c r="AL871" s="28">
        <f t="shared" si="41"/>
        <v>1</v>
      </c>
      <c r="AM871" s="28" t="str">
        <f t="shared" si="40"/>
        <v>pracuj.pl</v>
      </c>
    </row>
    <row r="872" spans="1:39" x14ac:dyDescent="0.25">
      <c r="A872" t="s">
        <v>6090</v>
      </c>
      <c r="B872" t="s">
        <v>31</v>
      </c>
      <c r="C872" t="s">
        <v>31</v>
      </c>
      <c r="D872" s="27" t="s">
        <v>10194</v>
      </c>
      <c r="E872" t="s">
        <v>192</v>
      </c>
      <c r="F872" s="421">
        <v>1</v>
      </c>
      <c r="G872" t="s">
        <v>193</v>
      </c>
      <c r="H872" t="s">
        <v>194</v>
      </c>
      <c r="I872" t="s">
        <v>9461</v>
      </c>
      <c r="J872" t="s">
        <v>285</v>
      </c>
      <c r="K872" t="s">
        <v>12532</v>
      </c>
      <c r="L872" t="s">
        <v>12529</v>
      </c>
      <c r="M872" t="s">
        <v>12244</v>
      </c>
      <c r="N872" t="s">
        <v>9749</v>
      </c>
      <c r="O872" t="s">
        <v>9574</v>
      </c>
      <c r="P872" t="s">
        <v>12533</v>
      </c>
      <c r="Q872" t="s">
        <v>12534</v>
      </c>
      <c r="S872" t="s">
        <v>9309</v>
      </c>
      <c r="T872" s="28" t="s">
        <v>9518</v>
      </c>
      <c r="U872" s="27" t="s">
        <v>1884</v>
      </c>
      <c r="V872" t="s">
        <v>194</v>
      </c>
      <c r="W872" t="s">
        <v>9300</v>
      </c>
      <c r="Z872" t="s">
        <v>9311</v>
      </c>
      <c r="AF872" t="s">
        <v>4714</v>
      </c>
      <c r="AG872" t="s">
        <v>31</v>
      </c>
      <c r="AI872" t="s">
        <v>6955</v>
      </c>
      <c r="AJ872" s="424" t="str">
        <f t="shared" si="39"/>
        <v>229201</v>
      </c>
      <c r="AK872" s="28">
        <v>1</v>
      </c>
      <c r="AL872" s="28">
        <f t="shared" si="41"/>
        <v>1</v>
      </c>
      <c r="AM872" s="28" t="str">
        <f t="shared" si="40"/>
        <v>pracuj.pl</v>
      </c>
    </row>
    <row r="873" spans="1:39" x14ac:dyDescent="0.25">
      <c r="A873" t="s">
        <v>6090</v>
      </c>
      <c r="B873" t="s">
        <v>31</v>
      </c>
      <c r="C873" t="s">
        <v>31</v>
      </c>
      <c r="D873" s="27" t="s">
        <v>10194</v>
      </c>
      <c r="E873" t="s">
        <v>192</v>
      </c>
      <c r="F873" s="421">
        <v>1</v>
      </c>
      <c r="G873" t="s">
        <v>193</v>
      </c>
      <c r="H873" t="s">
        <v>194</v>
      </c>
      <c r="I873" t="s">
        <v>9461</v>
      </c>
      <c r="J873" t="s">
        <v>210</v>
      </c>
      <c r="K873" t="s">
        <v>12535</v>
      </c>
      <c r="L873" t="s">
        <v>12529</v>
      </c>
      <c r="M873" t="s">
        <v>12244</v>
      </c>
      <c r="N873" t="s">
        <v>9749</v>
      </c>
      <c r="O873" t="s">
        <v>9574</v>
      </c>
      <c r="P873" t="s">
        <v>12536</v>
      </c>
      <c r="Q873" t="s">
        <v>12537</v>
      </c>
      <c r="S873" t="s">
        <v>9309</v>
      </c>
      <c r="T873" s="28" t="s">
        <v>9334</v>
      </c>
      <c r="U873" s="27" t="s">
        <v>1884</v>
      </c>
      <c r="V873" t="s">
        <v>194</v>
      </c>
      <c r="W873" t="s">
        <v>9300</v>
      </c>
      <c r="Z873" t="s">
        <v>9311</v>
      </c>
      <c r="AF873" t="s">
        <v>4714</v>
      </c>
      <c r="AG873" t="s">
        <v>31</v>
      </c>
      <c r="AI873" t="s">
        <v>6955</v>
      </c>
      <c r="AJ873" s="424" t="str">
        <f t="shared" si="39"/>
        <v>229201</v>
      </c>
      <c r="AK873" s="28">
        <v>1</v>
      </c>
      <c r="AL873" s="28">
        <f t="shared" si="41"/>
        <v>1</v>
      </c>
      <c r="AM873" s="28" t="str">
        <f t="shared" si="40"/>
        <v>pracuj.pl</v>
      </c>
    </row>
    <row r="874" spans="1:39" x14ac:dyDescent="0.25">
      <c r="A874" t="s">
        <v>6090</v>
      </c>
      <c r="B874" t="s">
        <v>31</v>
      </c>
      <c r="C874" t="s">
        <v>31</v>
      </c>
      <c r="D874" s="27" t="s">
        <v>10194</v>
      </c>
      <c r="E874" t="s">
        <v>192</v>
      </c>
      <c r="F874" s="421">
        <v>1</v>
      </c>
      <c r="G874" t="s">
        <v>193</v>
      </c>
      <c r="H874" t="s">
        <v>194</v>
      </c>
      <c r="I874" t="s">
        <v>9461</v>
      </c>
      <c r="J874" t="s">
        <v>367</v>
      </c>
      <c r="K874" t="s">
        <v>12538</v>
      </c>
      <c r="L874" t="s">
        <v>12529</v>
      </c>
      <c r="M874" t="s">
        <v>12244</v>
      </c>
      <c r="N874" t="s">
        <v>9749</v>
      </c>
      <c r="O874" t="s">
        <v>9574</v>
      </c>
      <c r="P874" t="s">
        <v>12539</v>
      </c>
      <c r="Q874" t="s">
        <v>12540</v>
      </c>
      <c r="S874" t="s">
        <v>9309</v>
      </c>
      <c r="T874" s="28" t="s">
        <v>9974</v>
      </c>
      <c r="U874" s="27" t="s">
        <v>1884</v>
      </c>
      <c r="V874" t="s">
        <v>194</v>
      </c>
      <c r="W874" t="s">
        <v>9300</v>
      </c>
      <c r="Z874" t="s">
        <v>9311</v>
      </c>
      <c r="AF874" t="s">
        <v>4714</v>
      </c>
      <c r="AG874" t="s">
        <v>31</v>
      </c>
      <c r="AI874" t="s">
        <v>6955</v>
      </c>
      <c r="AJ874" s="424" t="str">
        <f t="shared" si="39"/>
        <v>229201</v>
      </c>
      <c r="AK874" s="28">
        <v>1</v>
      </c>
      <c r="AL874" s="28">
        <f t="shared" si="41"/>
        <v>1</v>
      </c>
      <c r="AM874" s="28" t="str">
        <f t="shared" si="40"/>
        <v>pracuj.pl</v>
      </c>
    </row>
    <row r="875" spans="1:39" x14ac:dyDescent="0.25">
      <c r="A875" t="s">
        <v>6090</v>
      </c>
      <c r="B875" t="s">
        <v>31</v>
      </c>
      <c r="C875" t="s">
        <v>31</v>
      </c>
      <c r="D875" s="27" t="s">
        <v>10194</v>
      </c>
      <c r="E875" t="s">
        <v>192</v>
      </c>
      <c r="F875" s="421">
        <v>1</v>
      </c>
      <c r="G875" t="s">
        <v>193</v>
      </c>
      <c r="H875" t="s">
        <v>194</v>
      </c>
      <c r="I875" t="s">
        <v>9461</v>
      </c>
      <c r="J875" t="s">
        <v>2131</v>
      </c>
      <c r="K875" t="s">
        <v>12541</v>
      </c>
      <c r="L875" t="s">
        <v>12529</v>
      </c>
      <c r="M875" t="s">
        <v>12244</v>
      </c>
      <c r="N875" t="s">
        <v>9749</v>
      </c>
      <c r="O875" t="s">
        <v>9574</v>
      </c>
      <c r="P875" t="s">
        <v>12542</v>
      </c>
      <c r="Q875" t="s">
        <v>12543</v>
      </c>
      <c r="S875" t="s">
        <v>9309</v>
      </c>
      <c r="T875" s="28" t="s">
        <v>11154</v>
      </c>
      <c r="U875" s="27" t="s">
        <v>1884</v>
      </c>
      <c r="V875" t="s">
        <v>194</v>
      </c>
      <c r="W875" t="s">
        <v>9300</v>
      </c>
      <c r="Z875" t="s">
        <v>9311</v>
      </c>
      <c r="AF875" t="s">
        <v>4714</v>
      </c>
      <c r="AG875" t="s">
        <v>31</v>
      </c>
      <c r="AI875" t="s">
        <v>6955</v>
      </c>
      <c r="AJ875" s="424" t="str">
        <f t="shared" si="39"/>
        <v>229201</v>
      </c>
      <c r="AK875" s="28">
        <v>1</v>
      </c>
      <c r="AL875" s="28">
        <f t="shared" si="41"/>
        <v>1</v>
      </c>
      <c r="AM875" s="28" t="str">
        <f t="shared" si="40"/>
        <v>pracuj.pl</v>
      </c>
    </row>
    <row r="876" spans="1:39" x14ac:dyDescent="0.25">
      <c r="A876" t="s">
        <v>6090</v>
      </c>
      <c r="B876" t="s">
        <v>31</v>
      </c>
      <c r="C876" t="s">
        <v>31</v>
      </c>
      <c r="D876" s="27" t="s">
        <v>10194</v>
      </c>
      <c r="E876" t="s">
        <v>192</v>
      </c>
      <c r="F876" s="421">
        <v>1</v>
      </c>
      <c r="G876" t="s">
        <v>193</v>
      </c>
      <c r="H876" t="s">
        <v>194</v>
      </c>
      <c r="I876" t="s">
        <v>9461</v>
      </c>
      <c r="J876" t="s">
        <v>962</v>
      </c>
      <c r="K876" t="s">
        <v>12544</v>
      </c>
      <c r="L876" t="s">
        <v>12529</v>
      </c>
      <c r="M876" t="s">
        <v>12244</v>
      </c>
      <c r="N876" t="s">
        <v>9749</v>
      </c>
      <c r="O876" t="s">
        <v>9574</v>
      </c>
      <c r="P876" t="s">
        <v>12545</v>
      </c>
      <c r="Q876" t="s">
        <v>12546</v>
      </c>
      <c r="S876" t="s">
        <v>9309</v>
      </c>
      <c r="T876" s="28" t="s">
        <v>11394</v>
      </c>
      <c r="U876" s="27" t="s">
        <v>1884</v>
      </c>
      <c r="V876" t="s">
        <v>194</v>
      </c>
      <c r="W876" t="s">
        <v>9300</v>
      </c>
      <c r="Z876" t="s">
        <v>9311</v>
      </c>
      <c r="AF876" t="s">
        <v>4714</v>
      </c>
      <c r="AG876" t="s">
        <v>31</v>
      </c>
      <c r="AI876" t="s">
        <v>6955</v>
      </c>
      <c r="AJ876" s="424" t="str">
        <f t="shared" si="39"/>
        <v>229201</v>
      </c>
      <c r="AK876" s="28">
        <v>1</v>
      </c>
      <c r="AL876" s="28">
        <f t="shared" si="41"/>
        <v>1</v>
      </c>
      <c r="AM876" s="28" t="str">
        <f t="shared" si="40"/>
        <v>pracuj.pl</v>
      </c>
    </row>
    <row r="877" spans="1:39" x14ac:dyDescent="0.25">
      <c r="A877" t="s">
        <v>6090</v>
      </c>
      <c r="B877" t="s">
        <v>12547</v>
      </c>
      <c r="C877" t="s">
        <v>6093</v>
      </c>
      <c r="D877" s="27" t="s">
        <v>10194</v>
      </c>
      <c r="E877" t="s">
        <v>192</v>
      </c>
      <c r="F877" s="421">
        <v>1</v>
      </c>
      <c r="G877" t="s">
        <v>193</v>
      </c>
      <c r="H877" t="s">
        <v>194</v>
      </c>
      <c r="I877" t="s">
        <v>9369</v>
      </c>
      <c r="J877" t="s">
        <v>367</v>
      </c>
      <c r="K877" t="s">
        <v>12548</v>
      </c>
      <c r="L877" t="s">
        <v>6312</v>
      </c>
      <c r="M877" t="s">
        <v>12244</v>
      </c>
      <c r="N877" t="s">
        <v>9749</v>
      </c>
      <c r="O877" t="s">
        <v>9574</v>
      </c>
      <c r="P877" t="s">
        <v>12549</v>
      </c>
      <c r="Q877" t="s">
        <v>12550</v>
      </c>
      <c r="S877" t="s">
        <v>9309</v>
      </c>
      <c r="T877" s="28" t="s">
        <v>9974</v>
      </c>
      <c r="U877" s="27" t="s">
        <v>6095</v>
      </c>
      <c r="V877" t="s">
        <v>194</v>
      </c>
      <c r="W877" t="s">
        <v>9300</v>
      </c>
      <c r="Z877" t="s">
        <v>9311</v>
      </c>
      <c r="AF877" t="s">
        <v>4714</v>
      </c>
      <c r="AG877" t="s">
        <v>12547</v>
      </c>
      <c r="AI877" t="s">
        <v>6955</v>
      </c>
      <c r="AJ877" s="424" t="str">
        <f t="shared" si="39"/>
        <v>235919</v>
      </c>
      <c r="AK877" s="28">
        <v>1</v>
      </c>
      <c r="AL877" s="28">
        <f t="shared" si="41"/>
        <v>1</v>
      </c>
      <c r="AM877" s="28" t="str">
        <f t="shared" si="40"/>
        <v>pracuj.pl</v>
      </c>
    </row>
    <row r="878" spans="1:39" x14ac:dyDescent="0.25">
      <c r="A878" t="s">
        <v>6090</v>
      </c>
      <c r="B878" t="s">
        <v>12547</v>
      </c>
      <c r="C878" t="s">
        <v>6093</v>
      </c>
      <c r="D878" s="27" t="s">
        <v>10194</v>
      </c>
      <c r="E878" t="s">
        <v>192</v>
      </c>
      <c r="F878" s="421">
        <v>1</v>
      </c>
      <c r="G878" t="s">
        <v>193</v>
      </c>
      <c r="H878" t="s">
        <v>194</v>
      </c>
      <c r="I878" t="s">
        <v>9369</v>
      </c>
      <c r="J878" t="s">
        <v>253</v>
      </c>
      <c r="K878" t="s">
        <v>12551</v>
      </c>
      <c r="L878" t="s">
        <v>6312</v>
      </c>
      <c r="M878" t="s">
        <v>12244</v>
      </c>
      <c r="N878" t="s">
        <v>9749</v>
      </c>
      <c r="O878" t="s">
        <v>9574</v>
      </c>
      <c r="P878" t="s">
        <v>12552</v>
      </c>
      <c r="Q878" t="s">
        <v>12553</v>
      </c>
      <c r="S878" t="s">
        <v>9309</v>
      </c>
      <c r="U878" s="27" t="s">
        <v>6095</v>
      </c>
      <c r="V878" t="s">
        <v>193</v>
      </c>
      <c r="W878" t="s">
        <v>9310</v>
      </c>
      <c r="Z878" t="s">
        <v>9311</v>
      </c>
      <c r="AF878" t="s">
        <v>4714</v>
      </c>
      <c r="AG878" t="s">
        <v>12547</v>
      </c>
      <c r="AI878" t="s">
        <v>6955</v>
      </c>
      <c r="AJ878" s="424" t="str">
        <f t="shared" si="39"/>
        <v>235919</v>
      </c>
      <c r="AK878" s="28">
        <v>1</v>
      </c>
      <c r="AL878" s="28">
        <f t="shared" si="41"/>
        <v>1</v>
      </c>
      <c r="AM878" s="28" t="str">
        <f t="shared" si="40"/>
        <v>pracuj.pl</v>
      </c>
    </row>
    <row r="879" spans="1:39" x14ac:dyDescent="0.25">
      <c r="A879" t="s">
        <v>6090</v>
      </c>
      <c r="B879" t="s">
        <v>12547</v>
      </c>
      <c r="C879" t="s">
        <v>6093</v>
      </c>
      <c r="D879" s="27" t="s">
        <v>10194</v>
      </c>
      <c r="E879" t="s">
        <v>192</v>
      </c>
      <c r="F879" s="421">
        <v>1</v>
      </c>
      <c r="G879" t="s">
        <v>193</v>
      </c>
      <c r="H879" t="s">
        <v>194</v>
      </c>
      <c r="I879" t="s">
        <v>9369</v>
      </c>
      <c r="J879" t="s">
        <v>285</v>
      </c>
      <c r="K879" t="s">
        <v>12554</v>
      </c>
      <c r="L879" t="s">
        <v>6312</v>
      </c>
      <c r="M879" t="s">
        <v>12244</v>
      </c>
      <c r="N879" t="s">
        <v>9749</v>
      </c>
      <c r="O879" t="s">
        <v>9574</v>
      </c>
      <c r="P879" t="s">
        <v>12555</v>
      </c>
      <c r="Q879" t="s">
        <v>12556</v>
      </c>
      <c r="S879" t="s">
        <v>9309</v>
      </c>
      <c r="T879" s="28" t="s">
        <v>9518</v>
      </c>
      <c r="U879" s="27" t="s">
        <v>6095</v>
      </c>
      <c r="V879" t="s">
        <v>194</v>
      </c>
      <c r="W879" t="s">
        <v>9300</v>
      </c>
      <c r="Z879" t="s">
        <v>9311</v>
      </c>
      <c r="AF879" t="s">
        <v>4714</v>
      </c>
      <c r="AG879" t="s">
        <v>12547</v>
      </c>
      <c r="AI879" t="s">
        <v>6955</v>
      </c>
      <c r="AJ879" s="424" t="str">
        <f t="shared" si="39"/>
        <v>235919</v>
      </c>
      <c r="AK879" s="28">
        <v>1</v>
      </c>
      <c r="AL879" s="28">
        <f t="shared" si="41"/>
        <v>1</v>
      </c>
      <c r="AM879" s="28" t="str">
        <f t="shared" si="40"/>
        <v>pracuj.pl</v>
      </c>
    </row>
    <row r="880" spans="1:39" x14ac:dyDescent="0.25">
      <c r="A880" t="s">
        <v>6090</v>
      </c>
      <c r="B880" t="s">
        <v>12547</v>
      </c>
      <c r="C880" t="s">
        <v>6093</v>
      </c>
      <c r="D880" s="27" t="s">
        <v>10194</v>
      </c>
      <c r="E880" t="s">
        <v>192</v>
      </c>
      <c r="F880" s="421">
        <v>1</v>
      </c>
      <c r="G880" t="s">
        <v>193</v>
      </c>
      <c r="H880" t="s">
        <v>194</v>
      </c>
      <c r="I880" t="s">
        <v>9369</v>
      </c>
      <c r="J880" t="s">
        <v>210</v>
      </c>
      <c r="K880" t="s">
        <v>12557</v>
      </c>
      <c r="L880" t="s">
        <v>6312</v>
      </c>
      <c r="M880" t="s">
        <v>12244</v>
      </c>
      <c r="N880" t="s">
        <v>9749</v>
      </c>
      <c r="O880" t="s">
        <v>9574</v>
      </c>
      <c r="P880" t="s">
        <v>12558</v>
      </c>
      <c r="Q880" t="s">
        <v>12559</v>
      </c>
      <c r="S880" t="s">
        <v>9309</v>
      </c>
      <c r="T880" s="28" t="s">
        <v>9334</v>
      </c>
      <c r="U880" s="27" t="s">
        <v>6095</v>
      </c>
      <c r="V880" t="s">
        <v>194</v>
      </c>
      <c r="W880" t="s">
        <v>9300</v>
      </c>
      <c r="Z880" t="s">
        <v>9311</v>
      </c>
      <c r="AF880" t="s">
        <v>4714</v>
      </c>
      <c r="AG880" t="s">
        <v>12547</v>
      </c>
      <c r="AI880" t="s">
        <v>6955</v>
      </c>
      <c r="AJ880" s="424" t="str">
        <f t="shared" si="39"/>
        <v>235919</v>
      </c>
      <c r="AK880" s="28">
        <v>1</v>
      </c>
      <c r="AL880" s="28">
        <f t="shared" si="41"/>
        <v>1</v>
      </c>
      <c r="AM880" s="28" t="str">
        <f t="shared" si="40"/>
        <v>pracuj.pl</v>
      </c>
    </row>
    <row r="881" spans="1:39" x14ac:dyDescent="0.25">
      <c r="A881" t="s">
        <v>6090</v>
      </c>
      <c r="B881" t="s">
        <v>12547</v>
      </c>
      <c r="C881" t="s">
        <v>6093</v>
      </c>
      <c r="D881" s="27" t="s">
        <v>10194</v>
      </c>
      <c r="E881" t="s">
        <v>192</v>
      </c>
      <c r="F881" s="421">
        <v>1</v>
      </c>
      <c r="G881" t="s">
        <v>193</v>
      </c>
      <c r="H881" t="s">
        <v>194</v>
      </c>
      <c r="I881" t="s">
        <v>9369</v>
      </c>
      <c r="J881" t="s">
        <v>2131</v>
      </c>
      <c r="K881" t="s">
        <v>12560</v>
      </c>
      <c r="L881" t="s">
        <v>6312</v>
      </c>
      <c r="M881" t="s">
        <v>12244</v>
      </c>
      <c r="N881" t="s">
        <v>9749</v>
      </c>
      <c r="O881" t="s">
        <v>9574</v>
      </c>
      <c r="P881" t="s">
        <v>12561</v>
      </c>
      <c r="Q881" t="s">
        <v>12562</v>
      </c>
      <c r="S881" t="s">
        <v>9309</v>
      </c>
      <c r="T881" s="28" t="s">
        <v>11154</v>
      </c>
      <c r="U881" s="27" t="s">
        <v>6095</v>
      </c>
      <c r="V881" t="s">
        <v>194</v>
      </c>
      <c r="W881" t="s">
        <v>9300</v>
      </c>
      <c r="Z881" t="s">
        <v>9311</v>
      </c>
      <c r="AF881" t="s">
        <v>4714</v>
      </c>
      <c r="AG881" t="s">
        <v>12547</v>
      </c>
      <c r="AI881" t="s">
        <v>6955</v>
      </c>
      <c r="AJ881" s="424" t="str">
        <f t="shared" si="39"/>
        <v>235919</v>
      </c>
      <c r="AK881" s="28">
        <v>1</v>
      </c>
      <c r="AL881" s="28">
        <f t="shared" si="41"/>
        <v>1</v>
      </c>
      <c r="AM881" s="28" t="str">
        <f t="shared" si="40"/>
        <v>pracuj.pl</v>
      </c>
    </row>
    <row r="882" spans="1:39" x14ac:dyDescent="0.25">
      <c r="A882" t="s">
        <v>6090</v>
      </c>
      <c r="B882" t="s">
        <v>12547</v>
      </c>
      <c r="C882" t="s">
        <v>6093</v>
      </c>
      <c r="D882" s="27" t="s">
        <v>10194</v>
      </c>
      <c r="E882" t="s">
        <v>192</v>
      </c>
      <c r="F882" s="421">
        <v>1</v>
      </c>
      <c r="G882" t="s">
        <v>193</v>
      </c>
      <c r="H882" t="s">
        <v>194</v>
      </c>
      <c r="I882" t="s">
        <v>9369</v>
      </c>
      <c r="J882" t="s">
        <v>962</v>
      </c>
      <c r="K882" t="s">
        <v>12563</v>
      </c>
      <c r="L882" t="s">
        <v>6312</v>
      </c>
      <c r="M882" t="s">
        <v>12244</v>
      </c>
      <c r="N882" t="s">
        <v>9749</v>
      </c>
      <c r="O882" t="s">
        <v>9574</v>
      </c>
      <c r="P882" t="s">
        <v>12564</v>
      </c>
      <c r="Q882" t="s">
        <v>12565</v>
      </c>
      <c r="S882" t="s">
        <v>9309</v>
      </c>
      <c r="T882" s="28" t="s">
        <v>11394</v>
      </c>
      <c r="U882" s="27" t="s">
        <v>6095</v>
      </c>
      <c r="V882" t="s">
        <v>194</v>
      </c>
      <c r="W882" t="s">
        <v>9300</v>
      </c>
      <c r="Z882" t="s">
        <v>9311</v>
      </c>
      <c r="AF882" t="s">
        <v>4714</v>
      </c>
      <c r="AG882" t="s">
        <v>12547</v>
      </c>
      <c r="AI882" t="s">
        <v>6955</v>
      </c>
      <c r="AJ882" s="424" t="str">
        <f t="shared" si="39"/>
        <v>235919</v>
      </c>
      <c r="AK882" s="28">
        <v>1</v>
      </c>
      <c r="AL882" s="28">
        <f t="shared" si="41"/>
        <v>1</v>
      </c>
      <c r="AM882" s="28" t="str">
        <f t="shared" si="40"/>
        <v>pracuj.pl</v>
      </c>
    </row>
    <row r="883" spans="1:39" x14ac:dyDescent="0.25">
      <c r="A883" t="s">
        <v>6090</v>
      </c>
      <c r="B883" t="s">
        <v>538</v>
      </c>
      <c r="C883" t="s">
        <v>538</v>
      </c>
      <c r="D883" s="27" t="s">
        <v>10194</v>
      </c>
      <c r="E883" t="s">
        <v>192</v>
      </c>
      <c r="F883" s="421">
        <v>1</v>
      </c>
      <c r="G883" t="s">
        <v>193</v>
      </c>
      <c r="H883" t="s">
        <v>194</v>
      </c>
      <c r="I883" t="s">
        <v>9461</v>
      </c>
      <c r="J883" t="s">
        <v>367</v>
      </c>
      <c r="K883" t="s">
        <v>12566</v>
      </c>
      <c r="L883" t="s">
        <v>12529</v>
      </c>
      <c r="M883" t="s">
        <v>12244</v>
      </c>
      <c r="N883" t="s">
        <v>9749</v>
      </c>
      <c r="O883" t="s">
        <v>9574</v>
      </c>
      <c r="P883" t="s">
        <v>12567</v>
      </c>
      <c r="Q883" t="s">
        <v>12568</v>
      </c>
      <c r="S883" t="s">
        <v>9309</v>
      </c>
      <c r="T883" s="28" t="s">
        <v>9974</v>
      </c>
      <c r="U883" s="27" t="s">
        <v>539</v>
      </c>
      <c r="V883" t="s">
        <v>194</v>
      </c>
      <c r="W883" t="s">
        <v>9300</v>
      </c>
      <c r="Z883" t="s">
        <v>9311</v>
      </c>
      <c r="AF883" t="s">
        <v>4714</v>
      </c>
      <c r="AG883" t="s">
        <v>538</v>
      </c>
      <c r="AI883" t="s">
        <v>6955</v>
      </c>
      <c r="AJ883" s="424" t="str">
        <f t="shared" si="39"/>
        <v>263401</v>
      </c>
      <c r="AK883" s="28">
        <v>1</v>
      </c>
      <c r="AL883" s="28">
        <f t="shared" si="41"/>
        <v>1</v>
      </c>
      <c r="AM883" s="28" t="str">
        <f t="shared" si="40"/>
        <v>pracuj.pl</v>
      </c>
    </row>
    <row r="884" spans="1:39" x14ac:dyDescent="0.25">
      <c r="A884" t="s">
        <v>6090</v>
      </c>
      <c r="B884" t="s">
        <v>538</v>
      </c>
      <c r="C884" t="s">
        <v>538</v>
      </c>
      <c r="D884" s="27" t="s">
        <v>10194</v>
      </c>
      <c r="E884" t="s">
        <v>192</v>
      </c>
      <c r="F884" s="421">
        <v>1</v>
      </c>
      <c r="G884" t="s">
        <v>193</v>
      </c>
      <c r="H884" t="s">
        <v>194</v>
      </c>
      <c r="I884" t="s">
        <v>9461</v>
      </c>
      <c r="J884" t="s">
        <v>253</v>
      </c>
      <c r="K884" t="s">
        <v>12569</v>
      </c>
      <c r="L884" t="s">
        <v>12529</v>
      </c>
      <c r="M884" t="s">
        <v>12244</v>
      </c>
      <c r="N884" t="s">
        <v>9749</v>
      </c>
      <c r="O884" t="s">
        <v>9574</v>
      </c>
      <c r="P884" t="s">
        <v>12570</v>
      </c>
      <c r="Q884" t="s">
        <v>12571</v>
      </c>
      <c r="S884" t="s">
        <v>9309</v>
      </c>
      <c r="T884" s="28" t="s">
        <v>9468</v>
      </c>
      <c r="U884" s="27" t="s">
        <v>539</v>
      </c>
      <c r="V884" t="s">
        <v>194</v>
      </c>
      <c r="W884" t="s">
        <v>9300</v>
      </c>
      <c r="Z884" t="s">
        <v>9311</v>
      </c>
      <c r="AF884" t="s">
        <v>4714</v>
      </c>
      <c r="AG884" t="s">
        <v>538</v>
      </c>
      <c r="AI884" t="s">
        <v>6955</v>
      </c>
      <c r="AJ884" s="424" t="str">
        <f t="shared" si="39"/>
        <v>263401</v>
      </c>
      <c r="AK884" s="28">
        <v>1</v>
      </c>
      <c r="AL884" s="28">
        <f t="shared" si="41"/>
        <v>1</v>
      </c>
      <c r="AM884" s="28" t="str">
        <f t="shared" si="40"/>
        <v>pracuj.pl</v>
      </c>
    </row>
    <row r="885" spans="1:39" x14ac:dyDescent="0.25">
      <c r="A885" t="s">
        <v>6090</v>
      </c>
      <c r="B885" t="s">
        <v>538</v>
      </c>
      <c r="C885" t="s">
        <v>538</v>
      </c>
      <c r="D885" s="27" t="s">
        <v>10194</v>
      </c>
      <c r="E885" t="s">
        <v>192</v>
      </c>
      <c r="F885" s="421">
        <v>1</v>
      </c>
      <c r="G885" t="s">
        <v>193</v>
      </c>
      <c r="H885" t="s">
        <v>194</v>
      </c>
      <c r="I885" t="s">
        <v>9461</v>
      </c>
      <c r="J885" t="s">
        <v>285</v>
      </c>
      <c r="K885" t="s">
        <v>12572</v>
      </c>
      <c r="L885" t="s">
        <v>12529</v>
      </c>
      <c r="M885" t="s">
        <v>12244</v>
      </c>
      <c r="N885" t="s">
        <v>9749</v>
      </c>
      <c r="O885" t="s">
        <v>9574</v>
      </c>
      <c r="P885" t="s">
        <v>12573</v>
      </c>
      <c r="Q885" t="s">
        <v>12574</v>
      </c>
      <c r="S885" t="s">
        <v>9309</v>
      </c>
      <c r="T885" s="28" t="s">
        <v>9518</v>
      </c>
      <c r="U885" s="27" t="s">
        <v>539</v>
      </c>
      <c r="V885" t="s">
        <v>194</v>
      </c>
      <c r="W885" t="s">
        <v>9300</v>
      </c>
      <c r="Z885" t="s">
        <v>9311</v>
      </c>
      <c r="AF885" t="s">
        <v>4714</v>
      </c>
      <c r="AG885" t="s">
        <v>538</v>
      </c>
      <c r="AI885" t="s">
        <v>6955</v>
      </c>
      <c r="AJ885" s="424" t="str">
        <f t="shared" si="39"/>
        <v>263401</v>
      </c>
      <c r="AK885" s="28">
        <v>1</v>
      </c>
      <c r="AL885" s="28">
        <f t="shared" si="41"/>
        <v>1</v>
      </c>
      <c r="AM885" s="28" t="str">
        <f t="shared" si="40"/>
        <v>pracuj.pl</v>
      </c>
    </row>
    <row r="886" spans="1:39" x14ac:dyDescent="0.25">
      <c r="A886" t="s">
        <v>6090</v>
      </c>
      <c r="B886" t="s">
        <v>538</v>
      </c>
      <c r="C886" t="s">
        <v>538</v>
      </c>
      <c r="D886" s="27" t="s">
        <v>10194</v>
      </c>
      <c r="E886" t="s">
        <v>192</v>
      </c>
      <c r="F886" s="421">
        <v>1</v>
      </c>
      <c r="G886" t="s">
        <v>193</v>
      </c>
      <c r="H886" t="s">
        <v>194</v>
      </c>
      <c r="I886" t="s">
        <v>9461</v>
      </c>
      <c r="J886" t="s">
        <v>210</v>
      </c>
      <c r="K886" t="s">
        <v>12575</v>
      </c>
      <c r="L886" t="s">
        <v>12529</v>
      </c>
      <c r="M886" t="s">
        <v>12244</v>
      </c>
      <c r="N886" t="s">
        <v>9749</v>
      </c>
      <c r="O886" t="s">
        <v>9574</v>
      </c>
      <c r="P886" t="s">
        <v>12576</v>
      </c>
      <c r="Q886" t="s">
        <v>12577</v>
      </c>
      <c r="S886" t="s">
        <v>9309</v>
      </c>
      <c r="T886" s="28" t="s">
        <v>9334</v>
      </c>
      <c r="U886" s="27" t="s">
        <v>539</v>
      </c>
      <c r="V886" t="s">
        <v>194</v>
      </c>
      <c r="W886" t="s">
        <v>9300</v>
      </c>
      <c r="Z886" t="s">
        <v>9311</v>
      </c>
      <c r="AF886" t="s">
        <v>4714</v>
      </c>
      <c r="AG886" t="s">
        <v>538</v>
      </c>
      <c r="AI886" t="s">
        <v>6955</v>
      </c>
      <c r="AJ886" s="424" t="str">
        <f t="shared" si="39"/>
        <v>263401</v>
      </c>
      <c r="AK886" s="28">
        <v>1</v>
      </c>
      <c r="AL886" s="28">
        <f t="shared" si="41"/>
        <v>1</v>
      </c>
      <c r="AM886" s="28" t="str">
        <f t="shared" si="40"/>
        <v>pracuj.pl</v>
      </c>
    </row>
    <row r="887" spans="1:39" x14ac:dyDescent="0.25">
      <c r="A887" t="s">
        <v>6090</v>
      </c>
      <c r="B887" t="s">
        <v>538</v>
      </c>
      <c r="C887" t="s">
        <v>538</v>
      </c>
      <c r="D887" s="27" t="s">
        <v>10194</v>
      </c>
      <c r="E887" t="s">
        <v>192</v>
      </c>
      <c r="F887" s="421">
        <v>1</v>
      </c>
      <c r="G887" t="s">
        <v>193</v>
      </c>
      <c r="H887" t="s">
        <v>194</v>
      </c>
      <c r="I887" t="s">
        <v>9461</v>
      </c>
      <c r="J887" t="s">
        <v>2131</v>
      </c>
      <c r="K887" t="s">
        <v>12578</v>
      </c>
      <c r="L887" t="s">
        <v>12529</v>
      </c>
      <c r="M887" t="s">
        <v>12244</v>
      </c>
      <c r="N887" t="s">
        <v>9749</v>
      </c>
      <c r="O887" t="s">
        <v>9574</v>
      </c>
      <c r="P887" t="s">
        <v>12579</v>
      </c>
      <c r="Q887" t="s">
        <v>12580</v>
      </c>
      <c r="S887" t="s">
        <v>9309</v>
      </c>
      <c r="T887" s="28" t="s">
        <v>11154</v>
      </c>
      <c r="U887" s="27" t="s">
        <v>539</v>
      </c>
      <c r="V887" t="s">
        <v>194</v>
      </c>
      <c r="W887" t="s">
        <v>9300</v>
      </c>
      <c r="Z887" t="s">
        <v>9311</v>
      </c>
      <c r="AF887" t="s">
        <v>4714</v>
      </c>
      <c r="AG887" t="s">
        <v>538</v>
      </c>
      <c r="AI887" t="s">
        <v>6955</v>
      </c>
      <c r="AJ887" s="424" t="str">
        <f t="shared" si="39"/>
        <v>263401</v>
      </c>
      <c r="AK887" s="28">
        <v>1</v>
      </c>
      <c r="AL887" s="28">
        <f t="shared" si="41"/>
        <v>1</v>
      </c>
      <c r="AM887" s="28" t="str">
        <f t="shared" si="40"/>
        <v>pracuj.pl</v>
      </c>
    </row>
    <row r="888" spans="1:39" x14ac:dyDescent="0.25">
      <c r="A888" t="s">
        <v>6090</v>
      </c>
      <c r="B888" t="s">
        <v>538</v>
      </c>
      <c r="C888" t="s">
        <v>538</v>
      </c>
      <c r="D888" s="27" t="s">
        <v>10194</v>
      </c>
      <c r="E888" t="s">
        <v>192</v>
      </c>
      <c r="F888" s="421">
        <v>1</v>
      </c>
      <c r="G888" t="s">
        <v>193</v>
      </c>
      <c r="H888" t="s">
        <v>194</v>
      </c>
      <c r="I888" t="s">
        <v>9461</v>
      </c>
      <c r="J888" t="s">
        <v>962</v>
      </c>
      <c r="K888" t="s">
        <v>12581</v>
      </c>
      <c r="L888" t="s">
        <v>12529</v>
      </c>
      <c r="M888" t="s">
        <v>12244</v>
      </c>
      <c r="N888" t="s">
        <v>9749</v>
      </c>
      <c r="O888" t="s">
        <v>9574</v>
      </c>
      <c r="P888" t="s">
        <v>12582</v>
      </c>
      <c r="Q888" t="s">
        <v>12583</v>
      </c>
      <c r="S888" t="s">
        <v>9309</v>
      </c>
      <c r="T888" s="28" t="s">
        <v>11394</v>
      </c>
      <c r="U888" s="27" t="s">
        <v>539</v>
      </c>
      <c r="V888" t="s">
        <v>194</v>
      </c>
      <c r="W888" t="s">
        <v>9300</v>
      </c>
      <c r="Z888" t="s">
        <v>9311</v>
      </c>
      <c r="AF888" t="s">
        <v>4714</v>
      </c>
      <c r="AG888" t="s">
        <v>538</v>
      </c>
      <c r="AI888" t="s">
        <v>6955</v>
      </c>
      <c r="AJ888" s="424" t="str">
        <f t="shared" si="39"/>
        <v>263401</v>
      </c>
      <c r="AK888" s="28">
        <v>1</v>
      </c>
      <c r="AL888" s="28">
        <f t="shared" si="41"/>
        <v>1</v>
      </c>
      <c r="AM888" s="28" t="str">
        <f t="shared" si="40"/>
        <v>pracuj.pl</v>
      </c>
    </row>
    <row r="889" spans="1:39" x14ac:dyDescent="0.25">
      <c r="A889" t="s">
        <v>1446</v>
      </c>
      <c r="B889" t="s">
        <v>12584</v>
      </c>
      <c r="C889" t="s">
        <v>43</v>
      </c>
      <c r="D889" s="27" t="s">
        <v>10194</v>
      </c>
      <c r="E889" t="s">
        <v>192</v>
      </c>
      <c r="F889" s="421">
        <v>1</v>
      </c>
      <c r="G889" t="s">
        <v>193</v>
      </c>
      <c r="H889" t="s">
        <v>194</v>
      </c>
      <c r="I889" t="s">
        <v>12271</v>
      </c>
      <c r="J889" t="s">
        <v>672</v>
      </c>
      <c r="K889" t="s">
        <v>12585</v>
      </c>
      <c r="L889" t="s">
        <v>6295</v>
      </c>
      <c r="M889" t="s">
        <v>12586</v>
      </c>
      <c r="N889" t="s">
        <v>4849</v>
      </c>
      <c r="O889" t="s">
        <v>7703</v>
      </c>
      <c r="P889" t="s">
        <v>12587</v>
      </c>
      <c r="Q889" t="s">
        <v>12588</v>
      </c>
      <c r="S889" t="s">
        <v>9309</v>
      </c>
      <c r="T889" s="28" t="s">
        <v>9726</v>
      </c>
      <c r="U889" s="27" t="s">
        <v>452</v>
      </c>
      <c r="V889" t="s">
        <v>194</v>
      </c>
      <c r="W889" t="s">
        <v>9300</v>
      </c>
      <c r="Z889" t="s">
        <v>9311</v>
      </c>
      <c r="AF889" t="s">
        <v>4714</v>
      </c>
      <c r="AG889" t="s">
        <v>12584</v>
      </c>
      <c r="AI889" t="s">
        <v>6955</v>
      </c>
      <c r="AJ889" s="424" t="str">
        <f t="shared" si="39"/>
        <v>243106</v>
      </c>
      <c r="AK889" s="28">
        <v>1</v>
      </c>
      <c r="AL889" s="28">
        <f t="shared" si="41"/>
        <v>1</v>
      </c>
      <c r="AM889" s="28" t="str">
        <f t="shared" si="40"/>
        <v>pracuj.pl</v>
      </c>
    </row>
    <row r="890" spans="1:39" x14ac:dyDescent="0.25">
      <c r="A890" t="s">
        <v>12589</v>
      </c>
      <c r="B890" t="s">
        <v>12590</v>
      </c>
      <c r="C890" t="s">
        <v>17</v>
      </c>
      <c r="D890" s="27" t="s">
        <v>10194</v>
      </c>
      <c r="E890" t="s">
        <v>233</v>
      </c>
      <c r="F890" s="421">
        <v>1</v>
      </c>
      <c r="G890" t="s">
        <v>193</v>
      </c>
      <c r="H890" t="s">
        <v>194</v>
      </c>
      <c r="I890" t="s">
        <v>9369</v>
      </c>
      <c r="J890" t="s">
        <v>9302</v>
      </c>
      <c r="K890" t="s">
        <v>12591</v>
      </c>
      <c r="L890" t="s">
        <v>6249</v>
      </c>
      <c r="M890" t="s">
        <v>12365</v>
      </c>
      <c r="N890" t="s">
        <v>9929</v>
      </c>
      <c r="O890" t="s">
        <v>10757</v>
      </c>
      <c r="P890" t="s">
        <v>12592</v>
      </c>
      <c r="Q890" t="s">
        <v>12593</v>
      </c>
      <c r="S890" t="s">
        <v>9309</v>
      </c>
      <c r="U890" s="27" t="s">
        <v>624</v>
      </c>
      <c r="V890" t="s">
        <v>193</v>
      </c>
      <c r="W890" t="s">
        <v>9310</v>
      </c>
      <c r="Z890" t="s">
        <v>9311</v>
      </c>
      <c r="AF890" t="s">
        <v>4714</v>
      </c>
      <c r="AG890" t="s">
        <v>12590</v>
      </c>
      <c r="AI890" t="s">
        <v>6955</v>
      </c>
      <c r="AJ890" s="424" t="str">
        <f t="shared" si="39"/>
        <v>332203</v>
      </c>
      <c r="AK890" s="28">
        <v>1</v>
      </c>
      <c r="AL890" s="28">
        <f t="shared" si="41"/>
        <v>1</v>
      </c>
      <c r="AM890" s="28" t="str">
        <f t="shared" si="40"/>
        <v>praca</v>
      </c>
    </row>
    <row r="891" spans="1:39" x14ac:dyDescent="0.25">
      <c r="A891" t="s">
        <v>12594</v>
      </c>
      <c r="B891" t="s">
        <v>632</v>
      </c>
      <c r="C891" t="s">
        <v>17</v>
      </c>
      <c r="D891" s="27" t="s">
        <v>10194</v>
      </c>
      <c r="E891" t="s">
        <v>192</v>
      </c>
      <c r="F891" s="421">
        <v>1</v>
      </c>
      <c r="G891" t="s">
        <v>193</v>
      </c>
      <c r="H891" t="s">
        <v>194</v>
      </c>
      <c r="I891" t="s">
        <v>9461</v>
      </c>
      <c r="J891" t="s">
        <v>276</v>
      </c>
      <c r="K891" t="s">
        <v>12595</v>
      </c>
      <c r="L891" t="s">
        <v>6245</v>
      </c>
      <c r="M891" t="s">
        <v>12596</v>
      </c>
      <c r="N891" t="s">
        <v>9749</v>
      </c>
      <c r="O891" t="s">
        <v>9574</v>
      </c>
      <c r="P891" t="s">
        <v>12597</v>
      </c>
      <c r="Q891" t="s">
        <v>12598</v>
      </c>
      <c r="S891" t="s">
        <v>9309</v>
      </c>
      <c r="T891" s="28" t="s">
        <v>9786</v>
      </c>
      <c r="U891" s="27" t="s">
        <v>624</v>
      </c>
      <c r="V891" t="s">
        <v>194</v>
      </c>
      <c r="W891" t="s">
        <v>9300</v>
      </c>
      <c r="Z891" t="s">
        <v>9311</v>
      </c>
      <c r="AF891" t="s">
        <v>4714</v>
      </c>
      <c r="AG891" t="s">
        <v>17</v>
      </c>
      <c r="AI891" t="s">
        <v>6955</v>
      </c>
      <c r="AJ891" s="424" t="str">
        <f t="shared" si="39"/>
        <v>332203</v>
      </c>
      <c r="AK891" s="28">
        <v>1</v>
      </c>
      <c r="AL891" s="28">
        <f t="shared" si="41"/>
        <v>1</v>
      </c>
      <c r="AM891" s="28" t="str">
        <f t="shared" si="40"/>
        <v>pracuj.pl</v>
      </c>
    </row>
    <row r="892" spans="1:39" x14ac:dyDescent="0.25">
      <c r="A892" t="s">
        <v>9886</v>
      </c>
      <c r="B892" t="s">
        <v>8</v>
      </c>
      <c r="C892" t="s">
        <v>740</v>
      </c>
      <c r="D892" s="27" t="s">
        <v>10194</v>
      </c>
      <c r="E892" t="s">
        <v>217</v>
      </c>
      <c r="F892" s="421">
        <v>1</v>
      </c>
      <c r="G892" t="s">
        <v>193</v>
      </c>
      <c r="H892" t="s">
        <v>194</v>
      </c>
      <c r="I892" t="s">
        <v>9461</v>
      </c>
      <c r="J892" t="s">
        <v>2183</v>
      </c>
      <c r="K892" t="s">
        <v>9887</v>
      </c>
      <c r="L892" t="s">
        <v>6249</v>
      </c>
      <c r="M892" t="s">
        <v>12599</v>
      </c>
      <c r="N892" t="s">
        <v>9966</v>
      </c>
      <c r="O892" t="s">
        <v>9383</v>
      </c>
      <c r="P892" t="s">
        <v>12600</v>
      </c>
      <c r="Q892" t="s">
        <v>12601</v>
      </c>
      <c r="S892" t="s">
        <v>9309</v>
      </c>
      <c r="T892" s="28" t="s">
        <v>9892</v>
      </c>
      <c r="U892" s="27" t="s">
        <v>741</v>
      </c>
      <c r="V892" t="s">
        <v>194</v>
      </c>
      <c r="W892" t="s">
        <v>9300</v>
      </c>
      <c r="Z892" t="s">
        <v>9311</v>
      </c>
      <c r="AF892" t="s">
        <v>4714</v>
      </c>
      <c r="AG892" t="s">
        <v>8</v>
      </c>
      <c r="AI892" t="s">
        <v>6955</v>
      </c>
      <c r="AJ892" s="424" t="str">
        <f t="shared" si="39"/>
        <v>522301</v>
      </c>
      <c r="AK892" s="28">
        <v>1</v>
      </c>
      <c r="AL892" s="28">
        <f t="shared" si="41"/>
        <v>1</v>
      </c>
      <c r="AM892" s="28" t="str">
        <f t="shared" si="40"/>
        <v>agora</v>
      </c>
    </row>
    <row r="893" spans="1:39" x14ac:dyDescent="0.25">
      <c r="A893" t="s">
        <v>12602</v>
      </c>
      <c r="B893" t="s">
        <v>2019</v>
      </c>
      <c r="C893" t="s">
        <v>6617</v>
      </c>
      <c r="D893" s="27" t="s">
        <v>10194</v>
      </c>
      <c r="E893" t="s">
        <v>192</v>
      </c>
      <c r="F893" s="421">
        <v>1</v>
      </c>
      <c r="G893" t="s">
        <v>193</v>
      </c>
      <c r="H893" t="s">
        <v>194</v>
      </c>
      <c r="I893" t="s">
        <v>9343</v>
      </c>
      <c r="J893" t="s">
        <v>210</v>
      </c>
      <c r="K893" t="s">
        <v>12603</v>
      </c>
      <c r="L893" t="s">
        <v>6266</v>
      </c>
      <c r="M893" t="s">
        <v>12244</v>
      </c>
      <c r="N893" t="s">
        <v>9749</v>
      </c>
      <c r="O893" t="s">
        <v>9574</v>
      </c>
      <c r="P893" t="s">
        <v>12604</v>
      </c>
      <c r="Q893" t="s">
        <v>12605</v>
      </c>
      <c r="S893" t="s">
        <v>9309</v>
      </c>
      <c r="T893" s="28" t="s">
        <v>9334</v>
      </c>
      <c r="U893" s="27" t="s">
        <v>990</v>
      </c>
      <c r="V893" t="s">
        <v>194</v>
      </c>
      <c r="W893" t="s">
        <v>9300</v>
      </c>
      <c r="Z893" t="s">
        <v>9311</v>
      </c>
      <c r="AF893" t="s">
        <v>4714</v>
      </c>
      <c r="AG893" t="s">
        <v>2019</v>
      </c>
      <c r="AI893" t="s">
        <v>6955</v>
      </c>
      <c r="AJ893" s="424" t="str">
        <f t="shared" si="39"/>
        <v>833202</v>
      </c>
      <c r="AK893" s="28">
        <v>1</v>
      </c>
      <c r="AL893" s="28">
        <f t="shared" si="41"/>
        <v>1</v>
      </c>
      <c r="AM893" s="28" t="str">
        <f t="shared" si="40"/>
        <v>pracuj.pl</v>
      </c>
    </row>
    <row r="894" spans="1:39" x14ac:dyDescent="0.25">
      <c r="A894" t="s">
        <v>9907</v>
      </c>
      <c r="B894" t="s">
        <v>9908</v>
      </c>
      <c r="C894" t="s">
        <v>4960</v>
      </c>
      <c r="D894" s="27" t="s">
        <v>10194</v>
      </c>
      <c r="E894" t="s">
        <v>217</v>
      </c>
      <c r="F894" s="421">
        <v>1</v>
      </c>
      <c r="G894" t="s">
        <v>193</v>
      </c>
      <c r="H894" t="s">
        <v>194</v>
      </c>
      <c r="I894" t="s">
        <v>12306</v>
      </c>
      <c r="J894" t="s">
        <v>210</v>
      </c>
      <c r="K894" t="s">
        <v>9910</v>
      </c>
      <c r="L894" t="s">
        <v>6340</v>
      </c>
      <c r="M894" t="s">
        <v>12353</v>
      </c>
      <c r="N894" t="s">
        <v>9911</v>
      </c>
      <c r="O894" t="s">
        <v>9750</v>
      </c>
      <c r="P894" t="s">
        <v>12606</v>
      </c>
      <c r="Q894" t="s">
        <v>12607</v>
      </c>
      <c r="S894" t="s">
        <v>9309</v>
      </c>
      <c r="T894" s="28" t="s">
        <v>9334</v>
      </c>
      <c r="U894" s="27" t="s">
        <v>4961</v>
      </c>
      <c r="V894" t="s">
        <v>194</v>
      </c>
      <c r="W894" t="s">
        <v>9300</v>
      </c>
      <c r="Z894" t="s">
        <v>9311</v>
      </c>
      <c r="AF894" t="s">
        <v>4714</v>
      </c>
      <c r="AG894" t="s">
        <v>9433</v>
      </c>
      <c r="AI894" t="s">
        <v>6955</v>
      </c>
      <c r="AJ894" s="424" t="str">
        <f t="shared" si="39"/>
        <v>242313</v>
      </c>
      <c r="AK894" s="28">
        <v>1</v>
      </c>
      <c r="AL894" s="28">
        <f t="shared" si="41"/>
        <v>1</v>
      </c>
      <c r="AM894" s="28" t="str">
        <f t="shared" si="40"/>
        <v>agora</v>
      </c>
    </row>
    <row r="895" spans="1:39" x14ac:dyDescent="0.25">
      <c r="A895" t="s">
        <v>9915</v>
      </c>
      <c r="B895" t="s">
        <v>67</v>
      </c>
      <c r="C895" t="s">
        <v>67</v>
      </c>
      <c r="D895" s="27" t="s">
        <v>10194</v>
      </c>
      <c r="E895" t="s">
        <v>217</v>
      </c>
      <c r="F895" s="421">
        <v>1</v>
      </c>
      <c r="G895" t="s">
        <v>193</v>
      </c>
      <c r="H895" t="s">
        <v>194</v>
      </c>
      <c r="I895" t="s">
        <v>9461</v>
      </c>
      <c r="J895" t="s">
        <v>755</v>
      </c>
      <c r="K895" t="s">
        <v>11081</v>
      </c>
      <c r="L895" t="s">
        <v>6363</v>
      </c>
      <c r="M895" t="s">
        <v>12599</v>
      </c>
      <c r="N895" t="s">
        <v>10234</v>
      </c>
      <c r="O895" t="s">
        <v>9299</v>
      </c>
      <c r="P895" t="s">
        <v>12608</v>
      </c>
      <c r="Q895" t="s">
        <v>12609</v>
      </c>
      <c r="S895" t="s">
        <v>9309</v>
      </c>
      <c r="T895" s="28" t="s">
        <v>9726</v>
      </c>
      <c r="U895" s="27" t="s">
        <v>709</v>
      </c>
      <c r="V895" t="s">
        <v>194</v>
      </c>
      <c r="W895" t="s">
        <v>9300</v>
      </c>
      <c r="Z895" t="s">
        <v>9311</v>
      </c>
      <c r="AF895" t="s">
        <v>4714</v>
      </c>
      <c r="AG895" t="s">
        <v>67</v>
      </c>
      <c r="AI895" t="s">
        <v>6955</v>
      </c>
      <c r="AJ895" s="424" t="str">
        <f t="shared" si="39"/>
        <v>432103</v>
      </c>
      <c r="AK895" s="28">
        <v>1</v>
      </c>
      <c r="AL895" s="28">
        <f t="shared" si="41"/>
        <v>1</v>
      </c>
      <c r="AM895" s="28" t="str">
        <f t="shared" si="40"/>
        <v>agora</v>
      </c>
    </row>
    <row r="896" spans="1:39" x14ac:dyDescent="0.25">
      <c r="A896" t="s">
        <v>1639</v>
      </c>
      <c r="B896" t="s">
        <v>12305</v>
      </c>
      <c r="C896" t="s">
        <v>2861</v>
      </c>
      <c r="D896" s="27" t="s">
        <v>10194</v>
      </c>
      <c r="E896" t="s">
        <v>192</v>
      </c>
      <c r="F896" s="421">
        <v>1</v>
      </c>
      <c r="G896" t="s">
        <v>193</v>
      </c>
      <c r="H896" t="s">
        <v>194</v>
      </c>
      <c r="I896" t="s">
        <v>12306</v>
      </c>
      <c r="J896" t="s">
        <v>210</v>
      </c>
      <c r="K896" t="s">
        <v>12307</v>
      </c>
      <c r="L896" t="s">
        <v>6921</v>
      </c>
      <c r="M896" t="s">
        <v>12244</v>
      </c>
      <c r="N896" t="s">
        <v>9749</v>
      </c>
      <c r="O896" t="s">
        <v>9574</v>
      </c>
      <c r="P896" t="s">
        <v>12308</v>
      </c>
      <c r="Q896" t="s">
        <v>12309</v>
      </c>
      <c r="S896" t="s">
        <v>9309</v>
      </c>
      <c r="T896" s="28" t="s">
        <v>9334</v>
      </c>
      <c r="U896" s="27" t="s">
        <v>3629</v>
      </c>
      <c r="V896" t="s">
        <v>194</v>
      </c>
      <c r="W896" t="s">
        <v>9300</v>
      </c>
      <c r="Z896" t="s">
        <v>9311</v>
      </c>
      <c r="AF896" t="s">
        <v>4714</v>
      </c>
      <c r="AG896" t="s">
        <v>12305</v>
      </c>
      <c r="AI896" t="s">
        <v>6955</v>
      </c>
      <c r="AJ896" s="424" t="str">
        <f t="shared" si="39"/>
        <v>251903</v>
      </c>
      <c r="AK896" s="28">
        <v>1</v>
      </c>
      <c r="AL896" s="28">
        <f t="shared" si="41"/>
        <v>1</v>
      </c>
      <c r="AM896" s="28" t="str">
        <f t="shared" si="40"/>
        <v>pracuj.pl</v>
      </c>
    </row>
    <row r="897" spans="1:39" x14ac:dyDescent="0.25">
      <c r="A897" t="s">
        <v>9522</v>
      </c>
      <c r="B897" t="s">
        <v>10722</v>
      </c>
      <c r="C897" t="s">
        <v>2861</v>
      </c>
      <c r="D897" s="27" t="s">
        <v>10194</v>
      </c>
      <c r="E897" t="s">
        <v>217</v>
      </c>
      <c r="F897" s="421">
        <v>1</v>
      </c>
      <c r="G897" t="s">
        <v>193</v>
      </c>
      <c r="H897" t="s">
        <v>194</v>
      </c>
      <c r="I897" t="s">
        <v>9491</v>
      </c>
      <c r="J897" t="s">
        <v>9524</v>
      </c>
      <c r="K897" t="s">
        <v>10723</v>
      </c>
      <c r="L897" t="s">
        <v>6921</v>
      </c>
      <c r="M897" t="s">
        <v>12353</v>
      </c>
      <c r="N897" t="s">
        <v>9911</v>
      </c>
      <c r="O897" t="s">
        <v>9342</v>
      </c>
      <c r="P897" t="s">
        <v>12398</v>
      </c>
      <c r="Q897" t="s">
        <v>12399</v>
      </c>
      <c r="S897" t="s">
        <v>9309</v>
      </c>
      <c r="U897" s="27" t="s">
        <v>3629</v>
      </c>
      <c r="V897" t="s">
        <v>193</v>
      </c>
      <c r="W897" t="s">
        <v>9310</v>
      </c>
      <c r="Z897" t="s">
        <v>9311</v>
      </c>
      <c r="AF897" t="s">
        <v>4714</v>
      </c>
      <c r="AG897" t="s">
        <v>9433</v>
      </c>
      <c r="AI897" t="s">
        <v>6955</v>
      </c>
      <c r="AJ897" s="424" t="str">
        <f t="shared" si="39"/>
        <v>251903</v>
      </c>
      <c r="AK897" s="28">
        <v>1</v>
      </c>
      <c r="AL897" s="28">
        <f t="shared" si="41"/>
        <v>1</v>
      </c>
      <c r="AM897" s="28" t="str">
        <f t="shared" si="40"/>
        <v>agora</v>
      </c>
    </row>
    <row r="898" spans="1:39" x14ac:dyDescent="0.25">
      <c r="A898" t="s">
        <v>9522</v>
      </c>
      <c r="B898" t="s">
        <v>10726</v>
      </c>
      <c r="C898" t="s">
        <v>2861</v>
      </c>
      <c r="D898" s="27" t="s">
        <v>10194</v>
      </c>
      <c r="E898" t="s">
        <v>217</v>
      </c>
      <c r="F898" s="421">
        <v>1</v>
      </c>
      <c r="G898" t="s">
        <v>193</v>
      </c>
      <c r="H898" t="s">
        <v>194</v>
      </c>
      <c r="I898" t="s">
        <v>9491</v>
      </c>
      <c r="J898" t="s">
        <v>9524</v>
      </c>
      <c r="K898" t="s">
        <v>10727</v>
      </c>
      <c r="L898" t="s">
        <v>6921</v>
      </c>
      <c r="M898" t="s">
        <v>12353</v>
      </c>
      <c r="N898" t="s">
        <v>9573</v>
      </c>
      <c r="O898" t="s">
        <v>9342</v>
      </c>
      <c r="P898" t="s">
        <v>12400</v>
      </c>
      <c r="Q898" t="s">
        <v>12401</v>
      </c>
      <c r="S898" t="s">
        <v>9309</v>
      </c>
      <c r="U898" s="27" t="s">
        <v>3629</v>
      </c>
      <c r="V898" t="s">
        <v>193</v>
      </c>
      <c r="W898" t="s">
        <v>9310</v>
      </c>
      <c r="Z898" t="s">
        <v>9311</v>
      </c>
      <c r="AF898" t="s">
        <v>4714</v>
      </c>
      <c r="AG898" t="s">
        <v>9433</v>
      </c>
      <c r="AI898" t="s">
        <v>6955</v>
      </c>
      <c r="AJ898" s="424" t="str">
        <f t="shared" ref="AJ898:AJ961" si="42">MID(U898,8,6)</f>
        <v>251903</v>
      </c>
      <c r="AK898" s="28">
        <v>1</v>
      </c>
      <c r="AL898" s="28">
        <f t="shared" si="41"/>
        <v>1</v>
      </c>
      <c r="AM898" s="28" t="str">
        <f t="shared" ref="AM898:AM961" si="43">T(E898)</f>
        <v>agora</v>
      </c>
    </row>
    <row r="899" spans="1:39" x14ac:dyDescent="0.25">
      <c r="A899" t="s">
        <v>9522</v>
      </c>
      <c r="B899" t="s">
        <v>10789</v>
      </c>
      <c r="C899" t="s">
        <v>2861</v>
      </c>
      <c r="D899" s="27" t="s">
        <v>10194</v>
      </c>
      <c r="E899" t="s">
        <v>217</v>
      </c>
      <c r="F899" s="421">
        <v>1</v>
      </c>
      <c r="G899" t="s">
        <v>193</v>
      </c>
      <c r="H899" t="s">
        <v>194</v>
      </c>
      <c r="I899" t="s">
        <v>9430</v>
      </c>
      <c r="J899" t="s">
        <v>210</v>
      </c>
      <c r="K899" t="s">
        <v>11787</v>
      </c>
      <c r="L899" t="s">
        <v>6261</v>
      </c>
      <c r="M899" t="s">
        <v>12353</v>
      </c>
      <c r="N899" t="s">
        <v>9719</v>
      </c>
      <c r="O899" t="s">
        <v>9835</v>
      </c>
      <c r="P899" t="s">
        <v>12426</v>
      </c>
      <c r="Q899" t="s">
        <v>12427</v>
      </c>
      <c r="S899" t="s">
        <v>9309</v>
      </c>
      <c r="T899" s="28" t="s">
        <v>9334</v>
      </c>
      <c r="U899" s="27" t="s">
        <v>3629</v>
      </c>
      <c r="V899" t="s">
        <v>194</v>
      </c>
      <c r="W899" t="s">
        <v>9300</v>
      </c>
      <c r="Z899" t="s">
        <v>9311</v>
      </c>
      <c r="AF899" t="s">
        <v>4714</v>
      </c>
      <c r="AG899" t="s">
        <v>9433</v>
      </c>
      <c r="AI899" t="s">
        <v>6955</v>
      </c>
      <c r="AJ899" s="424" t="str">
        <f t="shared" si="42"/>
        <v>251903</v>
      </c>
      <c r="AK899" s="28">
        <v>1</v>
      </c>
      <c r="AL899" s="28">
        <f t="shared" ref="AL899:AL962" si="44">SUM(F899)</f>
        <v>1</v>
      </c>
      <c r="AM899" s="28" t="str">
        <f t="shared" si="43"/>
        <v>agora</v>
      </c>
    </row>
    <row r="900" spans="1:39" x14ac:dyDescent="0.25">
      <c r="A900" t="s">
        <v>9522</v>
      </c>
      <c r="B900" t="s">
        <v>10789</v>
      </c>
      <c r="C900" t="s">
        <v>2861</v>
      </c>
      <c r="D900" s="27" t="s">
        <v>10194</v>
      </c>
      <c r="E900" t="s">
        <v>217</v>
      </c>
      <c r="F900" s="421">
        <v>1</v>
      </c>
      <c r="G900" t="s">
        <v>193</v>
      </c>
      <c r="H900" t="s">
        <v>194</v>
      </c>
      <c r="I900" t="s">
        <v>9430</v>
      </c>
      <c r="J900" t="s">
        <v>210</v>
      </c>
      <c r="K900" t="s">
        <v>10790</v>
      </c>
      <c r="L900" t="s">
        <v>6261</v>
      </c>
      <c r="M900" t="s">
        <v>12353</v>
      </c>
      <c r="N900" t="s">
        <v>9493</v>
      </c>
      <c r="O900" t="s">
        <v>9305</v>
      </c>
      <c r="P900" t="s">
        <v>12428</v>
      </c>
      <c r="Q900" t="s">
        <v>12429</v>
      </c>
      <c r="S900" t="s">
        <v>9309</v>
      </c>
      <c r="T900" s="28" t="s">
        <v>9334</v>
      </c>
      <c r="U900" s="27" t="s">
        <v>3629</v>
      </c>
      <c r="V900" t="s">
        <v>194</v>
      </c>
      <c r="W900" t="s">
        <v>9300</v>
      </c>
      <c r="Z900" t="s">
        <v>9311</v>
      </c>
      <c r="AF900" t="s">
        <v>4714</v>
      </c>
      <c r="AG900" t="s">
        <v>9433</v>
      </c>
      <c r="AI900" t="s">
        <v>6955</v>
      </c>
      <c r="AJ900" s="424" t="str">
        <f t="shared" si="42"/>
        <v>251903</v>
      </c>
      <c r="AK900" s="28">
        <v>1</v>
      </c>
      <c r="AL900" s="28">
        <f t="shared" si="44"/>
        <v>1</v>
      </c>
      <c r="AM900" s="28" t="str">
        <f t="shared" si="43"/>
        <v>agora</v>
      </c>
    </row>
    <row r="901" spans="1:39" x14ac:dyDescent="0.25">
      <c r="A901" t="s">
        <v>716</v>
      </c>
      <c r="B901" t="s">
        <v>9964</v>
      </c>
      <c r="C901" t="s">
        <v>62</v>
      </c>
      <c r="D901" s="27" t="s">
        <v>10194</v>
      </c>
      <c r="E901" t="s">
        <v>217</v>
      </c>
      <c r="F901" s="421">
        <v>1</v>
      </c>
      <c r="G901" t="s">
        <v>193</v>
      </c>
      <c r="H901" t="s">
        <v>194</v>
      </c>
      <c r="I901" t="s">
        <v>9343</v>
      </c>
      <c r="J901" t="s">
        <v>253</v>
      </c>
      <c r="K901" t="s">
        <v>9965</v>
      </c>
      <c r="L901" t="s">
        <v>6363</v>
      </c>
      <c r="M901" t="s">
        <v>12353</v>
      </c>
      <c r="N901" t="s">
        <v>9966</v>
      </c>
      <c r="O901" t="s">
        <v>9967</v>
      </c>
      <c r="P901" t="s">
        <v>12623</v>
      </c>
      <c r="Q901" t="s">
        <v>12624</v>
      </c>
      <c r="S901" t="s">
        <v>9309</v>
      </c>
      <c r="T901" s="28" t="s">
        <v>9468</v>
      </c>
      <c r="U901" s="27" t="s">
        <v>601</v>
      </c>
      <c r="V901" t="s">
        <v>194</v>
      </c>
      <c r="W901" t="s">
        <v>9300</v>
      </c>
      <c r="Z901" t="s">
        <v>9311</v>
      </c>
      <c r="AF901" t="s">
        <v>4714</v>
      </c>
      <c r="AG901" t="s">
        <v>9433</v>
      </c>
      <c r="AI901" t="s">
        <v>6955</v>
      </c>
      <c r="AJ901" s="424" t="str">
        <f t="shared" si="42"/>
        <v>313904</v>
      </c>
      <c r="AK901" s="28">
        <v>1</v>
      </c>
      <c r="AL901" s="28">
        <f t="shared" si="44"/>
        <v>1</v>
      </c>
      <c r="AM901" s="28" t="str">
        <f t="shared" si="43"/>
        <v>agora</v>
      </c>
    </row>
    <row r="902" spans="1:39" x14ac:dyDescent="0.25">
      <c r="A902" t="s">
        <v>8398</v>
      </c>
      <c r="B902" t="s">
        <v>12625</v>
      </c>
      <c r="C902" t="s">
        <v>886</v>
      </c>
      <c r="D902" s="27" t="s">
        <v>10194</v>
      </c>
      <c r="E902" t="s">
        <v>217</v>
      </c>
      <c r="F902" s="421">
        <v>1</v>
      </c>
      <c r="G902" t="s">
        <v>193</v>
      </c>
      <c r="H902" t="s">
        <v>194</v>
      </c>
      <c r="I902" t="s">
        <v>12285</v>
      </c>
      <c r="J902" t="s">
        <v>210</v>
      </c>
      <c r="K902" t="s">
        <v>12626</v>
      </c>
      <c r="L902" t="s">
        <v>6269</v>
      </c>
      <c r="M902" t="s">
        <v>12353</v>
      </c>
      <c r="N902" t="s">
        <v>9719</v>
      </c>
      <c r="O902" t="s">
        <v>9835</v>
      </c>
      <c r="P902" t="s">
        <v>12627</v>
      </c>
      <c r="Q902" t="s">
        <v>12628</v>
      </c>
      <c r="S902" t="s">
        <v>9309</v>
      </c>
      <c r="T902" s="28" t="s">
        <v>9334</v>
      </c>
      <c r="U902" s="27" t="s">
        <v>887</v>
      </c>
      <c r="V902" t="s">
        <v>194</v>
      </c>
      <c r="W902" t="s">
        <v>9300</v>
      </c>
      <c r="Z902" t="s">
        <v>9311</v>
      </c>
      <c r="AF902" t="s">
        <v>4714</v>
      </c>
      <c r="AG902" t="s">
        <v>9433</v>
      </c>
      <c r="AI902" t="s">
        <v>6955</v>
      </c>
      <c r="AJ902" s="424" t="str">
        <f t="shared" si="42"/>
        <v>834401</v>
      </c>
      <c r="AK902" s="28">
        <v>1</v>
      </c>
      <c r="AL902" s="28">
        <f t="shared" si="44"/>
        <v>1</v>
      </c>
      <c r="AM902" s="28" t="str">
        <f t="shared" si="43"/>
        <v>agora</v>
      </c>
    </row>
    <row r="903" spans="1:39" x14ac:dyDescent="0.25">
      <c r="A903" t="s">
        <v>382</v>
      </c>
      <c r="B903" t="s">
        <v>537</v>
      </c>
      <c r="C903" t="s">
        <v>778</v>
      </c>
      <c r="D903" s="27" t="s">
        <v>10194</v>
      </c>
      <c r="E903" t="s">
        <v>233</v>
      </c>
      <c r="F903" s="421">
        <v>1</v>
      </c>
      <c r="G903" t="s">
        <v>193</v>
      </c>
      <c r="H903" t="s">
        <v>194</v>
      </c>
      <c r="I903" t="s">
        <v>9461</v>
      </c>
      <c r="J903" t="s">
        <v>253</v>
      </c>
      <c r="K903" t="s">
        <v>12629</v>
      </c>
      <c r="L903" t="s">
        <v>6249</v>
      </c>
      <c r="M903" t="s">
        <v>12596</v>
      </c>
      <c r="N903" t="s">
        <v>9493</v>
      </c>
      <c r="O903" t="s">
        <v>9486</v>
      </c>
      <c r="P903" t="s">
        <v>12630</v>
      </c>
      <c r="Q903" t="s">
        <v>12631</v>
      </c>
      <c r="S903" t="s">
        <v>9309</v>
      </c>
      <c r="T903" s="28" t="s">
        <v>9468</v>
      </c>
      <c r="U903" s="27" t="s">
        <v>779</v>
      </c>
      <c r="V903" t="s">
        <v>194</v>
      </c>
      <c r="W903" t="s">
        <v>9300</v>
      </c>
      <c r="Z903" t="s">
        <v>9311</v>
      </c>
      <c r="AF903" t="s">
        <v>4714</v>
      </c>
      <c r="AG903" t="s">
        <v>778</v>
      </c>
      <c r="AI903" t="s">
        <v>6955</v>
      </c>
      <c r="AJ903" s="424" t="str">
        <f t="shared" si="42"/>
        <v>524902</v>
      </c>
      <c r="AK903" s="28">
        <v>1</v>
      </c>
      <c r="AL903" s="28">
        <f t="shared" si="44"/>
        <v>1</v>
      </c>
      <c r="AM903" s="28" t="str">
        <f t="shared" si="43"/>
        <v>praca</v>
      </c>
    </row>
    <row r="904" spans="1:39" x14ac:dyDescent="0.25">
      <c r="A904" t="s">
        <v>8187</v>
      </c>
      <c r="B904" t="s">
        <v>9975</v>
      </c>
      <c r="C904" t="s">
        <v>740</v>
      </c>
      <c r="D904" s="27" t="s">
        <v>10194</v>
      </c>
      <c r="E904" t="s">
        <v>192</v>
      </c>
      <c r="F904" s="421">
        <v>1</v>
      </c>
      <c r="G904" t="s">
        <v>193</v>
      </c>
      <c r="H904" t="s">
        <v>194</v>
      </c>
      <c r="I904" t="s">
        <v>9989</v>
      </c>
      <c r="J904" t="s">
        <v>408</v>
      </c>
      <c r="K904" t="s">
        <v>12632</v>
      </c>
      <c r="L904" t="s">
        <v>6251</v>
      </c>
      <c r="M904" t="s">
        <v>12244</v>
      </c>
      <c r="N904" t="s">
        <v>9749</v>
      </c>
      <c r="O904" t="s">
        <v>10045</v>
      </c>
      <c r="P904" t="s">
        <v>12633</v>
      </c>
      <c r="Q904" t="s">
        <v>12634</v>
      </c>
      <c r="S904" t="s">
        <v>9309</v>
      </c>
      <c r="T904" s="28" t="s">
        <v>9479</v>
      </c>
      <c r="U904" s="27" t="s">
        <v>741</v>
      </c>
      <c r="V904" t="s">
        <v>194</v>
      </c>
      <c r="W904" t="s">
        <v>9300</v>
      </c>
      <c r="Z904" t="s">
        <v>9311</v>
      </c>
      <c r="AF904" t="s">
        <v>4714</v>
      </c>
      <c r="AG904" t="s">
        <v>9975</v>
      </c>
      <c r="AI904" t="s">
        <v>6955</v>
      </c>
      <c r="AJ904" s="424" t="str">
        <f t="shared" si="42"/>
        <v>522301</v>
      </c>
      <c r="AK904" s="28">
        <v>1</v>
      </c>
      <c r="AL904" s="28">
        <f t="shared" si="44"/>
        <v>1</v>
      </c>
      <c r="AM904" s="28" t="str">
        <f t="shared" si="43"/>
        <v>pracuj.pl</v>
      </c>
    </row>
    <row r="905" spans="1:39" x14ac:dyDescent="0.25">
      <c r="A905" t="s">
        <v>8187</v>
      </c>
      <c r="B905" t="s">
        <v>9975</v>
      </c>
      <c r="C905" t="s">
        <v>740</v>
      </c>
      <c r="D905" s="27" t="s">
        <v>10194</v>
      </c>
      <c r="E905" t="s">
        <v>192</v>
      </c>
      <c r="F905" s="421">
        <v>1</v>
      </c>
      <c r="G905" t="s">
        <v>193</v>
      </c>
      <c r="H905" t="s">
        <v>194</v>
      </c>
      <c r="I905" t="s">
        <v>9989</v>
      </c>
      <c r="J905" t="s">
        <v>309</v>
      </c>
      <c r="K905" t="s">
        <v>12635</v>
      </c>
      <c r="L905" t="s">
        <v>6251</v>
      </c>
      <c r="M905" t="s">
        <v>12244</v>
      </c>
      <c r="N905" t="s">
        <v>9749</v>
      </c>
      <c r="O905" t="s">
        <v>10045</v>
      </c>
      <c r="P905" t="s">
        <v>12636</v>
      </c>
      <c r="Q905" t="s">
        <v>12637</v>
      </c>
      <c r="S905" t="s">
        <v>9309</v>
      </c>
      <c r="T905" s="28" t="s">
        <v>9518</v>
      </c>
      <c r="U905" s="27" t="s">
        <v>741</v>
      </c>
      <c r="V905" t="s">
        <v>194</v>
      </c>
      <c r="W905" t="s">
        <v>9300</v>
      </c>
      <c r="Z905" t="s">
        <v>9311</v>
      </c>
      <c r="AF905" t="s">
        <v>4714</v>
      </c>
      <c r="AG905" t="s">
        <v>9975</v>
      </c>
      <c r="AI905" t="s">
        <v>6955</v>
      </c>
      <c r="AJ905" s="424" t="str">
        <f t="shared" si="42"/>
        <v>522301</v>
      </c>
      <c r="AK905" s="28">
        <v>1</v>
      </c>
      <c r="AL905" s="28">
        <f t="shared" si="44"/>
        <v>1</v>
      </c>
      <c r="AM905" s="28" t="str">
        <f t="shared" si="43"/>
        <v>pracuj.pl</v>
      </c>
    </row>
    <row r="906" spans="1:39" x14ac:dyDescent="0.25">
      <c r="A906" t="s">
        <v>8187</v>
      </c>
      <c r="B906" t="s">
        <v>9975</v>
      </c>
      <c r="C906" t="s">
        <v>740</v>
      </c>
      <c r="D906" s="27" t="s">
        <v>10194</v>
      </c>
      <c r="E906" t="s">
        <v>192</v>
      </c>
      <c r="F906" s="421">
        <v>1</v>
      </c>
      <c r="G906" t="s">
        <v>193</v>
      </c>
      <c r="H906" t="s">
        <v>194</v>
      </c>
      <c r="I906" t="s">
        <v>9989</v>
      </c>
      <c r="J906" t="s">
        <v>2183</v>
      </c>
      <c r="K906" t="s">
        <v>12638</v>
      </c>
      <c r="L906" t="s">
        <v>6251</v>
      </c>
      <c r="M906" t="s">
        <v>12244</v>
      </c>
      <c r="N906" t="s">
        <v>9749</v>
      </c>
      <c r="O906" t="s">
        <v>10045</v>
      </c>
      <c r="P906" t="s">
        <v>12639</v>
      </c>
      <c r="Q906" t="s">
        <v>12640</v>
      </c>
      <c r="S906" t="s">
        <v>9309</v>
      </c>
      <c r="T906" s="28" t="s">
        <v>9892</v>
      </c>
      <c r="U906" s="27" t="s">
        <v>741</v>
      </c>
      <c r="V906" t="s">
        <v>194</v>
      </c>
      <c r="W906" t="s">
        <v>9300</v>
      </c>
      <c r="Z906" t="s">
        <v>9311</v>
      </c>
      <c r="AF906" t="s">
        <v>4714</v>
      </c>
      <c r="AG906" t="s">
        <v>9975</v>
      </c>
      <c r="AI906" t="s">
        <v>6955</v>
      </c>
      <c r="AJ906" s="424" t="str">
        <f t="shared" si="42"/>
        <v>522301</v>
      </c>
      <c r="AK906" s="28">
        <v>1</v>
      </c>
      <c r="AL906" s="28">
        <f t="shared" si="44"/>
        <v>1</v>
      </c>
      <c r="AM906" s="28" t="str">
        <f t="shared" si="43"/>
        <v>pracuj.pl</v>
      </c>
    </row>
    <row r="907" spans="1:39" x14ac:dyDescent="0.25">
      <c r="A907" t="s">
        <v>8187</v>
      </c>
      <c r="B907" t="s">
        <v>9975</v>
      </c>
      <c r="C907" t="s">
        <v>740</v>
      </c>
      <c r="D907" s="27" t="s">
        <v>10194</v>
      </c>
      <c r="E907" t="s">
        <v>192</v>
      </c>
      <c r="F907" s="421">
        <v>1</v>
      </c>
      <c r="G907" t="s">
        <v>193</v>
      </c>
      <c r="H907" t="s">
        <v>194</v>
      </c>
      <c r="I907" t="s">
        <v>9989</v>
      </c>
      <c r="J907" t="s">
        <v>755</v>
      </c>
      <c r="K907" t="s">
        <v>12641</v>
      </c>
      <c r="L907" t="s">
        <v>6251</v>
      </c>
      <c r="M907" t="s">
        <v>12244</v>
      </c>
      <c r="N907" t="s">
        <v>9749</v>
      </c>
      <c r="O907" t="s">
        <v>10045</v>
      </c>
      <c r="P907" t="s">
        <v>12642</v>
      </c>
      <c r="Q907" t="s">
        <v>12643</v>
      </c>
      <c r="S907" t="s">
        <v>9309</v>
      </c>
      <c r="T907" s="28" t="s">
        <v>9726</v>
      </c>
      <c r="U907" s="27" t="s">
        <v>741</v>
      </c>
      <c r="V907" t="s">
        <v>194</v>
      </c>
      <c r="W907" t="s">
        <v>9300</v>
      </c>
      <c r="Z907" t="s">
        <v>9311</v>
      </c>
      <c r="AF907" t="s">
        <v>4714</v>
      </c>
      <c r="AG907" t="s">
        <v>9975</v>
      </c>
      <c r="AI907" t="s">
        <v>6955</v>
      </c>
      <c r="AJ907" s="424" t="str">
        <f t="shared" si="42"/>
        <v>522301</v>
      </c>
      <c r="AK907" s="28">
        <v>1</v>
      </c>
      <c r="AL907" s="28">
        <f t="shared" si="44"/>
        <v>1</v>
      </c>
      <c r="AM907" s="28" t="str">
        <f t="shared" si="43"/>
        <v>pracuj.pl</v>
      </c>
    </row>
    <row r="908" spans="1:39" x14ac:dyDescent="0.25">
      <c r="A908" t="s">
        <v>8187</v>
      </c>
      <c r="B908" t="s">
        <v>2935</v>
      </c>
      <c r="C908" t="s">
        <v>74</v>
      </c>
      <c r="D908" s="27" t="s">
        <v>10194</v>
      </c>
      <c r="E908" t="s">
        <v>192</v>
      </c>
      <c r="F908" s="421">
        <v>1</v>
      </c>
      <c r="G908" t="s">
        <v>193</v>
      </c>
      <c r="H908" t="s">
        <v>194</v>
      </c>
      <c r="I908" t="s">
        <v>9491</v>
      </c>
      <c r="J908" t="s">
        <v>2183</v>
      </c>
      <c r="K908" t="s">
        <v>12644</v>
      </c>
      <c r="L908" t="s">
        <v>6249</v>
      </c>
      <c r="M908" t="s">
        <v>12244</v>
      </c>
      <c r="N908" t="s">
        <v>9749</v>
      </c>
      <c r="O908" t="s">
        <v>10045</v>
      </c>
      <c r="P908" t="s">
        <v>12645</v>
      </c>
      <c r="Q908" t="s">
        <v>12646</v>
      </c>
      <c r="S908" t="s">
        <v>9309</v>
      </c>
      <c r="T908" s="28" t="s">
        <v>9892</v>
      </c>
      <c r="U908" s="27" t="s">
        <v>246</v>
      </c>
      <c r="V908" t="s">
        <v>194</v>
      </c>
      <c r="W908" t="s">
        <v>9300</v>
      </c>
      <c r="Z908" t="s">
        <v>9311</v>
      </c>
      <c r="AF908" t="s">
        <v>4714</v>
      </c>
      <c r="AG908" t="s">
        <v>2935</v>
      </c>
      <c r="AI908" t="s">
        <v>6955</v>
      </c>
      <c r="AJ908" s="424" t="str">
        <f t="shared" si="42"/>
        <v>142004</v>
      </c>
      <c r="AK908" s="28">
        <v>1</v>
      </c>
      <c r="AL908" s="28">
        <f t="shared" si="44"/>
        <v>1</v>
      </c>
      <c r="AM908" s="28" t="str">
        <f t="shared" si="43"/>
        <v>pracuj.pl</v>
      </c>
    </row>
    <row r="909" spans="1:39" x14ac:dyDescent="0.25">
      <c r="A909" t="s">
        <v>5072</v>
      </c>
      <c r="B909" t="s">
        <v>12647</v>
      </c>
      <c r="C909" t="s">
        <v>17</v>
      </c>
      <c r="D909" s="27" t="s">
        <v>10194</v>
      </c>
      <c r="E909" t="s">
        <v>192</v>
      </c>
      <c r="F909" s="421">
        <v>1</v>
      </c>
      <c r="G909" t="s">
        <v>193</v>
      </c>
      <c r="H909" t="s">
        <v>194</v>
      </c>
      <c r="I909" t="s">
        <v>9369</v>
      </c>
      <c r="J909" t="s">
        <v>4751</v>
      </c>
      <c r="K909" t="s">
        <v>12648</v>
      </c>
      <c r="L909" t="s">
        <v>6249</v>
      </c>
      <c r="M909" t="s">
        <v>12244</v>
      </c>
      <c r="N909" t="s">
        <v>9749</v>
      </c>
      <c r="O909" t="s">
        <v>9574</v>
      </c>
      <c r="P909" t="s">
        <v>12649</v>
      </c>
      <c r="Q909" t="s">
        <v>12650</v>
      </c>
      <c r="S909" t="s">
        <v>9309</v>
      </c>
      <c r="T909" s="28" t="s">
        <v>9472</v>
      </c>
      <c r="U909" s="27" t="s">
        <v>624</v>
      </c>
      <c r="V909" t="s">
        <v>194</v>
      </c>
      <c r="W909" t="s">
        <v>9300</v>
      </c>
      <c r="Z909" t="s">
        <v>9311</v>
      </c>
      <c r="AF909" t="s">
        <v>4714</v>
      </c>
      <c r="AG909" t="s">
        <v>12647</v>
      </c>
      <c r="AI909" t="s">
        <v>6955</v>
      </c>
      <c r="AJ909" s="424" t="str">
        <f t="shared" si="42"/>
        <v>332203</v>
      </c>
      <c r="AK909" s="28">
        <v>1</v>
      </c>
      <c r="AL909" s="28">
        <f t="shared" si="44"/>
        <v>1</v>
      </c>
      <c r="AM909" s="28" t="str">
        <f t="shared" si="43"/>
        <v>pracuj.pl</v>
      </c>
    </row>
    <row r="910" spans="1:39" x14ac:dyDescent="0.25">
      <c r="A910" t="s">
        <v>5072</v>
      </c>
      <c r="B910" t="s">
        <v>12651</v>
      </c>
      <c r="C910" t="s">
        <v>17</v>
      </c>
      <c r="D910" s="27" t="s">
        <v>10194</v>
      </c>
      <c r="E910" t="s">
        <v>192</v>
      </c>
      <c r="F910" s="421">
        <v>1</v>
      </c>
      <c r="G910" t="s">
        <v>193</v>
      </c>
      <c r="H910" t="s">
        <v>194</v>
      </c>
      <c r="I910" t="s">
        <v>9369</v>
      </c>
      <c r="J910" t="s">
        <v>747</v>
      </c>
      <c r="K910" t="s">
        <v>12652</v>
      </c>
      <c r="L910" t="s">
        <v>6249</v>
      </c>
      <c r="M910" t="s">
        <v>12244</v>
      </c>
      <c r="N910" t="s">
        <v>9749</v>
      </c>
      <c r="O910" t="s">
        <v>9574</v>
      </c>
      <c r="P910" t="s">
        <v>12653</v>
      </c>
      <c r="Q910" t="s">
        <v>12654</v>
      </c>
      <c r="S910" t="s">
        <v>9309</v>
      </c>
      <c r="T910" s="28" t="s">
        <v>10397</v>
      </c>
      <c r="U910" s="27" t="s">
        <v>624</v>
      </c>
      <c r="V910" t="s">
        <v>194</v>
      </c>
      <c r="W910" t="s">
        <v>9300</v>
      </c>
      <c r="Z910" t="s">
        <v>9311</v>
      </c>
      <c r="AF910" t="s">
        <v>4714</v>
      </c>
      <c r="AG910" t="s">
        <v>12651</v>
      </c>
      <c r="AI910" t="s">
        <v>6955</v>
      </c>
      <c r="AJ910" s="424" t="str">
        <f t="shared" si="42"/>
        <v>332203</v>
      </c>
      <c r="AK910" s="28">
        <v>1</v>
      </c>
      <c r="AL910" s="28">
        <f t="shared" si="44"/>
        <v>1</v>
      </c>
      <c r="AM910" s="28" t="str">
        <f t="shared" si="43"/>
        <v>pracuj.pl</v>
      </c>
    </row>
    <row r="911" spans="1:39" x14ac:dyDescent="0.25">
      <c r="A911" t="s">
        <v>12655</v>
      </c>
      <c r="B911" t="s">
        <v>3273</v>
      </c>
      <c r="C911" t="s">
        <v>104</v>
      </c>
      <c r="D911" s="27" t="s">
        <v>10194</v>
      </c>
      <c r="E911" t="s">
        <v>192</v>
      </c>
      <c r="F911" s="421">
        <v>1</v>
      </c>
      <c r="G911" t="s">
        <v>193</v>
      </c>
      <c r="H911" t="s">
        <v>194</v>
      </c>
      <c r="I911" t="s">
        <v>11614</v>
      </c>
      <c r="J911" t="s">
        <v>1059</v>
      </c>
      <c r="K911" t="s">
        <v>12656</v>
      </c>
      <c r="L911" t="s">
        <v>6286</v>
      </c>
      <c r="M911" t="s">
        <v>12244</v>
      </c>
      <c r="N911" t="s">
        <v>9749</v>
      </c>
      <c r="O911" t="s">
        <v>9574</v>
      </c>
      <c r="P911" t="s">
        <v>12657</v>
      </c>
      <c r="Q911" t="s">
        <v>12658</v>
      </c>
      <c r="S911" t="s">
        <v>9309</v>
      </c>
      <c r="T911" s="28" t="s">
        <v>9510</v>
      </c>
      <c r="U911" s="27" t="s">
        <v>703</v>
      </c>
      <c r="V911" t="s">
        <v>194</v>
      </c>
      <c r="W911" t="s">
        <v>9300</v>
      </c>
      <c r="Z911" t="s">
        <v>9311</v>
      </c>
      <c r="AF911" t="s">
        <v>4714</v>
      </c>
      <c r="AG911" t="s">
        <v>3273</v>
      </c>
      <c r="AI911" t="s">
        <v>6955</v>
      </c>
      <c r="AJ911" s="424" t="str">
        <f t="shared" si="42"/>
        <v>411004</v>
      </c>
      <c r="AK911" s="28">
        <v>1</v>
      </c>
      <c r="AL911" s="28">
        <f t="shared" si="44"/>
        <v>1</v>
      </c>
      <c r="AM911" s="28" t="str">
        <f t="shared" si="43"/>
        <v>pracuj.pl</v>
      </c>
    </row>
    <row r="912" spans="1:39" x14ac:dyDescent="0.25">
      <c r="A912" t="s">
        <v>12659</v>
      </c>
      <c r="B912" t="s">
        <v>12660</v>
      </c>
      <c r="C912" t="s">
        <v>468</v>
      </c>
      <c r="D912" s="27" t="s">
        <v>10194</v>
      </c>
      <c r="E912" t="s">
        <v>192</v>
      </c>
      <c r="F912" s="421">
        <v>1</v>
      </c>
      <c r="G912" t="s">
        <v>193</v>
      </c>
      <c r="H912" t="s">
        <v>194</v>
      </c>
      <c r="I912" t="s">
        <v>9369</v>
      </c>
      <c r="J912" t="s">
        <v>9302</v>
      </c>
      <c r="K912" t="s">
        <v>12661</v>
      </c>
      <c r="L912" t="s">
        <v>6288</v>
      </c>
      <c r="M912" t="s">
        <v>12244</v>
      </c>
      <c r="N912" t="s">
        <v>9749</v>
      </c>
      <c r="O912" t="s">
        <v>9574</v>
      </c>
      <c r="P912" t="s">
        <v>12662</v>
      </c>
      <c r="Q912" t="s">
        <v>12663</v>
      </c>
      <c r="S912" t="s">
        <v>9309</v>
      </c>
      <c r="U912" s="27" t="s">
        <v>469</v>
      </c>
      <c r="V912" t="s">
        <v>193</v>
      </c>
      <c r="W912" t="s">
        <v>9310</v>
      </c>
      <c r="Z912" t="s">
        <v>9311</v>
      </c>
      <c r="AF912" t="s">
        <v>4714</v>
      </c>
      <c r="AG912" t="s">
        <v>12660</v>
      </c>
      <c r="AI912" t="s">
        <v>6955</v>
      </c>
      <c r="AJ912" s="424" t="str">
        <f t="shared" si="42"/>
        <v>243303</v>
      </c>
      <c r="AK912" s="28">
        <v>1</v>
      </c>
      <c r="AL912" s="28">
        <f t="shared" si="44"/>
        <v>1</v>
      </c>
      <c r="AM912" s="28" t="str">
        <f t="shared" si="43"/>
        <v>pracuj.pl</v>
      </c>
    </row>
    <row r="913" spans="1:39" x14ac:dyDescent="0.25">
      <c r="A913" t="s">
        <v>12664</v>
      </c>
      <c r="B913" t="s">
        <v>12665</v>
      </c>
      <c r="C913" t="s">
        <v>6617</v>
      </c>
      <c r="D913" s="27" t="s">
        <v>10194</v>
      </c>
      <c r="E913" t="s">
        <v>192</v>
      </c>
      <c r="F913" s="421">
        <v>1</v>
      </c>
      <c r="G913" t="s">
        <v>193</v>
      </c>
      <c r="H913" t="s">
        <v>194</v>
      </c>
      <c r="I913" t="s">
        <v>9343</v>
      </c>
      <c r="J913" t="s">
        <v>9302</v>
      </c>
      <c r="K913" t="s">
        <v>12666</v>
      </c>
      <c r="L913" t="s">
        <v>6266</v>
      </c>
      <c r="M913" t="s">
        <v>12244</v>
      </c>
      <c r="N913" t="s">
        <v>9749</v>
      </c>
      <c r="O913" t="s">
        <v>9574</v>
      </c>
      <c r="P913" t="s">
        <v>12667</v>
      </c>
      <c r="Q913" t="s">
        <v>12668</v>
      </c>
      <c r="S913" t="s">
        <v>9309</v>
      </c>
      <c r="U913" s="27" t="s">
        <v>990</v>
      </c>
      <c r="V913" t="s">
        <v>193</v>
      </c>
      <c r="W913" t="s">
        <v>9310</v>
      </c>
      <c r="Z913" t="s">
        <v>9311</v>
      </c>
      <c r="AF913" t="s">
        <v>4714</v>
      </c>
      <c r="AG913" t="s">
        <v>12665</v>
      </c>
      <c r="AI913" t="s">
        <v>6955</v>
      </c>
      <c r="AJ913" s="424" t="str">
        <f t="shared" si="42"/>
        <v>833202</v>
      </c>
      <c r="AK913" s="28">
        <v>1</v>
      </c>
      <c r="AL913" s="28">
        <f t="shared" si="44"/>
        <v>1</v>
      </c>
      <c r="AM913" s="28" t="str">
        <f t="shared" si="43"/>
        <v>pracuj.pl</v>
      </c>
    </row>
    <row r="914" spans="1:39" x14ac:dyDescent="0.25">
      <c r="A914" t="s">
        <v>12669</v>
      </c>
      <c r="B914" t="s">
        <v>12670</v>
      </c>
      <c r="C914" t="s">
        <v>6093</v>
      </c>
      <c r="D914" s="27" t="s">
        <v>10194</v>
      </c>
      <c r="E914" t="s">
        <v>192</v>
      </c>
      <c r="F914" s="421">
        <v>1</v>
      </c>
      <c r="G914" t="s">
        <v>193</v>
      </c>
      <c r="H914" t="s">
        <v>194</v>
      </c>
      <c r="I914" t="s">
        <v>9989</v>
      </c>
      <c r="J914" t="s">
        <v>276</v>
      </c>
      <c r="K914" t="s">
        <v>12671</v>
      </c>
      <c r="L914" t="s">
        <v>6290</v>
      </c>
      <c r="M914" t="s">
        <v>12244</v>
      </c>
      <c r="N914" t="s">
        <v>9749</v>
      </c>
      <c r="O914" t="s">
        <v>9574</v>
      </c>
      <c r="P914" t="s">
        <v>12672</v>
      </c>
      <c r="Q914" t="s">
        <v>12673</v>
      </c>
      <c r="S914" t="s">
        <v>9309</v>
      </c>
      <c r="T914" s="28" t="s">
        <v>9786</v>
      </c>
      <c r="U914" s="27" t="s">
        <v>6095</v>
      </c>
      <c r="V914" t="s">
        <v>194</v>
      </c>
      <c r="W914" t="s">
        <v>9300</v>
      </c>
      <c r="Z914" t="s">
        <v>9311</v>
      </c>
      <c r="AF914" t="s">
        <v>4714</v>
      </c>
      <c r="AG914" t="s">
        <v>12670</v>
      </c>
      <c r="AI914" t="s">
        <v>6955</v>
      </c>
      <c r="AJ914" s="424" t="str">
        <f t="shared" si="42"/>
        <v>235919</v>
      </c>
      <c r="AK914" s="28">
        <v>1</v>
      </c>
      <c r="AL914" s="28">
        <f t="shared" si="44"/>
        <v>1</v>
      </c>
      <c r="AM914" s="28" t="str">
        <f t="shared" si="43"/>
        <v>pracuj.pl</v>
      </c>
    </row>
    <row r="915" spans="1:39" x14ac:dyDescent="0.25">
      <c r="A915" t="s">
        <v>12669</v>
      </c>
      <c r="B915" t="s">
        <v>12670</v>
      </c>
      <c r="C915" t="s">
        <v>1384</v>
      </c>
      <c r="D915" s="27" t="s">
        <v>10194</v>
      </c>
      <c r="E915" t="s">
        <v>192</v>
      </c>
      <c r="F915" s="421">
        <v>1</v>
      </c>
      <c r="G915" t="s">
        <v>193</v>
      </c>
      <c r="H915" t="s">
        <v>194</v>
      </c>
      <c r="I915" t="s">
        <v>9989</v>
      </c>
      <c r="J915" t="s">
        <v>253</v>
      </c>
      <c r="K915" t="s">
        <v>12674</v>
      </c>
      <c r="L915" t="s">
        <v>6290</v>
      </c>
      <c r="M915" t="s">
        <v>12244</v>
      </c>
      <c r="N915" t="s">
        <v>9749</v>
      </c>
      <c r="O915" t="s">
        <v>9574</v>
      </c>
      <c r="P915" t="s">
        <v>12675</v>
      </c>
      <c r="Q915" t="s">
        <v>12676</v>
      </c>
      <c r="S915" t="s">
        <v>9309</v>
      </c>
      <c r="T915" s="28" t="s">
        <v>9468</v>
      </c>
      <c r="U915" s="27" t="s">
        <v>1385</v>
      </c>
      <c r="V915" t="s">
        <v>194</v>
      </c>
      <c r="W915" t="s">
        <v>9300</v>
      </c>
      <c r="Z915" t="s">
        <v>9311</v>
      </c>
      <c r="AF915" t="s">
        <v>4714</v>
      </c>
      <c r="AG915" t="s">
        <v>12670</v>
      </c>
      <c r="AI915" t="s">
        <v>6955</v>
      </c>
      <c r="AJ915" s="424" t="str">
        <f t="shared" si="42"/>
        <v>235915</v>
      </c>
      <c r="AK915" s="28">
        <v>1</v>
      </c>
      <c r="AL915" s="28">
        <f t="shared" si="44"/>
        <v>1</v>
      </c>
      <c r="AM915" s="28" t="str">
        <f t="shared" si="43"/>
        <v>pracuj.pl</v>
      </c>
    </row>
    <row r="916" spans="1:39" x14ac:dyDescent="0.25">
      <c r="A916" t="s">
        <v>12669</v>
      </c>
      <c r="B916" t="s">
        <v>12670</v>
      </c>
      <c r="C916" t="s">
        <v>1384</v>
      </c>
      <c r="D916" s="27" t="s">
        <v>10194</v>
      </c>
      <c r="E916" t="s">
        <v>192</v>
      </c>
      <c r="F916" s="421">
        <v>1</v>
      </c>
      <c r="G916" t="s">
        <v>193</v>
      </c>
      <c r="H916" t="s">
        <v>194</v>
      </c>
      <c r="I916" t="s">
        <v>9989</v>
      </c>
      <c r="J916" t="s">
        <v>210</v>
      </c>
      <c r="K916" t="s">
        <v>12677</v>
      </c>
      <c r="L916" t="s">
        <v>6290</v>
      </c>
      <c r="M916" t="s">
        <v>12244</v>
      </c>
      <c r="N916" t="s">
        <v>9749</v>
      </c>
      <c r="O916" t="s">
        <v>9574</v>
      </c>
      <c r="P916" t="s">
        <v>12678</v>
      </c>
      <c r="Q916" t="s">
        <v>12679</v>
      </c>
      <c r="S916" t="s">
        <v>9309</v>
      </c>
      <c r="T916" s="28" t="s">
        <v>9334</v>
      </c>
      <c r="U916" s="27" t="s">
        <v>1385</v>
      </c>
      <c r="V916" t="s">
        <v>194</v>
      </c>
      <c r="W916" t="s">
        <v>9300</v>
      </c>
      <c r="Z916" t="s">
        <v>9311</v>
      </c>
      <c r="AF916" t="s">
        <v>4714</v>
      </c>
      <c r="AG916" t="s">
        <v>12670</v>
      </c>
      <c r="AI916" t="s">
        <v>6955</v>
      </c>
      <c r="AJ916" s="424" t="str">
        <f t="shared" si="42"/>
        <v>235915</v>
      </c>
      <c r="AK916" s="28">
        <v>1</v>
      </c>
      <c r="AL916" s="28">
        <f t="shared" si="44"/>
        <v>1</v>
      </c>
      <c r="AM916" s="28" t="str">
        <f t="shared" si="43"/>
        <v>pracuj.pl</v>
      </c>
    </row>
    <row r="917" spans="1:39" x14ac:dyDescent="0.25">
      <c r="A917" t="s">
        <v>12669</v>
      </c>
      <c r="B917" t="s">
        <v>12670</v>
      </c>
      <c r="C917" t="s">
        <v>1384</v>
      </c>
      <c r="D917" s="27" t="s">
        <v>10194</v>
      </c>
      <c r="E917" t="s">
        <v>192</v>
      </c>
      <c r="F917" s="421">
        <v>1</v>
      </c>
      <c r="G917" t="s">
        <v>193</v>
      </c>
      <c r="H917" t="s">
        <v>194</v>
      </c>
      <c r="I917" t="s">
        <v>9989</v>
      </c>
      <c r="J917" t="s">
        <v>316</v>
      </c>
      <c r="K917" t="s">
        <v>12680</v>
      </c>
      <c r="L917" t="s">
        <v>6290</v>
      </c>
      <c r="M917" t="s">
        <v>12244</v>
      </c>
      <c r="N917" t="s">
        <v>9749</v>
      </c>
      <c r="O917" t="s">
        <v>9574</v>
      </c>
      <c r="P917" t="s">
        <v>12681</v>
      </c>
      <c r="Q917" t="s">
        <v>12682</v>
      </c>
      <c r="S917" t="s">
        <v>9309</v>
      </c>
      <c r="T917" s="28" t="s">
        <v>10012</v>
      </c>
      <c r="U917" s="27" t="s">
        <v>1385</v>
      </c>
      <c r="V917" t="s">
        <v>194</v>
      </c>
      <c r="W917" t="s">
        <v>9300</v>
      </c>
      <c r="Z917" t="s">
        <v>9311</v>
      </c>
      <c r="AF917" t="s">
        <v>4714</v>
      </c>
      <c r="AG917" t="s">
        <v>12670</v>
      </c>
      <c r="AI917" t="s">
        <v>6955</v>
      </c>
      <c r="AJ917" s="424" t="str">
        <f t="shared" si="42"/>
        <v>235915</v>
      </c>
      <c r="AK917" s="28">
        <v>1</v>
      </c>
      <c r="AL917" s="28">
        <f t="shared" si="44"/>
        <v>1</v>
      </c>
      <c r="AM917" s="28" t="str">
        <f t="shared" si="43"/>
        <v>pracuj.pl</v>
      </c>
    </row>
    <row r="918" spans="1:39" x14ac:dyDescent="0.25">
      <c r="A918" t="s">
        <v>12669</v>
      </c>
      <c r="B918" t="s">
        <v>12670</v>
      </c>
      <c r="C918" t="s">
        <v>1384</v>
      </c>
      <c r="D918" s="27" t="s">
        <v>10194</v>
      </c>
      <c r="E918" t="s">
        <v>192</v>
      </c>
      <c r="F918" s="421">
        <v>1</v>
      </c>
      <c r="G918" t="s">
        <v>193</v>
      </c>
      <c r="H918" t="s">
        <v>194</v>
      </c>
      <c r="I918" t="s">
        <v>9989</v>
      </c>
      <c r="J918" t="s">
        <v>408</v>
      </c>
      <c r="K918" t="s">
        <v>12683</v>
      </c>
      <c r="L918" t="s">
        <v>6290</v>
      </c>
      <c r="M918" t="s">
        <v>12244</v>
      </c>
      <c r="N918" t="s">
        <v>9749</v>
      </c>
      <c r="O918" t="s">
        <v>9574</v>
      </c>
      <c r="P918" t="s">
        <v>12684</v>
      </c>
      <c r="Q918" t="s">
        <v>12685</v>
      </c>
      <c r="S918" t="s">
        <v>9309</v>
      </c>
      <c r="T918" s="28" t="s">
        <v>9479</v>
      </c>
      <c r="U918" s="27" t="s">
        <v>1385</v>
      </c>
      <c r="V918" t="s">
        <v>194</v>
      </c>
      <c r="W918" t="s">
        <v>9300</v>
      </c>
      <c r="Z918" t="s">
        <v>9311</v>
      </c>
      <c r="AF918" t="s">
        <v>4714</v>
      </c>
      <c r="AG918" t="s">
        <v>12670</v>
      </c>
      <c r="AI918" t="s">
        <v>6955</v>
      </c>
      <c r="AJ918" s="424" t="str">
        <f t="shared" si="42"/>
        <v>235915</v>
      </c>
      <c r="AK918" s="28">
        <v>1</v>
      </c>
      <c r="AL918" s="28">
        <f t="shared" si="44"/>
        <v>1</v>
      </c>
      <c r="AM918" s="28" t="str">
        <f t="shared" si="43"/>
        <v>pracuj.pl</v>
      </c>
    </row>
    <row r="919" spans="1:39" x14ac:dyDescent="0.25">
      <c r="A919" t="s">
        <v>12669</v>
      </c>
      <c r="B919" t="s">
        <v>12686</v>
      </c>
      <c r="C919" t="s">
        <v>706</v>
      </c>
      <c r="D919" s="27" t="s">
        <v>10194</v>
      </c>
      <c r="E919" t="s">
        <v>192</v>
      </c>
      <c r="F919" s="421">
        <v>1</v>
      </c>
      <c r="G919" t="s">
        <v>193</v>
      </c>
      <c r="H919" t="s">
        <v>194</v>
      </c>
      <c r="I919" t="s">
        <v>12271</v>
      </c>
      <c r="J919" t="s">
        <v>210</v>
      </c>
      <c r="K919" t="s">
        <v>12687</v>
      </c>
      <c r="L919" t="s">
        <v>6251</v>
      </c>
      <c r="M919" t="s">
        <v>12244</v>
      </c>
      <c r="N919" t="s">
        <v>9749</v>
      </c>
      <c r="O919" t="s">
        <v>9574</v>
      </c>
      <c r="P919" t="s">
        <v>12688</v>
      </c>
      <c r="Q919" t="s">
        <v>12689</v>
      </c>
      <c r="S919" t="s">
        <v>9309</v>
      </c>
      <c r="T919" s="28" t="s">
        <v>9334</v>
      </c>
      <c r="U919" s="27" t="s">
        <v>707</v>
      </c>
      <c r="V919" t="s">
        <v>194</v>
      </c>
      <c r="W919" t="s">
        <v>9300</v>
      </c>
      <c r="Z919" t="s">
        <v>9311</v>
      </c>
      <c r="AF919" t="s">
        <v>4714</v>
      </c>
      <c r="AG919" t="s">
        <v>12686</v>
      </c>
      <c r="AI919" t="s">
        <v>6955</v>
      </c>
      <c r="AJ919" s="424" t="str">
        <f t="shared" si="42"/>
        <v>422201</v>
      </c>
      <c r="AK919" s="28">
        <v>1</v>
      </c>
      <c r="AL919" s="28">
        <f t="shared" si="44"/>
        <v>1</v>
      </c>
      <c r="AM919" s="28" t="str">
        <f t="shared" si="43"/>
        <v>pracuj.pl</v>
      </c>
    </row>
    <row r="920" spans="1:39" x14ac:dyDescent="0.25">
      <c r="A920" t="s">
        <v>1675</v>
      </c>
      <c r="B920" t="s">
        <v>12690</v>
      </c>
      <c r="C920" t="s">
        <v>4966</v>
      </c>
      <c r="D920" s="27" t="s">
        <v>10194</v>
      </c>
      <c r="E920" t="s">
        <v>233</v>
      </c>
      <c r="F920" s="421">
        <v>1</v>
      </c>
      <c r="G920" t="s">
        <v>193</v>
      </c>
      <c r="H920" t="s">
        <v>194</v>
      </c>
      <c r="I920" t="s">
        <v>12260</v>
      </c>
      <c r="J920" t="s">
        <v>210</v>
      </c>
      <c r="K920" t="s">
        <v>12691</v>
      </c>
      <c r="L920" t="s">
        <v>6254</v>
      </c>
      <c r="M920" t="s">
        <v>12365</v>
      </c>
      <c r="N920" t="s">
        <v>9929</v>
      </c>
      <c r="O920" t="s">
        <v>10757</v>
      </c>
      <c r="P920" t="s">
        <v>12692</v>
      </c>
      <c r="Q920" t="s">
        <v>12693</v>
      </c>
      <c r="S920" t="s">
        <v>9309</v>
      </c>
      <c r="T920" s="28" t="s">
        <v>9334</v>
      </c>
      <c r="U920" s="27" t="s">
        <v>405</v>
      </c>
      <c r="V920" t="s">
        <v>194</v>
      </c>
      <c r="W920" t="s">
        <v>9300</v>
      </c>
      <c r="Z920" t="s">
        <v>9311</v>
      </c>
      <c r="AF920" t="s">
        <v>4714</v>
      </c>
      <c r="AG920" t="s">
        <v>12690</v>
      </c>
      <c r="AI920" t="s">
        <v>6955</v>
      </c>
      <c r="AJ920" s="424" t="str">
        <f t="shared" si="42"/>
        <v>241304</v>
      </c>
      <c r="AK920" s="28">
        <v>1</v>
      </c>
      <c r="AL920" s="28">
        <f t="shared" si="44"/>
        <v>1</v>
      </c>
      <c r="AM920" s="28" t="str">
        <f t="shared" si="43"/>
        <v>praca</v>
      </c>
    </row>
    <row r="921" spans="1:39" x14ac:dyDescent="0.25">
      <c r="A921" t="s">
        <v>12694</v>
      </c>
      <c r="B921" t="s">
        <v>12695</v>
      </c>
      <c r="C921" t="s">
        <v>5445</v>
      </c>
      <c r="D921" s="27" t="s">
        <v>10194</v>
      </c>
      <c r="E921" t="s">
        <v>192</v>
      </c>
      <c r="F921" s="421">
        <v>1</v>
      </c>
      <c r="G921" t="s">
        <v>193</v>
      </c>
      <c r="H921" t="s">
        <v>194</v>
      </c>
      <c r="I921" t="s">
        <v>11614</v>
      </c>
      <c r="J921" t="s">
        <v>9302</v>
      </c>
      <c r="K921" t="s">
        <v>12696</v>
      </c>
      <c r="L921" t="s">
        <v>6245</v>
      </c>
      <c r="M921" t="s">
        <v>12244</v>
      </c>
      <c r="N921" t="s">
        <v>9749</v>
      </c>
      <c r="O921" t="s">
        <v>9574</v>
      </c>
      <c r="P921" t="s">
        <v>12697</v>
      </c>
      <c r="Q921" t="s">
        <v>12698</v>
      </c>
      <c r="S921" t="s">
        <v>9309</v>
      </c>
      <c r="U921" s="27" t="s">
        <v>1571</v>
      </c>
      <c r="V921" t="s">
        <v>193</v>
      </c>
      <c r="W921" t="s">
        <v>9310</v>
      </c>
      <c r="Z921" t="s">
        <v>9311</v>
      </c>
      <c r="AF921" t="s">
        <v>4714</v>
      </c>
      <c r="AG921" t="s">
        <v>12695</v>
      </c>
      <c r="AI921" t="s">
        <v>6955</v>
      </c>
      <c r="AJ921" s="424" t="str">
        <f t="shared" si="42"/>
        <v>214303</v>
      </c>
      <c r="AK921" s="28">
        <v>1</v>
      </c>
      <c r="AL921" s="28">
        <f t="shared" si="44"/>
        <v>1</v>
      </c>
      <c r="AM921" s="28" t="str">
        <f t="shared" si="43"/>
        <v>pracuj.pl</v>
      </c>
    </row>
    <row r="922" spans="1:39" x14ac:dyDescent="0.25">
      <c r="A922" t="s">
        <v>244</v>
      </c>
      <c r="B922" t="s">
        <v>12699</v>
      </c>
      <c r="C922" t="s">
        <v>12700</v>
      </c>
      <c r="D922" s="27" t="s">
        <v>10194</v>
      </c>
      <c r="E922" t="s">
        <v>192</v>
      </c>
      <c r="F922" s="421">
        <v>1</v>
      </c>
      <c r="G922" t="s">
        <v>193</v>
      </c>
      <c r="H922" t="s">
        <v>194</v>
      </c>
      <c r="I922" t="s">
        <v>12285</v>
      </c>
      <c r="J922" t="s">
        <v>210</v>
      </c>
      <c r="K922" t="s">
        <v>12701</v>
      </c>
      <c r="L922" t="s">
        <v>6258</v>
      </c>
      <c r="M922" t="s">
        <v>12244</v>
      </c>
      <c r="N922" t="s">
        <v>9749</v>
      </c>
      <c r="O922" t="s">
        <v>9574</v>
      </c>
      <c r="P922" t="s">
        <v>12702</v>
      </c>
      <c r="Q922" t="s">
        <v>12703</v>
      </c>
      <c r="S922" t="s">
        <v>9309</v>
      </c>
      <c r="T922" s="28" t="s">
        <v>9334</v>
      </c>
      <c r="U922" s="27" t="s">
        <v>12704</v>
      </c>
      <c r="V922" t="s">
        <v>194</v>
      </c>
      <c r="W922" t="s">
        <v>9300</v>
      </c>
      <c r="Z922" t="s">
        <v>9311</v>
      </c>
      <c r="AF922" t="s">
        <v>4714</v>
      </c>
      <c r="AG922" t="s">
        <v>12699</v>
      </c>
      <c r="AI922" t="s">
        <v>6955</v>
      </c>
      <c r="AJ922" s="424" t="str">
        <f t="shared" si="42"/>
        <v>821305</v>
      </c>
      <c r="AK922" s="28">
        <v>1</v>
      </c>
      <c r="AL922" s="28">
        <f t="shared" si="44"/>
        <v>1</v>
      </c>
      <c r="AM922" s="28" t="str">
        <f t="shared" si="43"/>
        <v>pracuj.pl</v>
      </c>
    </row>
    <row r="923" spans="1:39" x14ac:dyDescent="0.25">
      <c r="A923" t="s">
        <v>244</v>
      </c>
      <c r="B923" t="s">
        <v>12699</v>
      </c>
      <c r="C923" t="s">
        <v>12700</v>
      </c>
      <c r="D923" s="27" t="s">
        <v>10194</v>
      </c>
      <c r="E923" t="s">
        <v>192</v>
      </c>
      <c r="F923" s="421">
        <v>1</v>
      </c>
      <c r="G923" t="s">
        <v>193</v>
      </c>
      <c r="H923" t="s">
        <v>194</v>
      </c>
      <c r="I923" t="s">
        <v>12285</v>
      </c>
      <c r="J923" t="s">
        <v>755</v>
      </c>
      <c r="K923" t="s">
        <v>12705</v>
      </c>
      <c r="L923" t="s">
        <v>6258</v>
      </c>
      <c r="M923" t="s">
        <v>12244</v>
      </c>
      <c r="N923" t="s">
        <v>9749</v>
      </c>
      <c r="O923" t="s">
        <v>9574</v>
      </c>
      <c r="P923" t="s">
        <v>12706</v>
      </c>
      <c r="Q923" t="s">
        <v>12707</v>
      </c>
      <c r="S923" t="s">
        <v>9309</v>
      </c>
      <c r="T923" s="28" t="s">
        <v>9726</v>
      </c>
      <c r="U923" s="27" t="s">
        <v>12704</v>
      </c>
      <c r="V923" t="s">
        <v>194</v>
      </c>
      <c r="W923" t="s">
        <v>9300</v>
      </c>
      <c r="Z923" t="s">
        <v>9311</v>
      </c>
      <c r="AF923" t="s">
        <v>4714</v>
      </c>
      <c r="AG923" t="s">
        <v>12699</v>
      </c>
      <c r="AI923" t="s">
        <v>6955</v>
      </c>
      <c r="AJ923" s="424" t="str">
        <f t="shared" si="42"/>
        <v>821305</v>
      </c>
      <c r="AK923" s="28">
        <v>1</v>
      </c>
      <c r="AL923" s="28">
        <f t="shared" si="44"/>
        <v>1</v>
      </c>
      <c r="AM923" s="28" t="str">
        <f t="shared" si="43"/>
        <v>pracuj.pl</v>
      </c>
    </row>
    <row r="924" spans="1:39" x14ac:dyDescent="0.25">
      <c r="A924" t="s">
        <v>7323</v>
      </c>
      <c r="B924" t="s">
        <v>12708</v>
      </c>
      <c r="C924" t="s">
        <v>12709</v>
      </c>
      <c r="D924" s="27" t="s">
        <v>10194</v>
      </c>
      <c r="E924" t="s">
        <v>233</v>
      </c>
      <c r="F924" s="421">
        <v>1</v>
      </c>
      <c r="G924" t="s">
        <v>193</v>
      </c>
      <c r="H924" t="s">
        <v>194</v>
      </c>
      <c r="I924" t="s">
        <v>9343</v>
      </c>
      <c r="J924" t="s">
        <v>9302</v>
      </c>
      <c r="K924" t="s">
        <v>12710</v>
      </c>
      <c r="L924" t="s">
        <v>6288</v>
      </c>
      <c r="M924" t="s">
        <v>12365</v>
      </c>
      <c r="N924" t="s">
        <v>9929</v>
      </c>
      <c r="O924" t="s">
        <v>10757</v>
      </c>
      <c r="P924" t="s">
        <v>12711</v>
      </c>
      <c r="Q924" t="s">
        <v>12712</v>
      </c>
      <c r="S924" t="s">
        <v>9309</v>
      </c>
      <c r="U924" s="27" t="s">
        <v>12713</v>
      </c>
      <c r="V924" t="s">
        <v>193</v>
      </c>
      <c r="W924" t="s">
        <v>9310</v>
      </c>
      <c r="Z924" t="s">
        <v>9311</v>
      </c>
      <c r="AF924" t="s">
        <v>4714</v>
      </c>
      <c r="AG924" t="s">
        <v>12708</v>
      </c>
      <c r="AI924" t="s">
        <v>6955</v>
      </c>
      <c r="AJ924" s="424" t="str">
        <f t="shared" si="42"/>
        <v>229913</v>
      </c>
      <c r="AK924" s="28">
        <v>1</v>
      </c>
      <c r="AL924" s="28">
        <f t="shared" si="44"/>
        <v>1</v>
      </c>
      <c r="AM924" s="28" t="str">
        <f t="shared" si="43"/>
        <v>praca</v>
      </c>
    </row>
    <row r="925" spans="1:39" x14ac:dyDescent="0.25">
      <c r="A925" t="s">
        <v>4975</v>
      </c>
      <c r="B925" t="s">
        <v>901</v>
      </c>
      <c r="C925" t="s">
        <v>51</v>
      </c>
      <c r="D925" s="27" t="s">
        <v>10194</v>
      </c>
      <c r="E925" t="s">
        <v>233</v>
      </c>
      <c r="F925" s="421">
        <v>1</v>
      </c>
      <c r="G925" t="s">
        <v>193</v>
      </c>
      <c r="H925" t="s">
        <v>194</v>
      </c>
      <c r="I925" t="s">
        <v>9343</v>
      </c>
      <c r="J925" t="s">
        <v>408</v>
      </c>
      <c r="K925" t="s">
        <v>12714</v>
      </c>
      <c r="L925" t="s">
        <v>6275</v>
      </c>
      <c r="M925" t="s">
        <v>12365</v>
      </c>
      <c r="N925" t="s">
        <v>9929</v>
      </c>
      <c r="O925" t="s">
        <v>10757</v>
      </c>
      <c r="P925" t="s">
        <v>12715</v>
      </c>
      <c r="Q925" t="s">
        <v>12716</v>
      </c>
      <c r="S925" t="s">
        <v>9309</v>
      </c>
      <c r="T925" s="28" t="s">
        <v>9479</v>
      </c>
      <c r="U925" s="27" t="s">
        <v>904</v>
      </c>
      <c r="V925" t="s">
        <v>194</v>
      </c>
      <c r="W925" t="s">
        <v>9300</v>
      </c>
      <c r="Z925" t="s">
        <v>9311</v>
      </c>
      <c r="AF925" t="s">
        <v>4714</v>
      </c>
      <c r="AG925" t="s">
        <v>901</v>
      </c>
      <c r="AI925" t="s">
        <v>6955</v>
      </c>
      <c r="AJ925" s="424" t="str">
        <f t="shared" si="42"/>
        <v>523002</v>
      </c>
      <c r="AK925" s="28">
        <v>1</v>
      </c>
      <c r="AL925" s="28">
        <f t="shared" si="44"/>
        <v>1</v>
      </c>
      <c r="AM925" s="28" t="str">
        <f t="shared" si="43"/>
        <v>praca</v>
      </c>
    </row>
    <row r="926" spans="1:39" x14ac:dyDescent="0.25">
      <c r="A926" t="s">
        <v>4975</v>
      </c>
      <c r="B926" t="s">
        <v>67</v>
      </c>
      <c r="C926" t="s">
        <v>67</v>
      </c>
      <c r="D926" s="27" t="s">
        <v>10194</v>
      </c>
      <c r="E926" t="s">
        <v>233</v>
      </c>
      <c r="F926" s="421">
        <v>1</v>
      </c>
      <c r="G926" t="s">
        <v>193</v>
      </c>
      <c r="H926" t="s">
        <v>194</v>
      </c>
      <c r="I926" t="s">
        <v>9461</v>
      </c>
      <c r="J926" t="s">
        <v>367</v>
      </c>
      <c r="K926" t="s">
        <v>12717</v>
      </c>
      <c r="L926" t="s">
        <v>6266</v>
      </c>
      <c r="M926" t="s">
        <v>12365</v>
      </c>
      <c r="N926" t="s">
        <v>9929</v>
      </c>
      <c r="O926" t="s">
        <v>10757</v>
      </c>
      <c r="P926" t="s">
        <v>12718</v>
      </c>
      <c r="Q926" t="s">
        <v>12719</v>
      </c>
      <c r="S926" t="s">
        <v>9309</v>
      </c>
      <c r="T926" s="28" t="s">
        <v>9974</v>
      </c>
      <c r="U926" s="27" t="s">
        <v>709</v>
      </c>
      <c r="V926" t="s">
        <v>194</v>
      </c>
      <c r="W926" t="s">
        <v>9300</v>
      </c>
      <c r="Z926" t="s">
        <v>9311</v>
      </c>
      <c r="AF926" t="s">
        <v>4714</v>
      </c>
      <c r="AG926" t="s">
        <v>67</v>
      </c>
      <c r="AI926" t="s">
        <v>6955</v>
      </c>
      <c r="AJ926" s="424" t="str">
        <f t="shared" si="42"/>
        <v>432103</v>
      </c>
      <c r="AK926" s="28">
        <v>1</v>
      </c>
      <c r="AL926" s="28">
        <f t="shared" si="44"/>
        <v>1</v>
      </c>
      <c r="AM926" s="28" t="str">
        <f t="shared" si="43"/>
        <v>praca</v>
      </c>
    </row>
    <row r="927" spans="1:39" x14ac:dyDescent="0.25">
      <c r="A927" t="s">
        <v>4975</v>
      </c>
      <c r="B927" t="s">
        <v>12040</v>
      </c>
      <c r="C927" t="s">
        <v>12720</v>
      </c>
      <c r="D927" s="27" t="s">
        <v>10194</v>
      </c>
      <c r="E927" t="s">
        <v>233</v>
      </c>
      <c r="F927" s="421">
        <v>1</v>
      </c>
      <c r="G927" t="s">
        <v>193</v>
      </c>
      <c r="H927" t="s">
        <v>194</v>
      </c>
      <c r="I927" t="s">
        <v>9351</v>
      </c>
      <c r="J927" t="s">
        <v>253</v>
      </c>
      <c r="K927" t="s">
        <v>12721</v>
      </c>
      <c r="L927" t="s">
        <v>6275</v>
      </c>
      <c r="M927" t="s">
        <v>12365</v>
      </c>
      <c r="N927" t="s">
        <v>9929</v>
      </c>
      <c r="O927" t="s">
        <v>10757</v>
      </c>
      <c r="P927" t="s">
        <v>12722</v>
      </c>
      <c r="Q927" t="s">
        <v>12723</v>
      </c>
      <c r="S927" t="s">
        <v>9309</v>
      </c>
      <c r="T927" s="28" t="s">
        <v>9468</v>
      </c>
      <c r="U927" s="27" t="s">
        <v>12724</v>
      </c>
      <c r="V927" t="s">
        <v>194</v>
      </c>
      <c r="W927" t="s">
        <v>9300</v>
      </c>
      <c r="Z927" t="s">
        <v>9311</v>
      </c>
      <c r="AF927" t="s">
        <v>4714</v>
      </c>
      <c r="AG927" t="s">
        <v>12040</v>
      </c>
      <c r="AI927" t="s">
        <v>6955</v>
      </c>
      <c r="AJ927" s="424" t="str">
        <f t="shared" si="42"/>
        <v>911102</v>
      </c>
      <c r="AK927" s="28">
        <v>1</v>
      </c>
      <c r="AL927" s="28">
        <f t="shared" si="44"/>
        <v>1</v>
      </c>
      <c r="AM927" s="28" t="str">
        <f t="shared" si="43"/>
        <v>praca</v>
      </c>
    </row>
    <row r="928" spans="1:39" x14ac:dyDescent="0.25">
      <c r="A928" t="s">
        <v>4975</v>
      </c>
      <c r="B928" t="s">
        <v>8</v>
      </c>
      <c r="C928" t="s">
        <v>740</v>
      </c>
      <c r="D928" s="27" t="s">
        <v>10194</v>
      </c>
      <c r="E928" t="s">
        <v>233</v>
      </c>
      <c r="F928" s="421">
        <v>1</v>
      </c>
      <c r="G928" t="s">
        <v>193</v>
      </c>
      <c r="H928" t="s">
        <v>194</v>
      </c>
      <c r="I928" t="s">
        <v>9461</v>
      </c>
      <c r="J928" t="s">
        <v>408</v>
      </c>
      <c r="K928" t="s">
        <v>12725</v>
      </c>
      <c r="L928" t="s">
        <v>6275</v>
      </c>
      <c r="M928" t="s">
        <v>12365</v>
      </c>
      <c r="N928" t="s">
        <v>9929</v>
      </c>
      <c r="O928" t="s">
        <v>10757</v>
      </c>
      <c r="P928" t="s">
        <v>12726</v>
      </c>
      <c r="Q928" t="s">
        <v>12727</v>
      </c>
      <c r="S928" t="s">
        <v>9309</v>
      </c>
      <c r="T928" s="28" t="s">
        <v>9479</v>
      </c>
      <c r="U928" s="27" t="s">
        <v>741</v>
      </c>
      <c r="V928" t="s">
        <v>194</v>
      </c>
      <c r="W928" t="s">
        <v>9300</v>
      </c>
      <c r="Z928" t="s">
        <v>9311</v>
      </c>
      <c r="AF928" t="s">
        <v>4714</v>
      </c>
      <c r="AG928" t="s">
        <v>8</v>
      </c>
      <c r="AI928" t="s">
        <v>6955</v>
      </c>
      <c r="AJ928" s="424" t="str">
        <f t="shared" si="42"/>
        <v>522301</v>
      </c>
      <c r="AK928" s="28">
        <v>1</v>
      </c>
      <c r="AL928" s="28">
        <f t="shared" si="44"/>
        <v>1</v>
      </c>
      <c r="AM928" s="28" t="str">
        <f t="shared" si="43"/>
        <v>praca</v>
      </c>
    </row>
    <row r="929" spans="1:39" x14ac:dyDescent="0.25">
      <c r="A929" t="s">
        <v>4975</v>
      </c>
      <c r="B929" t="s">
        <v>8</v>
      </c>
      <c r="C929" t="s">
        <v>740</v>
      </c>
      <c r="D929" s="27" t="s">
        <v>10194</v>
      </c>
      <c r="E929" t="s">
        <v>233</v>
      </c>
      <c r="F929" s="421">
        <v>1</v>
      </c>
      <c r="G929" t="s">
        <v>193</v>
      </c>
      <c r="H929" t="s">
        <v>194</v>
      </c>
      <c r="I929" t="s">
        <v>9461</v>
      </c>
      <c r="J929" t="s">
        <v>253</v>
      </c>
      <c r="K929" t="s">
        <v>12728</v>
      </c>
      <c r="L929" t="s">
        <v>6275</v>
      </c>
      <c r="M929" t="s">
        <v>12365</v>
      </c>
      <c r="N929" t="s">
        <v>9929</v>
      </c>
      <c r="O929" t="s">
        <v>10757</v>
      </c>
      <c r="P929" t="s">
        <v>12729</v>
      </c>
      <c r="Q929" t="s">
        <v>12730</v>
      </c>
      <c r="S929" t="s">
        <v>9309</v>
      </c>
      <c r="T929" s="28" t="s">
        <v>9468</v>
      </c>
      <c r="U929" s="27" t="s">
        <v>741</v>
      </c>
      <c r="V929" t="s">
        <v>194</v>
      </c>
      <c r="W929" t="s">
        <v>9300</v>
      </c>
      <c r="Z929" t="s">
        <v>9311</v>
      </c>
      <c r="AF929" t="s">
        <v>4714</v>
      </c>
      <c r="AG929" t="s">
        <v>8</v>
      </c>
      <c r="AI929" t="s">
        <v>6955</v>
      </c>
      <c r="AJ929" s="424" t="str">
        <f t="shared" si="42"/>
        <v>522301</v>
      </c>
      <c r="AK929" s="28">
        <v>1</v>
      </c>
      <c r="AL929" s="28">
        <f t="shared" si="44"/>
        <v>1</v>
      </c>
      <c r="AM929" s="28" t="str">
        <f t="shared" si="43"/>
        <v>praca</v>
      </c>
    </row>
    <row r="930" spans="1:39" x14ac:dyDescent="0.25">
      <c r="A930" t="s">
        <v>4975</v>
      </c>
      <c r="B930" t="s">
        <v>8</v>
      </c>
      <c r="C930" t="s">
        <v>740</v>
      </c>
      <c r="D930" s="27" t="s">
        <v>10194</v>
      </c>
      <c r="E930" t="s">
        <v>233</v>
      </c>
      <c r="F930" s="421">
        <v>1</v>
      </c>
      <c r="G930" t="s">
        <v>193</v>
      </c>
      <c r="H930" t="s">
        <v>194</v>
      </c>
      <c r="I930" t="s">
        <v>9461</v>
      </c>
      <c r="J930" t="s">
        <v>223</v>
      </c>
      <c r="K930" t="s">
        <v>12731</v>
      </c>
      <c r="L930" t="s">
        <v>6275</v>
      </c>
      <c r="M930" t="s">
        <v>12365</v>
      </c>
      <c r="N930" t="s">
        <v>9929</v>
      </c>
      <c r="O930" t="s">
        <v>10757</v>
      </c>
      <c r="P930" t="s">
        <v>12732</v>
      </c>
      <c r="Q930" t="s">
        <v>12733</v>
      </c>
      <c r="S930" t="s">
        <v>9309</v>
      </c>
      <c r="T930" s="28" t="s">
        <v>11163</v>
      </c>
      <c r="U930" s="27" t="s">
        <v>741</v>
      </c>
      <c r="V930" t="s">
        <v>194</v>
      </c>
      <c r="W930" t="s">
        <v>9300</v>
      </c>
      <c r="Z930" t="s">
        <v>9311</v>
      </c>
      <c r="AF930" t="s">
        <v>4714</v>
      </c>
      <c r="AG930" t="s">
        <v>8</v>
      </c>
      <c r="AI930" t="s">
        <v>6955</v>
      </c>
      <c r="AJ930" s="424" t="str">
        <f t="shared" si="42"/>
        <v>522301</v>
      </c>
      <c r="AK930" s="28">
        <v>1</v>
      </c>
      <c r="AL930" s="28">
        <f t="shared" si="44"/>
        <v>1</v>
      </c>
      <c r="AM930" s="28" t="str">
        <f t="shared" si="43"/>
        <v>praca</v>
      </c>
    </row>
    <row r="931" spans="1:39" x14ac:dyDescent="0.25">
      <c r="A931" t="s">
        <v>12734</v>
      </c>
      <c r="B931" t="s">
        <v>12</v>
      </c>
      <c r="C931" t="s">
        <v>12</v>
      </c>
      <c r="D931" s="27" t="s">
        <v>10194</v>
      </c>
      <c r="E931" t="s">
        <v>192</v>
      </c>
      <c r="F931" s="421">
        <v>1</v>
      </c>
      <c r="G931" t="s">
        <v>193</v>
      </c>
      <c r="H931" t="s">
        <v>194</v>
      </c>
      <c r="I931" t="s">
        <v>9461</v>
      </c>
      <c r="J931" t="s">
        <v>9302</v>
      </c>
      <c r="K931" t="s">
        <v>12735</v>
      </c>
      <c r="L931" t="s">
        <v>6324</v>
      </c>
      <c r="M931" t="s">
        <v>12244</v>
      </c>
      <c r="N931" t="s">
        <v>9749</v>
      </c>
      <c r="O931" t="s">
        <v>9574</v>
      </c>
      <c r="P931" t="s">
        <v>12736</v>
      </c>
      <c r="Q931" t="s">
        <v>12737</v>
      </c>
      <c r="S931" t="s">
        <v>9309</v>
      </c>
      <c r="U931" s="27" t="s">
        <v>220</v>
      </c>
      <c r="V931" t="s">
        <v>193</v>
      </c>
      <c r="W931" t="s">
        <v>9310</v>
      </c>
      <c r="Z931" t="s">
        <v>9311</v>
      </c>
      <c r="AF931" t="s">
        <v>4714</v>
      </c>
      <c r="AG931" t="s">
        <v>12</v>
      </c>
      <c r="AI931" t="s">
        <v>6955</v>
      </c>
      <c r="AJ931" s="424" t="str">
        <f t="shared" si="42"/>
        <v>132301</v>
      </c>
      <c r="AK931" s="28">
        <v>1</v>
      </c>
      <c r="AL931" s="28">
        <f t="shared" si="44"/>
        <v>1</v>
      </c>
      <c r="AM931" s="28" t="str">
        <f t="shared" si="43"/>
        <v>pracuj.pl</v>
      </c>
    </row>
    <row r="932" spans="1:39" x14ac:dyDescent="0.25">
      <c r="A932" t="s">
        <v>12734</v>
      </c>
      <c r="B932" t="s">
        <v>12738</v>
      </c>
      <c r="C932" t="s">
        <v>21</v>
      </c>
      <c r="D932" s="27" t="s">
        <v>10194</v>
      </c>
      <c r="E932" t="s">
        <v>192</v>
      </c>
      <c r="F932" s="421">
        <v>1</v>
      </c>
      <c r="G932" t="s">
        <v>193</v>
      </c>
      <c r="H932" t="s">
        <v>194</v>
      </c>
      <c r="I932" t="s">
        <v>11614</v>
      </c>
      <c r="J932" t="s">
        <v>9302</v>
      </c>
      <c r="K932" t="s">
        <v>12739</v>
      </c>
      <c r="L932" t="s">
        <v>6324</v>
      </c>
      <c r="M932" t="s">
        <v>12244</v>
      </c>
      <c r="N932" t="s">
        <v>9749</v>
      </c>
      <c r="O932" t="s">
        <v>9574</v>
      </c>
      <c r="P932" t="s">
        <v>12740</v>
      </c>
      <c r="Q932" t="s">
        <v>12741</v>
      </c>
      <c r="S932" t="s">
        <v>9309</v>
      </c>
      <c r="U932" s="27" t="s">
        <v>293</v>
      </c>
      <c r="V932" t="s">
        <v>193</v>
      </c>
      <c r="W932" t="s">
        <v>9310</v>
      </c>
      <c r="Z932" t="s">
        <v>9311</v>
      </c>
      <c r="AF932" t="s">
        <v>4714</v>
      </c>
      <c r="AG932" t="s">
        <v>12738</v>
      </c>
      <c r="AI932" t="s">
        <v>6955</v>
      </c>
      <c r="AJ932" s="424" t="str">
        <f t="shared" si="42"/>
        <v>214202</v>
      </c>
      <c r="AK932" s="28">
        <v>1</v>
      </c>
      <c r="AL932" s="28">
        <f t="shared" si="44"/>
        <v>1</v>
      </c>
      <c r="AM932" s="28" t="str">
        <f t="shared" si="43"/>
        <v>pracuj.pl</v>
      </c>
    </row>
    <row r="933" spans="1:39" x14ac:dyDescent="0.25">
      <c r="A933" t="s">
        <v>12734</v>
      </c>
      <c r="B933" t="s">
        <v>12742</v>
      </c>
      <c r="C933" t="s">
        <v>2926</v>
      </c>
      <c r="D933" s="27" t="s">
        <v>10194</v>
      </c>
      <c r="E933" t="s">
        <v>192</v>
      </c>
      <c r="F933" s="421">
        <v>1</v>
      </c>
      <c r="G933" t="s">
        <v>193</v>
      </c>
      <c r="H933" t="s">
        <v>194</v>
      </c>
      <c r="I933" t="s">
        <v>11614</v>
      </c>
      <c r="J933" t="s">
        <v>9302</v>
      </c>
      <c r="K933" t="s">
        <v>12743</v>
      </c>
      <c r="L933" t="s">
        <v>6245</v>
      </c>
      <c r="M933" t="s">
        <v>12244</v>
      </c>
      <c r="N933" t="s">
        <v>9749</v>
      </c>
      <c r="O933" t="s">
        <v>9574</v>
      </c>
      <c r="P933" t="s">
        <v>12744</v>
      </c>
      <c r="Q933" t="s">
        <v>12745</v>
      </c>
      <c r="S933" t="s">
        <v>9309</v>
      </c>
      <c r="U933" s="27" t="s">
        <v>6411</v>
      </c>
      <c r="V933" t="s">
        <v>193</v>
      </c>
      <c r="W933" t="s">
        <v>9310</v>
      </c>
      <c r="Z933" t="s">
        <v>9311</v>
      </c>
      <c r="AF933" t="s">
        <v>4714</v>
      </c>
      <c r="AG933" t="s">
        <v>12742</v>
      </c>
      <c r="AI933" t="s">
        <v>6955</v>
      </c>
      <c r="AJ933" s="424" t="str">
        <f t="shared" si="42"/>
        <v>215101</v>
      </c>
      <c r="AK933" s="28">
        <v>1</v>
      </c>
      <c r="AL933" s="28">
        <f t="shared" si="44"/>
        <v>1</v>
      </c>
      <c r="AM933" s="28" t="str">
        <f t="shared" si="43"/>
        <v>pracuj.pl</v>
      </c>
    </row>
    <row r="934" spans="1:39" x14ac:dyDescent="0.25">
      <c r="A934" t="s">
        <v>12734</v>
      </c>
      <c r="B934" t="s">
        <v>12746</v>
      </c>
      <c r="C934" t="s">
        <v>5445</v>
      </c>
      <c r="D934" s="27" t="s">
        <v>10194</v>
      </c>
      <c r="E934" t="s">
        <v>192</v>
      </c>
      <c r="F934" s="421">
        <v>1</v>
      </c>
      <c r="G934" t="s">
        <v>193</v>
      </c>
      <c r="H934" t="s">
        <v>194</v>
      </c>
      <c r="I934" t="s">
        <v>11614</v>
      </c>
      <c r="J934" t="s">
        <v>9302</v>
      </c>
      <c r="K934" t="s">
        <v>12747</v>
      </c>
      <c r="L934" t="s">
        <v>6324</v>
      </c>
      <c r="M934" t="s">
        <v>12244</v>
      </c>
      <c r="N934" t="s">
        <v>9749</v>
      </c>
      <c r="O934" t="s">
        <v>9574</v>
      </c>
      <c r="P934" t="s">
        <v>12748</v>
      </c>
      <c r="Q934" t="s">
        <v>12749</v>
      </c>
      <c r="S934" t="s">
        <v>9309</v>
      </c>
      <c r="U934" s="27" t="s">
        <v>1571</v>
      </c>
      <c r="V934" t="s">
        <v>193</v>
      </c>
      <c r="W934" t="s">
        <v>9310</v>
      </c>
      <c r="Z934" t="s">
        <v>9311</v>
      </c>
      <c r="AF934" t="s">
        <v>4714</v>
      </c>
      <c r="AG934" t="s">
        <v>12746</v>
      </c>
      <c r="AI934" t="s">
        <v>6955</v>
      </c>
      <c r="AJ934" s="424" t="str">
        <f t="shared" si="42"/>
        <v>214303</v>
      </c>
      <c r="AK934" s="28">
        <v>1</v>
      </c>
      <c r="AL934" s="28">
        <f t="shared" si="44"/>
        <v>1</v>
      </c>
      <c r="AM934" s="28" t="str">
        <f t="shared" si="43"/>
        <v>pracuj.pl</v>
      </c>
    </row>
    <row r="935" spans="1:39" x14ac:dyDescent="0.25">
      <c r="A935" t="s">
        <v>453</v>
      </c>
      <c r="B935" t="s">
        <v>2512</v>
      </c>
      <c r="C935" t="s">
        <v>113</v>
      </c>
      <c r="D935" s="27" t="s">
        <v>10194</v>
      </c>
      <c r="E935" t="s">
        <v>217</v>
      </c>
      <c r="F935" s="421">
        <v>1</v>
      </c>
      <c r="G935" t="s">
        <v>193</v>
      </c>
      <c r="H935" t="s">
        <v>194</v>
      </c>
      <c r="I935" t="s">
        <v>12306</v>
      </c>
      <c r="J935" t="s">
        <v>210</v>
      </c>
      <c r="K935" t="s">
        <v>12750</v>
      </c>
      <c r="L935" t="s">
        <v>6249</v>
      </c>
      <c r="M935" t="s">
        <v>12353</v>
      </c>
      <c r="N935" t="s">
        <v>11371</v>
      </c>
      <c r="O935" t="s">
        <v>10045</v>
      </c>
      <c r="P935" t="s">
        <v>12751</v>
      </c>
      <c r="Q935" t="s">
        <v>12752</v>
      </c>
      <c r="S935" t="s">
        <v>9309</v>
      </c>
      <c r="T935" s="28" t="s">
        <v>9334</v>
      </c>
      <c r="U935" s="27" t="s">
        <v>465</v>
      </c>
      <c r="V935" t="s">
        <v>194</v>
      </c>
      <c r="W935" t="s">
        <v>9300</v>
      </c>
      <c r="Z935" t="s">
        <v>9311</v>
      </c>
      <c r="AF935" t="s">
        <v>4714</v>
      </c>
      <c r="AG935" t="s">
        <v>9433</v>
      </c>
      <c r="AI935" t="s">
        <v>6955</v>
      </c>
      <c r="AJ935" s="424" t="str">
        <f t="shared" si="42"/>
        <v>243302</v>
      </c>
      <c r="AK935" s="28">
        <v>1</v>
      </c>
      <c r="AL935" s="28">
        <f t="shared" si="44"/>
        <v>1</v>
      </c>
      <c r="AM935" s="28" t="str">
        <f t="shared" si="43"/>
        <v>agora</v>
      </c>
    </row>
    <row r="936" spans="1:39" x14ac:dyDescent="0.25">
      <c r="A936" t="s">
        <v>12753</v>
      </c>
      <c r="B936" t="s">
        <v>12754</v>
      </c>
      <c r="C936" t="s">
        <v>778</v>
      </c>
      <c r="D936" s="27" t="s">
        <v>10194</v>
      </c>
      <c r="E936" t="s">
        <v>192</v>
      </c>
      <c r="F936" s="421">
        <v>1</v>
      </c>
      <c r="G936" t="s">
        <v>193</v>
      </c>
      <c r="H936" t="s">
        <v>194</v>
      </c>
      <c r="I936" t="s">
        <v>9369</v>
      </c>
      <c r="J936" t="s">
        <v>223</v>
      </c>
      <c r="K936" t="s">
        <v>12755</v>
      </c>
      <c r="L936" t="s">
        <v>6251</v>
      </c>
      <c r="M936" t="s">
        <v>12244</v>
      </c>
      <c r="N936" t="s">
        <v>9749</v>
      </c>
      <c r="O936" t="s">
        <v>9574</v>
      </c>
      <c r="P936" t="s">
        <v>12756</v>
      </c>
      <c r="Q936" t="s">
        <v>12757</v>
      </c>
      <c r="S936" t="s">
        <v>9309</v>
      </c>
      <c r="T936" s="28" t="s">
        <v>11163</v>
      </c>
      <c r="U936" s="27" t="s">
        <v>779</v>
      </c>
      <c r="V936" t="s">
        <v>194</v>
      </c>
      <c r="W936" t="s">
        <v>9300</v>
      </c>
      <c r="Z936" t="s">
        <v>9311</v>
      </c>
      <c r="AF936" t="s">
        <v>4714</v>
      </c>
      <c r="AG936" t="s">
        <v>12754</v>
      </c>
      <c r="AI936" t="s">
        <v>6955</v>
      </c>
      <c r="AJ936" s="424" t="str">
        <f t="shared" si="42"/>
        <v>524902</v>
      </c>
      <c r="AK936" s="28">
        <v>1</v>
      </c>
      <c r="AL936" s="28">
        <f t="shared" si="44"/>
        <v>1</v>
      </c>
      <c r="AM936" s="28" t="str">
        <f t="shared" si="43"/>
        <v>pracuj.pl</v>
      </c>
    </row>
    <row r="937" spans="1:39" x14ac:dyDescent="0.25">
      <c r="A937" t="s">
        <v>9522</v>
      </c>
      <c r="B937" t="s">
        <v>9618</v>
      </c>
      <c r="C937" t="s">
        <v>2861</v>
      </c>
      <c r="D937" s="27" t="s">
        <v>10194</v>
      </c>
      <c r="E937" t="s">
        <v>217</v>
      </c>
      <c r="F937" s="421">
        <v>1</v>
      </c>
      <c r="G937" t="s">
        <v>193</v>
      </c>
      <c r="H937" t="s">
        <v>194</v>
      </c>
      <c r="I937" t="s">
        <v>9430</v>
      </c>
      <c r="J937" t="s">
        <v>210</v>
      </c>
      <c r="K937" t="s">
        <v>10793</v>
      </c>
      <c r="L937" t="s">
        <v>6261</v>
      </c>
      <c r="M937" t="s">
        <v>12353</v>
      </c>
      <c r="N937" t="s">
        <v>9493</v>
      </c>
      <c r="O937" t="s">
        <v>9305</v>
      </c>
      <c r="P937" t="s">
        <v>12430</v>
      </c>
      <c r="Q937" t="s">
        <v>12431</v>
      </c>
      <c r="S937" t="s">
        <v>9309</v>
      </c>
      <c r="T937" s="28" t="s">
        <v>9334</v>
      </c>
      <c r="U937" s="27" t="s">
        <v>3629</v>
      </c>
      <c r="V937" t="s">
        <v>194</v>
      </c>
      <c r="W937" t="s">
        <v>9300</v>
      </c>
      <c r="Z937" t="s">
        <v>9311</v>
      </c>
      <c r="AF937" t="s">
        <v>4714</v>
      </c>
      <c r="AG937" t="s">
        <v>9433</v>
      </c>
      <c r="AI937" t="s">
        <v>6955</v>
      </c>
      <c r="AJ937" s="424" t="str">
        <f t="shared" si="42"/>
        <v>251903</v>
      </c>
      <c r="AK937" s="28">
        <v>1</v>
      </c>
      <c r="AL937" s="28">
        <f t="shared" si="44"/>
        <v>1</v>
      </c>
      <c r="AM937" s="28" t="str">
        <f t="shared" si="43"/>
        <v>agora</v>
      </c>
    </row>
    <row r="938" spans="1:39" x14ac:dyDescent="0.25">
      <c r="A938" t="s">
        <v>10043</v>
      </c>
      <c r="B938" t="s">
        <v>1606</v>
      </c>
      <c r="C938" t="s">
        <v>22</v>
      </c>
      <c r="D938" s="27" t="s">
        <v>10194</v>
      </c>
      <c r="E938" t="s">
        <v>217</v>
      </c>
      <c r="F938" s="421">
        <v>1</v>
      </c>
      <c r="G938" t="s">
        <v>193</v>
      </c>
      <c r="H938" t="s">
        <v>194</v>
      </c>
      <c r="I938" t="s">
        <v>9343</v>
      </c>
      <c r="J938" t="s">
        <v>305</v>
      </c>
      <c r="K938" t="s">
        <v>10044</v>
      </c>
      <c r="L938" t="s">
        <v>6288</v>
      </c>
      <c r="M938" t="s">
        <v>12353</v>
      </c>
      <c r="N938" t="s">
        <v>9966</v>
      </c>
      <c r="O938" t="s">
        <v>9383</v>
      </c>
      <c r="P938" t="s">
        <v>12763</v>
      </c>
      <c r="Q938" t="s">
        <v>12764</v>
      </c>
      <c r="S938" t="s">
        <v>9309</v>
      </c>
      <c r="T938" s="28" t="s">
        <v>9753</v>
      </c>
      <c r="U938" s="27" t="s">
        <v>1608</v>
      </c>
      <c r="V938" t="s">
        <v>194</v>
      </c>
      <c r="W938" t="s">
        <v>9300</v>
      </c>
      <c r="Z938" t="s">
        <v>9311</v>
      </c>
      <c r="AF938" t="s">
        <v>4714</v>
      </c>
      <c r="AG938" t="s">
        <v>9433</v>
      </c>
      <c r="AI938" t="s">
        <v>6955</v>
      </c>
      <c r="AJ938" s="424" t="str">
        <f t="shared" si="42"/>
        <v>228101</v>
      </c>
      <c r="AK938" s="28">
        <v>1</v>
      </c>
      <c r="AL938" s="28">
        <f t="shared" si="44"/>
        <v>1</v>
      </c>
      <c r="AM938" s="28" t="str">
        <f t="shared" si="43"/>
        <v>agora</v>
      </c>
    </row>
    <row r="939" spans="1:39" x14ac:dyDescent="0.25">
      <c r="A939" t="s">
        <v>10043</v>
      </c>
      <c r="B939" t="s">
        <v>11239</v>
      </c>
      <c r="C939" t="s">
        <v>944</v>
      </c>
      <c r="D939" s="27" t="s">
        <v>10194</v>
      </c>
      <c r="E939" t="s">
        <v>217</v>
      </c>
      <c r="F939" s="421">
        <v>1</v>
      </c>
      <c r="G939" t="s">
        <v>193</v>
      </c>
      <c r="H939" t="s">
        <v>194</v>
      </c>
      <c r="I939" t="s">
        <v>9557</v>
      </c>
      <c r="J939" t="s">
        <v>276</v>
      </c>
      <c r="K939" t="s">
        <v>11240</v>
      </c>
      <c r="L939" t="s">
        <v>6288</v>
      </c>
      <c r="M939" t="s">
        <v>12353</v>
      </c>
      <c r="N939" t="s">
        <v>9493</v>
      </c>
      <c r="O939" t="s">
        <v>9299</v>
      </c>
      <c r="P939" t="s">
        <v>12765</v>
      </c>
      <c r="Q939" t="s">
        <v>12766</v>
      </c>
      <c r="S939" t="s">
        <v>9309</v>
      </c>
      <c r="T939" s="28" t="s">
        <v>9786</v>
      </c>
      <c r="U939" s="27" t="s">
        <v>945</v>
      </c>
      <c r="V939" t="s">
        <v>194</v>
      </c>
      <c r="W939" t="s">
        <v>9300</v>
      </c>
      <c r="Z939" t="s">
        <v>9311</v>
      </c>
      <c r="AF939" t="s">
        <v>4714</v>
      </c>
      <c r="AG939" t="s">
        <v>9433</v>
      </c>
      <c r="AI939" t="s">
        <v>6955</v>
      </c>
      <c r="AJ939" s="424" t="str">
        <f t="shared" si="42"/>
        <v>321301</v>
      </c>
      <c r="AK939" s="28">
        <v>1</v>
      </c>
      <c r="AL939" s="28">
        <f t="shared" si="44"/>
        <v>1</v>
      </c>
      <c r="AM939" s="28" t="str">
        <f t="shared" si="43"/>
        <v>agora</v>
      </c>
    </row>
    <row r="940" spans="1:39" x14ac:dyDescent="0.25">
      <c r="A940" t="s">
        <v>9522</v>
      </c>
      <c r="B940" t="s">
        <v>9618</v>
      </c>
      <c r="C940" t="s">
        <v>2861</v>
      </c>
      <c r="D940" s="27" t="s">
        <v>10194</v>
      </c>
      <c r="E940" t="s">
        <v>217</v>
      </c>
      <c r="F940" s="421">
        <v>1</v>
      </c>
      <c r="G940" t="s">
        <v>193</v>
      </c>
      <c r="H940" t="s">
        <v>194</v>
      </c>
      <c r="I940" t="s">
        <v>9430</v>
      </c>
      <c r="J940" t="s">
        <v>210</v>
      </c>
      <c r="K940" t="s">
        <v>10796</v>
      </c>
      <c r="L940" t="s">
        <v>6261</v>
      </c>
      <c r="M940" t="s">
        <v>12353</v>
      </c>
      <c r="N940" t="s">
        <v>9493</v>
      </c>
      <c r="O940" t="s">
        <v>10767</v>
      </c>
      <c r="P940" t="s">
        <v>12432</v>
      </c>
      <c r="Q940" t="s">
        <v>12433</v>
      </c>
      <c r="S940" t="s">
        <v>9309</v>
      </c>
      <c r="T940" s="28" t="s">
        <v>9334</v>
      </c>
      <c r="U940" s="27" t="s">
        <v>3629</v>
      </c>
      <c r="V940" t="s">
        <v>194</v>
      </c>
      <c r="W940" t="s">
        <v>9300</v>
      </c>
      <c r="Z940" t="s">
        <v>9311</v>
      </c>
      <c r="AF940" t="s">
        <v>4714</v>
      </c>
      <c r="AG940" t="s">
        <v>9433</v>
      </c>
      <c r="AI940" t="s">
        <v>6955</v>
      </c>
      <c r="AJ940" s="424" t="str">
        <f t="shared" si="42"/>
        <v>251903</v>
      </c>
      <c r="AK940" s="28">
        <v>1</v>
      </c>
      <c r="AL940" s="28">
        <f t="shared" si="44"/>
        <v>1</v>
      </c>
      <c r="AM940" s="28" t="str">
        <f t="shared" si="43"/>
        <v>agora</v>
      </c>
    </row>
    <row r="941" spans="1:39" x14ac:dyDescent="0.25">
      <c r="A941" t="s">
        <v>9522</v>
      </c>
      <c r="B941" t="s">
        <v>9716</v>
      </c>
      <c r="C941" t="s">
        <v>2861</v>
      </c>
      <c r="D941" s="27" t="s">
        <v>10194</v>
      </c>
      <c r="E941" t="s">
        <v>217</v>
      </c>
      <c r="F941" s="421">
        <v>1</v>
      </c>
      <c r="G941" t="s">
        <v>193</v>
      </c>
      <c r="H941" t="s">
        <v>194</v>
      </c>
      <c r="I941" t="s">
        <v>9430</v>
      </c>
      <c r="J941" t="s">
        <v>9717</v>
      </c>
      <c r="K941" t="s">
        <v>9718</v>
      </c>
      <c r="L941" t="s">
        <v>6261</v>
      </c>
      <c r="M941" t="s">
        <v>12353</v>
      </c>
      <c r="N941" t="s">
        <v>9719</v>
      </c>
      <c r="O941" t="s">
        <v>9574</v>
      </c>
      <c r="P941" t="s">
        <v>12458</v>
      </c>
      <c r="Q941" t="s">
        <v>12459</v>
      </c>
      <c r="S941" t="s">
        <v>9309</v>
      </c>
      <c r="U941" s="27" t="s">
        <v>3629</v>
      </c>
      <c r="V941" t="s">
        <v>193</v>
      </c>
      <c r="W941" t="s">
        <v>9310</v>
      </c>
      <c r="Z941" t="s">
        <v>9311</v>
      </c>
      <c r="AF941" t="s">
        <v>4714</v>
      </c>
      <c r="AG941" t="s">
        <v>9433</v>
      </c>
      <c r="AI941" t="s">
        <v>6955</v>
      </c>
      <c r="AJ941" s="424" t="str">
        <f t="shared" si="42"/>
        <v>251903</v>
      </c>
      <c r="AK941" s="28">
        <v>1</v>
      </c>
      <c r="AL941" s="28">
        <f t="shared" si="44"/>
        <v>1</v>
      </c>
      <c r="AM941" s="28" t="str">
        <f t="shared" si="43"/>
        <v>agora</v>
      </c>
    </row>
    <row r="942" spans="1:39" x14ac:dyDescent="0.25">
      <c r="A942" t="s">
        <v>12774</v>
      </c>
      <c r="B942" t="s">
        <v>12775</v>
      </c>
      <c r="C942" t="s">
        <v>7617</v>
      </c>
      <c r="D942" s="27" t="s">
        <v>10194</v>
      </c>
      <c r="E942" t="s">
        <v>192</v>
      </c>
      <c r="F942" s="421">
        <v>1</v>
      </c>
      <c r="G942" t="s">
        <v>193</v>
      </c>
      <c r="H942" t="s">
        <v>194</v>
      </c>
      <c r="I942" t="s">
        <v>9989</v>
      </c>
      <c r="J942" t="s">
        <v>210</v>
      </c>
      <c r="K942" t="s">
        <v>12776</v>
      </c>
      <c r="L942" t="s">
        <v>6254</v>
      </c>
      <c r="M942" t="s">
        <v>12244</v>
      </c>
      <c r="N942" t="s">
        <v>9749</v>
      </c>
      <c r="O942" t="s">
        <v>9574</v>
      </c>
      <c r="P942" t="s">
        <v>12777</v>
      </c>
      <c r="Q942" t="s">
        <v>12778</v>
      </c>
      <c r="S942" t="s">
        <v>9309</v>
      </c>
      <c r="T942" s="28" t="s">
        <v>9334</v>
      </c>
      <c r="U942" s="27" t="s">
        <v>7620</v>
      </c>
      <c r="V942" t="s">
        <v>194</v>
      </c>
      <c r="W942" t="s">
        <v>9300</v>
      </c>
      <c r="Z942" t="s">
        <v>9311</v>
      </c>
      <c r="AF942" t="s">
        <v>4714</v>
      </c>
      <c r="AG942" t="s">
        <v>12775</v>
      </c>
      <c r="AI942" t="s">
        <v>6955</v>
      </c>
      <c r="AJ942" s="424" t="str">
        <f t="shared" si="42"/>
        <v>516903</v>
      </c>
      <c r="AK942" s="28">
        <v>1</v>
      </c>
      <c r="AL942" s="28">
        <f t="shared" si="44"/>
        <v>1</v>
      </c>
      <c r="AM942" s="28" t="str">
        <f t="shared" si="43"/>
        <v>pracuj.pl</v>
      </c>
    </row>
    <row r="943" spans="1:39" x14ac:dyDescent="0.25">
      <c r="A943" t="s">
        <v>12774</v>
      </c>
      <c r="B943" t="s">
        <v>12775</v>
      </c>
      <c r="C943" t="s">
        <v>7617</v>
      </c>
      <c r="D943" s="27" t="s">
        <v>10194</v>
      </c>
      <c r="E943" t="s">
        <v>192</v>
      </c>
      <c r="F943" s="421">
        <v>1</v>
      </c>
      <c r="G943" t="s">
        <v>193</v>
      </c>
      <c r="H943" t="s">
        <v>194</v>
      </c>
      <c r="I943" t="s">
        <v>9989</v>
      </c>
      <c r="J943" t="s">
        <v>4751</v>
      </c>
      <c r="K943" t="s">
        <v>12779</v>
      </c>
      <c r="L943" t="s">
        <v>6254</v>
      </c>
      <c r="M943" t="s">
        <v>12244</v>
      </c>
      <c r="N943" t="s">
        <v>9749</v>
      </c>
      <c r="O943" t="s">
        <v>9574</v>
      </c>
      <c r="P943" t="s">
        <v>12780</v>
      </c>
      <c r="Q943" t="s">
        <v>12781</v>
      </c>
      <c r="S943" t="s">
        <v>9309</v>
      </c>
      <c r="T943" s="28" t="s">
        <v>9472</v>
      </c>
      <c r="U943" s="27" t="s">
        <v>7620</v>
      </c>
      <c r="V943" t="s">
        <v>194</v>
      </c>
      <c r="W943" t="s">
        <v>9300</v>
      </c>
      <c r="Z943" t="s">
        <v>9311</v>
      </c>
      <c r="AF943" t="s">
        <v>4714</v>
      </c>
      <c r="AG943" t="s">
        <v>12775</v>
      </c>
      <c r="AI943" t="s">
        <v>6955</v>
      </c>
      <c r="AJ943" s="424" t="str">
        <f t="shared" si="42"/>
        <v>516903</v>
      </c>
      <c r="AK943" s="28">
        <v>1</v>
      </c>
      <c r="AL943" s="28">
        <f t="shared" si="44"/>
        <v>1</v>
      </c>
      <c r="AM943" s="28" t="str">
        <f t="shared" si="43"/>
        <v>pracuj.pl</v>
      </c>
    </row>
    <row r="944" spans="1:39" x14ac:dyDescent="0.25">
      <c r="A944" t="s">
        <v>12782</v>
      </c>
      <c r="B944" t="s">
        <v>12783</v>
      </c>
      <c r="C944" t="s">
        <v>17</v>
      </c>
      <c r="D944" s="27" t="s">
        <v>10194</v>
      </c>
      <c r="E944" t="s">
        <v>192</v>
      </c>
      <c r="F944" s="421">
        <v>1</v>
      </c>
      <c r="G944" t="s">
        <v>193</v>
      </c>
      <c r="H944" t="s">
        <v>194</v>
      </c>
      <c r="I944" t="s">
        <v>9369</v>
      </c>
      <c r="J944" t="s">
        <v>210</v>
      </c>
      <c r="K944" t="s">
        <v>12784</v>
      </c>
      <c r="L944" t="s">
        <v>6245</v>
      </c>
      <c r="M944" t="s">
        <v>12244</v>
      </c>
      <c r="N944" t="s">
        <v>9749</v>
      </c>
      <c r="O944" t="s">
        <v>9574</v>
      </c>
      <c r="P944" t="s">
        <v>12785</v>
      </c>
      <c r="Q944" t="s">
        <v>12786</v>
      </c>
      <c r="S944" t="s">
        <v>9309</v>
      </c>
      <c r="T944" s="28" t="s">
        <v>9334</v>
      </c>
      <c r="U944" s="27" t="s">
        <v>624</v>
      </c>
      <c r="V944" t="s">
        <v>194</v>
      </c>
      <c r="W944" t="s">
        <v>9300</v>
      </c>
      <c r="Z944" t="s">
        <v>9311</v>
      </c>
      <c r="AF944" t="s">
        <v>4714</v>
      </c>
      <c r="AG944" t="s">
        <v>12783</v>
      </c>
      <c r="AI944" t="s">
        <v>6955</v>
      </c>
      <c r="AJ944" s="424" t="str">
        <f t="shared" si="42"/>
        <v>332203</v>
      </c>
      <c r="AK944" s="28">
        <v>1</v>
      </c>
      <c r="AL944" s="28">
        <f t="shared" si="44"/>
        <v>1</v>
      </c>
      <c r="AM944" s="28" t="str">
        <f t="shared" si="43"/>
        <v>pracuj.pl</v>
      </c>
    </row>
    <row r="945" spans="1:39" x14ac:dyDescent="0.25">
      <c r="A945" t="s">
        <v>12782</v>
      </c>
      <c r="B945" t="s">
        <v>12783</v>
      </c>
      <c r="C945" t="s">
        <v>17</v>
      </c>
      <c r="D945" s="27" t="s">
        <v>10194</v>
      </c>
      <c r="E945" t="s">
        <v>192</v>
      </c>
      <c r="F945" s="421">
        <v>1</v>
      </c>
      <c r="G945" t="s">
        <v>193</v>
      </c>
      <c r="H945" t="s">
        <v>194</v>
      </c>
      <c r="I945" t="s">
        <v>9369</v>
      </c>
      <c r="J945" t="s">
        <v>385</v>
      </c>
      <c r="K945" t="s">
        <v>12787</v>
      </c>
      <c r="L945" t="s">
        <v>6245</v>
      </c>
      <c r="M945" t="s">
        <v>12244</v>
      </c>
      <c r="N945" t="s">
        <v>9749</v>
      </c>
      <c r="O945" t="s">
        <v>9574</v>
      </c>
      <c r="P945" t="s">
        <v>12788</v>
      </c>
      <c r="Q945" t="s">
        <v>12789</v>
      </c>
      <c r="S945" t="s">
        <v>9309</v>
      </c>
      <c r="T945" s="28" t="s">
        <v>9410</v>
      </c>
      <c r="U945" s="27" t="s">
        <v>624</v>
      </c>
      <c r="V945" t="s">
        <v>194</v>
      </c>
      <c r="W945" t="s">
        <v>9300</v>
      </c>
      <c r="Z945" t="s">
        <v>9311</v>
      </c>
      <c r="AF945" t="s">
        <v>4714</v>
      </c>
      <c r="AG945" t="s">
        <v>12783</v>
      </c>
      <c r="AI945" t="s">
        <v>6955</v>
      </c>
      <c r="AJ945" s="424" t="str">
        <f t="shared" si="42"/>
        <v>332203</v>
      </c>
      <c r="AK945" s="28">
        <v>1</v>
      </c>
      <c r="AL945" s="28">
        <f t="shared" si="44"/>
        <v>1</v>
      </c>
      <c r="AM945" s="28" t="str">
        <f t="shared" si="43"/>
        <v>pracuj.pl</v>
      </c>
    </row>
    <row r="946" spans="1:39" x14ac:dyDescent="0.25">
      <c r="A946" t="s">
        <v>12782</v>
      </c>
      <c r="B946" t="s">
        <v>12783</v>
      </c>
      <c r="C946" t="s">
        <v>17</v>
      </c>
      <c r="D946" s="27" t="s">
        <v>10194</v>
      </c>
      <c r="E946" t="s">
        <v>192</v>
      </c>
      <c r="F946" s="421">
        <v>1</v>
      </c>
      <c r="G946" t="s">
        <v>193</v>
      </c>
      <c r="H946" t="s">
        <v>194</v>
      </c>
      <c r="I946" t="s">
        <v>9369</v>
      </c>
      <c r="J946" t="s">
        <v>4751</v>
      </c>
      <c r="K946" t="s">
        <v>12790</v>
      </c>
      <c r="L946" t="s">
        <v>6245</v>
      </c>
      <c r="M946" t="s">
        <v>12244</v>
      </c>
      <c r="N946" t="s">
        <v>9749</v>
      </c>
      <c r="O946" t="s">
        <v>9574</v>
      </c>
      <c r="P946" t="s">
        <v>12791</v>
      </c>
      <c r="Q946" t="s">
        <v>12792</v>
      </c>
      <c r="S946" t="s">
        <v>9309</v>
      </c>
      <c r="T946" s="28" t="s">
        <v>9472</v>
      </c>
      <c r="U946" s="27" t="s">
        <v>624</v>
      </c>
      <c r="V946" t="s">
        <v>194</v>
      </c>
      <c r="W946" t="s">
        <v>9300</v>
      </c>
      <c r="Z946" t="s">
        <v>9311</v>
      </c>
      <c r="AF946" t="s">
        <v>4714</v>
      </c>
      <c r="AG946" t="s">
        <v>12783</v>
      </c>
      <c r="AI946" t="s">
        <v>6955</v>
      </c>
      <c r="AJ946" s="424" t="str">
        <f t="shared" si="42"/>
        <v>332203</v>
      </c>
      <c r="AK946" s="28">
        <v>1</v>
      </c>
      <c r="AL946" s="28">
        <f t="shared" si="44"/>
        <v>1</v>
      </c>
      <c r="AM946" s="28" t="str">
        <f t="shared" si="43"/>
        <v>pracuj.pl</v>
      </c>
    </row>
    <row r="947" spans="1:39" x14ac:dyDescent="0.25">
      <c r="A947" t="s">
        <v>9136</v>
      </c>
      <c r="B947" t="s">
        <v>12793</v>
      </c>
      <c r="C947" t="s">
        <v>129</v>
      </c>
      <c r="D947" s="27" t="s">
        <v>10194</v>
      </c>
      <c r="E947" t="s">
        <v>192</v>
      </c>
      <c r="F947" s="421">
        <v>1</v>
      </c>
      <c r="G947" t="s">
        <v>193</v>
      </c>
      <c r="H947" t="s">
        <v>194</v>
      </c>
      <c r="I947" t="s">
        <v>11614</v>
      </c>
      <c r="J947" t="s">
        <v>210</v>
      </c>
      <c r="K947" t="s">
        <v>12794</v>
      </c>
      <c r="L947" t="s">
        <v>6286</v>
      </c>
      <c r="M947" t="s">
        <v>12244</v>
      </c>
      <c r="N947" t="s">
        <v>9749</v>
      </c>
      <c r="O947" t="s">
        <v>9574</v>
      </c>
      <c r="P947" t="s">
        <v>12795</v>
      </c>
      <c r="Q947" t="s">
        <v>12796</v>
      </c>
      <c r="S947" t="s">
        <v>9309</v>
      </c>
      <c r="T947" s="28" t="s">
        <v>9334</v>
      </c>
      <c r="U947" s="27" t="s">
        <v>203</v>
      </c>
      <c r="V947" t="s">
        <v>194</v>
      </c>
      <c r="W947" t="s">
        <v>9300</v>
      </c>
      <c r="Z947" t="s">
        <v>9311</v>
      </c>
      <c r="AF947" t="s">
        <v>4714</v>
      </c>
      <c r="AG947" t="s">
        <v>12793</v>
      </c>
      <c r="AI947" t="s">
        <v>6955</v>
      </c>
      <c r="AJ947" s="424" t="str">
        <f t="shared" si="42"/>
        <v>121904</v>
      </c>
      <c r="AK947" s="28">
        <v>1</v>
      </c>
      <c r="AL947" s="28">
        <f t="shared" si="44"/>
        <v>1</v>
      </c>
      <c r="AM947" s="28" t="str">
        <f t="shared" si="43"/>
        <v>pracuj.pl</v>
      </c>
    </row>
    <row r="948" spans="1:39" x14ac:dyDescent="0.25">
      <c r="A948" t="s">
        <v>12797</v>
      </c>
      <c r="B948" t="s">
        <v>12798</v>
      </c>
      <c r="C948" t="s">
        <v>80</v>
      </c>
      <c r="D948" s="27" t="s">
        <v>10194</v>
      </c>
      <c r="E948" t="s">
        <v>192</v>
      </c>
      <c r="F948" s="421">
        <v>1</v>
      </c>
      <c r="G948" t="s">
        <v>193</v>
      </c>
      <c r="H948" t="s">
        <v>194</v>
      </c>
      <c r="I948" t="s">
        <v>11614</v>
      </c>
      <c r="J948" t="s">
        <v>210</v>
      </c>
      <c r="K948" t="s">
        <v>12799</v>
      </c>
      <c r="L948" t="s">
        <v>6245</v>
      </c>
      <c r="M948" t="s">
        <v>12244</v>
      </c>
      <c r="N948" t="s">
        <v>9749</v>
      </c>
      <c r="O948" t="s">
        <v>9574</v>
      </c>
      <c r="P948" t="s">
        <v>12800</v>
      </c>
      <c r="Q948" t="s">
        <v>12801</v>
      </c>
      <c r="S948" t="s">
        <v>9309</v>
      </c>
      <c r="U948" s="27" t="s">
        <v>474</v>
      </c>
      <c r="V948" t="s">
        <v>193</v>
      </c>
      <c r="W948" t="s">
        <v>9310</v>
      </c>
      <c r="Z948" t="s">
        <v>9311</v>
      </c>
      <c r="AF948" t="s">
        <v>4714</v>
      </c>
      <c r="AG948" t="s">
        <v>12798</v>
      </c>
      <c r="AI948" t="s">
        <v>6955</v>
      </c>
      <c r="AJ948" s="424" t="str">
        <f t="shared" si="42"/>
        <v>243304</v>
      </c>
      <c r="AK948" s="28">
        <v>1</v>
      </c>
      <c r="AL948" s="28">
        <f t="shared" si="44"/>
        <v>1</v>
      </c>
      <c r="AM948" s="28" t="str">
        <f t="shared" si="43"/>
        <v>pracuj.pl</v>
      </c>
    </row>
    <row r="949" spans="1:39" x14ac:dyDescent="0.25">
      <c r="A949" t="s">
        <v>12802</v>
      </c>
      <c r="B949" t="s">
        <v>12803</v>
      </c>
      <c r="C949" t="s">
        <v>136</v>
      </c>
      <c r="D949" s="27" t="s">
        <v>10194</v>
      </c>
      <c r="E949" t="s">
        <v>192</v>
      </c>
      <c r="F949" s="421">
        <v>1</v>
      </c>
      <c r="G949" t="s">
        <v>193</v>
      </c>
      <c r="H949" t="s">
        <v>194</v>
      </c>
      <c r="I949" t="s">
        <v>11614</v>
      </c>
      <c r="J949" t="s">
        <v>210</v>
      </c>
      <c r="K949" t="s">
        <v>12804</v>
      </c>
      <c r="L949" t="s">
        <v>6288</v>
      </c>
      <c r="M949" t="s">
        <v>12244</v>
      </c>
      <c r="N949" t="s">
        <v>9749</v>
      </c>
      <c r="O949" t="s">
        <v>9574</v>
      </c>
      <c r="P949" t="s">
        <v>12805</v>
      </c>
      <c r="Q949" t="s">
        <v>12806</v>
      </c>
      <c r="S949" t="s">
        <v>9309</v>
      </c>
      <c r="T949" s="28" t="s">
        <v>9334</v>
      </c>
      <c r="U949" s="27" t="s">
        <v>461</v>
      </c>
      <c r="V949" t="s">
        <v>194</v>
      </c>
      <c r="W949" t="s">
        <v>9300</v>
      </c>
      <c r="Z949" t="s">
        <v>9311</v>
      </c>
      <c r="AF949" t="s">
        <v>4714</v>
      </c>
      <c r="AG949" t="s">
        <v>12803</v>
      </c>
      <c r="AI949" t="s">
        <v>6955</v>
      </c>
      <c r="AJ949" s="424" t="str">
        <f t="shared" si="42"/>
        <v>243301</v>
      </c>
      <c r="AK949" s="28">
        <v>1</v>
      </c>
      <c r="AL949" s="28">
        <f t="shared" si="44"/>
        <v>1</v>
      </c>
      <c r="AM949" s="28" t="str">
        <f t="shared" si="43"/>
        <v>pracuj.pl</v>
      </c>
    </row>
    <row r="950" spans="1:39" x14ac:dyDescent="0.25">
      <c r="A950" t="s">
        <v>9522</v>
      </c>
      <c r="B950" t="s">
        <v>11852</v>
      </c>
      <c r="C950" t="s">
        <v>2861</v>
      </c>
      <c r="D950" s="27" t="s">
        <v>10194</v>
      </c>
      <c r="E950" t="s">
        <v>217</v>
      </c>
      <c r="F950" s="421">
        <v>1</v>
      </c>
      <c r="G950" t="s">
        <v>193</v>
      </c>
      <c r="H950" t="s">
        <v>194</v>
      </c>
      <c r="I950" t="s">
        <v>9430</v>
      </c>
      <c r="J950" t="s">
        <v>210</v>
      </c>
      <c r="K950" t="s">
        <v>11853</v>
      </c>
      <c r="L950" t="s">
        <v>6261</v>
      </c>
      <c r="M950" t="s">
        <v>12353</v>
      </c>
      <c r="N950" t="s">
        <v>9493</v>
      </c>
      <c r="O950" t="s">
        <v>9835</v>
      </c>
      <c r="P950" t="s">
        <v>12460</v>
      </c>
      <c r="Q950" t="s">
        <v>12461</v>
      </c>
      <c r="S950" t="s">
        <v>9309</v>
      </c>
      <c r="T950" s="28" t="s">
        <v>9334</v>
      </c>
      <c r="U950" s="27" t="s">
        <v>3629</v>
      </c>
      <c r="V950" t="s">
        <v>194</v>
      </c>
      <c r="W950" t="s">
        <v>9300</v>
      </c>
      <c r="Z950" t="s">
        <v>9311</v>
      </c>
      <c r="AF950" t="s">
        <v>4714</v>
      </c>
      <c r="AG950" t="s">
        <v>9433</v>
      </c>
      <c r="AI950" t="s">
        <v>6955</v>
      </c>
      <c r="AJ950" s="424" t="str">
        <f t="shared" si="42"/>
        <v>251903</v>
      </c>
      <c r="AK950" s="28">
        <v>1</v>
      </c>
      <c r="AL950" s="28">
        <f t="shared" si="44"/>
        <v>1</v>
      </c>
      <c r="AM950" s="28" t="str">
        <f t="shared" si="43"/>
        <v>agora</v>
      </c>
    </row>
    <row r="951" spans="1:39" x14ac:dyDescent="0.25">
      <c r="A951" t="s">
        <v>9522</v>
      </c>
      <c r="B951" t="s">
        <v>11856</v>
      </c>
      <c r="C951" t="s">
        <v>2861</v>
      </c>
      <c r="D951" s="27" t="s">
        <v>10194</v>
      </c>
      <c r="E951" t="s">
        <v>217</v>
      </c>
      <c r="F951" s="421">
        <v>1</v>
      </c>
      <c r="G951" t="s">
        <v>193</v>
      </c>
      <c r="H951" t="s">
        <v>194</v>
      </c>
      <c r="I951" t="s">
        <v>9430</v>
      </c>
      <c r="J951" t="s">
        <v>210</v>
      </c>
      <c r="K951" t="s">
        <v>11857</v>
      </c>
      <c r="L951" t="s">
        <v>6261</v>
      </c>
      <c r="M951" t="s">
        <v>12353</v>
      </c>
      <c r="N951" t="s">
        <v>11100</v>
      </c>
      <c r="O951" t="s">
        <v>9835</v>
      </c>
      <c r="P951" t="s">
        <v>12462</v>
      </c>
      <c r="Q951" t="s">
        <v>12463</v>
      </c>
      <c r="S951" t="s">
        <v>9309</v>
      </c>
      <c r="T951" s="28" t="s">
        <v>9334</v>
      </c>
      <c r="U951" s="27" t="s">
        <v>3629</v>
      </c>
      <c r="V951" t="s">
        <v>194</v>
      </c>
      <c r="W951" t="s">
        <v>9300</v>
      </c>
      <c r="Z951" t="s">
        <v>9311</v>
      </c>
      <c r="AF951" t="s">
        <v>4714</v>
      </c>
      <c r="AG951" t="s">
        <v>9433</v>
      </c>
      <c r="AI951" t="s">
        <v>6955</v>
      </c>
      <c r="AJ951" s="424" t="str">
        <f t="shared" si="42"/>
        <v>251903</v>
      </c>
      <c r="AK951" s="28">
        <v>1</v>
      </c>
      <c r="AL951" s="28">
        <f t="shared" si="44"/>
        <v>1</v>
      </c>
      <c r="AM951" s="28" t="str">
        <f t="shared" si="43"/>
        <v>agora</v>
      </c>
    </row>
    <row r="952" spans="1:39" x14ac:dyDescent="0.25">
      <c r="A952" t="s">
        <v>4591</v>
      </c>
      <c r="B952" t="s">
        <v>1465</v>
      </c>
      <c r="C952" t="s">
        <v>100</v>
      </c>
      <c r="D952" s="27" t="s">
        <v>10194</v>
      </c>
      <c r="E952" t="s">
        <v>192</v>
      </c>
      <c r="F952" s="421">
        <v>1</v>
      </c>
      <c r="G952" t="s">
        <v>193</v>
      </c>
      <c r="H952" t="s">
        <v>194</v>
      </c>
      <c r="I952" t="s">
        <v>12306</v>
      </c>
      <c r="J952" t="s">
        <v>4751</v>
      </c>
      <c r="K952" t="s">
        <v>12816</v>
      </c>
      <c r="L952" t="s">
        <v>6266</v>
      </c>
      <c r="M952" t="s">
        <v>12244</v>
      </c>
      <c r="N952" t="s">
        <v>9749</v>
      </c>
      <c r="O952" t="s">
        <v>9574</v>
      </c>
      <c r="P952" t="s">
        <v>12817</v>
      </c>
      <c r="Q952" t="s">
        <v>12818</v>
      </c>
      <c r="S952" t="s">
        <v>9309</v>
      </c>
      <c r="T952" s="28" t="s">
        <v>9472</v>
      </c>
      <c r="U952" s="27" t="s">
        <v>429</v>
      </c>
      <c r="V952" t="s">
        <v>194</v>
      </c>
      <c r="W952" t="s">
        <v>9300</v>
      </c>
      <c r="Z952" t="s">
        <v>9311</v>
      </c>
      <c r="AF952" t="s">
        <v>4714</v>
      </c>
      <c r="AG952" t="s">
        <v>1465</v>
      </c>
      <c r="AI952" t="s">
        <v>6955</v>
      </c>
      <c r="AJ952" s="424" t="str">
        <f t="shared" si="42"/>
        <v>242108</v>
      </c>
      <c r="AK952" s="28">
        <v>1</v>
      </c>
      <c r="AL952" s="28">
        <f t="shared" si="44"/>
        <v>1</v>
      </c>
      <c r="AM952" s="28" t="str">
        <f t="shared" si="43"/>
        <v>pracuj.pl</v>
      </c>
    </row>
    <row r="953" spans="1:39" x14ac:dyDescent="0.25">
      <c r="A953" t="s">
        <v>12819</v>
      </c>
      <c r="B953" t="s">
        <v>12820</v>
      </c>
      <c r="C953" t="s">
        <v>74</v>
      </c>
      <c r="D953" s="27" t="s">
        <v>10194</v>
      </c>
      <c r="E953" t="s">
        <v>192</v>
      </c>
      <c r="F953" s="421">
        <v>1</v>
      </c>
      <c r="G953" t="s">
        <v>193</v>
      </c>
      <c r="H953" t="s">
        <v>194</v>
      </c>
      <c r="I953" t="s">
        <v>9989</v>
      </c>
      <c r="J953" t="s">
        <v>9302</v>
      </c>
      <c r="K953" t="s">
        <v>12821</v>
      </c>
      <c r="L953" t="s">
        <v>6249</v>
      </c>
      <c r="M953" t="s">
        <v>12244</v>
      </c>
      <c r="N953" t="s">
        <v>9749</v>
      </c>
      <c r="O953" t="s">
        <v>9574</v>
      </c>
      <c r="P953" t="s">
        <v>12822</v>
      </c>
      <c r="Q953" t="s">
        <v>12823</v>
      </c>
      <c r="S953" t="s">
        <v>9309</v>
      </c>
      <c r="U953" s="27" t="s">
        <v>246</v>
      </c>
      <c r="V953" t="s">
        <v>193</v>
      </c>
      <c r="W953" t="s">
        <v>9310</v>
      </c>
      <c r="Z953" t="s">
        <v>9311</v>
      </c>
      <c r="AF953" t="s">
        <v>4714</v>
      </c>
      <c r="AG953" t="s">
        <v>12820</v>
      </c>
      <c r="AI953" t="s">
        <v>6955</v>
      </c>
      <c r="AJ953" s="424" t="str">
        <f t="shared" si="42"/>
        <v>142004</v>
      </c>
      <c r="AK953" s="28">
        <v>1</v>
      </c>
      <c r="AL953" s="28">
        <f t="shared" si="44"/>
        <v>1</v>
      </c>
      <c r="AM953" s="28" t="str">
        <f t="shared" si="43"/>
        <v>pracuj.pl</v>
      </c>
    </row>
    <row r="954" spans="1:39" x14ac:dyDescent="0.25">
      <c r="A954" t="s">
        <v>12819</v>
      </c>
      <c r="B954" t="s">
        <v>1864</v>
      </c>
      <c r="C954" t="s">
        <v>86</v>
      </c>
      <c r="D954" s="27" t="s">
        <v>10194</v>
      </c>
      <c r="E954" t="s">
        <v>192</v>
      </c>
      <c r="F954" s="421">
        <v>1</v>
      </c>
      <c r="G954" t="s">
        <v>193</v>
      </c>
      <c r="H954" t="s">
        <v>194</v>
      </c>
      <c r="I954" t="s">
        <v>9491</v>
      </c>
      <c r="J954" t="s">
        <v>210</v>
      </c>
      <c r="K954" t="s">
        <v>12824</v>
      </c>
      <c r="L954" t="s">
        <v>7531</v>
      </c>
      <c r="M954" t="s">
        <v>12244</v>
      </c>
      <c r="N954" t="s">
        <v>9749</v>
      </c>
      <c r="O954" t="s">
        <v>9574</v>
      </c>
      <c r="P954" t="s">
        <v>12825</v>
      </c>
      <c r="Q954" t="s">
        <v>12826</v>
      </c>
      <c r="S954" t="s">
        <v>9309</v>
      </c>
      <c r="T954" s="28" t="s">
        <v>9334</v>
      </c>
      <c r="U954" s="27" t="s">
        <v>1107</v>
      </c>
      <c r="V954" t="s">
        <v>194</v>
      </c>
      <c r="W954" t="s">
        <v>9300</v>
      </c>
      <c r="Z954" t="s">
        <v>9311</v>
      </c>
      <c r="AF954" t="s">
        <v>4714</v>
      </c>
      <c r="AG954" t="s">
        <v>1864</v>
      </c>
      <c r="AI954" t="s">
        <v>6955</v>
      </c>
      <c r="AJ954" s="424" t="str">
        <f t="shared" si="42"/>
        <v>121101</v>
      </c>
      <c r="AK954" s="28">
        <v>1</v>
      </c>
      <c r="AL954" s="28">
        <f t="shared" si="44"/>
        <v>1</v>
      </c>
      <c r="AM954" s="28" t="str">
        <f t="shared" si="43"/>
        <v>pracuj.pl</v>
      </c>
    </row>
    <row r="955" spans="1:39" x14ac:dyDescent="0.25">
      <c r="A955" t="s">
        <v>10145</v>
      </c>
      <c r="B955" t="s">
        <v>10197</v>
      </c>
      <c r="C955" t="s">
        <v>17</v>
      </c>
      <c r="D955" s="27" t="s">
        <v>10194</v>
      </c>
      <c r="E955" t="s">
        <v>217</v>
      </c>
      <c r="F955" s="421">
        <v>1</v>
      </c>
      <c r="G955" t="s">
        <v>193</v>
      </c>
      <c r="H955" t="s">
        <v>194</v>
      </c>
      <c r="I955" t="s">
        <v>9369</v>
      </c>
      <c r="J955" t="s">
        <v>210</v>
      </c>
      <c r="K955" t="s">
        <v>11352</v>
      </c>
      <c r="L955" t="s">
        <v>6286</v>
      </c>
      <c r="M955" t="s">
        <v>12353</v>
      </c>
      <c r="N955" t="s">
        <v>11100</v>
      </c>
      <c r="O955" t="s">
        <v>9299</v>
      </c>
      <c r="P955" t="s">
        <v>12827</v>
      </c>
      <c r="Q955" t="s">
        <v>12828</v>
      </c>
      <c r="S955" t="s">
        <v>9309</v>
      </c>
      <c r="T955" s="28" t="s">
        <v>9334</v>
      </c>
      <c r="U955" s="27" t="s">
        <v>624</v>
      </c>
      <c r="V955" t="s">
        <v>194</v>
      </c>
      <c r="W955" t="s">
        <v>9300</v>
      </c>
      <c r="Z955" t="s">
        <v>9311</v>
      </c>
      <c r="AF955" t="s">
        <v>4714</v>
      </c>
      <c r="AG955" t="s">
        <v>9433</v>
      </c>
      <c r="AI955" t="s">
        <v>6955</v>
      </c>
      <c r="AJ955" s="424" t="str">
        <f t="shared" si="42"/>
        <v>332203</v>
      </c>
      <c r="AK955" s="28">
        <v>1</v>
      </c>
      <c r="AL955" s="28">
        <f t="shared" si="44"/>
        <v>1</v>
      </c>
      <c r="AM955" s="28" t="str">
        <f t="shared" si="43"/>
        <v>agora</v>
      </c>
    </row>
    <row r="956" spans="1:39" x14ac:dyDescent="0.25">
      <c r="A956" t="s">
        <v>10145</v>
      </c>
      <c r="B956" t="s">
        <v>10201</v>
      </c>
      <c r="C956" t="s">
        <v>18</v>
      </c>
      <c r="D956" s="27" t="s">
        <v>10194</v>
      </c>
      <c r="E956" t="s">
        <v>217</v>
      </c>
      <c r="F956" s="421">
        <v>1</v>
      </c>
      <c r="G956" t="s">
        <v>193</v>
      </c>
      <c r="H956" t="s">
        <v>194</v>
      </c>
      <c r="I956" t="s">
        <v>9343</v>
      </c>
      <c r="J956" t="s">
        <v>210</v>
      </c>
      <c r="K956" t="s">
        <v>10202</v>
      </c>
      <c r="L956" t="s">
        <v>6340</v>
      </c>
      <c r="M956" t="s">
        <v>12353</v>
      </c>
      <c r="N956" t="s">
        <v>9719</v>
      </c>
      <c r="O956" t="s">
        <v>9574</v>
      </c>
      <c r="P956" t="s">
        <v>12829</v>
      </c>
      <c r="Q956" t="s">
        <v>12830</v>
      </c>
      <c r="S956" t="s">
        <v>9309</v>
      </c>
      <c r="T956" s="28" t="s">
        <v>9334</v>
      </c>
      <c r="U956" s="27" t="s">
        <v>1476</v>
      </c>
      <c r="V956" t="s">
        <v>194</v>
      </c>
      <c r="W956" t="s">
        <v>9300</v>
      </c>
      <c r="Z956" t="s">
        <v>9311</v>
      </c>
      <c r="AF956" t="s">
        <v>4714</v>
      </c>
      <c r="AG956" t="s">
        <v>9433</v>
      </c>
      <c r="AI956" t="s">
        <v>6955</v>
      </c>
      <c r="AJ956" s="424" t="str">
        <f t="shared" si="42"/>
        <v>242309</v>
      </c>
      <c r="AK956" s="28">
        <v>1</v>
      </c>
      <c r="AL956" s="28">
        <f t="shared" si="44"/>
        <v>1</v>
      </c>
      <c r="AM956" s="28" t="str">
        <f t="shared" si="43"/>
        <v>agora</v>
      </c>
    </row>
    <row r="957" spans="1:39" x14ac:dyDescent="0.25">
      <c r="A957" t="s">
        <v>7549</v>
      </c>
      <c r="B957" t="s">
        <v>12831</v>
      </c>
      <c r="C957" t="s">
        <v>102</v>
      </c>
      <c r="D957" s="27" t="s">
        <v>10194</v>
      </c>
      <c r="E957" t="s">
        <v>192</v>
      </c>
      <c r="F957" s="421">
        <v>1</v>
      </c>
      <c r="G957" t="s">
        <v>193</v>
      </c>
      <c r="H957" t="s">
        <v>194</v>
      </c>
      <c r="I957" t="s">
        <v>9989</v>
      </c>
      <c r="J957" t="s">
        <v>301</v>
      </c>
      <c r="K957" t="s">
        <v>12832</v>
      </c>
      <c r="L957" t="s">
        <v>6389</v>
      </c>
      <c r="M957" t="s">
        <v>12244</v>
      </c>
      <c r="N957" t="s">
        <v>9749</v>
      </c>
      <c r="O957" t="s">
        <v>9574</v>
      </c>
      <c r="P957" t="s">
        <v>12833</v>
      </c>
      <c r="Q957" t="s">
        <v>12834</v>
      </c>
      <c r="S957" t="s">
        <v>9309</v>
      </c>
      <c r="T957" s="28" t="s">
        <v>9367</v>
      </c>
      <c r="U957" s="27" t="s">
        <v>1890</v>
      </c>
      <c r="V957" t="s">
        <v>194</v>
      </c>
      <c r="W957" t="s">
        <v>9300</v>
      </c>
      <c r="Z957" t="s">
        <v>9311</v>
      </c>
      <c r="AF957" t="s">
        <v>4714</v>
      </c>
      <c r="AG957" t="s">
        <v>12831</v>
      </c>
      <c r="AI957" t="s">
        <v>6955</v>
      </c>
      <c r="AJ957" s="424" t="str">
        <f t="shared" si="42"/>
        <v>216601</v>
      </c>
      <c r="AK957" s="28">
        <v>1</v>
      </c>
      <c r="AL957" s="28">
        <f t="shared" si="44"/>
        <v>1</v>
      </c>
      <c r="AM957" s="28" t="str">
        <f t="shared" si="43"/>
        <v>pracuj.pl</v>
      </c>
    </row>
    <row r="958" spans="1:39" x14ac:dyDescent="0.25">
      <c r="A958" t="s">
        <v>7549</v>
      </c>
      <c r="B958" t="s">
        <v>12831</v>
      </c>
      <c r="C958" t="s">
        <v>102</v>
      </c>
      <c r="D958" s="27" t="s">
        <v>10194</v>
      </c>
      <c r="E958" t="s">
        <v>192</v>
      </c>
      <c r="F958" s="421">
        <v>1</v>
      </c>
      <c r="G958" t="s">
        <v>193</v>
      </c>
      <c r="H958" t="s">
        <v>194</v>
      </c>
      <c r="I958" t="s">
        <v>9989</v>
      </c>
      <c r="J958" t="s">
        <v>210</v>
      </c>
      <c r="K958" t="s">
        <v>12835</v>
      </c>
      <c r="L958" t="s">
        <v>6389</v>
      </c>
      <c r="M958" t="s">
        <v>12244</v>
      </c>
      <c r="N958" t="s">
        <v>9749</v>
      </c>
      <c r="O958" t="s">
        <v>9574</v>
      </c>
      <c r="P958" t="s">
        <v>12836</v>
      </c>
      <c r="Q958" t="s">
        <v>12837</v>
      </c>
      <c r="S958" t="s">
        <v>9309</v>
      </c>
      <c r="T958" s="28" t="s">
        <v>9334</v>
      </c>
      <c r="U958" s="27" t="s">
        <v>1890</v>
      </c>
      <c r="V958" t="s">
        <v>194</v>
      </c>
      <c r="W958" t="s">
        <v>9300</v>
      </c>
      <c r="Z958" t="s">
        <v>9311</v>
      </c>
      <c r="AF958" t="s">
        <v>4714</v>
      </c>
      <c r="AG958" t="s">
        <v>12831</v>
      </c>
      <c r="AI958" t="s">
        <v>6955</v>
      </c>
      <c r="AJ958" s="424" t="str">
        <f t="shared" si="42"/>
        <v>216601</v>
      </c>
      <c r="AK958" s="28">
        <v>1</v>
      </c>
      <c r="AL958" s="28">
        <f t="shared" si="44"/>
        <v>1</v>
      </c>
      <c r="AM958" s="28" t="str">
        <f t="shared" si="43"/>
        <v>pracuj.pl</v>
      </c>
    </row>
    <row r="959" spans="1:39" x14ac:dyDescent="0.25">
      <c r="A959" t="s">
        <v>7549</v>
      </c>
      <c r="B959" t="s">
        <v>12831</v>
      </c>
      <c r="C959" t="s">
        <v>102</v>
      </c>
      <c r="D959" s="27" t="s">
        <v>10194</v>
      </c>
      <c r="E959" t="s">
        <v>192</v>
      </c>
      <c r="F959" s="421">
        <v>1</v>
      </c>
      <c r="G959" t="s">
        <v>193</v>
      </c>
      <c r="H959" t="s">
        <v>194</v>
      </c>
      <c r="I959" t="s">
        <v>9989</v>
      </c>
      <c r="J959" t="s">
        <v>305</v>
      </c>
      <c r="K959" t="s">
        <v>12838</v>
      </c>
      <c r="L959" t="s">
        <v>6389</v>
      </c>
      <c r="M959" t="s">
        <v>12244</v>
      </c>
      <c r="N959" t="s">
        <v>9749</v>
      </c>
      <c r="O959" t="s">
        <v>9574</v>
      </c>
      <c r="P959" t="s">
        <v>12839</v>
      </c>
      <c r="Q959" t="s">
        <v>12840</v>
      </c>
      <c r="S959" t="s">
        <v>9309</v>
      </c>
      <c r="T959" s="28" t="s">
        <v>9753</v>
      </c>
      <c r="U959" s="27" t="s">
        <v>1890</v>
      </c>
      <c r="V959" t="s">
        <v>194</v>
      </c>
      <c r="W959" t="s">
        <v>9300</v>
      </c>
      <c r="Z959" t="s">
        <v>9311</v>
      </c>
      <c r="AF959" t="s">
        <v>4714</v>
      </c>
      <c r="AG959" t="s">
        <v>12831</v>
      </c>
      <c r="AI959" t="s">
        <v>6955</v>
      </c>
      <c r="AJ959" s="424" t="str">
        <f t="shared" si="42"/>
        <v>216601</v>
      </c>
      <c r="AK959" s="28">
        <v>1</v>
      </c>
      <c r="AL959" s="28">
        <f t="shared" si="44"/>
        <v>1</v>
      </c>
      <c r="AM959" s="28" t="str">
        <f t="shared" si="43"/>
        <v>pracuj.pl</v>
      </c>
    </row>
    <row r="960" spans="1:39" x14ac:dyDescent="0.25">
      <c r="A960" t="s">
        <v>7549</v>
      </c>
      <c r="B960" t="s">
        <v>12841</v>
      </c>
      <c r="C960" t="s">
        <v>63</v>
      </c>
      <c r="D960" s="27" t="s">
        <v>10194</v>
      </c>
      <c r="E960" t="s">
        <v>192</v>
      </c>
      <c r="F960" s="421">
        <v>1</v>
      </c>
      <c r="G960" t="s">
        <v>193</v>
      </c>
      <c r="H960" t="s">
        <v>194</v>
      </c>
      <c r="I960" t="s">
        <v>9989</v>
      </c>
      <c r="J960" t="s">
        <v>301</v>
      </c>
      <c r="K960" t="s">
        <v>12842</v>
      </c>
      <c r="L960" t="s">
        <v>6324</v>
      </c>
      <c r="M960" t="s">
        <v>12244</v>
      </c>
      <c r="N960" t="s">
        <v>9749</v>
      </c>
      <c r="O960" t="s">
        <v>9574</v>
      </c>
      <c r="P960" t="s">
        <v>12843</v>
      </c>
      <c r="Q960" t="s">
        <v>12844</v>
      </c>
      <c r="S960" t="s">
        <v>9309</v>
      </c>
      <c r="T960" s="28" t="s">
        <v>9367</v>
      </c>
      <c r="U960" s="27" t="s">
        <v>2104</v>
      </c>
      <c r="V960" t="s">
        <v>194</v>
      </c>
      <c r="W960" t="s">
        <v>9300</v>
      </c>
      <c r="Z960" t="s">
        <v>9311</v>
      </c>
      <c r="AF960" t="s">
        <v>4714</v>
      </c>
      <c r="AG960" t="s">
        <v>12841</v>
      </c>
      <c r="AI960" t="s">
        <v>6955</v>
      </c>
      <c r="AJ960" s="424" t="str">
        <f t="shared" si="42"/>
        <v>311201</v>
      </c>
      <c r="AK960" s="28">
        <v>1</v>
      </c>
      <c r="AL960" s="28">
        <f t="shared" si="44"/>
        <v>1</v>
      </c>
      <c r="AM960" s="28" t="str">
        <f t="shared" si="43"/>
        <v>pracuj.pl</v>
      </c>
    </row>
    <row r="961" spans="1:39" x14ac:dyDescent="0.25">
      <c r="A961" t="s">
        <v>7549</v>
      </c>
      <c r="B961" t="s">
        <v>12841</v>
      </c>
      <c r="C961" t="s">
        <v>63</v>
      </c>
      <c r="D961" s="27" t="s">
        <v>10194</v>
      </c>
      <c r="E961" t="s">
        <v>192</v>
      </c>
      <c r="F961" s="421">
        <v>1</v>
      </c>
      <c r="G961" t="s">
        <v>193</v>
      </c>
      <c r="H961" t="s">
        <v>194</v>
      </c>
      <c r="I961" t="s">
        <v>9989</v>
      </c>
      <c r="J961" t="s">
        <v>210</v>
      </c>
      <c r="K961" t="s">
        <v>12845</v>
      </c>
      <c r="L961" t="s">
        <v>6324</v>
      </c>
      <c r="M961" t="s">
        <v>12244</v>
      </c>
      <c r="N961" t="s">
        <v>9749</v>
      </c>
      <c r="O961" t="s">
        <v>9574</v>
      </c>
      <c r="P961" t="s">
        <v>12846</v>
      </c>
      <c r="Q961" t="s">
        <v>12847</v>
      </c>
      <c r="S961" t="s">
        <v>9309</v>
      </c>
      <c r="T961" s="28" t="s">
        <v>9334</v>
      </c>
      <c r="U961" s="27" t="s">
        <v>2104</v>
      </c>
      <c r="V961" t="s">
        <v>194</v>
      </c>
      <c r="W961" t="s">
        <v>9300</v>
      </c>
      <c r="Z961" t="s">
        <v>9311</v>
      </c>
      <c r="AF961" t="s">
        <v>4714</v>
      </c>
      <c r="AG961" t="s">
        <v>12841</v>
      </c>
      <c r="AI961" t="s">
        <v>6955</v>
      </c>
      <c r="AJ961" s="424" t="str">
        <f t="shared" si="42"/>
        <v>311201</v>
      </c>
      <c r="AK961" s="28">
        <v>1</v>
      </c>
      <c r="AL961" s="28">
        <f t="shared" si="44"/>
        <v>1</v>
      </c>
      <c r="AM961" s="28" t="str">
        <f t="shared" si="43"/>
        <v>pracuj.pl</v>
      </c>
    </row>
    <row r="962" spans="1:39" x14ac:dyDescent="0.25">
      <c r="A962" t="s">
        <v>7549</v>
      </c>
      <c r="B962" t="s">
        <v>12841</v>
      </c>
      <c r="C962" t="s">
        <v>63</v>
      </c>
      <c r="D962" s="27" t="s">
        <v>10194</v>
      </c>
      <c r="E962" t="s">
        <v>192</v>
      </c>
      <c r="F962" s="444">
        <v>1</v>
      </c>
      <c r="G962" t="s">
        <v>193</v>
      </c>
      <c r="H962" t="s">
        <v>194</v>
      </c>
      <c r="I962" t="s">
        <v>9989</v>
      </c>
      <c r="J962" t="s">
        <v>305</v>
      </c>
      <c r="K962" t="s">
        <v>12848</v>
      </c>
      <c r="L962" t="s">
        <v>6324</v>
      </c>
      <c r="M962" t="s">
        <v>12244</v>
      </c>
      <c r="N962" t="s">
        <v>9749</v>
      </c>
      <c r="O962" t="s">
        <v>9574</v>
      </c>
      <c r="P962" t="s">
        <v>12849</v>
      </c>
      <c r="Q962" t="s">
        <v>12850</v>
      </c>
      <c r="S962" t="s">
        <v>9309</v>
      </c>
      <c r="T962" s="28" t="s">
        <v>9753</v>
      </c>
      <c r="U962" s="27" t="s">
        <v>2104</v>
      </c>
      <c r="V962" t="s">
        <v>194</v>
      </c>
      <c r="W962" t="s">
        <v>9300</v>
      </c>
      <c r="Z962" t="s">
        <v>9311</v>
      </c>
      <c r="AF962" t="s">
        <v>4714</v>
      </c>
      <c r="AG962" t="s">
        <v>12841</v>
      </c>
      <c r="AI962" t="s">
        <v>6955</v>
      </c>
      <c r="AJ962" s="424" t="str">
        <f t="shared" ref="AJ962:AJ1013" si="45">MID(U962,8,6)</f>
        <v>311201</v>
      </c>
      <c r="AK962" s="28">
        <v>1</v>
      </c>
      <c r="AL962" s="28">
        <f t="shared" si="44"/>
        <v>1</v>
      </c>
      <c r="AM962" s="28" t="str">
        <f t="shared" ref="AM962:AM1013" si="46">T(E962)</f>
        <v>pracuj.pl</v>
      </c>
    </row>
    <row r="963" spans="1:39" x14ac:dyDescent="0.25">
      <c r="A963" t="s">
        <v>369</v>
      </c>
      <c r="B963" t="s">
        <v>12851</v>
      </c>
      <c r="C963" t="s">
        <v>525</v>
      </c>
      <c r="D963" s="27" t="s">
        <v>10194</v>
      </c>
      <c r="E963" t="s">
        <v>192</v>
      </c>
      <c r="F963" s="421">
        <v>1</v>
      </c>
      <c r="G963" t="s">
        <v>193</v>
      </c>
      <c r="H963" t="s">
        <v>194</v>
      </c>
      <c r="I963" t="s">
        <v>11614</v>
      </c>
      <c r="J963" t="s">
        <v>210</v>
      </c>
      <c r="K963" t="s">
        <v>12852</v>
      </c>
      <c r="L963" t="s">
        <v>7531</v>
      </c>
      <c r="M963" t="s">
        <v>12244</v>
      </c>
      <c r="N963" t="s">
        <v>9749</v>
      </c>
      <c r="O963" t="s">
        <v>9574</v>
      </c>
      <c r="P963" t="s">
        <v>12853</v>
      </c>
      <c r="Q963" t="s">
        <v>12854</v>
      </c>
      <c r="S963" t="s">
        <v>9309</v>
      </c>
      <c r="T963" s="28" t="s">
        <v>9334</v>
      </c>
      <c r="U963" s="27" t="s">
        <v>526</v>
      </c>
      <c r="V963" t="s">
        <v>194</v>
      </c>
      <c r="W963" t="s">
        <v>9300</v>
      </c>
      <c r="Z963" t="s">
        <v>9311</v>
      </c>
      <c r="AF963" t="s">
        <v>4714</v>
      </c>
      <c r="AG963" t="s">
        <v>12851</v>
      </c>
      <c r="AI963" t="s">
        <v>6955</v>
      </c>
      <c r="AJ963" s="424" t="str">
        <f t="shared" si="45"/>
        <v>263102</v>
      </c>
      <c r="AK963" s="28">
        <v>1</v>
      </c>
      <c r="AL963" s="28">
        <f t="shared" ref="AL963:AL1013" si="47">SUM(F963)</f>
        <v>1</v>
      </c>
      <c r="AM963" s="28" t="str">
        <f t="shared" si="46"/>
        <v>pracuj.pl</v>
      </c>
    </row>
    <row r="964" spans="1:39" x14ac:dyDescent="0.25">
      <c r="A964" t="s">
        <v>369</v>
      </c>
      <c r="B964" t="s">
        <v>12855</v>
      </c>
      <c r="C964" t="s">
        <v>133</v>
      </c>
      <c r="D964" s="27" t="s">
        <v>10194</v>
      </c>
      <c r="E964" t="s">
        <v>192</v>
      </c>
      <c r="F964" s="421">
        <v>1</v>
      </c>
      <c r="G964" t="s">
        <v>193</v>
      </c>
      <c r="H964" t="s">
        <v>194</v>
      </c>
      <c r="I964" t="s">
        <v>11614</v>
      </c>
      <c r="J964" t="s">
        <v>210</v>
      </c>
      <c r="K964" t="s">
        <v>12856</v>
      </c>
      <c r="L964" t="s">
        <v>6258</v>
      </c>
      <c r="M964" t="s">
        <v>12244</v>
      </c>
      <c r="N964" t="s">
        <v>9749</v>
      </c>
      <c r="O964" t="s">
        <v>9574</v>
      </c>
      <c r="P964" t="s">
        <v>12857</v>
      </c>
      <c r="Q964" t="s">
        <v>12858</v>
      </c>
      <c r="S964" t="s">
        <v>9309</v>
      </c>
      <c r="T964" s="28" t="s">
        <v>9334</v>
      </c>
      <c r="U964" s="27" t="s">
        <v>673</v>
      </c>
      <c r="V964" t="s">
        <v>194</v>
      </c>
      <c r="W964" t="s">
        <v>9300</v>
      </c>
      <c r="Z964" t="s">
        <v>9311</v>
      </c>
      <c r="AF964" t="s">
        <v>4714</v>
      </c>
      <c r="AG964" t="s">
        <v>12855</v>
      </c>
      <c r="AI964" t="s">
        <v>6955</v>
      </c>
      <c r="AJ964" s="424" t="str">
        <f t="shared" si="45"/>
        <v>333107</v>
      </c>
      <c r="AK964" s="28">
        <v>1</v>
      </c>
      <c r="AL964" s="28">
        <f t="shared" si="47"/>
        <v>1</v>
      </c>
      <c r="AM964" s="28" t="str">
        <f t="shared" si="46"/>
        <v>pracuj.pl</v>
      </c>
    </row>
    <row r="965" spans="1:39" x14ac:dyDescent="0.25">
      <c r="A965" t="s">
        <v>12859</v>
      </c>
      <c r="B965" t="s">
        <v>632</v>
      </c>
      <c r="C965" t="s">
        <v>17</v>
      </c>
      <c r="D965" s="27" t="s">
        <v>10194</v>
      </c>
      <c r="E965" t="s">
        <v>192</v>
      </c>
      <c r="F965" s="421">
        <v>1</v>
      </c>
      <c r="G965" t="s">
        <v>193</v>
      </c>
      <c r="H965" t="s">
        <v>194</v>
      </c>
      <c r="I965" t="s">
        <v>9461</v>
      </c>
      <c r="J965" t="s">
        <v>9302</v>
      </c>
      <c r="K965" t="s">
        <v>12860</v>
      </c>
      <c r="L965" t="s">
        <v>6245</v>
      </c>
      <c r="M965" t="s">
        <v>12596</v>
      </c>
      <c r="N965" t="s">
        <v>9749</v>
      </c>
      <c r="O965" t="s">
        <v>9574</v>
      </c>
      <c r="P965" t="s">
        <v>12861</v>
      </c>
      <c r="Q965" t="s">
        <v>12862</v>
      </c>
      <c r="S965" t="s">
        <v>9309</v>
      </c>
      <c r="U965" s="27" t="s">
        <v>624</v>
      </c>
      <c r="V965" t="s">
        <v>193</v>
      </c>
      <c r="W965" t="s">
        <v>9310</v>
      </c>
      <c r="Z965" t="s">
        <v>9311</v>
      </c>
      <c r="AF965" t="s">
        <v>4714</v>
      </c>
      <c r="AG965" t="s">
        <v>17</v>
      </c>
      <c r="AI965" t="s">
        <v>6955</v>
      </c>
      <c r="AJ965" s="424" t="str">
        <f t="shared" si="45"/>
        <v>332203</v>
      </c>
      <c r="AK965" s="28">
        <v>1</v>
      </c>
      <c r="AL965" s="28">
        <f t="shared" si="47"/>
        <v>1</v>
      </c>
      <c r="AM965" s="28" t="str">
        <f t="shared" si="46"/>
        <v>pracuj.pl</v>
      </c>
    </row>
    <row r="966" spans="1:39" x14ac:dyDescent="0.25">
      <c r="A966" t="s">
        <v>12863</v>
      </c>
      <c r="B966" t="s">
        <v>12864</v>
      </c>
      <c r="C966" t="s">
        <v>5173</v>
      </c>
      <c r="D966" s="27" t="s">
        <v>10194</v>
      </c>
      <c r="E966" t="s">
        <v>192</v>
      </c>
      <c r="F966" s="421">
        <v>1</v>
      </c>
      <c r="G966" t="s">
        <v>193</v>
      </c>
      <c r="H966" t="s">
        <v>194</v>
      </c>
      <c r="I966" t="s">
        <v>11614</v>
      </c>
      <c r="J966" t="s">
        <v>9302</v>
      </c>
      <c r="K966" t="s">
        <v>12865</v>
      </c>
      <c r="L966" t="s">
        <v>6324</v>
      </c>
      <c r="M966" t="s">
        <v>12244</v>
      </c>
      <c r="N966" t="s">
        <v>9749</v>
      </c>
      <c r="O966" t="s">
        <v>9574</v>
      </c>
      <c r="P966" t="s">
        <v>12866</v>
      </c>
      <c r="Q966" t="s">
        <v>12867</v>
      </c>
      <c r="S966" t="s">
        <v>9309</v>
      </c>
      <c r="U966" s="27" t="s">
        <v>1150</v>
      </c>
      <c r="V966" t="s">
        <v>193</v>
      </c>
      <c r="W966" t="s">
        <v>9310</v>
      </c>
      <c r="Z966" t="s">
        <v>9311</v>
      </c>
      <c r="AF966" t="s">
        <v>4714</v>
      </c>
      <c r="AG966" t="s">
        <v>12864</v>
      </c>
      <c r="AI966" t="s">
        <v>6955</v>
      </c>
      <c r="AJ966" s="424" t="str">
        <f t="shared" si="45"/>
        <v>244001</v>
      </c>
      <c r="AK966" s="28">
        <v>1</v>
      </c>
      <c r="AL966" s="28">
        <f t="shared" si="47"/>
        <v>1</v>
      </c>
      <c r="AM966" s="28" t="str">
        <f t="shared" si="46"/>
        <v>pracuj.pl</v>
      </c>
    </row>
    <row r="967" spans="1:39" x14ac:dyDescent="0.25">
      <c r="A967" t="s">
        <v>10223</v>
      </c>
      <c r="B967" t="s">
        <v>10224</v>
      </c>
      <c r="C967" t="s">
        <v>74</v>
      </c>
      <c r="D967" s="27" t="s">
        <v>10194</v>
      </c>
      <c r="E967" t="s">
        <v>217</v>
      </c>
      <c r="F967" s="421">
        <v>1</v>
      </c>
      <c r="G967" t="s">
        <v>193</v>
      </c>
      <c r="H967" t="s">
        <v>194</v>
      </c>
      <c r="I967" t="s">
        <v>9491</v>
      </c>
      <c r="J967" t="s">
        <v>210</v>
      </c>
      <c r="K967" t="s">
        <v>10225</v>
      </c>
      <c r="L967" t="s">
        <v>6249</v>
      </c>
      <c r="M967" t="s">
        <v>12353</v>
      </c>
      <c r="N967" t="s">
        <v>9603</v>
      </c>
      <c r="O967" t="s">
        <v>9604</v>
      </c>
      <c r="P967" t="s">
        <v>12868</v>
      </c>
      <c r="Q967" t="s">
        <v>12869</v>
      </c>
      <c r="S967" t="s">
        <v>9309</v>
      </c>
      <c r="T967" s="28" t="s">
        <v>9334</v>
      </c>
      <c r="U967" s="27" t="s">
        <v>246</v>
      </c>
      <c r="V967" t="s">
        <v>194</v>
      </c>
      <c r="W967" t="s">
        <v>9300</v>
      </c>
      <c r="Z967" t="s">
        <v>9311</v>
      </c>
      <c r="AF967" t="s">
        <v>4714</v>
      </c>
      <c r="AG967" t="s">
        <v>9433</v>
      </c>
      <c r="AI967" t="s">
        <v>6955</v>
      </c>
      <c r="AJ967" s="424" t="str">
        <f t="shared" si="45"/>
        <v>142004</v>
      </c>
      <c r="AK967" s="28">
        <v>1</v>
      </c>
      <c r="AL967" s="28">
        <f t="shared" si="47"/>
        <v>1</v>
      </c>
      <c r="AM967" s="28" t="str">
        <f t="shared" si="46"/>
        <v>agora</v>
      </c>
    </row>
    <row r="968" spans="1:39" x14ac:dyDescent="0.25">
      <c r="A968" t="s">
        <v>10223</v>
      </c>
      <c r="B968" t="s">
        <v>10229</v>
      </c>
      <c r="C968" t="s">
        <v>51</v>
      </c>
      <c r="D968" s="27" t="s">
        <v>10194</v>
      </c>
      <c r="E968" t="s">
        <v>217</v>
      </c>
      <c r="F968" s="421">
        <v>1</v>
      </c>
      <c r="G968" t="s">
        <v>193</v>
      </c>
      <c r="H968" t="s">
        <v>194</v>
      </c>
      <c r="I968" t="s">
        <v>9343</v>
      </c>
      <c r="J968" t="s">
        <v>210</v>
      </c>
      <c r="K968" t="s">
        <v>10233</v>
      </c>
      <c r="L968" t="s">
        <v>6249</v>
      </c>
      <c r="M968" t="s">
        <v>12353</v>
      </c>
      <c r="N968" t="s">
        <v>10234</v>
      </c>
      <c r="O968" t="s">
        <v>9967</v>
      </c>
      <c r="P968" t="s">
        <v>12870</v>
      </c>
      <c r="Q968" t="s">
        <v>12871</v>
      </c>
      <c r="S968" t="s">
        <v>9309</v>
      </c>
      <c r="T968" s="28" t="s">
        <v>9334</v>
      </c>
      <c r="U968" s="27" t="s">
        <v>904</v>
      </c>
      <c r="V968" t="s">
        <v>194</v>
      </c>
      <c r="W968" t="s">
        <v>9300</v>
      </c>
      <c r="Z968" t="s">
        <v>9311</v>
      </c>
      <c r="AF968" t="s">
        <v>4714</v>
      </c>
      <c r="AG968" t="s">
        <v>9433</v>
      </c>
      <c r="AI968" t="s">
        <v>6955</v>
      </c>
      <c r="AJ968" s="424" t="str">
        <f t="shared" si="45"/>
        <v>523002</v>
      </c>
      <c r="AK968" s="28">
        <v>1</v>
      </c>
      <c r="AL968" s="28">
        <f t="shared" si="47"/>
        <v>1</v>
      </c>
      <c r="AM968" s="28" t="str">
        <f t="shared" si="46"/>
        <v>agora</v>
      </c>
    </row>
    <row r="969" spans="1:39" x14ac:dyDescent="0.25">
      <c r="A969" t="s">
        <v>10223</v>
      </c>
      <c r="B969" t="s">
        <v>10237</v>
      </c>
      <c r="C969" t="s">
        <v>51</v>
      </c>
      <c r="D969" s="27" t="s">
        <v>10194</v>
      </c>
      <c r="E969" t="s">
        <v>217</v>
      </c>
      <c r="F969" s="421">
        <v>1</v>
      </c>
      <c r="G969" t="s">
        <v>193</v>
      </c>
      <c r="H969" t="s">
        <v>194</v>
      </c>
      <c r="I969" t="s">
        <v>9343</v>
      </c>
      <c r="J969" t="s">
        <v>408</v>
      </c>
      <c r="K969" t="s">
        <v>10238</v>
      </c>
      <c r="L969" t="s">
        <v>6249</v>
      </c>
      <c r="M969" t="s">
        <v>12353</v>
      </c>
      <c r="N969" t="s">
        <v>9719</v>
      </c>
      <c r="O969" t="s">
        <v>9574</v>
      </c>
      <c r="P969" t="s">
        <v>12872</v>
      </c>
      <c r="Q969" t="s">
        <v>12873</v>
      </c>
      <c r="S969" t="s">
        <v>9309</v>
      </c>
      <c r="T969" s="28" t="s">
        <v>9479</v>
      </c>
      <c r="U969" s="27" t="s">
        <v>904</v>
      </c>
      <c r="V969" t="s">
        <v>194</v>
      </c>
      <c r="W969" t="s">
        <v>9300</v>
      </c>
      <c r="Z969" t="s">
        <v>9311</v>
      </c>
      <c r="AF969" t="s">
        <v>4714</v>
      </c>
      <c r="AG969" t="s">
        <v>9433</v>
      </c>
      <c r="AI969" t="s">
        <v>6955</v>
      </c>
      <c r="AJ969" s="424" t="str">
        <f t="shared" si="45"/>
        <v>523002</v>
      </c>
      <c r="AK969" s="28">
        <v>1</v>
      </c>
      <c r="AL969" s="28">
        <f t="shared" si="47"/>
        <v>1</v>
      </c>
      <c r="AM969" s="28" t="str">
        <f t="shared" si="46"/>
        <v>agora</v>
      </c>
    </row>
    <row r="970" spans="1:39" x14ac:dyDescent="0.25">
      <c r="A970" t="s">
        <v>10223</v>
      </c>
      <c r="B970" t="s">
        <v>10246</v>
      </c>
      <c r="C970" t="s">
        <v>51</v>
      </c>
      <c r="D970" s="27" t="s">
        <v>10194</v>
      </c>
      <c r="E970" t="s">
        <v>217</v>
      </c>
      <c r="F970" s="421">
        <v>1</v>
      </c>
      <c r="G970" t="s">
        <v>193</v>
      </c>
      <c r="H970" t="s">
        <v>194</v>
      </c>
      <c r="I970" t="s">
        <v>9343</v>
      </c>
      <c r="J970" t="s">
        <v>10242</v>
      </c>
      <c r="K970" t="s">
        <v>10247</v>
      </c>
      <c r="L970" t="s">
        <v>6249</v>
      </c>
      <c r="M970" t="s">
        <v>12353</v>
      </c>
      <c r="N970" t="s">
        <v>9929</v>
      </c>
      <c r="O970" t="s">
        <v>9930</v>
      </c>
      <c r="P970" t="s">
        <v>12874</v>
      </c>
      <c r="Q970" t="s">
        <v>12875</v>
      </c>
      <c r="S970" t="s">
        <v>9309</v>
      </c>
      <c r="T970" s="28" t="s">
        <v>9726</v>
      </c>
      <c r="U970" s="27" t="s">
        <v>904</v>
      </c>
      <c r="V970" t="s">
        <v>194</v>
      </c>
      <c r="W970" t="s">
        <v>9300</v>
      </c>
      <c r="Z970" t="s">
        <v>9311</v>
      </c>
      <c r="AF970" t="s">
        <v>4714</v>
      </c>
      <c r="AG970" t="s">
        <v>9433</v>
      </c>
      <c r="AI970" t="s">
        <v>6955</v>
      </c>
      <c r="AJ970" s="424" t="str">
        <f t="shared" si="45"/>
        <v>523002</v>
      </c>
      <c r="AK970" s="28">
        <v>1</v>
      </c>
      <c r="AL970" s="28">
        <f t="shared" si="47"/>
        <v>1</v>
      </c>
      <c r="AM970" s="28" t="str">
        <f t="shared" si="46"/>
        <v>agora</v>
      </c>
    </row>
    <row r="971" spans="1:39" x14ac:dyDescent="0.25">
      <c r="A971" t="s">
        <v>10223</v>
      </c>
      <c r="B971" t="s">
        <v>10250</v>
      </c>
      <c r="C971" t="s">
        <v>74</v>
      </c>
      <c r="D971" s="27" t="s">
        <v>10194</v>
      </c>
      <c r="E971" t="s">
        <v>217</v>
      </c>
      <c r="F971" s="421">
        <v>1</v>
      </c>
      <c r="G971" t="s">
        <v>193</v>
      </c>
      <c r="H971" t="s">
        <v>194</v>
      </c>
      <c r="I971" t="s">
        <v>9343</v>
      </c>
      <c r="J971" t="s">
        <v>210</v>
      </c>
      <c r="K971" t="s">
        <v>11370</v>
      </c>
      <c r="L971" t="s">
        <v>6249</v>
      </c>
      <c r="M971" t="s">
        <v>12353</v>
      </c>
      <c r="N971" t="s">
        <v>11371</v>
      </c>
      <c r="O971" t="s">
        <v>9305</v>
      </c>
      <c r="P971" t="s">
        <v>12876</v>
      </c>
      <c r="Q971" t="s">
        <v>12877</v>
      </c>
      <c r="S971" t="s">
        <v>9309</v>
      </c>
      <c r="T971" s="28" t="s">
        <v>9334</v>
      </c>
      <c r="U971" s="27" t="s">
        <v>246</v>
      </c>
      <c r="V971" t="s">
        <v>194</v>
      </c>
      <c r="W971" t="s">
        <v>9300</v>
      </c>
      <c r="Z971" t="s">
        <v>9311</v>
      </c>
      <c r="AF971" t="s">
        <v>4714</v>
      </c>
      <c r="AG971" t="s">
        <v>9433</v>
      </c>
      <c r="AI971" t="s">
        <v>6955</v>
      </c>
      <c r="AJ971" s="424" t="str">
        <f t="shared" si="45"/>
        <v>142004</v>
      </c>
      <c r="AK971" s="28">
        <v>1</v>
      </c>
      <c r="AL971" s="28">
        <f t="shared" si="47"/>
        <v>1</v>
      </c>
      <c r="AM971" s="28" t="str">
        <f t="shared" si="46"/>
        <v>agora</v>
      </c>
    </row>
    <row r="972" spans="1:39" x14ac:dyDescent="0.25">
      <c r="A972" t="s">
        <v>10223</v>
      </c>
      <c r="B972" t="s">
        <v>10254</v>
      </c>
      <c r="C972" t="s">
        <v>3703</v>
      </c>
      <c r="D972" s="27" t="s">
        <v>10194</v>
      </c>
      <c r="E972" t="s">
        <v>217</v>
      </c>
      <c r="F972" s="421">
        <v>1</v>
      </c>
      <c r="G972" t="s">
        <v>193</v>
      </c>
      <c r="H972" t="s">
        <v>194</v>
      </c>
      <c r="I972" t="s">
        <v>9491</v>
      </c>
      <c r="J972" t="s">
        <v>210</v>
      </c>
      <c r="K972" t="s">
        <v>10255</v>
      </c>
      <c r="L972" t="s">
        <v>6249</v>
      </c>
      <c r="M972" t="s">
        <v>12353</v>
      </c>
      <c r="N972" t="s">
        <v>9929</v>
      </c>
      <c r="O972" t="s">
        <v>9930</v>
      </c>
      <c r="P972" t="s">
        <v>12878</v>
      </c>
      <c r="Q972" t="s">
        <v>12879</v>
      </c>
      <c r="S972" t="s">
        <v>9309</v>
      </c>
      <c r="T972" s="28" t="s">
        <v>9334</v>
      </c>
      <c r="U972" s="27" t="s">
        <v>3704</v>
      </c>
      <c r="V972" t="s">
        <v>194</v>
      </c>
      <c r="W972" t="s">
        <v>9300</v>
      </c>
      <c r="Z972" t="s">
        <v>9311</v>
      </c>
      <c r="AF972" t="s">
        <v>4714</v>
      </c>
      <c r="AG972" t="s">
        <v>9433</v>
      </c>
      <c r="AI972" t="s">
        <v>6955</v>
      </c>
      <c r="AJ972" s="424" t="str">
        <f t="shared" si="45"/>
        <v>522302</v>
      </c>
      <c r="AK972" s="28">
        <v>1</v>
      </c>
      <c r="AL972" s="28">
        <f t="shared" si="47"/>
        <v>1</v>
      </c>
      <c r="AM972" s="28" t="str">
        <f t="shared" si="46"/>
        <v>agora</v>
      </c>
    </row>
    <row r="973" spans="1:39" x14ac:dyDescent="0.25">
      <c r="A973" t="s">
        <v>10223</v>
      </c>
      <c r="B973" t="s">
        <v>10258</v>
      </c>
      <c r="C973" t="s">
        <v>3703</v>
      </c>
      <c r="D973" s="27" t="s">
        <v>10194</v>
      </c>
      <c r="E973" t="s">
        <v>217</v>
      </c>
      <c r="F973" s="421">
        <v>1</v>
      </c>
      <c r="G973" t="s">
        <v>193</v>
      </c>
      <c r="H973" t="s">
        <v>194</v>
      </c>
      <c r="I973" t="s">
        <v>9709</v>
      </c>
      <c r="J973" t="s">
        <v>210</v>
      </c>
      <c r="K973" t="s">
        <v>10259</v>
      </c>
      <c r="L973" t="s">
        <v>6249</v>
      </c>
      <c r="M973" t="s">
        <v>12353</v>
      </c>
      <c r="N973" t="s">
        <v>9603</v>
      </c>
      <c r="O973" t="s">
        <v>9604</v>
      </c>
      <c r="P973" t="s">
        <v>12880</v>
      </c>
      <c r="Q973" t="s">
        <v>12881</v>
      </c>
      <c r="S973" t="s">
        <v>9309</v>
      </c>
      <c r="T973" s="28" t="s">
        <v>9334</v>
      </c>
      <c r="U973" s="27" t="s">
        <v>3704</v>
      </c>
      <c r="V973" t="s">
        <v>194</v>
      </c>
      <c r="W973" t="s">
        <v>9300</v>
      </c>
      <c r="Z973" t="s">
        <v>9311</v>
      </c>
      <c r="AF973" t="s">
        <v>4714</v>
      </c>
      <c r="AG973" t="s">
        <v>9433</v>
      </c>
      <c r="AI973" t="s">
        <v>6955</v>
      </c>
      <c r="AJ973" s="424" t="str">
        <f t="shared" si="45"/>
        <v>522302</v>
      </c>
      <c r="AK973" s="28">
        <v>1</v>
      </c>
      <c r="AL973" s="28">
        <f t="shared" si="47"/>
        <v>1</v>
      </c>
      <c r="AM973" s="28" t="str">
        <f t="shared" si="46"/>
        <v>agora</v>
      </c>
    </row>
    <row r="974" spans="1:39" x14ac:dyDescent="0.25">
      <c r="A974" t="s">
        <v>10223</v>
      </c>
      <c r="B974" t="s">
        <v>10262</v>
      </c>
      <c r="C974" t="s">
        <v>74</v>
      </c>
      <c r="D974" s="27" t="s">
        <v>10194</v>
      </c>
      <c r="E974" t="s">
        <v>217</v>
      </c>
      <c r="F974" s="421">
        <v>1</v>
      </c>
      <c r="G974" t="s">
        <v>193</v>
      </c>
      <c r="H974" t="s">
        <v>194</v>
      </c>
      <c r="I974" t="s">
        <v>9491</v>
      </c>
      <c r="J974" t="s">
        <v>210</v>
      </c>
      <c r="K974" t="s">
        <v>10263</v>
      </c>
      <c r="L974" t="s">
        <v>6249</v>
      </c>
      <c r="M974" t="s">
        <v>12353</v>
      </c>
      <c r="N974" t="s">
        <v>10234</v>
      </c>
      <c r="O974" t="s">
        <v>9967</v>
      </c>
      <c r="P974" t="s">
        <v>12882</v>
      </c>
      <c r="Q974" t="s">
        <v>12883</v>
      </c>
      <c r="S974" t="s">
        <v>9309</v>
      </c>
      <c r="T974" s="28" t="s">
        <v>9334</v>
      </c>
      <c r="U974" s="27" t="s">
        <v>246</v>
      </c>
      <c r="V974" t="s">
        <v>194</v>
      </c>
      <c r="W974" t="s">
        <v>9300</v>
      </c>
      <c r="Z974" t="s">
        <v>9311</v>
      </c>
      <c r="AF974" t="s">
        <v>4714</v>
      </c>
      <c r="AG974" t="s">
        <v>9433</v>
      </c>
      <c r="AI974" t="s">
        <v>6955</v>
      </c>
      <c r="AJ974" s="424" t="str">
        <f t="shared" si="45"/>
        <v>142004</v>
      </c>
      <c r="AK974" s="28">
        <v>1</v>
      </c>
      <c r="AL974" s="28">
        <f t="shared" si="47"/>
        <v>1</v>
      </c>
      <c r="AM974" s="28" t="str">
        <f t="shared" si="46"/>
        <v>agora</v>
      </c>
    </row>
    <row r="975" spans="1:39" x14ac:dyDescent="0.25">
      <c r="A975" t="s">
        <v>12884</v>
      </c>
      <c r="B975" t="s">
        <v>17</v>
      </c>
      <c r="C975" t="s">
        <v>17</v>
      </c>
      <c r="D975" s="27" t="s">
        <v>10194</v>
      </c>
      <c r="E975" t="s">
        <v>192</v>
      </c>
      <c r="F975" s="421">
        <v>1</v>
      </c>
      <c r="G975" t="s">
        <v>193</v>
      </c>
      <c r="H975" t="s">
        <v>194</v>
      </c>
      <c r="I975" t="s">
        <v>9461</v>
      </c>
      <c r="J975" t="s">
        <v>9302</v>
      </c>
      <c r="K975" t="s">
        <v>12885</v>
      </c>
      <c r="L975" t="s">
        <v>6245</v>
      </c>
      <c r="M975" t="s">
        <v>12244</v>
      </c>
      <c r="N975" t="s">
        <v>9749</v>
      </c>
      <c r="O975" t="s">
        <v>9574</v>
      </c>
      <c r="P975" t="s">
        <v>12886</v>
      </c>
      <c r="Q975" t="s">
        <v>12887</v>
      </c>
      <c r="S975" t="s">
        <v>9309</v>
      </c>
      <c r="U975" s="27" t="s">
        <v>624</v>
      </c>
      <c r="V975" t="s">
        <v>193</v>
      </c>
      <c r="W975" t="s">
        <v>9310</v>
      </c>
      <c r="Z975" t="s">
        <v>9311</v>
      </c>
      <c r="AF975" t="s">
        <v>4714</v>
      </c>
      <c r="AG975" t="s">
        <v>17</v>
      </c>
      <c r="AI975" t="s">
        <v>6955</v>
      </c>
      <c r="AJ975" s="424" t="str">
        <f t="shared" si="45"/>
        <v>332203</v>
      </c>
      <c r="AK975" s="28">
        <v>1</v>
      </c>
      <c r="AL975" s="28">
        <f t="shared" si="47"/>
        <v>1</v>
      </c>
      <c r="AM975" s="28" t="str">
        <f t="shared" si="46"/>
        <v>pracuj.pl</v>
      </c>
    </row>
    <row r="976" spans="1:39" x14ac:dyDescent="0.25">
      <c r="A976" t="s">
        <v>10266</v>
      </c>
      <c r="B976" t="s">
        <v>614</v>
      </c>
      <c r="C976" t="s">
        <v>111</v>
      </c>
      <c r="D976" s="27" t="s">
        <v>10194</v>
      </c>
      <c r="E976" t="s">
        <v>217</v>
      </c>
      <c r="F976" s="421">
        <v>1</v>
      </c>
      <c r="G976" t="s">
        <v>193</v>
      </c>
      <c r="H976" t="s">
        <v>194</v>
      </c>
      <c r="I976" t="s">
        <v>9461</v>
      </c>
      <c r="J976" t="s">
        <v>285</v>
      </c>
      <c r="K976" t="s">
        <v>11380</v>
      </c>
      <c r="L976" t="s">
        <v>8339</v>
      </c>
      <c r="M976" t="s">
        <v>12596</v>
      </c>
      <c r="N976" t="s">
        <v>11381</v>
      </c>
      <c r="O976" t="s">
        <v>10767</v>
      </c>
      <c r="P976" t="s">
        <v>12888</v>
      </c>
      <c r="Q976" t="s">
        <v>12889</v>
      </c>
      <c r="S976" t="s">
        <v>9309</v>
      </c>
      <c r="T976" s="28" t="s">
        <v>9518</v>
      </c>
      <c r="U976" s="27" t="s">
        <v>612</v>
      </c>
      <c r="V976" t="s">
        <v>194</v>
      </c>
      <c r="W976" t="s">
        <v>9300</v>
      </c>
      <c r="Z976" t="s">
        <v>9311</v>
      </c>
      <c r="AF976" t="s">
        <v>4714</v>
      </c>
      <c r="AG976" t="s">
        <v>111</v>
      </c>
      <c r="AI976" t="s">
        <v>6955</v>
      </c>
      <c r="AJ976" s="424" t="str">
        <f t="shared" si="45"/>
        <v>332101</v>
      </c>
      <c r="AK976" s="28">
        <v>1</v>
      </c>
      <c r="AL976" s="28">
        <f t="shared" si="47"/>
        <v>1</v>
      </c>
      <c r="AM976" s="28" t="str">
        <f t="shared" si="46"/>
        <v>agora</v>
      </c>
    </row>
    <row r="977" spans="1:39" x14ac:dyDescent="0.25">
      <c r="A977" t="s">
        <v>10266</v>
      </c>
      <c r="B977" t="s">
        <v>614</v>
      </c>
      <c r="C977" t="s">
        <v>111</v>
      </c>
      <c r="D977" s="27" t="s">
        <v>10194</v>
      </c>
      <c r="E977" t="s">
        <v>217</v>
      </c>
      <c r="F977" s="421">
        <v>1</v>
      </c>
      <c r="G977" t="s">
        <v>193</v>
      </c>
      <c r="H977" t="s">
        <v>194</v>
      </c>
      <c r="I977" t="s">
        <v>9461</v>
      </c>
      <c r="J977" t="s">
        <v>253</v>
      </c>
      <c r="K977" t="s">
        <v>11384</v>
      </c>
      <c r="L977" t="s">
        <v>8339</v>
      </c>
      <c r="M977" t="s">
        <v>12596</v>
      </c>
      <c r="N977" t="s">
        <v>11385</v>
      </c>
      <c r="O977" t="s">
        <v>9486</v>
      </c>
      <c r="P977" t="s">
        <v>12890</v>
      </c>
      <c r="Q977" t="s">
        <v>12891</v>
      </c>
      <c r="S977" t="s">
        <v>9309</v>
      </c>
      <c r="T977" s="28" t="s">
        <v>9468</v>
      </c>
      <c r="U977" s="27" t="s">
        <v>612</v>
      </c>
      <c r="V977" t="s">
        <v>194</v>
      </c>
      <c r="W977" t="s">
        <v>9300</v>
      </c>
      <c r="Z977" t="s">
        <v>9311</v>
      </c>
      <c r="AF977" t="s">
        <v>4714</v>
      </c>
      <c r="AG977" t="s">
        <v>111</v>
      </c>
      <c r="AI977" t="s">
        <v>6955</v>
      </c>
      <c r="AJ977" s="424" t="str">
        <f t="shared" si="45"/>
        <v>332101</v>
      </c>
      <c r="AK977" s="28">
        <v>1</v>
      </c>
      <c r="AL977" s="28">
        <f t="shared" si="47"/>
        <v>1</v>
      </c>
      <c r="AM977" s="28" t="str">
        <f t="shared" si="46"/>
        <v>agora</v>
      </c>
    </row>
    <row r="978" spans="1:39" x14ac:dyDescent="0.25">
      <c r="A978" t="s">
        <v>10266</v>
      </c>
      <c r="B978" t="s">
        <v>614</v>
      </c>
      <c r="C978" t="s">
        <v>111</v>
      </c>
      <c r="D978" s="27" t="s">
        <v>10194</v>
      </c>
      <c r="E978" t="s">
        <v>217</v>
      </c>
      <c r="F978" s="421">
        <v>1</v>
      </c>
      <c r="G978" t="s">
        <v>193</v>
      </c>
      <c r="H978" t="s">
        <v>194</v>
      </c>
      <c r="I978" t="s">
        <v>9461</v>
      </c>
      <c r="J978" t="s">
        <v>385</v>
      </c>
      <c r="K978" t="s">
        <v>11388</v>
      </c>
      <c r="L978" t="s">
        <v>8339</v>
      </c>
      <c r="M978" t="s">
        <v>12596</v>
      </c>
      <c r="N978" t="s">
        <v>9966</v>
      </c>
      <c r="O978" t="s">
        <v>10757</v>
      </c>
      <c r="P978" t="s">
        <v>12892</v>
      </c>
      <c r="Q978" t="s">
        <v>12893</v>
      </c>
      <c r="S978" t="s">
        <v>9309</v>
      </c>
      <c r="T978" s="28" t="s">
        <v>9410</v>
      </c>
      <c r="U978" s="27" t="s">
        <v>612</v>
      </c>
      <c r="V978" t="s">
        <v>194</v>
      </c>
      <c r="W978" t="s">
        <v>9300</v>
      </c>
      <c r="Z978" t="s">
        <v>9311</v>
      </c>
      <c r="AF978" t="s">
        <v>4714</v>
      </c>
      <c r="AG978" t="s">
        <v>111</v>
      </c>
      <c r="AI978" t="s">
        <v>6955</v>
      </c>
      <c r="AJ978" s="424" t="str">
        <f t="shared" si="45"/>
        <v>332101</v>
      </c>
      <c r="AK978" s="28">
        <v>1</v>
      </c>
      <c r="AL978" s="28">
        <f t="shared" si="47"/>
        <v>1</v>
      </c>
      <c r="AM978" s="28" t="str">
        <f t="shared" si="46"/>
        <v>agora</v>
      </c>
    </row>
    <row r="979" spans="1:39" x14ac:dyDescent="0.25">
      <c r="A979" t="s">
        <v>10266</v>
      </c>
      <c r="B979" t="s">
        <v>614</v>
      </c>
      <c r="C979" t="s">
        <v>111</v>
      </c>
      <c r="D979" s="27" t="s">
        <v>10194</v>
      </c>
      <c r="E979" t="s">
        <v>217</v>
      </c>
      <c r="F979" s="421">
        <v>1</v>
      </c>
      <c r="G979" t="s">
        <v>193</v>
      </c>
      <c r="H979" t="s">
        <v>194</v>
      </c>
      <c r="I979" t="s">
        <v>9461</v>
      </c>
      <c r="J979" t="s">
        <v>962</v>
      </c>
      <c r="K979" t="s">
        <v>11391</v>
      </c>
      <c r="L979" t="s">
        <v>8339</v>
      </c>
      <c r="M979" t="s">
        <v>12596</v>
      </c>
      <c r="N979" t="s">
        <v>11385</v>
      </c>
      <c r="O979" t="s">
        <v>9486</v>
      </c>
      <c r="P979" t="s">
        <v>12894</v>
      </c>
      <c r="Q979" t="s">
        <v>12895</v>
      </c>
      <c r="S979" t="s">
        <v>9309</v>
      </c>
      <c r="T979" s="28" t="s">
        <v>11394</v>
      </c>
      <c r="U979" s="27" t="s">
        <v>612</v>
      </c>
      <c r="V979" t="s">
        <v>194</v>
      </c>
      <c r="W979" t="s">
        <v>9300</v>
      </c>
      <c r="Z979" t="s">
        <v>9311</v>
      </c>
      <c r="AF979" t="s">
        <v>4714</v>
      </c>
      <c r="AG979" t="s">
        <v>111</v>
      </c>
      <c r="AI979" t="s">
        <v>6955</v>
      </c>
      <c r="AJ979" s="424" t="str">
        <f t="shared" si="45"/>
        <v>332101</v>
      </c>
      <c r="AK979" s="28">
        <v>1</v>
      </c>
      <c r="AL979" s="28">
        <f t="shared" si="47"/>
        <v>1</v>
      </c>
      <c r="AM979" s="28" t="str">
        <f t="shared" si="46"/>
        <v>agora</v>
      </c>
    </row>
    <row r="980" spans="1:39" x14ac:dyDescent="0.25">
      <c r="A980" t="s">
        <v>10266</v>
      </c>
      <c r="B980" t="s">
        <v>614</v>
      </c>
      <c r="C980" t="s">
        <v>111</v>
      </c>
      <c r="D980" s="27" t="s">
        <v>10194</v>
      </c>
      <c r="E980" t="s">
        <v>217</v>
      </c>
      <c r="F980" s="421">
        <v>1</v>
      </c>
      <c r="G980" t="s">
        <v>193</v>
      </c>
      <c r="H980" t="s">
        <v>194</v>
      </c>
      <c r="I980" t="s">
        <v>9461</v>
      </c>
      <c r="J980" t="s">
        <v>276</v>
      </c>
      <c r="K980" t="s">
        <v>11397</v>
      </c>
      <c r="L980" t="s">
        <v>8339</v>
      </c>
      <c r="M980" t="s">
        <v>12596</v>
      </c>
      <c r="N980" t="s">
        <v>11381</v>
      </c>
      <c r="O980" t="s">
        <v>10767</v>
      </c>
      <c r="P980" t="s">
        <v>12896</v>
      </c>
      <c r="Q980" t="s">
        <v>12897</v>
      </c>
      <c r="S980" t="s">
        <v>9309</v>
      </c>
      <c r="T980" s="28" t="s">
        <v>9786</v>
      </c>
      <c r="U980" s="27" t="s">
        <v>612</v>
      </c>
      <c r="V980" t="s">
        <v>194</v>
      </c>
      <c r="W980" t="s">
        <v>9300</v>
      </c>
      <c r="Z980" t="s">
        <v>9311</v>
      </c>
      <c r="AF980" t="s">
        <v>4714</v>
      </c>
      <c r="AG980" t="s">
        <v>111</v>
      </c>
      <c r="AI980" t="s">
        <v>6955</v>
      </c>
      <c r="AJ980" s="424" t="str">
        <f t="shared" si="45"/>
        <v>332101</v>
      </c>
      <c r="AK980" s="28">
        <v>1</v>
      </c>
      <c r="AL980" s="28">
        <f t="shared" si="47"/>
        <v>1</v>
      </c>
      <c r="AM980" s="28" t="str">
        <f t="shared" si="46"/>
        <v>agora</v>
      </c>
    </row>
    <row r="981" spans="1:39" x14ac:dyDescent="0.25">
      <c r="A981" t="s">
        <v>12898</v>
      </c>
      <c r="B981" t="s">
        <v>2512</v>
      </c>
      <c r="C981" t="s">
        <v>113</v>
      </c>
      <c r="D981" s="27" t="s">
        <v>10194</v>
      </c>
      <c r="E981" t="s">
        <v>192</v>
      </c>
      <c r="F981" s="421">
        <v>1</v>
      </c>
      <c r="G981" t="s">
        <v>193</v>
      </c>
      <c r="H981" t="s">
        <v>194</v>
      </c>
      <c r="I981" t="s">
        <v>12306</v>
      </c>
      <c r="J981" t="s">
        <v>210</v>
      </c>
      <c r="K981" t="s">
        <v>12899</v>
      </c>
      <c r="L981" t="s">
        <v>6921</v>
      </c>
      <c r="M981" t="s">
        <v>12244</v>
      </c>
      <c r="N981" t="s">
        <v>9749</v>
      </c>
      <c r="O981" t="s">
        <v>9574</v>
      </c>
      <c r="P981" t="s">
        <v>12900</v>
      </c>
      <c r="Q981" t="s">
        <v>12901</v>
      </c>
      <c r="S981" t="s">
        <v>9309</v>
      </c>
      <c r="T981" s="28" t="s">
        <v>9334</v>
      </c>
      <c r="U981" s="27" t="s">
        <v>465</v>
      </c>
      <c r="V981" t="s">
        <v>194</v>
      </c>
      <c r="W981" t="s">
        <v>9300</v>
      </c>
      <c r="Z981" t="s">
        <v>9311</v>
      </c>
      <c r="AF981" t="s">
        <v>4714</v>
      </c>
      <c r="AG981" t="s">
        <v>2512</v>
      </c>
      <c r="AI981" t="s">
        <v>6955</v>
      </c>
      <c r="AJ981" s="424" t="str">
        <f t="shared" si="45"/>
        <v>243302</v>
      </c>
      <c r="AK981" s="28">
        <v>1</v>
      </c>
      <c r="AL981" s="28">
        <f t="shared" si="47"/>
        <v>1</v>
      </c>
      <c r="AM981" s="28" t="str">
        <f t="shared" si="46"/>
        <v>pracuj.pl</v>
      </c>
    </row>
    <row r="982" spans="1:39" x14ac:dyDescent="0.25">
      <c r="A982" t="s">
        <v>974</v>
      </c>
      <c r="B982" t="s">
        <v>12902</v>
      </c>
      <c r="C982" t="s">
        <v>706</v>
      </c>
      <c r="D982" s="27" t="s">
        <v>10194</v>
      </c>
      <c r="E982" t="s">
        <v>192</v>
      </c>
      <c r="F982" s="421">
        <v>1</v>
      </c>
      <c r="G982" t="s">
        <v>193</v>
      </c>
      <c r="H982" t="s">
        <v>194</v>
      </c>
      <c r="I982" t="s">
        <v>11614</v>
      </c>
      <c r="J982" t="s">
        <v>210</v>
      </c>
      <c r="K982" t="s">
        <v>12903</v>
      </c>
      <c r="L982" t="s">
        <v>6286</v>
      </c>
      <c r="M982" t="s">
        <v>12244</v>
      </c>
      <c r="N982" t="s">
        <v>9749</v>
      </c>
      <c r="O982" t="s">
        <v>9574</v>
      </c>
      <c r="P982" t="s">
        <v>12904</v>
      </c>
      <c r="Q982" t="s">
        <v>12905</v>
      </c>
      <c r="S982" t="s">
        <v>9309</v>
      </c>
      <c r="T982" s="28" t="s">
        <v>9334</v>
      </c>
      <c r="U982" s="27" t="s">
        <v>707</v>
      </c>
      <c r="V982" t="s">
        <v>194</v>
      </c>
      <c r="W982" t="s">
        <v>9300</v>
      </c>
      <c r="Z982" t="s">
        <v>9311</v>
      </c>
      <c r="AF982" t="s">
        <v>5109</v>
      </c>
      <c r="AG982" t="s">
        <v>12902</v>
      </c>
      <c r="AI982" t="s">
        <v>6955</v>
      </c>
      <c r="AJ982" s="424" t="str">
        <f t="shared" si="45"/>
        <v>422201</v>
      </c>
      <c r="AK982" s="28">
        <v>1</v>
      </c>
      <c r="AL982" s="28">
        <f t="shared" si="47"/>
        <v>1</v>
      </c>
      <c r="AM982" s="28" t="str">
        <f t="shared" si="46"/>
        <v>pracuj.pl</v>
      </c>
    </row>
    <row r="983" spans="1:39" x14ac:dyDescent="0.25">
      <c r="A983" t="s">
        <v>4022</v>
      </c>
      <c r="B983" t="s">
        <v>8022</v>
      </c>
      <c r="C983" t="s">
        <v>7617</v>
      </c>
      <c r="D983" s="27" t="s">
        <v>10194</v>
      </c>
      <c r="E983" t="s">
        <v>217</v>
      </c>
      <c r="F983" s="421">
        <v>1</v>
      </c>
      <c r="G983" t="s">
        <v>193</v>
      </c>
      <c r="H983" t="s">
        <v>194</v>
      </c>
      <c r="I983" t="s">
        <v>9989</v>
      </c>
      <c r="J983" t="s">
        <v>210</v>
      </c>
      <c r="K983" t="s">
        <v>11412</v>
      </c>
      <c r="L983" t="s">
        <v>6290</v>
      </c>
      <c r="M983" t="s">
        <v>12353</v>
      </c>
      <c r="N983" t="s">
        <v>9603</v>
      </c>
      <c r="O983" t="s">
        <v>10757</v>
      </c>
      <c r="P983" t="s">
        <v>12906</v>
      </c>
      <c r="Q983" t="s">
        <v>12907</v>
      </c>
      <c r="S983" t="s">
        <v>9309</v>
      </c>
      <c r="T983" s="28" t="s">
        <v>9334</v>
      </c>
      <c r="U983" s="27" t="s">
        <v>7620</v>
      </c>
      <c r="V983" t="s">
        <v>194</v>
      </c>
      <c r="W983" t="s">
        <v>9300</v>
      </c>
      <c r="Z983" t="s">
        <v>9311</v>
      </c>
      <c r="AF983" t="s">
        <v>4714</v>
      </c>
      <c r="AG983" t="s">
        <v>9433</v>
      </c>
      <c r="AI983" t="s">
        <v>6955</v>
      </c>
      <c r="AJ983" s="424" t="str">
        <f t="shared" si="45"/>
        <v>516903</v>
      </c>
      <c r="AK983" s="28">
        <v>1</v>
      </c>
      <c r="AL983" s="28">
        <f t="shared" si="47"/>
        <v>1</v>
      </c>
      <c r="AM983" s="28" t="str">
        <f t="shared" si="46"/>
        <v>agora</v>
      </c>
    </row>
    <row r="984" spans="1:39" x14ac:dyDescent="0.25">
      <c r="A984" t="s">
        <v>11415</v>
      </c>
      <c r="B984" t="s">
        <v>8016</v>
      </c>
      <c r="C984" t="s">
        <v>99</v>
      </c>
      <c r="D984" s="27" t="s">
        <v>10194</v>
      </c>
      <c r="E984" t="s">
        <v>217</v>
      </c>
      <c r="F984" s="421">
        <v>1</v>
      </c>
      <c r="G984" t="s">
        <v>193</v>
      </c>
      <c r="H984" t="s">
        <v>194</v>
      </c>
      <c r="I984" t="s">
        <v>9369</v>
      </c>
      <c r="J984" t="s">
        <v>210</v>
      </c>
      <c r="K984" t="s">
        <v>11416</v>
      </c>
      <c r="L984" t="s">
        <v>6286</v>
      </c>
      <c r="M984" t="s">
        <v>12353</v>
      </c>
      <c r="N984" t="s">
        <v>9603</v>
      </c>
      <c r="O984" t="s">
        <v>10757</v>
      </c>
      <c r="P984" t="s">
        <v>12908</v>
      </c>
      <c r="Q984" t="s">
        <v>12909</v>
      </c>
      <c r="S984" t="s">
        <v>9309</v>
      </c>
      <c r="T984" s="28" t="s">
        <v>9334</v>
      </c>
      <c r="U984" s="27" t="s">
        <v>2421</v>
      </c>
      <c r="V984" t="s">
        <v>194</v>
      </c>
      <c r="W984" t="s">
        <v>9300</v>
      </c>
      <c r="Z984" t="s">
        <v>9311</v>
      </c>
      <c r="AF984" t="s">
        <v>4714</v>
      </c>
      <c r="AG984" t="s">
        <v>9433</v>
      </c>
      <c r="AI984" t="s">
        <v>6955</v>
      </c>
      <c r="AJ984" s="424" t="str">
        <f t="shared" si="45"/>
        <v>412001</v>
      </c>
      <c r="AK984" s="28">
        <v>1</v>
      </c>
      <c r="AL984" s="28">
        <f t="shared" si="47"/>
        <v>1</v>
      </c>
      <c r="AM984" s="28" t="str">
        <f t="shared" si="46"/>
        <v>agora</v>
      </c>
    </row>
    <row r="985" spans="1:39" x14ac:dyDescent="0.25">
      <c r="A985" t="s">
        <v>10307</v>
      </c>
      <c r="B985" t="s">
        <v>12910</v>
      </c>
      <c r="C985" t="s">
        <v>4090</v>
      </c>
      <c r="D985" s="27" t="s">
        <v>10194</v>
      </c>
      <c r="E985" t="s">
        <v>192</v>
      </c>
      <c r="F985" s="421">
        <v>1</v>
      </c>
      <c r="G985" t="s">
        <v>193</v>
      </c>
      <c r="H985" t="s">
        <v>194</v>
      </c>
      <c r="I985" t="s">
        <v>12306</v>
      </c>
      <c r="J985" t="s">
        <v>9302</v>
      </c>
      <c r="K985" t="s">
        <v>12911</v>
      </c>
      <c r="L985" t="s">
        <v>6254</v>
      </c>
      <c r="M985" t="s">
        <v>12244</v>
      </c>
      <c r="N985" t="s">
        <v>9749</v>
      </c>
      <c r="O985" t="s">
        <v>9574</v>
      </c>
      <c r="P985" t="s">
        <v>12912</v>
      </c>
      <c r="Q985" t="s">
        <v>12913</v>
      </c>
      <c r="S985" t="s">
        <v>9309</v>
      </c>
      <c r="U985" s="27" t="s">
        <v>4091</v>
      </c>
      <c r="V985" t="s">
        <v>193</v>
      </c>
      <c r="W985" t="s">
        <v>9310</v>
      </c>
      <c r="Z985" t="s">
        <v>9311</v>
      </c>
      <c r="AF985" t="s">
        <v>4714</v>
      </c>
      <c r="AG985" t="s">
        <v>12910</v>
      </c>
      <c r="AI985" t="s">
        <v>6955</v>
      </c>
      <c r="AJ985" s="424" t="str">
        <f t="shared" si="45"/>
        <v>421403</v>
      </c>
      <c r="AK985" s="28">
        <v>1</v>
      </c>
      <c r="AL985" s="28">
        <f t="shared" si="47"/>
        <v>1</v>
      </c>
      <c r="AM985" s="28" t="str">
        <f t="shared" si="46"/>
        <v>pracuj.pl</v>
      </c>
    </row>
    <row r="986" spans="1:39" x14ac:dyDescent="0.25">
      <c r="A986" t="s">
        <v>12914</v>
      </c>
      <c r="B986" t="s">
        <v>149</v>
      </c>
      <c r="C986" t="s">
        <v>727</v>
      </c>
      <c r="D986" s="27" t="s">
        <v>10194</v>
      </c>
      <c r="E986" t="s">
        <v>233</v>
      </c>
      <c r="F986" s="421">
        <v>1</v>
      </c>
      <c r="G986" t="s">
        <v>194</v>
      </c>
      <c r="H986" t="s">
        <v>193</v>
      </c>
      <c r="I986" t="s">
        <v>9461</v>
      </c>
      <c r="J986" t="s">
        <v>9302</v>
      </c>
      <c r="K986" t="s">
        <v>12915</v>
      </c>
      <c r="L986" t="s">
        <v>6343</v>
      </c>
      <c r="M986" t="s">
        <v>12365</v>
      </c>
      <c r="N986" t="s">
        <v>9929</v>
      </c>
      <c r="O986" t="s">
        <v>9299</v>
      </c>
      <c r="P986" t="s">
        <v>12916</v>
      </c>
      <c r="Q986" t="s">
        <v>12917</v>
      </c>
      <c r="S986" t="s">
        <v>9309</v>
      </c>
      <c r="U986" s="27" t="s">
        <v>728</v>
      </c>
      <c r="V986" t="s">
        <v>194</v>
      </c>
      <c r="W986" t="s">
        <v>9946</v>
      </c>
      <c r="Z986" t="s">
        <v>9311</v>
      </c>
      <c r="AF986" t="s">
        <v>4714</v>
      </c>
      <c r="AG986" t="s">
        <v>149</v>
      </c>
      <c r="AI986" t="s">
        <v>6955</v>
      </c>
      <c r="AJ986" s="424" t="str">
        <f t="shared" si="45"/>
        <v>512001</v>
      </c>
      <c r="AK986" s="28">
        <v>1</v>
      </c>
      <c r="AL986" s="28">
        <f t="shared" si="47"/>
        <v>1</v>
      </c>
      <c r="AM986" s="28" t="str">
        <f t="shared" si="46"/>
        <v>praca</v>
      </c>
    </row>
    <row r="987" spans="1:39" x14ac:dyDescent="0.25">
      <c r="A987" t="s">
        <v>12918</v>
      </c>
      <c r="B987" t="s">
        <v>12919</v>
      </c>
      <c r="C987" t="s">
        <v>19</v>
      </c>
      <c r="D987" s="27" t="s">
        <v>10194</v>
      </c>
      <c r="E987" t="s">
        <v>192</v>
      </c>
      <c r="F987" s="421">
        <v>1</v>
      </c>
      <c r="G987" t="s">
        <v>193</v>
      </c>
      <c r="H987" t="s">
        <v>194</v>
      </c>
      <c r="I987" t="s">
        <v>12285</v>
      </c>
      <c r="J987" t="s">
        <v>9302</v>
      </c>
      <c r="K987" t="s">
        <v>12920</v>
      </c>
      <c r="L987" t="s">
        <v>6245</v>
      </c>
      <c r="M987" t="s">
        <v>12244</v>
      </c>
      <c r="N987" t="s">
        <v>9749</v>
      </c>
      <c r="O987" t="s">
        <v>9574</v>
      </c>
      <c r="P987" t="s">
        <v>12921</v>
      </c>
      <c r="Q987" t="s">
        <v>12922</v>
      </c>
      <c r="S987" t="s">
        <v>9309</v>
      </c>
      <c r="U987" s="27" t="s">
        <v>337</v>
      </c>
      <c r="V987" t="s">
        <v>193</v>
      </c>
      <c r="W987" t="s">
        <v>9310</v>
      </c>
      <c r="Z987" t="s">
        <v>9311</v>
      </c>
      <c r="AF987" t="s">
        <v>4714</v>
      </c>
      <c r="AG987" t="s">
        <v>12919</v>
      </c>
      <c r="AI987" t="s">
        <v>6955</v>
      </c>
      <c r="AJ987" s="424" t="str">
        <f t="shared" si="45"/>
        <v>214903</v>
      </c>
      <c r="AK987" s="28">
        <v>1</v>
      </c>
      <c r="AL987" s="28">
        <f t="shared" si="47"/>
        <v>1</v>
      </c>
      <c r="AM987" s="28" t="str">
        <f t="shared" si="46"/>
        <v>pracuj.pl</v>
      </c>
    </row>
    <row r="988" spans="1:39" x14ac:dyDescent="0.25">
      <c r="A988" t="s">
        <v>12918</v>
      </c>
      <c r="B988" t="s">
        <v>12923</v>
      </c>
      <c r="C988" t="s">
        <v>100</v>
      </c>
      <c r="D988" s="27" t="s">
        <v>10194</v>
      </c>
      <c r="E988" t="s">
        <v>192</v>
      </c>
      <c r="F988" s="421">
        <v>1</v>
      </c>
      <c r="G988" t="s">
        <v>193</v>
      </c>
      <c r="H988" t="s">
        <v>194</v>
      </c>
      <c r="I988" t="s">
        <v>11614</v>
      </c>
      <c r="J988" t="s">
        <v>9302</v>
      </c>
      <c r="K988" t="s">
        <v>12924</v>
      </c>
      <c r="L988" t="s">
        <v>6327</v>
      </c>
      <c r="M988" t="s">
        <v>12244</v>
      </c>
      <c r="N988" t="s">
        <v>9749</v>
      </c>
      <c r="O988" t="s">
        <v>9574</v>
      </c>
      <c r="P988" t="s">
        <v>12925</v>
      </c>
      <c r="Q988" t="s">
        <v>12926</v>
      </c>
      <c r="S988" t="s">
        <v>9309</v>
      </c>
      <c r="U988" s="27" t="s">
        <v>429</v>
      </c>
      <c r="V988" t="s">
        <v>193</v>
      </c>
      <c r="W988" t="s">
        <v>9310</v>
      </c>
      <c r="Z988" t="s">
        <v>9311</v>
      </c>
      <c r="AF988" t="s">
        <v>4714</v>
      </c>
      <c r="AG988" t="s">
        <v>12923</v>
      </c>
      <c r="AI988" t="s">
        <v>6955</v>
      </c>
      <c r="AJ988" s="424" t="str">
        <f t="shared" si="45"/>
        <v>242108</v>
      </c>
      <c r="AK988" s="28">
        <v>1</v>
      </c>
      <c r="AL988" s="28">
        <f t="shared" si="47"/>
        <v>1</v>
      </c>
      <c r="AM988" s="28" t="str">
        <f t="shared" si="46"/>
        <v>pracuj.pl</v>
      </c>
    </row>
    <row r="989" spans="1:39" x14ac:dyDescent="0.25">
      <c r="A989" t="s">
        <v>915</v>
      </c>
      <c r="B989" s="83" t="s">
        <v>10053</v>
      </c>
      <c r="D989" s="27" t="s">
        <v>9299</v>
      </c>
      <c r="E989" t="s">
        <v>233</v>
      </c>
      <c r="F989" s="422">
        <v>1</v>
      </c>
      <c r="G989" t="s">
        <v>194</v>
      </c>
      <c r="H989" t="s">
        <v>193</v>
      </c>
      <c r="I989" t="s">
        <v>9737</v>
      </c>
      <c r="J989" t="s">
        <v>9302</v>
      </c>
      <c r="K989" t="s">
        <v>10054</v>
      </c>
      <c r="L989" t="s">
        <v>6295</v>
      </c>
      <c r="M989" t="s">
        <v>9794</v>
      </c>
      <c r="N989" t="s">
        <v>9342</v>
      </c>
      <c r="O989" t="s">
        <v>9343</v>
      </c>
      <c r="P989" t="s">
        <v>10055</v>
      </c>
      <c r="Q989" t="s">
        <v>10056</v>
      </c>
      <c r="S989" t="s">
        <v>9309</v>
      </c>
      <c r="U989" s="27" t="s">
        <v>516</v>
      </c>
      <c r="V989" t="s">
        <v>194</v>
      </c>
      <c r="W989" t="s">
        <v>9946</v>
      </c>
      <c r="Z989" t="s">
        <v>9311</v>
      </c>
      <c r="AF989" t="s">
        <v>4714</v>
      </c>
      <c r="AG989" t="s">
        <v>10053</v>
      </c>
      <c r="AI989" t="s">
        <v>6955</v>
      </c>
      <c r="AJ989" s="441" t="str">
        <f t="shared" si="45"/>
        <v>252302</v>
      </c>
      <c r="AK989" s="28">
        <v>1</v>
      </c>
      <c r="AL989" s="28">
        <f t="shared" si="47"/>
        <v>1</v>
      </c>
      <c r="AM989" s="28" t="str">
        <f t="shared" si="46"/>
        <v>praca</v>
      </c>
    </row>
    <row r="990" spans="1:39" x14ac:dyDescent="0.25">
      <c r="A990" t="s">
        <v>915</v>
      </c>
      <c r="B990" s="83" t="s">
        <v>10057</v>
      </c>
      <c r="D990" s="27" t="s">
        <v>9299</v>
      </c>
      <c r="E990" t="s">
        <v>233</v>
      </c>
      <c r="F990" s="422">
        <v>1</v>
      </c>
      <c r="G990" t="s">
        <v>194</v>
      </c>
      <c r="H990" t="s">
        <v>193</v>
      </c>
      <c r="I990" t="s">
        <v>9737</v>
      </c>
      <c r="J990" t="s">
        <v>9302</v>
      </c>
      <c r="K990" t="s">
        <v>10058</v>
      </c>
      <c r="L990" t="s">
        <v>6921</v>
      </c>
      <c r="M990" t="s">
        <v>9341</v>
      </c>
      <c r="N990" t="s">
        <v>9342</v>
      </c>
      <c r="O990" t="s">
        <v>9343</v>
      </c>
      <c r="P990" t="s">
        <v>10059</v>
      </c>
      <c r="Q990" t="s">
        <v>10060</v>
      </c>
      <c r="S990" t="s">
        <v>9309</v>
      </c>
      <c r="U990" s="27" t="s">
        <v>504</v>
      </c>
      <c r="V990" t="s">
        <v>194</v>
      </c>
      <c r="W990" t="s">
        <v>9946</v>
      </c>
      <c r="Z990" t="s">
        <v>9311</v>
      </c>
      <c r="AF990" t="s">
        <v>4714</v>
      </c>
      <c r="AG990" t="s">
        <v>10057</v>
      </c>
      <c r="AI990" t="s">
        <v>6955</v>
      </c>
      <c r="AJ990" s="441" t="str">
        <f t="shared" si="45"/>
        <v>252101</v>
      </c>
      <c r="AK990" s="28">
        <v>1</v>
      </c>
      <c r="AL990" s="28">
        <f t="shared" si="47"/>
        <v>1</v>
      </c>
      <c r="AM990" s="28" t="str">
        <f t="shared" si="46"/>
        <v>praca</v>
      </c>
    </row>
    <row r="991" spans="1:39" x14ac:dyDescent="0.25">
      <c r="A991" t="s">
        <v>11612</v>
      </c>
      <c r="B991" t="s">
        <v>12247</v>
      </c>
      <c r="D991" s="27" t="s">
        <v>10194</v>
      </c>
      <c r="E991" t="s">
        <v>192</v>
      </c>
      <c r="F991" s="422">
        <v>1</v>
      </c>
      <c r="G991" t="s">
        <v>194</v>
      </c>
      <c r="H991" t="s">
        <v>193</v>
      </c>
      <c r="I991" t="s">
        <v>9301</v>
      </c>
      <c r="J991" t="s">
        <v>9302</v>
      </c>
      <c r="K991" t="s">
        <v>12248</v>
      </c>
      <c r="L991" t="s">
        <v>6921</v>
      </c>
      <c r="M991" t="s">
        <v>12244</v>
      </c>
      <c r="N991" t="s">
        <v>9749</v>
      </c>
      <c r="O991" t="s">
        <v>9574</v>
      </c>
      <c r="P991" t="s">
        <v>12249</v>
      </c>
      <c r="Q991" t="s">
        <v>12250</v>
      </c>
      <c r="S991" t="s">
        <v>9309</v>
      </c>
      <c r="U991" s="27" t="s">
        <v>508</v>
      </c>
      <c r="V991" t="s">
        <v>194</v>
      </c>
      <c r="W991" t="s">
        <v>9946</v>
      </c>
      <c r="Z991" t="s">
        <v>9311</v>
      </c>
      <c r="AF991" t="s">
        <v>4714</v>
      </c>
      <c r="AG991" t="s">
        <v>12247</v>
      </c>
      <c r="AI991" t="s">
        <v>6955</v>
      </c>
      <c r="AJ991" s="336" t="str">
        <f t="shared" si="45"/>
        <v>252102</v>
      </c>
      <c r="AK991" s="28">
        <v>1</v>
      </c>
      <c r="AL991" s="28">
        <f t="shared" si="47"/>
        <v>1</v>
      </c>
      <c r="AM991" s="28" t="str">
        <f t="shared" si="46"/>
        <v>pracuj.pl</v>
      </c>
    </row>
    <row r="992" spans="1:39" x14ac:dyDescent="0.25">
      <c r="A992" t="s">
        <v>9312</v>
      </c>
      <c r="B992" t="s">
        <v>12251</v>
      </c>
      <c r="D992" s="27" t="s">
        <v>10194</v>
      </c>
      <c r="E992" t="s">
        <v>192</v>
      </c>
      <c r="F992" s="422">
        <v>1</v>
      </c>
      <c r="G992" t="s">
        <v>194</v>
      </c>
      <c r="H992" t="s">
        <v>193</v>
      </c>
      <c r="I992" t="s">
        <v>9301</v>
      </c>
      <c r="J992" t="s">
        <v>9302</v>
      </c>
      <c r="K992" t="s">
        <v>12252</v>
      </c>
      <c r="L992" t="s">
        <v>6921</v>
      </c>
      <c r="M992" t="s">
        <v>12244</v>
      </c>
      <c r="N992" t="s">
        <v>9749</v>
      </c>
      <c r="O992" t="s">
        <v>9574</v>
      </c>
      <c r="P992" t="s">
        <v>12253</v>
      </c>
      <c r="Q992" t="s">
        <v>12254</v>
      </c>
      <c r="S992" t="s">
        <v>9309</v>
      </c>
      <c r="U992" s="27" t="s">
        <v>484</v>
      </c>
      <c r="V992" t="s">
        <v>194</v>
      </c>
      <c r="W992" t="s">
        <v>9946</v>
      </c>
      <c r="Z992" t="s">
        <v>9311</v>
      </c>
      <c r="AF992" t="s">
        <v>4714</v>
      </c>
      <c r="AG992" t="s">
        <v>12251</v>
      </c>
      <c r="AI992" t="s">
        <v>6955</v>
      </c>
      <c r="AJ992" s="336" t="str">
        <f t="shared" si="45"/>
        <v>251401</v>
      </c>
      <c r="AK992" s="28">
        <v>1</v>
      </c>
      <c r="AL992" s="28">
        <f t="shared" si="47"/>
        <v>1</v>
      </c>
      <c r="AM992" s="28" t="str">
        <f t="shared" si="46"/>
        <v>pracuj.pl</v>
      </c>
    </row>
    <row r="993" spans="1:39" x14ac:dyDescent="0.25">
      <c r="A993" t="s">
        <v>493</v>
      </c>
      <c r="B993" t="s">
        <v>12943</v>
      </c>
      <c r="C993" t="s">
        <v>19</v>
      </c>
      <c r="D993" s="27" t="s">
        <v>10194</v>
      </c>
      <c r="E993" t="s">
        <v>192</v>
      </c>
      <c r="F993" s="421">
        <v>1</v>
      </c>
      <c r="G993" t="s">
        <v>193</v>
      </c>
      <c r="H993" t="s">
        <v>194</v>
      </c>
      <c r="I993" t="s">
        <v>11614</v>
      </c>
      <c r="J993" t="s">
        <v>210</v>
      </c>
      <c r="K993" t="s">
        <v>12944</v>
      </c>
      <c r="L993" t="s">
        <v>6261</v>
      </c>
      <c r="M993" t="s">
        <v>12244</v>
      </c>
      <c r="N993" t="s">
        <v>9749</v>
      </c>
      <c r="O993" t="s">
        <v>9574</v>
      </c>
      <c r="P993" t="s">
        <v>12945</v>
      </c>
      <c r="Q993" t="s">
        <v>12946</v>
      </c>
      <c r="S993" t="s">
        <v>9309</v>
      </c>
      <c r="T993" s="28" t="s">
        <v>9334</v>
      </c>
      <c r="U993" s="27" t="s">
        <v>337</v>
      </c>
      <c r="V993" t="s">
        <v>194</v>
      </c>
      <c r="W993" t="s">
        <v>9300</v>
      </c>
      <c r="Z993" t="s">
        <v>9311</v>
      </c>
      <c r="AF993" t="s">
        <v>4714</v>
      </c>
      <c r="AG993" t="s">
        <v>12943</v>
      </c>
      <c r="AI993" t="s">
        <v>6955</v>
      </c>
      <c r="AJ993" s="424" t="str">
        <f t="shared" si="45"/>
        <v>214903</v>
      </c>
      <c r="AK993" s="28">
        <v>1</v>
      </c>
      <c r="AL993" s="28">
        <f t="shared" si="47"/>
        <v>1</v>
      </c>
      <c r="AM993" s="28" t="str">
        <f t="shared" si="46"/>
        <v>pracuj.pl</v>
      </c>
    </row>
    <row r="994" spans="1:39" x14ac:dyDescent="0.25">
      <c r="A994" t="s">
        <v>12947</v>
      </c>
      <c r="B994" t="s">
        <v>6027</v>
      </c>
      <c r="C994" t="s">
        <v>17</v>
      </c>
      <c r="D994" s="27" t="s">
        <v>10194</v>
      </c>
      <c r="E994" t="s">
        <v>192</v>
      </c>
      <c r="F994" s="421">
        <v>1</v>
      </c>
      <c r="G994" t="s">
        <v>193</v>
      </c>
      <c r="H994" t="s">
        <v>194</v>
      </c>
      <c r="I994" t="s">
        <v>9369</v>
      </c>
      <c r="J994" t="s">
        <v>9302</v>
      </c>
      <c r="K994" t="s">
        <v>12948</v>
      </c>
      <c r="L994" t="s">
        <v>6251</v>
      </c>
      <c r="M994" t="s">
        <v>12244</v>
      </c>
      <c r="N994" t="s">
        <v>9749</v>
      </c>
      <c r="O994" t="s">
        <v>9574</v>
      </c>
      <c r="P994" t="s">
        <v>12949</v>
      </c>
      <c r="Q994" t="s">
        <v>12950</v>
      </c>
      <c r="S994" t="s">
        <v>9309</v>
      </c>
      <c r="U994" s="27" t="s">
        <v>624</v>
      </c>
      <c r="V994" t="s">
        <v>193</v>
      </c>
      <c r="W994" t="s">
        <v>9310</v>
      </c>
      <c r="Z994" t="s">
        <v>9311</v>
      </c>
      <c r="AF994" t="s">
        <v>4714</v>
      </c>
      <c r="AG994" t="s">
        <v>6027</v>
      </c>
      <c r="AI994" t="s">
        <v>6955</v>
      </c>
      <c r="AJ994" s="424" t="str">
        <f t="shared" si="45"/>
        <v>332203</v>
      </c>
      <c r="AK994" s="28">
        <v>1</v>
      </c>
      <c r="AL994" s="28">
        <f t="shared" si="47"/>
        <v>1</v>
      </c>
      <c r="AM994" s="28" t="str">
        <f t="shared" si="46"/>
        <v>pracuj.pl</v>
      </c>
    </row>
    <row r="995" spans="1:39" x14ac:dyDescent="0.25">
      <c r="A995" t="s">
        <v>12951</v>
      </c>
      <c r="B995" t="s">
        <v>12952</v>
      </c>
      <c r="C995" t="s">
        <v>778</v>
      </c>
      <c r="D995" s="27" t="s">
        <v>10194</v>
      </c>
      <c r="E995" t="s">
        <v>192</v>
      </c>
      <c r="F995" s="421">
        <v>1</v>
      </c>
      <c r="G995" t="s">
        <v>193</v>
      </c>
      <c r="H995" t="s">
        <v>194</v>
      </c>
      <c r="I995" t="s">
        <v>9369</v>
      </c>
      <c r="J995" t="s">
        <v>276</v>
      </c>
      <c r="K995" t="s">
        <v>12953</v>
      </c>
      <c r="L995" t="s">
        <v>6254</v>
      </c>
      <c r="M995" t="s">
        <v>12244</v>
      </c>
      <c r="N995" t="s">
        <v>9749</v>
      </c>
      <c r="O995" t="s">
        <v>9574</v>
      </c>
      <c r="P995" t="s">
        <v>12954</v>
      </c>
      <c r="Q995" t="s">
        <v>12955</v>
      </c>
      <c r="S995" t="s">
        <v>9309</v>
      </c>
      <c r="T995" s="28" t="s">
        <v>9786</v>
      </c>
      <c r="U995" s="27" t="s">
        <v>779</v>
      </c>
      <c r="V995" t="s">
        <v>194</v>
      </c>
      <c r="W995" t="s">
        <v>9300</v>
      </c>
      <c r="Z995" t="s">
        <v>9311</v>
      </c>
      <c r="AF995" t="s">
        <v>4714</v>
      </c>
      <c r="AG995" t="s">
        <v>12952</v>
      </c>
      <c r="AI995" t="s">
        <v>6955</v>
      </c>
      <c r="AJ995" s="424" t="str">
        <f t="shared" si="45"/>
        <v>524902</v>
      </c>
      <c r="AK995" s="28">
        <v>1</v>
      </c>
      <c r="AL995" s="28">
        <f t="shared" si="47"/>
        <v>1</v>
      </c>
      <c r="AM995" s="28" t="str">
        <f t="shared" si="46"/>
        <v>pracuj.pl</v>
      </c>
    </row>
    <row r="996" spans="1:39" x14ac:dyDescent="0.25">
      <c r="A996" t="s">
        <v>12956</v>
      </c>
      <c r="B996" t="s">
        <v>12957</v>
      </c>
      <c r="C996" t="s">
        <v>566</v>
      </c>
      <c r="D996" s="27" t="s">
        <v>10194</v>
      </c>
      <c r="E996" t="s">
        <v>192</v>
      </c>
      <c r="F996" s="421">
        <v>1</v>
      </c>
      <c r="G996" t="s">
        <v>193</v>
      </c>
      <c r="H996" t="s">
        <v>194</v>
      </c>
      <c r="I996" t="s">
        <v>9343</v>
      </c>
      <c r="J996" t="s">
        <v>6218</v>
      </c>
      <c r="K996" t="s">
        <v>12958</v>
      </c>
      <c r="L996" t="s">
        <v>6275</v>
      </c>
      <c r="M996" t="s">
        <v>12244</v>
      </c>
      <c r="N996" t="s">
        <v>9749</v>
      </c>
      <c r="O996" t="s">
        <v>9574</v>
      </c>
      <c r="P996" t="s">
        <v>12959</v>
      </c>
      <c r="Q996" t="s">
        <v>12960</v>
      </c>
      <c r="S996" t="s">
        <v>9309</v>
      </c>
      <c r="T996" s="28" t="s">
        <v>9726</v>
      </c>
      <c r="U996" s="27" t="s">
        <v>567</v>
      </c>
      <c r="V996" t="s">
        <v>194</v>
      </c>
      <c r="W996" t="s">
        <v>9300</v>
      </c>
      <c r="Z996" t="s">
        <v>9311</v>
      </c>
      <c r="AF996" t="s">
        <v>4714</v>
      </c>
      <c r="AG996" t="s">
        <v>12957</v>
      </c>
      <c r="AI996" t="s">
        <v>6955</v>
      </c>
      <c r="AJ996" s="424" t="str">
        <f t="shared" si="45"/>
        <v>311504</v>
      </c>
      <c r="AK996" s="28">
        <v>1</v>
      </c>
      <c r="AL996" s="28">
        <f t="shared" si="47"/>
        <v>1</v>
      </c>
      <c r="AM996" s="28" t="str">
        <f t="shared" si="46"/>
        <v>pracuj.pl</v>
      </c>
    </row>
    <row r="997" spans="1:39" x14ac:dyDescent="0.25">
      <c r="A997" t="s">
        <v>12956</v>
      </c>
      <c r="B997" t="s">
        <v>12961</v>
      </c>
      <c r="C997" t="s">
        <v>420</v>
      </c>
      <c r="D997" s="27" t="s">
        <v>10194</v>
      </c>
      <c r="E997" t="s">
        <v>192</v>
      </c>
      <c r="F997" s="421">
        <v>1</v>
      </c>
      <c r="G997" t="s">
        <v>193</v>
      </c>
      <c r="H997" t="s">
        <v>194</v>
      </c>
      <c r="I997" t="s">
        <v>12260</v>
      </c>
      <c r="J997" t="s">
        <v>6218</v>
      </c>
      <c r="K997" t="s">
        <v>12962</v>
      </c>
      <c r="L997" t="s">
        <v>7531</v>
      </c>
      <c r="M997" t="s">
        <v>12244</v>
      </c>
      <c r="N997" t="s">
        <v>9749</v>
      </c>
      <c r="O997" t="s">
        <v>9574</v>
      </c>
      <c r="P997" t="s">
        <v>12963</v>
      </c>
      <c r="Q997" t="s">
        <v>12964</v>
      </c>
      <c r="S997" t="s">
        <v>9309</v>
      </c>
      <c r="T997" s="28" t="s">
        <v>9726</v>
      </c>
      <c r="U997" s="27" t="s">
        <v>421</v>
      </c>
      <c r="V997" t="s">
        <v>194</v>
      </c>
      <c r="W997" t="s">
        <v>9300</v>
      </c>
      <c r="Z997" t="s">
        <v>9311</v>
      </c>
      <c r="AF997" t="s">
        <v>4714</v>
      </c>
      <c r="AG997" t="s">
        <v>12961</v>
      </c>
      <c r="AI997" t="s">
        <v>6955</v>
      </c>
      <c r="AJ997" s="424" t="str">
        <f t="shared" si="45"/>
        <v>241306</v>
      </c>
      <c r="AK997" s="28">
        <v>1</v>
      </c>
      <c r="AL997" s="28">
        <f t="shared" si="47"/>
        <v>1</v>
      </c>
      <c r="AM997" s="28" t="str">
        <f t="shared" si="46"/>
        <v>pracuj.pl</v>
      </c>
    </row>
    <row r="998" spans="1:39" x14ac:dyDescent="0.25">
      <c r="A998" t="s">
        <v>992</v>
      </c>
      <c r="B998" t="s">
        <v>12965</v>
      </c>
      <c r="C998" t="s">
        <v>9093</v>
      </c>
      <c r="D998" s="27" t="s">
        <v>10194</v>
      </c>
      <c r="E998" t="s">
        <v>192</v>
      </c>
      <c r="F998" s="421">
        <v>1</v>
      </c>
      <c r="G998" t="s">
        <v>193</v>
      </c>
      <c r="H998" t="s">
        <v>194</v>
      </c>
      <c r="I998" t="s">
        <v>9461</v>
      </c>
      <c r="J998" t="s">
        <v>575</v>
      </c>
      <c r="K998" t="s">
        <v>12966</v>
      </c>
      <c r="L998" t="s">
        <v>6275</v>
      </c>
      <c r="M998" t="s">
        <v>12596</v>
      </c>
      <c r="N998" t="s">
        <v>9749</v>
      </c>
      <c r="O998" t="s">
        <v>9574</v>
      </c>
      <c r="P998" t="s">
        <v>12967</v>
      </c>
      <c r="Q998" t="s">
        <v>12968</v>
      </c>
      <c r="S998" t="s">
        <v>9309</v>
      </c>
      <c r="T998" s="28" t="s">
        <v>9726</v>
      </c>
      <c r="U998" s="27" t="s">
        <v>9095</v>
      </c>
      <c r="V998" t="s">
        <v>194</v>
      </c>
      <c r="W998" t="s">
        <v>9300</v>
      </c>
      <c r="Z998" t="s">
        <v>9311</v>
      </c>
      <c r="AF998" t="s">
        <v>4714</v>
      </c>
      <c r="AG998" t="s">
        <v>9093</v>
      </c>
      <c r="AI998" t="s">
        <v>6955</v>
      </c>
      <c r="AJ998" s="424" t="str">
        <f t="shared" si="45"/>
        <v>722206</v>
      </c>
      <c r="AK998" s="28">
        <v>1</v>
      </c>
      <c r="AL998" s="28">
        <f t="shared" si="47"/>
        <v>1</v>
      </c>
      <c r="AM998" s="28" t="str">
        <f t="shared" si="46"/>
        <v>pracuj.pl</v>
      </c>
    </row>
    <row r="999" spans="1:39" x14ac:dyDescent="0.25">
      <c r="A999" t="s">
        <v>992</v>
      </c>
      <c r="B999" t="s">
        <v>12969</v>
      </c>
      <c r="C999" t="s">
        <v>12970</v>
      </c>
      <c r="D999" s="27" t="s">
        <v>10194</v>
      </c>
      <c r="E999" t="s">
        <v>192</v>
      </c>
      <c r="F999" s="421">
        <v>1</v>
      </c>
      <c r="G999" t="s">
        <v>193</v>
      </c>
      <c r="H999" t="s">
        <v>194</v>
      </c>
      <c r="I999" t="s">
        <v>9989</v>
      </c>
      <c r="J999" t="s">
        <v>210</v>
      </c>
      <c r="K999" t="s">
        <v>12971</v>
      </c>
      <c r="L999" t="s">
        <v>6363</v>
      </c>
      <c r="M999" t="s">
        <v>12244</v>
      </c>
      <c r="N999" t="s">
        <v>9749</v>
      </c>
      <c r="O999" t="s">
        <v>9574</v>
      </c>
      <c r="P999" t="s">
        <v>12972</v>
      </c>
      <c r="Q999" t="s">
        <v>12973</v>
      </c>
      <c r="S999" t="s">
        <v>9309</v>
      </c>
      <c r="T999" s="28" t="s">
        <v>9334</v>
      </c>
      <c r="U999" s="27" t="s">
        <v>12974</v>
      </c>
      <c r="V999" t="s">
        <v>194</v>
      </c>
      <c r="W999" t="s">
        <v>9300</v>
      </c>
      <c r="Z999" t="s">
        <v>9311</v>
      </c>
      <c r="AF999" t="s">
        <v>4714</v>
      </c>
      <c r="AG999" t="s">
        <v>12969</v>
      </c>
      <c r="AI999" t="s">
        <v>6955</v>
      </c>
      <c r="AJ999" s="424" t="str">
        <f t="shared" si="45"/>
        <v>722390</v>
      </c>
      <c r="AK999" s="28">
        <v>1</v>
      </c>
      <c r="AL999" s="28">
        <f t="shared" si="47"/>
        <v>1</v>
      </c>
      <c r="AM999" s="28" t="str">
        <f t="shared" si="46"/>
        <v>pracuj.pl</v>
      </c>
    </row>
    <row r="1000" spans="1:39" x14ac:dyDescent="0.25">
      <c r="A1000" t="s">
        <v>12975</v>
      </c>
      <c r="B1000" t="s">
        <v>17</v>
      </c>
      <c r="C1000" t="s">
        <v>17</v>
      </c>
      <c r="D1000" s="27" t="s">
        <v>10194</v>
      </c>
      <c r="E1000" t="s">
        <v>192</v>
      </c>
      <c r="F1000" s="421">
        <v>1</v>
      </c>
      <c r="G1000" t="s">
        <v>193</v>
      </c>
      <c r="H1000" t="s">
        <v>194</v>
      </c>
      <c r="I1000" t="s">
        <v>9461</v>
      </c>
      <c r="J1000" t="s">
        <v>9302</v>
      </c>
      <c r="K1000" t="s">
        <v>12976</v>
      </c>
      <c r="L1000" t="s">
        <v>6245</v>
      </c>
      <c r="M1000" t="s">
        <v>12244</v>
      </c>
      <c r="N1000" t="s">
        <v>9749</v>
      </c>
      <c r="O1000" t="s">
        <v>9574</v>
      </c>
      <c r="P1000" t="s">
        <v>12977</v>
      </c>
      <c r="Q1000" t="s">
        <v>12978</v>
      </c>
      <c r="S1000" t="s">
        <v>9309</v>
      </c>
      <c r="U1000" s="27" t="s">
        <v>624</v>
      </c>
      <c r="V1000" t="s">
        <v>193</v>
      </c>
      <c r="W1000" t="s">
        <v>9310</v>
      </c>
      <c r="Z1000" t="s">
        <v>9311</v>
      </c>
      <c r="AF1000" t="s">
        <v>4714</v>
      </c>
      <c r="AG1000" t="s">
        <v>17</v>
      </c>
      <c r="AI1000" t="s">
        <v>6955</v>
      </c>
      <c r="AJ1000" s="424" t="str">
        <f t="shared" si="45"/>
        <v>332203</v>
      </c>
      <c r="AK1000" s="28">
        <v>1</v>
      </c>
      <c r="AL1000" s="28">
        <f t="shared" si="47"/>
        <v>1</v>
      </c>
      <c r="AM1000" s="28" t="str">
        <f t="shared" si="46"/>
        <v>pracuj.pl</v>
      </c>
    </row>
    <row r="1001" spans="1:39" x14ac:dyDescent="0.25">
      <c r="A1001" t="s">
        <v>10383</v>
      </c>
      <c r="B1001" t="s">
        <v>10384</v>
      </c>
      <c r="C1001" t="s">
        <v>17</v>
      </c>
      <c r="D1001" s="27" t="s">
        <v>10194</v>
      </c>
      <c r="E1001" t="s">
        <v>217</v>
      </c>
      <c r="F1001" s="421">
        <v>1</v>
      </c>
      <c r="G1001" t="s">
        <v>193</v>
      </c>
      <c r="H1001" t="s">
        <v>194</v>
      </c>
      <c r="I1001" t="s">
        <v>9491</v>
      </c>
      <c r="J1001" t="s">
        <v>4751</v>
      </c>
      <c r="K1001" t="s">
        <v>10385</v>
      </c>
      <c r="L1001" t="s">
        <v>6249</v>
      </c>
      <c r="M1001" t="s">
        <v>12353</v>
      </c>
      <c r="N1001" t="s">
        <v>9603</v>
      </c>
      <c r="O1001" t="s">
        <v>9604</v>
      </c>
      <c r="P1001" t="s">
        <v>12979</v>
      </c>
      <c r="Q1001" t="s">
        <v>12980</v>
      </c>
      <c r="S1001" t="s">
        <v>9309</v>
      </c>
      <c r="T1001" s="28" t="s">
        <v>9472</v>
      </c>
      <c r="U1001" s="27" t="s">
        <v>624</v>
      </c>
      <c r="V1001" t="s">
        <v>194</v>
      </c>
      <c r="W1001" t="s">
        <v>9300</v>
      </c>
      <c r="Z1001" t="s">
        <v>9311</v>
      </c>
      <c r="AF1001" t="s">
        <v>4714</v>
      </c>
      <c r="AG1001" t="s">
        <v>9433</v>
      </c>
      <c r="AI1001" t="s">
        <v>6955</v>
      </c>
      <c r="AJ1001" s="424" t="str">
        <f t="shared" si="45"/>
        <v>332203</v>
      </c>
      <c r="AK1001" s="28">
        <v>1</v>
      </c>
      <c r="AL1001" s="28">
        <f t="shared" si="47"/>
        <v>1</v>
      </c>
      <c r="AM1001" s="28" t="str">
        <f t="shared" si="46"/>
        <v>agora</v>
      </c>
    </row>
    <row r="1002" spans="1:39" x14ac:dyDescent="0.25">
      <c r="A1002" t="s">
        <v>10383</v>
      </c>
      <c r="B1002" t="s">
        <v>10384</v>
      </c>
      <c r="C1002" t="s">
        <v>17</v>
      </c>
      <c r="D1002" s="27" t="s">
        <v>10194</v>
      </c>
      <c r="E1002" t="s">
        <v>217</v>
      </c>
      <c r="F1002" s="421">
        <v>1</v>
      </c>
      <c r="G1002" t="s">
        <v>193</v>
      </c>
      <c r="H1002" t="s">
        <v>194</v>
      </c>
      <c r="I1002" t="s">
        <v>9491</v>
      </c>
      <c r="J1002" t="s">
        <v>367</v>
      </c>
      <c r="K1002" t="s">
        <v>10388</v>
      </c>
      <c r="L1002" t="s">
        <v>6249</v>
      </c>
      <c r="M1002" t="s">
        <v>12353</v>
      </c>
      <c r="N1002" t="s">
        <v>9603</v>
      </c>
      <c r="O1002" t="s">
        <v>9604</v>
      </c>
      <c r="P1002" t="s">
        <v>12981</v>
      </c>
      <c r="Q1002" t="s">
        <v>12982</v>
      </c>
      <c r="S1002" t="s">
        <v>9309</v>
      </c>
      <c r="T1002" s="28" t="s">
        <v>9974</v>
      </c>
      <c r="U1002" s="27" t="s">
        <v>624</v>
      </c>
      <c r="V1002" t="s">
        <v>194</v>
      </c>
      <c r="W1002" t="s">
        <v>9300</v>
      </c>
      <c r="Z1002" t="s">
        <v>9311</v>
      </c>
      <c r="AF1002" t="s">
        <v>4714</v>
      </c>
      <c r="AG1002" t="s">
        <v>9433</v>
      </c>
      <c r="AI1002" t="s">
        <v>6955</v>
      </c>
      <c r="AJ1002" s="424" t="str">
        <f t="shared" si="45"/>
        <v>332203</v>
      </c>
      <c r="AK1002" s="28">
        <v>1</v>
      </c>
      <c r="AL1002" s="28">
        <f t="shared" si="47"/>
        <v>1</v>
      </c>
      <c r="AM1002" s="28" t="str">
        <f t="shared" si="46"/>
        <v>agora</v>
      </c>
    </row>
    <row r="1003" spans="1:39" x14ac:dyDescent="0.25">
      <c r="A1003" t="s">
        <v>10383</v>
      </c>
      <c r="B1003" t="s">
        <v>10384</v>
      </c>
      <c r="C1003" t="s">
        <v>17</v>
      </c>
      <c r="D1003" s="27" t="s">
        <v>10194</v>
      </c>
      <c r="E1003" t="s">
        <v>217</v>
      </c>
      <c r="F1003" s="421">
        <v>1</v>
      </c>
      <c r="G1003" t="s">
        <v>193</v>
      </c>
      <c r="H1003" t="s">
        <v>194</v>
      </c>
      <c r="I1003" t="s">
        <v>9491</v>
      </c>
      <c r="J1003" t="s">
        <v>210</v>
      </c>
      <c r="K1003" t="s">
        <v>10391</v>
      </c>
      <c r="L1003" t="s">
        <v>6249</v>
      </c>
      <c r="M1003" t="s">
        <v>12353</v>
      </c>
      <c r="N1003" t="s">
        <v>9603</v>
      </c>
      <c r="O1003" t="s">
        <v>9604</v>
      </c>
      <c r="P1003" t="s">
        <v>12983</v>
      </c>
      <c r="Q1003" t="s">
        <v>12984</v>
      </c>
      <c r="S1003" t="s">
        <v>9309</v>
      </c>
      <c r="T1003" s="28" t="s">
        <v>9334</v>
      </c>
      <c r="U1003" s="27" t="s">
        <v>624</v>
      </c>
      <c r="V1003" t="s">
        <v>194</v>
      </c>
      <c r="W1003" t="s">
        <v>9300</v>
      </c>
      <c r="Z1003" t="s">
        <v>9311</v>
      </c>
      <c r="AF1003" t="s">
        <v>4714</v>
      </c>
      <c r="AG1003" t="s">
        <v>9433</v>
      </c>
      <c r="AI1003" t="s">
        <v>6955</v>
      </c>
      <c r="AJ1003" s="424" t="str">
        <f t="shared" si="45"/>
        <v>332203</v>
      </c>
      <c r="AK1003" s="28">
        <v>1</v>
      </c>
      <c r="AL1003" s="28">
        <f t="shared" si="47"/>
        <v>1</v>
      </c>
      <c r="AM1003" s="28" t="str">
        <f t="shared" si="46"/>
        <v>agora</v>
      </c>
    </row>
    <row r="1004" spans="1:39" x14ac:dyDescent="0.25">
      <c r="A1004" t="s">
        <v>10383</v>
      </c>
      <c r="B1004" t="s">
        <v>10384</v>
      </c>
      <c r="C1004" t="s">
        <v>17</v>
      </c>
      <c r="D1004" s="27" t="s">
        <v>10194</v>
      </c>
      <c r="E1004" t="s">
        <v>217</v>
      </c>
      <c r="F1004" s="421">
        <v>1</v>
      </c>
      <c r="G1004" t="s">
        <v>193</v>
      </c>
      <c r="H1004" t="s">
        <v>194</v>
      </c>
      <c r="I1004" t="s">
        <v>9491</v>
      </c>
      <c r="J1004" t="s">
        <v>747</v>
      </c>
      <c r="K1004" t="s">
        <v>10394</v>
      </c>
      <c r="L1004" t="s">
        <v>6249</v>
      </c>
      <c r="M1004" t="s">
        <v>12353</v>
      </c>
      <c r="N1004" t="s">
        <v>9603</v>
      </c>
      <c r="O1004" t="s">
        <v>9604</v>
      </c>
      <c r="P1004" t="s">
        <v>12985</v>
      </c>
      <c r="Q1004" t="s">
        <v>12986</v>
      </c>
      <c r="S1004" t="s">
        <v>9309</v>
      </c>
      <c r="T1004" s="28" t="s">
        <v>10397</v>
      </c>
      <c r="U1004" s="27" t="s">
        <v>624</v>
      </c>
      <c r="V1004" t="s">
        <v>194</v>
      </c>
      <c r="W1004" t="s">
        <v>9300</v>
      </c>
      <c r="Z1004" t="s">
        <v>9311</v>
      </c>
      <c r="AF1004" t="s">
        <v>4714</v>
      </c>
      <c r="AG1004" t="s">
        <v>9433</v>
      </c>
      <c r="AI1004" t="s">
        <v>6955</v>
      </c>
      <c r="AJ1004" s="424" t="str">
        <f t="shared" si="45"/>
        <v>332203</v>
      </c>
      <c r="AK1004" s="28">
        <v>1</v>
      </c>
      <c r="AL1004" s="28">
        <f t="shared" si="47"/>
        <v>1</v>
      </c>
      <c r="AM1004" s="28" t="str">
        <f t="shared" si="46"/>
        <v>agora</v>
      </c>
    </row>
    <row r="1005" spans="1:39" x14ac:dyDescent="0.25">
      <c r="A1005" t="s">
        <v>10383</v>
      </c>
      <c r="B1005" t="s">
        <v>10384</v>
      </c>
      <c r="C1005" t="s">
        <v>17</v>
      </c>
      <c r="D1005" s="27" t="s">
        <v>10194</v>
      </c>
      <c r="E1005" t="s">
        <v>217</v>
      </c>
      <c r="F1005" s="421">
        <v>1</v>
      </c>
      <c r="G1005" t="s">
        <v>193</v>
      </c>
      <c r="H1005" t="s">
        <v>194</v>
      </c>
      <c r="I1005" t="s">
        <v>9491</v>
      </c>
      <c r="J1005" t="s">
        <v>316</v>
      </c>
      <c r="K1005" t="s">
        <v>10398</v>
      </c>
      <c r="L1005" t="s">
        <v>6249</v>
      </c>
      <c r="M1005" t="s">
        <v>12353</v>
      </c>
      <c r="N1005" t="s">
        <v>9603</v>
      </c>
      <c r="O1005" t="s">
        <v>9604</v>
      </c>
      <c r="P1005" t="s">
        <v>12987</v>
      </c>
      <c r="Q1005" t="s">
        <v>12988</v>
      </c>
      <c r="S1005" t="s">
        <v>9309</v>
      </c>
      <c r="T1005" s="28" t="s">
        <v>10012</v>
      </c>
      <c r="U1005" s="27" t="s">
        <v>624</v>
      </c>
      <c r="V1005" t="s">
        <v>194</v>
      </c>
      <c r="W1005" t="s">
        <v>9300</v>
      </c>
      <c r="Z1005" t="s">
        <v>9311</v>
      </c>
      <c r="AF1005" t="s">
        <v>4714</v>
      </c>
      <c r="AG1005" t="s">
        <v>9433</v>
      </c>
      <c r="AI1005" t="s">
        <v>6955</v>
      </c>
      <c r="AJ1005" s="424" t="str">
        <f t="shared" si="45"/>
        <v>332203</v>
      </c>
      <c r="AK1005" s="28">
        <v>1</v>
      </c>
      <c r="AL1005" s="28">
        <f t="shared" si="47"/>
        <v>1</v>
      </c>
      <c r="AM1005" s="28" t="str">
        <f t="shared" si="46"/>
        <v>agora</v>
      </c>
    </row>
    <row r="1006" spans="1:39" x14ac:dyDescent="0.25">
      <c r="A1006" t="s">
        <v>10383</v>
      </c>
      <c r="B1006" t="s">
        <v>10384</v>
      </c>
      <c r="C1006" t="s">
        <v>17</v>
      </c>
      <c r="D1006" s="27" t="s">
        <v>10194</v>
      </c>
      <c r="E1006" t="s">
        <v>217</v>
      </c>
      <c r="F1006" s="421">
        <v>1</v>
      </c>
      <c r="G1006" t="s">
        <v>193</v>
      </c>
      <c r="H1006" t="s">
        <v>194</v>
      </c>
      <c r="I1006" t="s">
        <v>9491</v>
      </c>
      <c r="J1006" t="s">
        <v>253</v>
      </c>
      <c r="K1006" t="s">
        <v>10401</v>
      </c>
      <c r="L1006" t="s">
        <v>6249</v>
      </c>
      <c r="M1006" t="s">
        <v>12353</v>
      </c>
      <c r="N1006" t="s">
        <v>9603</v>
      </c>
      <c r="O1006" t="s">
        <v>9604</v>
      </c>
      <c r="P1006" t="s">
        <v>12989</v>
      </c>
      <c r="Q1006" t="s">
        <v>12990</v>
      </c>
      <c r="S1006" t="s">
        <v>9309</v>
      </c>
      <c r="T1006" s="28" t="s">
        <v>9468</v>
      </c>
      <c r="U1006" s="27" t="s">
        <v>624</v>
      </c>
      <c r="V1006" t="s">
        <v>194</v>
      </c>
      <c r="W1006" t="s">
        <v>9300</v>
      </c>
      <c r="Z1006" t="s">
        <v>9311</v>
      </c>
      <c r="AF1006" t="s">
        <v>4714</v>
      </c>
      <c r="AG1006" t="s">
        <v>9433</v>
      </c>
      <c r="AI1006" t="s">
        <v>6955</v>
      </c>
      <c r="AJ1006" s="424" t="str">
        <f t="shared" si="45"/>
        <v>332203</v>
      </c>
      <c r="AK1006" s="28">
        <v>1</v>
      </c>
      <c r="AL1006" s="28">
        <f t="shared" si="47"/>
        <v>1</v>
      </c>
      <c r="AM1006" s="28" t="str">
        <f t="shared" si="46"/>
        <v>agora</v>
      </c>
    </row>
    <row r="1007" spans="1:39" x14ac:dyDescent="0.25">
      <c r="A1007" t="s">
        <v>3407</v>
      </c>
      <c r="B1007" t="s">
        <v>632</v>
      </c>
      <c r="C1007" t="s">
        <v>17</v>
      </c>
      <c r="D1007" s="27" t="s">
        <v>10194</v>
      </c>
      <c r="E1007" t="s">
        <v>192</v>
      </c>
      <c r="F1007" s="421">
        <v>1</v>
      </c>
      <c r="G1007" t="s">
        <v>193</v>
      </c>
      <c r="H1007" t="s">
        <v>194</v>
      </c>
      <c r="I1007" t="s">
        <v>9461</v>
      </c>
      <c r="J1007" t="s">
        <v>3408</v>
      </c>
      <c r="K1007" t="s">
        <v>12991</v>
      </c>
      <c r="L1007" t="s">
        <v>6245</v>
      </c>
      <c r="M1007" t="s">
        <v>12596</v>
      </c>
      <c r="N1007" t="s">
        <v>9749</v>
      </c>
      <c r="O1007" t="s">
        <v>9574</v>
      </c>
      <c r="P1007" t="s">
        <v>12992</v>
      </c>
      <c r="Q1007" t="s">
        <v>12993</v>
      </c>
      <c r="S1007" t="s">
        <v>9309</v>
      </c>
      <c r="T1007" s="28" t="s">
        <v>11163</v>
      </c>
      <c r="U1007" s="27" t="s">
        <v>624</v>
      </c>
      <c r="V1007" t="s">
        <v>194</v>
      </c>
      <c r="W1007" t="s">
        <v>9300</v>
      </c>
      <c r="Z1007" t="s">
        <v>9311</v>
      </c>
      <c r="AF1007" t="s">
        <v>4714</v>
      </c>
      <c r="AG1007" t="s">
        <v>17</v>
      </c>
      <c r="AI1007" t="s">
        <v>6955</v>
      </c>
      <c r="AJ1007" s="424" t="str">
        <f t="shared" si="45"/>
        <v>332203</v>
      </c>
      <c r="AK1007" s="28">
        <v>1</v>
      </c>
      <c r="AL1007" s="28">
        <f t="shared" si="47"/>
        <v>1</v>
      </c>
      <c r="AM1007" s="28" t="str">
        <f t="shared" si="46"/>
        <v>pracuj.pl</v>
      </c>
    </row>
    <row r="1008" spans="1:39" x14ac:dyDescent="0.25">
      <c r="A1008" t="s">
        <v>12994</v>
      </c>
      <c r="B1008" t="s">
        <v>12995</v>
      </c>
      <c r="C1008" t="s">
        <v>3051</v>
      </c>
      <c r="D1008" s="27" t="s">
        <v>10194</v>
      </c>
      <c r="E1008" t="s">
        <v>233</v>
      </c>
      <c r="F1008" s="421">
        <v>1</v>
      </c>
      <c r="G1008" t="s">
        <v>193</v>
      </c>
      <c r="H1008" t="s">
        <v>194</v>
      </c>
      <c r="I1008" t="s">
        <v>11614</v>
      </c>
      <c r="J1008" t="s">
        <v>9302</v>
      </c>
      <c r="K1008" t="s">
        <v>12996</v>
      </c>
      <c r="L1008" t="s">
        <v>6277</v>
      </c>
      <c r="M1008" t="s">
        <v>12365</v>
      </c>
      <c r="N1008" t="s">
        <v>9929</v>
      </c>
      <c r="O1008" t="s">
        <v>10757</v>
      </c>
      <c r="P1008" t="s">
        <v>12997</v>
      </c>
      <c r="Q1008" t="s">
        <v>12998</v>
      </c>
      <c r="S1008" t="s">
        <v>9309</v>
      </c>
      <c r="U1008" s="27" t="s">
        <v>6136</v>
      </c>
      <c r="V1008" t="s">
        <v>193</v>
      </c>
      <c r="W1008" t="s">
        <v>9310</v>
      </c>
      <c r="Z1008" t="s">
        <v>9311</v>
      </c>
      <c r="AF1008" t="s">
        <v>4714</v>
      </c>
      <c r="AG1008" t="s">
        <v>12995</v>
      </c>
      <c r="AI1008" t="s">
        <v>6955</v>
      </c>
      <c r="AJ1008" s="424" t="str">
        <f t="shared" si="45"/>
        <v>134204</v>
      </c>
      <c r="AK1008" s="28">
        <v>1</v>
      </c>
      <c r="AL1008" s="28">
        <f t="shared" si="47"/>
        <v>1</v>
      </c>
      <c r="AM1008" s="28" t="str">
        <f t="shared" si="46"/>
        <v>praca</v>
      </c>
    </row>
    <row r="1009" spans="1:39" x14ac:dyDescent="0.25">
      <c r="A1009" t="s">
        <v>11549</v>
      </c>
      <c r="B1009" t="s">
        <v>11550</v>
      </c>
      <c r="C1009" t="s">
        <v>85</v>
      </c>
      <c r="D1009" s="27" t="s">
        <v>10194</v>
      </c>
      <c r="E1009" t="s">
        <v>217</v>
      </c>
      <c r="F1009" s="421">
        <v>1</v>
      </c>
      <c r="G1009" t="s">
        <v>193</v>
      </c>
      <c r="H1009" t="s">
        <v>194</v>
      </c>
      <c r="I1009" t="s">
        <v>12306</v>
      </c>
      <c r="J1009" t="s">
        <v>210</v>
      </c>
      <c r="K1009" t="s">
        <v>11551</v>
      </c>
      <c r="L1009" t="s">
        <v>6249</v>
      </c>
      <c r="M1009" t="s">
        <v>12353</v>
      </c>
      <c r="N1009" t="s">
        <v>9911</v>
      </c>
      <c r="O1009" t="s">
        <v>9486</v>
      </c>
      <c r="P1009" t="s">
        <v>12999</v>
      </c>
      <c r="Q1009" t="s">
        <v>13000</v>
      </c>
      <c r="S1009" t="s">
        <v>9309</v>
      </c>
      <c r="T1009" s="28" t="s">
        <v>9334</v>
      </c>
      <c r="U1009" s="27" t="s">
        <v>477</v>
      </c>
      <c r="V1009" t="s">
        <v>194</v>
      </c>
      <c r="W1009" t="s">
        <v>9300</v>
      </c>
      <c r="Z1009" t="s">
        <v>9311</v>
      </c>
      <c r="AF1009" t="s">
        <v>4714</v>
      </c>
      <c r="AG1009" t="s">
        <v>9433</v>
      </c>
      <c r="AI1009" t="s">
        <v>6955</v>
      </c>
      <c r="AJ1009" s="424" t="str">
        <f t="shared" si="45"/>
        <v>243305</v>
      </c>
      <c r="AK1009" s="28">
        <v>1</v>
      </c>
      <c r="AL1009" s="28">
        <f t="shared" si="47"/>
        <v>1</v>
      </c>
      <c r="AM1009" s="28" t="str">
        <f t="shared" si="46"/>
        <v>agora</v>
      </c>
    </row>
    <row r="1010" spans="1:39" x14ac:dyDescent="0.25">
      <c r="A1010" t="s">
        <v>5577</v>
      </c>
      <c r="B1010" t="s">
        <v>6490</v>
      </c>
      <c r="C1010" t="s">
        <v>36</v>
      </c>
      <c r="D1010" s="27" t="s">
        <v>10194</v>
      </c>
      <c r="E1010" t="s">
        <v>192</v>
      </c>
      <c r="F1010" s="421">
        <v>1</v>
      </c>
      <c r="G1010" t="s">
        <v>193</v>
      </c>
      <c r="H1010" t="s">
        <v>194</v>
      </c>
      <c r="I1010" t="s">
        <v>9491</v>
      </c>
      <c r="J1010" t="s">
        <v>13001</v>
      </c>
      <c r="K1010" t="s">
        <v>13002</v>
      </c>
      <c r="L1010" t="s">
        <v>7531</v>
      </c>
      <c r="M1010" t="s">
        <v>12244</v>
      </c>
      <c r="N1010" t="s">
        <v>9749</v>
      </c>
      <c r="O1010" t="s">
        <v>9574</v>
      </c>
      <c r="P1010" t="s">
        <v>13003</v>
      </c>
      <c r="Q1010" t="s">
        <v>13004</v>
      </c>
      <c r="S1010" t="s">
        <v>9309</v>
      </c>
      <c r="T1010" s="28" t="s">
        <v>9367</v>
      </c>
      <c r="U1010" s="27" t="s">
        <v>609</v>
      </c>
      <c r="V1010" t="s">
        <v>194</v>
      </c>
      <c r="W1010" t="s">
        <v>9300</v>
      </c>
      <c r="Z1010" t="s">
        <v>9311</v>
      </c>
      <c r="AF1010" t="s">
        <v>4714</v>
      </c>
      <c r="AG1010" t="s">
        <v>6490</v>
      </c>
      <c r="AI1010" t="s">
        <v>6955</v>
      </c>
      <c r="AJ1010" s="424" t="str">
        <f t="shared" si="45"/>
        <v>331301</v>
      </c>
      <c r="AK1010" s="28">
        <v>1</v>
      </c>
      <c r="AL1010" s="28">
        <f t="shared" si="47"/>
        <v>1</v>
      </c>
      <c r="AM1010" s="28" t="str">
        <f t="shared" si="46"/>
        <v>pracuj.pl</v>
      </c>
    </row>
    <row r="1011" spans="1:39" x14ac:dyDescent="0.25">
      <c r="A1011" t="s">
        <v>5577</v>
      </c>
      <c r="B1011" t="s">
        <v>13005</v>
      </c>
      <c r="C1011" t="s">
        <v>21</v>
      </c>
      <c r="D1011" s="27" t="s">
        <v>10194</v>
      </c>
      <c r="E1011" t="s">
        <v>192</v>
      </c>
      <c r="F1011" s="421">
        <v>1</v>
      </c>
      <c r="G1011" t="s">
        <v>193</v>
      </c>
      <c r="H1011" t="s">
        <v>194</v>
      </c>
      <c r="I1011" t="s">
        <v>9989</v>
      </c>
      <c r="J1011" t="s">
        <v>13001</v>
      </c>
      <c r="K1011" t="s">
        <v>13006</v>
      </c>
      <c r="L1011" t="s">
        <v>6245</v>
      </c>
      <c r="M1011" t="s">
        <v>12244</v>
      </c>
      <c r="N1011" t="s">
        <v>9749</v>
      </c>
      <c r="O1011" t="s">
        <v>9574</v>
      </c>
      <c r="P1011" t="s">
        <v>13007</v>
      </c>
      <c r="Q1011" t="s">
        <v>13008</v>
      </c>
      <c r="S1011" t="s">
        <v>9309</v>
      </c>
      <c r="T1011" s="28" t="s">
        <v>9367</v>
      </c>
      <c r="U1011" s="27" t="s">
        <v>293</v>
      </c>
      <c r="V1011" t="s">
        <v>194</v>
      </c>
      <c r="W1011" t="s">
        <v>9300</v>
      </c>
      <c r="Z1011" t="s">
        <v>9311</v>
      </c>
      <c r="AF1011" t="s">
        <v>4714</v>
      </c>
      <c r="AG1011" t="s">
        <v>13005</v>
      </c>
      <c r="AI1011" t="s">
        <v>6955</v>
      </c>
      <c r="AJ1011" s="424" t="str">
        <f t="shared" si="45"/>
        <v>214202</v>
      </c>
      <c r="AK1011" s="28">
        <v>1</v>
      </c>
      <c r="AL1011" s="28">
        <f t="shared" si="47"/>
        <v>1</v>
      </c>
      <c r="AM1011" s="28" t="str">
        <f t="shared" si="46"/>
        <v>pracuj.pl</v>
      </c>
    </row>
    <row r="1012" spans="1:39" x14ac:dyDescent="0.25">
      <c r="A1012" t="s">
        <v>581</v>
      </c>
      <c r="B1012" t="s">
        <v>3873</v>
      </c>
      <c r="C1012" t="s">
        <v>62</v>
      </c>
      <c r="D1012" s="27" t="s">
        <v>10194</v>
      </c>
      <c r="E1012" t="s">
        <v>217</v>
      </c>
      <c r="F1012" s="421">
        <v>1</v>
      </c>
      <c r="G1012" t="s">
        <v>193</v>
      </c>
      <c r="H1012" t="s">
        <v>194</v>
      </c>
      <c r="I1012" t="s">
        <v>9343</v>
      </c>
      <c r="J1012" t="s">
        <v>12216</v>
      </c>
      <c r="K1012" t="s">
        <v>12217</v>
      </c>
      <c r="L1012" t="s">
        <v>6275</v>
      </c>
      <c r="M1012" t="s">
        <v>12353</v>
      </c>
      <c r="N1012" t="s">
        <v>9929</v>
      </c>
      <c r="O1012" t="s">
        <v>9588</v>
      </c>
      <c r="P1012" t="s">
        <v>13009</v>
      </c>
      <c r="Q1012" t="s">
        <v>13010</v>
      </c>
      <c r="S1012" t="s">
        <v>9309</v>
      </c>
      <c r="T1012" s="28" t="s">
        <v>9468</v>
      </c>
      <c r="U1012" s="27" t="s">
        <v>601</v>
      </c>
      <c r="V1012" t="s">
        <v>194</v>
      </c>
      <c r="W1012" t="s">
        <v>9300</v>
      </c>
      <c r="Z1012" t="s">
        <v>9311</v>
      </c>
      <c r="AF1012" t="s">
        <v>4714</v>
      </c>
      <c r="AG1012" t="s">
        <v>9433</v>
      </c>
      <c r="AI1012" t="s">
        <v>6955</v>
      </c>
      <c r="AJ1012" s="424" t="str">
        <f t="shared" si="45"/>
        <v>313904</v>
      </c>
      <c r="AK1012" s="28">
        <v>1</v>
      </c>
      <c r="AL1012" s="28">
        <f t="shared" si="47"/>
        <v>1</v>
      </c>
      <c r="AM1012" s="28" t="str">
        <f t="shared" si="46"/>
        <v>agora</v>
      </c>
    </row>
    <row r="1013" spans="1:39" x14ac:dyDescent="0.25">
      <c r="A1013" t="s">
        <v>9312</v>
      </c>
      <c r="B1013" t="s">
        <v>12255</v>
      </c>
      <c r="D1013" s="27" t="s">
        <v>10194</v>
      </c>
      <c r="E1013" t="s">
        <v>192</v>
      </c>
      <c r="F1013" s="422">
        <v>1</v>
      </c>
      <c r="G1013" t="s">
        <v>194</v>
      </c>
      <c r="H1013" t="s">
        <v>193</v>
      </c>
      <c r="I1013" t="s">
        <v>9301</v>
      </c>
      <c r="J1013" t="s">
        <v>9302</v>
      </c>
      <c r="K1013" t="s">
        <v>12256</v>
      </c>
      <c r="L1013" t="s">
        <v>6921</v>
      </c>
      <c r="M1013" t="s">
        <v>12244</v>
      </c>
      <c r="N1013" t="s">
        <v>9749</v>
      </c>
      <c r="O1013" t="s">
        <v>9574</v>
      </c>
      <c r="P1013" t="s">
        <v>12257</v>
      </c>
      <c r="Q1013" t="s">
        <v>12258</v>
      </c>
      <c r="S1013" t="s">
        <v>9309</v>
      </c>
      <c r="U1013" s="27" t="s">
        <v>484</v>
      </c>
      <c r="V1013" t="s">
        <v>194</v>
      </c>
      <c r="W1013" t="s">
        <v>9946</v>
      </c>
      <c r="Z1013" t="s">
        <v>9311</v>
      </c>
      <c r="AF1013" t="s">
        <v>4714</v>
      </c>
      <c r="AG1013" t="s">
        <v>12255</v>
      </c>
      <c r="AI1013" t="s">
        <v>6955</v>
      </c>
      <c r="AJ1013" s="336" t="str">
        <f t="shared" si="45"/>
        <v>251401</v>
      </c>
      <c r="AK1013" s="28">
        <v>1</v>
      </c>
      <c r="AL1013" s="28">
        <f t="shared" si="47"/>
        <v>1</v>
      </c>
      <c r="AM1013" s="28" t="str">
        <f t="shared" si="46"/>
        <v>pracuj.pl</v>
      </c>
    </row>
    <row r="1014" spans="1:39" x14ac:dyDescent="0.25">
      <c r="A1014" t="s">
        <v>13015</v>
      </c>
      <c r="B1014" t="s">
        <v>209</v>
      </c>
      <c r="C1014" t="s">
        <v>35</v>
      </c>
      <c r="D1014" s="27" t="s">
        <v>10194</v>
      </c>
      <c r="E1014" t="s">
        <v>192</v>
      </c>
      <c r="F1014" s="421">
        <v>1</v>
      </c>
      <c r="G1014" t="s">
        <v>193</v>
      </c>
      <c r="H1014" t="s">
        <v>194</v>
      </c>
      <c r="I1014" t="s">
        <v>11614</v>
      </c>
      <c r="J1014" t="s">
        <v>9302</v>
      </c>
      <c r="K1014" t="s">
        <v>13016</v>
      </c>
      <c r="L1014" t="s">
        <v>6254</v>
      </c>
      <c r="M1014" t="s">
        <v>12244</v>
      </c>
      <c r="N1014" t="s">
        <v>9749</v>
      </c>
      <c r="O1014" t="s">
        <v>9574</v>
      </c>
      <c r="P1014" t="s">
        <v>13017</v>
      </c>
      <c r="Q1014" t="s">
        <v>13018</v>
      </c>
      <c r="S1014" t="s">
        <v>9309</v>
      </c>
      <c r="U1014" s="27" t="s">
        <v>207</v>
      </c>
      <c r="V1014" t="s">
        <v>193</v>
      </c>
      <c r="W1014" t="s">
        <v>9310</v>
      </c>
      <c r="Z1014" t="s">
        <v>9311</v>
      </c>
      <c r="AF1014" t="s">
        <v>4714</v>
      </c>
      <c r="AG1014" t="s">
        <v>209</v>
      </c>
      <c r="AI1014" t="s">
        <v>6955</v>
      </c>
      <c r="AJ1014" s="424" t="str">
        <f t="shared" ref="AJ1014:AJ1023" si="48">MID(U1014,8,6)</f>
        <v>122106</v>
      </c>
      <c r="AK1014" s="28">
        <v>1</v>
      </c>
      <c r="AL1014" s="28">
        <f t="shared" ref="AL1014:AL1023" si="49">SUM(F1014)</f>
        <v>1</v>
      </c>
      <c r="AM1014" s="28" t="str">
        <f t="shared" ref="AM1014:AM1023" si="50">T(E1014)</f>
        <v>pracuj.pl</v>
      </c>
    </row>
    <row r="1015" spans="1:39" x14ac:dyDescent="0.25">
      <c r="A1015" t="s">
        <v>13019</v>
      </c>
      <c r="B1015" t="s">
        <v>632</v>
      </c>
      <c r="C1015" t="s">
        <v>17</v>
      </c>
      <c r="D1015" s="27" t="s">
        <v>10194</v>
      </c>
      <c r="E1015" t="s">
        <v>192</v>
      </c>
      <c r="F1015" s="421">
        <v>1</v>
      </c>
      <c r="G1015" t="s">
        <v>193</v>
      </c>
      <c r="H1015" t="s">
        <v>194</v>
      </c>
      <c r="I1015" t="s">
        <v>9461</v>
      </c>
      <c r="J1015" t="s">
        <v>253</v>
      </c>
      <c r="K1015" t="s">
        <v>13020</v>
      </c>
      <c r="L1015" t="s">
        <v>6249</v>
      </c>
      <c r="M1015" t="s">
        <v>12596</v>
      </c>
      <c r="N1015" t="s">
        <v>9749</v>
      </c>
      <c r="O1015" t="s">
        <v>9574</v>
      </c>
      <c r="P1015" t="s">
        <v>13021</v>
      </c>
      <c r="Q1015" t="s">
        <v>13022</v>
      </c>
      <c r="S1015" t="s">
        <v>9309</v>
      </c>
      <c r="T1015" s="28" t="s">
        <v>9468</v>
      </c>
      <c r="U1015" s="27" t="s">
        <v>624</v>
      </c>
      <c r="V1015" t="s">
        <v>194</v>
      </c>
      <c r="W1015" t="s">
        <v>9300</v>
      </c>
      <c r="Z1015" t="s">
        <v>9311</v>
      </c>
      <c r="AF1015" t="s">
        <v>4714</v>
      </c>
      <c r="AG1015" t="s">
        <v>17</v>
      </c>
      <c r="AI1015" t="s">
        <v>6955</v>
      </c>
      <c r="AJ1015" s="424" t="str">
        <f t="shared" si="48"/>
        <v>332203</v>
      </c>
      <c r="AK1015" s="28">
        <v>1</v>
      </c>
      <c r="AL1015" s="28">
        <f t="shared" si="49"/>
        <v>1</v>
      </c>
      <c r="AM1015" s="28" t="str">
        <f t="shared" si="50"/>
        <v>pracuj.pl</v>
      </c>
    </row>
    <row r="1016" spans="1:39" x14ac:dyDescent="0.25">
      <c r="A1016" t="s">
        <v>633</v>
      </c>
      <c r="B1016" t="s">
        <v>13023</v>
      </c>
      <c r="C1016" t="s">
        <v>13024</v>
      </c>
      <c r="D1016" s="27" t="s">
        <v>10194</v>
      </c>
      <c r="E1016" t="s">
        <v>217</v>
      </c>
      <c r="F1016" s="421">
        <v>1</v>
      </c>
      <c r="G1016" t="s">
        <v>193</v>
      </c>
      <c r="H1016" t="s">
        <v>194</v>
      </c>
      <c r="I1016" t="s">
        <v>11614</v>
      </c>
      <c r="J1016" t="s">
        <v>210</v>
      </c>
      <c r="K1016" t="s">
        <v>13025</v>
      </c>
      <c r="L1016" t="s">
        <v>6269</v>
      </c>
      <c r="M1016" t="s">
        <v>12353</v>
      </c>
      <c r="N1016" t="s">
        <v>13026</v>
      </c>
      <c r="O1016" t="s">
        <v>9835</v>
      </c>
      <c r="P1016" t="s">
        <v>13027</v>
      </c>
      <c r="Q1016" t="s">
        <v>13028</v>
      </c>
      <c r="S1016" t="s">
        <v>9309</v>
      </c>
      <c r="T1016" s="28" t="s">
        <v>9334</v>
      </c>
      <c r="U1016" s="27" t="s">
        <v>1227</v>
      </c>
      <c r="V1016" t="s">
        <v>194</v>
      </c>
      <c r="W1016" t="s">
        <v>9300</v>
      </c>
      <c r="Z1016" t="s">
        <v>9311</v>
      </c>
      <c r="AF1016" t="s">
        <v>4714</v>
      </c>
      <c r="AG1016" t="s">
        <v>9433</v>
      </c>
      <c r="AI1016" t="s">
        <v>6955</v>
      </c>
      <c r="AJ1016" s="424" t="str">
        <f t="shared" si="48"/>
        <v>215106</v>
      </c>
      <c r="AK1016" s="28">
        <v>1</v>
      </c>
      <c r="AL1016" s="28">
        <f t="shared" si="49"/>
        <v>1</v>
      </c>
      <c r="AM1016" s="28" t="str">
        <f t="shared" si="50"/>
        <v>agora</v>
      </c>
    </row>
    <row r="1017" spans="1:39" x14ac:dyDescent="0.25">
      <c r="A1017" t="s">
        <v>633</v>
      </c>
      <c r="B1017" t="s">
        <v>13029</v>
      </c>
      <c r="C1017" t="s">
        <v>9377</v>
      </c>
      <c r="D1017" s="27" t="s">
        <v>10194</v>
      </c>
      <c r="E1017" t="s">
        <v>217</v>
      </c>
      <c r="F1017" s="421">
        <v>1</v>
      </c>
      <c r="G1017" t="s">
        <v>193</v>
      </c>
      <c r="H1017" t="s">
        <v>194</v>
      </c>
      <c r="I1017" t="s">
        <v>12306</v>
      </c>
      <c r="J1017" t="s">
        <v>210</v>
      </c>
      <c r="K1017" t="s">
        <v>13030</v>
      </c>
      <c r="L1017" t="s">
        <v>6249</v>
      </c>
      <c r="M1017" t="s">
        <v>12353</v>
      </c>
      <c r="N1017" t="s">
        <v>13026</v>
      </c>
      <c r="O1017" t="s">
        <v>9835</v>
      </c>
      <c r="P1017" t="s">
        <v>13031</v>
      </c>
      <c r="Q1017" t="s">
        <v>13032</v>
      </c>
      <c r="S1017" t="s">
        <v>9309</v>
      </c>
      <c r="T1017" s="28" t="s">
        <v>9334</v>
      </c>
      <c r="U1017" s="27" t="s">
        <v>9381</v>
      </c>
      <c r="V1017" t="s">
        <v>194</v>
      </c>
      <c r="W1017" t="s">
        <v>9300</v>
      </c>
      <c r="Z1017" t="s">
        <v>9311</v>
      </c>
      <c r="AF1017" t="s">
        <v>4714</v>
      </c>
      <c r="AG1017" t="s">
        <v>9433</v>
      </c>
      <c r="AI1017" t="s">
        <v>6955</v>
      </c>
      <c r="AJ1017" s="424" t="str">
        <f t="shared" si="48"/>
        <v>264302</v>
      </c>
      <c r="AK1017" s="28">
        <v>1</v>
      </c>
      <c r="AL1017" s="28">
        <f t="shared" si="49"/>
        <v>1</v>
      </c>
      <c r="AM1017" s="28" t="str">
        <f t="shared" si="50"/>
        <v>agora</v>
      </c>
    </row>
    <row r="1018" spans="1:39" x14ac:dyDescent="0.25">
      <c r="A1018" t="s">
        <v>633</v>
      </c>
      <c r="B1018" t="s">
        <v>13033</v>
      </c>
      <c r="C1018" t="s">
        <v>17</v>
      </c>
      <c r="D1018" s="27" t="s">
        <v>10194</v>
      </c>
      <c r="E1018" t="s">
        <v>217</v>
      </c>
      <c r="F1018" s="421">
        <v>1</v>
      </c>
      <c r="G1018" t="s">
        <v>193</v>
      </c>
      <c r="H1018" t="s">
        <v>194</v>
      </c>
      <c r="I1018" t="s">
        <v>12271</v>
      </c>
      <c r="J1018" t="s">
        <v>210</v>
      </c>
      <c r="K1018" t="s">
        <v>13034</v>
      </c>
      <c r="L1018" t="s">
        <v>6249</v>
      </c>
      <c r="M1018" t="s">
        <v>12353</v>
      </c>
      <c r="N1018" t="s">
        <v>13026</v>
      </c>
      <c r="O1018" t="s">
        <v>9835</v>
      </c>
      <c r="P1018" t="s">
        <v>13035</v>
      </c>
      <c r="Q1018" t="s">
        <v>13036</v>
      </c>
      <c r="S1018" t="s">
        <v>9309</v>
      </c>
      <c r="T1018" s="28" t="s">
        <v>9334</v>
      </c>
      <c r="U1018" s="27" t="s">
        <v>624</v>
      </c>
      <c r="V1018" t="s">
        <v>194</v>
      </c>
      <c r="W1018" t="s">
        <v>9300</v>
      </c>
      <c r="Z1018" t="s">
        <v>9311</v>
      </c>
      <c r="AF1018" t="s">
        <v>4714</v>
      </c>
      <c r="AG1018" t="s">
        <v>9433</v>
      </c>
      <c r="AI1018" t="s">
        <v>6955</v>
      </c>
      <c r="AJ1018" s="424" t="str">
        <f t="shared" si="48"/>
        <v>332203</v>
      </c>
      <c r="AK1018" s="28">
        <v>1</v>
      </c>
      <c r="AL1018" s="28">
        <f t="shared" si="49"/>
        <v>1</v>
      </c>
      <c r="AM1018" s="28" t="str">
        <f t="shared" si="50"/>
        <v>agora</v>
      </c>
    </row>
    <row r="1019" spans="1:39" x14ac:dyDescent="0.25">
      <c r="A1019" t="s">
        <v>12230</v>
      </c>
      <c r="B1019" t="s">
        <v>13037</v>
      </c>
      <c r="C1019" t="s">
        <v>566</v>
      </c>
      <c r="D1019" s="27" t="s">
        <v>10194</v>
      </c>
      <c r="E1019" t="s">
        <v>233</v>
      </c>
      <c r="F1019" s="421">
        <v>1</v>
      </c>
      <c r="G1019" t="s">
        <v>193</v>
      </c>
      <c r="H1019" t="s">
        <v>194</v>
      </c>
      <c r="I1019" t="s">
        <v>9989</v>
      </c>
      <c r="J1019" t="s">
        <v>9302</v>
      </c>
      <c r="K1019" t="s">
        <v>13038</v>
      </c>
      <c r="L1019" t="s">
        <v>6275</v>
      </c>
      <c r="M1019" t="s">
        <v>12365</v>
      </c>
      <c r="N1019" t="s">
        <v>9929</v>
      </c>
      <c r="O1019" t="s">
        <v>9604</v>
      </c>
      <c r="P1019" t="s">
        <v>13039</v>
      </c>
      <c r="Q1019" t="s">
        <v>13040</v>
      </c>
      <c r="S1019" t="s">
        <v>9309</v>
      </c>
      <c r="U1019" s="27" t="s">
        <v>567</v>
      </c>
      <c r="V1019" t="s">
        <v>193</v>
      </c>
      <c r="W1019" t="s">
        <v>9310</v>
      </c>
      <c r="Z1019" t="s">
        <v>9311</v>
      </c>
      <c r="AF1019" t="s">
        <v>4714</v>
      </c>
      <c r="AG1019" t="s">
        <v>13037</v>
      </c>
      <c r="AI1019" t="s">
        <v>6955</v>
      </c>
      <c r="AJ1019" s="424" t="str">
        <f t="shared" si="48"/>
        <v>311504</v>
      </c>
      <c r="AK1019" s="28">
        <v>1</v>
      </c>
      <c r="AL1019" s="28">
        <f t="shared" si="49"/>
        <v>1</v>
      </c>
      <c r="AM1019" s="28" t="str">
        <f t="shared" si="50"/>
        <v>praca</v>
      </c>
    </row>
    <row r="1020" spans="1:39" x14ac:dyDescent="0.25">
      <c r="A1020" t="s">
        <v>3716</v>
      </c>
      <c r="B1020" t="s">
        <v>13041</v>
      </c>
      <c r="C1020" t="s">
        <v>17</v>
      </c>
      <c r="D1020" s="27" t="s">
        <v>10194</v>
      </c>
      <c r="E1020" t="s">
        <v>192</v>
      </c>
      <c r="F1020" s="421">
        <v>1</v>
      </c>
      <c r="G1020" t="s">
        <v>193</v>
      </c>
      <c r="H1020" t="s">
        <v>194</v>
      </c>
      <c r="I1020" t="s">
        <v>9369</v>
      </c>
      <c r="J1020" t="s">
        <v>253</v>
      </c>
      <c r="K1020" t="s">
        <v>13042</v>
      </c>
      <c r="L1020" t="s">
        <v>6245</v>
      </c>
      <c r="M1020" t="s">
        <v>12244</v>
      </c>
      <c r="N1020" t="s">
        <v>9749</v>
      </c>
      <c r="O1020" t="s">
        <v>9574</v>
      </c>
      <c r="P1020" t="s">
        <v>13043</v>
      </c>
      <c r="Q1020" t="s">
        <v>13044</v>
      </c>
      <c r="S1020" t="s">
        <v>9309</v>
      </c>
      <c r="T1020" s="28" t="s">
        <v>9468</v>
      </c>
      <c r="U1020" s="27" t="s">
        <v>624</v>
      </c>
      <c r="V1020" t="s">
        <v>194</v>
      </c>
      <c r="W1020" t="s">
        <v>9300</v>
      </c>
      <c r="Z1020" t="s">
        <v>9311</v>
      </c>
      <c r="AF1020" t="s">
        <v>4714</v>
      </c>
      <c r="AG1020" t="s">
        <v>13041</v>
      </c>
      <c r="AI1020" t="s">
        <v>6955</v>
      </c>
      <c r="AJ1020" s="424" t="str">
        <f t="shared" si="48"/>
        <v>332203</v>
      </c>
      <c r="AK1020" s="28">
        <v>1</v>
      </c>
      <c r="AL1020" s="28">
        <f t="shared" si="49"/>
        <v>1</v>
      </c>
      <c r="AM1020" s="28" t="str">
        <f t="shared" si="50"/>
        <v>pracuj.pl</v>
      </c>
    </row>
    <row r="1021" spans="1:39" x14ac:dyDescent="0.25">
      <c r="A1021" t="s">
        <v>3716</v>
      </c>
      <c r="B1021" t="s">
        <v>13041</v>
      </c>
      <c r="C1021" t="s">
        <v>17</v>
      </c>
      <c r="D1021" s="27" t="s">
        <v>10194</v>
      </c>
      <c r="E1021" t="s">
        <v>192</v>
      </c>
      <c r="F1021" s="421">
        <v>1</v>
      </c>
      <c r="G1021" t="s">
        <v>193</v>
      </c>
      <c r="H1021" t="s">
        <v>194</v>
      </c>
      <c r="I1021" t="s">
        <v>9369</v>
      </c>
      <c r="J1021" t="s">
        <v>210</v>
      </c>
      <c r="K1021" t="s">
        <v>13045</v>
      </c>
      <c r="L1021" t="s">
        <v>6245</v>
      </c>
      <c r="M1021" t="s">
        <v>12244</v>
      </c>
      <c r="N1021" t="s">
        <v>9749</v>
      </c>
      <c r="O1021" t="s">
        <v>9574</v>
      </c>
      <c r="P1021" t="s">
        <v>13046</v>
      </c>
      <c r="Q1021" t="s">
        <v>13047</v>
      </c>
      <c r="S1021" t="s">
        <v>9309</v>
      </c>
      <c r="T1021" s="28" t="s">
        <v>9334</v>
      </c>
      <c r="U1021" s="27" t="s">
        <v>624</v>
      </c>
      <c r="V1021" t="s">
        <v>194</v>
      </c>
      <c r="W1021" t="s">
        <v>9300</v>
      </c>
      <c r="Z1021" t="s">
        <v>9311</v>
      </c>
      <c r="AF1021" t="s">
        <v>4714</v>
      </c>
      <c r="AG1021" t="s">
        <v>13041</v>
      </c>
      <c r="AI1021" t="s">
        <v>6955</v>
      </c>
      <c r="AJ1021" s="424" t="str">
        <f t="shared" si="48"/>
        <v>332203</v>
      </c>
      <c r="AK1021" s="28">
        <v>1</v>
      </c>
      <c r="AL1021" s="28">
        <f t="shared" si="49"/>
        <v>1</v>
      </c>
      <c r="AM1021" s="28" t="str">
        <f t="shared" si="50"/>
        <v>pracuj.pl</v>
      </c>
    </row>
    <row r="1022" spans="1:39" x14ac:dyDescent="0.25">
      <c r="A1022" t="s">
        <v>3716</v>
      </c>
      <c r="B1022" t="s">
        <v>13041</v>
      </c>
      <c r="C1022" t="s">
        <v>17</v>
      </c>
      <c r="D1022" s="27" t="s">
        <v>10194</v>
      </c>
      <c r="E1022" t="s">
        <v>192</v>
      </c>
      <c r="F1022" s="421">
        <v>1</v>
      </c>
      <c r="G1022" t="s">
        <v>193</v>
      </c>
      <c r="H1022" t="s">
        <v>194</v>
      </c>
      <c r="I1022" t="s">
        <v>9369</v>
      </c>
      <c r="J1022" t="s">
        <v>316</v>
      </c>
      <c r="K1022" t="s">
        <v>13048</v>
      </c>
      <c r="L1022" t="s">
        <v>6245</v>
      </c>
      <c r="M1022" t="s">
        <v>12244</v>
      </c>
      <c r="N1022" t="s">
        <v>9749</v>
      </c>
      <c r="O1022" t="s">
        <v>9574</v>
      </c>
      <c r="P1022" t="s">
        <v>13049</v>
      </c>
      <c r="Q1022" t="s">
        <v>13050</v>
      </c>
      <c r="S1022" t="s">
        <v>9309</v>
      </c>
      <c r="T1022" s="28" t="s">
        <v>10012</v>
      </c>
      <c r="U1022" s="27" t="s">
        <v>624</v>
      </c>
      <c r="V1022" t="s">
        <v>194</v>
      </c>
      <c r="W1022" t="s">
        <v>9300</v>
      </c>
      <c r="Z1022" t="s">
        <v>9311</v>
      </c>
      <c r="AF1022" t="s">
        <v>4714</v>
      </c>
      <c r="AG1022" t="s">
        <v>13041</v>
      </c>
      <c r="AI1022" t="s">
        <v>6955</v>
      </c>
      <c r="AJ1022" s="424" t="str">
        <f t="shared" si="48"/>
        <v>332203</v>
      </c>
      <c r="AK1022" s="28">
        <v>1</v>
      </c>
      <c r="AL1022" s="28">
        <f t="shared" si="49"/>
        <v>1</v>
      </c>
      <c r="AM1022" s="28" t="str">
        <f t="shared" si="50"/>
        <v>pracuj.pl</v>
      </c>
    </row>
    <row r="1023" spans="1:39" x14ac:dyDescent="0.25">
      <c r="A1023" t="s">
        <v>10503</v>
      </c>
      <c r="B1023" t="s">
        <v>1644</v>
      </c>
      <c r="C1023" t="s">
        <v>80</v>
      </c>
      <c r="D1023" s="27" t="s">
        <v>10194</v>
      </c>
      <c r="E1023" t="s">
        <v>192</v>
      </c>
      <c r="F1023" s="421">
        <v>1</v>
      </c>
      <c r="G1023" t="s">
        <v>193</v>
      </c>
      <c r="H1023" t="s">
        <v>194</v>
      </c>
      <c r="I1023" t="s">
        <v>9989</v>
      </c>
      <c r="J1023" t="s">
        <v>9302</v>
      </c>
      <c r="K1023" t="s">
        <v>13051</v>
      </c>
      <c r="L1023" t="s">
        <v>6245</v>
      </c>
      <c r="M1023" t="s">
        <v>12244</v>
      </c>
      <c r="N1023" t="s">
        <v>9749</v>
      </c>
      <c r="O1023" t="s">
        <v>9574</v>
      </c>
      <c r="P1023" t="s">
        <v>13052</v>
      </c>
      <c r="Q1023" t="s">
        <v>13053</v>
      </c>
      <c r="S1023" t="s">
        <v>9309</v>
      </c>
      <c r="U1023" s="27" t="s">
        <v>474</v>
      </c>
      <c r="V1023" t="s">
        <v>193</v>
      </c>
      <c r="W1023" t="s">
        <v>9310</v>
      </c>
      <c r="Z1023" t="s">
        <v>9311</v>
      </c>
      <c r="AF1023" t="s">
        <v>4714</v>
      </c>
      <c r="AG1023" t="s">
        <v>1644</v>
      </c>
      <c r="AI1023" t="s">
        <v>6955</v>
      </c>
      <c r="AJ1023" s="424" t="str">
        <f t="shared" si="48"/>
        <v>243304</v>
      </c>
      <c r="AK1023" s="28">
        <v>1</v>
      </c>
      <c r="AL1023" s="28">
        <f t="shared" si="49"/>
        <v>1</v>
      </c>
      <c r="AM1023" s="28" t="str">
        <f t="shared" si="50"/>
        <v>pracuj.pl</v>
      </c>
    </row>
    <row r="1024" spans="1:39" x14ac:dyDescent="0.25">
      <c r="F1024" s="420">
        <f>SUM(F2:F1023)</f>
        <v>1030</v>
      </c>
      <c r="AK1024" s="29">
        <f>SUM(AK2:AK1023)</f>
        <v>1022</v>
      </c>
      <c r="AL1024" s="422">
        <f>SUM(AL2:AL1023)</f>
        <v>1030</v>
      </c>
    </row>
    <row r="1025" spans="37:39" x14ac:dyDescent="0.25">
      <c r="AK1025" s="28">
        <f>SUBTOTAL(9,AK2:AK1023)</f>
        <v>1022</v>
      </c>
      <c r="AL1025" s="29">
        <f>SUBTOTAL(9,AL2:AL1023)</f>
        <v>1030</v>
      </c>
      <c r="AM1025" s="28">
        <f>SUBTOTAL(9,AM2:AM1023)</f>
        <v>0</v>
      </c>
    </row>
  </sheetData>
  <autoFilter ref="A1:AM1024"/>
  <sortState ref="A3:AM1013">
    <sortCondition ref="C3:C1013"/>
  </sortState>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04"/>
  <sheetViews>
    <sheetView zoomScale="80" zoomScaleNormal="80" workbookViewId="0"/>
  </sheetViews>
  <sheetFormatPr defaultRowHeight="15" x14ac:dyDescent="0.25"/>
  <cols>
    <col min="2" max="2" width="26.28515625" customWidth="1"/>
    <col min="3" max="3" width="50" customWidth="1"/>
    <col min="4" max="4" width="9.140625" style="25"/>
    <col min="21" max="21" width="15.85546875" customWidth="1"/>
    <col min="36" max="36" width="9.140625" style="27"/>
    <col min="37" max="37" width="7.7109375" style="27" customWidth="1"/>
    <col min="38" max="38" width="9.140625" style="27"/>
    <col min="39" max="39" width="9.140625" style="28"/>
  </cols>
  <sheetData>
    <row r="1" spans="1:39" ht="15.75" thickTop="1" x14ac:dyDescent="0.25">
      <c r="A1" s="447" t="s">
        <v>176</v>
      </c>
      <c r="B1" s="447" t="s">
        <v>177</v>
      </c>
      <c r="C1" s="447" t="s">
        <v>178</v>
      </c>
      <c r="D1" s="418" t="s">
        <v>179</v>
      </c>
      <c r="E1" s="447" t="s">
        <v>900</v>
      </c>
      <c r="F1" s="447" t="s">
        <v>181</v>
      </c>
      <c r="G1" s="447" t="s">
        <v>182</v>
      </c>
      <c r="H1" s="447" t="s">
        <v>183</v>
      </c>
      <c r="I1" s="447" t="s">
        <v>184</v>
      </c>
      <c r="J1" s="447" t="s">
        <v>185</v>
      </c>
      <c r="K1" s="447" t="s">
        <v>4700</v>
      </c>
      <c r="L1" s="447" t="s">
        <v>6391</v>
      </c>
      <c r="M1" s="447" t="s">
        <v>6930</v>
      </c>
      <c r="N1" s="447" t="s">
        <v>6931</v>
      </c>
      <c r="O1" s="447" t="s">
        <v>4701</v>
      </c>
      <c r="P1" s="447" t="s">
        <v>6932</v>
      </c>
      <c r="Q1" s="447" t="s">
        <v>6933</v>
      </c>
      <c r="R1" s="447" t="s">
        <v>1726</v>
      </c>
      <c r="S1" s="447" t="s">
        <v>186</v>
      </c>
      <c r="T1" s="447" t="s">
        <v>4702</v>
      </c>
      <c r="U1" s="447" t="s">
        <v>187</v>
      </c>
      <c r="V1" s="447" t="s">
        <v>6934</v>
      </c>
      <c r="W1" s="447" t="s">
        <v>4703</v>
      </c>
      <c r="X1" s="447" t="s">
        <v>6935</v>
      </c>
      <c r="Y1" s="447" t="s">
        <v>4704</v>
      </c>
      <c r="Z1" s="447" t="s">
        <v>6936</v>
      </c>
      <c r="AA1" s="447" t="s">
        <v>6937</v>
      </c>
      <c r="AB1" s="447" t="s">
        <v>6938</v>
      </c>
      <c r="AC1" s="447" t="s">
        <v>6939</v>
      </c>
      <c r="AD1" s="447" t="s">
        <v>6940</v>
      </c>
      <c r="AE1" s="447" t="s">
        <v>4705</v>
      </c>
      <c r="AF1" s="447" t="s">
        <v>4706</v>
      </c>
      <c r="AG1" s="447" t="s">
        <v>6941</v>
      </c>
      <c r="AH1" s="447" t="s">
        <v>6942</v>
      </c>
      <c r="AI1" s="447" t="s">
        <v>6943</v>
      </c>
      <c r="AJ1" s="448" t="s">
        <v>13058</v>
      </c>
      <c r="AK1" s="27" t="s">
        <v>13055</v>
      </c>
      <c r="AL1" s="27" t="s">
        <v>13056</v>
      </c>
      <c r="AM1" s="28" t="s">
        <v>13057</v>
      </c>
    </row>
    <row r="2" spans="1:39" x14ac:dyDescent="0.25">
      <c r="A2" t="s">
        <v>7726</v>
      </c>
      <c r="B2" t="s">
        <v>313</v>
      </c>
      <c r="C2" t="s">
        <v>54</v>
      </c>
      <c r="D2" s="25" t="s">
        <v>13110</v>
      </c>
      <c r="E2" t="s">
        <v>192</v>
      </c>
      <c r="F2" s="28">
        <v>1</v>
      </c>
      <c r="G2" t="s">
        <v>193</v>
      </c>
      <c r="H2" t="s">
        <v>194</v>
      </c>
      <c r="I2" t="s">
        <v>13111</v>
      </c>
      <c r="J2" t="s">
        <v>253</v>
      </c>
      <c r="K2" t="s">
        <v>13112</v>
      </c>
      <c r="L2" t="s">
        <v>6245</v>
      </c>
      <c r="M2" t="s">
        <v>13113</v>
      </c>
      <c r="N2" t="s">
        <v>13114</v>
      </c>
      <c r="O2" t="s">
        <v>13115</v>
      </c>
      <c r="P2" t="s">
        <v>13116</v>
      </c>
      <c r="Q2" t="s">
        <v>13117</v>
      </c>
      <c r="S2" t="s">
        <v>9309</v>
      </c>
      <c r="T2" t="s">
        <v>9468</v>
      </c>
      <c r="U2" t="s">
        <v>1982</v>
      </c>
      <c r="V2" t="s">
        <v>194</v>
      </c>
      <c r="W2" t="s">
        <v>9300</v>
      </c>
      <c r="Z2" t="s">
        <v>9311</v>
      </c>
      <c r="AF2" t="s">
        <v>4714</v>
      </c>
      <c r="AG2" t="s">
        <v>313</v>
      </c>
      <c r="AI2" t="s">
        <v>6955</v>
      </c>
      <c r="AJ2" s="27" t="str">
        <f>MID(U2,8,6)</f>
        <v>214103</v>
      </c>
      <c r="AK2" s="27">
        <v>1</v>
      </c>
      <c r="AL2" s="449">
        <f>SUM(F2)</f>
        <v>1</v>
      </c>
      <c r="AM2" s="28">
        <v>1</v>
      </c>
    </row>
    <row r="3" spans="1:39" x14ac:dyDescent="0.25">
      <c r="A3" t="s">
        <v>5585</v>
      </c>
      <c r="B3" t="s">
        <v>13118</v>
      </c>
      <c r="C3" t="s">
        <v>42</v>
      </c>
      <c r="D3" s="25" t="s">
        <v>13110</v>
      </c>
      <c r="E3" t="s">
        <v>192</v>
      </c>
      <c r="F3" s="28">
        <v>1</v>
      </c>
      <c r="G3" t="s">
        <v>193</v>
      </c>
      <c r="H3" t="s">
        <v>194</v>
      </c>
      <c r="I3" t="s">
        <v>13119</v>
      </c>
      <c r="J3" t="s">
        <v>385</v>
      </c>
      <c r="K3" t="s">
        <v>13120</v>
      </c>
      <c r="L3" t="s">
        <v>6327</v>
      </c>
      <c r="M3" t="s">
        <v>13113</v>
      </c>
      <c r="N3" t="s">
        <v>13114</v>
      </c>
      <c r="O3" t="s">
        <v>13115</v>
      </c>
      <c r="P3" t="s">
        <v>13121</v>
      </c>
      <c r="Q3" t="s">
        <v>13122</v>
      </c>
      <c r="S3" t="s">
        <v>9309</v>
      </c>
      <c r="T3" t="s">
        <v>9410</v>
      </c>
      <c r="U3" t="s">
        <v>2628</v>
      </c>
      <c r="V3" t="s">
        <v>194</v>
      </c>
      <c r="W3" t="s">
        <v>9300</v>
      </c>
      <c r="Z3" t="s">
        <v>9311</v>
      </c>
      <c r="AF3" t="s">
        <v>4714</v>
      </c>
      <c r="AG3" t="s">
        <v>13118</v>
      </c>
      <c r="AI3" t="s">
        <v>6955</v>
      </c>
      <c r="AJ3" s="27" t="str">
        <f>MID(U3,8,6)</f>
        <v>325509</v>
      </c>
      <c r="AK3" s="27">
        <v>1</v>
      </c>
      <c r="AL3" s="27">
        <f t="shared" ref="AL3:AL66" si="0">SUM(F3)</f>
        <v>1</v>
      </c>
      <c r="AM3" s="28">
        <v>1</v>
      </c>
    </row>
    <row r="4" spans="1:39" x14ac:dyDescent="0.25">
      <c r="A4" t="s">
        <v>13123</v>
      </c>
      <c r="B4" t="s">
        <v>13124</v>
      </c>
      <c r="C4" t="s">
        <v>118</v>
      </c>
      <c r="D4" s="25" t="s">
        <v>13110</v>
      </c>
      <c r="E4" t="s">
        <v>233</v>
      </c>
      <c r="F4" s="28">
        <v>1</v>
      </c>
      <c r="G4" t="s">
        <v>193</v>
      </c>
      <c r="H4" t="s">
        <v>194</v>
      </c>
      <c r="I4" t="s">
        <v>13125</v>
      </c>
      <c r="J4" t="s">
        <v>202</v>
      </c>
      <c r="K4" t="s">
        <v>13126</v>
      </c>
      <c r="L4" t="s">
        <v>6245</v>
      </c>
      <c r="M4" t="s">
        <v>13127</v>
      </c>
      <c r="N4" t="s">
        <v>13128</v>
      </c>
      <c r="O4" t="s">
        <v>13129</v>
      </c>
      <c r="P4" t="s">
        <v>13130</v>
      </c>
      <c r="Q4" t="s">
        <v>13131</v>
      </c>
      <c r="S4" t="s">
        <v>9309</v>
      </c>
      <c r="T4" t="s">
        <v>9856</v>
      </c>
      <c r="U4" t="s">
        <v>277</v>
      </c>
      <c r="V4" t="s">
        <v>194</v>
      </c>
      <c r="W4" t="s">
        <v>9300</v>
      </c>
      <c r="Z4" t="s">
        <v>9311</v>
      </c>
      <c r="AF4" t="s">
        <v>4714</v>
      </c>
      <c r="AG4" t="s">
        <v>13124</v>
      </c>
      <c r="AI4" t="s">
        <v>6955</v>
      </c>
      <c r="AJ4" s="27" t="str">
        <f t="shared" ref="AJ4:AJ66" si="1">MID(U4,8,6)</f>
        <v>211302</v>
      </c>
      <c r="AK4" s="27">
        <v>1</v>
      </c>
      <c r="AL4" s="27">
        <f t="shared" si="0"/>
        <v>1</v>
      </c>
      <c r="AM4" s="28">
        <v>1</v>
      </c>
    </row>
    <row r="5" spans="1:39" x14ac:dyDescent="0.25">
      <c r="A5" t="s">
        <v>11602</v>
      </c>
      <c r="B5" t="s">
        <v>13132</v>
      </c>
      <c r="C5" t="s">
        <v>23</v>
      </c>
      <c r="D5" s="25" t="s">
        <v>13110</v>
      </c>
      <c r="E5" t="s">
        <v>192</v>
      </c>
      <c r="F5" s="28">
        <v>1</v>
      </c>
      <c r="G5" t="s">
        <v>193</v>
      </c>
      <c r="H5" t="s">
        <v>194</v>
      </c>
      <c r="I5" t="s">
        <v>13111</v>
      </c>
      <c r="J5" t="s">
        <v>9302</v>
      </c>
      <c r="K5" t="s">
        <v>13133</v>
      </c>
      <c r="L5" t="s">
        <v>7531</v>
      </c>
      <c r="M5" t="s">
        <v>13113</v>
      </c>
      <c r="N5" t="s">
        <v>13114</v>
      </c>
      <c r="O5" t="s">
        <v>13115</v>
      </c>
      <c r="P5" t="s">
        <v>13134</v>
      </c>
      <c r="Q5" t="s">
        <v>13135</v>
      </c>
      <c r="S5" t="s">
        <v>9309</v>
      </c>
      <c r="U5" t="s">
        <v>985</v>
      </c>
      <c r="V5" t="s">
        <v>193</v>
      </c>
      <c r="W5" t="s">
        <v>9310</v>
      </c>
      <c r="Z5" t="s">
        <v>9311</v>
      </c>
      <c r="AF5" t="s">
        <v>4714</v>
      </c>
      <c r="AG5" t="s">
        <v>13132</v>
      </c>
      <c r="AI5" t="s">
        <v>6955</v>
      </c>
      <c r="AJ5" s="27" t="str">
        <f t="shared" si="1"/>
        <v>263204</v>
      </c>
      <c r="AK5" s="27">
        <v>1</v>
      </c>
      <c r="AL5" s="27">
        <f t="shared" si="0"/>
        <v>1</v>
      </c>
      <c r="AM5" s="28">
        <v>1</v>
      </c>
    </row>
    <row r="6" spans="1:39" x14ac:dyDescent="0.25">
      <c r="A6" t="s">
        <v>13136</v>
      </c>
      <c r="B6" t="s">
        <v>4864</v>
      </c>
      <c r="C6" t="s">
        <v>740</v>
      </c>
      <c r="D6" s="25" t="s">
        <v>13110</v>
      </c>
      <c r="E6" t="s">
        <v>192</v>
      </c>
      <c r="F6" s="28">
        <v>1</v>
      </c>
      <c r="G6" t="s">
        <v>193</v>
      </c>
      <c r="H6" t="s">
        <v>194</v>
      </c>
      <c r="I6" t="s">
        <v>13111</v>
      </c>
      <c r="J6" t="s">
        <v>253</v>
      </c>
      <c r="K6" t="s">
        <v>13137</v>
      </c>
      <c r="L6" t="s">
        <v>6275</v>
      </c>
      <c r="M6" t="s">
        <v>13113</v>
      </c>
      <c r="N6" t="s">
        <v>13114</v>
      </c>
      <c r="O6" t="s">
        <v>13115</v>
      </c>
      <c r="P6" t="s">
        <v>13138</v>
      </c>
      <c r="Q6" t="s">
        <v>13139</v>
      </c>
      <c r="S6" t="s">
        <v>9309</v>
      </c>
      <c r="T6" t="s">
        <v>9468</v>
      </c>
      <c r="U6" t="s">
        <v>741</v>
      </c>
      <c r="V6" t="s">
        <v>194</v>
      </c>
      <c r="W6" t="s">
        <v>9300</v>
      </c>
      <c r="Z6" t="s">
        <v>9311</v>
      </c>
      <c r="AF6" t="s">
        <v>4714</v>
      </c>
      <c r="AG6" t="s">
        <v>4864</v>
      </c>
      <c r="AI6" t="s">
        <v>6955</v>
      </c>
      <c r="AJ6" s="27" t="str">
        <f t="shared" si="1"/>
        <v>522301</v>
      </c>
      <c r="AK6" s="27">
        <v>1</v>
      </c>
      <c r="AL6" s="27">
        <f t="shared" si="0"/>
        <v>1</v>
      </c>
      <c r="AM6" s="28">
        <v>1</v>
      </c>
    </row>
    <row r="7" spans="1:39" x14ac:dyDescent="0.25">
      <c r="A7" t="s">
        <v>11612</v>
      </c>
      <c r="B7" t="s">
        <v>13140</v>
      </c>
      <c r="C7" t="s">
        <v>10</v>
      </c>
      <c r="D7" s="25" t="s">
        <v>13110</v>
      </c>
      <c r="E7" t="s">
        <v>192</v>
      </c>
      <c r="F7" s="28">
        <v>1</v>
      </c>
      <c r="G7" t="s">
        <v>193</v>
      </c>
      <c r="H7" t="s">
        <v>194</v>
      </c>
      <c r="I7" t="s">
        <v>13125</v>
      </c>
      <c r="J7" t="s">
        <v>9302</v>
      </c>
      <c r="K7" t="s">
        <v>13141</v>
      </c>
      <c r="L7" t="s">
        <v>6261</v>
      </c>
      <c r="M7" t="s">
        <v>13113</v>
      </c>
      <c r="N7" t="s">
        <v>13114</v>
      </c>
      <c r="O7" t="s">
        <v>13115</v>
      </c>
      <c r="P7" t="s">
        <v>13142</v>
      </c>
      <c r="Q7" t="s">
        <v>13143</v>
      </c>
      <c r="S7" t="s">
        <v>9309</v>
      </c>
      <c r="U7" t="s">
        <v>484</v>
      </c>
      <c r="V7" t="s">
        <v>193</v>
      </c>
      <c r="W7" t="s">
        <v>9310</v>
      </c>
      <c r="Z7" t="s">
        <v>9311</v>
      </c>
      <c r="AF7" t="s">
        <v>4714</v>
      </c>
      <c r="AG7" t="s">
        <v>13140</v>
      </c>
      <c r="AI7" t="s">
        <v>6955</v>
      </c>
      <c r="AJ7" s="27" t="str">
        <f t="shared" si="1"/>
        <v>251401</v>
      </c>
      <c r="AK7" s="27">
        <v>1</v>
      </c>
      <c r="AL7" s="449">
        <f t="shared" si="0"/>
        <v>1</v>
      </c>
      <c r="AM7" s="28">
        <v>1</v>
      </c>
    </row>
    <row r="8" spans="1:39" x14ac:dyDescent="0.25">
      <c r="A8" t="s">
        <v>11612</v>
      </c>
      <c r="B8" t="s">
        <v>4055</v>
      </c>
      <c r="C8" t="s">
        <v>10</v>
      </c>
      <c r="D8" s="25" t="s">
        <v>13110</v>
      </c>
      <c r="E8" t="s">
        <v>192</v>
      </c>
      <c r="F8" s="28">
        <v>1</v>
      </c>
      <c r="G8" t="s">
        <v>193</v>
      </c>
      <c r="H8" t="s">
        <v>194</v>
      </c>
      <c r="I8" t="s">
        <v>13111</v>
      </c>
      <c r="J8" t="s">
        <v>9302</v>
      </c>
      <c r="K8" t="s">
        <v>13144</v>
      </c>
      <c r="L8" t="s">
        <v>6261</v>
      </c>
      <c r="M8" t="s">
        <v>13113</v>
      </c>
      <c r="N8" t="s">
        <v>13114</v>
      </c>
      <c r="O8" t="s">
        <v>13115</v>
      </c>
      <c r="P8" t="s">
        <v>13145</v>
      </c>
      <c r="Q8" t="s">
        <v>13146</v>
      </c>
      <c r="S8" t="s">
        <v>9309</v>
      </c>
      <c r="U8" t="s">
        <v>484</v>
      </c>
      <c r="V8" t="s">
        <v>193</v>
      </c>
      <c r="W8" t="s">
        <v>9310</v>
      </c>
      <c r="Z8" t="s">
        <v>9311</v>
      </c>
      <c r="AF8" t="s">
        <v>4714</v>
      </c>
      <c r="AG8" t="s">
        <v>4055</v>
      </c>
      <c r="AI8" t="s">
        <v>6955</v>
      </c>
      <c r="AJ8" s="27" t="str">
        <f t="shared" si="1"/>
        <v>251401</v>
      </c>
      <c r="AK8" s="27">
        <v>1</v>
      </c>
      <c r="AL8" s="27">
        <f t="shared" si="0"/>
        <v>1</v>
      </c>
      <c r="AM8" s="28">
        <v>1</v>
      </c>
    </row>
    <row r="9" spans="1:39" x14ac:dyDescent="0.25">
      <c r="A9" t="s">
        <v>11612</v>
      </c>
      <c r="B9" t="s">
        <v>13147</v>
      </c>
      <c r="C9" t="s">
        <v>129</v>
      </c>
      <c r="D9" s="25" t="s">
        <v>13110</v>
      </c>
      <c r="E9" t="s">
        <v>192</v>
      </c>
      <c r="F9" s="28">
        <v>1</v>
      </c>
      <c r="G9" t="s">
        <v>193</v>
      </c>
      <c r="H9" t="s">
        <v>194</v>
      </c>
      <c r="I9" t="s">
        <v>13125</v>
      </c>
      <c r="J9" t="s">
        <v>9302</v>
      </c>
      <c r="K9" t="s">
        <v>13148</v>
      </c>
      <c r="L9" t="s">
        <v>6286</v>
      </c>
      <c r="M9" t="s">
        <v>13113</v>
      </c>
      <c r="N9" t="s">
        <v>13114</v>
      </c>
      <c r="O9" t="s">
        <v>13115</v>
      </c>
      <c r="P9" t="s">
        <v>13149</v>
      </c>
      <c r="Q9" t="s">
        <v>13150</v>
      </c>
      <c r="S9" t="s">
        <v>9309</v>
      </c>
      <c r="U9" t="s">
        <v>203</v>
      </c>
      <c r="V9" t="s">
        <v>193</v>
      </c>
      <c r="W9" t="s">
        <v>9310</v>
      </c>
      <c r="Z9" t="s">
        <v>9311</v>
      </c>
      <c r="AF9" t="s">
        <v>4714</v>
      </c>
      <c r="AG9" t="s">
        <v>13147</v>
      </c>
      <c r="AI9" t="s">
        <v>6955</v>
      </c>
      <c r="AJ9" s="27" t="str">
        <f t="shared" si="1"/>
        <v>121904</v>
      </c>
      <c r="AK9" s="27">
        <v>1</v>
      </c>
      <c r="AL9" s="27">
        <f t="shared" si="0"/>
        <v>1</v>
      </c>
      <c r="AM9" s="28">
        <v>1</v>
      </c>
    </row>
    <row r="10" spans="1:39" x14ac:dyDescent="0.25">
      <c r="A10" t="s">
        <v>11612</v>
      </c>
      <c r="B10" t="s">
        <v>13151</v>
      </c>
      <c r="C10" t="s">
        <v>2861</v>
      </c>
      <c r="D10" s="25" t="s">
        <v>13110</v>
      </c>
      <c r="E10" t="s">
        <v>192</v>
      </c>
      <c r="F10" s="28">
        <v>1</v>
      </c>
      <c r="G10" t="s">
        <v>193</v>
      </c>
      <c r="H10" t="s">
        <v>194</v>
      </c>
      <c r="I10" t="s">
        <v>13152</v>
      </c>
      <c r="J10" t="s">
        <v>9302</v>
      </c>
      <c r="K10" t="s">
        <v>13153</v>
      </c>
      <c r="L10" t="s">
        <v>6261</v>
      </c>
      <c r="M10" t="s">
        <v>13113</v>
      </c>
      <c r="N10" t="s">
        <v>13114</v>
      </c>
      <c r="O10" t="s">
        <v>13115</v>
      </c>
      <c r="P10" t="s">
        <v>13154</v>
      </c>
      <c r="Q10" t="s">
        <v>13155</v>
      </c>
      <c r="S10" t="s">
        <v>9309</v>
      </c>
      <c r="U10" t="s">
        <v>3629</v>
      </c>
      <c r="V10" t="s">
        <v>193</v>
      </c>
      <c r="W10" t="s">
        <v>9310</v>
      </c>
      <c r="Z10" t="s">
        <v>9311</v>
      </c>
      <c r="AF10" t="s">
        <v>4714</v>
      </c>
      <c r="AG10" t="s">
        <v>13151</v>
      </c>
      <c r="AI10" t="s">
        <v>6955</v>
      </c>
      <c r="AJ10" s="27" t="str">
        <f t="shared" si="1"/>
        <v>251903</v>
      </c>
      <c r="AK10" s="27">
        <v>1</v>
      </c>
      <c r="AL10" s="27">
        <f t="shared" si="0"/>
        <v>1</v>
      </c>
      <c r="AM10" s="28">
        <v>1</v>
      </c>
    </row>
    <row r="11" spans="1:39" x14ac:dyDescent="0.25">
      <c r="A11" t="s">
        <v>11612</v>
      </c>
      <c r="B11" t="s">
        <v>13156</v>
      </c>
      <c r="C11" t="s">
        <v>2861</v>
      </c>
      <c r="D11" s="25" t="s">
        <v>13110</v>
      </c>
      <c r="E11" t="s">
        <v>192</v>
      </c>
      <c r="F11" s="28">
        <v>1</v>
      </c>
      <c r="G11" t="s">
        <v>193</v>
      </c>
      <c r="H11" t="s">
        <v>194</v>
      </c>
      <c r="I11" t="s">
        <v>13152</v>
      </c>
      <c r="J11" t="s">
        <v>9302</v>
      </c>
      <c r="K11" t="s">
        <v>13157</v>
      </c>
      <c r="L11" t="s">
        <v>6261</v>
      </c>
      <c r="M11" t="s">
        <v>13113</v>
      </c>
      <c r="N11" t="s">
        <v>13114</v>
      </c>
      <c r="O11" t="s">
        <v>13115</v>
      </c>
      <c r="P11" t="s">
        <v>13158</v>
      </c>
      <c r="Q11" t="s">
        <v>13159</v>
      </c>
      <c r="S11" t="s">
        <v>9309</v>
      </c>
      <c r="U11" t="s">
        <v>3629</v>
      </c>
      <c r="V11" t="s">
        <v>193</v>
      </c>
      <c r="W11" t="s">
        <v>9310</v>
      </c>
      <c r="Z11" t="s">
        <v>9311</v>
      </c>
      <c r="AF11" t="s">
        <v>4714</v>
      </c>
      <c r="AG11" t="s">
        <v>13156</v>
      </c>
      <c r="AI11" t="s">
        <v>6955</v>
      </c>
      <c r="AJ11" s="27" t="str">
        <f t="shared" si="1"/>
        <v>251903</v>
      </c>
      <c r="AK11" s="27">
        <v>1</v>
      </c>
      <c r="AL11" s="27">
        <f t="shared" si="0"/>
        <v>1</v>
      </c>
      <c r="AM11" s="28">
        <v>1</v>
      </c>
    </row>
    <row r="12" spans="1:39" x14ac:dyDescent="0.25">
      <c r="A12" t="s">
        <v>258</v>
      </c>
      <c r="B12" t="s">
        <v>537</v>
      </c>
      <c r="C12" t="s">
        <v>778</v>
      </c>
      <c r="D12" s="25" t="s">
        <v>13110</v>
      </c>
      <c r="E12" t="s">
        <v>233</v>
      </c>
      <c r="F12" s="28">
        <v>1</v>
      </c>
      <c r="G12" t="s">
        <v>193</v>
      </c>
      <c r="H12" t="s">
        <v>194</v>
      </c>
      <c r="I12" t="s">
        <v>13160</v>
      </c>
      <c r="J12" t="s">
        <v>253</v>
      </c>
      <c r="K12" t="s">
        <v>13161</v>
      </c>
      <c r="L12" t="s">
        <v>6249</v>
      </c>
      <c r="M12" t="s">
        <v>13162</v>
      </c>
      <c r="N12" t="s">
        <v>13163</v>
      </c>
      <c r="O12" t="s">
        <v>13164</v>
      </c>
      <c r="P12" t="s">
        <v>13165</v>
      </c>
      <c r="Q12" t="s">
        <v>13166</v>
      </c>
      <c r="S12" t="s">
        <v>9309</v>
      </c>
      <c r="T12" t="s">
        <v>9468</v>
      </c>
      <c r="U12" t="s">
        <v>779</v>
      </c>
      <c r="V12" t="s">
        <v>194</v>
      </c>
      <c r="W12" t="s">
        <v>9300</v>
      </c>
      <c r="Z12" t="s">
        <v>9311</v>
      </c>
      <c r="AF12" t="s">
        <v>4714</v>
      </c>
      <c r="AG12" t="s">
        <v>778</v>
      </c>
      <c r="AI12" t="s">
        <v>6955</v>
      </c>
      <c r="AJ12" s="27" t="str">
        <f t="shared" si="1"/>
        <v>524902</v>
      </c>
      <c r="AK12" s="27">
        <v>1</v>
      </c>
      <c r="AL12" s="27">
        <f t="shared" si="0"/>
        <v>1</v>
      </c>
      <c r="AM12" s="28">
        <v>1</v>
      </c>
    </row>
    <row r="13" spans="1:39" x14ac:dyDescent="0.25">
      <c r="A13" t="s">
        <v>919</v>
      </c>
      <c r="B13" t="s">
        <v>13167</v>
      </c>
      <c r="C13" t="s">
        <v>2861</v>
      </c>
      <c r="D13" s="25" t="s">
        <v>13110</v>
      </c>
      <c r="E13" t="s">
        <v>192</v>
      </c>
      <c r="F13" s="28">
        <v>1</v>
      </c>
      <c r="G13" t="s">
        <v>193</v>
      </c>
      <c r="H13" t="s">
        <v>194</v>
      </c>
      <c r="I13" t="s">
        <v>13152</v>
      </c>
      <c r="J13" t="s">
        <v>210</v>
      </c>
      <c r="K13" t="s">
        <v>13168</v>
      </c>
      <c r="L13" t="s">
        <v>6261</v>
      </c>
      <c r="M13" t="s">
        <v>13113</v>
      </c>
      <c r="N13" t="s">
        <v>13114</v>
      </c>
      <c r="O13" t="s">
        <v>13115</v>
      </c>
      <c r="P13" t="s">
        <v>13169</v>
      </c>
      <c r="Q13" t="s">
        <v>13170</v>
      </c>
      <c r="S13" t="s">
        <v>9309</v>
      </c>
      <c r="T13" t="s">
        <v>9334</v>
      </c>
      <c r="U13" t="s">
        <v>3629</v>
      </c>
      <c r="V13" t="s">
        <v>194</v>
      </c>
      <c r="W13" t="s">
        <v>9300</v>
      </c>
      <c r="Z13" t="s">
        <v>9311</v>
      </c>
      <c r="AF13" t="s">
        <v>4714</v>
      </c>
      <c r="AG13" t="s">
        <v>13167</v>
      </c>
      <c r="AI13" t="s">
        <v>6955</v>
      </c>
      <c r="AJ13" s="27" t="str">
        <f t="shared" si="1"/>
        <v>251903</v>
      </c>
      <c r="AK13" s="27">
        <v>1</v>
      </c>
      <c r="AL13" s="27">
        <f t="shared" si="0"/>
        <v>1</v>
      </c>
      <c r="AM13" s="28">
        <v>1</v>
      </c>
    </row>
    <row r="14" spans="1:39" x14ac:dyDescent="0.25">
      <c r="A14" t="s">
        <v>919</v>
      </c>
      <c r="B14" t="s">
        <v>13171</v>
      </c>
      <c r="C14" t="s">
        <v>10</v>
      </c>
      <c r="D14" s="25" t="s">
        <v>13110</v>
      </c>
      <c r="E14" t="s">
        <v>192</v>
      </c>
      <c r="F14" s="28">
        <v>1</v>
      </c>
      <c r="G14" t="s">
        <v>193</v>
      </c>
      <c r="H14" t="s">
        <v>194</v>
      </c>
      <c r="I14" t="s">
        <v>13111</v>
      </c>
      <c r="J14" t="s">
        <v>9302</v>
      </c>
      <c r="K14" t="s">
        <v>13172</v>
      </c>
      <c r="L14" t="s">
        <v>6261</v>
      </c>
      <c r="M14" t="s">
        <v>13113</v>
      </c>
      <c r="N14" t="s">
        <v>13114</v>
      </c>
      <c r="O14" t="s">
        <v>13115</v>
      </c>
      <c r="P14" t="s">
        <v>13173</v>
      </c>
      <c r="Q14" t="s">
        <v>13174</v>
      </c>
      <c r="S14" t="s">
        <v>9309</v>
      </c>
      <c r="U14" t="s">
        <v>484</v>
      </c>
      <c r="V14" t="s">
        <v>193</v>
      </c>
      <c r="W14" t="s">
        <v>9310</v>
      </c>
      <c r="Z14" t="s">
        <v>9311</v>
      </c>
      <c r="AF14" t="s">
        <v>4714</v>
      </c>
      <c r="AG14" t="s">
        <v>13171</v>
      </c>
      <c r="AI14" t="s">
        <v>6955</v>
      </c>
      <c r="AJ14" s="27" t="str">
        <f t="shared" si="1"/>
        <v>251401</v>
      </c>
      <c r="AK14" s="27">
        <v>1</v>
      </c>
      <c r="AL14" s="27">
        <f t="shared" si="0"/>
        <v>1</v>
      </c>
      <c r="AM14" s="28">
        <v>1</v>
      </c>
    </row>
    <row r="15" spans="1:39" x14ac:dyDescent="0.25">
      <c r="A15" t="s">
        <v>10527</v>
      </c>
      <c r="B15" t="s">
        <v>10528</v>
      </c>
      <c r="C15" t="s">
        <v>137</v>
      </c>
      <c r="D15" s="25" t="s">
        <v>13110</v>
      </c>
      <c r="E15" t="s">
        <v>192</v>
      </c>
      <c r="F15" s="28">
        <v>1</v>
      </c>
      <c r="G15" t="s">
        <v>193</v>
      </c>
      <c r="H15" t="s">
        <v>194</v>
      </c>
      <c r="I15" t="s">
        <v>13125</v>
      </c>
      <c r="J15" t="s">
        <v>210</v>
      </c>
      <c r="K15" t="s">
        <v>13175</v>
      </c>
      <c r="L15" t="s">
        <v>6343</v>
      </c>
      <c r="M15" t="s">
        <v>13113</v>
      </c>
      <c r="N15" t="s">
        <v>13114</v>
      </c>
      <c r="O15" t="s">
        <v>13115</v>
      </c>
      <c r="P15" t="s">
        <v>13176</v>
      </c>
      <c r="Q15" t="s">
        <v>13177</v>
      </c>
      <c r="S15" t="s">
        <v>9309</v>
      </c>
      <c r="T15" t="s">
        <v>9334</v>
      </c>
      <c r="U15" t="s">
        <v>2002</v>
      </c>
      <c r="V15" t="s">
        <v>194</v>
      </c>
      <c r="W15" t="s">
        <v>9300</v>
      </c>
      <c r="Z15" t="s">
        <v>9311</v>
      </c>
      <c r="AF15" t="s">
        <v>4714</v>
      </c>
      <c r="AG15" t="s">
        <v>10528</v>
      </c>
      <c r="AI15" t="s">
        <v>6955</v>
      </c>
      <c r="AJ15" s="27" t="str">
        <f t="shared" si="1"/>
        <v>513101</v>
      </c>
      <c r="AK15" s="27">
        <v>1</v>
      </c>
      <c r="AL15" s="27">
        <f t="shared" si="0"/>
        <v>1</v>
      </c>
      <c r="AM15" s="28">
        <v>1</v>
      </c>
    </row>
    <row r="16" spans="1:39" x14ac:dyDescent="0.25">
      <c r="A16" t="s">
        <v>10533</v>
      </c>
      <c r="B16" t="s">
        <v>13178</v>
      </c>
      <c r="C16" t="s">
        <v>9798</v>
      </c>
      <c r="D16" s="25" t="s">
        <v>13110</v>
      </c>
      <c r="E16" t="s">
        <v>192</v>
      </c>
      <c r="F16" s="28">
        <v>1</v>
      </c>
      <c r="G16" t="s">
        <v>193</v>
      </c>
      <c r="H16" t="s">
        <v>194</v>
      </c>
      <c r="I16" t="s">
        <v>13125</v>
      </c>
      <c r="J16" t="s">
        <v>210</v>
      </c>
      <c r="K16" t="s">
        <v>13179</v>
      </c>
      <c r="L16" t="s">
        <v>7531</v>
      </c>
      <c r="M16" t="s">
        <v>13113</v>
      </c>
      <c r="N16" t="s">
        <v>13114</v>
      </c>
      <c r="O16" t="s">
        <v>13115</v>
      </c>
      <c r="P16" t="s">
        <v>13180</v>
      </c>
      <c r="Q16" t="s">
        <v>13181</v>
      </c>
      <c r="S16" t="s">
        <v>9309</v>
      </c>
      <c r="T16" t="s">
        <v>9334</v>
      </c>
      <c r="U16" t="s">
        <v>1592</v>
      </c>
      <c r="V16" t="s">
        <v>194</v>
      </c>
      <c r="W16" t="s">
        <v>9300</v>
      </c>
      <c r="Z16" t="s">
        <v>9311</v>
      </c>
      <c r="AF16" t="s">
        <v>4714</v>
      </c>
      <c r="AG16" t="s">
        <v>13178</v>
      </c>
      <c r="AI16" t="s">
        <v>6955</v>
      </c>
      <c r="AJ16" s="27" t="str">
        <f t="shared" si="1"/>
        <v>241103</v>
      </c>
      <c r="AK16" s="27">
        <v>1</v>
      </c>
      <c r="AL16" s="27">
        <f t="shared" si="0"/>
        <v>1</v>
      </c>
      <c r="AM16" s="28">
        <v>1</v>
      </c>
    </row>
    <row r="17" spans="1:39" x14ac:dyDescent="0.25">
      <c r="A17" t="s">
        <v>10533</v>
      </c>
      <c r="B17" t="s">
        <v>5367</v>
      </c>
      <c r="C17" t="s">
        <v>129</v>
      </c>
      <c r="D17" s="25" t="s">
        <v>13110</v>
      </c>
      <c r="E17" t="s">
        <v>192</v>
      </c>
      <c r="F17" s="28">
        <v>1</v>
      </c>
      <c r="G17" t="s">
        <v>193</v>
      </c>
      <c r="H17" t="s">
        <v>194</v>
      </c>
      <c r="I17" t="s">
        <v>13152</v>
      </c>
      <c r="J17" t="s">
        <v>210</v>
      </c>
      <c r="K17" t="s">
        <v>13182</v>
      </c>
      <c r="L17" t="s">
        <v>7531</v>
      </c>
      <c r="M17" t="s">
        <v>13113</v>
      </c>
      <c r="N17" t="s">
        <v>13114</v>
      </c>
      <c r="O17" t="s">
        <v>13115</v>
      </c>
      <c r="P17" t="s">
        <v>13183</v>
      </c>
      <c r="Q17" t="s">
        <v>13184</v>
      </c>
      <c r="S17" t="s">
        <v>9309</v>
      </c>
      <c r="T17" t="s">
        <v>9334</v>
      </c>
      <c r="U17" t="s">
        <v>203</v>
      </c>
      <c r="V17" t="s">
        <v>194</v>
      </c>
      <c r="W17" t="s">
        <v>9300</v>
      </c>
      <c r="Z17" t="s">
        <v>9311</v>
      </c>
      <c r="AF17" t="s">
        <v>4714</v>
      </c>
      <c r="AG17" t="s">
        <v>5367</v>
      </c>
      <c r="AI17" t="s">
        <v>6955</v>
      </c>
      <c r="AJ17" s="27" t="str">
        <f t="shared" si="1"/>
        <v>121904</v>
      </c>
      <c r="AK17" s="27">
        <v>1</v>
      </c>
      <c r="AL17" s="27">
        <f t="shared" si="0"/>
        <v>1</v>
      </c>
      <c r="AM17" s="28">
        <v>1</v>
      </c>
    </row>
    <row r="18" spans="1:39" x14ac:dyDescent="0.25">
      <c r="A18" t="s">
        <v>13185</v>
      </c>
      <c r="B18" t="s">
        <v>13186</v>
      </c>
      <c r="C18" t="s">
        <v>944</v>
      </c>
      <c r="D18" s="25" t="s">
        <v>13110</v>
      </c>
      <c r="E18" t="s">
        <v>233</v>
      </c>
      <c r="F18" s="28">
        <v>1</v>
      </c>
      <c r="G18" t="s">
        <v>193</v>
      </c>
      <c r="H18" t="s">
        <v>194</v>
      </c>
      <c r="I18" t="s">
        <v>13160</v>
      </c>
      <c r="J18" t="s">
        <v>1059</v>
      </c>
      <c r="K18" t="s">
        <v>13187</v>
      </c>
      <c r="L18" t="s">
        <v>6288</v>
      </c>
      <c r="M18" t="s">
        <v>13162</v>
      </c>
      <c r="N18" t="s">
        <v>10562</v>
      </c>
      <c r="O18" t="s">
        <v>13164</v>
      </c>
      <c r="P18" t="s">
        <v>13188</v>
      </c>
      <c r="Q18" t="s">
        <v>13189</v>
      </c>
      <c r="S18" t="s">
        <v>9309</v>
      </c>
      <c r="T18" t="s">
        <v>9510</v>
      </c>
      <c r="U18" t="s">
        <v>945</v>
      </c>
      <c r="V18" t="s">
        <v>194</v>
      </c>
      <c r="W18" t="s">
        <v>9300</v>
      </c>
      <c r="Z18" t="s">
        <v>9311</v>
      </c>
      <c r="AF18" t="s">
        <v>4714</v>
      </c>
      <c r="AG18" t="s">
        <v>13190</v>
      </c>
      <c r="AI18" t="s">
        <v>6955</v>
      </c>
      <c r="AJ18" s="27" t="str">
        <f t="shared" si="1"/>
        <v>321301</v>
      </c>
      <c r="AK18" s="27">
        <v>1</v>
      </c>
      <c r="AL18" s="27">
        <f t="shared" si="0"/>
        <v>1</v>
      </c>
      <c r="AM18" s="28">
        <v>1</v>
      </c>
    </row>
    <row r="19" spans="1:39" x14ac:dyDescent="0.25">
      <c r="A19" t="s">
        <v>13185</v>
      </c>
      <c r="B19" t="s">
        <v>13186</v>
      </c>
      <c r="C19" t="s">
        <v>944</v>
      </c>
      <c r="D19" s="25" t="s">
        <v>13110</v>
      </c>
      <c r="E19" t="s">
        <v>233</v>
      </c>
      <c r="F19" s="28">
        <v>1</v>
      </c>
      <c r="G19" t="s">
        <v>193</v>
      </c>
      <c r="H19" t="s">
        <v>194</v>
      </c>
      <c r="I19" t="s">
        <v>13160</v>
      </c>
      <c r="J19" t="s">
        <v>210</v>
      </c>
      <c r="K19" t="s">
        <v>13191</v>
      </c>
      <c r="L19" t="s">
        <v>6288</v>
      </c>
      <c r="M19" t="s">
        <v>13162</v>
      </c>
      <c r="N19" t="s">
        <v>10562</v>
      </c>
      <c r="O19" t="s">
        <v>13164</v>
      </c>
      <c r="P19" t="s">
        <v>13192</v>
      </c>
      <c r="Q19" t="s">
        <v>13193</v>
      </c>
      <c r="S19" t="s">
        <v>9309</v>
      </c>
      <c r="T19" t="s">
        <v>9334</v>
      </c>
      <c r="U19" t="s">
        <v>945</v>
      </c>
      <c r="V19" t="s">
        <v>194</v>
      </c>
      <c r="W19" t="s">
        <v>9300</v>
      </c>
      <c r="Z19" t="s">
        <v>9311</v>
      </c>
      <c r="AF19" t="s">
        <v>4714</v>
      </c>
      <c r="AG19" t="s">
        <v>13190</v>
      </c>
      <c r="AI19" t="s">
        <v>6955</v>
      </c>
      <c r="AJ19" s="27" t="str">
        <f t="shared" si="1"/>
        <v>321301</v>
      </c>
      <c r="AK19" s="27">
        <v>1</v>
      </c>
      <c r="AL19" s="27">
        <f t="shared" si="0"/>
        <v>1</v>
      </c>
      <c r="AM19" s="28">
        <v>1</v>
      </c>
    </row>
    <row r="20" spans="1:39" x14ac:dyDescent="0.25">
      <c r="A20" t="s">
        <v>13185</v>
      </c>
      <c r="B20" t="s">
        <v>13186</v>
      </c>
      <c r="C20" t="s">
        <v>944</v>
      </c>
      <c r="D20" s="25" t="s">
        <v>13110</v>
      </c>
      <c r="E20" t="s">
        <v>233</v>
      </c>
      <c r="F20" s="28">
        <v>1</v>
      </c>
      <c r="G20" t="s">
        <v>193</v>
      </c>
      <c r="H20" t="s">
        <v>194</v>
      </c>
      <c r="I20" t="s">
        <v>13160</v>
      </c>
      <c r="J20" t="s">
        <v>4751</v>
      </c>
      <c r="K20" t="s">
        <v>13194</v>
      </c>
      <c r="L20" t="s">
        <v>6288</v>
      </c>
      <c r="M20" t="s">
        <v>13162</v>
      </c>
      <c r="N20" t="s">
        <v>10562</v>
      </c>
      <c r="O20" t="s">
        <v>13164</v>
      </c>
      <c r="P20" t="s">
        <v>13195</v>
      </c>
      <c r="Q20" t="s">
        <v>13196</v>
      </c>
      <c r="S20" t="s">
        <v>9309</v>
      </c>
      <c r="T20" t="s">
        <v>9472</v>
      </c>
      <c r="U20" t="s">
        <v>945</v>
      </c>
      <c r="V20" t="s">
        <v>194</v>
      </c>
      <c r="W20" t="s">
        <v>9300</v>
      </c>
      <c r="Z20" t="s">
        <v>9311</v>
      </c>
      <c r="AF20" t="s">
        <v>4714</v>
      </c>
      <c r="AG20" t="s">
        <v>13190</v>
      </c>
      <c r="AI20" t="s">
        <v>6955</v>
      </c>
      <c r="AJ20" s="27" t="str">
        <f t="shared" si="1"/>
        <v>321301</v>
      </c>
      <c r="AK20" s="27">
        <v>1</v>
      </c>
      <c r="AL20" s="27">
        <f t="shared" si="0"/>
        <v>1</v>
      </c>
      <c r="AM20" s="28">
        <v>1</v>
      </c>
    </row>
    <row r="21" spans="1:39" x14ac:dyDescent="0.25">
      <c r="A21" t="s">
        <v>13197</v>
      </c>
      <c r="B21" t="s">
        <v>13198</v>
      </c>
      <c r="C21" t="s">
        <v>17</v>
      </c>
      <c r="D21" s="25" t="s">
        <v>13110</v>
      </c>
      <c r="E21" t="s">
        <v>233</v>
      </c>
      <c r="F21" s="28">
        <v>1</v>
      </c>
      <c r="G21" t="s">
        <v>193</v>
      </c>
      <c r="H21" t="s">
        <v>194</v>
      </c>
      <c r="I21" t="s">
        <v>13111</v>
      </c>
      <c r="J21" t="s">
        <v>9302</v>
      </c>
      <c r="K21" t="s">
        <v>13199</v>
      </c>
      <c r="L21" t="s">
        <v>6258</v>
      </c>
      <c r="M21" t="s">
        <v>13127</v>
      </c>
      <c r="N21" t="s">
        <v>13128</v>
      </c>
      <c r="O21" t="s">
        <v>13200</v>
      </c>
      <c r="P21" t="s">
        <v>13201</v>
      </c>
      <c r="Q21" t="s">
        <v>13202</v>
      </c>
      <c r="S21" t="s">
        <v>9309</v>
      </c>
      <c r="U21" t="s">
        <v>624</v>
      </c>
      <c r="V21" t="s">
        <v>193</v>
      </c>
      <c r="W21" t="s">
        <v>9310</v>
      </c>
      <c r="Z21" t="s">
        <v>9311</v>
      </c>
      <c r="AF21" t="s">
        <v>4714</v>
      </c>
      <c r="AG21" t="s">
        <v>13198</v>
      </c>
      <c r="AI21" t="s">
        <v>6955</v>
      </c>
      <c r="AJ21" s="27" t="str">
        <f t="shared" si="1"/>
        <v>332203</v>
      </c>
      <c r="AK21" s="27">
        <v>1</v>
      </c>
      <c r="AL21" s="27">
        <f t="shared" si="0"/>
        <v>1</v>
      </c>
      <c r="AM21" s="28">
        <v>1</v>
      </c>
    </row>
    <row r="22" spans="1:39" x14ac:dyDescent="0.25">
      <c r="A22" t="s">
        <v>5999</v>
      </c>
      <c r="B22" t="s">
        <v>8538</v>
      </c>
      <c r="C22" t="s">
        <v>6617</v>
      </c>
      <c r="D22" s="25" t="s">
        <v>13110</v>
      </c>
      <c r="E22" t="s">
        <v>192</v>
      </c>
      <c r="F22" s="28">
        <v>1</v>
      </c>
      <c r="G22" t="s">
        <v>193</v>
      </c>
      <c r="H22" t="s">
        <v>194</v>
      </c>
      <c r="I22" t="s">
        <v>13111</v>
      </c>
      <c r="J22" t="s">
        <v>385</v>
      </c>
      <c r="K22" t="s">
        <v>13203</v>
      </c>
      <c r="L22" t="s">
        <v>6266</v>
      </c>
      <c r="M22" t="s">
        <v>13113</v>
      </c>
      <c r="N22" t="s">
        <v>13114</v>
      </c>
      <c r="O22" t="s">
        <v>13115</v>
      </c>
      <c r="P22" t="s">
        <v>13204</v>
      </c>
      <c r="Q22" t="s">
        <v>13205</v>
      </c>
      <c r="S22" t="s">
        <v>9309</v>
      </c>
      <c r="T22" t="s">
        <v>9410</v>
      </c>
      <c r="U22" t="s">
        <v>990</v>
      </c>
      <c r="V22" t="s">
        <v>194</v>
      </c>
      <c r="W22" t="s">
        <v>9300</v>
      </c>
      <c r="Z22" t="s">
        <v>9311</v>
      </c>
      <c r="AF22" t="s">
        <v>4714</v>
      </c>
      <c r="AG22" t="s">
        <v>8538</v>
      </c>
      <c r="AI22" t="s">
        <v>6955</v>
      </c>
      <c r="AJ22" s="27" t="str">
        <f t="shared" si="1"/>
        <v>833202</v>
      </c>
      <c r="AK22" s="27">
        <v>1</v>
      </c>
      <c r="AL22" s="27">
        <f t="shared" si="0"/>
        <v>1</v>
      </c>
      <c r="AM22" s="28">
        <v>1</v>
      </c>
    </row>
    <row r="23" spans="1:39" x14ac:dyDescent="0.25">
      <c r="A23" t="s">
        <v>5999</v>
      </c>
      <c r="B23" t="s">
        <v>8538</v>
      </c>
      <c r="C23" t="s">
        <v>6617</v>
      </c>
      <c r="D23" s="25" t="s">
        <v>13110</v>
      </c>
      <c r="E23" t="s">
        <v>192</v>
      </c>
      <c r="F23" s="28">
        <v>1</v>
      </c>
      <c r="G23" t="s">
        <v>193</v>
      </c>
      <c r="H23" t="s">
        <v>194</v>
      </c>
      <c r="I23" t="s">
        <v>13111</v>
      </c>
      <c r="J23" t="s">
        <v>4751</v>
      </c>
      <c r="K23" t="s">
        <v>13206</v>
      </c>
      <c r="L23" t="s">
        <v>6266</v>
      </c>
      <c r="M23" t="s">
        <v>13113</v>
      </c>
      <c r="N23" t="s">
        <v>13114</v>
      </c>
      <c r="O23" t="s">
        <v>13115</v>
      </c>
      <c r="P23" t="s">
        <v>13207</v>
      </c>
      <c r="Q23" t="s">
        <v>13208</v>
      </c>
      <c r="S23" t="s">
        <v>9309</v>
      </c>
      <c r="T23" t="s">
        <v>9472</v>
      </c>
      <c r="U23" t="s">
        <v>990</v>
      </c>
      <c r="V23" t="s">
        <v>194</v>
      </c>
      <c r="W23" t="s">
        <v>9300</v>
      </c>
      <c r="Z23" t="s">
        <v>9311</v>
      </c>
      <c r="AF23" t="s">
        <v>4714</v>
      </c>
      <c r="AG23" t="s">
        <v>8538</v>
      </c>
      <c r="AI23" t="s">
        <v>6955</v>
      </c>
      <c r="AJ23" s="27" t="str">
        <f t="shared" si="1"/>
        <v>833202</v>
      </c>
      <c r="AK23" s="27">
        <v>1</v>
      </c>
      <c r="AL23" s="27">
        <f t="shared" si="0"/>
        <v>1</v>
      </c>
      <c r="AM23" s="28">
        <v>1</v>
      </c>
    </row>
    <row r="24" spans="1:39" x14ac:dyDescent="0.25">
      <c r="A24" t="s">
        <v>5999</v>
      </c>
      <c r="B24" t="s">
        <v>8538</v>
      </c>
      <c r="C24" t="s">
        <v>6617</v>
      </c>
      <c r="D24" s="25" t="s">
        <v>13110</v>
      </c>
      <c r="E24" t="s">
        <v>192</v>
      </c>
      <c r="F24" s="28">
        <v>1</v>
      </c>
      <c r="G24" t="s">
        <v>193</v>
      </c>
      <c r="H24" t="s">
        <v>194</v>
      </c>
      <c r="I24" t="s">
        <v>13111</v>
      </c>
      <c r="J24" t="s">
        <v>210</v>
      </c>
      <c r="K24" t="s">
        <v>13209</v>
      </c>
      <c r="L24" t="s">
        <v>6266</v>
      </c>
      <c r="M24" t="s">
        <v>13113</v>
      </c>
      <c r="N24" t="s">
        <v>13114</v>
      </c>
      <c r="O24" t="s">
        <v>13115</v>
      </c>
      <c r="P24" t="s">
        <v>13210</v>
      </c>
      <c r="Q24" t="s">
        <v>13211</v>
      </c>
      <c r="S24" t="s">
        <v>9309</v>
      </c>
      <c r="T24" t="s">
        <v>9334</v>
      </c>
      <c r="U24" t="s">
        <v>990</v>
      </c>
      <c r="V24" t="s">
        <v>194</v>
      </c>
      <c r="W24" t="s">
        <v>9300</v>
      </c>
      <c r="Z24" t="s">
        <v>9311</v>
      </c>
      <c r="AF24" t="s">
        <v>4714</v>
      </c>
      <c r="AG24" t="s">
        <v>8538</v>
      </c>
      <c r="AI24" t="s">
        <v>6955</v>
      </c>
      <c r="AJ24" s="27" t="str">
        <f t="shared" si="1"/>
        <v>833202</v>
      </c>
      <c r="AK24" s="27">
        <v>1</v>
      </c>
      <c r="AL24" s="27">
        <f t="shared" si="0"/>
        <v>1</v>
      </c>
      <c r="AM24" s="28">
        <v>1</v>
      </c>
    </row>
    <row r="25" spans="1:39" x14ac:dyDescent="0.25">
      <c r="A25" t="s">
        <v>9346</v>
      </c>
      <c r="B25" t="s">
        <v>8075</v>
      </c>
      <c r="C25" t="s">
        <v>10</v>
      </c>
      <c r="D25" s="25" t="s">
        <v>13110</v>
      </c>
      <c r="E25" t="s">
        <v>192</v>
      </c>
      <c r="F25" s="28">
        <v>1</v>
      </c>
      <c r="G25" t="s">
        <v>193</v>
      </c>
      <c r="H25" t="s">
        <v>194</v>
      </c>
      <c r="I25" t="s">
        <v>13111</v>
      </c>
      <c r="J25" t="s">
        <v>9302</v>
      </c>
      <c r="K25" t="s">
        <v>13212</v>
      </c>
      <c r="L25" t="s">
        <v>6261</v>
      </c>
      <c r="M25" t="s">
        <v>13113</v>
      </c>
      <c r="N25" t="s">
        <v>13114</v>
      </c>
      <c r="O25" t="s">
        <v>13115</v>
      </c>
      <c r="P25" t="s">
        <v>13213</v>
      </c>
      <c r="Q25" t="s">
        <v>13214</v>
      </c>
      <c r="S25" t="s">
        <v>9309</v>
      </c>
      <c r="U25" t="s">
        <v>484</v>
      </c>
      <c r="V25" t="s">
        <v>193</v>
      </c>
      <c r="W25" t="s">
        <v>9310</v>
      </c>
      <c r="Z25" t="s">
        <v>9311</v>
      </c>
      <c r="AF25" t="s">
        <v>4714</v>
      </c>
      <c r="AG25" t="s">
        <v>8075</v>
      </c>
      <c r="AI25" t="s">
        <v>6955</v>
      </c>
      <c r="AJ25" s="27" t="str">
        <f t="shared" si="1"/>
        <v>251401</v>
      </c>
      <c r="AK25" s="27">
        <v>1</v>
      </c>
      <c r="AL25" s="27">
        <f t="shared" si="0"/>
        <v>1</v>
      </c>
      <c r="AM25" s="28">
        <v>1</v>
      </c>
    </row>
    <row r="26" spans="1:39" x14ac:dyDescent="0.25">
      <c r="A26" t="s">
        <v>9346</v>
      </c>
      <c r="B26" t="s">
        <v>13215</v>
      </c>
      <c r="C26" t="s">
        <v>46</v>
      </c>
      <c r="D26" s="25" t="s">
        <v>13110</v>
      </c>
      <c r="E26" t="s">
        <v>192</v>
      </c>
      <c r="F26" s="28">
        <v>1</v>
      </c>
      <c r="G26" t="s">
        <v>193</v>
      </c>
      <c r="H26" t="s">
        <v>194</v>
      </c>
      <c r="I26" t="s">
        <v>13125</v>
      </c>
      <c r="J26" t="s">
        <v>9302</v>
      </c>
      <c r="K26" t="s">
        <v>13216</v>
      </c>
      <c r="L26" t="s">
        <v>6921</v>
      </c>
      <c r="M26" t="s">
        <v>13113</v>
      </c>
      <c r="N26" t="s">
        <v>13114</v>
      </c>
      <c r="O26" t="s">
        <v>13115</v>
      </c>
      <c r="P26" t="s">
        <v>13217</v>
      </c>
      <c r="Q26" t="s">
        <v>13218</v>
      </c>
      <c r="S26" t="s">
        <v>9309</v>
      </c>
      <c r="U26" t="s">
        <v>510</v>
      </c>
      <c r="V26" t="s">
        <v>193</v>
      </c>
      <c r="W26" t="s">
        <v>9310</v>
      </c>
      <c r="Z26" t="s">
        <v>9311</v>
      </c>
      <c r="AF26" t="s">
        <v>4714</v>
      </c>
      <c r="AG26" t="s">
        <v>13215</v>
      </c>
      <c r="AI26" t="s">
        <v>6955</v>
      </c>
      <c r="AJ26" s="27" t="str">
        <f t="shared" si="1"/>
        <v>252201</v>
      </c>
      <c r="AK26" s="27">
        <v>1</v>
      </c>
      <c r="AL26" s="27">
        <f t="shared" si="0"/>
        <v>1</v>
      </c>
      <c r="AM26" s="28">
        <v>1</v>
      </c>
    </row>
    <row r="27" spans="1:39" x14ac:dyDescent="0.25">
      <c r="A27" t="s">
        <v>9346</v>
      </c>
      <c r="B27" t="s">
        <v>13219</v>
      </c>
      <c r="C27" t="s">
        <v>2861</v>
      </c>
      <c r="D27" s="25" t="s">
        <v>13110</v>
      </c>
      <c r="E27" t="s">
        <v>192</v>
      </c>
      <c r="F27" s="28">
        <v>1</v>
      </c>
      <c r="G27" t="s">
        <v>193</v>
      </c>
      <c r="H27" t="s">
        <v>194</v>
      </c>
      <c r="I27" t="s">
        <v>13125</v>
      </c>
      <c r="J27" t="s">
        <v>9302</v>
      </c>
      <c r="K27" t="s">
        <v>13220</v>
      </c>
      <c r="L27" t="s">
        <v>6261</v>
      </c>
      <c r="M27" t="s">
        <v>13113</v>
      </c>
      <c r="N27" t="s">
        <v>13114</v>
      </c>
      <c r="O27" t="s">
        <v>13129</v>
      </c>
      <c r="P27" t="s">
        <v>13221</v>
      </c>
      <c r="Q27" t="s">
        <v>13222</v>
      </c>
      <c r="S27" t="s">
        <v>9309</v>
      </c>
      <c r="U27" t="s">
        <v>3629</v>
      </c>
      <c r="V27" t="s">
        <v>193</v>
      </c>
      <c r="W27" t="s">
        <v>9310</v>
      </c>
      <c r="Z27" t="s">
        <v>9311</v>
      </c>
      <c r="AF27" t="s">
        <v>4714</v>
      </c>
      <c r="AG27" t="s">
        <v>13219</v>
      </c>
      <c r="AI27" t="s">
        <v>6955</v>
      </c>
      <c r="AJ27" s="27" t="str">
        <f t="shared" si="1"/>
        <v>251903</v>
      </c>
      <c r="AK27" s="27">
        <v>1</v>
      </c>
      <c r="AL27" s="27">
        <f t="shared" si="0"/>
        <v>1</v>
      </c>
      <c r="AM27" s="28">
        <v>1</v>
      </c>
    </row>
    <row r="28" spans="1:39" x14ac:dyDescent="0.25">
      <c r="A28" t="s">
        <v>9346</v>
      </c>
      <c r="B28" t="s">
        <v>13223</v>
      </c>
      <c r="C28" t="s">
        <v>2861</v>
      </c>
      <c r="D28" s="25" t="s">
        <v>13110</v>
      </c>
      <c r="E28" t="s">
        <v>192</v>
      </c>
      <c r="F28" s="28">
        <v>1</v>
      </c>
      <c r="G28" t="s">
        <v>193</v>
      </c>
      <c r="H28" t="s">
        <v>194</v>
      </c>
      <c r="I28" t="s">
        <v>13152</v>
      </c>
      <c r="J28" t="s">
        <v>9302</v>
      </c>
      <c r="K28" t="s">
        <v>13224</v>
      </c>
      <c r="L28" t="s">
        <v>6261</v>
      </c>
      <c r="M28" t="s">
        <v>13113</v>
      </c>
      <c r="N28" t="s">
        <v>13114</v>
      </c>
      <c r="O28" t="s">
        <v>13129</v>
      </c>
      <c r="P28" t="s">
        <v>13225</v>
      </c>
      <c r="Q28" t="s">
        <v>13226</v>
      </c>
      <c r="S28" t="s">
        <v>9309</v>
      </c>
      <c r="U28" t="s">
        <v>3629</v>
      </c>
      <c r="V28" t="s">
        <v>193</v>
      </c>
      <c r="W28" t="s">
        <v>9310</v>
      </c>
      <c r="Z28" t="s">
        <v>9311</v>
      </c>
      <c r="AF28" t="s">
        <v>4714</v>
      </c>
      <c r="AG28" t="s">
        <v>13223</v>
      </c>
      <c r="AI28" t="s">
        <v>6955</v>
      </c>
      <c r="AJ28" s="27" t="str">
        <f t="shared" si="1"/>
        <v>251903</v>
      </c>
      <c r="AK28" s="27">
        <v>1</v>
      </c>
      <c r="AL28" s="27">
        <f t="shared" si="0"/>
        <v>1</v>
      </c>
      <c r="AM28" s="28">
        <v>1</v>
      </c>
    </row>
    <row r="29" spans="1:39" x14ac:dyDescent="0.25">
      <c r="A29" t="s">
        <v>13227</v>
      </c>
      <c r="B29" t="s">
        <v>13228</v>
      </c>
      <c r="C29" t="s">
        <v>2098</v>
      </c>
      <c r="D29" s="25" t="s">
        <v>13110</v>
      </c>
      <c r="E29" t="s">
        <v>192</v>
      </c>
      <c r="F29" s="28">
        <v>1</v>
      </c>
      <c r="G29" t="s">
        <v>193</v>
      </c>
      <c r="H29" t="s">
        <v>194</v>
      </c>
      <c r="I29" t="s">
        <v>13125</v>
      </c>
      <c r="J29" t="s">
        <v>9302</v>
      </c>
      <c r="K29" t="s">
        <v>13229</v>
      </c>
      <c r="L29" t="s">
        <v>6275</v>
      </c>
      <c r="M29" t="s">
        <v>13113</v>
      </c>
      <c r="N29" t="s">
        <v>13114</v>
      </c>
      <c r="O29" t="s">
        <v>13115</v>
      </c>
      <c r="P29" t="s">
        <v>13230</v>
      </c>
      <c r="Q29" t="s">
        <v>13231</v>
      </c>
      <c r="S29" t="s">
        <v>9309</v>
      </c>
      <c r="U29" t="s">
        <v>2099</v>
      </c>
      <c r="V29" t="s">
        <v>193</v>
      </c>
      <c r="W29" t="s">
        <v>9310</v>
      </c>
      <c r="Z29" t="s">
        <v>9311</v>
      </c>
      <c r="AF29" t="s">
        <v>4714</v>
      </c>
      <c r="AG29" t="s">
        <v>13228</v>
      </c>
      <c r="AI29" t="s">
        <v>6955</v>
      </c>
      <c r="AJ29" s="27" t="str">
        <f t="shared" si="1"/>
        <v>229903</v>
      </c>
      <c r="AK29" s="27">
        <v>1</v>
      </c>
      <c r="AL29" s="27">
        <f t="shared" si="0"/>
        <v>1</v>
      </c>
      <c r="AM29" s="28">
        <v>1</v>
      </c>
    </row>
    <row r="30" spans="1:39" x14ac:dyDescent="0.25">
      <c r="A30" t="s">
        <v>13232</v>
      </c>
      <c r="B30" t="s">
        <v>13233</v>
      </c>
      <c r="C30" t="s">
        <v>43</v>
      </c>
      <c r="D30" s="25" t="s">
        <v>13110</v>
      </c>
      <c r="E30" t="s">
        <v>233</v>
      </c>
      <c r="F30" s="28">
        <v>1</v>
      </c>
      <c r="G30" t="s">
        <v>193</v>
      </c>
      <c r="H30" t="s">
        <v>194</v>
      </c>
      <c r="I30" t="s">
        <v>13125</v>
      </c>
      <c r="J30" t="s">
        <v>9302</v>
      </c>
      <c r="K30" t="s">
        <v>13234</v>
      </c>
      <c r="L30" t="s">
        <v>6290</v>
      </c>
      <c r="M30" t="s">
        <v>13127</v>
      </c>
      <c r="N30" t="s">
        <v>13128</v>
      </c>
      <c r="O30" t="s">
        <v>13235</v>
      </c>
      <c r="P30" t="s">
        <v>13236</v>
      </c>
      <c r="Q30" t="s">
        <v>13237</v>
      </c>
      <c r="S30" t="s">
        <v>9309</v>
      </c>
      <c r="U30" t="s">
        <v>452</v>
      </c>
      <c r="V30" t="s">
        <v>193</v>
      </c>
      <c r="W30" t="s">
        <v>9310</v>
      </c>
      <c r="Z30" t="s">
        <v>9311</v>
      </c>
      <c r="AF30" t="s">
        <v>4714</v>
      </c>
      <c r="AG30" t="s">
        <v>13233</v>
      </c>
      <c r="AI30" t="s">
        <v>6955</v>
      </c>
      <c r="AJ30" s="27" t="str">
        <f t="shared" si="1"/>
        <v>243106</v>
      </c>
      <c r="AK30" s="27">
        <v>1</v>
      </c>
      <c r="AL30" s="27">
        <f t="shared" si="0"/>
        <v>1</v>
      </c>
      <c r="AM30" s="28">
        <v>1</v>
      </c>
    </row>
    <row r="31" spans="1:39" x14ac:dyDescent="0.25">
      <c r="A31" t="s">
        <v>13238</v>
      </c>
      <c r="B31" t="s">
        <v>13239</v>
      </c>
      <c r="C31" t="s">
        <v>35</v>
      </c>
      <c r="D31" s="25" t="s">
        <v>13110</v>
      </c>
      <c r="E31" t="s">
        <v>192</v>
      </c>
      <c r="F31" s="28">
        <v>1</v>
      </c>
      <c r="G31" t="s">
        <v>193</v>
      </c>
      <c r="H31" t="s">
        <v>194</v>
      </c>
      <c r="I31" t="s">
        <v>13125</v>
      </c>
      <c r="J31" t="s">
        <v>9302</v>
      </c>
      <c r="K31" t="s">
        <v>13240</v>
      </c>
      <c r="L31" t="s">
        <v>6288</v>
      </c>
      <c r="M31" t="s">
        <v>13113</v>
      </c>
      <c r="N31" t="s">
        <v>13114</v>
      </c>
      <c r="O31" t="s">
        <v>13115</v>
      </c>
      <c r="P31" t="s">
        <v>13241</v>
      </c>
      <c r="Q31" t="s">
        <v>13242</v>
      </c>
      <c r="S31" t="s">
        <v>9309</v>
      </c>
      <c r="U31" t="s">
        <v>207</v>
      </c>
      <c r="V31" t="s">
        <v>193</v>
      </c>
      <c r="W31" t="s">
        <v>9310</v>
      </c>
      <c r="Z31" t="s">
        <v>9311</v>
      </c>
      <c r="AF31" t="s">
        <v>4714</v>
      </c>
      <c r="AG31" t="s">
        <v>13239</v>
      </c>
      <c r="AI31" t="s">
        <v>6955</v>
      </c>
      <c r="AJ31" s="27" t="str">
        <f t="shared" si="1"/>
        <v>122106</v>
      </c>
      <c r="AK31" s="27">
        <v>1</v>
      </c>
      <c r="AL31" s="27">
        <f t="shared" si="0"/>
        <v>1</v>
      </c>
      <c r="AM31" s="28">
        <v>1</v>
      </c>
    </row>
    <row r="32" spans="1:39" x14ac:dyDescent="0.25">
      <c r="A32" t="s">
        <v>8371</v>
      </c>
      <c r="B32" t="s">
        <v>13243</v>
      </c>
      <c r="C32" t="s">
        <v>8953</v>
      </c>
      <c r="D32" s="25" t="s">
        <v>13110</v>
      </c>
      <c r="E32" t="s">
        <v>233</v>
      </c>
      <c r="F32" s="28">
        <v>1</v>
      </c>
      <c r="G32" t="s">
        <v>193</v>
      </c>
      <c r="H32" t="s">
        <v>194</v>
      </c>
      <c r="I32" t="s">
        <v>13200</v>
      </c>
      <c r="J32" t="s">
        <v>9302</v>
      </c>
      <c r="K32" t="s">
        <v>13244</v>
      </c>
      <c r="L32" t="s">
        <v>6261</v>
      </c>
      <c r="M32" t="s">
        <v>13127</v>
      </c>
      <c r="N32" t="s">
        <v>13128</v>
      </c>
      <c r="O32" t="s">
        <v>13245</v>
      </c>
      <c r="P32" t="s">
        <v>13246</v>
      </c>
      <c r="Q32" t="s">
        <v>13247</v>
      </c>
      <c r="S32" t="s">
        <v>9309</v>
      </c>
      <c r="U32" t="s">
        <v>8955</v>
      </c>
      <c r="V32" t="s">
        <v>193</v>
      </c>
      <c r="W32" t="s">
        <v>9310</v>
      </c>
      <c r="Z32" t="s">
        <v>9311</v>
      </c>
      <c r="AF32" t="s">
        <v>4714</v>
      </c>
      <c r="AG32" t="s">
        <v>13243</v>
      </c>
      <c r="AI32" t="s">
        <v>6955</v>
      </c>
      <c r="AJ32" s="27" t="str">
        <f t="shared" si="1"/>
        <v>252103</v>
      </c>
      <c r="AK32" s="27">
        <v>1</v>
      </c>
      <c r="AL32" s="27">
        <f t="shared" si="0"/>
        <v>1</v>
      </c>
      <c r="AM32" s="28">
        <v>1</v>
      </c>
    </row>
    <row r="33" spans="1:39" x14ac:dyDescent="0.25">
      <c r="A33" t="s">
        <v>8371</v>
      </c>
      <c r="B33" t="s">
        <v>13248</v>
      </c>
      <c r="C33" t="s">
        <v>10</v>
      </c>
      <c r="D33" s="25" t="s">
        <v>13110</v>
      </c>
      <c r="E33" t="s">
        <v>233</v>
      </c>
      <c r="F33" s="28">
        <v>1</v>
      </c>
      <c r="G33" t="s">
        <v>193</v>
      </c>
      <c r="H33" t="s">
        <v>194</v>
      </c>
      <c r="I33" t="s">
        <v>13111</v>
      </c>
      <c r="J33" t="s">
        <v>9302</v>
      </c>
      <c r="K33" t="s">
        <v>13249</v>
      </c>
      <c r="L33" t="s">
        <v>6261</v>
      </c>
      <c r="M33" t="s">
        <v>13127</v>
      </c>
      <c r="N33" t="s">
        <v>13128</v>
      </c>
      <c r="O33" t="s">
        <v>13245</v>
      </c>
      <c r="P33" t="s">
        <v>13250</v>
      </c>
      <c r="Q33" t="s">
        <v>13251</v>
      </c>
      <c r="S33" t="s">
        <v>9309</v>
      </c>
      <c r="U33" t="s">
        <v>484</v>
      </c>
      <c r="V33" t="s">
        <v>193</v>
      </c>
      <c r="W33" t="s">
        <v>9310</v>
      </c>
      <c r="Z33" t="s">
        <v>9311</v>
      </c>
      <c r="AF33" t="s">
        <v>4714</v>
      </c>
      <c r="AG33" t="s">
        <v>13248</v>
      </c>
      <c r="AI33" t="s">
        <v>6955</v>
      </c>
      <c r="AJ33" s="27" t="str">
        <f t="shared" si="1"/>
        <v>251401</v>
      </c>
      <c r="AK33" s="27">
        <v>1</v>
      </c>
      <c r="AL33" s="27">
        <f t="shared" si="0"/>
        <v>1</v>
      </c>
      <c r="AM33" s="28">
        <v>1</v>
      </c>
    </row>
    <row r="34" spans="1:39" x14ac:dyDescent="0.25">
      <c r="A34" t="s">
        <v>8371</v>
      </c>
      <c r="B34" t="s">
        <v>13252</v>
      </c>
      <c r="C34" t="s">
        <v>10</v>
      </c>
      <c r="D34" s="25" t="s">
        <v>13110</v>
      </c>
      <c r="E34" t="s">
        <v>233</v>
      </c>
      <c r="F34" s="28">
        <v>1</v>
      </c>
      <c r="G34" t="s">
        <v>193</v>
      </c>
      <c r="H34" t="s">
        <v>194</v>
      </c>
      <c r="I34" t="s">
        <v>13125</v>
      </c>
      <c r="J34" t="s">
        <v>9302</v>
      </c>
      <c r="K34" t="s">
        <v>13253</v>
      </c>
      <c r="L34" t="s">
        <v>6261</v>
      </c>
      <c r="M34" t="s">
        <v>13127</v>
      </c>
      <c r="N34" t="s">
        <v>13128</v>
      </c>
      <c r="O34" t="s">
        <v>13245</v>
      </c>
      <c r="P34" t="s">
        <v>13254</v>
      </c>
      <c r="Q34" t="s">
        <v>13255</v>
      </c>
      <c r="S34" t="s">
        <v>9309</v>
      </c>
      <c r="U34" t="s">
        <v>484</v>
      </c>
      <c r="V34" t="s">
        <v>193</v>
      </c>
      <c r="W34" t="s">
        <v>9310</v>
      </c>
      <c r="Z34" t="s">
        <v>9311</v>
      </c>
      <c r="AF34" t="s">
        <v>4714</v>
      </c>
      <c r="AG34" t="s">
        <v>13252</v>
      </c>
      <c r="AI34" t="s">
        <v>6955</v>
      </c>
      <c r="AJ34" s="27" t="str">
        <f t="shared" si="1"/>
        <v>251401</v>
      </c>
      <c r="AK34" s="27">
        <v>1</v>
      </c>
      <c r="AL34" s="27">
        <f t="shared" si="0"/>
        <v>1</v>
      </c>
      <c r="AM34" s="28">
        <v>1</v>
      </c>
    </row>
    <row r="35" spans="1:39" x14ac:dyDescent="0.25">
      <c r="A35" t="s">
        <v>8371</v>
      </c>
      <c r="B35" t="s">
        <v>13256</v>
      </c>
      <c r="C35" t="s">
        <v>10</v>
      </c>
      <c r="D35" s="25" t="s">
        <v>13110</v>
      </c>
      <c r="E35" t="s">
        <v>233</v>
      </c>
      <c r="F35" s="28">
        <v>1</v>
      </c>
      <c r="G35" t="s">
        <v>193</v>
      </c>
      <c r="H35" t="s">
        <v>194</v>
      </c>
      <c r="I35" t="s">
        <v>13125</v>
      </c>
      <c r="J35" t="s">
        <v>9302</v>
      </c>
      <c r="K35" t="s">
        <v>13257</v>
      </c>
      <c r="L35" t="s">
        <v>6261</v>
      </c>
      <c r="M35" t="s">
        <v>13127</v>
      </c>
      <c r="N35" t="s">
        <v>13128</v>
      </c>
      <c r="O35" t="s">
        <v>13245</v>
      </c>
      <c r="P35" t="s">
        <v>13258</v>
      </c>
      <c r="Q35" t="s">
        <v>13259</v>
      </c>
      <c r="S35" t="s">
        <v>9309</v>
      </c>
      <c r="U35" t="s">
        <v>484</v>
      </c>
      <c r="V35" t="s">
        <v>193</v>
      </c>
      <c r="W35" t="s">
        <v>9310</v>
      </c>
      <c r="Z35" t="s">
        <v>9311</v>
      </c>
      <c r="AF35" t="s">
        <v>4714</v>
      </c>
      <c r="AG35" t="s">
        <v>13256</v>
      </c>
      <c r="AI35" t="s">
        <v>6955</v>
      </c>
      <c r="AJ35" s="27" t="str">
        <f t="shared" si="1"/>
        <v>251401</v>
      </c>
      <c r="AK35" s="27">
        <v>1</v>
      </c>
      <c r="AL35" s="27">
        <f t="shared" si="0"/>
        <v>1</v>
      </c>
      <c r="AM35" s="28">
        <v>1</v>
      </c>
    </row>
    <row r="36" spans="1:39" x14ac:dyDescent="0.25">
      <c r="A36" t="s">
        <v>8371</v>
      </c>
      <c r="B36" t="s">
        <v>13260</v>
      </c>
      <c r="C36" t="s">
        <v>444</v>
      </c>
      <c r="D36" s="25" t="s">
        <v>13110</v>
      </c>
      <c r="E36" t="s">
        <v>233</v>
      </c>
      <c r="F36" s="28">
        <v>1</v>
      </c>
      <c r="G36" t="s">
        <v>193</v>
      </c>
      <c r="H36" t="s">
        <v>194</v>
      </c>
      <c r="I36" t="s">
        <v>13125</v>
      </c>
      <c r="J36" t="s">
        <v>9302</v>
      </c>
      <c r="K36" t="s">
        <v>13261</v>
      </c>
      <c r="L36" t="s">
        <v>6254</v>
      </c>
      <c r="M36" t="s">
        <v>13127</v>
      </c>
      <c r="N36" t="s">
        <v>13128</v>
      </c>
      <c r="O36" t="s">
        <v>13129</v>
      </c>
      <c r="P36" t="s">
        <v>13262</v>
      </c>
      <c r="Q36" t="s">
        <v>13263</v>
      </c>
      <c r="S36" t="s">
        <v>9309</v>
      </c>
      <c r="U36" t="s">
        <v>445</v>
      </c>
      <c r="V36" t="s">
        <v>193</v>
      </c>
      <c r="W36" t="s">
        <v>9310</v>
      </c>
      <c r="Z36" t="s">
        <v>9311</v>
      </c>
      <c r="AF36" t="s">
        <v>4714</v>
      </c>
      <c r="AG36" t="s">
        <v>13260</v>
      </c>
      <c r="AI36" t="s">
        <v>6955</v>
      </c>
      <c r="AJ36" s="27" t="str">
        <f t="shared" si="1"/>
        <v>243103</v>
      </c>
      <c r="AK36" s="27">
        <v>1</v>
      </c>
      <c r="AL36" s="27">
        <f t="shared" si="0"/>
        <v>1</v>
      </c>
      <c r="AM36" s="28">
        <v>1</v>
      </c>
    </row>
    <row r="37" spans="1:39" x14ac:dyDescent="0.25">
      <c r="A37" t="s">
        <v>8371</v>
      </c>
      <c r="B37" t="s">
        <v>2849</v>
      </c>
      <c r="C37" t="s">
        <v>10</v>
      </c>
      <c r="D37" s="25" t="s">
        <v>13110</v>
      </c>
      <c r="E37" t="s">
        <v>233</v>
      </c>
      <c r="F37" s="28">
        <v>1</v>
      </c>
      <c r="G37" t="s">
        <v>193</v>
      </c>
      <c r="H37" t="s">
        <v>194</v>
      </c>
      <c r="I37" t="s">
        <v>13111</v>
      </c>
      <c r="J37" t="s">
        <v>9302</v>
      </c>
      <c r="K37" t="s">
        <v>13264</v>
      </c>
      <c r="L37" t="s">
        <v>6261</v>
      </c>
      <c r="M37" t="s">
        <v>13127</v>
      </c>
      <c r="N37" t="s">
        <v>13128</v>
      </c>
      <c r="O37" t="s">
        <v>13245</v>
      </c>
      <c r="P37" t="s">
        <v>13265</v>
      </c>
      <c r="Q37" t="s">
        <v>13266</v>
      </c>
      <c r="S37" t="s">
        <v>9309</v>
      </c>
      <c r="U37" t="s">
        <v>484</v>
      </c>
      <c r="V37" t="s">
        <v>193</v>
      </c>
      <c r="W37" t="s">
        <v>9310</v>
      </c>
      <c r="Z37" t="s">
        <v>9311</v>
      </c>
      <c r="AF37" t="s">
        <v>4714</v>
      </c>
      <c r="AG37" t="s">
        <v>2849</v>
      </c>
      <c r="AI37" t="s">
        <v>6955</v>
      </c>
      <c r="AJ37" s="27" t="str">
        <f t="shared" si="1"/>
        <v>251401</v>
      </c>
      <c r="AK37" s="27">
        <v>1</v>
      </c>
      <c r="AL37" s="27">
        <f t="shared" si="0"/>
        <v>1</v>
      </c>
      <c r="AM37" s="28">
        <v>1</v>
      </c>
    </row>
    <row r="38" spans="1:39" x14ac:dyDescent="0.25">
      <c r="A38" t="s">
        <v>8371</v>
      </c>
      <c r="B38" t="s">
        <v>2849</v>
      </c>
      <c r="C38" t="s">
        <v>10</v>
      </c>
      <c r="D38" s="25" t="s">
        <v>13110</v>
      </c>
      <c r="E38" t="s">
        <v>233</v>
      </c>
      <c r="F38" s="28">
        <v>1</v>
      </c>
      <c r="G38" t="s">
        <v>193</v>
      </c>
      <c r="H38" t="s">
        <v>194</v>
      </c>
      <c r="I38" t="s">
        <v>13111</v>
      </c>
      <c r="J38" t="s">
        <v>9302</v>
      </c>
      <c r="K38" t="s">
        <v>13267</v>
      </c>
      <c r="L38" t="s">
        <v>6261</v>
      </c>
      <c r="M38" t="s">
        <v>13127</v>
      </c>
      <c r="N38" t="s">
        <v>13128</v>
      </c>
      <c r="O38" t="s">
        <v>13245</v>
      </c>
      <c r="P38" t="s">
        <v>13268</v>
      </c>
      <c r="Q38" t="s">
        <v>13269</v>
      </c>
      <c r="S38" t="s">
        <v>9309</v>
      </c>
      <c r="U38" t="s">
        <v>484</v>
      </c>
      <c r="V38" t="s">
        <v>193</v>
      </c>
      <c r="W38" t="s">
        <v>9310</v>
      </c>
      <c r="Z38" t="s">
        <v>9311</v>
      </c>
      <c r="AF38" t="s">
        <v>4714</v>
      </c>
      <c r="AG38" t="s">
        <v>2849</v>
      </c>
      <c r="AI38" t="s">
        <v>6955</v>
      </c>
      <c r="AJ38" s="27" t="str">
        <f t="shared" si="1"/>
        <v>251401</v>
      </c>
      <c r="AK38" s="27">
        <v>1</v>
      </c>
      <c r="AL38" s="27">
        <f t="shared" si="0"/>
        <v>1</v>
      </c>
      <c r="AM38" s="28">
        <v>1</v>
      </c>
    </row>
    <row r="39" spans="1:39" x14ac:dyDescent="0.25">
      <c r="A39" t="s">
        <v>8371</v>
      </c>
      <c r="B39" t="s">
        <v>13270</v>
      </c>
      <c r="C39" t="s">
        <v>10</v>
      </c>
      <c r="D39" s="25" t="s">
        <v>13110</v>
      </c>
      <c r="E39" t="s">
        <v>233</v>
      </c>
      <c r="F39" s="28">
        <v>1</v>
      </c>
      <c r="G39" t="s">
        <v>193</v>
      </c>
      <c r="H39" t="s">
        <v>194</v>
      </c>
      <c r="I39" t="s">
        <v>13152</v>
      </c>
      <c r="J39" t="s">
        <v>9302</v>
      </c>
      <c r="K39" t="s">
        <v>13271</v>
      </c>
      <c r="L39" t="s">
        <v>6261</v>
      </c>
      <c r="M39" t="s">
        <v>13127</v>
      </c>
      <c r="N39" t="s">
        <v>13128</v>
      </c>
      <c r="O39" t="s">
        <v>13245</v>
      </c>
      <c r="P39" t="s">
        <v>13272</v>
      </c>
      <c r="Q39" t="s">
        <v>13273</v>
      </c>
      <c r="S39" t="s">
        <v>9309</v>
      </c>
      <c r="U39" t="s">
        <v>484</v>
      </c>
      <c r="V39" t="s">
        <v>193</v>
      </c>
      <c r="W39" t="s">
        <v>9310</v>
      </c>
      <c r="Z39" t="s">
        <v>9311</v>
      </c>
      <c r="AF39" t="s">
        <v>4714</v>
      </c>
      <c r="AG39" t="s">
        <v>13270</v>
      </c>
      <c r="AI39" t="s">
        <v>6955</v>
      </c>
      <c r="AJ39" s="27" t="str">
        <f t="shared" si="1"/>
        <v>251401</v>
      </c>
      <c r="AK39" s="27">
        <v>1</v>
      </c>
      <c r="AL39" s="27">
        <f t="shared" si="0"/>
        <v>1</v>
      </c>
      <c r="AM39" s="28">
        <v>1</v>
      </c>
    </row>
    <row r="40" spans="1:39" x14ac:dyDescent="0.25">
      <c r="A40" t="s">
        <v>1207</v>
      </c>
      <c r="B40" t="s">
        <v>2560</v>
      </c>
      <c r="C40" t="s">
        <v>113</v>
      </c>
      <c r="D40" s="25" t="s">
        <v>13110</v>
      </c>
      <c r="E40" t="s">
        <v>192</v>
      </c>
      <c r="F40" s="28">
        <v>1</v>
      </c>
      <c r="G40" t="s">
        <v>193</v>
      </c>
      <c r="H40" t="s">
        <v>194</v>
      </c>
      <c r="I40" t="s">
        <v>13125</v>
      </c>
      <c r="J40" t="s">
        <v>210</v>
      </c>
      <c r="K40" t="s">
        <v>13274</v>
      </c>
      <c r="L40" t="s">
        <v>6254</v>
      </c>
      <c r="M40" t="s">
        <v>13113</v>
      </c>
      <c r="N40" t="s">
        <v>13114</v>
      </c>
      <c r="O40" t="s">
        <v>13152</v>
      </c>
      <c r="P40" t="s">
        <v>13275</v>
      </c>
      <c r="Q40" t="s">
        <v>13276</v>
      </c>
      <c r="S40" t="s">
        <v>9309</v>
      </c>
      <c r="T40" t="s">
        <v>9334</v>
      </c>
      <c r="U40" t="s">
        <v>465</v>
      </c>
      <c r="V40" t="s">
        <v>194</v>
      </c>
      <c r="W40" t="s">
        <v>9300</v>
      </c>
      <c r="Z40" t="s">
        <v>9311</v>
      </c>
      <c r="AF40" t="s">
        <v>4714</v>
      </c>
      <c r="AG40" t="s">
        <v>2560</v>
      </c>
      <c r="AI40" t="s">
        <v>6955</v>
      </c>
      <c r="AJ40" s="27" t="str">
        <f t="shared" si="1"/>
        <v>243302</v>
      </c>
      <c r="AK40" s="27">
        <v>1</v>
      </c>
      <c r="AL40" s="27">
        <f t="shared" si="0"/>
        <v>1</v>
      </c>
      <c r="AM40" s="28">
        <v>1</v>
      </c>
    </row>
    <row r="41" spans="1:39" x14ac:dyDescent="0.25">
      <c r="A41" t="s">
        <v>1207</v>
      </c>
      <c r="B41" t="s">
        <v>8064</v>
      </c>
      <c r="C41" t="s">
        <v>113</v>
      </c>
      <c r="D41" s="25" t="s">
        <v>13110</v>
      </c>
      <c r="E41" t="s">
        <v>192</v>
      </c>
      <c r="F41" s="28">
        <v>1</v>
      </c>
      <c r="G41" t="s">
        <v>193</v>
      </c>
      <c r="H41" t="s">
        <v>194</v>
      </c>
      <c r="I41" t="s">
        <v>13125</v>
      </c>
      <c r="J41" t="s">
        <v>4751</v>
      </c>
      <c r="K41" t="s">
        <v>13277</v>
      </c>
      <c r="L41" t="s">
        <v>6254</v>
      </c>
      <c r="M41" t="s">
        <v>13113</v>
      </c>
      <c r="N41" t="s">
        <v>13114</v>
      </c>
      <c r="O41" t="s">
        <v>13152</v>
      </c>
      <c r="P41" t="s">
        <v>13278</v>
      </c>
      <c r="Q41" t="s">
        <v>13279</v>
      </c>
      <c r="S41" t="s">
        <v>9309</v>
      </c>
      <c r="T41" t="s">
        <v>9472</v>
      </c>
      <c r="U41" t="s">
        <v>465</v>
      </c>
      <c r="V41" t="s">
        <v>194</v>
      </c>
      <c r="W41" t="s">
        <v>9300</v>
      </c>
      <c r="Z41" t="s">
        <v>9311</v>
      </c>
      <c r="AF41" t="s">
        <v>4714</v>
      </c>
      <c r="AG41" t="s">
        <v>8064</v>
      </c>
      <c r="AI41" t="s">
        <v>6955</v>
      </c>
      <c r="AJ41" s="27" t="str">
        <f t="shared" si="1"/>
        <v>243302</v>
      </c>
      <c r="AK41" s="27">
        <v>1</v>
      </c>
      <c r="AL41" s="27">
        <f t="shared" si="0"/>
        <v>1</v>
      </c>
      <c r="AM41" s="28">
        <v>1</v>
      </c>
    </row>
    <row r="42" spans="1:39" x14ac:dyDescent="0.25">
      <c r="A42" t="s">
        <v>1207</v>
      </c>
      <c r="B42" t="s">
        <v>8064</v>
      </c>
      <c r="C42" t="s">
        <v>113</v>
      </c>
      <c r="D42" s="25" t="s">
        <v>13110</v>
      </c>
      <c r="E42" t="s">
        <v>192</v>
      </c>
      <c r="F42" s="28">
        <v>1</v>
      </c>
      <c r="G42" t="s">
        <v>193</v>
      </c>
      <c r="H42" t="s">
        <v>194</v>
      </c>
      <c r="I42" t="s">
        <v>13125</v>
      </c>
      <c r="J42" t="s">
        <v>316</v>
      </c>
      <c r="K42" t="s">
        <v>13280</v>
      </c>
      <c r="L42" t="s">
        <v>6254</v>
      </c>
      <c r="M42" t="s">
        <v>13113</v>
      </c>
      <c r="N42" t="s">
        <v>13114</v>
      </c>
      <c r="O42" t="s">
        <v>13152</v>
      </c>
      <c r="P42" t="s">
        <v>13281</v>
      </c>
      <c r="Q42" t="s">
        <v>13282</v>
      </c>
      <c r="S42" t="s">
        <v>9309</v>
      </c>
      <c r="T42" t="s">
        <v>10012</v>
      </c>
      <c r="U42" t="s">
        <v>465</v>
      </c>
      <c r="V42" t="s">
        <v>194</v>
      </c>
      <c r="W42" t="s">
        <v>9300</v>
      </c>
      <c r="Z42" t="s">
        <v>9311</v>
      </c>
      <c r="AF42" t="s">
        <v>4714</v>
      </c>
      <c r="AG42" t="s">
        <v>8064</v>
      </c>
      <c r="AI42" t="s">
        <v>6955</v>
      </c>
      <c r="AJ42" s="27" t="str">
        <f t="shared" si="1"/>
        <v>243302</v>
      </c>
      <c r="AK42" s="27">
        <v>1</v>
      </c>
      <c r="AL42" s="27">
        <f t="shared" si="0"/>
        <v>1</v>
      </c>
      <c r="AM42" s="28">
        <v>1</v>
      </c>
    </row>
    <row r="43" spans="1:39" x14ac:dyDescent="0.25">
      <c r="A43" t="s">
        <v>1207</v>
      </c>
      <c r="B43" t="s">
        <v>13283</v>
      </c>
      <c r="C43" t="s">
        <v>10</v>
      </c>
      <c r="D43" s="25" t="s">
        <v>13110</v>
      </c>
      <c r="E43" t="s">
        <v>217</v>
      </c>
      <c r="F43" s="28">
        <v>1</v>
      </c>
      <c r="G43" t="s">
        <v>194</v>
      </c>
      <c r="H43" t="s">
        <v>193</v>
      </c>
      <c r="I43" t="s">
        <v>13152</v>
      </c>
      <c r="J43" t="s">
        <v>13284</v>
      </c>
      <c r="K43" t="s">
        <v>13285</v>
      </c>
      <c r="L43" t="s">
        <v>6261</v>
      </c>
      <c r="M43" t="s">
        <v>13286</v>
      </c>
      <c r="N43" t="s">
        <v>11614</v>
      </c>
      <c r="O43" t="s">
        <v>13160</v>
      </c>
      <c r="P43" t="s">
        <v>13287</v>
      </c>
      <c r="Q43" t="s">
        <v>13288</v>
      </c>
      <c r="S43" t="s">
        <v>9309</v>
      </c>
      <c r="U43" t="s">
        <v>484</v>
      </c>
      <c r="V43" t="s">
        <v>194</v>
      </c>
      <c r="W43" t="s">
        <v>9946</v>
      </c>
      <c r="Z43" t="s">
        <v>9311</v>
      </c>
      <c r="AF43" t="s">
        <v>4714</v>
      </c>
      <c r="AG43" t="s">
        <v>9433</v>
      </c>
      <c r="AI43" t="s">
        <v>6955</v>
      </c>
      <c r="AJ43" s="27" t="str">
        <f t="shared" si="1"/>
        <v>251401</v>
      </c>
      <c r="AK43" s="27">
        <v>1</v>
      </c>
      <c r="AL43" s="27">
        <f t="shared" si="0"/>
        <v>1</v>
      </c>
      <c r="AM43" s="28">
        <v>1</v>
      </c>
    </row>
    <row r="44" spans="1:39" x14ac:dyDescent="0.25">
      <c r="A44" t="s">
        <v>1207</v>
      </c>
      <c r="B44" t="s">
        <v>5134</v>
      </c>
      <c r="C44" t="s">
        <v>10</v>
      </c>
      <c r="D44" s="25" t="s">
        <v>13110</v>
      </c>
      <c r="E44" t="s">
        <v>217</v>
      </c>
      <c r="F44" s="28">
        <v>1</v>
      </c>
      <c r="G44" t="s">
        <v>194</v>
      </c>
      <c r="H44" t="s">
        <v>193</v>
      </c>
      <c r="I44" t="s">
        <v>13152</v>
      </c>
      <c r="J44" t="s">
        <v>13289</v>
      </c>
      <c r="K44" t="s">
        <v>13290</v>
      </c>
      <c r="L44" t="s">
        <v>6261</v>
      </c>
      <c r="M44" t="s">
        <v>13286</v>
      </c>
      <c r="N44" t="s">
        <v>12285</v>
      </c>
      <c r="O44" t="s">
        <v>13291</v>
      </c>
      <c r="P44" t="s">
        <v>13292</v>
      </c>
      <c r="Q44" t="s">
        <v>13293</v>
      </c>
      <c r="S44" t="s">
        <v>9309</v>
      </c>
      <c r="U44" t="s">
        <v>484</v>
      </c>
      <c r="V44" t="s">
        <v>193</v>
      </c>
      <c r="W44" t="s">
        <v>9310</v>
      </c>
      <c r="Z44" t="s">
        <v>9311</v>
      </c>
      <c r="AF44" t="s">
        <v>4714</v>
      </c>
      <c r="AG44" t="s">
        <v>9433</v>
      </c>
      <c r="AI44" t="s">
        <v>6955</v>
      </c>
      <c r="AJ44" s="27" t="str">
        <f t="shared" si="1"/>
        <v>251401</v>
      </c>
      <c r="AK44" s="27">
        <v>1</v>
      </c>
      <c r="AL44" s="27">
        <f t="shared" si="0"/>
        <v>1</v>
      </c>
      <c r="AM44" s="28">
        <v>1</v>
      </c>
    </row>
    <row r="45" spans="1:39" x14ac:dyDescent="0.25">
      <c r="A45" t="s">
        <v>1207</v>
      </c>
      <c r="B45" t="s">
        <v>13294</v>
      </c>
      <c r="C45" t="s">
        <v>2771</v>
      </c>
      <c r="D45" s="25" t="s">
        <v>13110</v>
      </c>
      <c r="E45" t="s">
        <v>192</v>
      </c>
      <c r="F45" s="28">
        <v>1</v>
      </c>
      <c r="G45" t="s">
        <v>193</v>
      </c>
      <c r="H45" t="s">
        <v>194</v>
      </c>
      <c r="I45" t="s">
        <v>13152</v>
      </c>
      <c r="J45" t="s">
        <v>210</v>
      </c>
      <c r="K45" t="s">
        <v>13295</v>
      </c>
      <c r="L45" t="s">
        <v>6254</v>
      </c>
      <c r="M45" t="s">
        <v>13113</v>
      </c>
      <c r="N45" t="s">
        <v>13114</v>
      </c>
      <c r="O45" t="s">
        <v>13152</v>
      </c>
      <c r="P45" t="s">
        <v>13296</v>
      </c>
      <c r="Q45" t="s">
        <v>13297</v>
      </c>
      <c r="S45" t="s">
        <v>9309</v>
      </c>
      <c r="T45" t="s">
        <v>9334</v>
      </c>
      <c r="U45" t="s">
        <v>4816</v>
      </c>
      <c r="V45" t="s">
        <v>194</v>
      </c>
      <c r="W45" t="s">
        <v>9300</v>
      </c>
      <c r="Z45" t="s">
        <v>9311</v>
      </c>
      <c r="AF45" t="s">
        <v>4714</v>
      </c>
      <c r="AG45" t="s">
        <v>13294</v>
      </c>
      <c r="AI45" t="s">
        <v>6955</v>
      </c>
      <c r="AJ45" s="27" t="str">
        <f t="shared" si="1"/>
        <v>331403</v>
      </c>
      <c r="AK45" s="27">
        <v>1</v>
      </c>
      <c r="AL45" s="27">
        <f t="shared" si="0"/>
        <v>1</v>
      </c>
      <c r="AM45" s="28">
        <v>1</v>
      </c>
    </row>
    <row r="46" spans="1:39" x14ac:dyDescent="0.25">
      <c r="A46" t="s">
        <v>409</v>
      </c>
      <c r="B46" t="s">
        <v>537</v>
      </c>
      <c r="C46" t="s">
        <v>778</v>
      </c>
      <c r="D46" s="25" t="s">
        <v>13110</v>
      </c>
      <c r="E46" t="s">
        <v>192</v>
      </c>
      <c r="F46" s="28">
        <v>1</v>
      </c>
      <c r="G46" t="s">
        <v>193</v>
      </c>
      <c r="H46" t="s">
        <v>194</v>
      </c>
      <c r="I46" t="s">
        <v>13160</v>
      </c>
      <c r="J46" t="s">
        <v>210</v>
      </c>
      <c r="K46" t="s">
        <v>13298</v>
      </c>
      <c r="L46" t="s">
        <v>6254</v>
      </c>
      <c r="M46" t="s">
        <v>13162</v>
      </c>
      <c r="N46" t="s">
        <v>13114</v>
      </c>
      <c r="O46" t="s">
        <v>13115</v>
      </c>
      <c r="P46" t="s">
        <v>13299</v>
      </c>
      <c r="Q46" t="s">
        <v>13300</v>
      </c>
      <c r="S46" t="s">
        <v>9309</v>
      </c>
      <c r="T46" t="s">
        <v>9334</v>
      </c>
      <c r="U46" t="s">
        <v>779</v>
      </c>
      <c r="V46" t="s">
        <v>194</v>
      </c>
      <c r="W46" t="s">
        <v>9300</v>
      </c>
      <c r="Z46" t="s">
        <v>9311</v>
      </c>
      <c r="AF46" t="s">
        <v>4714</v>
      </c>
      <c r="AG46" t="s">
        <v>778</v>
      </c>
      <c r="AI46" t="s">
        <v>6955</v>
      </c>
      <c r="AJ46" s="27" t="str">
        <f t="shared" si="1"/>
        <v>524902</v>
      </c>
      <c r="AK46" s="27">
        <v>1</v>
      </c>
      <c r="AL46" s="27">
        <f t="shared" si="0"/>
        <v>1</v>
      </c>
      <c r="AM46" s="28">
        <v>1</v>
      </c>
    </row>
    <row r="47" spans="1:39" x14ac:dyDescent="0.25">
      <c r="A47" t="s">
        <v>13301</v>
      </c>
      <c r="B47" t="s">
        <v>13302</v>
      </c>
      <c r="C47" t="s">
        <v>4580</v>
      </c>
      <c r="D47" s="25" t="s">
        <v>13110</v>
      </c>
      <c r="E47" t="s">
        <v>192</v>
      </c>
      <c r="F47" s="28">
        <v>1</v>
      </c>
      <c r="G47" t="s">
        <v>193</v>
      </c>
      <c r="H47" t="s">
        <v>194</v>
      </c>
      <c r="I47" t="s">
        <v>13303</v>
      </c>
      <c r="J47" t="s">
        <v>210</v>
      </c>
      <c r="K47" t="s">
        <v>13304</v>
      </c>
      <c r="L47" t="s">
        <v>6275</v>
      </c>
      <c r="M47" t="s">
        <v>13113</v>
      </c>
      <c r="N47" t="s">
        <v>13114</v>
      </c>
      <c r="O47" t="s">
        <v>13115</v>
      </c>
      <c r="P47" t="s">
        <v>13305</v>
      </c>
      <c r="Q47" t="s">
        <v>13306</v>
      </c>
      <c r="S47" t="s">
        <v>9309</v>
      </c>
      <c r="T47" t="s">
        <v>9334</v>
      </c>
      <c r="U47" t="s">
        <v>4581</v>
      </c>
      <c r="V47" t="s">
        <v>194</v>
      </c>
      <c r="W47" t="s">
        <v>9300</v>
      </c>
      <c r="Z47" t="s">
        <v>9311</v>
      </c>
      <c r="AF47" t="s">
        <v>4714</v>
      </c>
      <c r="AG47" t="s">
        <v>13302</v>
      </c>
      <c r="AI47" t="s">
        <v>6955</v>
      </c>
      <c r="AJ47" s="27" t="str">
        <f t="shared" si="1"/>
        <v>712703</v>
      </c>
      <c r="AK47" s="27">
        <v>1</v>
      </c>
      <c r="AL47" s="27">
        <f t="shared" si="0"/>
        <v>1</v>
      </c>
      <c r="AM47" s="28">
        <v>1</v>
      </c>
    </row>
    <row r="48" spans="1:39" x14ac:dyDescent="0.25">
      <c r="A48" t="s">
        <v>13307</v>
      </c>
      <c r="B48" t="s">
        <v>13308</v>
      </c>
      <c r="C48" t="s">
        <v>13309</v>
      </c>
      <c r="D48" s="25" t="s">
        <v>13110</v>
      </c>
      <c r="E48" t="s">
        <v>192</v>
      </c>
      <c r="F48" s="28">
        <v>1</v>
      </c>
      <c r="G48" t="s">
        <v>193</v>
      </c>
      <c r="H48" t="s">
        <v>194</v>
      </c>
      <c r="I48" t="s">
        <v>13303</v>
      </c>
      <c r="J48" t="s">
        <v>9302</v>
      </c>
      <c r="K48" t="s">
        <v>13310</v>
      </c>
      <c r="L48" t="s">
        <v>6288</v>
      </c>
      <c r="M48" t="s">
        <v>13113</v>
      </c>
      <c r="N48" t="s">
        <v>13114</v>
      </c>
      <c r="O48" t="s">
        <v>13115</v>
      </c>
      <c r="P48" t="s">
        <v>13311</v>
      </c>
      <c r="Q48" t="s">
        <v>13312</v>
      </c>
      <c r="S48" t="s">
        <v>9309</v>
      </c>
      <c r="U48" t="s">
        <v>13313</v>
      </c>
      <c r="V48" t="s">
        <v>193</v>
      </c>
      <c r="W48" t="s">
        <v>9310</v>
      </c>
      <c r="Z48" t="s">
        <v>9311</v>
      </c>
      <c r="AF48" t="s">
        <v>4714</v>
      </c>
      <c r="AG48" t="s">
        <v>13308</v>
      </c>
      <c r="AI48" t="s">
        <v>6955</v>
      </c>
      <c r="AJ48" s="27" t="str">
        <f t="shared" si="1"/>
        <v>227101</v>
      </c>
      <c r="AK48" s="27">
        <v>1</v>
      </c>
      <c r="AL48" s="27">
        <f t="shared" si="0"/>
        <v>1</v>
      </c>
      <c r="AM48" s="28">
        <v>1</v>
      </c>
    </row>
    <row r="49" spans="1:39" x14ac:dyDescent="0.25">
      <c r="A49" t="s">
        <v>13314</v>
      </c>
      <c r="B49" t="s">
        <v>13315</v>
      </c>
      <c r="C49" t="s">
        <v>3427</v>
      </c>
      <c r="D49" s="25" t="s">
        <v>13110</v>
      </c>
      <c r="E49" t="s">
        <v>192</v>
      </c>
      <c r="F49" s="28">
        <v>1</v>
      </c>
      <c r="G49" t="s">
        <v>193</v>
      </c>
      <c r="H49" t="s">
        <v>194</v>
      </c>
      <c r="I49" t="s">
        <v>13303</v>
      </c>
      <c r="J49" t="s">
        <v>9302</v>
      </c>
      <c r="K49" t="s">
        <v>13316</v>
      </c>
      <c r="L49" t="s">
        <v>6254</v>
      </c>
      <c r="M49" t="s">
        <v>13113</v>
      </c>
      <c r="N49" t="s">
        <v>13114</v>
      </c>
      <c r="O49" t="s">
        <v>13115</v>
      </c>
      <c r="P49" t="s">
        <v>13317</v>
      </c>
      <c r="Q49" t="s">
        <v>13318</v>
      </c>
      <c r="S49" t="s">
        <v>9309</v>
      </c>
      <c r="U49" t="s">
        <v>3428</v>
      </c>
      <c r="V49" t="s">
        <v>193</v>
      </c>
      <c r="W49" t="s">
        <v>9310</v>
      </c>
      <c r="Z49" t="s">
        <v>9311</v>
      </c>
      <c r="AF49" t="s">
        <v>4714</v>
      </c>
      <c r="AG49" t="s">
        <v>13315</v>
      </c>
      <c r="AI49" t="s">
        <v>6955</v>
      </c>
      <c r="AJ49" s="27" t="str">
        <f t="shared" si="1"/>
        <v>251202</v>
      </c>
      <c r="AK49" s="27">
        <v>1</v>
      </c>
      <c r="AL49" s="27">
        <f t="shared" si="0"/>
        <v>1</v>
      </c>
      <c r="AM49" s="28">
        <v>1</v>
      </c>
    </row>
    <row r="50" spans="1:39" x14ac:dyDescent="0.25">
      <c r="A50" t="s">
        <v>9373</v>
      </c>
      <c r="B50" t="s">
        <v>13319</v>
      </c>
      <c r="C50" t="s">
        <v>27</v>
      </c>
      <c r="D50" s="25" t="s">
        <v>13110</v>
      </c>
      <c r="E50" t="s">
        <v>192</v>
      </c>
      <c r="F50" s="28">
        <v>1</v>
      </c>
      <c r="G50" t="s">
        <v>193</v>
      </c>
      <c r="H50" t="s">
        <v>194</v>
      </c>
      <c r="I50" t="s">
        <v>13119</v>
      </c>
      <c r="J50" t="s">
        <v>9302</v>
      </c>
      <c r="K50" t="s">
        <v>13320</v>
      </c>
      <c r="L50" t="s">
        <v>6340</v>
      </c>
      <c r="M50" t="s">
        <v>13113</v>
      </c>
      <c r="N50" t="s">
        <v>13114</v>
      </c>
      <c r="O50" t="s">
        <v>13115</v>
      </c>
      <c r="P50" t="s">
        <v>13321</v>
      </c>
      <c r="Q50" t="s">
        <v>13322</v>
      </c>
      <c r="S50" t="s">
        <v>9309</v>
      </c>
      <c r="U50" t="s">
        <v>440</v>
      </c>
      <c r="V50" t="s">
        <v>193</v>
      </c>
      <c r="W50" t="s">
        <v>9310</v>
      </c>
      <c r="Z50" t="s">
        <v>9311</v>
      </c>
      <c r="AF50" t="s">
        <v>4714</v>
      </c>
      <c r="AG50" t="s">
        <v>13319</v>
      </c>
      <c r="AI50" t="s">
        <v>6955</v>
      </c>
      <c r="AJ50" s="27" t="str">
        <f t="shared" si="1"/>
        <v>242307</v>
      </c>
      <c r="AK50" s="27">
        <v>1</v>
      </c>
      <c r="AL50" s="27">
        <f t="shared" si="0"/>
        <v>1</v>
      </c>
      <c r="AM50" s="28">
        <v>1</v>
      </c>
    </row>
    <row r="51" spans="1:39" x14ac:dyDescent="0.25">
      <c r="A51" t="s">
        <v>10606</v>
      </c>
      <c r="B51" t="s">
        <v>13323</v>
      </c>
      <c r="C51" t="s">
        <v>525</v>
      </c>
      <c r="D51" s="25" t="s">
        <v>13110</v>
      </c>
      <c r="E51" t="s">
        <v>192</v>
      </c>
      <c r="F51" s="28">
        <v>1</v>
      </c>
      <c r="G51" t="s">
        <v>193</v>
      </c>
      <c r="H51" t="s">
        <v>194</v>
      </c>
      <c r="I51" t="s">
        <v>13125</v>
      </c>
      <c r="J51" t="s">
        <v>755</v>
      </c>
      <c r="K51" t="s">
        <v>13324</v>
      </c>
      <c r="L51" t="s">
        <v>6295</v>
      </c>
      <c r="M51" t="s">
        <v>13113</v>
      </c>
      <c r="N51" t="s">
        <v>13114</v>
      </c>
      <c r="O51" t="s">
        <v>13115</v>
      </c>
      <c r="P51" t="s">
        <v>13325</v>
      </c>
      <c r="Q51" t="s">
        <v>13326</v>
      </c>
      <c r="S51" t="s">
        <v>9309</v>
      </c>
      <c r="T51" t="s">
        <v>9726</v>
      </c>
      <c r="U51" t="s">
        <v>526</v>
      </c>
      <c r="V51" t="s">
        <v>194</v>
      </c>
      <c r="W51" t="s">
        <v>9300</v>
      </c>
      <c r="Z51" t="s">
        <v>9311</v>
      </c>
      <c r="AF51" t="s">
        <v>5109</v>
      </c>
      <c r="AG51" t="s">
        <v>13323</v>
      </c>
      <c r="AI51" t="s">
        <v>6955</v>
      </c>
      <c r="AJ51" s="27" t="str">
        <f t="shared" si="1"/>
        <v>263102</v>
      </c>
      <c r="AK51" s="27">
        <v>1</v>
      </c>
      <c r="AL51" s="27">
        <f t="shared" si="0"/>
        <v>1</v>
      </c>
      <c r="AM51" s="28">
        <v>1</v>
      </c>
    </row>
    <row r="52" spans="1:39" x14ac:dyDescent="0.25">
      <c r="A52" t="s">
        <v>218</v>
      </c>
      <c r="B52" t="s">
        <v>13327</v>
      </c>
      <c r="C52" t="s">
        <v>13328</v>
      </c>
      <c r="D52" s="25" t="s">
        <v>13110</v>
      </c>
      <c r="E52" t="s">
        <v>233</v>
      </c>
      <c r="F52" s="28">
        <v>1</v>
      </c>
      <c r="G52" t="s">
        <v>193</v>
      </c>
      <c r="H52" t="s">
        <v>194</v>
      </c>
      <c r="I52" t="s">
        <v>13303</v>
      </c>
      <c r="J52" t="s">
        <v>9302</v>
      </c>
      <c r="K52" t="s">
        <v>13329</v>
      </c>
      <c r="L52" t="s">
        <v>6327</v>
      </c>
      <c r="M52" t="s">
        <v>13127</v>
      </c>
      <c r="N52" t="s">
        <v>13128</v>
      </c>
      <c r="O52" t="s">
        <v>13235</v>
      </c>
      <c r="P52" t="s">
        <v>13330</v>
      </c>
      <c r="Q52" t="s">
        <v>13331</v>
      </c>
      <c r="S52" t="s">
        <v>9309</v>
      </c>
      <c r="U52" t="s">
        <v>1930</v>
      </c>
      <c r="V52" t="s">
        <v>193</v>
      </c>
      <c r="W52" t="s">
        <v>9310</v>
      </c>
      <c r="Z52" t="s">
        <v>9311</v>
      </c>
      <c r="AF52" t="s">
        <v>4714</v>
      </c>
      <c r="AG52" t="s">
        <v>13327</v>
      </c>
      <c r="AI52" t="s">
        <v>6955</v>
      </c>
      <c r="AJ52" s="27" t="str">
        <f t="shared" si="1"/>
        <v>214302</v>
      </c>
      <c r="AK52" s="27">
        <v>1</v>
      </c>
      <c r="AL52" s="27">
        <f t="shared" si="0"/>
        <v>1</v>
      </c>
      <c r="AM52" s="28">
        <v>1</v>
      </c>
    </row>
    <row r="53" spans="1:39" x14ac:dyDescent="0.25">
      <c r="A53" t="s">
        <v>562</v>
      </c>
      <c r="B53" t="s">
        <v>13332</v>
      </c>
      <c r="C53" t="s">
        <v>42</v>
      </c>
      <c r="D53" s="25" t="s">
        <v>13110</v>
      </c>
      <c r="E53" t="s">
        <v>192</v>
      </c>
      <c r="F53" s="28">
        <v>1</v>
      </c>
      <c r="G53" t="s">
        <v>193</v>
      </c>
      <c r="H53" t="s">
        <v>194</v>
      </c>
      <c r="I53" t="s">
        <v>13125</v>
      </c>
      <c r="J53" t="s">
        <v>253</v>
      </c>
      <c r="K53" t="s">
        <v>13333</v>
      </c>
      <c r="L53" t="s">
        <v>6327</v>
      </c>
      <c r="M53" t="s">
        <v>13113</v>
      </c>
      <c r="N53" t="s">
        <v>13114</v>
      </c>
      <c r="O53" t="s">
        <v>13115</v>
      </c>
      <c r="P53" t="s">
        <v>13334</v>
      </c>
      <c r="Q53" t="s">
        <v>13335</v>
      </c>
      <c r="S53" t="s">
        <v>9309</v>
      </c>
      <c r="T53" t="s">
        <v>9468</v>
      </c>
      <c r="U53" t="s">
        <v>2628</v>
      </c>
      <c r="V53" t="s">
        <v>194</v>
      </c>
      <c r="W53" t="s">
        <v>9300</v>
      </c>
      <c r="Z53" t="s">
        <v>9311</v>
      </c>
      <c r="AF53" t="s">
        <v>4714</v>
      </c>
      <c r="AG53" t="s">
        <v>13332</v>
      </c>
      <c r="AI53" t="s">
        <v>6955</v>
      </c>
      <c r="AJ53" s="27" t="str">
        <f t="shared" si="1"/>
        <v>325509</v>
      </c>
      <c r="AK53" s="27">
        <v>1</v>
      </c>
      <c r="AL53" s="27">
        <f t="shared" si="0"/>
        <v>1</v>
      </c>
      <c r="AM53" s="28">
        <v>1</v>
      </c>
    </row>
    <row r="54" spans="1:39" x14ac:dyDescent="0.25">
      <c r="A54" t="s">
        <v>6023</v>
      </c>
      <c r="B54" t="s">
        <v>13336</v>
      </c>
      <c r="C54" t="s">
        <v>525</v>
      </c>
      <c r="D54" s="25" t="s">
        <v>13110</v>
      </c>
      <c r="E54" t="s">
        <v>192</v>
      </c>
      <c r="F54" s="28">
        <v>1</v>
      </c>
      <c r="G54" t="s">
        <v>193</v>
      </c>
      <c r="H54" t="s">
        <v>194</v>
      </c>
      <c r="I54" t="s">
        <v>13164</v>
      </c>
      <c r="J54" t="s">
        <v>385</v>
      </c>
      <c r="K54" t="s">
        <v>13337</v>
      </c>
      <c r="L54" t="s">
        <v>7531</v>
      </c>
      <c r="M54" t="s">
        <v>13113</v>
      </c>
      <c r="N54" t="s">
        <v>13114</v>
      </c>
      <c r="O54" t="s">
        <v>13115</v>
      </c>
      <c r="P54" t="s">
        <v>13338</v>
      </c>
      <c r="Q54" t="s">
        <v>13339</v>
      </c>
      <c r="S54" t="s">
        <v>9309</v>
      </c>
      <c r="T54" t="s">
        <v>9410</v>
      </c>
      <c r="U54" t="s">
        <v>526</v>
      </c>
      <c r="V54" t="s">
        <v>194</v>
      </c>
      <c r="W54" t="s">
        <v>9300</v>
      </c>
      <c r="Z54" t="s">
        <v>9311</v>
      </c>
      <c r="AF54" t="s">
        <v>4714</v>
      </c>
      <c r="AG54" t="s">
        <v>13336</v>
      </c>
      <c r="AI54" t="s">
        <v>6955</v>
      </c>
      <c r="AJ54" s="27" t="str">
        <f t="shared" si="1"/>
        <v>263102</v>
      </c>
      <c r="AK54" s="27">
        <v>1</v>
      </c>
      <c r="AL54" s="27">
        <f t="shared" si="0"/>
        <v>1</v>
      </c>
      <c r="AM54" s="28">
        <v>1</v>
      </c>
    </row>
    <row r="55" spans="1:39" x14ac:dyDescent="0.25">
      <c r="A55" t="s">
        <v>13340</v>
      </c>
      <c r="B55" t="s">
        <v>2998</v>
      </c>
      <c r="C55" t="s">
        <v>1420</v>
      </c>
      <c r="D55" s="25" t="s">
        <v>13110</v>
      </c>
      <c r="E55" t="s">
        <v>192</v>
      </c>
      <c r="F55" s="28">
        <v>1</v>
      </c>
      <c r="G55" t="s">
        <v>193</v>
      </c>
      <c r="H55" t="s">
        <v>194</v>
      </c>
      <c r="I55" t="s">
        <v>13303</v>
      </c>
      <c r="J55" t="s">
        <v>9302</v>
      </c>
      <c r="K55" t="s">
        <v>13341</v>
      </c>
      <c r="L55" t="s">
        <v>6261</v>
      </c>
      <c r="M55" t="s">
        <v>13113</v>
      </c>
      <c r="N55" t="s">
        <v>13114</v>
      </c>
      <c r="O55" t="s">
        <v>13115</v>
      </c>
      <c r="P55" t="s">
        <v>13342</v>
      </c>
      <c r="Q55" t="s">
        <v>13343</v>
      </c>
      <c r="S55" t="s">
        <v>9309</v>
      </c>
      <c r="U55" t="s">
        <v>1421</v>
      </c>
      <c r="V55" t="s">
        <v>193</v>
      </c>
      <c r="W55" t="s">
        <v>9310</v>
      </c>
      <c r="Z55" t="s">
        <v>9311</v>
      </c>
      <c r="AF55" t="s">
        <v>4714</v>
      </c>
      <c r="AG55" t="s">
        <v>2998</v>
      </c>
      <c r="AI55" t="s">
        <v>6955</v>
      </c>
      <c r="AJ55" s="27" t="str">
        <f t="shared" si="1"/>
        <v>251303</v>
      </c>
      <c r="AK55" s="27">
        <v>1</v>
      </c>
      <c r="AL55" s="27">
        <f t="shared" si="0"/>
        <v>1</v>
      </c>
      <c r="AM55" s="28">
        <v>1</v>
      </c>
    </row>
    <row r="56" spans="1:39" x14ac:dyDescent="0.25">
      <c r="A56" t="s">
        <v>13344</v>
      </c>
      <c r="B56" t="s">
        <v>13345</v>
      </c>
      <c r="C56" t="s">
        <v>21</v>
      </c>
      <c r="D56" s="25" t="s">
        <v>13110</v>
      </c>
      <c r="E56" t="s">
        <v>192</v>
      </c>
      <c r="F56" s="28">
        <v>1</v>
      </c>
      <c r="G56" t="s">
        <v>193</v>
      </c>
      <c r="H56" t="s">
        <v>194</v>
      </c>
      <c r="I56" t="s">
        <v>13152</v>
      </c>
      <c r="J56" t="s">
        <v>9302</v>
      </c>
      <c r="K56" t="s">
        <v>13346</v>
      </c>
      <c r="L56" t="s">
        <v>6324</v>
      </c>
      <c r="M56" t="s">
        <v>13113</v>
      </c>
      <c r="N56" t="s">
        <v>13114</v>
      </c>
      <c r="O56" t="s">
        <v>13115</v>
      </c>
      <c r="P56" t="s">
        <v>13347</v>
      </c>
      <c r="Q56" t="s">
        <v>13348</v>
      </c>
      <c r="S56" t="s">
        <v>9309</v>
      </c>
      <c r="U56" t="s">
        <v>293</v>
      </c>
      <c r="V56" t="s">
        <v>193</v>
      </c>
      <c r="W56" t="s">
        <v>9310</v>
      </c>
      <c r="Z56" t="s">
        <v>9311</v>
      </c>
      <c r="AF56" t="s">
        <v>4714</v>
      </c>
      <c r="AG56" t="s">
        <v>13345</v>
      </c>
      <c r="AI56" t="s">
        <v>6955</v>
      </c>
      <c r="AJ56" s="27" t="str">
        <f t="shared" si="1"/>
        <v>214202</v>
      </c>
      <c r="AK56" s="27">
        <v>1</v>
      </c>
      <c r="AL56" s="27">
        <f t="shared" si="0"/>
        <v>1</v>
      </c>
      <c r="AM56" s="28">
        <v>1</v>
      </c>
    </row>
    <row r="57" spans="1:39" x14ac:dyDescent="0.25">
      <c r="A57" t="s">
        <v>4887</v>
      </c>
      <c r="B57" t="s">
        <v>13349</v>
      </c>
      <c r="C57" t="s">
        <v>17</v>
      </c>
      <c r="D57" s="25" t="s">
        <v>13110</v>
      </c>
      <c r="E57" t="s">
        <v>192</v>
      </c>
      <c r="F57" s="28">
        <v>1</v>
      </c>
      <c r="G57" t="s">
        <v>193</v>
      </c>
      <c r="H57" t="s">
        <v>194</v>
      </c>
      <c r="I57" t="s">
        <v>13152</v>
      </c>
      <c r="J57" t="s">
        <v>9302</v>
      </c>
      <c r="K57" t="s">
        <v>13350</v>
      </c>
      <c r="L57" t="s">
        <v>6245</v>
      </c>
      <c r="M57" t="s">
        <v>13113</v>
      </c>
      <c r="N57" t="s">
        <v>13114</v>
      </c>
      <c r="O57" t="s">
        <v>13115</v>
      </c>
      <c r="P57" t="s">
        <v>13351</v>
      </c>
      <c r="Q57" t="s">
        <v>13352</v>
      </c>
      <c r="S57" t="s">
        <v>9309</v>
      </c>
      <c r="U57" t="s">
        <v>624</v>
      </c>
      <c r="V57" t="s">
        <v>193</v>
      </c>
      <c r="W57" t="s">
        <v>9310</v>
      </c>
      <c r="Z57" t="s">
        <v>9311</v>
      </c>
      <c r="AF57" t="s">
        <v>4714</v>
      </c>
      <c r="AG57" t="s">
        <v>13349</v>
      </c>
      <c r="AI57" t="s">
        <v>6955</v>
      </c>
      <c r="AJ57" s="27" t="str">
        <f t="shared" si="1"/>
        <v>332203</v>
      </c>
      <c r="AK57" s="27">
        <v>1</v>
      </c>
      <c r="AL57" s="27">
        <f t="shared" si="0"/>
        <v>1</v>
      </c>
      <c r="AM57" s="28">
        <v>1</v>
      </c>
    </row>
    <row r="58" spans="1:39" x14ac:dyDescent="0.25">
      <c r="A58" t="s">
        <v>13353</v>
      </c>
      <c r="B58" t="s">
        <v>13354</v>
      </c>
      <c r="C58" t="s">
        <v>378</v>
      </c>
      <c r="D58" s="25" t="s">
        <v>13110</v>
      </c>
      <c r="E58" t="s">
        <v>192</v>
      </c>
      <c r="F58" s="28">
        <v>1</v>
      </c>
      <c r="G58" t="s">
        <v>193</v>
      </c>
      <c r="H58" t="s">
        <v>194</v>
      </c>
      <c r="I58" t="s">
        <v>13303</v>
      </c>
      <c r="J58" t="s">
        <v>210</v>
      </c>
      <c r="K58" t="s">
        <v>13355</v>
      </c>
      <c r="L58" t="s">
        <v>6921</v>
      </c>
      <c r="M58" t="s">
        <v>13113</v>
      </c>
      <c r="N58" t="s">
        <v>13114</v>
      </c>
      <c r="O58" t="s">
        <v>13115</v>
      </c>
      <c r="P58" t="s">
        <v>13356</v>
      </c>
      <c r="Q58" t="s">
        <v>13357</v>
      </c>
      <c r="S58" t="s">
        <v>9309</v>
      </c>
      <c r="T58" t="s">
        <v>9334</v>
      </c>
      <c r="U58" t="s">
        <v>379</v>
      </c>
      <c r="V58" t="s">
        <v>194</v>
      </c>
      <c r="W58" t="s">
        <v>9300</v>
      </c>
      <c r="Z58" t="s">
        <v>9311</v>
      </c>
      <c r="AF58" t="s">
        <v>4714</v>
      </c>
      <c r="AG58" t="s">
        <v>13354</v>
      </c>
      <c r="AI58" t="s">
        <v>6955</v>
      </c>
      <c r="AJ58" s="27" t="str">
        <f t="shared" si="1"/>
        <v>215303</v>
      </c>
      <c r="AK58" s="27">
        <v>1</v>
      </c>
      <c r="AL58" s="27">
        <f t="shared" si="0"/>
        <v>1</v>
      </c>
      <c r="AM58" s="28">
        <v>1</v>
      </c>
    </row>
    <row r="59" spans="1:39" x14ac:dyDescent="0.25">
      <c r="A59" t="s">
        <v>13358</v>
      </c>
      <c r="B59" t="s">
        <v>13359</v>
      </c>
      <c r="C59" t="s">
        <v>10</v>
      </c>
      <c r="D59" s="25" t="s">
        <v>13110</v>
      </c>
      <c r="E59" t="s">
        <v>192</v>
      </c>
      <c r="F59" s="28">
        <v>1</v>
      </c>
      <c r="G59" t="s">
        <v>193</v>
      </c>
      <c r="H59" t="s">
        <v>194</v>
      </c>
      <c r="I59" t="s">
        <v>13152</v>
      </c>
      <c r="J59" t="s">
        <v>9302</v>
      </c>
      <c r="K59" t="s">
        <v>13360</v>
      </c>
      <c r="L59" t="s">
        <v>6261</v>
      </c>
      <c r="M59" t="s">
        <v>13113</v>
      </c>
      <c r="N59" t="s">
        <v>13114</v>
      </c>
      <c r="O59" t="s">
        <v>13115</v>
      </c>
      <c r="P59" t="s">
        <v>13361</v>
      </c>
      <c r="Q59" t="s">
        <v>13362</v>
      </c>
      <c r="S59" t="s">
        <v>9309</v>
      </c>
      <c r="U59" t="s">
        <v>484</v>
      </c>
      <c r="V59" t="s">
        <v>193</v>
      </c>
      <c r="W59" t="s">
        <v>9310</v>
      </c>
      <c r="Z59" t="s">
        <v>9311</v>
      </c>
      <c r="AF59" t="s">
        <v>4714</v>
      </c>
      <c r="AG59" t="s">
        <v>13359</v>
      </c>
      <c r="AI59" t="s">
        <v>6955</v>
      </c>
      <c r="AJ59" s="27" t="str">
        <f t="shared" si="1"/>
        <v>251401</v>
      </c>
      <c r="AK59" s="27">
        <v>1</v>
      </c>
      <c r="AL59" s="27">
        <f t="shared" si="0"/>
        <v>1</v>
      </c>
      <c r="AM59" s="28">
        <v>1</v>
      </c>
    </row>
    <row r="60" spans="1:39" x14ac:dyDescent="0.25">
      <c r="A60" t="s">
        <v>13363</v>
      </c>
      <c r="B60" t="s">
        <v>9067</v>
      </c>
      <c r="C60" t="s">
        <v>740</v>
      </c>
      <c r="D60" s="25" t="s">
        <v>13110</v>
      </c>
      <c r="E60" t="s">
        <v>233</v>
      </c>
      <c r="F60" s="28">
        <v>1</v>
      </c>
      <c r="G60" t="s">
        <v>193</v>
      </c>
      <c r="H60" t="s">
        <v>194</v>
      </c>
      <c r="I60" t="s">
        <v>13152</v>
      </c>
      <c r="J60" t="s">
        <v>13364</v>
      </c>
      <c r="K60" t="s">
        <v>13365</v>
      </c>
      <c r="L60" t="s">
        <v>6275</v>
      </c>
      <c r="M60" t="s">
        <v>13127</v>
      </c>
      <c r="N60" t="s">
        <v>13128</v>
      </c>
      <c r="O60" t="s">
        <v>13129</v>
      </c>
      <c r="P60" t="s">
        <v>13366</v>
      </c>
      <c r="Q60" t="s">
        <v>13367</v>
      </c>
      <c r="S60" t="s">
        <v>9309</v>
      </c>
      <c r="T60" t="s">
        <v>9468</v>
      </c>
      <c r="U60" t="s">
        <v>741</v>
      </c>
      <c r="V60" t="s">
        <v>194</v>
      </c>
      <c r="W60" t="s">
        <v>9300</v>
      </c>
      <c r="Z60" t="s">
        <v>9311</v>
      </c>
      <c r="AF60" t="s">
        <v>4714</v>
      </c>
      <c r="AG60" t="s">
        <v>9067</v>
      </c>
      <c r="AI60" t="s">
        <v>6955</v>
      </c>
      <c r="AJ60" s="27" t="str">
        <f t="shared" si="1"/>
        <v>522301</v>
      </c>
      <c r="AK60" s="27">
        <v>1</v>
      </c>
      <c r="AL60" s="27">
        <f t="shared" si="0"/>
        <v>1</v>
      </c>
      <c r="AM60" s="28">
        <v>1</v>
      </c>
    </row>
    <row r="61" spans="1:39" x14ac:dyDescent="0.25">
      <c r="A61" t="s">
        <v>4077</v>
      </c>
      <c r="B61" t="s">
        <v>13368</v>
      </c>
      <c r="C61" t="s">
        <v>101</v>
      </c>
      <c r="D61" s="25" t="s">
        <v>13110</v>
      </c>
      <c r="E61" t="s">
        <v>192</v>
      </c>
      <c r="F61" s="28">
        <v>1</v>
      </c>
      <c r="G61" t="s">
        <v>193</v>
      </c>
      <c r="H61" t="s">
        <v>194</v>
      </c>
      <c r="I61" t="s">
        <v>13164</v>
      </c>
      <c r="J61" t="s">
        <v>9302</v>
      </c>
      <c r="K61" t="s">
        <v>13369</v>
      </c>
      <c r="L61" t="s">
        <v>7406</v>
      </c>
      <c r="M61" t="s">
        <v>13113</v>
      </c>
      <c r="N61" t="s">
        <v>13114</v>
      </c>
      <c r="O61" t="s">
        <v>13115</v>
      </c>
      <c r="P61" t="s">
        <v>13370</v>
      </c>
      <c r="Q61" t="s">
        <v>13371</v>
      </c>
      <c r="S61" t="s">
        <v>9309</v>
      </c>
      <c r="U61" t="s">
        <v>519</v>
      </c>
      <c r="V61" t="s">
        <v>193</v>
      </c>
      <c r="W61" t="s">
        <v>9310</v>
      </c>
      <c r="Z61" t="s">
        <v>9311</v>
      </c>
      <c r="AF61" t="s">
        <v>4714</v>
      </c>
      <c r="AG61" t="s">
        <v>13368</v>
      </c>
      <c r="AI61" t="s">
        <v>6955</v>
      </c>
      <c r="AJ61" s="27" t="str">
        <f t="shared" si="1"/>
        <v>261103</v>
      </c>
      <c r="AK61" s="27">
        <v>1</v>
      </c>
      <c r="AL61" s="27">
        <f t="shared" si="0"/>
        <v>1</v>
      </c>
      <c r="AM61" s="28">
        <v>1</v>
      </c>
    </row>
    <row r="62" spans="1:39" x14ac:dyDescent="0.25">
      <c r="A62" t="s">
        <v>4077</v>
      </c>
      <c r="B62" t="s">
        <v>13372</v>
      </c>
      <c r="C62" t="s">
        <v>101</v>
      </c>
      <c r="D62" s="25" t="s">
        <v>13110</v>
      </c>
      <c r="E62" t="s">
        <v>192</v>
      </c>
      <c r="F62" s="28">
        <v>1</v>
      </c>
      <c r="G62" t="s">
        <v>193</v>
      </c>
      <c r="H62" t="s">
        <v>194</v>
      </c>
      <c r="I62" t="s">
        <v>13164</v>
      </c>
      <c r="J62" t="s">
        <v>9302</v>
      </c>
      <c r="K62" t="s">
        <v>13373</v>
      </c>
      <c r="L62" t="s">
        <v>7406</v>
      </c>
      <c r="M62" t="s">
        <v>13113</v>
      </c>
      <c r="N62" t="s">
        <v>13114</v>
      </c>
      <c r="O62" t="s">
        <v>13115</v>
      </c>
      <c r="P62" t="s">
        <v>13374</v>
      </c>
      <c r="Q62" t="s">
        <v>13375</v>
      </c>
      <c r="S62" t="s">
        <v>9309</v>
      </c>
      <c r="U62" t="s">
        <v>519</v>
      </c>
      <c r="V62" t="s">
        <v>193</v>
      </c>
      <c r="W62" t="s">
        <v>9310</v>
      </c>
      <c r="Z62" t="s">
        <v>9311</v>
      </c>
      <c r="AF62" t="s">
        <v>4714</v>
      </c>
      <c r="AG62" t="s">
        <v>13372</v>
      </c>
      <c r="AI62" t="s">
        <v>6955</v>
      </c>
      <c r="AJ62" s="27" t="str">
        <f t="shared" si="1"/>
        <v>261103</v>
      </c>
      <c r="AK62" s="27">
        <v>1</v>
      </c>
      <c r="AL62" s="27">
        <f t="shared" si="0"/>
        <v>1</v>
      </c>
      <c r="AM62" s="28">
        <v>1</v>
      </c>
    </row>
    <row r="63" spans="1:39" x14ac:dyDescent="0.25">
      <c r="A63" t="s">
        <v>4077</v>
      </c>
      <c r="B63" t="s">
        <v>13376</v>
      </c>
      <c r="C63" t="s">
        <v>43</v>
      </c>
      <c r="D63" s="25" t="s">
        <v>13110</v>
      </c>
      <c r="E63" t="s">
        <v>192</v>
      </c>
      <c r="F63" s="28">
        <v>1</v>
      </c>
      <c r="G63" t="s">
        <v>193</v>
      </c>
      <c r="H63" t="s">
        <v>194</v>
      </c>
      <c r="I63" t="s">
        <v>13303</v>
      </c>
      <c r="J63" t="s">
        <v>210</v>
      </c>
      <c r="K63" t="s">
        <v>13377</v>
      </c>
      <c r="L63" t="s">
        <v>6327</v>
      </c>
      <c r="M63" t="s">
        <v>13113</v>
      </c>
      <c r="N63" t="s">
        <v>13114</v>
      </c>
      <c r="O63" t="s">
        <v>13115</v>
      </c>
      <c r="P63" t="s">
        <v>13378</v>
      </c>
      <c r="Q63" t="s">
        <v>13379</v>
      </c>
      <c r="S63" t="s">
        <v>9309</v>
      </c>
      <c r="T63" t="s">
        <v>9334</v>
      </c>
      <c r="U63" t="s">
        <v>452</v>
      </c>
      <c r="V63" t="s">
        <v>194</v>
      </c>
      <c r="W63" t="s">
        <v>9300</v>
      </c>
      <c r="Z63" t="s">
        <v>9311</v>
      </c>
      <c r="AF63" t="s">
        <v>4714</v>
      </c>
      <c r="AG63" t="s">
        <v>13376</v>
      </c>
      <c r="AI63" t="s">
        <v>6955</v>
      </c>
      <c r="AJ63" s="27" t="str">
        <f t="shared" si="1"/>
        <v>243106</v>
      </c>
      <c r="AK63" s="27">
        <v>1</v>
      </c>
      <c r="AL63" s="27">
        <f t="shared" si="0"/>
        <v>1</v>
      </c>
      <c r="AM63" s="28">
        <v>1</v>
      </c>
    </row>
    <row r="64" spans="1:39" x14ac:dyDescent="0.25">
      <c r="A64" t="s">
        <v>13380</v>
      </c>
      <c r="B64" t="s">
        <v>13381</v>
      </c>
      <c r="C64" t="s">
        <v>13382</v>
      </c>
      <c r="D64" s="25" t="s">
        <v>13110</v>
      </c>
      <c r="E64" t="s">
        <v>192</v>
      </c>
      <c r="F64" s="28">
        <v>1</v>
      </c>
      <c r="G64" t="s">
        <v>193</v>
      </c>
      <c r="H64" t="s">
        <v>194</v>
      </c>
      <c r="I64" t="s">
        <v>13152</v>
      </c>
      <c r="J64" t="s">
        <v>13383</v>
      </c>
      <c r="K64" t="s">
        <v>13384</v>
      </c>
      <c r="L64" t="s">
        <v>6286</v>
      </c>
      <c r="M64" t="s">
        <v>13113</v>
      </c>
      <c r="N64" t="s">
        <v>13114</v>
      </c>
      <c r="O64" t="s">
        <v>13115</v>
      </c>
      <c r="P64" t="s">
        <v>13385</v>
      </c>
      <c r="Q64" t="s">
        <v>13386</v>
      </c>
      <c r="S64" t="s">
        <v>9309</v>
      </c>
      <c r="T64" t="s">
        <v>9726</v>
      </c>
      <c r="U64" t="s">
        <v>13387</v>
      </c>
      <c r="V64" t="s">
        <v>194</v>
      </c>
      <c r="W64" t="s">
        <v>9300</v>
      </c>
      <c r="Z64" t="s">
        <v>9311</v>
      </c>
      <c r="AF64" t="s">
        <v>4714</v>
      </c>
      <c r="AG64" t="s">
        <v>13381</v>
      </c>
      <c r="AI64" t="s">
        <v>6955</v>
      </c>
      <c r="AJ64" s="27" t="str">
        <f t="shared" si="1"/>
        <v>431102</v>
      </c>
      <c r="AK64" s="27">
        <v>1</v>
      </c>
      <c r="AL64" s="27">
        <f t="shared" si="0"/>
        <v>1</v>
      </c>
      <c r="AM64" s="28">
        <v>1</v>
      </c>
    </row>
    <row r="65" spans="1:39" x14ac:dyDescent="0.25">
      <c r="A65" t="s">
        <v>10902</v>
      </c>
      <c r="B65" t="s">
        <v>8</v>
      </c>
      <c r="C65" t="s">
        <v>740</v>
      </c>
      <c r="D65" s="25" t="s">
        <v>13110</v>
      </c>
      <c r="E65" t="s">
        <v>192</v>
      </c>
      <c r="F65" s="28">
        <v>1</v>
      </c>
      <c r="G65" t="s">
        <v>193</v>
      </c>
      <c r="H65" t="s">
        <v>194</v>
      </c>
      <c r="I65" t="s">
        <v>13160</v>
      </c>
      <c r="J65" t="s">
        <v>9302</v>
      </c>
      <c r="K65" t="s">
        <v>13388</v>
      </c>
      <c r="L65" t="s">
        <v>6254</v>
      </c>
      <c r="M65" t="s">
        <v>13113</v>
      </c>
      <c r="N65" t="s">
        <v>13114</v>
      </c>
      <c r="O65" t="s">
        <v>13115</v>
      </c>
      <c r="P65" t="s">
        <v>13389</v>
      </c>
      <c r="Q65" t="s">
        <v>13390</v>
      </c>
      <c r="S65" t="s">
        <v>9309</v>
      </c>
      <c r="U65" t="s">
        <v>741</v>
      </c>
      <c r="V65" t="s">
        <v>193</v>
      </c>
      <c r="W65" t="s">
        <v>9310</v>
      </c>
      <c r="Z65" t="s">
        <v>9311</v>
      </c>
      <c r="AF65" t="s">
        <v>4714</v>
      </c>
      <c r="AG65" t="s">
        <v>8</v>
      </c>
      <c r="AI65" t="s">
        <v>6955</v>
      </c>
      <c r="AJ65" s="27" t="str">
        <f t="shared" si="1"/>
        <v>522301</v>
      </c>
      <c r="AK65" s="27">
        <v>1</v>
      </c>
      <c r="AL65" s="27">
        <f t="shared" si="0"/>
        <v>1</v>
      </c>
      <c r="AM65" s="28">
        <v>1</v>
      </c>
    </row>
    <row r="66" spans="1:39" x14ac:dyDescent="0.25">
      <c r="A66" t="s">
        <v>6557</v>
      </c>
      <c r="B66" t="s">
        <v>13391</v>
      </c>
      <c r="C66" t="s">
        <v>770</v>
      </c>
      <c r="D66" s="25" t="s">
        <v>13110</v>
      </c>
      <c r="E66" t="s">
        <v>192</v>
      </c>
      <c r="F66" s="28">
        <v>1</v>
      </c>
      <c r="G66" t="s">
        <v>193</v>
      </c>
      <c r="H66" t="s">
        <v>194</v>
      </c>
      <c r="I66" t="s">
        <v>13164</v>
      </c>
      <c r="J66" t="s">
        <v>385</v>
      </c>
      <c r="K66" t="s">
        <v>13392</v>
      </c>
      <c r="L66" t="s">
        <v>6245</v>
      </c>
      <c r="M66" t="s">
        <v>13113</v>
      </c>
      <c r="N66" t="s">
        <v>13114</v>
      </c>
      <c r="O66" t="s">
        <v>13115</v>
      </c>
      <c r="P66" t="s">
        <v>13393</v>
      </c>
      <c r="Q66" t="s">
        <v>13394</v>
      </c>
      <c r="S66" t="s">
        <v>9309</v>
      </c>
      <c r="T66" t="s">
        <v>9410</v>
      </c>
      <c r="U66" t="s">
        <v>772</v>
      </c>
      <c r="V66" t="s">
        <v>194</v>
      </c>
      <c r="W66" t="s">
        <v>9300</v>
      </c>
      <c r="Z66" t="s">
        <v>9311</v>
      </c>
      <c r="AF66" t="s">
        <v>4714</v>
      </c>
      <c r="AG66" t="s">
        <v>13391</v>
      </c>
      <c r="AI66" t="s">
        <v>6955</v>
      </c>
      <c r="AJ66" s="27" t="str">
        <f t="shared" si="1"/>
        <v>522305</v>
      </c>
      <c r="AK66" s="27">
        <v>1</v>
      </c>
      <c r="AL66" s="27">
        <f t="shared" si="0"/>
        <v>1</v>
      </c>
      <c r="AM66" s="28">
        <v>1</v>
      </c>
    </row>
    <row r="67" spans="1:39" x14ac:dyDescent="0.25">
      <c r="A67" t="s">
        <v>6557</v>
      </c>
      <c r="B67" t="s">
        <v>13395</v>
      </c>
      <c r="C67" t="s">
        <v>19</v>
      </c>
      <c r="D67" s="25" t="s">
        <v>13110</v>
      </c>
      <c r="E67" t="s">
        <v>192</v>
      </c>
      <c r="F67" s="28">
        <v>1</v>
      </c>
      <c r="G67" t="s">
        <v>193</v>
      </c>
      <c r="H67" t="s">
        <v>194</v>
      </c>
      <c r="I67" t="s">
        <v>13303</v>
      </c>
      <c r="J67" t="s">
        <v>385</v>
      </c>
      <c r="K67" t="s">
        <v>13396</v>
      </c>
      <c r="L67" t="s">
        <v>6245</v>
      </c>
      <c r="M67" t="s">
        <v>13113</v>
      </c>
      <c r="N67" t="s">
        <v>13114</v>
      </c>
      <c r="O67" t="s">
        <v>13115</v>
      </c>
      <c r="P67" t="s">
        <v>13397</v>
      </c>
      <c r="Q67" t="s">
        <v>13398</v>
      </c>
      <c r="S67" t="s">
        <v>9309</v>
      </c>
      <c r="T67" t="s">
        <v>9410</v>
      </c>
      <c r="U67" t="s">
        <v>337</v>
      </c>
      <c r="V67" t="s">
        <v>194</v>
      </c>
      <c r="W67" t="s">
        <v>9300</v>
      </c>
      <c r="Z67" t="s">
        <v>9311</v>
      </c>
      <c r="AF67" t="s">
        <v>4714</v>
      </c>
      <c r="AG67" t="s">
        <v>13395</v>
      </c>
      <c r="AI67" t="s">
        <v>6955</v>
      </c>
      <c r="AJ67" s="27" t="str">
        <f t="shared" ref="AJ67:AJ130" si="2">MID(U67,8,6)</f>
        <v>214903</v>
      </c>
      <c r="AK67" s="27">
        <v>1</v>
      </c>
      <c r="AL67" s="27">
        <f t="shared" ref="AL67:AL130" si="3">SUM(F67)</f>
        <v>1</v>
      </c>
      <c r="AM67" s="28">
        <v>1</v>
      </c>
    </row>
    <row r="68" spans="1:39" x14ac:dyDescent="0.25">
      <c r="A68" t="s">
        <v>13399</v>
      </c>
      <c r="B68" t="s">
        <v>13400</v>
      </c>
      <c r="C68" t="s">
        <v>13401</v>
      </c>
      <c r="D68" s="25" t="s">
        <v>13110</v>
      </c>
      <c r="E68" t="s">
        <v>192</v>
      </c>
      <c r="F68" s="28">
        <v>1</v>
      </c>
      <c r="G68" t="s">
        <v>193</v>
      </c>
      <c r="H68" t="s">
        <v>194</v>
      </c>
      <c r="I68" t="s">
        <v>13164</v>
      </c>
      <c r="J68" t="s">
        <v>210</v>
      </c>
      <c r="K68" t="s">
        <v>13402</v>
      </c>
      <c r="L68" t="s">
        <v>6261</v>
      </c>
      <c r="M68" t="s">
        <v>13113</v>
      </c>
      <c r="N68" t="s">
        <v>13114</v>
      </c>
      <c r="O68" t="s">
        <v>13115</v>
      </c>
      <c r="P68" t="s">
        <v>13403</v>
      </c>
      <c r="Q68" t="s">
        <v>13404</v>
      </c>
      <c r="S68" t="s">
        <v>9309</v>
      </c>
      <c r="T68" t="s">
        <v>9334</v>
      </c>
      <c r="U68" t="s">
        <v>13405</v>
      </c>
      <c r="V68" t="s">
        <v>194</v>
      </c>
      <c r="W68" t="s">
        <v>9300</v>
      </c>
      <c r="Z68" t="s">
        <v>9311</v>
      </c>
      <c r="AF68" t="s">
        <v>4714</v>
      </c>
      <c r="AG68" t="s">
        <v>13400</v>
      </c>
      <c r="AI68" t="s">
        <v>6955</v>
      </c>
      <c r="AJ68" s="27" t="str">
        <f t="shared" si="2"/>
        <v>233007</v>
      </c>
      <c r="AK68" s="27">
        <v>1</v>
      </c>
      <c r="AL68" s="27">
        <f t="shared" si="3"/>
        <v>1</v>
      </c>
      <c r="AM68" s="28">
        <v>1</v>
      </c>
    </row>
    <row r="69" spans="1:39" x14ac:dyDescent="0.25">
      <c r="A69" t="s">
        <v>13406</v>
      </c>
      <c r="B69" t="s">
        <v>13407</v>
      </c>
      <c r="C69" t="s">
        <v>354</v>
      </c>
      <c r="D69" s="25" t="s">
        <v>13110</v>
      </c>
      <c r="E69" t="s">
        <v>192</v>
      </c>
      <c r="F69" s="28">
        <v>1</v>
      </c>
      <c r="G69" t="s">
        <v>193</v>
      </c>
      <c r="H69" t="s">
        <v>194</v>
      </c>
      <c r="I69" t="s">
        <v>13303</v>
      </c>
      <c r="J69" t="s">
        <v>210</v>
      </c>
      <c r="K69" t="s">
        <v>13408</v>
      </c>
      <c r="L69" t="s">
        <v>6374</v>
      </c>
      <c r="M69" t="s">
        <v>13113</v>
      </c>
      <c r="N69" t="s">
        <v>13114</v>
      </c>
      <c r="O69" t="s">
        <v>13115</v>
      </c>
      <c r="P69" t="s">
        <v>13409</v>
      </c>
      <c r="Q69" t="s">
        <v>13410</v>
      </c>
      <c r="S69" t="s">
        <v>9309</v>
      </c>
      <c r="T69" t="s">
        <v>9334</v>
      </c>
      <c r="U69" t="s">
        <v>355</v>
      </c>
      <c r="V69" t="s">
        <v>194</v>
      </c>
      <c r="W69" t="s">
        <v>9300</v>
      </c>
      <c r="Z69" t="s">
        <v>9311</v>
      </c>
      <c r="AF69" t="s">
        <v>4714</v>
      </c>
      <c r="AG69" t="s">
        <v>13407</v>
      </c>
      <c r="AI69" t="s">
        <v>6955</v>
      </c>
      <c r="AJ69" s="27" t="str">
        <f t="shared" si="2"/>
        <v>215103</v>
      </c>
      <c r="AK69" s="27">
        <v>1</v>
      </c>
      <c r="AL69" s="27">
        <f t="shared" si="3"/>
        <v>1</v>
      </c>
      <c r="AM69" s="28">
        <v>1</v>
      </c>
    </row>
    <row r="70" spans="1:39" x14ac:dyDescent="0.25">
      <c r="A70" t="s">
        <v>13411</v>
      </c>
      <c r="B70" t="s">
        <v>632</v>
      </c>
      <c r="C70" t="s">
        <v>17</v>
      </c>
      <c r="D70" s="25" t="s">
        <v>13110</v>
      </c>
      <c r="E70" t="s">
        <v>192</v>
      </c>
      <c r="F70" s="28">
        <v>1</v>
      </c>
      <c r="G70" t="s">
        <v>193</v>
      </c>
      <c r="H70" t="s">
        <v>194</v>
      </c>
      <c r="I70" t="s">
        <v>13160</v>
      </c>
      <c r="J70" t="s">
        <v>9302</v>
      </c>
      <c r="K70" t="s">
        <v>13412</v>
      </c>
      <c r="L70" t="s">
        <v>6245</v>
      </c>
      <c r="M70" t="s">
        <v>13162</v>
      </c>
      <c r="N70" t="s">
        <v>13114</v>
      </c>
      <c r="O70" t="s">
        <v>13115</v>
      </c>
      <c r="P70" t="s">
        <v>13413</v>
      </c>
      <c r="Q70" t="s">
        <v>13414</v>
      </c>
      <c r="S70" t="s">
        <v>9309</v>
      </c>
      <c r="U70" t="s">
        <v>624</v>
      </c>
      <c r="V70" t="s">
        <v>193</v>
      </c>
      <c r="W70" t="s">
        <v>9310</v>
      </c>
      <c r="Z70" t="s">
        <v>9311</v>
      </c>
      <c r="AF70" t="s">
        <v>4714</v>
      </c>
      <c r="AG70" t="s">
        <v>17</v>
      </c>
      <c r="AI70" t="s">
        <v>6955</v>
      </c>
      <c r="AJ70" s="27" t="str">
        <f t="shared" si="2"/>
        <v>332203</v>
      </c>
      <c r="AK70" s="27">
        <v>1</v>
      </c>
      <c r="AL70" s="27">
        <f t="shared" si="3"/>
        <v>1</v>
      </c>
      <c r="AM70" s="28">
        <v>1</v>
      </c>
    </row>
    <row r="71" spans="1:39" x14ac:dyDescent="0.25">
      <c r="A71" t="s">
        <v>13415</v>
      </c>
      <c r="B71" t="s">
        <v>13416</v>
      </c>
      <c r="C71" t="s">
        <v>13417</v>
      </c>
      <c r="D71" s="25" t="s">
        <v>13110</v>
      </c>
      <c r="E71" t="s">
        <v>192</v>
      </c>
      <c r="F71" s="28">
        <v>1</v>
      </c>
      <c r="G71" t="s">
        <v>193</v>
      </c>
      <c r="H71" t="s">
        <v>194</v>
      </c>
      <c r="I71" t="s">
        <v>13125</v>
      </c>
      <c r="J71" t="s">
        <v>826</v>
      </c>
      <c r="K71" t="s">
        <v>13418</v>
      </c>
      <c r="L71" t="s">
        <v>6275</v>
      </c>
      <c r="M71" t="s">
        <v>13113</v>
      </c>
      <c r="N71" t="s">
        <v>13114</v>
      </c>
      <c r="O71" t="s">
        <v>13115</v>
      </c>
      <c r="P71" t="s">
        <v>13419</v>
      </c>
      <c r="Q71" t="s">
        <v>13420</v>
      </c>
      <c r="S71" t="s">
        <v>9309</v>
      </c>
      <c r="T71" t="s">
        <v>9726</v>
      </c>
      <c r="U71" t="s">
        <v>1618</v>
      </c>
      <c r="V71" t="s">
        <v>194</v>
      </c>
      <c r="W71" t="s">
        <v>9300</v>
      </c>
      <c r="Z71" t="s">
        <v>9311</v>
      </c>
      <c r="AF71" t="s">
        <v>4714</v>
      </c>
      <c r="AG71" t="s">
        <v>13416</v>
      </c>
      <c r="AI71" t="s">
        <v>6955</v>
      </c>
      <c r="AJ71" s="27" t="str">
        <f t="shared" si="2"/>
        <v>814209</v>
      </c>
      <c r="AK71" s="27">
        <v>1</v>
      </c>
      <c r="AL71" s="27">
        <f t="shared" si="3"/>
        <v>1</v>
      </c>
      <c r="AM71" s="28">
        <v>1</v>
      </c>
    </row>
    <row r="72" spans="1:39" x14ac:dyDescent="0.25">
      <c r="A72" t="s">
        <v>13421</v>
      </c>
      <c r="B72" t="s">
        <v>13422</v>
      </c>
      <c r="C72" t="s">
        <v>20</v>
      </c>
      <c r="D72" s="25" t="s">
        <v>13110</v>
      </c>
      <c r="E72" t="s">
        <v>233</v>
      </c>
      <c r="F72" s="28">
        <v>1</v>
      </c>
      <c r="G72" t="s">
        <v>193</v>
      </c>
      <c r="H72" t="s">
        <v>194</v>
      </c>
      <c r="I72" t="s">
        <v>13303</v>
      </c>
      <c r="J72" t="s">
        <v>9302</v>
      </c>
      <c r="K72" t="s">
        <v>13423</v>
      </c>
      <c r="L72" t="s">
        <v>6921</v>
      </c>
      <c r="M72" t="s">
        <v>13424</v>
      </c>
      <c r="N72" t="s">
        <v>4849</v>
      </c>
      <c r="O72" t="s">
        <v>7703</v>
      </c>
      <c r="P72" t="s">
        <v>13425</v>
      </c>
      <c r="Q72" t="s">
        <v>13426</v>
      </c>
      <c r="S72" t="s">
        <v>9309</v>
      </c>
      <c r="U72" t="s">
        <v>286</v>
      </c>
      <c r="V72" t="s">
        <v>193</v>
      </c>
      <c r="W72" t="s">
        <v>9310</v>
      </c>
      <c r="Z72" t="s">
        <v>9311</v>
      </c>
      <c r="AF72" t="s">
        <v>4714</v>
      </c>
      <c r="AG72" t="s">
        <v>13422</v>
      </c>
      <c r="AI72" t="s">
        <v>6955</v>
      </c>
      <c r="AJ72" s="27" t="str">
        <f t="shared" si="2"/>
        <v>214109</v>
      </c>
      <c r="AK72" s="27">
        <v>1</v>
      </c>
      <c r="AL72" s="27">
        <f t="shared" si="3"/>
        <v>1</v>
      </c>
      <c r="AM72" s="28">
        <v>1</v>
      </c>
    </row>
    <row r="73" spans="1:39" x14ac:dyDescent="0.25">
      <c r="A73" t="s">
        <v>13427</v>
      </c>
      <c r="B73" t="s">
        <v>13428</v>
      </c>
      <c r="C73" t="s">
        <v>5215</v>
      </c>
      <c r="D73" s="25" t="s">
        <v>13110</v>
      </c>
      <c r="E73" t="s">
        <v>192</v>
      </c>
      <c r="F73" s="28">
        <v>1</v>
      </c>
      <c r="G73" t="s">
        <v>193</v>
      </c>
      <c r="H73" t="s">
        <v>194</v>
      </c>
      <c r="I73" t="s">
        <v>13164</v>
      </c>
      <c r="J73" t="s">
        <v>9302</v>
      </c>
      <c r="K73" t="s">
        <v>13429</v>
      </c>
      <c r="L73" t="s">
        <v>6312</v>
      </c>
      <c r="M73" t="s">
        <v>13113</v>
      </c>
      <c r="N73" t="s">
        <v>13114</v>
      </c>
      <c r="O73" t="s">
        <v>13115</v>
      </c>
      <c r="P73" t="s">
        <v>13430</v>
      </c>
      <c r="Q73" t="s">
        <v>13431</v>
      </c>
      <c r="S73" t="s">
        <v>9309</v>
      </c>
      <c r="U73" t="s">
        <v>5216</v>
      </c>
      <c r="V73" t="s">
        <v>193</v>
      </c>
      <c r="W73" t="s">
        <v>9310</v>
      </c>
      <c r="Z73" t="s">
        <v>9311</v>
      </c>
      <c r="AF73" t="s">
        <v>4714</v>
      </c>
      <c r="AG73" t="s">
        <v>13428</v>
      </c>
      <c r="AI73" t="s">
        <v>6955</v>
      </c>
      <c r="AJ73" s="27" t="str">
        <f t="shared" si="2"/>
        <v>233015</v>
      </c>
      <c r="AK73" s="27">
        <v>1</v>
      </c>
      <c r="AL73" s="27">
        <f t="shared" si="3"/>
        <v>1</v>
      </c>
      <c r="AM73" s="28">
        <v>1</v>
      </c>
    </row>
    <row r="74" spans="1:39" x14ac:dyDescent="0.25">
      <c r="A74" t="s">
        <v>13432</v>
      </c>
      <c r="B74" t="s">
        <v>13433</v>
      </c>
      <c r="C74" t="s">
        <v>396</v>
      </c>
      <c r="D74" s="25" t="s">
        <v>13110</v>
      </c>
      <c r="E74" t="s">
        <v>192</v>
      </c>
      <c r="F74" s="28">
        <v>1</v>
      </c>
      <c r="G74" t="s">
        <v>193</v>
      </c>
      <c r="H74" t="s">
        <v>194</v>
      </c>
      <c r="I74" t="s">
        <v>13303</v>
      </c>
      <c r="J74" t="s">
        <v>9302</v>
      </c>
      <c r="K74" t="s">
        <v>13434</v>
      </c>
      <c r="L74" t="s">
        <v>7531</v>
      </c>
      <c r="M74" t="s">
        <v>13113</v>
      </c>
      <c r="N74" t="s">
        <v>13114</v>
      </c>
      <c r="O74" t="s">
        <v>13115</v>
      </c>
      <c r="P74" t="s">
        <v>13435</v>
      </c>
      <c r="Q74" t="s">
        <v>13436</v>
      </c>
      <c r="S74" t="s">
        <v>9309</v>
      </c>
      <c r="U74" t="s">
        <v>397</v>
      </c>
      <c r="V74" t="s">
        <v>193</v>
      </c>
      <c r="W74" t="s">
        <v>9310</v>
      </c>
      <c r="Z74" t="s">
        <v>9311</v>
      </c>
      <c r="AF74" t="s">
        <v>4714</v>
      </c>
      <c r="AG74" t="s">
        <v>13433</v>
      </c>
      <c r="AI74" t="s">
        <v>6955</v>
      </c>
      <c r="AJ74" s="27" t="str">
        <f t="shared" si="2"/>
        <v>235301</v>
      </c>
      <c r="AK74" s="27">
        <v>1</v>
      </c>
      <c r="AL74" s="27">
        <f t="shared" si="3"/>
        <v>1</v>
      </c>
      <c r="AM74" s="28">
        <v>1</v>
      </c>
    </row>
    <row r="75" spans="1:39" x14ac:dyDescent="0.25">
      <c r="A75" t="s">
        <v>13437</v>
      </c>
      <c r="B75" t="s">
        <v>13438</v>
      </c>
      <c r="C75" t="s">
        <v>4966</v>
      </c>
      <c r="D75" s="25" t="s">
        <v>13110</v>
      </c>
      <c r="E75" t="s">
        <v>192</v>
      </c>
      <c r="F75" s="28">
        <v>1</v>
      </c>
      <c r="G75" t="s">
        <v>193</v>
      </c>
      <c r="H75" t="s">
        <v>194</v>
      </c>
      <c r="I75" t="s">
        <v>13152</v>
      </c>
      <c r="J75" t="s">
        <v>9302</v>
      </c>
      <c r="K75" t="s">
        <v>13439</v>
      </c>
      <c r="L75" t="s">
        <v>6254</v>
      </c>
      <c r="M75" t="s">
        <v>13113</v>
      </c>
      <c r="N75" t="s">
        <v>13114</v>
      </c>
      <c r="O75" t="s">
        <v>13129</v>
      </c>
      <c r="P75" t="s">
        <v>13440</v>
      </c>
      <c r="Q75" t="s">
        <v>13441</v>
      </c>
      <c r="S75" t="s">
        <v>9309</v>
      </c>
      <c r="U75" t="s">
        <v>405</v>
      </c>
      <c r="V75" t="s">
        <v>193</v>
      </c>
      <c r="W75" t="s">
        <v>9310</v>
      </c>
      <c r="Z75" t="s">
        <v>9311</v>
      </c>
      <c r="AF75" t="s">
        <v>4714</v>
      </c>
      <c r="AG75" t="s">
        <v>13438</v>
      </c>
      <c r="AI75" t="s">
        <v>6955</v>
      </c>
      <c r="AJ75" s="27" t="str">
        <f t="shared" si="2"/>
        <v>241304</v>
      </c>
      <c r="AK75" s="27">
        <v>1</v>
      </c>
      <c r="AL75" s="27">
        <f t="shared" si="3"/>
        <v>1</v>
      </c>
      <c r="AM75" s="28">
        <v>1</v>
      </c>
    </row>
    <row r="76" spans="1:39" x14ac:dyDescent="0.25">
      <c r="A76" t="s">
        <v>690</v>
      </c>
      <c r="B76" t="s">
        <v>13442</v>
      </c>
      <c r="C76" t="s">
        <v>507</v>
      </c>
      <c r="D76" s="25" t="s">
        <v>13110</v>
      </c>
      <c r="E76" t="s">
        <v>192</v>
      </c>
      <c r="F76" s="28">
        <v>1</v>
      </c>
      <c r="G76" t="s">
        <v>193</v>
      </c>
      <c r="H76" t="s">
        <v>194</v>
      </c>
      <c r="I76" t="s">
        <v>13303</v>
      </c>
      <c r="J76" t="s">
        <v>9302</v>
      </c>
      <c r="K76" t="s">
        <v>13443</v>
      </c>
      <c r="L76" t="s">
        <v>6921</v>
      </c>
      <c r="M76" t="s">
        <v>13113</v>
      </c>
      <c r="N76" t="s">
        <v>13114</v>
      </c>
      <c r="O76" t="s">
        <v>13115</v>
      </c>
      <c r="P76" t="s">
        <v>13444</v>
      </c>
      <c r="Q76" t="s">
        <v>13445</v>
      </c>
      <c r="S76" t="s">
        <v>9309</v>
      </c>
      <c r="U76" t="s">
        <v>508</v>
      </c>
      <c r="V76" t="s">
        <v>193</v>
      </c>
      <c r="W76" t="s">
        <v>9310</v>
      </c>
      <c r="Z76" t="s">
        <v>9311</v>
      </c>
      <c r="AF76" t="s">
        <v>4714</v>
      </c>
      <c r="AG76" t="s">
        <v>13442</v>
      </c>
      <c r="AI76" t="s">
        <v>6955</v>
      </c>
      <c r="AJ76" s="27" t="str">
        <f t="shared" si="2"/>
        <v>252102</v>
      </c>
      <c r="AK76" s="27">
        <v>1</v>
      </c>
      <c r="AL76" s="27">
        <f t="shared" si="3"/>
        <v>1</v>
      </c>
      <c r="AM76" s="28">
        <v>1</v>
      </c>
    </row>
    <row r="77" spans="1:39" x14ac:dyDescent="0.25">
      <c r="A77" t="s">
        <v>690</v>
      </c>
      <c r="B77" t="s">
        <v>13446</v>
      </c>
      <c r="C77" t="s">
        <v>8740</v>
      </c>
      <c r="D77" s="25" t="s">
        <v>13110</v>
      </c>
      <c r="E77" t="s">
        <v>192</v>
      </c>
      <c r="F77" s="28">
        <v>1</v>
      </c>
      <c r="G77" t="s">
        <v>193</v>
      </c>
      <c r="H77" t="s">
        <v>194</v>
      </c>
      <c r="I77" t="s">
        <v>13152</v>
      </c>
      <c r="J77" t="s">
        <v>9302</v>
      </c>
      <c r="K77" t="s">
        <v>13447</v>
      </c>
      <c r="L77" t="s">
        <v>6286</v>
      </c>
      <c r="M77" t="s">
        <v>13113</v>
      </c>
      <c r="N77" t="s">
        <v>13114</v>
      </c>
      <c r="O77" t="s">
        <v>13115</v>
      </c>
      <c r="P77" t="s">
        <v>13448</v>
      </c>
      <c r="Q77" t="s">
        <v>13449</v>
      </c>
      <c r="S77" t="s">
        <v>9309</v>
      </c>
      <c r="U77" t="s">
        <v>8742</v>
      </c>
      <c r="V77" t="s">
        <v>193</v>
      </c>
      <c r="W77" t="s">
        <v>9310</v>
      </c>
      <c r="Z77" t="s">
        <v>9311</v>
      </c>
      <c r="AF77" t="s">
        <v>4714</v>
      </c>
      <c r="AG77" t="s">
        <v>13446</v>
      </c>
      <c r="AI77" t="s">
        <v>6955</v>
      </c>
      <c r="AJ77" s="27" t="str">
        <f t="shared" si="2"/>
        <v>251490</v>
      </c>
      <c r="AK77" s="27">
        <v>1</v>
      </c>
      <c r="AL77" s="27">
        <f t="shared" si="3"/>
        <v>1</v>
      </c>
      <c r="AM77" s="28">
        <v>1</v>
      </c>
    </row>
    <row r="78" spans="1:39" x14ac:dyDescent="0.25">
      <c r="A78" t="s">
        <v>13450</v>
      </c>
      <c r="B78" t="s">
        <v>13451</v>
      </c>
      <c r="C78" t="s">
        <v>1384</v>
      </c>
      <c r="D78" s="25" t="s">
        <v>13110</v>
      </c>
      <c r="E78" t="s">
        <v>233</v>
      </c>
      <c r="F78" s="28">
        <v>1</v>
      </c>
      <c r="G78" t="s">
        <v>193</v>
      </c>
      <c r="H78" t="s">
        <v>194</v>
      </c>
      <c r="I78" t="s">
        <v>13152</v>
      </c>
      <c r="J78" t="s">
        <v>9302</v>
      </c>
      <c r="K78" t="s">
        <v>13452</v>
      </c>
      <c r="L78" t="s">
        <v>6312</v>
      </c>
      <c r="M78" t="s">
        <v>13127</v>
      </c>
      <c r="N78" t="s">
        <v>13128</v>
      </c>
      <c r="O78" t="s">
        <v>13129</v>
      </c>
      <c r="P78" t="s">
        <v>13453</v>
      </c>
      <c r="Q78" t="s">
        <v>13454</v>
      </c>
      <c r="S78" t="s">
        <v>9309</v>
      </c>
      <c r="U78" t="s">
        <v>1385</v>
      </c>
      <c r="V78" t="s">
        <v>193</v>
      </c>
      <c r="W78" t="s">
        <v>9310</v>
      </c>
      <c r="Z78" t="s">
        <v>9311</v>
      </c>
      <c r="AF78" t="s">
        <v>4714</v>
      </c>
      <c r="AG78" t="s">
        <v>13451</v>
      </c>
      <c r="AI78" t="s">
        <v>6955</v>
      </c>
      <c r="AJ78" s="27" t="str">
        <f t="shared" si="2"/>
        <v>235915</v>
      </c>
      <c r="AK78" s="27">
        <v>1</v>
      </c>
      <c r="AL78" s="27">
        <f t="shared" si="3"/>
        <v>1</v>
      </c>
      <c r="AM78" s="28">
        <v>1</v>
      </c>
    </row>
    <row r="79" spans="1:39" x14ac:dyDescent="0.25">
      <c r="A79" t="s">
        <v>5457</v>
      </c>
      <c r="B79" t="s">
        <v>2770</v>
      </c>
      <c r="C79" t="s">
        <v>13455</v>
      </c>
      <c r="D79" s="25" t="s">
        <v>13110</v>
      </c>
      <c r="E79" t="s">
        <v>233</v>
      </c>
      <c r="F79" s="28">
        <v>1</v>
      </c>
      <c r="G79" t="s">
        <v>193</v>
      </c>
      <c r="H79" t="s">
        <v>194</v>
      </c>
      <c r="I79" t="s">
        <v>13119</v>
      </c>
      <c r="J79" t="s">
        <v>210</v>
      </c>
      <c r="K79" t="s">
        <v>13456</v>
      </c>
      <c r="L79" t="s">
        <v>6306</v>
      </c>
      <c r="M79" t="s">
        <v>13127</v>
      </c>
      <c r="N79" t="s">
        <v>13128</v>
      </c>
      <c r="O79" t="s">
        <v>13111</v>
      </c>
      <c r="P79" t="s">
        <v>13457</v>
      </c>
      <c r="Q79" t="s">
        <v>13458</v>
      </c>
      <c r="S79" t="s">
        <v>9309</v>
      </c>
      <c r="T79" t="s">
        <v>9334</v>
      </c>
      <c r="U79" t="s">
        <v>13459</v>
      </c>
      <c r="V79" t="s">
        <v>194</v>
      </c>
      <c r="W79" t="s">
        <v>9300</v>
      </c>
      <c r="Z79" t="s">
        <v>9311</v>
      </c>
      <c r="AF79" t="s">
        <v>4714</v>
      </c>
      <c r="AG79" t="s">
        <v>2770</v>
      </c>
      <c r="AI79" t="s">
        <v>6955</v>
      </c>
      <c r="AJ79" s="27" t="str">
        <f t="shared" si="2"/>
        <v>214609</v>
      </c>
      <c r="AK79" s="27">
        <v>1</v>
      </c>
      <c r="AL79" s="27">
        <f t="shared" si="3"/>
        <v>1</v>
      </c>
      <c r="AM79" s="28">
        <v>1</v>
      </c>
    </row>
    <row r="80" spans="1:39" x14ac:dyDescent="0.25">
      <c r="A80" t="s">
        <v>8131</v>
      </c>
      <c r="B80" t="s">
        <v>13460</v>
      </c>
      <c r="C80" t="s">
        <v>7501</v>
      </c>
      <c r="D80" s="25" t="s">
        <v>13110</v>
      </c>
      <c r="E80" t="s">
        <v>233</v>
      </c>
      <c r="F80" s="28">
        <v>1</v>
      </c>
      <c r="G80" t="s">
        <v>193</v>
      </c>
      <c r="H80" t="s">
        <v>194</v>
      </c>
      <c r="I80" t="s">
        <v>13164</v>
      </c>
      <c r="J80" t="s">
        <v>9302</v>
      </c>
      <c r="K80" t="s">
        <v>13461</v>
      </c>
      <c r="L80" t="s">
        <v>6254</v>
      </c>
      <c r="M80" t="s">
        <v>13127</v>
      </c>
      <c r="N80" t="s">
        <v>13128</v>
      </c>
      <c r="O80" t="s">
        <v>13462</v>
      </c>
      <c r="P80" t="s">
        <v>13463</v>
      </c>
      <c r="Q80" t="s">
        <v>13464</v>
      </c>
      <c r="S80" t="s">
        <v>9309</v>
      </c>
      <c r="U80" t="s">
        <v>4039</v>
      </c>
      <c r="V80" t="s">
        <v>193</v>
      </c>
      <c r="W80" t="s">
        <v>9310</v>
      </c>
      <c r="Z80" t="s">
        <v>9311</v>
      </c>
      <c r="AF80" t="s">
        <v>4714</v>
      </c>
      <c r="AG80" t="s">
        <v>13460</v>
      </c>
      <c r="AI80" t="s">
        <v>6955</v>
      </c>
      <c r="AJ80" s="27" t="str">
        <f t="shared" si="2"/>
        <v>431101</v>
      </c>
      <c r="AK80" s="27">
        <v>1</v>
      </c>
      <c r="AL80" s="27">
        <f t="shared" si="3"/>
        <v>1</v>
      </c>
      <c r="AM80" s="28">
        <v>1</v>
      </c>
    </row>
    <row r="81" spans="1:39" x14ac:dyDescent="0.25">
      <c r="A81" t="s">
        <v>13465</v>
      </c>
      <c r="B81" t="s">
        <v>6194</v>
      </c>
      <c r="C81" t="s">
        <v>21</v>
      </c>
      <c r="D81" s="25" t="s">
        <v>13110</v>
      </c>
      <c r="E81" t="s">
        <v>233</v>
      </c>
      <c r="F81" s="28">
        <v>1</v>
      </c>
      <c r="G81" t="s">
        <v>193</v>
      </c>
      <c r="H81" t="s">
        <v>194</v>
      </c>
      <c r="I81" t="s">
        <v>13152</v>
      </c>
      <c r="J81" t="s">
        <v>9302</v>
      </c>
      <c r="K81" t="s">
        <v>13466</v>
      </c>
      <c r="L81" t="s">
        <v>6256</v>
      </c>
      <c r="M81" t="s">
        <v>13127</v>
      </c>
      <c r="N81" t="s">
        <v>13128</v>
      </c>
      <c r="O81" t="s">
        <v>13129</v>
      </c>
      <c r="P81" t="s">
        <v>13467</v>
      </c>
      <c r="Q81" t="s">
        <v>13468</v>
      </c>
      <c r="S81" t="s">
        <v>9309</v>
      </c>
      <c r="U81" t="s">
        <v>293</v>
      </c>
      <c r="V81" t="s">
        <v>193</v>
      </c>
      <c r="W81" t="s">
        <v>9310</v>
      </c>
      <c r="Z81" t="s">
        <v>9311</v>
      </c>
      <c r="AF81" t="s">
        <v>4714</v>
      </c>
      <c r="AG81" t="s">
        <v>6194</v>
      </c>
      <c r="AI81" t="s">
        <v>6955</v>
      </c>
      <c r="AJ81" s="27" t="str">
        <f t="shared" si="2"/>
        <v>214202</v>
      </c>
      <c r="AK81" s="27">
        <v>1</v>
      </c>
      <c r="AL81" s="27">
        <f t="shared" si="3"/>
        <v>1</v>
      </c>
      <c r="AM81" s="28">
        <v>1</v>
      </c>
    </row>
    <row r="82" spans="1:39" x14ac:dyDescent="0.25">
      <c r="A82" t="s">
        <v>13469</v>
      </c>
      <c r="B82" t="s">
        <v>4258</v>
      </c>
      <c r="C82" t="s">
        <v>554</v>
      </c>
      <c r="D82" s="25" t="s">
        <v>13110</v>
      </c>
      <c r="E82" t="s">
        <v>192</v>
      </c>
      <c r="F82" s="28">
        <v>1</v>
      </c>
      <c r="G82" t="s">
        <v>193</v>
      </c>
      <c r="H82" t="s">
        <v>194</v>
      </c>
      <c r="I82" t="s">
        <v>13152</v>
      </c>
      <c r="J82" t="s">
        <v>9302</v>
      </c>
      <c r="K82" t="s">
        <v>13470</v>
      </c>
      <c r="L82" t="s">
        <v>6258</v>
      </c>
      <c r="M82" t="s">
        <v>13113</v>
      </c>
      <c r="N82" t="s">
        <v>13114</v>
      </c>
      <c r="O82" t="s">
        <v>13115</v>
      </c>
      <c r="P82" t="s">
        <v>13471</v>
      </c>
      <c r="Q82" t="s">
        <v>13472</v>
      </c>
      <c r="S82" t="s">
        <v>9309</v>
      </c>
      <c r="U82" t="s">
        <v>555</v>
      </c>
      <c r="V82" t="s">
        <v>193</v>
      </c>
      <c r="W82" t="s">
        <v>9310</v>
      </c>
      <c r="Z82" t="s">
        <v>9311</v>
      </c>
      <c r="AF82" t="s">
        <v>4714</v>
      </c>
      <c r="AG82" t="s">
        <v>4258</v>
      </c>
      <c r="AI82" t="s">
        <v>6955</v>
      </c>
      <c r="AJ82" s="27" t="str">
        <f t="shared" si="2"/>
        <v>311303</v>
      </c>
      <c r="AK82" s="27">
        <v>1</v>
      </c>
      <c r="AL82" s="27">
        <f t="shared" si="3"/>
        <v>1</v>
      </c>
      <c r="AM82" s="28">
        <v>1</v>
      </c>
    </row>
    <row r="83" spans="1:39" x14ac:dyDescent="0.25">
      <c r="A83" t="s">
        <v>13473</v>
      </c>
      <c r="B83" t="s">
        <v>13474</v>
      </c>
      <c r="C83" t="s">
        <v>266</v>
      </c>
      <c r="D83" s="25" t="s">
        <v>13110</v>
      </c>
      <c r="E83" t="s">
        <v>233</v>
      </c>
      <c r="F83" s="28">
        <v>1</v>
      </c>
      <c r="G83" t="s">
        <v>193</v>
      </c>
      <c r="H83" t="s">
        <v>194</v>
      </c>
      <c r="I83" t="s">
        <v>13303</v>
      </c>
      <c r="J83" t="s">
        <v>9302</v>
      </c>
      <c r="K83" t="s">
        <v>13475</v>
      </c>
      <c r="L83" t="s">
        <v>6277</v>
      </c>
      <c r="M83" t="s">
        <v>13127</v>
      </c>
      <c r="N83" t="s">
        <v>13128</v>
      </c>
      <c r="O83" t="s">
        <v>13129</v>
      </c>
      <c r="P83" t="s">
        <v>13476</v>
      </c>
      <c r="Q83" t="s">
        <v>13477</v>
      </c>
      <c r="S83" t="s">
        <v>9309</v>
      </c>
      <c r="U83" t="s">
        <v>268</v>
      </c>
      <c r="V83" t="s">
        <v>193</v>
      </c>
      <c r="W83" t="s">
        <v>9310</v>
      </c>
      <c r="Z83" t="s">
        <v>9311</v>
      </c>
      <c r="AF83" t="s">
        <v>4714</v>
      </c>
      <c r="AG83" t="s">
        <v>13474</v>
      </c>
      <c r="AI83" t="s">
        <v>6955</v>
      </c>
      <c r="AJ83" s="27" t="str">
        <f t="shared" si="2"/>
        <v>143905</v>
      </c>
      <c r="AK83" s="27">
        <v>1</v>
      </c>
      <c r="AL83" s="27">
        <f t="shared" si="3"/>
        <v>1</v>
      </c>
      <c r="AM83" s="28">
        <v>1</v>
      </c>
    </row>
    <row r="84" spans="1:39" x14ac:dyDescent="0.25">
      <c r="A84" t="s">
        <v>13478</v>
      </c>
      <c r="B84" t="s">
        <v>13479</v>
      </c>
      <c r="C84" t="s">
        <v>10</v>
      </c>
      <c r="D84" s="25" t="s">
        <v>13110</v>
      </c>
      <c r="E84" t="s">
        <v>192</v>
      </c>
      <c r="F84" s="28">
        <v>1</v>
      </c>
      <c r="G84" t="s">
        <v>193</v>
      </c>
      <c r="H84" t="s">
        <v>194</v>
      </c>
      <c r="I84" t="s">
        <v>13125</v>
      </c>
      <c r="J84" t="s">
        <v>9302</v>
      </c>
      <c r="K84" t="s">
        <v>13480</v>
      </c>
      <c r="L84" t="s">
        <v>6261</v>
      </c>
      <c r="M84" t="s">
        <v>13113</v>
      </c>
      <c r="N84" t="s">
        <v>13114</v>
      </c>
      <c r="O84" t="s">
        <v>13115</v>
      </c>
      <c r="P84" t="s">
        <v>13481</v>
      </c>
      <c r="Q84" t="s">
        <v>13482</v>
      </c>
      <c r="S84" t="s">
        <v>9309</v>
      </c>
      <c r="U84" t="s">
        <v>484</v>
      </c>
      <c r="V84" t="s">
        <v>193</v>
      </c>
      <c r="W84" t="s">
        <v>9310</v>
      </c>
      <c r="Z84" t="s">
        <v>9311</v>
      </c>
      <c r="AF84" t="s">
        <v>4714</v>
      </c>
      <c r="AG84" t="s">
        <v>13479</v>
      </c>
      <c r="AI84" t="s">
        <v>6955</v>
      </c>
      <c r="AJ84" s="27" t="str">
        <f t="shared" si="2"/>
        <v>251401</v>
      </c>
      <c r="AK84" s="27">
        <v>1</v>
      </c>
      <c r="AL84" s="27">
        <f t="shared" si="3"/>
        <v>1</v>
      </c>
      <c r="AM84" s="28">
        <v>1</v>
      </c>
    </row>
    <row r="85" spans="1:39" x14ac:dyDescent="0.25">
      <c r="A85" t="s">
        <v>13483</v>
      </c>
      <c r="B85" t="s">
        <v>12040</v>
      </c>
      <c r="C85" t="s">
        <v>4896</v>
      </c>
      <c r="D85" s="25" t="s">
        <v>13110</v>
      </c>
      <c r="E85" t="s">
        <v>233</v>
      </c>
      <c r="F85" s="28">
        <v>1</v>
      </c>
      <c r="G85" t="s">
        <v>194</v>
      </c>
      <c r="H85" t="s">
        <v>193</v>
      </c>
      <c r="I85" t="s">
        <v>13152</v>
      </c>
      <c r="J85" t="s">
        <v>9302</v>
      </c>
      <c r="K85" t="s">
        <v>13484</v>
      </c>
      <c r="L85" t="s">
        <v>6275</v>
      </c>
      <c r="M85" t="s">
        <v>13127</v>
      </c>
      <c r="N85" t="s">
        <v>13128</v>
      </c>
      <c r="O85" t="s">
        <v>13129</v>
      </c>
      <c r="P85" t="s">
        <v>13485</v>
      </c>
      <c r="Q85" t="s">
        <v>13486</v>
      </c>
      <c r="S85" t="s">
        <v>9309</v>
      </c>
      <c r="U85" t="s">
        <v>2538</v>
      </c>
      <c r="V85" t="s">
        <v>194</v>
      </c>
      <c r="W85" t="s">
        <v>9946</v>
      </c>
      <c r="Z85" t="s">
        <v>9311</v>
      </c>
      <c r="AF85" t="s">
        <v>4714</v>
      </c>
      <c r="AG85" t="s">
        <v>12040</v>
      </c>
      <c r="AI85" t="s">
        <v>6955</v>
      </c>
      <c r="AJ85" s="27" t="str">
        <f t="shared" si="2"/>
        <v>911207</v>
      </c>
      <c r="AK85" s="27">
        <v>1</v>
      </c>
      <c r="AL85" s="27">
        <f t="shared" si="3"/>
        <v>1</v>
      </c>
      <c r="AM85" s="28">
        <v>1</v>
      </c>
    </row>
    <row r="86" spans="1:39" x14ac:dyDescent="0.25">
      <c r="A86" t="s">
        <v>240</v>
      </c>
      <c r="B86" t="s">
        <v>13487</v>
      </c>
      <c r="C86" t="s">
        <v>1649</v>
      </c>
      <c r="D86" s="25" t="s">
        <v>13110</v>
      </c>
      <c r="E86" t="s">
        <v>192</v>
      </c>
      <c r="F86" s="28">
        <v>1</v>
      </c>
      <c r="G86" t="s">
        <v>193</v>
      </c>
      <c r="H86" t="s">
        <v>194</v>
      </c>
      <c r="I86" t="s">
        <v>13303</v>
      </c>
      <c r="J86" t="s">
        <v>210</v>
      </c>
      <c r="K86" t="s">
        <v>13488</v>
      </c>
      <c r="L86" t="s">
        <v>8339</v>
      </c>
      <c r="M86" t="s">
        <v>13113</v>
      </c>
      <c r="N86" t="s">
        <v>13114</v>
      </c>
      <c r="O86" t="s">
        <v>13115</v>
      </c>
      <c r="P86" t="s">
        <v>13489</v>
      </c>
      <c r="Q86" t="s">
        <v>13490</v>
      </c>
      <c r="S86" t="s">
        <v>9309</v>
      </c>
      <c r="T86" t="s">
        <v>9334</v>
      </c>
      <c r="U86" t="s">
        <v>1650</v>
      </c>
      <c r="V86" t="s">
        <v>194</v>
      </c>
      <c r="W86" t="s">
        <v>9300</v>
      </c>
      <c r="Z86" t="s">
        <v>9311</v>
      </c>
      <c r="AF86" t="s">
        <v>4714</v>
      </c>
      <c r="AG86" t="s">
        <v>13487</v>
      </c>
      <c r="AI86" t="s">
        <v>6955</v>
      </c>
      <c r="AJ86" s="27" t="str">
        <f t="shared" si="2"/>
        <v>134603</v>
      </c>
      <c r="AK86" s="27">
        <v>1</v>
      </c>
      <c r="AL86" s="27">
        <f t="shared" si="3"/>
        <v>1</v>
      </c>
      <c r="AM86" s="28">
        <v>1</v>
      </c>
    </row>
    <row r="87" spans="1:39" x14ac:dyDescent="0.25">
      <c r="A87" t="s">
        <v>751</v>
      </c>
      <c r="B87" t="s">
        <v>13491</v>
      </c>
      <c r="C87" t="s">
        <v>74</v>
      </c>
      <c r="D87" s="25" t="s">
        <v>13110</v>
      </c>
      <c r="E87" t="s">
        <v>192</v>
      </c>
      <c r="F87" s="28">
        <v>1</v>
      </c>
      <c r="G87" t="s">
        <v>193</v>
      </c>
      <c r="H87" t="s">
        <v>194</v>
      </c>
      <c r="I87" t="s">
        <v>13303</v>
      </c>
      <c r="J87" t="s">
        <v>327</v>
      </c>
      <c r="K87" t="s">
        <v>13492</v>
      </c>
      <c r="L87" t="s">
        <v>6249</v>
      </c>
      <c r="M87" t="s">
        <v>13113</v>
      </c>
      <c r="N87" t="s">
        <v>13114</v>
      </c>
      <c r="O87" t="s">
        <v>13115</v>
      </c>
      <c r="P87" t="s">
        <v>13493</v>
      </c>
      <c r="Q87" t="s">
        <v>13494</v>
      </c>
      <c r="S87" t="s">
        <v>9309</v>
      </c>
      <c r="T87" t="s">
        <v>9506</v>
      </c>
      <c r="U87" t="s">
        <v>246</v>
      </c>
      <c r="V87" t="s">
        <v>194</v>
      </c>
      <c r="W87" t="s">
        <v>9300</v>
      </c>
      <c r="Z87" t="s">
        <v>9311</v>
      </c>
      <c r="AF87" t="s">
        <v>4714</v>
      </c>
      <c r="AG87" t="s">
        <v>13491</v>
      </c>
      <c r="AI87" t="s">
        <v>6955</v>
      </c>
      <c r="AJ87" s="27" t="str">
        <f t="shared" si="2"/>
        <v>142004</v>
      </c>
      <c r="AK87" s="27">
        <v>1</v>
      </c>
      <c r="AL87" s="27">
        <f t="shared" si="3"/>
        <v>1</v>
      </c>
      <c r="AM87" s="28">
        <v>1</v>
      </c>
    </row>
    <row r="88" spans="1:39" x14ac:dyDescent="0.25">
      <c r="A88" t="s">
        <v>13495</v>
      </c>
      <c r="B88" t="s">
        <v>13496</v>
      </c>
      <c r="C88" t="s">
        <v>10</v>
      </c>
      <c r="D88" s="25" t="s">
        <v>13110</v>
      </c>
      <c r="E88" t="s">
        <v>192</v>
      </c>
      <c r="F88" s="28">
        <v>1</v>
      </c>
      <c r="G88" t="s">
        <v>193</v>
      </c>
      <c r="H88" t="s">
        <v>194</v>
      </c>
      <c r="I88" t="s">
        <v>13119</v>
      </c>
      <c r="J88" t="s">
        <v>9302</v>
      </c>
      <c r="K88" t="s">
        <v>13497</v>
      </c>
      <c r="L88" t="s">
        <v>6921</v>
      </c>
      <c r="M88" t="s">
        <v>13113</v>
      </c>
      <c r="N88" t="s">
        <v>13114</v>
      </c>
      <c r="O88" t="s">
        <v>13115</v>
      </c>
      <c r="P88" t="s">
        <v>13498</v>
      </c>
      <c r="Q88" t="s">
        <v>13499</v>
      </c>
      <c r="S88" t="s">
        <v>9309</v>
      </c>
      <c r="U88" t="s">
        <v>484</v>
      </c>
      <c r="V88" t="s">
        <v>193</v>
      </c>
      <c r="W88" t="s">
        <v>9310</v>
      </c>
      <c r="Z88" t="s">
        <v>9311</v>
      </c>
      <c r="AF88" t="s">
        <v>4714</v>
      </c>
      <c r="AG88" t="s">
        <v>13496</v>
      </c>
      <c r="AI88" t="s">
        <v>6955</v>
      </c>
      <c r="AJ88" s="27" t="str">
        <f t="shared" si="2"/>
        <v>251401</v>
      </c>
      <c r="AK88" s="27">
        <v>1</v>
      </c>
      <c r="AL88" s="27">
        <f t="shared" si="3"/>
        <v>1</v>
      </c>
      <c r="AM88" s="28">
        <v>1</v>
      </c>
    </row>
    <row r="89" spans="1:39" x14ac:dyDescent="0.25">
      <c r="A89" t="s">
        <v>13500</v>
      </c>
      <c r="B89" t="s">
        <v>13501</v>
      </c>
      <c r="C89" t="s">
        <v>10</v>
      </c>
      <c r="D89" s="25" t="s">
        <v>13110</v>
      </c>
      <c r="E89" t="s">
        <v>233</v>
      </c>
      <c r="F89" s="28">
        <v>1</v>
      </c>
      <c r="G89" t="s">
        <v>193</v>
      </c>
      <c r="H89" t="s">
        <v>194</v>
      </c>
      <c r="I89" t="s">
        <v>13152</v>
      </c>
      <c r="J89" t="s">
        <v>9302</v>
      </c>
      <c r="K89" t="s">
        <v>13502</v>
      </c>
      <c r="L89" t="s">
        <v>6261</v>
      </c>
      <c r="M89" t="s">
        <v>13127</v>
      </c>
      <c r="N89" t="s">
        <v>13128</v>
      </c>
      <c r="O89" t="s">
        <v>13462</v>
      </c>
      <c r="P89" t="s">
        <v>13503</v>
      </c>
      <c r="Q89" t="s">
        <v>13504</v>
      </c>
      <c r="S89" t="s">
        <v>9309</v>
      </c>
      <c r="U89" t="s">
        <v>484</v>
      </c>
      <c r="V89" t="s">
        <v>193</v>
      </c>
      <c r="W89" t="s">
        <v>9310</v>
      </c>
      <c r="Z89" t="s">
        <v>9311</v>
      </c>
      <c r="AF89" t="s">
        <v>4714</v>
      </c>
      <c r="AG89" t="s">
        <v>13501</v>
      </c>
      <c r="AI89" t="s">
        <v>6955</v>
      </c>
      <c r="AJ89" s="27" t="str">
        <f t="shared" si="2"/>
        <v>251401</v>
      </c>
      <c r="AK89" s="27">
        <v>1</v>
      </c>
      <c r="AL89" s="27">
        <f t="shared" si="3"/>
        <v>1</v>
      </c>
      <c r="AM89" s="28">
        <v>1</v>
      </c>
    </row>
    <row r="90" spans="1:39" x14ac:dyDescent="0.25">
      <c r="A90" t="s">
        <v>13505</v>
      </c>
      <c r="B90" t="s">
        <v>13506</v>
      </c>
      <c r="C90" t="s">
        <v>115</v>
      </c>
      <c r="D90" s="25" t="s">
        <v>13110</v>
      </c>
      <c r="E90" t="s">
        <v>233</v>
      </c>
      <c r="F90" s="28">
        <v>1</v>
      </c>
      <c r="G90" t="s">
        <v>193</v>
      </c>
      <c r="H90" t="s">
        <v>194</v>
      </c>
      <c r="I90" t="s">
        <v>13152</v>
      </c>
      <c r="J90" t="s">
        <v>9302</v>
      </c>
      <c r="K90" t="s">
        <v>13507</v>
      </c>
      <c r="L90" t="s">
        <v>6245</v>
      </c>
      <c r="M90" t="s">
        <v>13127</v>
      </c>
      <c r="N90" t="s">
        <v>13128</v>
      </c>
      <c r="O90" t="s">
        <v>13235</v>
      </c>
      <c r="P90" t="s">
        <v>13508</v>
      </c>
      <c r="Q90" t="s">
        <v>13509</v>
      </c>
      <c r="S90" t="s">
        <v>9309</v>
      </c>
      <c r="U90" t="s">
        <v>1183</v>
      </c>
      <c r="V90" t="s">
        <v>193</v>
      </c>
      <c r="W90" t="s">
        <v>9310</v>
      </c>
      <c r="Z90" t="s">
        <v>9311</v>
      </c>
      <c r="AF90" t="s">
        <v>4714</v>
      </c>
      <c r="AG90" t="s">
        <v>13506</v>
      </c>
      <c r="AI90" t="s">
        <v>6955</v>
      </c>
      <c r="AJ90" s="27" t="str">
        <f t="shared" si="2"/>
        <v>311909</v>
      </c>
      <c r="AK90" s="27">
        <v>1</v>
      </c>
      <c r="AL90" s="27">
        <f t="shared" si="3"/>
        <v>1</v>
      </c>
      <c r="AM90" s="28">
        <v>1</v>
      </c>
    </row>
    <row r="91" spans="1:39" x14ac:dyDescent="0.25">
      <c r="A91" t="s">
        <v>13510</v>
      </c>
      <c r="B91" t="s">
        <v>13511</v>
      </c>
      <c r="C91" t="s">
        <v>80</v>
      </c>
      <c r="D91" s="25" t="s">
        <v>13110</v>
      </c>
      <c r="E91" t="s">
        <v>192</v>
      </c>
      <c r="F91" s="28">
        <v>1</v>
      </c>
      <c r="G91" t="s">
        <v>193</v>
      </c>
      <c r="H91" t="s">
        <v>194</v>
      </c>
      <c r="I91" t="s">
        <v>13152</v>
      </c>
      <c r="J91" t="s">
        <v>9302</v>
      </c>
      <c r="K91" t="s">
        <v>13512</v>
      </c>
      <c r="L91" t="s">
        <v>6327</v>
      </c>
      <c r="M91" t="s">
        <v>13113</v>
      </c>
      <c r="N91" t="s">
        <v>13114</v>
      </c>
      <c r="O91" t="s">
        <v>13115</v>
      </c>
      <c r="P91" t="s">
        <v>13513</v>
      </c>
      <c r="Q91" t="s">
        <v>13514</v>
      </c>
      <c r="S91" t="s">
        <v>9309</v>
      </c>
      <c r="U91" t="s">
        <v>474</v>
      </c>
      <c r="V91" t="s">
        <v>193</v>
      </c>
      <c r="W91" t="s">
        <v>9310</v>
      </c>
      <c r="Z91" t="s">
        <v>9311</v>
      </c>
      <c r="AF91" t="s">
        <v>4714</v>
      </c>
      <c r="AG91" t="s">
        <v>13511</v>
      </c>
      <c r="AI91" t="s">
        <v>6955</v>
      </c>
      <c r="AJ91" s="27" t="str">
        <f t="shared" si="2"/>
        <v>243304</v>
      </c>
      <c r="AK91" s="27">
        <v>1</v>
      </c>
      <c r="AL91" s="27">
        <f t="shared" si="3"/>
        <v>1</v>
      </c>
      <c r="AM91" s="28">
        <v>1</v>
      </c>
    </row>
    <row r="92" spans="1:39" x14ac:dyDescent="0.25">
      <c r="A92" t="s">
        <v>3195</v>
      </c>
      <c r="B92" t="s">
        <v>13515</v>
      </c>
      <c r="C92" t="s">
        <v>706</v>
      </c>
      <c r="D92" s="25" t="s">
        <v>13110</v>
      </c>
      <c r="E92" t="s">
        <v>192</v>
      </c>
      <c r="F92" s="28">
        <v>1</v>
      </c>
      <c r="G92" t="s">
        <v>193</v>
      </c>
      <c r="H92" t="s">
        <v>194</v>
      </c>
      <c r="I92" t="s">
        <v>13303</v>
      </c>
      <c r="J92" t="s">
        <v>13516</v>
      </c>
      <c r="K92" t="s">
        <v>13517</v>
      </c>
      <c r="L92" t="s">
        <v>6921</v>
      </c>
      <c r="M92" t="s">
        <v>13113</v>
      </c>
      <c r="N92" t="s">
        <v>13114</v>
      </c>
      <c r="O92" t="s">
        <v>13518</v>
      </c>
      <c r="P92" t="s">
        <v>13519</v>
      </c>
      <c r="Q92" t="s">
        <v>13520</v>
      </c>
      <c r="S92" t="s">
        <v>9309</v>
      </c>
      <c r="U92" t="s">
        <v>707</v>
      </c>
      <c r="V92" t="s">
        <v>193</v>
      </c>
      <c r="W92" t="s">
        <v>9310</v>
      </c>
      <c r="Z92" t="s">
        <v>9311</v>
      </c>
      <c r="AF92" t="s">
        <v>4714</v>
      </c>
      <c r="AG92" t="s">
        <v>13515</v>
      </c>
      <c r="AI92" t="s">
        <v>6955</v>
      </c>
      <c r="AJ92" s="27" t="str">
        <f t="shared" si="2"/>
        <v>422201</v>
      </c>
      <c r="AK92" s="27">
        <v>1</v>
      </c>
      <c r="AL92" s="27">
        <f t="shared" si="3"/>
        <v>1</v>
      </c>
      <c r="AM92" s="28">
        <v>1</v>
      </c>
    </row>
    <row r="93" spans="1:39" x14ac:dyDescent="0.25">
      <c r="A93" t="s">
        <v>13521</v>
      </c>
      <c r="B93" t="s">
        <v>13522</v>
      </c>
      <c r="C93" t="s">
        <v>3882</v>
      </c>
      <c r="D93" s="25" t="s">
        <v>13110</v>
      </c>
      <c r="E93" t="s">
        <v>192</v>
      </c>
      <c r="F93" s="28">
        <v>1</v>
      </c>
      <c r="G93" t="s">
        <v>193</v>
      </c>
      <c r="H93" t="s">
        <v>194</v>
      </c>
      <c r="I93" t="s">
        <v>13164</v>
      </c>
      <c r="J93" t="s">
        <v>210</v>
      </c>
      <c r="K93" t="s">
        <v>13523</v>
      </c>
      <c r="L93" t="s">
        <v>6324</v>
      </c>
      <c r="M93" t="s">
        <v>13113</v>
      </c>
      <c r="N93" t="s">
        <v>13114</v>
      </c>
      <c r="O93" t="s">
        <v>13115</v>
      </c>
      <c r="P93" t="s">
        <v>13524</v>
      </c>
      <c r="Q93" t="s">
        <v>13525</v>
      </c>
      <c r="S93" t="s">
        <v>9309</v>
      </c>
      <c r="T93" t="s">
        <v>9334</v>
      </c>
      <c r="U93" t="s">
        <v>3884</v>
      </c>
      <c r="V93" t="s">
        <v>194</v>
      </c>
      <c r="W93" t="s">
        <v>9300</v>
      </c>
      <c r="Z93" t="s">
        <v>9311</v>
      </c>
      <c r="AF93" t="s">
        <v>4714</v>
      </c>
      <c r="AG93" t="s">
        <v>13522</v>
      </c>
      <c r="AI93" t="s">
        <v>6955</v>
      </c>
      <c r="AJ93" s="27" t="str">
        <f t="shared" si="2"/>
        <v>711204</v>
      </c>
      <c r="AK93" s="27">
        <v>1</v>
      </c>
      <c r="AL93" s="449">
        <f t="shared" si="3"/>
        <v>1</v>
      </c>
      <c r="AM93" s="28">
        <v>1</v>
      </c>
    </row>
    <row r="94" spans="1:39" x14ac:dyDescent="0.25">
      <c r="A94" t="s">
        <v>4969</v>
      </c>
      <c r="B94" t="s">
        <v>5826</v>
      </c>
      <c r="C94" t="s">
        <v>507</v>
      </c>
      <c r="D94" s="25" t="s">
        <v>13110</v>
      </c>
      <c r="E94" t="s">
        <v>192</v>
      </c>
      <c r="F94" s="28">
        <v>1</v>
      </c>
      <c r="G94" t="s">
        <v>193</v>
      </c>
      <c r="H94" t="s">
        <v>194</v>
      </c>
      <c r="I94" t="s">
        <v>13119</v>
      </c>
      <c r="J94" t="s">
        <v>9302</v>
      </c>
      <c r="K94" t="s">
        <v>13526</v>
      </c>
      <c r="L94" t="s">
        <v>6261</v>
      </c>
      <c r="M94" t="s">
        <v>13113</v>
      </c>
      <c r="N94" t="s">
        <v>13114</v>
      </c>
      <c r="O94" t="s">
        <v>13115</v>
      </c>
      <c r="P94" t="s">
        <v>13527</v>
      </c>
      <c r="Q94" t="s">
        <v>13528</v>
      </c>
      <c r="S94" t="s">
        <v>9309</v>
      </c>
      <c r="U94" t="s">
        <v>508</v>
      </c>
      <c r="V94" t="s">
        <v>193</v>
      </c>
      <c r="W94" t="s">
        <v>9310</v>
      </c>
      <c r="Z94" t="s">
        <v>9311</v>
      </c>
      <c r="AF94" t="s">
        <v>4714</v>
      </c>
      <c r="AG94" t="s">
        <v>5826</v>
      </c>
      <c r="AI94" t="s">
        <v>6955</v>
      </c>
      <c r="AJ94" s="27" t="str">
        <f t="shared" si="2"/>
        <v>252102</v>
      </c>
      <c r="AK94" s="27">
        <v>1</v>
      </c>
      <c r="AL94" s="449">
        <f t="shared" si="3"/>
        <v>1</v>
      </c>
      <c r="AM94" s="28">
        <v>1</v>
      </c>
    </row>
    <row r="95" spans="1:39" x14ac:dyDescent="0.25">
      <c r="A95" t="s">
        <v>13529</v>
      </c>
      <c r="B95" t="s">
        <v>13530</v>
      </c>
      <c r="C95" t="s">
        <v>35</v>
      </c>
      <c r="D95" s="25" t="s">
        <v>13110</v>
      </c>
      <c r="E95" t="s">
        <v>233</v>
      </c>
      <c r="F95" s="28">
        <v>1</v>
      </c>
      <c r="G95" t="s">
        <v>193</v>
      </c>
      <c r="H95" t="s">
        <v>194</v>
      </c>
      <c r="I95" t="s">
        <v>13125</v>
      </c>
      <c r="J95" t="s">
        <v>9302</v>
      </c>
      <c r="K95" t="s">
        <v>13531</v>
      </c>
      <c r="L95" t="s">
        <v>6277</v>
      </c>
      <c r="M95" t="s">
        <v>13127</v>
      </c>
      <c r="N95" t="s">
        <v>13128</v>
      </c>
      <c r="O95" t="s">
        <v>13129</v>
      </c>
      <c r="P95" t="s">
        <v>13532</v>
      </c>
      <c r="Q95" t="s">
        <v>13533</v>
      </c>
      <c r="S95" t="s">
        <v>9309</v>
      </c>
      <c r="U95" t="s">
        <v>207</v>
      </c>
      <c r="V95" t="s">
        <v>193</v>
      </c>
      <c r="W95" t="s">
        <v>9310</v>
      </c>
      <c r="Z95" t="s">
        <v>9311</v>
      </c>
      <c r="AF95" t="s">
        <v>4714</v>
      </c>
      <c r="AG95" t="s">
        <v>13530</v>
      </c>
      <c r="AI95" t="s">
        <v>6955</v>
      </c>
      <c r="AJ95" s="27" t="str">
        <f t="shared" si="2"/>
        <v>122106</v>
      </c>
      <c r="AK95" s="27">
        <v>1</v>
      </c>
      <c r="AL95" s="27">
        <f t="shared" si="3"/>
        <v>1</v>
      </c>
      <c r="AM95" s="28">
        <v>1</v>
      </c>
    </row>
    <row r="96" spans="1:39" x14ac:dyDescent="0.25">
      <c r="A96" t="s">
        <v>13534</v>
      </c>
      <c r="B96" t="s">
        <v>13535</v>
      </c>
      <c r="C96" t="s">
        <v>18</v>
      </c>
      <c r="D96" s="25" t="s">
        <v>13110</v>
      </c>
      <c r="E96" t="s">
        <v>192</v>
      </c>
      <c r="F96" s="28">
        <v>1</v>
      </c>
      <c r="G96" t="s">
        <v>193</v>
      </c>
      <c r="H96" t="s">
        <v>194</v>
      </c>
      <c r="I96" t="s">
        <v>13303</v>
      </c>
      <c r="J96" t="s">
        <v>9302</v>
      </c>
      <c r="K96" t="s">
        <v>13536</v>
      </c>
      <c r="L96" t="s">
        <v>6340</v>
      </c>
      <c r="M96" t="s">
        <v>13113</v>
      </c>
      <c r="N96" t="s">
        <v>13114</v>
      </c>
      <c r="O96" t="s">
        <v>13115</v>
      </c>
      <c r="P96" t="s">
        <v>13537</v>
      </c>
      <c r="Q96" t="s">
        <v>13538</v>
      </c>
      <c r="S96" t="s">
        <v>9309</v>
      </c>
      <c r="U96" t="s">
        <v>1476</v>
      </c>
      <c r="V96" t="s">
        <v>193</v>
      </c>
      <c r="W96" t="s">
        <v>9310</v>
      </c>
      <c r="Z96" t="s">
        <v>9311</v>
      </c>
      <c r="AF96" t="s">
        <v>4714</v>
      </c>
      <c r="AG96" t="s">
        <v>13535</v>
      </c>
      <c r="AI96" t="s">
        <v>6955</v>
      </c>
      <c r="AJ96" s="27" t="str">
        <f t="shared" si="2"/>
        <v>242309</v>
      </c>
      <c r="AK96" s="27">
        <v>1</v>
      </c>
      <c r="AL96" s="27">
        <f t="shared" si="3"/>
        <v>1</v>
      </c>
      <c r="AM96" s="28">
        <v>1</v>
      </c>
    </row>
    <row r="97" spans="1:39" x14ac:dyDescent="0.25">
      <c r="A97" t="s">
        <v>13539</v>
      </c>
      <c r="B97" t="s">
        <v>13540</v>
      </c>
      <c r="C97" t="s">
        <v>45</v>
      </c>
      <c r="D97" s="25" t="s">
        <v>13110</v>
      </c>
      <c r="E97" t="s">
        <v>192</v>
      </c>
      <c r="F97" s="28">
        <v>1</v>
      </c>
      <c r="G97" t="s">
        <v>193</v>
      </c>
      <c r="H97" t="s">
        <v>194</v>
      </c>
      <c r="I97" t="s">
        <v>13303</v>
      </c>
      <c r="J97" t="s">
        <v>9302</v>
      </c>
      <c r="K97" t="s">
        <v>13541</v>
      </c>
      <c r="L97" t="s">
        <v>6324</v>
      </c>
      <c r="M97" t="s">
        <v>13113</v>
      </c>
      <c r="N97" t="s">
        <v>13114</v>
      </c>
      <c r="O97" t="s">
        <v>13115</v>
      </c>
      <c r="P97" t="s">
        <v>13542</v>
      </c>
      <c r="Q97" t="s">
        <v>13543</v>
      </c>
      <c r="S97" t="s">
        <v>9309</v>
      </c>
      <c r="U97" t="s">
        <v>351</v>
      </c>
      <c r="V97" t="s">
        <v>193</v>
      </c>
      <c r="W97" t="s">
        <v>9310</v>
      </c>
      <c r="Z97" t="s">
        <v>9311</v>
      </c>
      <c r="AF97" t="s">
        <v>4714</v>
      </c>
      <c r="AG97" t="s">
        <v>13540</v>
      </c>
      <c r="AI97" t="s">
        <v>6955</v>
      </c>
      <c r="AJ97" s="27" t="str">
        <f t="shared" si="2"/>
        <v>214932</v>
      </c>
      <c r="AK97" s="27">
        <v>1</v>
      </c>
      <c r="AL97" s="27">
        <f t="shared" si="3"/>
        <v>1</v>
      </c>
      <c r="AM97" s="28">
        <v>1</v>
      </c>
    </row>
    <row r="98" spans="1:39" x14ac:dyDescent="0.25">
      <c r="A98" t="s">
        <v>13544</v>
      </c>
      <c r="B98" t="s">
        <v>237</v>
      </c>
      <c r="C98" t="s">
        <v>237</v>
      </c>
      <c r="D98" s="25" t="s">
        <v>13110</v>
      </c>
      <c r="E98" t="s">
        <v>192</v>
      </c>
      <c r="F98" s="28">
        <v>1</v>
      </c>
      <c r="G98" t="s">
        <v>193</v>
      </c>
      <c r="H98" t="s">
        <v>194</v>
      </c>
      <c r="I98" t="s">
        <v>13160</v>
      </c>
      <c r="J98" t="s">
        <v>722</v>
      </c>
      <c r="K98" t="s">
        <v>13545</v>
      </c>
      <c r="L98" t="s">
        <v>6266</v>
      </c>
      <c r="M98" t="s">
        <v>13113</v>
      </c>
      <c r="N98" t="s">
        <v>13114</v>
      </c>
      <c r="O98" t="s">
        <v>13115</v>
      </c>
      <c r="P98" t="s">
        <v>13546</v>
      </c>
      <c r="Q98" t="s">
        <v>13547</v>
      </c>
      <c r="S98" t="s">
        <v>9309</v>
      </c>
      <c r="T98" t="s">
        <v>9726</v>
      </c>
      <c r="U98" t="s">
        <v>239</v>
      </c>
      <c r="V98" t="s">
        <v>194</v>
      </c>
      <c r="W98" t="s">
        <v>9300</v>
      </c>
      <c r="Z98" t="s">
        <v>9311</v>
      </c>
      <c r="AF98" t="s">
        <v>4714</v>
      </c>
      <c r="AG98" t="s">
        <v>237</v>
      </c>
      <c r="AI98" t="s">
        <v>6955</v>
      </c>
      <c r="AJ98" s="27" t="str">
        <f t="shared" si="2"/>
        <v>132404</v>
      </c>
      <c r="AK98" s="27">
        <v>1</v>
      </c>
      <c r="AL98" s="27">
        <f t="shared" si="3"/>
        <v>1</v>
      </c>
      <c r="AM98" s="28">
        <v>1</v>
      </c>
    </row>
    <row r="99" spans="1:39" x14ac:dyDescent="0.25">
      <c r="A99" t="s">
        <v>13548</v>
      </c>
      <c r="B99" t="s">
        <v>4332</v>
      </c>
      <c r="C99" t="s">
        <v>4090</v>
      </c>
      <c r="D99" s="25" t="s">
        <v>13110</v>
      </c>
      <c r="E99" t="s">
        <v>192</v>
      </c>
      <c r="F99" s="28">
        <v>1</v>
      </c>
      <c r="G99" t="s">
        <v>193</v>
      </c>
      <c r="H99" t="s">
        <v>194</v>
      </c>
      <c r="I99" t="s">
        <v>13152</v>
      </c>
      <c r="J99" t="s">
        <v>9302</v>
      </c>
      <c r="K99" t="s">
        <v>13549</v>
      </c>
      <c r="L99" t="s">
        <v>6254</v>
      </c>
      <c r="M99" t="s">
        <v>13113</v>
      </c>
      <c r="N99" t="s">
        <v>13114</v>
      </c>
      <c r="O99" t="s">
        <v>13115</v>
      </c>
      <c r="P99" t="s">
        <v>13550</v>
      </c>
      <c r="Q99" t="s">
        <v>13551</v>
      </c>
      <c r="S99" t="s">
        <v>9309</v>
      </c>
      <c r="U99" t="s">
        <v>4091</v>
      </c>
      <c r="V99" t="s">
        <v>193</v>
      </c>
      <c r="W99" t="s">
        <v>9310</v>
      </c>
      <c r="Z99" t="s">
        <v>9311</v>
      </c>
      <c r="AF99" t="s">
        <v>4714</v>
      </c>
      <c r="AG99" t="s">
        <v>4332</v>
      </c>
      <c r="AI99" t="s">
        <v>6955</v>
      </c>
      <c r="AJ99" s="27" t="str">
        <f t="shared" si="2"/>
        <v>421403</v>
      </c>
      <c r="AK99" s="27">
        <v>1</v>
      </c>
      <c r="AL99" s="27">
        <f t="shared" si="3"/>
        <v>1</v>
      </c>
      <c r="AM99" s="28">
        <v>1</v>
      </c>
    </row>
    <row r="100" spans="1:39" x14ac:dyDescent="0.25">
      <c r="A100" t="s">
        <v>13552</v>
      </c>
      <c r="B100" t="s">
        <v>4258</v>
      </c>
      <c r="C100" t="s">
        <v>1325</v>
      </c>
      <c r="D100" s="25" t="s">
        <v>13110</v>
      </c>
      <c r="E100" t="s">
        <v>192</v>
      </c>
      <c r="F100" s="28">
        <v>1</v>
      </c>
      <c r="G100" t="s">
        <v>193</v>
      </c>
      <c r="H100" t="s">
        <v>194</v>
      </c>
      <c r="I100" t="s">
        <v>13303</v>
      </c>
      <c r="J100" t="s">
        <v>9302</v>
      </c>
      <c r="K100" t="s">
        <v>13553</v>
      </c>
      <c r="L100" t="s">
        <v>6258</v>
      </c>
      <c r="M100" t="s">
        <v>13113</v>
      </c>
      <c r="N100" t="s">
        <v>13114</v>
      </c>
      <c r="O100" t="s">
        <v>13115</v>
      </c>
      <c r="P100" t="s">
        <v>13554</v>
      </c>
      <c r="Q100" t="s">
        <v>13555</v>
      </c>
      <c r="S100" t="s">
        <v>9309</v>
      </c>
      <c r="U100" t="s">
        <v>1327</v>
      </c>
      <c r="V100" t="s">
        <v>193</v>
      </c>
      <c r="W100" t="s">
        <v>9310</v>
      </c>
      <c r="Z100" t="s">
        <v>9311</v>
      </c>
      <c r="AF100" t="s">
        <v>4714</v>
      </c>
      <c r="AG100" t="s">
        <v>4258</v>
      </c>
      <c r="AI100" t="s">
        <v>6955</v>
      </c>
      <c r="AJ100" s="27" t="str">
        <f t="shared" si="2"/>
        <v>931301</v>
      </c>
      <c r="AK100" s="27">
        <v>1</v>
      </c>
      <c r="AL100" s="27">
        <f t="shared" si="3"/>
        <v>1</v>
      </c>
      <c r="AM100" s="28">
        <v>1</v>
      </c>
    </row>
    <row r="101" spans="1:39" x14ac:dyDescent="0.25">
      <c r="A101" t="s">
        <v>13556</v>
      </c>
      <c r="B101" t="s">
        <v>13557</v>
      </c>
      <c r="C101" t="s">
        <v>80</v>
      </c>
      <c r="D101" s="25" t="s">
        <v>13110</v>
      </c>
      <c r="E101" t="s">
        <v>192</v>
      </c>
      <c r="F101" s="28">
        <v>1</v>
      </c>
      <c r="G101" t="s">
        <v>193</v>
      </c>
      <c r="H101" t="s">
        <v>194</v>
      </c>
      <c r="I101" t="s">
        <v>13111</v>
      </c>
      <c r="J101" t="s">
        <v>9302</v>
      </c>
      <c r="K101" t="s">
        <v>13558</v>
      </c>
      <c r="L101" t="s">
        <v>6245</v>
      </c>
      <c r="M101" t="s">
        <v>13113</v>
      </c>
      <c r="N101" t="s">
        <v>13114</v>
      </c>
      <c r="O101" t="s">
        <v>13115</v>
      </c>
      <c r="P101" t="s">
        <v>13559</v>
      </c>
      <c r="Q101" t="s">
        <v>13560</v>
      </c>
      <c r="S101" t="s">
        <v>9309</v>
      </c>
      <c r="U101" t="s">
        <v>474</v>
      </c>
      <c r="V101" t="s">
        <v>193</v>
      </c>
      <c r="W101" t="s">
        <v>9310</v>
      </c>
      <c r="Z101" t="s">
        <v>9311</v>
      </c>
      <c r="AF101" t="s">
        <v>4714</v>
      </c>
      <c r="AG101" t="s">
        <v>13557</v>
      </c>
      <c r="AI101" t="s">
        <v>6955</v>
      </c>
      <c r="AJ101" s="27" t="str">
        <f t="shared" si="2"/>
        <v>243304</v>
      </c>
      <c r="AK101" s="27">
        <v>1</v>
      </c>
      <c r="AL101" s="27">
        <f t="shared" si="3"/>
        <v>1</v>
      </c>
      <c r="AM101" s="28">
        <v>1</v>
      </c>
    </row>
    <row r="102" spans="1:39" x14ac:dyDescent="0.25">
      <c r="A102" t="s">
        <v>13561</v>
      </c>
      <c r="B102" t="s">
        <v>13562</v>
      </c>
      <c r="C102" t="s">
        <v>17</v>
      </c>
      <c r="D102" s="25" t="s">
        <v>13110</v>
      </c>
      <c r="E102" t="s">
        <v>192</v>
      </c>
      <c r="F102" s="28">
        <v>1</v>
      </c>
      <c r="G102" t="s">
        <v>193</v>
      </c>
      <c r="H102" t="s">
        <v>194</v>
      </c>
      <c r="I102" t="s">
        <v>13125</v>
      </c>
      <c r="J102" t="s">
        <v>9302</v>
      </c>
      <c r="K102" t="s">
        <v>13563</v>
      </c>
      <c r="L102" t="s">
        <v>6288</v>
      </c>
      <c r="M102" t="s">
        <v>13113</v>
      </c>
      <c r="N102" t="s">
        <v>13114</v>
      </c>
      <c r="O102" t="s">
        <v>13115</v>
      </c>
      <c r="P102" t="s">
        <v>13564</v>
      </c>
      <c r="Q102" t="s">
        <v>13565</v>
      </c>
      <c r="S102" t="s">
        <v>9309</v>
      </c>
      <c r="U102" t="s">
        <v>624</v>
      </c>
      <c r="V102" t="s">
        <v>193</v>
      </c>
      <c r="W102" t="s">
        <v>9310</v>
      </c>
      <c r="Z102" t="s">
        <v>9311</v>
      </c>
      <c r="AF102" t="s">
        <v>4714</v>
      </c>
      <c r="AG102" t="s">
        <v>13562</v>
      </c>
      <c r="AI102" t="s">
        <v>6955</v>
      </c>
      <c r="AJ102" s="27" t="str">
        <f t="shared" si="2"/>
        <v>332203</v>
      </c>
      <c r="AK102" s="27">
        <v>1</v>
      </c>
      <c r="AL102" s="27">
        <f t="shared" si="3"/>
        <v>1</v>
      </c>
      <c r="AM102" s="28">
        <v>1</v>
      </c>
    </row>
    <row r="103" spans="1:39" x14ac:dyDescent="0.25">
      <c r="A103" t="s">
        <v>13566</v>
      </c>
      <c r="B103" t="s">
        <v>13567</v>
      </c>
      <c r="C103" t="s">
        <v>3774</v>
      </c>
      <c r="D103" s="25" t="s">
        <v>13110</v>
      </c>
      <c r="E103" t="s">
        <v>192</v>
      </c>
      <c r="F103" s="28">
        <v>1</v>
      </c>
      <c r="G103" t="s">
        <v>193</v>
      </c>
      <c r="H103" t="s">
        <v>194</v>
      </c>
      <c r="I103" t="s">
        <v>13152</v>
      </c>
      <c r="J103" t="s">
        <v>9302</v>
      </c>
      <c r="K103" t="s">
        <v>13568</v>
      </c>
      <c r="L103" t="s">
        <v>6258</v>
      </c>
      <c r="M103" t="s">
        <v>13113</v>
      </c>
      <c r="N103" t="s">
        <v>13114</v>
      </c>
      <c r="O103" t="s">
        <v>13115</v>
      </c>
      <c r="P103" t="s">
        <v>13569</v>
      </c>
      <c r="Q103" t="s">
        <v>13570</v>
      </c>
      <c r="S103" t="s">
        <v>9309</v>
      </c>
      <c r="U103" t="s">
        <v>3776</v>
      </c>
      <c r="V103" t="s">
        <v>193</v>
      </c>
      <c r="W103" t="s">
        <v>9310</v>
      </c>
      <c r="Z103" t="s">
        <v>9311</v>
      </c>
      <c r="AF103" t="s">
        <v>4714</v>
      </c>
      <c r="AG103" t="s">
        <v>13567</v>
      </c>
      <c r="AI103" t="s">
        <v>6955</v>
      </c>
      <c r="AJ103" s="27" t="str">
        <f t="shared" si="2"/>
        <v>723190</v>
      </c>
      <c r="AK103" s="27">
        <v>1</v>
      </c>
      <c r="AL103" s="27">
        <f t="shared" si="3"/>
        <v>1</v>
      </c>
      <c r="AM103" s="28">
        <v>1</v>
      </c>
    </row>
    <row r="104" spans="1:39" x14ac:dyDescent="0.25">
      <c r="A104" t="s">
        <v>382</v>
      </c>
      <c r="B104" t="s">
        <v>537</v>
      </c>
      <c r="C104" t="s">
        <v>778</v>
      </c>
      <c r="D104" s="25" t="s">
        <v>13110</v>
      </c>
      <c r="E104" t="s">
        <v>192</v>
      </c>
      <c r="F104" s="28">
        <v>1</v>
      </c>
      <c r="G104" t="s">
        <v>193</v>
      </c>
      <c r="H104" t="s">
        <v>194</v>
      </c>
      <c r="I104" t="s">
        <v>13160</v>
      </c>
      <c r="J104" t="s">
        <v>385</v>
      </c>
      <c r="K104" t="s">
        <v>13571</v>
      </c>
      <c r="L104" t="s">
        <v>6249</v>
      </c>
      <c r="M104" t="s">
        <v>13162</v>
      </c>
      <c r="N104" t="s">
        <v>13114</v>
      </c>
      <c r="O104" t="s">
        <v>13115</v>
      </c>
      <c r="P104" t="s">
        <v>13572</v>
      </c>
      <c r="Q104" t="s">
        <v>13573</v>
      </c>
      <c r="S104" t="s">
        <v>9309</v>
      </c>
      <c r="T104" t="s">
        <v>9410</v>
      </c>
      <c r="U104" t="s">
        <v>779</v>
      </c>
      <c r="V104" t="s">
        <v>194</v>
      </c>
      <c r="W104" t="s">
        <v>9300</v>
      </c>
      <c r="Z104" t="s">
        <v>9311</v>
      </c>
      <c r="AF104" t="s">
        <v>4714</v>
      </c>
      <c r="AG104" t="s">
        <v>778</v>
      </c>
      <c r="AI104" t="s">
        <v>6955</v>
      </c>
      <c r="AJ104" s="27" t="str">
        <f t="shared" si="2"/>
        <v>524902</v>
      </c>
      <c r="AK104" s="27">
        <v>1</v>
      </c>
      <c r="AL104" s="27">
        <f t="shared" si="3"/>
        <v>1</v>
      </c>
      <c r="AM104" s="28">
        <v>1</v>
      </c>
    </row>
    <row r="105" spans="1:39" x14ac:dyDescent="0.25">
      <c r="A105" t="s">
        <v>382</v>
      </c>
      <c r="B105" t="s">
        <v>537</v>
      </c>
      <c r="C105" t="s">
        <v>778</v>
      </c>
      <c r="D105" s="25" t="s">
        <v>13110</v>
      </c>
      <c r="E105" t="s">
        <v>192</v>
      </c>
      <c r="F105" s="28">
        <v>1</v>
      </c>
      <c r="G105" t="s">
        <v>193</v>
      </c>
      <c r="H105" t="s">
        <v>194</v>
      </c>
      <c r="I105" t="s">
        <v>13160</v>
      </c>
      <c r="J105" t="s">
        <v>253</v>
      </c>
      <c r="K105" t="s">
        <v>13574</v>
      </c>
      <c r="L105" t="s">
        <v>6249</v>
      </c>
      <c r="M105" t="s">
        <v>13162</v>
      </c>
      <c r="N105" t="s">
        <v>13114</v>
      </c>
      <c r="O105" t="s">
        <v>13115</v>
      </c>
      <c r="P105" t="s">
        <v>13575</v>
      </c>
      <c r="Q105" t="s">
        <v>13576</v>
      </c>
      <c r="S105" t="s">
        <v>9309</v>
      </c>
      <c r="T105" t="s">
        <v>9468</v>
      </c>
      <c r="U105" t="s">
        <v>779</v>
      </c>
      <c r="V105" t="s">
        <v>194</v>
      </c>
      <c r="W105" t="s">
        <v>9300</v>
      </c>
      <c r="Z105" t="s">
        <v>9311</v>
      </c>
      <c r="AF105" t="s">
        <v>4714</v>
      </c>
      <c r="AG105" t="s">
        <v>778</v>
      </c>
      <c r="AI105" t="s">
        <v>6955</v>
      </c>
      <c r="AJ105" s="27" t="str">
        <f t="shared" si="2"/>
        <v>524902</v>
      </c>
      <c r="AK105" s="27">
        <v>1</v>
      </c>
      <c r="AL105" s="27">
        <f t="shared" si="3"/>
        <v>1</v>
      </c>
      <c r="AM105" s="28">
        <v>1</v>
      </c>
    </row>
    <row r="106" spans="1:39" x14ac:dyDescent="0.25">
      <c r="A106" t="s">
        <v>382</v>
      </c>
      <c r="B106" t="s">
        <v>537</v>
      </c>
      <c r="C106" t="s">
        <v>778</v>
      </c>
      <c r="D106" s="25" t="s">
        <v>13110</v>
      </c>
      <c r="E106" t="s">
        <v>192</v>
      </c>
      <c r="F106" s="28">
        <v>1</v>
      </c>
      <c r="G106" t="s">
        <v>193</v>
      </c>
      <c r="H106" t="s">
        <v>194</v>
      </c>
      <c r="I106" t="s">
        <v>13160</v>
      </c>
      <c r="J106" t="s">
        <v>210</v>
      </c>
      <c r="K106" t="s">
        <v>13577</v>
      </c>
      <c r="L106" t="s">
        <v>6249</v>
      </c>
      <c r="M106" t="s">
        <v>13162</v>
      </c>
      <c r="N106" t="s">
        <v>13114</v>
      </c>
      <c r="O106" t="s">
        <v>13115</v>
      </c>
      <c r="P106" t="s">
        <v>13578</v>
      </c>
      <c r="Q106" t="s">
        <v>13579</v>
      </c>
      <c r="S106" t="s">
        <v>9309</v>
      </c>
      <c r="T106" t="s">
        <v>9334</v>
      </c>
      <c r="U106" t="s">
        <v>779</v>
      </c>
      <c r="V106" t="s">
        <v>194</v>
      </c>
      <c r="W106" t="s">
        <v>9300</v>
      </c>
      <c r="Z106" t="s">
        <v>9311</v>
      </c>
      <c r="AF106" t="s">
        <v>4714</v>
      </c>
      <c r="AG106" t="s">
        <v>778</v>
      </c>
      <c r="AI106" t="s">
        <v>6955</v>
      </c>
      <c r="AJ106" s="27" t="str">
        <f t="shared" si="2"/>
        <v>524902</v>
      </c>
      <c r="AK106" s="27">
        <v>1</v>
      </c>
      <c r="AL106" s="27">
        <f t="shared" si="3"/>
        <v>1</v>
      </c>
      <c r="AM106" s="28">
        <v>1</v>
      </c>
    </row>
    <row r="107" spans="1:39" x14ac:dyDescent="0.25">
      <c r="A107" t="s">
        <v>382</v>
      </c>
      <c r="B107" t="s">
        <v>537</v>
      </c>
      <c r="C107" t="s">
        <v>778</v>
      </c>
      <c r="D107" s="25" t="s">
        <v>13110</v>
      </c>
      <c r="E107" t="s">
        <v>192</v>
      </c>
      <c r="F107" s="28">
        <v>1</v>
      </c>
      <c r="G107" t="s">
        <v>193</v>
      </c>
      <c r="H107" t="s">
        <v>194</v>
      </c>
      <c r="I107" t="s">
        <v>13160</v>
      </c>
      <c r="J107" t="s">
        <v>4786</v>
      </c>
      <c r="K107" t="s">
        <v>13580</v>
      </c>
      <c r="L107" t="s">
        <v>6249</v>
      </c>
      <c r="M107" t="s">
        <v>13162</v>
      </c>
      <c r="N107" t="s">
        <v>13114</v>
      </c>
      <c r="O107" t="s">
        <v>13115</v>
      </c>
      <c r="P107" t="s">
        <v>13581</v>
      </c>
      <c r="Q107" t="s">
        <v>13582</v>
      </c>
      <c r="S107" t="s">
        <v>9309</v>
      </c>
      <c r="T107" t="s">
        <v>9726</v>
      </c>
      <c r="U107" t="s">
        <v>779</v>
      </c>
      <c r="V107" t="s">
        <v>194</v>
      </c>
      <c r="W107" t="s">
        <v>9300</v>
      </c>
      <c r="Z107" t="s">
        <v>9311</v>
      </c>
      <c r="AF107" t="s">
        <v>4714</v>
      </c>
      <c r="AG107" t="s">
        <v>778</v>
      </c>
      <c r="AI107" t="s">
        <v>6955</v>
      </c>
      <c r="AJ107" s="27" t="str">
        <f t="shared" si="2"/>
        <v>524902</v>
      </c>
      <c r="AK107" s="27">
        <v>1</v>
      </c>
      <c r="AL107" s="27">
        <f t="shared" si="3"/>
        <v>1</v>
      </c>
      <c r="AM107" s="28">
        <v>1</v>
      </c>
    </row>
    <row r="108" spans="1:39" x14ac:dyDescent="0.25">
      <c r="A108" t="s">
        <v>13583</v>
      </c>
      <c r="B108" t="s">
        <v>13584</v>
      </c>
      <c r="C108" t="s">
        <v>17</v>
      </c>
      <c r="D108" s="25" t="s">
        <v>13110</v>
      </c>
      <c r="E108" t="s">
        <v>233</v>
      </c>
      <c r="F108" s="28">
        <v>1</v>
      </c>
      <c r="G108" t="s">
        <v>193</v>
      </c>
      <c r="H108" t="s">
        <v>194</v>
      </c>
      <c r="I108" t="s">
        <v>13152</v>
      </c>
      <c r="J108" t="s">
        <v>13585</v>
      </c>
      <c r="K108" t="s">
        <v>13586</v>
      </c>
      <c r="L108" t="s">
        <v>6374</v>
      </c>
      <c r="M108" t="s">
        <v>13127</v>
      </c>
      <c r="N108" t="s">
        <v>13128</v>
      </c>
      <c r="O108" t="s">
        <v>13235</v>
      </c>
      <c r="P108" t="s">
        <v>13587</v>
      </c>
      <c r="Q108" t="s">
        <v>13588</v>
      </c>
      <c r="S108" t="s">
        <v>9309</v>
      </c>
      <c r="T108" s="492" t="s">
        <v>13589</v>
      </c>
      <c r="U108" t="s">
        <v>624</v>
      </c>
      <c r="V108" t="s">
        <v>194</v>
      </c>
      <c r="W108" t="s">
        <v>12023</v>
      </c>
      <c r="Z108" t="s">
        <v>9311</v>
      </c>
      <c r="AF108" t="s">
        <v>4714</v>
      </c>
      <c r="AG108" t="s">
        <v>13584</v>
      </c>
      <c r="AI108" t="s">
        <v>6955</v>
      </c>
      <c r="AJ108" s="27" t="str">
        <f t="shared" si="2"/>
        <v>332203</v>
      </c>
      <c r="AK108" s="27">
        <v>1</v>
      </c>
      <c r="AL108" s="27">
        <f t="shared" si="3"/>
        <v>1</v>
      </c>
      <c r="AM108" s="28">
        <v>1</v>
      </c>
    </row>
    <row r="109" spans="1:39" x14ac:dyDescent="0.25">
      <c r="A109" t="s">
        <v>13590</v>
      </c>
      <c r="B109" t="s">
        <v>13591</v>
      </c>
      <c r="C109" t="s">
        <v>13592</v>
      </c>
      <c r="D109" s="25" t="s">
        <v>13110</v>
      </c>
      <c r="E109" t="s">
        <v>192</v>
      </c>
      <c r="F109" s="28">
        <v>1</v>
      </c>
      <c r="G109" t="s">
        <v>193</v>
      </c>
      <c r="H109" t="s">
        <v>194</v>
      </c>
      <c r="I109" t="s">
        <v>13125</v>
      </c>
      <c r="J109" t="s">
        <v>9302</v>
      </c>
      <c r="K109" t="s">
        <v>13593</v>
      </c>
      <c r="L109" t="s">
        <v>6363</v>
      </c>
      <c r="M109" t="s">
        <v>13113</v>
      </c>
      <c r="N109" t="s">
        <v>13114</v>
      </c>
      <c r="O109" t="s">
        <v>13115</v>
      </c>
      <c r="P109" t="s">
        <v>13594</v>
      </c>
      <c r="Q109" t="s">
        <v>13595</v>
      </c>
      <c r="S109" t="s">
        <v>9309</v>
      </c>
      <c r="U109" t="s">
        <v>13596</v>
      </c>
      <c r="V109" t="s">
        <v>193</v>
      </c>
      <c r="W109" t="s">
        <v>9310</v>
      </c>
      <c r="Z109" t="s">
        <v>9311</v>
      </c>
      <c r="AF109" t="s">
        <v>4714</v>
      </c>
      <c r="AG109" t="s">
        <v>13591</v>
      </c>
      <c r="AI109" t="s">
        <v>6955</v>
      </c>
      <c r="AJ109" s="27" t="str">
        <f t="shared" si="2"/>
        <v>214305</v>
      </c>
      <c r="AK109" s="27">
        <v>1</v>
      </c>
      <c r="AL109" s="27">
        <f t="shared" si="3"/>
        <v>1</v>
      </c>
      <c r="AM109" s="28">
        <v>1</v>
      </c>
    </row>
    <row r="110" spans="1:39" x14ac:dyDescent="0.25">
      <c r="A110" t="s">
        <v>13590</v>
      </c>
      <c r="B110" t="s">
        <v>13597</v>
      </c>
      <c r="C110" t="s">
        <v>13598</v>
      </c>
      <c r="D110" s="25" t="s">
        <v>13110</v>
      </c>
      <c r="E110" t="s">
        <v>192</v>
      </c>
      <c r="F110" s="28">
        <v>1</v>
      </c>
      <c r="G110" t="s">
        <v>193</v>
      </c>
      <c r="H110" t="s">
        <v>194</v>
      </c>
      <c r="I110" t="s">
        <v>13303</v>
      </c>
      <c r="J110" t="s">
        <v>9302</v>
      </c>
      <c r="K110" t="s">
        <v>13599</v>
      </c>
      <c r="L110" t="s">
        <v>7531</v>
      </c>
      <c r="M110" t="s">
        <v>13113</v>
      </c>
      <c r="N110" t="s">
        <v>13114</v>
      </c>
      <c r="O110" t="s">
        <v>13115</v>
      </c>
      <c r="P110" t="s">
        <v>13600</v>
      </c>
      <c r="Q110" t="s">
        <v>13601</v>
      </c>
      <c r="S110" t="s">
        <v>9309</v>
      </c>
      <c r="U110" t="s">
        <v>13602</v>
      </c>
      <c r="V110" t="s">
        <v>193</v>
      </c>
      <c r="W110" t="s">
        <v>9310</v>
      </c>
      <c r="Z110" t="s">
        <v>9311</v>
      </c>
      <c r="AF110" t="s">
        <v>4714</v>
      </c>
      <c r="AG110" t="s">
        <v>13597</v>
      </c>
      <c r="AI110" t="s">
        <v>6955</v>
      </c>
      <c r="AJ110" s="27" t="str">
        <f t="shared" si="2"/>
        <v>241311</v>
      </c>
      <c r="AK110" s="27">
        <v>1</v>
      </c>
      <c r="AL110" s="27">
        <f t="shared" si="3"/>
        <v>1</v>
      </c>
      <c r="AM110" s="28">
        <v>1</v>
      </c>
    </row>
    <row r="111" spans="1:39" x14ac:dyDescent="0.25">
      <c r="A111" t="s">
        <v>13603</v>
      </c>
      <c r="B111" t="s">
        <v>13604</v>
      </c>
      <c r="C111" t="s">
        <v>21</v>
      </c>
      <c r="D111" s="25" t="s">
        <v>13110</v>
      </c>
      <c r="E111" t="s">
        <v>192</v>
      </c>
      <c r="F111" s="28">
        <v>1</v>
      </c>
      <c r="G111" t="s">
        <v>193</v>
      </c>
      <c r="H111" t="s">
        <v>194</v>
      </c>
      <c r="I111" t="s">
        <v>13119</v>
      </c>
      <c r="J111" t="s">
        <v>210</v>
      </c>
      <c r="K111" t="s">
        <v>13605</v>
      </c>
      <c r="L111" t="s">
        <v>6324</v>
      </c>
      <c r="M111" t="s">
        <v>13113</v>
      </c>
      <c r="N111" t="s">
        <v>13114</v>
      </c>
      <c r="O111" t="s">
        <v>13115</v>
      </c>
      <c r="P111" t="s">
        <v>13606</v>
      </c>
      <c r="Q111" t="s">
        <v>13607</v>
      </c>
      <c r="S111" t="s">
        <v>9309</v>
      </c>
      <c r="T111" t="s">
        <v>9334</v>
      </c>
      <c r="U111" t="s">
        <v>293</v>
      </c>
      <c r="V111" t="s">
        <v>194</v>
      </c>
      <c r="W111" t="s">
        <v>9300</v>
      </c>
      <c r="Z111" t="s">
        <v>9311</v>
      </c>
      <c r="AF111" t="s">
        <v>4714</v>
      </c>
      <c r="AG111" t="s">
        <v>13604</v>
      </c>
      <c r="AI111" t="s">
        <v>6955</v>
      </c>
      <c r="AJ111" s="27" t="str">
        <f t="shared" si="2"/>
        <v>214202</v>
      </c>
      <c r="AK111" s="27">
        <v>1</v>
      </c>
      <c r="AL111" s="27">
        <f t="shared" si="3"/>
        <v>1</v>
      </c>
      <c r="AM111" s="28">
        <v>1</v>
      </c>
    </row>
    <row r="112" spans="1:39" x14ac:dyDescent="0.25">
      <c r="A112" t="s">
        <v>413</v>
      </c>
      <c r="B112" t="s">
        <v>13608</v>
      </c>
      <c r="C112" t="s">
        <v>4966</v>
      </c>
      <c r="D112" s="25" t="s">
        <v>13110</v>
      </c>
      <c r="E112" t="s">
        <v>233</v>
      </c>
      <c r="F112" s="28">
        <v>1</v>
      </c>
      <c r="G112" t="s">
        <v>193</v>
      </c>
      <c r="H112" t="s">
        <v>194</v>
      </c>
      <c r="I112" t="s">
        <v>13303</v>
      </c>
      <c r="J112" t="s">
        <v>1607</v>
      </c>
      <c r="K112" t="s">
        <v>13609</v>
      </c>
      <c r="L112" t="s">
        <v>6254</v>
      </c>
      <c r="M112" t="s">
        <v>13127</v>
      </c>
      <c r="N112" t="s">
        <v>13128</v>
      </c>
      <c r="O112" t="s">
        <v>13129</v>
      </c>
      <c r="P112" t="s">
        <v>13610</v>
      </c>
      <c r="Q112" t="s">
        <v>13611</v>
      </c>
      <c r="S112" t="s">
        <v>9309</v>
      </c>
      <c r="T112" t="s">
        <v>9334</v>
      </c>
      <c r="U112" t="s">
        <v>405</v>
      </c>
      <c r="V112" t="s">
        <v>194</v>
      </c>
      <c r="W112" t="s">
        <v>9300</v>
      </c>
      <c r="Z112" t="s">
        <v>9311</v>
      </c>
      <c r="AF112" t="s">
        <v>4714</v>
      </c>
      <c r="AG112" t="s">
        <v>13608</v>
      </c>
      <c r="AI112" t="s">
        <v>6955</v>
      </c>
      <c r="AJ112" s="27" t="str">
        <f t="shared" si="2"/>
        <v>241304</v>
      </c>
      <c r="AK112" s="27">
        <v>1</v>
      </c>
      <c r="AL112" s="27">
        <f t="shared" si="3"/>
        <v>1</v>
      </c>
      <c r="AM112" s="28">
        <v>1</v>
      </c>
    </row>
    <row r="113" spans="1:39" x14ac:dyDescent="0.25">
      <c r="A113" t="s">
        <v>9239</v>
      </c>
      <c r="B113" t="s">
        <v>13612</v>
      </c>
      <c r="C113" t="s">
        <v>67</v>
      </c>
      <c r="D113" s="25" t="s">
        <v>13110</v>
      </c>
      <c r="E113" t="s">
        <v>233</v>
      </c>
      <c r="F113" s="28">
        <v>1</v>
      </c>
      <c r="G113" t="s">
        <v>194</v>
      </c>
      <c r="H113" t="s">
        <v>193</v>
      </c>
      <c r="I113" t="s">
        <v>13125</v>
      </c>
      <c r="J113" t="s">
        <v>9302</v>
      </c>
      <c r="K113" t="s">
        <v>13613</v>
      </c>
      <c r="L113" t="s">
        <v>6266</v>
      </c>
      <c r="M113" t="s">
        <v>13127</v>
      </c>
      <c r="N113" t="s">
        <v>13128</v>
      </c>
      <c r="O113" t="s">
        <v>13235</v>
      </c>
      <c r="P113" t="s">
        <v>13614</v>
      </c>
      <c r="Q113" t="s">
        <v>13615</v>
      </c>
      <c r="S113" t="s">
        <v>9309</v>
      </c>
      <c r="U113" t="s">
        <v>709</v>
      </c>
      <c r="V113" t="s">
        <v>194</v>
      </c>
      <c r="W113" t="s">
        <v>9946</v>
      </c>
      <c r="Z113" t="s">
        <v>9311</v>
      </c>
      <c r="AF113" t="s">
        <v>4714</v>
      </c>
      <c r="AG113" t="s">
        <v>13612</v>
      </c>
      <c r="AI113" t="s">
        <v>6955</v>
      </c>
      <c r="AJ113" s="27" t="str">
        <f t="shared" si="2"/>
        <v>432103</v>
      </c>
      <c r="AK113" s="27">
        <v>1</v>
      </c>
      <c r="AL113" s="27">
        <f t="shared" si="3"/>
        <v>1</v>
      </c>
      <c r="AM113" s="28">
        <v>1</v>
      </c>
    </row>
    <row r="114" spans="1:39" x14ac:dyDescent="0.25">
      <c r="A114" t="s">
        <v>1490</v>
      </c>
      <c r="B114" t="s">
        <v>13616</v>
      </c>
      <c r="C114" t="s">
        <v>10</v>
      </c>
      <c r="D114" s="25" t="s">
        <v>13110</v>
      </c>
      <c r="E114" t="s">
        <v>192</v>
      </c>
      <c r="F114" s="28">
        <v>1</v>
      </c>
      <c r="G114" t="s">
        <v>193</v>
      </c>
      <c r="H114" t="s">
        <v>194</v>
      </c>
      <c r="I114" t="s">
        <v>13303</v>
      </c>
      <c r="J114" t="s">
        <v>575</v>
      </c>
      <c r="K114" t="s">
        <v>13617</v>
      </c>
      <c r="L114" t="s">
        <v>6921</v>
      </c>
      <c r="M114" t="s">
        <v>13113</v>
      </c>
      <c r="N114" t="s">
        <v>13114</v>
      </c>
      <c r="O114" t="s">
        <v>13115</v>
      </c>
      <c r="P114" t="s">
        <v>13618</v>
      </c>
      <c r="Q114" t="s">
        <v>13619</v>
      </c>
      <c r="S114" t="s">
        <v>9309</v>
      </c>
      <c r="U114" t="s">
        <v>484</v>
      </c>
      <c r="V114" t="s">
        <v>193</v>
      </c>
      <c r="W114" t="s">
        <v>9310</v>
      </c>
      <c r="Z114" t="s">
        <v>9311</v>
      </c>
      <c r="AF114" t="s">
        <v>4714</v>
      </c>
      <c r="AG114" t="s">
        <v>13616</v>
      </c>
      <c r="AI114" t="s">
        <v>6955</v>
      </c>
      <c r="AJ114" s="27" t="str">
        <f t="shared" si="2"/>
        <v>251401</v>
      </c>
      <c r="AK114" s="27">
        <v>1</v>
      </c>
      <c r="AL114" s="27">
        <f t="shared" si="3"/>
        <v>1</v>
      </c>
      <c r="AM114" s="28">
        <v>1</v>
      </c>
    </row>
    <row r="115" spans="1:39" x14ac:dyDescent="0.25">
      <c r="A115" t="s">
        <v>13620</v>
      </c>
      <c r="B115" t="s">
        <v>13621</v>
      </c>
      <c r="C115" t="s">
        <v>507</v>
      </c>
      <c r="D115" s="25" t="s">
        <v>13110</v>
      </c>
      <c r="E115" t="s">
        <v>192</v>
      </c>
      <c r="F115" s="28">
        <v>1</v>
      </c>
      <c r="G115" t="s">
        <v>193</v>
      </c>
      <c r="H115" t="s">
        <v>194</v>
      </c>
      <c r="I115" t="s">
        <v>13152</v>
      </c>
      <c r="J115" t="s">
        <v>210</v>
      </c>
      <c r="K115" t="s">
        <v>13622</v>
      </c>
      <c r="L115" t="s">
        <v>6295</v>
      </c>
      <c r="M115" t="s">
        <v>13113</v>
      </c>
      <c r="N115" t="s">
        <v>13114</v>
      </c>
      <c r="O115" t="s">
        <v>13115</v>
      </c>
      <c r="P115" t="s">
        <v>13623</v>
      </c>
      <c r="Q115" t="s">
        <v>13624</v>
      </c>
      <c r="S115" t="s">
        <v>9309</v>
      </c>
      <c r="T115" t="s">
        <v>9334</v>
      </c>
      <c r="U115" t="s">
        <v>508</v>
      </c>
      <c r="V115" t="s">
        <v>194</v>
      </c>
      <c r="W115" t="s">
        <v>9300</v>
      </c>
      <c r="Z115" t="s">
        <v>9311</v>
      </c>
      <c r="AF115" t="s">
        <v>4714</v>
      </c>
      <c r="AG115" t="s">
        <v>13621</v>
      </c>
      <c r="AI115" t="s">
        <v>6955</v>
      </c>
      <c r="AJ115" s="27" t="str">
        <f t="shared" si="2"/>
        <v>252102</v>
      </c>
      <c r="AK115" s="27">
        <v>1</v>
      </c>
      <c r="AL115" s="27">
        <f t="shared" si="3"/>
        <v>1</v>
      </c>
      <c r="AM115" s="28">
        <v>1</v>
      </c>
    </row>
    <row r="116" spans="1:39" x14ac:dyDescent="0.25">
      <c r="A116" t="s">
        <v>13620</v>
      </c>
      <c r="B116" t="s">
        <v>13625</v>
      </c>
      <c r="C116" t="s">
        <v>8740</v>
      </c>
      <c r="D116" s="25" t="s">
        <v>13110</v>
      </c>
      <c r="E116" t="s">
        <v>192</v>
      </c>
      <c r="F116" s="28">
        <v>1</v>
      </c>
      <c r="G116" t="s">
        <v>193</v>
      </c>
      <c r="H116" t="s">
        <v>194</v>
      </c>
      <c r="I116" t="s">
        <v>13152</v>
      </c>
      <c r="J116" t="s">
        <v>210</v>
      </c>
      <c r="K116" t="s">
        <v>13626</v>
      </c>
      <c r="L116" t="s">
        <v>6389</v>
      </c>
      <c r="M116" t="s">
        <v>13113</v>
      </c>
      <c r="N116" t="s">
        <v>13114</v>
      </c>
      <c r="O116" t="s">
        <v>13115</v>
      </c>
      <c r="P116" t="s">
        <v>13627</v>
      </c>
      <c r="Q116" t="s">
        <v>13628</v>
      </c>
      <c r="S116" t="s">
        <v>9309</v>
      </c>
      <c r="T116" t="s">
        <v>9334</v>
      </c>
      <c r="U116" t="s">
        <v>8742</v>
      </c>
      <c r="V116" t="s">
        <v>194</v>
      </c>
      <c r="W116" t="s">
        <v>9300</v>
      </c>
      <c r="Z116" t="s">
        <v>9311</v>
      </c>
      <c r="AF116" t="s">
        <v>4714</v>
      </c>
      <c r="AG116" t="s">
        <v>13625</v>
      </c>
      <c r="AI116" t="s">
        <v>6955</v>
      </c>
      <c r="AJ116" s="27" t="str">
        <f t="shared" si="2"/>
        <v>251490</v>
      </c>
      <c r="AK116" s="27">
        <v>1</v>
      </c>
      <c r="AL116" s="27">
        <f t="shared" si="3"/>
        <v>1</v>
      </c>
      <c r="AM116" s="28">
        <v>1</v>
      </c>
    </row>
    <row r="117" spans="1:39" x14ac:dyDescent="0.25">
      <c r="A117" t="s">
        <v>615</v>
      </c>
      <c r="B117" t="s">
        <v>537</v>
      </c>
      <c r="C117" t="s">
        <v>778</v>
      </c>
      <c r="D117" s="25" t="s">
        <v>13110</v>
      </c>
      <c r="E117" t="s">
        <v>192</v>
      </c>
      <c r="F117" s="28">
        <v>1</v>
      </c>
      <c r="G117" t="s">
        <v>193</v>
      </c>
      <c r="H117" t="s">
        <v>194</v>
      </c>
      <c r="I117" t="s">
        <v>13160</v>
      </c>
      <c r="J117" t="s">
        <v>399</v>
      </c>
      <c r="K117" t="s">
        <v>13629</v>
      </c>
      <c r="L117" t="s">
        <v>6254</v>
      </c>
      <c r="M117" t="s">
        <v>13162</v>
      </c>
      <c r="N117" t="s">
        <v>13114</v>
      </c>
      <c r="O117" t="s">
        <v>13115</v>
      </c>
      <c r="P117" t="s">
        <v>13630</v>
      </c>
      <c r="Q117" t="s">
        <v>13631</v>
      </c>
      <c r="S117" t="s">
        <v>9309</v>
      </c>
      <c r="T117" s="492" t="s">
        <v>13632</v>
      </c>
      <c r="U117" t="s">
        <v>779</v>
      </c>
      <c r="V117" t="s">
        <v>194</v>
      </c>
      <c r="W117" t="s">
        <v>13633</v>
      </c>
      <c r="Z117" t="s">
        <v>9311</v>
      </c>
      <c r="AF117" t="s">
        <v>4714</v>
      </c>
      <c r="AG117" t="s">
        <v>778</v>
      </c>
      <c r="AI117" t="s">
        <v>6955</v>
      </c>
      <c r="AJ117" s="27" t="str">
        <f t="shared" si="2"/>
        <v>524902</v>
      </c>
      <c r="AK117" s="27">
        <v>1</v>
      </c>
      <c r="AL117" s="27">
        <f t="shared" si="3"/>
        <v>1</v>
      </c>
      <c r="AM117" s="28">
        <v>1</v>
      </c>
    </row>
    <row r="118" spans="1:39" x14ac:dyDescent="0.25">
      <c r="A118" t="s">
        <v>5372</v>
      </c>
      <c r="B118" t="s">
        <v>13634</v>
      </c>
      <c r="C118" t="s">
        <v>30</v>
      </c>
      <c r="D118" s="25" t="s">
        <v>13110</v>
      </c>
      <c r="E118" t="s">
        <v>233</v>
      </c>
      <c r="F118" s="28">
        <v>1</v>
      </c>
      <c r="G118" t="s">
        <v>193</v>
      </c>
      <c r="H118" t="s">
        <v>194</v>
      </c>
      <c r="I118" t="s">
        <v>13303</v>
      </c>
      <c r="J118" t="s">
        <v>9302</v>
      </c>
      <c r="K118" t="s">
        <v>13635</v>
      </c>
      <c r="L118" t="s">
        <v>6256</v>
      </c>
      <c r="M118" t="s">
        <v>13127</v>
      </c>
      <c r="N118" t="s">
        <v>13128</v>
      </c>
      <c r="O118" t="s">
        <v>13129</v>
      </c>
      <c r="P118" t="s">
        <v>13636</v>
      </c>
      <c r="Q118" t="s">
        <v>13637</v>
      </c>
      <c r="S118" t="s">
        <v>9309</v>
      </c>
      <c r="U118" t="s">
        <v>1025</v>
      </c>
      <c r="V118" t="s">
        <v>193</v>
      </c>
      <c r="W118" t="s">
        <v>9310</v>
      </c>
      <c r="Z118" t="s">
        <v>9311</v>
      </c>
      <c r="AF118" t="s">
        <v>4714</v>
      </c>
      <c r="AG118" t="s">
        <v>13634</v>
      </c>
      <c r="AI118" t="s">
        <v>6955</v>
      </c>
      <c r="AJ118" s="27" t="str">
        <f t="shared" si="2"/>
        <v>214207</v>
      </c>
      <c r="AK118" s="27">
        <v>1</v>
      </c>
      <c r="AL118" s="27">
        <f t="shared" si="3"/>
        <v>1</v>
      </c>
      <c r="AM118" s="28">
        <v>1</v>
      </c>
    </row>
    <row r="119" spans="1:39" x14ac:dyDescent="0.25">
      <c r="A119" t="s">
        <v>5372</v>
      </c>
      <c r="B119" t="s">
        <v>13638</v>
      </c>
      <c r="C119" t="s">
        <v>21</v>
      </c>
      <c r="D119" s="25" t="s">
        <v>13110</v>
      </c>
      <c r="E119" t="s">
        <v>233</v>
      </c>
      <c r="F119" s="28">
        <v>1</v>
      </c>
      <c r="G119" t="s">
        <v>193</v>
      </c>
      <c r="H119" t="s">
        <v>194</v>
      </c>
      <c r="I119" t="s">
        <v>13152</v>
      </c>
      <c r="J119" t="s">
        <v>9302</v>
      </c>
      <c r="K119" t="s">
        <v>13639</v>
      </c>
      <c r="L119" t="s">
        <v>6256</v>
      </c>
      <c r="M119" t="s">
        <v>13127</v>
      </c>
      <c r="N119" t="s">
        <v>13128</v>
      </c>
      <c r="O119" t="s">
        <v>13235</v>
      </c>
      <c r="P119" t="s">
        <v>13640</v>
      </c>
      <c r="Q119" t="s">
        <v>13641</v>
      </c>
      <c r="S119" t="s">
        <v>9309</v>
      </c>
      <c r="U119" t="s">
        <v>293</v>
      </c>
      <c r="V119" t="s">
        <v>193</v>
      </c>
      <c r="W119" t="s">
        <v>9310</v>
      </c>
      <c r="Z119" t="s">
        <v>9311</v>
      </c>
      <c r="AF119" t="s">
        <v>4714</v>
      </c>
      <c r="AG119" t="s">
        <v>13638</v>
      </c>
      <c r="AI119" t="s">
        <v>6955</v>
      </c>
      <c r="AJ119" s="27" t="str">
        <f t="shared" si="2"/>
        <v>214202</v>
      </c>
      <c r="AK119" s="27">
        <v>1</v>
      </c>
      <c r="AL119" s="27">
        <f t="shared" si="3"/>
        <v>1</v>
      </c>
      <c r="AM119" s="28">
        <v>1</v>
      </c>
    </row>
    <row r="120" spans="1:39" x14ac:dyDescent="0.25">
      <c r="A120" t="s">
        <v>5372</v>
      </c>
      <c r="B120" t="s">
        <v>2952</v>
      </c>
      <c r="C120" t="s">
        <v>12</v>
      </c>
      <c r="D120" s="25" t="s">
        <v>13110</v>
      </c>
      <c r="E120" t="s">
        <v>233</v>
      </c>
      <c r="F120" s="28">
        <v>1</v>
      </c>
      <c r="G120" t="s">
        <v>193</v>
      </c>
      <c r="H120" t="s">
        <v>194</v>
      </c>
      <c r="I120" t="s">
        <v>13160</v>
      </c>
      <c r="J120" t="s">
        <v>210</v>
      </c>
      <c r="K120" t="s">
        <v>13642</v>
      </c>
      <c r="L120" t="s">
        <v>6256</v>
      </c>
      <c r="M120" t="s">
        <v>13127</v>
      </c>
      <c r="N120" t="s">
        <v>13128</v>
      </c>
      <c r="O120" t="s">
        <v>13129</v>
      </c>
      <c r="P120" t="s">
        <v>13643</v>
      </c>
      <c r="Q120" t="s">
        <v>13644</v>
      </c>
      <c r="S120" t="s">
        <v>9309</v>
      </c>
      <c r="T120" t="s">
        <v>9334</v>
      </c>
      <c r="U120" t="s">
        <v>220</v>
      </c>
      <c r="V120" t="s">
        <v>194</v>
      </c>
      <c r="W120" t="s">
        <v>9300</v>
      </c>
      <c r="Z120" t="s">
        <v>9311</v>
      </c>
      <c r="AF120" t="s">
        <v>4714</v>
      </c>
      <c r="AG120" t="s">
        <v>2952</v>
      </c>
      <c r="AI120" t="s">
        <v>6955</v>
      </c>
      <c r="AJ120" s="27" t="str">
        <f t="shared" si="2"/>
        <v>132301</v>
      </c>
      <c r="AK120" s="27">
        <v>1</v>
      </c>
      <c r="AL120" s="27">
        <f t="shared" si="3"/>
        <v>1</v>
      </c>
      <c r="AM120" s="28">
        <v>1</v>
      </c>
    </row>
    <row r="121" spans="1:39" x14ac:dyDescent="0.25">
      <c r="A121" t="s">
        <v>6154</v>
      </c>
      <c r="B121" t="s">
        <v>13645</v>
      </c>
      <c r="C121" t="s">
        <v>1799</v>
      </c>
      <c r="D121" s="25" t="s">
        <v>13110</v>
      </c>
      <c r="E121" t="s">
        <v>192</v>
      </c>
      <c r="F121" s="28">
        <v>1</v>
      </c>
      <c r="G121" t="s">
        <v>193</v>
      </c>
      <c r="H121" t="s">
        <v>194</v>
      </c>
      <c r="I121" t="s">
        <v>13303</v>
      </c>
      <c r="J121" t="s">
        <v>9302</v>
      </c>
      <c r="K121" t="s">
        <v>13646</v>
      </c>
      <c r="L121" t="s">
        <v>7531</v>
      </c>
      <c r="M121" t="s">
        <v>13113</v>
      </c>
      <c r="N121" t="s">
        <v>13114</v>
      </c>
      <c r="O121" t="s">
        <v>13115</v>
      </c>
      <c r="P121" t="s">
        <v>13647</v>
      </c>
      <c r="Q121" t="s">
        <v>13648</v>
      </c>
      <c r="S121" t="s">
        <v>9309</v>
      </c>
      <c r="U121" t="s">
        <v>1800</v>
      </c>
      <c r="V121" t="s">
        <v>193</v>
      </c>
      <c r="W121" t="s">
        <v>9310</v>
      </c>
      <c r="Z121" t="s">
        <v>9311</v>
      </c>
      <c r="AF121" t="s">
        <v>4714</v>
      </c>
      <c r="AG121" t="s">
        <v>13645</v>
      </c>
      <c r="AI121" t="s">
        <v>6955</v>
      </c>
      <c r="AJ121" s="27" t="str">
        <f t="shared" si="2"/>
        <v>242204</v>
      </c>
      <c r="AK121" s="27">
        <v>1</v>
      </c>
      <c r="AL121" s="27">
        <f t="shared" si="3"/>
        <v>1</v>
      </c>
      <c r="AM121" s="28">
        <v>1</v>
      </c>
    </row>
    <row r="122" spans="1:39" x14ac:dyDescent="0.25">
      <c r="A122" t="s">
        <v>6154</v>
      </c>
      <c r="B122" t="s">
        <v>13649</v>
      </c>
      <c r="C122" t="s">
        <v>4966</v>
      </c>
      <c r="D122" s="25" t="s">
        <v>13110</v>
      </c>
      <c r="E122" t="s">
        <v>192</v>
      </c>
      <c r="F122" s="28">
        <v>1</v>
      </c>
      <c r="G122" t="s">
        <v>193</v>
      </c>
      <c r="H122" t="s">
        <v>194</v>
      </c>
      <c r="I122" t="s">
        <v>13303</v>
      </c>
      <c r="J122" t="s">
        <v>9302</v>
      </c>
      <c r="K122" t="s">
        <v>13650</v>
      </c>
      <c r="L122" t="s">
        <v>7531</v>
      </c>
      <c r="M122" t="s">
        <v>13113</v>
      </c>
      <c r="N122" t="s">
        <v>13114</v>
      </c>
      <c r="O122" t="s">
        <v>13115</v>
      </c>
      <c r="P122" t="s">
        <v>13651</v>
      </c>
      <c r="Q122" t="s">
        <v>13652</v>
      </c>
      <c r="S122" t="s">
        <v>9309</v>
      </c>
      <c r="U122" t="s">
        <v>405</v>
      </c>
      <c r="V122" t="s">
        <v>193</v>
      </c>
      <c r="W122" t="s">
        <v>9310</v>
      </c>
      <c r="Z122" t="s">
        <v>9311</v>
      </c>
      <c r="AF122" t="s">
        <v>4714</v>
      </c>
      <c r="AG122" t="s">
        <v>13649</v>
      </c>
      <c r="AI122" t="s">
        <v>6955</v>
      </c>
      <c r="AJ122" s="27" t="str">
        <f t="shared" si="2"/>
        <v>241304</v>
      </c>
      <c r="AK122" s="27">
        <v>1</v>
      </c>
      <c r="AL122" s="27">
        <f t="shared" si="3"/>
        <v>1</v>
      </c>
      <c r="AM122" s="28">
        <v>1</v>
      </c>
    </row>
    <row r="123" spans="1:39" x14ac:dyDescent="0.25">
      <c r="A123" t="s">
        <v>13653</v>
      </c>
      <c r="B123" t="s">
        <v>13654</v>
      </c>
      <c r="C123" t="s">
        <v>6208</v>
      </c>
      <c r="D123" s="25" t="s">
        <v>13110</v>
      </c>
      <c r="E123" t="s">
        <v>192</v>
      </c>
      <c r="F123" s="28">
        <v>1</v>
      </c>
      <c r="G123" t="s">
        <v>193</v>
      </c>
      <c r="H123" t="s">
        <v>194</v>
      </c>
      <c r="I123" t="s">
        <v>13152</v>
      </c>
      <c r="J123" t="s">
        <v>13655</v>
      </c>
      <c r="K123" t="s">
        <v>13656</v>
      </c>
      <c r="L123" t="s">
        <v>6245</v>
      </c>
      <c r="M123" t="s">
        <v>13113</v>
      </c>
      <c r="N123" t="s">
        <v>13114</v>
      </c>
      <c r="O123" t="s">
        <v>13115</v>
      </c>
      <c r="P123" t="s">
        <v>13657</v>
      </c>
      <c r="Q123" t="s">
        <v>13658</v>
      </c>
      <c r="S123" t="s">
        <v>9309</v>
      </c>
      <c r="T123" t="s">
        <v>9468</v>
      </c>
      <c r="U123" t="s">
        <v>346</v>
      </c>
      <c r="V123" t="s">
        <v>194</v>
      </c>
      <c r="W123" t="s">
        <v>9300</v>
      </c>
      <c r="Z123" t="s">
        <v>9311</v>
      </c>
      <c r="AF123" t="s">
        <v>4714</v>
      </c>
      <c r="AG123" t="s">
        <v>13654</v>
      </c>
      <c r="AI123" t="s">
        <v>6955</v>
      </c>
      <c r="AJ123" s="27" t="str">
        <f t="shared" si="2"/>
        <v>214931</v>
      </c>
      <c r="AK123" s="27">
        <v>1</v>
      </c>
      <c r="AL123" s="27">
        <f t="shared" si="3"/>
        <v>1</v>
      </c>
      <c r="AM123" s="28">
        <v>1</v>
      </c>
    </row>
    <row r="124" spans="1:39" x14ac:dyDescent="0.25">
      <c r="A124" t="s">
        <v>13659</v>
      </c>
      <c r="B124" t="s">
        <v>13660</v>
      </c>
      <c r="C124" t="s">
        <v>85</v>
      </c>
      <c r="D124" s="25" t="s">
        <v>13110</v>
      </c>
      <c r="E124" t="s">
        <v>192</v>
      </c>
      <c r="F124" s="28">
        <v>1</v>
      </c>
      <c r="G124" t="s">
        <v>193</v>
      </c>
      <c r="H124" t="s">
        <v>194</v>
      </c>
      <c r="I124" t="s">
        <v>13303</v>
      </c>
      <c r="J124" t="s">
        <v>210</v>
      </c>
      <c r="K124" t="s">
        <v>13661</v>
      </c>
      <c r="L124" t="s">
        <v>6921</v>
      </c>
      <c r="M124" t="s">
        <v>13113</v>
      </c>
      <c r="N124" t="s">
        <v>13114</v>
      </c>
      <c r="O124" t="s">
        <v>13115</v>
      </c>
      <c r="P124" t="s">
        <v>13662</v>
      </c>
      <c r="Q124" t="s">
        <v>13663</v>
      </c>
      <c r="S124" t="s">
        <v>9309</v>
      </c>
      <c r="T124" t="s">
        <v>9334</v>
      </c>
      <c r="U124" t="s">
        <v>477</v>
      </c>
      <c r="V124" t="s">
        <v>194</v>
      </c>
      <c r="W124" t="s">
        <v>9300</v>
      </c>
      <c r="Z124" t="s">
        <v>9311</v>
      </c>
      <c r="AF124" t="s">
        <v>4714</v>
      </c>
      <c r="AG124" t="s">
        <v>13660</v>
      </c>
      <c r="AI124" t="s">
        <v>6955</v>
      </c>
      <c r="AJ124" s="27" t="str">
        <f t="shared" si="2"/>
        <v>243305</v>
      </c>
      <c r="AK124" s="27">
        <v>1</v>
      </c>
      <c r="AL124" s="27">
        <f t="shared" si="3"/>
        <v>1</v>
      </c>
      <c r="AM124" s="28">
        <v>1</v>
      </c>
    </row>
    <row r="125" spans="1:39" x14ac:dyDescent="0.25">
      <c r="A125" t="s">
        <v>915</v>
      </c>
      <c r="B125" t="s">
        <v>13664</v>
      </c>
      <c r="C125" t="s">
        <v>69</v>
      </c>
      <c r="D125" s="25" t="s">
        <v>13110</v>
      </c>
      <c r="E125" t="s">
        <v>192</v>
      </c>
      <c r="F125" s="28">
        <v>1</v>
      </c>
      <c r="G125" t="s">
        <v>193</v>
      </c>
      <c r="H125" t="s">
        <v>194</v>
      </c>
      <c r="I125" t="s">
        <v>13152</v>
      </c>
      <c r="J125" t="s">
        <v>9302</v>
      </c>
      <c r="K125" t="s">
        <v>13665</v>
      </c>
      <c r="L125" t="s">
        <v>6261</v>
      </c>
      <c r="M125" t="s">
        <v>13113</v>
      </c>
      <c r="N125" t="s">
        <v>13114</v>
      </c>
      <c r="O125" t="s">
        <v>13666</v>
      </c>
      <c r="P125" t="s">
        <v>13667</v>
      </c>
      <c r="Q125" t="s">
        <v>13668</v>
      </c>
      <c r="S125" t="s">
        <v>9309</v>
      </c>
      <c r="U125" t="s">
        <v>375</v>
      </c>
      <c r="V125" t="s">
        <v>193</v>
      </c>
      <c r="W125" t="s">
        <v>9310</v>
      </c>
      <c r="Z125" t="s">
        <v>9311</v>
      </c>
      <c r="AF125" t="s">
        <v>4714</v>
      </c>
      <c r="AG125" t="s">
        <v>13664</v>
      </c>
      <c r="AI125" t="s">
        <v>6955</v>
      </c>
      <c r="AJ125" s="27" t="str">
        <f t="shared" si="2"/>
        <v>215301</v>
      </c>
      <c r="AK125" s="27">
        <v>1</v>
      </c>
      <c r="AL125" s="27">
        <f t="shared" si="3"/>
        <v>1</v>
      </c>
      <c r="AM125" s="28">
        <v>1</v>
      </c>
    </row>
    <row r="126" spans="1:39" x14ac:dyDescent="0.25">
      <c r="A126" t="s">
        <v>915</v>
      </c>
      <c r="B126" t="s">
        <v>13669</v>
      </c>
      <c r="C126" t="s">
        <v>69</v>
      </c>
      <c r="D126" s="25" t="s">
        <v>13110</v>
      </c>
      <c r="E126" t="s">
        <v>233</v>
      </c>
      <c r="F126" s="27">
        <v>1</v>
      </c>
      <c r="G126" t="s">
        <v>194</v>
      </c>
      <c r="H126" t="s">
        <v>193</v>
      </c>
      <c r="I126" t="s">
        <v>13152</v>
      </c>
      <c r="J126" t="s">
        <v>9302</v>
      </c>
      <c r="K126" t="s">
        <v>13670</v>
      </c>
      <c r="L126" t="s">
        <v>6921</v>
      </c>
      <c r="M126" t="s">
        <v>13127</v>
      </c>
      <c r="N126" t="s">
        <v>13128</v>
      </c>
      <c r="O126" t="s">
        <v>13129</v>
      </c>
      <c r="P126" t="s">
        <v>13671</v>
      </c>
      <c r="Q126" t="s">
        <v>13672</v>
      </c>
      <c r="S126" t="s">
        <v>9309</v>
      </c>
      <c r="U126" t="s">
        <v>375</v>
      </c>
      <c r="V126" t="s">
        <v>194</v>
      </c>
      <c r="W126" t="s">
        <v>9946</v>
      </c>
      <c r="Z126" t="s">
        <v>9311</v>
      </c>
      <c r="AF126" t="s">
        <v>4714</v>
      </c>
      <c r="AG126" t="s">
        <v>13669</v>
      </c>
      <c r="AI126" t="s">
        <v>6955</v>
      </c>
      <c r="AJ126" s="27" t="str">
        <f t="shared" si="2"/>
        <v>215301</v>
      </c>
      <c r="AK126" s="27">
        <v>1</v>
      </c>
      <c r="AL126" s="27">
        <f t="shared" si="3"/>
        <v>1</v>
      </c>
      <c r="AM126" s="28">
        <v>1</v>
      </c>
    </row>
    <row r="127" spans="1:39" x14ac:dyDescent="0.25">
      <c r="A127" t="s">
        <v>915</v>
      </c>
      <c r="B127" t="s">
        <v>13673</v>
      </c>
      <c r="C127" t="s">
        <v>69</v>
      </c>
      <c r="D127" s="25" t="s">
        <v>13110</v>
      </c>
      <c r="E127" t="s">
        <v>192</v>
      </c>
      <c r="F127" s="28">
        <v>1</v>
      </c>
      <c r="G127" t="s">
        <v>193</v>
      </c>
      <c r="H127" t="s">
        <v>194</v>
      </c>
      <c r="I127" t="s">
        <v>13152</v>
      </c>
      <c r="J127" t="s">
        <v>9302</v>
      </c>
      <c r="K127" t="s">
        <v>13674</v>
      </c>
      <c r="L127" t="s">
        <v>6921</v>
      </c>
      <c r="M127" t="s">
        <v>13113</v>
      </c>
      <c r="N127" t="s">
        <v>13114</v>
      </c>
      <c r="O127" t="s">
        <v>13675</v>
      </c>
      <c r="P127" t="s">
        <v>13676</v>
      </c>
      <c r="Q127" t="s">
        <v>13677</v>
      </c>
      <c r="S127" t="s">
        <v>9309</v>
      </c>
      <c r="U127" t="s">
        <v>375</v>
      </c>
      <c r="V127" t="s">
        <v>193</v>
      </c>
      <c r="W127" t="s">
        <v>9310</v>
      </c>
      <c r="Z127" t="s">
        <v>9311</v>
      </c>
      <c r="AF127" t="s">
        <v>4714</v>
      </c>
      <c r="AG127" t="s">
        <v>13673</v>
      </c>
      <c r="AI127" t="s">
        <v>6955</v>
      </c>
      <c r="AJ127" s="27" t="str">
        <f t="shared" si="2"/>
        <v>215301</v>
      </c>
      <c r="AK127" s="27">
        <v>1</v>
      </c>
      <c r="AL127" s="27">
        <f t="shared" si="3"/>
        <v>1</v>
      </c>
      <c r="AM127" s="28">
        <v>1</v>
      </c>
    </row>
    <row r="128" spans="1:39" x14ac:dyDescent="0.25">
      <c r="A128" t="s">
        <v>915</v>
      </c>
      <c r="B128" t="s">
        <v>13678</v>
      </c>
      <c r="C128" t="s">
        <v>3438</v>
      </c>
      <c r="D128" s="25" t="s">
        <v>13110</v>
      </c>
      <c r="E128" t="s">
        <v>192</v>
      </c>
      <c r="F128" s="28">
        <v>1</v>
      </c>
      <c r="G128" t="s">
        <v>193</v>
      </c>
      <c r="H128" t="s">
        <v>194</v>
      </c>
      <c r="I128" t="s">
        <v>13152</v>
      </c>
      <c r="J128" t="s">
        <v>9302</v>
      </c>
      <c r="K128" t="s">
        <v>13679</v>
      </c>
      <c r="L128" t="s">
        <v>6286</v>
      </c>
      <c r="M128" t="s">
        <v>13113</v>
      </c>
      <c r="N128" t="s">
        <v>13114</v>
      </c>
      <c r="O128" t="s">
        <v>13115</v>
      </c>
      <c r="P128" t="s">
        <v>13680</v>
      </c>
      <c r="Q128" t="s">
        <v>13681</v>
      </c>
      <c r="S128" t="s">
        <v>9309</v>
      </c>
      <c r="U128" t="s">
        <v>3439</v>
      </c>
      <c r="V128" t="s">
        <v>193</v>
      </c>
      <c r="W128" t="s">
        <v>9310</v>
      </c>
      <c r="Z128" t="s">
        <v>9311</v>
      </c>
      <c r="AF128" t="s">
        <v>5109</v>
      </c>
      <c r="AG128" t="s">
        <v>13678</v>
      </c>
      <c r="AI128" t="s">
        <v>6955</v>
      </c>
      <c r="AJ128" s="27" t="str">
        <f t="shared" si="2"/>
        <v>334306</v>
      </c>
      <c r="AK128" s="27">
        <v>1</v>
      </c>
      <c r="AL128" s="27">
        <f t="shared" si="3"/>
        <v>1</v>
      </c>
      <c r="AM128" s="28">
        <v>1</v>
      </c>
    </row>
    <row r="129" spans="1:39" x14ac:dyDescent="0.25">
      <c r="A129" t="s">
        <v>915</v>
      </c>
      <c r="B129" t="s">
        <v>13682</v>
      </c>
      <c r="C129" t="s">
        <v>129</v>
      </c>
      <c r="D129" s="25" t="s">
        <v>13110</v>
      </c>
      <c r="E129" t="s">
        <v>192</v>
      </c>
      <c r="F129" s="28">
        <v>1</v>
      </c>
      <c r="G129" t="s">
        <v>193</v>
      </c>
      <c r="H129" t="s">
        <v>194</v>
      </c>
      <c r="I129" t="s">
        <v>13119</v>
      </c>
      <c r="J129" t="s">
        <v>9302</v>
      </c>
      <c r="K129" t="s">
        <v>13683</v>
      </c>
      <c r="L129" t="s">
        <v>6295</v>
      </c>
      <c r="M129" t="s">
        <v>13684</v>
      </c>
      <c r="N129" t="s">
        <v>13685</v>
      </c>
      <c r="O129" t="s">
        <v>13686</v>
      </c>
      <c r="P129" t="s">
        <v>13687</v>
      </c>
      <c r="Q129" t="s">
        <v>13688</v>
      </c>
      <c r="S129" t="s">
        <v>9309</v>
      </c>
      <c r="U129" t="s">
        <v>203</v>
      </c>
      <c r="V129" t="s">
        <v>193</v>
      </c>
      <c r="W129" t="s">
        <v>9310</v>
      </c>
      <c r="Z129" t="s">
        <v>9311</v>
      </c>
      <c r="AF129" t="s">
        <v>4714</v>
      </c>
      <c r="AG129" t="s">
        <v>13682</v>
      </c>
      <c r="AI129" t="s">
        <v>6955</v>
      </c>
      <c r="AJ129" s="27" t="str">
        <f t="shared" si="2"/>
        <v>121904</v>
      </c>
      <c r="AK129" s="27">
        <v>1</v>
      </c>
      <c r="AL129" s="27">
        <f t="shared" si="3"/>
        <v>1</v>
      </c>
      <c r="AM129" s="28">
        <v>1</v>
      </c>
    </row>
    <row r="130" spans="1:39" x14ac:dyDescent="0.25">
      <c r="A130" t="s">
        <v>915</v>
      </c>
      <c r="B130" t="s">
        <v>13689</v>
      </c>
      <c r="C130" t="s">
        <v>1766</v>
      </c>
      <c r="D130" s="25" t="s">
        <v>13110</v>
      </c>
      <c r="E130" t="s">
        <v>233</v>
      </c>
      <c r="F130" s="28">
        <v>1</v>
      </c>
      <c r="G130" t="s">
        <v>194</v>
      </c>
      <c r="H130" t="s">
        <v>193</v>
      </c>
      <c r="I130" t="s">
        <v>13200</v>
      </c>
      <c r="J130" t="s">
        <v>9302</v>
      </c>
      <c r="K130" t="s">
        <v>13690</v>
      </c>
      <c r="L130" t="s">
        <v>6254</v>
      </c>
      <c r="M130" t="s">
        <v>13424</v>
      </c>
      <c r="N130" t="s">
        <v>4849</v>
      </c>
      <c r="O130" t="s">
        <v>7703</v>
      </c>
      <c r="P130" t="s">
        <v>13691</v>
      </c>
      <c r="Q130" t="s">
        <v>13692</v>
      </c>
      <c r="S130" t="s">
        <v>9309</v>
      </c>
      <c r="U130" t="s">
        <v>1767</v>
      </c>
      <c r="V130" t="s">
        <v>193</v>
      </c>
      <c r="W130" t="s">
        <v>9310</v>
      </c>
      <c r="Z130" t="s">
        <v>9311</v>
      </c>
      <c r="AF130" t="s">
        <v>4714</v>
      </c>
      <c r="AG130" t="s">
        <v>13689</v>
      </c>
      <c r="AI130" t="s">
        <v>6955</v>
      </c>
      <c r="AJ130" s="27" t="str">
        <f t="shared" si="2"/>
        <v>242112</v>
      </c>
      <c r="AK130" s="27">
        <v>1</v>
      </c>
      <c r="AL130" s="27">
        <f t="shared" si="3"/>
        <v>1</v>
      </c>
      <c r="AM130" s="28">
        <v>1</v>
      </c>
    </row>
    <row r="131" spans="1:39" x14ac:dyDescent="0.25">
      <c r="A131" t="s">
        <v>915</v>
      </c>
      <c r="B131" t="s">
        <v>13693</v>
      </c>
      <c r="C131" t="s">
        <v>69</v>
      </c>
      <c r="D131" s="25" t="s">
        <v>13110</v>
      </c>
      <c r="E131" t="s">
        <v>192</v>
      </c>
      <c r="F131" s="28">
        <v>1</v>
      </c>
      <c r="G131" t="s">
        <v>193</v>
      </c>
      <c r="H131" t="s">
        <v>194</v>
      </c>
      <c r="I131" t="s">
        <v>13303</v>
      </c>
      <c r="J131" t="s">
        <v>9302</v>
      </c>
      <c r="K131" t="s">
        <v>13694</v>
      </c>
      <c r="L131" t="s">
        <v>6261</v>
      </c>
      <c r="M131" t="s">
        <v>13113</v>
      </c>
      <c r="N131" t="s">
        <v>13114</v>
      </c>
      <c r="O131" t="s">
        <v>13666</v>
      </c>
      <c r="P131" t="s">
        <v>13695</v>
      </c>
      <c r="Q131" t="s">
        <v>13696</v>
      </c>
      <c r="S131" t="s">
        <v>9309</v>
      </c>
      <c r="U131" t="s">
        <v>375</v>
      </c>
      <c r="V131" t="s">
        <v>193</v>
      </c>
      <c r="W131" t="s">
        <v>9310</v>
      </c>
      <c r="Z131" t="s">
        <v>9311</v>
      </c>
      <c r="AF131" t="s">
        <v>4714</v>
      </c>
      <c r="AG131" t="s">
        <v>13693</v>
      </c>
      <c r="AI131" t="s">
        <v>6955</v>
      </c>
      <c r="AJ131" s="27" t="str">
        <f t="shared" ref="AJ131:AJ194" si="4">MID(U131,8,6)</f>
        <v>215301</v>
      </c>
      <c r="AK131" s="27">
        <v>1</v>
      </c>
      <c r="AL131" s="27">
        <f t="shared" ref="AL131:AL194" si="5">SUM(F131)</f>
        <v>1</v>
      </c>
      <c r="AM131" s="28">
        <v>1</v>
      </c>
    </row>
    <row r="132" spans="1:39" x14ac:dyDescent="0.25">
      <c r="A132" t="s">
        <v>915</v>
      </c>
      <c r="B132" t="s">
        <v>13697</v>
      </c>
      <c r="C132" t="s">
        <v>10</v>
      </c>
      <c r="D132" s="25" t="s">
        <v>13110</v>
      </c>
      <c r="E132" t="s">
        <v>233</v>
      </c>
      <c r="F132" s="28">
        <v>1</v>
      </c>
      <c r="G132" t="s">
        <v>194</v>
      </c>
      <c r="H132" t="s">
        <v>193</v>
      </c>
      <c r="I132" t="s">
        <v>13111</v>
      </c>
      <c r="J132" t="s">
        <v>9302</v>
      </c>
      <c r="K132" t="s">
        <v>13698</v>
      </c>
      <c r="L132" t="s">
        <v>6261</v>
      </c>
      <c r="M132" t="s">
        <v>13127</v>
      </c>
      <c r="N132" t="s">
        <v>13128</v>
      </c>
      <c r="O132" t="s">
        <v>13129</v>
      </c>
      <c r="P132" t="s">
        <v>13699</v>
      </c>
      <c r="Q132" t="s">
        <v>13700</v>
      </c>
      <c r="S132" t="s">
        <v>9309</v>
      </c>
      <c r="U132" t="s">
        <v>484</v>
      </c>
      <c r="V132" t="s">
        <v>194</v>
      </c>
      <c r="W132" t="s">
        <v>9946</v>
      </c>
      <c r="Z132" t="s">
        <v>9311</v>
      </c>
      <c r="AF132" t="s">
        <v>4714</v>
      </c>
      <c r="AG132" t="s">
        <v>13697</v>
      </c>
      <c r="AI132" t="s">
        <v>6955</v>
      </c>
      <c r="AJ132" s="27" t="str">
        <f t="shared" si="4"/>
        <v>251401</v>
      </c>
      <c r="AK132" s="27">
        <v>1</v>
      </c>
      <c r="AL132" s="27">
        <f t="shared" si="5"/>
        <v>1</v>
      </c>
      <c r="AM132" s="28">
        <v>1</v>
      </c>
    </row>
    <row r="133" spans="1:39" x14ac:dyDescent="0.25">
      <c r="A133" t="s">
        <v>915</v>
      </c>
      <c r="B133" t="s">
        <v>13701</v>
      </c>
      <c r="C133" t="s">
        <v>10</v>
      </c>
      <c r="D133" s="25" t="s">
        <v>13110</v>
      </c>
      <c r="E133" t="s">
        <v>192</v>
      </c>
      <c r="F133" s="28">
        <v>1</v>
      </c>
      <c r="G133" t="s">
        <v>193</v>
      </c>
      <c r="H133" t="s">
        <v>194</v>
      </c>
      <c r="I133" t="s">
        <v>13303</v>
      </c>
      <c r="J133" t="s">
        <v>9302</v>
      </c>
      <c r="K133" t="s">
        <v>13702</v>
      </c>
      <c r="L133" t="s">
        <v>6921</v>
      </c>
      <c r="M133" t="s">
        <v>13113</v>
      </c>
      <c r="N133" t="s">
        <v>13114</v>
      </c>
      <c r="O133" t="s">
        <v>13115</v>
      </c>
      <c r="P133" t="s">
        <v>13703</v>
      </c>
      <c r="Q133" t="s">
        <v>13704</v>
      </c>
      <c r="S133" t="s">
        <v>9309</v>
      </c>
      <c r="U133" t="s">
        <v>484</v>
      </c>
      <c r="V133" t="s">
        <v>193</v>
      </c>
      <c r="W133" t="s">
        <v>9310</v>
      </c>
      <c r="Z133" t="s">
        <v>9311</v>
      </c>
      <c r="AF133" t="s">
        <v>4714</v>
      </c>
      <c r="AG133" t="s">
        <v>13701</v>
      </c>
      <c r="AI133" t="s">
        <v>6955</v>
      </c>
      <c r="AJ133" s="27" t="str">
        <f t="shared" si="4"/>
        <v>251401</v>
      </c>
      <c r="AK133" s="27">
        <v>1</v>
      </c>
      <c r="AL133" s="27">
        <f t="shared" si="5"/>
        <v>1</v>
      </c>
      <c r="AM133" s="28">
        <v>1</v>
      </c>
    </row>
    <row r="134" spans="1:39" x14ac:dyDescent="0.25">
      <c r="A134" t="s">
        <v>915</v>
      </c>
      <c r="B134" t="s">
        <v>13705</v>
      </c>
      <c r="C134" t="s">
        <v>2861</v>
      </c>
      <c r="D134" s="25" t="s">
        <v>13110</v>
      </c>
      <c r="E134" t="s">
        <v>233</v>
      </c>
      <c r="F134" s="28">
        <v>1</v>
      </c>
      <c r="G134" t="s">
        <v>194</v>
      </c>
      <c r="H134" t="s">
        <v>193</v>
      </c>
      <c r="I134" t="s">
        <v>13303</v>
      </c>
      <c r="J134" t="s">
        <v>9302</v>
      </c>
      <c r="K134" t="s">
        <v>13706</v>
      </c>
      <c r="L134" t="s">
        <v>6921</v>
      </c>
      <c r="M134" t="s">
        <v>13127</v>
      </c>
      <c r="N134" t="s">
        <v>13128</v>
      </c>
      <c r="O134" t="s">
        <v>13235</v>
      </c>
      <c r="P134" t="s">
        <v>13707</v>
      </c>
      <c r="Q134" t="s">
        <v>13708</v>
      </c>
      <c r="S134" t="s">
        <v>9309</v>
      </c>
      <c r="U134" t="s">
        <v>3629</v>
      </c>
      <c r="V134" t="s">
        <v>194</v>
      </c>
      <c r="W134" t="s">
        <v>9946</v>
      </c>
      <c r="Z134" t="s">
        <v>9311</v>
      </c>
      <c r="AF134" t="s">
        <v>4714</v>
      </c>
      <c r="AG134" t="s">
        <v>13705</v>
      </c>
      <c r="AI134" t="s">
        <v>6955</v>
      </c>
      <c r="AJ134" s="27" t="str">
        <f t="shared" si="4"/>
        <v>251903</v>
      </c>
      <c r="AK134" s="27">
        <v>1</v>
      </c>
      <c r="AL134" s="27">
        <f t="shared" si="5"/>
        <v>1</v>
      </c>
      <c r="AM134" s="28">
        <v>1</v>
      </c>
    </row>
    <row r="135" spans="1:39" x14ac:dyDescent="0.25">
      <c r="A135" t="s">
        <v>13709</v>
      </c>
      <c r="B135" t="s">
        <v>13710</v>
      </c>
      <c r="C135" t="s">
        <v>17</v>
      </c>
      <c r="D135" s="25" t="s">
        <v>13110</v>
      </c>
      <c r="E135" t="s">
        <v>192</v>
      </c>
      <c r="F135" s="28">
        <v>1</v>
      </c>
      <c r="G135" t="s">
        <v>193</v>
      </c>
      <c r="H135" t="s">
        <v>194</v>
      </c>
      <c r="I135" t="s">
        <v>13152</v>
      </c>
      <c r="J135" t="s">
        <v>9302</v>
      </c>
      <c r="K135" t="s">
        <v>13711</v>
      </c>
      <c r="L135" t="s">
        <v>6288</v>
      </c>
      <c r="M135" t="s">
        <v>13113</v>
      </c>
      <c r="N135" t="s">
        <v>13114</v>
      </c>
      <c r="O135" t="s">
        <v>13115</v>
      </c>
      <c r="P135" t="s">
        <v>13712</v>
      </c>
      <c r="Q135" t="s">
        <v>13713</v>
      </c>
      <c r="S135" t="s">
        <v>9309</v>
      </c>
      <c r="U135" t="s">
        <v>624</v>
      </c>
      <c r="V135" t="s">
        <v>193</v>
      </c>
      <c r="W135" t="s">
        <v>9310</v>
      </c>
      <c r="Z135" t="s">
        <v>9311</v>
      </c>
      <c r="AF135" t="s">
        <v>4714</v>
      </c>
      <c r="AG135" t="s">
        <v>13710</v>
      </c>
      <c r="AI135" t="s">
        <v>6955</v>
      </c>
      <c r="AJ135" s="27" t="str">
        <f t="shared" si="4"/>
        <v>332203</v>
      </c>
      <c r="AK135" s="27">
        <v>1</v>
      </c>
      <c r="AL135" s="27">
        <f t="shared" si="5"/>
        <v>1</v>
      </c>
      <c r="AM135" s="28">
        <v>1</v>
      </c>
    </row>
    <row r="136" spans="1:39" x14ac:dyDescent="0.25">
      <c r="A136" t="s">
        <v>13714</v>
      </c>
      <c r="B136" t="s">
        <v>11010</v>
      </c>
      <c r="C136" t="s">
        <v>17</v>
      </c>
      <c r="D136" s="25" t="s">
        <v>13110</v>
      </c>
      <c r="E136" t="s">
        <v>192</v>
      </c>
      <c r="F136" s="28">
        <v>1</v>
      </c>
      <c r="G136" t="s">
        <v>193</v>
      </c>
      <c r="H136" t="s">
        <v>194</v>
      </c>
      <c r="I136" t="s">
        <v>13152</v>
      </c>
      <c r="J136" t="s">
        <v>9302</v>
      </c>
      <c r="K136" t="s">
        <v>13715</v>
      </c>
      <c r="L136" t="s">
        <v>6245</v>
      </c>
      <c r="M136" t="s">
        <v>13113</v>
      </c>
      <c r="N136" t="s">
        <v>13114</v>
      </c>
      <c r="O136" t="s">
        <v>13115</v>
      </c>
      <c r="P136" t="s">
        <v>13716</v>
      </c>
      <c r="Q136" t="s">
        <v>13717</v>
      </c>
      <c r="S136" t="s">
        <v>9309</v>
      </c>
      <c r="U136" t="s">
        <v>624</v>
      </c>
      <c r="V136" t="s">
        <v>193</v>
      </c>
      <c r="W136" t="s">
        <v>9310</v>
      </c>
      <c r="Z136" t="s">
        <v>9311</v>
      </c>
      <c r="AF136" t="s">
        <v>4714</v>
      </c>
      <c r="AG136" t="s">
        <v>11010</v>
      </c>
      <c r="AI136" t="s">
        <v>6955</v>
      </c>
      <c r="AJ136" s="27" t="str">
        <f t="shared" si="4"/>
        <v>332203</v>
      </c>
      <c r="AK136" s="27">
        <v>1</v>
      </c>
      <c r="AL136" s="27">
        <f t="shared" si="5"/>
        <v>1</v>
      </c>
      <c r="AM136" s="28">
        <v>1</v>
      </c>
    </row>
    <row r="137" spans="1:39" x14ac:dyDescent="0.25">
      <c r="A137" t="s">
        <v>5287</v>
      </c>
      <c r="B137" t="s">
        <v>13718</v>
      </c>
      <c r="C137" t="s">
        <v>98</v>
      </c>
      <c r="D137" s="25" t="s">
        <v>13110</v>
      </c>
      <c r="E137" t="s">
        <v>233</v>
      </c>
      <c r="F137" s="28">
        <v>1</v>
      </c>
      <c r="G137" t="s">
        <v>193</v>
      </c>
      <c r="H137" t="s">
        <v>194</v>
      </c>
      <c r="I137" t="s">
        <v>13303</v>
      </c>
      <c r="J137" t="s">
        <v>367</v>
      </c>
      <c r="K137" t="s">
        <v>13719</v>
      </c>
      <c r="L137" t="s">
        <v>6921</v>
      </c>
      <c r="M137" t="s">
        <v>13127</v>
      </c>
      <c r="N137" t="s">
        <v>13128</v>
      </c>
      <c r="O137" t="s">
        <v>13462</v>
      </c>
      <c r="P137" t="s">
        <v>13720</v>
      </c>
      <c r="Q137" t="s">
        <v>13721</v>
      </c>
      <c r="S137" t="s">
        <v>9309</v>
      </c>
      <c r="T137" t="s">
        <v>9974</v>
      </c>
      <c r="U137" t="s">
        <v>1973</v>
      </c>
      <c r="V137" t="s">
        <v>194</v>
      </c>
      <c r="W137" t="s">
        <v>9300</v>
      </c>
      <c r="Z137" t="s">
        <v>9311</v>
      </c>
      <c r="AF137" t="s">
        <v>4714</v>
      </c>
      <c r="AG137" t="s">
        <v>13718</v>
      </c>
      <c r="AI137" t="s">
        <v>6955</v>
      </c>
      <c r="AJ137" s="27" t="str">
        <f t="shared" si="4"/>
        <v>214502</v>
      </c>
      <c r="AK137" s="27">
        <v>1</v>
      </c>
      <c r="AL137" s="27">
        <f t="shared" si="5"/>
        <v>1</v>
      </c>
      <c r="AM137" s="28">
        <v>1</v>
      </c>
    </row>
    <row r="138" spans="1:39" x14ac:dyDescent="0.25">
      <c r="A138" t="s">
        <v>5287</v>
      </c>
      <c r="B138" t="s">
        <v>13722</v>
      </c>
      <c r="C138" t="s">
        <v>866</v>
      </c>
      <c r="D138" s="25" t="s">
        <v>13110</v>
      </c>
      <c r="E138" t="s">
        <v>233</v>
      </c>
      <c r="F138" s="28">
        <v>1</v>
      </c>
      <c r="G138" t="s">
        <v>193</v>
      </c>
      <c r="H138" t="s">
        <v>194</v>
      </c>
      <c r="I138" t="s">
        <v>13160</v>
      </c>
      <c r="J138" t="s">
        <v>367</v>
      </c>
      <c r="K138" t="s">
        <v>13723</v>
      </c>
      <c r="L138" t="s">
        <v>6275</v>
      </c>
      <c r="M138" t="s">
        <v>13162</v>
      </c>
      <c r="N138" t="s">
        <v>13163</v>
      </c>
      <c r="O138" t="s">
        <v>13164</v>
      </c>
      <c r="P138" t="s">
        <v>13724</v>
      </c>
      <c r="Q138" t="s">
        <v>13725</v>
      </c>
      <c r="S138" t="s">
        <v>9309</v>
      </c>
      <c r="T138" t="s">
        <v>9974</v>
      </c>
      <c r="U138" t="s">
        <v>867</v>
      </c>
      <c r="V138" t="s">
        <v>194</v>
      </c>
      <c r="W138" t="s">
        <v>9300</v>
      </c>
      <c r="Z138" t="s">
        <v>9311</v>
      </c>
      <c r="AF138" t="s">
        <v>4714</v>
      </c>
      <c r="AG138" t="s">
        <v>866</v>
      </c>
      <c r="AI138" t="s">
        <v>6955</v>
      </c>
      <c r="AJ138" s="27" t="str">
        <f t="shared" si="4"/>
        <v>821902</v>
      </c>
      <c r="AK138" s="27">
        <v>1</v>
      </c>
      <c r="AL138" s="27">
        <f t="shared" si="5"/>
        <v>1</v>
      </c>
      <c r="AM138" s="28">
        <v>1</v>
      </c>
    </row>
    <row r="139" spans="1:39" x14ac:dyDescent="0.25">
      <c r="A139" t="s">
        <v>5287</v>
      </c>
      <c r="B139" t="s">
        <v>13726</v>
      </c>
      <c r="C139" t="s">
        <v>1264</v>
      </c>
      <c r="D139" s="25" t="s">
        <v>13110</v>
      </c>
      <c r="E139" t="s">
        <v>233</v>
      </c>
      <c r="F139" s="28">
        <v>1</v>
      </c>
      <c r="G139" t="s">
        <v>193</v>
      </c>
      <c r="H139" t="s">
        <v>194</v>
      </c>
      <c r="I139" t="s">
        <v>13164</v>
      </c>
      <c r="J139" t="s">
        <v>367</v>
      </c>
      <c r="K139" t="s">
        <v>13727</v>
      </c>
      <c r="L139" t="s">
        <v>6245</v>
      </c>
      <c r="M139" t="s">
        <v>13127</v>
      </c>
      <c r="N139" t="s">
        <v>13128</v>
      </c>
      <c r="O139" t="s">
        <v>13462</v>
      </c>
      <c r="P139" t="s">
        <v>13728</v>
      </c>
      <c r="Q139" t="s">
        <v>13729</v>
      </c>
      <c r="S139" t="s">
        <v>9309</v>
      </c>
      <c r="T139" t="s">
        <v>9974</v>
      </c>
      <c r="U139" t="s">
        <v>1265</v>
      </c>
      <c r="V139" t="s">
        <v>194</v>
      </c>
      <c r="W139" t="s">
        <v>9300</v>
      </c>
      <c r="Z139" t="s">
        <v>9311</v>
      </c>
      <c r="AF139" t="s">
        <v>4714</v>
      </c>
      <c r="AG139" t="s">
        <v>13726</v>
      </c>
      <c r="AI139" t="s">
        <v>6955</v>
      </c>
      <c r="AJ139" s="27" t="str">
        <f t="shared" si="4"/>
        <v>311917</v>
      </c>
      <c r="AK139" s="27">
        <v>1</v>
      </c>
      <c r="AL139" s="27">
        <f t="shared" si="5"/>
        <v>1</v>
      </c>
      <c r="AM139" s="28">
        <v>1</v>
      </c>
    </row>
    <row r="140" spans="1:39" x14ac:dyDescent="0.25">
      <c r="A140" t="s">
        <v>5287</v>
      </c>
      <c r="B140" t="s">
        <v>13730</v>
      </c>
      <c r="C140" t="s">
        <v>10</v>
      </c>
      <c r="D140" s="25" t="s">
        <v>13110</v>
      </c>
      <c r="E140" t="s">
        <v>233</v>
      </c>
      <c r="F140" s="28">
        <v>1</v>
      </c>
      <c r="G140" t="s">
        <v>193</v>
      </c>
      <c r="H140" t="s">
        <v>194</v>
      </c>
      <c r="I140" t="s">
        <v>13111</v>
      </c>
      <c r="J140" t="s">
        <v>385</v>
      </c>
      <c r="K140" t="s">
        <v>13731</v>
      </c>
      <c r="L140" t="s">
        <v>6921</v>
      </c>
      <c r="M140" t="s">
        <v>13127</v>
      </c>
      <c r="N140" t="s">
        <v>13128</v>
      </c>
      <c r="O140" t="s">
        <v>13462</v>
      </c>
      <c r="P140" t="s">
        <v>13732</v>
      </c>
      <c r="Q140" t="s">
        <v>13733</v>
      </c>
      <c r="S140" t="s">
        <v>9309</v>
      </c>
      <c r="T140" t="s">
        <v>9410</v>
      </c>
      <c r="U140" t="s">
        <v>484</v>
      </c>
      <c r="V140" t="s">
        <v>194</v>
      </c>
      <c r="W140" t="s">
        <v>9300</v>
      </c>
      <c r="Z140" t="s">
        <v>9311</v>
      </c>
      <c r="AF140" t="s">
        <v>4714</v>
      </c>
      <c r="AG140" t="s">
        <v>13730</v>
      </c>
      <c r="AI140" t="s">
        <v>6955</v>
      </c>
      <c r="AJ140" s="27" t="str">
        <f t="shared" si="4"/>
        <v>251401</v>
      </c>
      <c r="AK140" s="27">
        <v>1</v>
      </c>
      <c r="AL140" s="27">
        <f t="shared" si="5"/>
        <v>1</v>
      </c>
      <c r="AM140" s="28">
        <v>1</v>
      </c>
    </row>
    <row r="141" spans="1:39" x14ac:dyDescent="0.25">
      <c r="A141" t="s">
        <v>5287</v>
      </c>
      <c r="B141" t="s">
        <v>13734</v>
      </c>
      <c r="C141" t="s">
        <v>113</v>
      </c>
      <c r="D141" s="25" t="s">
        <v>13110</v>
      </c>
      <c r="E141" t="s">
        <v>233</v>
      </c>
      <c r="F141" s="28">
        <v>1</v>
      </c>
      <c r="G141" t="s">
        <v>193</v>
      </c>
      <c r="H141" t="s">
        <v>194</v>
      </c>
      <c r="I141" t="s">
        <v>13303</v>
      </c>
      <c r="J141" t="s">
        <v>367</v>
      </c>
      <c r="K141" t="s">
        <v>13735</v>
      </c>
      <c r="L141" t="s">
        <v>6249</v>
      </c>
      <c r="M141" t="s">
        <v>13127</v>
      </c>
      <c r="N141" t="s">
        <v>13128</v>
      </c>
      <c r="O141" t="s">
        <v>13462</v>
      </c>
      <c r="P141" t="s">
        <v>13736</v>
      </c>
      <c r="Q141" t="s">
        <v>13737</v>
      </c>
      <c r="S141" t="s">
        <v>9309</v>
      </c>
      <c r="T141" t="s">
        <v>9974</v>
      </c>
      <c r="U141" t="s">
        <v>465</v>
      </c>
      <c r="V141" t="s">
        <v>194</v>
      </c>
      <c r="W141" t="s">
        <v>9300</v>
      </c>
      <c r="Z141" t="s">
        <v>9311</v>
      </c>
      <c r="AF141" t="s">
        <v>4714</v>
      </c>
      <c r="AG141" t="s">
        <v>13734</v>
      </c>
      <c r="AI141" t="s">
        <v>6955</v>
      </c>
      <c r="AJ141" s="27" t="str">
        <f t="shared" si="4"/>
        <v>243302</v>
      </c>
      <c r="AK141" s="27">
        <v>1</v>
      </c>
      <c r="AL141" s="27">
        <f t="shared" si="5"/>
        <v>1</v>
      </c>
      <c r="AM141" s="28">
        <v>1</v>
      </c>
    </row>
    <row r="142" spans="1:39" x14ac:dyDescent="0.25">
      <c r="A142" t="s">
        <v>5287</v>
      </c>
      <c r="B142" t="s">
        <v>13738</v>
      </c>
      <c r="C142" t="s">
        <v>100</v>
      </c>
      <c r="D142" s="25" t="s">
        <v>13110</v>
      </c>
      <c r="E142" t="s">
        <v>233</v>
      </c>
      <c r="F142" s="28">
        <v>1</v>
      </c>
      <c r="G142" t="s">
        <v>193</v>
      </c>
      <c r="H142" t="s">
        <v>194</v>
      </c>
      <c r="I142" t="s">
        <v>13152</v>
      </c>
      <c r="J142" t="s">
        <v>367</v>
      </c>
      <c r="K142" t="s">
        <v>13739</v>
      </c>
      <c r="L142" t="s">
        <v>6266</v>
      </c>
      <c r="M142" t="s">
        <v>13127</v>
      </c>
      <c r="N142" t="s">
        <v>13128</v>
      </c>
      <c r="O142" t="s">
        <v>13462</v>
      </c>
      <c r="P142" t="s">
        <v>13740</v>
      </c>
      <c r="Q142" t="s">
        <v>13741</v>
      </c>
      <c r="S142" t="s">
        <v>9309</v>
      </c>
      <c r="T142" t="s">
        <v>9974</v>
      </c>
      <c r="U142" t="s">
        <v>429</v>
      </c>
      <c r="V142" t="s">
        <v>194</v>
      </c>
      <c r="W142" t="s">
        <v>9300</v>
      </c>
      <c r="Z142" t="s">
        <v>9311</v>
      </c>
      <c r="AF142" t="s">
        <v>4714</v>
      </c>
      <c r="AG142" t="s">
        <v>13738</v>
      </c>
      <c r="AI142" t="s">
        <v>6955</v>
      </c>
      <c r="AJ142" s="27" t="str">
        <f t="shared" si="4"/>
        <v>242108</v>
      </c>
      <c r="AK142" s="27">
        <v>1</v>
      </c>
      <c r="AL142" s="27">
        <f t="shared" si="5"/>
        <v>1</v>
      </c>
      <c r="AM142" s="28">
        <v>1</v>
      </c>
    </row>
    <row r="143" spans="1:39" x14ac:dyDescent="0.25">
      <c r="A143" t="s">
        <v>5287</v>
      </c>
      <c r="B143" t="s">
        <v>13742</v>
      </c>
      <c r="C143" t="s">
        <v>100</v>
      </c>
      <c r="D143" s="25" t="s">
        <v>13110</v>
      </c>
      <c r="E143" t="s">
        <v>233</v>
      </c>
      <c r="F143" s="28">
        <v>1</v>
      </c>
      <c r="G143" t="s">
        <v>193</v>
      </c>
      <c r="H143" t="s">
        <v>194</v>
      </c>
      <c r="I143" t="s">
        <v>13152</v>
      </c>
      <c r="J143" t="s">
        <v>367</v>
      </c>
      <c r="K143" t="s">
        <v>13743</v>
      </c>
      <c r="L143" t="s">
        <v>6266</v>
      </c>
      <c r="M143" t="s">
        <v>13127</v>
      </c>
      <c r="N143" t="s">
        <v>13128</v>
      </c>
      <c r="O143" t="s">
        <v>13462</v>
      </c>
      <c r="P143" t="s">
        <v>13744</v>
      </c>
      <c r="Q143" t="s">
        <v>13745</v>
      </c>
      <c r="S143" t="s">
        <v>9309</v>
      </c>
      <c r="T143" t="s">
        <v>9974</v>
      </c>
      <c r="U143" t="s">
        <v>429</v>
      </c>
      <c r="V143" t="s">
        <v>194</v>
      </c>
      <c r="W143" t="s">
        <v>9300</v>
      </c>
      <c r="Z143" t="s">
        <v>9311</v>
      </c>
      <c r="AF143" t="s">
        <v>4714</v>
      </c>
      <c r="AG143" t="s">
        <v>13742</v>
      </c>
      <c r="AI143" t="s">
        <v>6955</v>
      </c>
      <c r="AJ143" s="27" t="str">
        <f t="shared" si="4"/>
        <v>242108</v>
      </c>
      <c r="AK143" s="27">
        <v>1</v>
      </c>
      <c r="AL143" s="27">
        <f t="shared" si="5"/>
        <v>1</v>
      </c>
      <c r="AM143" s="28">
        <v>1</v>
      </c>
    </row>
    <row r="144" spans="1:39" x14ac:dyDescent="0.25">
      <c r="A144" t="s">
        <v>5287</v>
      </c>
      <c r="B144" t="s">
        <v>13746</v>
      </c>
      <c r="C144" t="s">
        <v>100</v>
      </c>
      <c r="D144" s="25" t="s">
        <v>13110</v>
      </c>
      <c r="E144" t="s">
        <v>233</v>
      </c>
      <c r="F144" s="28">
        <v>1</v>
      </c>
      <c r="G144" t="s">
        <v>193</v>
      </c>
      <c r="H144" t="s">
        <v>194</v>
      </c>
      <c r="I144" t="s">
        <v>13152</v>
      </c>
      <c r="J144" t="s">
        <v>367</v>
      </c>
      <c r="K144" t="s">
        <v>13747</v>
      </c>
      <c r="L144" t="s">
        <v>6266</v>
      </c>
      <c r="M144" t="s">
        <v>13127</v>
      </c>
      <c r="N144" t="s">
        <v>13128</v>
      </c>
      <c r="O144" t="s">
        <v>13462</v>
      </c>
      <c r="P144" t="s">
        <v>13748</v>
      </c>
      <c r="Q144" t="s">
        <v>13749</v>
      </c>
      <c r="S144" t="s">
        <v>9309</v>
      </c>
      <c r="T144" t="s">
        <v>9974</v>
      </c>
      <c r="U144" t="s">
        <v>429</v>
      </c>
      <c r="V144" t="s">
        <v>194</v>
      </c>
      <c r="W144" t="s">
        <v>9300</v>
      </c>
      <c r="Z144" t="s">
        <v>9311</v>
      </c>
      <c r="AF144" t="s">
        <v>4714</v>
      </c>
      <c r="AG144" t="s">
        <v>13746</v>
      </c>
      <c r="AI144" t="s">
        <v>6955</v>
      </c>
      <c r="AJ144" s="27" t="str">
        <f t="shared" si="4"/>
        <v>242108</v>
      </c>
      <c r="AK144" s="27">
        <v>1</v>
      </c>
      <c r="AL144" s="27">
        <f t="shared" si="5"/>
        <v>1</v>
      </c>
      <c r="AM144" s="28">
        <v>1</v>
      </c>
    </row>
    <row r="145" spans="1:39" x14ac:dyDescent="0.25">
      <c r="A145" t="s">
        <v>5287</v>
      </c>
      <c r="B145" t="s">
        <v>13750</v>
      </c>
      <c r="C145" t="s">
        <v>480</v>
      </c>
      <c r="D145" s="25" t="s">
        <v>13110</v>
      </c>
      <c r="E145" t="s">
        <v>233</v>
      </c>
      <c r="F145" s="28">
        <v>1</v>
      </c>
      <c r="G145" t="s">
        <v>193</v>
      </c>
      <c r="H145" t="s">
        <v>194</v>
      </c>
      <c r="I145" t="s">
        <v>13152</v>
      </c>
      <c r="J145" t="s">
        <v>385</v>
      </c>
      <c r="K145" t="s">
        <v>13751</v>
      </c>
      <c r="L145" t="s">
        <v>6327</v>
      </c>
      <c r="M145" t="s">
        <v>13127</v>
      </c>
      <c r="N145" t="s">
        <v>13128</v>
      </c>
      <c r="O145" t="s">
        <v>13462</v>
      </c>
      <c r="P145" t="s">
        <v>13752</v>
      </c>
      <c r="Q145" t="s">
        <v>13753</v>
      </c>
      <c r="S145" t="s">
        <v>9309</v>
      </c>
      <c r="T145" t="s">
        <v>9410</v>
      </c>
      <c r="U145" t="s">
        <v>481</v>
      </c>
      <c r="V145" t="s">
        <v>194</v>
      </c>
      <c r="W145" t="s">
        <v>9300</v>
      </c>
      <c r="Z145" t="s">
        <v>9311</v>
      </c>
      <c r="AF145" t="s">
        <v>4714</v>
      </c>
      <c r="AG145" t="s">
        <v>13750</v>
      </c>
      <c r="AI145" t="s">
        <v>6955</v>
      </c>
      <c r="AJ145" s="27" t="str">
        <f t="shared" si="4"/>
        <v>251201</v>
      </c>
      <c r="AK145" s="27">
        <v>1</v>
      </c>
      <c r="AL145" s="27">
        <f t="shared" si="5"/>
        <v>1</v>
      </c>
      <c r="AM145" s="28">
        <v>1</v>
      </c>
    </row>
    <row r="146" spans="1:39" x14ac:dyDescent="0.25">
      <c r="A146" t="s">
        <v>13754</v>
      </c>
      <c r="B146" t="s">
        <v>13755</v>
      </c>
      <c r="C146" t="s">
        <v>54</v>
      </c>
      <c r="D146" s="25" t="s">
        <v>13110</v>
      </c>
      <c r="E146" t="s">
        <v>233</v>
      </c>
      <c r="F146" s="28">
        <v>1</v>
      </c>
      <c r="G146" t="s">
        <v>193</v>
      </c>
      <c r="H146" t="s">
        <v>194</v>
      </c>
      <c r="I146" t="s">
        <v>13125</v>
      </c>
      <c r="J146" t="s">
        <v>367</v>
      </c>
      <c r="K146" t="s">
        <v>13756</v>
      </c>
      <c r="L146" t="s">
        <v>6327</v>
      </c>
      <c r="M146" t="s">
        <v>13127</v>
      </c>
      <c r="N146" t="s">
        <v>13128</v>
      </c>
      <c r="O146" t="s">
        <v>13462</v>
      </c>
      <c r="P146" t="s">
        <v>13757</v>
      </c>
      <c r="Q146" t="s">
        <v>13758</v>
      </c>
      <c r="S146" t="s">
        <v>9309</v>
      </c>
      <c r="T146" t="s">
        <v>9974</v>
      </c>
      <c r="U146" t="s">
        <v>1982</v>
      </c>
      <c r="V146" t="s">
        <v>194</v>
      </c>
      <c r="W146" t="s">
        <v>9300</v>
      </c>
      <c r="Z146" t="s">
        <v>9311</v>
      </c>
      <c r="AF146" t="s">
        <v>4714</v>
      </c>
      <c r="AG146" t="s">
        <v>13755</v>
      </c>
      <c r="AI146" t="s">
        <v>6955</v>
      </c>
      <c r="AJ146" s="27" t="str">
        <f t="shared" si="4"/>
        <v>214103</v>
      </c>
      <c r="AK146" s="27">
        <v>1</v>
      </c>
      <c r="AL146" s="27">
        <f t="shared" si="5"/>
        <v>1</v>
      </c>
      <c r="AM146" s="28">
        <v>1</v>
      </c>
    </row>
    <row r="147" spans="1:39" x14ac:dyDescent="0.25">
      <c r="A147" t="s">
        <v>13759</v>
      </c>
      <c r="B147" t="s">
        <v>13760</v>
      </c>
      <c r="C147" t="s">
        <v>3367</v>
      </c>
      <c r="D147" s="25" t="s">
        <v>13110</v>
      </c>
      <c r="E147" t="s">
        <v>192</v>
      </c>
      <c r="F147" s="28">
        <v>1</v>
      </c>
      <c r="G147" t="s">
        <v>193</v>
      </c>
      <c r="H147" t="s">
        <v>194</v>
      </c>
      <c r="I147" t="s">
        <v>13303</v>
      </c>
      <c r="J147" t="s">
        <v>9302</v>
      </c>
      <c r="K147" t="s">
        <v>13761</v>
      </c>
      <c r="L147" t="s">
        <v>6251</v>
      </c>
      <c r="M147" t="s">
        <v>13113</v>
      </c>
      <c r="N147" t="s">
        <v>13114</v>
      </c>
      <c r="O147" t="s">
        <v>13115</v>
      </c>
      <c r="P147" t="s">
        <v>13762</v>
      </c>
      <c r="Q147" t="s">
        <v>13763</v>
      </c>
      <c r="S147" t="s">
        <v>9309</v>
      </c>
      <c r="U147" t="s">
        <v>3368</v>
      </c>
      <c r="V147" t="s">
        <v>193</v>
      </c>
      <c r="W147" t="s">
        <v>9310</v>
      </c>
      <c r="Z147" t="s">
        <v>9311</v>
      </c>
      <c r="AF147" t="s">
        <v>4714</v>
      </c>
      <c r="AG147" t="s">
        <v>13760</v>
      </c>
      <c r="AI147" t="s">
        <v>6955</v>
      </c>
      <c r="AJ147" s="27" t="str">
        <f t="shared" si="4"/>
        <v>133001</v>
      </c>
      <c r="AK147" s="27">
        <v>1</v>
      </c>
      <c r="AL147" s="27">
        <f t="shared" si="5"/>
        <v>1</v>
      </c>
      <c r="AM147" s="28">
        <v>1</v>
      </c>
    </row>
    <row r="148" spans="1:39" x14ac:dyDescent="0.25">
      <c r="A148" t="s">
        <v>13764</v>
      </c>
      <c r="B148" t="s">
        <v>2516</v>
      </c>
      <c r="C148" t="s">
        <v>85</v>
      </c>
      <c r="D148" s="25" t="s">
        <v>13110</v>
      </c>
      <c r="E148" t="s">
        <v>192</v>
      </c>
      <c r="F148" s="28">
        <v>1</v>
      </c>
      <c r="G148" t="s">
        <v>193</v>
      </c>
      <c r="H148" t="s">
        <v>194</v>
      </c>
      <c r="I148" t="s">
        <v>13152</v>
      </c>
      <c r="J148" t="s">
        <v>210</v>
      </c>
      <c r="K148" t="s">
        <v>13765</v>
      </c>
      <c r="L148" t="s">
        <v>6254</v>
      </c>
      <c r="M148" t="s">
        <v>13113</v>
      </c>
      <c r="N148" t="s">
        <v>13114</v>
      </c>
      <c r="O148" t="s">
        <v>13115</v>
      </c>
      <c r="P148" t="s">
        <v>13766</v>
      </c>
      <c r="Q148" t="s">
        <v>13767</v>
      </c>
      <c r="S148" t="s">
        <v>9309</v>
      </c>
      <c r="T148" t="s">
        <v>9334</v>
      </c>
      <c r="U148" t="s">
        <v>477</v>
      </c>
      <c r="V148" t="s">
        <v>194</v>
      </c>
      <c r="W148" t="s">
        <v>9300</v>
      </c>
      <c r="Z148" t="s">
        <v>9311</v>
      </c>
      <c r="AF148" t="s">
        <v>4714</v>
      </c>
      <c r="AG148" t="s">
        <v>2516</v>
      </c>
      <c r="AI148" t="s">
        <v>6955</v>
      </c>
      <c r="AJ148" s="27" t="str">
        <f t="shared" si="4"/>
        <v>243305</v>
      </c>
      <c r="AK148" s="27">
        <v>1</v>
      </c>
      <c r="AL148" s="27">
        <f t="shared" si="5"/>
        <v>1</v>
      </c>
      <c r="AM148" s="28">
        <v>1</v>
      </c>
    </row>
    <row r="149" spans="1:39" x14ac:dyDescent="0.25">
      <c r="A149" t="s">
        <v>324</v>
      </c>
      <c r="B149" t="s">
        <v>2498</v>
      </c>
      <c r="C149" t="s">
        <v>43</v>
      </c>
      <c r="D149" s="25" t="s">
        <v>13110</v>
      </c>
      <c r="E149" t="s">
        <v>192</v>
      </c>
      <c r="F149" s="28">
        <v>1</v>
      </c>
      <c r="G149" t="s">
        <v>193</v>
      </c>
      <c r="H149" t="s">
        <v>194</v>
      </c>
      <c r="I149" t="s">
        <v>13303</v>
      </c>
      <c r="J149" t="s">
        <v>285</v>
      </c>
      <c r="K149" t="s">
        <v>13768</v>
      </c>
      <c r="L149" t="s">
        <v>6245</v>
      </c>
      <c r="M149" t="s">
        <v>13113</v>
      </c>
      <c r="N149" t="s">
        <v>13114</v>
      </c>
      <c r="O149" t="s">
        <v>13115</v>
      </c>
      <c r="P149" t="s">
        <v>13769</v>
      </c>
      <c r="Q149" t="s">
        <v>13770</v>
      </c>
      <c r="S149" t="s">
        <v>9309</v>
      </c>
      <c r="T149" t="s">
        <v>9518</v>
      </c>
      <c r="U149" t="s">
        <v>452</v>
      </c>
      <c r="V149" t="s">
        <v>194</v>
      </c>
      <c r="W149" t="s">
        <v>9300</v>
      </c>
      <c r="Z149" t="s">
        <v>9311</v>
      </c>
      <c r="AF149" t="s">
        <v>4714</v>
      </c>
      <c r="AG149" t="s">
        <v>2498</v>
      </c>
      <c r="AI149" t="s">
        <v>6955</v>
      </c>
      <c r="AJ149" s="27" t="str">
        <f t="shared" si="4"/>
        <v>243106</v>
      </c>
      <c r="AK149" s="27">
        <v>1</v>
      </c>
      <c r="AL149" s="27">
        <f t="shared" si="5"/>
        <v>1</v>
      </c>
      <c r="AM149" s="28">
        <v>1</v>
      </c>
    </row>
    <row r="150" spans="1:39" x14ac:dyDescent="0.25">
      <c r="A150" t="s">
        <v>324</v>
      </c>
      <c r="B150" t="s">
        <v>2498</v>
      </c>
      <c r="C150" t="s">
        <v>43</v>
      </c>
      <c r="D150" s="25" t="s">
        <v>13110</v>
      </c>
      <c r="E150" t="s">
        <v>192</v>
      </c>
      <c r="F150" s="28">
        <v>1</v>
      </c>
      <c r="G150" t="s">
        <v>193</v>
      </c>
      <c r="H150" t="s">
        <v>194</v>
      </c>
      <c r="I150" t="s">
        <v>13303</v>
      </c>
      <c r="J150" t="s">
        <v>6145</v>
      </c>
      <c r="K150" t="s">
        <v>13771</v>
      </c>
      <c r="L150" t="s">
        <v>6245</v>
      </c>
      <c r="M150" t="s">
        <v>13113</v>
      </c>
      <c r="N150" t="s">
        <v>13114</v>
      </c>
      <c r="O150" t="s">
        <v>13115</v>
      </c>
      <c r="P150" t="s">
        <v>13772</v>
      </c>
      <c r="Q150" t="s">
        <v>13773</v>
      </c>
      <c r="S150" t="s">
        <v>9309</v>
      </c>
      <c r="T150" t="s">
        <v>9514</v>
      </c>
      <c r="U150" t="s">
        <v>452</v>
      </c>
      <c r="V150" t="s">
        <v>194</v>
      </c>
      <c r="W150" t="s">
        <v>9300</v>
      </c>
      <c r="Z150" t="s">
        <v>9311</v>
      </c>
      <c r="AF150" t="s">
        <v>4714</v>
      </c>
      <c r="AG150" t="s">
        <v>2498</v>
      </c>
      <c r="AI150" t="s">
        <v>6955</v>
      </c>
      <c r="AJ150" s="27" t="str">
        <f t="shared" si="4"/>
        <v>243106</v>
      </c>
      <c r="AK150" s="27">
        <v>1</v>
      </c>
      <c r="AL150" s="27">
        <f t="shared" si="5"/>
        <v>1</v>
      </c>
      <c r="AM150" s="28">
        <v>1</v>
      </c>
    </row>
    <row r="151" spans="1:39" x14ac:dyDescent="0.25">
      <c r="A151" t="s">
        <v>12807</v>
      </c>
      <c r="B151" t="s">
        <v>13774</v>
      </c>
      <c r="C151" t="s">
        <v>2861</v>
      </c>
      <c r="D151" s="25" t="s">
        <v>13110</v>
      </c>
      <c r="E151" t="s">
        <v>192</v>
      </c>
      <c r="F151" s="28">
        <v>1</v>
      </c>
      <c r="G151" t="s">
        <v>193</v>
      </c>
      <c r="H151" t="s">
        <v>194</v>
      </c>
      <c r="I151" t="s">
        <v>13303</v>
      </c>
      <c r="J151" t="s">
        <v>210</v>
      </c>
      <c r="K151" t="s">
        <v>13775</v>
      </c>
      <c r="L151" t="s">
        <v>6261</v>
      </c>
      <c r="M151" t="s">
        <v>13113</v>
      </c>
      <c r="N151" t="s">
        <v>13114</v>
      </c>
      <c r="O151" t="s">
        <v>13115</v>
      </c>
      <c r="P151" t="s">
        <v>13776</v>
      </c>
      <c r="Q151" t="s">
        <v>13777</v>
      </c>
      <c r="S151" t="s">
        <v>9309</v>
      </c>
      <c r="T151" t="s">
        <v>9334</v>
      </c>
      <c r="U151" t="s">
        <v>3629</v>
      </c>
      <c r="V151" t="s">
        <v>194</v>
      </c>
      <c r="W151" t="s">
        <v>9300</v>
      </c>
      <c r="Z151" t="s">
        <v>9311</v>
      </c>
      <c r="AF151" t="s">
        <v>4714</v>
      </c>
      <c r="AG151" t="s">
        <v>13774</v>
      </c>
      <c r="AI151" t="s">
        <v>6955</v>
      </c>
      <c r="AJ151" s="27" t="str">
        <f t="shared" si="4"/>
        <v>251903</v>
      </c>
      <c r="AK151" s="27">
        <v>1</v>
      </c>
      <c r="AL151" s="27">
        <f t="shared" si="5"/>
        <v>1</v>
      </c>
      <c r="AM151" s="28">
        <v>1</v>
      </c>
    </row>
    <row r="152" spans="1:39" x14ac:dyDescent="0.25">
      <c r="A152" t="s">
        <v>13778</v>
      </c>
      <c r="B152" t="s">
        <v>13779</v>
      </c>
      <c r="C152" t="s">
        <v>5607</v>
      </c>
      <c r="D152" s="25" t="s">
        <v>13110</v>
      </c>
      <c r="E152" t="s">
        <v>233</v>
      </c>
      <c r="F152" s="28">
        <v>1</v>
      </c>
      <c r="G152" t="s">
        <v>193</v>
      </c>
      <c r="H152" t="s">
        <v>194</v>
      </c>
      <c r="I152" t="s">
        <v>13152</v>
      </c>
      <c r="J152" t="s">
        <v>210</v>
      </c>
      <c r="K152" t="s">
        <v>13780</v>
      </c>
      <c r="L152" t="s">
        <v>6258</v>
      </c>
      <c r="M152" t="s">
        <v>13127</v>
      </c>
      <c r="N152" t="s">
        <v>13128</v>
      </c>
      <c r="O152" t="s">
        <v>13129</v>
      </c>
      <c r="P152" t="s">
        <v>13781</v>
      </c>
      <c r="Q152" t="s">
        <v>13782</v>
      </c>
      <c r="S152" t="s">
        <v>9309</v>
      </c>
      <c r="T152" t="s">
        <v>9334</v>
      </c>
      <c r="U152" t="s">
        <v>302</v>
      </c>
      <c r="V152" t="s">
        <v>194</v>
      </c>
      <c r="W152" t="s">
        <v>9300</v>
      </c>
      <c r="Z152" t="s">
        <v>9311</v>
      </c>
      <c r="AF152" t="s">
        <v>4714</v>
      </c>
      <c r="AG152" t="s">
        <v>13779</v>
      </c>
      <c r="AI152" t="s">
        <v>6955</v>
      </c>
      <c r="AJ152" s="27" t="str">
        <f t="shared" si="4"/>
        <v>214402</v>
      </c>
      <c r="AK152" s="27">
        <v>1</v>
      </c>
      <c r="AL152" s="27">
        <f t="shared" si="5"/>
        <v>1</v>
      </c>
      <c r="AM152" s="28">
        <v>1</v>
      </c>
    </row>
    <row r="153" spans="1:39" x14ac:dyDescent="0.25">
      <c r="A153" t="s">
        <v>4959</v>
      </c>
      <c r="B153" t="s">
        <v>1520</v>
      </c>
      <c r="C153" t="s">
        <v>13783</v>
      </c>
      <c r="D153" s="25" t="s">
        <v>13110</v>
      </c>
      <c r="E153" t="s">
        <v>233</v>
      </c>
      <c r="F153" s="28">
        <v>1</v>
      </c>
      <c r="G153" t="s">
        <v>193</v>
      </c>
      <c r="H153" t="s">
        <v>194</v>
      </c>
      <c r="I153" t="s">
        <v>13303</v>
      </c>
      <c r="J153" t="s">
        <v>210</v>
      </c>
      <c r="K153" t="s">
        <v>13784</v>
      </c>
      <c r="L153" t="s">
        <v>6306</v>
      </c>
      <c r="M153" t="s">
        <v>13127</v>
      </c>
      <c r="N153" t="s">
        <v>13128</v>
      </c>
      <c r="O153" t="s">
        <v>10529</v>
      </c>
      <c r="P153" t="s">
        <v>13785</v>
      </c>
      <c r="Q153" t="s">
        <v>13786</v>
      </c>
      <c r="S153" t="s">
        <v>9309</v>
      </c>
      <c r="T153" t="s">
        <v>9334</v>
      </c>
      <c r="U153" t="s">
        <v>13787</v>
      </c>
      <c r="V153" t="s">
        <v>194</v>
      </c>
      <c r="W153" t="s">
        <v>9300</v>
      </c>
      <c r="Z153" t="s">
        <v>9311</v>
      </c>
      <c r="AF153" t="s">
        <v>4714</v>
      </c>
      <c r="AG153" t="s">
        <v>1520</v>
      </c>
      <c r="AI153" t="s">
        <v>6955</v>
      </c>
      <c r="AJ153" s="27" t="str">
        <f t="shared" si="4"/>
        <v>341205</v>
      </c>
      <c r="AK153" s="27">
        <v>1</v>
      </c>
      <c r="AL153" s="27">
        <f t="shared" si="5"/>
        <v>1</v>
      </c>
      <c r="AM153" s="28">
        <v>1</v>
      </c>
    </row>
    <row r="154" spans="1:39" x14ac:dyDescent="0.25">
      <c r="A154" t="s">
        <v>13788</v>
      </c>
      <c r="B154" t="s">
        <v>13789</v>
      </c>
      <c r="C154" t="s">
        <v>13790</v>
      </c>
      <c r="D154" s="25" t="s">
        <v>13110</v>
      </c>
      <c r="E154" t="s">
        <v>192</v>
      </c>
      <c r="F154" s="28">
        <v>1</v>
      </c>
      <c r="G154" t="s">
        <v>193</v>
      </c>
      <c r="H154" t="s">
        <v>194</v>
      </c>
      <c r="I154" t="s">
        <v>13303</v>
      </c>
      <c r="J154" t="s">
        <v>2183</v>
      </c>
      <c r="K154" t="s">
        <v>13791</v>
      </c>
      <c r="L154" t="s">
        <v>6275</v>
      </c>
      <c r="M154" t="s">
        <v>13113</v>
      </c>
      <c r="N154" t="s">
        <v>13114</v>
      </c>
      <c r="O154" t="s">
        <v>13115</v>
      </c>
      <c r="P154" t="s">
        <v>13792</v>
      </c>
      <c r="Q154" t="s">
        <v>13793</v>
      </c>
      <c r="S154" t="s">
        <v>9309</v>
      </c>
      <c r="T154" t="s">
        <v>9892</v>
      </c>
      <c r="U154" t="s">
        <v>13794</v>
      </c>
      <c r="V154" t="s">
        <v>194</v>
      </c>
      <c r="W154" t="s">
        <v>9300</v>
      </c>
      <c r="Z154" t="s">
        <v>9311</v>
      </c>
      <c r="AF154" t="s">
        <v>4714</v>
      </c>
      <c r="AG154" t="s">
        <v>13789</v>
      </c>
      <c r="AI154" t="s">
        <v>6955</v>
      </c>
      <c r="AJ154" s="27" t="str">
        <f t="shared" si="4"/>
        <v>813126</v>
      </c>
      <c r="AK154" s="27">
        <v>1</v>
      </c>
      <c r="AL154" s="27">
        <f t="shared" si="5"/>
        <v>1</v>
      </c>
      <c r="AM154" s="28">
        <v>1</v>
      </c>
    </row>
    <row r="155" spans="1:39" x14ac:dyDescent="0.25">
      <c r="A155" t="s">
        <v>13788</v>
      </c>
      <c r="B155" t="s">
        <v>13795</v>
      </c>
      <c r="C155" t="s">
        <v>13790</v>
      </c>
      <c r="D155" s="25" t="s">
        <v>13110</v>
      </c>
      <c r="E155" t="s">
        <v>192</v>
      </c>
      <c r="F155" s="28">
        <v>1</v>
      </c>
      <c r="G155" t="s">
        <v>193</v>
      </c>
      <c r="H155" t="s">
        <v>194</v>
      </c>
      <c r="I155" t="s">
        <v>13164</v>
      </c>
      <c r="J155" t="s">
        <v>2183</v>
      </c>
      <c r="K155" t="s">
        <v>13796</v>
      </c>
      <c r="L155" t="s">
        <v>6275</v>
      </c>
      <c r="M155" t="s">
        <v>13113</v>
      </c>
      <c r="N155" t="s">
        <v>13114</v>
      </c>
      <c r="O155" t="s">
        <v>13115</v>
      </c>
      <c r="P155" t="s">
        <v>13797</v>
      </c>
      <c r="Q155" t="s">
        <v>13798</v>
      </c>
      <c r="S155" t="s">
        <v>9309</v>
      </c>
      <c r="T155" t="s">
        <v>9892</v>
      </c>
      <c r="U155" t="s">
        <v>13794</v>
      </c>
      <c r="V155" t="s">
        <v>194</v>
      </c>
      <c r="W155" t="s">
        <v>9300</v>
      </c>
      <c r="Z155" t="s">
        <v>9311</v>
      </c>
      <c r="AF155" t="s">
        <v>4714</v>
      </c>
      <c r="AG155" t="s">
        <v>13795</v>
      </c>
      <c r="AI155" t="s">
        <v>6955</v>
      </c>
      <c r="AJ155" s="27" t="str">
        <f t="shared" si="4"/>
        <v>813126</v>
      </c>
      <c r="AK155" s="27">
        <v>1</v>
      </c>
      <c r="AL155" s="27">
        <f t="shared" si="5"/>
        <v>1</v>
      </c>
      <c r="AM155" s="28">
        <v>1</v>
      </c>
    </row>
    <row r="156" spans="1:39" x14ac:dyDescent="0.25">
      <c r="A156" t="s">
        <v>13799</v>
      </c>
      <c r="B156" t="s">
        <v>2516</v>
      </c>
      <c r="C156" t="s">
        <v>85</v>
      </c>
      <c r="D156" s="25" t="s">
        <v>13110</v>
      </c>
      <c r="E156" t="s">
        <v>233</v>
      </c>
      <c r="F156" s="28">
        <v>1</v>
      </c>
      <c r="G156" t="s">
        <v>193</v>
      </c>
      <c r="H156" t="s">
        <v>194</v>
      </c>
      <c r="I156" t="s">
        <v>13152</v>
      </c>
      <c r="J156" t="s">
        <v>210</v>
      </c>
      <c r="K156" t="s">
        <v>13800</v>
      </c>
      <c r="L156" t="s">
        <v>6249</v>
      </c>
      <c r="M156" t="s">
        <v>13127</v>
      </c>
      <c r="N156" t="s">
        <v>13128</v>
      </c>
      <c r="O156" t="s">
        <v>13291</v>
      </c>
      <c r="P156" t="s">
        <v>13801</v>
      </c>
      <c r="Q156" t="s">
        <v>13802</v>
      </c>
      <c r="S156" t="s">
        <v>9309</v>
      </c>
      <c r="T156" t="s">
        <v>9334</v>
      </c>
      <c r="U156" t="s">
        <v>477</v>
      </c>
      <c r="V156" t="s">
        <v>194</v>
      </c>
      <c r="W156" t="s">
        <v>9300</v>
      </c>
      <c r="Z156" t="s">
        <v>9311</v>
      </c>
      <c r="AF156" t="s">
        <v>4714</v>
      </c>
      <c r="AG156" t="s">
        <v>2516</v>
      </c>
      <c r="AI156" t="s">
        <v>6955</v>
      </c>
      <c r="AJ156" s="27" t="str">
        <f t="shared" si="4"/>
        <v>243305</v>
      </c>
      <c r="AK156" s="27">
        <v>1</v>
      </c>
      <c r="AL156" s="27">
        <f t="shared" si="5"/>
        <v>1</v>
      </c>
      <c r="AM156" s="28">
        <v>1</v>
      </c>
    </row>
    <row r="157" spans="1:39" x14ac:dyDescent="0.25">
      <c r="A157" t="s">
        <v>11327</v>
      </c>
      <c r="B157" t="s">
        <v>13803</v>
      </c>
      <c r="C157" t="s">
        <v>27</v>
      </c>
      <c r="D157" s="25" t="s">
        <v>13110</v>
      </c>
      <c r="E157" t="s">
        <v>192</v>
      </c>
      <c r="F157" s="28">
        <v>1</v>
      </c>
      <c r="G157" t="s">
        <v>193</v>
      </c>
      <c r="H157" t="s">
        <v>194</v>
      </c>
      <c r="I157" t="s">
        <v>13303</v>
      </c>
      <c r="J157" t="s">
        <v>210</v>
      </c>
      <c r="K157" t="s">
        <v>13804</v>
      </c>
      <c r="L157" t="s">
        <v>6340</v>
      </c>
      <c r="M157" t="s">
        <v>13113</v>
      </c>
      <c r="N157" t="s">
        <v>13114</v>
      </c>
      <c r="O157" t="s">
        <v>13115</v>
      </c>
      <c r="P157" t="s">
        <v>13805</v>
      </c>
      <c r="Q157" t="s">
        <v>13806</v>
      </c>
      <c r="S157" t="s">
        <v>9309</v>
      </c>
      <c r="T157" t="s">
        <v>9334</v>
      </c>
      <c r="U157" t="s">
        <v>440</v>
      </c>
      <c r="V157" t="s">
        <v>194</v>
      </c>
      <c r="W157" t="s">
        <v>9300</v>
      </c>
      <c r="Z157" t="s">
        <v>9311</v>
      </c>
      <c r="AF157" t="s">
        <v>4714</v>
      </c>
      <c r="AG157" t="s">
        <v>13803</v>
      </c>
      <c r="AI157" t="s">
        <v>6955</v>
      </c>
      <c r="AJ157" s="27" t="str">
        <f t="shared" si="4"/>
        <v>242307</v>
      </c>
      <c r="AK157" s="27">
        <v>1</v>
      </c>
      <c r="AL157" s="27">
        <f t="shared" si="5"/>
        <v>1</v>
      </c>
      <c r="AM157" s="28">
        <v>1</v>
      </c>
    </row>
    <row r="158" spans="1:39" x14ac:dyDescent="0.25">
      <c r="A158" t="s">
        <v>369</v>
      </c>
      <c r="B158" t="s">
        <v>13807</v>
      </c>
      <c r="C158" t="s">
        <v>525</v>
      </c>
      <c r="D158" s="25" t="s">
        <v>13110</v>
      </c>
      <c r="E158" t="s">
        <v>192</v>
      </c>
      <c r="F158" s="28">
        <v>1</v>
      </c>
      <c r="G158" t="s">
        <v>193</v>
      </c>
      <c r="H158" t="s">
        <v>194</v>
      </c>
      <c r="I158" t="s">
        <v>13152</v>
      </c>
      <c r="J158" t="s">
        <v>210</v>
      </c>
      <c r="K158" t="s">
        <v>13808</v>
      </c>
      <c r="L158" t="s">
        <v>7531</v>
      </c>
      <c r="M158" t="s">
        <v>13113</v>
      </c>
      <c r="N158" t="s">
        <v>13114</v>
      </c>
      <c r="O158" t="s">
        <v>13115</v>
      </c>
      <c r="P158" t="s">
        <v>13809</v>
      </c>
      <c r="Q158" t="s">
        <v>13810</v>
      </c>
      <c r="S158" t="s">
        <v>9309</v>
      </c>
      <c r="T158" t="s">
        <v>9334</v>
      </c>
      <c r="U158" t="s">
        <v>526</v>
      </c>
      <c r="V158" t="s">
        <v>194</v>
      </c>
      <c r="W158" t="s">
        <v>9300</v>
      </c>
      <c r="Z158" t="s">
        <v>9311</v>
      </c>
      <c r="AF158" t="s">
        <v>4714</v>
      </c>
      <c r="AG158" t="s">
        <v>13807</v>
      </c>
      <c r="AI158" t="s">
        <v>6955</v>
      </c>
      <c r="AJ158" s="27" t="str">
        <f t="shared" si="4"/>
        <v>263102</v>
      </c>
      <c r="AK158" s="27">
        <v>1</v>
      </c>
      <c r="AL158" s="27">
        <f t="shared" si="5"/>
        <v>1</v>
      </c>
      <c r="AM158" s="28">
        <v>1</v>
      </c>
    </row>
    <row r="159" spans="1:39" x14ac:dyDescent="0.25">
      <c r="A159" t="s">
        <v>369</v>
      </c>
      <c r="B159" t="s">
        <v>13811</v>
      </c>
      <c r="C159" t="s">
        <v>525</v>
      </c>
      <c r="D159" s="25" t="s">
        <v>13110</v>
      </c>
      <c r="E159" t="s">
        <v>192</v>
      </c>
      <c r="F159" s="28">
        <v>1</v>
      </c>
      <c r="G159" t="s">
        <v>193</v>
      </c>
      <c r="H159" t="s">
        <v>194</v>
      </c>
      <c r="I159" t="s">
        <v>13303</v>
      </c>
      <c r="J159" t="s">
        <v>210</v>
      </c>
      <c r="K159" t="s">
        <v>13812</v>
      </c>
      <c r="L159" t="s">
        <v>7531</v>
      </c>
      <c r="M159" t="s">
        <v>13113</v>
      </c>
      <c r="N159" t="s">
        <v>13114</v>
      </c>
      <c r="O159" t="s">
        <v>13115</v>
      </c>
      <c r="P159" t="s">
        <v>13813</v>
      </c>
      <c r="Q159" t="s">
        <v>13814</v>
      </c>
      <c r="S159" t="s">
        <v>9309</v>
      </c>
      <c r="T159" t="s">
        <v>9334</v>
      </c>
      <c r="U159" t="s">
        <v>526</v>
      </c>
      <c r="V159" t="s">
        <v>194</v>
      </c>
      <c r="W159" t="s">
        <v>9300</v>
      </c>
      <c r="Z159" t="s">
        <v>9311</v>
      </c>
      <c r="AF159" t="s">
        <v>4714</v>
      </c>
      <c r="AG159" t="s">
        <v>13811</v>
      </c>
      <c r="AI159" t="s">
        <v>6955</v>
      </c>
      <c r="AJ159" s="27" t="str">
        <f t="shared" si="4"/>
        <v>263102</v>
      </c>
      <c r="AK159" s="27">
        <v>1</v>
      </c>
      <c r="AL159" s="27">
        <f t="shared" si="5"/>
        <v>1</v>
      </c>
      <c r="AM159" s="28">
        <v>1</v>
      </c>
    </row>
    <row r="160" spans="1:39" x14ac:dyDescent="0.25">
      <c r="A160" t="s">
        <v>369</v>
      </c>
      <c r="B160" t="s">
        <v>13815</v>
      </c>
      <c r="C160" t="s">
        <v>566</v>
      </c>
      <c r="D160" s="25" t="s">
        <v>13110</v>
      </c>
      <c r="E160" t="s">
        <v>192</v>
      </c>
      <c r="F160" s="28">
        <v>1</v>
      </c>
      <c r="G160" t="s">
        <v>193</v>
      </c>
      <c r="H160" t="s">
        <v>194</v>
      </c>
      <c r="I160" t="s">
        <v>13152</v>
      </c>
      <c r="J160" t="s">
        <v>210</v>
      </c>
      <c r="K160" t="s">
        <v>13816</v>
      </c>
      <c r="L160" t="s">
        <v>6258</v>
      </c>
      <c r="M160" t="s">
        <v>13113</v>
      </c>
      <c r="N160" t="s">
        <v>13114</v>
      </c>
      <c r="O160" t="s">
        <v>13115</v>
      </c>
      <c r="P160" t="s">
        <v>13817</v>
      </c>
      <c r="Q160" t="s">
        <v>13818</v>
      </c>
      <c r="S160" t="s">
        <v>9309</v>
      </c>
      <c r="T160" t="s">
        <v>9334</v>
      </c>
      <c r="U160" t="s">
        <v>567</v>
      </c>
      <c r="V160" t="s">
        <v>194</v>
      </c>
      <c r="W160" t="s">
        <v>9300</v>
      </c>
      <c r="Z160" t="s">
        <v>9311</v>
      </c>
      <c r="AF160" t="s">
        <v>4714</v>
      </c>
      <c r="AG160" t="s">
        <v>13815</v>
      </c>
      <c r="AI160" t="s">
        <v>6955</v>
      </c>
      <c r="AJ160" s="27" t="str">
        <f t="shared" si="4"/>
        <v>311504</v>
      </c>
      <c r="AK160" s="27">
        <v>1</v>
      </c>
      <c r="AL160" s="27">
        <f t="shared" si="5"/>
        <v>1</v>
      </c>
      <c r="AM160" s="28">
        <v>1</v>
      </c>
    </row>
    <row r="161" spans="1:39" x14ac:dyDescent="0.25">
      <c r="A161" t="s">
        <v>369</v>
      </c>
      <c r="B161" t="s">
        <v>13819</v>
      </c>
      <c r="C161" t="s">
        <v>525</v>
      </c>
      <c r="D161" s="25" t="s">
        <v>13110</v>
      </c>
      <c r="E161" t="s">
        <v>192</v>
      </c>
      <c r="F161" s="28">
        <v>1</v>
      </c>
      <c r="G161" t="s">
        <v>193</v>
      </c>
      <c r="H161" t="s">
        <v>194</v>
      </c>
      <c r="I161" t="s">
        <v>13303</v>
      </c>
      <c r="J161" t="s">
        <v>210</v>
      </c>
      <c r="K161" t="s">
        <v>13820</v>
      </c>
      <c r="L161" t="s">
        <v>7531</v>
      </c>
      <c r="M161" t="s">
        <v>13113</v>
      </c>
      <c r="N161" t="s">
        <v>13114</v>
      </c>
      <c r="O161" t="s">
        <v>13115</v>
      </c>
      <c r="P161" t="s">
        <v>13821</v>
      </c>
      <c r="Q161" t="s">
        <v>13822</v>
      </c>
      <c r="S161" t="s">
        <v>9309</v>
      </c>
      <c r="T161" t="s">
        <v>9334</v>
      </c>
      <c r="U161" t="s">
        <v>526</v>
      </c>
      <c r="V161" t="s">
        <v>194</v>
      </c>
      <c r="W161" t="s">
        <v>9300</v>
      </c>
      <c r="Z161" t="s">
        <v>9311</v>
      </c>
      <c r="AF161" t="s">
        <v>4714</v>
      </c>
      <c r="AG161" t="s">
        <v>13819</v>
      </c>
      <c r="AI161" t="s">
        <v>6955</v>
      </c>
      <c r="AJ161" s="27" t="str">
        <f t="shared" si="4"/>
        <v>263102</v>
      </c>
      <c r="AK161" s="27">
        <v>1</v>
      </c>
      <c r="AL161" s="27">
        <f t="shared" si="5"/>
        <v>1</v>
      </c>
      <c r="AM161" s="28">
        <v>1</v>
      </c>
    </row>
    <row r="162" spans="1:39" x14ac:dyDescent="0.25">
      <c r="A162" t="s">
        <v>1785</v>
      </c>
      <c r="B162" t="s">
        <v>13823</v>
      </c>
      <c r="C162" t="s">
        <v>366</v>
      </c>
      <c r="D162" s="25" t="s">
        <v>13110</v>
      </c>
      <c r="E162" t="s">
        <v>192</v>
      </c>
      <c r="F162" s="28">
        <v>1</v>
      </c>
      <c r="G162" t="s">
        <v>193</v>
      </c>
      <c r="H162" t="s">
        <v>194</v>
      </c>
      <c r="I162" t="s">
        <v>13152</v>
      </c>
      <c r="J162" t="s">
        <v>327</v>
      </c>
      <c r="K162" t="s">
        <v>13824</v>
      </c>
      <c r="L162" t="s">
        <v>6261</v>
      </c>
      <c r="M162" t="s">
        <v>13113</v>
      </c>
      <c r="N162" t="s">
        <v>13114</v>
      </c>
      <c r="O162" t="s">
        <v>13115</v>
      </c>
      <c r="P162" t="s">
        <v>13825</v>
      </c>
      <c r="Q162" t="s">
        <v>13826</v>
      </c>
      <c r="S162" t="s">
        <v>9309</v>
      </c>
      <c r="T162" t="s">
        <v>9506</v>
      </c>
      <c r="U162" t="s">
        <v>368</v>
      </c>
      <c r="V162" t="s">
        <v>194</v>
      </c>
      <c r="W162" t="s">
        <v>9300</v>
      </c>
      <c r="Z162" t="s">
        <v>9311</v>
      </c>
      <c r="AF162" t="s">
        <v>4714</v>
      </c>
      <c r="AG162" t="s">
        <v>13823</v>
      </c>
      <c r="AI162" t="s">
        <v>6955</v>
      </c>
      <c r="AJ162" s="27" t="str">
        <f t="shared" si="4"/>
        <v>215201</v>
      </c>
      <c r="AK162" s="27">
        <v>1</v>
      </c>
      <c r="AL162" s="27">
        <f t="shared" si="5"/>
        <v>1</v>
      </c>
      <c r="AM162" s="28">
        <v>1</v>
      </c>
    </row>
    <row r="163" spans="1:39" x14ac:dyDescent="0.25">
      <c r="A163" t="s">
        <v>6193</v>
      </c>
      <c r="B163" t="s">
        <v>13827</v>
      </c>
      <c r="C163" t="s">
        <v>30</v>
      </c>
      <c r="D163" s="25" t="s">
        <v>13110</v>
      </c>
      <c r="E163" t="s">
        <v>233</v>
      </c>
      <c r="F163" s="28">
        <v>1</v>
      </c>
      <c r="G163" t="s">
        <v>193</v>
      </c>
      <c r="H163" t="s">
        <v>194</v>
      </c>
      <c r="I163" t="s">
        <v>13303</v>
      </c>
      <c r="J163" t="s">
        <v>9302</v>
      </c>
      <c r="K163" t="s">
        <v>13828</v>
      </c>
      <c r="L163" t="s">
        <v>6923</v>
      </c>
      <c r="M163" t="s">
        <v>13127</v>
      </c>
      <c r="N163" t="s">
        <v>13128</v>
      </c>
      <c r="O163" t="s">
        <v>13462</v>
      </c>
      <c r="P163" t="s">
        <v>13829</v>
      </c>
      <c r="Q163" t="s">
        <v>13830</v>
      </c>
      <c r="S163" t="s">
        <v>9309</v>
      </c>
      <c r="U163" t="s">
        <v>1025</v>
      </c>
      <c r="V163" t="s">
        <v>193</v>
      </c>
      <c r="W163" t="s">
        <v>9310</v>
      </c>
      <c r="Z163" t="s">
        <v>9311</v>
      </c>
      <c r="AF163" t="s">
        <v>4714</v>
      </c>
      <c r="AG163" t="s">
        <v>13827</v>
      </c>
      <c r="AI163" t="s">
        <v>6955</v>
      </c>
      <c r="AJ163" s="27" t="str">
        <f t="shared" si="4"/>
        <v>214207</v>
      </c>
      <c r="AK163" s="27">
        <v>1</v>
      </c>
      <c r="AL163" s="27">
        <f t="shared" si="5"/>
        <v>1</v>
      </c>
      <c r="AM163" s="28">
        <v>1</v>
      </c>
    </row>
    <row r="164" spans="1:39" x14ac:dyDescent="0.25">
      <c r="A164" t="s">
        <v>13831</v>
      </c>
      <c r="B164" t="s">
        <v>13832</v>
      </c>
      <c r="C164" t="s">
        <v>43</v>
      </c>
      <c r="D164" s="25" t="s">
        <v>13110</v>
      </c>
      <c r="E164" t="s">
        <v>192</v>
      </c>
      <c r="F164" s="28">
        <v>1</v>
      </c>
      <c r="G164" t="s">
        <v>193</v>
      </c>
      <c r="H164" t="s">
        <v>194</v>
      </c>
      <c r="I164" t="s">
        <v>13152</v>
      </c>
      <c r="J164" t="s">
        <v>9302</v>
      </c>
      <c r="K164" t="s">
        <v>13833</v>
      </c>
      <c r="L164" t="s">
        <v>6245</v>
      </c>
      <c r="M164" t="s">
        <v>13113</v>
      </c>
      <c r="N164" t="s">
        <v>13114</v>
      </c>
      <c r="O164" t="s">
        <v>13115</v>
      </c>
      <c r="P164" t="s">
        <v>13834</v>
      </c>
      <c r="Q164" t="s">
        <v>13835</v>
      </c>
      <c r="S164" t="s">
        <v>9309</v>
      </c>
      <c r="T164" t="s">
        <v>10012</v>
      </c>
      <c r="U164" t="s">
        <v>452</v>
      </c>
      <c r="V164" t="s">
        <v>194</v>
      </c>
      <c r="W164" t="s">
        <v>9300</v>
      </c>
      <c r="Z164" t="s">
        <v>9311</v>
      </c>
      <c r="AF164" t="s">
        <v>4714</v>
      </c>
      <c r="AG164" t="s">
        <v>13832</v>
      </c>
      <c r="AI164" t="s">
        <v>6955</v>
      </c>
      <c r="AJ164" s="27" t="str">
        <f t="shared" si="4"/>
        <v>243106</v>
      </c>
      <c r="AK164" s="27">
        <v>1</v>
      </c>
      <c r="AL164" s="27">
        <f t="shared" si="5"/>
        <v>1</v>
      </c>
      <c r="AM164" s="28">
        <v>1</v>
      </c>
    </row>
    <row r="165" spans="1:39" x14ac:dyDescent="0.25">
      <c r="A165" t="s">
        <v>13836</v>
      </c>
      <c r="B165" t="s">
        <v>49</v>
      </c>
      <c r="C165" t="s">
        <v>396</v>
      </c>
      <c r="D165" s="25" t="s">
        <v>13110</v>
      </c>
      <c r="E165" t="s">
        <v>233</v>
      </c>
      <c r="F165" s="28">
        <v>1</v>
      </c>
      <c r="G165" t="s">
        <v>193</v>
      </c>
      <c r="H165" t="s">
        <v>194</v>
      </c>
      <c r="I165" t="s">
        <v>13200</v>
      </c>
      <c r="J165" t="s">
        <v>210</v>
      </c>
      <c r="K165" t="s">
        <v>13837</v>
      </c>
      <c r="L165" t="s">
        <v>6312</v>
      </c>
      <c r="M165" t="s">
        <v>13127</v>
      </c>
      <c r="N165" t="s">
        <v>13128</v>
      </c>
      <c r="O165" t="s">
        <v>13129</v>
      </c>
      <c r="P165" t="s">
        <v>13838</v>
      </c>
      <c r="Q165" t="s">
        <v>13839</v>
      </c>
      <c r="S165" t="s">
        <v>9309</v>
      </c>
      <c r="T165" t="s">
        <v>9334</v>
      </c>
      <c r="U165" t="s">
        <v>397</v>
      </c>
      <c r="V165" t="s">
        <v>194</v>
      </c>
      <c r="W165" t="s">
        <v>9300</v>
      </c>
      <c r="Z165" t="s">
        <v>9311</v>
      </c>
      <c r="AF165" t="s">
        <v>4714</v>
      </c>
      <c r="AG165" t="s">
        <v>49</v>
      </c>
      <c r="AI165" t="s">
        <v>6955</v>
      </c>
      <c r="AJ165" s="27" t="str">
        <f t="shared" si="4"/>
        <v>235301</v>
      </c>
      <c r="AK165" s="27">
        <v>1</v>
      </c>
      <c r="AL165" s="27">
        <f t="shared" si="5"/>
        <v>1</v>
      </c>
      <c r="AM165" s="28">
        <v>1</v>
      </c>
    </row>
    <row r="166" spans="1:39" x14ac:dyDescent="0.25">
      <c r="A166" t="s">
        <v>13836</v>
      </c>
      <c r="B166" t="s">
        <v>13840</v>
      </c>
      <c r="C166" t="s">
        <v>396</v>
      </c>
      <c r="D166" s="25" t="s">
        <v>13110</v>
      </c>
      <c r="E166" t="s">
        <v>233</v>
      </c>
      <c r="F166" s="28">
        <v>1</v>
      </c>
      <c r="G166" t="s">
        <v>193</v>
      </c>
      <c r="H166" t="s">
        <v>194</v>
      </c>
      <c r="I166" t="s">
        <v>13152</v>
      </c>
      <c r="J166" t="s">
        <v>210</v>
      </c>
      <c r="K166" t="s">
        <v>13841</v>
      </c>
      <c r="L166" t="s">
        <v>6312</v>
      </c>
      <c r="M166" t="s">
        <v>13127</v>
      </c>
      <c r="N166" t="s">
        <v>13128</v>
      </c>
      <c r="O166" t="s">
        <v>13129</v>
      </c>
      <c r="P166" t="s">
        <v>13842</v>
      </c>
      <c r="Q166" t="s">
        <v>13843</v>
      </c>
      <c r="S166" t="s">
        <v>9309</v>
      </c>
      <c r="T166" t="s">
        <v>9334</v>
      </c>
      <c r="U166" t="s">
        <v>397</v>
      </c>
      <c r="V166" t="s">
        <v>194</v>
      </c>
      <c r="W166" t="s">
        <v>9300</v>
      </c>
      <c r="Z166" t="s">
        <v>9311</v>
      </c>
      <c r="AF166" t="s">
        <v>4714</v>
      </c>
      <c r="AG166" t="s">
        <v>13840</v>
      </c>
      <c r="AI166" t="s">
        <v>6955</v>
      </c>
      <c r="AJ166" s="27" t="str">
        <f t="shared" si="4"/>
        <v>235301</v>
      </c>
      <c r="AK166" s="27">
        <v>1</v>
      </c>
      <c r="AL166" s="27">
        <f t="shared" si="5"/>
        <v>1</v>
      </c>
      <c r="AM166" s="28">
        <v>1</v>
      </c>
    </row>
    <row r="167" spans="1:39" x14ac:dyDescent="0.25">
      <c r="A167" t="s">
        <v>13836</v>
      </c>
      <c r="B167" t="s">
        <v>13844</v>
      </c>
      <c r="C167" t="s">
        <v>396</v>
      </c>
      <c r="D167" s="25" t="s">
        <v>13110</v>
      </c>
      <c r="E167" t="s">
        <v>233</v>
      </c>
      <c r="F167" s="28">
        <v>1</v>
      </c>
      <c r="G167" t="s">
        <v>193</v>
      </c>
      <c r="H167" t="s">
        <v>194</v>
      </c>
      <c r="I167" t="s">
        <v>13152</v>
      </c>
      <c r="J167" t="s">
        <v>9302</v>
      </c>
      <c r="K167" t="s">
        <v>13845</v>
      </c>
      <c r="L167" t="s">
        <v>6312</v>
      </c>
      <c r="M167" t="s">
        <v>13127</v>
      </c>
      <c r="N167" t="s">
        <v>13128</v>
      </c>
      <c r="O167" t="s">
        <v>13129</v>
      </c>
      <c r="P167" t="s">
        <v>13846</v>
      </c>
      <c r="Q167" t="s">
        <v>13847</v>
      </c>
      <c r="S167" t="s">
        <v>9309</v>
      </c>
      <c r="U167" t="s">
        <v>397</v>
      </c>
      <c r="V167" t="s">
        <v>193</v>
      </c>
      <c r="W167" t="s">
        <v>9310</v>
      </c>
      <c r="Z167" t="s">
        <v>9311</v>
      </c>
      <c r="AF167" t="s">
        <v>4714</v>
      </c>
      <c r="AG167" t="s">
        <v>13844</v>
      </c>
      <c r="AI167" t="s">
        <v>6955</v>
      </c>
      <c r="AJ167" s="27" t="str">
        <f t="shared" si="4"/>
        <v>235301</v>
      </c>
      <c r="AK167" s="27">
        <v>1</v>
      </c>
      <c r="AL167" s="27">
        <f t="shared" si="5"/>
        <v>1</v>
      </c>
      <c r="AM167" s="28">
        <v>1</v>
      </c>
    </row>
    <row r="168" spans="1:39" x14ac:dyDescent="0.25">
      <c r="A168" t="s">
        <v>13836</v>
      </c>
      <c r="B168" t="s">
        <v>13848</v>
      </c>
      <c r="C168" t="s">
        <v>396</v>
      </c>
      <c r="D168" s="25" t="s">
        <v>13110</v>
      </c>
      <c r="E168" t="s">
        <v>233</v>
      </c>
      <c r="F168" s="28">
        <v>1</v>
      </c>
      <c r="G168" t="s">
        <v>193</v>
      </c>
      <c r="H168" t="s">
        <v>194</v>
      </c>
      <c r="I168" t="s">
        <v>13152</v>
      </c>
      <c r="J168" t="s">
        <v>9302</v>
      </c>
      <c r="K168" t="s">
        <v>13849</v>
      </c>
      <c r="L168" t="s">
        <v>6312</v>
      </c>
      <c r="M168" t="s">
        <v>13127</v>
      </c>
      <c r="N168" t="s">
        <v>13128</v>
      </c>
      <c r="O168" t="s">
        <v>13129</v>
      </c>
      <c r="P168" t="s">
        <v>13850</v>
      </c>
      <c r="Q168" t="s">
        <v>13851</v>
      </c>
      <c r="S168" t="s">
        <v>9309</v>
      </c>
      <c r="U168" t="s">
        <v>397</v>
      </c>
      <c r="V168" t="s">
        <v>193</v>
      </c>
      <c r="W168" t="s">
        <v>9310</v>
      </c>
      <c r="Z168" t="s">
        <v>9311</v>
      </c>
      <c r="AF168" t="s">
        <v>4714</v>
      </c>
      <c r="AG168" t="s">
        <v>13848</v>
      </c>
      <c r="AI168" t="s">
        <v>6955</v>
      </c>
      <c r="AJ168" s="27" t="str">
        <f t="shared" si="4"/>
        <v>235301</v>
      </c>
      <c r="AK168" s="27">
        <v>1</v>
      </c>
      <c r="AL168" s="27">
        <f t="shared" si="5"/>
        <v>1</v>
      </c>
      <c r="AM168" s="28">
        <v>1</v>
      </c>
    </row>
    <row r="169" spans="1:39" x14ac:dyDescent="0.25">
      <c r="A169" t="s">
        <v>13836</v>
      </c>
      <c r="B169" t="s">
        <v>13852</v>
      </c>
      <c r="C169" t="s">
        <v>396</v>
      </c>
      <c r="D169" s="25" t="s">
        <v>13110</v>
      </c>
      <c r="E169" t="s">
        <v>233</v>
      </c>
      <c r="F169" s="28">
        <v>1</v>
      </c>
      <c r="G169" t="s">
        <v>193</v>
      </c>
      <c r="H169" t="s">
        <v>194</v>
      </c>
      <c r="I169" t="s">
        <v>13152</v>
      </c>
      <c r="J169" t="s">
        <v>9302</v>
      </c>
      <c r="K169" t="s">
        <v>13853</v>
      </c>
      <c r="L169" t="s">
        <v>6312</v>
      </c>
      <c r="M169" t="s">
        <v>13127</v>
      </c>
      <c r="N169" t="s">
        <v>13128</v>
      </c>
      <c r="O169" t="s">
        <v>13129</v>
      </c>
      <c r="P169" t="s">
        <v>13854</v>
      </c>
      <c r="Q169" t="s">
        <v>13855</v>
      </c>
      <c r="S169" t="s">
        <v>9309</v>
      </c>
      <c r="U169" t="s">
        <v>397</v>
      </c>
      <c r="V169" t="s">
        <v>193</v>
      </c>
      <c r="W169" t="s">
        <v>9310</v>
      </c>
      <c r="Z169" t="s">
        <v>9311</v>
      </c>
      <c r="AF169" t="s">
        <v>4714</v>
      </c>
      <c r="AG169" t="s">
        <v>13852</v>
      </c>
      <c r="AI169" t="s">
        <v>6955</v>
      </c>
      <c r="AJ169" s="27" t="str">
        <f t="shared" si="4"/>
        <v>235301</v>
      </c>
      <c r="AK169" s="27">
        <v>1</v>
      </c>
      <c r="AL169" s="449">
        <f t="shared" si="5"/>
        <v>1</v>
      </c>
      <c r="AM169" s="28">
        <v>1</v>
      </c>
    </row>
    <row r="170" spans="1:39" x14ac:dyDescent="0.25">
      <c r="A170" t="s">
        <v>13836</v>
      </c>
      <c r="B170" t="s">
        <v>13856</v>
      </c>
      <c r="C170" t="s">
        <v>396</v>
      </c>
      <c r="D170" s="25" t="s">
        <v>13110</v>
      </c>
      <c r="E170" t="s">
        <v>233</v>
      </c>
      <c r="F170" s="28">
        <v>1</v>
      </c>
      <c r="G170" t="s">
        <v>193</v>
      </c>
      <c r="H170" t="s">
        <v>194</v>
      </c>
      <c r="I170" t="s">
        <v>13152</v>
      </c>
      <c r="J170" t="s">
        <v>9302</v>
      </c>
      <c r="K170" t="s">
        <v>13857</v>
      </c>
      <c r="L170" t="s">
        <v>6312</v>
      </c>
      <c r="M170" t="s">
        <v>13127</v>
      </c>
      <c r="N170" t="s">
        <v>13128</v>
      </c>
      <c r="O170" t="s">
        <v>13129</v>
      </c>
      <c r="P170" t="s">
        <v>13858</v>
      </c>
      <c r="Q170" t="s">
        <v>13859</v>
      </c>
      <c r="S170" t="s">
        <v>9309</v>
      </c>
      <c r="U170" t="s">
        <v>397</v>
      </c>
      <c r="V170" t="s">
        <v>193</v>
      </c>
      <c r="W170" t="s">
        <v>9310</v>
      </c>
      <c r="Z170" t="s">
        <v>9311</v>
      </c>
      <c r="AF170" t="s">
        <v>4714</v>
      </c>
      <c r="AG170" t="s">
        <v>13856</v>
      </c>
      <c r="AI170" t="s">
        <v>6955</v>
      </c>
      <c r="AJ170" s="27" t="str">
        <f t="shared" si="4"/>
        <v>235301</v>
      </c>
      <c r="AK170" s="27">
        <v>1</v>
      </c>
      <c r="AL170" s="27">
        <f t="shared" si="5"/>
        <v>1</v>
      </c>
      <c r="AM170" s="28">
        <v>1</v>
      </c>
    </row>
    <row r="171" spans="1:39" x14ac:dyDescent="0.25">
      <c r="A171" t="s">
        <v>13860</v>
      </c>
      <c r="B171" t="s">
        <v>8075</v>
      </c>
      <c r="C171" t="s">
        <v>10</v>
      </c>
      <c r="D171" s="25" t="s">
        <v>13110</v>
      </c>
      <c r="E171" t="s">
        <v>192</v>
      </c>
      <c r="F171" s="28">
        <v>1</v>
      </c>
      <c r="G171" t="s">
        <v>193</v>
      </c>
      <c r="H171" t="s">
        <v>194</v>
      </c>
      <c r="I171" t="s">
        <v>13111</v>
      </c>
      <c r="J171" t="s">
        <v>9302</v>
      </c>
      <c r="K171" t="s">
        <v>13861</v>
      </c>
      <c r="L171" t="s">
        <v>6261</v>
      </c>
      <c r="M171" t="s">
        <v>13113</v>
      </c>
      <c r="N171" t="s">
        <v>13114</v>
      </c>
      <c r="O171" t="s">
        <v>13115</v>
      </c>
      <c r="P171" t="s">
        <v>13862</v>
      </c>
      <c r="Q171" t="s">
        <v>13863</v>
      </c>
      <c r="S171" t="s">
        <v>9309</v>
      </c>
      <c r="U171" t="s">
        <v>484</v>
      </c>
      <c r="V171" t="s">
        <v>193</v>
      </c>
      <c r="W171" t="s">
        <v>9310</v>
      </c>
      <c r="Z171" t="s">
        <v>9311</v>
      </c>
      <c r="AF171" t="s">
        <v>4714</v>
      </c>
      <c r="AG171" t="s">
        <v>8075</v>
      </c>
      <c r="AI171" t="s">
        <v>6955</v>
      </c>
      <c r="AJ171" s="27" t="str">
        <f t="shared" si="4"/>
        <v>251401</v>
      </c>
      <c r="AK171" s="27">
        <v>1</v>
      </c>
      <c r="AL171" s="27">
        <f t="shared" si="5"/>
        <v>1</v>
      </c>
      <c r="AM171" s="28">
        <v>1</v>
      </c>
    </row>
    <row r="172" spans="1:39" x14ac:dyDescent="0.25">
      <c r="A172" t="s">
        <v>13860</v>
      </c>
      <c r="B172" t="s">
        <v>11533</v>
      </c>
      <c r="C172" t="s">
        <v>10</v>
      </c>
      <c r="D172" s="25" t="s">
        <v>13110</v>
      </c>
      <c r="E172" t="s">
        <v>192</v>
      </c>
      <c r="F172" s="28">
        <v>1</v>
      </c>
      <c r="G172" t="s">
        <v>193</v>
      </c>
      <c r="H172" t="s">
        <v>194</v>
      </c>
      <c r="I172" t="s">
        <v>13111</v>
      </c>
      <c r="J172" t="s">
        <v>9302</v>
      </c>
      <c r="K172" t="s">
        <v>13864</v>
      </c>
      <c r="L172" t="s">
        <v>6261</v>
      </c>
      <c r="M172" t="s">
        <v>13113</v>
      </c>
      <c r="N172" t="s">
        <v>13114</v>
      </c>
      <c r="O172" t="s">
        <v>13115</v>
      </c>
      <c r="P172" t="s">
        <v>13865</v>
      </c>
      <c r="Q172" t="s">
        <v>13866</v>
      </c>
      <c r="S172" t="s">
        <v>9309</v>
      </c>
      <c r="U172" t="s">
        <v>484</v>
      </c>
      <c r="V172" t="s">
        <v>193</v>
      </c>
      <c r="W172" t="s">
        <v>9310</v>
      </c>
      <c r="Z172" t="s">
        <v>9311</v>
      </c>
      <c r="AF172" t="s">
        <v>4714</v>
      </c>
      <c r="AG172" t="s">
        <v>11533</v>
      </c>
      <c r="AI172" t="s">
        <v>6955</v>
      </c>
      <c r="AJ172" s="27" t="str">
        <f t="shared" si="4"/>
        <v>251401</v>
      </c>
      <c r="AK172" s="27">
        <v>1</v>
      </c>
      <c r="AL172" s="27">
        <f t="shared" si="5"/>
        <v>1</v>
      </c>
      <c r="AM172" s="28">
        <v>1</v>
      </c>
    </row>
    <row r="173" spans="1:39" x14ac:dyDescent="0.25">
      <c r="A173" t="s">
        <v>13860</v>
      </c>
      <c r="B173" t="s">
        <v>1419</v>
      </c>
      <c r="C173" t="s">
        <v>10</v>
      </c>
      <c r="D173" s="25" t="s">
        <v>13110</v>
      </c>
      <c r="E173" t="s">
        <v>192</v>
      </c>
      <c r="F173" s="28">
        <v>1</v>
      </c>
      <c r="G173" t="s">
        <v>193</v>
      </c>
      <c r="H173" t="s">
        <v>194</v>
      </c>
      <c r="I173" t="s">
        <v>13152</v>
      </c>
      <c r="J173" t="s">
        <v>9302</v>
      </c>
      <c r="K173" t="s">
        <v>13867</v>
      </c>
      <c r="L173" t="s">
        <v>6261</v>
      </c>
      <c r="M173" t="s">
        <v>13113</v>
      </c>
      <c r="N173" t="s">
        <v>13114</v>
      </c>
      <c r="O173" t="s">
        <v>13115</v>
      </c>
      <c r="P173" t="s">
        <v>13868</v>
      </c>
      <c r="Q173" t="s">
        <v>13869</v>
      </c>
      <c r="S173" t="s">
        <v>9309</v>
      </c>
      <c r="U173" t="s">
        <v>484</v>
      </c>
      <c r="V173" t="s">
        <v>193</v>
      </c>
      <c r="W173" t="s">
        <v>9310</v>
      </c>
      <c r="Z173" t="s">
        <v>9311</v>
      </c>
      <c r="AF173" t="s">
        <v>4714</v>
      </c>
      <c r="AG173" t="s">
        <v>1419</v>
      </c>
      <c r="AI173" t="s">
        <v>6955</v>
      </c>
      <c r="AJ173" s="27" t="str">
        <f t="shared" si="4"/>
        <v>251401</v>
      </c>
      <c r="AK173" s="27">
        <v>1</v>
      </c>
      <c r="AL173" s="27">
        <f t="shared" si="5"/>
        <v>1</v>
      </c>
      <c r="AM173" s="28">
        <v>1</v>
      </c>
    </row>
    <row r="174" spans="1:39" x14ac:dyDescent="0.25">
      <c r="A174" t="s">
        <v>13870</v>
      </c>
      <c r="B174" t="s">
        <v>13871</v>
      </c>
      <c r="C174" t="s">
        <v>3385</v>
      </c>
      <c r="D174" s="25" t="s">
        <v>13110</v>
      </c>
      <c r="E174" t="s">
        <v>233</v>
      </c>
      <c r="F174" s="28">
        <v>1</v>
      </c>
      <c r="G174" t="s">
        <v>193</v>
      </c>
      <c r="H174" t="s">
        <v>194</v>
      </c>
      <c r="I174" t="s">
        <v>13164</v>
      </c>
      <c r="J174" t="s">
        <v>9302</v>
      </c>
      <c r="K174" t="s">
        <v>13872</v>
      </c>
      <c r="L174" t="s">
        <v>6256</v>
      </c>
      <c r="M174" t="s">
        <v>13127</v>
      </c>
      <c r="N174" t="s">
        <v>13128</v>
      </c>
      <c r="O174" t="s">
        <v>13873</v>
      </c>
      <c r="P174" t="s">
        <v>13874</v>
      </c>
      <c r="Q174" t="s">
        <v>13875</v>
      </c>
      <c r="S174" t="s">
        <v>9309</v>
      </c>
      <c r="U174" t="s">
        <v>3386</v>
      </c>
      <c r="V174" t="s">
        <v>193</v>
      </c>
      <c r="W174" t="s">
        <v>9310</v>
      </c>
      <c r="Z174" t="s">
        <v>9311</v>
      </c>
      <c r="AF174" t="s">
        <v>4714</v>
      </c>
      <c r="AG174" t="s">
        <v>13871</v>
      </c>
      <c r="AI174" t="s">
        <v>6955</v>
      </c>
      <c r="AJ174" s="27" t="str">
        <f t="shared" si="4"/>
        <v>834316</v>
      </c>
      <c r="AK174" s="27">
        <v>1</v>
      </c>
      <c r="AL174" s="27">
        <f t="shared" si="5"/>
        <v>1</v>
      </c>
      <c r="AM174" s="28">
        <v>1</v>
      </c>
    </row>
    <row r="175" spans="1:39" x14ac:dyDescent="0.25">
      <c r="A175" t="s">
        <v>13870</v>
      </c>
      <c r="B175" t="s">
        <v>13876</v>
      </c>
      <c r="C175" t="s">
        <v>880</v>
      </c>
      <c r="D175" s="25" t="s">
        <v>13110</v>
      </c>
      <c r="E175" t="s">
        <v>233</v>
      </c>
      <c r="F175" s="28">
        <v>1</v>
      </c>
      <c r="G175" t="s">
        <v>193</v>
      </c>
      <c r="H175" t="s">
        <v>194</v>
      </c>
      <c r="I175" t="s">
        <v>13164</v>
      </c>
      <c r="J175" t="s">
        <v>9302</v>
      </c>
      <c r="K175" t="s">
        <v>13877</v>
      </c>
      <c r="L175" t="s">
        <v>6256</v>
      </c>
      <c r="M175" t="s">
        <v>13127</v>
      </c>
      <c r="N175" t="s">
        <v>13128</v>
      </c>
      <c r="O175" t="s">
        <v>13873</v>
      </c>
      <c r="P175" t="s">
        <v>13878</v>
      </c>
      <c r="Q175" t="s">
        <v>13879</v>
      </c>
      <c r="S175" t="s">
        <v>9309</v>
      </c>
      <c r="U175" t="s">
        <v>881</v>
      </c>
      <c r="V175" t="s">
        <v>193</v>
      </c>
      <c r="W175" t="s">
        <v>9310</v>
      </c>
      <c r="Z175" t="s">
        <v>9311</v>
      </c>
      <c r="AF175" t="s">
        <v>4714</v>
      </c>
      <c r="AG175" t="s">
        <v>13876</v>
      </c>
      <c r="AI175" t="s">
        <v>6955</v>
      </c>
      <c r="AJ175" s="27" t="str">
        <f t="shared" si="4"/>
        <v>834204</v>
      </c>
      <c r="AK175" s="27">
        <v>1</v>
      </c>
      <c r="AL175" s="27">
        <f t="shared" si="5"/>
        <v>1</v>
      </c>
      <c r="AM175" s="28">
        <v>1</v>
      </c>
    </row>
    <row r="176" spans="1:39" x14ac:dyDescent="0.25">
      <c r="A176" t="s">
        <v>13880</v>
      </c>
      <c r="B176" t="s">
        <v>13881</v>
      </c>
      <c r="C176" t="s">
        <v>566</v>
      </c>
      <c r="D176" s="25" t="s">
        <v>13110</v>
      </c>
      <c r="E176" t="s">
        <v>192</v>
      </c>
      <c r="F176" s="28">
        <v>1</v>
      </c>
      <c r="G176" t="s">
        <v>193</v>
      </c>
      <c r="H176" t="s">
        <v>194</v>
      </c>
      <c r="I176" t="s">
        <v>13303</v>
      </c>
      <c r="J176" t="s">
        <v>5098</v>
      </c>
      <c r="K176" t="s">
        <v>13882</v>
      </c>
      <c r="L176" t="s">
        <v>6245</v>
      </c>
      <c r="M176" t="s">
        <v>13113</v>
      </c>
      <c r="N176" t="s">
        <v>13114</v>
      </c>
      <c r="O176" t="s">
        <v>13115</v>
      </c>
      <c r="P176" t="s">
        <v>13883</v>
      </c>
      <c r="Q176" t="s">
        <v>13884</v>
      </c>
      <c r="S176" t="s">
        <v>9309</v>
      </c>
      <c r="T176" t="s">
        <v>9786</v>
      </c>
      <c r="U176" t="s">
        <v>567</v>
      </c>
      <c r="V176" t="s">
        <v>194</v>
      </c>
      <c r="W176" t="s">
        <v>9300</v>
      </c>
      <c r="Z176" t="s">
        <v>9311</v>
      </c>
      <c r="AF176" t="s">
        <v>4714</v>
      </c>
      <c r="AG176" t="s">
        <v>13881</v>
      </c>
      <c r="AI176" t="s">
        <v>6955</v>
      </c>
      <c r="AJ176" s="27" t="str">
        <f t="shared" si="4"/>
        <v>311504</v>
      </c>
      <c r="AK176" s="27">
        <v>1</v>
      </c>
      <c r="AL176" s="27">
        <f t="shared" si="5"/>
        <v>1</v>
      </c>
      <c r="AM176" s="28">
        <v>1</v>
      </c>
    </row>
    <row r="177" spans="1:39" x14ac:dyDescent="0.25">
      <c r="A177" t="s">
        <v>13885</v>
      </c>
      <c r="B177" t="s">
        <v>13886</v>
      </c>
      <c r="C177" t="s">
        <v>1957</v>
      </c>
      <c r="D177" s="25" t="s">
        <v>13110</v>
      </c>
      <c r="E177" t="s">
        <v>192</v>
      </c>
      <c r="F177" s="28">
        <v>1</v>
      </c>
      <c r="G177" t="s">
        <v>193</v>
      </c>
      <c r="H177" t="s">
        <v>194</v>
      </c>
      <c r="I177" t="s">
        <v>13125</v>
      </c>
      <c r="J177" t="s">
        <v>309</v>
      </c>
      <c r="K177" t="s">
        <v>13887</v>
      </c>
      <c r="L177" t="s">
        <v>6295</v>
      </c>
      <c r="M177" t="s">
        <v>13113</v>
      </c>
      <c r="N177" t="s">
        <v>13114</v>
      </c>
      <c r="O177" t="s">
        <v>13115</v>
      </c>
      <c r="P177" t="s">
        <v>13888</v>
      </c>
      <c r="Q177" t="s">
        <v>13889</v>
      </c>
      <c r="S177" t="s">
        <v>9309</v>
      </c>
      <c r="T177" t="s">
        <v>9518</v>
      </c>
      <c r="U177" t="s">
        <v>1958</v>
      </c>
      <c r="V177" t="s">
        <v>194</v>
      </c>
      <c r="W177" t="s">
        <v>9300</v>
      </c>
      <c r="Z177" t="s">
        <v>9311</v>
      </c>
      <c r="AF177" t="s">
        <v>4714</v>
      </c>
      <c r="AG177" t="s">
        <v>13886</v>
      </c>
      <c r="AI177" t="s">
        <v>6955</v>
      </c>
      <c r="AJ177" s="27" t="str">
        <f t="shared" si="4"/>
        <v>214408</v>
      </c>
      <c r="AK177" s="27">
        <v>1</v>
      </c>
      <c r="AL177" s="27">
        <f t="shared" si="5"/>
        <v>1</v>
      </c>
      <c r="AM177" s="28">
        <v>1</v>
      </c>
    </row>
    <row r="178" spans="1:39" x14ac:dyDescent="0.25">
      <c r="A178" t="s">
        <v>13890</v>
      </c>
      <c r="B178" t="s">
        <v>13891</v>
      </c>
      <c r="C178" t="s">
        <v>35</v>
      </c>
      <c r="D178" s="25" t="s">
        <v>13110</v>
      </c>
      <c r="E178" t="s">
        <v>233</v>
      </c>
      <c r="F178" s="28">
        <v>1</v>
      </c>
      <c r="G178" t="s">
        <v>193</v>
      </c>
      <c r="H178" t="s">
        <v>194</v>
      </c>
      <c r="I178" t="s">
        <v>13152</v>
      </c>
      <c r="J178" t="s">
        <v>9302</v>
      </c>
      <c r="K178" t="s">
        <v>13892</v>
      </c>
      <c r="L178" t="s">
        <v>6277</v>
      </c>
      <c r="M178" t="s">
        <v>13127</v>
      </c>
      <c r="N178" t="s">
        <v>13128</v>
      </c>
      <c r="O178" t="s">
        <v>13235</v>
      </c>
      <c r="P178" t="s">
        <v>13893</v>
      </c>
      <c r="Q178" t="s">
        <v>13894</v>
      </c>
      <c r="S178" t="s">
        <v>9309</v>
      </c>
      <c r="U178" t="s">
        <v>207</v>
      </c>
      <c r="V178" t="s">
        <v>193</v>
      </c>
      <c r="W178" t="s">
        <v>9310</v>
      </c>
      <c r="Z178" t="s">
        <v>9311</v>
      </c>
      <c r="AF178" t="s">
        <v>4714</v>
      </c>
      <c r="AG178" t="s">
        <v>13891</v>
      </c>
      <c r="AI178" t="s">
        <v>6955</v>
      </c>
      <c r="AJ178" s="27" t="str">
        <f t="shared" si="4"/>
        <v>122106</v>
      </c>
      <c r="AK178" s="27">
        <v>1</v>
      </c>
      <c r="AL178" s="27">
        <f t="shared" si="5"/>
        <v>1</v>
      </c>
      <c r="AM178" s="28">
        <v>1</v>
      </c>
    </row>
    <row r="179" spans="1:39" x14ac:dyDescent="0.25">
      <c r="A179" t="s">
        <v>974</v>
      </c>
      <c r="B179" t="s">
        <v>13895</v>
      </c>
      <c r="C179" t="s">
        <v>46</v>
      </c>
      <c r="D179" s="25" t="s">
        <v>13110</v>
      </c>
      <c r="E179" t="s">
        <v>192</v>
      </c>
      <c r="F179" s="28">
        <v>1</v>
      </c>
      <c r="G179" t="s">
        <v>193</v>
      </c>
      <c r="H179" t="s">
        <v>194</v>
      </c>
      <c r="I179" t="s">
        <v>13125</v>
      </c>
      <c r="J179" t="s">
        <v>253</v>
      </c>
      <c r="K179" t="s">
        <v>13896</v>
      </c>
      <c r="L179" t="s">
        <v>6921</v>
      </c>
      <c r="M179" t="s">
        <v>13113</v>
      </c>
      <c r="N179" t="s">
        <v>13114</v>
      </c>
      <c r="O179" t="s">
        <v>13115</v>
      </c>
      <c r="P179" t="s">
        <v>13897</v>
      </c>
      <c r="Q179" t="s">
        <v>13898</v>
      </c>
      <c r="S179" t="s">
        <v>9309</v>
      </c>
      <c r="T179" t="s">
        <v>9468</v>
      </c>
      <c r="U179" t="s">
        <v>510</v>
      </c>
      <c r="V179" t="s">
        <v>194</v>
      </c>
      <c r="W179" t="s">
        <v>9300</v>
      </c>
      <c r="Z179" t="s">
        <v>9311</v>
      </c>
      <c r="AF179" t="s">
        <v>4714</v>
      </c>
      <c r="AG179" t="s">
        <v>13895</v>
      </c>
      <c r="AI179" t="s">
        <v>6955</v>
      </c>
      <c r="AJ179" s="27" t="str">
        <f t="shared" si="4"/>
        <v>252201</v>
      </c>
      <c r="AK179" s="27">
        <v>1</v>
      </c>
      <c r="AL179" s="27">
        <f t="shared" si="5"/>
        <v>1</v>
      </c>
      <c r="AM179" s="28">
        <v>1</v>
      </c>
    </row>
    <row r="180" spans="1:39" x14ac:dyDescent="0.25">
      <c r="A180" t="s">
        <v>4022</v>
      </c>
      <c r="B180" t="s">
        <v>8022</v>
      </c>
      <c r="C180" t="s">
        <v>7617</v>
      </c>
      <c r="D180" s="25" t="s">
        <v>13110</v>
      </c>
      <c r="E180" t="s">
        <v>217</v>
      </c>
      <c r="F180" s="28">
        <v>1</v>
      </c>
      <c r="G180" t="s">
        <v>193</v>
      </c>
      <c r="H180" t="s">
        <v>194</v>
      </c>
      <c r="I180" t="s">
        <v>13125</v>
      </c>
      <c r="J180" t="s">
        <v>210</v>
      </c>
      <c r="K180" t="s">
        <v>13899</v>
      </c>
      <c r="L180" t="s">
        <v>6290</v>
      </c>
      <c r="M180" t="s">
        <v>13286</v>
      </c>
      <c r="N180" t="s">
        <v>13163</v>
      </c>
      <c r="O180" t="s">
        <v>13462</v>
      </c>
      <c r="P180" t="s">
        <v>13900</v>
      </c>
      <c r="Q180" t="s">
        <v>13901</v>
      </c>
      <c r="S180" t="s">
        <v>9309</v>
      </c>
      <c r="T180" t="s">
        <v>9334</v>
      </c>
      <c r="U180" t="s">
        <v>7620</v>
      </c>
      <c r="V180" t="s">
        <v>194</v>
      </c>
      <c r="W180" t="s">
        <v>9300</v>
      </c>
      <c r="Z180" t="s">
        <v>9311</v>
      </c>
      <c r="AF180" t="s">
        <v>4714</v>
      </c>
      <c r="AG180" t="s">
        <v>9433</v>
      </c>
      <c r="AI180" t="s">
        <v>6955</v>
      </c>
      <c r="AJ180" s="27" t="str">
        <f t="shared" si="4"/>
        <v>516903</v>
      </c>
      <c r="AK180" s="27">
        <v>1</v>
      </c>
      <c r="AL180" s="27">
        <f t="shared" si="5"/>
        <v>1</v>
      </c>
      <c r="AM180" s="28">
        <v>1</v>
      </c>
    </row>
    <row r="181" spans="1:39" x14ac:dyDescent="0.25">
      <c r="A181" t="s">
        <v>11415</v>
      </c>
      <c r="B181" t="s">
        <v>8016</v>
      </c>
      <c r="C181" t="s">
        <v>99</v>
      </c>
      <c r="D181" s="25" t="s">
        <v>13110</v>
      </c>
      <c r="E181" t="s">
        <v>217</v>
      </c>
      <c r="F181" s="28">
        <v>1</v>
      </c>
      <c r="G181" t="s">
        <v>193</v>
      </c>
      <c r="H181" t="s">
        <v>194</v>
      </c>
      <c r="I181" t="s">
        <v>13160</v>
      </c>
      <c r="J181" t="s">
        <v>210</v>
      </c>
      <c r="K181" t="s">
        <v>13902</v>
      </c>
      <c r="L181" t="s">
        <v>6286</v>
      </c>
      <c r="M181" t="s">
        <v>13286</v>
      </c>
      <c r="N181" t="s">
        <v>13163</v>
      </c>
      <c r="O181" t="s">
        <v>13462</v>
      </c>
      <c r="P181" t="s">
        <v>13903</v>
      </c>
      <c r="Q181" t="s">
        <v>13904</v>
      </c>
      <c r="S181" t="s">
        <v>9309</v>
      </c>
      <c r="T181" t="s">
        <v>9334</v>
      </c>
      <c r="U181" t="s">
        <v>2421</v>
      </c>
      <c r="V181" t="s">
        <v>194</v>
      </c>
      <c r="W181" t="s">
        <v>9300</v>
      </c>
      <c r="Z181" t="s">
        <v>9311</v>
      </c>
      <c r="AF181" t="s">
        <v>4714</v>
      </c>
      <c r="AG181" t="s">
        <v>9433</v>
      </c>
      <c r="AI181" t="s">
        <v>6955</v>
      </c>
      <c r="AJ181" s="27" t="str">
        <f t="shared" si="4"/>
        <v>412001</v>
      </c>
      <c r="AK181" s="27">
        <v>1</v>
      </c>
      <c r="AL181" s="27">
        <f t="shared" si="5"/>
        <v>1</v>
      </c>
      <c r="AM181" s="28">
        <v>1</v>
      </c>
    </row>
    <row r="182" spans="1:39" x14ac:dyDescent="0.25">
      <c r="A182" t="s">
        <v>10278</v>
      </c>
      <c r="B182" t="s">
        <v>13905</v>
      </c>
      <c r="C182" t="s">
        <v>10</v>
      </c>
      <c r="D182" s="25" t="s">
        <v>13110</v>
      </c>
      <c r="E182" t="s">
        <v>192</v>
      </c>
      <c r="F182" s="28">
        <v>1</v>
      </c>
      <c r="G182" t="s">
        <v>193</v>
      </c>
      <c r="H182" t="s">
        <v>194</v>
      </c>
      <c r="I182" t="s">
        <v>13152</v>
      </c>
      <c r="J182" t="s">
        <v>9302</v>
      </c>
      <c r="K182" t="s">
        <v>13906</v>
      </c>
      <c r="L182" t="s">
        <v>6261</v>
      </c>
      <c r="M182" t="s">
        <v>13113</v>
      </c>
      <c r="N182" t="s">
        <v>13114</v>
      </c>
      <c r="O182" t="s">
        <v>13115</v>
      </c>
      <c r="P182" t="s">
        <v>13907</v>
      </c>
      <c r="Q182" t="s">
        <v>13908</v>
      </c>
      <c r="S182" t="s">
        <v>9309</v>
      </c>
      <c r="U182" t="s">
        <v>484</v>
      </c>
      <c r="V182" t="s">
        <v>193</v>
      </c>
      <c r="W182" t="s">
        <v>9310</v>
      </c>
      <c r="Z182" t="s">
        <v>9311</v>
      </c>
      <c r="AF182" t="s">
        <v>4714</v>
      </c>
      <c r="AG182" t="s">
        <v>13905</v>
      </c>
      <c r="AI182" t="s">
        <v>6955</v>
      </c>
      <c r="AJ182" s="27" t="str">
        <f t="shared" si="4"/>
        <v>251401</v>
      </c>
      <c r="AK182" s="27">
        <v>1</v>
      </c>
      <c r="AL182" s="27">
        <f t="shared" si="5"/>
        <v>1</v>
      </c>
      <c r="AM182" s="28">
        <v>1</v>
      </c>
    </row>
    <row r="183" spans="1:39" x14ac:dyDescent="0.25">
      <c r="A183" t="s">
        <v>247</v>
      </c>
      <c r="B183" t="s">
        <v>13909</v>
      </c>
      <c r="C183" t="s">
        <v>10</v>
      </c>
      <c r="D183" s="25" t="s">
        <v>13110</v>
      </c>
      <c r="E183" t="s">
        <v>192</v>
      </c>
      <c r="F183" s="28">
        <v>1</v>
      </c>
      <c r="G183" t="s">
        <v>193</v>
      </c>
      <c r="H183" t="s">
        <v>194</v>
      </c>
      <c r="I183" t="s">
        <v>13111</v>
      </c>
      <c r="J183" t="s">
        <v>9302</v>
      </c>
      <c r="K183" t="s">
        <v>13910</v>
      </c>
      <c r="L183" t="s">
        <v>6261</v>
      </c>
      <c r="M183" t="s">
        <v>13113</v>
      </c>
      <c r="N183" t="s">
        <v>13114</v>
      </c>
      <c r="O183" t="s">
        <v>13115</v>
      </c>
      <c r="P183" t="s">
        <v>13911</v>
      </c>
      <c r="Q183" t="s">
        <v>13912</v>
      </c>
      <c r="S183" t="s">
        <v>9309</v>
      </c>
      <c r="U183" t="s">
        <v>484</v>
      </c>
      <c r="V183" t="s">
        <v>193</v>
      </c>
      <c r="W183" t="s">
        <v>9310</v>
      </c>
      <c r="Z183" t="s">
        <v>9311</v>
      </c>
      <c r="AF183" t="s">
        <v>4714</v>
      </c>
      <c r="AG183" t="s">
        <v>13909</v>
      </c>
      <c r="AI183" t="s">
        <v>6955</v>
      </c>
      <c r="AJ183" s="27" t="str">
        <f t="shared" si="4"/>
        <v>251401</v>
      </c>
      <c r="AK183" s="27">
        <v>1</v>
      </c>
      <c r="AL183" s="27">
        <f t="shared" si="5"/>
        <v>1</v>
      </c>
      <c r="AM183" s="28">
        <v>1</v>
      </c>
    </row>
    <row r="184" spans="1:39" x14ac:dyDescent="0.25">
      <c r="A184" t="s">
        <v>1537</v>
      </c>
      <c r="B184" t="s">
        <v>4916</v>
      </c>
      <c r="C184" t="s">
        <v>20</v>
      </c>
      <c r="D184" s="25" t="s">
        <v>13110</v>
      </c>
      <c r="E184" t="s">
        <v>192</v>
      </c>
      <c r="F184" s="28">
        <v>1</v>
      </c>
      <c r="G184" t="s">
        <v>193</v>
      </c>
      <c r="H184" t="s">
        <v>194</v>
      </c>
      <c r="I184" t="s">
        <v>13152</v>
      </c>
      <c r="J184" t="s">
        <v>301</v>
      </c>
      <c r="K184" t="s">
        <v>13913</v>
      </c>
      <c r="L184" t="s">
        <v>6295</v>
      </c>
      <c r="M184" t="s">
        <v>13113</v>
      </c>
      <c r="N184" t="s">
        <v>13114</v>
      </c>
      <c r="O184" t="s">
        <v>13115</v>
      </c>
      <c r="P184" t="s">
        <v>13914</v>
      </c>
      <c r="Q184" t="s">
        <v>13915</v>
      </c>
      <c r="S184" t="s">
        <v>9309</v>
      </c>
      <c r="T184" t="s">
        <v>9367</v>
      </c>
      <c r="U184" t="s">
        <v>286</v>
      </c>
      <c r="V184" t="s">
        <v>194</v>
      </c>
      <c r="W184" t="s">
        <v>9300</v>
      </c>
      <c r="Z184" t="s">
        <v>9311</v>
      </c>
      <c r="AF184" t="s">
        <v>4714</v>
      </c>
      <c r="AG184" t="s">
        <v>4916</v>
      </c>
      <c r="AI184" t="s">
        <v>6955</v>
      </c>
      <c r="AJ184" s="27" t="str">
        <f t="shared" si="4"/>
        <v>214109</v>
      </c>
      <c r="AK184" s="27">
        <v>1</v>
      </c>
      <c r="AL184" s="27">
        <f t="shared" si="5"/>
        <v>1</v>
      </c>
      <c r="AM184" s="28">
        <v>1</v>
      </c>
    </row>
    <row r="185" spans="1:39" x14ac:dyDescent="0.25">
      <c r="A185" t="s">
        <v>1537</v>
      </c>
      <c r="B185" t="s">
        <v>4916</v>
      </c>
      <c r="C185" t="s">
        <v>20</v>
      </c>
      <c r="D185" s="25" t="s">
        <v>13110</v>
      </c>
      <c r="E185" t="s">
        <v>192</v>
      </c>
      <c r="F185" s="28">
        <v>1</v>
      </c>
      <c r="G185" t="s">
        <v>193</v>
      </c>
      <c r="H185" t="s">
        <v>194</v>
      </c>
      <c r="I185" t="s">
        <v>13152</v>
      </c>
      <c r="J185" t="s">
        <v>210</v>
      </c>
      <c r="K185" t="s">
        <v>13916</v>
      </c>
      <c r="L185" t="s">
        <v>6295</v>
      </c>
      <c r="M185" t="s">
        <v>13113</v>
      </c>
      <c r="N185" t="s">
        <v>13114</v>
      </c>
      <c r="O185" t="s">
        <v>13115</v>
      </c>
      <c r="P185" t="s">
        <v>13917</v>
      </c>
      <c r="Q185" t="s">
        <v>13918</v>
      </c>
      <c r="S185" t="s">
        <v>9309</v>
      </c>
      <c r="T185" t="s">
        <v>9334</v>
      </c>
      <c r="U185" t="s">
        <v>286</v>
      </c>
      <c r="V185" t="s">
        <v>194</v>
      </c>
      <c r="W185" t="s">
        <v>9300</v>
      </c>
      <c r="Z185" t="s">
        <v>9311</v>
      </c>
      <c r="AF185" t="s">
        <v>4714</v>
      </c>
      <c r="AG185" t="s">
        <v>4916</v>
      </c>
      <c r="AI185" t="s">
        <v>6955</v>
      </c>
      <c r="AJ185" s="27" t="str">
        <f t="shared" si="4"/>
        <v>214109</v>
      </c>
      <c r="AK185" s="27">
        <v>1</v>
      </c>
      <c r="AL185" s="27">
        <f t="shared" si="5"/>
        <v>1</v>
      </c>
      <c r="AM185" s="28">
        <v>1</v>
      </c>
    </row>
    <row r="186" spans="1:39" x14ac:dyDescent="0.25">
      <c r="A186" t="s">
        <v>13919</v>
      </c>
      <c r="B186" t="s">
        <v>13920</v>
      </c>
      <c r="C186" t="s">
        <v>80</v>
      </c>
      <c r="D186" s="25" t="s">
        <v>13110</v>
      </c>
      <c r="E186" t="s">
        <v>192</v>
      </c>
      <c r="F186" s="28">
        <v>1</v>
      </c>
      <c r="G186" t="s">
        <v>193</v>
      </c>
      <c r="H186" t="s">
        <v>194</v>
      </c>
      <c r="I186" t="s">
        <v>13111</v>
      </c>
      <c r="J186" t="s">
        <v>210</v>
      </c>
      <c r="K186" t="s">
        <v>13921</v>
      </c>
      <c r="L186" t="s">
        <v>6245</v>
      </c>
      <c r="M186" t="s">
        <v>13113</v>
      </c>
      <c r="N186" t="s">
        <v>13114</v>
      </c>
      <c r="O186" t="s">
        <v>13115</v>
      </c>
      <c r="P186" t="s">
        <v>13922</v>
      </c>
      <c r="Q186" t="s">
        <v>13923</v>
      </c>
      <c r="S186" t="s">
        <v>9309</v>
      </c>
      <c r="T186" t="s">
        <v>9334</v>
      </c>
      <c r="U186" t="s">
        <v>474</v>
      </c>
      <c r="V186" t="s">
        <v>194</v>
      </c>
      <c r="W186" t="s">
        <v>9300</v>
      </c>
      <c r="Z186" t="s">
        <v>9311</v>
      </c>
      <c r="AF186" t="s">
        <v>4714</v>
      </c>
      <c r="AG186" t="s">
        <v>13920</v>
      </c>
      <c r="AI186" t="s">
        <v>6955</v>
      </c>
      <c r="AJ186" s="27" t="str">
        <f t="shared" si="4"/>
        <v>243304</v>
      </c>
      <c r="AK186" s="27">
        <v>1</v>
      </c>
      <c r="AL186" s="27">
        <f t="shared" si="5"/>
        <v>1</v>
      </c>
      <c r="AM186" s="28">
        <v>1</v>
      </c>
    </row>
    <row r="187" spans="1:39" x14ac:dyDescent="0.25">
      <c r="A187" t="s">
        <v>782</v>
      </c>
      <c r="B187" t="s">
        <v>13924</v>
      </c>
      <c r="C187" t="s">
        <v>4966</v>
      </c>
      <c r="D187" s="25" t="s">
        <v>13110</v>
      </c>
      <c r="E187" t="s">
        <v>192</v>
      </c>
      <c r="F187" s="28">
        <v>1</v>
      </c>
      <c r="G187" t="s">
        <v>193</v>
      </c>
      <c r="H187" t="s">
        <v>194</v>
      </c>
      <c r="I187" t="s">
        <v>13200</v>
      </c>
      <c r="J187" t="s">
        <v>210</v>
      </c>
      <c r="K187" t="s">
        <v>13925</v>
      </c>
      <c r="L187" t="s">
        <v>7531</v>
      </c>
      <c r="M187" t="s">
        <v>13113</v>
      </c>
      <c r="N187" t="s">
        <v>13114</v>
      </c>
      <c r="O187" t="s">
        <v>13115</v>
      </c>
      <c r="P187" t="s">
        <v>13926</v>
      </c>
      <c r="Q187" t="s">
        <v>13927</v>
      </c>
      <c r="S187" t="s">
        <v>9309</v>
      </c>
      <c r="T187" t="s">
        <v>9334</v>
      </c>
      <c r="U187" t="s">
        <v>405</v>
      </c>
      <c r="V187" t="s">
        <v>194</v>
      </c>
      <c r="W187" t="s">
        <v>9300</v>
      </c>
      <c r="Z187" t="s">
        <v>9311</v>
      </c>
      <c r="AF187" t="s">
        <v>4714</v>
      </c>
      <c r="AG187" t="s">
        <v>13924</v>
      </c>
      <c r="AI187" t="s">
        <v>6955</v>
      </c>
      <c r="AJ187" s="27" t="str">
        <f t="shared" si="4"/>
        <v>241304</v>
      </c>
      <c r="AK187" s="27">
        <v>1</v>
      </c>
      <c r="AL187" s="27">
        <f t="shared" si="5"/>
        <v>1</v>
      </c>
      <c r="AM187" s="28">
        <v>1</v>
      </c>
    </row>
    <row r="188" spans="1:39" x14ac:dyDescent="0.25">
      <c r="A188" t="s">
        <v>13928</v>
      </c>
      <c r="B188" t="s">
        <v>467</v>
      </c>
      <c r="C188" t="s">
        <v>468</v>
      </c>
      <c r="D188" s="25" t="s">
        <v>13110</v>
      </c>
      <c r="E188" t="s">
        <v>192</v>
      </c>
      <c r="F188" s="28">
        <v>1</v>
      </c>
      <c r="G188" t="s">
        <v>193</v>
      </c>
      <c r="H188" t="s">
        <v>194</v>
      </c>
      <c r="I188" t="s">
        <v>13160</v>
      </c>
      <c r="J188" t="s">
        <v>210</v>
      </c>
      <c r="K188" t="s">
        <v>13929</v>
      </c>
      <c r="L188" t="s">
        <v>6288</v>
      </c>
      <c r="M188" t="s">
        <v>13113</v>
      </c>
      <c r="N188" t="s">
        <v>13114</v>
      </c>
      <c r="O188" t="s">
        <v>13675</v>
      </c>
      <c r="P188" t="s">
        <v>13930</v>
      </c>
      <c r="Q188" t="s">
        <v>13931</v>
      </c>
      <c r="S188" t="s">
        <v>9309</v>
      </c>
      <c r="T188" t="s">
        <v>9334</v>
      </c>
      <c r="U188" t="s">
        <v>469</v>
      </c>
      <c r="V188" t="s">
        <v>194</v>
      </c>
      <c r="W188" t="s">
        <v>9300</v>
      </c>
      <c r="Z188" t="s">
        <v>9311</v>
      </c>
      <c r="AF188" t="s">
        <v>4714</v>
      </c>
      <c r="AG188" t="s">
        <v>467</v>
      </c>
      <c r="AI188" t="s">
        <v>6955</v>
      </c>
      <c r="AJ188" s="27" t="str">
        <f t="shared" si="4"/>
        <v>243303</v>
      </c>
      <c r="AK188" s="27">
        <v>1</v>
      </c>
      <c r="AL188" s="27">
        <f t="shared" si="5"/>
        <v>1</v>
      </c>
      <c r="AM188" s="28">
        <v>1</v>
      </c>
    </row>
    <row r="189" spans="1:39" x14ac:dyDescent="0.25">
      <c r="A189" t="s">
        <v>493</v>
      </c>
      <c r="B189" t="s">
        <v>13932</v>
      </c>
      <c r="C189" t="s">
        <v>2861</v>
      </c>
      <c r="D189" s="25" t="s">
        <v>13110</v>
      </c>
      <c r="E189" t="s">
        <v>192</v>
      </c>
      <c r="F189" s="28">
        <v>1</v>
      </c>
      <c r="G189" t="s">
        <v>193</v>
      </c>
      <c r="H189" t="s">
        <v>194</v>
      </c>
      <c r="I189" t="s">
        <v>13119</v>
      </c>
      <c r="J189" t="s">
        <v>210</v>
      </c>
      <c r="K189" t="s">
        <v>13933</v>
      </c>
      <c r="L189" t="s">
        <v>6921</v>
      </c>
      <c r="M189" t="s">
        <v>13113</v>
      </c>
      <c r="N189" t="s">
        <v>13114</v>
      </c>
      <c r="O189" t="s">
        <v>13115</v>
      </c>
      <c r="P189" t="s">
        <v>13934</v>
      </c>
      <c r="Q189" t="s">
        <v>13935</v>
      </c>
      <c r="S189" t="s">
        <v>9309</v>
      </c>
      <c r="T189" t="s">
        <v>9334</v>
      </c>
      <c r="U189" t="s">
        <v>3629</v>
      </c>
      <c r="V189" t="s">
        <v>194</v>
      </c>
      <c r="W189" t="s">
        <v>9300</v>
      </c>
      <c r="Z189" t="s">
        <v>9311</v>
      </c>
      <c r="AF189" t="s">
        <v>4714</v>
      </c>
      <c r="AG189" t="s">
        <v>13932</v>
      </c>
      <c r="AI189" t="s">
        <v>6955</v>
      </c>
      <c r="AJ189" s="27" t="str">
        <f t="shared" si="4"/>
        <v>251903</v>
      </c>
      <c r="AK189" s="27">
        <v>1</v>
      </c>
      <c r="AL189" s="27">
        <f t="shared" si="5"/>
        <v>1</v>
      </c>
      <c r="AM189" s="28">
        <v>1</v>
      </c>
    </row>
    <row r="190" spans="1:39" x14ac:dyDescent="0.25">
      <c r="A190" t="s">
        <v>493</v>
      </c>
      <c r="B190" t="s">
        <v>13936</v>
      </c>
      <c r="C190" t="s">
        <v>2861</v>
      </c>
      <c r="D190" s="25" t="s">
        <v>13110</v>
      </c>
      <c r="E190" t="s">
        <v>192</v>
      </c>
      <c r="F190" s="28">
        <v>1</v>
      </c>
      <c r="G190" t="s">
        <v>193</v>
      </c>
      <c r="H190" t="s">
        <v>194</v>
      </c>
      <c r="I190" t="s">
        <v>13111</v>
      </c>
      <c r="J190" t="s">
        <v>210</v>
      </c>
      <c r="K190" t="s">
        <v>13937</v>
      </c>
      <c r="L190" t="s">
        <v>6261</v>
      </c>
      <c r="M190" t="s">
        <v>13113</v>
      </c>
      <c r="N190" t="s">
        <v>13114</v>
      </c>
      <c r="O190" t="s">
        <v>13115</v>
      </c>
      <c r="P190" t="s">
        <v>13938</v>
      </c>
      <c r="Q190" t="s">
        <v>13939</v>
      </c>
      <c r="S190" t="s">
        <v>9309</v>
      </c>
      <c r="T190" t="s">
        <v>9334</v>
      </c>
      <c r="U190" t="s">
        <v>3629</v>
      </c>
      <c r="V190" t="s">
        <v>194</v>
      </c>
      <c r="W190" t="s">
        <v>9300</v>
      </c>
      <c r="Z190" t="s">
        <v>9311</v>
      </c>
      <c r="AF190" t="s">
        <v>4714</v>
      </c>
      <c r="AG190" t="s">
        <v>13936</v>
      </c>
      <c r="AI190" t="s">
        <v>6955</v>
      </c>
      <c r="AJ190" s="27" t="str">
        <f t="shared" si="4"/>
        <v>251903</v>
      </c>
      <c r="AK190" s="27">
        <v>1</v>
      </c>
      <c r="AL190" s="27">
        <f t="shared" si="5"/>
        <v>1</v>
      </c>
      <c r="AM190" s="28">
        <v>1</v>
      </c>
    </row>
    <row r="191" spans="1:39" x14ac:dyDescent="0.25">
      <c r="A191" t="s">
        <v>493</v>
      </c>
      <c r="B191" t="s">
        <v>13940</v>
      </c>
      <c r="C191" t="s">
        <v>2993</v>
      </c>
      <c r="D191" s="25" t="s">
        <v>13110</v>
      </c>
      <c r="E191" t="s">
        <v>192</v>
      </c>
      <c r="F191" s="28">
        <v>1</v>
      </c>
      <c r="G191" t="s">
        <v>193</v>
      </c>
      <c r="H191" t="s">
        <v>194</v>
      </c>
      <c r="I191" t="s">
        <v>13303</v>
      </c>
      <c r="J191" t="s">
        <v>210</v>
      </c>
      <c r="K191" t="s">
        <v>13941</v>
      </c>
      <c r="L191" t="s">
        <v>6327</v>
      </c>
      <c r="M191" t="s">
        <v>13113</v>
      </c>
      <c r="N191" t="s">
        <v>13114</v>
      </c>
      <c r="O191" t="s">
        <v>13115</v>
      </c>
      <c r="P191" t="s">
        <v>13942</v>
      </c>
      <c r="Q191" t="s">
        <v>13943</v>
      </c>
      <c r="S191" t="s">
        <v>9309</v>
      </c>
      <c r="T191" t="s">
        <v>9334</v>
      </c>
      <c r="U191" t="s">
        <v>3793</v>
      </c>
      <c r="V191" t="s">
        <v>194</v>
      </c>
      <c r="W191" t="s">
        <v>9300</v>
      </c>
      <c r="Z191" t="s">
        <v>9311</v>
      </c>
      <c r="AF191" t="s">
        <v>4714</v>
      </c>
      <c r="AG191" t="s">
        <v>13940</v>
      </c>
      <c r="AI191" t="s">
        <v>6955</v>
      </c>
      <c r="AJ191" s="27" t="str">
        <f t="shared" si="4"/>
        <v>251904</v>
      </c>
      <c r="AK191" s="27">
        <v>1</v>
      </c>
      <c r="AL191" s="27">
        <f t="shared" si="5"/>
        <v>1</v>
      </c>
      <c r="AM191" s="28">
        <v>1</v>
      </c>
    </row>
    <row r="192" spans="1:39" x14ac:dyDescent="0.25">
      <c r="A192" t="s">
        <v>493</v>
      </c>
      <c r="B192" t="s">
        <v>13944</v>
      </c>
      <c r="C192" t="s">
        <v>133</v>
      </c>
      <c r="D192" s="25" t="s">
        <v>13110</v>
      </c>
      <c r="E192" t="s">
        <v>192</v>
      </c>
      <c r="F192" s="28">
        <v>1</v>
      </c>
      <c r="G192" t="s">
        <v>193</v>
      </c>
      <c r="H192" t="s">
        <v>194</v>
      </c>
      <c r="I192" t="s">
        <v>13303</v>
      </c>
      <c r="J192" t="s">
        <v>210</v>
      </c>
      <c r="K192" t="s">
        <v>13945</v>
      </c>
      <c r="L192" t="s">
        <v>6327</v>
      </c>
      <c r="M192" t="s">
        <v>13113</v>
      </c>
      <c r="N192" t="s">
        <v>13114</v>
      </c>
      <c r="O192" t="s">
        <v>13115</v>
      </c>
      <c r="P192" t="s">
        <v>13946</v>
      </c>
      <c r="Q192" t="s">
        <v>13947</v>
      </c>
      <c r="S192" t="s">
        <v>9309</v>
      </c>
      <c r="T192" t="s">
        <v>9334</v>
      </c>
      <c r="U192" t="s">
        <v>673</v>
      </c>
      <c r="V192" t="s">
        <v>194</v>
      </c>
      <c r="W192" t="s">
        <v>9300</v>
      </c>
      <c r="Z192" t="s">
        <v>9311</v>
      </c>
      <c r="AF192" t="s">
        <v>4714</v>
      </c>
      <c r="AG192" t="s">
        <v>13944</v>
      </c>
      <c r="AI192" t="s">
        <v>6955</v>
      </c>
      <c r="AJ192" s="27" t="str">
        <f t="shared" si="4"/>
        <v>333107</v>
      </c>
      <c r="AK192" s="27">
        <v>1</v>
      </c>
      <c r="AL192" s="27">
        <f t="shared" si="5"/>
        <v>1</v>
      </c>
      <c r="AM192" s="28">
        <v>1</v>
      </c>
    </row>
    <row r="193" spans="1:39" x14ac:dyDescent="0.25">
      <c r="A193" t="s">
        <v>493</v>
      </c>
      <c r="B193" t="s">
        <v>13948</v>
      </c>
      <c r="C193" t="s">
        <v>13949</v>
      </c>
      <c r="D193" s="25" t="s">
        <v>13110</v>
      </c>
      <c r="E193" t="s">
        <v>192</v>
      </c>
      <c r="F193" s="28">
        <v>1</v>
      </c>
      <c r="G193" t="s">
        <v>193</v>
      </c>
      <c r="H193" t="s">
        <v>194</v>
      </c>
      <c r="I193" t="s">
        <v>13303</v>
      </c>
      <c r="J193" t="s">
        <v>210</v>
      </c>
      <c r="K193" t="s">
        <v>13950</v>
      </c>
      <c r="L193" t="s">
        <v>6921</v>
      </c>
      <c r="M193" t="s">
        <v>13113</v>
      </c>
      <c r="N193" t="s">
        <v>13114</v>
      </c>
      <c r="O193" t="s">
        <v>13115</v>
      </c>
      <c r="P193" t="s">
        <v>13951</v>
      </c>
      <c r="Q193" t="s">
        <v>13952</v>
      </c>
      <c r="S193" t="s">
        <v>9309</v>
      </c>
      <c r="T193" t="s">
        <v>9334</v>
      </c>
      <c r="U193" t="s">
        <v>13953</v>
      </c>
      <c r="V193" t="s">
        <v>194</v>
      </c>
      <c r="W193" t="s">
        <v>9300</v>
      </c>
      <c r="Z193" t="s">
        <v>9311</v>
      </c>
      <c r="AF193" t="s">
        <v>4714</v>
      </c>
      <c r="AG193" t="s">
        <v>13948</v>
      </c>
      <c r="AI193" t="s">
        <v>6955</v>
      </c>
      <c r="AJ193" s="27" t="str">
        <f t="shared" si="4"/>
        <v>341206</v>
      </c>
      <c r="AK193" s="27">
        <v>1</v>
      </c>
      <c r="AL193" s="27">
        <f t="shared" si="5"/>
        <v>1</v>
      </c>
      <c r="AM193" s="28">
        <v>1</v>
      </c>
    </row>
    <row r="194" spans="1:39" x14ac:dyDescent="0.25">
      <c r="A194" t="s">
        <v>493</v>
      </c>
      <c r="B194" t="s">
        <v>13954</v>
      </c>
      <c r="C194" t="s">
        <v>378</v>
      </c>
      <c r="D194" s="25" t="s">
        <v>13110</v>
      </c>
      <c r="E194" t="s">
        <v>192</v>
      </c>
      <c r="F194" s="28">
        <v>1</v>
      </c>
      <c r="G194" t="s">
        <v>193</v>
      </c>
      <c r="H194" t="s">
        <v>194</v>
      </c>
      <c r="I194" t="s">
        <v>13303</v>
      </c>
      <c r="J194" t="s">
        <v>210</v>
      </c>
      <c r="K194" t="s">
        <v>13955</v>
      </c>
      <c r="L194" t="s">
        <v>6921</v>
      </c>
      <c r="M194" t="s">
        <v>13113</v>
      </c>
      <c r="N194" t="s">
        <v>13114</v>
      </c>
      <c r="O194" t="s">
        <v>13115</v>
      </c>
      <c r="P194" t="s">
        <v>13956</v>
      </c>
      <c r="Q194" t="s">
        <v>13957</v>
      </c>
      <c r="S194" t="s">
        <v>9309</v>
      </c>
      <c r="T194" t="s">
        <v>9334</v>
      </c>
      <c r="U194" t="s">
        <v>379</v>
      </c>
      <c r="V194" t="s">
        <v>194</v>
      </c>
      <c r="W194" t="s">
        <v>9300</v>
      </c>
      <c r="Z194" t="s">
        <v>9311</v>
      </c>
      <c r="AF194" t="s">
        <v>4714</v>
      </c>
      <c r="AG194" t="s">
        <v>13954</v>
      </c>
      <c r="AI194" t="s">
        <v>6955</v>
      </c>
      <c r="AJ194" s="27" t="str">
        <f t="shared" si="4"/>
        <v>215303</v>
      </c>
      <c r="AK194" s="27">
        <v>1</v>
      </c>
      <c r="AL194" s="27">
        <f t="shared" si="5"/>
        <v>1</v>
      </c>
      <c r="AM194" s="28">
        <v>1</v>
      </c>
    </row>
    <row r="195" spans="1:39" x14ac:dyDescent="0.25">
      <c r="A195" t="s">
        <v>11473</v>
      </c>
      <c r="B195" t="s">
        <v>13958</v>
      </c>
      <c r="C195" t="s">
        <v>82</v>
      </c>
      <c r="D195" s="25" t="s">
        <v>13110</v>
      </c>
      <c r="E195" t="s">
        <v>192</v>
      </c>
      <c r="F195" s="28">
        <v>1</v>
      </c>
      <c r="G195" t="s">
        <v>193</v>
      </c>
      <c r="H195" t="s">
        <v>194</v>
      </c>
      <c r="I195" t="s">
        <v>13152</v>
      </c>
      <c r="J195" t="s">
        <v>9302</v>
      </c>
      <c r="K195" t="s">
        <v>13959</v>
      </c>
      <c r="L195" t="s">
        <v>6921</v>
      </c>
      <c r="M195" t="s">
        <v>13113</v>
      </c>
      <c r="N195" t="s">
        <v>13114</v>
      </c>
      <c r="O195" t="s">
        <v>13115</v>
      </c>
      <c r="P195" t="s">
        <v>13960</v>
      </c>
      <c r="Q195" t="s">
        <v>13961</v>
      </c>
      <c r="S195" t="s">
        <v>9309</v>
      </c>
      <c r="U195" t="s">
        <v>504</v>
      </c>
      <c r="V195" t="s">
        <v>193</v>
      </c>
      <c r="W195" t="s">
        <v>9310</v>
      </c>
      <c r="Z195" t="s">
        <v>9311</v>
      </c>
      <c r="AF195" t="s">
        <v>4714</v>
      </c>
      <c r="AG195" t="s">
        <v>13958</v>
      </c>
      <c r="AI195" t="s">
        <v>6955</v>
      </c>
      <c r="AJ195" s="27" t="str">
        <f t="shared" ref="AJ195:AJ258" si="6">MID(U195,8,6)</f>
        <v>252101</v>
      </c>
      <c r="AK195" s="27">
        <v>1</v>
      </c>
      <c r="AL195" s="27">
        <f t="shared" ref="AL195:AL258" si="7">SUM(F195)</f>
        <v>1</v>
      </c>
      <c r="AM195" s="28">
        <v>1</v>
      </c>
    </row>
    <row r="196" spans="1:39" x14ac:dyDescent="0.25">
      <c r="A196" t="s">
        <v>13962</v>
      </c>
      <c r="B196" t="s">
        <v>13963</v>
      </c>
      <c r="C196" t="s">
        <v>706</v>
      </c>
      <c r="D196" s="25" t="s">
        <v>13110</v>
      </c>
      <c r="E196" t="s">
        <v>192</v>
      </c>
      <c r="F196" s="28">
        <v>1</v>
      </c>
      <c r="G196" t="s">
        <v>193</v>
      </c>
      <c r="H196" t="s">
        <v>194</v>
      </c>
      <c r="I196" t="s">
        <v>13303</v>
      </c>
      <c r="J196" t="s">
        <v>9302</v>
      </c>
      <c r="K196" t="s">
        <v>13964</v>
      </c>
      <c r="L196" t="s">
        <v>6921</v>
      </c>
      <c r="M196" t="s">
        <v>13113</v>
      </c>
      <c r="N196" t="s">
        <v>13114</v>
      </c>
      <c r="O196" t="s">
        <v>13115</v>
      </c>
      <c r="P196" t="s">
        <v>13965</v>
      </c>
      <c r="Q196" t="s">
        <v>13966</v>
      </c>
      <c r="S196" t="s">
        <v>9309</v>
      </c>
      <c r="U196" t="s">
        <v>707</v>
      </c>
      <c r="V196" t="s">
        <v>193</v>
      </c>
      <c r="W196" t="s">
        <v>9310</v>
      </c>
      <c r="Z196" t="s">
        <v>9311</v>
      </c>
      <c r="AF196" t="s">
        <v>4714</v>
      </c>
      <c r="AG196" t="s">
        <v>13963</v>
      </c>
      <c r="AI196" t="s">
        <v>6955</v>
      </c>
      <c r="AJ196" s="27" t="str">
        <f t="shared" si="6"/>
        <v>422201</v>
      </c>
      <c r="AK196" s="27">
        <v>1</v>
      </c>
      <c r="AL196" s="27">
        <f t="shared" si="7"/>
        <v>1</v>
      </c>
      <c r="AM196" s="28">
        <v>1</v>
      </c>
    </row>
    <row r="197" spans="1:39" x14ac:dyDescent="0.25">
      <c r="A197" t="s">
        <v>13967</v>
      </c>
      <c r="B197" t="s">
        <v>13968</v>
      </c>
      <c r="C197" t="s">
        <v>35</v>
      </c>
      <c r="D197" s="25" t="s">
        <v>13110</v>
      </c>
      <c r="E197" t="s">
        <v>192</v>
      </c>
      <c r="F197" s="28">
        <v>1</v>
      </c>
      <c r="G197" t="s">
        <v>193</v>
      </c>
      <c r="H197" t="s">
        <v>194</v>
      </c>
      <c r="I197" t="s">
        <v>13303</v>
      </c>
      <c r="J197" t="s">
        <v>276</v>
      </c>
      <c r="K197" t="s">
        <v>13969</v>
      </c>
      <c r="L197" t="s">
        <v>6245</v>
      </c>
      <c r="M197" t="s">
        <v>13113</v>
      </c>
      <c r="N197" t="s">
        <v>13114</v>
      </c>
      <c r="O197" t="s">
        <v>13115</v>
      </c>
      <c r="P197" t="s">
        <v>13970</v>
      </c>
      <c r="Q197" t="s">
        <v>13971</v>
      </c>
      <c r="S197" t="s">
        <v>9309</v>
      </c>
      <c r="T197" t="s">
        <v>9786</v>
      </c>
      <c r="U197" t="s">
        <v>207</v>
      </c>
      <c r="V197" t="s">
        <v>194</v>
      </c>
      <c r="W197" t="s">
        <v>9300</v>
      </c>
      <c r="Z197" t="s">
        <v>9311</v>
      </c>
      <c r="AF197" t="s">
        <v>4714</v>
      </c>
      <c r="AG197" t="s">
        <v>13968</v>
      </c>
      <c r="AI197" t="s">
        <v>6955</v>
      </c>
      <c r="AJ197" s="27" t="str">
        <f t="shared" si="6"/>
        <v>122106</v>
      </c>
      <c r="AK197" s="27">
        <v>1</v>
      </c>
      <c r="AL197" s="27">
        <f t="shared" si="7"/>
        <v>1</v>
      </c>
      <c r="AM197" s="28">
        <v>1</v>
      </c>
    </row>
    <row r="198" spans="1:39" x14ac:dyDescent="0.25">
      <c r="A198" t="s">
        <v>13967</v>
      </c>
      <c r="B198" t="s">
        <v>12517</v>
      </c>
      <c r="C198" t="s">
        <v>17</v>
      </c>
      <c r="D198" s="25" t="s">
        <v>13110</v>
      </c>
      <c r="E198" t="s">
        <v>192</v>
      </c>
      <c r="F198" s="28">
        <v>1</v>
      </c>
      <c r="G198" t="s">
        <v>193</v>
      </c>
      <c r="H198" t="s">
        <v>194</v>
      </c>
      <c r="I198" t="s">
        <v>13125</v>
      </c>
      <c r="J198" t="s">
        <v>276</v>
      </c>
      <c r="K198" t="s">
        <v>13972</v>
      </c>
      <c r="L198" t="s">
        <v>6245</v>
      </c>
      <c r="M198" t="s">
        <v>13113</v>
      </c>
      <c r="N198" t="s">
        <v>13114</v>
      </c>
      <c r="O198" t="s">
        <v>13115</v>
      </c>
      <c r="P198" t="s">
        <v>13973</v>
      </c>
      <c r="Q198" t="s">
        <v>13974</v>
      </c>
      <c r="S198" t="s">
        <v>9309</v>
      </c>
      <c r="T198" t="s">
        <v>9786</v>
      </c>
      <c r="U198" t="s">
        <v>624</v>
      </c>
      <c r="V198" t="s">
        <v>194</v>
      </c>
      <c r="W198" t="s">
        <v>9300</v>
      </c>
      <c r="Z198" t="s">
        <v>9311</v>
      </c>
      <c r="AF198" t="s">
        <v>4714</v>
      </c>
      <c r="AG198" t="s">
        <v>12517</v>
      </c>
      <c r="AI198" t="s">
        <v>6955</v>
      </c>
      <c r="AJ198" s="27" t="str">
        <f t="shared" si="6"/>
        <v>332203</v>
      </c>
      <c r="AK198" s="27">
        <v>1</v>
      </c>
      <c r="AL198" s="27">
        <f t="shared" si="7"/>
        <v>1</v>
      </c>
      <c r="AM198" s="28">
        <v>1</v>
      </c>
    </row>
    <row r="199" spans="1:39" x14ac:dyDescent="0.25">
      <c r="A199" t="s">
        <v>3234</v>
      </c>
      <c r="B199" t="s">
        <v>13975</v>
      </c>
      <c r="C199" t="s">
        <v>5485</v>
      </c>
      <c r="D199" s="25" t="s">
        <v>13110</v>
      </c>
      <c r="E199" t="s">
        <v>192</v>
      </c>
      <c r="F199" s="28">
        <v>1</v>
      </c>
      <c r="G199" t="s">
        <v>193</v>
      </c>
      <c r="H199" t="s">
        <v>194</v>
      </c>
      <c r="I199" t="s">
        <v>13303</v>
      </c>
      <c r="J199" t="s">
        <v>210</v>
      </c>
      <c r="K199" t="s">
        <v>13976</v>
      </c>
      <c r="L199" t="s">
        <v>6258</v>
      </c>
      <c r="M199" t="s">
        <v>13113</v>
      </c>
      <c r="N199" t="s">
        <v>13114</v>
      </c>
      <c r="O199" t="s">
        <v>13115</v>
      </c>
      <c r="P199" t="s">
        <v>13977</v>
      </c>
      <c r="Q199" t="s">
        <v>13978</v>
      </c>
      <c r="S199" t="s">
        <v>9309</v>
      </c>
      <c r="T199" t="s">
        <v>9334</v>
      </c>
      <c r="U199" t="s">
        <v>5486</v>
      </c>
      <c r="V199" t="s">
        <v>194</v>
      </c>
      <c r="W199" t="s">
        <v>9300</v>
      </c>
      <c r="Z199" t="s">
        <v>9311</v>
      </c>
      <c r="AF199" t="s">
        <v>4714</v>
      </c>
      <c r="AG199" t="s">
        <v>13975</v>
      </c>
      <c r="AI199" t="s">
        <v>6955</v>
      </c>
      <c r="AJ199" s="27" t="str">
        <f t="shared" si="6"/>
        <v>311402</v>
      </c>
      <c r="AK199" s="27">
        <v>1</v>
      </c>
      <c r="AL199" s="27">
        <f t="shared" si="7"/>
        <v>1</v>
      </c>
      <c r="AM199" s="28">
        <v>1</v>
      </c>
    </row>
    <row r="200" spans="1:39" x14ac:dyDescent="0.25">
      <c r="A200" t="s">
        <v>10378</v>
      </c>
      <c r="B200" t="s">
        <v>10379</v>
      </c>
      <c r="C200" t="s">
        <v>17</v>
      </c>
      <c r="D200" s="25" t="s">
        <v>13110</v>
      </c>
      <c r="E200" t="s">
        <v>192</v>
      </c>
      <c r="F200" s="28">
        <v>1</v>
      </c>
      <c r="G200" t="s">
        <v>193</v>
      </c>
      <c r="H200" t="s">
        <v>194</v>
      </c>
      <c r="I200" t="s">
        <v>13152</v>
      </c>
      <c r="J200" t="s">
        <v>9302</v>
      </c>
      <c r="K200" t="s">
        <v>13979</v>
      </c>
      <c r="L200" t="s">
        <v>6266</v>
      </c>
      <c r="M200" t="s">
        <v>13113</v>
      </c>
      <c r="N200" t="s">
        <v>13114</v>
      </c>
      <c r="O200" t="s">
        <v>13115</v>
      </c>
      <c r="P200" t="s">
        <v>13980</v>
      </c>
      <c r="Q200" t="s">
        <v>13981</v>
      </c>
      <c r="S200" t="s">
        <v>9309</v>
      </c>
      <c r="U200" t="s">
        <v>624</v>
      </c>
      <c r="V200" t="s">
        <v>193</v>
      </c>
      <c r="W200" t="s">
        <v>9310</v>
      </c>
      <c r="Z200" t="s">
        <v>9311</v>
      </c>
      <c r="AF200" t="s">
        <v>4714</v>
      </c>
      <c r="AG200" t="s">
        <v>10379</v>
      </c>
      <c r="AI200" t="s">
        <v>6955</v>
      </c>
      <c r="AJ200" s="27" t="str">
        <f t="shared" si="6"/>
        <v>332203</v>
      </c>
      <c r="AK200" s="27">
        <v>1</v>
      </c>
      <c r="AL200" s="27">
        <f t="shared" si="7"/>
        <v>1</v>
      </c>
      <c r="AM200" s="28">
        <v>1</v>
      </c>
    </row>
    <row r="201" spans="1:39" x14ac:dyDescent="0.25">
      <c r="A201" t="s">
        <v>4732</v>
      </c>
      <c r="B201" t="s">
        <v>13982</v>
      </c>
      <c r="C201" t="s">
        <v>43</v>
      </c>
      <c r="D201" s="25" t="s">
        <v>13110</v>
      </c>
      <c r="E201" t="s">
        <v>192</v>
      </c>
      <c r="F201" s="28">
        <v>1</v>
      </c>
      <c r="G201" t="s">
        <v>193</v>
      </c>
      <c r="H201" t="s">
        <v>194</v>
      </c>
      <c r="I201" t="s">
        <v>13303</v>
      </c>
      <c r="J201" t="s">
        <v>9302</v>
      </c>
      <c r="K201" t="s">
        <v>13983</v>
      </c>
      <c r="L201" t="s">
        <v>6266</v>
      </c>
      <c r="M201" t="s">
        <v>13113</v>
      </c>
      <c r="N201" t="s">
        <v>13114</v>
      </c>
      <c r="O201" t="s">
        <v>13115</v>
      </c>
      <c r="P201" t="s">
        <v>13984</v>
      </c>
      <c r="Q201" t="s">
        <v>13985</v>
      </c>
      <c r="S201" t="s">
        <v>9309</v>
      </c>
      <c r="U201" t="s">
        <v>452</v>
      </c>
      <c r="V201" t="s">
        <v>193</v>
      </c>
      <c r="W201" t="s">
        <v>9310</v>
      </c>
      <c r="Z201" t="s">
        <v>9311</v>
      </c>
      <c r="AF201" t="s">
        <v>4714</v>
      </c>
      <c r="AG201" t="s">
        <v>13982</v>
      </c>
      <c r="AI201" t="s">
        <v>6955</v>
      </c>
      <c r="AJ201" s="27" t="str">
        <f t="shared" si="6"/>
        <v>243106</v>
      </c>
      <c r="AK201" s="27">
        <v>1</v>
      </c>
      <c r="AL201" s="27">
        <f t="shared" si="7"/>
        <v>1</v>
      </c>
      <c r="AM201" s="28">
        <v>1</v>
      </c>
    </row>
    <row r="202" spans="1:39" x14ac:dyDescent="0.25">
      <c r="A202" t="s">
        <v>13986</v>
      </c>
      <c r="B202" t="s">
        <v>1838</v>
      </c>
      <c r="C202" t="s">
        <v>13987</v>
      </c>
      <c r="D202" s="25" t="s">
        <v>13110</v>
      </c>
      <c r="E202" t="s">
        <v>217</v>
      </c>
      <c r="F202" s="28">
        <v>1</v>
      </c>
      <c r="G202" t="s">
        <v>193</v>
      </c>
      <c r="H202" t="s">
        <v>194</v>
      </c>
      <c r="I202" t="s">
        <v>13152</v>
      </c>
      <c r="J202" t="s">
        <v>755</v>
      </c>
      <c r="K202" t="s">
        <v>13988</v>
      </c>
      <c r="L202" t="s">
        <v>6389</v>
      </c>
      <c r="M202" t="s">
        <v>13286</v>
      </c>
      <c r="N202" t="s">
        <v>12260</v>
      </c>
      <c r="O202" t="s">
        <v>13200</v>
      </c>
      <c r="P202" t="s">
        <v>13989</v>
      </c>
      <c r="Q202" t="s">
        <v>13990</v>
      </c>
      <c r="S202" t="s">
        <v>9309</v>
      </c>
      <c r="T202" t="s">
        <v>9726</v>
      </c>
      <c r="U202" t="s">
        <v>13991</v>
      </c>
      <c r="V202" t="s">
        <v>194</v>
      </c>
      <c r="W202" t="s">
        <v>9300</v>
      </c>
      <c r="Z202" t="s">
        <v>9311</v>
      </c>
      <c r="AF202" t="s">
        <v>4714</v>
      </c>
      <c r="AG202" t="s">
        <v>9433</v>
      </c>
      <c r="AI202" t="s">
        <v>6955</v>
      </c>
      <c r="AJ202" s="27" t="str">
        <f t="shared" si="6"/>
        <v>311918</v>
      </c>
      <c r="AK202" s="27">
        <v>1</v>
      </c>
      <c r="AL202" s="27">
        <f t="shared" si="7"/>
        <v>1</v>
      </c>
      <c r="AM202" s="28">
        <v>1</v>
      </c>
    </row>
    <row r="203" spans="1:39" x14ac:dyDescent="0.25">
      <c r="A203" t="s">
        <v>13992</v>
      </c>
      <c r="B203" t="s">
        <v>2516</v>
      </c>
      <c r="C203" t="s">
        <v>85</v>
      </c>
      <c r="D203" s="25" t="s">
        <v>13110</v>
      </c>
      <c r="E203" t="s">
        <v>217</v>
      </c>
      <c r="F203" s="28">
        <v>1</v>
      </c>
      <c r="G203" t="s">
        <v>193</v>
      </c>
      <c r="H203" t="s">
        <v>194</v>
      </c>
      <c r="I203" t="s">
        <v>13152</v>
      </c>
      <c r="J203" t="s">
        <v>755</v>
      </c>
      <c r="K203" t="s">
        <v>13993</v>
      </c>
      <c r="L203" t="s">
        <v>6327</v>
      </c>
      <c r="M203" t="s">
        <v>13286</v>
      </c>
      <c r="N203" t="s">
        <v>12260</v>
      </c>
      <c r="O203" t="s">
        <v>13200</v>
      </c>
      <c r="P203" t="s">
        <v>13994</v>
      </c>
      <c r="Q203" t="s">
        <v>13995</v>
      </c>
      <c r="S203" t="s">
        <v>9309</v>
      </c>
      <c r="T203" t="s">
        <v>9726</v>
      </c>
      <c r="U203" t="s">
        <v>477</v>
      </c>
      <c r="V203" t="s">
        <v>194</v>
      </c>
      <c r="W203" t="s">
        <v>9300</v>
      </c>
      <c r="Z203" t="s">
        <v>9311</v>
      </c>
      <c r="AF203" t="s">
        <v>4714</v>
      </c>
      <c r="AG203" t="s">
        <v>9433</v>
      </c>
      <c r="AI203" t="s">
        <v>6955</v>
      </c>
      <c r="AJ203" s="27" t="str">
        <f t="shared" si="6"/>
        <v>243305</v>
      </c>
      <c r="AK203" s="27">
        <v>1</v>
      </c>
      <c r="AL203" s="27">
        <f t="shared" si="7"/>
        <v>1</v>
      </c>
      <c r="AM203" s="28">
        <v>1</v>
      </c>
    </row>
    <row r="204" spans="1:39" x14ac:dyDescent="0.25">
      <c r="A204" t="s">
        <v>13996</v>
      </c>
      <c r="B204" t="s">
        <v>13997</v>
      </c>
      <c r="C204" t="s">
        <v>21</v>
      </c>
      <c r="D204" s="25" t="s">
        <v>13110</v>
      </c>
      <c r="E204" t="s">
        <v>192</v>
      </c>
      <c r="F204" s="28">
        <v>1</v>
      </c>
      <c r="G204" t="s">
        <v>193</v>
      </c>
      <c r="H204" t="s">
        <v>194</v>
      </c>
      <c r="I204" t="s">
        <v>13125</v>
      </c>
      <c r="J204" t="s">
        <v>9302</v>
      </c>
      <c r="K204" t="s">
        <v>13998</v>
      </c>
      <c r="L204" t="s">
        <v>6324</v>
      </c>
      <c r="M204" t="s">
        <v>13113</v>
      </c>
      <c r="N204" t="s">
        <v>13114</v>
      </c>
      <c r="O204" t="s">
        <v>13115</v>
      </c>
      <c r="P204" t="s">
        <v>13999</v>
      </c>
      <c r="Q204" t="s">
        <v>14000</v>
      </c>
      <c r="S204" t="s">
        <v>9309</v>
      </c>
      <c r="U204" t="s">
        <v>293</v>
      </c>
      <c r="V204" t="s">
        <v>193</v>
      </c>
      <c r="W204" t="s">
        <v>9310</v>
      </c>
      <c r="Z204" t="s">
        <v>9311</v>
      </c>
      <c r="AF204" t="s">
        <v>4714</v>
      </c>
      <c r="AG204" t="s">
        <v>13997</v>
      </c>
      <c r="AI204" t="s">
        <v>6955</v>
      </c>
      <c r="AJ204" s="27" t="str">
        <f t="shared" si="6"/>
        <v>214202</v>
      </c>
      <c r="AK204" s="27">
        <v>1</v>
      </c>
      <c r="AL204" s="27">
        <f t="shared" si="7"/>
        <v>1</v>
      </c>
      <c r="AM204" s="28">
        <v>1</v>
      </c>
    </row>
    <row r="205" spans="1:39" x14ac:dyDescent="0.25">
      <c r="A205" t="s">
        <v>14001</v>
      </c>
      <c r="B205" t="s">
        <v>14002</v>
      </c>
      <c r="C205" t="s">
        <v>35</v>
      </c>
      <c r="D205" s="25" t="s">
        <v>13110</v>
      </c>
      <c r="E205" t="s">
        <v>192</v>
      </c>
      <c r="F205" s="28">
        <v>1</v>
      </c>
      <c r="G205" t="s">
        <v>193</v>
      </c>
      <c r="H205" t="s">
        <v>194</v>
      </c>
      <c r="I205" t="s">
        <v>13303</v>
      </c>
      <c r="J205" t="s">
        <v>5098</v>
      </c>
      <c r="K205" t="s">
        <v>14003</v>
      </c>
      <c r="L205" t="s">
        <v>6245</v>
      </c>
      <c r="M205" t="s">
        <v>13113</v>
      </c>
      <c r="N205" t="s">
        <v>13114</v>
      </c>
      <c r="O205" t="s">
        <v>13115</v>
      </c>
      <c r="P205" t="s">
        <v>14004</v>
      </c>
      <c r="Q205" t="s">
        <v>14005</v>
      </c>
      <c r="S205" t="s">
        <v>9309</v>
      </c>
      <c r="U205" t="s">
        <v>207</v>
      </c>
      <c r="V205" t="s">
        <v>193</v>
      </c>
      <c r="W205" t="s">
        <v>9310</v>
      </c>
      <c r="Z205" t="s">
        <v>9311</v>
      </c>
      <c r="AF205" t="s">
        <v>4714</v>
      </c>
      <c r="AG205" t="s">
        <v>14002</v>
      </c>
      <c r="AI205" t="s">
        <v>6955</v>
      </c>
      <c r="AJ205" s="27" t="str">
        <f t="shared" si="6"/>
        <v>122106</v>
      </c>
      <c r="AK205" s="27">
        <v>1</v>
      </c>
      <c r="AL205" s="27">
        <f t="shared" si="7"/>
        <v>1</v>
      </c>
      <c r="AM205" s="28">
        <v>1</v>
      </c>
    </row>
    <row r="206" spans="1:39" x14ac:dyDescent="0.25">
      <c r="A206" t="s">
        <v>14006</v>
      </c>
      <c r="B206" t="s">
        <v>14007</v>
      </c>
      <c r="C206" t="s">
        <v>35</v>
      </c>
      <c r="D206" s="25" t="s">
        <v>13110</v>
      </c>
      <c r="E206" t="s">
        <v>192</v>
      </c>
      <c r="F206" s="28">
        <v>1</v>
      </c>
      <c r="G206" t="s">
        <v>193</v>
      </c>
      <c r="H206" t="s">
        <v>194</v>
      </c>
      <c r="I206" t="s">
        <v>13164</v>
      </c>
      <c r="J206" t="s">
        <v>9302</v>
      </c>
      <c r="K206" t="s">
        <v>14008</v>
      </c>
      <c r="L206" t="s">
        <v>6374</v>
      </c>
      <c r="M206" t="s">
        <v>13113</v>
      </c>
      <c r="N206" t="s">
        <v>13114</v>
      </c>
      <c r="O206" t="s">
        <v>13115</v>
      </c>
      <c r="P206" t="s">
        <v>14009</v>
      </c>
      <c r="Q206" t="s">
        <v>14010</v>
      </c>
      <c r="S206" t="s">
        <v>9309</v>
      </c>
      <c r="U206" t="s">
        <v>207</v>
      </c>
      <c r="V206" t="s">
        <v>193</v>
      </c>
      <c r="W206" t="s">
        <v>9310</v>
      </c>
      <c r="Z206" t="s">
        <v>9311</v>
      </c>
      <c r="AF206" t="s">
        <v>4714</v>
      </c>
      <c r="AG206" t="s">
        <v>14007</v>
      </c>
      <c r="AI206" t="s">
        <v>6955</v>
      </c>
      <c r="AJ206" s="27" t="str">
        <f t="shared" si="6"/>
        <v>122106</v>
      </c>
      <c r="AK206" s="27">
        <v>1</v>
      </c>
      <c r="AL206" s="27">
        <f t="shared" si="7"/>
        <v>1</v>
      </c>
      <c r="AM206" s="28">
        <v>1</v>
      </c>
    </row>
    <row r="207" spans="1:39" x14ac:dyDescent="0.25">
      <c r="A207" t="s">
        <v>14011</v>
      </c>
      <c r="B207" t="s">
        <v>14012</v>
      </c>
      <c r="C207" t="s">
        <v>133</v>
      </c>
      <c r="D207" s="25" t="s">
        <v>13110</v>
      </c>
      <c r="E207" t="s">
        <v>233</v>
      </c>
      <c r="F207" s="28">
        <v>1</v>
      </c>
      <c r="G207" t="s">
        <v>193</v>
      </c>
      <c r="H207" t="s">
        <v>194</v>
      </c>
      <c r="I207" t="s">
        <v>13164</v>
      </c>
      <c r="J207" t="s">
        <v>210</v>
      </c>
      <c r="K207" t="s">
        <v>14013</v>
      </c>
      <c r="L207" t="s">
        <v>6266</v>
      </c>
      <c r="M207" t="s">
        <v>13127</v>
      </c>
      <c r="N207" t="s">
        <v>13128</v>
      </c>
      <c r="O207" t="s">
        <v>13235</v>
      </c>
      <c r="P207" t="s">
        <v>14014</v>
      </c>
      <c r="Q207" t="s">
        <v>14015</v>
      </c>
      <c r="S207" t="s">
        <v>9309</v>
      </c>
      <c r="T207" t="s">
        <v>9334</v>
      </c>
      <c r="U207" t="s">
        <v>673</v>
      </c>
      <c r="V207" t="s">
        <v>194</v>
      </c>
      <c r="W207" t="s">
        <v>9300</v>
      </c>
      <c r="Z207" t="s">
        <v>9311</v>
      </c>
      <c r="AF207" t="s">
        <v>4714</v>
      </c>
      <c r="AG207" t="s">
        <v>14012</v>
      </c>
      <c r="AI207" t="s">
        <v>6955</v>
      </c>
      <c r="AJ207" s="27" t="str">
        <f t="shared" si="6"/>
        <v>333107</v>
      </c>
      <c r="AK207" s="27">
        <v>1</v>
      </c>
      <c r="AL207" s="27">
        <f t="shared" si="7"/>
        <v>1</v>
      </c>
      <c r="AM207" s="28">
        <v>1</v>
      </c>
    </row>
    <row r="208" spans="1:39" x14ac:dyDescent="0.25">
      <c r="A208" t="s">
        <v>14016</v>
      </c>
      <c r="B208" t="s">
        <v>88</v>
      </c>
      <c r="C208" t="s">
        <v>9085</v>
      </c>
      <c r="D208" s="25" t="s">
        <v>13110</v>
      </c>
      <c r="E208" t="s">
        <v>233</v>
      </c>
      <c r="F208" s="28">
        <v>1</v>
      </c>
      <c r="G208" t="s">
        <v>194</v>
      </c>
      <c r="H208" t="s">
        <v>193</v>
      </c>
      <c r="I208" t="s">
        <v>13160</v>
      </c>
      <c r="J208" t="s">
        <v>9302</v>
      </c>
      <c r="K208" t="s">
        <v>14017</v>
      </c>
      <c r="L208" t="s">
        <v>6275</v>
      </c>
      <c r="M208" t="s">
        <v>13127</v>
      </c>
      <c r="N208" t="s">
        <v>13128</v>
      </c>
      <c r="O208" t="s">
        <v>13245</v>
      </c>
      <c r="P208" t="s">
        <v>14018</v>
      </c>
      <c r="Q208" t="s">
        <v>14019</v>
      </c>
      <c r="S208" t="s">
        <v>9309</v>
      </c>
      <c r="U208" t="s">
        <v>799</v>
      </c>
      <c r="V208" t="s">
        <v>194</v>
      </c>
      <c r="W208" t="s">
        <v>9946</v>
      </c>
      <c r="Z208" t="s">
        <v>9311</v>
      </c>
      <c r="AF208" t="s">
        <v>4714</v>
      </c>
      <c r="AG208" t="s">
        <v>88</v>
      </c>
      <c r="AI208" t="s">
        <v>6955</v>
      </c>
      <c r="AJ208" s="27" t="str">
        <f t="shared" si="6"/>
        <v>722204</v>
      </c>
      <c r="AK208" s="27">
        <v>1</v>
      </c>
      <c r="AL208" s="27">
        <f t="shared" si="7"/>
        <v>1</v>
      </c>
      <c r="AM208" s="28">
        <v>1</v>
      </c>
    </row>
    <row r="209" spans="1:39" x14ac:dyDescent="0.25">
      <c r="A209" t="s">
        <v>581</v>
      </c>
      <c r="B209" t="s">
        <v>14020</v>
      </c>
      <c r="C209" t="s">
        <v>62</v>
      </c>
      <c r="D209" s="25" t="s">
        <v>13110</v>
      </c>
      <c r="E209" t="s">
        <v>217</v>
      </c>
      <c r="F209" s="28">
        <v>1</v>
      </c>
      <c r="G209" t="s">
        <v>193</v>
      </c>
      <c r="H209" t="s">
        <v>194</v>
      </c>
      <c r="I209" t="s">
        <v>13164</v>
      </c>
      <c r="J209" t="s">
        <v>253</v>
      </c>
      <c r="K209" t="s">
        <v>14021</v>
      </c>
      <c r="L209" t="s">
        <v>6275</v>
      </c>
      <c r="M209" t="s">
        <v>13286</v>
      </c>
      <c r="N209" t="s">
        <v>14022</v>
      </c>
      <c r="O209" t="s">
        <v>10546</v>
      </c>
      <c r="P209" t="s">
        <v>14023</v>
      </c>
      <c r="Q209" t="s">
        <v>14024</v>
      </c>
      <c r="S209" t="s">
        <v>9309</v>
      </c>
      <c r="T209" t="s">
        <v>9468</v>
      </c>
      <c r="U209" t="s">
        <v>601</v>
      </c>
      <c r="V209" t="s">
        <v>194</v>
      </c>
      <c r="W209" t="s">
        <v>9300</v>
      </c>
      <c r="Z209" t="s">
        <v>9311</v>
      </c>
      <c r="AF209" t="s">
        <v>4714</v>
      </c>
      <c r="AG209" t="s">
        <v>9433</v>
      </c>
      <c r="AI209" t="s">
        <v>6955</v>
      </c>
      <c r="AJ209" s="27" t="str">
        <f t="shared" si="6"/>
        <v>313904</v>
      </c>
      <c r="AK209" s="27">
        <v>1</v>
      </c>
      <c r="AL209" s="27">
        <f t="shared" si="7"/>
        <v>1</v>
      </c>
      <c r="AM209" s="28">
        <v>1</v>
      </c>
    </row>
    <row r="210" spans="1:39" x14ac:dyDescent="0.25">
      <c r="A210" t="s">
        <v>581</v>
      </c>
      <c r="B210" t="s">
        <v>14025</v>
      </c>
      <c r="C210" t="s">
        <v>14026</v>
      </c>
      <c r="D210" s="25" t="s">
        <v>13110</v>
      </c>
      <c r="E210" t="s">
        <v>217</v>
      </c>
      <c r="F210" s="28">
        <v>1</v>
      </c>
      <c r="G210" t="s">
        <v>193</v>
      </c>
      <c r="H210" t="s">
        <v>194</v>
      </c>
      <c r="I210" t="s">
        <v>13303</v>
      </c>
      <c r="J210" t="s">
        <v>210</v>
      </c>
      <c r="K210" t="s">
        <v>14027</v>
      </c>
      <c r="L210" t="s">
        <v>6269</v>
      </c>
      <c r="M210" t="s">
        <v>13286</v>
      </c>
      <c r="N210" t="s">
        <v>14022</v>
      </c>
      <c r="O210" t="s">
        <v>13111</v>
      </c>
      <c r="P210" t="s">
        <v>14028</v>
      </c>
      <c r="Q210" t="s">
        <v>14029</v>
      </c>
      <c r="S210" t="s">
        <v>9309</v>
      </c>
      <c r="T210" t="s">
        <v>9334</v>
      </c>
      <c r="U210" t="s">
        <v>14030</v>
      </c>
      <c r="V210" t="s">
        <v>194</v>
      </c>
      <c r="W210" t="s">
        <v>9300</v>
      </c>
      <c r="Z210" t="s">
        <v>9311</v>
      </c>
      <c r="AF210" t="s">
        <v>4714</v>
      </c>
      <c r="AG210" t="s">
        <v>9433</v>
      </c>
      <c r="AI210" t="s">
        <v>6955</v>
      </c>
      <c r="AJ210" s="27" t="str">
        <f t="shared" si="6"/>
        <v>432303</v>
      </c>
      <c r="AK210" s="27">
        <v>1</v>
      </c>
      <c r="AL210" s="27">
        <f t="shared" si="7"/>
        <v>1</v>
      </c>
      <c r="AM210" s="28">
        <v>1</v>
      </c>
    </row>
    <row r="211" spans="1:39" x14ac:dyDescent="0.25">
      <c r="A211" t="s">
        <v>10446</v>
      </c>
      <c r="B211" t="s">
        <v>10447</v>
      </c>
      <c r="C211" t="s">
        <v>6617</v>
      </c>
      <c r="D211" s="25" t="s">
        <v>13110</v>
      </c>
      <c r="E211" t="s">
        <v>233</v>
      </c>
      <c r="F211" s="28">
        <v>1</v>
      </c>
      <c r="G211" t="s">
        <v>193</v>
      </c>
      <c r="H211" t="s">
        <v>194</v>
      </c>
      <c r="I211" t="s">
        <v>13111</v>
      </c>
      <c r="J211" t="s">
        <v>9302</v>
      </c>
      <c r="K211" t="s">
        <v>14031</v>
      </c>
      <c r="L211" t="s">
        <v>6266</v>
      </c>
      <c r="M211" t="s">
        <v>13127</v>
      </c>
      <c r="N211" t="s">
        <v>13128</v>
      </c>
      <c r="O211" t="s">
        <v>13129</v>
      </c>
      <c r="P211" t="s">
        <v>14032</v>
      </c>
      <c r="Q211" t="s">
        <v>14033</v>
      </c>
      <c r="S211" t="s">
        <v>9309</v>
      </c>
      <c r="U211" t="s">
        <v>990</v>
      </c>
      <c r="V211" t="s">
        <v>193</v>
      </c>
      <c r="W211" t="s">
        <v>9310</v>
      </c>
      <c r="Z211" t="s">
        <v>9311</v>
      </c>
      <c r="AF211" t="s">
        <v>4714</v>
      </c>
      <c r="AG211" t="s">
        <v>10447</v>
      </c>
      <c r="AI211" t="s">
        <v>6955</v>
      </c>
      <c r="AJ211" s="27" t="str">
        <f t="shared" si="6"/>
        <v>833202</v>
      </c>
      <c r="AK211" s="27">
        <v>1</v>
      </c>
      <c r="AL211" s="27">
        <f t="shared" si="7"/>
        <v>1</v>
      </c>
      <c r="AM211" s="28">
        <v>1</v>
      </c>
    </row>
    <row r="212" spans="1:39" x14ac:dyDescent="0.25">
      <c r="A212" t="s">
        <v>10446</v>
      </c>
      <c r="B212" t="s">
        <v>10451</v>
      </c>
      <c r="C212" t="s">
        <v>6617</v>
      </c>
      <c r="D212" s="25" t="s">
        <v>13110</v>
      </c>
      <c r="E212" t="s">
        <v>233</v>
      </c>
      <c r="F212" s="28">
        <v>1</v>
      </c>
      <c r="G212" t="s">
        <v>193</v>
      </c>
      <c r="H212" t="s">
        <v>194</v>
      </c>
      <c r="I212" t="s">
        <v>13111</v>
      </c>
      <c r="J212" t="s">
        <v>9302</v>
      </c>
      <c r="K212" t="s">
        <v>14034</v>
      </c>
      <c r="L212" t="s">
        <v>6266</v>
      </c>
      <c r="M212" t="s">
        <v>13127</v>
      </c>
      <c r="N212" t="s">
        <v>13128</v>
      </c>
      <c r="O212" t="s">
        <v>13129</v>
      </c>
      <c r="P212" t="s">
        <v>14035</v>
      </c>
      <c r="Q212" t="s">
        <v>14036</v>
      </c>
      <c r="S212" t="s">
        <v>9309</v>
      </c>
      <c r="U212" t="s">
        <v>990</v>
      </c>
      <c r="V212" t="s">
        <v>193</v>
      </c>
      <c r="W212" t="s">
        <v>9310</v>
      </c>
      <c r="Z212" t="s">
        <v>9311</v>
      </c>
      <c r="AF212" t="s">
        <v>4714</v>
      </c>
      <c r="AG212" t="s">
        <v>10451</v>
      </c>
      <c r="AI212" t="s">
        <v>6955</v>
      </c>
      <c r="AJ212" s="27" t="str">
        <f t="shared" si="6"/>
        <v>833202</v>
      </c>
      <c r="AK212" s="27">
        <v>1</v>
      </c>
      <c r="AL212" s="27">
        <f t="shared" si="7"/>
        <v>1</v>
      </c>
      <c r="AM212" s="28">
        <v>1</v>
      </c>
    </row>
    <row r="213" spans="1:39" x14ac:dyDescent="0.25">
      <c r="A213" t="s">
        <v>14037</v>
      </c>
      <c r="B213" t="s">
        <v>14038</v>
      </c>
      <c r="C213" t="s">
        <v>1668</v>
      </c>
      <c r="D213" s="25" t="s">
        <v>13110</v>
      </c>
      <c r="E213" t="s">
        <v>192</v>
      </c>
      <c r="F213" s="28">
        <v>1</v>
      </c>
      <c r="G213" t="s">
        <v>193</v>
      </c>
      <c r="H213" t="s">
        <v>194</v>
      </c>
      <c r="I213" t="s">
        <v>13303</v>
      </c>
      <c r="J213" t="s">
        <v>9302</v>
      </c>
      <c r="K213" t="s">
        <v>14039</v>
      </c>
      <c r="L213" t="s">
        <v>6312</v>
      </c>
      <c r="M213" t="s">
        <v>13113</v>
      </c>
      <c r="N213" t="s">
        <v>13114</v>
      </c>
      <c r="O213" t="s">
        <v>13115</v>
      </c>
      <c r="P213" t="s">
        <v>14040</v>
      </c>
      <c r="Q213" t="s">
        <v>14041</v>
      </c>
      <c r="S213" t="s">
        <v>9309</v>
      </c>
      <c r="U213" t="s">
        <v>1669</v>
      </c>
      <c r="V213" t="s">
        <v>193</v>
      </c>
      <c r="W213" t="s">
        <v>9310</v>
      </c>
      <c r="Z213" t="s">
        <v>9311</v>
      </c>
      <c r="AF213" t="s">
        <v>4714</v>
      </c>
      <c r="AG213" t="s">
        <v>14038</v>
      </c>
      <c r="AI213" t="s">
        <v>6955</v>
      </c>
      <c r="AJ213" s="27" t="str">
        <f t="shared" si="6"/>
        <v>233008</v>
      </c>
      <c r="AK213" s="27">
        <v>1</v>
      </c>
      <c r="AL213" s="27">
        <f t="shared" si="7"/>
        <v>1</v>
      </c>
      <c r="AM213" s="28">
        <v>1</v>
      </c>
    </row>
    <row r="214" spans="1:39" x14ac:dyDescent="0.25">
      <c r="A214" t="s">
        <v>14042</v>
      </c>
      <c r="B214" t="s">
        <v>1520</v>
      </c>
      <c r="C214" t="s">
        <v>354</v>
      </c>
      <c r="D214" s="25" t="s">
        <v>13110</v>
      </c>
      <c r="E214" t="s">
        <v>233</v>
      </c>
      <c r="F214" s="28">
        <v>1</v>
      </c>
      <c r="G214" t="s">
        <v>193</v>
      </c>
      <c r="H214" t="s">
        <v>194</v>
      </c>
      <c r="I214" t="s">
        <v>13303</v>
      </c>
      <c r="J214" t="s">
        <v>210</v>
      </c>
      <c r="K214" t="s">
        <v>14043</v>
      </c>
      <c r="L214" t="s">
        <v>6306</v>
      </c>
      <c r="M214" t="s">
        <v>13127</v>
      </c>
      <c r="N214" t="s">
        <v>13128</v>
      </c>
      <c r="O214" t="s">
        <v>13119</v>
      </c>
      <c r="P214" t="s">
        <v>14044</v>
      </c>
      <c r="Q214" t="s">
        <v>14045</v>
      </c>
      <c r="S214" t="s">
        <v>9309</v>
      </c>
      <c r="T214" t="s">
        <v>9334</v>
      </c>
      <c r="U214" t="s">
        <v>355</v>
      </c>
      <c r="V214" t="s">
        <v>194</v>
      </c>
      <c r="W214" t="s">
        <v>9300</v>
      </c>
      <c r="Z214" t="s">
        <v>9311</v>
      </c>
      <c r="AF214" t="s">
        <v>4714</v>
      </c>
      <c r="AG214" t="s">
        <v>1520</v>
      </c>
      <c r="AI214" t="s">
        <v>6955</v>
      </c>
      <c r="AJ214" s="27" t="str">
        <f t="shared" si="6"/>
        <v>215103</v>
      </c>
      <c r="AK214" s="27">
        <v>1</v>
      </c>
      <c r="AL214" s="27">
        <f t="shared" si="7"/>
        <v>1</v>
      </c>
      <c r="AM214" s="28">
        <v>1</v>
      </c>
    </row>
    <row r="215" spans="1:39" x14ac:dyDescent="0.25">
      <c r="A215" t="s">
        <v>14046</v>
      </c>
      <c r="B215" t="s">
        <v>14047</v>
      </c>
      <c r="C215" t="s">
        <v>1851</v>
      </c>
      <c r="D215" s="25" t="s">
        <v>13110</v>
      </c>
      <c r="E215" t="s">
        <v>192</v>
      </c>
      <c r="F215" s="28">
        <v>1</v>
      </c>
      <c r="G215" t="s">
        <v>193</v>
      </c>
      <c r="H215" t="s">
        <v>194</v>
      </c>
      <c r="I215" t="s">
        <v>13160</v>
      </c>
      <c r="J215" t="s">
        <v>9302</v>
      </c>
      <c r="K215" t="s">
        <v>14048</v>
      </c>
      <c r="L215" t="s">
        <v>6245</v>
      </c>
      <c r="M215" t="s">
        <v>13113</v>
      </c>
      <c r="N215" t="s">
        <v>13114</v>
      </c>
      <c r="O215" t="s">
        <v>13115</v>
      </c>
      <c r="P215" t="s">
        <v>14049</v>
      </c>
      <c r="Q215" t="s">
        <v>14050</v>
      </c>
      <c r="S215" t="s">
        <v>9309</v>
      </c>
      <c r="U215" t="s">
        <v>1852</v>
      </c>
      <c r="V215" t="s">
        <v>193</v>
      </c>
      <c r="W215" t="s">
        <v>9310</v>
      </c>
      <c r="Z215" t="s">
        <v>9311</v>
      </c>
      <c r="AF215" t="s">
        <v>4714</v>
      </c>
      <c r="AG215" t="s">
        <v>14047</v>
      </c>
      <c r="AI215" t="s">
        <v>6955</v>
      </c>
      <c r="AJ215" s="27" t="str">
        <f t="shared" si="6"/>
        <v>112014</v>
      </c>
      <c r="AK215" s="27">
        <v>1</v>
      </c>
      <c r="AL215" s="27">
        <f t="shared" si="7"/>
        <v>1</v>
      </c>
      <c r="AM215" s="28">
        <v>1</v>
      </c>
    </row>
    <row r="216" spans="1:39" x14ac:dyDescent="0.25">
      <c r="A216" t="s">
        <v>14051</v>
      </c>
      <c r="B216" t="s">
        <v>14052</v>
      </c>
      <c r="C216" t="s">
        <v>1384</v>
      </c>
      <c r="D216" s="25" t="s">
        <v>13110</v>
      </c>
      <c r="E216" t="s">
        <v>233</v>
      </c>
      <c r="F216" s="28">
        <v>1</v>
      </c>
      <c r="G216" t="s">
        <v>193</v>
      </c>
      <c r="H216" t="s">
        <v>194</v>
      </c>
      <c r="I216" t="s">
        <v>13152</v>
      </c>
      <c r="J216" t="s">
        <v>253</v>
      </c>
      <c r="K216" t="s">
        <v>14053</v>
      </c>
      <c r="L216" t="s">
        <v>6312</v>
      </c>
      <c r="M216" t="s">
        <v>13127</v>
      </c>
      <c r="N216" t="s">
        <v>13128</v>
      </c>
      <c r="O216" t="s">
        <v>13200</v>
      </c>
      <c r="P216" t="s">
        <v>14054</v>
      </c>
      <c r="Q216" t="s">
        <v>14055</v>
      </c>
      <c r="S216" t="s">
        <v>9309</v>
      </c>
      <c r="T216" t="s">
        <v>9468</v>
      </c>
      <c r="U216" t="s">
        <v>1385</v>
      </c>
      <c r="V216" t="s">
        <v>194</v>
      </c>
      <c r="W216" t="s">
        <v>9300</v>
      </c>
      <c r="Z216" t="s">
        <v>9311</v>
      </c>
      <c r="AF216" t="s">
        <v>4714</v>
      </c>
      <c r="AG216" t="s">
        <v>14052</v>
      </c>
      <c r="AI216" t="s">
        <v>6955</v>
      </c>
      <c r="AJ216" s="27" t="str">
        <f t="shared" si="6"/>
        <v>235915</v>
      </c>
      <c r="AK216" s="27">
        <v>1</v>
      </c>
      <c r="AL216" s="27">
        <f t="shared" si="7"/>
        <v>1</v>
      </c>
      <c r="AM216" s="28">
        <v>1</v>
      </c>
    </row>
    <row r="217" spans="1:39" x14ac:dyDescent="0.25">
      <c r="A217" t="s">
        <v>14056</v>
      </c>
      <c r="B217" t="s">
        <v>14057</v>
      </c>
      <c r="C217" t="s">
        <v>14058</v>
      </c>
      <c r="D217" s="25" t="s">
        <v>13110</v>
      </c>
      <c r="E217" t="s">
        <v>192</v>
      </c>
      <c r="F217" s="28">
        <v>1</v>
      </c>
      <c r="G217" t="s">
        <v>193</v>
      </c>
      <c r="H217" t="s">
        <v>194</v>
      </c>
      <c r="I217" t="s">
        <v>13303</v>
      </c>
      <c r="J217" t="s">
        <v>9302</v>
      </c>
      <c r="K217" t="s">
        <v>14059</v>
      </c>
      <c r="L217" t="s">
        <v>6327</v>
      </c>
      <c r="M217" t="s">
        <v>13113</v>
      </c>
      <c r="N217" t="s">
        <v>13114</v>
      </c>
      <c r="O217" t="s">
        <v>13115</v>
      </c>
      <c r="P217" t="s">
        <v>14060</v>
      </c>
      <c r="Q217" t="s">
        <v>14061</v>
      </c>
      <c r="S217" t="s">
        <v>9309</v>
      </c>
      <c r="U217" t="s">
        <v>14062</v>
      </c>
      <c r="V217" t="s">
        <v>193</v>
      </c>
      <c r="W217" t="s">
        <v>9310</v>
      </c>
      <c r="Z217" t="s">
        <v>9311</v>
      </c>
      <c r="AF217" t="s">
        <v>4714</v>
      </c>
      <c r="AG217" t="s">
        <v>14057</v>
      </c>
      <c r="AI217" t="s">
        <v>6955</v>
      </c>
      <c r="AJ217" s="27" t="str">
        <f t="shared" si="6"/>
        <v>252202</v>
      </c>
      <c r="AK217" s="27">
        <v>1</v>
      </c>
      <c r="AL217" s="27">
        <f t="shared" si="7"/>
        <v>1</v>
      </c>
      <c r="AM217" s="28">
        <v>1</v>
      </c>
    </row>
    <row r="218" spans="1:39" x14ac:dyDescent="0.25">
      <c r="A218" t="s">
        <v>2304</v>
      </c>
      <c r="B218" t="s">
        <v>14063</v>
      </c>
      <c r="C218" t="s">
        <v>706</v>
      </c>
      <c r="D218" s="25" t="s">
        <v>13110</v>
      </c>
      <c r="E218" t="s">
        <v>192</v>
      </c>
      <c r="F218" s="28">
        <v>1</v>
      </c>
      <c r="G218" t="s">
        <v>193</v>
      </c>
      <c r="H218" t="s">
        <v>194</v>
      </c>
      <c r="I218" t="s">
        <v>13152</v>
      </c>
      <c r="J218" t="s">
        <v>9302</v>
      </c>
      <c r="K218" t="s">
        <v>14064</v>
      </c>
      <c r="L218" t="s">
        <v>6343</v>
      </c>
      <c r="M218" t="s">
        <v>13113</v>
      </c>
      <c r="N218" t="s">
        <v>13114</v>
      </c>
      <c r="O218" t="s">
        <v>13115</v>
      </c>
      <c r="P218" t="s">
        <v>14065</v>
      </c>
      <c r="Q218" t="s">
        <v>14066</v>
      </c>
      <c r="S218" t="s">
        <v>9309</v>
      </c>
      <c r="U218" t="s">
        <v>707</v>
      </c>
      <c r="V218" t="s">
        <v>193</v>
      </c>
      <c r="W218" t="s">
        <v>9310</v>
      </c>
      <c r="Z218" t="s">
        <v>9311</v>
      </c>
      <c r="AF218" t="s">
        <v>4714</v>
      </c>
      <c r="AG218" t="s">
        <v>14063</v>
      </c>
      <c r="AI218" t="s">
        <v>6955</v>
      </c>
      <c r="AJ218" s="27" t="str">
        <f t="shared" si="6"/>
        <v>422201</v>
      </c>
      <c r="AK218" s="27">
        <v>1</v>
      </c>
      <c r="AL218" s="27">
        <f t="shared" si="7"/>
        <v>1</v>
      </c>
      <c r="AM218" s="28">
        <v>1</v>
      </c>
    </row>
    <row r="219" spans="1:39" x14ac:dyDescent="0.25">
      <c r="A219" t="s">
        <v>14067</v>
      </c>
      <c r="B219" t="s">
        <v>14068</v>
      </c>
      <c r="C219" t="s">
        <v>3438</v>
      </c>
      <c r="D219" s="25" t="s">
        <v>13110</v>
      </c>
      <c r="E219" t="s">
        <v>192</v>
      </c>
      <c r="F219" s="28">
        <v>1</v>
      </c>
      <c r="G219" t="s">
        <v>193</v>
      </c>
      <c r="H219" t="s">
        <v>194</v>
      </c>
      <c r="I219" t="s">
        <v>13303</v>
      </c>
      <c r="J219" t="s">
        <v>9302</v>
      </c>
      <c r="K219" t="s">
        <v>14069</v>
      </c>
      <c r="L219" t="s">
        <v>6249</v>
      </c>
      <c r="M219" t="s">
        <v>13113</v>
      </c>
      <c r="N219" t="s">
        <v>13114</v>
      </c>
      <c r="O219" t="s">
        <v>13115</v>
      </c>
      <c r="P219" t="s">
        <v>14070</v>
      </c>
      <c r="Q219" t="s">
        <v>14071</v>
      </c>
      <c r="S219" t="s">
        <v>9309</v>
      </c>
      <c r="U219" t="s">
        <v>3439</v>
      </c>
      <c r="V219" t="s">
        <v>193</v>
      </c>
      <c r="W219" t="s">
        <v>9310</v>
      </c>
      <c r="Z219" t="s">
        <v>9311</v>
      </c>
      <c r="AF219" t="s">
        <v>4714</v>
      </c>
      <c r="AG219" t="s">
        <v>14068</v>
      </c>
      <c r="AI219" t="s">
        <v>6955</v>
      </c>
      <c r="AJ219" s="27" t="str">
        <f t="shared" si="6"/>
        <v>334306</v>
      </c>
      <c r="AK219" s="27">
        <v>1</v>
      </c>
      <c r="AL219" s="27">
        <f t="shared" si="7"/>
        <v>1</v>
      </c>
      <c r="AM219" s="28">
        <v>1</v>
      </c>
    </row>
    <row r="220" spans="1:39" x14ac:dyDescent="0.25">
      <c r="A220" t="s">
        <v>14072</v>
      </c>
      <c r="B220" t="s">
        <v>14073</v>
      </c>
      <c r="C220" t="s">
        <v>6617</v>
      </c>
      <c r="D220" s="25" t="s">
        <v>13110</v>
      </c>
      <c r="E220" t="s">
        <v>233</v>
      </c>
      <c r="F220" s="28">
        <v>1</v>
      </c>
      <c r="G220" t="s">
        <v>193</v>
      </c>
      <c r="H220" t="s">
        <v>194</v>
      </c>
      <c r="I220" t="s">
        <v>13111</v>
      </c>
      <c r="J220" t="s">
        <v>9302</v>
      </c>
      <c r="K220" t="s">
        <v>14074</v>
      </c>
      <c r="L220" t="s">
        <v>6266</v>
      </c>
      <c r="M220" t="s">
        <v>13127</v>
      </c>
      <c r="N220" t="s">
        <v>13128</v>
      </c>
      <c r="O220" t="s">
        <v>13235</v>
      </c>
      <c r="P220" t="s">
        <v>14075</v>
      </c>
      <c r="Q220" t="s">
        <v>14076</v>
      </c>
      <c r="S220" t="s">
        <v>9309</v>
      </c>
      <c r="U220" t="s">
        <v>990</v>
      </c>
      <c r="V220" t="s">
        <v>193</v>
      </c>
      <c r="W220" t="s">
        <v>9310</v>
      </c>
      <c r="Z220" t="s">
        <v>9311</v>
      </c>
      <c r="AF220" t="s">
        <v>4714</v>
      </c>
      <c r="AG220" t="s">
        <v>14073</v>
      </c>
      <c r="AI220" t="s">
        <v>6955</v>
      </c>
      <c r="AJ220" s="27" t="str">
        <f t="shared" si="6"/>
        <v>833202</v>
      </c>
      <c r="AK220" s="27">
        <v>1</v>
      </c>
      <c r="AL220" s="27">
        <f t="shared" si="7"/>
        <v>1</v>
      </c>
      <c r="AM220" s="28">
        <v>1</v>
      </c>
    </row>
    <row r="221" spans="1:39" x14ac:dyDescent="0.25">
      <c r="A221" t="s">
        <v>14077</v>
      </c>
      <c r="B221" t="s">
        <v>1598</v>
      </c>
      <c r="C221" t="s">
        <v>444</v>
      </c>
      <c r="D221" s="25" t="s">
        <v>13110</v>
      </c>
      <c r="E221" t="s">
        <v>192</v>
      </c>
      <c r="F221" s="28">
        <v>1</v>
      </c>
      <c r="G221" t="s">
        <v>193</v>
      </c>
      <c r="H221" t="s">
        <v>194</v>
      </c>
      <c r="I221" t="s">
        <v>13125</v>
      </c>
      <c r="J221" t="s">
        <v>9302</v>
      </c>
      <c r="K221" t="s">
        <v>14078</v>
      </c>
      <c r="L221" t="s">
        <v>6921</v>
      </c>
      <c r="M221" t="s">
        <v>13113</v>
      </c>
      <c r="N221" t="s">
        <v>13114</v>
      </c>
      <c r="O221" t="s">
        <v>13115</v>
      </c>
      <c r="P221" t="s">
        <v>14079</v>
      </c>
      <c r="Q221" t="s">
        <v>14080</v>
      </c>
      <c r="S221" t="s">
        <v>9309</v>
      </c>
      <c r="U221" t="s">
        <v>445</v>
      </c>
      <c r="V221" t="s">
        <v>193</v>
      </c>
      <c r="W221" t="s">
        <v>9310</v>
      </c>
      <c r="Z221" t="s">
        <v>9311</v>
      </c>
      <c r="AF221" t="s">
        <v>4714</v>
      </c>
      <c r="AG221" t="s">
        <v>1598</v>
      </c>
      <c r="AI221" t="s">
        <v>6955</v>
      </c>
      <c r="AJ221" s="27" t="str">
        <f t="shared" si="6"/>
        <v>243103</v>
      </c>
      <c r="AK221" s="27">
        <v>1</v>
      </c>
      <c r="AL221" s="27">
        <f t="shared" si="7"/>
        <v>1</v>
      </c>
      <c r="AM221" s="28">
        <v>1</v>
      </c>
    </row>
    <row r="222" spans="1:39" x14ac:dyDescent="0.25">
      <c r="A222" t="s">
        <v>14081</v>
      </c>
      <c r="B222" t="s">
        <v>14082</v>
      </c>
      <c r="C222" t="s">
        <v>36</v>
      </c>
      <c r="D222" s="25" t="s">
        <v>13110</v>
      </c>
      <c r="E222" t="s">
        <v>192</v>
      </c>
      <c r="F222" s="28">
        <v>1</v>
      </c>
      <c r="G222" t="s">
        <v>193</v>
      </c>
      <c r="H222" t="s">
        <v>194</v>
      </c>
      <c r="I222" t="s">
        <v>13303</v>
      </c>
      <c r="J222" t="s">
        <v>327</v>
      </c>
      <c r="K222" t="s">
        <v>14083</v>
      </c>
      <c r="L222" t="s">
        <v>6254</v>
      </c>
      <c r="M222" t="s">
        <v>13113</v>
      </c>
      <c r="N222" t="s">
        <v>13114</v>
      </c>
      <c r="O222" t="s">
        <v>13115</v>
      </c>
      <c r="P222" t="s">
        <v>14084</v>
      </c>
      <c r="Q222" t="s">
        <v>14085</v>
      </c>
      <c r="S222" t="s">
        <v>9309</v>
      </c>
      <c r="T222" t="s">
        <v>9506</v>
      </c>
      <c r="U222" t="s">
        <v>609</v>
      </c>
      <c r="V222" t="s">
        <v>194</v>
      </c>
      <c r="W222" t="s">
        <v>9300</v>
      </c>
      <c r="Z222" t="s">
        <v>9311</v>
      </c>
      <c r="AF222" t="s">
        <v>4714</v>
      </c>
      <c r="AG222" t="s">
        <v>14082</v>
      </c>
      <c r="AI222" t="s">
        <v>6955</v>
      </c>
      <c r="AJ222" s="27" t="str">
        <f t="shared" si="6"/>
        <v>331301</v>
      </c>
      <c r="AK222" s="27">
        <v>1</v>
      </c>
      <c r="AL222" s="27">
        <f t="shared" si="7"/>
        <v>1</v>
      </c>
      <c r="AM222" s="28">
        <v>1</v>
      </c>
    </row>
    <row r="223" spans="1:39" x14ac:dyDescent="0.25">
      <c r="A223" t="s">
        <v>14081</v>
      </c>
      <c r="B223" t="s">
        <v>14086</v>
      </c>
      <c r="C223" t="s">
        <v>36</v>
      </c>
      <c r="D223" s="25" t="s">
        <v>13110</v>
      </c>
      <c r="E223" t="s">
        <v>192</v>
      </c>
      <c r="F223" s="28">
        <v>1</v>
      </c>
      <c r="G223" t="s">
        <v>193</v>
      </c>
      <c r="H223" t="s">
        <v>194</v>
      </c>
      <c r="I223" t="s">
        <v>13152</v>
      </c>
      <c r="J223" t="s">
        <v>327</v>
      </c>
      <c r="K223" t="s">
        <v>14087</v>
      </c>
      <c r="L223" t="s">
        <v>7531</v>
      </c>
      <c r="M223" t="s">
        <v>13113</v>
      </c>
      <c r="N223" t="s">
        <v>13114</v>
      </c>
      <c r="O223" t="s">
        <v>13115</v>
      </c>
      <c r="P223" t="s">
        <v>14088</v>
      </c>
      <c r="Q223" t="s">
        <v>14089</v>
      </c>
      <c r="S223" t="s">
        <v>9309</v>
      </c>
      <c r="T223" t="s">
        <v>9506</v>
      </c>
      <c r="U223" t="s">
        <v>609</v>
      </c>
      <c r="V223" t="s">
        <v>194</v>
      </c>
      <c r="W223" t="s">
        <v>9300</v>
      </c>
      <c r="Z223" t="s">
        <v>9311</v>
      </c>
      <c r="AF223" t="s">
        <v>4714</v>
      </c>
      <c r="AG223" t="s">
        <v>14086</v>
      </c>
      <c r="AI223" t="s">
        <v>6955</v>
      </c>
      <c r="AJ223" s="27" t="str">
        <f t="shared" si="6"/>
        <v>331301</v>
      </c>
      <c r="AK223" s="27">
        <v>1</v>
      </c>
      <c r="AL223" s="27">
        <f t="shared" si="7"/>
        <v>1</v>
      </c>
      <c r="AM223" s="28">
        <v>1</v>
      </c>
    </row>
    <row r="224" spans="1:39" x14ac:dyDescent="0.25">
      <c r="A224" t="s">
        <v>14090</v>
      </c>
      <c r="B224" t="s">
        <v>14091</v>
      </c>
      <c r="C224" t="s">
        <v>2926</v>
      </c>
      <c r="D224" s="25" t="s">
        <v>13110</v>
      </c>
      <c r="E224" t="s">
        <v>192</v>
      </c>
      <c r="F224" s="28">
        <v>1</v>
      </c>
      <c r="G224" t="s">
        <v>193</v>
      </c>
      <c r="H224" t="s">
        <v>194</v>
      </c>
      <c r="I224" t="s">
        <v>13152</v>
      </c>
      <c r="J224" t="s">
        <v>9302</v>
      </c>
      <c r="K224" t="s">
        <v>14092</v>
      </c>
      <c r="L224" t="s">
        <v>6245</v>
      </c>
      <c r="M224" t="s">
        <v>13113</v>
      </c>
      <c r="N224" t="s">
        <v>13114</v>
      </c>
      <c r="O224" t="s">
        <v>13115</v>
      </c>
      <c r="P224" t="s">
        <v>14093</v>
      </c>
      <c r="Q224" t="s">
        <v>14094</v>
      </c>
      <c r="S224" t="s">
        <v>9309</v>
      </c>
      <c r="U224" t="s">
        <v>6411</v>
      </c>
      <c r="V224" t="s">
        <v>193</v>
      </c>
      <c r="W224" t="s">
        <v>9310</v>
      </c>
      <c r="Z224" t="s">
        <v>9311</v>
      </c>
      <c r="AF224" t="s">
        <v>4714</v>
      </c>
      <c r="AG224" t="s">
        <v>14091</v>
      </c>
      <c r="AI224" t="s">
        <v>6955</v>
      </c>
      <c r="AJ224" s="27" t="str">
        <f t="shared" si="6"/>
        <v>215101</v>
      </c>
      <c r="AK224" s="27">
        <v>1</v>
      </c>
      <c r="AL224" s="27">
        <f t="shared" si="7"/>
        <v>1</v>
      </c>
      <c r="AM224" s="28">
        <v>1</v>
      </c>
    </row>
    <row r="225" spans="1:39" x14ac:dyDescent="0.25">
      <c r="A225" t="s">
        <v>14095</v>
      </c>
      <c r="B225" t="s">
        <v>14096</v>
      </c>
      <c r="C225" t="s">
        <v>740</v>
      </c>
      <c r="D225" s="25" t="s">
        <v>10562</v>
      </c>
      <c r="E225" t="s">
        <v>192</v>
      </c>
      <c r="F225" s="28">
        <v>1</v>
      </c>
      <c r="G225" t="s">
        <v>193</v>
      </c>
      <c r="H225" t="s">
        <v>194</v>
      </c>
      <c r="I225" t="s">
        <v>13160</v>
      </c>
      <c r="J225" t="s">
        <v>276</v>
      </c>
      <c r="K225" t="s">
        <v>14097</v>
      </c>
      <c r="L225" t="s">
        <v>7001</v>
      </c>
      <c r="M225" t="s">
        <v>14098</v>
      </c>
      <c r="N225" t="s">
        <v>14099</v>
      </c>
      <c r="O225" t="s">
        <v>14100</v>
      </c>
      <c r="P225" t="s">
        <v>14101</v>
      </c>
      <c r="Q225" t="s">
        <v>14102</v>
      </c>
      <c r="S225" t="s">
        <v>9309</v>
      </c>
      <c r="T225" t="s">
        <v>9786</v>
      </c>
      <c r="U225" t="s">
        <v>741</v>
      </c>
      <c r="V225" t="s">
        <v>194</v>
      </c>
      <c r="W225" t="s">
        <v>9300</v>
      </c>
      <c r="Z225" t="s">
        <v>9311</v>
      </c>
      <c r="AF225" t="s">
        <v>4714</v>
      </c>
      <c r="AG225" t="s">
        <v>14096</v>
      </c>
      <c r="AI225" t="s">
        <v>6955</v>
      </c>
      <c r="AJ225" s="27" t="str">
        <f t="shared" si="6"/>
        <v>522301</v>
      </c>
      <c r="AK225" s="27">
        <v>1</v>
      </c>
      <c r="AL225" s="27">
        <f t="shared" si="7"/>
        <v>1</v>
      </c>
      <c r="AM225" s="28">
        <v>1</v>
      </c>
    </row>
    <row r="226" spans="1:39" x14ac:dyDescent="0.25">
      <c r="A226" t="s">
        <v>14095</v>
      </c>
      <c r="B226" t="s">
        <v>14096</v>
      </c>
      <c r="C226" t="s">
        <v>740</v>
      </c>
      <c r="D226" s="25" t="s">
        <v>10562</v>
      </c>
      <c r="E226" t="s">
        <v>192</v>
      </c>
      <c r="F226" s="28">
        <v>1</v>
      </c>
      <c r="G226" t="s">
        <v>193</v>
      </c>
      <c r="H226" t="s">
        <v>194</v>
      </c>
      <c r="I226" t="s">
        <v>13160</v>
      </c>
      <c r="J226" t="s">
        <v>223</v>
      </c>
      <c r="K226" t="s">
        <v>14103</v>
      </c>
      <c r="L226" t="s">
        <v>7001</v>
      </c>
      <c r="M226" t="s">
        <v>14098</v>
      </c>
      <c r="N226" t="s">
        <v>14099</v>
      </c>
      <c r="O226" t="s">
        <v>14100</v>
      </c>
      <c r="P226" t="s">
        <v>14104</v>
      </c>
      <c r="Q226" t="s">
        <v>14105</v>
      </c>
      <c r="S226" t="s">
        <v>9309</v>
      </c>
      <c r="T226" t="s">
        <v>11163</v>
      </c>
      <c r="U226" t="s">
        <v>741</v>
      </c>
      <c r="V226" t="s">
        <v>194</v>
      </c>
      <c r="W226" t="s">
        <v>9300</v>
      </c>
      <c r="Z226" t="s">
        <v>9311</v>
      </c>
      <c r="AF226" t="s">
        <v>4714</v>
      </c>
      <c r="AG226" t="s">
        <v>14096</v>
      </c>
      <c r="AI226" t="s">
        <v>6955</v>
      </c>
      <c r="AJ226" s="27" t="str">
        <f t="shared" si="6"/>
        <v>522301</v>
      </c>
      <c r="AK226" s="27">
        <v>1</v>
      </c>
      <c r="AL226" s="27">
        <f t="shared" si="7"/>
        <v>1</v>
      </c>
      <c r="AM226" s="28">
        <v>1</v>
      </c>
    </row>
    <row r="227" spans="1:39" x14ac:dyDescent="0.25">
      <c r="A227" t="s">
        <v>14095</v>
      </c>
      <c r="B227" t="s">
        <v>14096</v>
      </c>
      <c r="C227" t="s">
        <v>740</v>
      </c>
      <c r="D227" s="25" t="s">
        <v>10562</v>
      </c>
      <c r="E227" t="s">
        <v>192</v>
      </c>
      <c r="F227" s="28">
        <v>1</v>
      </c>
      <c r="G227" t="s">
        <v>193</v>
      </c>
      <c r="H227" t="s">
        <v>194</v>
      </c>
      <c r="I227" t="s">
        <v>13160</v>
      </c>
      <c r="J227" t="s">
        <v>367</v>
      </c>
      <c r="K227" t="s">
        <v>14106</v>
      </c>
      <c r="L227" t="s">
        <v>7001</v>
      </c>
      <c r="M227" t="s">
        <v>14098</v>
      </c>
      <c r="N227" t="s">
        <v>14099</v>
      </c>
      <c r="O227" t="s">
        <v>14100</v>
      </c>
      <c r="P227" t="s">
        <v>14107</v>
      </c>
      <c r="Q227" t="s">
        <v>14108</v>
      </c>
      <c r="S227" t="s">
        <v>9309</v>
      </c>
      <c r="T227" t="s">
        <v>9974</v>
      </c>
      <c r="U227" t="s">
        <v>741</v>
      </c>
      <c r="V227" t="s">
        <v>194</v>
      </c>
      <c r="W227" t="s">
        <v>9300</v>
      </c>
      <c r="Z227" t="s">
        <v>9311</v>
      </c>
      <c r="AF227" t="s">
        <v>4714</v>
      </c>
      <c r="AG227" t="s">
        <v>14096</v>
      </c>
      <c r="AI227" t="s">
        <v>6955</v>
      </c>
      <c r="AJ227" s="27" t="str">
        <f t="shared" si="6"/>
        <v>522301</v>
      </c>
      <c r="AK227" s="27">
        <v>1</v>
      </c>
      <c r="AL227" s="27">
        <f t="shared" si="7"/>
        <v>1</v>
      </c>
      <c r="AM227" s="28">
        <v>1</v>
      </c>
    </row>
    <row r="228" spans="1:39" x14ac:dyDescent="0.25">
      <c r="A228" t="s">
        <v>14095</v>
      </c>
      <c r="B228" t="s">
        <v>14096</v>
      </c>
      <c r="C228" t="s">
        <v>740</v>
      </c>
      <c r="D228" s="25" t="s">
        <v>10562</v>
      </c>
      <c r="E228" t="s">
        <v>192</v>
      </c>
      <c r="F228" s="28">
        <v>1</v>
      </c>
      <c r="G228" t="s">
        <v>193</v>
      </c>
      <c r="H228" t="s">
        <v>194</v>
      </c>
      <c r="I228" t="s">
        <v>13160</v>
      </c>
      <c r="J228" t="s">
        <v>4751</v>
      </c>
      <c r="K228" t="s">
        <v>14109</v>
      </c>
      <c r="L228" t="s">
        <v>7001</v>
      </c>
      <c r="M228" t="s">
        <v>14098</v>
      </c>
      <c r="N228" t="s">
        <v>14099</v>
      </c>
      <c r="O228" t="s">
        <v>14100</v>
      </c>
      <c r="P228" t="s">
        <v>14110</v>
      </c>
      <c r="Q228" t="s">
        <v>14111</v>
      </c>
      <c r="S228" t="s">
        <v>9309</v>
      </c>
      <c r="T228" t="s">
        <v>9472</v>
      </c>
      <c r="U228" t="s">
        <v>741</v>
      </c>
      <c r="V228" t="s">
        <v>194</v>
      </c>
      <c r="W228" t="s">
        <v>9300</v>
      </c>
      <c r="Z228" t="s">
        <v>9311</v>
      </c>
      <c r="AF228" t="s">
        <v>4714</v>
      </c>
      <c r="AG228" t="s">
        <v>14096</v>
      </c>
      <c r="AI228" t="s">
        <v>6955</v>
      </c>
      <c r="AJ228" s="27" t="str">
        <f t="shared" si="6"/>
        <v>522301</v>
      </c>
      <c r="AK228" s="27">
        <v>1</v>
      </c>
      <c r="AL228" s="27">
        <f t="shared" si="7"/>
        <v>1</v>
      </c>
      <c r="AM228" s="28">
        <v>1</v>
      </c>
    </row>
    <row r="229" spans="1:39" x14ac:dyDescent="0.25">
      <c r="A229" t="s">
        <v>14095</v>
      </c>
      <c r="B229" t="s">
        <v>14096</v>
      </c>
      <c r="C229" t="s">
        <v>740</v>
      </c>
      <c r="D229" s="25" t="s">
        <v>10562</v>
      </c>
      <c r="E229" t="s">
        <v>192</v>
      </c>
      <c r="F229" s="28">
        <v>1</v>
      </c>
      <c r="G229" t="s">
        <v>193</v>
      </c>
      <c r="H229" t="s">
        <v>194</v>
      </c>
      <c r="I229" t="s">
        <v>13160</v>
      </c>
      <c r="J229" t="s">
        <v>210</v>
      </c>
      <c r="K229" t="s">
        <v>14112</v>
      </c>
      <c r="L229" t="s">
        <v>7001</v>
      </c>
      <c r="M229" t="s">
        <v>14098</v>
      </c>
      <c r="N229" t="s">
        <v>14099</v>
      </c>
      <c r="O229" t="s">
        <v>14100</v>
      </c>
      <c r="P229" t="s">
        <v>14113</v>
      </c>
      <c r="Q229" t="s">
        <v>14114</v>
      </c>
      <c r="S229" t="s">
        <v>9309</v>
      </c>
      <c r="T229" t="s">
        <v>9334</v>
      </c>
      <c r="U229" t="s">
        <v>741</v>
      </c>
      <c r="V229" t="s">
        <v>194</v>
      </c>
      <c r="W229" t="s">
        <v>9300</v>
      </c>
      <c r="Z229" t="s">
        <v>9311</v>
      </c>
      <c r="AF229" t="s">
        <v>4714</v>
      </c>
      <c r="AG229" t="s">
        <v>14096</v>
      </c>
      <c r="AI229" t="s">
        <v>6955</v>
      </c>
      <c r="AJ229" s="27" t="str">
        <f t="shared" si="6"/>
        <v>522301</v>
      </c>
      <c r="AK229" s="27">
        <v>1</v>
      </c>
      <c r="AL229" s="27">
        <f t="shared" si="7"/>
        <v>1</v>
      </c>
      <c r="AM229" s="28">
        <v>1</v>
      </c>
    </row>
    <row r="230" spans="1:39" x14ac:dyDescent="0.25">
      <c r="A230" t="s">
        <v>14095</v>
      </c>
      <c r="B230" t="s">
        <v>14096</v>
      </c>
      <c r="C230" t="s">
        <v>740</v>
      </c>
      <c r="D230" s="25" t="s">
        <v>10562</v>
      </c>
      <c r="E230" t="s">
        <v>192</v>
      </c>
      <c r="F230" s="28">
        <v>1</v>
      </c>
      <c r="G230" t="s">
        <v>193</v>
      </c>
      <c r="H230" t="s">
        <v>194</v>
      </c>
      <c r="I230" t="s">
        <v>13160</v>
      </c>
      <c r="J230" t="s">
        <v>316</v>
      </c>
      <c r="K230" t="s">
        <v>14115</v>
      </c>
      <c r="L230" t="s">
        <v>7001</v>
      </c>
      <c r="M230" t="s">
        <v>14098</v>
      </c>
      <c r="N230" t="s">
        <v>14099</v>
      </c>
      <c r="O230" t="s">
        <v>14100</v>
      </c>
      <c r="P230" t="s">
        <v>14116</v>
      </c>
      <c r="Q230" t="s">
        <v>14117</v>
      </c>
      <c r="S230" t="s">
        <v>9309</v>
      </c>
      <c r="T230" t="s">
        <v>10012</v>
      </c>
      <c r="U230" t="s">
        <v>741</v>
      </c>
      <c r="V230" t="s">
        <v>194</v>
      </c>
      <c r="W230" t="s">
        <v>9300</v>
      </c>
      <c r="Z230" t="s">
        <v>9311</v>
      </c>
      <c r="AF230" t="s">
        <v>4714</v>
      </c>
      <c r="AG230" t="s">
        <v>14096</v>
      </c>
      <c r="AI230" t="s">
        <v>6955</v>
      </c>
      <c r="AJ230" s="27" t="str">
        <f t="shared" si="6"/>
        <v>522301</v>
      </c>
      <c r="AK230" s="27">
        <v>1</v>
      </c>
      <c r="AL230" s="27">
        <f t="shared" si="7"/>
        <v>1</v>
      </c>
      <c r="AM230" s="28">
        <v>1</v>
      </c>
    </row>
    <row r="231" spans="1:39" x14ac:dyDescent="0.25">
      <c r="A231" t="s">
        <v>14095</v>
      </c>
      <c r="B231" t="s">
        <v>14096</v>
      </c>
      <c r="C231" t="s">
        <v>740</v>
      </c>
      <c r="D231" s="25" t="s">
        <v>10562</v>
      </c>
      <c r="E231" t="s">
        <v>192</v>
      </c>
      <c r="F231" s="28">
        <v>1</v>
      </c>
      <c r="G231" t="s">
        <v>193</v>
      </c>
      <c r="H231" t="s">
        <v>194</v>
      </c>
      <c r="I231" t="s">
        <v>13160</v>
      </c>
      <c r="J231" t="s">
        <v>408</v>
      </c>
      <c r="K231" t="s">
        <v>14118</v>
      </c>
      <c r="L231" t="s">
        <v>7001</v>
      </c>
      <c r="M231" t="s">
        <v>14098</v>
      </c>
      <c r="N231" t="s">
        <v>14099</v>
      </c>
      <c r="O231" t="s">
        <v>14100</v>
      </c>
      <c r="P231" t="s">
        <v>14119</v>
      </c>
      <c r="Q231" t="s">
        <v>14120</v>
      </c>
      <c r="S231" t="s">
        <v>9309</v>
      </c>
      <c r="T231" t="s">
        <v>9479</v>
      </c>
      <c r="U231" t="s">
        <v>741</v>
      </c>
      <c r="V231" t="s">
        <v>194</v>
      </c>
      <c r="W231" t="s">
        <v>9300</v>
      </c>
      <c r="Z231" t="s">
        <v>9311</v>
      </c>
      <c r="AF231" t="s">
        <v>4714</v>
      </c>
      <c r="AG231" t="s">
        <v>14096</v>
      </c>
      <c r="AI231" t="s">
        <v>6955</v>
      </c>
      <c r="AJ231" s="27" t="str">
        <f t="shared" si="6"/>
        <v>522301</v>
      </c>
      <c r="AK231" s="27">
        <v>1</v>
      </c>
      <c r="AL231" s="27">
        <f t="shared" si="7"/>
        <v>1</v>
      </c>
      <c r="AM231" s="28">
        <v>1</v>
      </c>
    </row>
    <row r="232" spans="1:39" x14ac:dyDescent="0.25">
      <c r="A232" t="s">
        <v>14121</v>
      </c>
      <c r="B232" t="s">
        <v>14122</v>
      </c>
      <c r="C232" t="s">
        <v>43</v>
      </c>
      <c r="D232" s="25" t="s">
        <v>10562</v>
      </c>
      <c r="E232" t="s">
        <v>192</v>
      </c>
      <c r="F232" s="28">
        <v>1</v>
      </c>
      <c r="G232" t="s">
        <v>193</v>
      </c>
      <c r="H232" t="s">
        <v>194</v>
      </c>
      <c r="I232" t="s">
        <v>13119</v>
      </c>
      <c r="J232" t="s">
        <v>9302</v>
      </c>
      <c r="K232" t="s">
        <v>14123</v>
      </c>
      <c r="L232" t="s">
        <v>6249</v>
      </c>
      <c r="M232" t="s">
        <v>14098</v>
      </c>
      <c r="N232" t="s">
        <v>14099</v>
      </c>
      <c r="O232" t="s">
        <v>14100</v>
      </c>
      <c r="P232" t="s">
        <v>14124</v>
      </c>
      <c r="Q232" t="s">
        <v>14125</v>
      </c>
      <c r="S232" t="s">
        <v>9309</v>
      </c>
      <c r="U232" t="s">
        <v>452</v>
      </c>
      <c r="V232" t="s">
        <v>193</v>
      </c>
      <c r="W232" t="s">
        <v>9310</v>
      </c>
      <c r="Z232" t="s">
        <v>9311</v>
      </c>
      <c r="AF232" t="s">
        <v>4714</v>
      </c>
      <c r="AG232" t="s">
        <v>14122</v>
      </c>
      <c r="AI232" t="s">
        <v>6955</v>
      </c>
      <c r="AJ232" s="27" t="str">
        <f t="shared" si="6"/>
        <v>243106</v>
      </c>
      <c r="AK232" s="27">
        <v>1</v>
      </c>
      <c r="AL232" s="27">
        <f t="shared" si="7"/>
        <v>1</v>
      </c>
      <c r="AM232" s="28">
        <v>1</v>
      </c>
    </row>
    <row r="233" spans="1:39" x14ac:dyDescent="0.25">
      <c r="A233" t="s">
        <v>14121</v>
      </c>
      <c r="B233" t="s">
        <v>14126</v>
      </c>
      <c r="C233" t="s">
        <v>129</v>
      </c>
      <c r="D233" s="25" t="s">
        <v>10562</v>
      </c>
      <c r="E233" t="s">
        <v>192</v>
      </c>
      <c r="F233" s="28">
        <v>1</v>
      </c>
      <c r="G233" t="s">
        <v>193</v>
      </c>
      <c r="H233" t="s">
        <v>194</v>
      </c>
      <c r="I233" t="s">
        <v>13303</v>
      </c>
      <c r="J233" t="s">
        <v>9302</v>
      </c>
      <c r="K233" t="s">
        <v>14127</v>
      </c>
      <c r="L233" t="s">
        <v>7531</v>
      </c>
      <c r="M233" t="s">
        <v>14098</v>
      </c>
      <c r="N233" t="s">
        <v>14099</v>
      </c>
      <c r="O233" t="s">
        <v>14100</v>
      </c>
      <c r="P233" t="s">
        <v>14128</v>
      </c>
      <c r="Q233" t="s">
        <v>14129</v>
      </c>
      <c r="S233" t="s">
        <v>9309</v>
      </c>
      <c r="U233" t="s">
        <v>203</v>
      </c>
      <c r="V233" t="s">
        <v>193</v>
      </c>
      <c r="W233" t="s">
        <v>9310</v>
      </c>
      <c r="Z233" t="s">
        <v>9311</v>
      </c>
      <c r="AF233" t="s">
        <v>4714</v>
      </c>
      <c r="AG233" t="s">
        <v>14126</v>
      </c>
      <c r="AI233" t="s">
        <v>6955</v>
      </c>
      <c r="AJ233" s="27" t="str">
        <f t="shared" si="6"/>
        <v>121904</v>
      </c>
      <c r="AK233" s="27">
        <v>1</v>
      </c>
      <c r="AL233" s="27">
        <f t="shared" si="7"/>
        <v>1</v>
      </c>
      <c r="AM233" s="28">
        <v>1</v>
      </c>
    </row>
    <row r="234" spans="1:39" x14ac:dyDescent="0.25">
      <c r="A234" t="s">
        <v>14121</v>
      </c>
      <c r="B234" t="s">
        <v>14130</v>
      </c>
      <c r="C234" t="s">
        <v>14131</v>
      </c>
      <c r="D234" s="25" t="s">
        <v>10562</v>
      </c>
      <c r="E234" t="s">
        <v>192</v>
      </c>
      <c r="F234" s="28">
        <v>1</v>
      </c>
      <c r="G234" t="s">
        <v>193</v>
      </c>
      <c r="H234" t="s">
        <v>194</v>
      </c>
      <c r="I234" t="s">
        <v>13303</v>
      </c>
      <c r="J234" t="s">
        <v>9302</v>
      </c>
      <c r="K234" t="s">
        <v>14132</v>
      </c>
      <c r="L234" t="s">
        <v>6302</v>
      </c>
      <c r="M234" t="s">
        <v>14098</v>
      </c>
      <c r="N234" t="s">
        <v>14099</v>
      </c>
      <c r="O234" t="s">
        <v>14100</v>
      </c>
      <c r="P234" t="s">
        <v>14133</v>
      </c>
      <c r="Q234" t="s">
        <v>14134</v>
      </c>
      <c r="S234" t="s">
        <v>9309</v>
      </c>
      <c r="U234" t="s">
        <v>14135</v>
      </c>
      <c r="V234" t="s">
        <v>193</v>
      </c>
      <c r="W234" t="s">
        <v>9310</v>
      </c>
      <c r="Z234" t="s">
        <v>9311</v>
      </c>
      <c r="AF234" t="s">
        <v>4714</v>
      </c>
      <c r="AG234" t="s">
        <v>14130</v>
      </c>
      <c r="AI234" t="s">
        <v>6955</v>
      </c>
      <c r="AJ234" s="27" t="str">
        <f t="shared" si="6"/>
        <v>122104</v>
      </c>
      <c r="AK234" s="27">
        <v>1</v>
      </c>
      <c r="AL234" s="27">
        <f t="shared" si="7"/>
        <v>1</v>
      </c>
      <c r="AM234" s="28">
        <v>1</v>
      </c>
    </row>
    <row r="235" spans="1:39" x14ac:dyDescent="0.25">
      <c r="A235" t="s">
        <v>14121</v>
      </c>
      <c r="B235" t="s">
        <v>14136</v>
      </c>
      <c r="C235" t="s">
        <v>2861</v>
      </c>
      <c r="D235" s="25" t="s">
        <v>10562</v>
      </c>
      <c r="E235" t="s">
        <v>192</v>
      </c>
      <c r="F235" s="28">
        <v>1</v>
      </c>
      <c r="G235" t="s">
        <v>193</v>
      </c>
      <c r="H235" t="s">
        <v>194</v>
      </c>
      <c r="I235" t="s">
        <v>13303</v>
      </c>
      <c r="J235" t="s">
        <v>9302</v>
      </c>
      <c r="K235" t="s">
        <v>14137</v>
      </c>
      <c r="L235" t="s">
        <v>6261</v>
      </c>
      <c r="M235" t="s">
        <v>14098</v>
      </c>
      <c r="N235" t="s">
        <v>14099</v>
      </c>
      <c r="O235" t="s">
        <v>14100</v>
      </c>
      <c r="P235" t="s">
        <v>14138</v>
      </c>
      <c r="Q235" t="s">
        <v>14139</v>
      </c>
      <c r="S235" t="s">
        <v>9309</v>
      </c>
      <c r="U235" t="s">
        <v>3629</v>
      </c>
      <c r="V235" t="s">
        <v>193</v>
      </c>
      <c r="W235" t="s">
        <v>9310</v>
      </c>
      <c r="Z235" t="s">
        <v>9311</v>
      </c>
      <c r="AF235" t="s">
        <v>4714</v>
      </c>
      <c r="AG235" t="s">
        <v>14136</v>
      </c>
      <c r="AI235" t="s">
        <v>6955</v>
      </c>
      <c r="AJ235" s="27" t="str">
        <f t="shared" si="6"/>
        <v>251903</v>
      </c>
      <c r="AK235" s="27">
        <v>1</v>
      </c>
      <c r="AL235" s="27">
        <f t="shared" si="7"/>
        <v>1</v>
      </c>
      <c r="AM235" s="28">
        <v>1</v>
      </c>
    </row>
    <row r="236" spans="1:39" x14ac:dyDescent="0.25">
      <c r="A236" t="s">
        <v>14121</v>
      </c>
      <c r="B236" t="s">
        <v>14140</v>
      </c>
      <c r="C236" t="s">
        <v>706</v>
      </c>
      <c r="D236" s="25" t="s">
        <v>10562</v>
      </c>
      <c r="E236" t="s">
        <v>192</v>
      </c>
      <c r="F236" s="28">
        <v>1</v>
      </c>
      <c r="G236" t="s">
        <v>193</v>
      </c>
      <c r="H236" t="s">
        <v>194</v>
      </c>
      <c r="I236" t="s">
        <v>13152</v>
      </c>
      <c r="J236" t="s">
        <v>9302</v>
      </c>
      <c r="K236" t="s">
        <v>14141</v>
      </c>
      <c r="L236" t="s">
        <v>7531</v>
      </c>
      <c r="M236" t="s">
        <v>14098</v>
      </c>
      <c r="N236" t="s">
        <v>14099</v>
      </c>
      <c r="O236" t="s">
        <v>14100</v>
      </c>
      <c r="P236" t="s">
        <v>14142</v>
      </c>
      <c r="Q236" t="s">
        <v>14143</v>
      </c>
      <c r="S236" t="s">
        <v>9309</v>
      </c>
      <c r="U236" t="s">
        <v>707</v>
      </c>
      <c r="V236" t="s">
        <v>193</v>
      </c>
      <c r="W236" t="s">
        <v>9310</v>
      </c>
      <c r="Z236" t="s">
        <v>9311</v>
      </c>
      <c r="AF236" t="s">
        <v>4714</v>
      </c>
      <c r="AG236" t="s">
        <v>14140</v>
      </c>
      <c r="AI236" t="s">
        <v>6955</v>
      </c>
      <c r="AJ236" s="27" t="str">
        <f t="shared" si="6"/>
        <v>422201</v>
      </c>
      <c r="AK236" s="27">
        <v>1</v>
      </c>
      <c r="AL236" s="27">
        <f t="shared" si="7"/>
        <v>1</v>
      </c>
      <c r="AM236" s="28">
        <v>1</v>
      </c>
    </row>
    <row r="237" spans="1:39" x14ac:dyDescent="0.25">
      <c r="A237" t="s">
        <v>14121</v>
      </c>
      <c r="B237" t="s">
        <v>14144</v>
      </c>
      <c r="C237" t="s">
        <v>43</v>
      </c>
      <c r="D237" s="25" t="s">
        <v>10562</v>
      </c>
      <c r="E237" t="s">
        <v>192</v>
      </c>
      <c r="F237" s="28">
        <v>1</v>
      </c>
      <c r="G237" t="s">
        <v>193</v>
      </c>
      <c r="H237" t="s">
        <v>194</v>
      </c>
      <c r="I237" t="s">
        <v>13303</v>
      </c>
      <c r="J237" t="s">
        <v>9302</v>
      </c>
      <c r="K237" t="s">
        <v>14145</v>
      </c>
      <c r="L237" t="s">
        <v>7531</v>
      </c>
      <c r="M237" t="s">
        <v>14098</v>
      </c>
      <c r="N237" t="s">
        <v>14099</v>
      </c>
      <c r="O237" t="s">
        <v>14100</v>
      </c>
      <c r="P237" t="s">
        <v>14146</v>
      </c>
      <c r="Q237" t="s">
        <v>14147</v>
      </c>
      <c r="S237" t="s">
        <v>9309</v>
      </c>
      <c r="U237" t="s">
        <v>452</v>
      </c>
      <c r="V237" t="s">
        <v>193</v>
      </c>
      <c r="W237" t="s">
        <v>9310</v>
      </c>
      <c r="Z237" t="s">
        <v>9311</v>
      </c>
      <c r="AF237" t="s">
        <v>4714</v>
      </c>
      <c r="AG237" t="s">
        <v>14144</v>
      </c>
      <c r="AI237" t="s">
        <v>6955</v>
      </c>
      <c r="AJ237" s="27" t="str">
        <f t="shared" si="6"/>
        <v>243106</v>
      </c>
      <c r="AK237" s="27">
        <v>1</v>
      </c>
      <c r="AL237" s="27">
        <f t="shared" si="7"/>
        <v>1</v>
      </c>
      <c r="AM237" s="28">
        <v>1</v>
      </c>
    </row>
    <row r="238" spans="1:39" x14ac:dyDescent="0.25">
      <c r="A238" t="s">
        <v>14121</v>
      </c>
      <c r="B238" t="s">
        <v>14148</v>
      </c>
      <c r="C238" t="s">
        <v>43</v>
      </c>
      <c r="D238" s="25" t="s">
        <v>10562</v>
      </c>
      <c r="E238" t="s">
        <v>192</v>
      </c>
      <c r="F238" s="28">
        <v>1</v>
      </c>
      <c r="G238" t="s">
        <v>193</v>
      </c>
      <c r="H238" t="s">
        <v>194</v>
      </c>
      <c r="I238" t="s">
        <v>13303</v>
      </c>
      <c r="J238" t="s">
        <v>9302</v>
      </c>
      <c r="K238" t="s">
        <v>14149</v>
      </c>
      <c r="L238" t="s">
        <v>7531</v>
      </c>
      <c r="M238" t="s">
        <v>14098</v>
      </c>
      <c r="N238" t="s">
        <v>14099</v>
      </c>
      <c r="O238" t="s">
        <v>14100</v>
      </c>
      <c r="P238" t="s">
        <v>14150</v>
      </c>
      <c r="Q238" t="s">
        <v>14151</v>
      </c>
      <c r="S238" t="s">
        <v>9309</v>
      </c>
      <c r="U238" t="s">
        <v>452</v>
      </c>
      <c r="V238" t="s">
        <v>193</v>
      </c>
      <c r="W238" t="s">
        <v>9310</v>
      </c>
      <c r="Z238" t="s">
        <v>9311</v>
      </c>
      <c r="AF238" t="s">
        <v>4714</v>
      </c>
      <c r="AG238" t="s">
        <v>14148</v>
      </c>
      <c r="AI238" t="s">
        <v>6955</v>
      </c>
      <c r="AJ238" s="27" t="str">
        <f t="shared" si="6"/>
        <v>243106</v>
      </c>
      <c r="AK238" s="27">
        <v>1</v>
      </c>
      <c r="AL238" s="27">
        <f t="shared" si="7"/>
        <v>1</v>
      </c>
      <c r="AM238" s="28">
        <v>1</v>
      </c>
    </row>
    <row r="239" spans="1:39" x14ac:dyDescent="0.25">
      <c r="A239" t="s">
        <v>14121</v>
      </c>
      <c r="B239" t="s">
        <v>14152</v>
      </c>
      <c r="C239" t="s">
        <v>14153</v>
      </c>
      <c r="D239" s="25" t="s">
        <v>10562</v>
      </c>
      <c r="E239" t="s">
        <v>192</v>
      </c>
      <c r="F239" s="28">
        <v>1</v>
      </c>
      <c r="G239" t="s">
        <v>194</v>
      </c>
      <c r="H239" t="s">
        <v>193</v>
      </c>
      <c r="I239" t="s">
        <v>13303</v>
      </c>
      <c r="J239" t="s">
        <v>9302</v>
      </c>
      <c r="K239" t="s">
        <v>14154</v>
      </c>
      <c r="L239" t="s">
        <v>7531</v>
      </c>
      <c r="M239" t="s">
        <v>14098</v>
      </c>
      <c r="N239" t="s">
        <v>14099</v>
      </c>
      <c r="O239" t="s">
        <v>14100</v>
      </c>
      <c r="P239" t="s">
        <v>14155</v>
      </c>
      <c r="Q239" t="s">
        <v>14156</v>
      </c>
      <c r="S239" t="s">
        <v>9309</v>
      </c>
      <c r="U239" t="s">
        <v>14157</v>
      </c>
      <c r="V239" t="s">
        <v>194</v>
      </c>
      <c r="W239" t="s">
        <v>9946</v>
      </c>
      <c r="Z239" t="s">
        <v>9311</v>
      </c>
      <c r="AF239" t="s">
        <v>4714</v>
      </c>
      <c r="AG239" t="s">
        <v>14152</v>
      </c>
      <c r="AI239" t="s">
        <v>6955</v>
      </c>
      <c r="AJ239" s="27" t="str">
        <f t="shared" si="6"/>
        <v>251905</v>
      </c>
      <c r="AK239" s="27">
        <v>1</v>
      </c>
      <c r="AL239" s="27">
        <f t="shared" si="7"/>
        <v>1</v>
      </c>
      <c r="AM239" s="28">
        <v>1</v>
      </c>
    </row>
    <row r="240" spans="1:39" x14ac:dyDescent="0.25">
      <c r="A240" t="s">
        <v>11612</v>
      </c>
      <c r="B240" t="s">
        <v>14158</v>
      </c>
      <c r="C240" t="s">
        <v>10</v>
      </c>
      <c r="D240" s="25" t="s">
        <v>10562</v>
      </c>
      <c r="E240" t="s">
        <v>192</v>
      </c>
      <c r="F240" s="28">
        <v>1</v>
      </c>
      <c r="G240" t="s">
        <v>193</v>
      </c>
      <c r="H240" t="s">
        <v>194</v>
      </c>
      <c r="I240" t="s">
        <v>13125</v>
      </c>
      <c r="J240" t="s">
        <v>9302</v>
      </c>
      <c r="K240" t="s">
        <v>14159</v>
      </c>
      <c r="L240" t="s">
        <v>6261</v>
      </c>
      <c r="M240" t="s">
        <v>14098</v>
      </c>
      <c r="N240" t="s">
        <v>14099</v>
      </c>
      <c r="O240" t="s">
        <v>14100</v>
      </c>
      <c r="P240" t="s">
        <v>14160</v>
      </c>
      <c r="Q240" t="s">
        <v>14161</v>
      </c>
      <c r="S240" t="s">
        <v>9309</v>
      </c>
      <c r="U240" t="s">
        <v>484</v>
      </c>
      <c r="V240" t="s">
        <v>193</v>
      </c>
      <c r="W240" t="s">
        <v>9310</v>
      </c>
      <c r="Z240" t="s">
        <v>9311</v>
      </c>
      <c r="AF240" t="s">
        <v>4714</v>
      </c>
      <c r="AG240" t="s">
        <v>14158</v>
      </c>
      <c r="AI240" t="s">
        <v>6955</v>
      </c>
      <c r="AJ240" s="27" t="str">
        <f t="shared" si="6"/>
        <v>251401</v>
      </c>
      <c r="AK240" s="27">
        <v>1</v>
      </c>
      <c r="AL240" s="27">
        <f t="shared" si="7"/>
        <v>1</v>
      </c>
      <c r="AM240" s="28">
        <v>1</v>
      </c>
    </row>
    <row r="241" spans="1:39" x14ac:dyDescent="0.25">
      <c r="A241" t="s">
        <v>1959</v>
      </c>
      <c r="B241" t="s">
        <v>14162</v>
      </c>
      <c r="C241" t="s">
        <v>27</v>
      </c>
      <c r="D241" s="25" t="s">
        <v>10562</v>
      </c>
      <c r="E241" t="s">
        <v>192</v>
      </c>
      <c r="F241" s="28">
        <v>1</v>
      </c>
      <c r="G241" t="s">
        <v>193</v>
      </c>
      <c r="H241" t="s">
        <v>194</v>
      </c>
      <c r="I241" t="s">
        <v>13303</v>
      </c>
      <c r="J241" t="s">
        <v>9302</v>
      </c>
      <c r="K241" t="s">
        <v>14163</v>
      </c>
      <c r="L241" t="s">
        <v>6340</v>
      </c>
      <c r="M241" t="s">
        <v>14098</v>
      </c>
      <c r="N241" t="s">
        <v>14099</v>
      </c>
      <c r="O241" t="s">
        <v>14100</v>
      </c>
      <c r="P241" t="s">
        <v>14164</v>
      </c>
      <c r="Q241" t="s">
        <v>14165</v>
      </c>
      <c r="S241" t="s">
        <v>9309</v>
      </c>
      <c r="U241" t="s">
        <v>440</v>
      </c>
      <c r="V241" t="s">
        <v>193</v>
      </c>
      <c r="W241" t="s">
        <v>9310</v>
      </c>
      <c r="Z241" t="s">
        <v>9311</v>
      </c>
      <c r="AF241" t="s">
        <v>4714</v>
      </c>
      <c r="AG241" t="s">
        <v>14162</v>
      </c>
      <c r="AI241" t="s">
        <v>6955</v>
      </c>
      <c r="AJ241" s="27" t="str">
        <f t="shared" si="6"/>
        <v>242307</v>
      </c>
      <c r="AK241" s="27">
        <v>1</v>
      </c>
      <c r="AL241" s="27">
        <f t="shared" si="7"/>
        <v>1</v>
      </c>
      <c r="AM241" s="28">
        <v>1</v>
      </c>
    </row>
    <row r="242" spans="1:39" x14ac:dyDescent="0.25">
      <c r="A242" t="s">
        <v>1959</v>
      </c>
      <c r="B242" t="s">
        <v>14166</v>
      </c>
      <c r="C242" t="s">
        <v>27</v>
      </c>
      <c r="D242" s="25" t="s">
        <v>10562</v>
      </c>
      <c r="E242" t="s">
        <v>192</v>
      </c>
      <c r="F242" s="28">
        <v>1</v>
      </c>
      <c r="G242" t="s">
        <v>193</v>
      </c>
      <c r="H242" t="s">
        <v>194</v>
      </c>
      <c r="I242" t="s">
        <v>13164</v>
      </c>
      <c r="J242" t="s">
        <v>9302</v>
      </c>
      <c r="K242" t="s">
        <v>14167</v>
      </c>
      <c r="L242" t="s">
        <v>6286</v>
      </c>
      <c r="M242" t="s">
        <v>14098</v>
      </c>
      <c r="N242" t="s">
        <v>14099</v>
      </c>
      <c r="O242" t="s">
        <v>14100</v>
      </c>
      <c r="P242" t="s">
        <v>14168</v>
      </c>
      <c r="Q242" t="s">
        <v>14169</v>
      </c>
      <c r="S242" t="s">
        <v>9309</v>
      </c>
      <c r="U242" t="s">
        <v>440</v>
      </c>
      <c r="V242" t="s">
        <v>193</v>
      </c>
      <c r="W242" t="s">
        <v>9310</v>
      </c>
      <c r="Z242" t="s">
        <v>9311</v>
      </c>
      <c r="AF242" t="s">
        <v>4714</v>
      </c>
      <c r="AG242" t="s">
        <v>14166</v>
      </c>
      <c r="AI242" t="s">
        <v>6955</v>
      </c>
      <c r="AJ242" s="27" t="str">
        <f t="shared" si="6"/>
        <v>242307</v>
      </c>
      <c r="AK242" s="27">
        <v>1</v>
      </c>
      <c r="AL242" s="27">
        <f t="shared" si="7"/>
        <v>1</v>
      </c>
      <c r="AM242" s="28">
        <v>1</v>
      </c>
    </row>
    <row r="243" spans="1:39" x14ac:dyDescent="0.25">
      <c r="A243" t="s">
        <v>14170</v>
      </c>
      <c r="B243" t="s">
        <v>14171</v>
      </c>
      <c r="C243" t="s">
        <v>14172</v>
      </c>
      <c r="D243" s="25" t="s">
        <v>10562</v>
      </c>
      <c r="E243" t="s">
        <v>192</v>
      </c>
      <c r="F243" s="28">
        <v>1</v>
      </c>
      <c r="G243" t="s">
        <v>193</v>
      </c>
      <c r="H243" t="s">
        <v>194</v>
      </c>
      <c r="I243" t="s">
        <v>13152</v>
      </c>
      <c r="J243" t="s">
        <v>9302</v>
      </c>
      <c r="K243" t="s">
        <v>14173</v>
      </c>
      <c r="L243" t="s">
        <v>6258</v>
      </c>
      <c r="M243" t="s">
        <v>14098</v>
      </c>
      <c r="N243" t="s">
        <v>14099</v>
      </c>
      <c r="O243" t="s">
        <v>14100</v>
      </c>
      <c r="P243" t="s">
        <v>14174</v>
      </c>
      <c r="Q243" t="s">
        <v>14175</v>
      </c>
      <c r="S243" t="s">
        <v>9309</v>
      </c>
      <c r="U243" t="s">
        <v>14176</v>
      </c>
      <c r="V243" t="s">
        <v>193</v>
      </c>
      <c r="W243" t="s">
        <v>9310</v>
      </c>
      <c r="Z243" t="s">
        <v>9311</v>
      </c>
      <c r="AF243" t="s">
        <v>4714</v>
      </c>
      <c r="AG243" t="s">
        <v>14171</v>
      </c>
      <c r="AI243" t="s">
        <v>6955</v>
      </c>
      <c r="AJ243" s="27" t="str">
        <f t="shared" si="6"/>
        <v>311907</v>
      </c>
      <c r="AK243" s="27">
        <v>1</v>
      </c>
      <c r="AL243" s="27">
        <f t="shared" si="7"/>
        <v>1</v>
      </c>
      <c r="AM243" s="28">
        <v>1</v>
      </c>
    </row>
    <row r="244" spans="1:39" x14ac:dyDescent="0.25">
      <c r="A244" t="s">
        <v>14177</v>
      </c>
      <c r="B244" t="s">
        <v>14178</v>
      </c>
      <c r="C244" t="s">
        <v>129</v>
      </c>
      <c r="D244" s="25" t="s">
        <v>10562</v>
      </c>
      <c r="E244" t="s">
        <v>192</v>
      </c>
      <c r="F244" s="28">
        <v>1</v>
      </c>
      <c r="G244" t="s">
        <v>193</v>
      </c>
      <c r="H244" t="s">
        <v>194</v>
      </c>
      <c r="I244" t="s">
        <v>13164</v>
      </c>
      <c r="J244" t="s">
        <v>9302</v>
      </c>
      <c r="K244" t="s">
        <v>14179</v>
      </c>
      <c r="L244" t="s">
        <v>7489</v>
      </c>
      <c r="M244" t="s">
        <v>14098</v>
      </c>
      <c r="N244" t="s">
        <v>14099</v>
      </c>
      <c r="O244" t="s">
        <v>14100</v>
      </c>
      <c r="P244" t="s">
        <v>14180</v>
      </c>
      <c r="Q244" t="s">
        <v>14181</v>
      </c>
      <c r="S244" t="s">
        <v>9309</v>
      </c>
      <c r="U244" t="s">
        <v>203</v>
      </c>
      <c r="V244" t="s">
        <v>193</v>
      </c>
      <c r="W244" t="s">
        <v>9310</v>
      </c>
      <c r="Z244" t="s">
        <v>9311</v>
      </c>
      <c r="AF244" t="s">
        <v>4714</v>
      </c>
      <c r="AG244" t="s">
        <v>14178</v>
      </c>
      <c r="AI244" t="s">
        <v>6955</v>
      </c>
      <c r="AJ244" s="27" t="str">
        <f t="shared" si="6"/>
        <v>121904</v>
      </c>
      <c r="AK244" s="27">
        <v>1</v>
      </c>
      <c r="AL244" s="27">
        <f t="shared" si="7"/>
        <v>1</v>
      </c>
      <c r="AM244" s="28">
        <v>1</v>
      </c>
    </row>
    <row r="245" spans="1:39" x14ac:dyDescent="0.25">
      <c r="A245" t="s">
        <v>14182</v>
      </c>
      <c r="B245" t="s">
        <v>14183</v>
      </c>
      <c r="C245" t="s">
        <v>396</v>
      </c>
      <c r="D245" s="25" t="s">
        <v>10562</v>
      </c>
      <c r="E245" t="s">
        <v>192</v>
      </c>
      <c r="F245" s="28">
        <v>1</v>
      </c>
      <c r="G245" t="s">
        <v>193</v>
      </c>
      <c r="H245" t="s">
        <v>194</v>
      </c>
      <c r="I245" t="s">
        <v>13152</v>
      </c>
      <c r="J245" t="s">
        <v>9302</v>
      </c>
      <c r="K245" t="s">
        <v>14184</v>
      </c>
      <c r="L245" t="s">
        <v>6312</v>
      </c>
      <c r="M245" t="s">
        <v>14098</v>
      </c>
      <c r="N245" t="s">
        <v>14099</v>
      </c>
      <c r="O245" t="s">
        <v>14100</v>
      </c>
      <c r="P245" t="s">
        <v>14185</v>
      </c>
      <c r="Q245" t="s">
        <v>14186</v>
      </c>
      <c r="S245" t="s">
        <v>9309</v>
      </c>
      <c r="U245" t="s">
        <v>397</v>
      </c>
      <c r="V245" t="s">
        <v>193</v>
      </c>
      <c r="W245" t="s">
        <v>9310</v>
      </c>
      <c r="Z245" t="s">
        <v>9311</v>
      </c>
      <c r="AF245" t="s">
        <v>4714</v>
      </c>
      <c r="AG245" t="s">
        <v>14183</v>
      </c>
      <c r="AI245" t="s">
        <v>6955</v>
      </c>
      <c r="AJ245" s="27" t="str">
        <f t="shared" si="6"/>
        <v>235301</v>
      </c>
      <c r="AK245" s="27">
        <v>1</v>
      </c>
      <c r="AL245" s="27">
        <f t="shared" si="7"/>
        <v>1</v>
      </c>
      <c r="AM245" s="28">
        <v>1</v>
      </c>
    </row>
    <row r="246" spans="1:39" x14ac:dyDescent="0.25">
      <c r="A246" t="s">
        <v>14187</v>
      </c>
      <c r="B246" t="s">
        <v>14188</v>
      </c>
      <c r="C246" t="s">
        <v>444</v>
      </c>
      <c r="D246" s="25" t="s">
        <v>10562</v>
      </c>
      <c r="E246" t="s">
        <v>192</v>
      </c>
      <c r="F246" s="28">
        <v>1</v>
      </c>
      <c r="G246" t="s">
        <v>193</v>
      </c>
      <c r="H246" t="s">
        <v>194</v>
      </c>
      <c r="I246" t="s">
        <v>13303</v>
      </c>
      <c r="J246" t="s">
        <v>9302</v>
      </c>
      <c r="K246" t="s">
        <v>14189</v>
      </c>
      <c r="L246" t="s">
        <v>6261</v>
      </c>
      <c r="M246" t="s">
        <v>14098</v>
      </c>
      <c r="N246" t="s">
        <v>14099</v>
      </c>
      <c r="O246" t="s">
        <v>14100</v>
      </c>
      <c r="P246" t="s">
        <v>14190</v>
      </c>
      <c r="Q246" t="s">
        <v>14191</v>
      </c>
      <c r="S246" t="s">
        <v>9309</v>
      </c>
      <c r="U246" t="s">
        <v>445</v>
      </c>
      <c r="V246" t="s">
        <v>193</v>
      </c>
      <c r="W246" t="s">
        <v>9310</v>
      </c>
      <c r="Z246" t="s">
        <v>9311</v>
      </c>
      <c r="AF246" t="s">
        <v>4714</v>
      </c>
      <c r="AG246" t="s">
        <v>14188</v>
      </c>
      <c r="AI246" t="s">
        <v>6955</v>
      </c>
      <c r="AJ246" s="27" t="str">
        <f t="shared" si="6"/>
        <v>243103</v>
      </c>
      <c r="AK246" s="27">
        <v>1</v>
      </c>
      <c r="AL246" s="27">
        <f t="shared" si="7"/>
        <v>1</v>
      </c>
      <c r="AM246" s="28">
        <v>1</v>
      </c>
    </row>
    <row r="247" spans="1:39" x14ac:dyDescent="0.25">
      <c r="A247" t="s">
        <v>919</v>
      </c>
      <c r="B247" t="s">
        <v>14192</v>
      </c>
      <c r="C247" t="s">
        <v>9000</v>
      </c>
      <c r="D247" s="25" t="s">
        <v>10562</v>
      </c>
      <c r="E247" t="s">
        <v>192</v>
      </c>
      <c r="F247" s="28">
        <v>1</v>
      </c>
      <c r="G247" t="s">
        <v>193</v>
      </c>
      <c r="H247" t="s">
        <v>194</v>
      </c>
      <c r="I247" t="s">
        <v>13200</v>
      </c>
      <c r="J247" t="s">
        <v>9302</v>
      </c>
      <c r="K247" t="s">
        <v>14193</v>
      </c>
      <c r="L247" t="s">
        <v>6921</v>
      </c>
      <c r="M247" t="s">
        <v>14098</v>
      </c>
      <c r="N247" t="s">
        <v>14099</v>
      </c>
      <c r="O247" t="s">
        <v>14100</v>
      </c>
      <c r="P247" t="s">
        <v>14194</v>
      </c>
      <c r="Q247" t="s">
        <v>14195</v>
      </c>
      <c r="S247" t="s">
        <v>9309</v>
      </c>
      <c r="U247" t="s">
        <v>9002</v>
      </c>
      <c r="V247" t="s">
        <v>193</v>
      </c>
      <c r="W247" t="s">
        <v>9310</v>
      </c>
      <c r="Z247" t="s">
        <v>9311</v>
      </c>
      <c r="AF247" t="s">
        <v>4714</v>
      </c>
      <c r="AG247" t="s">
        <v>14192</v>
      </c>
      <c r="AI247" t="s">
        <v>6955</v>
      </c>
      <c r="AJ247" s="27" t="str">
        <f t="shared" si="6"/>
        <v>252902</v>
      </c>
      <c r="AK247" s="27">
        <v>1</v>
      </c>
      <c r="AL247" s="27">
        <f t="shared" si="7"/>
        <v>1</v>
      </c>
      <c r="AM247" s="28">
        <v>1</v>
      </c>
    </row>
    <row r="248" spans="1:39" x14ac:dyDescent="0.25">
      <c r="A248" t="s">
        <v>14196</v>
      </c>
      <c r="B248" t="s">
        <v>1200</v>
      </c>
      <c r="C248" t="s">
        <v>4966</v>
      </c>
      <c r="D248" s="25" t="s">
        <v>10562</v>
      </c>
      <c r="E248" t="s">
        <v>217</v>
      </c>
      <c r="F248" s="28">
        <v>1</v>
      </c>
      <c r="G248" t="s">
        <v>193</v>
      </c>
      <c r="H248" t="s">
        <v>194</v>
      </c>
      <c r="I248" t="s">
        <v>13200</v>
      </c>
      <c r="J248" t="s">
        <v>276</v>
      </c>
      <c r="K248" t="s">
        <v>14197</v>
      </c>
      <c r="L248" t="s">
        <v>6327</v>
      </c>
      <c r="M248" t="s">
        <v>14198</v>
      </c>
      <c r="N248" t="s">
        <v>11608</v>
      </c>
      <c r="O248" t="s">
        <v>13128</v>
      </c>
      <c r="P248" t="s">
        <v>14199</v>
      </c>
      <c r="Q248" t="s">
        <v>14200</v>
      </c>
      <c r="S248" t="s">
        <v>9309</v>
      </c>
      <c r="T248" t="s">
        <v>9786</v>
      </c>
      <c r="U248" t="s">
        <v>405</v>
      </c>
      <c r="V248" t="s">
        <v>194</v>
      </c>
      <c r="W248" t="s">
        <v>9300</v>
      </c>
      <c r="Z248" t="s">
        <v>9311</v>
      </c>
      <c r="AF248" t="s">
        <v>4714</v>
      </c>
      <c r="AG248" t="s">
        <v>9433</v>
      </c>
      <c r="AI248" t="s">
        <v>6955</v>
      </c>
      <c r="AJ248" s="27" t="str">
        <f t="shared" si="6"/>
        <v>241304</v>
      </c>
      <c r="AK248" s="27">
        <v>1</v>
      </c>
      <c r="AL248" s="27">
        <f t="shared" si="7"/>
        <v>1</v>
      </c>
      <c r="AM248" s="28">
        <v>1</v>
      </c>
    </row>
    <row r="249" spans="1:39" x14ac:dyDescent="0.25">
      <c r="A249" t="s">
        <v>14196</v>
      </c>
      <c r="B249" t="s">
        <v>14201</v>
      </c>
      <c r="C249" t="s">
        <v>4966</v>
      </c>
      <c r="D249" s="25" t="s">
        <v>10562</v>
      </c>
      <c r="E249" t="s">
        <v>217</v>
      </c>
      <c r="F249" s="28">
        <v>1</v>
      </c>
      <c r="G249" t="s">
        <v>193</v>
      </c>
      <c r="H249" t="s">
        <v>194</v>
      </c>
      <c r="I249" t="s">
        <v>13125</v>
      </c>
      <c r="J249" t="s">
        <v>253</v>
      </c>
      <c r="K249" t="s">
        <v>14202</v>
      </c>
      <c r="L249" t="s">
        <v>6327</v>
      </c>
      <c r="M249" t="s">
        <v>14198</v>
      </c>
      <c r="N249" t="s">
        <v>11608</v>
      </c>
      <c r="O249" t="s">
        <v>13128</v>
      </c>
      <c r="P249" t="s">
        <v>14203</v>
      </c>
      <c r="Q249" t="s">
        <v>14204</v>
      </c>
      <c r="S249" t="s">
        <v>9309</v>
      </c>
      <c r="T249" t="s">
        <v>9468</v>
      </c>
      <c r="U249" t="s">
        <v>405</v>
      </c>
      <c r="V249" t="s">
        <v>194</v>
      </c>
      <c r="W249" t="s">
        <v>9300</v>
      </c>
      <c r="Z249" t="s">
        <v>9311</v>
      </c>
      <c r="AF249" t="s">
        <v>4714</v>
      </c>
      <c r="AG249" t="s">
        <v>9433</v>
      </c>
      <c r="AI249" t="s">
        <v>6955</v>
      </c>
      <c r="AJ249" s="27" t="str">
        <f t="shared" si="6"/>
        <v>241304</v>
      </c>
      <c r="AK249" s="27">
        <v>1</v>
      </c>
      <c r="AL249" s="27">
        <f t="shared" si="7"/>
        <v>1</v>
      </c>
      <c r="AM249" s="28">
        <v>1</v>
      </c>
    </row>
    <row r="250" spans="1:39" x14ac:dyDescent="0.25">
      <c r="A250" t="s">
        <v>11674</v>
      </c>
      <c r="B250" t="s">
        <v>4055</v>
      </c>
      <c r="C250" t="s">
        <v>10</v>
      </c>
      <c r="D250" s="25" t="s">
        <v>10562</v>
      </c>
      <c r="E250" t="s">
        <v>192</v>
      </c>
      <c r="F250" s="28">
        <v>1</v>
      </c>
      <c r="G250" t="s">
        <v>193</v>
      </c>
      <c r="H250" t="s">
        <v>194</v>
      </c>
      <c r="I250" t="s">
        <v>13119</v>
      </c>
      <c r="J250" t="s">
        <v>9302</v>
      </c>
      <c r="K250" t="s">
        <v>14205</v>
      </c>
      <c r="L250" t="s">
        <v>6921</v>
      </c>
      <c r="M250" t="s">
        <v>14098</v>
      </c>
      <c r="N250" t="s">
        <v>14099</v>
      </c>
      <c r="O250" t="s">
        <v>14100</v>
      </c>
      <c r="P250" t="s">
        <v>14206</v>
      </c>
      <c r="Q250" t="s">
        <v>14207</v>
      </c>
      <c r="S250" t="s">
        <v>9309</v>
      </c>
      <c r="U250" t="s">
        <v>484</v>
      </c>
      <c r="V250" t="s">
        <v>193</v>
      </c>
      <c r="W250" t="s">
        <v>9310</v>
      </c>
      <c r="Z250" t="s">
        <v>9311</v>
      </c>
      <c r="AF250" t="s">
        <v>4714</v>
      </c>
      <c r="AG250" t="s">
        <v>4055</v>
      </c>
      <c r="AI250" t="s">
        <v>6955</v>
      </c>
      <c r="AJ250" s="27" t="str">
        <f t="shared" si="6"/>
        <v>251401</v>
      </c>
      <c r="AK250" s="27">
        <v>1</v>
      </c>
      <c r="AL250" s="27">
        <f t="shared" si="7"/>
        <v>1</v>
      </c>
      <c r="AM250" s="28">
        <v>1</v>
      </c>
    </row>
    <row r="251" spans="1:39" x14ac:dyDescent="0.25">
      <c r="A251" t="s">
        <v>11674</v>
      </c>
      <c r="B251" t="s">
        <v>14208</v>
      </c>
      <c r="C251" t="s">
        <v>8740</v>
      </c>
      <c r="D251" s="25" t="s">
        <v>10562</v>
      </c>
      <c r="E251" t="s">
        <v>192</v>
      </c>
      <c r="F251" s="28">
        <v>1</v>
      </c>
      <c r="G251" t="s">
        <v>193</v>
      </c>
      <c r="H251" t="s">
        <v>194</v>
      </c>
      <c r="I251" t="s">
        <v>13303</v>
      </c>
      <c r="J251" t="s">
        <v>9302</v>
      </c>
      <c r="K251" t="s">
        <v>14209</v>
      </c>
      <c r="L251" t="s">
        <v>6921</v>
      </c>
      <c r="M251" t="s">
        <v>14098</v>
      </c>
      <c r="N251" t="s">
        <v>14099</v>
      </c>
      <c r="O251" t="s">
        <v>14100</v>
      </c>
      <c r="P251" t="s">
        <v>14210</v>
      </c>
      <c r="Q251" t="s">
        <v>14211</v>
      </c>
      <c r="S251" t="s">
        <v>9309</v>
      </c>
      <c r="U251" t="s">
        <v>8742</v>
      </c>
      <c r="V251" t="s">
        <v>193</v>
      </c>
      <c r="W251" t="s">
        <v>9310</v>
      </c>
      <c r="Z251" t="s">
        <v>9311</v>
      </c>
      <c r="AF251" t="s">
        <v>4714</v>
      </c>
      <c r="AG251" t="s">
        <v>14208</v>
      </c>
      <c r="AI251" t="s">
        <v>6955</v>
      </c>
      <c r="AJ251" s="27" t="str">
        <f t="shared" si="6"/>
        <v>251490</v>
      </c>
      <c r="AK251" s="27">
        <v>1</v>
      </c>
      <c r="AL251" s="27">
        <f t="shared" si="7"/>
        <v>1</v>
      </c>
      <c r="AM251" s="28">
        <v>1</v>
      </c>
    </row>
    <row r="252" spans="1:39" x14ac:dyDescent="0.25">
      <c r="A252" t="s">
        <v>11674</v>
      </c>
      <c r="B252" t="s">
        <v>11678</v>
      </c>
      <c r="C252" t="s">
        <v>8740</v>
      </c>
      <c r="D252" s="25" t="s">
        <v>10562</v>
      </c>
      <c r="E252" t="s">
        <v>192</v>
      </c>
      <c r="F252" s="28">
        <v>1</v>
      </c>
      <c r="G252" t="s">
        <v>193</v>
      </c>
      <c r="H252" t="s">
        <v>194</v>
      </c>
      <c r="I252" t="s">
        <v>13303</v>
      </c>
      <c r="J252" t="s">
        <v>9302</v>
      </c>
      <c r="K252" t="s">
        <v>14212</v>
      </c>
      <c r="L252" t="s">
        <v>6921</v>
      </c>
      <c r="M252" t="s">
        <v>14098</v>
      </c>
      <c r="N252" t="s">
        <v>14099</v>
      </c>
      <c r="O252" t="s">
        <v>14100</v>
      </c>
      <c r="P252" t="s">
        <v>14213</v>
      </c>
      <c r="Q252" t="s">
        <v>14214</v>
      </c>
      <c r="S252" t="s">
        <v>9309</v>
      </c>
      <c r="U252" t="s">
        <v>8742</v>
      </c>
      <c r="V252" t="s">
        <v>193</v>
      </c>
      <c r="W252" t="s">
        <v>9310</v>
      </c>
      <c r="Z252" t="s">
        <v>9311</v>
      </c>
      <c r="AF252" t="s">
        <v>4714</v>
      </c>
      <c r="AG252" t="s">
        <v>11678</v>
      </c>
      <c r="AI252" t="s">
        <v>6955</v>
      </c>
      <c r="AJ252" s="27" t="str">
        <f t="shared" si="6"/>
        <v>251490</v>
      </c>
      <c r="AK252" s="27">
        <v>1</v>
      </c>
      <c r="AL252" s="27">
        <f t="shared" si="7"/>
        <v>1</v>
      </c>
      <c r="AM252" s="28">
        <v>1</v>
      </c>
    </row>
    <row r="253" spans="1:39" x14ac:dyDescent="0.25">
      <c r="A253" t="s">
        <v>9346</v>
      </c>
      <c r="B253" t="s">
        <v>14215</v>
      </c>
      <c r="C253" t="s">
        <v>97</v>
      </c>
      <c r="D253" s="25" t="s">
        <v>10562</v>
      </c>
      <c r="E253" t="s">
        <v>192</v>
      </c>
      <c r="F253" s="28">
        <v>1</v>
      </c>
      <c r="G253" t="s">
        <v>193</v>
      </c>
      <c r="H253" t="s">
        <v>194</v>
      </c>
      <c r="I253" t="s">
        <v>13164</v>
      </c>
      <c r="J253" t="s">
        <v>9302</v>
      </c>
      <c r="K253" t="s">
        <v>14216</v>
      </c>
      <c r="L253" t="s">
        <v>6254</v>
      </c>
      <c r="M253" t="s">
        <v>14098</v>
      </c>
      <c r="N253" t="s">
        <v>14099</v>
      </c>
      <c r="O253" t="s">
        <v>14100</v>
      </c>
      <c r="P253" t="s">
        <v>14217</v>
      </c>
      <c r="Q253" t="s">
        <v>14218</v>
      </c>
      <c r="S253" t="s">
        <v>9309</v>
      </c>
      <c r="U253" t="s">
        <v>2086</v>
      </c>
      <c r="V253" t="s">
        <v>193</v>
      </c>
      <c r="W253" t="s">
        <v>9310</v>
      </c>
      <c r="Z253" t="s">
        <v>9311</v>
      </c>
      <c r="AF253" t="s">
        <v>4714</v>
      </c>
      <c r="AG253" t="s">
        <v>14215</v>
      </c>
      <c r="AI253" t="s">
        <v>6955</v>
      </c>
      <c r="AJ253" s="27" t="str">
        <f t="shared" si="6"/>
        <v>251102</v>
      </c>
      <c r="AK253" s="27">
        <v>1</v>
      </c>
      <c r="AL253" s="27">
        <f t="shared" si="7"/>
        <v>1</v>
      </c>
      <c r="AM253" s="28">
        <v>1</v>
      </c>
    </row>
    <row r="254" spans="1:39" x14ac:dyDescent="0.25">
      <c r="A254" t="s">
        <v>14219</v>
      </c>
      <c r="B254" t="s">
        <v>14220</v>
      </c>
      <c r="C254" t="s">
        <v>507</v>
      </c>
      <c r="D254" s="25" t="s">
        <v>10562</v>
      </c>
      <c r="E254" t="s">
        <v>192</v>
      </c>
      <c r="F254" s="28">
        <v>1</v>
      </c>
      <c r="G254" t="s">
        <v>193</v>
      </c>
      <c r="H254" t="s">
        <v>194</v>
      </c>
      <c r="I254" t="s">
        <v>13303</v>
      </c>
      <c r="J254" t="s">
        <v>9302</v>
      </c>
      <c r="K254" t="s">
        <v>14221</v>
      </c>
      <c r="L254" t="s">
        <v>6921</v>
      </c>
      <c r="M254" t="s">
        <v>14098</v>
      </c>
      <c r="N254" t="s">
        <v>14099</v>
      </c>
      <c r="O254" t="s">
        <v>14100</v>
      </c>
      <c r="P254" t="s">
        <v>14222</v>
      </c>
      <c r="Q254" t="s">
        <v>14223</v>
      </c>
      <c r="S254" t="s">
        <v>9309</v>
      </c>
      <c r="U254" t="s">
        <v>508</v>
      </c>
      <c r="V254" t="s">
        <v>193</v>
      </c>
      <c r="W254" t="s">
        <v>9310</v>
      </c>
      <c r="Z254" t="s">
        <v>9311</v>
      </c>
      <c r="AF254" t="s">
        <v>4714</v>
      </c>
      <c r="AG254" t="s">
        <v>14220</v>
      </c>
      <c r="AI254" t="s">
        <v>6955</v>
      </c>
      <c r="AJ254" s="27" t="str">
        <f t="shared" si="6"/>
        <v>252102</v>
      </c>
      <c r="AK254" s="27">
        <v>1</v>
      </c>
      <c r="AL254" s="27">
        <f t="shared" si="7"/>
        <v>1</v>
      </c>
      <c r="AM254" s="28">
        <v>1</v>
      </c>
    </row>
    <row r="255" spans="1:39" x14ac:dyDescent="0.25">
      <c r="A255" t="s">
        <v>14224</v>
      </c>
      <c r="B255" t="s">
        <v>6055</v>
      </c>
      <c r="C255" t="s">
        <v>10</v>
      </c>
      <c r="D255" s="25" t="s">
        <v>10562</v>
      </c>
      <c r="E255" t="s">
        <v>192</v>
      </c>
      <c r="F255" s="28">
        <v>1</v>
      </c>
      <c r="G255" t="s">
        <v>193</v>
      </c>
      <c r="H255" t="s">
        <v>194</v>
      </c>
      <c r="I255" t="s">
        <v>13111</v>
      </c>
      <c r="J255" t="s">
        <v>9302</v>
      </c>
      <c r="K255" t="s">
        <v>14225</v>
      </c>
      <c r="L255" t="s">
        <v>6261</v>
      </c>
      <c r="M255" t="s">
        <v>14098</v>
      </c>
      <c r="N255" t="s">
        <v>14099</v>
      </c>
      <c r="O255" t="s">
        <v>14100</v>
      </c>
      <c r="P255" t="s">
        <v>14226</v>
      </c>
      <c r="Q255" t="s">
        <v>14227</v>
      </c>
      <c r="S255" t="s">
        <v>9309</v>
      </c>
      <c r="U255" t="s">
        <v>484</v>
      </c>
      <c r="V255" t="s">
        <v>193</v>
      </c>
      <c r="W255" t="s">
        <v>9310</v>
      </c>
      <c r="Z255" t="s">
        <v>9311</v>
      </c>
      <c r="AF255" t="s">
        <v>4714</v>
      </c>
      <c r="AG255" t="s">
        <v>6055</v>
      </c>
      <c r="AI255" t="s">
        <v>6955</v>
      </c>
      <c r="AJ255" s="27" t="str">
        <f t="shared" si="6"/>
        <v>251401</v>
      </c>
      <c r="AK255" s="27">
        <v>1</v>
      </c>
      <c r="AL255" s="27">
        <f t="shared" si="7"/>
        <v>1</v>
      </c>
      <c r="AM255" s="28">
        <v>1</v>
      </c>
    </row>
    <row r="256" spans="1:39" x14ac:dyDescent="0.25">
      <c r="A256" t="s">
        <v>14224</v>
      </c>
      <c r="B256" t="s">
        <v>8800</v>
      </c>
      <c r="C256" t="s">
        <v>10</v>
      </c>
      <c r="D256" s="25" t="s">
        <v>10562</v>
      </c>
      <c r="E256" t="s">
        <v>192</v>
      </c>
      <c r="F256" s="28">
        <v>1</v>
      </c>
      <c r="G256" t="s">
        <v>193</v>
      </c>
      <c r="H256" t="s">
        <v>194</v>
      </c>
      <c r="I256" t="s">
        <v>13111</v>
      </c>
      <c r="J256" t="s">
        <v>9302</v>
      </c>
      <c r="K256" t="s">
        <v>14228</v>
      </c>
      <c r="L256" t="s">
        <v>6261</v>
      </c>
      <c r="M256" t="s">
        <v>14098</v>
      </c>
      <c r="N256" t="s">
        <v>14099</v>
      </c>
      <c r="O256" t="s">
        <v>14100</v>
      </c>
      <c r="P256" t="s">
        <v>14229</v>
      </c>
      <c r="Q256" t="s">
        <v>14230</v>
      </c>
      <c r="S256" t="s">
        <v>9309</v>
      </c>
      <c r="U256" t="s">
        <v>484</v>
      </c>
      <c r="V256" t="s">
        <v>193</v>
      </c>
      <c r="W256" t="s">
        <v>9310</v>
      </c>
      <c r="Z256" t="s">
        <v>9311</v>
      </c>
      <c r="AF256" t="s">
        <v>4714</v>
      </c>
      <c r="AG256" t="s">
        <v>8800</v>
      </c>
      <c r="AI256" t="s">
        <v>6955</v>
      </c>
      <c r="AJ256" s="27" t="str">
        <f t="shared" si="6"/>
        <v>251401</v>
      </c>
      <c r="AK256" s="27">
        <v>1</v>
      </c>
      <c r="AL256" s="27">
        <f t="shared" si="7"/>
        <v>1</v>
      </c>
      <c r="AM256" s="28">
        <v>1</v>
      </c>
    </row>
    <row r="257" spans="1:39" x14ac:dyDescent="0.25">
      <c r="A257" t="s">
        <v>1207</v>
      </c>
      <c r="B257" t="s">
        <v>13283</v>
      </c>
      <c r="C257" t="s">
        <v>10</v>
      </c>
      <c r="D257" s="25" t="s">
        <v>10562</v>
      </c>
      <c r="E257" t="s">
        <v>217</v>
      </c>
      <c r="F257" s="28">
        <v>1</v>
      </c>
      <c r="G257" t="s">
        <v>194</v>
      </c>
      <c r="H257" t="s">
        <v>193</v>
      </c>
      <c r="I257" t="s">
        <v>13200</v>
      </c>
      <c r="J257" t="s">
        <v>13284</v>
      </c>
      <c r="K257" t="s">
        <v>13285</v>
      </c>
      <c r="L257" t="s">
        <v>6261</v>
      </c>
      <c r="M257" t="s">
        <v>14198</v>
      </c>
      <c r="N257" t="s">
        <v>11614</v>
      </c>
      <c r="O257" t="s">
        <v>13160</v>
      </c>
      <c r="P257" t="s">
        <v>14231</v>
      </c>
      <c r="Q257" t="s">
        <v>14232</v>
      </c>
      <c r="S257" t="s">
        <v>9309</v>
      </c>
      <c r="U257" t="s">
        <v>484</v>
      </c>
      <c r="V257" t="s">
        <v>194</v>
      </c>
      <c r="W257" t="s">
        <v>9946</v>
      </c>
      <c r="Z257" t="s">
        <v>9311</v>
      </c>
      <c r="AF257" t="s">
        <v>4714</v>
      </c>
      <c r="AG257" t="s">
        <v>9433</v>
      </c>
      <c r="AI257" t="s">
        <v>6955</v>
      </c>
      <c r="AJ257" s="27" t="str">
        <f t="shared" si="6"/>
        <v>251401</v>
      </c>
      <c r="AK257" s="27">
        <v>1</v>
      </c>
      <c r="AL257" s="27">
        <f t="shared" si="7"/>
        <v>1</v>
      </c>
      <c r="AM257" s="28">
        <v>1</v>
      </c>
    </row>
    <row r="258" spans="1:39" x14ac:dyDescent="0.25">
      <c r="A258" t="s">
        <v>1207</v>
      </c>
      <c r="B258" t="s">
        <v>5134</v>
      </c>
      <c r="C258" t="s">
        <v>10</v>
      </c>
      <c r="D258" s="25" t="s">
        <v>10562</v>
      </c>
      <c r="E258" t="s">
        <v>217</v>
      </c>
      <c r="F258" s="28">
        <v>1</v>
      </c>
      <c r="G258" t="s">
        <v>194</v>
      </c>
      <c r="H258" t="s">
        <v>193</v>
      </c>
      <c r="I258" t="s">
        <v>13200</v>
      </c>
      <c r="J258" t="s">
        <v>13289</v>
      </c>
      <c r="K258" t="s">
        <v>13290</v>
      </c>
      <c r="L258" t="s">
        <v>6261</v>
      </c>
      <c r="M258" t="s">
        <v>14198</v>
      </c>
      <c r="N258" t="s">
        <v>12285</v>
      </c>
      <c r="O258" t="s">
        <v>13291</v>
      </c>
      <c r="P258" t="s">
        <v>14233</v>
      </c>
      <c r="Q258" t="s">
        <v>14234</v>
      </c>
      <c r="S258" t="s">
        <v>9309</v>
      </c>
      <c r="U258" t="s">
        <v>484</v>
      </c>
      <c r="V258" t="s">
        <v>194</v>
      </c>
      <c r="W258" t="s">
        <v>9946</v>
      </c>
      <c r="Z258" t="s">
        <v>9311</v>
      </c>
      <c r="AF258" t="s">
        <v>4714</v>
      </c>
      <c r="AG258" t="s">
        <v>9433</v>
      </c>
      <c r="AI258" t="s">
        <v>6955</v>
      </c>
      <c r="AJ258" s="27" t="str">
        <f t="shared" si="6"/>
        <v>251401</v>
      </c>
      <c r="AK258" s="27">
        <v>1</v>
      </c>
      <c r="AL258" s="27">
        <f t="shared" si="7"/>
        <v>1</v>
      </c>
      <c r="AM258" s="28">
        <v>1</v>
      </c>
    </row>
    <row r="259" spans="1:39" x14ac:dyDescent="0.25">
      <c r="A259" t="s">
        <v>415</v>
      </c>
      <c r="B259" t="s">
        <v>14235</v>
      </c>
      <c r="C259" t="s">
        <v>14236</v>
      </c>
      <c r="D259" s="25" t="s">
        <v>10562</v>
      </c>
      <c r="E259" t="s">
        <v>192</v>
      </c>
      <c r="F259" s="28">
        <v>1</v>
      </c>
      <c r="G259" t="s">
        <v>193</v>
      </c>
      <c r="H259" t="s">
        <v>194</v>
      </c>
      <c r="I259" t="s">
        <v>13303</v>
      </c>
      <c r="J259" t="s">
        <v>9302</v>
      </c>
      <c r="K259" t="s">
        <v>14237</v>
      </c>
      <c r="L259" t="s">
        <v>6921</v>
      </c>
      <c r="M259" t="s">
        <v>14098</v>
      </c>
      <c r="N259" t="s">
        <v>14099</v>
      </c>
      <c r="O259" t="s">
        <v>14100</v>
      </c>
      <c r="P259" t="s">
        <v>14238</v>
      </c>
      <c r="Q259" t="s">
        <v>14239</v>
      </c>
      <c r="S259" t="s">
        <v>9309</v>
      </c>
      <c r="U259" t="s">
        <v>14240</v>
      </c>
      <c r="V259" t="s">
        <v>193</v>
      </c>
      <c r="W259" t="s">
        <v>9310</v>
      </c>
      <c r="Z259" t="s">
        <v>9311</v>
      </c>
      <c r="AF259" t="s">
        <v>4714</v>
      </c>
      <c r="AG259" t="s">
        <v>14235</v>
      </c>
      <c r="AI259" t="s">
        <v>6955</v>
      </c>
      <c r="AJ259" s="27" t="str">
        <f t="shared" ref="AJ259:AJ322" si="8">MID(U259,8,6)</f>
        <v>242111</v>
      </c>
      <c r="AK259" s="27">
        <v>1</v>
      </c>
      <c r="AL259" s="27">
        <f t="shared" ref="AL259:AL322" si="9">SUM(F259)</f>
        <v>1</v>
      </c>
      <c r="AM259" s="28">
        <v>1</v>
      </c>
    </row>
    <row r="260" spans="1:39" x14ac:dyDescent="0.25">
      <c r="A260" t="s">
        <v>9373</v>
      </c>
      <c r="B260" t="s">
        <v>14241</v>
      </c>
      <c r="C260" t="s">
        <v>10</v>
      </c>
      <c r="D260" s="25" t="s">
        <v>10562</v>
      </c>
      <c r="E260" t="s">
        <v>192</v>
      </c>
      <c r="F260" s="28">
        <v>1</v>
      </c>
      <c r="G260" t="s">
        <v>193</v>
      </c>
      <c r="H260" t="s">
        <v>194</v>
      </c>
      <c r="I260" t="s">
        <v>13200</v>
      </c>
      <c r="J260" t="s">
        <v>9302</v>
      </c>
      <c r="K260" t="s">
        <v>14242</v>
      </c>
      <c r="L260" t="s">
        <v>6921</v>
      </c>
      <c r="M260" t="s">
        <v>14098</v>
      </c>
      <c r="N260" t="s">
        <v>14099</v>
      </c>
      <c r="O260" t="s">
        <v>14100</v>
      </c>
      <c r="P260" t="s">
        <v>14243</v>
      </c>
      <c r="Q260" t="s">
        <v>14244</v>
      </c>
      <c r="S260" t="s">
        <v>9309</v>
      </c>
      <c r="U260" t="s">
        <v>484</v>
      </c>
      <c r="V260" t="s">
        <v>193</v>
      </c>
      <c r="W260" t="s">
        <v>9310</v>
      </c>
      <c r="Z260" t="s">
        <v>9311</v>
      </c>
      <c r="AF260" t="s">
        <v>4714</v>
      </c>
      <c r="AG260" t="s">
        <v>14241</v>
      </c>
      <c r="AI260" t="s">
        <v>6955</v>
      </c>
      <c r="AJ260" s="27" t="str">
        <f t="shared" si="8"/>
        <v>251401</v>
      </c>
      <c r="AK260" s="27">
        <v>1</v>
      </c>
      <c r="AL260" s="27">
        <f t="shared" si="9"/>
        <v>1</v>
      </c>
      <c r="AM260" s="28">
        <v>1</v>
      </c>
    </row>
    <row r="261" spans="1:39" x14ac:dyDescent="0.25">
      <c r="A261" t="s">
        <v>9373</v>
      </c>
      <c r="B261" t="s">
        <v>14245</v>
      </c>
      <c r="C261" t="s">
        <v>10</v>
      </c>
      <c r="D261" s="25" t="s">
        <v>10562</v>
      </c>
      <c r="E261" t="s">
        <v>192</v>
      </c>
      <c r="F261" s="28">
        <v>1</v>
      </c>
      <c r="G261" t="s">
        <v>193</v>
      </c>
      <c r="H261" t="s">
        <v>194</v>
      </c>
      <c r="I261" t="s">
        <v>13111</v>
      </c>
      <c r="J261" t="s">
        <v>9302</v>
      </c>
      <c r="K261" t="s">
        <v>14246</v>
      </c>
      <c r="L261" t="s">
        <v>6261</v>
      </c>
      <c r="M261" t="s">
        <v>14098</v>
      </c>
      <c r="N261" t="s">
        <v>14099</v>
      </c>
      <c r="O261" t="s">
        <v>14100</v>
      </c>
      <c r="P261" t="s">
        <v>14247</v>
      </c>
      <c r="Q261" t="s">
        <v>14248</v>
      </c>
      <c r="S261" t="s">
        <v>9309</v>
      </c>
      <c r="U261" t="s">
        <v>484</v>
      </c>
      <c r="V261" t="s">
        <v>193</v>
      </c>
      <c r="W261" t="s">
        <v>9310</v>
      </c>
      <c r="Z261" t="s">
        <v>9311</v>
      </c>
      <c r="AF261" t="s">
        <v>4714</v>
      </c>
      <c r="AG261" t="s">
        <v>14245</v>
      </c>
      <c r="AI261" t="s">
        <v>6955</v>
      </c>
      <c r="AJ261" s="27" t="str">
        <f t="shared" si="8"/>
        <v>251401</v>
      </c>
      <c r="AK261" s="27">
        <v>1</v>
      </c>
      <c r="AL261" s="27">
        <f t="shared" si="9"/>
        <v>1</v>
      </c>
      <c r="AM261" s="28">
        <v>1</v>
      </c>
    </row>
    <row r="262" spans="1:39" x14ac:dyDescent="0.25">
      <c r="A262" t="s">
        <v>9373</v>
      </c>
      <c r="B262" t="s">
        <v>14249</v>
      </c>
      <c r="C262" t="s">
        <v>10</v>
      </c>
      <c r="D262" s="25" t="s">
        <v>10562</v>
      </c>
      <c r="E262" t="s">
        <v>192</v>
      </c>
      <c r="F262" s="28">
        <v>1</v>
      </c>
      <c r="G262" t="s">
        <v>193</v>
      </c>
      <c r="H262" t="s">
        <v>194</v>
      </c>
      <c r="I262" t="s">
        <v>13152</v>
      </c>
      <c r="J262" t="s">
        <v>9302</v>
      </c>
      <c r="K262" t="s">
        <v>14250</v>
      </c>
      <c r="L262" t="s">
        <v>6261</v>
      </c>
      <c r="M262" t="s">
        <v>14098</v>
      </c>
      <c r="N262" t="s">
        <v>14099</v>
      </c>
      <c r="O262" t="s">
        <v>14100</v>
      </c>
      <c r="P262" t="s">
        <v>14251</v>
      </c>
      <c r="Q262" t="s">
        <v>14252</v>
      </c>
      <c r="S262" t="s">
        <v>9309</v>
      </c>
      <c r="U262" t="s">
        <v>484</v>
      </c>
      <c r="V262" t="s">
        <v>193</v>
      </c>
      <c r="W262" t="s">
        <v>9310</v>
      </c>
      <c r="Z262" t="s">
        <v>9311</v>
      </c>
      <c r="AF262" t="s">
        <v>4714</v>
      </c>
      <c r="AG262" t="s">
        <v>14249</v>
      </c>
      <c r="AI262" t="s">
        <v>6955</v>
      </c>
      <c r="AJ262" s="27" t="str">
        <f t="shared" si="8"/>
        <v>251401</v>
      </c>
      <c r="AK262" s="27">
        <v>1</v>
      </c>
      <c r="AL262" s="27">
        <f t="shared" si="9"/>
        <v>1</v>
      </c>
      <c r="AM262" s="28">
        <v>1</v>
      </c>
    </row>
    <row r="263" spans="1:39" x14ac:dyDescent="0.25">
      <c r="A263" t="s">
        <v>9373</v>
      </c>
      <c r="B263" t="s">
        <v>14253</v>
      </c>
      <c r="C263" t="s">
        <v>10</v>
      </c>
      <c r="D263" s="25" t="s">
        <v>10562</v>
      </c>
      <c r="E263" t="s">
        <v>192</v>
      </c>
      <c r="F263" s="28">
        <v>1</v>
      </c>
      <c r="G263" t="s">
        <v>193</v>
      </c>
      <c r="H263" t="s">
        <v>194</v>
      </c>
      <c r="I263" t="s">
        <v>13152</v>
      </c>
      <c r="J263" t="s">
        <v>9302</v>
      </c>
      <c r="K263" t="s">
        <v>14254</v>
      </c>
      <c r="L263" t="s">
        <v>6921</v>
      </c>
      <c r="M263" t="s">
        <v>14098</v>
      </c>
      <c r="N263" t="s">
        <v>14099</v>
      </c>
      <c r="O263" t="s">
        <v>14100</v>
      </c>
      <c r="P263" t="s">
        <v>14255</v>
      </c>
      <c r="Q263" t="s">
        <v>14256</v>
      </c>
      <c r="S263" t="s">
        <v>9309</v>
      </c>
      <c r="U263" t="s">
        <v>484</v>
      </c>
      <c r="V263" t="s">
        <v>193</v>
      </c>
      <c r="W263" t="s">
        <v>9310</v>
      </c>
      <c r="Z263" t="s">
        <v>9311</v>
      </c>
      <c r="AF263" t="s">
        <v>4714</v>
      </c>
      <c r="AG263" t="s">
        <v>14253</v>
      </c>
      <c r="AI263" t="s">
        <v>6955</v>
      </c>
      <c r="AJ263" s="27" t="str">
        <f t="shared" si="8"/>
        <v>251401</v>
      </c>
      <c r="AK263" s="27">
        <v>1</v>
      </c>
      <c r="AL263" s="27">
        <f t="shared" si="9"/>
        <v>1</v>
      </c>
      <c r="AM263" s="28">
        <v>1</v>
      </c>
    </row>
    <row r="264" spans="1:39" x14ac:dyDescent="0.25">
      <c r="A264" t="s">
        <v>9373</v>
      </c>
      <c r="B264" t="s">
        <v>14257</v>
      </c>
      <c r="C264" t="s">
        <v>10</v>
      </c>
      <c r="D264" s="25" t="s">
        <v>10562</v>
      </c>
      <c r="E264" t="s">
        <v>192</v>
      </c>
      <c r="F264" s="28">
        <v>1</v>
      </c>
      <c r="G264" t="s">
        <v>193</v>
      </c>
      <c r="H264" t="s">
        <v>194</v>
      </c>
      <c r="I264" t="s">
        <v>13152</v>
      </c>
      <c r="J264" t="s">
        <v>9302</v>
      </c>
      <c r="K264" t="s">
        <v>14258</v>
      </c>
      <c r="L264" t="s">
        <v>6261</v>
      </c>
      <c r="M264" t="s">
        <v>14098</v>
      </c>
      <c r="N264" t="s">
        <v>14099</v>
      </c>
      <c r="O264" t="s">
        <v>14100</v>
      </c>
      <c r="P264" t="s">
        <v>14259</v>
      </c>
      <c r="Q264" t="s">
        <v>14260</v>
      </c>
      <c r="S264" t="s">
        <v>9309</v>
      </c>
      <c r="U264" t="s">
        <v>484</v>
      </c>
      <c r="V264" t="s">
        <v>193</v>
      </c>
      <c r="W264" t="s">
        <v>9310</v>
      </c>
      <c r="Z264" t="s">
        <v>9311</v>
      </c>
      <c r="AF264" t="s">
        <v>4714</v>
      </c>
      <c r="AG264" t="s">
        <v>14257</v>
      </c>
      <c r="AI264" t="s">
        <v>6955</v>
      </c>
      <c r="AJ264" s="27" t="str">
        <f t="shared" si="8"/>
        <v>251401</v>
      </c>
      <c r="AK264" s="27">
        <v>1</v>
      </c>
      <c r="AL264" s="27">
        <f t="shared" si="9"/>
        <v>1</v>
      </c>
      <c r="AM264" s="28">
        <v>1</v>
      </c>
    </row>
    <row r="265" spans="1:39" x14ac:dyDescent="0.25">
      <c r="A265" t="s">
        <v>10606</v>
      </c>
      <c r="B265" t="s">
        <v>14261</v>
      </c>
      <c r="C265" t="s">
        <v>13592</v>
      </c>
      <c r="D265" s="25" t="s">
        <v>10562</v>
      </c>
      <c r="E265" t="s">
        <v>192</v>
      </c>
      <c r="F265" s="28">
        <v>1</v>
      </c>
      <c r="G265" t="s">
        <v>193</v>
      </c>
      <c r="H265" t="s">
        <v>194</v>
      </c>
      <c r="I265" t="s">
        <v>13303</v>
      </c>
      <c r="J265" t="s">
        <v>210</v>
      </c>
      <c r="K265" t="s">
        <v>14262</v>
      </c>
      <c r="L265" t="s">
        <v>6295</v>
      </c>
      <c r="M265" t="s">
        <v>14098</v>
      </c>
      <c r="N265" t="s">
        <v>14099</v>
      </c>
      <c r="O265" t="s">
        <v>14100</v>
      </c>
      <c r="P265" t="s">
        <v>14263</v>
      </c>
      <c r="Q265" t="s">
        <v>14264</v>
      </c>
      <c r="S265" t="s">
        <v>9309</v>
      </c>
      <c r="T265" t="s">
        <v>9334</v>
      </c>
      <c r="U265" t="s">
        <v>13596</v>
      </c>
      <c r="V265" t="s">
        <v>194</v>
      </c>
      <c r="W265" t="s">
        <v>9300</v>
      </c>
      <c r="Z265" t="s">
        <v>9311</v>
      </c>
      <c r="AF265" t="s">
        <v>4714</v>
      </c>
      <c r="AG265" t="s">
        <v>14261</v>
      </c>
      <c r="AI265" t="s">
        <v>6955</v>
      </c>
      <c r="AJ265" s="27" t="str">
        <f t="shared" si="8"/>
        <v>214305</v>
      </c>
      <c r="AK265" s="27">
        <v>1</v>
      </c>
      <c r="AL265" s="27">
        <f t="shared" si="9"/>
        <v>1</v>
      </c>
      <c r="AM265" s="28">
        <v>1</v>
      </c>
    </row>
    <row r="266" spans="1:39" x14ac:dyDescent="0.25">
      <c r="A266" t="s">
        <v>10606</v>
      </c>
      <c r="B266" t="s">
        <v>14265</v>
      </c>
      <c r="C266" t="s">
        <v>100</v>
      </c>
      <c r="D266" s="25" t="s">
        <v>10562</v>
      </c>
      <c r="E266" t="s">
        <v>192</v>
      </c>
      <c r="F266" s="28">
        <v>1</v>
      </c>
      <c r="G266" t="s">
        <v>193</v>
      </c>
      <c r="H266" t="s">
        <v>194</v>
      </c>
      <c r="I266" t="s">
        <v>13152</v>
      </c>
      <c r="J266" t="s">
        <v>755</v>
      </c>
      <c r="K266" t="s">
        <v>14266</v>
      </c>
      <c r="L266" t="s">
        <v>6266</v>
      </c>
      <c r="M266" t="s">
        <v>14098</v>
      </c>
      <c r="N266" t="s">
        <v>14099</v>
      </c>
      <c r="O266" t="s">
        <v>14100</v>
      </c>
      <c r="P266" t="s">
        <v>14267</v>
      </c>
      <c r="Q266" t="s">
        <v>14268</v>
      </c>
      <c r="S266" t="s">
        <v>9309</v>
      </c>
      <c r="T266" t="s">
        <v>9726</v>
      </c>
      <c r="U266" t="s">
        <v>429</v>
      </c>
      <c r="V266" t="s">
        <v>194</v>
      </c>
      <c r="W266" t="s">
        <v>9300</v>
      </c>
      <c r="Z266" t="s">
        <v>9311</v>
      </c>
      <c r="AF266" t="s">
        <v>4714</v>
      </c>
      <c r="AG266" t="s">
        <v>14265</v>
      </c>
      <c r="AI266" t="s">
        <v>6955</v>
      </c>
      <c r="AJ266" s="27" t="str">
        <f t="shared" si="8"/>
        <v>242108</v>
      </c>
      <c r="AK266" s="27">
        <v>1</v>
      </c>
      <c r="AL266" s="27">
        <f t="shared" si="9"/>
        <v>1</v>
      </c>
      <c r="AM266" s="28">
        <v>1</v>
      </c>
    </row>
    <row r="267" spans="1:39" x14ac:dyDescent="0.25">
      <c r="A267" t="s">
        <v>10606</v>
      </c>
      <c r="B267" t="s">
        <v>14269</v>
      </c>
      <c r="C267" t="s">
        <v>13592</v>
      </c>
      <c r="D267" s="25" t="s">
        <v>10562</v>
      </c>
      <c r="E267" t="s">
        <v>192</v>
      </c>
      <c r="F267" s="28">
        <v>1</v>
      </c>
      <c r="G267" t="s">
        <v>193</v>
      </c>
      <c r="H267" t="s">
        <v>194</v>
      </c>
      <c r="I267" t="s">
        <v>13303</v>
      </c>
      <c r="J267" t="s">
        <v>755</v>
      </c>
      <c r="K267" t="s">
        <v>14270</v>
      </c>
      <c r="L267" t="s">
        <v>6327</v>
      </c>
      <c r="M267" t="s">
        <v>14098</v>
      </c>
      <c r="N267" t="s">
        <v>14099</v>
      </c>
      <c r="O267" t="s">
        <v>14100</v>
      </c>
      <c r="P267" t="s">
        <v>14271</v>
      </c>
      <c r="Q267" t="s">
        <v>14272</v>
      </c>
      <c r="S267" t="s">
        <v>9309</v>
      </c>
      <c r="T267" t="s">
        <v>9726</v>
      </c>
      <c r="U267" t="s">
        <v>13596</v>
      </c>
      <c r="V267" t="s">
        <v>194</v>
      </c>
      <c r="W267" t="s">
        <v>9300</v>
      </c>
      <c r="Z267" t="s">
        <v>9311</v>
      </c>
      <c r="AF267" t="s">
        <v>4714</v>
      </c>
      <c r="AG267" t="s">
        <v>14269</v>
      </c>
      <c r="AI267" t="s">
        <v>6955</v>
      </c>
      <c r="AJ267" s="27" t="str">
        <f t="shared" si="8"/>
        <v>214305</v>
      </c>
      <c r="AK267" s="27">
        <v>1</v>
      </c>
      <c r="AL267" s="27">
        <f t="shared" si="9"/>
        <v>1</v>
      </c>
      <c r="AM267" s="28">
        <v>1</v>
      </c>
    </row>
    <row r="268" spans="1:39" x14ac:dyDescent="0.25">
      <c r="A268" t="s">
        <v>10606</v>
      </c>
      <c r="B268" t="s">
        <v>14273</v>
      </c>
      <c r="C268" t="s">
        <v>319</v>
      </c>
      <c r="D268" s="25" t="s">
        <v>10562</v>
      </c>
      <c r="E268" t="s">
        <v>192</v>
      </c>
      <c r="F268" s="28">
        <v>1</v>
      </c>
      <c r="G268" t="s">
        <v>193</v>
      </c>
      <c r="H268" t="s">
        <v>194</v>
      </c>
      <c r="I268" t="s">
        <v>13125</v>
      </c>
      <c r="J268" t="s">
        <v>755</v>
      </c>
      <c r="K268" t="s">
        <v>14274</v>
      </c>
      <c r="L268" t="s">
        <v>6295</v>
      </c>
      <c r="M268" t="s">
        <v>14098</v>
      </c>
      <c r="N268" t="s">
        <v>14099</v>
      </c>
      <c r="O268" t="s">
        <v>14100</v>
      </c>
      <c r="P268" t="s">
        <v>14275</v>
      </c>
      <c r="Q268" t="s">
        <v>14276</v>
      </c>
      <c r="S268" t="s">
        <v>9309</v>
      </c>
      <c r="T268" t="s">
        <v>9726</v>
      </c>
      <c r="U268" t="s">
        <v>320</v>
      </c>
      <c r="V268" t="s">
        <v>194</v>
      </c>
      <c r="W268" t="s">
        <v>9300</v>
      </c>
      <c r="Z268" t="s">
        <v>9311</v>
      </c>
      <c r="AF268" t="s">
        <v>5109</v>
      </c>
      <c r="AG268" t="s">
        <v>14273</v>
      </c>
      <c r="AI268" t="s">
        <v>6955</v>
      </c>
      <c r="AJ268" s="27" t="str">
        <f t="shared" si="8"/>
        <v>214407</v>
      </c>
      <c r="AK268" s="27">
        <v>1</v>
      </c>
      <c r="AL268" s="27">
        <f t="shared" si="9"/>
        <v>1</v>
      </c>
      <c r="AM268" s="28">
        <v>1</v>
      </c>
    </row>
    <row r="269" spans="1:39" x14ac:dyDescent="0.25">
      <c r="A269" t="s">
        <v>9400</v>
      </c>
      <c r="B269" t="s">
        <v>9401</v>
      </c>
      <c r="C269" t="s">
        <v>133</v>
      </c>
      <c r="D269" s="25" t="s">
        <v>10562</v>
      </c>
      <c r="E269" t="s">
        <v>192</v>
      </c>
      <c r="F269" s="28">
        <v>1</v>
      </c>
      <c r="G269" t="s">
        <v>193</v>
      </c>
      <c r="H269" t="s">
        <v>194</v>
      </c>
      <c r="I269" t="s">
        <v>13164</v>
      </c>
      <c r="J269" t="s">
        <v>210</v>
      </c>
      <c r="K269" t="s">
        <v>14277</v>
      </c>
      <c r="L269" t="s">
        <v>6249</v>
      </c>
      <c r="M269" t="s">
        <v>14098</v>
      </c>
      <c r="N269" t="s">
        <v>14099</v>
      </c>
      <c r="O269" t="s">
        <v>14100</v>
      </c>
      <c r="P269" t="s">
        <v>14278</v>
      </c>
      <c r="Q269" t="s">
        <v>14279</v>
      </c>
      <c r="S269" t="s">
        <v>9309</v>
      </c>
      <c r="T269" t="s">
        <v>9334</v>
      </c>
      <c r="U269" t="s">
        <v>673</v>
      </c>
      <c r="V269" t="s">
        <v>194</v>
      </c>
      <c r="W269" t="s">
        <v>9300</v>
      </c>
      <c r="Z269" t="s">
        <v>9311</v>
      </c>
      <c r="AF269" t="s">
        <v>4714</v>
      </c>
      <c r="AG269" t="s">
        <v>9401</v>
      </c>
      <c r="AI269" t="s">
        <v>6955</v>
      </c>
      <c r="AJ269" s="27" t="str">
        <f t="shared" si="8"/>
        <v>333107</v>
      </c>
      <c r="AK269" s="27">
        <v>1</v>
      </c>
      <c r="AL269" s="27">
        <f t="shared" si="9"/>
        <v>1</v>
      </c>
      <c r="AM269" s="28">
        <v>1</v>
      </c>
    </row>
    <row r="270" spans="1:39" x14ac:dyDescent="0.25">
      <c r="A270" t="s">
        <v>9400</v>
      </c>
      <c r="B270" t="s">
        <v>14280</v>
      </c>
      <c r="C270" t="s">
        <v>133</v>
      </c>
      <c r="D270" s="25" t="s">
        <v>10562</v>
      </c>
      <c r="E270" t="s">
        <v>192</v>
      </c>
      <c r="F270" s="28">
        <v>1</v>
      </c>
      <c r="G270" t="s">
        <v>193</v>
      </c>
      <c r="H270" t="s">
        <v>194</v>
      </c>
      <c r="I270" t="s">
        <v>13164</v>
      </c>
      <c r="J270" t="s">
        <v>210</v>
      </c>
      <c r="K270" t="s">
        <v>14281</v>
      </c>
      <c r="L270" t="s">
        <v>6249</v>
      </c>
      <c r="M270" t="s">
        <v>14098</v>
      </c>
      <c r="N270" t="s">
        <v>14099</v>
      </c>
      <c r="O270" t="s">
        <v>14100</v>
      </c>
      <c r="P270" t="s">
        <v>14282</v>
      </c>
      <c r="Q270" t="s">
        <v>14283</v>
      </c>
      <c r="S270" t="s">
        <v>9309</v>
      </c>
      <c r="T270" t="s">
        <v>9334</v>
      </c>
      <c r="U270" t="s">
        <v>673</v>
      </c>
      <c r="V270" t="s">
        <v>194</v>
      </c>
      <c r="W270" t="s">
        <v>9300</v>
      </c>
      <c r="Z270" t="s">
        <v>9311</v>
      </c>
      <c r="AF270" t="s">
        <v>4714</v>
      </c>
      <c r="AG270" t="s">
        <v>14280</v>
      </c>
      <c r="AI270" t="s">
        <v>6955</v>
      </c>
      <c r="AJ270" s="27" t="str">
        <f t="shared" si="8"/>
        <v>333107</v>
      </c>
      <c r="AK270" s="27">
        <v>1</v>
      </c>
      <c r="AL270" s="27">
        <f t="shared" si="9"/>
        <v>1</v>
      </c>
      <c r="AM270" s="28">
        <v>1</v>
      </c>
    </row>
    <row r="271" spans="1:39" x14ac:dyDescent="0.25">
      <c r="A271" t="s">
        <v>14284</v>
      </c>
      <c r="B271" t="s">
        <v>1419</v>
      </c>
      <c r="C271" t="s">
        <v>10</v>
      </c>
      <c r="D271" s="25" t="s">
        <v>10562</v>
      </c>
      <c r="E271" t="s">
        <v>192</v>
      </c>
      <c r="F271" s="28">
        <v>1</v>
      </c>
      <c r="G271" t="s">
        <v>193</v>
      </c>
      <c r="H271" t="s">
        <v>194</v>
      </c>
      <c r="I271" t="s">
        <v>13152</v>
      </c>
      <c r="J271" t="s">
        <v>9302</v>
      </c>
      <c r="K271" t="s">
        <v>14285</v>
      </c>
      <c r="L271" t="s">
        <v>6261</v>
      </c>
      <c r="M271" t="s">
        <v>14098</v>
      </c>
      <c r="N271" t="s">
        <v>14099</v>
      </c>
      <c r="O271" t="s">
        <v>14100</v>
      </c>
      <c r="P271" t="s">
        <v>14286</v>
      </c>
      <c r="Q271" t="s">
        <v>14287</v>
      </c>
      <c r="S271" t="s">
        <v>9309</v>
      </c>
      <c r="U271" t="s">
        <v>484</v>
      </c>
      <c r="V271" t="s">
        <v>193</v>
      </c>
      <c r="W271" t="s">
        <v>9310</v>
      </c>
      <c r="Z271" t="s">
        <v>9311</v>
      </c>
      <c r="AF271" t="s">
        <v>4714</v>
      </c>
      <c r="AG271" t="s">
        <v>1419</v>
      </c>
      <c r="AI271" t="s">
        <v>6955</v>
      </c>
      <c r="AJ271" s="27" t="str">
        <f t="shared" si="8"/>
        <v>251401</v>
      </c>
      <c r="AK271" s="27">
        <v>1</v>
      </c>
      <c r="AL271" s="27">
        <f t="shared" si="9"/>
        <v>1</v>
      </c>
      <c r="AM271" s="28">
        <v>1</v>
      </c>
    </row>
    <row r="272" spans="1:39" x14ac:dyDescent="0.25">
      <c r="A272" t="s">
        <v>9447</v>
      </c>
      <c r="B272" t="s">
        <v>14288</v>
      </c>
      <c r="C272" t="s">
        <v>80</v>
      </c>
      <c r="D272" s="25" t="s">
        <v>10562</v>
      </c>
      <c r="E272" t="s">
        <v>192</v>
      </c>
      <c r="F272" s="28">
        <v>1</v>
      </c>
      <c r="G272" t="s">
        <v>193</v>
      </c>
      <c r="H272" t="s">
        <v>194</v>
      </c>
      <c r="I272" t="s">
        <v>13111</v>
      </c>
      <c r="J272" t="s">
        <v>9302</v>
      </c>
      <c r="K272" t="s">
        <v>14289</v>
      </c>
      <c r="L272" t="s">
        <v>6245</v>
      </c>
      <c r="M272" t="s">
        <v>14098</v>
      </c>
      <c r="N272" t="s">
        <v>14099</v>
      </c>
      <c r="O272" t="s">
        <v>14100</v>
      </c>
      <c r="P272" t="s">
        <v>14290</v>
      </c>
      <c r="Q272" t="s">
        <v>14291</v>
      </c>
      <c r="S272" t="s">
        <v>9309</v>
      </c>
      <c r="U272" t="s">
        <v>474</v>
      </c>
      <c r="V272" t="s">
        <v>193</v>
      </c>
      <c r="W272" t="s">
        <v>9310</v>
      </c>
      <c r="Z272" t="s">
        <v>9311</v>
      </c>
      <c r="AF272" t="s">
        <v>4714</v>
      </c>
      <c r="AG272" t="s">
        <v>14288</v>
      </c>
      <c r="AI272" t="s">
        <v>6955</v>
      </c>
      <c r="AJ272" s="27" t="str">
        <f t="shared" si="8"/>
        <v>243304</v>
      </c>
      <c r="AK272" s="27">
        <v>1</v>
      </c>
      <c r="AL272" s="27">
        <f t="shared" si="9"/>
        <v>1</v>
      </c>
      <c r="AM272" s="28">
        <v>1</v>
      </c>
    </row>
    <row r="273" spans="1:39" x14ac:dyDescent="0.25">
      <c r="A273" t="s">
        <v>10644</v>
      </c>
      <c r="B273" t="s">
        <v>14292</v>
      </c>
      <c r="C273" t="s">
        <v>1947</v>
      </c>
      <c r="D273" s="25" t="s">
        <v>10562</v>
      </c>
      <c r="E273" t="s">
        <v>192</v>
      </c>
      <c r="F273" s="28">
        <v>1</v>
      </c>
      <c r="G273" t="s">
        <v>193</v>
      </c>
      <c r="H273" t="s">
        <v>194</v>
      </c>
      <c r="I273" t="s">
        <v>13125</v>
      </c>
      <c r="J273" t="s">
        <v>385</v>
      </c>
      <c r="K273" t="s">
        <v>14293</v>
      </c>
      <c r="L273" t="s">
        <v>6245</v>
      </c>
      <c r="M273" t="s">
        <v>14098</v>
      </c>
      <c r="N273" t="s">
        <v>14099</v>
      </c>
      <c r="O273" t="s">
        <v>14100</v>
      </c>
      <c r="P273" t="s">
        <v>14294</v>
      </c>
      <c r="Q273" t="s">
        <v>14295</v>
      </c>
      <c r="S273" t="s">
        <v>9309</v>
      </c>
      <c r="T273" t="s">
        <v>9410</v>
      </c>
      <c r="U273" t="s">
        <v>1948</v>
      </c>
      <c r="V273" t="s">
        <v>194</v>
      </c>
      <c r="W273" t="s">
        <v>9300</v>
      </c>
      <c r="Z273" t="s">
        <v>9311</v>
      </c>
      <c r="AF273" t="s">
        <v>4714</v>
      </c>
      <c r="AG273" t="s">
        <v>14292</v>
      </c>
      <c r="AI273" t="s">
        <v>6955</v>
      </c>
      <c r="AJ273" s="27" t="str">
        <f t="shared" si="8"/>
        <v>214405</v>
      </c>
      <c r="AK273" s="27">
        <v>1</v>
      </c>
      <c r="AL273" s="27">
        <f t="shared" si="9"/>
        <v>1</v>
      </c>
      <c r="AM273" s="28">
        <v>1</v>
      </c>
    </row>
    <row r="274" spans="1:39" x14ac:dyDescent="0.25">
      <c r="A274" t="s">
        <v>10644</v>
      </c>
      <c r="B274" t="s">
        <v>10666</v>
      </c>
      <c r="C274" t="s">
        <v>29</v>
      </c>
      <c r="D274" s="25" t="s">
        <v>10562</v>
      </c>
      <c r="E274" t="s">
        <v>192</v>
      </c>
      <c r="F274" s="28">
        <v>1</v>
      </c>
      <c r="G274" t="s">
        <v>193</v>
      </c>
      <c r="H274" t="s">
        <v>194</v>
      </c>
      <c r="I274" t="s">
        <v>13164</v>
      </c>
      <c r="J274" t="s">
        <v>575</v>
      </c>
      <c r="K274" t="s">
        <v>14296</v>
      </c>
      <c r="L274" t="s">
        <v>6275</v>
      </c>
      <c r="M274" t="s">
        <v>14098</v>
      </c>
      <c r="N274" t="s">
        <v>14099</v>
      </c>
      <c r="O274" t="s">
        <v>14100</v>
      </c>
      <c r="P274" t="s">
        <v>14297</v>
      </c>
      <c r="Q274" t="s">
        <v>14298</v>
      </c>
      <c r="S274" t="s">
        <v>9309</v>
      </c>
      <c r="T274" t="s">
        <v>9726</v>
      </c>
      <c r="U274" t="s">
        <v>808</v>
      </c>
      <c r="V274" t="s">
        <v>194</v>
      </c>
      <c r="W274" t="s">
        <v>9300</v>
      </c>
      <c r="Z274" t="s">
        <v>9311</v>
      </c>
      <c r="AF274" t="s">
        <v>4714</v>
      </c>
      <c r="AG274" t="s">
        <v>10666</v>
      </c>
      <c r="AI274" t="s">
        <v>6955</v>
      </c>
      <c r="AJ274" s="27" t="str">
        <f t="shared" si="8"/>
        <v>722308</v>
      </c>
      <c r="AK274" s="27">
        <v>1</v>
      </c>
      <c r="AL274" s="27">
        <f t="shared" si="9"/>
        <v>1</v>
      </c>
      <c r="AM274" s="28">
        <v>1</v>
      </c>
    </row>
    <row r="275" spans="1:39" x14ac:dyDescent="0.25">
      <c r="A275" t="s">
        <v>10644</v>
      </c>
      <c r="B275" t="s">
        <v>14299</v>
      </c>
      <c r="C275" t="s">
        <v>67</v>
      </c>
      <c r="D275" s="25" t="s">
        <v>10562</v>
      </c>
      <c r="E275" t="s">
        <v>192</v>
      </c>
      <c r="F275" s="28">
        <v>1</v>
      </c>
      <c r="G275" t="s">
        <v>193</v>
      </c>
      <c r="H275" t="s">
        <v>194</v>
      </c>
      <c r="I275" t="s">
        <v>13303</v>
      </c>
      <c r="J275" t="s">
        <v>385</v>
      </c>
      <c r="K275" t="s">
        <v>14300</v>
      </c>
      <c r="L275" t="s">
        <v>6266</v>
      </c>
      <c r="M275" t="s">
        <v>14098</v>
      </c>
      <c r="N275" t="s">
        <v>14099</v>
      </c>
      <c r="O275" t="s">
        <v>14100</v>
      </c>
      <c r="P275" t="s">
        <v>14301</v>
      </c>
      <c r="Q275" t="s">
        <v>14302</v>
      </c>
      <c r="S275" t="s">
        <v>9309</v>
      </c>
      <c r="T275" t="s">
        <v>9410</v>
      </c>
      <c r="U275" t="s">
        <v>709</v>
      </c>
      <c r="V275" t="s">
        <v>194</v>
      </c>
      <c r="W275" t="s">
        <v>9300</v>
      </c>
      <c r="Z275" t="s">
        <v>9311</v>
      </c>
      <c r="AF275" t="s">
        <v>4714</v>
      </c>
      <c r="AG275" t="s">
        <v>14299</v>
      </c>
      <c r="AI275" t="s">
        <v>6955</v>
      </c>
      <c r="AJ275" s="27" t="str">
        <f t="shared" si="8"/>
        <v>432103</v>
      </c>
      <c r="AK275" s="27">
        <v>1</v>
      </c>
      <c r="AL275" s="27">
        <f t="shared" si="9"/>
        <v>1</v>
      </c>
      <c r="AM275" s="28">
        <v>1</v>
      </c>
    </row>
    <row r="276" spans="1:39" x14ac:dyDescent="0.25">
      <c r="A276" t="s">
        <v>10644</v>
      </c>
      <c r="B276" t="s">
        <v>14303</v>
      </c>
      <c r="C276" t="s">
        <v>721</v>
      </c>
      <c r="D276" s="25" t="s">
        <v>10562</v>
      </c>
      <c r="E276" t="s">
        <v>192</v>
      </c>
      <c r="F276" s="28">
        <v>1</v>
      </c>
      <c r="G276" t="s">
        <v>193</v>
      </c>
      <c r="H276" t="s">
        <v>194</v>
      </c>
      <c r="I276" t="s">
        <v>13303</v>
      </c>
      <c r="J276" t="s">
        <v>575</v>
      </c>
      <c r="K276" t="s">
        <v>14304</v>
      </c>
      <c r="L276" t="s">
        <v>6266</v>
      </c>
      <c r="M276" t="s">
        <v>14098</v>
      </c>
      <c r="N276" t="s">
        <v>14099</v>
      </c>
      <c r="O276" t="s">
        <v>14100</v>
      </c>
      <c r="P276" t="s">
        <v>14305</v>
      </c>
      <c r="Q276" t="s">
        <v>14306</v>
      </c>
      <c r="S276" t="s">
        <v>9309</v>
      </c>
      <c r="T276" t="s">
        <v>9726</v>
      </c>
      <c r="U276" t="s">
        <v>723</v>
      </c>
      <c r="V276" t="s">
        <v>194</v>
      </c>
      <c r="W276" t="s">
        <v>9300</v>
      </c>
      <c r="Z276" t="s">
        <v>9311</v>
      </c>
      <c r="AF276" t="s">
        <v>4714</v>
      </c>
      <c r="AG276" t="s">
        <v>14303</v>
      </c>
      <c r="AI276" t="s">
        <v>6955</v>
      </c>
      <c r="AJ276" s="27" t="str">
        <f t="shared" si="8"/>
        <v>432201</v>
      </c>
      <c r="AK276" s="27">
        <v>1</v>
      </c>
      <c r="AL276" s="27">
        <f t="shared" si="9"/>
        <v>1</v>
      </c>
      <c r="AM276" s="28">
        <v>1</v>
      </c>
    </row>
    <row r="277" spans="1:39" x14ac:dyDescent="0.25">
      <c r="A277" t="s">
        <v>10644</v>
      </c>
      <c r="B277" t="s">
        <v>993</v>
      </c>
      <c r="C277" t="s">
        <v>721</v>
      </c>
      <c r="D277" s="25" t="s">
        <v>10562</v>
      </c>
      <c r="E277" t="s">
        <v>192</v>
      </c>
      <c r="F277" s="28">
        <v>1</v>
      </c>
      <c r="G277" t="s">
        <v>193</v>
      </c>
      <c r="H277" t="s">
        <v>194</v>
      </c>
      <c r="I277" t="s">
        <v>13303</v>
      </c>
      <c r="J277" t="s">
        <v>575</v>
      </c>
      <c r="K277" t="s">
        <v>14307</v>
      </c>
      <c r="L277" t="s">
        <v>6266</v>
      </c>
      <c r="M277" t="s">
        <v>14098</v>
      </c>
      <c r="N277" t="s">
        <v>14099</v>
      </c>
      <c r="O277" t="s">
        <v>14100</v>
      </c>
      <c r="P277" t="s">
        <v>14308</v>
      </c>
      <c r="Q277" t="s">
        <v>14309</v>
      </c>
      <c r="S277" t="s">
        <v>9309</v>
      </c>
      <c r="T277" t="s">
        <v>9726</v>
      </c>
      <c r="U277" t="s">
        <v>723</v>
      </c>
      <c r="V277" t="s">
        <v>194</v>
      </c>
      <c r="W277" t="s">
        <v>9300</v>
      </c>
      <c r="Z277" t="s">
        <v>9311</v>
      </c>
      <c r="AF277" t="s">
        <v>4714</v>
      </c>
      <c r="AG277" t="s">
        <v>993</v>
      </c>
      <c r="AI277" t="s">
        <v>6955</v>
      </c>
      <c r="AJ277" s="27" t="str">
        <f t="shared" si="8"/>
        <v>432201</v>
      </c>
      <c r="AK277" s="27">
        <v>1</v>
      </c>
      <c r="AL277" s="27">
        <f t="shared" si="9"/>
        <v>1</v>
      </c>
      <c r="AM277" s="28">
        <v>1</v>
      </c>
    </row>
    <row r="278" spans="1:39" x14ac:dyDescent="0.25">
      <c r="A278" t="s">
        <v>10644</v>
      </c>
      <c r="B278" t="s">
        <v>14310</v>
      </c>
      <c r="C278" t="s">
        <v>5440</v>
      </c>
      <c r="D278" s="25" t="s">
        <v>10562</v>
      </c>
      <c r="E278" t="s">
        <v>192</v>
      </c>
      <c r="F278" s="28">
        <v>1</v>
      </c>
      <c r="G278" t="s">
        <v>193</v>
      </c>
      <c r="H278" t="s">
        <v>194</v>
      </c>
      <c r="I278" t="s">
        <v>13303</v>
      </c>
      <c r="J278" t="s">
        <v>575</v>
      </c>
      <c r="K278" t="s">
        <v>14311</v>
      </c>
      <c r="L278" t="s">
        <v>6258</v>
      </c>
      <c r="M278" t="s">
        <v>14098</v>
      </c>
      <c r="N278" t="s">
        <v>14099</v>
      </c>
      <c r="O278" t="s">
        <v>14100</v>
      </c>
      <c r="P278" t="s">
        <v>14312</v>
      </c>
      <c r="Q278" t="s">
        <v>14313</v>
      </c>
      <c r="S278" t="s">
        <v>9309</v>
      </c>
      <c r="U278" t="s">
        <v>310</v>
      </c>
      <c r="V278" t="s">
        <v>193</v>
      </c>
      <c r="W278" t="s">
        <v>9310</v>
      </c>
      <c r="Z278" t="s">
        <v>9311</v>
      </c>
      <c r="AF278" t="s">
        <v>4714</v>
      </c>
      <c r="AG278" t="s">
        <v>14310</v>
      </c>
      <c r="AI278" t="s">
        <v>6955</v>
      </c>
      <c r="AJ278" s="27" t="str">
        <f t="shared" si="8"/>
        <v>214404</v>
      </c>
      <c r="AK278" s="27">
        <v>1</v>
      </c>
      <c r="AL278" s="27">
        <f t="shared" si="9"/>
        <v>1</v>
      </c>
      <c r="AM278" s="28">
        <v>1</v>
      </c>
    </row>
    <row r="279" spans="1:39" x14ac:dyDescent="0.25">
      <c r="A279" t="s">
        <v>10644</v>
      </c>
      <c r="B279" t="s">
        <v>14314</v>
      </c>
      <c r="C279" t="s">
        <v>14315</v>
      </c>
      <c r="D279" s="25" t="s">
        <v>10562</v>
      </c>
      <c r="E279" t="s">
        <v>192</v>
      </c>
      <c r="F279" s="28">
        <v>1</v>
      </c>
      <c r="G279" t="s">
        <v>193</v>
      </c>
      <c r="H279" t="s">
        <v>194</v>
      </c>
      <c r="I279" t="s">
        <v>13303</v>
      </c>
      <c r="J279" t="s">
        <v>385</v>
      </c>
      <c r="K279" t="s">
        <v>14316</v>
      </c>
      <c r="L279" t="s">
        <v>6245</v>
      </c>
      <c r="M279" t="s">
        <v>14098</v>
      </c>
      <c r="N279" t="s">
        <v>14099</v>
      </c>
      <c r="O279" t="s">
        <v>14100</v>
      </c>
      <c r="P279" t="s">
        <v>14317</v>
      </c>
      <c r="Q279" t="s">
        <v>14318</v>
      </c>
      <c r="S279" t="s">
        <v>9309</v>
      </c>
      <c r="T279" t="s">
        <v>9410</v>
      </c>
      <c r="U279" t="s">
        <v>14319</v>
      </c>
      <c r="V279" t="s">
        <v>194</v>
      </c>
      <c r="W279" t="s">
        <v>9300</v>
      </c>
      <c r="Z279" t="s">
        <v>9311</v>
      </c>
      <c r="AF279" t="s">
        <v>4714</v>
      </c>
      <c r="AG279" t="s">
        <v>14314</v>
      </c>
      <c r="AI279" t="s">
        <v>6955</v>
      </c>
      <c r="AJ279" s="27" t="str">
        <f t="shared" si="8"/>
        <v>312206</v>
      </c>
      <c r="AK279" s="27">
        <v>1</v>
      </c>
      <c r="AL279" s="27">
        <f t="shared" si="9"/>
        <v>1</v>
      </c>
      <c r="AM279" s="28">
        <v>1</v>
      </c>
    </row>
    <row r="280" spans="1:39" x14ac:dyDescent="0.25">
      <c r="A280" t="s">
        <v>6422</v>
      </c>
      <c r="B280" t="s">
        <v>3628</v>
      </c>
      <c r="C280" t="s">
        <v>2861</v>
      </c>
      <c r="D280" s="25" t="s">
        <v>10562</v>
      </c>
      <c r="E280" t="s">
        <v>192</v>
      </c>
      <c r="F280" s="28">
        <v>1</v>
      </c>
      <c r="G280" t="s">
        <v>193</v>
      </c>
      <c r="H280" t="s">
        <v>194</v>
      </c>
      <c r="I280" t="s">
        <v>13200</v>
      </c>
      <c r="J280" t="s">
        <v>9302</v>
      </c>
      <c r="K280" t="s">
        <v>14320</v>
      </c>
      <c r="L280" t="s">
        <v>6261</v>
      </c>
      <c r="M280" t="s">
        <v>14098</v>
      </c>
      <c r="N280" t="s">
        <v>14099</v>
      </c>
      <c r="O280" t="s">
        <v>14100</v>
      </c>
      <c r="P280" t="s">
        <v>14321</v>
      </c>
      <c r="Q280" t="s">
        <v>14322</v>
      </c>
      <c r="S280" t="s">
        <v>9309</v>
      </c>
      <c r="U280" t="s">
        <v>3629</v>
      </c>
      <c r="V280" t="s">
        <v>193</v>
      </c>
      <c r="W280" t="s">
        <v>9310</v>
      </c>
      <c r="Z280" t="s">
        <v>9311</v>
      </c>
      <c r="AF280" t="s">
        <v>4714</v>
      </c>
      <c r="AG280" t="s">
        <v>3628</v>
      </c>
      <c r="AI280" t="s">
        <v>6955</v>
      </c>
      <c r="AJ280" s="27" t="str">
        <f t="shared" si="8"/>
        <v>251903</v>
      </c>
      <c r="AK280" s="27">
        <v>1</v>
      </c>
      <c r="AL280" s="27">
        <f t="shared" si="9"/>
        <v>1</v>
      </c>
      <c r="AM280" s="28">
        <v>1</v>
      </c>
    </row>
    <row r="281" spans="1:39" x14ac:dyDescent="0.25">
      <c r="A281" t="s">
        <v>14323</v>
      </c>
      <c r="B281" t="s">
        <v>14324</v>
      </c>
      <c r="C281" t="s">
        <v>4340</v>
      </c>
      <c r="D281" s="25" t="s">
        <v>10562</v>
      </c>
      <c r="E281" t="s">
        <v>233</v>
      </c>
      <c r="F281" s="28">
        <v>1</v>
      </c>
      <c r="G281" t="s">
        <v>194</v>
      </c>
      <c r="H281" t="s">
        <v>193</v>
      </c>
      <c r="I281" t="s">
        <v>13160</v>
      </c>
      <c r="J281" t="s">
        <v>9302</v>
      </c>
      <c r="K281" t="s">
        <v>14325</v>
      </c>
      <c r="L281" t="s">
        <v>6256</v>
      </c>
      <c r="M281" t="s">
        <v>14326</v>
      </c>
      <c r="N281" t="s">
        <v>14327</v>
      </c>
      <c r="O281" t="s">
        <v>13111</v>
      </c>
      <c r="P281" t="s">
        <v>14328</v>
      </c>
      <c r="Q281" t="s">
        <v>14329</v>
      </c>
      <c r="S281" t="s">
        <v>9309</v>
      </c>
      <c r="U281" t="s">
        <v>4341</v>
      </c>
      <c r="V281" t="s">
        <v>194</v>
      </c>
      <c r="W281" t="s">
        <v>9946</v>
      </c>
      <c r="Z281" t="s">
        <v>9311</v>
      </c>
      <c r="AF281" t="s">
        <v>4714</v>
      </c>
      <c r="AG281" t="s">
        <v>4340</v>
      </c>
      <c r="AI281" t="s">
        <v>6955</v>
      </c>
      <c r="AJ281" s="27" t="str">
        <f t="shared" si="8"/>
        <v>711503</v>
      </c>
      <c r="AK281" s="27">
        <v>1</v>
      </c>
      <c r="AL281" s="27">
        <f t="shared" si="9"/>
        <v>1</v>
      </c>
      <c r="AM281" s="28">
        <v>1</v>
      </c>
    </row>
    <row r="282" spans="1:39" x14ac:dyDescent="0.25">
      <c r="A282" t="s">
        <v>1748</v>
      </c>
      <c r="B282" t="s">
        <v>14330</v>
      </c>
      <c r="C282" t="s">
        <v>420</v>
      </c>
      <c r="D282" s="25" t="s">
        <v>10562</v>
      </c>
      <c r="E282" t="s">
        <v>192</v>
      </c>
      <c r="F282" s="28">
        <v>1</v>
      </c>
      <c r="G282" t="s">
        <v>193</v>
      </c>
      <c r="H282" t="s">
        <v>194</v>
      </c>
      <c r="I282" t="s">
        <v>13303</v>
      </c>
      <c r="J282" t="s">
        <v>9302</v>
      </c>
      <c r="K282" t="s">
        <v>14331</v>
      </c>
      <c r="L282" t="s">
        <v>7531</v>
      </c>
      <c r="M282" t="s">
        <v>14098</v>
      </c>
      <c r="N282" t="s">
        <v>14099</v>
      </c>
      <c r="O282" t="s">
        <v>14100</v>
      </c>
      <c r="P282" t="s">
        <v>14332</v>
      </c>
      <c r="Q282" t="s">
        <v>14333</v>
      </c>
      <c r="S282" t="s">
        <v>9309</v>
      </c>
      <c r="U282" t="s">
        <v>421</v>
      </c>
      <c r="V282" t="s">
        <v>193</v>
      </c>
      <c r="W282" t="s">
        <v>9310</v>
      </c>
      <c r="Z282" t="s">
        <v>9311</v>
      </c>
      <c r="AF282" t="s">
        <v>4714</v>
      </c>
      <c r="AG282" t="s">
        <v>14330</v>
      </c>
      <c r="AI282" t="s">
        <v>6955</v>
      </c>
      <c r="AJ282" s="27" t="str">
        <f t="shared" si="8"/>
        <v>241306</v>
      </c>
      <c r="AK282" s="27">
        <v>1</v>
      </c>
      <c r="AL282" s="27">
        <f t="shared" si="9"/>
        <v>1</v>
      </c>
      <c r="AM282" s="28">
        <v>1</v>
      </c>
    </row>
    <row r="283" spans="1:39" x14ac:dyDescent="0.25">
      <c r="A283" t="s">
        <v>1748</v>
      </c>
      <c r="B283" t="s">
        <v>1505</v>
      </c>
      <c r="C283" t="s">
        <v>102</v>
      </c>
      <c r="D283" s="25" t="s">
        <v>10562</v>
      </c>
      <c r="E283" t="s">
        <v>192</v>
      </c>
      <c r="F283" s="28">
        <v>1</v>
      </c>
      <c r="G283" t="s">
        <v>193</v>
      </c>
      <c r="H283" t="s">
        <v>194</v>
      </c>
      <c r="I283" t="s">
        <v>13152</v>
      </c>
      <c r="J283" t="s">
        <v>210</v>
      </c>
      <c r="K283" t="s">
        <v>14334</v>
      </c>
      <c r="L283" t="s">
        <v>6389</v>
      </c>
      <c r="M283" t="s">
        <v>14098</v>
      </c>
      <c r="N283" t="s">
        <v>14099</v>
      </c>
      <c r="O283" t="s">
        <v>14100</v>
      </c>
      <c r="P283" t="s">
        <v>14335</v>
      </c>
      <c r="Q283" t="s">
        <v>14336</v>
      </c>
      <c r="S283" t="s">
        <v>9309</v>
      </c>
      <c r="T283" t="s">
        <v>9334</v>
      </c>
      <c r="U283" t="s">
        <v>1890</v>
      </c>
      <c r="V283" t="s">
        <v>194</v>
      </c>
      <c r="W283" t="s">
        <v>9300</v>
      </c>
      <c r="Z283" t="s">
        <v>9311</v>
      </c>
      <c r="AF283" t="s">
        <v>4714</v>
      </c>
      <c r="AG283" t="s">
        <v>1505</v>
      </c>
      <c r="AI283" t="s">
        <v>6955</v>
      </c>
      <c r="AJ283" s="27" t="str">
        <f t="shared" si="8"/>
        <v>216601</v>
      </c>
      <c r="AK283" s="27">
        <v>1</v>
      </c>
      <c r="AL283" s="27">
        <f t="shared" si="9"/>
        <v>1</v>
      </c>
      <c r="AM283" s="28">
        <v>1</v>
      </c>
    </row>
    <row r="284" spans="1:39" x14ac:dyDescent="0.25">
      <c r="A284" t="s">
        <v>1748</v>
      </c>
      <c r="B284" t="s">
        <v>14337</v>
      </c>
      <c r="C284" t="s">
        <v>102</v>
      </c>
      <c r="D284" s="25" t="s">
        <v>10562</v>
      </c>
      <c r="E284" t="s">
        <v>192</v>
      </c>
      <c r="F284" s="28">
        <v>1</v>
      </c>
      <c r="G284" t="s">
        <v>193</v>
      </c>
      <c r="H284" t="s">
        <v>194</v>
      </c>
      <c r="I284" t="s">
        <v>13125</v>
      </c>
      <c r="J284" t="s">
        <v>210</v>
      </c>
      <c r="K284" t="s">
        <v>14338</v>
      </c>
      <c r="L284" t="s">
        <v>6389</v>
      </c>
      <c r="M284" t="s">
        <v>14098</v>
      </c>
      <c r="N284" t="s">
        <v>14099</v>
      </c>
      <c r="O284" t="s">
        <v>14100</v>
      </c>
      <c r="P284" t="s">
        <v>14339</v>
      </c>
      <c r="Q284" t="s">
        <v>14340</v>
      </c>
      <c r="S284" t="s">
        <v>9309</v>
      </c>
      <c r="T284" t="s">
        <v>9334</v>
      </c>
      <c r="U284" t="s">
        <v>1890</v>
      </c>
      <c r="V284" t="s">
        <v>194</v>
      </c>
      <c r="W284" t="s">
        <v>9300</v>
      </c>
      <c r="Z284" t="s">
        <v>9311</v>
      </c>
      <c r="AF284" t="s">
        <v>4714</v>
      </c>
      <c r="AG284" t="s">
        <v>14337</v>
      </c>
      <c r="AI284" t="s">
        <v>6955</v>
      </c>
      <c r="AJ284" s="27" t="str">
        <f t="shared" si="8"/>
        <v>216601</v>
      </c>
      <c r="AK284" s="27">
        <v>1</v>
      </c>
      <c r="AL284" s="27">
        <f t="shared" si="9"/>
        <v>1</v>
      </c>
      <c r="AM284" s="28">
        <v>1</v>
      </c>
    </row>
    <row r="285" spans="1:39" x14ac:dyDescent="0.25">
      <c r="A285" t="s">
        <v>14341</v>
      </c>
      <c r="B285" t="s">
        <v>14342</v>
      </c>
      <c r="C285" t="s">
        <v>36</v>
      </c>
      <c r="D285" s="25" t="s">
        <v>10562</v>
      </c>
      <c r="E285" t="s">
        <v>192</v>
      </c>
      <c r="F285" s="28">
        <v>1</v>
      </c>
      <c r="G285" t="s">
        <v>194</v>
      </c>
      <c r="H285" t="s">
        <v>193</v>
      </c>
      <c r="I285" t="s">
        <v>13303</v>
      </c>
      <c r="J285" t="s">
        <v>210</v>
      </c>
      <c r="K285" t="s">
        <v>14343</v>
      </c>
      <c r="L285" t="s">
        <v>6254</v>
      </c>
      <c r="M285" t="s">
        <v>14098</v>
      </c>
      <c r="N285" t="s">
        <v>14099</v>
      </c>
      <c r="O285" t="s">
        <v>14100</v>
      </c>
      <c r="P285" t="s">
        <v>14344</v>
      </c>
      <c r="Q285" t="s">
        <v>14345</v>
      </c>
      <c r="S285" t="s">
        <v>9309</v>
      </c>
      <c r="T285" t="s">
        <v>9334</v>
      </c>
      <c r="U285" t="s">
        <v>609</v>
      </c>
      <c r="V285" t="s">
        <v>194</v>
      </c>
      <c r="W285" t="s">
        <v>9300</v>
      </c>
      <c r="Z285" t="s">
        <v>9311</v>
      </c>
      <c r="AF285" t="s">
        <v>4714</v>
      </c>
      <c r="AG285" t="s">
        <v>14342</v>
      </c>
      <c r="AI285" t="s">
        <v>6955</v>
      </c>
      <c r="AJ285" s="27" t="str">
        <f t="shared" si="8"/>
        <v>331301</v>
      </c>
      <c r="AK285" s="27">
        <v>1</v>
      </c>
      <c r="AL285" s="27">
        <f t="shared" si="9"/>
        <v>1</v>
      </c>
      <c r="AM285" s="28">
        <v>1</v>
      </c>
    </row>
    <row r="286" spans="1:39" x14ac:dyDescent="0.25">
      <c r="A286" t="s">
        <v>10886</v>
      </c>
      <c r="B286" t="s">
        <v>1606</v>
      </c>
      <c r="C286" t="s">
        <v>22</v>
      </c>
      <c r="D286" s="25" t="s">
        <v>10562</v>
      </c>
      <c r="E286" t="s">
        <v>192</v>
      </c>
      <c r="F286" s="28">
        <v>1</v>
      </c>
      <c r="G286" t="s">
        <v>193</v>
      </c>
      <c r="H286" t="s">
        <v>194</v>
      </c>
      <c r="I286" t="s">
        <v>13152</v>
      </c>
      <c r="J286" t="s">
        <v>276</v>
      </c>
      <c r="K286" t="s">
        <v>14346</v>
      </c>
      <c r="L286" t="s">
        <v>6288</v>
      </c>
      <c r="M286" t="s">
        <v>14098</v>
      </c>
      <c r="N286" t="s">
        <v>14099</v>
      </c>
      <c r="O286" t="s">
        <v>14100</v>
      </c>
      <c r="P286" t="s">
        <v>14347</v>
      </c>
      <c r="Q286" t="s">
        <v>14348</v>
      </c>
      <c r="S286" t="s">
        <v>9309</v>
      </c>
      <c r="T286" t="s">
        <v>9786</v>
      </c>
      <c r="U286" t="s">
        <v>1608</v>
      </c>
      <c r="V286" t="s">
        <v>194</v>
      </c>
      <c r="W286" t="s">
        <v>9300</v>
      </c>
      <c r="Z286" t="s">
        <v>9311</v>
      </c>
      <c r="AF286" t="s">
        <v>4714</v>
      </c>
      <c r="AG286" t="s">
        <v>1606</v>
      </c>
      <c r="AI286" t="s">
        <v>6955</v>
      </c>
      <c r="AJ286" s="27" t="str">
        <f t="shared" si="8"/>
        <v>228101</v>
      </c>
      <c r="AK286" s="27">
        <v>1</v>
      </c>
      <c r="AL286" s="27">
        <f t="shared" si="9"/>
        <v>1</v>
      </c>
      <c r="AM286" s="28">
        <v>1</v>
      </c>
    </row>
    <row r="287" spans="1:39" x14ac:dyDescent="0.25">
      <c r="A287" t="s">
        <v>10886</v>
      </c>
      <c r="B287" t="s">
        <v>1606</v>
      </c>
      <c r="C287" t="s">
        <v>22</v>
      </c>
      <c r="D287" s="25" t="s">
        <v>10562</v>
      </c>
      <c r="E287" t="s">
        <v>192</v>
      </c>
      <c r="F287" s="28">
        <v>1</v>
      </c>
      <c r="G287" t="s">
        <v>193</v>
      </c>
      <c r="H287" t="s">
        <v>194</v>
      </c>
      <c r="I287" t="s">
        <v>13152</v>
      </c>
      <c r="J287" t="s">
        <v>1059</v>
      </c>
      <c r="K287" t="s">
        <v>14349</v>
      </c>
      <c r="L287" t="s">
        <v>6288</v>
      </c>
      <c r="M287" t="s">
        <v>14098</v>
      </c>
      <c r="N287" t="s">
        <v>14099</v>
      </c>
      <c r="O287" t="s">
        <v>14100</v>
      </c>
      <c r="P287" t="s">
        <v>14350</v>
      </c>
      <c r="Q287" t="s">
        <v>14351</v>
      </c>
      <c r="S287" t="s">
        <v>9309</v>
      </c>
      <c r="T287" t="s">
        <v>9510</v>
      </c>
      <c r="U287" t="s">
        <v>1608</v>
      </c>
      <c r="V287" t="s">
        <v>194</v>
      </c>
      <c r="W287" t="s">
        <v>9300</v>
      </c>
      <c r="Z287" t="s">
        <v>9311</v>
      </c>
      <c r="AF287" t="s">
        <v>4714</v>
      </c>
      <c r="AG287" t="s">
        <v>1606</v>
      </c>
      <c r="AI287" t="s">
        <v>6955</v>
      </c>
      <c r="AJ287" s="27" t="str">
        <f t="shared" si="8"/>
        <v>228101</v>
      </c>
      <c r="AK287" s="27">
        <v>1</v>
      </c>
      <c r="AL287" s="27">
        <f t="shared" si="9"/>
        <v>1</v>
      </c>
      <c r="AM287" s="28">
        <v>1</v>
      </c>
    </row>
    <row r="288" spans="1:39" x14ac:dyDescent="0.25">
      <c r="A288" t="s">
        <v>10886</v>
      </c>
      <c r="B288" t="s">
        <v>1606</v>
      </c>
      <c r="C288" t="s">
        <v>22</v>
      </c>
      <c r="D288" s="25" t="s">
        <v>10562</v>
      </c>
      <c r="E288" t="s">
        <v>192</v>
      </c>
      <c r="F288" s="28">
        <v>1</v>
      </c>
      <c r="G288" t="s">
        <v>193</v>
      </c>
      <c r="H288" t="s">
        <v>194</v>
      </c>
      <c r="I288" t="s">
        <v>13152</v>
      </c>
      <c r="J288" t="s">
        <v>253</v>
      </c>
      <c r="K288" t="s">
        <v>14352</v>
      </c>
      <c r="L288" t="s">
        <v>6288</v>
      </c>
      <c r="M288" t="s">
        <v>14098</v>
      </c>
      <c r="N288" t="s">
        <v>14099</v>
      </c>
      <c r="O288" t="s">
        <v>14100</v>
      </c>
      <c r="P288" t="s">
        <v>14353</v>
      </c>
      <c r="Q288" t="s">
        <v>14354</v>
      </c>
      <c r="S288" t="s">
        <v>9309</v>
      </c>
      <c r="T288" t="s">
        <v>9468</v>
      </c>
      <c r="U288" t="s">
        <v>1608</v>
      </c>
      <c r="V288" t="s">
        <v>194</v>
      </c>
      <c r="W288" t="s">
        <v>9300</v>
      </c>
      <c r="Z288" t="s">
        <v>9311</v>
      </c>
      <c r="AF288" t="s">
        <v>4714</v>
      </c>
      <c r="AG288" t="s">
        <v>1606</v>
      </c>
      <c r="AI288" t="s">
        <v>6955</v>
      </c>
      <c r="AJ288" s="27" t="str">
        <f t="shared" si="8"/>
        <v>228101</v>
      </c>
      <c r="AK288" s="27">
        <v>1</v>
      </c>
      <c r="AL288" s="27">
        <f t="shared" si="9"/>
        <v>1</v>
      </c>
      <c r="AM288" s="28">
        <v>1</v>
      </c>
    </row>
    <row r="289" spans="1:39" x14ac:dyDescent="0.25">
      <c r="A289" t="s">
        <v>10886</v>
      </c>
      <c r="B289" t="s">
        <v>1606</v>
      </c>
      <c r="C289" t="s">
        <v>22</v>
      </c>
      <c r="D289" s="25" t="s">
        <v>10562</v>
      </c>
      <c r="E289" t="s">
        <v>192</v>
      </c>
      <c r="F289" s="28">
        <v>1</v>
      </c>
      <c r="G289" t="s">
        <v>193</v>
      </c>
      <c r="H289" t="s">
        <v>194</v>
      </c>
      <c r="I289" t="s">
        <v>13152</v>
      </c>
      <c r="J289" t="s">
        <v>4751</v>
      </c>
      <c r="K289" t="s">
        <v>14355</v>
      </c>
      <c r="L289" t="s">
        <v>6288</v>
      </c>
      <c r="M289" t="s">
        <v>14098</v>
      </c>
      <c r="N289" t="s">
        <v>14099</v>
      </c>
      <c r="O289" t="s">
        <v>14100</v>
      </c>
      <c r="P289" t="s">
        <v>14356</v>
      </c>
      <c r="Q289" t="s">
        <v>14357</v>
      </c>
      <c r="S289" t="s">
        <v>9309</v>
      </c>
      <c r="T289" t="s">
        <v>9472</v>
      </c>
      <c r="U289" t="s">
        <v>1608</v>
      </c>
      <c r="V289" t="s">
        <v>194</v>
      </c>
      <c r="W289" t="s">
        <v>9300</v>
      </c>
      <c r="Z289" t="s">
        <v>9311</v>
      </c>
      <c r="AF289" t="s">
        <v>4714</v>
      </c>
      <c r="AG289" t="s">
        <v>1606</v>
      </c>
      <c r="AI289" t="s">
        <v>6955</v>
      </c>
      <c r="AJ289" s="27" t="str">
        <f t="shared" si="8"/>
        <v>228101</v>
      </c>
      <c r="AK289" s="27">
        <v>1</v>
      </c>
      <c r="AL289" s="27">
        <f t="shared" si="9"/>
        <v>1</v>
      </c>
      <c r="AM289" s="28">
        <v>1</v>
      </c>
    </row>
    <row r="290" spans="1:39" x14ac:dyDescent="0.25">
      <c r="A290" t="s">
        <v>10886</v>
      </c>
      <c r="B290" t="s">
        <v>1606</v>
      </c>
      <c r="C290" t="s">
        <v>22</v>
      </c>
      <c r="D290" s="25" t="s">
        <v>10562</v>
      </c>
      <c r="E290" t="s">
        <v>192</v>
      </c>
      <c r="F290" s="28">
        <v>1</v>
      </c>
      <c r="G290" t="s">
        <v>193</v>
      </c>
      <c r="H290" t="s">
        <v>194</v>
      </c>
      <c r="I290" t="s">
        <v>13152</v>
      </c>
      <c r="J290" t="s">
        <v>285</v>
      </c>
      <c r="K290" t="s">
        <v>14358</v>
      </c>
      <c r="L290" t="s">
        <v>6288</v>
      </c>
      <c r="M290" t="s">
        <v>14098</v>
      </c>
      <c r="N290" t="s">
        <v>14099</v>
      </c>
      <c r="O290" t="s">
        <v>14100</v>
      </c>
      <c r="P290" t="s">
        <v>14359</v>
      </c>
      <c r="Q290" t="s">
        <v>14360</v>
      </c>
      <c r="S290" t="s">
        <v>9309</v>
      </c>
      <c r="T290" t="s">
        <v>9518</v>
      </c>
      <c r="U290" t="s">
        <v>1608</v>
      </c>
      <c r="V290" t="s">
        <v>194</v>
      </c>
      <c r="W290" t="s">
        <v>9300</v>
      </c>
      <c r="Z290" t="s">
        <v>9311</v>
      </c>
      <c r="AF290" t="s">
        <v>4714</v>
      </c>
      <c r="AG290" t="s">
        <v>1606</v>
      </c>
      <c r="AI290" t="s">
        <v>6955</v>
      </c>
      <c r="AJ290" s="27" t="str">
        <f t="shared" si="8"/>
        <v>228101</v>
      </c>
      <c r="AK290" s="27">
        <v>1</v>
      </c>
      <c r="AL290" s="27">
        <f t="shared" si="9"/>
        <v>1</v>
      </c>
      <c r="AM290" s="28">
        <v>1</v>
      </c>
    </row>
    <row r="291" spans="1:39" x14ac:dyDescent="0.25">
      <c r="A291" t="s">
        <v>10886</v>
      </c>
      <c r="B291" t="s">
        <v>1606</v>
      </c>
      <c r="C291" t="s">
        <v>22</v>
      </c>
      <c r="D291" s="25" t="s">
        <v>10562</v>
      </c>
      <c r="E291" t="s">
        <v>192</v>
      </c>
      <c r="F291" s="28">
        <v>1</v>
      </c>
      <c r="G291" t="s">
        <v>193</v>
      </c>
      <c r="H291" t="s">
        <v>194</v>
      </c>
      <c r="I291" t="s">
        <v>13152</v>
      </c>
      <c r="J291" t="s">
        <v>210</v>
      </c>
      <c r="K291" t="s">
        <v>14361</v>
      </c>
      <c r="L291" t="s">
        <v>6288</v>
      </c>
      <c r="M291" t="s">
        <v>14098</v>
      </c>
      <c r="N291" t="s">
        <v>14099</v>
      </c>
      <c r="O291" t="s">
        <v>14100</v>
      </c>
      <c r="P291" t="s">
        <v>14362</v>
      </c>
      <c r="Q291" t="s">
        <v>14363</v>
      </c>
      <c r="S291" t="s">
        <v>9309</v>
      </c>
      <c r="T291" t="s">
        <v>9334</v>
      </c>
      <c r="U291" t="s">
        <v>1608</v>
      </c>
      <c r="V291" t="s">
        <v>194</v>
      </c>
      <c r="W291" t="s">
        <v>9300</v>
      </c>
      <c r="Z291" t="s">
        <v>9311</v>
      </c>
      <c r="AF291" t="s">
        <v>4714</v>
      </c>
      <c r="AG291" t="s">
        <v>1606</v>
      </c>
      <c r="AI291" t="s">
        <v>6955</v>
      </c>
      <c r="AJ291" s="27" t="str">
        <f t="shared" si="8"/>
        <v>228101</v>
      </c>
      <c r="AK291" s="27">
        <v>1</v>
      </c>
      <c r="AL291" s="27">
        <f t="shared" si="9"/>
        <v>1</v>
      </c>
      <c r="AM291" s="28">
        <v>1</v>
      </c>
    </row>
    <row r="292" spans="1:39" x14ac:dyDescent="0.25">
      <c r="A292" t="s">
        <v>13399</v>
      </c>
      <c r="B292" t="s">
        <v>8657</v>
      </c>
      <c r="C292" t="s">
        <v>1668</v>
      </c>
      <c r="D292" s="25" t="s">
        <v>10562</v>
      </c>
      <c r="E292" t="s">
        <v>192</v>
      </c>
      <c r="F292" s="28">
        <v>1</v>
      </c>
      <c r="G292" t="s">
        <v>193</v>
      </c>
      <c r="H292" t="s">
        <v>194</v>
      </c>
      <c r="I292" t="s">
        <v>13303</v>
      </c>
      <c r="J292" t="s">
        <v>210</v>
      </c>
      <c r="K292" t="s">
        <v>14364</v>
      </c>
      <c r="L292" t="s">
        <v>6312</v>
      </c>
      <c r="M292" t="s">
        <v>14098</v>
      </c>
      <c r="N292" t="s">
        <v>14099</v>
      </c>
      <c r="O292" t="s">
        <v>14100</v>
      </c>
      <c r="P292" t="s">
        <v>14365</v>
      </c>
      <c r="Q292" t="s">
        <v>14366</v>
      </c>
      <c r="S292" t="s">
        <v>9309</v>
      </c>
      <c r="T292" t="s">
        <v>9334</v>
      </c>
      <c r="U292" t="s">
        <v>1669</v>
      </c>
      <c r="V292" t="s">
        <v>194</v>
      </c>
      <c r="W292" t="s">
        <v>9300</v>
      </c>
      <c r="Z292" t="s">
        <v>9311</v>
      </c>
      <c r="AF292" t="s">
        <v>4714</v>
      </c>
      <c r="AG292" t="s">
        <v>8657</v>
      </c>
      <c r="AI292" t="s">
        <v>6955</v>
      </c>
      <c r="AJ292" s="27" t="str">
        <f t="shared" si="8"/>
        <v>233008</v>
      </c>
      <c r="AK292" s="27">
        <v>1</v>
      </c>
      <c r="AL292" s="27">
        <f t="shared" si="9"/>
        <v>1</v>
      </c>
      <c r="AM292" s="28">
        <v>1</v>
      </c>
    </row>
    <row r="293" spans="1:39" x14ac:dyDescent="0.25">
      <c r="A293" t="s">
        <v>9759</v>
      </c>
      <c r="B293" t="s">
        <v>14367</v>
      </c>
      <c r="C293" t="s">
        <v>354</v>
      </c>
      <c r="D293" s="25" t="s">
        <v>10562</v>
      </c>
      <c r="E293" t="s">
        <v>192</v>
      </c>
      <c r="F293" s="28">
        <v>1</v>
      </c>
      <c r="G293" t="s">
        <v>193</v>
      </c>
      <c r="H293" t="s">
        <v>194</v>
      </c>
      <c r="I293" t="s">
        <v>13303</v>
      </c>
      <c r="J293" t="s">
        <v>210</v>
      </c>
      <c r="K293" t="s">
        <v>14368</v>
      </c>
      <c r="L293" t="s">
        <v>6245</v>
      </c>
      <c r="M293" t="s">
        <v>14369</v>
      </c>
      <c r="N293" t="s">
        <v>4849</v>
      </c>
      <c r="O293" t="s">
        <v>7703</v>
      </c>
      <c r="P293" t="s">
        <v>14370</v>
      </c>
      <c r="Q293" t="s">
        <v>14371</v>
      </c>
      <c r="S293" t="s">
        <v>9309</v>
      </c>
      <c r="T293" t="s">
        <v>9334</v>
      </c>
      <c r="U293" t="s">
        <v>355</v>
      </c>
      <c r="V293" t="s">
        <v>194</v>
      </c>
      <c r="W293" t="s">
        <v>9300</v>
      </c>
      <c r="Z293" t="s">
        <v>9311</v>
      </c>
      <c r="AF293" t="s">
        <v>4714</v>
      </c>
      <c r="AG293" t="s">
        <v>14367</v>
      </c>
      <c r="AI293" t="s">
        <v>6955</v>
      </c>
      <c r="AJ293" s="27" t="str">
        <f t="shared" si="8"/>
        <v>215103</v>
      </c>
      <c r="AK293" s="27">
        <v>1</v>
      </c>
      <c r="AL293" s="27">
        <f t="shared" si="9"/>
        <v>1</v>
      </c>
      <c r="AM293" s="28">
        <v>1</v>
      </c>
    </row>
    <row r="294" spans="1:39" x14ac:dyDescent="0.25">
      <c r="A294" t="s">
        <v>14372</v>
      </c>
      <c r="B294" t="s">
        <v>14373</v>
      </c>
      <c r="C294" t="s">
        <v>163</v>
      </c>
      <c r="D294" s="25" t="s">
        <v>10562</v>
      </c>
      <c r="E294" t="s">
        <v>192</v>
      </c>
      <c r="F294" s="28">
        <v>1</v>
      </c>
      <c r="G294" t="s">
        <v>193</v>
      </c>
      <c r="H294" t="s">
        <v>194</v>
      </c>
      <c r="I294" t="s">
        <v>13200</v>
      </c>
      <c r="J294" t="s">
        <v>9302</v>
      </c>
      <c r="K294" t="s">
        <v>14374</v>
      </c>
      <c r="L294" t="s">
        <v>6921</v>
      </c>
      <c r="M294" t="s">
        <v>14098</v>
      </c>
      <c r="N294" t="s">
        <v>14099</v>
      </c>
      <c r="O294" t="s">
        <v>14100</v>
      </c>
      <c r="P294" t="s">
        <v>14375</v>
      </c>
      <c r="Q294" t="s">
        <v>14376</v>
      </c>
      <c r="S294" t="s">
        <v>9309</v>
      </c>
      <c r="U294" t="s">
        <v>697</v>
      </c>
      <c r="V294" t="s">
        <v>193</v>
      </c>
      <c r="W294" t="s">
        <v>9310</v>
      </c>
      <c r="Z294" t="s">
        <v>9311</v>
      </c>
      <c r="AF294" t="s">
        <v>4714</v>
      </c>
      <c r="AG294" t="s">
        <v>14373</v>
      </c>
      <c r="AI294" t="s">
        <v>6955</v>
      </c>
      <c r="AJ294" s="27" t="str">
        <f t="shared" si="8"/>
        <v>351203</v>
      </c>
      <c r="AK294" s="27">
        <v>1</v>
      </c>
      <c r="AL294" s="27">
        <f t="shared" si="9"/>
        <v>1</v>
      </c>
      <c r="AM294" s="28">
        <v>1</v>
      </c>
    </row>
    <row r="295" spans="1:39" x14ac:dyDescent="0.25">
      <c r="A295" t="s">
        <v>14377</v>
      </c>
      <c r="B295" t="s">
        <v>14378</v>
      </c>
      <c r="C295" t="s">
        <v>3685</v>
      </c>
      <c r="D295" s="25" t="s">
        <v>10562</v>
      </c>
      <c r="E295" t="s">
        <v>192</v>
      </c>
      <c r="F295" s="28">
        <v>1</v>
      </c>
      <c r="G295" t="s">
        <v>193</v>
      </c>
      <c r="H295" t="s">
        <v>194</v>
      </c>
      <c r="I295" t="s">
        <v>13125</v>
      </c>
      <c r="J295" t="s">
        <v>9302</v>
      </c>
      <c r="K295" t="s">
        <v>14379</v>
      </c>
      <c r="L295" t="s">
        <v>6286</v>
      </c>
      <c r="M295" t="s">
        <v>14098</v>
      </c>
      <c r="N295" t="s">
        <v>14099</v>
      </c>
      <c r="O295" t="s">
        <v>14100</v>
      </c>
      <c r="P295" t="s">
        <v>14380</v>
      </c>
      <c r="Q295" t="s">
        <v>14381</v>
      </c>
      <c r="S295" t="s">
        <v>9309</v>
      </c>
      <c r="U295" t="s">
        <v>3686</v>
      </c>
      <c r="V295" t="s">
        <v>193</v>
      </c>
      <c r="W295" t="s">
        <v>9310</v>
      </c>
      <c r="Z295" t="s">
        <v>9311</v>
      </c>
      <c r="AF295" t="s">
        <v>4714</v>
      </c>
      <c r="AG295" t="s">
        <v>14378</v>
      </c>
      <c r="AI295" t="s">
        <v>6955</v>
      </c>
      <c r="AJ295" s="27" t="str">
        <f t="shared" si="8"/>
        <v>112017</v>
      </c>
      <c r="AK295" s="27">
        <v>1</v>
      </c>
      <c r="AL295" s="27">
        <f t="shared" si="9"/>
        <v>1</v>
      </c>
      <c r="AM295" s="28">
        <v>1</v>
      </c>
    </row>
    <row r="296" spans="1:39" x14ac:dyDescent="0.25">
      <c r="A296" t="s">
        <v>14377</v>
      </c>
      <c r="B296" t="s">
        <v>14378</v>
      </c>
      <c r="C296" t="s">
        <v>35</v>
      </c>
      <c r="D296" s="25" t="s">
        <v>10562</v>
      </c>
      <c r="E296" t="s">
        <v>192</v>
      </c>
      <c r="F296" s="28">
        <v>1</v>
      </c>
      <c r="G296" t="s">
        <v>193</v>
      </c>
      <c r="H296" t="s">
        <v>194</v>
      </c>
      <c r="I296" t="s">
        <v>13303</v>
      </c>
      <c r="J296" t="s">
        <v>9302</v>
      </c>
      <c r="K296" t="s">
        <v>14382</v>
      </c>
      <c r="L296" t="s">
        <v>6286</v>
      </c>
      <c r="M296" t="s">
        <v>14098</v>
      </c>
      <c r="N296" t="s">
        <v>14099</v>
      </c>
      <c r="O296" t="s">
        <v>14100</v>
      </c>
      <c r="P296" t="s">
        <v>14383</v>
      </c>
      <c r="Q296" t="s">
        <v>14384</v>
      </c>
      <c r="S296" t="s">
        <v>9309</v>
      </c>
      <c r="U296" t="s">
        <v>207</v>
      </c>
      <c r="V296" t="s">
        <v>193</v>
      </c>
      <c r="W296" t="s">
        <v>9310</v>
      </c>
      <c r="Z296" t="s">
        <v>9311</v>
      </c>
      <c r="AF296" t="s">
        <v>4714</v>
      </c>
      <c r="AG296" t="s">
        <v>14378</v>
      </c>
      <c r="AI296" t="s">
        <v>6955</v>
      </c>
      <c r="AJ296" s="27" t="str">
        <f t="shared" si="8"/>
        <v>122106</v>
      </c>
      <c r="AK296" s="27">
        <v>1</v>
      </c>
      <c r="AL296" s="27">
        <f t="shared" si="9"/>
        <v>1</v>
      </c>
      <c r="AM296" s="28">
        <v>1</v>
      </c>
    </row>
    <row r="297" spans="1:39" x14ac:dyDescent="0.25">
      <c r="A297" t="s">
        <v>14385</v>
      </c>
      <c r="B297" t="s">
        <v>14386</v>
      </c>
      <c r="C297" t="s">
        <v>10</v>
      </c>
      <c r="D297" s="25" t="s">
        <v>10562</v>
      </c>
      <c r="E297" t="s">
        <v>192</v>
      </c>
      <c r="F297" s="28">
        <v>1</v>
      </c>
      <c r="G297" t="s">
        <v>193</v>
      </c>
      <c r="H297" t="s">
        <v>194</v>
      </c>
      <c r="I297" t="s">
        <v>13152</v>
      </c>
      <c r="J297" t="s">
        <v>210</v>
      </c>
      <c r="K297" t="s">
        <v>14387</v>
      </c>
      <c r="L297" t="s">
        <v>6261</v>
      </c>
      <c r="M297" t="s">
        <v>14098</v>
      </c>
      <c r="N297" t="s">
        <v>14099</v>
      </c>
      <c r="O297" t="s">
        <v>14100</v>
      </c>
      <c r="P297" t="s">
        <v>14388</v>
      </c>
      <c r="Q297" t="s">
        <v>14389</v>
      </c>
      <c r="S297" t="s">
        <v>9309</v>
      </c>
      <c r="T297" t="s">
        <v>9334</v>
      </c>
      <c r="U297" t="s">
        <v>484</v>
      </c>
      <c r="V297" t="s">
        <v>194</v>
      </c>
      <c r="W297" t="s">
        <v>9300</v>
      </c>
      <c r="Z297" t="s">
        <v>9311</v>
      </c>
      <c r="AF297" t="s">
        <v>4714</v>
      </c>
      <c r="AG297" t="s">
        <v>14386</v>
      </c>
      <c r="AI297" t="s">
        <v>6955</v>
      </c>
      <c r="AJ297" s="27" t="str">
        <f t="shared" si="8"/>
        <v>251401</v>
      </c>
      <c r="AK297" s="27">
        <v>1</v>
      </c>
      <c r="AL297" s="27">
        <f t="shared" si="9"/>
        <v>1</v>
      </c>
      <c r="AM297" s="28">
        <v>1</v>
      </c>
    </row>
    <row r="298" spans="1:39" x14ac:dyDescent="0.25">
      <c r="A298" t="s">
        <v>14390</v>
      </c>
      <c r="B298" t="s">
        <v>14391</v>
      </c>
      <c r="C298" t="s">
        <v>14</v>
      </c>
      <c r="D298" s="25" t="s">
        <v>10562</v>
      </c>
      <c r="E298" t="s">
        <v>192</v>
      </c>
      <c r="F298" s="28">
        <v>1</v>
      </c>
      <c r="G298" t="s">
        <v>193</v>
      </c>
      <c r="H298" t="s">
        <v>194</v>
      </c>
      <c r="I298" t="s">
        <v>13303</v>
      </c>
      <c r="J298" t="s">
        <v>9302</v>
      </c>
      <c r="K298" t="s">
        <v>14392</v>
      </c>
      <c r="L298" t="s">
        <v>7531</v>
      </c>
      <c r="M298" t="s">
        <v>14098</v>
      </c>
      <c r="N298" t="s">
        <v>14099</v>
      </c>
      <c r="O298" t="s">
        <v>14100</v>
      </c>
      <c r="P298" t="s">
        <v>14393</v>
      </c>
      <c r="Q298" t="s">
        <v>14394</v>
      </c>
      <c r="S298" t="s">
        <v>9309</v>
      </c>
      <c r="U298" t="s">
        <v>1859</v>
      </c>
      <c r="V298" t="s">
        <v>193</v>
      </c>
      <c r="W298" t="s">
        <v>9310</v>
      </c>
      <c r="Z298" t="s">
        <v>9311</v>
      </c>
      <c r="AF298" t="s">
        <v>4714</v>
      </c>
      <c r="AG298" t="s">
        <v>14391</v>
      </c>
      <c r="AI298" t="s">
        <v>6955</v>
      </c>
      <c r="AJ298" s="27" t="str">
        <f t="shared" si="8"/>
        <v>264201</v>
      </c>
      <c r="AK298" s="27">
        <v>1</v>
      </c>
      <c r="AL298" s="27">
        <f t="shared" si="9"/>
        <v>1</v>
      </c>
      <c r="AM298" s="28">
        <v>1</v>
      </c>
    </row>
    <row r="299" spans="1:39" x14ac:dyDescent="0.25">
      <c r="A299" t="s">
        <v>690</v>
      </c>
      <c r="B299" t="s">
        <v>14395</v>
      </c>
      <c r="C299" t="s">
        <v>10</v>
      </c>
      <c r="D299" s="25" t="s">
        <v>10562</v>
      </c>
      <c r="E299" t="s">
        <v>233</v>
      </c>
      <c r="F299" s="28">
        <v>1</v>
      </c>
      <c r="G299" t="s">
        <v>194</v>
      </c>
      <c r="H299" t="s">
        <v>193</v>
      </c>
      <c r="I299" t="s">
        <v>13200</v>
      </c>
      <c r="J299" t="s">
        <v>9302</v>
      </c>
      <c r="K299" t="s">
        <v>14396</v>
      </c>
      <c r="L299" t="s">
        <v>6261</v>
      </c>
      <c r="M299" t="s">
        <v>14397</v>
      </c>
      <c r="N299" t="s">
        <v>11608</v>
      </c>
      <c r="O299" t="s">
        <v>14398</v>
      </c>
      <c r="P299" t="s">
        <v>14399</v>
      </c>
      <c r="Q299" t="s">
        <v>14400</v>
      </c>
      <c r="S299" t="s">
        <v>9309</v>
      </c>
      <c r="U299" t="s">
        <v>484</v>
      </c>
      <c r="V299" t="s">
        <v>194</v>
      </c>
      <c r="W299" t="s">
        <v>9946</v>
      </c>
      <c r="Z299" t="s">
        <v>9311</v>
      </c>
      <c r="AF299" t="s">
        <v>4714</v>
      </c>
      <c r="AG299" t="s">
        <v>14395</v>
      </c>
      <c r="AI299" t="s">
        <v>6955</v>
      </c>
      <c r="AJ299" s="27" t="str">
        <f t="shared" si="8"/>
        <v>251401</v>
      </c>
      <c r="AK299" s="27">
        <v>1</v>
      </c>
      <c r="AL299" s="27">
        <f t="shared" si="9"/>
        <v>1</v>
      </c>
      <c r="AM299" s="28">
        <v>1</v>
      </c>
    </row>
    <row r="300" spans="1:39" x14ac:dyDescent="0.25">
      <c r="A300" t="s">
        <v>690</v>
      </c>
      <c r="B300" t="s">
        <v>14401</v>
      </c>
      <c r="C300" t="s">
        <v>10</v>
      </c>
      <c r="D300" s="25" t="s">
        <v>10562</v>
      </c>
      <c r="E300" t="s">
        <v>192</v>
      </c>
      <c r="F300" s="28">
        <v>1</v>
      </c>
      <c r="G300" t="s">
        <v>193</v>
      </c>
      <c r="H300" t="s">
        <v>194</v>
      </c>
      <c r="I300" t="s">
        <v>13160</v>
      </c>
      <c r="J300" t="s">
        <v>9302</v>
      </c>
      <c r="K300" t="s">
        <v>14402</v>
      </c>
      <c r="L300" t="s">
        <v>6261</v>
      </c>
      <c r="M300" t="s">
        <v>14098</v>
      </c>
      <c r="N300" t="s">
        <v>14099</v>
      </c>
      <c r="O300" t="s">
        <v>14100</v>
      </c>
      <c r="P300" t="s">
        <v>14403</v>
      </c>
      <c r="Q300" t="s">
        <v>14404</v>
      </c>
      <c r="S300" t="s">
        <v>9309</v>
      </c>
      <c r="U300" t="s">
        <v>484</v>
      </c>
      <c r="V300" t="s">
        <v>193</v>
      </c>
      <c r="W300" t="s">
        <v>9310</v>
      </c>
      <c r="Z300" t="s">
        <v>9311</v>
      </c>
      <c r="AF300" t="s">
        <v>4714</v>
      </c>
      <c r="AG300" t="s">
        <v>14401</v>
      </c>
      <c r="AI300" t="s">
        <v>6955</v>
      </c>
      <c r="AJ300" s="27" t="str">
        <f t="shared" si="8"/>
        <v>251401</v>
      </c>
      <c r="AK300" s="27">
        <v>1</v>
      </c>
      <c r="AL300" s="27">
        <f t="shared" si="9"/>
        <v>1</v>
      </c>
      <c r="AM300" s="28">
        <v>1</v>
      </c>
    </row>
    <row r="301" spans="1:39" x14ac:dyDescent="0.25">
      <c r="A301" t="s">
        <v>690</v>
      </c>
      <c r="B301" t="s">
        <v>14405</v>
      </c>
      <c r="C301" t="s">
        <v>10</v>
      </c>
      <c r="D301" s="25" t="s">
        <v>10562</v>
      </c>
      <c r="E301" t="s">
        <v>192</v>
      </c>
      <c r="F301" s="28">
        <v>1</v>
      </c>
      <c r="G301" t="s">
        <v>193</v>
      </c>
      <c r="H301" t="s">
        <v>194</v>
      </c>
      <c r="I301" t="s">
        <v>13152</v>
      </c>
      <c r="J301" t="s">
        <v>9302</v>
      </c>
      <c r="K301" t="s">
        <v>14406</v>
      </c>
      <c r="L301" t="s">
        <v>6921</v>
      </c>
      <c r="M301" t="s">
        <v>14098</v>
      </c>
      <c r="N301" t="s">
        <v>14099</v>
      </c>
      <c r="O301" t="s">
        <v>14100</v>
      </c>
      <c r="P301" t="s">
        <v>14407</v>
      </c>
      <c r="Q301" t="s">
        <v>14408</v>
      </c>
      <c r="S301" t="s">
        <v>9309</v>
      </c>
      <c r="U301" t="s">
        <v>484</v>
      </c>
      <c r="V301" t="s">
        <v>193</v>
      </c>
      <c r="W301" t="s">
        <v>9310</v>
      </c>
      <c r="Z301" t="s">
        <v>9311</v>
      </c>
      <c r="AF301" t="s">
        <v>4714</v>
      </c>
      <c r="AG301" t="s">
        <v>14405</v>
      </c>
      <c r="AI301" t="s">
        <v>6955</v>
      </c>
      <c r="AJ301" s="27" t="str">
        <f t="shared" si="8"/>
        <v>251401</v>
      </c>
      <c r="AK301" s="27">
        <v>1</v>
      </c>
      <c r="AL301" s="27">
        <f t="shared" si="9"/>
        <v>1</v>
      </c>
      <c r="AM301" s="28">
        <v>1</v>
      </c>
    </row>
    <row r="302" spans="1:39" x14ac:dyDescent="0.25">
      <c r="A302" t="s">
        <v>690</v>
      </c>
      <c r="B302" t="s">
        <v>14409</v>
      </c>
      <c r="C302" t="s">
        <v>10</v>
      </c>
      <c r="D302" s="25" t="s">
        <v>10562</v>
      </c>
      <c r="E302" t="s">
        <v>192</v>
      </c>
      <c r="F302" s="28">
        <v>1</v>
      </c>
      <c r="G302" t="s">
        <v>193</v>
      </c>
      <c r="H302" t="s">
        <v>194</v>
      </c>
      <c r="I302" t="s">
        <v>13152</v>
      </c>
      <c r="J302" t="s">
        <v>9302</v>
      </c>
      <c r="K302" t="s">
        <v>14410</v>
      </c>
      <c r="L302" t="s">
        <v>6921</v>
      </c>
      <c r="M302" t="s">
        <v>14098</v>
      </c>
      <c r="N302" t="s">
        <v>14099</v>
      </c>
      <c r="O302" t="s">
        <v>14100</v>
      </c>
      <c r="P302" t="s">
        <v>14411</v>
      </c>
      <c r="Q302" t="s">
        <v>14412</v>
      </c>
      <c r="S302" t="s">
        <v>9309</v>
      </c>
      <c r="U302" t="s">
        <v>484</v>
      </c>
      <c r="V302" t="s">
        <v>193</v>
      </c>
      <c r="W302" t="s">
        <v>9310</v>
      </c>
      <c r="Z302" t="s">
        <v>9311</v>
      </c>
      <c r="AF302" t="s">
        <v>4714</v>
      </c>
      <c r="AG302" t="s">
        <v>14409</v>
      </c>
      <c r="AI302" t="s">
        <v>6955</v>
      </c>
      <c r="AJ302" s="27" t="str">
        <f t="shared" si="8"/>
        <v>251401</v>
      </c>
      <c r="AK302" s="27">
        <v>1</v>
      </c>
      <c r="AL302" s="27">
        <f t="shared" si="9"/>
        <v>1</v>
      </c>
      <c r="AM302" s="28">
        <v>1</v>
      </c>
    </row>
    <row r="303" spans="1:39" x14ac:dyDescent="0.25">
      <c r="A303" t="s">
        <v>690</v>
      </c>
      <c r="B303" t="s">
        <v>14413</v>
      </c>
      <c r="C303" t="s">
        <v>10</v>
      </c>
      <c r="D303" s="25" t="s">
        <v>10562</v>
      </c>
      <c r="E303" t="s">
        <v>192</v>
      </c>
      <c r="F303" s="28">
        <v>1</v>
      </c>
      <c r="G303" t="s">
        <v>193</v>
      </c>
      <c r="H303" t="s">
        <v>194</v>
      </c>
      <c r="I303" t="s">
        <v>13152</v>
      </c>
      <c r="J303" t="s">
        <v>9302</v>
      </c>
      <c r="K303" t="s">
        <v>14414</v>
      </c>
      <c r="L303" t="s">
        <v>6921</v>
      </c>
      <c r="M303" t="s">
        <v>14098</v>
      </c>
      <c r="N303" t="s">
        <v>14099</v>
      </c>
      <c r="O303" t="s">
        <v>14100</v>
      </c>
      <c r="P303" t="s">
        <v>14415</v>
      </c>
      <c r="Q303" t="s">
        <v>14416</v>
      </c>
      <c r="S303" t="s">
        <v>9309</v>
      </c>
      <c r="U303" t="s">
        <v>484</v>
      </c>
      <c r="V303" t="s">
        <v>193</v>
      </c>
      <c r="W303" t="s">
        <v>9310</v>
      </c>
      <c r="Z303" t="s">
        <v>9311</v>
      </c>
      <c r="AF303" t="s">
        <v>4714</v>
      </c>
      <c r="AG303" t="s">
        <v>14413</v>
      </c>
      <c r="AI303" t="s">
        <v>6955</v>
      </c>
      <c r="AJ303" s="27" t="str">
        <f t="shared" si="8"/>
        <v>251401</v>
      </c>
      <c r="AK303" s="27">
        <v>1</v>
      </c>
      <c r="AL303" s="27">
        <f t="shared" si="9"/>
        <v>1</v>
      </c>
      <c r="AM303" s="28">
        <v>1</v>
      </c>
    </row>
    <row r="304" spans="1:39" x14ac:dyDescent="0.25">
      <c r="A304" t="s">
        <v>690</v>
      </c>
      <c r="B304" t="s">
        <v>14417</v>
      </c>
      <c r="C304" t="s">
        <v>100</v>
      </c>
      <c r="D304" s="25" t="s">
        <v>10562</v>
      </c>
      <c r="E304" t="s">
        <v>192</v>
      </c>
      <c r="F304" s="28">
        <v>1</v>
      </c>
      <c r="G304" t="s">
        <v>193</v>
      </c>
      <c r="H304" t="s">
        <v>194</v>
      </c>
      <c r="I304" t="s">
        <v>13303</v>
      </c>
      <c r="J304" t="s">
        <v>9302</v>
      </c>
      <c r="K304" t="s">
        <v>14418</v>
      </c>
      <c r="L304" t="s">
        <v>6295</v>
      </c>
      <c r="M304" t="s">
        <v>14098</v>
      </c>
      <c r="N304" t="s">
        <v>14099</v>
      </c>
      <c r="O304" t="s">
        <v>14100</v>
      </c>
      <c r="P304" t="s">
        <v>14419</v>
      </c>
      <c r="Q304" t="s">
        <v>14420</v>
      </c>
      <c r="S304" t="s">
        <v>9309</v>
      </c>
      <c r="U304" t="s">
        <v>429</v>
      </c>
      <c r="V304" t="s">
        <v>193</v>
      </c>
      <c r="W304" t="s">
        <v>9310</v>
      </c>
      <c r="Z304" t="s">
        <v>9311</v>
      </c>
      <c r="AF304" t="s">
        <v>4714</v>
      </c>
      <c r="AG304" t="s">
        <v>14417</v>
      </c>
      <c r="AI304" t="s">
        <v>6955</v>
      </c>
      <c r="AJ304" s="27" t="str">
        <f t="shared" si="8"/>
        <v>242108</v>
      </c>
      <c r="AK304" s="27">
        <v>1</v>
      </c>
      <c r="AL304" s="27">
        <f t="shared" si="9"/>
        <v>1</v>
      </c>
      <c r="AM304" s="28">
        <v>1</v>
      </c>
    </row>
    <row r="305" spans="1:39" x14ac:dyDescent="0.25">
      <c r="A305" t="s">
        <v>690</v>
      </c>
      <c r="B305" t="s">
        <v>14421</v>
      </c>
      <c r="C305" t="s">
        <v>100</v>
      </c>
      <c r="D305" s="25" t="s">
        <v>10562</v>
      </c>
      <c r="E305" t="s">
        <v>192</v>
      </c>
      <c r="F305" s="28">
        <v>1</v>
      </c>
      <c r="G305" t="s">
        <v>193</v>
      </c>
      <c r="H305" t="s">
        <v>194</v>
      </c>
      <c r="I305" t="s">
        <v>13303</v>
      </c>
      <c r="J305" t="s">
        <v>9302</v>
      </c>
      <c r="K305" t="s">
        <v>14422</v>
      </c>
      <c r="L305" t="s">
        <v>6343</v>
      </c>
      <c r="M305" t="s">
        <v>14098</v>
      </c>
      <c r="N305" t="s">
        <v>14099</v>
      </c>
      <c r="O305" t="s">
        <v>14100</v>
      </c>
      <c r="P305" t="s">
        <v>14423</v>
      </c>
      <c r="Q305" t="s">
        <v>14424</v>
      </c>
      <c r="S305" t="s">
        <v>9309</v>
      </c>
      <c r="U305" t="s">
        <v>429</v>
      </c>
      <c r="V305" t="s">
        <v>193</v>
      </c>
      <c r="W305" t="s">
        <v>9310</v>
      </c>
      <c r="Z305" t="s">
        <v>9311</v>
      </c>
      <c r="AF305" t="s">
        <v>4714</v>
      </c>
      <c r="AG305" t="s">
        <v>14421</v>
      </c>
      <c r="AI305" t="s">
        <v>6955</v>
      </c>
      <c r="AJ305" s="27" t="str">
        <f t="shared" si="8"/>
        <v>242108</v>
      </c>
      <c r="AK305" s="27">
        <v>1</v>
      </c>
      <c r="AL305" s="27">
        <f t="shared" si="9"/>
        <v>1</v>
      </c>
      <c r="AM305" s="28">
        <v>1</v>
      </c>
    </row>
    <row r="306" spans="1:39" x14ac:dyDescent="0.25">
      <c r="A306" t="s">
        <v>690</v>
      </c>
      <c r="B306" t="s">
        <v>14425</v>
      </c>
      <c r="C306" t="s">
        <v>1196</v>
      </c>
      <c r="D306" s="25" t="s">
        <v>10562</v>
      </c>
      <c r="E306" t="s">
        <v>192</v>
      </c>
      <c r="F306" s="28">
        <v>1</v>
      </c>
      <c r="G306" t="s">
        <v>193</v>
      </c>
      <c r="H306" t="s">
        <v>194</v>
      </c>
      <c r="I306" t="s">
        <v>13303</v>
      </c>
      <c r="J306" t="s">
        <v>9302</v>
      </c>
      <c r="K306" t="s">
        <v>14426</v>
      </c>
      <c r="L306" t="s">
        <v>6295</v>
      </c>
      <c r="M306" t="s">
        <v>14098</v>
      </c>
      <c r="N306" t="s">
        <v>14099</v>
      </c>
      <c r="O306" t="s">
        <v>14100</v>
      </c>
      <c r="P306" t="s">
        <v>14427</v>
      </c>
      <c r="Q306" t="s">
        <v>14428</v>
      </c>
      <c r="S306" t="s">
        <v>9309</v>
      </c>
      <c r="U306" t="s">
        <v>1198</v>
      </c>
      <c r="V306" t="s">
        <v>193</v>
      </c>
      <c r="W306" t="s">
        <v>9310</v>
      </c>
      <c r="Z306" t="s">
        <v>9311</v>
      </c>
      <c r="AF306" t="s">
        <v>4714</v>
      </c>
      <c r="AG306" t="s">
        <v>14425</v>
      </c>
      <c r="AI306" t="s">
        <v>6955</v>
      </c>
      <c r="AJ306" s="27" t="str">
        <f t="shared" si="8"/>
        <v>252901</v>
      </c>
      <c r="AK306" s="27">
        <v>1</v>
      </c>
      <c r="AL306" s="27">
        <f t="shared" si="9"/>
        <v>1</v>
      </c>
      <c r="AM306" s="28">
        <v>1</v>
      </c>
    </row>
    <row r="307" spans="1:39" x14ac:dyDescent="0.25">
      <c r="A307" t="s">
        <v>14429</v>
      </c>
      <c r="B307" t="s">
        <v>467</v>
      </c>
      <c r="C307" t="s">
        <v>468</v>
      </c>
      <c r="D307" s="25" t="s">
        <v>10562</v>
      </c>
      <c r="E307" t="s">
        <v>192</v>
      </c>
      <c r="F307" s="28">
        <v>1</v>
      </c>
      <c r="G307" t="s">
        <v>193</v>
      </c>
      <c r="H307" t="s">
        <v>194</v>
      </c>
      <c r="I307" t="s">
        <v>13160</v>
      </c>
      <c r="J307" t="s">
        <v>9302</v>
      </c>
      <c r="K307" t="s">
        <v>14430</v>
      </c>
      <c r="L307" t="s">
        <v>6288</v>
      </c>
      <c r="M307" t="s">
        <v>14098</v>
      </c>
      <c r="N307" t="s">
        <v>14099</v>
      </c>
      <c r="O307" t="s">
        <v>14100</v>
      </c>
      <c r="P307" t="s">
        <v>14431</v>
      </c>
      <c r="Q307" t="s">
        <v>14432</v>
      </c>
      <c r="S307" t="s">
        <v>9309</v>
      </c>
      <c r="U307" t="s">
        <v>469</v>
      </c>
      <c r="V307" t="s">
        <v>193</v>
      </c>
      <c r="W307" t="s">
        <v>9310</v>
      </c>
      <c r="Z307" t="s">
        <v>9311</v>
      </c>
      <c r="AF307" t="s">
        <v>4714</v>
      </c>
      <c r="AG307" t="s">
        <v>467</v>
      </c>
      <c r="AI307" t="s">
        <v>6955</v>
      </c>
      <c r="AJ307" s="27" t="str">
        <f t="shared" si="8"/>
        <v>243303</v>
      </c>
      <c r="AK307" s="27">
        <v>1</v>
      </c>
      <c r="AL307" s="27">
        <f t="shared" si="9"/>
        <v>1</v>
      </c>
      <c r="AM307" s="28">
        <v>1</v>
      </c>
    </row>
    <row r="308" spans="1:39" x14ac:dyDescent="0.25">
      <c r="A308" t="s">
        <v>14433</v>
      </c>
      <c r="B308" t="s">
        <v>10928</v>
      </c>
      <c r="C308" t="s">
        <v>21</v>
      </c>
      <c r="D308" s="25" t="s">
        <v>10562</v>
      </c>
      <c r="E308" t="s">
        <v>192</v>
      </c>
      <c r="F308" s="28">
        <v>1</v>
      </c>
      <c r="G308" t="s">
        <v>193</v>
      </c>
      <c r="H308" t="s">
        <v>194</v>
      </c>
      <c r="I308" t="s">
        <v>13164</v>
      </c>
      <c r="J308" t="s">
        <v>9302</v>
      </c>
      <c r="K308" t="s">
        <v>14434</v>
      </c>
      <c r="L308" t="s">
        <v>6324</v>
      </c>
      <c r="M308" t="s">
        <v>14098</v>
      </c>
      <c r="N308" t="s">
        <v>14099</v>
      </c>
      <c r="O308" t="s">
        <v>14100</v>
      </c>
      <c r="P308" t="s">
        <v>14435</v>
      </c>
      <c r="Q308" t="s">
        <v>14436</v>
      </c>
      <c r="S308" t="s">
        <v>9309</v>
      </c>
      <c r="U308" t="s">
        <v>293</v>
      </c>
      <c r="V308" t="s">
        <v>193</v>
      </c>
      <c r="W308" t="s">
        <v>9310</v>
      </c>
      <c r="Z308" t="s">
        <v>9311</v>
      </c>
      <c r="AF308" t="s">
        <v>4714</v>
      </c>
      <c r="AG308" t="s">
        <v>10928</v>
      </c>
      <c r="AI308" t="s">
        <v>6955</v>
      </c>
      <c r="AJ308" s="27" t="str">
        <f t="shared" si="8"/>
        <v>214202</v>
      </c>
      <c r="AK308" s="27">
        <v>1</v>
      </c>
      <c r="AL308" s="27">
        <f t="shared" si="9"/>
        <v>1</v>
      </c>
      <c r="AM308" s="28">
        <v>1</v>
      </c>
    </row>
    <row r="309" spans="1:39" x14ac:dyDescent="0.25">
      <c r="A309" t="s">
        <v>3195</v>
      </c>
      <c r="B309" t="s">
        <v>14437</v>
      </c>
      <c r="C309" t="s">
        <v>43</v>
      </c>
      <c r="D309" s="25" t="s">
        <v>10562</v>
      </c>
      <c r="E309" t="s">
        <v>192</v>
      </c>
      <c r="F309" s="28">
        <v>1</v>
      </c>
      <c r="G309" t="s">
        <v>193</v>
      </c>
      <c r="H309" t="s">
        <v>194</v>
      </c>
      <c r="I309" t="s">
        <v>13303</v>
      </c>
      <c r="J309" t="s">
        <v>9302</v>
      </c>
      <c r="K309" t="s">
        <v>14438</v>
      </c>
      <c r="L309" t="s">
        <v>6249</v>
      </c>
      <c r="M309" t="s">
        <v>14098</v>
      </c>
      <c r="N309" t="s">
        <v>14099</v>
      </c>
      <c r="O309" t="s">
        <v>14439</v>
      </c>
      <c r="P309" t="s">
        <v>14440</v>
      </c>
      <c r="Q309" t="s">
        <v>14441</v>
      </c>
      <c r="S309" t="s">
        <v>9309</v>
      </c>
      <c r="U309" t="s">
        <v>452</v>
      </c>
      <c r="V309" t="s">
        <v>193</v>
      </c>
      <c r="W309" t="s">
        <v>9310</v>
      </c>
      <c r="Z309" t="s">
        <v>9311</v>
      </c>
      <c r="AF309" t="s">
        <v>4714</v>
      </c>
      <c r="AG309" t="s">
        <v>14437</v>
      </c>
      <c r="AI309" t="s">
        <v>6955</v>
      </c>
      <c r="AJ309" s="27" t="str">
        <f t="shared" si="8"/>
        <v>243106</v>
      </c>
      <c r="AK309" s="27">
        <v>1</v>
      </c>
      <c r="AL309" s="27">
        <f t="shared" si="9"/>
        <v>1</v>
      </c>
      <c r="AM309" s="28">
        <v>1</v>
      </c>
    </row>
    <row r="310" spans="1:39" x14ac:dyDescent="0.25">
      <c r="A310" t="s">
        <v>14442</v>
      </c>
      <c r="B310" t="s">
        <v>2510</v>
      </c>
      <c r="C310" t="s">
        <v>4825</v>
      </c>
      <c r="D310" s="25" t="s">
        <v>10562</v>
      </c>
      <c r="E310" t="s">
        <v>192</v>
      </c>
      <c r="F310" s="28">
        <v>1</v>
      </c>
      <c r="G310" t="s">
        <v>193</v>
      </c>
      <c r="H310" t="s">
        <v>194</v>
      </c>
      <c r="I310" t="s">
        <v>13164</v>
      </c>
      <c r="J310" t="s">
        <v>210</v>
      </c>
      <c r="K310" t="s">
        <v>14443</v>
      </c>
      <c r="L310" t="s">
        <v>6245</v>
      </c>
      <c r="M310" t="s">
        <v>14098</v>
      </c>
      <c r="N310" t="s">
        <v>14099</v>
      </c>
      <c r="O310" t="s">
        <v>14100</v>
      </c>
      <c r="P310" t="s">
        <v>14444</v>
      </c>
      <c r="Q310" t="s">
        <v>14445</v>
      </c>
      <c r="S310" t="s">
        <v>9309</v>
      </c>
      <c r="T310" t="s">
        <v>9334</v>
      </c>
      <c r="U310" t="s">
        <v>4826</v>
      </c>
      <c r="V310" t="s">
        <v>194</v>
      </c>
      <c r="W310" t="s">
        <v>9300</v>
      </c>
      <c r="Z310" t="s">
        <v>9311</v>
      </c>
      <c r="AF310" t="s">
        <v>4714</v>
      </c>
      <c r="AG310" t="s">
        <v>2510</v>
      </c>
      <c r="AI310" t="s">
        <v>6955</v>
      </c>
      <c r="AJ310" s="27" t="str">
        <f t="shared" si="8"/>
        <v>311929</v>
      </c>
      <c r="AK310" s="27">
        <v>1</v>
      </c>
      <c r="AL310" s="27">
        <f t="shared" si="9"/>
        <v>1</v>
      </c>
      <c r="AM310" s="28">
        <v>1</v>
      </c>
    </row>
    <row r="311" spans="1:39" x14ac:dyDescent="0.25">
      <c r="A311" t="s">
        <v>14442</v>
      </c>
      <c r="B311" t="s">
        <v>14446</v>
      </c>
      <c r="C311" t="s">
        <v>67</v>
      </c>
      <c r="D311" s="25" t="s">
        <v>10562</v>
      </c>
      <c r="E311" t="s">
        <v>192</v>
      </c>
      <c r="F311" s="28">
        <v>1</v>
      </c>
      <c r="G311" t="s">
        <v>193</v>
      </c>
      <c r="H311" t="s">
        <v>194</v>
      </c>
      <c r="I311" t="s">
        <v>13152</v>
      </c>
      <c r="J311" t="s">
        <v>210</v>
      </c>
      <c r="K311" t="s">
        <v>14447</v>
      </c>
      <c r="L311" t="s">
        <v>6266</v>
      </c>
      <c r="M311" t="s">
        <v>14098</v>
      </c>
      <c r="N311" t="s">
        <v>14099</v>
      </c>
      <c r="O311" t="s">
        <v>14100</v>
      </c>
      <c r="P311" t="s">
        <v>14448</v>
      </c>
      <c r="Q311" t="s">
        <v>14449</v>
      </c>
      <c r="S311" t="s">
        <v>9309</v>
      </c>
      <c r="T311" t="s">
        <v>9334</v>
      </c>
      <c r="U311" t="s">
        <v>709</v>
      </c>
      <c r="V311" t="s">
        <v>194</v>
      </c>
      <c r="W311" t="s">
        <v>9300</v>
      </c>
      <c r="Z311" t="s">
        <v>9311</v>
      </c>
      <c r="AF311" t="s">
        <v>4714</v>
      </c>
      <c r="AG311" t="s">
        <v>14446</v>
      </c>
      <c r="AI311" t="s">
        <v>6955</v>
      </c>
      <c r="AJ311" s="27" t="str">
        <f t="shared" si="8"/>
        <v>432103</v>
      </c>
      <c r="AK311" s="27">
        <v>1</v>
      </c>
      <c r="AL311" s="27">
        <f t="shared" si="9"/>
        <v>1</v>
      </c>
      <c r="AM311" s="28">
        <v>1</v>
      </c>
    </row>
    <row r="312" spans="1:39" x14ac:dyDescent="0.25">
      <c r="A312" t="s">
        <v>4969</v>
      </c>
      <c r="B312" t="s">
        <v>14450</v>
      </c>
      <c r="C312" t="s">
        <v>10</v>
      </c>
      <c r="D312" s="25" t="s">
        <v>10562</v>
      </c>
      <c r="E312" t="s">
        <v>192</v>
      </c>
      <c r="F312" s="28">
        <v>1</v>
      </c>
      <c r="G312" t="s">
        <v>193</v>
      </c>
      <c r="H312" t="s">
        <v>194</v>
      </c>
      <c r="I312" t="s">
        <v>13160</v>
      </c>
      <c r="J312" t="s">
        <v>9302</v>
      </c>
      <c r="K312" t="s">
        <v>14451</v>
      </c>
      <c r="L312" t="s">
        <v>6921</v>
      </c>
      <c r="M312" t="s">
        <v>14098</v>
      </c>
      <c r="N312" t="s">
        <v>14099</v>
      </c>
      <c r="O312" t="s">
        <v>14100</v>
      </c>
      <c r="P312" t="s">
        <v>14452</v>
      </c>
      <c r="Q312" t="s">
        <v>14453</v>
      </c>
      <c r="S312" t="s">
        <v>9309</v>
      </c>
      <c r="U312" t="s">
        <v>484</v>
      </c>
      <c r="V312" t="s">
        <v>193</v>
      </c>
      <c r="W312" t="s">
        <v>9310</v>
      </c>
      <c r="Z312" t="s">
        <v>9311</v>
      </c>
      <c r="AF312" t="s">
        <v>4714</v>
      </c>
      <c r="AG312" t="s">
        <v>14450</v>
      </c>
      <c r="AI312" t="s">
        <v>6955</v>
      </c>
      <c r="AJ312" s="27" t="str">
        <f t="shared" si="8"/>
        <v>251401</v>
      </c>
      <c r="AK312" s="27">
        <v>1</v>
      </c>
      <c r="AL312" s="27">
        <f t="shared" si="9"/>
        <v>1</v>
      </c>
      <c r="AM312" s="28">
        <v>1</v>
      </c>
    </row>
    <row r="313" spans="1:39" x14ac:dyDescent="0.25">
      <c r="A313" t="s">
        <v>4969</v>
      </c>
      <c r="B313" t="s">
        <v>11968</v>
      </c>
      <c r="C313" t="s">
        <v>46</v>
      </c>
      <c r="D313" s="25" t="s">
        <v>10562</v>
      </c>
      <c r="E313" t="s">
        <v>192</v>
      </c>
      <c r="F313" s="28">
        <v>1</v>
      </c>
      <c r="G313" t="s">
        <v>193</v>
      </c>
      <c r="H313" t="s">
        <v>194</v>
      </c>
      <c r="I313" t="s">
        <v>13303</v>
      </c>
      <c r="J313" t="s">
        <v>9302</v>
      </c>
      <c r="K313" t="s">
        <v>14454</v>
      </c>
      <c r="L313" t="s">
        <v>6921</v>
      </c>
      <c r="M313" t="s">
        <v>14098</v>
      </c>
      <c r="N313" t="s">
        <v>14099</v>
      </c>
      <c r="O313" t="s">
        <v>14100</v>
      </c>
      <c r="P313" t="s">
        <v>14455</v>
      </c>
      <c r="Q313" t="s">
        <v>14456</v>
      </c>
      <c r="S313" t="s">
        <v>9309</v>
      </c>
      <c r="U313" t="s">
        <v>510</v>
      </c>
      <c r="V313" t="s">
        <v>193</v>
      </c>
      <c r="W313" t="s">
        <v>9310</v>
      </c>
      <c r="Z313" t="s">
        <v>9311</v>
      </c>
      <c r="AF313" t="s">
        <v>4714</v>
      </c>
      <c r="AG313" t="s">
        <v>11968</v>
      </c>
      <c r="AI313" t="s">
        <v>6955</v>
      </c>
      <c r="AJ313" s="27" t="str">
        <f t="shared" si="8"/>
        <v>252201</v>
      </c>
      <c r="AK313" s="27">
        <v>1</v>
      </c>
      <c r="AL313" s="27">
        <f t="shared" si="9"/>
        <v>1</v>
      </c>
      <c r="AM313" s="28">
        <v>1</v>
      </c>
    </row>
    <row r="314" spans="1:39" x14ac:dyDescent="0.25">
      <c r="A314" t="s">
        <v>3430</v>
      </c>
      <c r="B314" t="s">
        <v>5014</v>
      </c>
      <c r="C314" t="s">
        <v>17</v>
      </c>
      <c r="D314" s="25" t="s">
        <v>10562</v>
      </c>
      <c r="E314" t="s">
        <v>192</v>
      </c>
      <c r="F314" s="28">
        <v>1</v>
      </c>
      <c r="G314" t="s">
        <v>193</v>
      </c>
      <c r="H314" t="s">
        <v>194</v>
      </c>
      <c r="I314" t="s">
        <v>13152</v>
      </c>
      <c r="J314" t="s">
        <v>276</v>
      </c>
      <c r="K314" t="s">
        <v>14457</v>
      </c>
      <c r="L314" t="s">
        <v>7001</v>
      </c>
      <c r="M314" t="s">
        <v>14098</v>
      </c>
      <c r="N314" t="s">
        <v>14099</v>
      </c>
      <c r="O314" t="s">
        <v>14100</v>
      </c>
      <c r="P314" t="s">
        <v>14458</v>
      </c>
      <c r="Q314" t="s">
        <v>14459</v>
      </c>
      <c r="S314" t="s">
        <v>9309</v>
      </c>
      <c r="T314" t="s">
        <v>9786</v>
      </c>
      <c r="U314" t="s">
        <v>624</v>
      </c>
      <c r="V314" t="s">
        <v>194</v>
      </c>
      <c r="W314" t="s">
        <v>9300</v>
      </c>
      <c r="Z314" t="s">
        <v>9311</v>
      </c>
      <c r="AF314" t="s">
        <v>4714</v>
      </c>
      <c r="AG314" t="s">
        <v>5014</v>
      </c>
      <c r="AI314" t="s">
        <v>6955</v>
      </c>
      <c r="AJ314" s="27" t="str">
        <f t="shared" si="8"/>
        <v>332203</v>
      </c>
      <c r="AK314" s="27">
        <v>1</v>
      </c>
      <c r="AL314" s="27">
        <f t="shared" si="9"/>
        <v>1</v>
      </c>
      <c r="AM314" s="28">
        <v>1</v>
      </c>
    </row>
    <row r="315" spans="1:39" x14ac:dyDescent="0.25">
      <c r="A315" t="s">
        <v>14460</v>
      </c>
      <c r="B315" t="s">
        <v>14461</v>
      </c>
      <c r="C315" t="s">
        <v>2861</v>
      </c>
      <c r="D315" s="25" t="s">
        <v>10562</v>
      </c>
      <c r="E315" t="s">
        <v>192</v>
      </c>
      <c r="F315" s="28">
        <v>1</v>
      </c>
      <c r="G315" t="s">
        <v>193</v>
      </c>
      <c r="H315" t="s">
        <v>194</v>
      </c>
      <c r="I315" t="s">
        <v>13152</v>
      </c>
      <c r="J315" t="s">
        <v>9302</v>
      </c>
      <c r="K315" t="s">
        <v>14462</v>
      </c>
      <c r="L315" t="s">
        <v>6261</v>
      </c>
      <c r="M315" t="s">
        <v>14098</v>
      </c>
      <c r="N315" t="s">
        <v>14099</v>
      </c>
      <c r="O315" t="s">
        <v>14100</v>
      </c>
      <c r="P315" t="s">
        <v>14463</v>
      </c>
      <c r="Q315" t="s">
        <v>14464</v>
      </c>
      <c r="S315" t="s">
        <v>9309</v>
      </c>
      <c r="U315" t="s">
        <v>3629</v>
      </c>
      <c r="V315" t="s">
        <v>193</v>
      </c>
      <c r="W315" t="s">
        <v>9310</v>
      </c>
      <c r="Z315" t="s">
        <v>9311</v>
      </c>
      <c r="AF315" t="s">
        <v>4714</v>
      </c>
      <c r="AG315" t="s">
        <v>14461</v>
      </c>
      <c r="AI315" t="s">
        <v>6955</v>
      </c>
      <c r="AJ315" s="27" t="str">
        <f t="shared" si="8"/>
        <v>251903</v>
      </c>
      <c r="AK315" s="27">
        <v>1</v>
      </c>
      <c r="AL315" s="27">
        <f t="shared" si="9"/>
        <v>1</v>
      </c>
      <c r="AM315" s="28">
        <v>1</v>
      </c>
    </row>
    <row r="316" spans="1:39" x14ac:dyDescent="0.25">
      <c r="A316" t="s">
        <v>14465</v>
      </c>
      <c r="B316" t="s">
        <v>14466</v>
      </c>
      <c r="C316" t="s">
        <v>129</v>
      </c>
      <c r="D316" s="25" t="s">
        <v>10562</v>
      </c>
      <c r="E316" t="s">
        <v>233</v>
      </c>
      <c r="F316" s="28">
        <v>1</v>
      </c>
      <c r="G316" t="s">
        <v>193</v>
      </c>
      <c r="H316" t="s">
        <v>194</v>
      </c>
      <c r="I316" t="s">
        <v>13164</v>
      </c>
      <c r="J316" t="s">
        <v>9302</v>
      </c>
      <c r="K316" t="s">
        <v>14467</v>
      </c>
      <c r="L316" t="s">
        <v>6245</v>
      </c>
      <c r="M316" t="s">
        <v>14397</v>
      </c>
      <c r="N316" t="s">
        <v>11608</v>
      </c>
      <c r="O316" t="s">
        <v>13235</v>
      </c>
      <c r="P316" t="s">
        <v>14468</v>
      </c>
      <c r="Q316" t="s">
        <v>14469</v>
      </c>
      <c r="S316" t="s">
        <v>9309</v>
      </c>
      <c r="U316" t="s">
        <v>203</v>
      </c>
      <c r="V316" t="s">
        <v>193</v>
      </c>
      <c r="W316" t="s">
        <v>9310</v>
      </c>
      <c r="Z316" t="s">
        <v>9311</v>
      </c>
      <c r="AF316" t="s">
        <v>4714</v>
      </c>
      <c r="AG316" t="s">
        <v>14466</v>
      </c>
      <c r="AI316" t="s">
        <v>6955</v>
      </c>
      <c r="AJ316" s="27" t="str">
        <f t="shared" si="8"/>
        <v>121904</v>
      </c>
      <c r="AK316" s="27">
        <v>1</v>
      </c>
      <c r="AL316" s="27">
        <f t="shared" si="9"/>
        <v>1</v>
      </c>
      <c r="AM316" s="28">
        <v>1</v>
      </c>
    </row>
    <row r="317" spans="1:39" x14ac:dyDescent="0.25">
      <c r="A317" t="s">
        <v>14470</v>
      </c>
      <c r="B317" t="s">
        <v>14471</v>
      </c>
      <c r="C317" t="s">
        <v>122</v>
      </c>
      <c r="D317" s="25" t="s">
        <v>10562</v>
      </c>
      <c r="E317" t="s">
        <v>192</v>
      </c>
      <c r="F317" s="28">
        <v>1</v>
      </c>
      <c r="G317" t="s">
        <v>193</v>
      </c>
      <c r="H317" t="s">
        <v>194</v>
      </c>
      <c r="I317" t="s">
        <v>13303</v>
      </c>
      <c r="J317" t="s">
        <v>253</v>
      </c>
      <c r="K317" t="s">
        <v>14472</v>
      </c>
      <c r="L317" t="s">
        <v>7489</v>
      </c>
      <c r="M317" t="s">
        <v>14098</v>
      </c>
      <c r="N317" t="s">
        <v>14099</v>
      </c>
      <c r="O317" t="s">
        <v>14100</v>
      </c>
      <c r="P317" t="s">
        <v>14473</v>
      </c>
      <c r="Q317" t="s">
        <v>14474</v>
      </c>
      <c r="S317" t="s">
        <v>9309</v>
      </c>
      <c r="T317" t="s">
        <v>9468</v>
      </c>
      <c r="U317" t="s">
        <v>655</v>
      </c>
      <c r="V317" t="s">
        <v>194</v>
      </c>
      <c r="W317" t="s">
        <v>9300</v>
      </c>
      <c r="Z317" t="s">
        <v>9311</v>
      </c>
      <c r="AF317" t="s">
        <v>4714</v>
      </c>
      <c r="AG317" t="s">
        <v>14471</v>
      </c>
      <c r="AI317" t="s">
        <v>6955</v>
      </c>
      <c r="AJ317" s="27" t="str">
        <f t="shared" si="8"/>
        <v>332301</v>
      </c>
      <c r="AK317" s="27">
        <v>1</v>
      </c>
      <c r="AL317" s="27">
        <f t="shared" si="9"/>
        <v>1</v>
      </c>
      <c r="AM317" s="28">
        <v>1</v>
      </c>
    </row>
    <row r="318" spans="1:39" x14ac:dyDescent="0.25">
      <c r="A318" t="s">
        <v>14470</v>
      </c>
      <c r="B318" t="s">
        <v>14471</v>
      </c>
      <c r="C318" t="s">
        <v>122</v>
      </c>
      <c r="D318" s="25" t="s">
        <v>10562</v>
      </c>
      <c r="E318" t="s">
        <v>192</v>
      </c>
      <c r="F318" s="28">
        <v>1</v>
      </c>
      <c r="G318" t="s">
        <v>193</v>
      </c>
      <c r="H318" t="s">
        <v>194</v>
      </c>
      <c r="I318" t="s">
        <v>13303</v>
      </c>
      <c r="J318" t="s">
        <v>1979</v>
      </c>
      <c r="K318" t="s">
        <v>14475</v>
      </c>
      <c r="L318" t="s">
        <v>7489</v>
      </c>
      <c r="M318" t="s">
        <v>14098</v>
      </c>
      <c r="N318" t="s">
        <v>14099</v>
      </c>
      <c r="O318" t="s">
        <v>14100</v>
      </c>
      <c r="P318" t="s">
        <v>14476</v>
      </c>
      <c r="Q318" t="s">
        <v>14477</v>
      </c>
      <c r="S318" t="s">
        <v>9309</v>
      </c>
      <c r="T318" t="s">
        <v>9786</v>
      </c>
      <c r="U318" t="s">
        <v>655</v>
      </c>
      <c r="V318" t="s">
        <v>194</v>
      </c>
      <c r="W318" t="s">
        <v>9300</v>
      </c>
      <c r="Z318" t="s">
        <v>9311</v>
      </c>
      <c r="AF318" t="s">
        <v>4714</v>
      </c>
      <c r="AG318" t="s">
        <v>14471</v>
      </c>
      <c r="AI318" t="s">
        <v>6955</v>
      </c>
      <c r="AJ318" s="27" t="str">
        <f t="shared" si="8"/>
        <v>332301</v>
      </c>
      <c r="AK318" s="27">
        <v>1</v>
      </c>
      <c r="AL318" s="27">
        <f t="shared" si="9"/>
        <v>1</v>
      </c>
      <c r="AM318" s="28">
        <v>1</v>
      </c>
    </row>
    <row r="319" spans="1:39" x14ac:dyDescent="0.25">
      <c r="A319" t="s">
        <v>14478</v>
      </c>
      <c r="B319" t="s">
        <v>14479</v>
      </c>
      <c r="C319" t="s">
        <v>17</v>
      </c>
      <c r="D319" s="25" t="s">
        <v>10562</v>
      </c>
      <c r="E319" t="s">
        <v>192</v>
      </c>
      <c r="F319" s="28">
        <v>1</v>
      </c>
      <c r="G319" t="s">
        <v>193</v>
      </c>
      <c r="H319" t="s">
        <v>194</v>
      </c>
      <c r="I319" t="s">
        <v>13125</v>
      </c>
      <c r="J319" t="s">
        <v>9302</v>
      </c>
      <c r="K319" t="s">
        <v>14480</v>
      </c>
      <c r="L319" t="s">
        <v>6245</v>
      </c>
      <c r="M319" t="s">
        <v>14098</v>
      </c>
      <c r="N319" t="s">
        <v>14099</v>
      </c>
      <c r="O319" t="s">
        <v>14100</v>
      </c>
      <c r="P319" t="s">
        <v>14481</v>
      </c>
      <c r="Q319" t="s">
        <v>14482</v>
      </c>
      <c r="S319" t="s">
        <v>9309</v>
      </c>
      <c r="U319" t="s">
        <v>624</v>
      </c>
      <c r="V319" t="s">
        <v>193</v>
      </c>
      <c r="W319" t="s">
        <v>9310</v>
      </c>
      <c r="Z319" t="s">
        <v>9311</v>
      </c>
      <c r="AF319" t="s">
        <v>4714</v>
      </c>
      <c r="AG319" t="s">
        <v>14479</v>
      </c>
      <c r="AI319" t="s">
        <v>6955</v>
      </c>
      <c r="AJ319" s="27" t="str">
        <f t="shared" si="8"/>
        <v>332203</v>
      </c>
      <c r="AK319" s="27">
        <v>1</v>
      </c>
      <c r="AL319" s="27">
        <f t="shared" si="9"/>
        <v>1</v>
      </c>
      <c r="AM319" s="28">
        <v>1</v>
      </c>
    </row>
    <row r="320" spans="1:39" x14ac:dyDescent="0.25">
      <c r="A320" t="s">
        <v>8187</v>
      </c>
      <c r="B320" t="s">
        <v>9975</v>
      </c>
      <c r="C320" t="s">
        <v>740</v>
      </c>
      <c r="D320" s="25" t="s">
        <v>10562</v>
      </c>
      <c r="E320" t="s">
        <v>192</v>
      </c>
      <c r="F320" s="28">
        <v>1</v>
      </c>
      <c r="G320" t="s">
        <v>193</v>
      </c>
      <c r="H320" t="s">
        <v>194</v>
      </c>
      <c r="I320" t="s">
        <v>13125</v>
      </c>
      <c r="J320" t="s">
        <v>755</v>
      </c>
      <c r="K320" t="s">
        <v>14483</v>
      </c>
      <c r="L320" t="s">
        <v>6251</v>
      </c>
      <c r="M320" t="s">
        <v>14098</v>
      </c>
      <c r="N320" t="s">
        <v>14099</v>
      </c>
      <c r="O320" t="s">
        <v>10529</v>
      </c>
      <c r="P320" t="s">
        <v>14484</v>
      </c>
      <c r="Q320" t="s">
        <v>14485</v>
      </c>
      <c r="S320" t="s">
        <v>9309</v>
      </c>
      <c r="T320" t="s">
        <v>9726</v>
      </c>
      <c r="U320" t="s">
        <v>741</v>
      </c>
      <c r="V320" t="s">
        <v>194</v>
      </c>
      <c r="W320" t="s">
        <v>9300</v>
      </c>
      <c r="Z320" t="s">
        <v>9311</v>
      </c>
      <c r="AF320" t="s">
        <v>4714</v>
      </c>
      <c r="AG320" t="s">
        <v>9975</v>
      </c>
      <c r="AI320" t="s">
        <v>6955</v>
      </c>
      <c r="AJ320" s="27" t="str">
        <f t="shared" si="8"/>
        <v>522301</v>
      </c>
      <c r="AK320" s="27">
        <v>1</v>
      </c>
      <c r="AL320" s="27">
        <f t="shared" si="9"/>
        <v>1</v>
      </c>
      <c r="AM320" s="28">
        <v>1</v>
      </c>
    </row>
    <row r="321" spans="1:39" x14ac:dyDescent="0.25">
      <c r="A321" t="s">
        <v>8187</v>
      </c>
      <c r="B321" t="s">
        <v>14486</v>
      </c>
      <c r="C321" t="s">
        <v>740</v>
      </c>
      <c r="D321" s="25" t="s">
        <v>10562</v>
      </c>
      <c r="E321" t="s">
        <v>192</v>
      </c>
      <c r="F321" s="28">
        <v>1</v>
      </c>
      <c r="G321" t="s">
        <v>193</v>
      </c>
      <c r="H321" t="s">
        <v>194</v>
      </c>
      <c r="I321" t="s">
        <v>13125</v>
      </c>
      <c r="J321" t="s">
        <v>755</v>
      </c>
      <c r="K321" t="s">
        <v>14487</v>
      </c>
      <c r="L321" t="s">
        <v>6251</v>
      </c>
      <c r="M321" t="s">
        <v>14098</v>
      </c>
      <c r="N321" t="s">
        <v>14099</v>
      </c>
      <c r="O321" t="s">
        <v>10529</v>
      </c>
      <c r="P321" t="s">
        <v>14488</v>
      </c>
      <c r="Q321" t="s">
        <v>14489</v>
      </c>
      <c r="S321" t="s">
        <v>9309</v>
      </c>
      <c r="T321" t="s">
        <v>9726</v>
      </c>
      <c r="U321" t="s">
        <v>741</v>
      </c>
      <c r="V321" t="s">
        <v>194</v>
      </c>
      <c r="W321" t="s">
        <v>9300</v>
      </c>
      <c r="Z321" t="s">
        <v>9311</v>
      </c>
      <c r="AF321" t="s">
        <v>4714</v>
      </c>
      <c r="AG321" t="s">
        <v>14486</v>
      </c>
      <c r="AI321" t="s">
        <v>6955</v>
      </c>
      <c r="AJ321" s="27" t="str">
        <f t="shared" si="8"/>
        <v>522301</v>
      </c>
      <c r="AK321" s="27">
        <v>1</v>
      </c>
      <c r="AL321" s="27">
        <f t="shared" si="9"/>
        <v>1</v>
      </c>
      <c r="AM321" s="28">
        <v>1</v>
      </c>
    </row>
    <row r="322" spans="1:39" x14ac:dyDescent="0.25">
      <c r="A322" t="s">
        <v>14490</v>
      </c>
      <c r="B322" t="s">
        <v>14491</v>
      </c>
      <c r="C322" t="s">
        <v>3438</v>
      </c>
      <c r="D322" s="25" t="s">
        <v>10562</v>
      </c>
      <c r="E322" t="s">
        <v>192</v>
      </c>
      <c r="F322" s="28">
        <v>1</v>
      </c>
      <c r="G322" t="s">
        <v>193</v>
      </c>
      <c r="H322" t="s">
        <v>194</v>
      </c>
      <c r="I322" t="s">
        <v>13303</v>
      </c>
      <c r="J322" t="s">
        <v>9302</v>
      </c>
      <c r="K322" t="s">
        <v>14492</v>
      </c>
      <c r="L322" t="s">
        <v>6286</v>
      </c>
      <c r="M322" t="s">
        <v>14098</v>
      </c>
      <c r="N322" t="s">
        <v>14099</v>
      </c>
      <c r="O322" t="s">
        <v>14100</v>
      </c>
      <c r="P322" t="s">
        <v>14493</v>
      </c>
      <c r="Q322" t="s">
        <v>14494</v>
      </c>
      <c r="S322" t="s">
        <v>9309</v>
      </c>
      <c r="U322" t="s">
        <v>3439</v>
      </c>
      <c r="V322" t="s">
        <v>193</v>
      </c>
      <c r="W322" t="s">
        <v>9310</v>
      </c>
      <c r="Z322" t="s">
        <v>9311</v>
      </c>
      <c r="AF322" t="s">
        <v>4714</v>
      </c>
      <c r="AG322" t="s">
        <v>14491</v>
      </c>
      <c r="AI322" t="s">
        <v>6955</v>
      </c>
      <c r="AJ322" s="27" t="str">
        <f t="shared" si="8"/>
        <v>334306</v>
      </c>
      <c r="AK322" s="27">
        <v>1</v>
      </c>
      <c r="AL322" s="27">
        <f t="shared" si="9"/>
        <v>1</v>
      </c>
      <c r="AM322" s="28">
        <v>1</v>
      </c>
    </row>
    <row r="323" spans="1:39" x14ac:dyDescent="0.25">
      <c r="A323" t="s">
        <v>14490</v>
      </c>
      <c r="B323" t="s">
        <v>14495</v>
      </c>
      <c r="C323" t="s">
        <v>3438</v>
      </c>
      <c r="D323" s="25" t="s">
        <v>10562</v>
      </c>
      <c r="E323" t="s">
        <v>192</v>
      </c>
      <c r="F323" s="28">
        <v>1</v>
      </c>
      <c r="G323" t="s">
        <v>193</v>
      </c>
      <c r="H323" t="s">
        <v>194</v>
      </c>
      <c r="I323" t="s">
        <v>13303</v>
      </c>
      <c r="J323" t="s">
        <v>9302</v>
      </c>
      <c r="K323" t="s">
        <v>14496</v>
      </c>
      <c r="L323" t="s">
        <v>6286</v>
      </c>
      <c r="M323" t="s">
        <v>14098</v>
      </c>
      <c r="N323" t="s">
        <v>14099</v>
      </c>
      <c r="O323" t="s">
        <v>14100</v>
      </c>
      <c r="P323" t="s">
        <v>14497</v>
      </c>
      <c r="Q323" t="s">
        <v>14498</v>
      </c>
      <c r="S323" t="s">
        <v>9309</v>
      </c>
      <c r="U323" t="s">
        <v>3439</v>
      </c>
      <c r="V323" t="s">
        <v>193</v>
      </c>
      <c r="W323" t="s">
        <v>9310</v>
      </c>
      <c r="Z323" t="s">
        <v>9311</v>
      </c>
      <c r="AF323" t="s">
        <v>4714</v>
      </c>
      <c r="AG323" t="s">
        <v>14495</v>
      </c>
      <c r="AI323" t="s">
        <v>6955</v>
      </c>
      <c r="AJ323" s="27" t="str">
        <f t="shared" ref="AJ323:AJ386" si="10">MID(U323,8,6)</f>
        <v>334306</v>
      </c>
      <c r="AK323" s="27">
        <v>1</v>
      </c>
      <c r="AL323" s="27">
        <f t="shared" ref="AL323:AL386" si="11">SUM(F323)</f>
        <v>1</v>
      </c>
      <c r="AM323" s="28">
        <v>1</v>
      </c>
    </row>
    <row r="324" spans="1:39" x14ac:dyDescent="0.25">
      <c r="A324" t="s">
        <v>552</v>
      </c>
      <c r="B324" t="s">
        <v>1462</v>
      </c>
      <c r="C324" t="s">
        <v>29</v>
      </c>
      <c r="D324" s="25" t="s">
        <v>10562</v>
      </c>
      <c r="E324" t="s">
        <v>192</v>
      </c>
      <c r="F324" s="28">
        <v>1</v>
      </c>
      <c r="G324" t="s">
        <v>193</v>
      </c>
      <c r="H324" t="s">
        <v>194</v>
      </c>
      <c r="I324" t="s">
        <v>13125</v>
      </c>
      <c r="J324" t="s">
        <v>253</v>
      </c>
      <c r="K324" t="s">
        <v>14499</v>
      </c>
      <c r="L324" t="s">
        <v>6275</v>
      </c>
      <c r="M324" t="s">
        <v>14098</v>
      </c>
      <c r="N324" t="s">
        <v>14099</v>
      </c>
      <c r="O324" t="s">
        <v>14100</v>
      </c>
      <c r="P324" t="s">
        <v>14500</v>
      </c>
      <c r="Q324" t="s">
        <v>14501</v>
      </c>
      <c r="S324" t="s">
        <v>9309</v>
      </c>
      <c r="T324" t="s">
        <v>9468</v>
      </c>
      <c r="U324" t="s">
        <v>808</v>
      </c>
      <c r="V324" t="s">
        <v>194</v>
      </c>
      <c r="W324" t="s">
        <v>9300</v>
      </c>
      <c r="Z324" t="s">
        <v>9311</v>
      </c>
      <c r="AF324" t="s">
        <v>4714</v>
      </c>
      <c r="AG324" t="s">
        <v>1462</v>
      </c>
      <c r="AI324" t="s">
        <v>6955</v>
      </c>
      <c r="AJ324" s="27" t="str">
        <f t="shared" si="10"/>
        <v>722308</v>
      </c>
      <c r="AK324" s="27">
        <v>1</v>
      </c>
      <c r="AL324" s="27">
        <f t="shared" si="11"/>
        <v>1</v>
      </c>
      <c r="AM324" s="28">
        <v>1</v>
      </c>
    </row>
    <row r="325" spans="1:39" x14ac:dyDescent="0.25">
      <c r="A325" t="s">
        <v>14502</v>
      </c>
      <c r="B325" t="s">
        <v>14503</v>
      </c>
      <c r="C325" t="s">
        <v>525</v>
      </c>
      <c r="D325" s="25" t="s">
        <v>10562</v>
      </c>
      <c r="E325" t="s">
        <v>192</v>
      </c>
      <c r="F325" s="28">
        <v>1</v>
      </c>
      <c r="G325" t="s">
        <v>193</v>
      </c>
      <c r="H325" t="s">
        <v>194</v>
      </c>
      <c r="I325" t="s">
        <v>13303</v>
      </c>
      <c r="J325" t="s">
        <v>9302</v>
      </c>
      <c r="K325" t="s">
        <v>14504</v>
      </c>
      <c r="L325" t="s">
        <v>7531</v>
      </c>
      <c r="M325" t="s">
        <v>14098</v>
      </c>
      <c r="N325" t="s">
        <v>14099</v>
      </c>
      <c r="O325" t="s">
        <v>14100</v>
      </c>
      <c r="P325" t="s">
        <v>14505</v>
      </c>
      <c r="Q325" t="s">
        <v>14506</v>
      </c>
      <c r="S325" t="s">
        <v>9309</v>
      </c>
      <c r="U325" t="s">
        <v>526</v>
      </c>
      <c r="V325" t="s">
        <v>193</v>
      </c>
      <c r="W325" t="s">
        <v>9310</v>
      </c>
      <c r="Z325" t="s">
        <v>9311</v>
      </c>
      <c r="AF325" t="s">
        <v>4714</v>
      </c>
      <c r="AG325" t="s">
        <v>14503</v>
      </c>
      <c r="AI325" t="s">
        <v>6955</v>
      </c>
      <c r="AJ325" s="27" t="str">
        <f t="shared" si="10"/>
        <v>263102</v>
      </c>
      <c r="AK325" s="27">
        <v>1</v>
      </c>
      <c r="AL325" s="27">
        <f t="shared" si="11"/>
        <v>1</v>
      </c>
      <c r="AM325" s="28">
        <v>1</v>
      </c>
    </row>
    <row r="326" spans="1:39" x14ac:dyDescent="0.25">
      <c r="A326" t="s">
        <v>14507</v>
      </c>
      <c r="B326" t="s">
        <v>921</v>
      </c>
      <c r="C326" t="s">
        <v>922</v>
      </c>
      <c r="D326" s="25" t="s">
        <v>10562</v>
      </c>
      <c r="E326" t="s">
        <v>192</v>
      </c>
      <c r="F326" s="28">
        <v>1</v>
      </c>
      <c r="G326" t="s">
        <v>193</v>
      </c>
      <c r="H326" t="s">
        <v>194</v>
      </c>
      <c r="I326" t="s">
        <v>13160</v>
      </c>
      <c r="J326" t="s">
        <v>9302</v>
      </c>
      <c r="K326" t="s">
        <v>14508</v>
      </c>
      <c r="L326" t="s">
        <v>7531</v>
      </c>
      <c r="M326" t="s">
        <v>14326</v>
      </c>
      <c r="N326" t="s">
        <v>14099</v>
      </c>
      <c r="O326" t="s">
        <v>14100</v>
      </c>
      <c r="P326" t="s">
        <v>14509</v>
      </c>
      <c r="Q326" t="s">
        <v>14510</v>
      </c>
      <c r="S326" t="s">
        <v>9309</v>
      </c>
      <c r="U326" t="s">
        <v>923</v>
      </c>
      <c r="V326" t="s">
        <v>193</v>
      </c>
      <c r="W326" t="s">
        <v>9310</v>
      </c>
      <c r="Z326" t="s">
        <v>9311</v>
      </c>
      <c r="AF326" t="s">
        <v>4714</v>
      </c>
      <c r="AG326" t="s">
        <v>922</v>
      </c>
      <c r="AI326" t="s">
        <v>6955</v>
      </c>
      <c r="AJ326" s="27" t="str">
        <f t="shared" si="10"/>
        <v>112006</v>
      </c>
      <c r="AK326" s="27">
        <v>1</v>
      </c>
      <c r="AL326" s="27">
        <f t="shared" si="11"/>
        <v>1</v>
      </c>
      <c r="AM326" s="28">
        <v>1</v>
      </c>
    </row>
    <row r="327" spans="1:39" x14ac:dyDescent="0.25">
      <c r="A327" t="s">
        <v>14511</v>
      </c>
      <c r="B327" t="s">
        <v>14512</v>
      </c>
      <c r="C327" t="s">
        <v>17</v>
      </c>
      <c r="D327" s="25" t="s">
        <v>10562</v>
      </c>
      <c r="E327" t="s">
        <v>192</v>
      </c>
      <c r="F327" s="28">
        <v>1</v>
      </c>
      <c r="G327" t="s">
        <v>193</v>
      </c>
      <c r="H327" t="s">
        <v>194</v>
      </c>
      <c r="I327" t="s">
        <v>13125</v>
      </c>
      <c r="J327" t="s">
        <v>9302</v>
      </c>
      <c r="K327" t="s">
        <v>14513</v>
      </c>
      <c r="L327" t="s">
        <v>6288</v>
      </c>
      <c r="M327" t="s">
        <v>14098</v>
      </c>
      <c r="N327" t="s">
        <v>14099</v>
      </c>
      <c r="O327" t="s">
        <v>14100</v>
      </c>
      <c r="P327" t="s">
        <v>14514</v>
      </c>
      <c r="Q327" t="s">
        <v>14515</v>
      </c>
      <c r="S327" t="s">
        <v>9309</v>
      </c>
      <c r="U327" t="s">
        <v>624</v>
      </c>
      <c r="V327" t="s">
        <v>193</v>
      </c>
      <c r="W327" t="s">
        <v>9310</v>
      </c>
      <c r="Z327" t="s">
        <v>9311</v>
      </c>
      <c r="AF327" t="s">
        <v>4714</v>
      </c>
      <c r="AG327" t="s">
        <v>14512</v>
      </c>
      <c r="AI327" t="s">
        <v>6955</v>
      </c>
      <c r="AJ327" s="27" t="str">
        <f t="shared" si="10"/>
        <v>332203</v>
      </c>
      <c r="AK327" s="27">
        <v>1</v>
      </c>
      <c r="AL327" s="27">
        <f t="shared" si="11"/>
        <v>1</v>
      </c>
      <c r="AM327" s="28">
        <v>1</v>
      </c>
    </row>
    <row r="328" spans="1:39" x14ac:dyDescent="0.25">
      <c r="A328" t="s">
        <v>14516</v>
      </c>
      <c r="B328" t="s">
        <v>14517</v>
      </c>
      <c r="C328" t="s">
        <v>706</v>
      </c>
      <c r="D328" s="25" t="s">
        <v>10562</v>
      </c>
      <c r="E328" t="s">
        <v>233</v>
      </c>
      <c r="F328" s="28">
        <v>1</v>
      </c>
      <c r="G328" t="s">
        <v>193</v>
      </c>
      <c r="H328" t="s">
        <v>194</v>
      </c>
      <c r="I328" t="s">
        <v>13303</v>
      </c>
      <c r="J328" t="s">
        <v>253</v>
      </c>
      <c r="K328" t="s">
        <v>14518</v>
      </c>
      <c r="L328" t="s">
        <v>6249</v>
      </c>
      <c r="M328" t="s">
        <v>14397</v>
      </c>
      <c r="N328" t="s">
        <v>11608</v>
      </c>
      <c r="O328" t="s">
        <v>13125</v>
      </c>
      <c r="P328" t="s">
        <v>14519</v>
      </c>
      <c r="Q328" t="s">
        <v>14520</v>
      </c>
      <c r="S328" t="s">
        <v>9309</v>
      </c>
      <c r="T328" t="s">
        <v>9468</v>
      </c>
      <c r="U328" t="s">
        <v>707</v>
      </c>
      <c r="V328" t="s">
        <v>194</v>
      </c>
      <c r="W328" t="s">
        <v>9300</v>
      </c>
      <c r="Z328" t="s">
        <v>9311</v>
      </c>
      <c r="AF328" t="s">
        <v>4714</v>
      </c>
      <c r="AG328" t="s">
        <v>14517</v>
      </c>
      <c r="AI328" t="s">
        <v>6955</v>
      </c>
      <c r="AJ328" s="27" t="str">
        <f t="shared" si="10"/>
        <v>422201</v>
      </c>
      <c r="AK328" s="27">
        <v>1</v>
      </c>
      <c r="AL328" s="27">
        <f t="shared" si="11"/>
        <v>1</v>
      </c>
      <c r="AM328" s="28">
        <v>1</v>
      </c>
    </row>
    <row r="329" spans="1:39" x14ac:dyDescent="0.25">
      <c r="A329" t="s">
        <v>14521</v>
      </c>
      <c r="B329" t="s">
        <v>14522</v>
      </c>
      <c r="C329" t="s">
        <v>14523</v>
      </c>
      <c r="D329" s="25" t="s">
        <v>10562</v>
      </c>
      <c r="E329" t="s">
        <v>192</v>
      </c>
      <c r="F329" s="28">
        <v>1</v>
      </c>
      <c r="G329" t="s">
        <v>193</v>
      </c>
      <c r="H329" t="s">
        <v>194</v>
      </c>
      <c r="I329" t="s">
        <v>13303</v>
      </c>
      <c r="J329" t="s">
        <v>9302</v>
      </c>
      <c r="K329" t="s">
        <v>14524</v>
      </c>
      <c r="L329" t="s">
        <v>7531</v>
      </c>
      <c r="M329" t="s">
        <v>14098</v>
      </c>
      <c r="N329" t="s">
        <v>14099</v>
      </c>
      <c r="O329" t="s">
        <v>14100</v>
      </c>
      <c r="P329" t="s">
        <v>14525</v>
      </c>
      <c r="Q329" t="s">
        <v>14526</v>
      </c>
      <c r="S329" t="s">
        <v>9309</v>
      </c>
      <c r="U329" t="s">
        <v>14527</v>
      </c>
      <c r="V329" t="s">
        <v>193</v>
      </c>
      <c r="W329" t="s">
        <v>9310</v>
      </c>
      <c r="Z329" t="s">
        <v>9311</v>
      </c>
      <c r="AF329" t="s">
        <v>4714</v>
      </c>
      <c r="AG329" t="s">
        <v>14522</v>
      </c>
      <c r="AI329" t="s">
        <v>6955</v>
      </c>
      <c r="AJ329" s="27" t="str">
        <f t="shared" si="10"/>
        <v>241390</v>
      </c>
      <c r="AK329" s="27">
        <v>1</v>
      </c>
      <c r="AL329" s="27">
        <f t="shared" si="11"/>
        <v>1</v>
      </c>
      <c r="AM329" s="28">
        <v>1</v>
      </c>
    </row>
    <row r="330" spans="1:39" x14ac:dyDescent="0.25">
      <c r="A330" t="s">
        <v>14528</v>
      </c>
      <c r="B330" t="s">
        <v>14529</v>
      </c>
      <c r="C330" t="s">
        <v>448</v>
      </c>
      <c r="D330" s="25" t="s">
        <v>10562</v>
      </c>
      <c r="E330" t="s">
        <v>192</v>
      </c>
      <c r="F330" s="28">
        <v>1</v>
      </c>
      <c r="G330" t="s">
        <v>193</v>
      </c>
      <c r="H330" t="s">
        <v>194</v>
      </c>
      <c r="I330" t="s">
        <v>13303</v>
      </c>
      <c r="J330" t="s">
        <v>9302</v>
      </c>
      <c r="K330" t="s">
        <v>14530</v>
      </c>
      <c r="L330" t="s">
        <v>6290</v>
      </c>
      <c r="M330" t="s">
        <v>14098</v>
      </c>
      <c r="N330" t="s">
        <v>14099</v>
      </c>
      <c r="O330" t="s">
        <v>14100</v>
      </c>
      <c r="P330" t="s">
        <v>14531</v>
      </c>
      <c r="Q330" t="s">
        <v>14532</v>
      </c>
      <c r="S330" t="s">
        <v>9309</v>
      </c>
      <c r="U330" t="s">
        <v>449</v>
      </c>
      <c r="V330" t="s">
        <v>193</v>
      </c>
      <c r="W330" t="s">
        <v>9310</v>
      </c>
      <c r="Z330" t="s">
        <v>9311</v>
      </c>
      <c r="AF330" t="s">
        <v>4714</v>
      </c>
      <c r="AG330" t="s">
        <v>14529</v>
      </c>
      <c r="AI330" t="s">
        <v>6955</v>
      </c>
      <c r="AJ330" s="27" t="str">
        <f t="shared" si="10"/>
        <v>243104</v>
      </c>
      <c r="AK330" s="27">
        <v>1</v>
      </c>
      <c r="AL330" s="27">
        <f t="shared" si="11"/>
        <v>1</v>
      </c>
      <c r="AM330" s="28">
        <v>1</v>
      </c>
    </row>
    <row r="331" spans="1:39" x14ac:dyDescent="0.25">
      <c r="A331" t="s">
        <v>915</v>
      </c>
      <c r="B331" t="s">
        <v>14533</v>
      </c>
      <c r="C331" t="s">
        <v>69</v>
      </c>
      <c r="D331" s="25" t="s">
        <v>10562</v>
      </c>
      <c r="E331" t="s">
        <v>192</v>
      </c>
      <c r="F331" s="28">
        <v>1</v>
      </c>
      <c r="G331" t="s">
        <v>193</v>
      </c>
      <c r="H331" t="s">
        <v>194</v>
      </c>
      <c r="I331" t="s">
        <v>13152</v>
      </c>
      <c r="J331" t="s">
        <v>9302</v>
      </c>
      <c r="K331" t="s">
        <v>14534</v>
      </c>
      <c r="L331" t="s">
        <v>6261</v>
      </c>
      <c r="M331" t="s">
        <v>14098</v>
      </c>
      <c r="N331" t="s">
        <v>14099</v>
      </c>
      <c r="O331" t="s">
        <v>14100</v>
      </c>
      <c r="P331" t="s">
        <v>14535</v>
      </c>
      <c r="Q331" t="s">
        <v>14536</v>
      </c>
      <c r="S331" t="s">
        <v>9309</v>
      </c>
      <c r="U331" t="s">
        <v>375</v>
      </c>
      <c r="V331" t="s">
        <v>193</v>
      </c>
      <c r="W331" t="s">
        <v>9310</v>
      </c>
      <c r="Z331" t="s">
        <v>9311</v>
      </c>
      <c r="AF331" t="s">
        <v>4714</v>
      </c>
      <c r="AG331" t="s">
        <v>14533</v>
      </c>
      <c r="AI331" t="s">
        <v>6955</v>
      </c>
      <c r="AJ331" s="27" t="str">
        <f t="shared" si="10"/>
        <v>215301</v>
      </c>
      <c r="AK331" s="27">
        <v>1</v>
      </c>
      <c r="AL331" s="27">
        <f t="shared" si="11"/>
        <v>1</v>
      </c>
      <c r="AM331" s="28">
        <v>1</v>
      </c>
    </row>
    <row r="332" spans="1:39" x14ac:dyDescent="0.25">
      <c r="A332" t="s">
        <v>915</v>
      </c>
      <c r="B332" t="s">
        <v>1322</v>
      </c>
      <c r="C332" t="s">
        <v>8740</v>
      </c>
      <c r="D332" s="25" t="s">
        <v>10562</v>
      </c>
      <c r="E332" t="s">
        <v>192</v>
      </c>
      <c r="F332" s="28">
        <v>1</v>
      </c>
      <c r="G332" t="s">
        <v>193</v>
      </c>
      <c r="H332" t="s">
        <v>194</v>
      </c>
      <c r="I332" t="s">
        <v>13200</v>
      </c>
      <c r="J332" t="s">
        <v>9302</v>
      </c>
      <c r="K332" t="s">
        <v>14537</v>
      </c>
      <c r="L332" t="s">
        <v>6261</v>
      </c>
      <c r="M332" t="s">
        <v>14538</v>
      </c>
      <c r="N332" t="s">
        <v>14539</v>
      </c>
      <c r="O332" t="s">
        <v>14540</v>
      </c>
      <c r="P332" t="s">
        <v>14541</v>
      </c>
      <c r="Q332" t="s">
        <v>14542</v>
      </c>
      <c r="S332" t="s">
        <v>9309</v>
      </c>
      <c r="U332" t="s">
        <v>8742</v>
      </c>
      <c r="V332" t="s">
        <v>193</v>
      </c>
      <c r="W332" t="s">
        <v>9310</v>
      </c>
      <c r="Z332" t="s">
        <v>9311</v>
      </c>
      <c r="AF332" t="s">
        <v>4714</v>
      </c>
      <c r="AG332" t="s">
        <v>1322</v>
      </c>
      <c r="AI332" t="s">
        <v>6955</v>
      </c>
      <c r="AJ332" s="27" t="str">
        <f t="shared" si="10"/>
        <v>251490</v>
      </c>
      <c r="AK332" s="27">
        <v>1</v>
      </c>
      <c r="AL332" s="27">
        <f t="shared" si="11"/>
        <v>1</v>
      </c>
      <c r="AM332" s="28">
        <v>1</v>
      </c>
    </row>
    <row r="333" spans="1:39" x14ac:dyDescent="0.25">
      <c r="A333" t="s">
        <v>915</v>
      </c>
      <c r="B333" t="s">
        <v>14543</v>
      </c>
      <c r="C333" t="s">
        <v>10</v>
      </c>
      <c r="D333" s="25" t="s">
        <v>10562</v>
      </c>
      <c r="E333" t="s">
        <v>192</v>
      </c>
      <c r="F333" s="28">
        <v>1</v>
      </c>
      <c r="G333" t="s">
        <v>193</v>
      </c>
      <c r="H333" t="s">
        <v>194</v>
      </c>
      <c r="I333" t="s">
        <v>13200</v>
      </c>
      <c r="J333" t="s">
        <v>9302</v>
      </c>
      <c r="K333" t="s">
        <v>14544</v>
      </c>
      <c r="L333" t="s">
        <v>6921</v>
      </c>
      <c r="M333" t="s">
        <v>14538</v>
      </c>
      <c r="N333" t="s">
        <v>14539</v>
      </c>
      <c r="O333" t="s">
        <v>14540</v>
      </c>
      <c r="P333" t="s">
        <v>14545</v>
      </c>
      <c r="Q333" t="s">
        <v>14546</v>
      </c>
      <c r="S333" t="s">
        <v>9309</v>
      </c>
      <c r="U333" t="s">
        <v>484</v>
      </c>
      <c r="V333" t="s">
        <v>193</v>
      </c>
      <c r="W333" t="s">
        <v>9310</v>
      </c>
      <c r="Z333" t="s">
        <v>9311</v>
      </c>
      <c r="AF333" t="s">
        <v>4714</v>
      </c>
      <c r="AG333" t="s">
        <v>14543</v>
      </c>
      <c r="AI333" t="s">
        <v>6955</v>
      </c>
      <c r="AJ333" s="27" t="str">
        <f t="shared" si="10"/>
        <v>251401</v>
      </c>
      <c r="AK333" s="27">
        <v>1</v>
      </c>
      <c r="AL333" s="27">
        <f t="shared" si="11"/>
        <v>1</v>
      </c>
      <c r="AM333" s="28">
        <v>1</v>
      </c>
    </row>
    <row r="334" spans="1:39" x14ac:dyDescent="0.25">
      <c r="A334" t="s">
        <v>14547</v>
      </c>
      <c r="B334" t="s">
        <v>14548</v>
      </c>
      <c r="C334" t="s">
        <v>17</v>
      </c>
      <c r="D334" s="25" t="s">
        <v>10562</v>
      </c>
      <c r="E334" t="s">
        <v>192</v>
      </c>
      <c r="F334" s="28">
        <v>1</v>
      </c>
      <c r="G334" t="s">
        <v>193</v>
      </c>
      <c r="H334" t="s">
        <v>194</v>
      </c>
      <c r="I334" t="s">
        <v>13303</v>
      </c>
      <c r="J334" t="s">
        <v>9302</v>
      </c>
      <c r="K334" t="s">
        <v>14549</v>
      </c>
      <c r="L334" t="s">
        <v>6374</v>
      </c>
      <c r="M334" t="s">
        <v>14098</v>
      </c>
      <c r="N334" t="s">
        <v>14099</v>
      </c>
      <c r="O334" t="s">
        <v>14100</v>
      </c>
      <c r="P334" t="s">
        <v>14550</v>
      </c>
      <c r="Q334" t="s">
        <v>14551</v>
      </c>
      <c r="S334" t="s">
        <v>9309</v>
      </c>
      <c r="U334" t="s">
        <v>624</v>
      </c>
      <c r="V334" t="s">
        <v>193</v>
      </c>
      <c r="W334" t="s">
        <v>9310</v>
      </c>
      <c r="Z334" t="s">
        <v>9311</v>
      </c>
      <c r="AF334" t="s">
        <v>4714</v>
      </c>
      <c r="AG334" t="s">
        <v>14548</v>
      </c>
      <c r="AI334" t="s">
        <v>6955</v>
      </c>
      <c r="AJ334" s="27" t="str">
        <f t="shared" si="10"/>
        <v>332203</v>
      </c>
      <c r="AK334" s="27">
        <v>1</v>
      </c>
      <c r="AL334" s="27">
        <f t="shared" si="11"/>
        <v>1</v>
      </c>
      <c r="AM334" s="28">
        <v>1</v>
      </c>
    </row>
    <row r="335" spans="1:39" x14ac:dyDescent="0.25">
      <c r="A335" t="s">
        <v>8231</v>
      </c>
      <c r="B335" t="s">
        <v>14552</v>
      </c>
      <c r="C335" t="s">
        <v>319</v>
      </c>
      <c r="D335" s="25" t="s">
        <v>10562</v>
      </c>
      <c r="E335" t="s">
        <v>192</v>
      </c>
      <c r="F335" s="28">
        <v>1</v>
      </c>
      <c r="G335" t="s">
        <v>193</v>
      </c>
      <c r="H335" t="s">
        <v>194</v>
      </c>
      <c r="I335" t="s">
        <v>13303</v>
      </c>
      <c r="J335" t="s">
        <v>223</v>
      </c>
      <c r="K335" t="s">
        <v>14553</v>
      </c>
      <c r="L335" t="s">
        <v>6245</v>
      </c>
      <c r="M335" t="s">
        <v>14098</v>
      </c>
      <c r="N335" t="s">
        <v>14099</v>
      </c>
      <c r="O335" t="s">
        <v>14100</v>
      </c>
      <c r="P335" t="s">
        <v>14554</v>
      </c>
      <c r="Q335" t="s">
        <v>14555</v>
      </c>
      <c r="S335" t="s">
        <v>9309</v>
      </c>
      <c r="T335" t="s">
        <v>11163</v>
      </c>
      <c r="U335" t="s">
        <v>320</v>
      </c>
      <c r="V335" t="s">
        <v>194</v>
      </c>
      <c r="W335" t="s">
        <v>9300</v>
      </c>
      <c r="Z335" t="s">
        <v>9311</v>
      </c>
      <c r="AF335" t="s">
        <v>4714</v>
      </c>
      <c r="AG335" t="s">
        <v>14552</v>
      </c>
      <c r="AI335" t="s">
        <v>6955</v>
      </c>
      <c r="AJ335" s="27" t="str">
        <f t="shared" si="10"/>
        <v>214407</v>
      </c>
      <c r="AK335" s="27">
        <v>1</v>
      </c>
      <c r="AL335" s="27">
        <f t="shared" si="11"/>
        <v>1</v>
      </c>
      <c r="AM335" s="28">
        <v>1</v>
      </c>
    </row>
    <row r="336" spans="1:39" x14ac:dyDescent="0.25">
      <c r="A336" t="s">
        <v>8231</v>
      </c>
      <c r="B336" t="s">
        <v>14556</v>
      </c>
      <c r="C336" t="s">
        <v>574</v>
      </c>
      <c r="D336" s="25" t="s">
        <v>10562</v>
      </c>
      <c r="E336" t="s">
        <v>192</v>
      </c>
      <c r="F336" s="28">
        <v>1</v>
      </c>
      <c r="G336" t="s">
        <v>193</v>
      </c>
      <c r="H336" t="s">
        <v>194</v>
      </c>
      <c r="I336" t="s">
        <v>13303</v>
      </c>
      <c r="J336" t="s">
        <v>223</v>
      </c>
      <c r="K336" t="s">
        <v>14557</v>
      </c>
      <c r="L336" t="s">
        <v>6245</v>
      </c>
      <c r="M336" t="s">
        <v>14098</v>
      </c>
      <c r="N336" t="s">
        <v>14099</v>
      </c>
      <c r="O336" t="s">
        <v>14100</v>
      </c>
      <c r="P336" t="s">
        <v>14558</v>
      </c>
      <c r="Q336" t="s">
        <v>14559</v>
      </c>
      <c r="S336" t="s">
        <v>9309</v>
      </c>
      <c r="T336" t="s">
        <v>11163</v>
      </c>
      <c r="U336" t="s">
        <v>576</v>
      </c>
      <c r="V336" t="s">
        <v>194</v>
      </c>
      <c r="W336" t="s">
        <v>9300</v>
      </c>
      <c r="Z336" t="s">
        <v>9311</v>
      </c>
      <c r="AF336" t="s">
        <v>4714</v>
      </c>
      <c r="AG336" t="s">
        <v>14556</v>
      </c>
      <c r="AI336" t="s">
        <v>6955</v>
      </c>
      <c r="AJ336" s="27" t="str">
        <f t="shared" si="10"/>
        <v>311509</v>
      </c>
      <c r="AK336" s="27">
        <v>1</v>
      </c>
      <c r="AL336" s="27">
        <f t="shared" si="11"/>
        <v>1</v>
      </c>
      <c r="AM336" s="28">
        <v>1</v>
      </c>
    </row>
    <row r="337" spans="1:39" x14ac:dyDescent="0.25">
      <c r="A337" t="s">
        <v>8231</v>
      </c>
      <c r="B337" t="s">
        <v>14560</v>
      </c>
      <c r="C337" t="s">
        <v>118</v>
      </c>
      <c r="D337" s="25" t="s">
        <v>10562</v>
      </c>
      <c r="E337" t="s">
        <v>192</v>
      </c>
      <c r="F337" s="28">
        <v>1</v>
      </c>
      <c r="G337" t="s">
        <v>193</v>
      </c>
      <c r="H337" t="s">
        <v>194</v>
      </c>
      <c r="I337" t="s">
        <v>13164</v>
      </c>
      <c r="J337" t="s">
        <v>223</v>
      </c>
      <c r="K337" t="s">
        <v>14561</v>
      </c>
      <c r="L337" t="s">
        <v>6245</v>
      </c>
      <c r="M337" t="s">
        <v>14098</v>
      </c>
      <c r="N337" t="s">
        <v>14099</v>
      </c>
      <c r="O337" t="s">
        <v>14100</v>
      </c>
      <c r="P337" t="s">
        <v>14562</v>
      </c>
      <c r="Q337" t="s">
        <v>14563</v>
      </c>
      <c r="S337" t="s">
        <v>9309</v>
      </c>
      <c r="T337" t="s">
        <v>11163</v>
      </c>
      <c r="U337" t="s">
        <v>277</v>
      </c>
      <c r="V337" t="s">
        <v>194</v>
      </c>
      <c r="W337" t="s">
        <v>9300</v>
      </c>
      <c r="Z337" t="s">
        <v>9311</v>
      </c>
      <c r="AF337" t="s">
        <v>4714</v>
      </c>
      <c r="AG337" t="s">
        <v>14560</v>
      </c>
      <c r="AI337" t="s">
        <v>6955</v>
      </c>
      <c r="AJ337" s="27" t="str">
        <f t="shared" si="10"/>
        <v>211302</v>
      </c>
      <c r="AK337" s="27">
        <v>1</v>
      </c>
      <c r="AL337" s="27">
        <f t="shared" si="11"/>
        <v>1</v>
      </c>
      <c r="AM337" s="28">
        <v>1</v>
      </c>
    </row>
    <row r="338" spans="1:39" x14ac:dyDescent="0.25">
      <c r="A338" t="s">
        <v>14564</v>
      </c>
      <c r="B338" t="s">
        <v>14565</v>
      </c>
      <c r="C338" t="s">
        <v>17</v>
      </c>
      <c r="D338" s="25" t="s">
        <v>10562</v>
      </c>
      <c r="E338" t="s">
        <v>192</v>
      </c>
      <c r="F338" s="28">
        <v>1</v>
      </c>
      <c r="G338" t="s">
        <v>193</v>
      </c>
      <c r="H338" t="s">
        <v>194</v>
      </c>
      <c r="I338" t="s">
        <v>13152</v>
      </c>
      <c r="J338" t="s">
        <v>9302</v>
      </c>
      <c r="K338" t="s">
        <v>14566</v>
      </c>
      <c r="L338" t="s">
        <v>6288</v>
      </c>
      <c r="M338" t="s">
        <v>14098</v>
      </c>
      <c r="N338" t="s">
        <v>14099</v>
      </c>
      <c r="O338" t="s">
        <v>14100</v>
      </c>
      <c r="P338" t="s">
        <v>14567</v>
      </c>
      <c r="Q338" t="s">
        <v>14568</v>
      </c>
      <c r="S338" t="s">
        <v>9309</v>
      </c>
      <c r="U338" t="s">
        <v>624</v>
      </c>
      <c r="V338" t="s">
        <v>193</v>
      </c>
      <c r="W338" t="s">
        <v>9310</v>
      </c>
      <c r="Z338" t="s">
        <v>9311</v>
      </c>
      <c r="AF338" t="s">
        <v>4714</v>
      </c>
      <c r="AG338" t="s">
        <v>14565</v>
      </c>
      <c r="AI338" t="s">
        <v>6955</v>
      </c>
      <c r="AJ338" s="27" t="str">
        <f t="shared" si="10"/>
        <v>332203</v>
      </c>
      <c r="AK338" s="27">
        <v>1</v>
      </c>
      <c r="AL338" s="27">
        <f t="shared" si="11"/>
        <v>1</v>
      </c>
      <c r="AM338" s="28">
        <v>1</v>
      </c>
    </row>
    <row r="339" spans="1:39" x14ac:dyDescent="0.25">
      <c r="A339" t="s">
        <v>14569</v>
      </c>
      <c r="B339" t="s">
        <v>14570</v>
      </c>
      <c r="C339" t="s">
        <v>14571</v>
      </c>
      <c r="D339" s="25" t="s">
        <v>10562</v>
      </c>
      <c r="E339" t="s">
        <v>192</v>
      </c>
      <c r="F339" s="28">
        <v>1</v>
      </c>
      <c r="G339" t="s">
        <v>193</v>
      </c>
      <c r="H339" t="s">
        <v>194</v>
      </c>
      <c r="I339" t="s">
        <v>13303</v>
      </c>
      <c r="J339" t="s">
        <v>9302</v>
      </c>
      <c r="K339" t="s">
        <v>14572</v>
      </c>
      <c r="L339" t="s">
        <v>7531</v>
      </c>
      <c r="M339" t="s">
        <v>14098</v>
      </c>
      <c r="N339" t="s">
        <v>14099</v>
      </c>
      <c r="O339" t="s">
        <v>14100</v>
      </c>
      <c r="P339" t="s">
        <v>14573</v>
      </c>
      <c r="Q339" t="s">
        <v>14574</v>
      </c>
      <c r="S339" t="s">
        <v>9309</v>
      </c>
      <c r="U339" t="s">
        <v>14575</v>
      </c>
      <c r="V339" t="s">
        <v>193</v>
      </c>
      <c r="W339" t="s">
        <v>9310</v>
      </c>
      <c r="Z339" t="s">
        <v>9311</v>
      </c>
      <c r="AF339" t="s">
        <v>4714</v>
      </c>
      <c r="AG339" t="s">
        <v>14570</v>
      </c>
      <c r="AI339" t="s">
        <v>6955</v>
      </c>
      <c r="AJ339" s="27" t="str">
        <f t="shared" si="10"/>
        <v>231003</v>
      </c>
      <c r="AK339" s="27">
        <v>1</v>
      </c>
      <c r="AL339" s="27">
        <f t="shared" si="11"/>
        <v>1</v>
      </c>
      <c r="AM339" s="28">
        <v>1</v>
      </c>
    </row>
    <row r="340" spans="1:39" x14ac:dyDescent="0.25">
      <c r="A340" t="s">
        <v>14576</v>
      </c>
      <c r="B340" t="s">
        <v>2333</v>
      </c>
      <c r="C340" t="s">
        <v>17</v>
      </c>
      <c r="D340" s="25" t="s">
        <v>10562</v>
      </c>
      <c r="E340" t="s">
        <v>192</v>
      </c>
      <c r="F340" s="28">
        <v>1</v>
      </c>
      <c r="G340" t="s">
        <v>193</v>
      </c>
      <c r="H340" t="s">
        <v>194</v>
      </c>
      <c r="I340" t="s">
        <v>13152</v>
      </c>
      <c r="J340" t="s">
        <v>9302</v>
      </c>
      <c r="K340" t="s">
        <v>14577</v>
      </c>
      <c r="L340" t="s">
        <v>6288</v>
      </c>
      <c r="M340" t="s">
        <v>14098</v>
      </c>
      <c r="N340" t="s">
        <v>14099</v>
      </c>
      <c r="O340" t="s">
        <v>14100</v>
      </c>
      <c r="P340" t="s">
        <v>14578</v>
      </c>
      <c r="Q340" t="s">
        <v>14579</v>
      </c>
      <c r="S340" t="s">
        <v>9309</v>
      </c>
      <c r="U340" t="s">
        <v>624</v>
      </c>
      <c r="V340" t="s">
        <v>193</v>
      </c>
      <c r="W340" t="s">
        <v>9310</v>
      </c>
      <c r="Z340" t="s">
        <v>9311</v>
      </c>
      <c r="AF340" t="s">
        <v>4714</v>
      </c>
      <c r="AG340" t="s">
        <v>2333</v>
      </c>
      <c r="AI340" t="s">
        <v>6955</v>
      </c>
      <c r="AJ340" s="27" t="str">
        <f t="shared" si="10"/>
        <v>332203</v>
      </c>
      <c r="AK340" s="27">
        <v>1</v>
      </c>
      <c r="AL340" s="27">
        <f t="shared" si="11"/>
        <v>1</v>
      </c>
      <c r="AM340" s="28">
        <v>1</v>
      </c>
    </row>
    <row r="341" spans="1:39" x14ac:dyDescent="0.25">
      <c r="A341" t="s">
        <v>14580</v>
      </c>
      <c r="B341" t="s">
        <v>14581</v>
      </c>
      <c r="C341" t="s">
        <v>706</v>
      </c>
      <c r="D341" s="25" t="s">
        <v>10562</v>
      </c>
      <c r="E341" t="s">
        <v>192</v>
      </c>
      <c r="F341" s="28">
        <v>1</v>
      </c>
      <c r="G341" t="s">
        <v>193</v>
      </c>
      <c r="H341" t="s">
        <v>194</v>
      </c>
      <c r="I341" t="s">
        <v>13303</v>
      </c>
      <c r="J341" t="s">
        <v>9302</v>
      </c>
      <c r="K341" t="s">
        <v>14582</v>
      </c>
      <c r="L341" t="s">
        <v>6251</v>
      </c>
      <c r="M341" t="s">
        <v>14098</v>
      </c>
      <c r="N341" t="s">
        <v>14099</v>
      </c>
      <c r="O341" t="s">
        <v>14100</v>
      </c>
      <c r="P341" t="s">
        <v>14583</v>
      </c>
      <c r="Q341" t="s">
        <v>14584</v>
      </c>
      <c r="S341" t="s">
        <v>9309</v>
      </c>
      <c r="U341" t="s">
        <v>707</v>
      </c>
      <c r="V341" t="s">
        <v>193</v>
      </c>
      <c r="W341" t="s">
        <v>9310</v>
      </c>
      <c r="Z341" t="s">
        <v>9311</v>
      </c>
      <c r="AF341" t="s">
        <v>4714</v>
      </c>
      <c r="AG341" t="s">
        <v>14581</v>
      </c>
      <c r="AI341" t="s">
        <v>6955</v>
      </c>
      <c r="AJ341" s="27" t="str">
        <f t="shared" si="10"/>
        <v>422201</v>
      </c>
      <c r="AK341" s="27">
        <v>1</v>
      </c>
      <c r="AL341" s="27">
        <f t="shared" si="11"/>
        <v>1</v>
      </c>
      <c r="AM341" s="28">
        <v>1</v>
      </c>
    </row>
    <row r="342" spans="1:39" x14ac:dyDescent="0.25">
      <c r="A342" t="s">
        <v>491</v>
      </c>
      <c r="B342" t="s">
        <v>8075</v>
      </c>
      <c r="C342" t="s">
        <v>10</v>
      </c>
      <c r="D342" s="25" t="s">
        <v>10562</v>
      </c>
      <c r="E342" t="s">
        <v>192</v>
      </c>
      <c r="F342" s="28">
        <v>1</v>
      </c>
      <c r="G342" t="s">
        <v>193</v>
      </c>
      <c r="H342" t="s">
        <v>194</v>
      </c>
      <c r="I342" t="s">
        <v>13111</v>
      </c>
      <c r="J342" t="s">
        <v>210</v>
      </c>
      <c r="K342" t="s">
        <v>14585</v>
      </c>
      <c r="L342" t="s">
        <v>6261</v>
      </c>
      <c r="M342" t="s">
        <v>14098</v>
      </c>
      <c r="N342" t="s">
        <v>14099</v>
      </c>
      <c r="O342" t="s">
        <v>14100</v>
      </c>
      <c r="P342" t="s">
        <v>14586</v>
      </c>
      <c r="Q342" t="s">
        <v>14587</v>
      </c>
      <c r="S342" t="s">
        <v>9309</v>
      </c>
      <c r="T342" t="s">
        <v>9334</v>
      </c>
      <c r="U342" t="s">
        <v>484</v>
      </c>
      <c r="V342" t="s">
        <v>194</v>
      </c>
      <c r="W342" t="s">
        <v>9300</v>
      </c>
      <c r="Z342" t="s">
        <v>9311</v>
      </c>
      <c r="AF342" t="s">
        <v>4714</v>
      </c>
      <c r="AG342" t="s">
        <v>8075</v>
      </c>
      <c r="AI342" t="s">
        <v>6955</v>
      </c>
      <c r="AJ342" s="27" t="str">
        <f t="shared" si="10"/>
        <v>251401</v>
      </c>
      <c r="AK342" s="27">
        <v>1</v>
      </c>
      <c r="AL342" s="27">
        <f t="shared" si="11"/>
        <v>1</v>
      </c>
      <c r="AM342" s="28">
        <v>1</v>
      </c>
    </row>
    <row r="343" spans="1:39" x14ac:dyDescent="0.25">
      <c r="A343" t="s">
        <v>4959</v>
      </c>
      <c r="B343" t="s">
        <v>1520</v>
      </c>
      <c r="C343" t="s">
        <v>3865</v>
      </c>
      <c r="D343" s="25" t="s">
        <v>10562</v>
      </c>
      <c r="E343" t="s">
        <v>233</v>
      </c>
      <c r="F343" s="28">
        <v>1</v>
      </c>
      <c r="G343" t="s">
        <v>193</v>
      </c>
      <c r="H343" t="s">
        <v>194</v>
      </c>
      <c r="I343" t="s">
        <v>13200</v>
      </c>
      <c r="J343" t="s">
        <v>210</v>
      </c>
      <c r="K343" t="s">
        <v>14588</v>
      </c>
      <c r="L343" t="s">
        <v>6306</v>
      </c>
      <c r="M343" t="s">
        <v>14397</v>
      </c>
      <c r="N343" t="s">
        <v>11608</v>
      </c>
      <c r="O343" t="s">
        <v>10546</v>
      </c>
      <c r="P343" t="s">
        <v>14589</v>
      </c>
      <c r="Q343" t="s">
        <v>14590</v>
      </c>
      <c r="S343" t="s">
        <v>9309</v>
      </c>
      <c r="T343" t="s">
        <v>9334</v>
      </c>
      <c r="U343" t="s">
        <v>3866</v>
      </c>
      <c r="V343" t="s">
        <v>194</v>
      </c>
      <c r="W343" t="s">
        <v>9300</v>
      </c>
      <c r="Z343" t="s">
        <v>9311</v>
      </c>
      <c r="AF343" t="s">
        <v>4714</v>
      </c>
      <c r="AG343" t="s">
        <v>1520</v>
      </c>
      <c r="AI343" t="s">
        <v>6955</v>
      </c>
      <c r="AJ343" s="27" t="str">
        <f t="shared" si="10"/>
        <v>212004</v>
      </c>
      <c r="AK343" s="27">
        <v>1</v>
      </c>
      <c r="AL343" s="27">
        <f t="shared" si="11"/>
        <v>1</v>
      </c>
      <c r="AM343" s="28">
        <v>1</v>
      </c>
    </row>
    <row r="344" spans="1:39" x14ac:dyDescent="0.25">
      <c r="A344" t="s">
        <v>14591</v>
      </c>
      <c r="B344" t="s">
        <v>604</v>
      </c>
      <c r="C344" t="s">
        <v>604</v>
      </c>
      <c r="D344" s="25" t="s">
        <v>10562</v>
      </c>
      <c r="E344" t="s">
        <v>192</v>
      </c>
      <c r="F344" s="28">
        <v>1</v>
      </c>
      <c r="G344" t="s">
        <v>193</v>
      </c>
      <c r="H344" t="s">
        <v>194</v>
      </c>
      <c r="I344" t="s">
        <v>13160</v>
      </c>
      <c r="J344" t="s">
        <v>253</v>
      </c>
      <c r="K344" t="s">
        <v>14592</v>
      </c>
      <c r="L344" t="s">
        <v>6288</v>
      </c>
      <c r="M344" t="s">
        <v>14098</v>
      </c>
      <c r="N344" t="s">
        <v>14099</v>
      </c>
      <c r="O344" t="s">
        <v>14100</v>
      </c>
      <c r="P344" t="s">
        <v>14593</v>
      </c>
      <c r="Q344" t="s">
        <v>14594</v>
      </c>
      <c r="S344" t="s">
        <v>9309</v>
      </c>
      <c r="T344" t="s">
        <v>9468</v>
      </c>
      <c r="U344" t="s">
        <v>605</v>
      </c>
      <c r="V344" t="s">
        <v>194</v>
      </c>
      <c r="W344" t="s">
        <v>9300</v>
      </c>
      <c r="Z344" t="s">
        <v>9311</v>
      </c>
      <c r="AF344" t="s">
        <v>4714</v>
      </c>
      <c r="AG344" t="s">
        <v>604</v>
      </c>
      <c r="AI344" t="s">
        <v>6955</v>
      </c>
      <c r="AJ344" s="27" t="str">
        <f t="shared" si="10"/>
        <v>322001</v>
      </c>
      <c r="AK344" s="27">
        <v>1</v>
      </c>
      <c r="AL344" s="27">
        <f t="shared" si="11"/>
        <v>1</v>
      </c>
      <c r="AM344" s="28">
        <v>1</v>
      </c>
    </row>
    <row r="345" spans="1:39" x14ac:dyDescent="0.25">
      <c r="A345" t="s">
        <v>14591</v>
      </c>
      <c r="B345" t="s">
        <v>604</v>
      </c>
      <c r="C345" t="s">
        <v>604</v>
      </c>
      <c r="D345" s="25" t="s">
        <v>10562</v>
      </c>
      <c r="E345" t="s">
        <v>192</v>
      </c>
      <c r="F345" s="28">
        <v>1</v>
      </c>
      <c r="G345" t="s">
        <v>193</v>
      </c>
      <c r="H345" t="s">
        <v>194</v>
      </c>
      <c r="I345" t="s">
        <v>13160</v>
      </c>
      <c r="J345" t="s">
        <v>385</v>
      </c>
      <c r="K345" t="s">
        <v>14595</v>
      </c>
      <c r="L345" t="s">
        <v>6288</v>
      </c>
      <c r="M345" t="s">
        <v>14098</v>
      </c>
      <c r="N345" t="s">
        <v>14099</v>
      </c>
      <c r="O345" t="s">
        <v>14100</v>
      </c>
      <c r="P345" t="s">
        <v>14596</v>
      </c>
      <c r="Q345" t="s">
        <v>14597</v>
      </c>
      <c r="S345" t="s">
        <v>9309</v>
      </c>
      <c r="T345" t="s">
        <v>9410</v>
      </c>
      <c r="U345" t="s">
        <v>605</v>
      </c>
      <c r="V345" t="s">
        <v>194</v>
      </c>
      <c r="W345" t="s">
        <v>9300</v>
      </c>
      <c r="Z345" t="s">
        <v>9311</v>
      </c>
      <c r="AF345" t="s">
        <v>4714</v>
      </c>
      <c r="AG345" t="s">
        <v>604</v>
      </c>
      <c r="AI345" t="s">
        <v>6955</v>
      </c>
      <c r="AJ345" s="27" t="str">
        <f t="shared" si="10"/>
        <v>322001</v>
      </c>
      <c r="AK345" s="27">
        <v>1</v>
      </c>
      <c r="AL345" s="27">
        <f t="shared" si="11"/>
        <v>1</v>
      </c>
      <c r="AM345" s="28">
        <v>1</v>
      </c>
    </row>
    <row r="346" spans="1:39" x14ac:dyDescent="0.25">
      <c r="A346" t="s">
        <v>14598</v>
      </c>
      <c r="B346" t="s">
        <v>5016</v>
      </c>
      <c r="C346" t="s">
        <v>17</v>
      </c>
      <c r="D346" s="25" t="s">
        <v>10562</v>
      </c>
      <c r="E346" t="s">
        <v>192</v>
      </c>
      <c r="F346" s="28">
        <v>1</v>
      </c>
      <c r="G346" t="s">
        <v>193</v>
      </c>
      <c r="H346" t="s">
        <v>194</v>
      </c>
      <c r="I346" t="s">
        <v>13152</v>
      </c>
      <c r="J346" t="s">
        <v>9302</v>
      </c>
      <c r="K346" t="s">
        <v>14599</v>
      </c>
      <c r="L346" t="s">
        <v>6245</v>
      </c>
      <c r="M346" t="s">
        <v>14098</v>
      </c>
      <c r="N346" t="s">
        <v>14099</v>
      </c>
      <c r="O346" t="s">
        <v>14100</v>
      </c>
      <c r="P346" t="s">
        <v>14600</v>
      </c>
      <c r="Q346" t="s">
        <v>14601</v>
      </c>
      <c r="S346" t="s">
        <v>9309</v>
      </c>
      <c r="U346" t="s">
        <v>624</v>
      </c>
      <c r="V346" t="s">
        <v>193</v>
      </c>
      <c r="W346" t="s">
        <v>9310</v>
      </c>
      <c r="Z346" t="s">
        <v>9311</v>
      </c>
      <c r="AF346" t="s">
        <v>4714</v>
      </c>
      <c r="AG346" t="s">
        <v>5016</v>
      </c>
      <c r="AI346" t="s">
        <v>6955</v>
      </c>
      <c r="AJ346" s="27" t="str">
        <f t="shared" si="10"/>
        <v>332203</v>
      </c>
      <c r="AK346" s="27">
        <v>1</v>
      </c>
      <c r="AL346" s="27">
        <f t="shared" si="11"/>
        <v>1</v>
      </c>
      <c r="AM346" s="28">
        <v>1</v>
      </c>
    </row>
    <row r="347" spans="1:39" x14ac:dyDescent="0.25">
      <c r="A347" t="s">
        <v>14602</v>
      </c>
      <c r="B347" t="s">
        <v>1768</v>
      </c>
      <c r="C347" t="s">
        <v>420</v>
      </c>
      <c r="D347" s="25" t="s">
        <v>10562</v>
      </c>
      <c r="E347" t="s">
        <v>192</v>
      </c>
      <c r="F347" s="28">
        <v>1</v>
      </c>
      <c r="G347" t="s">
        <v>193</v>
      </c>
      <c r="H347" t="s">
        <v>194</v>
      </c>
      <c r="I347" t="s">
        <v>13160</v>
      </c>
      <c r="J347" t="s">
        <v>253</v>
      </c>
      <c r="K347" t="s">
        <v>14603</v>
      </c>
      <c r="L347" t="s">
        <v>7531</v>
      </c>
      <c r="M347" t="s">
        <v>14098</v>
      </c>
      <c r="N347" t="s">
        <v>14099</v>
      </c>
      <c r="O347" t="s">
        <v>14100</v>
      </c>
      <c r="P347" t="s">
        <v>14604</v>
      </c>
      <c r="Q347" t="s">
        <v>14605</v>
      </c>
      <c r="S347" t="s">
        <v>9309</v>
      </c>
      <c r="T347" t="s">
        <v>9468</v>
      </c>
      <c r="U347" t="s">
        <v>421</v>
      </c>
      <c r="V347" t="s">
        <v>194</v>
      </c>
      <c r="W347" t="s">
        <v>9300</v>
      </c>
      <c r="Z347" t="s">
        <v>9311</v>
      </c>
      <c r="AF347" t="s">
        <v>4714</v>
      </c>
      <c r="AG347" t="s">
        <v>1768</v>
      </c>
      <c r="AI347" t="s">
        <v>6955</v>
      </c>
      <c r="AJ347" s="27" t="str">
        <f t="shared" si="10"/>
        <v>241306</v>
      </c>
      <c r="AK347" s="27">
        <v>1</v>
      </c>
      <c r="AL347" s="27">
        <f t="shared" si="11"/>
        <v>1</v>
      </c>
      <c r="AM347" s="28">
        <v>1</v>
      </c>
    </row>
    <row r="348" spans="1:39" x14ac:dyDescent="0.25">
      <c r="A348" t="s">
        <v>14606</v>
      </c>
      <c r="B348" t="s">
        <v>5461</v>
      </c>
      <c r="C348" t="s">
        <v>2800</v>
      </c>
      <c r="D348" s="25" t="s">
        <v>10562</v>
      </c>
      <c r="E348" t="s">
        <v>192</v>
      </c>
      <c r="F348" s="28">
        <v>1</v>
      </c>
      <c r="G348" t="s">
        <v>193</v>
      </c>
      <c r="H348" t="s">
        <v>194</v>
      </c>
      <c r="I348" t="s">
        <v>13303</v>
      </c>
      <c r="J348" t="s">
        <v>9302</v>
      </c>
      <c r="K348" t="s">
        <v>14607</v>
      </c>
      <c r="L348" t="s">
        <v>6324</v>
      </c>
      <c r="M348" t="s">
        <v>14098</v>
      </c>
      <c r="N348" t="s">
        <v>14099</v>
      </c>
      <c r="O348" t="s">
        <v>14100</v>
      </c>
      <c r="P348" t="s">
        <v>14608</v>
      </c>
      <c r="Q348" t="s">
        <v>14609</v>
      </c>
      <c r="S348" t="s">
        <v>9309</v>
      </c>
      <c r="U348" t="s">
        <v>8460</v>
      </c>
      <c r="V348" t="s">
        <v>193</v>
      </c>
      <c r="W348" t="s">
        <v>9310</v>
      </c>
      <c r="Z348" t="s">
        <v>9311</v>
      </c>
      <c r="AF348" t="s">
        <v>4714</v>
      </c>
      <c r="AG348" t="s">
        <v>5461</v>
      </c>
      <c r="AI348" t="s">
        <v>6955</v>
      </c>
      <c r="AJ348" s="27" t="str">
        <f t="shared" si="10"/>
        <v>214201</v>
      </c>
      <c r="AK348" s="27">
        <v>1</v>
      </c>
      <c r="AL348" s="27">
        <f t="shared" si="11"/>
        <v>1</v>
      </c>
      <c r="AM348" s="28">
        <v>1</v>
      </c>
    </row>
    <row r="349" spans="1:39" x14ac:dyDescent="0.25">
      <c r="A349" t="s">
        <v>14610</v>
      </c>
      <c r="B349" t="s">
        <v>14611</v>
      </c>
      <c r="C349" t="s">
        <v>14612</v>
      </c>
      <c r="D349" s="25" t="s">
        <v>10562</v>
      </c>
      <c r="E349" t="s">
        <v>192</v>
      </c>
      <c r="F349" s="28">
        <v>1</v>
      </c>
      <c r="G349" t="s">
        <v>193</v>
      </c>
      <c r="H349" t="s">
        <v>194</v>
      </c>
      <c r="I349" t="s">
        <v>13152</v>
      </c>
      <c r="J349" t="s">
        <v>9302</v>
      </c>
      <c r="K349" t="s">
        <v>14613</v>
      </c>
      <c r="L349" t="s">
        <v>8003</v>
      </c>
      <c r="M349" t="s">
        <v>14098</v>
      </c>
      <c r="N349" t="s">
        <v>14099</v>
      </c>
      <c r="O349" t="s">
        <v>14100</v>
      </c>
      <c r="P349" t="s">
        <v>14614</v>
      </c>
      <c r="Q349" t="s">
        <v>14615</v>
      </c>
      <c r="S349" t="s">
        <v>9309</v>
      </c>
      <c r="U349" t="s">
        <v>14616</v>
      </c>
      <c r="V349" t="s">
        <v>193</v>
      </c>
      <c r="W349" t="s">
        <v>9310</v>
      </c>
      <c r="Z349" t="s">
        <v>9311</v>
      </c>
      <c r="AF349" t="s">
        <v>4714</v>
      </c>
      <c r="AG349" t="s">
        <v>14611</v>
      </c>
      <c r="AI349" t="s">
        <v>6955</v>
      </c>
      <c r="AJ349" s="27" t="str">
        <f t="shared" si="10"/>
        <v>611104</v>
      </c>
      <c r="AK349" s="27">
        <v>1</v>
      </c>
      <c r="AL349" s="27">
        <f t="shared" si="11"/>
        <v>1</v>
      </c>
      <c r="AM349" s="28">
        <v>1</v>
      </c>
    </row>
    <row r="350" spans="1:39" x14ac:dyDescent="0.25">
      <c r="A350" t="s">
        <v>14617</v>
      </c>
      <c r="B350" t="s">
        <v>14618</v>
      </c>
      <c r="C350" t="s">
        <v>778</v>
      </c>
      <c r="D350" s="25" t="s">
        <v>10562</v>
      </c>
      <c r="E350" t="s">
        <v>192</v>
      </c>
      <c r="F350" s="28">
        <v>1</v>
      </c>
      <c r="G350" t="s">
        <v>193</v>
      </c>
      <c r="H350" t="s">
        <v>194</v>
      </c>
      <c r="I350" t="s">
        <v>13152</v>
      </c>
      <c r="J350" t="s">
        <v>210</v>
      </c>
      <c r="K350" t="s">
        <v>14619</v>
      </c>
      <c r="L350" t="s">
        <v>6251</v>
      </c>
      <c r="M350" t="s">
        <v>14098</v>
      </c>
      <c r="N350" t="s">
        <v>14099</v>
      </c>
      <c r="O350" t="s">
        <v>14100</v>
      </c>
      <c r="P350" t="s">
        <v>14620</v>
      </c>
      <c r="Q350" t="s">
        <v>14621</v>
      </c>
      <c r="S350" t="s">
        <v>9309</v>
      </c>
      <c r="T350" t="s">
        <v>9334</v>
      </c>
      <c r="U350" t="s">
        <v>779</v>
      </c>
      <c r="V350" t="s">
        <v>194</v>
      </c>
      <c r="W350" t="s">
        <v>9300</v>
      </c>
      <c r="Z350" t="s">
        <v>9311</v>
      </c>
      <c r="AF350" t="s">
        <v>4714</v>
      </c>
      <c r="AG350" t="s">
        <v>14618</v>
      </c>
      <c r="AI350" t="s">
        <v>6955</v>
      </c>
      <c r="AJ350" s="27" t="str">
        <f t="shared" si="10"/>
        <v>524902</v>
      </c>
      <c r="AK350" s="27">
        <v>1</v>
      </c>
      <c r="AL350" s="27">
        <f t="shared" si="11"/>
        <v>1</v>
      </c>
      <c r="AM350" s="28">
        <v>1</v>
      </c>
    </row>
    <row r="351" spans="1:39" x14ac:dyDescent="0.25">
      <c r="A351" t="s">
        <v>12859</v>
      </c>
      <c r="B351" t="s">
        <v>632</v>
      </c>
      <c r="C351" t="s">
        <v>17</v>
      </c>
      <c r="D351" s="25" t="s">
        <v>10562</v>
      </c>
      <c r="E351" t="s">
        <v>192</v>
      </c>
      <c r="F351" s="28">
        <v>1</v>
      </c>
      <c r="G351" t="s">
        <v>193</v>
      </c>
      <c r="H351" t="s">
        <v>194</v>
      </c>
      <c r="I351" t="s">
        <v>13111</v>
      </c>
      <c r="J351" t="s">
        <v>9302</v>
      </c>
      <c r="K351" t="s">
        <v>14622</v>
      </c>
      <c r="L351" t="s">
        <v>6245</v>
      </c>
      <c r="M351" t="s">
        <v>14326</v>
      </c>
      <c r="N351" t="s">
        <v>14099</v>
      </c>
      <c r="O351" t="s">
        <v>14100</v>
      </c>
      <c r="P351" t="s">
        <v>14623</v>
      </c>
      <c r="Q351" t="s">
        <v>14624</v>
      </c>
      <c r="S351" t="s">
        <v>9309</v>
      </c>
      <c r="U351" t="s">
        <v>624</v>
      </c>
      <c r="V351" t="s">
        <v>193</v>
      </c>
      <c r="W351" t="s">
        <v>9310</v>
      </c>
      <c r="Z351" t="s">
        <v>9311</v>
      </c>
      <c r="AF351" t="s">
        <v>4714</v>
      </c>
      <c r="AG351" t="s">
        <v>17</v>
      </c>
      <c r="AI351" t="s">
        <v>6955</v>
      </c>
      <c r="AJ351" s="27" t="str">
        <f t="shared" si="10"/>
        <v>332203</v>
      </c>
      <c r="AK351" s="27">
        <v>1</v>
      </c>
      <c r="AL351" s="27">
        <f t="shared" si="11"/>
        <v>1</v>
      </c>
      <c r="AM351" s="28">
        <v>1</v>
      </c>
    </row>
    <row r="352" spans="1:39" x14ac:dyDescent="0.25">
      <c r="A352" t="s">
        <v>14625</v>
      </c>
      <c r="B352" t="s">
        <v>14626</v>
      </c>
      <c r="C352" t="s">
        <v>354</v>
      </c>
      <c r="D352" s="25" t="s">
        <v>10562</v>
      </c>
      <c r="E352" t="s">
        <v>233</v>
      </c>
      <c r="F352" s="28">
        <v>1</v>
      </c>
      <c r="G352" t="s">
        <v>193</v>
      </c>
      <c r="H352" t="s">
        <v>194</v>
      </c>
      <c r="I352" t="s">
        <v>13303</v>
      </c>
      <c r="J352" t="s">
        <v>14627</v>
      </c>
      <c r="K352" t="s">
        <v>14628</v>
      </c>
      <c r="L352" t="s">
        <v>6277</v>
      </c>
      <c r="M352" t="s">
        <v>14397</v>
      </c>
      <c r="N352" t="s">
        <v>14099</v>
      </c>
      <c r="O352" t="s">
        <v>13125</v>
      </c>
      <c r="P352" t="s">
        <v>14629</v>
      </c>
      <c r="Q352" t="s">
        <v>14630</v>
      </c>
      <c r="S352" t="s">
        <v>9309</v>
      </c>
      <c r="T352" s="492" t="s">
        <v>14631</v>
      </c>
      <c r="U352" t="s">
        <v>355</v>
      </c>
      <c r="V352" t="s">
        <v>194</v>
      </c>
      <c r="W352" t="s">
        <v>14632</v>
      </c>
      <c r="Z352" t="s">
        <v>9311</v>
      </c>
      <c r="AF352" t="s">
        <v>4714</v>
      </c>
      <c r="AG352" t="s">
        <v>14626</v>
      </c>
      <c r="AI352" t="s">
        <v>6955</v>
      </c>
      <c r="AJ352" s="27" t="str">
        <f t="shared" si="10"/>
        <v>215103</v>
      </c>
      <c r="AK352" s="27">
        <v>1</v>
      </c>
      <c r="AL352" s="27">
        <f t="shared" si="11"/>
        <v>1</v>
      </c>
      <c r="AM352" s="28">
        <v>1</v>
      </c>
    </row>
    <row r="353" spans="1:39" x14ac:dyDescent="0.25">
      <c r="A353" t="s">
        <v>4022</v>
      </c>
      <c r="B353" t="s">
        <v>8022</v>
      </c>
      <c r="C353" t="s">
        <v>7617</v>
      </c>
      <c r="D353" s="25" t="s">
        <v>10562</v>
      </c>
      <c r="E353" t="s">
        <v>217</v>
      </c>
      <c r="F353" s="28">
        <v>1</v>
      </c>
      <c r="G353" t="s">
        <v>193</v>
      </c>
      <c r="H353" t="s">
        <v>194</v>
      </c>
      <c r="I353" t="s">
        <v>13125</v>
      </c>
      <c r="J353" t="s">
        <v>210</v>
      </c>
      <c r="K353" t="s">
        <v>13899</v>
      </c>
      <c r="L353" t="s">
        <v>6290</v>
      </c>
      <c r="M353" t="s">
        <v>14198</v>
      </c>
      <c r="N353" t="s">
        <v>14327</v>
      </c>
      <c r="O353" t="s">
        <v>13462</v>
      </c>
      <c r="P353" t="s">
        <v>14633</v>
      </c>
      <c r="Q353" t="s">
        <v>14634</v>
      </c>
      <c r="S353" t="s">
        <v>9309</v>
      </c>
      <c r="T353" t="s">
        <v>9334</v>
      </c>
      <c r="U353" t="s">
        <v>7620</v>
      </c>
      <c r="V353" t="s">
        <v>194</v>
      </c>
      <c r="W353" t="s">
        <v>9300</v>
      </c>
      <c r="Z353" t="s">
        <v>9311</v>
      </c>
      <c r="AF353" t="s">
        <v>4714</v>
      </c>
      <c r="AG353" t="s">
        <v>9433</v>
      </c>
      <c r="AI353" t="s">
        <v>6955</v>
      </c>
      <c r="AJ353" s="27" t="str">
        <f t="shared" si="10"/>
        <v>516903</v>
      </c>
      <c r="AK353" s="27">
        <v>1</v>
      </c>
      <c r="AL353" s="27">
        <f t="shared" si="11"/>
        <v>1</v>
      </c>
      <c r="AM353" s="28">
        <v>1</v>
      </c>
    </row>
    <row r="354" spans="1:39" x14ac:dyDescent="0.25">
      <c r="A354" t="s">
        <v>11415</v>
      </c>
      <c r="B354" t="s">
        <v>8016</v>
      </c>
      <c r="C354" t="s">
        <v>99</v>
      </c>
      <c r="D354" s="25" t="s">
        <v>10562</v>
      </c>
      <c r="E354" t="s">
        <v>217</v>
      </c>
      <c r="F354" s="28">
        <v>1</v>
      </c>
      <c r="G354" t="s">
        <v>193</v>
      </c>
      <c r="H354" t="s">
        <v>194</v>
      </c>
      <c r="I354" t="s">
        <v>13160</v>
      </c>
      <c r="J354" t="s">
        <v>210</v>
      </c>
      <c r="K354" t="s">
        <v>13902</v>
      </c>
      <c r="L354" t="s">
        <v>6286</v>
      </c>
      <c r="M354" t="s">
        <v>14198</v>
      </c>
      <c r="N354" t="s">
        <v>14327</v>
      </c>
      <c r="O354" t="s">
        <v>13462</v>
      </c>
      <c r="P354" t="s">
        <v>14635</v>
      </c>
      <c r="Q354" t="s">
        <v>14636</v>
      </c>
      <c r="S354" t="s">
        <v>9309</v>
      </c>
      <c r="T354" t="s">
        <v>9334</v>
      </c>
      <c r="U354" t="s">
        <v>2421</v>
      </c>
      <c r="V354" t="s">
        <v>194</v>
      </c>
      <c r="W354" t="s">
        <v>9300</v>
      </c>
      <c r="Z354" t="s">
        <v>9311</v>
      </c>
      <c r="AF354" t="s">
        <v>4714</v>
      </c>
      <c r="AG354" t="s">
        <v>9433</v>
      </c>
      <c r="AI354" t="s">
        <v>6955</v>
      </c>
      <c r="AJ354" s="27" t="str">
        <f t="shared" si="10"/>
        <v>412001</v>
      </c>
      <c r="AK354" s="27">
        <v>1</v>
      </c>
      <c r="AL354" s="27">
        <f t="shared" si="11"/>
        <v>1</v>
      </c>
      <c r="AM354" s="28">
        <v>1</v>
      </c>
    </row>
    <row r="355" spans="1:39" x14ac:dyDescent="0.25">
      <c r="A355" t="s">
        <v>14637</v>
      </c>
      <c r="B355" t="s">
        <v>14638</v>
      </c>
      <c r="C355" t="s">
        <v>132</v>
      </c>
      <c r="D355" s="25" t="s">
        <v>10562</v>
      </c>
      <c r="E355" t="s">
        <v>192</v>
      </c>
      <c r="F355" s="28">
        <v>1</v>
      </c>
      <c r="G355" t="s">
        <v>193</v>
      </c>
      <c r="H355" t="s">
        <v>194</v>
      </c>
      <c r="I355" t="s">
        <v>13303</v>
      </c>
      <c r="J355" t="s">
        <v>1889</v>
      </c>
      <c r="K355" t="s">
        <v>14639</v>
      </c>
      <c r="L355" t="s">
        <v>6258</v>
      </c>
      <c r="M355" t="s">
        <v>14098</v>
      </c>
      <c r="N355" t="s">
        <v>14099</v>
      </c>
      <c r="O355" t="s">
        <v>14100</v>
      </c>
      <c r="P355" t="s">
        <v>14640</v>
      </c>
      <c r="Q355" t="s">
        <v>14641</v>
      </c>
      <c r="S355" t="s">
        <v>9309</v>
      </c>
      <c r="T355" t="s">
        <v>9786</v>
      </c>
      <c r="U355" t="s">
        <v>2162</v>
      </c>
      <c r="V355" t="s">
        <v>194</v>
      </c>
      <c r="W355" t="s">
        <v>9300</v>
      </c>
      <c r="Z355" t="s">
        <v>9311</v>
      </c>
      <c r="AF355" t="s">
        <v>4714</v>
      </c>
      <c r="AG355" t="s">
        <v>14638</v>
      </c>
      <c r="AI355" t="s">
        <v>6955</v>
      </c>
      <c r="AJ355" s="27" t="str">
        <f t="shared" si="10"/>
        <v>723401</v>
      </c>
      <c r="AK355" s="27">
        <v>1</v>
      </c>
      <c r="AL355" s="27">
        <f t="shared" si="11"/>
        <v>1</v>
      </c>
      <c r="AM355" s="28">
        <v>1</v>
      </c>
    </row>
    <row r="356" spans="1:39" x14ac:dyDescent="0.25">
      <c r="A356" t="s">
        <v>14637</v>
      </c>
      <c r="B356" t="s">
        <v>908</v>
      </c>
      <c r="C356" t="s">
        <v>119</v>
      </c>
      <c r="D356" s="25" t="s">
        <v>10562</v>
      </c>
      <c r="E356" t="s">
        <v>192</v>
      </c>
      <c r="F356" s="28">
        <v>1</v>
      </c>
      <c r="G356" t="s">
        <v>193</v>
      </c>
      <c r="H356" t="s">
        <v>194</v>
      </c>
      <c r="I356" t="s">
        <v>13152</v>
      </c>
      <c r="J356" t="s">
        <v>1889</v>
      </c>
      <c r="K356" t="s">
        <v>14642</v>
      </c>
      <c r="L356" t="s">
        <v>6266</v>
      </c>
      <c r="M356" t="s">
        <v>14098</v>
      </c>
      <c r="N356" t="s">
        <v>14099</v>
      </c>
      <c r="O356" t="s">
        <v>14100</v>
      </c>
      <c r="P356" t="s">
        <v>14643</v>
      </c>
      <c r="Q356" t="s">
        <v>14644</v>
      </c>
      <c r="S356" t="s">
        <v>9309</v>
      </c>
      <c r="T356" t="s">
        <v>9786</v>
      </c>
      <c r="U356" t="s">
        <v>666</v>
      </c>
      <c r="V356" t="s">
        <v>194</v>
      </c>
      <c r="W356" t="s">
        <v>9300</v>
      </c>
      <c r="Z356" t="s">
        <v>9311</v>
      </c>
      <c r="AF356" t="s">
        <v>4714</v>
      </c>
      <c r="AG356" t="s">
        <v>908</v>
      </c>
      <c r="AI356" t="s">
        <v>6955</v>
      </c>
      <c r="AJ356" s="27" t="str">
        <f t="shared" si="10"/>
        <v>333105</v>
      </c>
      <c r="AK356" s="27">
        <v>1</v>
      </c>
      <c r="AL356" s="27">
        <f t="shared" si="11"/>
        <v>1</v>
      </c>
      <c r="AM356" s="28">
        <v>1</v>
      </c>
    </row>
    <row r="357" spans="1:39" x14ac:dyDescent="0.25">
      <c r="A357" t="s">
        <v>247</v>
      </c>
      <c r="B357" t="s">
        <v>14645</v>
      </c>
      <c r="C357" t="s">
        <v>10</v>
      </c>
      <c r="D357" s="25" t="s">
        <v>10562</v>
      </c>
      <c r="E357" t="s">
        <v>192</v>
      </c>
      <c r="F357" s="28">
        <v>1</v>
      </c>
      <c r="G357" t="s">
        <v>193</v>
      </c>
      <c r="H357" t="s">
        <v>194</v>
      </c>
      <c r="I357" t="s">
        <v>13160</v>
      </c>
      <c r="J357" t="s">
        <v>9302</v>
      </c>
      <c r="K357" t="s">
        <v>14646</v>
      </c>
      <c r="L357" t="s">
        <v>6261</v>
      </c>
      <c r="M357" t="s">
        <v>14098</v>
      </c>
      <c r="N357" t="s">
        <v>14099</v>
      </c>
      <c r="O357" t="s">
        <v>14100</v>
      </c>
      <c r="P357" t="s">
        <v>14647</v>
      </c>
      <c r="Q357" t="s">
        <v>14648</v>
      </c>
      <c r="S357" t="s">
        <v>9309</v>
      </c>
      <c r="U357" t="s">
        <v>484</v>
      </c>
      <c r="V357" t="s">
        <v>193</v>
      </c>
      <c r="W357" t="s">
        <v>9310</v>
      </c>
      <c r="Z357" t="s">
        <v>9311</v>
      </c>
      <c r="AF357" t="s">
        <v>4714</v>
      </c>
      <c r="AG357" t="s">
        <v>14645</v>
      </c>
      <c r="AI357" t="s">
        <v>6955</v>
      </c>
      <c r="AJ357" s="27" t="str">
        <f t="shared" si="10"/>
        <v>251401</v>
      </c>
      <c r="AK357" s="27">
        <v>1</v>
      </c>
      <c r="AL357" s="27">
        <f t="shared" si="11"/>
        <v>1</v>
      </c>
      <c r="AM357" s="28">
        <v>1</v>
      </c>
    </row>
    <row r="358" spans="1:39" x14ac:dyDescent="0.25">
      <c r="A358" t="s">
        <v>1544</v>
      </c>
      <c r="B358" t="s">
        <v>14649</v>
      </c>
      <c r="C358" t="s">
        <v>371</v>
      </c>
      <c r="D358" s="25" t="s">
        <v>10562</v>
      </c>
      <c r="E358" t="s">
        <v>192</v>
      </c>
      <c r="F358" s="28">
        <v>1</v>
      </c>
      <c r="G358" t="s">
        <v>193</v>
      </c>
      <c r="H358" t="s">
        <v>194</v>
      </c>
      <c r="I358" t="s">
        <v>13152</v>
      </c>
      <c r="J358" t="s">
        <v>309</v>
      </c>
      <c r="K358" t="s">
        <v>14650</v>
      </c>
      <c r="L358" t="s">
        <v>6245</v>
      </c>
      <c r="M358" t="s">
        <v>14098</v>
      </c>
      <c r="N358" t="s">
        <v>14099</v>
      </c>
      <c r="O358" t="s">
        <v>14100</v>
      </c>
      <c r="P358" t="s">
        <v>14651</v>
      </c>
      <c r="Q358" t="s">
        <v>14652</v>
      </c>
      <c r="S358" t="s">
        <v>9309</v>
      </c>
      <c r="T358" t="s">
        <v>9518</v>
      </c>
      <c r="U358" t="s">
        <v>372</v>
      </c>
      <c r="V358" t="s">
        <v>194</v>
      </c>
      <c r="W358" t="s">
        <v>9300</v>
      </c>
      <c r="Z358" t="s">
        <v>9311</v>
      </c>
      <c r="AF358" t="s">
        <v>4714</v>
      </c>
      <c r="AG358" t="s">
        <v>14649</v>
      </c>
      <c r="AI358" t="s">
        <v>6955</v>
      </c>
      <c r="AJ358" s="27" t="str">
        <f t="shared" si="10"/>
        <v>215202</v>
      </c>
      <c r="AK358" s="27">
        <v>1</v>
      </c>
      <c r="AL358" s="27">
        <f t="shared" si="11"/>
        <v>1</v>
      </c>
      <c r="AM358" s="28">
        <v>1</v>
      </c>
    </row>
    <row r="359" spans="1:39" x14ac:dyDescent="0.25">
      <c r="A359" t="s">
        <v>1544</v>
      </c>
      <c r="B359" t="s">
        <v>14653</v>
      </c>
      <c r="C359" t="s">
        <v>721</v>
      </c>
      <c r="D359" s="25" t="s">
        <v>10562</v>
      </c>
      <c r="E359" t="s">
        <v>192</v>
      </c>
      <c r="F359" s="28">
        <v>1</v>
      </c>
      <c r="G359" t="s">
        <v>193</v>
      </c>
      <c r="H359" t="s">
        <v>194</v>
      </c>
      <c r="I359" t="s">
        <v>13119</v>
      </c>
      <c r="J359" t="s">
        <v>309</v>
      </c>
      <c r="K359" t="s">
        <v>14654</v>
      </c>
      <c r="L359" t="s">
        <v>6266</v>
      </c>
      <c r="M359" t="s">
        <v>14098</v>
      </c>
      <c r="N359" t="s">
        <v>14099</v>
      </c>
      <c r="O359" t="s">
        <v>14100</v>
      </c>
      <c r="P359" t="s">
        <v>14655</v>
      </c>
      <c r="Q359" t="s">
        <v>14656</v>
      </c>
      <c r="S359" t="s">
        <v>9309</v>
      </c>
      <c r="T359" t="s">
        <v>9518</v>
      </c>
      <c r="U359" t="s">
        <v>723</v>
      </c>
      <c r="V359" t="s">
        <v>194</v>
      </c>
      <c r="W359" t="s">
        <v>9300</v>
      </c>
      <c r="Z359" t="s">
        <v>9311</v>
      </c>
      <c r="AF359" t="s">
        <v>4714</v>
      </c>
      <c r="AG359" t="s">
        <v>14653</v>
      </c>
      <c r="AI359" t="s">
        <v>6955</v>
      </c>
      <c r="AJ359" s="27" t="str">
        <f t="shared" si="10"/>
        <v>432201</v>
      </c>
      <c r="AK359" s="27">
        <v>1</v>
      </c>
      <c r="AL359" s="27">
        <f t="shared" si="11"/>
        <v>1</v>
      </c>
      <c r="AM359" s="28">
        <v>1</v>
      </c>
    </row>
    <row r="360" spans="1:39" x14ac:dyDescent="0.25">
      <c r="A360" t="s">
        <v>10307</v>
      </c>
      <c r="B360" t="s">
        <v>14657</v>
      </c>
      <c r="C360" t="s">
        <v>4090</v>
      </c>
      <c r="D360" s="25" t="s">
        <v>10562</v>
      </c>
      <c r="E360" t="s">
        <v>192</v>
      </c>
      <c r="F360" s="28">
        <v>1</v>
      </c>
      <c r="G360" t="s">
        <v>193</v>
      </c>
      <c r="H360" t="s">
        <v>194</v>
      </c>
      <c r="I360" t="s">
        <v>13152</v>
      </c>
      <c r="J360" t="s">
        <v>9302</v>
      </c>
      <c r="K360" t="s">
        <v>14658</v>
      </c>
      <c r="L360" t="s">
        <v>6254</v>
      </c>
      <c r="M360" t="s">
        <v>14098</v>
      </c>
      <c r="N360" t="s">
        <v>14099</v>
      </c>
      <c r="O360" t="s">
        <v>14100</v>
      </c>
      <c r="P360" t="s">
        <v>14659</v>
      </c>
      <c r="Q360" t="s">
        <v>14660</v>
      </c>
      <c r="S360" t="s">
        <v>9309</v>
      </c>
      <c r="U360" t="s">
        <v>4091</v>
      </c>
      <c r="V360" t="s">
        <v>193</v>
      </c>
      <c r="W360" t="s">
        <v>9310</v>
      </c>
      <c r="Z360" t="s">
        <v>9311</v>
      </c>
      <c r="AF360" t="s">
        <v>4714</v>
      </c>
      <c r="AG360" t="s">
        <v>14657</v>
      </c>
      <c r="AI360" t="s">
        <v>6955</v>
      </c>
      <c r="AJ360" s="27" t="str">
        <f t="shared" si="10"/>
        <v>421403</v>
      </c>
      <c r="AK360" s="27">
        <v>1</v>
      </c>
      <c r="AL360" s="27">
        <f t="shared" si="11"/>
        <v>1</v>
      </c>
      <c r="AM360" s="28">
        <v>1</v>
      </c>
    </row>
    <row r="361" spans="1:39" x14ac:dyDescent="0.25">
      <c r="A361" t="s">
        <v>493</v>
      </c>
      <c r="B361" t="s">
        <v>14661</v>
      </c>
      <c r="C361" t="s">
        <v>10</v>
      </c>
      <c r="D361" s="25" t="s">
        <v>10562</v>
      </c>
      <c r="E361" t="s">
        <v>192</v>
      </c>
      <c r="F361" s="28">
        <v>1</v>
      </c>
      <c r="G361" t="s">
        <v>193</v>
      </c>
      <c r="H361" t="s">
        <v>194</v>
      </c>
      <c r="I361" t="s">
        <v>13111</v>
      </c>
      <c r="J361" t="s">
        <v>210</v>
      </c>
      <c r="K361" t="s">
        <v>14662</v>
      </c>
      <c r="L361" t="s">
        <v>6261</v>
      </c>
      <c r="M361" t="s">
        <v>14098</v>
      </c>
      <c r="N361" t="s">
        <v>14099</v>
      </c>
      <c r="O361" t="s">
        <v>14100</v>
      </c>
      <c r="P361" t="s">
        <v>14663</v>
      </c>
      <c r="Q361" t="s">
        <v>14664</v>
      </c>
      <c r="S361" t="s">
        <v>9309</v>
      </c>
      <c r="T361" t="s">
        <v>9334</v>
      </c>
      <c r="U361" t="s">
        <v>484</v>
      </c>
      <c r="V361" t="s">
        <v>194</v>
      </c>
      <c r="W361" t="s">
        <v>9300</v>
      </c>
      <c r="Z361" t="s">
        <v>9311</v>
      </c>
      <c r="AF361" t="s">
        <v>4714</v>
      </c>
      <c r="AG361" t="s">
        <v>14661</v>
      </c>
      <c r="AI361" t="s">
        <v>6955</v>
      </c>
      <c r="AJ361" s="27" t="str">
        <f t="shared" si="10"/>
        <v>251401</v>
      </c>
      <c r="AK361" s="27">
        <v>1</v>
      </c>
      <c r="AL361" s="27">
        <f t="shared" si="11"/>
        <v>1</v>
      </c>
      <c r="AM361" s="28">
        <v>1</v>
      </c>
    </row>
    <row r="362" spans="1:39" x14ac:dyDescent="0.25">
      <c r="A362" t="s">
        <v>493</v>
      </c>
      <c r="B362" t="s">
        <v>14665</v>
      </c>
      <c r="C362" t="s">
        <v>822</v>
      </c>
      <c r="D362" s="25" t="s">
        <v>10562</v>
      </c>
      <c r="E362" t="s">
        <v>192</v>
      </c>
      <c r="F362" s="28">
        <v>1</v>
      </c>
      <c r="G362" t="s">
        <v>194</v>
      </c>
      <c r="H362" t="s">
        <v>193</v>
      </c>
      <c r="I362" t="s">
        <v>13125</v>
      </c>
      <c r="J362" t="s">
        <v>210</v>
      </c>
      <c r="K362" t="s">
        <v>14666</v>
      </c>
      <c r="L362" t="s">
        <v>6245</v>
      </c>
      <c r="M362" t="s">
        <v>14098</v>
      </c>
      <c r="N362" t="s">
        <v>14099</v>
      </c>
      <c r="O362" t="s">
        <v>14100</v>
      </c>
      <c r="P362" t="s">
        <v>14667</v>
      </c>
      <c r="Q362" t="s">
        <v>14668</v>
      </c>
      <c r="S362" t="s">
        <v>9309</v>
      </c>
      <c r="T362" t="s">
        <v>9334</v>
      </c>
      <c r="U362" t="s">
        <v>823</v>
      </c>
      <c r="V362" t="s">
        <v>194</v>
      </c>
      <c r="W362" t="s">
        <v>9300</v>
      </c>
      <c r="Z362" t="s">
        <v>9311</v>
      </c>
      <c r="AF362" t="s">
        <v>4714</v>
      </c>
      <c r="AG362" t="s">
        <v>14665</v>
      </c>
      <c r="AI362" t="s">
        <v>6955</v>
      </c>
      <c r="AJ362" s="27" t="str">
        <f t="shared" si="10"/>
        <v>741103</v>
      </c>
      <c r="AK362" s="27">
        <v>1</v>
      </c>
      <c r="AL362" s="27">
        <f t="shared" si="11"/>
        <v>1</v>
      </c>
      <c r="AM362" s="28">
        <v>1</v>
      </c>
    </row>
    <row r="363" spans="1:39" x14ac:dyDescent="0.25">
      <c r="A363" t="s">
        <v>493</v>
      </c>
      <c r="B363" t="s">
        <v>14669</v>
      </c>
      <c r="C363" t="s">
        <v>46</v>
      </c>
      <c r="D363" s="25" t="s">
        <v>10562</v>
      </c>
      <c r="E363" t="s">
        <v>192</v>
      </c>
      <c r="F363" s="28">
        <v>1</v>
      </c>
      <c r="G363" t="s">
        <v>193</v>
      </c>
      <c r="H363" t="s">
        <v>194</v>
      </c>
      <c r="I363" t="s">
        <v>13164</v>
      </c>
      <c r="J363" t="s">
        <v>210</v>
      </c>
      <c r="K363" t="s">
        <v>14670</v>
      </c>
      <c r="L363" t="s">
        <v>6261</v>
      </c>
      <c r="M363" t="s">
        <v>14098</v>
      </c>
      <c r="N363" t="s">
        <v>14099</v>
      </c>
      <c r="O363" t="s">
        <v>14100</v>
      </c>
      <c r="P363" t="s">
        <v>14671</v>
      </c>
      <c r="Q363" t="s">
        <v>14672</v>
      </c>
      <c r="S363" t="s">
        <v>9309</v>
      </c>
      <c r="T363" t="s">
        <v>9334</v>
      </c>
      <c r="U363" t="s">
        <v>510</v>
      </c>
      <c r="V363" t="s">
        <v>194</v>
      </c>
      <c r="W363" t="s">
        <v>9300</v>
      </c>
      <c r="Z363" t="s">
        <v>9311</v>
      </c>
      <c r="AF363" t="s">
        <v>4714</v>
      </c>
      <c r="AG363" t="s">
        <v>14669</v>
      </c>
      <c r="AI363" t="s">
        <v>6955</v>
      </c>
      <c r="AJ363" s="27" t="str">
        <f t="shared" si="10"/>
        <v>252201</v>
      </c>
      <c r="AK363" s="27">
        <v>1</v>
      </c>
      <c r="AL363" s="27">
        <f t="shared" si="11"/>
        <v>1</v>
      </c>
      <c r="AM363" s="28">
        <v>1</v>
      </c>
    </row>
    <row r="364" spans="1:39" x14ac:dyDescent="0.25">
      <c r="A364" t="s">
        <v>493</v>
      </c>
      <c r="B364" t="s">
        <v>12939</v>
      </c>
      <c r="C364" t="s">
        <v>10</v>
      </c>
      <c r="D364" s="25" t="s">
        <v>10562</v>
      </c>
      <c r="E364" t="s">
        <v>192</v>
      </c>
      <c r="F364" s="28">
        <v>1</v>
      </c>
      <c r="G364" t="s">
        <v>193</v>
      </c>
      <c r="H364" t="s">
        <v>194</v>
      </c>
      <c r="I364" t="s">
        <v>13152</v>
      </c>
      <c r="J364" t="s">
        <v>210</v>
      </c>
      <c r="K364" t="s">
        <v>14673</v>
      </c>
      <c r="L364" t="s">
        <v>6261</v>
      </c>
      <c r="M364" t="s">
        <v>14098</v>
      </c>
      <c r="N364" t="s">
        <v>14099</v>
      </c>
      <c r="O364" t="s">
        <v>14100</v>
      </c>
      <c r="P364" t="s">
        <v>14674</v>
      </c>
      <c r="Q364" t="s">
        <v>14675</v>
      </c>
      <c r="S364" t="s">
        <v>9309</v>
      </c>
      <c r="T364" t="s">
        <v>9334</v>
      </c>
      <c r="U364" t="s">
        <v>484</v>
      </c>
      <c r="V364" t="s">
        <v>194</v>
      </c>
      <c r="W364" t="s">
        <v>9300</v>
      </c>
      <c r="Z364" t="s">
        <v>9311</v>
      </c>
      <c r="AF364" t="s">
        <v>4714</v>
      </c>
      <c r="AG364" t="s">
        <v>12939</v>
      </c>
      <c r="AI364" t="s">
        <v>6955</v>
      </c>
      <c r="AJ364" s="27" t="str">
        <f t="shared" si="10"/>
        <v>251401</v>
      </c>
      <c r="AK364" s="27">
        <v>1</v>
      </c>
      <c r="AL364" s="27">
        <f t="shared" si="11"/>
        <v>1</v>
      </c>
      <c r="AM364" s="28">
        <v>1</v>
      </c>
    </row>
    <row r="365" spans="1:39" x14ac:dyDescent="0.25">
      <c r="A365" t="s">
        <v>11473</v>
      </c>
      <c r="B365" t="s">
        <v>14676</v>
      </c>
      <c r="C365" t="s">
        <v>8953</v>
      </c>
      <c r="D365" s="25" t="s">
        <v>10562</v>
      </c>
      <c r="E365" t="s">
        <v>192</v>
      </c>
      <c r="F365" s="28">
        <v>1</v>
      </c>
      <c r="G365" t="s">
        <v>193</v>
      </c>
      <c r="H365" t="s">
        <v>194</v>
      </c>
      <c r="I365" t="s">
        <v>13111</v>
      </c>
      <c r="J365" t="s">
        <v>9302</v>
      </c>
      <c r="K365" t="s">
        <v>14677</v>
      </c>
      <c r="L365" t="s">
        <v>6921</v>
      </c>
      <c r="M365" t="s">
        <v>14098</v>
      </c>
      <c r="N365" t="s">
        <v>14099</v>
      </c>
      <c r="O365" t="s">
        <v>14100</v>
      </c>
      <c r="P365" t="s">
        <v>14678</v>
      </c>
      <c r="Q365" t="s">
        <v>14679</v>
      </c>
      <c r="S365" t="s">
        <v>9309</v>
      </c>
      <c r="U365" t="s">
        <v>8955</v>
      </c>
      <c r="V365" t="s">
        <v>193</v>
      </c>
      <c r="W365" t="s">
        <v>9310</v>
      </c>
      <c r="Z365" t="s">
        <v>9311</v>
      </c>
      <c r="AF365" t="s">
        <v>4714</v>
      </c>
      <c r="AG365" t="s">
        <v>14676</v>
      </c>
      <c r="AI365" t="s">
        <v>6955</v>
      </c>
      <c r="AJ365" s="27" t="str">
        <f t="shared" si="10"/>
        <v>252103</v>
      </c>
      <c r="AK365" s="27">
        <v>1</v>
      </c>
      <c r="AL365" s="27">
        <f t="shared" si="11"/>
        <v>1</v>
      </c>
      <c r="AM365" s="28">
        <v>1</v>
      </c>
    </row>
    <row r="366" spans="1:39" x14ac:dyDescent="0.25">
      <c r="A366" t="s">
        <v>11473</v>
      </c>
      <c r="B366" t="s">
        <v>14680</v>
      </c>
      <c r="C366" t="s">
        <v>507</v>
      </c>
      <c r="D366" s="25" t="s">
        <v>10562</v>
      </c>
      <c r="E366" t="s">
        <v>192</v>
      </c>
      <c r="F366" s="28">
        <v>1</v>
      </c>
      <c r="G366" t="s">
        <v>193</v>
      </c>
      <c r="H366" t="s">
        <v>194</v>
      </c>
      <c r="I366" t="s">
        <v>13152</v>
      </c>
      <c r="J366" t="s">
        <v>9302</v>
      </c>
      <c r="K366" t="s">
        <v>14681</v>
      </c>
      <c r="L366" t="s">
        <v>6261</v>
      </c>
      <c r="M366" t="s">
        <v>14098</v>
      </c>
      <c r="N366" t="s">
        <v>14099</v>
      </c>
      <c r="O366" t="s">
        <v>14100</v>
      </c>
      <c r="P366" t="s">
        <v>14682</v>
      </c>
      <c r="Q366" t="s">
        <v>14683</v>
      </c>
      <c r="S366" t="s">
        <v>9309</v>
      </c>
      <c r="U366" t="s">
        <v>508</v>
      </c>
      <c r="V366" t="s">
        <v>193</v>
      </c>
      <c r="W366" t="s">
        <v>9310</v>
      </c>
      <c r="Z366" t="s">
        <v>9311</v>
      </c>
      <c r="AF366" t="s">
        <v>4714</v>
      </c>
      <c r="AG366" t="s">
        <v>14680</v>
      </c>
      <c r="AI366" t="s">
        <v>6955</v>
      </c>
      <c r="AJ366" s="27" t="str">
        <f t="shared" si="10"/>
        <v>252102</v>
      </c>
      <c r="AK366" s="27">
        <v>1</v>
      </c>
      <c r="AL366" s="27">
        <f t="shared" si="11"/>
        <v>1</v>
      </c>
      <c r="AM366" s="28">
        <v>1</v>
      </c>
    </row>
    <row r="367" spans="1:39" x14ac:dyDescent="0.25">
      <c r="A367" t="s">
        <v>14684</v>
      </c>
      <c r="B367" t="s">
        <v>14685</v>
      </c>
      <c r="C367" t="s">
        <v>51</v>
      </c>
      <c r="D367" s="25" t="s">
        <v>10562</v>
      </c>
      <c r="E367" t="s">
        <v>192</v>
      </c>
      <c r="F367" s="28">
        <v>1</v>
      </c>
      <c r="G367" t="s">
        <v>193</v>
      </c>
      <c r="H367" t="s">
        <v>194</v>
      </c>
      <c r="I367" t="s">
        <v>13152</v>
      </c>
      <c r="J367" t="s">
        <v>399</v>
      </c>
      <c r="K367" t="s">
        <v>14686</v>
      </c>
      <c r="L367" t="s">
        <v>6254</v>
      </c>
      <c r="M367" t="s">
        <v>14098</v>
      </c>
      <c r="N367" t="s">
        <v>14099</v>
      </c>
      <c r="O367" t="s">
        <v>14100</v>
      </c>
      <c r="P367" t="s">
        <v>14687</v>
      </c>
      <c r="Q367" t="s">
        <v>14688</v>
      </c>
      <c r="S367" t="s">
        <v>9309</v>
      </c>
      <c r="T367" t="s">
        <v>11135</v>
      </c>
      <c r="U367" t="s">
        <v>904</v>
      </c>
      <c r="V367" t="s">
        <v>194</v>
      </c>
      <c r="W367" t="s">
        <v>9300</v>
      </c>
      <c r="Z367" t="s">
        <v>9311</v>
      </c>
      <c r="AF367" t="s">
        <v>4714</v>
      </c>
      <c r="AG367" t="s">
        <v>14685</v>
      </c>
      <c r="AI367" t="s">
        <v>6955</v>
      </c>
      <c r="AJ367" s="27" t="str">
        <f t="shared" si="10"/>
        <v>523002</v>
      </c>
      <c r="AK367" s="27">
        <v>1</v>
      </c>
      <c r="AL367" s="27">
        <f t="shared" si="11"/>
        <v>1</v>
      </c>
      <c r="AM367" s="28">
        <v>1</v>
      </c>
    </row>
    <row r="368" spans="1:39" x14ac:dyDescent="0.25">
      <c r="A368" t="s">
        <v>14684</v>
      </c>
      <c r="B368" t="s">
        <v>14685</v>
      </c>
      <c r="C368" t="s">
        <v>51</v>
      </c>
      <c r="D368" s="25" t="s">
        <v>10562</v>
      </c>
      <c r="E368" t="s">
        <v>192</v>
      </c>
      <c r="F368" s="28">
        <v>1</v>
      </c>
      <c r="G368" t="s">
        <v>193</v>
      </c>
      <c r="H368" t="s">
        <v>194</v>
      </c>
      <c r="I368" t="s">
        <v>13152</v>
      </c>
      <c r="J368" t="s">
        <v>367</v>
      </c>
      <c r="K368" t="s">
        <v>14689</v>
      </c>
      <c r="L368" t="s">
        <v>6254</v>
      </c>
      <c r="M368" t="s">
        <v>14098</v>
      </c>
      <c r="N368" t="s">
        <v>14099</v>
      </c>
      <c r="O368" t="s">
        <v>14100</v>
      </c>
      <c r="P368" t="s">
        <v>14690</v>
      </c>
      <c r="Q368" t="s">
        <v>14691</v>
      </c>
      <c r="S368" t="s">
        <v>9309</v>
      </c>
      <c r="T368" t="s">
        <v>9974</v>
      </c>
      <c r="U368" t="s">
        <v>904</v>
      </c>
      <c r="V368" t="s">
        <v>194</v>
      </c>
      <c r="W368" t="s">
        <v>9300</v>
      </c>
      <c r="Z368" t="s">
        <v>9311</v>
      </c>
      <c r="AF368" t="s">
        <v>4714</v>
      </c>
      <c r="AG368" t="s">
        <v>14685</v>
      </c>
      <c r="AI368" t="s">
        <v>6955</v>
      </c>
      <c r="AJ368" s="27" t="str">
        <f t="shared" si="10"/>
        <v>523002</v>
      </c>
      <c r="AK368" s="27">
        <v>1</v>
      </c>
      <c r="AL368" s="27">
        <f t="shared" si="11"/>
        <v>1</v>
      </c>
      <c r="AM368" s="28">
        <v>1</v>
      </c>
    </row>
    <row r="369" spans="1:39" x14ac:dyDescent="0.25">
      <c r="A369" t="s">
        <v>14692</v>
      </c>
      <c r="B369" t="s">
        <v>9777</v>
      </c>
      <c r="C369" t="s">
        <v>17</v>
      </c>
      <c r="D369" s="25" t="s">
        <v>10562</v>
      </c>
      <c r="E369" t="s">
        <v>192</v>
      </c>
      <c r="F369" s="28">
        <v>1</v>
      </c>
      <c r="G369" t="s">
        <v>193</v>
      </c>
      <c r="H369" t="s">
        <v>194</v>
      </c>
      <c r="I369" t="s">
        <v>13125</v>
      </c>
      <c r="J369" t="s">
        <v>9302</v>
      </c>
      <c r="K369" t="s">
        <v>14693</v>
      </c>
      <c r="L369" t="s">
        <v>6245</v>
      </c>
      <c r="M369" t="s">
        <v>14098</v>
      </c>
      <c r="N369" t="s">
        <v>14099</v>
      </c>
      <c r="O369" t="s">
        <v>14100</v>
      </c>
      <c r="P369" t="s">
        <v>14694</v>
      </c>
      <c r="Q369" t="s">
        <v>14695</v>
      </c>
      <c r="S369" t="s">
        <v>9309</v>
      </c>
      <c r="U369" t="s">
        <v>624</v>
      </c>
      <c r="V369" t="s">
        <v>193</v>
      </c>
      <c r="W369" t="s">
        <v>9310</v>
      </c>
      <c r="Z369" t="s">
        <v>9311</v>
      </c>
      <c r="AF369" t="s">
        <v>4714</v>
      </c>
      <c r="AG369" t="s">
        <v>9777</v>
      </c>
      <c r="AI369" t="s">
        <v>6955</v>
      </c>
      <c r="AJ369" s="27" t="str">
        <f t="shared" si="10"/>
        <v>332203</v>
      </c>
      <c r="AK369" s="27">
        <v>1</v>
      </c>
      <c r="AL369" s="27">
        <f t="shared" si="11"/>
        <v>1</v>
      </c>
      <c r="AM369" s="28">
        <v>1</v>
      </c>
    </row>
    <row r="370" spans="1:39" x14ac:dyDescent="0.25">
      <c r="A370" t="s">
        <v>14692</v>
      </c>
      <c r="B370" t="s">
        <v>14696</v>
      </c>
      <c r="C370" t="s">
        <v>7710</v>
      </c>
      <c r="D370" s="25" t="s">
        <v>10562</v>
      </c>
      <c r="E370" t="s">
        <v>192</v>
      </c>
      <c r="F370" s="28">
        <v>1</v>
      </c>
      <c r="G370" t="s">
        <v>193</v>
      </c>
      <c r="H370" t="s">
        <v>194</v>
      </c>
      <c r="I370" t="s">
        <v>13303</v>
      </c>
      <c r="J370" t="s">
        <v>9302</v>
      </c>
      <c r="K370" t="s">
        <v>14697</v>
      </c>
      <c r="L370" t="s">
        <v>6374</v>
      </c>
      <c r="M370" t="s">
        <v>14098</v>
      </c>
      <c r="N370" t="s">
        <v>14099</v>
      </c>
      <c r="O370" t="s">
        <v>14100</v>
      </c>
      <c r="P370" t="s">
        <v>14698</v>
      </c>
      <c r="Q370" t="s">
        <v>14699</v>
      </c>
      <c r="S370" t="s">
        <v>9309</v>
      </c>
      <c r="U370" t="s">
        <v>7712</v>
      </c>
      <c r="V370" t="s">
        <v>193</v>
      </c>
      <c r="W370" t="s">
        <v>9310</v>
      </c>
      <c r="Z370" t="s">
        <v>9311</v>
      </c>
      <c r="AF370" t="s">
        <v>4714</v>
      </c>
      <c r="AG370" t="s">
        <v>14696</v>
      </c>
      <c r="AI370" t="s">
        <v>6955</v>
      </c>
      <c r="AJ370" s="27" t="str">
        <f t="shared" si="10"/>
        <v>214401</v>
      </c>
      <c r="AK370" s="27">
        <v>1</v>
      </c>
      <c r="AL370" s="27">
        <f t="shared" si="11"/>
        <v>1</v>
      </c>
      <c r="AM370" s="28">
        <v>1</v>
      </c>
    </row>
    <row r="371" spans="1:39" x14ac:dyDescent="0.25">
      <c r="A371" t="s">
        <v>1556</v>
      </c>
      <c r="B371" t="s">
        <v>14700</v>
      </c>
      <c r="C371" t="s">
        <v>43</v>
      </c>
      <c r="D371" s="25" t="s">
        <v>10562</v>
      </c>
      <c r="E371" t="s">
        <v>192</v>
      </c>
      <c r="F371" s="28">
        <v>1</v>
      </c>
      <c r="G371" t="s">
        <v>193</v>
      </c>
      <c r="H371" t="s">
        <v>194</v>
      </c>
      <c r="I371" t="s">
        <v>13125</v>
      </c>
      <c r="J371" t="s">
        <v>672</v>
      </c>
      <c r="K371" t="s">
        <v>14701</v>
      </c>
      <c r="L371" t="s">
        <v>6266</v>
      </c>
      <c r="M371" t="s">
        <v>14369</v>
      </c>
      <c r="N371" t="s">
        <v>4849</v>
      </c>
      <c r="O371" t="s">
        <v>7703</v>
      </c>
      <c r="P371" t="s">
        <v>14702</v>
      </c>
      <c r="Q371" t="s">
        <v>14703</v>
      </c>
      <c r="S371" t="s">
        <v>9309</v>
      </c>
      <c r="T371" t="s">
        <v>9726</v>
      </c>
      <c r="U371" t="s">
        <v>452</v>
      </c>
      <c r="V371" t="s">
        <v>194</v>
      </c>
      <c r="W371" t="s">
        <v>9300</v>
      </c>
      <c r="Z371" t="s">
        <v>9311</v>
      </c>
      <c r="AF371" t="s">
        <v>4714</v>
      </c>
      <c r="AG371" t="s">
        <v>14700</v>
      </c>
      <c r="AI371" t="s">
        <v>6955</v>
      </c>
      <c r="AJ371" s="27" t="str">
        <f t="shared" si="10"/>
        <v>243106</v>
      </c>
      <c r="AK371" s="27">
        <v>1</v>
      </c>
      <c r="AL371" s="27">
        <f t="shared" si="11"/>
        <v>1</v>
      </c>
      <c r="AM371" s="28">
        <v>1</v>
      </c>
    </row>
    <row r="372" spans="1:39" x14ac:dyDescent="0.25">
      <c r="A372" t="s">
        <v>13986</v>
      </c>
      <c r="B372" t="s">
        <v>1838</v>
      </c>
      <c r="C372" t="s">
        <v>1839</v>
      </c>
      <c r="D372" s="25" t="s">
        <v>10562</v>
      </c>
      <c r="E372" t="s">
        <v>217</v>
      </c>
      <c r="F372" s="28">
        <v>1</v>
      </c>
      <c r="G372" t="s">
        <v>193</v>
      </c>
      <c r="H372" t="s">
        <v>194</v>
      </c>
      <c r="I372" t="s">
        <v>13200</v>
      </c>
      <c r="J372" t="s">
        <v>755</v>
      </c>
      <c r="K372" t="s">
        <v>13988</v>
      </c>
      <c r="L372" t="s">
        <v>6389</v>
      </c>
      <c r="M372" t="s">
        <v>14198</v>
      </c>
      <c r="N372" t="s">
        <v>12260</v>
      </c>
      <c r="O372" t="s">
        <v>13200</v>
      </c>
      <c r="P372" t="s">
        <v>14704</v>
      </c>
      <c r="Q372" t="s">
        <v>14705</v>
      </c>
      <c r="S372" t="s">
        <v>9309</v>
      </c>
      <c r="T372" t="s">
        <v>9726</v>
      </c>
      <c r="U372" t="s">
        <v>1841</v>
      </c>
      <c r="V372" t="s">
        <v>194</v>
      </c>
      <c r="W372" t="s">
        <v>9300</v>
      </c>
      <c r="Z372" t="s">
        <v>9311</v>
      </c>
      <c r="AF372" t="s">
        <v>4714</v>
      </c>
      <c r="AG372" t="s">
        <v>9433</v>
      </c>
      <c r="AI372" t="s">
        <v>6955</v>
      </c>
      <c r="AJ372" s="27" t="str">
        <f t="shared" si="10"/>
        <v>732201</v>
      </c>
      <c r="AK372" s="27">
        <v>1</v>
      </c>
      <c r="AL372" s="27">
        <f t="shared" si="11"/>
        <v>1</v>
      </c>
      <c r="AM372" s="28">
        <v>1</v>
      </c>
    </row>
    <row r="373" spans="1:39" x14ac:dyDescent="0.25">
      <c r="A373" t="s">
        <v>13992</v>
      </c>
      <c r="B373" t="s">
        <v>2516</v>
      </c>
      <c r="C373" t="s">
        <v>85</v>
      </c>
      <c r="D373" s="25" t="s">
        <v>10562</v>
      </c>
      <c r="E373" t="s">
        <v>217</v>
      </c>
      <c r="F373" s="28">
        <v>1</v>
      </c>
      <c r="G373" t="s">
        <v>193</v>
      </c>
      <c r="H373" t="s">
        <v>194</v>
      </c>
      <c r="I373" t="s">
        <v>13200</v>
      </c>
      <c r="J373" t="s">
        <v>755</v>
      </c>
      <c r="K373" t="s">
        <v>13993</v>
      </c>
      <c r="L373" t="s">
        <v>6327</v>
      </c>
      <c r="M373" t="s">
        <v>14198</v>
      </c>
      <c r="N373" t="s">
        <v>12260</v>
      </c>
      <c r="O373" t="s">
        <v>13200</v>
      </c>
      <c r="P373" t="s">
        <v>14706</v>
      </c>
      <c r="Q373" t="s">
        <v>14707</v>
      </c>
      <c r="S373" t="s">
        <v>9309</v>
      </c>
      <c r="T373" t="s">
        <v>9726</v>
      </c>
      <c r="U373" t="s">
        <v>477</v>
      </c>
      <c r="V373" t="s">
        <v>194</v>
      </c>
      <c r="W373" t="s">
        <v>9300</v>
      </c>
      <c r="Z373" t="s">
        <v>9311</v>
      </c>
      <c r="AF373" t="s">
        <v>4714</v>
      </c>
      <c r="AG373" t="s">
        <v>9433</v>
      </c>
      <c r="AI373" t="s">
        <v>6955</v>
      </c>
      <c r="AJ373" s="27" t="str">
        <f t="shared" si="10"/>
        <v>243305</v>
      </c>
      <c r="AK373" s="27">
        <v>1</v>
      </c>
      <c r="AL373" s="27">
        <f t="shared" si="11"/>
        <v>1</v>
      </c>
      <c r="AM373" s="28">
        <v>1</v>
      </c>
    </row>
    <row r="374" spans="1:39" x14ac:dyDescent="0.25">
      <c r="A374" t="s">
        <v>14708</v>
      </c>
      <c r="B374" t="s">
        <v>14709</v>
      </c>
      <c r="C374" t="s">
        <v>822</v>
      </c>
      <c r="D374" s="25" t="s">
        <v>10562</v>
      </c>
      <c r="E374" t="s">
        <v>192</v>
      </c>
      <c r="F374" s="28">
        <v>1</v>
      </c>
      <c r="G374" t="s">
        <v>193</v>
      </c>
      <c r="H374" t="s">
        <v>194</v>
      </c>
      <c r="I374" t="s">
        <v>13200</v>
      </c>
      <c r="J374" t="s">
        <v>9302</v>
      </c>
      <c r="K374" t="s">
        <v>14710</v>
      </c>
      <c r="L374" t="s">
        <v>6258</v>
      </c>
      <c r="M374" t="s">
        <v>14098</v>
      </c>
      <c r="N374" t="s">
        <v>14099</v>
      </c>
      <c r="O374" t="s">
        <v>14100</v>
      </c>
      <c r="P374" t="s">
        <v>14711</v>
      </c>
      <c r="Q374" t="s">
        <v>14712</v>
      </c>
      <c r="S374" t="s">
        <v>9309</v>
      </c>
      <c r="U374" t="s">
        <v>823</v>
      </c>
      <c r="V374" t="s">
        <v>193</v>
      </c>
      <c r="W374" t="s">
        <v>9310</v>
      </c>
      <c r="Z374" t="s">
        <v>9311</v>
      </c>
      <c r="AF374" t="s">
        <v>4714</v>
      </c>
      <c r="AG374" t="s">
        <v>14709</v>
      </c>
      <c r="AI374" t="s">
        <v>6955</v>
      </c>
      <c r="AJ374" s="27" t="str">
        <f t="shared" si="10"/>
        <v>741103</v>
      </c>
      <c r="AK374" s="27">
        <v>1</v>
      </c>
      <c r="AL374" s="27">
        <f t="shared" si="11"/>
        <v>1</v>
      </c>
      <c r="AM374" s="28">
        <v>1</v>
      </c>
    </row>
    <row r="375" spans="1:39" x14ac:dyDescent="0.25">
      <c r="A375" t="s">
        <v>14708</v>
      </c>
      <c r="B375" t="s">
        <v>14713</v>
      </c>
      <c r="C375" t="s">
        <v>10210</v>
      </c>
      <c r="D375" s="25" t="s">
        <v>10562</v>
      </c>
      <c r="E375" t="s">
        <v>192</v>
      </c>
      <c r="F375" s="28">
        <v>1</v>
      </c>
      <c r="G375" t="s">
        <v>193</v>
      </c>
      <c r="H375" t="s">
        <v>194</v>
      </c>
      <c r="I375" t="s">
        <v>13303</v>
      </c>
      <c r="J375" t="s">
        <v>9302</v>
      </c>
      <c r="K375" t="s">
        <v>14714</v>
      </c>
      <c r="L375" t="s">
        <v>6258</v>
      </c>
      <c r="M375" t="s">
        <v>14098</v>
      </c>
      <c r="N375" t="s">
        <v>14099</v>
      </c>
      <c r="O375" t="s">
        <v>14100</v>
      </c>
      <c r="P375" t="s">
        <v>14715</v>
      </c>
      <c r="Q375" t="s">
        <v>14716</v>
      </c>
      <c r="S375" t="s">
        <v>9309</v>
      </c>
      <c r="U375" t="s">
        <v>3450</v>
      </c>
      <c r="V375" t="s">
        <v>193</v>
      </c>
      <c r="W375" t="s">
        <v>9310</v>
      </c>
      <c r="Z375" t="s">
        <v>9311</v>
      </c>
      <c r="AF375" t="s">
        <v>4714</v>
      </c>
      <c r="AG375" t="s">
        <v>14713</v>
      </c>
      <c r="AI375" t="s">
        <v>6955</v>
      </c>
      <c r="AJ375" s="27" t="str">
        <f t="shared" si="10"/>
        <v>311930</v>
      </c>
      <c r="AK375" s="27">
        <v>1</v>
      </c>
      <c r="AL375" s="27">
        <f t="shared" si="11"/>
        <v>1</v>
      </c>
      <c r="AM375" s="28">
        <v>1</v>
      </c>
    </row>
    <row r="376" spans="1:39" x14ac:dyDescent="0.25">
      <c r="A376" t="s">
        <v>14717</v>
      </c>
      <c r="B376" t="s">
        <v>14718</v>
      </c>
      <c r="C376" t="s">
        <v>822</v>
      </c>
      <c r="D376" s="25" t="s">
        <v>10562</v>
      </c>
      <c r="E376" t="s">
        <v>192</v>
      </c>
      <c r="F376" s="28">
        <v>1</v>
      </c>
      <c r="G376" t="s">
        <v>193</v>
      </c>
      <c r="H376" t="s">
        <v>194</v>
      </c>
      <c r="I376" t="s">
        <v>13125</v>
      </c>
      <c r="J376" t="s">
        <v>210</v>
      </c>
      <c r="K376" t="s">
        <v>14719</v>
      </c>
      <c r="L376" t="s">
        <v>6258</v>
      </c>
      <c r="M376" t="s">
        <v>14098</v>
      </c>
      <c r="N376" t="s">
        <v>14099</v>
      </c>
      <c r="O376" t="s">
        <v>14100</v>
      </c>
      <c r="P376" t="s">
        <v>14720</v>
      </c>
      <c r="Q376" t="s">
        <v>14721</v>
      </c>
      <c r="S376" t="s">
        <v>9309</v>
      </c>
      <c r="T376" t="s">
        <v>9334</v>
      </c>
      <c r="U376" t="s">
        <v>823</v>
      </c>
      <c r="V376" t="s">
        <v>194</v>
      </c>
      <c r="W376" t="s">
        <v>9300</v>
      </c>
      <c r="Z376" t="s">
        <v>9311</v>
      </c>
      <c r="AF376" t="s">
        <v>4714</v>
      </c>
      <c r="AG376" t="s">
        <v>14718</v>
      </c>
      <c r="AI376" t="s">
        <v>6955</v>
      </c>
      <c r="AJ376" s="27" t="str">
        <f t="shared" si="10"/>
        <v>741103</v>
      </c>
      <c r="AK376" s="27">
        <v>1</v>
      </c>
      <c r="AL376" s="27">
        <f t="shared" si="11"/>
        <v>1</v>
      </c>
      <c r="AM376" s="28">
        <v>1</v>
      </c>
    </row>
    <row r="377" spans="1:39" x14ac:dyDescent="0.25">
      <c r="A377" t="s">
        <v>14001</v>
      </c>
      <c r="B377" t="s">
        <v>14722</v>
      </c>
      <c r="C377" t="s">
        <v>4639</v>
      </c>
      <c r="D377" s="25" t="s">
        <v>10562</v>
      </c>
      <c r="E377" t="s">
        <v>192</v>
      </c>
      <c r="F377" s="28">
        <v>1</v>
      </c>
      <c r="G377" t="s">
        <v>193</v>
      </c>
      <c r="H377" t="s">
        <v>194</v>
      </c>
      <c r="I377" t="s">
        <v>13152</v>
      </c>
      <c r="J377" t="s">
        <v>5098</v>
      </c>
      <c r="K377" t="s">
        <v>14723</v>
      </c>
      <c r="L377" t="s">
        <v>6302</v>
      </c>
      <c r="M377" t="s">
        <v>14098</v>
      </c>
      <c r="N377" t="s">
        <v>14099</v>
      </c>
      <c r="O377" t="s">
        <v>14100</v>
      </c>
      <c r="P377" t="s">
        <v>14724</v>
      </c>
      <c r="Q377" t="s">
        <v>14725</v>
      </c>
      <c r="S377" t="s">
        <v>9309</v>
      </c>
      <c r="T377" t="s">
        <v>9786</v>
      </c>
      <c r="U377" t="s">
        <v>4640</v>
      </c>
      <c r="V377" t="s">
        <v>194</v>
      </c>
      <c r="W377" t="s">
        <v>9300</v>
      </c>
      <c r="Z377" t="s">
        <v>9311</v>
      </c>
      <c r="AF377" t="s">
        <v>4714</v>
      </c>
      <c r="AG377" t="s">
        <v>14722</v>
      </c>
      <c r="AI377" t="s">
        <v>6955</v>
      </c>
      <c r="AJ377" s="27" t="str">
        <f t="shared" si="10"/>
        <v>243203</v>
      </c>
      <c r="AK377" s="27">
        <v>1</v>
      </c>
      <c r="AL377" s="27">
        <f t="shared" si="11"/>
        <v>1</v>
      </c>
      <c r="AM377" s="28">
        <v>1</v>
      </c>
    </row>
    <row r="378" spans="1:39" x14ac:dyDescent="0.25">
      <c r="A378" t="s">
        <v>14726</v>
      </c>
      <c r="B378" t="s">
        <v>14727</v>
      </c>
      <c r="C378" t="s">
        <v>21</v>
      </c>
      <c r="D378" s="25" t="s">
        <v>10562</v>
      </c>
      <c r="E378" t="s">
        <v>192</v>
      </c>
      <c r="F378" s="28">
        <v>1</v>
      </c>
      <c r="G378" t="s">
        <v>193</v>
      </c>
      <c r="H378" t="s">
        <v>194</v>
      </c>
      <c r="I378" t="s">
        <v>13152</v>
      </c>
      <c r="J378" t="s">
        <v>9302</v>
      </c>
      <c r="K378" t="s">
        <v>14728</v>
      </c>
      <c r="L378" t="s">
        <v>6324</v>
      </c>
      <c r="M378" t="s">
        <v>14098</v>
      </c>
      <c r="N378" t="s">
        <v>14099</v>
      </c>
      <c r="O378" t="s">
        <v>14100</v>
      </c>
      <c r="P378" t="s">
        <v>14729</v>
      </c>
      <c r="Q378" t="s">
        <v>14730</v>
      </c>
      <c r="S378" t="s">
        <v>9309</v>
      </c>
      <c r="U378" t="s">
        <v>293</v>
      </c>
      <c r="V378" t="s">
        <v>193</v>
      </c>
      <c r="W378" t="s">
        <v>9310</v>
      </c>
      <c r="Z378" t="s">
        <v>9311</v>
      </c>
      <c r="AF378" t="s">
        <v>4714</v>
      </c>
      <c r="AG378" t="s">
        <v>14727</v>
      </c>
      <c r="AI378" t="s">
        <v>6955</v>
      </c>
      <c r="AJ378" s="27" t="str">
        <f t="shared" si="10"/>
        <v>214202</v>
      </c>
      <c r="AK378" s="27">
        <v>1</v>
      </c>
      <c r="AL378" s="27">
        <f t="shared" si="11"/>
        <v>1</v>
      </c>
      <c r="AM378" s="28">
        <v>1</v>
      </c>
    </row>
    <row r="379" spans="1:39" x14ac:dyDescent="0.25">
      <c r="A379" t="s">
        <v>10425</v>
      </c>
      <c r="B379" t="s">
        <v>14731</v>
      </c>
      <c r="C379" t="s">
        <v>80</v>
      </c>
      <c r="D379" s="25" t="s">
        <v>10562</v>
      </c>
      <c r="E379" t="s">
        <v>192</v>
      </c>
      <c r="F379" s="28">
        <v>1</v>
      </c>
      <c r="G379" t="s">
        <v>193</v>
      </c>
      <c r="H379" t="s">
        <v>194</v>
      </c>
      <c r="I379" t="s">
        <v>13111</v>
      </c>
      <c r="J379" t="s">
        <v>9302</v>
      </c>
      <c r="K379" t="s">
        <v>14732</v>
      </c>
      <c r="L379" t="s">
        <v>6251</v>
      </c>
      <c r="M379" t="s">
        <v>14098</v>
      </c>
      <c r="N379" t="s">
        <v>14099</v>
      </c>
      <c r="O379" t="s">
        <v>14100</v>
      </c>
      <c r="P379" t="s">
        <v>14733</v>
      </c>
      <c r="Q379" t="s">
        <v>14734</v>
      </c>
      <c r="S379" t="s">
        <v>9309</v>
      </c>
      <c r="U379" t="s">
        <v>474</v>
      </c>
      <c r="V379" t="s">
        <v>193</v>
      </c>
      <c r="W379" t="s">
        <v>9310</v>
      </c>
      <c r="Z379" t="s">
        <v>9311</v>
      </c>
      <c r="AF379" t="s">
        <v>4714</v>
      </c>
      <c r="AG379" t="s">
        <v>14731</v>
      </c>
      <c r="AI379" t="s">
        <v>6955</v>
      </c>
      <c r="AJ379" s="27" t="str">
        <f t="shared" si="10"/>
        <v>243304</v>
      </c>
      <c r="AK379" s="27">
        <v>1</v>
      </c>
      <c r="AL379" s="27">
        <f t="shared" si="11"/>
        <v>1</v>
      </c>
      <c r="AM379" s="28">
        <v>1</v>
      </c>
    </row>
    <row r="380" spans="1:39" x14ac:dyDescent="0.25">
      <c r="A380" t="s">
        <v>581</v>
      </c>
      <c r="B380" t="s">
        <v>14020</v>
      </c>
      <c r="C380" t="s">
        <v>62</v>
      </c>
      <c r="D380" s="25" t="s">
        <v>10562</v>
      </c>
      <c r="E380" t="s">
        <v>217</v>
      </c>
      <c r="F380" s="28">
        <v>1</v>
      </c>
      <c r="G380" t="s">
        <v>193</v>
      </c>
      <c r="H380" t="s">
        <v>194</v>
      </c>
      <c r="I380" t="s">
        <v>13164</v>
      </c>
      <c r="J380" t="s">
        <v>253</v>
      </c>
      <c r="K380" t="s">
        <v>14021</v>
      </c>
      <c r="L380" t="s">
        <v>6275</v>
      </c>
      <c r="M380" t="s">
        <v>14198</v>
      </c>
      <c r="N380" t="s">
        <v>14735</v>
      </c>
      <c r="O380" t="s">
        <v>10546</v>
      </c>
      <c r="P380" t="s">
        <v>14736</v>
      </c>
      <c r="Q380" t="s">
        <v>14737</v>
      </c>
      <c r="S380" t="s">
        <v>9309</v>
      </c>
      <c r="T380" t="s">
        <v>9468</v>
      </c>
      <c r="U380" t="s">
        <v>601</v>
      </c>
      <c r="V380" t="s">
        <v>194</v>
      </c>
      <c r="W380" t="s">
        <v>9300</v>
      </c>
      <c r="Z380" t="s">
        <v>9311</v>
      </c>
      <c r="AF380" t="s">
        <v>4714</v>
      </c>
      <c r="AG380" t="s">
        <v>9433</v>
      </c>
      <c r="AI380" t="s">
        <v>6955</v>
      </c>
      <c r="AJ380" s="27" t="str">
        <f t="shared" si="10"/>
        <v>313904</v>
      </c>
      <c r="AK380" s="27">
        <v>1</v>
      </c>
      <c r="AL380" s="27">
        <f t="shared" si="11"/>
        <v>1</v>
      </c>
      <c r="AM380" s="28">
        <v>1</v>
      </c>
    </row>
    <row r="381" spans="1:39" x14ac:dyDescent="0.25">
      <c r="A381" t="s">
        <v>581</v>
      </c>
      <c r="B381" t="s">
        <v>14025</v>
      </c>
      <c r="C381" t="s">
        <v>14026</v>
      </c>
      <c r="D381" s="25" t="s">
        <v>10562</v>
      </c>
      <c r="E381" t="s">
        <v>217</v>
      </c>
      <c r="F381" s="28">
        <v>1</v>
      </c>
      <c r="G381" t="s">
        <v>193</v>
      </c>
      <c r="H381" t="s">
        <v>194</v>
      </c>
      <c r="I381" t="s">
        <v>13152</v>
      </c>
      <c r="J381" t="s">
        <v>210</v>
      </c>
      <c r="K381" t="s">
        <v>14027</v>
      </c>
      <c r="L381" t="s">
        <v>6269</v>
      </c>
      <c r="M381" t="s">
        <v>14198</v>
      </c>
      <c r="N381" t="s">
        <v>14738</v>
      </c>
      <c r="O381" t="s">
        <v>13111</v>
      </c>
      <c r="P381" t="s">
        <v>14739</v>
      </c>
      <c r="Q381" t="s">
        <v>14740</v>
      </c>
      <c r="S381" t="s">
        <v>9309</v>
      </c>
      <c r="T381" t="s">
        <v>9334</v>
      </c>
      <c r="U381" t="s">
        <v>14030</v>
      </c>
      <c r="V381" t="s">
        <v>194</v>
      </c>
      <c r="W381" t="s">
        <v>9300</v>
      </c>
      <c r="Z381" t="s">
        <v>9311</v>
      </c>
      <c r="AF381" t="s">
        <v>5109</v>
      </c>
      <c r="AG381" t="s">
        <v>9433</v>
      </c>
      <c r="AI381" t="s">
        <v>6955</v>
      </c>
      <c r="AJ381" s="27" t="str">
        <f t="shared" si="10"/>
        <v>432303</v>
      </c>
      <c r="AK381" s="27">
        <v>1</v>
      </c>
      <c r="AL381" s="27">
        <f t="shared" si="11"/>
        <v>1</v>
      </c>
      <c r="AM381" s="28">
        <v>1</v>
      </c>
    </row>
    <row r="382" spans="1:39" x14ac:dyDescent="0.25">
      <c r="A382" t="s">
        <v>14741</v>
      </c>
      <c r="B382" t="s">
        <v>5562</v>
      </c>
      <c r="C382" t="s">
        <v>111</v>
      </c>
      <c r="D382" s="25" t="s">
        <v>10562</v>
      </c>
      <c r="E382" t="s">
        <v>192</v>
      </c>
      <c r="F382" s="28">
        <v>1</v>
      </c>
      <c r="G382" t="s">
        <v>193</v>
      </c>
      <c r="H382" t="s">
        <v>194</v>
      </c>
      <c r="I382" t="s">
        <v>13119</v>
      </c>
      <c r="J382" t="s">
        <v>210</v>
      </c>
      <c r="K382" t="s">
        <v>14742</v>
      </c>
      <c r="L382" t="s">
        <v>6254</v>
      </c>
      <c r="M382" t="s">
        <v>14098</v>
      </c>
      <c r="N382" t="s">
        <v>14099</v>
      </c>
      <c r="O382" t="s">
        <v>14100</v>
      </c>
      <c r="P382" t="s">
        <v>14743</v>
      </c>
      <c r="Q382" t="s">
        <v>14744</v>
      </c>
      <c r="S382" t="s">
        <v>9309</v>
      </c>
      <c r="T382" t="s">
        <v>9334</v>
      </c>
      <c r="U382" t="s">
        <v>612</v>
      </c>
      <c r="V382" t="s">
        <v>194</v>
      </c>
      <c r="W382" t="s">
        <v>9300</v>
      </c>
      <c r="Z382" t="s">
        <v>9311</v>
      </c>
      <c r="AF382" t="s">
        <v>4714</v>
      </c>
      <c r="AG382" t="s">
        <v>5562</v>
      </c>
      <c r="AI382" t="s">
        <v>6955</v>
      </c>
      <c r="AJ382" s="27" t="str">
        <f t="shared" si="10"/>
        <v>332101</v>
      </c>
      <c r="AK382" s="27">
        <v>1</v>
      </c>
      <c r="AL382" s="27">
        <f t="shared" si="11"/>
        <v>1</v>
      </c>
      <c r="AM382" s="28">
        <v>1</v>
      </c>
    </row>
    <row r="383" spans="1:39" x14ac:dyDescent="0.25">
      <c r="A383" t="s">
        <v>14741</v>
      </c>
      <c r="B383" t="s">
        <v>7758</v>
      </c>
      <c r="C383" t="s">
        <v>35</v>
      </c>
      <c r="D383" s="25" t="s">
        <v>10562</v>
      </c>
      <c r="E383" t="s">
        <v>192</v>
      </c>
      <c r="F383" s="28">
        <v>1</v>
      </c>
      <c r="G383" t="s">
        <v>193</v>
      </c>
      <c r="H383" t="s">
        <v>194</v>
      </c>
      <c r="I383" t="s">
        <v>13152</v>
      </c>
      <c r="J383" t="s">
        <v>9302</v>
      </c>
      <c r="K383" t="s">
        <v>14745</v>
      </c>
      <c r="L383" t="s">
        <v>6254</v>
      </c>
      <c r="M383" t="s">
        <v>14098</v>
      </c>
      <c r="N383" t="s">
        <v>14099</v>
      </c>
      <c r="O383" t="s">
        <v>14100</v>
      </c>
      <c r="P383" t="s">
        <v>14746</v>
      </c>
      <c r="Q383" t="s">
        <v>14747</v>
      </c>
      <c r="S383" t="s">
        <v>9309</v>
      </c>
      <c r="U383" t="s">
        <v>207</v>
      </c>
      <c r="V383" t="s">
        <v>193</v>
      </c>
      <c r="W383" t="s">
        <v>9310</v>
      </c>
      <c r="Z383" t="s">
        <v>9311</v>
      </c>
      <c r="AF383" t="s">
        <v>4714</v>
      </c>
      <c r="AG383" t="s">
        <v>7758</v>
      </c>
      <c r="AI383" t="s">
        <v>6955</v>
      </c>
      <c r="AJ383" s="27" t="str">
        <f t="shared" si="10"/>
        <v>122106</v>
      </c>
      <c r="AK383" s="27">
        <v>1</v>
      </c>
      <c r="AL383" s="27">
        <f t="shared" si="11"/>
        <v>1</v>
      </c>
      <c r="AM383" s="28">
        <v>1</v>
      </c>
    </row>
    <row r="384" spans="1:39" x14ac:dyDescent="0.25">
      <c r="A384" t="s">
        <v>14748</v>
      </c>
      <c r="B384" t="s">
        <v>1488</v>
      </c>
      <c r="C384" t="s">
        <v>12</v>
      </c>
      <c r="D384" s="25" t="s">
        <v>10562</v>
      </c>
      <c r="E384" t="s">
        <v>233</v>
      </c>
      <c r="F384" s="28">
        <v>1</v>
      </c>
      <c r="G384" t="s">
        <v>193</v>
      </c>
      <c r="H384" t="s">
        <v>194</v>
      </c>
      <c r="I384" t="s">
        <v>13160</v>
      </c>
      <c r="J384" t="s">
        <v>9302</v>
      </c>
      <c r="K384" t="s">
        <v>14749</v>
      </c>
      <c r="L384" t="s">
        <v>6256</v>
      </c>
      <c r="M384" t="s">
        <v>14326</v>
      </c>
      <c r="N384" t="s">
        <v>14750</v>
      </c>
      <c r="O384" t="s">
        <v>13111</v>
      </c>
      <c r="P384" t="s">
        <v>14751</v>
      </c>
      <c r="Q384" t="s">
        <v>14752</v>
      </c>
      <c r="S384" t="s">
        <v>9309</v>
      </c>
      <c r="T384" t="s">
        <v>11163</v>
      </c>
      <c r="U384" t="s">
        <v>220</v>
      </c>
      <c r="V384" t="s">
        <v>194</v>
      </c>
      <c r="W384" t="s">
        <v>9300</v>
      </c>
      <c r="Z384" t="s">
        <v>9311</v>
      </c>
      <c r="AF384" t="s">
        <v>4714</v>
      </c>
      <c r="AG384" t="s">
        <v>12</v>
      </c>
      <c r="AI384" t="s">
        <v>6955</v>
      </c>
      <c r="AJ384" s="27" t="str">
        <f t="shared" si="10"/>
        <v>132301</v>
      </c>
      <c r="AK384" s="27">
        <v>1</v>
      </c>
      <c r="AL384" s="27">
        <f t="shared" si="11"/>
        <v>1</v>
      </c>
      <c r="AM384" s="28">
        <v>1</v>
      </c>
    </row>
    <row r="385" spans="1:39" x14ac:dyDescent="0.25">
      <c r="A385" t="s">
        <v>14753</v>
      </c>
      <c r="B385" t="s">
        <v>14754</v>
      </c>
      <c r="C385" t="s">
        <v>37</v>
      </c>
      <c r="D385" s="25" t="s">
        <v>10562</v>
      </c>
      <c r="E385" t="s">
        <v>192</v>
      </c>
      <c r="F385" s="28">
        <v>1</v>
      </c>
      <c r="G385" t="s">
        <v>193</v>
      </c>
      <c r="H385" t="s">
        <v>194</v>
      </c>
      <c r="I385" t="s">
        <v>13152</v>
      </c>
      <c r="J385" t="s">
        <v>9302</v>
      </c>
      <c r="K385" t="s">
        <v>14755</v>
      </c>
      <c r="L385" t="s">
        <v>6340</v>
      </c>
      <c r="M385" t="s">
        <v>14098</v>
      </c>
      <c r="N385" t="s">
        <v>14099</v>
      </c>
      <c r="O385" t="s">
        <v>14100</v>
      </c>
      <c r="P385" t="s">
        <v>14756</v>
      </c>
      <c r="Q385" t="s">
        <v>14757</v>
      </c>
      <c r="S385" t="s">
        <v>9309</v>
      </c>
      <c r="U385" t="s">
        <v>516</v>
      </c>
      <c r="V385" t="s">
        <v>193</v>
      </c>
      <c r="W385" t="s">
        <v>9310</v>
      </c>
      <c r="Z385" t="s">
        <v>9311</v>
      </c>
      <c r="AF385" t="s">
        <v>4714</v>
      </c>
      <c r="AG385" t="s">
        <v>14754</v>
      </c>
      <c r="AI385" t="s">
        <v>6955</v>
      </c>
      <c r="AJ385" s="27" t="str">
        <f t="shared" si="10"/>
        <v>252302</v>
      </c>
      <c r="AK385" s="27">
        <v>1</v>
      </c>
      <c r="AL385" s="27">
        <f t="shared" si="11"/>
        <v>1</v>
      </c>
      <c r="AM385" s="28">
        <v>1</v>
      </c>
    </row>
    <row r="386" spans="1:39" x14ac:dyDescent="0.25">
      <c r="A386" t="s">
        <v>14758</v>
      </c>
      <c r="B386" t="s">
        <v>212</v>
      </c>
      <c r="C386" t="s">
        <v>35</v>
      </c>
      <c r="D386" s="25" t="s">
        <v>10562</v>
      </c>
      <c r="E386" t="s">
        <v>192</v>
      </c>
      <c r="F386" s="28">
        <v>1</v>
      </c>
      <c r="G386" t="s">
        <v>193</v>
      </c>
      <c r="H386" t="s">
        <v>194</v>
      </c>
      <c r="I386" t="s">
        <v>13160</v>
      </c>
      <c r="J386" t="s">
        <v>9302</v>
      </c>
      <c r="K386" t="s">
        <v>14759</v>
      </c>
      <c r="L386" t="s">
        <v>6251</v>
      </c>
      <c r="M386" t="s">
        <v>14098</v>
      </c>
      <c r="N386" t="s">
        <v>14099</v>
      </c>
      <c r="O386" t="s">
        <v>14100</v>
      </c>
      <c r="P386" t="s">
        <v>14760</v>
      </c>
      <c r="Q386" t="s">
        <v>14761</v>
      </c>
      <c r="S386" t="s">
        <v>9309</v>
      </c>
      <c r="U386" t="s">
        <v>207</v>
      </c>
      <c r="V386" t="s">
        <v>193</v>
      </c>
      <c r="W386" t="s">
        <v>9310</v>
      </c>
      <c r="Z386" t="s">
        <v>9311</v>
      </c>
      <c r="AF386" t="s">
        <v>4714</v>
      </c>
      <c r="AG386" t="s">
        <v>212</v>
      </c>
      <c r="AI386" t="s">
        <v>6955</v>
      </c>
      <c r="AJ386" s="27" t="str">
        <f t="shared" si="10"/>
        <v>122106</v>
      </c>
      <c r="AK386" s="27">
        <v>1</v>
      </c>
      <c r="AL386" s="27">
        <f t="shared" si="11"/>
        <v>1</v>
      </c>
      <c r="AM386" s="28">
        <v>1</v>
      </c>
    </row>
    <row r="387" spans="1:39" x14ac:dyDescent="0.25">
      <c r="A387" t="s">
        <v>14762</v>
      </c>
      <c r="B387" t="s">
        <v>14763</v>
      </c>
      <c r="C387" t="s">
        <v>740</v>
      </c>
      <c r="D387" s="25" t="s">
        <v>10562</v>
      </c>
      <c r="E387" t="s">
        <v>192</v>
      </c>
      <c r="F387" s="28">
        <v>1</v>
      </c>
      <c r="G387" t="s">
        <v>193</v>
      </c>
      <c r="H387" t="s">
        <v>194</v>
      </c>
      <c r="I387" t="s">
        <v>13152</v>
      </c>
      <c r="J387" t="s">
        <v>210</v>
      </c>
      <c r="K387" t="s">
        <v>14764</v>
      </c>
      <c r="L387" t="s">
        <v>6275</v>
      </c>
      <c r="M387" t="s">
        <v>14098</v>
      </c>
      <c r="N387" t="s">
        <v>14099</v>
      </c>
      <c r="O387" t="s">
        <v>14100</v>
      </c>
      <c r="P387" t="s">
        <v>14765</v>
      </c>
      <c r="Q387" t="s">
        <v>14766</v>
      </c>
      <c r="S387" t="s">
        <v>9309</v>
      </c>
      <c r="T387" t="s">
        <v>9334</v>
      </c>
      <c r="U387" t="s">
        <v>741</v>
      </c>
      <c r="V387" t="s">
        <v>194</v>
      </c>
      <c r="W387" t="s">
        <v>9300</v>
      </c>
      <c r="Z387" t="s">
        <v>9311</v>
      </c>
      <c r="AF387" t="s">
        <v>4714</v>
      </c>
      <c r="AG387" t="s">
        <v>14763</v>
      </c>
      <c r="AI387" t="s">
        <v>6955</v>
      </c>
      <c r="AJ387" s="27" t="str">
        <f t="shared" ref="AJ387:AJ450" si="12">MID(U387,8,6)</f>
        <v>522301</v>
      </c>
      <c r="AK387" s="27">
        <v>1</v>
      </c>
      <c r="AL387" s="27">
        <f t="shared" ref="AL387:AL450" si="13">SUM(F387)</f>
        <v>1</v>
      </c>
      <c r="AM387" s="28">
        <v>1</v>
      </c>
    </row>
    <row r="388" spans="1:39" x14ac:dyDescent="0.25">
      <c r="A388" t="s">
        <v>10481</v>
      </c>
      <c r="B388" t="s">
        <v>2192</v>
      </c>
      <c r="C388" t="s">
        <v>29</v>
      </c>
      <c r="D388" s="25" t="s">
        <v>10562</v>
      </c>
      <c r="E388" t="s">
        <v>192</v>
      </c>
      <c r="F388" s="28">
        <v>1</v>
      </c>
      <c r="G388" t="s">
        <v>193</v>
      </c>
      <c r="H388" t="s">
        <v>194</v>
      </c>
      <c r="I388" t="s">
        <v>13125</v>
      </c>
      <c r="J388" t="s">
        <v>10485</v>
      </c>
      <c r="K388" t="s">
        <v>14767</v>
      </c>
      <c r="L388" t="s">
        <v>6275</v>
      </c>
      <c r="M388" t="s">
        <v>14098</v>
      </c>
      <c r="N388" t="s">
        <v>14099</v>
      </c>
      <c r="O388" t="s">
        <v>14100</v>
      </c>
      <c r="P388" t="s">
        <v>14768</v>
      </c>
      <c r="Q388" t="s">
        <v>14769</v>
      </c>
      <c r="S388" t="s">
        <v>9309</v>
      </c>
      <c r="T388" t="s">
        <v>9367</v>
      </c>
      <c r="U388" t="s">
        <v>808</v>
      </c>
      <c r="V388" t="s">
        <v>194</v>
      </c>
      <c r="W388" t="s">
        <v>9300</v>
      </c>
      <c r="Z388" t="s">
        <v>9311</v>
      </c>
      <c r="AF388" t="s">
        <v>4714</v>
      </c>
      <c r="AG388" t="s">
        <v>2192</v>
      </c>
      <c r="AI388" t="s">
        <v>6955</v>
      </c>
      <c r="AJ388" s="27" t="str">
        <f t="shared" si="12"/>
        <v>722308</v>
      </c>
      <c r="AK388" s="27">
        <v>1</v>
      </c>
      <c r="AL388" s="27">
        <f t="shared" si="13"/>
        <v>1</v>
      </c>
      <c r="AM388" s="28">
        <v>1</v>
      </c>
    </row>
    <row r="389" spans="1:39" x14ac:dyDescent="0.25">
      <c r="A389" t="s">
        <v>6239</v>
      </c>
      <c r="B389" t="s">
        <v>14770</v>
      </c>
      <c r="C389" t="s">
        <v>14771</v>
      </c>
      <c r="D389" s="25" t="s">
        <v>10562</v>
      </c>
      <c r="E389" t="s">
        <v>192</v>
      </c>
      <c r="F389" s="28">
        <v>1</v>
      </c>
      <c r="G389" t="s">
        <v>193</v>
      </c>
      <c r="H389" t="s">
        <v>194</v>
      </c>
      <c r="I389" t="s">
        <v>13164</v>
      </c>
      <c r="J389" t="s">
        <v>9302</v>
      </c>
      <c r="K389" t="s">
        <v>14772</v>
      </c>
      <c r="L389" t="s">
        <v>6312</v>
      </c>
      <c r="M389" t="s">
        <v>14098</v>
      </c>
      <c r="N389" t="s">
        <v>14099</v>
      </c>
      <c r="O389" t="s">
        <v>14100</v>
      </c>
      <c r="P389" t="s">
        <v>14773</v>
      </c>
      <c r="Q389" t="s">
        <v>14774</v>
      </c>
      <c r="S389" t="s">
        <v>9309</v>
      </c>
      <c r="U389" t="s">
        <v>14775</v>
      </c>
      <c r="V389" t="s">
        <v>193</v>
      </c>
      <c r="W389" t="s">
        <v>9310</v>
      </c>
      <c r="Z389" t="s">
        <v>9311</v>
      </c>
      <c r="AF389" t="s">
        <v>4714</v>
      </c>
      <c r="AG389" t="s">
        <v>14770</v>
      </c>
      <c r="AI389" t="s">
        <v>6955</v>
      </c>
      <c r="AJ389" s="27" t="str">
        <f t="shared" si="12"/>
        <v>235908</v>
      </c>
      <c r="AK389" s="27">
        <v>1</v>
      </c>
      <c r="AL389" s="27">
        <f t="shared" si="13"/>
        <v>1</v>
      </c>
      <c r="AM389" s="28">
        <v>1</v>
      </c>
    </row>
    <row r="390" spans="1:39" x14ac:dyDescent="0.25">
      <c r="A390" t="s">
        <v>11612</v>
      </c>
      <c r="B390" t="s">
        <v>14776</v>
      </c>
      <c r="C390" t="s">
        <v>10</v>
      </c>
      <c r="D390" s="25" t="s">
        <v>14750</v>
      </c>
      <c r="E390" t="s">
        <v>192</v>
      </c>
      <c r="F390" s="28">
        <v>1</v>
      </c>
      <c r="G390" t="s">
        <v>193</v>
      </c>
      <c r="H390" t="s">
        <v>194</v>
      </c>
      <c r="I390" t="s">
        <v>14777</v>
      </c>
      <c r="J390" t="s">
        <v>9302</v>
      </c>
      <c r="K390" t="s">
        <v>14778</v>
      </c>
      <c r="L390" t="s">
        <v>6261</v>
      </c>
      <c r="M390" t="s">
        <v>14779</v>
      </c>
      <c r="N390" t="s">
        <v>14780</v>
      </c>
      <c r="O390" t="s">
        <v>13125</v>
      </c>
      <c r="P390" t="s">
        <v>14781</v>
      </c>
      <c r="Q390" t="s">
        <v>14782</v>
      </c>
      <c r="S390" t="s">
        <v>9309</v>
      </c>
      <c r="U390" t="s">
        <v>484</v>
      </c>
      <c r="V390" t="s">
        <v>193</v>
      </c>
      <c r="W390" t="s">
        <v>9310</v>
      </c>
      <c r="Z390" t="s">
        <v>9311</v>
      </c>
      <c r="AF390" t="s">
        <v>4714</v>
      </c>
      <c r="AG390" t="s">
        <v>14776</v>
      </c>
      <c r="AI390" t="s">
        <v>6955</v>
      </c>
      <c r="AJ390" s="27" t="str">
        <f t="shared" si="12"/>
        <v>251401</v>
      </c>
      <c r="AK390" s="27">
        <v>1</v>
      </c>
      <c r="AL390" s="27">
        <f t="shared" si="13"/>
        <v>1</v>
      </c>
      <c r="AM390" s="28">
        <v>1</v>
      </c>
    </row>
    <row r="391" spans="1:39" x14ac:dyDescent="0.25">
      <c r="A391" t="s">
        <v>11612</v>
      </c>
      <c r="B391" t="s">
        <v>14783</v>
      </c>
      <c r="C391" t="s">
        <v>10</v>
      </c>
      <c r="D391" s="25" t="s">
        <v>14750</v>
      </c>
      <c r="E391" t="s">
        <v>192</v>
      </c>
      <c r="F391" s="28">
        <v>1</v>
      </c>
      <c r="G391" t="s">
        <v>193</v>
      </c>
      <c r="H391" t="s">
        <v>194</v>
      </c>
      <c r="I391" t="s">
        <v>14777</v>
      </c>
      <c r="J391" t="s">
        <v>9302</v>
      </c>
      <c r="K391" t="s">
        <v>14784</v>
      </c>
      <c r="L391" t="s">
        <v>6261</v>
      </c>
      <c r="M391" t="s">
        <v>14779</v>
      </c>
      <c r="N391" t="s">
        <v>14780</v>
      </c>
      <c r="O391" t="s">
        <v>13125</v>
      </c>
      <c r="P391" t="s">
        <v>14785</v>
      </c>
      <c r="Q391" t="s">
        <v>14786</v>
      </c>
      <c r="S391" t="s">
        <v>9309</v>
      </c>
      <c r="U391" t="s">
        <v>484</v>
      </c>
      <c r="V391" t="s">
        <v>193</v>
      </c>
      <c r="W391" t="s">
        <v>9310</v>
      </c>
      <c r="Z391" t="s">
        <v>9311</v>
      </c>
      <c r="AF391" t="s">
        <v>4714</v>
      </c>
      <c r="AG391" t="s">
        <v>14783</v>
      </c>
      <c r="AI391" t="s">
        <v>6955</v>
      </c>
      <c r="AJ391" s="27" t="str">
        <f t="shared" si="12"/>
        <v>251401</v>
      </c>
      <c r="AK391" s="27">
        <v>1</v>
      </c>
      <c r="AL391" s="27">
        <f t="shared" si="13"/>
        <v>1</v>
      </c>
      <c r="AM391" s="28">
        <v>1</v>
      </c>
    </row>
    <row r="392" spans="1:39" x14ac:dyDescent="0.25">
      <c r="A392" t="s">
        <v>11612</v>
      </c>
      <c r="B392" t="s">
        <v>14787</v>
      </c>
      <c r="C392" t="s">
        <v>10</v>
      </c>
      <c r="D392" s="25" t="s">
        <v>14750</v>
      </c>
      <c r="E392" t="s">
        <v>192</v>
      </c>
      <c r="F392" s="28">
        <v>1</v>
      </c>
      <c r="G392" t="s">
        <v>193</v>
      </c>
      <c r="H392" t="s">
        <v>194</v>
      </c>
      <c r="I392" t="s">
        <v>14788</v>
      </c>
      <c r="J392" t="s">
        <v>9302</v>
      </c>
      <c r="K392" t="s">
        <v>14789</v>
      </c>
      <c r="L392" t="s">
        <v>6261</v>
      </c>
      <c r="M392" t="s">
        <v>14779</v>
      </c>
      <c r="N392" t="s">
        <v>14780</v>
      </c>
      <c r="O392" t="s">
        <v>13125</v>
      </c>
      <c r="P392" t="s">
        <v>14790</v>
      </c>
      <c r="Q392" t="s">
        <v>14791</v>
      </c>
      <c r="S392" t="s">
        <v>9309</v>
      </c>
      <c r="U392" t="s">
        <v>484</v>
      </c>
      <c r="V392" t="s">
        <v>193</v>
      </c>
      <c r="W392" t="s">
        <v>9310</v>
      </c>
      <c r="Z392" t="s">
        <v>9311</v>
      </c>
      <c r="AF392" t="s">
        <v>4714</v>
      </c>
      <c r="AG392" t="s">
        <v>14787</v>
      </c>
      <c r="AI392" t="s">
        <v>6955</v>
      </c>
      <c r="AJ392" s="27" t="str">
        <f t="shared" si="12"/>
        <v>251401</v>
      </c>
      <c r="AK392" s="27">
        <v>1</v>
      </c>
      <c r="AL392" s="27">
        <f t="shared" si="13"/>
        <v>1</v>
      </c>
      <c r="AM392" s="28">
        <v>1</v>
      </c>
    </row>
    <row r="393" spans="1:39" x14ac:dyDescent="0.25">
      <c r="A393" t="s">
        <v>11612</v>
      </c>
      <c r="B393" t="s">
        <v>14792</v>
      </c>
      <c r="C393" t="s">
        <v>480</v>
      </c>
      <c r="D393" s="25" t="s">
        <v>14750</v>
      </c>
      <c r="E393" t="s">
        <v>192</v>
      </c>
      <c r="F393" s="28">
        <v>1</v>
      </c>
      <c r="G393" t="s">
        <v>193</v>
      </c>
      <c r="H393" t="s">
        <v>194</v>
      </c>
      <c r="I393" t="s">
        <v>14022</v>
      </c>
      <c r="J393" t="s">
        <v>9302</v>
      </c>
      <c r="K393" t="s">
        <v>14793</v>
      </c>
      <c r="L393" t="s">
        <v>6261</v>
      </c>
      <c r="M393" t="s">
        <v>14779</v>
      </c>
      <c r="N393" t="s">
        <v>14780</v>
      </c>
      <c r="O393" t="s">
        <v>13125</v>
      </c>
      <c r="P393" t="s">
        <v>14794</v>
      </c>
      <c r="Q393" t="s">
        <v>14795</v>
      </c>
      <c r="S393" t="s">
        <v>9309</v>
      </c>
      <c r="U393" t="s">
        <v>481</v>
      </c>
      <c r="V393" t="s">
        <v>193</v>
      </c>
      <c r="W393" t="s">
        <v>9310</v>
      </c>
      <c r="Z393" t="s">
        <v>9311</v>
      </c>
      <c r="AF393" t="s">
        <v>4714</v>
      </c>
      <c r="AG393" t="s">
        <v>14792</v>
      </c>
      <c r="AI393" t="s">
        <v>6955</v>
      </c>
      <c r="AJ393" s="27" t="str">
        <f t="shared" si="12"/>
        <v>251201</v>
      </c>
      <c r="AK393" s="27">
        <v>1</v>
      </c>
      <c r="AL393" s="27">
        <f t="shared" si="13"/>
        <v>1</v>
      </c>
      <c r="AM393" s="28">
        <v>1</v>
      </c>
    </row>
    <row r="394" spans="1:39" x14ac:dyDescent="0.25">
      <c r="A394" t="s">
        <v>11612</v>
      </c>
      <c r="B394" t="s">
        <v>14796</v>
      </c>
      <c r="C394" t="s">
        <v>10</v>
      </c>
      <c r="D394" s="25" t="s">
        <v>14750</v>
      </c>
      <c r="E394" t="s">
        <v>192</v>
      </c>
      <c r="F394" s="28">
        <v>1</v>
      </c>
      <c r="G394" t="s">
        <v>193</v>
      </c>
      <c r="H394" t="s">
        <v>194</v>
      </c>
      <c r="I394" t="s">
        <v>14788</v>
      </c>
      <c r="J394" t="s">
        <v>9302</v>
      </c>
      <c r="K394" t="s">
        <v>14797</v>
      </c>
      <c r="L394" t="s">
        <v>6261</v>
      </c>
      <c r="M394" t="s">
        <v>14779</v>
      </c>
      <c r="N394" t="s">
        <v>14780</v>
      </c>
      <c r="O394" t="s">
        <v>13125</v>
      </c>
      <c r="P394" t="s">
        <v>14798</v>
      </c>
      <c r="Q394" t="s">
        <v>14799</v>
      </c>
      <c r="S394" t="s">
        <v>9309</v>
      </c>
      <c r="U394" t="s">
        <v>484</v>
      </c>
      <c r="V394" t="s">
        <v>193</v>
      </c>
      <c r="W394" t="s">
        <v>9310</v>
      </c>
      <c r="Z394" t="s">
        <v>9311</v>
      </c>
      <c r="AF394" t="s">
        <v>4714</v>
      </c>
      <c r="AG394" t="s">
        <v>14796</v>
      </c>
      <c r="AI394" t="s">
        <v>6955</v>
      </c>
      <c r="AJ394" s="27" t="str">
        <f t="shared" si="12"/>
        <v>251401</v>
      </c>
      <c r="AK394" s="27">
        <v>1</v>
      </c>
      <c r="AL394" s="27">
        <f t="shared" si="13"/>
        <v>1</v>
      </c>
      <c r="AM394" s="28">
        <v>1</v>
      </c>
    </row>
    <row r="395" spans="1:39" x14ac:dyDescent="0.25">
      <c r="A395" t="s">
        <v>11612</v>
      </c>
      <c r="B395" t="s">
        <v>14800</v>
      </c>
      <c r="C395" t="s">
        <v>10</v>
      </c>
      <c r="D395" s="25" t="s">
        <v>14750</v>
      </c>
      <c r="E395" t="s">
        <v>192</v>
      </c>
      <c r="F395" s="28">
        <v>1</v>
      </c>
      <c r="G395" t="s">
        <v>193</v>
      </c>
      <c r="H395" t="s">
        <v>194</v>
      </c>
      <c r="I395" t="s">
        <v>14788</v>
      </c>
      <c r="J395" t="s">
        <v>9302</v>
      </c>
      <c r="K395" t="s">
        <v>14801</v>
      </c>
      <c r="L395" t="s">
        <v>6261</v>
      </c>
      <c r="M395" t="s">
        <v>14779</v>
      </c>
      <c r="N395" t="s">
        <v>14780</v>
      </c>
      <c r="O395" t="s">
        <v>13125</v>
      </c>
      <c r="P395" t="s">
        <v>14802</v>
      </c>
      <c r="Q395" t="s">
        <v>14803</v>
      </c>
      <c r="S395" t="s">
        <v>9309</v>
      </c>
      <c r="U395" t="s">
        <v>484</v>
      </c>
      <c r="V395" t="s">
        <v>193</v>
      </c>
      <c r="W395" t="s">
        <v>9310</v>
      </c>
      <c r="Z395" t="s">
        <v>9311</v>
      </c>
      <c r="AF395" t="s">
        <v>4714</v>
      </c>
      <c r="AG395" t="s">
        <v>14800</v>
      </c>
      <c r="AI395" t="s">
        <v>6955</v>
      </c>
      <c r="AJ395" s="27" t="str">
        <f t="shared" si="12"/>
        <v>251401</v>
      </c>
      <c r="AK395" s="27">
        <v>1</v>
      </c>
      <c r="AL395" s="27">
        <f t="shared" si="13"/>
        <v>1</v>
      </c>
      <c r="AM395" s="28">
        <v>1</v>
      </c>
    </row>
    <row r="396" spans="1:39" x14ac:dyDescent="0.25">
      <c r="A396" t="s">
        <v>9312</v>
      </c>
      <c r="B396" t="s">
        <v>14804</v>
      </c>
      <c r="C396" t="s">
        <v>10</v>
      </c>
      <c r="D396" s="25" t="s">
        <v>14750</v>
      </c>
      <c r="E396" t="s">
        <v>192</v>
      </c>
      <c r="F396" s="28">
        <v>1</v>
      </c>
      <c r="G396" t="s">
        <v>193</v>
      </c>
      <c r="H396" t="s">
        <v>194</v>
      </c>
      <c r="I396" t="s">
        <v>14777</v>
      </c>
      <c r="J396" t="s">
        <v>9302</v>
      </c>
      <c r="K396" t="s">
        <v>14805</v>
      </c>
      <c r="L396" t="s">
        <v>6261</v>
      </c>
      <c r="M396" t="s">
        <v>14779</v>
      </c>
      <c r="N396" t="s">
        <v>14780</v>
      </c>
      <c r="O396" t="s">
        <v>13125</v>
      </c>
      <c r="P396" t="s">
        <v>14806</v>
      </c>
      <c r="Q396" t="s">
        <v>14807</v>
      </c>
      <c r="S396" t="s">
        <v>9309</v>
      </c>
      <c r="U396" t="s">
        <v>484</v>
      </c>
      <c r="V396" t="s">
        <v>193</v>
      </c>
      <c r="W396" t="s">
        <v>9310</v>
      </c>
      <c r="Z396" t="s">
        <v>9311</v>
      </c>
      <c r="AF396" t="s">
        <v>4714</v>
      </c>
      <c r="AG396" t="s">
        <v>14804</v>
      </c>
      <c r="AI396" t="s">
        <v>6955</v>
      </c>
      <c r="AJ396" s="27" t="str">
        <f t="shared" si="12"/>
        <v>251401</v>
      </c>
      <c r="AK396" s="27">
        <v>1</v>
      </c>
      <c r="AL396" s="27">
        <f t="shared" si="13"/>
        <v>1</v>
      </c>
      <c r="AM396" s="28">
        <v>1</v>
      </c>
    </row>
    <row r="397" spans="1:39" x14ac:dyDescent="0.25">
      <c r="A397" t="s">
        <v>258</v>
      </c>
      <c r="B397" t="s">
        <v>537</v>
      </c>
      <c r="C397" t="s">
        <v>778</v>
      </c>
      <c r="D397" s="25" t="s">
        <v>14750</v>
      </c>
      <c r="E397" t="s">
        <v>233</v>
      </c>
      <c r="F397" s="28">
        <v>1</v>
      </c>
      <c r="G397" t="s">
        <v>193</v>
      </c>
      <c r="H397" t="s">
        <v>194</v>
      </c>
      <c r="I397" t="s">
        <v>14788</v>
      </c>
      <c r="J397" t="s">
        <v>309</v>
      </c>
      <c r="K397" t="s">
        <v>14808</v>
      </c>
      <c r="L397" t="s">
        <v>6249</v>
      </c>
      <c r="M397" t="s">
        <v>14809</v>
      </c>
      <c r="N397" t="s">
        <v>14810</v>
      </c>
      <c r="O397" t="s">
        <v>10546</v>
      </c>
      <c r="P397" t="s">
        <v>14811</v>
      </c>
      <c r="Q397" t="s">
        <v>14812</v>
      </c>
      <c r="S397" t="s">
        <v>9309</v>
      </c>
      <c r="T397" t="s">
        <v>9518</v>
      </c>
      <c r="U397" t="s">
        <v>779</v>
      </c>
      <c r="V397" t="s">
        <v>194</v>
      </c>
      <c r="W397" t="s">
        <v>9300</v>
      </c>
      <c r="Z397" t="s">
        <v>9311</v>
      </c>
      <c r="AF397" t="s">
        <v>4714</v>
      </c>
      <c r="AG397" t="s">
        <v>778</v>
      </c>
      <c r="AI397" t="s">
        <v>6955</v>
      </c>
      <c r="AJ397" s="27" t="str">
        <f t="shared" si="12"/>
        <v>524902</v>
      </c>
      <c r="AK397" s="27">
        <v>1</v>
      </c>
      <c r="AL397" s="27">
        <f t="shared" si="13"/>
        <v>1</v>
      </c>
      <c r="AM397" s="28">
        <v>1</v>
      </c>
    </row>
    <row r="398" spans="1:39" x14ac:dyDescent="0.25">
      <c r="A398" t="s">
        <v>1959</v>
      </c>
      <c r="B398" t="s">
        <v>14813</v>
      </c>
      <c r="C398" t="s">
        <v>9377</v>
      </c>
      <c r="D398" s="25" t="s">
        <v>14750</v>
      </c>
      <c r="E398" t="s">
        <v>192</v>
      </c>
      <c r="F398" s="28">
        <v>1</v>
      </c>
      <c r="G398" t="s">
        <v>193</v>
      </c>
      <c r="H398" t="s">
        <v>194</v>
      </c>
      <c r="I398" t="s">
        <v>14022</v>
      </c>
      <c r="J398" t="s">
        <v>9302</v>
      </c>
      <c r="K398" t="s">
        <v>14814</v>
      </c>
      <c r="L398" t="s">
        <v>6286</v>
      </c>
      <c r="M398" t="s">
        <v>14779</v>
      </c>
      <c r="N398" t="s">
        <v>14780</v>
      </c>
      <c r="O398" t="s">
        <v>13125</v>
      </c>
      <c r="P398" t="s">
        <v>14815</v>
      </c>
      <c r="Q398" t="s">
        <v>14816</v>
      </c>
      <c r="S398" t="s">
        <v>9309</v>
      </c>
      <c r="U398" t="s">
        <v>9381</v>
      </c>
      <c r="V398" t="s">
        <v>193</v>
      </c>
      <c r="W398" t="s">
        <v>9310</v>
      </c>
      <c r="Z398" t="s">
        <v>9311</v>
      </c>
      <c r="AF398" t="s">
        <v>4714</v>
      </c>
      <c r="AG398" t="s">
        <v>14813</v>
      </c>
      <c r="AI398" t="s">
        <v>6955</v>
      </c>
      <c r="AJ398" s="27" t="str">
        <f t="shared" si="12"/>
        <v>264302</v>
      </c>
      <c r="AK398" s="27">
        <v>1</v>
      </c>
      <c r="AL398" s="27">
        <f t="shared" si="13"/>
        <v>1</v>
      </c>
      <c r="AM398" s="28">
        <v>1</v>
      </c>
    </row>
    <row r="399" spans="1:39" x14ac:dyDescent="0.25">
      <c r="A399" t="s">
        <v>919</v>
      </c>
      <c r="B399" t="s">
        <v>14817</v>
      </c>
      <c r="C399" t="s">
        <v>4966</v>
      </c>
      <c r="D399" s="25" t="s">
        <v>14750</v>
      </c>
      <c r="E399" t="s">
        <v>192</v>
      </c>
      <c r="F399" s="28">
        <v>1</v>
      </c>
      <c r="G399" t="s">
        <v>193</v>
      </c>
      <c r="H399" t="s">
        <v>194</v>
      </c>
      <c r="I399" t="s">
        <v>14777</v>
      </c>
      <c r="J399" t="s">
        <v>385</v>
      </c>
      <c r="K399" t="s">
        <v>14818</v>
      </c>
      <c r="L399" t="s">
        <v>6254</v>
      </c>
      <c r="M399" t="s">
        <v>14779</v>
      </c>
      <c r="N399" t="s">
        <v>14780</v>
      </c>
      <c r="O399" t="s">
        <v>13125</v>
      </c>
      <c r="P399" t="s">
        <v>14819</v>
      </c>
      <c r="Q399" t="s">
        <v>14820</v>
      </c>
      <c r="S399" t="s">
        <v>9309</v>
      </c>
      <c r="T399" t="s">
        <v>9410</v>
      </c>
      <c r="U399" t="s">
        <v>405</v>
      </c>
      <c r="V399" t="s">
        <v>194</v>
      </c>
      <c r="W399" t="s">
        <v>9300</v>
      </c>
      <c r="Z399" t="s">
        <v>9311</v>
      </c>
      <c r="AF399" t="s">
        <v>4714</v>
      </c>
      <c r="AG399" t="s">
        <v>14817</v>
      </c>
      <c r="AI399" t="s">
        <v>6955</v>
      </c>
      <c r="AJ399" s="27" t="str">
        <f t="shared" si="12"/>
        <v>241304</v>
      </c>
      <c r="AK399" s="27">
        <v>1</v>
      </c>
      <c r="AL399" s="27">
        <f t="shared" si="13"/>
        <v>1</v>
      </c>
      <c r="AM399" s="28">
        <v>1</v>
      </c>
    </row>
    <row r="400" spans="1:39" x14ac:dyDescent="0.25">
      <c r="A400" t="s">
        <v>14196</v>
      </c>
      <c r="B400" t="s">
        <v>1200</v>
      </c>
      <c r="C400" t="s">
        <v>4966</v>
      </c>
      <c r="D400" s="25" t="s">
        <v>14750</v>
      </c>
      <c r="E400" t="s">
        <v>217</v>
      </c>
      <c r="F400" s="28">
        <v>1</v>
      </c>
      <c r="G400" t="s">
        <v>193</v>
      </c>
      <c r="H400" t="s">
        <v>194</v>
      </c>
      <c r="I400" t="s">
        <v>13110</v>
      </c>
      <c r="J400" t="s">
        <v>276</v>
      </c>
      <c r="K400" t="s">
        <v>14197</v>
      </c>
      <c r="L400" t="s">
        <v>6327</v>
      </c>
      <c r="M400" t="s">
        <v>14821</v>
      </c>
      <c r="N400" t="s">
        <v>12285</v>
      </c>
      <c r="O400" t="s">
        <v>13128</v>
      </c>
      <c r="P400" t="s">
        <v>14822</v>
      </c>
      <c r="Q400" t="s">
        <v>14823</v>
      </c>
      <c r="S400" t="s">
        <v>9309</v>
      </c>
      <c r="T400" t="s">
        <v>9786</v>
      </c>
      <c r="U400" t="s">
        <v>405</v>
      </c>
      <c r="V400" t="s">
        <v>194</v>
      </c>
      <c r="W400" t="s">
        <v>9300</v>
      </c>
      <c r="Z400" t="s">
        <v>9311</v>
      </c>
      <c r="AF400" t="s">
        <v>4714</v>
      </c>
      <c r="AG400" t="s">
        <v>9433</v>
      </c>
      <c r="AI400" t="s">
        <v>6955</v>
      </c>
      <c r="AJ400" s="27" t="str">
        <f t="shared" si="12"/>
        <v>241304</v>
      </c>
      <c r="AK400" s="27">
        <v>1</v>
      </c>
      <c r="AL400" s="27">
        <f t="shared" si="13"/>
        <v>1</v>
      </c>
      <c r="AM400" s="28">
        <v>1</v>
      </c>
    </row>
    <row r="401" spans="1:39" x14ac:dyDescent="0.25">
      <c r="A401" t="s">
        <v>14196</v>
      </c>
      <c r="B401" t="s">
        <v>14201</v>
      </c>
      <c r="C401" t="s">
        <v>4966</v>
      </c>
      <c r="D401" s="25" t="s">
        <v>14750</v>
      </c>
      <c r="E401" t="s">
        <v>217</v>
      </c>
      <c r="F401" s="28">
        <v>1</v>
      </c>
      <c r="G401" t="s">
        <v>193</v>
      </c>
      <c r="H401" t="s">
        <v>194</v>
      </c>
      <c r="I401" t="s">
        <v>13110</v>
      </c>
      <c r="J401" t="s">
        <v>253</v>
      </c>
      <c r="K401" t="s">
        <v>14202</v>
      </c>
      <c r="L401" t="s">
        <v>6327</v>
      </c>
      <c r="M401" t="s">
        <v>14821</v>
      </c>
      <c r="N401" t="s">
        <v>12285</v>
      </c>
      <c r="O401" t="s">
        <v>13128</v>
      </c>
      <c r="P401" t="s">
        <v>14824</v>
      </c>
      <c r="Q401" t="s">
        <v>14825</v>
      </c>
      <c r="S401" t="s">
        <v>9309</v>
      </c>
      <c r="T401" t="s">
        <v>9468</v>
      </c>
      <c r="U401" t="s">
        <v>405</v>
      </c>
      <c r="V401" t="s">
        <v>194</v>
      </c>
      <c r="W401" t="s">
        <v>9300</v>
      </c>
      <c r="Z401" t="s">
        <v>9311</v>
      </c>
      <c r="AF401" t="s">
        <v>4714</v>
      </c>
      <c r="AG401" t="s">
        <v>9433</v>
      </c>
      <c r="AI401" t="s">
        <v>6955</v>
      </c>
      <c r="AJ401" s="27" t="str">
        <f t="shared" si="12"/>
        <v>241304</v>
      </c>
      <c r="AK401" s="27">
        <v>1</v>
      </c>
      <c r="AL401" s="27">
        <f t="shared" si="13"/>
        <v>1</v>
      </c>
      <c r="AM401" s="28">
        <v>1</v>
      </c>
    </row>
    <row r="402" spans="1:39" x14ac:dyDescent="0.25">
      <c r="A402" t="s">
        <v>14826</v>
      </c>
      <c r="B402" t="s">
        <v>14827</v>
      </c>
      <c r="C402" t="s">
        <v>2771</v>
      </c>
      <c r="D402" s="25" t="s">
        <v>14750</v>
      </c>
      <c r="E402" t="s">
        <v>192</v>
      </c>
      <c r="F402" s="28">
        <v>1</v>
      </c>
      <c r="G402" t="s">
        <v>193</v>
      </c>
      <c r="H402" t="s">
        <v>194</v>
      </c>
      <c r="I402" t="s">
        <v>14777</v>
      </c>
      <c r="J402" t="s">
        <v>9302</v>
      </c>
      <c r="K402" t="s">
        <v>14828</v>
      </c>
      <c r="L402" t="s">
        <v>7531</v>
      </c>
      <c r="M402" t="s">
        <v>14779</v>
      </c>
      <c r="N402" t="s">
        <v>14780</v>
      </c>
      <c r="O402" t="s">
        <v>13125</v>
      </c>
      <c r="P402" t="s">
        <v>14829</v>
      </c>
      <c r="Q402" t="s">
        <v>14830</v>
      </c>
      <c r="S402" t="s">
        <v>9309</v>
      </c>
      <c r="U402" t="s">
        <v>4816</v>
      </c>
      <c r="V402" t="s">
        <v>193</v>
      </c>
      <c r="W402" t="s">
        <v>9310</v>
      </c>
      <c r="Z402" t="s">
        <v>9311</v>
      </c>
      <c r="AF402" t="s">
        <v>4714</v>
      </c>
      <c r="AG402" t="s">
        <v>14827</v>
      </c>
      <c r="AI402" t="s">
        <v>6955</v>
      </c>
      <c r="AJ402" s="27" t="str">
        <f t="shared" si="12"/>
        <v>331403</v>
      </c>
      <c r="AK402" s="27">
        <v>1</v>
      </c>
      <c r="AL402" s="27">
        <f t="shared" si="13"/>
        <v>1</v>
      </c>
      <c r="AM402" s="28">
        <v>1</v>
      </c>
    </row>
    <row r="403" spans="1:39" x14ac:dyDescent="0.25">
      <c r="A403" t="s">
        <v>14826</v>
      </c>
      <c r="B403" t="s">
        <v>209</v>
      </c>
      <c r="C403" t="s">
        <v>95</v>
      </c>
      <c r="D403" s="25" t="s">
        <v>14750</v>
      </c>
      <c r="E403" t="s">
        <v>192</v>
      </c>
      <c r="F403" s="28">
        <v>1</v>
      </c>
      <c r="G403" t="s">
        <v>193</v>
      </c>
      <c r="H403" t="s">
        <v>194</v>
      </c>
      <c r="I403" t="s">
        <v>14777</v>
      </c>
      <c r="J403" t="s">
        <v>9302</v>
      </c>
      <c r="K403" t="s">
        <v>14831</v>
      </c>
      <c r="L403" t="s">
        <v>6254</v>
      </c>
      <c r="M403" t="s">
        <v>14779</v>
      </c>
      <c r="N403" t="s">
        <v>14780</v>
      </c>
      <c r="O403" t="s">
        <v>13125</v>
      </c>
      <c r="P403" t="s">
        <v>14832</v>
      </c>
      <c r="Q403" t="s">
        <v>14833</v>
      </c>
      <c r="S403" t="s">
        <v>9309</v>
      </c>
      <c r="U403" t="s">
        <v>1015</v>
      </c>
      <c r="V403" t="s">
        <v>193</v>
      </c>
      <c r="W403" t="s">
        <v>9310</v>
      </c>
      <c r="Z403" t="s">
        <v>9311</v>
      </c>
      <c r="AF403" t="s">
        <v>4714</v>
      </c>
      <c r="AG403" t="s">
        <v>209</v>
      </c>
      <c r="AI403" t="s">
        <v>6955</v>
      </c>
      <c r="AJ403" s="27" t="str">
        <f t="shared" si="12"/>
        <v>122102</v>
      </c>
      <c r="AK403" s="27">
        <v>1</v>
      </c>
      <c r="AL403" s="27">
        <f t="shared" si="13"/>
        <v>1</v>
      </c>
      <c r="AM403" s="28">
        <v>1</v>
      </c>
    </row>
    <row r="404" spans="1:39" x14ac:dyDescent="0.25">
      <c r="A404" t="s">
        <v>14826</v>
      </c>
      <c r="B404" t="s">
        <v>14834</v>
      </c>
      <c r="C404" t="s">
        <v>35</v>
      </c>
      <c r="D404" s="25" t="s">
        <v>14750</v>
      </c>
      <c r="E404" t="s">
        <v>192</v>
      </c>
      <c r="F404" s="28">
        <v>1</v>
      </c>
      <c r="G404" t="s">
        <v>193</v>
      </c>
      <c r="H404" t="s">
        <v>194</v>
      </c>
      <c r="I404" t="s">
        <v>14777</v>
      </c>
      <c r="J404" t="s">
        <v>9302</v>
      </c>
      <c r="K404" t="s">
        <v>14835</v>
      </c>
      <c r="L404" t="s">
        <v>6254</v>
      </c>
      <c r="M404" t="s">
        <v>14779</v>
      </c>
      <c r="N404" t="s">
        <v>14780</v>
      </c>
      <c r="O404" t="s">
        <v>13125</v>
      </c>
      <c r="P404" t="s">
        <v>14836</v>
      </c>
      <c r="Q404" t="s">
        <v>14837</v>
      </c>
      <c r="S404" t="s">
        <v>9309</v>
      </c>
      <c r="U404" t="s">
        <v>207</v>
      </c>
      <c r="V404" t="s">
        <v>193</v>
      </c>
      <c r="W404" t="s">
        <v>9310</v>
      </c>
      <c r="Z404" t="s">
        <v>9311</v>
      </c>
      <c r="AF404" t="s">
        <v>4714</v>
      </c>
      <c r="AG404" t="s">
        <v>14834</v>
      </c>
      <c r="AI404" t="s">
        <v>6955</v>
      </c>
      <c r="AJ404" s="27" t="str">
        <f t="shared" si="12"/>
        <v>122106</v>
      </c>
      <c r="AK404" s="27">
        <v>1</v>
      </c>
      <c r="AL404" s="27">
        <f t="shared" si="13"/>
        <v>1</v>
      </c>
      <c r="AM404" s="28">
        <v>1</v>
      </c>
    </row>
    <row r="405" spans="1:39" x14ac:dyDescent="0.25">
      <c r="A405" t="s">
        <v>14826</v>
      </c>
      <c r="B405" t="s">
        <v>14838</v>
      </c>
      <c r="C405" t="s">
        <v>617</v>
      </c>
      <c r="D405" s="25" t="s">
        <v>14750</v>
      </c>
      <c r="E405" t="s">
        <v>192</v>
      </c>
      <c r="F405" s="28">
        <v>1</v>
      </c>
      <c r="G405" t="s">
        <v>193</v>
      </c>
      <c r="H405" t="s">
        <v>194</v>
      </c>
      <c r="I405" t="s">
        <v>14022</v>
      </c>
      <c r="J405" t="s">
        <v>9302</v>
      </c>
      <c r="K405" t="s">
        <v>14839</v>
      </c>
      <c r="L405" t="s">
        <v>6254</v>
      </c>
      <c r="M405" t="s">
        <v>14779</v>
      </c>
      <c r="N405" t="s">
        <v>14780</v>
      </c>
      <c r="O405" t="s">
        <v>13125</v>
      </c>
      <c r="P405" t="s">
        <v>14840</v>
      </c>
      <c r="Q405" t="s">
        <v>14841</v>
      </c>
      <c r="S405" t="s">
        <v>9309</v>
      </c>
      <c r="U405" t="s">
        <v>618</v>
      </c>
      <c r="V405" t="s">
        <v>193</v>
      </c>
      <c r="W405" t="s">
        <v>9310</v>
      </c>
      <c r="Z405" t="s">
        <v>9311</v>
      </c>
      <c r="AF405" t="s">
        <v>4714</v>
      </c>
      <c r="AG405" t="s">
        <v>14838</v>
      </c>
      <c r="AI405" t="s">
        <v>6955</v>
      </c>
      <c r="AJ405" s="27" t="str">
        <f t="shared" si="12"/>
        <v>332104</v>
      </c>
      <c r="AK405" s="27">
        <v>1</v>
      </c>
      <c r="AL405" s="27">
        <f t="shared" si="13"/>
        <v>1</v>
      </c>
      <c r="AM405" s="28">
        <v>1</v>
      </c>
    </row>
    <row r="406" spans="1:39" x14ac:dyDescent="0.25">
      <c r="A406" t="s">
        <v>4614</v>
      </c>
      <c r="B406" t="s">
        <v>88</v>
      </c>
      <c r="C406" t="s">
        <v>9085</v>
      </c>
      <c r="D406" s="25" t="s">
        <v>14750</v>
      </c>
      <c r="E406" t="s">
        <v>252</v>
      </c>
      <c r="F406" s="28">
        <v>1</v>
      </c>
      <c r="G406" t="s">
        <v>193</v>
      </c>
      <c r="H406" t="s">
        <v>194</v>
      </c>
      <c r="I406" t="s">
        <v>14788</v>
      </c>
      <c r="J406" t="s">
        <v>249</v>
      </c>
      <c r="K406" t="s">
        <v>14842</v>
      </c>
      <c r="L406" t="s">
        <v>6275</v>
      </c>
      <c r="M406" t="s">
        <v>14843</v>
      </c>
      <c r="N406" t="s">
        <v>9356</v>
      </c>
      <c r="O406" t="s">
        <v>14750</v>
      </c>
      <c r="P406" t="s">
        <v>14844</v>
      </c>
      <c r="Q406" t="s">
        <v>14845</v>
      </c>
      <c r="S406" t="s">
        <v>9309</v>
      </c>
      <c r="T406" t="s">
        <v>9726</v>
      </c>
      <c r="U406" t="s">
        <v>799</v>
      </c>
      <c r="V406" t="s">
        <v>194</v>
      </c>
      <c r="W406" t="s">
        <v>9300</v>
      </c>
      <c r="Z406" t="s">
        <v>9311</v>
      </c>
      <c r="AF406" t="s">
        <v>4714</v>
      </c>
      <c r="AG406" t="s">
        <v>88</v>
      </c>
      <c r="AI406" t="s">
        <v>6955</v>
      </c>
      <c r="AJ406" s="27" t="str">
        <f t="shared" si="12"/>
        <v>722204</v>
      </c>
      <c r="AK406" s="27">
        <v>1</v>
      </c>
      <c r="AL406" s="27">
        <f t="shared" si="13"/>
        <v>1</v>
      </c>
      <c r="AM406" s="28">
        <v>1</v>
      </c>
    </row>
    <row r="407" spans="1:39" x14ac:dyDescent="0.25">
      <c r="A407" t="s">
        <v>11658</v>
      </c>
      <c r="B407" t="s">
        <v>14846</v>
      </c>
      <c r="C407" t="s">
        <v>101</v>
      </c>
      <c r="D407" s="25" t="s">
        <v>14750</v>
      </c>
      <c r="E407" t="s">
        <v>192</v>
      </c>
      <c r="F407" s="28">
        <v>1</v>
      </c>
      <c r="G407" t="s">
        <v>193</v>
      </c>
      <c r="H407" t="s">
        <v>194</v>
      </c>
      <c r="I407" t="s">
        <v>14788</v>
      </c>
      <c r="J407" t="s">
        <v>223</v>
      </c>
      <c r="K407" t="s">
        <v>14847</v>
      </c>
      <c r="L407" t="s">
        <v>6324</v>
      </c>
      <c r="M407" t="s">
        <v>14809</v>
      </c>
      <c r="N407" t="s">
        <v>14780</v>
      </c>
      <c r="O407" t="s">
        <v>13125</v>
      </c>
      <c r="P407" t="s">
        <v>14848</v>
      </c>
      <c r="Q407" t="s">
        <v>14849</v>
      </c>
      <c r="S407" t="s">
        <v>9309</v>
      </c>
      <c r="T407" t="s">
        <v>11163</v>
      </c>
      <c r="U407" t="s">
        <v>519</v>
      </c>
      <c r="V407" t="s">
        <v>194</v>
      </c>
      <c r="W407" t="s">
        <v>9300</v>
      </c>
      <c r="Z407" t="s">
        <v>9311</v>
      </c>
      <c r="AF407" t="s">
        <v>4714</v>
      </c>
      <c r="AG407" t="s">
        <v>101</v>
      </c>
      <c r="AI407" t="s">
        <v>6955</v>
      </c>
      <c r="AJ407" s="27" t="str">
        <f t="shared" si="12"/>
        <v>261103</v>
      </c>
      <c r="AK407" s="27">
        <v>1</v>
      </c>
      <c r="AL407" s="27">
        <f t="shared" si="13"/>
        <v>1</v>
      </c>
      <c r="AM407" s="28">
        <v>1</v>
      </c>
    </row>
    <row r="408" spans="1:39" x14ac:dyDescent="0.25">
      <c r="A408" t="s">
        <v>1081</v>
      </c>
      <c r="B408" t="s">
        <v>467</v>
      </c>
      <c r="C408" t="s">
        <v>468</v>
      </c>
      <c r="D408" s="25" t="s">
        <v>14750</v>
      </c>
      <c r="E408" t="s">
        <v>192</v>
      </c>
      <c r="F408" s="28">
        <v>1</v>
      </c>
      <c r="G408" t="s">
        <v>193</v>
      </c>
      <c r="H408" t="s">
        <v>194</v>
      </c>
      <c r="I408" t="s">
        <v>14788</v>
      </c>
      <c r="J408" t="s">
        <v>385</v>
      </c>
      <c r="K408" t="s">
        <v>14850</v>
      </c>
      <c r="L408" t="s">
        <v>6288</v>
      </c>
      <c r="M408" t="s">
        <v>14779</v>
      </c>
      <c r="N408" t="s">
        <v>14780</v>
      </c>
      <c r="O408" t="s">
        <v>13125</v>
      </c>
      <c r="P408" t="s">
        <v>14851</v>
      </c>
      <c r="Q408" t="s">
        <v>14852</v>
      </c>
      <c r="S408" t="s">
        <v>9309</v>
      </c>
      <c r="T408" t="s">
        <v>9410</v>
      </c>
      <c r="U408" t="s">
        <v>469</v>
      </c>
      <c r="V408" t="s">
        <v>194</v>
      </c>
      <c r="W408" t="s">
        <v>9300</v>
      </c>
      <c r="Z408" t="s">
        <v>9311</v>
      </c>
      <c r="AF408" t="s">
        <v>4714</v>
      </c>
      <c r="AG408" t="s">
        <v>467</v>
      </c>
      <c r="AI408" t="s">
        <v>6955</v>
      </c>
      <c r="AJ408" s="27" t="str">
        <f t="shared" si="12"/>
        <v>243303</v>
      </c>
      <c r="AK408" s="27">
        <v>1</v>
      </c>
      <c r="AL408" s="27">
        <f t="shared" si="13"/>
        <v>1</v>
      </c>
      <c r="AM408" s="28">
        <v>1</v>
      </c>
    </row>
    <row r="409" spans="1:39" x14ac:dyDescent="0.25">
      <c r="A409" t="s">
        <v>1081</v>
      </c>
      <c r="B409" t="s">
        <v>467</v>
      </c>
      <c r="C409" t="s">
        <v>468</v>
      </c>
      <c r="D409" s="25" t="s">
        <v>14750</v>
      </c>
      <c r="E409" t="s">
        <v>192</v>
      </c>
      <c r="F409" s="28">
        <v>1</v>
      </c>
      <c r="G409" t="s">
        <v>193</v>
      </c>
      <c r="H409" t="s">
        <v>194</v>
      </c>
      <c r="I409" t="s">
        <v>14788</v>
      </c>
      <c r="J409" t="s">
        <v>4751</v>
      </c>
      <c r="K409" t="s">
        <v>14853</v>
      </c>
      <c r="L409" t="s">
        <v>6288</v>
      </c>
      <c r="M409" t="s">
        <v>14779</v>
      </c>
      <c r="N409" t="s">
        <v>14780</v>
      </c>
      <c r="O409" t="s">
        <v>13125</v>
      </c>
      <c r="P409" t="s">
        <v>14854</v>
      </c>
      <c r="Q409" t="s">
        <v>14855</v>
      </c>
      <c r="S409" t="s">
        <v>9309</v>
      </c>
      <c r="T409" t="s">
        <v>9472</v>
      </c>
      <c r="U409" t="s">
        <v>469</v>
      </c>
      <c r="V409" t="s">
        <v>194</v>
      </c>
      <c r="W409" t="s">
        <v>9300</v>
      </c>
      <c r="Z409" t="s">
        <v>9311</v>
      </c>
      <c r="AF409" t="s">
        <v>4714</v>
      </c>
      <c r="AG409" t="s">
        <v>467</v>
      </c>
      <c r="AI409" t="s">
        <v>6955</v>
      </c>
      <c r="AJ409" s="27" t="str">
        <f t="shared" si="12"/>
        <v>243303</v>
      </c>
      <c r="AK409" s="27">
        <v>1</v>
      </c>
      <c r="AL409" s="27">
        <f t="shared" si="13"/>
        <v>1</v>
      </c>
      <c r="AM409" s="28">
        <v>1</v>
      </c>
    </row>
    <row r="410" spans="1:39" x14ac:dyDescent="0.25">
      <c r="A410" t="s">
        <v>1081</v>
      </c>
      <c r="B410" t="s">
        <v>467</v>
      </c>
      <c r="C410" t="s">
        <v>468</v>
      </c>
      <c r="D410" s="25" t="s">
        <v>14750</v>
      </c>
      <c r="E410" t="s">
        <v>192</v>
      </c>
      <c r="F410" s="28">
        <v>1</v>
      </c>
      <c r="G410" t="s">
        <v>193</v>
      </c>
      <c r="H410" t="s">
        <v>194</v>
      </c>
      <c r="I410" t="s">
        <v>14788</v>
      </c>
      <c r="J410" t="s">
        <v>210</v>
      </c>
      <c r="K410" t="s">
        <v>14856</v>
      </c>
      <c r="L410" t="s">
        <v>6288</v>
      </c>
      <c r="M410" t="s">
        <v>14779</v>
      </c>
      <c r="N410" t="s">
        <v>14780</v>
      </c>
      <c r="O410" t="s">
        <v>13125</v>
      </c>
      <c r="P410" t="s">
        <v>14857</v>
      </c>
      <c r="Q410" t="s">
        <v>14858</v>
      </c>
      <c r="S410" t="s">
        <v>9309</v>
      </c>
      <c r="T410" t="s">
        <v>9334</v>
      </c>
      <c r="U410" t="s">
        <v>469</v>
      </c>
      <c r="V410" t="s">
        <v>194</v>
      </c>
      <c r="W410" t="s">
        <v>9300</v>
      </c>
      <c r="Z410" t="s">
        <v>9311</v>
      </c>
      <c r="AF410" t="s">
        <v>4714</v>
      </c>
      <c r="AG410" t="s">
        <v>467</v>
      </c>
      <c r="AI410" t="s">
        <v>6955</v>
      </c>
      <c r="AJ410" s="27" t="str">
        <f t="shared" si="12"/>
        <v>243303</v>
      </c>
      <c r="AK410" s="27">
        <v>1</v>
      </c>
      <c r="AL410" s="27">
        <f t="shared" si="13"/>
        <v>1</v>
      </c>
      <c r="AM410" s="28">
        <v>1</v>
      </c>
    </row>
    <row r="411" spans="1:39" x14ac:dyDescent="0.25">
      <c r="A411" t="s">
        <v>14859</v>
      </c>
      <c r="B411" t="s">
        <v>14860</v>
      </c>
      <c r="C411" t="s">
        <v>366</v>
      </c>
      <c r="D411" s="25" t="s">
        <v>14750</v>
      </c>
      <c r="E411" t="s">
        <v>192</v>
      </c>
      <c r="F411" s="28">
        <v>1</v>
      </c>
      <c r="G411" t="s">
        <v>193</v>
      </c>
      <c r="H411" t="s">
        <v>194</v>
      </c>
      <c r="I411" t="s">
        <v>13110</v>
      </c>
      <c r="J411" t="s">
        <v>9302</v>
      </c>
      <c r="K411" t="s">
        <v>14861</v>
      </c>
      <c r="L411" t="s">
        <v>6258</v>
      </c>
      <c r="M411" t="s">
        <v>14779</v>
      </c>
      <c r="N411" t="s">
        <v>14780</v>
      </c>
      <c r="O411" t="s">
        <v>13129</v>
      </c>
      <c r="P411" t="s">
        <v>14862</v>
      </c>
      <c r="Q411" t="s">
        <v>14863</v>
      </c>
      <c r="S411" t="s">
        <v>9309</v>
      </c>
      <c r="U411" t="s">
        <v>368</v>
      </c>
      <c r="V411" t="s">
        <v>193</v>
      </c>
      <c r="W411" t="s">
        <v>9310</v>
      </c>
      <c r="Z411" t="s">
        <v>9311</v>
      </c>
      <c r="AF411" t="s">
        <v>4714</v>
      </c>
      <c r="AG411" t="s">
        <v>14860</v>
      </c>
      <c r="AI411" t="s">
        <v>6955</v>
      </c>
      <c r="AJ411" s="27" t="str">
        <f t="shared" si="12"/>
        <v>215201</v>
      </c>
      <c r="AK411" s="27">
        <v>1</v>
      </c>
      <c r="AL411" s="27">
        <f t="shared" si="13"/>
        <v>1</v>
      </c>
      <c r="AM411" s="28">
        <v>1</v>
      </c>
    </row>
    <row r="412" spans="1:39" x14ac:dyDescent="0.25">
      <c r="A412" t="s">
        <v>14864</v>
      </c>
      <c r="B412" t="s">
        <v>14865</v>
      </c>
      <c r="C412" t="s">
        <v>10</v>
      </c>
      <c r="D412" s="25" t="s">
        <v>14750</v>
      </c>
      <c r="E412" t="s">
        <v>192</v>
      </c>
      <c r="F412" s="28">
        <v>1</v>
      </c>
      <c r="G412" t="s">
        <v>193</v>
      </c>
      <c r="H412" t="s">
        <v>194</v>
      </c>
      <c r="I412" t="s">
        <v>14777</v>
      </c>
      <c r="J412" t="s">
        <v>9302</v>
      </c>
      <c r="K412" t="s">
        <v>14866</v>
      </c>
      <c r="L412" t="s">
        <v>6261</v>
      </c>
      <c r="M412" t="s">
        <v>14779</v>
      </c>
      <c r="N412" t="s">
        <v>14780</v>
      </c>
      <c r="O412" t="s">
        <v>13125</v>
      </c>
      <c r="P412" t="s">
        <v>14867</v>
      </c>
      <c r="Q412" t="s">
        <v>14868</v>
      </c>
      <c r="S412" t="s">
        <v>9309</v>
      </c>
      <c r="U412" t="s">
        <v>484</v>
      </c>
      <c r="V412" t="s">
        <v>193</v>
      </c>
      <c r="W412" t="s">
        <v>9310</v>
      </c>
      <c r="Z412" t="s">
        <v>9311</v>
      </c>
      <c r="AF412" t="s">
        <v>4714</v>
      </c>
      <c r="AG412" t="s">
        <v>14865</v>
      </c>
      <c r="AI412" t="s">
        <v>6955</v>
      </c>
      <c r="AJ412" s="27" t="str">
        <f t="shared" si="12"/>
        <v>251401</v>
      </c>
      <c r="AK412" s="27">
        <v>1</v>
      </c>
      <c r="AL412" s="27">
        <f t="shared" si="13"/>
        <v>1</v>
      </c>
      <c r="AM412" s="28">
        <v>1</v>
      </c>
    </row>
    <row r="413" spans="1:39" x14ac:dyDescent="0.25">
      <c r="A413" t="s">
        <v>1639</v>
      </c>
      <c r="B413" t="s">
        <v>14869</v>
      </c>
      <c r="C413" t="s">
        <v>2993</v>
      </c>
      <c r="D413" s="25" t="s">
        <v>14750</v>
      </c>
      <c r="E413" t="s">
        <v>192</v>
      </c>
      <c r="F413" s="28">
        <v>1</v>
      </c>
      <c r="G413" t="s">
        <v>193</v>
      </c>
      <c r="H413" t="s">
        <v>194</v>
      </c>
      <c r="I413" t="s">
        <v>14788</v>
      </c>
      <c r="J413" t="s">
        <v>210</v>
      </c>
      <c r="K413" t="s">
        <v>14870</v>
      </c>
      <c r="L413" t="s">
        <v>6921</v>
      </c>
      <c r="M413" t="s">
        <v>14779</v>
      </c>
      <c r="N413" t="s">
        <v>14780</v>
      </c>
      <c r="O413" t="s">
        <v>13125</v>
      </c>
      <c r="P413" t="s">
        <v>14871</v>
      </c>
      <c r="Q413" t="s">
        <v>14872</v>
      </c>
      <c r="S413" t="s">
        <v>9309</v>
      </c>
      <c r="T413" t="s">
        <v>9334</v>
      </c>
      <c r="U413" t="s">
        <v>3793</v>
      </c>
      <c r="V413" t="s">
        <v>194</v>
      </c>
      <c r="W413" t="s">
        <v>9300</v>
      </c>
      <c r="Z413" t="s">
        <v>9311</v>
      </c>
      <c r="AF413" t="s">
        <v>4714</v>
      </c>
      <c r="AG413" t="s">
        <v>14869</v>
      </c>
      <c r="AI413" t="s">
        <v>6955</v>
      </c>
      <c r="AJ413" s="27" t="str">
        <f t="shared" si="12"/>
        <v>251904</v>
      </c>
      <c r="AK413" s="27">
        <v>1</v>
      </c>
      <c r="AL413" s="27">
        <f t="shared" si="13"/>
        <v>1</v>
      </c>
      <c r="AM413" s="28">
        <v>1</v>
      </c>
    </row>
    <row r="414" spans="1:39" x14ac:dyDescent="0.25">
      <c r="A414" t="s">
        <v>1639</v>
      </c>
      <c r="B414" t="s">
        <v>14873</v>
      </c>
      <c r="C414" t="s">
        <v>36</v>
      </c>
      <c r="D414" s="25" t="s">
        <v>14750</v>
      </c>
      <c r="E414" t="s">
        <v>192</v>
      </c>
      <c r="F414" s="28">
        <v>1</v>
      </c>
      <c r="G414" t="s">
        <v>193</v>
      </c>
      <c r="H414" t="s">
        <v>194</v>
      </c>
      <c r="I414" t="s">
        <v>14788</v>
      </c>
      <c r="J414" t="s">
        <v>210</v>
      </c>
      <c r="K414" t="s">
        <v>14874</v>
      </c>
      <c r="L414" t="s">
        <v>7531</v>
      </c>
      <c r="M414" t="s">
        <v>14779</v>
      </c>
      <c r="N414" t="s">
        <v>14780</v>
      </c>
      <c r="O414" t="s">
        <v>13125</v>
      </c>
      <c r="P414" t="s">
        <v>14875</v>
      </c>
      <c r="Q414" t="s">
        <v>14876</v>
      </c>
      <c r="S414" t="s">
        <v>9309</v>
      </c>
      <c r="T414" t="s">
        <v>9334</v>
      </c>
      <c r="U414" t="s">
        <v>609</v>
      </c>
      <c r="V414" t="s">
        <v>194</v>
      </c>
      <c r="W414" t="s">
        <v>9300</v>
      </c>
      <c r="Z414" t="s">
        <v>9311</v>
      </c>
      <c r="AF414" t="s">
        <v>4714</v>
      </c>
      <c r="AG414" t="s">
        <v>14873</v>
      </c>
      <c r="AI414" t="s">
        <v>6955</v>
      </c>
      <c r="AJ414" s="27" t="str">
        <f t="shared" si="12"/>
        <v>331301</v>
      </c>
      <c r="AK414" s="27">
        <v>1</v>
      </c>
      <c r="AL414" s="27">
        <f t="shared" si="13"/>
        <v>1</v>
      </c>
      <c r="AM414" s="28">
        <v>1</v>
      </c>
    </row>
    <row r="415" spans="1:39" x14ac:dyDescent="0.25">
      <c r="A415" t="s">
        <v>9346</v>
      </c>
      <c r="B415" t="s">
        <v>14877</v>
      </c>
      <c r="C415" t="s">
        <v>513</v>
      </c>
      <c r="D415" s="25" t="s">
        <v>14750</v>
      </c>
      <c r="E415" t="s">
        <v>192</v>
      </c>
      <c r="F415" s="28">
        <v>1</v>
      </c>
      <c r="G415" t="s">
        <v>193</v>
      </c>
      <c r="H415" t="s">
        <v>194</v>
      </c>
      <c r="I415" t="s">
        <v>14777</v>
      </c>
      <c r="J415" t="s">
        <v>9302</v>
      </c>
      <c r="K415" t="s">
        <v>14878</v>
      </c>
      <c r="L415" t="s">
        <v>6921</v>
      </c>
      <c r="M415" t="s">
        <v>14779</v>
      </c>
      <c r="N415" t="s">
        <v>14780</v>
      </c>
      <c r="O415" t="s">
        <v>13125</v>
      </c>
      <c r="P415" t="s">
        <v>14879</v>
      </c>
      <c r="Q415" t="s">
        <v>14880</v>
      </c>
      <c r="S415" t="s">
        <v>9309</v>
      </c>
      <c r="U415" t="s">
        <v>514</v>
      </c>
      <c r="V415" t="s">
        <v>193</v>
      </c>
      <c r="W415" t="s">
        <v>9310</v>
      </c>
      <c r="Z415" t="s">
        <v>9311</v>
      </c>
      <c r="AF415" t="s">
        <v>4714</v>
      </c>
      <c r="AG415" t="s">
        <v>14877</v>
      </c>
      <c r="AI415" t="s">
        <v>6955</v>
      </c>
      <c r="AJ415" s="27" t="str">
        <f t="shared" si="12"/>
        <v>252301</v>
      </c>
      <c r="AK415" s="27">
        <v>1</v>
      </c>
      <c r="AL415" s="27">
        <f t="shared" si="13"/>
        <v>1</v>
      </c>
      <c r="AM415" s="28">
        <v>1</v>
      </c>
    </row>
    <row r="416" spans="1:39" x14ac:dyDescent="0.25">
      <c r="A416" t="s">
        <v>9346</v>
      </c>
      <c r="B416" t="s">
        <v>14881</v>
      </c>
      <c r="C416" t="s">
        <v>37</v>
      </c>
      <c r="D416" s="25" t="s">
        <v>14750</v>
      </c>
      <c r="E416" t="s">
        <v>192</v>
      </c>
      <c r="F416" s="28">
        <v>1</v>
      </c>
      <c r="G416" t="s">
        <v>193</v>
      </c>
      <c r="H416" t="s">
        <v>194</v>
      </c>
      <c r="I416" t="s">
        <v>14788</v>
      </c>
      <c r="J416" t="s">
        <v>9302</v>
      </c>
      <c r="K416" t="s">
        <v>14882</v>
      </c>
      <c r="L416" t="s">
        <v>6261</v>
      </c>
      <c r="M416" t="s">
        <v>14779</v>
      </c>
      <c r="N416" t="s">
        <v>14780</v>
      </c>
      <c r="O416" t="s">
        <v>13125</v>
      </c>
      <c r="P416" t="s">
        <v>14883</v>
      </c>
      <c r="Q416" t="s">
        <v>14884</v>
      </c>
      <c r="S416" t="s">
        <v>9309</v>
      </c>
      <c r="U416" t="s">
        <v>516</v>
      </c>
      <c r="V416" t="s">
        <v>193</v>
      </c>
      <c r="W416" t="s">
        <v>9310</v>
      </c>
      <c r="Z416" t="s">
        <v>9311</v>
      </c>
      <c r="AF416" t="s">
        <v>4714</v>
      </c>
      <c r="AG416" t="s">
        <v>14881</v>
      </c>
      <c r="AI416" t="s">
        <v>6955</v>
      </c>
      <c r="AJ416" s="27" t="str">
        <f t="shared" si="12"/>
        <v>252302</v>
      </c>
      <c r="AK416" s="27">
        <v>1</v>
      </c>
      <c r="AL416" s="27">
        <f t="shared" si="13"/>
        <v>1</v>
      </c>
      <c r="AM416" s="28">
        <v>1</v>
      </c>
    </row>
    <row r="417" spans="1:39" x14ac:dyDescent="0.25">
      <c r="A417" t="s">
        <v>8371</v>
      </c>
      <c r="B417" t="s">
        <v>14885</v>
      </c>
      <c r="C417" t="s">
        <v>61</v>
      </c>
      <c r="D417" s="25" t="s">
        <v>14750</v>
      </c>
      <c r="E417" t="s">
        <v>233</v>
      </c>
      <c r="F417" s="28">
        <v>1</v>
      </c>
      <c r="G417" t="s">
        <v>193</v>
      </c>
      <c r="H417" t="s">
        <v>194</v>
      </c>
      <c r="I417" t="s">
        <v>14022</v>
      </c>
      <c r="J417" t="s">
        <v>9302</v>
      </c>
      <c r="K417" t="s">
        <v>14886</v>
      </c>
      <c r="L417" t="s">
        <v>6921</v>
      </c>
      <c r="M417" t="s">
        <v>14887</v>
      </c>
      <c r="N417" t="s">
        <v>14888</v>
      </c>
      <c r="O417" t="s">
        <v>13152</v>
      </c>
      <c r="P417" t="s">
        <v>14889</v>
      </c>
      <c r="Q417" t="s">
        <v>14890</v>
      </c>
      <c r="S417" t="s">
        <v>9309</v>
      </c>
      <c r="U417" t="s">
        <v>2282</v>
      </c>
      <c r="V417" t="s">
        <v>193</v>
      </c>
      <c r="W417" t="s">
        <v>9310</v>
      </c>
      <c r="Z417" t="s">
        <v>9311</v>
      </c>
      <c r="AF417" t="s">
        <v>4714</v>
      </c>
      <c r="AG417" t="s">
        <v>14885</v>
      </c>
      <c r="AI417" t="s">
        <v>6955</v>
      </c>
      <c r="AJ417" s="27" t="str">
        <f t="shared" si="12"/>
        <v>251103</v>
      </c>
      <c r="AK417" s="27">
        <v>1</v>
      </c>
      <c r="AL417" s="27">
        <f t="shared" si="13"/>
        <v>1</v>
      </c>
      <c r="AM417" s="28">
        <v>1</v>
      </c>
    </row>
    <row r="418" spans="1:39" x14ac:dyDescent="0.25">
      <c r="A418" t="s">
        <v>8371</v>
      </c>
      <c r="B418" t="s">
        <v>14891</v>
      </c>
      <c r="C418" t="s">
        <v>507</v>
      </c>
      <c r="D418" s="25" t="s">
        <v>14750</v>
      </c>
      <c r="E418" t="s">
        <v>233</v>
      </c>
      <c r="F418" s="28">
        <v>1</v>
      </c>
      <c r="G418" t="s">
        <v>193</v>
      </c>
      <c r="H418" t="s">
        <v>194</v>
      </c>
      <c r="I418" t="s">
        <v>14022</v>
      </c>
      <c r="J418" t="s">
        <v>9302</v>
      </c>
      <c r="K418" t="s">
        <v>14892</v>
      </c>
      <c r="L418" t="s">
        <v>6261</v>
      </c>
      <c r="M418" t="s">
        <v>14887</v>
      </c>
      <c r="N418" t="s">
        <v>14888</v>
      </c>
      <c r="O418" t="s">
        <v>13152</v>
      </c>
      <c r="P418" t="s">
        <v>14893</v>
      </c>
      <c r="Q418" t="s">
        <v>14894</v>
      </c>
      <c r="S418" t="s">
        <v>9309</v>
      </c>
      <c r="U418" t="s">
        <v>508</v>
      </c>
      <c r="V418" t="s">
        <v>193</v>
      </c>
      <c r="W418" t="s">
        <v>9310</v>
      </c>
      <c r="Z418" t="s">
        <v>9311</v>
      </c>
      <c r="AF418" t="s">
        <v>4714</v>
      </c>
      <c r="AG418" t="s">
        <v>14891</v>
      </c>
      <c r="AI418" t="s">
        <v>6955</v>
      </c>
      <c r="AJ418" s="27" t="str">
        <f t="shared" si="12"/>
        <v>252102</v>
      </c>
      <c r="AK418" s="27">
        <v>1</v>
      </c>
      <c r="AL418" s="27">
        <f t="shared" si="13"/>
        <v>1</v>
      </c>
      <c r="AM418" s="28">
        <v>1</v>
      </c>
    </row>
    <row r="419" spans="1:39" x14ac:dyDescent="0.25">
      <c r="A419" t="s">
        <v>8371</v>
      </c>
      <c r="B419" t="s">
        <v>13248</v>
      </c>
      <c r="C419" t="s">
        <v>10</v>
      </c>
      <c r="D419" s="25" t="s">
        <v>14750</v>
      </c>
      <c r="E419" t="s">
        <v>233</v>
      </c>
      <c r="F419" s="28">
        <v>1</v>
      </c>
      <c r="G419" t="s">
        <v>193</v>
      </c>
      <c r="H419" t="s">
        <v>194</v>
      </c>
      <c r="I419" t="s">
        <v>14022</v>
      </c>
      <c r="J419" t="s">
        <v>9302</v>
      </c>
      <c r="K419" t="s">
        <v>14895</v>
      </c>
      <c r="L419" t="s">
        <v>6261</v>
      </c>
      <c r="M419" t="s">
        <v>14887</v>
      </c>
      <c r="N419" t="s">
        <v>14888</v>
      </c>
      <c r="O419" t="s">
        <v>13152</v>
      </c>
      <c r="P419" t="s">
        <v>14896</v>
      </c>
      <c r="Q419" t="s">
        <v>14897</v>
      </c>
      <c r="S419" t="s">
        <v>9309</v>
      </c>
      <c r="U419" t="s">
        <v>484</v>
      </c>
      <c r="V419" t="s">
        <v>193</v>
      </c>
      <c r="W419" t="s">
        <v>9310</v>
      </c>
      <c r="Z419" t="s">
        <v>9311</v>
      </c>
      <c r="AF419" t="s">
        <v>4714</v>
      </c>
      <c r="AG419" t="s">
        <v>13248</v>
      </c>
      <c r="AI419" t="s">
        <v>6955</v>
      </c>
      <c r="AJ419" s="27" t="str">
        <f t="shared" si="12"/>
        <v>251401</v>
      </c>
      <c r="AK419" s="27">
        <v>1</v>
      </c>
      <c r="AL419" s="27">
        <f t="shared" si="13"/>
        <v>1</v>
      </c>
      <c r="AM419" s="28">
        <v>1</v>
      </c>
    </row>
    <row r="420" spans="1:39" x14ac:dyDescent="0.25">
      <c r="A420" t="s">
        <v>8371</v>
      </c>
      <c r="B420" t="s">
        <v>13248</v>
      </c>
      <c r="C420" t="s">
        <v>10</v>
      </c>
      <c r="D420" s="25" t="s">
        <v>14750</v>
      </c>
      <c r="E420" t="s">
        <v>233</v>
      </c>
      <c r="F420" s="28">
        <v>1</v>
      </c>
      <c r="G420" t="s">
        <v>193</v>
      </c>
      <c r="H420" t="s">
        <v>194</v>
      </c>
      <c r="I420" t="s">
        <v>14022</v>
      </c>
      <c r="J420" t="s">
        <v>9302</v>
      </c>
      <c r="K420" t="s">
        <v>14898</v>
      </c>
      <c r="L420" t="s">
        <v>6261</v>
      </c>
      <c r="M420" t="s">
        <v>14887</v>
      </c>
      <c r="N420" t="s">
        <v>14888</v>
      </c>
      <c r="O420" t="s">
        <v>13152</v>
      </c>
      <c r="P420" t="s">
        <v>14899</v>
      </c>
      <c r="Q420" t="s">
        <v>14900</v>
      </c>
      <c r="S420" t="s">
        <v>9309</v>
      </c>
      <c r="U420" t="s">
        <v>484</v>
      </c>
      <c r="V420" t="s">
        <v>193</v>
      </c>
      <c r="W420" t="s">
        <v>9310</v>
      </c>
      <c r="Z420" t="s">
        <v>9311</v>
      </c>
      <c r="AF420" t="s">
        <v>4714</v>
      </c>
      <c r="AG420" t="s">
        <v>13248</v>
      </c>
      <c r="AI420" t="s">
        <v>6955</v>
      </c>
      <c r="AJ420" s="27" t="str">
        <f t="shared" si="12"/>
        <v>251401</v>
      </c>
      <c r="AK420" s="27">
        <v>1</v>
      </c>
      <c r="AL420" s="27">
        <f t="shared" si="13"/>
        <v>1</v>
      </c>
      <c r="AM420" s="28">
        <v>1</v>
      </c>
    </row>
    <row r="421" spans="1:39" x14ac:dyDescent="0.25">
      <c r="A421" t="s">
        <v>8371</v>
      </c>
      <c r="B421" t="s">
        <v>14901</v>
      </c>
      <c r="C421" t="s">
        <v>8953</v>
      </c>
      <c r="D421" s="25" t="s">
        <v>14750</v>
      </c>
      <c r="E421" t="s">
        <v>233</v>
      </c>
      <c r="F421" s="28">
        <v>1</v>
      </c>
      <c r="G421" t="s">
        <v>193</v>
      </c>
      <c r="H421" t="s">
        <v>194</v>
      </c>
      <c r="I421" t="s">
        <v>14022</v>
      </c>
      <c r="J421" t="s">
        <v>9302</v>
      </c>
      <c r="K421" t="s">
        <v>14902</v>
      </c>
      <c r="L421" t="s">
        <v>6261</v>
      </c>
      <c r="M421" t="s">
        <v>14887</v>
      </c>
      <c r="N421" t="s">
        <v>14888</v>
      </c>
      <c r="O421" t="s">
        <v>13152</v>
      </c>
      <c r="P421" t="s">
        <v>14903</v>
      </c>
      <c r="Q421" t="s">
        <v>14904</v>
      </c>
      <c r="S421" t="s">
        <v>9309</v>
      </c>
      <c r="U421" t="s">
        <v>8955</v>
      </c>
      <c r="V421" t="s">
        <v>193</v>
      </c>
      <c r="W421" t="s">
        <v>9310</v>
      </c>
      <c r="Z421" t="s">
        <v>9311</v>
      </c>
      <c r="AF421" t="s">
        <v>4714</v>
      </c>
      <c r="AG421" t="s">
        <v>14901</v>
      </c>
      <c r="AI421" t="s">
        <v>6955</v>
      </c>
      <c r="AJ421" s="27" t="str">
        <f t="shared" si="12"/>
        <v>252103</v>
      </c>
      <c r="AK421" s="27">
        <v>1</v>
      </c>
      <c r="AL421" s="27">
        <f t="shared" si="13"/>
        <v>1</v>
      </c>
      <c r="AM421" s="28">
        <v>1</v>
      </c>
    </row>
    <row r="422" spans="1:39" x14ac:dyDescent="0.25">
      <c r="A422" t="s">
        <v>8371</v>
      </c>
      <c r="B422" t="s">
        <v>14901</v>
      </c>
      <c r="C422" t="s">
        <v>8953</v>
      </c>
      <c r="D422" s="25" t="s">
        <v>14750</v>
      </c>
      <c r="E422" t="s">
        <v>233</v>
      </c>
      <c r="F422" s="28">
        <v>1</v>
      </c>
      <c r="G422" t="s">
        <v>193</v>
      </c>
      <c r="H422" t="s">
        <v>194</v>
      </c>
      <c r="I422" t="s">
        <v>14022</v>
      </c>
      <c r="J422" t="s">
        <v>9302</v>
      </c>
      <c r="K422" t="s">
        <v>14905</v>
      </c>
      <c r="L422" t="s">
        <v>6261</v>
      </c>
      <c r="M422" t="s">
        <v>14887</v>
      </c>
      <c r="N422" t="s">
        <v>14888</v>
      </c>
      <c r="O422" t="s">
        <v>13152</v>
      </c>
      <c r="P422" t="s">
        <v>14906</v>
      </c>
      <c r="Q422" t="s">
        <v>14907</v>
      </c>
      <c r="S422" t="s">
        <v>9309</v>
      </c>
      <c r="U422" t="s">
        <v>8955</v>
      </c>
      <c r="V422" t="s">
        <v>193</v>
      </c>
      <c r="W422" t="s">
        <v>9310</v>
      </c>
      <c r="Z422" t="s">
        <v>9311</v>
      </c>
      <c r="AF422" t="s">
        <v>4714</v>
      </c>
      <c r="AG422" t="s">
        <v>14901</v>
      </c>
      <c r="AI422" t="s">
        <v>6955</v>
      </c>
      <c r="AJ422" s="27" t="str">
        <f t="shared" si="12"/>
        <v>252103</v>
      </c>
      <c r="AK422" s="27">
        <v>1</v>
      </c>
      <c r="AL422" s="27">
        <f t="shared" si="13"/>
        <v>1</v>
      </c>
      <c r="AM422" s="28">
        <v>1</v>
      </c>
    </row>
    <row r="423" spans="1:39" x14ac:dyDescent="0.25">
      <c r="A423" t="s">
        <v>8371</v>
      </c>
      <c r="B423" t="s">
        <v>13270</v>
      </c>
      <c r="C423" t="s">
        <v>10</v>
      </c>
      <c r="D423" s="25" t="s">
        <v>14750</v>
      </c>
      <c r="E423" t="s">
        <v>233</v>
      </c>
      <c r="F423" s="28">
        <v>1</v>
      </c>
      <c r="G423" t="s">
        <v>193</v>
      </c>
      <c r="H423" t="s">
        <v>194</v>
      </c>
      <c r="I423" t="s">
        <v>14788</v>
      </c>
      <c r="J423" t="s">
        <v>9302</v>
      </c>
      <c r="K423" t="s">
        <v>14908</v>
      </c>
      <c r="L423" t="s">
        <v>6921</v>
      </c>
      <c r="M423" t="s">
        <v>14887</v>
      </c>
      <c r="N423" t="s">
        <v>14888</v>
      </c>
      <c r="O423" t="s">
        <v>13152</v>
      </c>
      <c r="P423" t="s">
        <v>14909</v>
      </c>
      <c r="Q423" t="s">
        <v>14910</v>
      </c>
      <c r="S423" t="s">
        <v>9309</v>
      </c>
      <c r="U423" t="s">
        <v>484</v>
      </c>
      <c r="V423" t="s">
        <v>193</v>
      </c>
      <c r="W423" t="s">
        <v>9310</v>
      </c>
      <c r="Z423" t="s">
        <v>9311</v>
      </c>
      <c r="AF423" t="s">
        <v>4714</v>
      </c>
      <c r="AG423" t="s">
        <v>13270</v>
      </c>
      <c r="AI423" t="s">
        <v>6955</v>
      </c>
      <c r="AJ423" s="27" t="str">
        <f t="shared" si="12"/>
        <v>251401</v>
      </c>
      <c r="AK423" s="27">
        <v>1</v>
      </c>
      <c r="AL423" s="27">
        <f t="shared" si="13"/>
        <v>1</v>
      </c>
      <c r="AM423" s="28">
        <v>1</v>
      </c>
    </row>
    <row r="424" spans="1:39" x14ac:dyDescent="0.25">
      <c r="A424" t="s">
        <v>8371</v>
      </c>
      <c r="B424" t="s">
        <v>14911</v>
      </c>
      <c r="C424" t="s">
        <v>10</v>
      </c>
      <c r="D424" s="25" t="s">
        <v>14750</v>
      </c>
      <c r="E424" t="s">
        <v>233</v>
      </c>
      <c r="F424" s="28">
        <v>1</v>
      </c>
      <c r="G424" t="s">
        <v>193</v>
      </c>
      <c r="H424" t="s">
        <v>194</v>
      </c>
      <c r="I424" t="s">
        <v>14788</v>
      </c>
      <c r="J424" t="s">
        <v>9302</v>
      </c>
      <c r="K424" t="s">
        <v>14912</v>
      </c>
      <c r="L424" t="s">
        <v>6261</v>
      </c>
      <c r="M424" t="s">
        <v>14887</v>
      </c>
      <c r="N424" t="s">
        <v>14888</v>
      </c>
      <c r="O424" t="s">
        <v>13152</v>
      </c>
      <c r="P424" t="s">
        <v>14913</v>
      </c>
      <c r="Q424" t="s">
        <v>14914</v>
      </c>
      <c r="S424" t="s">
        <v>9309</v>
      </c>
      <c r="U424" t="s">
        <v>484</v>
      </c>
      <c r="V424" t="s">
        <v>193</v>
      </c>
      <c r="W424" t="s">
        <v>9310</v>
      </c>
      <c r="Z424" t="s">
        <v>9311</v>
      </c>
      <c r="AF424" t="s">
        <v>4714</v>
      </c>
      <c r="AG424" t="s">
        <v>14911</v>
      </c>
      <c r="AI424" t="s">
        <v>6955</v>
      </c>
      <c r="AJ424" s="27" t="str">
        <f t="shared" si="12"/>
        <v>251401</v>
      </c>
      <c r="AK424" s="27">
        <v>1</v>
      </c>
      <c r="AL424" s="27">
        <f t="shared" si="13"/>
        <v>1</v>
      </c>
      <c r="AM424" s="28">
        <v>1</v>
      </c>
    </row>
    <row r="425" spans="1:39" x14ac:dyDescent="0.25">
      <c r="A425" t="s">
        <v>8371</v>
      </c>
      <c r="B425" t="s">
        <v>14915</v>
      </c>
      <c r="C425" t="s">
        <v>61</v>
      </c>
      <c r="D425" s="25" t="s">
        <v>14750</v>
      </c>
      <c r="E425" t="s">
        <v>233</v>
      </c>
      <c r="F425" s="28">
        <v>1</v>
      </c>
      <c r="G425" t="s">
        <v>193</v>
      </c>
      <c r="H425" t="s">
        <v>194</v>
      </c>
      <c r="I425" t="s">
        <v>14788</v>
      </c>
      <c r="J425" t="s">
        <v>9302</v>
      </c>
      <c r="K425" t="s">
        <v>14916</v>
      </c>
      <c r="L425" t="s">
        <v>6921</v>
      </c>
      <c r="M425" t="s">
        <v>14887</v>
      </c>
      <c r="N425" t="s">
        <v>14888</v>
      </c>
      <c r="O425" t="s">
        <v>13152</v>
      </c>
      <c r="P425" t="s">
        <v>14917</v>
      </c>
      <c r="Q425" t="s">
        <v>14918</v>
      </c>
      <c r="S425" t="s">
        <v>9309</v>
      </c>
      <c r="U425" t="s">
        <v>2282</v>
      </c>
      <c r="V425" t="s">
        <v>193</v>
      </c>
      <c r="W425" t="s">
        <v>9310</v>
      </c>
      <c r="Z425" t="s">
        <v>9311</v>
      </c>
      <c r="AF425" t="s">
        <v>4714</v>
      </c>
      <c r="AG425" t="s">
        <v>14915</v>
      </c>
      <c r="AI425" t="s">
        <v>6955</v>
      </c>
      <c r="AJ425" s="27" t="str">
        <f t="shared" si="12"/>
        <v>251103</v>
      </c>
      <c r="AK425" s="27">
        <v>1</v>
      </c>
      <c r="AL425" s="27">
        <f t="shared" si="13"/>
        <v>1</v>
      </c>
      <c r="AM425" s="28">
        <v>1</v>
      </c>
    </row>
    <row r="426" spans="1:39" x14ac:dyDescent="0.25">
      <c r="A426" t="s">
        <v>8371</v>
      </c>
      <c r="B426" t="s">
        <v>14915</v>
      </c>
      <c r="C426" t="s">
        <v>61</v>
      </c>
      <c r="D426" s="25" t="s">
        <v>14750</v>
      </c>
      <c r="E426" t="s">
        <v>233</v>
      </c>
      <c r="F426" s="28">
        <v>1</v>
      </c>
      <c r="G426" t="s">
        <v>193</v>
      </c>
      <c r="H426" t="s">
        <v>194</v>
      </c>
      <c r="I426" t="s">
        <v>14022</v>
      </c>
      <c r="J426" t="s">
        <v>9302</v>
      </c>
      <c r="K426" t="s">
        <v>14919</v>
      </c>
      <c r="L426" t="s">
        <v>6921</v>
      </c>
      <c r="M426" t="s">
        <v>14887</v>
      </c>
      <c r="N426" t="s">
        <v>14888</v>
      </c>
      <c r="O426" t="s">
        <v>13152</v>
      </c>
      <c r="P426" t="s">
        <v>14920</v>
      </c>
      <c r="Q426" t="s">
        <v>14921</v>
      </c>
      <c r="S426" t="s">
        <v>9309</v>
      </c>
      <c r="U426" t="s">
        <v>2282</v>
      </c>
      <c r="V426" t="s">
        <v>193</v>
      </c>
      <c r="W426" t="s">
        <v>9310</v>
      </c>
      <c r="Z426" t="s">
        <v>9311</v>
      </c>
      <c r="AF426" t="s">
        <v>4714</v>
      </c>
      <c r="AG426" t="s">
        <v>14915</v>
      </c>
      <c r="AI426" t="s">
        <v>6955</v>
      </c>
      <c r="AJ426" s="27" t="str">
        <f t="shared" si="12"/>
        <v>251103</v>
      </c>
      <c r="AK426" s="27">
        <v>1</v>
      </c>
      <c r="AL426" s="27">
        <f t="shared" si="13"/>
        <v>1</v>
      </c>
      <c r="AM426" s="28">
        <v>1</v>
      </c>
    </row>
    <row r="427" spans="1:39" x14ac:dyDescent="0.25">
      <c r="A427" t="s">
        <v>8371</v>
      </c>
      <c r="B427" t="s">
        <v>14922</v>
      </c>
      <c r="C427" t="s">
        <v>480</v>
      </c>
      <c r="D427" s="25" t="s">
        <v>14750</v>
      </c>
      <c r="E427" t="s">
        <v>233</v>
      </c>
      <c r="F427" s="28">
        <v>1</v>
      </c>
      <c r="G427" t="s">
        <v>193</v>
      </c>
      <c r="H427" t="s">
        <v>194</v>
      </c>
      <c r="I427" t="s">
        <v>14022</v>
      </c>
      <c r="J427" t="s">
        <v>9302</v>
      </c>
      <c r="K427" t="s">
        <v>14923</v>
      </c>
      <c r="L427" t="s">
        <v>6261</v>
      </c>
      <c r="M427" t="s">
        <v>14887</v>
      </c>
      <c r="N427" t="s">
        <v>14888</v>
      </c>
      <c r="O427" t="s">
        <v>13152</v>
      </c>
      <c r="P427" t="s">
        <v>14924</v>
      </c>
      <c r="Q427" t="s">
        <v>14925</v>
      </c>
      <c r="S427" t="s">
        <v>9309</v>
      </c>
      <c r="U427" t="s">
        <v>481</v>
      </c>
      <c r="V427" t="s">
        <v>193</v>
      </c>
      <c r="W427" t="s">
        <v>9310</v>
      </c>
      <c r="Z427" t="s">
        <v>9311</v>
      </c>
      <c r="AF427" t="s">
        <v>4714</v>
      </c>
      <c r="AG427" t="s">
        <v>14922</v>
      </c>
      <c r="AI427" t="s">
        <v>6955</v>
      </c>
      <c r="AJ427" s="27" t="str">
        <f t="shared" si="12"/>
        <v>251201</v>
      </c>
      <c r="AK427" s="27">
        <v>1</v>
      </c>
      <c r="AL427" s="27">
        <f t="shared" si="13"/>
        <v>1</v>
      </c>
      <c r="AM427" s="28">
        <v>1</v>
      </c>
    </row>
    <row r="428" spans="1:39" x14ac:dyDescent="0.25">
      <c r="A428" t="s">
        <v>8371</v>
      </c>
      <c r="B428" t="s">
        <v>14926</v>
      </c>
      <c r="C428" t="s">
        <v>61</v>
      </c>
      <c r="D428" s="25" t="s">
        <v>14750</v>
      </c>
      <c r="E428" t="s">
        <v>233</v>
      </c>
      <c r="F428" s="28">
        <v>1</v>
      </c>
      <c r="G428" t="s">
        <v>193</v>
      </c>
      <c r="H428" t="s">
        <v>194</v>
      </c>
      <c r="I428" t="s">
        <v>14022</v>
      </c>
      <c r="J428" t="s">
        <v>9302</v>
      </c>
      <c r="K428" t="s">
        <v>14927</v>
      </c>
      <c r="L428" t="s">
        <v>6921</v>
      </c>
      <c r="M428" t="s">
        <v>14887</v>
      </c>
      <c r="N428" t="s">
        <v>14888</v>
      </c>
      <c r="O428" t="s">
        <v>13152</v>
      </c>
      <c r="P428" t="s">
        <v>14928</v>
      </c>
      <c r="Q428" t="s">
        <v>14929</v>
      </c>
      <c r="S428" t="s">
        <v>9309</v>
      </c>
      <c r="U428" t="s">
        <v>2282</v>
      </c>
      <c r="V428" t="s">
        <v>193</v>
      </c>
      <c r="W428" t="s">
        <v>9310</v>
      </c>
      <c r="Z428" t="s">
        <v>9311</v>
      </c>
      <c r="AF428" t="s">
        <v>4714</v>
      </c>
      <c r="AG428" t="s">
        <v>14926</v>
      </c>
      <c r="AI428" t="s">
        <v>6955</v>
      </c>
      <c r="AJ428" s="27" t="str">
        <f t="shared" si="12"/>
        <v>251103</v>
      </c>
      <c r="AK428" s="27">
        <v>1</v>
      </c>
      <c r="AL428" s="27">
        <f t="shared" si="13"/>
        <v>1</v>
      </c>
      <c r="AM428" s="28">
        <v>1</v>
      </c>
    </row>
    <row r="429" spans="1:39" x14ac:dyDescent="0.25">
      <c r="A429" t="s">
        <v>8371</v>
      </c>
      <c r="B429" t="s">
        <v>1055</v>
      </c>
      <c r="C429" t="s">
        <v>1766</v>
      </c>
      <c r="D429" s="25" t="s">
        <v>14750</v>
      </c>
      <c r="E429" t="s">
        <v>233</v>
      </c>
      <c r="F429" s="28">
        <v>1</v>
      </c>
      <c r="G429" t="s">
        <v>193</v>
      </c>
      <c r="H429" t="s">
        <v>194</v>
      </c>
      <c r="I429" t="s">
        <v>14788</v>
      </c>
      <c r="J429" t="s">
        <v>9302</v>
      </c>
      <c r="K429" t="s">
        <v>14930</v>
      </c>
      <c r="L429" t="s">
        <v>6921</v>
      </c>
      <c r="M429" t="s">
        <v>14887</v>
      </c>
      <c r="N429" t="s">
        <v>14888</v>
      </c>
      <c r="O429" t="s">
        <v>13152</v>
      </c>
      <c r="P429" t="s">
        <v>14931</v>
      </c>
      <c r="Q429" t="s">
        <v>14932</v>
      </c>
      <c r="S429" t="s">
        <v>9309</v>
      </c>
      <c r="U429" t="s">
        <v>1767</v>
      </c>
      <c r="V429" t="s">
        <v>193</v>
      </c>
      <c r="W429" t="s">
        <v>9310</v>
      </c>
      <c r="Z429" t="s">
        <v>9311</v>
      </c>
      <c r="AF429" t="s">
        <v>4714</v>
      </c>
      <c r="AG429" t="s">
        <v>1055</v>
      </c>
      <c r="AI429" t="s">
        <v>6955</v>
      </c>
      <c r="AJ429" s="27" t="str">
        <f t="shared" si="12"/>
        <v>242112</v>
      </c>
      <c r="AK429" s="27">
        <v>1</v>
      </c>
      <c r="AL429" s="27">
        <f t="shared" si="13"/>
        <v>1</v>
      </c>
      <c r="AM429" s="28">
        <v>1</v>
      </c>
    </row>
    <row r="430" spans="1:39" x14ac:dyDescent="0.25">
      <c r="A430" t="s">
        <v>5518</v>
      </c>
      <c r="B430" t="s">
        <v>5519</v>
      </c>
      <c r="C430" t="s">
        <v>740</v>
      </c>
      <c r="D430" s="25" t="s">
        <v>14750</v>
      </c>
      <c r="E430" t="s">
        <v>192</v>
      </c>
      <c r="F430" s="28">
        <v>1</v>
      </c>
      <c r="G430" t="s">
        <v>193</v>
      </c>
      <c r="H430" t="s">
        <v>194</v>
      </c>
      <c r="I430" t="s">
        <v>14777</v>
      </c>
      <c r="J430" t="s">
        <v>210</v>
      </c>
      <c r="K430" t="s">
        <v>14933</v>
      </c>
      <c r="L430" t="s">
        <v>6921</v>
      </c>
      <c r="M430" t="s">
        <v>14779</v>
      </c>
      <c r="N430" t="s">
        <v>14780</v>
      </c>
      <c r="O430" t="s">
        <v>13125</v>
      </c>
      <c r="P430" t="s">
        <v>14934</v>
      </c>
      <c r="Q430" t="s">
        <v>14935</v>
      </c>
      <c r="S430" t="s">
        <v>9309</v>
      </c>
      <c r="T430" t="s">
        <v>9334</v>
      </c>
      <c r="U430" t="s">
        <v>741</v>
      </c>
      <c r="V430" t="s">
        <v>194</v>
      </c>
      <c r="W430" t="s">
        <v>9300</v>
      </c>
      <c r="Z430" t="s">
        <v>9311</v>
      </c>
      <c r="AF430" t="s">
        <v>4714</v>
      </c>
      <c r="AG430" t="s">
        <v>5519</v>
      </c>
      <c r="AI430" t="s">
        <v>6955</v>
      </c>
      <c r="AJ430" s="27" t="str">
        <f t="shared" si="12"/>
        <v>522301</v>
      </c>
      <c r="AK430" s="27">
        <v>1</v>
      </c>
      <c r="AL430" s="27">
        <f t="shared" si="13"/>
        <v>1</v>
      </c>
      <c r="AM430" s="28">
        <v>1</v>
      </c>
    </row>
    <row r="431" spans="1:39" x14ac:dyDescent="0.25">
      <c r="A431" t="s">
        <v>5518</v>
      </c>
      <c r="B431" t="s">
        <v>5519</v>
      </c>
      <c r="C431" t="s">
        <v>740</v>
      </c>
      <c r="D431" s="25" t="s">
        <v>14750</v>
      </c>
      <c r="E431" t="s">
        <v>192</v>
      </c>
      <c r="F431" s="28">
        <v>1</v>
      </c>
      <c r="G431" t="s">
        <v>193</v>
      </c>
      <c r="H431" t="s">
        <v>194</v>
      </c>
      <c r="I431" t="s">
        <v>14777</v>
      </c>
      <c r="J431" t="s">
        <v>747</v>
      </c>
      <c r="K431" t="s">
        <v>14936</v>
      </c>
      <c r="L431" t="s">
        <v>6921</v>
      </c>
      <c r="M431" t="s">
        <v>14779</v>
      </c>
      <c r="N431" t="s">
        <v>14780</v>
      </c>
      <c r="O431" t="s">
        <v>13125</v>
      </c>
      <c r="P431" t="s">
        <v>14937</v>
      </c>
      <c r="Q431" t="s">
        <v>14938</v>
      </c>
      <c r="S431" t="s">
        <v>9309</v>
      </c>
      <c r="T431" t="s">
        <v>10397</v>
      </c>
      <c r="U431" t="s">
        <v>741</v>
      </c>
      <c r="V431" t="s">
        <v>194</v>
      </c>
      <c r="W431" t="s">
        <v>9300</v>
      </c>
      <c r="Z431" t="s">
        <v>9311</v>
      </c>
      <c r="AF431" t="s">
        <v>4714</v>
      </c>
      <c r="AG431" t="s">
        <v>5519</v>
      </c>
      <c r="AI431" t="s">
        <v>6955</v>
      </c>
      <c r="AJ431" s="27" t="str">
        <f t="shared" si="12"/>
        <v>522301</v>
      </c>
      <c r="AK431" s="27">
        <v>1</v>
      </c>
      <c r="AL431" s="27">
        <f t="shared" si="13"/>
        <v>1</v>
      </c>
      <c r="AM431" s="28">
        <v>1</v>
      </c>
    </row>
    <row r="432" spans="1:39" x14ac:dyDescent="0.25">
      <c r="A432" t="s">
        <v>1207</v>
      </c>
      <c r="B432" t="s">
        <v>13283</v>
      </c>
      <c r="C432" t="s">
        <v>10</v>
      </c>
      <c r="D432" s="25" t="s">
        <v>14750</v>
      </c>
      <c r="E432" t="s">
        <v>217</v>
      </c>
      <c r="F432" s="28">
        <v>1</v>
      </c>
      <c r="G432" t="s">
        <v>193</v>
      </c>
      <c r="H432" t="s">
        <v>194</v>
      </c>
      <c r="I432" t="s">
        <v>14788</v>
      </c>
      <c r="J432" t="s">
        <v>13284</v>
      </c>
      <c r="K432" t="s">
        <v>13285</v>
      </c>
      <c r="L432" t="s">
        <v>6261</v>
      </c>
      <c r="M432" t="s">
        <v>14821</v>
      </c>
      <c r="N432" t="s">
        <v>11614</v>
      </c>
      <c r="O432" t="s">
        <v>13160</v>
      </c>
      <c r="P432" t="s">
        <v>14939</v>
      </c>
      <c r="Q432" t="s">
        <v>14940</v>
      </c>
      <c r="S432" t="s">
        <v>9309</v>
      </c>
      <c r="U432" t="s">
        <v>484</v>
      </c>
      <c r="V432" t="s">
        <v>193</v>
      </c>
      <c r="W432" t="s">
        <v>9310</v>
      </c>
      <c r="Z432" t="s">
        <v>9311</v>
      </c>
      <c r="AF432" t="s">
        <v>4714</v>
      </c>
      <c r="AG432" t="s">
        <v>9433</v>
      </c>
      <c r="AI432" t="s">
        <v>6955</v>
      </c>
      <c r="AJ432" s="27" t="str">
        <f t="shared" si="12"/>
        <v>251401</v>
      </c>
      <c r="AK432" s="27">
        <v>1</v>
      </c>
      <c r="AL432" s="27">
        <f t="shared" si="13"/>
        <v>1</v>
      </c>
      <c r="AM432" s="28">
        <v>1</v>
      </c>
    </row>
    <row r="433" spans="1:39" x14ac:dyDescent="0.25">
      <c r="A433" t="s">
        <v>1207</v>
      </c>
      <c r="B433" t="s">
        <v>5134</v>
      </c>
      <c r="C433" t="s">
        <v>10</v>
      </c>
      <c r="D433" s="25" t="s">
        <v>14750</v>
      </c>
      <c r="E433" t="s">
        <v>217</v>
      </c>
      <c r="F433" s="28">
        <v>1</v>
      </c>
      <c r="G433" t="s">
        <v>193</v>
      </c>
      <c r="H433" t="s">
        <v>194</v>
      </c>
      <c r="I433" t="s">
        <v>14788</v>
      </c>
      <c r="J433" t="s">
        <v>13289</v>
      </c>
      <c r="K433" t="s">
        <v>13290</v>
      </c>
      <c r="L433" t="s">
        <v>6261</v>
      </c>
      <c r="M433" t="s">
        <v>14821</v>
      </c>
      <c r="N433" t="s">
        <v>12285</v>
      </c>
      <c r="O433" t="s">
        <v>13291</v>
      </c>
      <c r="P433" t="s">
        <v>14941</v>
      </c>
      <c r="Q433" t="s">
        <v>14942</v>
      </c>
      <c r="S433" t="s">
        <v>9309</v>
      </c>
      <c r="U433" t="s">
        <v>484</v>
      </c>
      <c r="V433" t="s">
        <v>193</v>
      </c>
      <c r="W433" t="s">
        <v>9310</v>
      </c>
      <c r="Z433" t="s">
        <v>9311</v>
      </c>
      <c r="AF433" t="s">
        <v>4714</v>
      </c>
      <c r="AG433" t="s">
        <v>9433</v>
      </c>
      <c r="AI433" t="s">
        <v>6955</v>
      </c>
      <c r="AJ433" s="27" t="str">
        <f t="shared" si="12"/>
        <v>251401</v>
      </c>
      <c r="AK433" s="27">
        <v>1</v>
      </c>
      <c r="AL433" s="27">
        <f t="shared" si="13"/>
        <v>1</v>
      </c>
      <c r="AM433" s="28">
        <v>1</v>
      </c>
    </row>
    <row r="434" spans="1:39" x14ac:dyDescent="0.25">
      <c r="A434" t="s">
        <v>352</v>
      </c>
      <c r="B434" t="s">
        <v>14943</v>
      </c>
      <c r="C434" t="s">
        <v>9093</v>
      </c>
      <c r="D434" s="25" t="s">
        <v>14750</v>
      </c>
      <c r="E434" t="s">
        <v>192</v>
      </c>
      <c r="F434" s="28">
        <v>1</v>
      </c>
      <c r="G434" t="s">
        <v>193</v>
      </c>
      <c r="H434" t="s">
        <v>194</v>
      </c>
      <c r="I434" t="s">
        <v>14777</v>
      </c>
      <c r="J434" t="s">
        <v>210</v>
      </c>
      <c r="K434" t="s">
        <v>14944</v>
      </c>
      <c r="L434" t="s">
        <v>6245</v>
      </c>
      <c r="M434" t="s">
        <v>14779</v>
      </c>
      <c r="N434" t="s">
        <v>14780</v>
      </c>
      <c r="O434" t="s">
        <v>13125</v>
      </c>
      <c r="P434" t="s">
        <v>14945</v>
      </c>
      <c r="Q434" t="s">
        <v>14946</v>
      </c>
      <c r="S434" t="s">
        <v>9309</v>
      </c>
      <c r="T434" t="s">
        <v>9334</v>
      </c>
      <c r="U434" t="s">
        <v>9095</v>
      </c>
      <c r="V434" t="s">
        <v>194</v>
      </c>
      <c r="W434" t="s">
        <v>9300</v>
      </c>
      <c r="Z434" t="s">
        <v>9311</v>
      </c>
      <c r="AF434" t="s">
        <v>4714</v>
      </c>
      <c r="AG434" t="s">
        <v>14943</v>
      </c>
      <c r="AI434" t="s">
        <v>6955</v>
      </c>
      <c r="AJ434" s="27" t="str">
        <f t="shared" si="12"/>
        <v>722206</v>
      </c>
      <c r="AK434" s="27">
        <v>1</v>
      </c>
      <c r="AL434" s="27">
        <f t="shared" si="13"/>
        <v>1</v>
      </c>
      <c r="AM434" s="28">
        <v>1</v>
      </c>
    </row>
    <row r="435" spans="1:39" x14ac:dyDescent="0.25">
      <c r="A435" t="s">
        <v>4726</v>
      </c>
      <c r="B435" t="s">
        <v>4332</v>
      </c>
      <c r="C435" t="s">
        <v>4090</v>
      </c>
      <c r="D435" s="25" t="s">
        <v>14750</v>
      </c>
      <c r="E435" t="s">
        <v>233</v>
      </c>
      <c r="F435" s="28">
        <v>1</v>
      </c>
      <c r="G435" t="s">
        <v>193</v>
      </c>
      <c r="H435" t="s">
        <v>194</v>
      </c>
      <c r="I435" t="s">
        <v>14788</v>
      </c>
      <c r="J435" t="s">
        <v>9302</v>
      </c>
      <c r="K435" t="s">
        <v>14947</v>
      </c>
      <c r="L435" t="s">
        <v>6254</v>
      </c>
      <c r="M435" t="s">
        <v>14887</v>
      </c>
      <c r="N435" t="s">
        <v>14888</v>
      </c>
      <c r="O435" t="s">
        <v>13303</v>
      </c>
      <c r="P435" t="s">
        <v>14948</v>
      </c>
      <c r="Q435" t="s">
        <v>14949</v>
      </c>
      <c r="S435" t="s">
        <v>9309</v>
      </c>
      <c r="U435" t="s">
        <v>4091</v>
      </c>
      <c r="V435" t="s">
        <v>193</v>
      </c>
      <c r="W435" t="s">
        <v>9310</v>
      </c>
      <c r="Z435" t="s">
        <v>9311</v>
      </c>
      <c r="AF435" t="s">
        <v>4714</v>
      </c>
      <c r="AG435" t="s">
        <v>4332</v>
      </c>
      <c r="AI435" t="s">
        <v>6955</v>
      </c>
      <c r="AJ435" s="27" t="str">
        <f t="shared" si="12"/>
        <v>421403</v>
      </c>
      <c r="AK435" s="27">
        <v>1</v>
      </c>
      <c r="AL435" s="27">
        <f t="shared" si="13"/>
        <v>1</v>
      </c>
      <c r="AM435" s="28">
        <v>1</v>
      </c>
    </row>
    <row r="436" spans="1:39" x14ac:dyDescent="0.25">
      <c r="A436" t="s">
        <v>14950</v>
      </c>
      <c r="B436" t="s">
        <v>261</v>
      </c>
      <c r="C436" t="s">
        <v>74</v>
      </c>
      <c r="D436" s="25" t="s">
        <v>14750</v>
      </c>
      <c r="E436" t="s">
        <v>192</v>
      </c>
      <c r="F436" s="28">
        <v>1</v>
      </c>
      <c r="G436" t="s">
        <v>193</v>
      </c>
      <c r="H436" t="s">
        <v>194</v>
      </c>
      <c r="I436" t="s">
        <v>14788</v>
      </c>
      <c r="J436" t="s">
        <v>210</v>
      </c>
      <c r="K436" t="s">
        <v>14951</v>
      </c>
      <c r="L436" t="s">
        <v>6251</v>
      </c>
      <c r="M436" t="s">
        <v>14779</v>
      </c>
      <c r="N436" t="s">
        <v>14780</v>
      </c>
      <c r="O436" t="s">
        <v>13125</v>
      </c>
      <c r="P436" t="s">
        <v>14952</v>
      </c>
      <c r="Q436" t="s">
        <v>14953</v>
      </c>
      <c r="S436" t="s">
        <v>9309</v>
      </c>
      <c r="T436" t="s">
        <v>9334</v>
      </c>
      <c r="U436" t="s">
        <v>246</v>
      </c>
      <c r="V436" t="s">
        <v>194</v>
      </c>
      <c r="W436" t="s">
        <v>9300</v>
      </c>
      <c r="Z436" t="s">
        <v>9311</v>
      </c>
      <c r="AF436" t="s">
        <v>4714</v>
      </c>
      <c r="AG436" t="s">
        <v>261</v>
      </c>
      <c r="AI436" t="s">
        <v>6955</v>
      </c>
      <c r="AJ436" s="27" t="str">
        <f t="shared" si="12"/>
        <v>142004</v>
      </c>
      <c r="AK436" s="27">
        <v>1</v>
      </c>
      <c r="AL436" s="27">
        <f t="shared" si="13"/>
        <v>1</v>
      </c>
      <c r="AM436" s="28">
        <v>1</v>
      </c>
    </row>
    <row r="437" spans="1:39" x14ac:dyDescent="0.25">
      <c r="A437" t="s">
        <v>14954</v>
      </c>
      <c r="B437" t="s">
        <v>14955</v>
      </c>
      <c r="C437" t="s">
        <v>62</v>
      </c>
      <c r="D437" s="25" t="s">
        <v>14750</v>
      </c>
      <c r="E437" t="s">
        <v>192</v>
      </c>
      <c r="F437" s="28">
        <v>1</v>
      </c>
      <c r="G437" t="s">
        <v>193</v>
      </c>
      <c r="H437" t="s">
        <v>194</v>
      </c>
      <c r="I437" t="s">
        <v>14777</v>
      </c>
      <c r="J437" t="s">
        <v>2614</v>
      </c>
      <c r="K437" t="s">
        <v>14956</v>
      </c>
      <c r="L437" t="s">
        <v>6275</v>
      </c>
      <c r="M437" t="s">
        <v>14779</v>
      </c>
      <c r="N437" t="s">
        <v>14780</v>
      </c>
      <c r="O437" t="s">
        <v>13125</v>
      </c>
      <c r="P437" t="s">
        <v>14957</v>
      </c>
      <c r="Q437" t="s">
        <v>14958</v>
      </c>
      <c r="S437" t="s">
        <v>9309</v>
      </c>
      <c r="T437" t="s">
        <v>9367</v>
      </c>
      <c r="U437" t="s">
        <v>601</v>
      </c>
      <c r="V437" t="s">
        <v>194</v>
      </c>
      <c r="W437" t="s">
        <v>9300</v>
      </c>
      <c r="Z437" t="s">
        <v>9311</v>
      </c>
      <c r="AF437" t="s">
        <v>4714</v>
      </c>
      <c r="AG437" t="s">
        <v>14955</v>
      </c>
      <c r="AI437" t="s">
        <v>6955</v>
      </c>
      <c r="AJ437" s="27" t="str">
        <f t="shared" si="12"/>
        <v>313904</v>
      </c>
      <c r="AK437" s="27">
        <v>1</v>
      </c>
      <c r="AL437" s="27">
        <f t="shared" si="13"/>
        <v>1</v>
      </c>
      <c r="AM437" s="28">
        <v>1</v>
      </c>
    </row>
    <row r="438" spans="1:39" x14ac:dyDescent="0.25">
      <c r="A438" t="s">
        <v>14959</v>
      </c>
      <c r="B438" t="s">
        <v>2333</v>
      </c>
      <c r="C438" t="s">
        <v>17</v>
      </c>
      <c r="D438" s="25" t="s">
        <v>14750</v>
      </c>
      <c r="E438" t="s">
        <v>192</v>
      </c>
      <c r="F438" s="28">
        <v>1</v>
      </c>
      <c r="G438" t="s">
        <v>193</v>
      </c>
      <c r="H438" t="s">
        <v>194</v>
      </c>
      <c r="I438" t="s">
        <v>14788</v>
      </c>
      <c r="J438" t="s">
        <v>9302</v>
      </c>
      <c r="K438" t="s">
        <v>14960</v>
      </c>
      <c r="L438" t="s">
        <v>6288</v>
      </c>
      <c r="M438" t="s">
        <v>14779</v>
      </c>
      <c r="N438" t="s">
        <v>14780</v>
      </c>
      <c r="O438" t="s">
        <v>13125</v>
      </c>
      <c r="P438" t="s">
        <v>14961</v>
      </c>
      <c r="Q438" t="s">
        <v>14962</v>
      </c>
      <c r="S438" t="s">
        <v>9309</v>
      </c>
      <c r="U438" t="s">
        <v>624</v>
      </c>
      <c r="V438" t="s">
        <v>193</v>
      </c>
      <c r="W438" t="s">
        <v>9310</v>
      </c>
      <c r="Z438" t="s">
        <v>9311</v>
      </c>
      <c r="AF438" t="s">
        <v>4714</v>
      </c>
      <c r="AG438" t="s">
        <v>2333</v>
      </c>
      <c r="AI438" t="s">
        <v>6955</v>
      </c>
      <c r="AJ438" s="27" t="str">
        <f t="shared" si="12"/>
        <v>332203</v>
      </c>
      <c r="AK438" s="27">
        <v>1</v>
      </c>
      <c r="AL438" s="27">
        <f t="shared" si="13"/>
        <v>1</v>
      </c>
      <c r="AM438" s="28">
        <v>1</v>
      </c>
    </row>
    <row r="439" spans="1:39" x14ac:dyDescent="0.25">
      <c r="A439" t="s">
        <v>14963</v>
      </c>
      <c r="B439" t="s">
        <v>3984</v>
      </c>
      <c r="C439" t="s">
        <v>5353</v>
      </c>
      <c r="D439" s="25" t="s">
        <v>14750</v>
      </c>
      <c r="E439" t="s">
        <v>192</v>
      </c>
      <c r="F439" s="28">
        <v>1</v>
      </c>
      <c r="G439" t="s">
        <v>193</v>
      </c>
      <c r="H439" t="s">
        <v>194</v>
      </c>
      <c r="I439" t="s">
        <v>14777</v>
      </c>
      <c r="J439" t="s">
        <v>9302</v>
      </c>
      <c r="K439" t="s">
        <v>14964</v>
      </c>
      <c r="L439" t="s">
        <v>6245</v>
      </c>
      <c r="M439" t="s">
        <v>14779</v>
      </c>
      <c r="N439" t="s">
        <v>14780</v>
      </c>
      <c r="O439" t="s">
        <v>13125</v>
      </c>
      <c r="P439" t="s">
        <v>14965</v>
      </c>
      <c r="Q439" t="s">
        <v>14966</v>
      </c>
      <c r="S439" t="s">
        <v>9309</v>
      </c>
      <c r="U439" t="s">
        <v>2084</v>
      </c>
      <c r="V439" t="s">
        <v>193</v>
      </c>
      <c r="W439" t="s">
        <v>9310</v>
      </c>
      <c r="Z439" t="s">
        <v>9311</v>
      </c>
      <c r="AF439" t="s">
        <v>4714</v>
      </c>
      <c r="AG439" t="s">
        <v>3984</v>
      </c>
      <c r="AI439" t="s">
        <v>6955</v>
      </c>
      <c r="AJ439" s="27" t="str">
        <f t="shared" si="12"/>
        <v>524302</v>
      </c>
      <c r="AK439" s="27">
        <v>1</v>
      </c>
      <c r="AL439" s="27">
        <f t="shared" si="13"/>
        <v>1</v>
      </c>
      <c r="AM439" s="28">
        <v>1</v>
      </c>
    </row>
    <row r="440" spans="1:39" x14ac:dyDescent="0.25">
      <c r="A440" t="s">
        <v>9368</v>
      </c>
      <c r="B440" t="s">
        <v>6420</v>
      </c>
      <c r="C440" t="s">
        <v>5173</v>
      </c>
      <c r="D440" s="25" t="s">
        <v>14750</v>
      </c>
      <c r="E440" t="s">
        <v>192</v>
      </c>
      <c r="F440" s="28">
        <v>1</v>
      </c>
      <c r="G440" t="s">
        <v>193</v>
      </c>
      <c r="H440" t="s">
        <v>194</v>
      </c>
      <c r="I440" t="s">
        <v>14777</v>
      </c>
      <c r="J440" t="s">
        <v>210</v>
      </c>
      <c r="K440" t="s">
        <v>14967</v>
      </c>
      <c r="L440" t="s">
        <v>6245</v>
      </c>
      <c r="M440" t="s">
        <v>14779</v>
      </c>
      <c r="N440" t="s">
        <v>14780</v>
      </c>
      <c r="O440" t="s">
        <v>13125</v>
      </c>
      <c r="P440" t="s">
        <v>14968</v>
      </c>
      <c r="Q440" t="s">
        <v>14969</v>
      </c>
      <c r="S440" t="s">
        <v>9309</v>
      </c>
      <c r="T440" t="s">
        <v>9334</v>
      </c>
      <c r="U440" t="s">
        <v>1150</v>
      </c>
      <c r="V440" t="s">
        <v>194</v>
      </c>
      <c r="W440" t="s">
        <v>9300</v>
      </c>
      <c r="Z440" t="s">
        <v>9311</v>
      </c>
      <c r="AF440" t="s">
        <v>4714</v>
      </c>
      <c r="AG440" t="s">
        <v>6420</v>
      </c>
      <c r="AI440" t="s">
        <v>6955</v>
      </c>
      <c r="AJ440" s="27" t="str">
        <f t="shared" si="12"/>
        <v>244001</v>
      </c>
      <c r="AK440" s="27">
        <v>1</v>
      </c>
      <c r="AL440" s="27">
        <f t="shared" si="13"/>
        <v>1</v>
      </c>
      <c r="AM440" s="28">
        <v>1</v>
      </c>
    </row>
    <row r="441" spans="1:39" x14ac:dyDescent="0.25">
      <c r="A441" t="s">
        <v>9373</v>
      </c>
      <c r="B441" t="s">
        <v>14970</v>
      </c>
      <c r="C441" t="s">
        <v>10</v>
      </c>
      <c r="D441" s="25" t="s">
        <v>14750</v>
      </c>
      <c r="E441" t="s">
        <v>192</v>
      </c>
      <c r="F441" s="28">
        <v>1</v>
      </c>
      <c r="G441" t="s">
        <v>193</v>
      </c>
      <c r="H441" t="s">
        <v>194</v>
      </c>
      <c r="I441" t="s">
        <v>13110</v>
      </c>
      <c r="J441" t="s">
        <v>9302</v>
      </c>
      <c r="K441" t="s">
        <v>14971</v>
      </c>
      <c r="L441" t="s">
        <v>6921</v>
      </c>
      <c r="M441" t="s">
        <v>14779</v>
      </c>
      <c r="N441" t="s">
        <v>14780</v>
      </c>
      <c r="O441" t="s">
        <v>13125</v>
      </c>
      <c r="P441" t="s">
        <v>14972</v>
      </c>
      <c r="Q441" t="s">
        <v>14973</v>
      </c>
      <c r="S441" t="s">
        <v>9309</v>
      </c>
      <c r="U441" t="s">
        <v>484</v>
      </c>
      <c r="V441" t="s">
        <v>193</v>
      </c>
      <c r="W441" t="s">
        <v>9310</v>
      </c>
      <c r="Z441" t="s">
        <v>9311</v>
      </c>
      <c r="AF441" t="s">
        <v>4714</v>
      </c>
      <c r="AG441" t="s">
        <v>14970</v>
      </c>
      <c r="AI441" t="s">
        <v>6955</v>
      </c>
      <c r="AJ441" s="27" t="str">
        <f t="shared" si="12"/>
        <v>251401</v>
      </c>
      <c r="AK441" s="27">
        <v>1</v>
      </c>
      <c r="AL441" s="27">
        <f t="shared" si="13"/>
        <v>1</v>
      </c>
      <c r="AM441" s="28">
        <v>1</v>
      </c>
    </row>
    <row r="442" spans="1:39" x14ac:dyDescent="0.25">
      <c r="A442" t="s">
        <v>9373</v>
      </c>
      <c r="B442" t="s">
        <v>14974</v>
      </c>
      <c r="C442" t="s">
        <v>10</v>
      </c>
      <c r="D442" s="25" t="s">
        <v>14750</v>
      </c>
      <c r="E442" t="s">
        <v>192</v>
      </c>
      <c r="F442" s="28">
        <v>1</v>
      </c>
      <c r="G442" t="s">
        <v>193</v>
      </c>
      <c r="H442" t="s">
        <v>194</v>
      </c>
      <c r="I442" t="s">
        <v>14777</v>
      </c>
      <c r="J442" t="s">
        <v>9302</v>
      </c>
      <c r="K442" t="s">
        <v>14975</v>
      </c>
      <c r="L442" t="s">
        <v>6261</v>
      </c>
      <c r="M442" t="s">
        <v>14779</v>
      </c>
      <c r="N442" t="s">
        <v>14780</v>
      </c>
      <c r="O442" t="s">
        <v>13125</v>
      </c>
      <c r="P442" t="s">
        <v>14976</v>
      </c>
      <c r="Q442" t="s">
        <v>14977</v>
      </c>
      <c r="S442" t="s">
        <v>9309</v>
      </c>
      <c r="U442" t="s">
        <v>484</v>
      </c>
      <c r="V442" t="s">
        <v>193</v>
      </c>
      <c r="W442" t="s">
        <v>9310</v>
      </c>
      <c r="Z442" t="s">
        <v>9311</v>
      </c>
      <c r="AF442" t="s">
        <v>4714</v>
      </c>
      <c r="AG442" t="s">
        <v>14974</v>
      </c>
      <c r="AI442" t="s">
        <v>6955</v>
      </c>
      <c r="AJ442" s="27" t="str">
        <f t="shared" si="12"/>
        <v>251401</v>
      </c>
      <c r="AK442" s="27">
        <v>1</v>
      </c>
      <c r="AL442" s="27">
        <f t="shared" si="13"/>
        <v>1</v>
      </c>
      <c r="AM442" s="28">
        <v>1</v>
      </c>
    </row>
    <row r="443" spans="1:39" x14ac:dyDescent="0.25">
      <c r="A443" t="s">
        <v>9373</v>
      </c>
      <c r="B443" t="s">
        <v>14978</v>
      </c>
      <c r="C443" t="s">
        <v>10</v>
      </c>
      <c r="D443" s="25" t="s">
        <v>14750</v>
      </c>
      <c r="E443" t="s">
        <v>192</v>
      </c>
      <c r="F443" s="28">
        <v>1</v>
      </c>
      <c r="G443" t="s">
        <v>193</v>
      </c>
      <c r="H443" t="s">
        <v>194</v>
      </c>
      <c r="I443" t="s">
        <v>14788</v>
      </c>
      <c r="J443" t="s">
        <v>9302</v>
      </c>
      <c r="K443" t="s">
        <v>14979</v>
      </c>
      <c r="L443" t="s">
        <v>6921</v>
      </c>
      <c r="M443" t="s">
        <v>14779</v>
      </c>
      <c r="N443" t="s">
        <v>14780</v>
      </c>
      <c r="O443" t="s">
        <v>13125</v>
      </c>
      <c r="P443" t="s">
        <v>14980</v>
      </c>
      <c r="Q443" t="s">
        <v>14981</v>
      </c>
      <c r="S443" t="s">
        <v>9309</v>
      </c>
      <c r="U443" t="s">
        <v>484</v>
      </c>
      <c r="V443" t="s">
        <v>193</v>
      </c>
      <c r="W443" t="s">
        <v>9310</v>
      </c>
      <c r="Z443" t="s">
        <v>9311</v>
      </c>
      <c r="AF443" t="s">
        <v>4714</v>
      </c>
      <c r="AG443" t="s">
        <v>14978</v>
      </c>
      <c r="AI443" t="s">
        <v>6955</v>
      </c>
      <c r="AJ443" s="27" t="str">
        <f t="shared" si="12"/>
        <v>251401</v>
      </c>
      <c r="AK443" s="27">
        <v>1</v>
      </c>
      <c r="AL443" s="27">
        <f t="shared" si="13"/>
        <v>1</v>
      </c>
      <c r="AM443" s="28">
        <v>1</v>
      </c>
    </row>
    <row r="444" spans="1:39" x14ac:dyDescent="0.25">
      <c r="A444" t="s">
        <v>9373</v>
      </c>
      <c r="B444" t="s">
        <v>14982</v>
      </c>
      <c r="C444" t="s">
        <v>10</v>
      </c>
      <c r="D444" s="25" t="s">
        <v>14750</v>
      </c>
      <c r="E444" t="s">
        <v>192</v>
      </c>
      <c r="F444" s="28">
        <v>1</v>
      </c>
      <c r="G444" t="s">
        <v>193</v>
      </c>
      <c r="H444" t="s">
        <v>194</v>
      </c>
      <c r="I444" t="s">
        <v>14788</v>
      </c>
      <c r="J444" t="s">
        <v>9302</v>
      </c>
      <c r="K444" t="s">
        <v>14983</v>
      </c>
      <c r="L444" t="s">
        <v>6261</v>
      </c>
      <c r="M444" t="s">
        <v>14779</v>
      </c>
      <c r="N444" t="s">
        <v>14780</v>
      </c>
      <c r="O444" t="s">
        <v>13125</v>
      </c>
      <c r="P444" t="s">
        <v>14984</v>
      </c>
      <c r="Q444" t="s">
        <v>14985</v>
      </c>
      <c r="S444" t="s">
        <v>9309</v>
      </c>
      <c r="U444" t="s">
        <v>484</v>
      </c>
      <c r="V444" t="s">
        <v>193</v>
      </c>
      <c r="W444" t="s">
        <v>9310</v>
      </c>
      <c r="Z444" t="s">
        <v>9311</v>
      </c>
      <c r="AF444" t="s">
        <v>4714</v>
      </c>
      <c r="AG444" t="s">
        <v>14982</v>
      </c>
      <c r="AI444" t="s">
        <v>6955</v>
      </c>
      <c r="AJ444" s="27" t="str">
        <f t="shared" si="12"/>
        <v>251401</v>
      </c>
      <c r="AK444" s="27">
        <v>1</v>
      </c>
      <c r="AL444" s="27">
        <f t="shared" si="13"/>
        <v>1</v>
      </c>
      <c r="AM444" s="28">
        <v>1</v>
      </c>
    </row>
    <row r="445" spans="1:39" x14ac:dyDescent="0.25">
      <c r="A445" t="s">
        <v>218</v>
      </c>
      <c r="B445" t="s">
        <v>14986</v>
      </c>
      <c r="C445" t="s">
        <v>21</v>
      </c>
      <c r="D445" s="25" t="s">
        <v>14750</v>
      </c>
      <c r="E445" t="s">
        <v>233</v>
      </c>
      <c r="F445" s="28">
        <v>1</v>
      </c>
      <c r="G445" t="s">
        <v>193</v>
      </c>
      <c r="H445" t="s">
        <v>194</v>
      </c>
      <c r="I445" t="s">
        <v>14777</v>
      </c>
      <c r="J445" t="s">
        <v>9302</v>
      </c>
      <c r="K445" t="s">
        <v>14987</v>
      </c>
      <c r="L445" t="s">
        <v>6256</v>
      </c>
      <c r="M445" t="s">
        <v>14887</v>
      </c>
      <c r="N445" t="s">
        <v>14888</v>
      </c>
      <c r="O445" t="s">
        <v>13303</v>
      </c>
      <c r="P445" t="s">
        <v>14988</v>
      </c>
      <c r="Q445" t="s">
        <v>14989</v>
      </c>
      <c r="S445" t="s">
        <v>9309</v>
      </c>
      <c r="U445" t="s">
        <v>293</v>
      </c>
      <c r="V445" t="s">
        <v>193</v>
      </c>
      <c r="W445" t="s">
        <v>9310</v>
      </c>
      <c r="Z445" t="s">
        <v>9311</v>
      </c>
      <c r="AF445" t="s">
        <v>4714</v>
      </c>
      <c r="AG445" t="s">
        <v>14986</v>
      </c>
      <c r="AI445" t="s">
        <v>6955</v>
      </c>
      <c r="AJ445" s="27" t="str">
        <f t="shared" si="12"/>
        <v>214202</v>
      </c>
      <c r="AK445" s="27">
        <v>1</v>
      </c>
      <c r="AL445" s="27">
        <f t="shared" si="13"/>
        <v>1</v>
      </c>
      <c r="AM445" s="28">
        <v>1</v>
      </c>
    </row>
    <row r="446" spans="1:39" x14ac:dyDescent="0.25">
      <c r="A446" t="s">
        <v>9400</v>
      </c>
      <c r="B446" t="s">
        <v>1760</v>
      </c>
      <c r="C446" t="s">
        <v>122</v>
      </c>
      <c r="D446" s="25" t="s">
        <v>14750</v>
      </c>
      <c r="E446" t="s">
        <v>192</v>
      </c>
      <c r="F446" s="28">
        <v>1</v>
      </c>
      <c r="G446" t="s">
        <v>193</v>
      </c>
      <c r="H446" t="s">
        <v>194</v>
      </c>
      <c r="I446" t="s">
        <v>14788</v>
      </c>
      <c r="J446" t="s">
        <v>210</v>
      </c>
      <c r="K446" t="s">
        <v>14990</v>
      </c>
      <c r="L446" t="s">
        <v>7489</v>
      </c>
      <c r="M446" t="s">
        <v>14779</v>
      </c>
      <c r="N446" t="s">
        <v>14780</v>
      </c>
      <c r="O446" t="s">
        <v>13125</v>
      </c>
      <c r="P446" t="s">
        <v>14991</v>
      </c>
      <c r="Q446" t="s">
        <v>14992</v>
      </c>
      <c r="S446" t="s">
        <v>9309</v>
      </c>
      <c r="T446" t="s">
        <v>9334</v>
      </c>
      <c r="U446" t="s">
        <v>655</v>
      </c>
      <c r="V446" t="s">
        <v>194</v>
      </c>
      <c r="W446" t="s">
        <v>9300</v>
      </c>
      <c r="Z446" t="s">
        <v>9311</v>
      </c>
      <c r="AF446" t="s">
        <v>4714</v>
      </c>
      <c r="AG446" t="s">
        <v>1760</v>
      </c>
      <c r="AI446" t="s">
        <v>6955</v>
      </c>
      <c r="AJ446" s="27" t="str">
        <f t="shared" si="12"/>
        <v>332301</v>
      </c>
      <c r="AK446" s="27">
        <v>1</v>
      </c>
      <c r="AL446" s="27">
        <f t="shared" si="13"/>
        <v>1</v>
      </c>
      <c r="AM446" s="28">
        <v>1</v>
      </c>
    </row>
    <row r="447" spans="1:39" x14ac:dyDescent="0.25">
      <c r="A447" t="s">
        <v>14993</v>
      </c>
      <c r="B447" t="s">
        <v>14955</v>
      </c>
      <c r="C447" t="s">
        <v>14994</v>
      </c>
      <c r="D447" s="25" t="s">
        <v>14750</v>
      </c>
      <c r="E447" t="s">
        <v>192</v>
      </c>
      <c r="F447" s="28">
        <v>1</v>
      </c>
      <c r="G447" t="s">
        <v>193</v>
      </c>
      <c r="H447" t="s">
        <v>194</v>
      </c>
      <c r="I447" t="s">
        <v>13110</v>
      </c>
      <c r="J447" t="s">
        <v>276</v>
      </c>
      <c r="K447" t="s">
        <v>14995</v>
      </c>
      <c r="L447" t="s">
        <v>6275</v>
      </c>
      <c r="M447" t="s">
        <v>14779</v>
      </c>
      <c r="N447" t="s">
        <v>14780</v>
      </c>
      <c r="O447" t="s">
        <v>13125</v>
      </c>
      <c r="P447" t="s">
        <v>14996</v>
      </c>
      <c r="Q447" t="s">
        <v>14997</v>
      </c>
      <c r="S447" t="s">
        <v>9309</v>
      </c>
      <c r="T447" t="s">
        <v>9786</v>
      </c>
      <c r="U447" t="s">
        <v>4360</v>
      </c>
      <c r="V447" t="s">
        <v>194</v>
      </c>
      <c r="W447" t="s">
        <v>9300</v>
      </c>
      <c r="Z447" t="s">
        <v>9311</v>
      </c>
      <c r="AF447" t="s">
        <v>4714</v>
      </c>
      <c r="AG447" t="s">
        <v>14955</v>
      </c>
      <c r="AI447" t="s">
        <v>6955</v>
      </c>
      <c r="AJ447" s="27" t="str">
        <f t="shared" si="12"/>
        <v>816003</v>
      </c>
      <c r="AK447" s="27">
        <v>1</v>
      </c>
      <c r="AL447" s="27">
        <f t="shared" si="13"/>
        <v>1</v>
      </c>
      <c r="AM447" s="28">
        <v>1</v>
      </c>
    </row>
    <row r="448" spans="1:39" x14ac:dyDescent="0.25">
      <c r="A448" t="s">
        <v>6730</v>
      </c>
      <c r="B448" t="s">
        <v>14998</v>
      </c>
      <c r="C448" t="s">
        <v>706</v>
      </c>
      <c r="D448" s="25" t="s">
        <v>14750</v>
      </c>
      <c r="E448" t="s">
        <v>233</v>
      </c>
      <c r="F448" s="28">
        <v>1</v>
      </c>
      <c r="G448" t="s">
        <v>193</v>
      </c>
      <c r="H448" t="s">
        <v>194</v>
      </c>
      <c r="I448" t="s">
        <v>14777</v>
      </c>
      <c r="J448" t="s">
        <v>210</v>
      </c>
      <c r="K448" t="s">
        <v>14999</v>
      </c>
      <c r="L448" t="s">
        <v>6249</v>
      </c>
      <c r="M448" t="s">
        <v>14887</v>
      </c>
      <c r="N448" t="s">
        <v>14888</v>
      </c>
      <c r="O448" t="s">
        <v>13303</v>
      </c>
      <c r="P448" t="s">
        <v>15000</v>
      </c>
      <c r="Q448" t="s">
        <v>15001</v>
      </c>
      <c r="S448" t="s">
        <v>9309</v>
      </c>
      <c r="T448" t="s">
        <v>9334</v>
      </c>
      <c r="U448" t="s">
        <v>707</v>
      </c>
      <c r="V448" t="s">
        <v>194</v>
      </c>
      <c r="W448" t="s">
        <v>9300</v>
      </c>
      <c r="Z448" t="s">
        <v>9311</v>
      </c>
      <c r="AF448" t="s">
        <v>5109</v>
      </c>
      <c r="AG448" t="s">
        <v>14998</v>
      </c>
      <c r="AI448" t="s">
        <v>6955</v>
      </c>
      <c r="AJ448" s="27" t="str">
        <f t="shared" si="12"/>
        <v>422201</v>
      </c>
      <c r="AK448" s="27">
        <v>1</v>
      </c>
      <c r="AL448" s="27">
        <f t="shared" si="13"/>
        <v>1</v>
      </c>
      <c r="AM448" s="28">
        <v>1</v>
      </c>
    </row>
    <row r="449" spans="1:39" x14ac:dyDescent="0.25">
      <c r="A449" t="s">
        <v>5161</v>
      </c>
      <c r="B449" t="s">
        <v>15002</v>
      </c>
      <c r="C449" t="s">
        <v>266</v>
      </c>
      <c r="D449" s="25" t="s">
        <v>14750</v>
      </c>
      <c r="E449" t="s">
        <v>192</v>
      </c>
      <c r="F449" s="28">
        <v>1</v>
      </c>
      <c r="G449" t="s">
        <v>193</v>
      </c>
      <c r="H449" t="s">
        <v>194</v>
      </c>
      <c r="I449" t="s">
        <v>14777</v>
      </c>
      <c r="J449" t="s">
        <v>210</v>
      </c>
      <c r="K449" t="s">
        <v>15003</v>
      </c>
      <c r="L449" t="s">
        <v>6251</v>
      </c>
      <c r="M449" t="s">
        <v>14779</v>
      </c>
      <c r="N449" t="s">
        <v>14780</v>
      </c>
      <c r="O449" t="s">
        <v>13125</v>
      </c>
      <c r="P449" t="s">
        <v>15004</v>
      </c>
      <c r="Q449" t="s">
        <v>15005</v>
      </c>
      <c r="S449" t="s">
        <v>9309</v>
      </c>
      <c r="T449" t="s">
        <v>9334</v>
      </c>
      <c r="U449" t="s">
        <v>268</v>
      </c>
      <c r="V449" t="s">
        <v>194</v>
      </c>
      <c r="W449" t="s">
        <v>9300</v>
      </c>
      <c r="Z449" t="s">
        <v>9311</v>
      </c>
      <c r="AF449" t="s">
        <v>4714</v>
      </c>
      <c r="AG449" t="s">
        <v>15002</v>
      </c>
      <c r="AI449" t="s">
        <v>6955</v>
      </c>
      <c r="AJ449" s="27" t="str">
        <f t="shared" si="12"/>
        <v>143905</v>
      </c>
      <c r="AK449" s="27">
        <v>1</v>
      </c>
      <c r="AL449" s="27">
        <f t="shared" si="13"/>
        <v>1</v>
      </c>
      <c r="AM449" s="28">
        <v>1</v>
      </c>
    </row>
    <row r="450" spans="1:39" x14ac:dyDescent="0.25">
      <c r="A450" t="s">
        <v>15006</v>
      </c>
      <c r="B450" t="s">
        <v>15007</v>
      </c>
      <c r="C450" t="s">
        <v>2800</v>
      </c>
      <c r="D450" s="25" t="s">
        <v>14750</v>
      </c>
      <c r="E450" t="s">
        <v>192</v>
      </c>
      <c r="F450" s="28">
        <v>1</v>
      </c>
      <c r="G450" t="s">
        <v>193</v>
      </c>
      <c r="H450" t="s">
        <v>194</v>
      </c>
      <c r="I450" t="s">
        <v>14777</v>
      </c>
      <c r="J450" t="s">
        <v>9302</v>
      </c>
      <c r="K450" t="s">
        <v>15008</v>
      </c>
      <c r="L450" t="s">
        <v>6245</v>
      </c>
      <c r="M450" t="s">
        <v>14779</v>
      </c>
      <c r="N450" t="s">
        <v>14780</v>
      </c>
      <c r="O450" t="s">
        <v>13125</v>
      </c>
      <c r="P450" t="s">
        <v>15009</v>
      </c>
      <c r="Q450" t="s">
        <v>15010</v>
      </c>
      <c r="S450" t="s">
        <v>9309</v>
      </c>
      <c r="U450" t="s">
        <v>8460</v>
      </c>
      <c r="V450" t="s">
        <v>193</v>
      </c>
      <c r="W450" t="s">
        <v>9310</v>
      </c>
      <c r="Z450" t="s">
        <v>9311</v>
      </c>
      <c r="AF450" t="s">
        <v>4714</v>
      </c>
      <c r="AG450" t="s">
        <v>15007</v>
      </c>
      <c r="AI450" t="s">
        <v>6955</v>
      </c>
      <c r="AJ450" s="27" t="str">
        <f t="shared" si="12"/>
        <v>214201</v>
      </c>
      <c r="AK450" s="27">
        <v>1</v>
      </c>
      <c r="AL450" s="27">
        <f t="shared" si="13"/>
        <v>1</v>
      </c>
      <c r="AM450" s="28">
        <v>1</v>
      </c>
    </row>
    <row r="451" spans="1:39" x14ac:dyDescent="0.25">
      <c r="A451" t="s">
        <v>15011</v>
      </c>
      <c r="B451" t="s">
        <v>3708</v>
      </c>
      <c r="C451" t="s">
        <v>36</v>
      </c>
      <c r="D451" s="25" t="s">
        <v>14750</v>
      </c>
      <c r="E451" t="s">
        <v>192</v>
      </c>
      <c r="F451" s="28">
        <v>1</v>
      </c>
      <c r="G451" t="s">
        <v>193</v>
      </c>
      <c r="H451" t="s">
        <v>194</v>
      </c>
      <c r="I451" t="s">
        <v>14788</v>
      </c>
      <c r="J451" t="s">
        <v>210</v>
      </c>
      <c r="K451" t="s">
        <v>15012</v>
      </c>
      <c r="L451" t="s">
        <v>6254</v>
      </c>
      <c r="M451" t="s">
        <v>14779</v>
      </c>
      <c r="N451" t="s">
        <v>14780</v>
      </c>
      <c r="O451" t="s">
        <v>13125</v>
      </c>
      <c r="P451" t="s">
        <v>15013</v>
      </c>
      <c r="Q451" t="s">
        <v>15014</v>
      </c>
      <c r="S451" t="s">
        <v>9309</v>
      </c>
      <c r="T451" t="s">
        <v>9334</v>
      </c>
      <c r="U451" t="s">
        <v>609</v>
      </c>
      <c r="V451" t="s">
        <v>194</v>
      </c>
      <c r="W451" t="s">
        <v>9300</v>
      </c>
      <c r="Z451" t="s">
        <v>9311</v>
      </c>
      <c r="AF451" t="s">
        <v>4714</v>
      </c>
      <c r="AG451" t="s">
        <v>3708</v>
      </c>
      <c r="AI451" t="s">
        <v>6955</v>
      </c>
      <c r="AJ451" s="27" t="str">
        <f t="shared" ref="AJ451:AJ514" si="14">MID(U451,8,6)</f>
        <v>331301</v>
      </c>
      <c r="AK451" s="27">
        <v>1</v>
      </c>
      <c r="AL451" s="27">
        <f t="shared" ref="AL451:AL514" si="15">SUM(F451)</f>
        <v>1</v>
      </c>
      <c r="AM451" s="28">
        <v>1</v>
      </c>
    </row>
    <row r="452" spans="1:39" x14ac:dyDescent="0.25">
      <c r="A452" t="s">
        <v>10644</v>
      </c>
      <c r="B452" t="s">
        <v>15015</v>
      </c>
      <c r="C452" t="s">
        <v>227</v>
      </c>
      <c r="D452" s="25" t="s">
        <v>14750</v>
      </c>
      <c r="E452" t="s">
        <v>192</v>
      </c>
      <c r="F452" s="28">
        <v>1</v>
      </c>
      <c r="G452" t="s">
        <v>193</v>
      </c>
      <c r="H452" t="s">
        <v>194</v>
      </c>
      <c r="I452" t="s">
        <v>14777</v>
      </c>
      <c r="J452" t="s">
        <v>575</v>
      </c>
      <c r="K452" t="s">
        <v>15016</v>
      </c>
      <c r="L452" t="s">
        <v>6266</v>
      </c>
      <c r="M452" t="s">
        <v>14779</v>
      </c>
      <c r="N452" t="s">
        <v>14780</v>
      </c>
      <c r="O452" t="s">
        <v>13125</v>
      </c>
      <c r="P452" t="s">
        <v>15017</v>
      </c>
      <c r="Q452" t="s">
        <v>15018</v>
      </c>
      <c r="S452" t="s">
        <v>9309</v>
      </c>
      <c r="T452" t="s">
        <v>9726</v>
      </c>
      <c r="U452" t="s">
        <v>229</v>
      </c>
      <c r="V452" t="s">
        <v>194</v>
      </c>
      <c r="W452" t="s">
        <v>9300</v>
      </c>
      <c r="Z452" t="s">
        <v>9311</v>
      </c>
      <c r="AF452" t="s">
        <v>4714</v>
      </c>
      <c r="AG452" t="s">
        <v>15015</v>
      </c>
      <c r="AI452" t="s">
        <v>6955</v>
      </c>
      <c r="AJ452" s="27" t="str">
        <f t="shared" si="14"/>
        <v>132401</v>
      </c>
      <c r="AK452" s="27">
        <v>1</v>
      </c>
      <c r="AL452" s="27">
        <f t="shared" si="15"/>
        <v>1</v>
      </c>
      <c r="AM452" s="28">
        <v>1</v>
      </c>
    </row>
    <row r="453" spans="1:39" x14ac:dyDescent="0.25">
      <c r="A453" t="s">
        <v>10644</v>
      </c>
      <c r="B453" t="s">
        <v>15019</v>
      </c>
      <c r="C453" t="s">
        <v>67</v>
      </c>
      <c r="D453" s="25" t="s">
        <v>14750</v>
      </c>
      <c r="E453" t="s">
        <v>192</v>
      </c>
      <c r="F453" s="28">
        <v>1</v>
      </c>
      <c r="G453" t="s">
        <v>193</v>
      </c>
      <c r="H453" t="s">
        <v>194</v>
      </c>
      <c r="I453" t="s">
        <v>14777</v>
      </c>
      <c r="J453" t="s">
        <v>575</v>
      </c>
      <c r="K453" t="s">
        <v>15020</v>
      </c>
      <c r="L453" t="s">
        <v>6266</v>
      </c>
      <c r="M453" t="s">
        <v>14779</v>
      </c>
      <c r="N453" t="s">
        <v>14780</v>
      </c>
      <c r="O453" t="s">
        <v>13125</v>
      </c>
      <c r="P453" t="s">
        <v>15021</v>
      </c>
      <c r="Q453" t="s">
        <v>15022</v>
      </c>
      <c r="S453" t="s">
        <v>9309</v>
      </c>
      <c r="T453" t="s">
        <v>9726</v>
      </c>
      <c r="U453" t="s">
        <v>709</v>
      </c>
      <c r="V453" t="s">
        <v>194</v>
      </c>
      <c r="W453" t="s">
        <v>9300</v>
      </c>
      <c r="Z453" t="s">
        <v>9311</v>
      </c>
      <c r="AF453" t="s">
        <v>4714</v>
      </c>
      <c r="AG453" t="s">
        <v>15019</v>
      </c>
      <c r="AI453" t="s">
        <v>6955</v>
      </c>
      <c r="AJ453" s="27" t="str">
        <f t="shared" si="14"/>
        <v>432103</v>
      </c>
      <c r="AK453" s="27">
        <v>1</v>
      </c>
      <c r="AL453" s="27">
        <f t="shared" si="15"/>
        <v>1</v>
      </c>
      <c r="AM453" s="28">
        <v>1</v>
      </c>
    </row>
    <row r="454" spans="1:39" x14ac:dyDescent="0.25">
      <c r="A454" t="s">
        <v>10644</v>
      </c>
      <c r="B454" t="s">
        <v>15023</v>
      </c>
      <c r="C454" t="s">
        <v>100</v>
      </c>
      <c r="D454" s="25" t="s">
        <v>14750</v>
      </c>
      <c r="E454" t="s">
        <v>192</v>
      </c>
      <c r="F454" s="28">
        <v>1</v>
      </c>
      <c r="G454" t="s">
        <v>193</v>
      </c>
      <c r="H454" t="s">
        <v>194</v>
      </c>
      <c r="I454" t="s">
        <v>14788</v>
      </c>
      <c r="J454" t="s">
        <v>385</v>
      </c>
      <c r="K454" t="s">
        <v>15024</v>
      </c>
      <c r="L454" t="s">
        <v>6363</v>
      </c>
      <c r="M454" t="s">
        <v>15025</v>
      </c>
      <c r="N454" t="s">
        <v>14780</v>
      </c>
      <c r="O454" t="s">
        <v>13125</v>
      </c>
      <c r="P454" t="s">
        <v>15026</v>
      </c>
      <c r="Q454" t="s">
        <v>15027</v>
      </c>
      <c r="S454" t="s">
        <v>9309</v>
      </c>
      <c r="T454" t="s">
        <v>9410</v>
      </c>
      <c r="U454" t="s">
        <v>429</v>
      </c>
      <c r="V454" t="s">
        <v>194</v>
      </c>
      <c r="W454" t="s">
        <v>9300</v>
      </c>
      <c r="Z454" t="s">
        <v>9311</v>
      </c>
      <c r="AF454" t="s">
        <v>4714</v>
      </c>
      <c r="AG454" t="s">
        <v>15023</v>
      </c>
      <c r="AI454" t="s">
        <v>6955</v>
      </c>
      <c r="AJ454" s="27" t="str">
        <f t="shared" si="14"/>
        <v>242108</v>
      </c>
      <c r="AK454" s="27">
        <v>1</v>
      </c>
      <c r="AL454" s="27">
        <f t="shared" si="15"/>
        <v>1</v>
      </c>
      <c r="AM454" s="28">
        <v>1</v>
      </c>
    </row>
    <row r="455" spans="1:39" x14ac:dyDescent="0.25">
      <c r="A455" t="s">
        <v>15028</v>
      </c>
      <c r="B455" t="s">
        <v>15029</v>
      </c>
      <c r="C455" t="s">
        <v>507</v>
      </c>
      <c r="D455" s="25" t="s">
        <v>14750</v>
      </c>
      <c r="E455" t="s">
        <v>192</v>
      </c>
      <c r="F455" s="28">
        <v>1</v>
      </c>
      <c r="G455" t="s">
        <v>193</v>
      </c>
      <c r="H455" t="s">
        <v>194</v>
      </c>
      <c r="I455" t="s">
        <v>14022</v>
      </c>
      <c r="J455" t="s">
        <v>210</v>
      </c>
      <c r="K455" t="s">
        <v>15030</v>
      </c>
      <c r="L455" t="s">
        <v>6261</v>
      </c>
      <c r="M455" t="s">
        <v>14779</v>
      </c>
      <c r="N455" t="s">
        <v>14780</v>
      </c>
      <c r="O455" t="s">
        <v>13125</v>
      </c>
      <c r="P455" t="s">
        <v>15031</v>
      </c>
      <c r="Q455" t="s">
        <v>15032</v>
      </c>
      <c r="S455" t="s">
        <v>9309</v>
      </c>
      <c r="T455" t="s">
        <v>9334</v>
      </c>
      <c r="U455" t="s">
        <v>508</v>
      </c>
      <c r="V455" t="s">
        <v>194</v>
      </c>
      <c r="W455" t="s">
        <v>9300</v>
      </c>
      <c r="Z455" t="s">
        <v>9311</v>
      </c>
      <c r="AF455" t="s">
        <v>4714</v>
      </c>
      <c r="AG455" t="s">
        <v>15029</v>
      </c>
      <c r="AI455" t="s">
        <v>6955</v>
      </c>
      <c r="AJ455" s="27" t="str">
        <f t="shared" si="14"/>
        <v>252102</v>
      </c>
      <c r="AK455" s="27">
        <v>1</v>
      </c>
      <c r="AL455" s="27">
        <f t="shared" si="15"/>
        <v>1</v>
      </c>
      <c r="AM455" s="28">
        <v>1</v>
      </c>
    </row>
    <row r="456" spans="1:39" x14ac:dyDescent="0.25">
      <c r="A456" t="s">
        <v>15028</v>
      </c>
      <c r="B456" t="s">
        <v>15029</v>
      </c>
      <c r="C456" t="s">
        <v>507</v>
      </c>
      <c r="D456" s="25" t="s">
        <v>14750</v>
      </c>
      <c r="E456" t="s">
        <v>192</v>
      </c>
      <c r="F456" s="28">
        <v>1</v>
      </c>
      <c r="G456" t="s">
        <v>193</v>
      </c>
      <c r="H456" t="s">
        <v>194</v>
      </c>
      <c r="I456" t="s">
        <v>13110</v>
      </c>
      <c r="J456" t="s">
        <v>4751</v>
      </c>
      <c r="K456" t="s">
        <v>15033</v>
      </c>
      <c r="L456" t="s">
        <v>6261</v>
      </c>
      <c r="M456" t="s">
        <v>14779</v>
      </c>
      <c r="N456" t="s">
        <v>14780</v>
      </c>
      <c r="O456" t="s">
        <v>13125</v>
      </c>
      <c r="P456" t="s">
        <v>15034</v>
      </c>
      <c r="Q456" t="s">
        <v>15035</v>
      </c>
      <c r="S456" t="s">
        <v>9309</v>
      </c>
      <c r="T456" t="s">
        <v>9472</v>
      </c>
      <c r="U456" t="s">
        <v>508</v>
      </c>
      <c r="V456" t="s">
        <v>194</v>
      </c>
      <c r="W456" t="s">
        <v>9300</v>
      </c>
      <c r="Z456" t="s">
        <v>9311</v>
      </c>
      <c r="AF456" t="s">
        <v>4714</v>
      </c>
      <c r="AG456" t="s">
        <v>15029</v>
      </c>
      <c r="AI456" t="s">
        <v>6955</v>
      </c>
      <c r="AJ456" s="27" t="str">
        <f t="shared" si="14"/>
        <v>252102</v>
      </c>
      <c r="AK456" s="27">
        <v>1</v>
      </c>
      <c r="AL456" s="27">
        <f t="shared" si="15"/>
        <v>1</v>
      </c>
      <c r="AM456" s="28">
        <v>1</v>
      </c>
    </row>
    <row r="457" spans="1:39" x14ac:dyDescent="0.25">
      <c r="A457" t="s">
        <v>15028</v>
      </c>
      <c r="B457" t="s">
        <v>15029</v>
      </c>
      <c r="C457" t="s">
        <v>507</v>
      </c>
      <c r="D457" s="25" t="s">
        <v>14750</v>
      </c>
      <c r="E457" t="s">
        <v>192</v>
      </c>
      <c r="F457" s="28">
        <v>1</v>
      </c>
      <c r="G457" t="s">
        <v>193</v>
      </c>
      <c r="H457" t="s">
        <v>194</v>
      </c>
      <c r="I457" t="s">
        <v>13110</v>
      </c>
      <c r="J457" t="s">
        <v>385</v>
      </c>
      <c r="K457" t="s">
        <v>15036</v>
      </c>
      <c r="L457" t="s">
        <v>6261</v>
      </c>
      <c r="M457" t="s">
        <v>14779</v>
      </c>
      <c r="N457" t="s">
        <v>14780</v>
      </c>
      <c r="O457" t="s">
        <v>13125</v>
      </c>
      <c r="P457" t="s">
        <v>15037</v>
      </c>
      <c r="Q457" t="s">
        <v>15038</v>
      </c>
      <c r="S457" t="s">
        <v>9309</v>
      </c>
      <c r="T457" t="s">
        <v>9410</v>
      </c>
      <c r="U457" t="s">
        <v>508</v>
      </c>
      <c r="V457" t="s">
        <v>194</v>
      </c>
      <c r="W457" t="s">
        <v>9300</v>
      </c>
      <c r="Z457" t="s">
        <v>9311</v>
      </c>
      <c r="AF457" t="s">
        <v>4714</v>
      </c>
      <c r="AG457" t="s">
        <v>15029</v>
      </c>
      <c r="AI457" t="s">
        <v>6955</v>
      </c>
      <c r="AJ457" s="27" t="str">
        <f t="shared" si="14"/>
        <v>252102</v>
      </c>
      <c r="AK457" s="27">
        <v>1</v>
      </c>
      <c r="AL457" s="27">
        <f t="shared" si="15"/>
        <v>1</v>
      </c>
      <c r="AM457" s="28">
        <v>1</v>
      </c>
    </row>
    <row r="458" spans="1:39" x14ac:dyDescent="0.25">
      <c r="A458" t="s">
        <v>15039</v>
      </c>
      <c r="B458" t="s">
        <v>15040</v>
      </c>
      <c r="C458" t="s">
        <v>1851</v>
      </c>
      <c r="D458" s="25" t="s">
        <v>14750</v>
      </c>
      <c r="E458" t="s">
        <v>192</v>
      </c>
      <c r="F458" s="28">
        <v>1</v>
      </c>
      <c r="G458" t="s">
        <v>194</v>
      </c>
      <c r="H458" t="s">
        <v>193</v>
      </c>
      <c r="I458" t="s">
        <v>14777</v>
      </c>
      <c r="J458" t="s">
        <v>9302</v>
      </c>
      <c r="K458" t="s">
        <v>15041</v>
      </c>
      <c r="L458" t="s">
        <v>6254</v>
      </c>
      <c r="M458" t="s">
        <v>14779</v>
      </c>
      <c r="N458" t="s">
        <v>14780</v>
      </c>
      <c r="O458" t="s">
        <v>13125</v>
      </c>
      <c r="P458" t="s">
        <v>15042</v>
      </c>
      <c r="Q458" t="s">
        <v>15043</v>
      </c>
      <c r="S458" t="s">
        <v>9309</v>
      </c>
      <c r="U458" t="s">
        <v>1852</v>
      </c>
      <c r="V458" t="s">
        <v>194</v>
      </c>
      <c r="W458" t="s">
        <v>9946</v>
      </c>
      <c r="Z458" t="s">
        <v>9311</v>
      </c>
      <c r="AF458" t="s">
        <v>4714</v>
      </c>
      <c r="AG458" t="s">
        <v>15040</v>
      </c>
      <c r="AI458" t="s">
        <v>6955</v>
      </c>
      <c r="AJ458" s="27" t="str">
        <f t="shared" si="14"/>
        <v>112014</v>
      </c>
      <c r="AK458" s="27">
        <v>1</v>
      </c>
      <c r="AL458" s="27">
        <f t="shared" si="15"/>
        <v>1</v>
      </c>
      <c r="AM458" s="28">
        <v>1</v>
      </c>
    </row>
    <row r="459" spans="1:39" x14ac:dyDescent="0.25">
      <c r="A459" t="s">
        <v>6422</v>
      </c>
      <c r="B459" t="s">
        <v>15044</v>
      </c>
      <c r="C459" t="s">
        <v>10</v>
      </c>
      <c r="D459" s="25" t="s">
        <v>14750</v>
      </c>
      <c r="E459" t="s">
        <v>192</v>
      </c>
      <c r="F459" s="28">
        <v>1</v>
      </c>
      <c r="G459" t="s">
        <v>193</v>
      </c>
      <c r="H459" t="s">
        <v>194</v>
      </c>
      <c r="I459" t="s">
        <v>14788</v>
      </c>
      <c r="J459" t="s">
        <v>9302</v>
      </c>
      <c r="K459" t="s">
        <v>15045</v>
      </c>
      <c r="L459" t="s">
        <v>6261</v>
      </c>
      <c r="M459" t="s">
        <v>14779</v>
      </c>
      <c r="N459" t="s">
        <v>14780</v>
      </c>
      <c r="O459" t="s">
        <v>13125</v>
      </c>
      <c r="P459" t="s">
        <v>15046</v>
      </c>
      <c r="Q459" t="s">
        <v>15047</v>
      </c>
      <c r="S459" t="s">
        <v>9309</v>
      </c>
      <c r="U459" t="s">
        <v>484</v>
      </c>
      <c r="V459" t="s">
        <v>193</v>
      </c>
      <c r="W459" t="s">
        <v>9310</v>
      </c>
      <c r="Z459" t="s">
        <v>9311</v>
      </c>
      <c r="AF459" t="s">
        <v>4714</v>
      </c>
      <c r="AG459" t="s">
        <v>15044</v>
      </c>
      <c r="AI459" t="s">
        <v>6955</v>
      </c>
      <c r="AJ459" s="27" t="str">
        <f t="shared" si="14"/>
        <v>251401</v>
      </c>
      <c r="AK459" s="27">
        <v>1</v>
      </c>
      <c r="AL459" s="27">
        <f t="shared" si="15"/>
        <v>1</v>
      </c>
      <c r="AM459" s="28">
        <v>1</v>
      </c>
    </row>
    <row r="460" spans="1:39" x14ac:dyDescent="0.25">
      <c r="A460" t="s">
        <v>713</v>
      </c>
      <c r="B460" t="s">
        <v>1434</v>
      </c>
      <c r="C460" t="s">
        <v>19</v>
      </c>
      <c r="D460" s="25" t="s">
        <v>14750</v>
      </c>
      <c r="E460" t="s">
        <v>192</v>
      </c>
      <c r="F460" s="28">
        <v>1</v>
      </c>
      <c r="G460" t="s">
        <v>193</v>
      </c>
      <c r="H460" t="s">
        <v>194</v>
      </c>
      <c r="I460" t="s">
        <v>14777</v>
      </c>
      <c r="J460" t="s">
        <v>210</v>
      </c>
      <c r="K460" t="s">
        <v>15048</v>
      </c>
      <c r="L460" t="s">
        <v>6245</v>
      </c>
      <c r="M460" t="s">
        <v>14779</v>
      </c>
      <c r="N460" t="s">
        <v>14780</v>
      </c>
      <c r="O460" t="s">
        <v>13125</v>
      </c>
      <c r="P460" t="s">
        <v>15049</v>
      </c>
      <c r="Q460" t="s">
        <v>15050</v>
      </c>
      <c r="S460" t="s">
        <v>9309</v>
      </c>
      <c r="T460" t="s">
        <v>9334</v>
      </c>
      <c r="U460" t="s">
        <v>337</v>
      </c>
      <c r="V460" t="s">
        <v>194</v>
      </c>
      <c r="W460" t="s">
        <v>9300</v>
      </c>
      <c r="Z460" t="s">
        <v>9311</v>
      </c>
      <c r="AF460" t="s">
        <v>4714</v>
      </c>
      <c r="AG460" t="s">
        <v>1434</v>
      </c>
      <c r="AI460" t="s">
        <v>6955</v>
      </c>
      <c r="AJ460" s="27" t="str">
        <f t="shared" si="14"/>
        <v>214903</v>
      </c>
      <c r="AK460" s="27">
        <v>1</v>
      </c>
      <c r="AL460" s="27">
        <f t="shared" si="15"/>
        <v>1</v>
      </c>
      <c r="AM460" s="28">
        <v>1</v>
      </c>
    </row>
    <row r="461" spans="1:39" x14ac:dyDescent="0.25">
      <c r="A461" t="s">
        <v>15051</v>
      </c>
      <c r="B461" t="s">
        <v>15052</v>
      </c>
      <c r="C461" t="s">
        <v>6617</v>
      </c>
      <c r="D461" s="25" t="s">
        <v>14750</v>
      </c>
      <c r="E461" t="s">
        <v>252</v>
      </c>
      <c r="F461" s="28">
        <v>1</v>
      </c>
      <c r="G461" t="s">
        <v>193</v>
      </c>
      <c r="H461" t="s">
        <v>194</v>
      </c>
      <c r="I461" t="s">
        <v>14777</v>
      </c>
      <c r="J461" t="s">
        <v>276</v>
      </c>
      <c r="K461" t="s">
        <v>15053</v>
      </c>
      <c r="L461" t="s">
        <v>6266</v>
      </c>
      <c r="M461" t="s">
        <v>15054</v>
      </c>
      <c r="N461" t="s">
        <v>14888</v>
      </c>
      <c r="O461" t="s">
        <v>13164</v>
      </c>
      <c r="P461" t="s">
        <v>15055</v>
      </c>
      <c r="Q461" t="s">
        <v>15056</v>
      </c>
      <c r="S461" t="s">
        <v>9309</v>
      </c>
      <c r="T461" t="s">
        <v>9786</v>
      </c>
      <c r="U461" t="s">
        <v>990</v>
      </c>
      <c r="V461" t="s">
        <v>194</v>
      </c>
      <c r="W461" t="s">
        <v>9300</v>
      </c>
      <c r="Z461" t="s">
        <v>9311</v>
      </c>
      <c r="AF461" t="s">
        <v>4714</v>
      </c>
      <c r="AG461" t="s">
        <v>9433</v>
      </c>
      <c r="AI461" t="s">
        <v>6955</v>
      </c>
      <c r="AJ461" s="27" t="str">
        <f t="shared" si="14"/>
        <v>833202</v>
      </c>
      <c r="AK461" s="27">
        <v>1</v>
      </c>
      <c r="AL461" s="27">
        <f t="shared" si="15"/>
        <v>1</v>
      </c>
      <c r="AM461" s="28">
        <v>1</v>
      </c>
    </row>
    <row r="462" spans="1:39" x14ac:dyDescent="0.25">
      <c r="A462" t="s">
        <v>1228</v>
      </c>
      <c r="B462" t="s">
        <v>15057</v>
      </c>
      <c r="C462" t="s">
        <v>5353</v>
      </c>
      <c r="D462" s="25" t="s">
        <v>14750</v>
      </c>
      <c r="E462" t="s">
        <v>192</v>
      </c>
      <c r="F462" s="28">
        <v>1</v>
      </c>
      <c r="G462" t="s">
        <v>193</v>
      </c>
      <c r="H462" t="s">
        <v>194</v>
      </c>
      <c r="I462" t="s">
        <v>14777</v>
      </c>
      <c r="J462" t="s">
        <v>9302</v>
      </c>
      <c r="K462" t="s">
        <v>15058</v>
      </c>
      <c r="L462" t="s">
        <v>6295</v>
      </c>
      <c r="M462" t="s">
        <v>14779</v>
      </c>
      <c r="N462" t="s">
        <v>14780</v>
      </c>
      <c r="O462" t="s">
        <v>13125</v>
      </c>
      <c r="P462" t="s">
        <v>15059</v>
      </c>
      <c r="Q462" t="s">
        <v>15060</v>
      </c>
      <c r="S462" t="s">
        <v>9309</v>
      </c>
      <c r="U462" t="s">
        <v>2084</v>
      </c>
      <c r="V462" t="s">
        <v>193</v>
      </c>
      <c r="W462" t="s">
        <v>9310</v>
      </c>
      <c r="Z462" t="s">
        <v>9311</v>
      </c>
      <c r="AF462" t="s">
        <v>4714</v>
      </c>
      <c r="AG462" t="s">
        <v>15057</v>
      </c>
      <c r="AI462" t="s">
        <v>6955</v>
      </c>
      <c r="AJ462" s="27" t="str">
        <f t="shared" si="14"/>
        <v>524302</v>
      </c>
      <c r="AK462" s="27">
        <v>1</v>
      </c>
      <c r="AL462" s="27">
        <f t="shared" si="15"/>
        <v>1</v>
      </c>
      <c r="AM462" s="28">
        <v>1</v>
      </c>
    </row>
    <row r="463" spans="1:39" x14ac:dyDescent="0.25">
      <c r="A463" t="s">
        <v>15061</v>
      </c>
      <c r="B463" t="s">
        <v>398</v>
      </c>
      <c r="C463" t="s">
        <v>396</v>
      </c>
      <c r="D463" s="25" t="s">
        <v>14750</v>
      </c>
      <c r="E463" t="s">
        <v>192</v>
      </c>
      <c r="F463" s="28">
        <v>1</v>
      </c>
      <c r="G463" t="s">
        <v>193</v>
      </c>
      <c r="H463" t="s">
        <v>194</v>
      </c>
      <c r="I463" t="s">
        <v>14777</v>
      </c>
      <c r="J463" t="s">
        <v>962</v>
      </c>
      <c r="K463" t="s">
        <v>15062</v>
      </c>
      <c r="L463" t="s">
        <v>6312</v>
      </c>
      <c r="M463" t="s">
        <v>14779</v>
      </c>
      <c r="N463" t="s">
        <v>14780</v>
      </c>
      <c r="O463" t="s">
        <v>13303</v>
      </c>
      <c r="P463" t="s">
        <v>15063</v>
      </c>
      <c r="Q463" t="s">
        <v>15064</v>
      </c>
      <c r="S463" t="s">
        <v>9309</v>
      </c>
      <c r="T463" s="492" t="s">
        <v>15065</v>
      </c>
      <c r="U463" t="s">
        <v>397</v>
      </c>
      <c r="V463" t="s">
        <v>194</v>
      </c>
      <c r="W463" t="s">
        <v>15066</v>
      </c>
      <c r="Z463" t="s">
        <v>9311</v>
      </c>
      <c r="AF463" t="s">
        <v>4714</v>
      </c>
      <c r="AG463" t="s">
        <v>398</v>
      </c>
      <c r="AI463" t="s">
        <v>6955</v>
      </c>
      <c r="AJ463" s="27" t="str">
        <f t="shared" si="14"/>
        <v>235301</v>
      </c>
      <c r="AK463" s="27">
        <v>1</v>
      </c>
      <c r="AL463" s="27">
        <f t="shared" si="15"/>
        <v>1</v>
      </c>
      <c r="AM463" s="28">
        <v>1</v>
      </c>
    </row>
    <row r="464" spans="1:39" x14ac:dyDescent="0.25">
      <c r="A464" t="s">
        <v>15061</v>
      </c>
      <c r="B464" t="s">
        <v>15067</v>
      </c>
      <c r="C464" t="s">
        <v>396</v>
      </c>
      <c r="D464" s="25" t="s">
        <v>14750</v>
      </c>
      <c r="E464" t="s">
        <v>192</v>
      </c>
      <c r="F464" s="28">
        <v>1</v>
      </c>
      <c r="G464" t="s">
        <v>193</v>
      </c>
      <c r="H464" t="s">
        <v>194</v>
      </c>
      <c r="I464" t="s">
        <v>14788</v>
      </c>
      <c r="J464" t="s">
        <v>276</v>
      </c>
      <c r="K464" t="s">
        <v>15068</v>
      </c>
      <c r="L464" t="s">
        <v>7001</v>
      </c>
      <c r="M464" t="s">
        <v>14779</v>
      </c>
      <c r="N464" t="s">
        <v>14780</v>
      </c>
      <c r="O464" t="s">
        <v>13125</v>
      </c>
      <c r="P464" t="s">
        <v>15069</v>
      </c>
      <c r="Q464" t="s">
        <v>15070</v>
      </c>
      <c r="S464" t="s">
        <v>9309</v>
      </c>
      <c r="T464" s="492" t="s">
        <v>15071</v>
      </c>
      <c r="U464" t="s">
        <v>397</v>
      </c>
      <c r="V464" t="s">
        <v>194</v>
      </c>
      <c r="W464" t="s">
        <v>15072</v>
      </c>
      <c r="Z464" t="s">
        <v>9311</v>
      </c>
      <c r="AF464" t="s">
        <v>4714</v>
      </c>
      <c r="AG464" t="s">
        <v>15067</v>
      </c>
      <c r="AI464" t="s">
        <v>6955</v>
      </c>
      <c r="AJ464" s="27" t="str">
        <f t="shared" si="14"/>
        <v>235301</v>
      </c>
      <c r="AK464" s="27">
        <v>1</v>
      </c>
      <c r="AL464" s="27">
        <f t="shared" si="15"/>
        <v>1</v>
      </c>
      <c r="AM464" s="28">
        <v>1</v>
      </c>
    </row>
    <row r="465" spans="1:39" x14ac:dyDescent="0.25">
      <c r="A465" t="s">
        <v>816</v>
      </c>
      <c r="B465" t="s">
        <v>67</v>
      </c>
      <c r="C465" t="s">
        <v>67</v>
      </c>
      <c r="D465" s="25" t="s">
        <v>14750</v>
      </c>
      <c r="E465" t="s">
        <v>192</v>
      </c>
      <c r="F465" s="28">
        <v>1</v>
      </c>
      <c r="G465" t="s">
        <v>193</v>
      </c>
      <c r="H465" t="s">
        <v>194</v>
      </c>
      <c r="I465" t="s">
        <v>14788</v>
      </c>
      <c r="J465" t="s">
        <v>253</v>
      </c>
      <c r="K465" t="s">
        <v>15073</v>
      </c>
      <c r="L465" t="s">
        <v>6266</v>
      </c>
      <c r="M465" t="s">
        <v>14779</v>
      </c>
      <c r="N465" t="s">
        <v>14780</v>
      </c>
      <c r="O465" t="s">
        <v>13125</v>
      </c>
      <c r="P465" t="s">
        <v>15074</v>
      </c>
      <c r="Q465" t="s">
        <v>15075</v>
      </c>
      <c r="S465" t="s">
        <v>9309</v>
      </c>
      <c r="T465" t="s">
        <v>9468</v>
      </c>
      <c r="U465" t="s">
        <v>709</v>
      </c>
      <c r="V465" t="s">
        <v>194</v>
      </c>
      <c r="W465" t="s">
        <v>9300</v>
      </c>
      <c r="Z465" t="s">
        <v>9311</v>
      </c>
      <c r="AF465" t="s">
        <v>4714</v>
      </c>
      <c r="AG465" t="s">
        <v>67</v>
      </c>
      <c r="AI465" t="s">
        <v>6955</v>
      </c>
      <c r="AJ465" s="27" t="str">
        <f t="shared" si="14"/>
        <v>432103</v>
      </c>
      <c r="AK465" s="27">
        <v>1</v>
      </c>
      <c r="AL465" s="27">
        <f t="shared" si="15"/>
        <v>1</v>
      </c>
      <c r="AM465" s="28">
        <v>1</v>
      </c>
    </row>
    <row r="466" spans="1:39" x14ac:dyDescent="0.25">
      <c r="A466" t="s">
        <v>15076</v>
      </c>
      <c r="B466" t="s">
        <v>15077</v>
      </c>
      <c r="C466" t="s">
        <v>778</v>
      </c>
      <c r="D466" s="25" t="s">
        <v>14750</v>
      </c>
      <c r="E466" t="s">
        <v>192</v>
      </c>
      <c r="F466" s="28">
        <v>1</v>
      </c>
      <c r="G466" t="s">
        <v>193</v>
      </c>
      <c r="H466" t="s">
        <v>194</v>
      </c>
      <c r="I466" t="s">
        <v>14022</v>
      </c>
      <c r="J466" t="s">
        <v>276</v>
      </c>
      <c r="K466" t="s">
        <v>15078</v>
      </c>
      <c r="L466" t="s">
        <v>6245</v>
      </c>
      <c r="M466" t="s">
        <v>14779</v>
      </c>
      <c r="N466" t="s">
        <v>14780</v>
      </c>
      <c r="O466" t="s">
        <v>13125</v>
      </c>
      <c r="P466" t="s">
        <v>15079</v>
      </c>
      <c r="Q466" t="s">
        <v>15080</v>
      </c>
      <c r="S466" t="s">
        <v>9309</v>
      </c>
      <c r="T466" t="s">
        <v>9786</v>
      </c>
      <c r="U466" t="s">
        <v>779</v>
      </c>
      <c r="V466" t="s">
        <v>194</v>
      </c>
      <c r="W466" t="s">
        <v>9300</v>
      </c>
      <c r="Z466" t="s">
        <v>9311</v>
      </c>
      <c r="AF466" t="s">
        <v>4714</v>
      </c>
      <c r="AG466" t="s">
        <v>15077</v>
      </c>
      <c r="AI466" t="s">
        <v>6955</v>
      </c>
      <c r="AJ466" s="27" t="str">
        <f t="shared" si="14"/>
        <v>524902</v>
      </c>
      <c r="AK466" s="27">
        <v>1</v>
      </c>
      <c r="AL466" s="27">
        <f t="shared" si="15"/>
        <v>1</v>
      </c>
      <c r="AM466" s="28">
        <v>1</v>
      </c>
    </row>
    <row r="467" spans="1:39" x14ac:dyDescent="0.25">
      <c r="A467" t="s">
        <v>15076</v>
      </c>
      <c r="B467" t="s">
        <v>15077</v>
      </c>
      <c r="C467" t="s">
        <v>778</v>
      </c>
      <c r="D467" s="25" t="s">
        <v>14750</v>
      </c>
      <c r="E467" t="s">
        <v>192</v>
      </c>
      <c r="F467" s="28">
        <v>1</v>
      </c>
      <c r="G467" t="s">
        <v>193</v>
      </c>
      <c r="H467" t="s">
        <v>194</v>
      </c>
      <c r="I467" t="s">
        <v>14022</v>
      </c>
      <c r="J467" t="s">
        <v>385</v>
      </c>
      <c r="K467" t="s">
        <v>15081</v>
      </c>
      <c r="L467" t="s">
        <v>6245</v>
      </c>
      <c r="M467" t="s">
        <v>14779</v>
      </c>
      <c r="N467" t="s">
        <v>14780</v>
      </c>
      <c r="O467" t="s">
        <v>13125</v>
      </c>
      <c r="P467" t="s">
        <v>15082</v>
      </c>
      <c r="Q467" t="s">
        <v>15083</v>
      </c>
      <c r="S467" t="s">
        <v>9309</v>
      </c>
      <c r="T467" t="s">
        <v>9410</v>
      </c>
      <c r="U467" t="s">
        <v>779</v>
      </c>
      <c r="V467" t="s">
        <v>194</v>
      </c>
      <c r="W467" t="s">
        <v>9300</v>
      </c>
      <c r="Z467" t="s">
        <v>9311</v>
      </c>
      <c r="AF467" t="s">
        <v>4714</v>
      </c>
      <c r="AG467" t="s">
        <v>15077</v>
      </c>
      <c r="AI467" t="s">
        <v>6955</v>
      </c>
      <c r="AJ467" s="27" t="str">
        <f t="shared" si="14"/>
        <v>524902</v>
      </c>
      <c r="AK467" s="27">
        <v>1</v>
      </c>
      <c r="AL467" s="27">
        <f t="shared" si="15"/>
        <v>1</v>
      </c>
      <c r="AM467" s="28">
        <v>1</v>
      </c>
    </row>
    <row r="468" spans="1:39" x14ac:dyDescent="0.25">
      <c r="A468" t="s">
        <v>15076</v>
      </c>
      <c r="B468" t="s">
        <v>15077</v>
      </c>
      <c r="C468" t="s">
        <v>778</v>
      </c>
      <c r="D468" s="25" t="s">
        <v>14750</v>
      </c>
      <c r="E468" t="s">
        <v>192</v>
      </c>
      <c r="F468" s="28">
        <v>1</v>
      </c>
      <c r="G468" t="s">
        <v>193</v>
      </c>
      <c r="H468" t="s">
        <v>194</v>
      </c>
      <c r="I468" t="s">
        <v>14022</v>
      </c>
      <c r="J468" t="s">
        <v>327</v>
      </c>
      <c r="K468" t="s">
        <v>15084</v>
      </c>
      <c r="L468" t="s">
        <v>6245</v>
      </c>
      <c r="M468" t="s">
        <v>14779</v>
      </c>
      <c r="N468" t="s">
        <v>14780</v>
      </c>
      <c r="O468" t="s">
        <v>13125</v>
      </c>
      <c r="P468" t="s">
        <v>15085</v>
      </c>
      <c r="Q468" t="s">
        <v>15086</v>
      </c>
      <c r="S468" t="s">
        <v>9309</v>
      </c>
      <c r="T468" t="s">
        <v>9506</v>
      </c>
      <c r="U468" t="s">
        <v>779</v>
      </c>
      <c r="V468" t="s">
        <v>194</v>
      </c>
      <c r="W468" t="s">
        <v>9300</v>
      </c>
      <c r="Z468" t="s">
        <v>9311</v>
      </c>
      <c r="AF468" t="s">
        <v>4714</v>
      </c>
      <c r="AG468" t="s">
        <v>15077</v>
      </c>
      <c r="AI468" t="s">
        <v>6955</v>
      </c>
      <c r="AJ468" s="27" t="str">
        <f t="shared" si="14"/>
        <v>524902</v>
      </c>
      <c r="AK468" s="27">
        <v>1</v>
      </c>
      <c r="AL468" s="27">
        <f t="shared" si="15"/>
        <v>1</v>
      </c>
      <c r="AM468" s="28">
        <v>1</v>
      </c>
    </row>
    <row r="469" spans="1:39" x14ac:dyDescent="0.25">
      <c r="A469" t="s">
        <v>15076</v>
      </c>
      <c r="B469" t="s">
        <v>15077</v>
      </c>
      <c r="C469" t="s">
        <v>778</v>
      </c>
      <c r="D469" s="25" t="s">
        <v>14750</v>
      </c>
      <c r="E469" t="s">
        <v>192</v>
      </c>
      <c r="F469" s="28">
        <v>1</v>
      </c>
      <c r="G469" t="s">
        <v>193</v>
      </c>
      <c r="H469" t="s">
        <v>194</v>
      </c>
      <c r="I469" t="s">
        <v>14022</v>
      </c>
      <c r="J469" t="s">
        <v>301</v>
      </c>
      <c r="K469" t="s">
        <v>15087</v>
      </c>
      <c r="L469" t="s">
        <v>6245</v>
      </c>
      <c r="M469" t="s">
        <v>14779</v>
      </c>
      <c r="N469" t="s">
        <v>14780</v>
      </c>
      <c r="O469" t="s">
        <v>13125</v>
      </c>
      <c r="P469" t="s">
        <v>15088</v>
      </c>
      <c r="Q469" t="s">
        <v>15089</v>
      </c>
      <c r="S469" t="s">
        <v>9309</v>
      </c>
      <c r="T469" t="s">
        <v>9367</v>
      </c>
      <c r="U469" t="s">
        <v>779</v>
      </c>
      <c r="V469" t="s">
        <v>194</v>
      </c>
      <c r="W469" t="s">
        <v>9300</v>
      </c>
      <c r="Z469" t="s">
        <v>9311</v>
      </c>
      <c r="AF469" t="s">
        <v>4714</v>
      </c>
      <c r="AG469" t="s">
        <v>15077</v>
      </c>
      <c r="AI469" t="s">
        <v>6955</v>
      </c>
      <c r="AJ469" s="27" t="str">
        <f t="shared" si="14"/>
        <v>524902</v>
      </c>
      <c r="AK469" s="27">
        <v>1</v>
      </c>
      <c r="AL469" s="27">
        <f t="shared" si="15"/>
        <v>1</v>
      </c>
      <c r="AM469" s="28">
        <v>1</v>
      </c>
    </row>
    <row r="470" spans="1:39" x14ac:dyDescent="0.25">
      <c r="A470" t="s">
        <v>15076</v>
      </c>
      <c r="B470" t="s">
        <v>15077</v>
      </c>
      <c r="C470" t="s">
        <v>778</v>
      </c>
      <c r="D470" s="25" t="s">
        <v>14750</v>
      </c>
      <c r="E470" t="s">
        <v>192</v>
      </c>
      <c r="F470" s="28">
        <v>1</v>
      </c>
      <c r="G470" t="s">
        <v>193</v>
      </c>
      <c r="H470" t="s">
        <v>194</v>
      </c>
      <c r="I470" t="s">
        <v>14022</v>
      </c>
      <c r="J470" t="s">
        <v>253</v>
      </c>
      <c r="K470" t="s">
        <v>15090</v>
      </c>
      <c r="L470" t="s">
        <v>6245</v>
      </c>
      <c r="M470" t="s">
        <v>14779</v>
      </c>
      <c r="N470" t="s">
        <v>14780</v>
      </c>
      <c r="O470" t="s">
        <v>13125</v>
      </c>
      <c r="P470" t="s">
        <v>15091</v>
      </c>
      <c r="Q470" t="s">
        <v>15092</v>
      </c>
      <c r="S470" t="s">
        <v>9309</v>
      </c>
      <c r="T470" t="s">
        <v>9468</v>
      </c>
      <c r="U470" t="s">
        <v>779</v>
      </c>
      <c r="V470" t="s">
        <v>194</v>
      </c>
      <c r="W470" t="s">
        <v>9300</v>
      </c>
      <c r="Z470" t="s">
        <v>9311</v>
      </c>
      <c r="AF470" t="s">
        <v>4714</v>
      </c>
      <c r="AG470" t="s">
        <v>15077</v>
      </c>
      <c r="AI470" t="s">
        <v>6955</v>
      </c>
      <c r="AJ470" s="27" t="str">
        <f t="shared" si="14"/>
        <v>524902</v>
      </c>
      <c r="AK470" s="27">
        <v>1</v>
      </c>
      <c r="AL470" s="27">
        <f t="shared" si="15"/>
        <v>1</v>
      </c>
      <c r="AM470" s="28">
        <v>1</v>
      </c>
    </row>
    <row r="471" spans="1:39" x14ac:dyDescent="0.25">
      <c r="A471" t="s">
        <v>15076</v>
      </c>
      <c r="B471" t="s">
        <v>15077</v>
      </c>
      <c r="C471" t="s">
        <v>778</v>
      </c>
      <c r="D471" s="25" t="s">
        <v>14750</v>
      </c>
      <c r="E471" t="s">
        <v>192</v>
      </c>
      <c r="F471" s="28">
        <v>1</v>
      </c>
      <c r="G471" t="s">
        <v>193</v>
      </c>
      <c r="H471" t="s">
        <v>194</v>
      </c>
      <c r="I471" t="s">
        <v>14022</v>
      </c>
      <c r="J471" t="s">
        <v>305</v>
      </c>
      <c r="K471" t="s">
        <v>15093</v>
      </c>
      <c r="L471" t="s">
        <v>6245</v>
      </c>
      <c r="M471" t="s">
        <v>14779</v>
      </c>
      <c r="N471" t="s">
        <v>14780</v>
      </c>
      <c r="O471" t="s">
        <v>13125</v>
      </c>
      <c r="P471" t="s">
        <v>15094</v>
      </c>
      <c r="Q471" t="s">
        <v>15095</v>
      </c>
      <c r="S471" t="s">
        <v>9309</v>
      </c>
      <c r="T471" t="s">
        <v>9753</v>
      </c>
      <c r="U471" t="s">
        <v>779</v>
      </c>
      <c r="V471" t="s">
        <v>194</v>
      </c>
      <c r="W471" t="s">
        <v>9300</v>
      </c>
      <c r="Z471" t="s">
        <v>9311</v>
      </c>
      <c r="AF471" t="s">
        <v>4714</v>
      </c>
      <c r="AG471" t="s">
        <v>15077</v>
      </c>
      <c r="AI471" t="s">
        <v>6955</v>
      </c>
      <c r="AJ471" s="27" t="str">
        <f t="shared" si="14"/>
        <v>524902</v>
      </c>
      <c r="AK471" s="27">
        <v>1</v>
      </c>
      <c r="AL471" s="27">
        <f t="shared" si="15"/>
        <v>1</v>
      </c>
      <c r="AM471" s="28">
        <v>1</v>
      </c>
    </row>
    <row r="472" spans="1:39" x14ac:dyDescent="0.25">
      <c r="A472" t="s">
        <v>15076</v>
      </c>
      <c r="B472" t="s">
        <v>15077</v>
      </c>
      <c r="C472" t="s">
        <v>778</v>
      </c>
      <c r="D472" s="25" t="s">
        <v>14750</v>
      </c>
      <c r="E472" t="s">
        <v>192</v>
      </c>
      <c r="F472" s="28">
        <v>1</v>
      </c>
      <c r="G472" t="s">
        <v>193</v>
      </c>
      <c r="H472" t="s">
        <v>194</v>
      </c>
      <c r="I472" t="s">
        <v>14022</v>
      </c>
      <c r="J472" t="s">
        <v>210</v>
      </c>
      <c r="K472" t="s">
        <v>15096</v>
      </c>
      <c r="L472" t="s">
        <v>6245</v>
      </c>
      <c r="M472" t="s">
        <v>14779</v>
      </c>
      <c r="N472" t="s">
        <v>14780</v>
      </c>
      <c r="O472" t="s">
        <v>13125</v>
      </c>
      <c r="P472" t="s">
        <v>15097</v>
      </c>
      <c r="Q472" t="s">
        <v>15098</v>
      </c>
      <c r="S472" t="s">
        <v>9309</v>
      </c>
      <c r="T472" t="s">
        <v>9334</v>
      </c>
      <c r="U472" t="s">
        <v>779</v>
      </c>
      <c r="V472" t="s">
        <v>194</v>
      </c>
      <c r="W472" t="s">
        <v>9300</v>
      </c>
      <c r="Z472" t="s">
        <v>9311</v>
      </c>
      <c r="AF472" t="s">
        <v>4714</v>
      </c>
      <c r="AG472" t="s">
        <v>15077</v>
      </c>
      <c r="AI472" t="s">
        <v>6955</v>
      </c>
      <c r="AJ472" s="27" t="str">
        <f t="shared" si="14"/>
        <v>524902</v>
      </c>
      <c r="AK472" s="27">
        <v>1</v>
      </c>
      <c r="AL472" s="27">
        <f t="shared" si="15"/>
        <v>1</v>
      </c>
      <c r="AM472" s="28">
        <v>1</v>
      </c>
    </row>
    <row r="473" spans="1:39" x14ac:dyDescent="0.25">
      <c r="A473" t="s">
        <v>15099</v>
      </c>
      <c r="B473" t="s">
        <v>15100</v>
      </c>
      <c r="C473" t="s">
        <v>740</v>
      </c>
      <c r="D473" s="25" t="s">
        <v>14750</v>
      </c>
      <c r="E473" t="s">
        <v>192</v>
      </c>
      <c r="F473" s="28">
        <v>1</v>
      </c>
      <c r="G473" t="s">
        <v>193</v>
      </c>
      <c r="H473" t="s">
        <v>194</v>
      </c>
      <c r="I473" t="s">
        <v>14777</v>
      </c>
      <c r="J473" t="s">
        <v>9302</v>
      </c>
      <c r="K473" t="s">
        <v>15101</v>
      </c>
      <c r="L473" t="s">
        <v>6245</v>
      </c>
      <c r="M473" t="s">
        <v>14779</v>
      </c>
      <c r="N473" t="s">
        <v>14780</v>
      </c>
      <c r="O473" t="s">
        <v>13125</v>
      </c>
      <c r="P473" t="s">
        <v>15102</v>
      </c>
      <c r="Q473" t="s">
        <v>15103</v>
      </c>
      <c r="S473" t="s">
        <v>9309</v>
      </c>
      <c r="U473" t="s">
        <v>741</v>
      </c>
      <c r="V473" t="s">
        <v>193</v>
      </c>
      <c r="W473" t="s">
        <v>9310</v>
      </c>
      <c r="Z473" t="s">
        <v>9311</v>
      </c>
      <c r="AF473" t="s">
        <v>4714</v>
      </c>
      <c r="AG473" t="s">
        <v>15100</v>
      </c>
      <c r="AI473" t="s">
        <v>6955</v>
      </c>
      <c r="AJ473" s="27" t="str">
        <f t="shared" si="14"/>
        <v>522301</v>
      </c>
      <c r="AK473" s="27">
        <v>1</v>
      </c>
      <c r="AL473" s="27">
        <f t="shared" si="15"/>
        <v>1</v>
      </c>
      <c r="AM473" s="28">
        <v>1</v>
      </c>
    </row>
    <row r="474" spans="1:39" x14ac:dyDescent="0.25">
      <c r="A474" t="s">
        <v>15104</v>
      </c>
      <c r="B474" t="s">
        <v>6194</v>
      </c>
      <c r="C474" t="s">
        <v>21</v>
      </c>
      <c r="D474" s="25" t="s">
        <v>14750</v>
      </c>
      <c r="E474" t="s">
        <v>192</v>
      </c>
      <c r="F474" s="28">
        <v>1</v>
      </c>
      <c r="G474" t="s">
        <v>193</v>
      </c>
      <c r="H474" t="s">
        <v>194</v>
      </c>
      <c r="I474" t="s">
        <v>13110</v>
      </c>
      <c r="J474" t="s">
        <v>9302</v>
      </c>
      <c r="K474" t="s">
        <v>15105</v>
      </c>
      <c r="L474" t="s">
        <v>6324</v>
      </c>
      <c r="M474" t="s">
        <v>14779</v>
      </c>
      <c r="N474" t="s">
        <v>14780</v>
      </c>
      <c r="O474" t="s">
        <v>13125</v>
      </c>
      <c r="P474" t="s">
        <v>15106</v>
      </c>
      <c r="Q474" t="s">
        <v>15107</v>
      </c>
      <c r="S474" t="s">
        <v>9309</v>
      </c>
      <c r="U474" t="s">
        <v>293</v>
      </c>
      <c r="V474" t="s">
        <v>193</v>
      </c>
      <c r="W474" t="s">
        <v>9310</v>
      </c>
      <c r="Z474" t="s">
        <v>9311</v>
      </c>
      <c r="AF474" t="s">
        <v>4714</v>
      </c>
      <c r="AG474" t="s">
        <v>6194</v>
      </c>
      <c r="AI474" t="s">
        <v>6955</v>
      </c>
      <c r="AJ474" s="27" t="str">
        <f t="shared" si="14"/>
        <v>214202</v>
      </c>
      <c r="AK474" s="27">
        <v>1</v>
      </c>
      <c r="AL474" s="27">
        <f t="shared" si="15"/>
        <v>1</v>
      </c>
      <c r="AM474" s="28">
        <v>1</v>
      </c>
    </row>
    <row r="475" spans="1:39" x14ac:dyDescent="0.25">
      <c r="A475" t="s">
        <v>15108</v>
      </c>
      <c r="B475" t="s">
        <v>15109</v>
      </c>
      <c r="C475" t="s">
        <v>740</v>
      </c>
      <c r="D475" s="25" t="s">
        <v>14750</v>
      </c>
      <c r="E475" t="s">
        <v>192</v>
      </c>
      <c r="F475" s="28">
        <v>1</v>
      </c>
      <c r="G475" t="s">
        <v>193</v>
      </c>
      <c r="H475" t="s">
        <v>194</v>
      </c>
      <c r="I475" t="s">
        <v>14777</v>
      </c>
      <c r="J475" t="s">
        <v>9302</v>
      </c>
      <c r="K475" t="s">
        <v>15110</v>
      </c>
      <c r="L475" t="s">
        <v>6245</v>
      </c>
      <c r="M475" t="s">
        <v>14779</v>
      </c>
      <c r="N475" t="s">
        <v>14780</v>
      </c>
      <c r="O475" t="s">
        <v>13303</v>
      </c>
      <c r="P475" t="s">
        <v>15111</v>
      </c>
      <c r="Q475" t="s">
        <v>15112</v>
      </c>
      <c r="S475" t="s">
        <v>9309</v>
      </c>
      <c r="U475" t="s">
        <v>741</v>
      </c>
      <c r="V475" t="s">
        <v>193</v>
      </c>
      <c r="W475" t="s">
        <v>9310</v>
      </c>
      <c r="Z475" t="s">
        <v>9311</v>
      </c>
      <c r="AF475" t="s">
        <v>4714</v>
      </c>
      <c r="AG475" t="s">
        <v>15109</v>
      </c>
      <c r="AI475" t="s">
        <v>6955</v>
      </c>
      <c r="AJ475" s="27" t="str">
        <f t="shared" si="14"/>
        <v>522301</v>
      </c>
      <c r="AK475" s="27">
        <v>1</v>
      </c>
      <c r="AL475" s="27">
        <f t="shared" si="15"/>
        <v>1</v>
      </c>
      <c r="AM475" s="28">
        <v>1</v>
      </c>
    </row>
    <row r="476" spans="1:39" x14ac:dyDescent="0.25">
      <c r="A476" t="s">
        <v>9759</v>
      </c>
      <c r="B476" t="s">
        <v>47</v>
      </c>
      <c r="C476" t="s">
        <v>5538</v>
      </c>
      <c r="D476" s="25" t="s">
        <v>14750</v>
      </c>
      <c r="E476" t="s">
        <v>192</v>
      </c>
      <c r="F476" s="28">
        <v>1</v>
      </c>
      <c r="G476" t="s">
        <v>193</v>
      </c>
      <c r="H476" t="s">
        <v>194</v>
      </c>
      <c r="I476" t="s">
        <v>14788</v>
      </c>
      <c r="J476" t="s">
        <v>9302</v>
      </c>
      <c r="K476" t="s">
        <v>15113</v>
      </c>
      <c r="L476" t="s">
        <v>6324</v>
      </c>
      <c r="M476" t="s">
        <v>15114</v>
      </c>
      <c r="N476" t="s">
        <v>4849</v>
      </c>
      <c r="O476" t="s">
        <v>7703</v>
      </c>
      <c r="P476" t="s">
        <v>15115</v>
      </c>
      <c r="Q476" t="s">
        <v>15116</v>
      </c>
      <c r="S476" t="s">
        <v>9309</v>
      </c>
      <c r="U476" t="s">
        <v>4213</v>
      </c>
      <c r="V476" t="s">
        <v>193</v>
      </c>
      <c r="W476" t="s">
        <v>9310</v>
      </c>
      <c r="Z476" t="s">
        <v>9311</v>
      </c>
      <c r="AF476" t="s">
        <v>4714</v>
      </c>
      <c r="AG476" t="s">
        <v>47</v>
      </c>
      <c r="AI476" t="s">
        <v>6955</v>
      </c>
      <c r="AJ476" s="27" t="str">
        <f t="shared" si="14"/>
        <v>711501</v>
      </c>
      <c r="AK476" s="27">
        <v>1</v>
      </c>
      <c r="AL476" s="27">
        <f t="shared" si="15"/>
        <v>1</v>
      </c>
      <c r="AM476" s="28">
        <v>1</v>
      </c>
    </row>
    <row r="477" spans="1:39" x14ac:dyDescent="0.25">
      <c r="A477" t="s">
        <v>15117</v>
      </c>
      <c r="B477" t="s">
        <v>8</v>
      </c>
      <c r="C477" t="s">
        <v>740</v>
      </c>
      <c r="D477" s="25" t="s">
        <v>14750</v>
      </c>
      <c r="E477" t="s">
        <v>192</v>
      </c>
      <c r="F477" s="28">
        <v>1</v>
      </c>
      <c r="G477" t="s">
        <v>193</v>
      </c>
      <c r="H477" t="s">
        <v>194</v>
      </c>
      <c r="I477" t="s">
        <v>14788</v>
      </c>
      <c r="J477" t="s">
        <v>9302</v>
      </c>
      <c r="K477" t="s">
        <v>15118</v>
      </c>
      <c r="L477" t="s">
        <v>6251</v>
      </c>
      <c r="M477" t="s">
        <v>14779</v>
      </c>
      <c r="N477" t="s">
        <v>14780</v>
      </c>
      <c r="O477" t="s">
        <v>13125</v>
      </c>
      <c r="P477" t="s">
        <v>15119</v>
      </c>
      <c r="Q477" t="s">
        <v>15120</v>
      </c>
      <c r="S477" t="s">
        <v>9309</v>
      </c>
      <c r="U477" t="s">
        <v>741</v>
      </c>
      <c r="V477" t="s">
        <v>193</v>
      </c>
      <c r="W477" t="s">
        <v>9310</v>
      </c>
      <c r="Z477" t="s">
        <v>9311</v>
      </c>
      <c r="AF477" t="s">
        <v>4714</v>
      </c>
      <c r="AG477" t="s">
        <v>8</v>
      </c>
      <c r="AI477" t="s">
        <v>6955</v>
      </c>
      <c r="AJ477" s="27" t="str">
        <f t="shared" si="14"/>
        <v>522301</v>
      </c>
      <c r="AK477" s="27">
        <v>1</v>
      </c>
      <c r="AL477" s="27">
        <f t="shared" si="15"/>
        <v>1</v>
      </c>
      <c r="AM477" s="28">
        <v>1</v>
      </c>
    </row>
    <row r="478" spans="1:39" x14ac:dyDescent="0.25">
      <c r="A478" t="s">
        <v>15121</v>
      </c>
      <c r="B478" t="s">
        <v>836</v>
      </c>
      <c r="C478" t="s">
        <v>3645</v>
      </c>
      <c r="D478" s="25" t="s">
        <v>14750</v>
      </c>
      <c r="E478" t="s">
        <v>192</v>
      </c>
      <c r="F478" s="28">
        <v>1</v>
      </c>
      <c r="G478" t="s">
        <v>193</v>
      </c>
      <c r="H478" t="s">
        <v>194</v>
      </c>
      <c r="I478" t="s">
        <v>14788</v>
      </c>
      <c r="J478" t="s">
        <v>4751</v>
      </c>
      <c r="K478" t="s">
        <v>15122</v>
      </c>
      <c r="L478" t="s">
        <v>6258</v>
      </c>
      <c r="M478" t="s">
        <v>14779</v>
      </c>
      <c r="N478" t="s">
        <v>14780</v>
      </c>
      <c r="O478" t="s">
        <v>13125</v>
      </c>
      <c r="P478" t="s">
        <v>15123</v>
      </c>
      <c r="Q478" t="s">
        <v>15124</v>
      </c>
      <c r="S478" t="s">
        <v>9309</v>
      </c>
      <c r="T478" t="s">
        <v>9472</v>
      </c>
      <c r="U478" t="s">
        <v>3647</v>
      </c>
      <c r="V478" t="s">
        <v>194</v>
      </c>
      <c r="W478" t="s">
        <v>9300</v>
      </c>
      <c r="Z478" t="s">
        <v>9311</v>
      </c>
      <c r="AF478" t="s">
        <v>4714</v>
      </c>
      <c r="AG478" t="s">
        <v>836</v>
      </c>
      <c r="AI478" t="s">
        <v>6955</v>
      </c>
      <c r="AJ478" s="27" t="str">
        <f t="shared" si="14"/>
        <v>741207</v>
      </c>
      <c r="AK478" s="27">
        <v>1</v>
      </c>
      <c r="AL478" s="27">
        <f t="shared" si="15"/>
        <v>1</v>
      </c>
      <c r="AM478" s="28">
        <v>1</v>
      </c>
    </row>
    <row r="479" spans="1:39" x14ac:dyDescent="0.25">
      <c r="A479" t="s">
        <v>15121</v>
      </c>
      <c r="B479" t="s">
        <v>836</v>
      </c>
      <c r="C479" t="s">
        <v>3645</v>
      </c>
      <c r="D479" s="25" t="s">
        <v>14750</v>
      </c>
      <c r="E479" t="s">
        <v>192</v>
      </c>
      <c r="F479" s="28">
        <v>1</v>
      </c>
      <c r="G479" t="s">
        <v>193</v>
      </c>
      <c r="H479" t="s">
        <v>194</v>
      </c>
      <c r="I479" t="s">
        <v>14788</v>
      </c>
      <c r="J479" t="s">
        <v>223</v>
      </c>
      <c r="K479" t="s">
        <v>15125</v>
      </c>
      <c r="L479" t="s">
        <v>6258</v>
      </c>
      <c r="M479" t="s">
        <v>14779</v>
      </c>
      <c r="N479" t="s">
        <v>14780</v>
      </c>
      <c r="O479" t="s">
        <v>13125</v>
      </c>
      <c r="P479" t="s">
        <v>15126</v>
      </c>
      <c r="Q479" t="s">
        <v>15127</v>
      </c>
      <c r="S479" t="s">
        <v>9309</v>
      </c>
      <c r="T479" t="s">
        <v>11163</v>
      </c>
      <c r="U479" t="s">
        <v>3647</v>
      </c>
      <c r="V479" t="s">
        <v>194</v>
      </c>
      <c r="W479" t="s">
        <v>9300</v>
      </c>
      <c r="Z479" t="s">
        <v>9311</v>
      </c>
      <c r="AF479" t="s">
        <v>4714</v>
      </c>
      <c r="AG479" t="s">
        <v>836</v>
      </c>
      <c r="AI479" t="s">
        <v>6955</v>
      </c>
      <c r="AJ479" s="27" t="str">
        <f t="shared" si="14"/>
        <v>741207</v>
      </c>
      <c r="AK479" s="27">
        <v>1</v>
      </c>
      <c r="AL479" s="27">
        <f t="shared" si="15"/>
        <v>1</v>
      </c>
      <c r="AM479" s="28">
        <v>1</v>
      </c>
    </row>
    <row r="480" spans="1:39" x14ac:dyDescent="0.25">
      <c r="A480" t="s">
        <v>15121</v>
      </c>
      <c r="B480" t="s">
        <v>836</v>
      </c>
      <c r="C480" t="s">
        <v>3645</v>
      </c>
      <c r="D480" s="25" t="s">
        <v>14750</v>
      </c>
      <c r="E480" t="s">
        <v>192</v>
      </c>
      <c r="F480" s="28">
        <v>1</v>
      </c>
      <c r="G480" t="s">
        <v>193</v>
      </c>
      <c r="H480" t="s">
        <v>194</v>
      </c>
      <c r="I480" t="s">
        <v>14788</v>
      </c>
      <c r="J480" t="s">
        <v>210</v>
      </c>
      <c r="K480" t="s">
        <v>15128</v>
      </c>
      <c r="L480" t="s">
        <v>6258</v>
      </c>
      <c r="M480" t="s">
        <v>14779</v>
      </c>
      <c r="N480" t="s">
        <v>14780</v>
      </c>
      <c r="O480" t="s">
        <v>13125</v>
      </c>
      <c r="P480" t="s">
        <v>15129</v>
      </c>
      <c r="Q480" t="s">
        <v>15130</v>
      </c>
      <c r="S480" t="s">
        <v>9309</v>
      </c>
      <c r="T480" t="s">
        <v>9334</v>
      </c>
      <c r="U480" t="s">
        <v>3647</v>
      </c>
      <c r="V480" t="s">
        <v>194</v>
      </c>
      <c r="W480" t="s">
        <v>9300</v>
      </c>
      <c r="Z480" t="s">
        <v>9311</v>
      </c>
      <c r="AF480" t="s">
        <v>4714</v>
      </c>
      <c r="AG480" t="s">
        <v>836</v>
      </c>
      <c r="AI480" t="s">
        <v>6955</v>
      </c>
      <c r="AJ480" s="27" t="str">
        <f t="shared" si="14"/>
        <v>741207</v>
      </c>
      <c r="AK480" s="27">
        <v>1</v>
      </c>
      <c r="AL480" s="27">
        <f t="shared" si="15"/>
        <v>1</v>
      </c>
      <c r="AM480" s="28">
        <v>1</v>
      </c>
    </row>
    <row r="481" spans="1:39" x14ac:dyDescent="0.25">
      <c r="A481" t="s">
        <v>8964</v>
      </c>
      <c r="B481" t="s">
        <v>15131</v>
      </c>
      <c r="C481" t="s">
        <v>67</v>
      </c>
      <c r="D481" s="25" t="s">
        <v>14750</v>
      </c>
      <c r="E481" t="s">
        <v>233</v>
      </c>
      <c r="F481" s="28">
        <v>1</v>
      </c>
      <c r="G481" t="s">
        <v>193</v>
      </c>
      <c r="H481" t="s">
        <v>194</v>
      </c>
      <c r="I481" t="s">
        <v>14777</v>
      </c>
      <c r="J481" t="s">
        <v>15132</v>
      </c>
      <c r="K481" t="s">
        <v>15133</v>
      </c>
      <c r="L481" t="s">
        <v>6266</v>
      </c>
      <c r="M481" t="s">
        <v>14887</v>
      </c>
      <c r="N481" t="s">
        <v>14888</v>
      </c>
      <c r="O481" t="s">
        <v>13303</v>
      </c>
      <c r="P481" t="s">
        <v>15134</v>
      </c>
      <c r="Q481" t="s">
        <v>15135</v>
      </c>
      <c r="S481" t="s">
        <v>9309</v>
      </c>
      <c r="T481" t="s">
        <v>9514</v>
      </c>
      <c r="U481" t="s">
        <v>709</v>
      </c>
      <c r="V481" t="s">
        <v>194</v>
      </c>
      <c r="W481" t="s">
        <v>9300</v>
      </c>
      <c r="Z481" t="s">
        <v>9311</v>
      </c>
      <c r="AF481" t="s">
        <v>4714</v>
      </c>
      <c r="AG481" t="s">
        <v>15131</v>
      </c>
      <c r="AI481" t="s">
        <v>6955</v>
      </c>
      <c r="AJ481" s="27" t="str">
        <f t="shared" si="14"/>
        <v>432103</v>
      </c>
      <c r="AK481" s="27">
        <v>1</v>
      </c>
      <c r="AL481" s="27">
        <f t="shared" si="15"/>
        <v>1</v>
      </c>
      <c r="AM481" s="28">
        <v>1</v>
      </c>
    </row>
    <row r="482" spans="1:39" x14ac:dyDescent="0.25">
      <c r="A482" t="s">
        <v>15136</v>
      </c>
      <c r="B482" t="s">
        <v>6772</v>
      </c>
      <c r="C482" t="s">
        <v>100</v>
      </c>
      <c r="D482" s="25" t="s">
        <v>14750</v>
      </c>
      <c r="E482" t="s">
        <v>192</v>
      </c>
      <c r="F482" s="28">
        <v>1</v>
      </c>
      <c r="G482" t="s">
        <v>193</v>
      </c>
      <c r="H482" t="s">
        <v>194</v>
      </c>
      <c r="I482" t="s">
        <v>14777</v>
      </c>
      <c r="J482" t="s">
        <v>4751</v>
      </c>
      <c r="K482" t="s">
        <v>15137</v>
      </c>
      <c r="L482" t="s">
        <v>6266</v>
      </c>
      <c r="M482" t="s">
        <v>14779</v>
      </c>
      <c r="N482" t="s">
        <v>14780</v>
      </c>
      <c r="O482" t="s">
        <v>13125</v>
      </c>
      <c r="P482" t="s">
        <v>15138</v>
      </c>
      <c r="Q482" t="s">
        <v>15139</v>
      </c>
      <c r="S482" t="s">
        <v>9309</v>
      </c>
      <c r="T482" t="s">
        <v>9472</v>
      </c>
      <c r="U482" t="s">
        <v>429</v>
      </c>
      <c r="V482" t="s">
        <v>194</v>
      </c>
      <c r="W482" t="s">
        <v>9300</v>
      </c>
      <c r="Z482" t="s">
        <v>9311</v>
      </c>
      <c r="AF482" t="s">
        <v>4714</v>
      </c>
      <c r="AG482" t="s">
        <v>6772</v>
      </c>
      <c r="AI482" t="s">
        <v>6955</v>
      </c>
      <c r="AJ482" s="27" t="str">
        <f t="shared" si="14"/>
        <v>242108</v>
      </c>
      <c r="AK482" s="27">
        <v>1</v>
      </c>
      <c r="AL482" s="27">
        <f t="shared" si="15"/>
        <v>1</v>
      </c>
      <c r="AM482" s="28">
        <v>1</v>
      </c>
    </row>
    <row r="483" spans="1:39" x14ac:dyDescent="0.25">
      <c r="A483" t="s">
        <v>15140</v>
      </c>
      <c r="B483" t="s">
        <v>15141</v>
      </c>
      <c r="C483" t="s">
        <v>37</v>
      </c>
      <c r="D483" s="25" t="s">
        <v>14750</v>
      </c>
      <c r="E483" t="s">
        <v>192</v>
      </c>
      <c r="F483" s="28">
        <v>1</v>
      </c>
      <c r="G483" t="s">
        <v>193</v>
      </c>
      <c r="H483" t="s">
        <v>194</v>
      </c>
      <c r="I483" t="s">
        <v>14777</v>
      </c>
      <c r="J483" t="s">
        <v>9302</v>
      </c>
      <c r="K483" t="s">
        <v>15142</v>
      </c>
      <c r="L483" t="s">
        <v>6921</v>
      </c>
      <c r="M483" t="s">
        <v>14779</v>
      </c>
      <c r="N483" t="s">
        <v>14780</v>
      </c>
      <c r="O483" t="s">
        <v>13125</v>
      </c>
      <c r="P483" t="s">
        <v>15143</v>
      </c>
      <c r="Q483" t="s">
        <v>15144</v>
      </c>
      <c r="S483" t="s">
        <v>9309</v>
      </c>
      <c r="U483" t="s">
        <v>516</v>
      </c>
      <c r="V483" t="s">
        <v>193</v>
      </c>
      <c r="W483" t="s">
        <v>9310</v>
      </c>
      <c r="Z483" t="s">
        <v>9311</v>
      </c>
      <c r="AF483" t="s">
        <v>4714</v>
      </c>
      <c r="AG483" t="s">
        <v>15141</v>
      </c>
      <c r="AI483" t="s">
        <v>6955</v>
      </c>
      <c r="AJ483" s="27" t="str">
        <f t="shared" si="14"/>
        <v>252302</v>
      </c>
      <c r="AK483" s="27">
        <v>1</v>
      </c>
      <c r="AL483" s="27">
        <f t="shared" si="15"/>
        <v>1</v>
      </c>
      <c r="AM483" s="28">
        <v>1</v>
      </c>
    </row>
    <row r="484" spans="1:39" x14ac:dyDescent="0.25">
      <c r="A484" t="s">
        <v>13415</v>
      </c>
      <c r="B484" t="s">
        <v>15145</v>
      </c>
      <c r="C484" t="s">
        <v>69</v>
      </c>
      <c r="D484" s="25" t="s">
        <v>14750</v>
      </c>
      <c r="E484" t="s">
        <v>192</v>
      </c>
      <c r="F484" s="28">
        <v>1</v>
      </c>
      <c r="G484" t="s">
        <v>193</v>
      </c>
      <c r="H484" t="s">
        <v>194</v>
      </c>
      <c r="I484" t="s">
        <v>14777</v>
      </c>
      <c r="J484" t="s">
        <v>672</v>
      </c>
      <c r="K484" t="s">
        <v>15146</v>
      </c>
      <c r="L484" t="s">
        <v>6275</v>
      </c>
      <c r="M484" t="s">
        <v>14779</v>
      </c>
      <c r="N484" t="s">
        <v>14780</v>
      </c>
      <c r="O484" t="s">
        <v>13125</v>
      </c>
      <c r="P484" t="s">
        <v>15147</v>
      </c>
      <c r="Q484" t="s">
        <v>15148</v>
      </c>
      <c r="S484" t="s">
        <v>9309</v>
      </c>
      <c r="U484" t="s">
        <v>375</v>
      </c>
      <c r="V484" t="s">
        <v>193</v>
      </c>
      <c r="W484" t="s">
        <v>9310</v>
      </c>
      <c r="Z484" t="s">
        <v>9311</v>
      </c>
      <c r="AF484" t="s">
        <v>4714</v>
      </c>
      <c r="AG484" t="s">
        <v>15145</v>
      </c>
      <c r="AI484" t="s">
        <v>6955</v>
      </c>
      <c r="AJ484" s="27" t="str">
        <f t="shared" si="14"/>
        <v>215301</v>
      </c>
      <c r="AK484" s="27">
        <v>1</v>
      </c>
      <c r="AL484" s="27">
        <f t="shared" si="15"/>
        <v>1</v>
      </c>
      <c r="AM484" s="28">
        <v>1</v>
      </c>
    </row>
    <row r="485" spans="1:39" x14ac:dyDescent="0.25">
      <c r="A485" t="s">
        <v>15149</v>
      </c>
      <c r="B485" t="s">
        <v>2113</v>
      </c>
      <c r="C485" t="s">
        <v>727</v>
      </c>
      <c r="D485" s="25" t="s">
        <v>14750</v>
      </c>
      <c r="E485" t="s">
        <v>192</v>
      </c>
      <c r="F485" s="28">
        <v>1</v>
      </c>
      <c r="G485" t="s">
        <v>193</v>
      </c>
      <c r="H485" t="s">
        <v>194</v>
      </c>
      <c r="I485" t="s">
        <v>14788</v>
      </c>
      <c r="J485" t="s">
        <v>253</v>
      </c>
      <c r="K485" t="s">
        <v>15150</v>
      </c>
      <c r="L485" t="s">
        <v>6343</v>
      </c>
      <c r="M485" t="s">
        <v>15025</v>
      </c>
      <c r="N485" t="s">
        <v>14780</v>
      </c>
      <c r="O485" t="s">
        <v>13125</v>
      </c>
      <c r="P485" t="s">
        <v>15151</v>
      </c>
      <c r="Q485" t="s">
        <v>15152</v>
      </c>
      <c r="S485" t="s">
        <v>9309</v>
      </c>
      <c r="T485" t="s">
        <v>9468</v>
      </c>
      <c r="U485" t="s">
        <v>728</v>
      </c>
      <c r="V485" t="s">
        <v>194</v>
      </c>
      <c r="W485" t="s">
        <v>9300</v>
      </c>
      <c r="Z485" t="s">
        <v>9311</v>
      </c>
      <c r="AF485" t="s">
        <v>4714</v>
      </c>
      <c r="AG485" t="s">
        <v>2113</v>
      </c>
      <c r="AI485" t="s">
        <v>6955</v>
      </c>
      <c r="AJ485" s="27" t="str">
        <f t="shared" si="14"/>
        <v>512001</v>
      </c>
      <c r="AK485" s="27">
        <v>1</v>
      </c>
      <c r="AL485" s="27">
        <f t="shared" si="15"/>
        <v>1</v>
      </c>
      <c r="AM485" s="28">
        <v>1</v>
      </c>
    </row>
    <row r="486" spans="1:39" x14ac:dyDescent="0.25">
      <c r="A486" t="s">
        <v>3956</v>
      </c>
      <c r="B486" t="s">
        <v>15153</v>
      </c>
      <c r="C486" t="s">
        <v>17</v>
      </c>
      <c r="D486" s="25" t="s">
        <v>14750</v>
      </c>
      <c r="E486" t="s">
        <v>192</v>
      </c>
      <c r="F486" s="28">
        <v>1</v>
      </c>
      <c r="G486" t="s">
        <v>194</v>
      </c>
      <c r="H486" t="s">
        <v>193</v>
      </c>
      <c r="I486" t="s">
        <v>14777</v>
      </c>
      <c r="J486" t="s">
        <v>210</v>
      </c>
      <c r="K486" t="s">
        <v>15154</v>
      </c>
      <c r="L486" t="s">
        <v>6245</v>
      </c>
      <c r="M486" t="s">
        <v>14779</v>
      </c>
      <c r="N486" t="s">
        <v>14780</v>
      </c>
      <c r="O486" t="s">
        <v>13125</v>
      </c>
      <c r="P486" t="s">
        <v>15155</v>
      </c>
      <c r="Q486" t="s">
        <v>15156</v>
      </c>
      <c r="S486" t="s">
        <v>9309</v>
      </c>
      <c r="T486" t="s">
        <v>9334</v>
      </c>
      <c r="U486" t="s">
        <v>624</v>
      </c>
      <c r="V486" t="s">
        <v>194</v>
      </c>
      <c r="W486" t="s">
        <v>9300</v>
      </c>
      <c r="Z486" t="s">
        <v>9311</v>
      </c>
      <c r="AF486" t="s">
        <v>4714</v>
      </c>
      <c r="AG486" t="s">
        <v>15153</v>
      </c>
      <c r="AI486" t="s">
        <v>6955</v>
      </c>
      <c r="AJ486" s="27" t="str">
        <f t="shared" si="14"/>
        <v>332203</v>
      </c>
      <c r="AK486" s="27">
        <v>1</v>
      </c>
      <c r="AL486" s="27">
        <f t="shared" si="15"/>
        <v>1</v>
      </c>
      <c r="AM486" s="28">
        <v>1</v>
      </c>
    </row>
    <row r="487" spans="1:39" x14ac:dyDescent="0.25">
      <c r="A487" t="s">
        <v>15157</v>
      </c>
      <c r="B487" t="s">
        <v>67</v>
      </c>
      <c r="C487" t="s">
        <v>67</v>
      </c>
      <c r="D487" s="25" t="s">
        <v>14750</v>
      </c>
      <c r="E487" t="s">
        <v>192</v>
      </c>
      <c r="F487" s="28">
        <v>1</v>
      </c>
      <c r="G487" t="s">
        <v>193</v>
      </c>
      <c r="H487" t="s">
        <v>194</v>
      </c>
      <c r="I487" t="s">
        <v>14788</v>
      </c>
      <c r="J487" t="s">
        <v>210</v>
      </c>
      <c r="K487" t="s">
        <v>15158</v>
      </c>
      <c r="L487" t="s">
        <v>6275</v>
      </c>
      <c r="M487" t="s">
        <v>14779</v>
      </c>
      <c r="N487" t="s">
        <v>14780</v>
      </c>
      <c r="O487" t="s">
        <v>13125</v>
      </c>
      <c r="P487" t="s">
        <v>15159</v>
      </c>
      <c r="Q487" t="s">
        <v>15160</v>
      </c>
      <c r="S487" t="s">
        <v>9309</v>
      </c>
      <c r="T487" t="s">
        <v>9334</v>
      </c>
      <c r="U487" t="s">
        <v>709</v>
      </c>
      <c r="V487" t="s">
        <v>194</v>
      </c>
      <c r="W487" t="s">
        <v>9300</v>
      </c>
      <c r="Z487" t="s">
        <v>9311</v>
      </c>
      <c r="AF487" t="s">
        <v>4714</v>
      </c>
      <c r="AG487" t="s">
        <v>67</v>
      </c>
      <c r="AI487" t="s">
        <v>6955</v>
      </c>
      <c r="AJ487" s="27" t="str">
        <f t="shared" si="14"/>
        <v>432103</v>
      </c>
      <c r="AK487" s="27">
        <v>1</v>
      </c>
      <c r="AL487" s="27">
        <f t="shared" si="15"/>
        <v>1</v>
      </c>
      <c r="AM487" s="28">
        <v>1</v>
      </c>
    </row>
    <row r="488" spans="1:39" x14ac:dyDescent="0.25">
      <c r="A488" t="s">
        <v>690</v>
      </c>
      <c r="B488" t="s">
        <v>15161</v>
      </c>
      <c r="C488" t="s">
        <v>37</v>
      </c>
      <c r="D488" s="25" t="s">
        <v>14750</v>
      </c>
      <c r="E488" t="s">
        <v>192</v>
      </c>
      <c r="F488" s="28">
        <v>1</v>
      </c>
      <c r="G488" t="s">
        <v>193</v>
      </c>
      <c r="H488" t="s">
        <v>194</v>
      </c>
      <c r="I488" t="s">
        <v>14777</v>
      </c>
      <c r="J488" t="s">
        <v>9302</v>
      </c>
      <c r="K488" t="s">
        <v>15162</v>
      </c>
      <c r="L488" t="s">
        <v>6921</v>
      </c>
      <c r="M488" t="s">
        <v>14779</v>
      </c>
      <c r="N488" t="s">
        <v>14780</v>
      </c>
      <c r="O488" t="s">
        <v>13125</v>
      </c>
      <c r="P488" t="s">
        <v>15163</v>
      </c>
      <c r="Q488" t="s">
        <v>15164</v>
      </c>
      <c r="S488" t="s">
        <v>9309</v>
      </c>
      <c r="U488" t="s">
        <v>516</v>
      </c>
      <c r="V488" t="s">
        <v>193</v>
      </c>
      <c r="W488" t="s">
        <v>9310</v>
      </c>
      <c r="Z488" t="s">
        <v>9311</v>
      </c>
      <c r="AF488" t="s">
        <v>4714</v>
      </c>
      <c r="AG488" t="s">
        <v>15161</v>
      </c>
      <c r="AI488" t="s">
        <v>6955</v>
      </c>
      <c r="AJ488" s="27" t="str">
        <f t="shared" si="14"/>
        <v>252302</v>
      </c>
      <c r="AK488" s="27">
        <v>1</v>
      </c>
      <c r="AL488" s="27">
        <f t="shared" si="15"/>
        <v>1</v>
      </c>
      <c r="AM488" s="28">
        <v>1</v>
      </c>
    </row>
    <row r="489" spans="1:39" x14ac:dyDescent="0.25">
      <c r="A489" t="s">
        <v>690</v>
      </c>
      <c r="B489" t="s">
        <v>15165</v>
      </c>
      <c r="C489" t="s">
        <v>69</v>
      </c>
      <c r="D489" s="25" t="s">
        <v>14750</v>
      </c>
      <c r="E489" t="s">
        <v>192</v>
      </c>
      <c r="F489" s="28">
        <v>1</v>
      </c>
      <c r="G489" t="s">
        <v>193</v>
      </c>
      <c r="H489" t="s">
        <v>194</v>
      </c>
      <c r="I489" t="s">
        <v>14788</v>
      </c>
      <c r="J489" t="s">
        <v>9302</v>
      </c>
      <c r="K489" t="s">
        <v>15166</v>
      </c>
      <c r="L489" t="s">
        <v>6921</v>
      </c>
      <c r="M489" t="s">
        <v>14779</v>
      </c>
      <c r="N489" t="s">
        <v>14780</v>
      </c>
      <c r="O489" t="s">
        <v>13303</v>
      </c>
      <c r="P489" t="s">
        <v>15167</v>
      </c>
      <c r="Q489" t="s">
        <v>15168</v>
      </c>
      <c r="S489" t="s">
        <v>9309</v>
      </c>
      <c r="U489" t="s">
        <v>375</v>
      </c>
      <c r="V489" t="s">
        <v>193</v>
      </c>
      <c r="W489" t="s">
        <v>9310</v>
      </c>
      <c r="Z489" t="s">
        <v>9311</v>
      </c>
      <c r="AF489" t="s">
        <v>4714</v>
      </c>
      <c r="AG489" t="s">
        <v>15165</v>
      </c>
      <c r="AI489" t="s">
        <v>6955</v>
      </c>
      <c r="AJ489" s="27" t="str">
        <f t="shared" si="14"/>
        <v>215301</v>
      </c>
      <c r="AK489" s="27">
        <v>1</v>
      </c>
      <c r="AL489" s="27">
        <f t="shared" si="15"/>
        <v>1</v>
      </c>
      <c r="AM489" s="28">
        <v>1</v>
      </c>
    </row>
    <row r="490" spans="1:39" x14ac:dyDescent="0.25">
      <c r="A490" t="s">
        <v>15169</v>
      </c>
      <c r="B490" t="s">
        <v>15170</v>
      </c>
      <c r="C490" t="s">
        <v>15171</v>
      </c>
      <c r="D490" s="25" t="s">
        <v>14750</v>
      </c>
      <c r="E490" t="s">
        <v>192</v>
      </c>
      <c r="F490" s="28">
        <v>1</v>
      </c>
      <c r="G490" t="s">
        <v>193</v>
      </c>
      <c r="H490" t="s">
        <v>194</v>
      </c>
      <c r="I490" t="s">
        <v>14777</v>
      </c>
      <c r="J490" t="s">
        <v>210</v>
      </c>
      <c r="K490" t="s">
        <v>15172</v>
      </c>
      <c r="L490" t="s">
        <v>6286</v>
      </c>
      <c r="M490" t="s">
        <v>14779</v>
      </c>
      <c r="N490" t="s">
        <v>14780</v>
      </c>
      <c r="O490" t="s">
        <v>13125</v>
      </c>
      <c r="P490" t="s">
        <v>15173</v>
      </c>
      <c r="Q490" t="s">
        <v>15174</v>
      </c>
      <c r="S490" t="s">
        <v>9309</v>
      </c>
      <c r="T490" t="s">
        <v>9334</v>
      </c>
      <c r="U490" t="s">
        <v>15175</v>
      </c>
      <c r="V490" t="s">
        <v>194</v>
      </c>
      <c r="W490" t="s">
        <v>9300</v>
      </c>
      <c r="Z490" t="s">
        <v>9311</v>
      </c>
      <c r="AF490" t="s">
        <v>4714</v>
      </c>
      <c r="AG490" t="s">
        <v>15170</v>
      </c>
      <c r="AI490" t="s">
        <v>6955</v>
      </c>
      <c r="AJ490" s="27" t="str">
        <f t="shared" si="14"/>
        <v>252390</v>
      </c>
      <c r="AK490" s="27">
        <v>1</v>
      </c>
      <c r="AL490" s="27">
        <f t="shared" si="15"/>
        <v>1</v>
      </c>
      <c r="AM490" s="28">
        <v>1</v>
      </c>
    </row>
    <row r="491" spans="1:39" x14ac:dyDescent="0.25">
      <c r="A491" t="s">
        <v>15176</v>
      </c>
      <c r="B491" t="s">
        <v>5106</v>
      </c>
      <c r="C491" t="s">
        <v>2861</v>
      </c>
      <c r="D491" s="25" t="s">
        <v>14750</v>
      </c>
      <c r="E491" t="s">
        <v>192</v>
      </c>
      <c r="F491" s="28">
        <v>1</v>
      </c>
      <c r="G491" t="s">
        <v>193</v>
      </c>
      <c r="H491" t="s">
        <v>194</v>
      </c>
      <c r="I491" t="s">
        <v>14788</v>
      </c>
      <c r="J491" t="s">
        <v>276</v>
      </c>
      <c r="K491" t="s">
        <v>15177</v>
      </c>
      <c r="L491" t="s">
        <v>6261</v>
      </c>
      <c r="M491" t="s">
        <v>14779</v>
      </c>
      <c r="N491" t="s">
        <v>14780</v>
      </c>
      <c r="O491" t="s">
        <v>13125</v>
      </c>
      <c r="P491" t="s">
        <v>15178</v>
      </c>
      <c r="Q491" t="s">
        <v>15179</v>
      </c>
      <c r="S491" t="s">
        <v>9309</v>
      </c>
      <c r="T491" t="s">
        <v>9786</v>
      </c>
      <c r="U491" t="s">
        <v>3629</v>
      </c>
      <c r="V491" t="s">
        <v>194</v>
      </c>
      <c r="W491" t="s">
        <v>9300</v>
      </c>
      <c r="Z491" t="s">
        <v>9311</v>
      </c>
      <c r="AF491" t="s">
        <v>4714</v>
      </c>
      <c r="AG491" t="s">
        <v>5106</v>
      </c>
      <c r="AI491" t="s">
        <v>6955</v>
      </c>
      <c r="AJ491" s="27" t="str">
        <f t="shared" si="14"/>
        <v>251903</v>
      </c>
      <c r="AK491" s="27">
        <v>1</v>
      </c>
      <c r="AL491" s="27">
        <f t="shared" si="15"/>
        <v>1</v>
      </c>
      <c r="AM491" s="28">
        <v>1</v>
      </c>
    </row>
    <row r="492" spans="1:39" x14ac:dyDescent="0.25">
      <c r="A492" t="s">
        <v>15180</v>
      </c>
      <c r="B492" t="s">
        <v>15181</v>
      </c>
      <c r="C492" t="s">
        <v>6617</v>
      </c>
      <c r="D492" s="25" t="s">
        <v>14750</v>
      </c>
      <c r="E492" t="s">
        <v>192</v>
      </c>
      <c r="F492" s="28">
        <v>1</v>
      </c>
      <c r="G492" t="s">
        <v>193</v>
      </c>
      <c r="H492" t="s">
        <v>194</v>
      </c>
      <c r="I492" t="s">
        <v>14777</v>
      </c>
      <c r="J492" t="s">
        <v>9302</v>
      </c>
      <c r="K492" t="s">
        <v>15182</v>
      </c>
      <c r="L492" t="s">
        <v>6266</v>
      </c>
      <c r="M492" t="s">
        <v>14779</v>
      </c>
      <c r="N492" t="s">
        <v>14780</v>
      </c>
      <c r="O492" t="s">
        <v>13125</v>
      </c>
      <c r="P492" t="s">
        <v>15183</v>
      </c>
      <c r="Q492" t="s">
        <v>15184</v>
      </c>
      <c r="S492" t="s">
        <v>9309</v>
      </c>
      <c r="U492" t="s">
        <v>990</v>
      </c>
      <c r="V492" t="s">
        <v>193</v>
      </c>
      <c r="W492" t="s">
        <v>9310</v>
      </c>
      <c r="Z492" t="s">
        <v>9311</v>
      </c>
      <c r="AF492" t="s">
        <v>4714</v>
      </c>
      <c r="AG492" t="s">
        <v>15181</v>
      </c>
      <c r="AI492" t="s">
        <v>6955</v>
      </c>
      <c r="AJ492" s="27" t="str">
        <f t="shared" si="14"/>
        <v>833202</v>
      </c>
      <c r="AK492" s="27">
        <v>1</v>
      </c>
      <c r="AL492" s="27">
        <f t="shared" si="15"/>
        <v>1</v>
      </c>
      <c r="AM492" s="28">
        <v>1</v>
      </c>
    </row>
    <row r="493" spans="1:39" x14ac:dyDescent="0.25">
      <c r="A493" t="s">
        <v>15185</v>
      </c>
      <c r="B493" t="s">
        <v>15186</v>
      </c>
      <c r="C493" t="s">
        <v>2966</v>
      </c>
      <c r="D493" s="25" t="s">
        <v>14750</v>
      </c>
      <c r="E493" t="s">
        <v>192</v>
      </c>
      <c r="F493" s="28">
        <v>1</v>
      </c>
      <c r="G493" t="s">
        <v>193</v>
      </c>
      <c r="H493" t="s">
        <v>194</v>
      </c>
      <c r="I493" t="s">
        <v>14788</v>
      </c>
      <c r="J493" t="s">
        <v>276</v>
      </c>
      <c r="K493" t="s">
        <v>15187</v>
      </c>
      <c r="L493" t="s">
        <v>6290</v>
      </c>
      <c r="M493" t="s">
        <v>14779</v>
      </c>
      <c r="N493" t="s">
        <v>14780</v>
      </c>
      <c r="O493" t="s">
        <v>13125</v>
      </c>
      <c r="P493" t="s">
        <v>15188</v>
      </c>
      <c r="Q493" t="s">
        <v>15189</v>
      </c>
      <c r="S493" t="s">
        <v>9309</v>
      </c>
      <c r="T493" t="s">
        <v>9786</v>
      </c>
      <c r="U493" t="s">
        <v>15190</v>
      </c>
      <c r="V493" t="s">
        <v>194</v>
      </c>
      <c r="W493" t="s">
        <v>9300</v>
      </c>
      <c r="Z493" t="s">
        <v>9311</v>
      </c>
      <c r="AF493" t="s">
        <v>4714</v>
      </c>
      <c r="AG493" t="s">
        <v>15186</v>
      </c>
      <c r="AI493" t="s">
        <v>6955</v>
      </c>
      <c r="AJ493" s="27" t="str">
        <f t="shared" si="14"/>
        <v>522304</v>
      </c>
      <c r="AK493" s="27">
        <v>1</v>
      </c>
      <c r="AL493" s="27">
        <f t="shared" si="15"/>
        <v>1</v>
      </c>
      <c r="AM493" s="28">
        <v>1</v>
      </c>
    </row>
    <row r="494" spans="1:39" x14ac:dyDescent="0.25">
      <c r="A494" t="s">
        <v>198</v>
      </c>
      <c r="B494" t="s">
        <v>15191</v>
      </c>
      <c r="C494" t="s">
        <v>13382</v>
      </c>
      <c r="D494" s="25" t="s">
        <v>14750</v>
      </c>
      <c r="E494" t="s">
        <v>192</v>
      </c>
      <c r="F494" s="28">
        <v>1</v>
      </c>
      <c r="G494" t="s">
        <v>193</v>
      </c>
      <c r="H494" t="s">
        <v>194</v>
      </c>
      <c r="I494" t="s">
        <v>14788</v>
      </c>
      <c r="J494" t="s">
        <v>202</v>
      </c>
      <c r="K494" t="s">
        <v>15192</v>
      </c>
      <c r="L494" t="s">
        <v>7531</v>
      </c>
      <c r="M494" t="s">
        <v>14779</v>
      </c>
      <c r="N494" t="s">
        <v>14780</v>
      </c>
      <c r="O494" t="s">
        <v>13125</v>
      </c>
      <c r="P494" t="s">
        <v>15193</v>
      </c>
      <c r="Q494" t="s">
        <v>15194</v>
      </c>
      <c r="S494" t="s">
        <v>9309</v>
      </c>
      <c r="T494" t="s">
        <v>9856</v>
      </c>
      <c r="U494" t="s">
        <v>13387</v>
      </c>
      <c r="V494" t="s">
        <v>194</v>
      </c>
      <c r="W494" t="s">
        <v>9300</v>
      </c>
      <c r="Z494" t="s">
        <v>9311</v>
      </c>
      <c r="AF494" t="s">
        <v>4714</v>
      </c>
      <c r="AG494" t="s">
        <v>15191</v>
      </c>
      <c r="AI494" t="s">
        <v>6955</v>
      </c>
      <c r="AJ494" s="27" t="str">
        <f t="shared" si="14"/>
        <v>431102</v>
      </c>
      <c r="AK494" s="27">
        <v>1</v>
      </c>
      <c r="AL494" s="27">
        <f t="shared" si="15"/>
        <v>1</v>
      </c>
      <c r="AM494" s="28">
        <v>1</v>
      </c>
    </row>
    <row r="495" spans="1:39" x14ac:dyDescent="0.25">
      <c r="A495" t="s">
        <v>9858</v>
      </c>
      <c r="B495" t="s">
        <v>15195</v>
      </c>
      <c r="C495" t="s">
        <v>43</v>
      </c>
      <c r="D495" s="25" t="s">
        <v>14750</v>
      </c>
      <c r="E495" t="s">
        <v>192</v>
      </c>
      <c r="F495" s="28">
        <v>1</v>
      </c>
      <c r="G495" t="s">
        <v>193</v>
      </c>
      <c r="H495" t="s">
        <v>194</v>
      </c>
      <c r="I495" t="s">
        <v>14788</v>
      </c>
      <c r="J495" t="s">
        <v>210</v>
      </c>
      <c r="K495" t="s">
        <v>15196</v>
      </c>
      <c r="L495" t="s">
        <v>6290</v>
      </c>
      <c r="M495" t="s">
        <v>14779</v>
      </c>
      <c r="N495" t="s">
        <v>14780</v>
      </c>
      <c r="O495" t="s">
        <v>13125</v>
      </c>
      <c r="P495" t="s">
        <v>15197</v>
      </c>
      <c r="Q495" t="s">
        <v>15198</v>
      </c>
      <c r="S495" t="s">
        <v>9309</v>
      </c>
      <c r="T495" t="s">
        <v>9334</v>
      </c>
      <c r="U495" t="s">
        <v>452</v>
      </c>
      <c r="V495" t="s">
        <v>194</v>
      </c>
      <c r="W495" t="s">
        <v>9300</v>
      </c>
      <c r="Z495" t="s">
        <v>9311</v>
      </c>
      <c r="AF495" t="s">
        <v>4714</v>
      </c>
      <c r="AG495" t="s">
        <v>15195</v>
      </c>
      <c r="AI495" t="s">
        <v>6955</v>
      </c>
      <c r="AJ495" s="27" t="str">
        <f t="shared" si="14"/>
        <v>243106</v>
      </c>
      <c r="AK495" s="27">
        <v>1</v>
      </c>
      <c r="AL495" s="27">
        <f t="shared" si="15"/>
        <v>1</v>
      </c>
      <c r="AM495" s="28">
        <v>1</v>
      </c>
    </row>
    <row r="496" spans="1:39" x14ac:dyDescent="0.25">
      <c r="A496" t="s">
        <v>13500</v>
      </c>
      <c r="B496" t="s">
        <v>15199</v>
      </c>
      <c r="C496" t="s">
        <v>122</v>
      </c>
      <c r="D496" s="25" t="s">
        <v>14750</v>
      </c>
      <c r="E496" t="s">
        <v>192</v>
      </c>
      <c r="F496" s="28">
        <v>1</v>
      </c>
      <c r="G496" t="s">
        <v>193</v>
      </c>
      <c r="H496" t="s">
        <v>194</v>
      </c>
      <c r="I496" t="s">
        <v>14022</v>
      </c>
      <c r="J496" t="s">
        <v>210</v>
      </c>
      <c r="K496" t="s">
        <v>15200</v>
      </c>
      <c r="L496" t="s">
        <v>7489</v>
      </c>
      <c r="M496" t="s">
        <v>14779</v>
      </c>
      <c r="N496" t="s">
        <v>14780</v>
      </c>
      <c r="O496" t="s">
        <v>13125</v>
      </c>
      <c r="P496" t="s">
        <v>15201</v>
      </c>
      <c r="Q496" t="s">
        <v>15202</v>
      </c>
      <c r="S496" t="s">
        <v>9309</v>
      </c>
      <c r="T496" t="s">
        <v>9334</v>
      </c>
      <c r="U496" t="s">
        <v>655</v>
      </c>
      <c r="V496" t="s">
        <v>194</v>
      </c>
      <c r="W496" t="s">
        <v>9300</v>
      </c>
      <c r="Z496" t="s">
        <v>9311</v>
      </c>
      <c r="AF496" t="s">
        <v>4714</v>
      </c>
      <c r="AG496" t="s">
        <v>15199</v>
      </c>
      <c r="AI496" t="s">
        <v>6955</v>
      </c>
      <c r="AJ496" s="27" t="str">
        <f t="shared" si="14"/>
        <v>332301</v>
      </c>
      <c r="AK496" s="27">
        <v>1</v>
      </c>
      <c r="AL496" s="27">
        <f t="shared" si="15"/>
        <v>1</v>
      </c>
      <c r="AM496" s="28">
        <v>1</v>
      </c>
    </row>
    <row r="497" spans="1:39" x14ac:dyDescent="0.25">
      <c r="A497" t="s">
        <v>15203</v>
      </c>
      <c r="B497" t="s">
        <v>1598</v>
      </c>
      <c r="C497" t="s">
        <v>444</v>
      </c>
      <c r="D497" s="25" t="s">
        <v>14750</v>
      </c>
      <c r="E497" t="s">
        <v>192</v>
      </c>
      <c r="F497" s="28">
        <v>1</v>
      </c>
      <c r="G497" t="s">
        <v>193</v>
      </c>
      <c r="H497" t="s">
        <v>194</v>
      </c>
      <c r="I497" t="s">
        <v>14022</v>
      </c>
      <c r="J497" t="s">
        <v>9302</v>
      </c>
      <c r="K497" t="s">
        <v>15204</v>
      </c>
      <c r="L497" t="s">
        <v>6245</v>
      </c>
      <c r="M497" t="s">
        <v>14779</v>
      </c>
      <c r="N497" t="s">
        <v>14780</v>
      </c>
      <c r="O497" t="s">
        <v>13125</v>
      </c>
      <c r="P497" t="s">
        <v>15205</v>
      </c>
      <c r="Q497" t="s">
        <v>15206</v>
      </c>
      <c r="S497" t="s">
        <v>9309</v>
      </c>
      <c r="U497" t="s">
        <v>445</v>
      </c>
      <c r="V497" t="s">
        <v>193</v>
      </c>
      <c r="W497" t="s">
        <v>9310</v>
      </c>
      <c r="Z497" t="s">
        <v>9311</v>
      </c>
      <c r="AF497" t="s">
        <v>4714</v>
      </c>
      <c r="AG497" t="s">
        <v>1598</v>
      </c>
      <c r="AI497" t="s">
        <v>6955</v>
      </c>
      <c r="AJ497" s="27" t="str">
        <f t="shared" si="14"/>
        <v>243103</v>
      </c>
      <c r="AK497" s="27">
        <v>1</v>
      </c>
      <c r="AL497" s="27">
        <f t="shared" si="15"/>
        <v>1</v>
      </c>
      <c r="AM497" s="28">
        <v>1</v>
      </c>
    </row>
    <row r="498" spans="1:39" x14ac:dyDescent="0.25">
      <c r="A498" t="s">
        <v>15207</v>
      </c>
      <c r="B498" t="s">
        <v>15208</v>
      </c>
      <c r="C498" t="s">
        <v>19</v>
      </c>
      <c r="D498" s="25" t="s">
        <v>14750</v>
      </c>
      <c r="E498" t="s">
        <v>192</v>
      </c>
      <c r="F498" s="28">
        <v>1</v>
      </c>
      <c r="G498" t="s">
        <v>193</v>
      </c>
      <c r="H498" t="s">
        <v>194</v>
      </c>
      <c r="I498" t="s">
        <v>14777</v>
      </c>
      <c r="J498" t="s">
        <v>9302</v>
      </c>
      <c r="K498" t="s">
        <v>15209</v>
      </c>
      <c r="L498" t="s">
        <v>6258</v>
      </c>
      <c r="M498" t="s">
        <v>14779</v>
      </c>
      <c r="N498" t="s">
        <v>14780</v>
      </c>
      <c r="O498" t="s">
        <v>13125</v>
      </c>
      <c r="P498" t="s">
        <v>15210</v>
      </c>
      <c r="Q498" t="s">
        <v>15211</v>
      </c>
      <c r="S498" t="s">
        <v>9309</v>
      </c>
      <c r="U498" t="s">
        <v>337</v>
      </c>
      <c r="V498" t="s">
        <v>193</v>
      </c>
      <c r="W498" t="s">
        <v>9310</v>
      </c>
      <c r="Z498" t="s">
        <v>9311</v>
      </c>
      <c r="AF498" t="s">
        <v>4714</v>
      </c>
      <c r="AG498" t="s">
        <v>15208</v>
      </c>
      <c r="AI498" t="s">
        <v>6955</v>
      </c>
      <c r="AJ498" s="27" t="str">
        <f t="shared" si="14"/>
        <v>214903</v>
      </c>
      <c r="AK498" s="27">
        <v>1</v>
      </c>
      <c r="AL498" s="27">
        <f t="shared" si="15"/>
        <v>1</v>
      </c>
      <c r="AM498" s="28">
        <v>1</v>
      </c>
    </row>
    <row r="499" spans="1:39" x14ac:dyDescent="0.25">
      <c r="A499" t="s">
        <v>15212</v>
      </c>
      <c r="B499" t="s">
        <v>15213</v>
      </c>
      <c r="C499" t="s">
        <v>9798</v>
      </c>
      <c r="D499" s="25" t="s">
        <v>14750</v>
      </c>
      <c r="E499" t="s">
        <v>192</v>
      </c>
      <c r="F499" s="28">
        <v>1</v>
      </c>
      <c r="G499" t="s">
        <v>193</v>
      </c>
      <c r="H499" t="s">
        <v>194</v>
      </c>
      <c r="I499" t="s">
        <v>14777</v>
      </c>
      <c r="J499" t="s">
        <v>210</v>
      </c>
      <c r="K499" t="s">
        <v>15214</v>
      </c>
      <c r="L499" t="s">
        <v>7531</v>
      </c>
      <c r="M499" t="s">
        <v>14779</v>
      </c>
      <c r="N499" t="s">
        <v>14780</v>
      </c>
      <c r="O499" t="s">
        <v>13125</v>
      </c>
      <c r="P499" t="s">
        <v>15215</v>
      </c>
      <c r="Q499" t="s">
        <v>15216</v>
      </c>
      <c r="S499" t="s">
        <v>9309</v>
      </c>
      <c r="T499" t="s">
        <v>9334</v>
      </c>
      <c r="U499" t="s">
        <v>1592</v>
      </c>
      <c r="V499" t="s">
        <v>194</v>
      </c>
      <c r="W499" t="s">
        <v>9300</v>
      </c>
      <c r="Z499" t="s">
        <v>9311</v>
      </c>
      <c r="AF499" t="s">
        <v>4714</v>
      </c>
      <c r="AG499" t="s">
        <v>15213</v>
      </c>
      <c r="AI499" t="s">
        <v>6955</v>
      </c>
      <c r="AJ499" s="27" t="str">
        <f t="shared" si="14"/>
        <v>241103</v>
      </c>
      <c r="AK499" s="27">
        <v>1</v>
      </c>
      <c r="AL499" s="27">
        <f t="shared" si="15"/>
        <v>1</v>
      </c>
      <c r="AM499" s="28">
        <v>1</v>
      </c>
    </row>
    <row r="500" spans="1:39" x14ac:dyDescent="0.25">
      <c r="A500" t="s">
        <v>15217</v>
      </c>
      <c r="B500" t="s">
        <v>15218</v>
      </c>
      <c r="C500" t="s">
        <v>117</v>
      </c>
      <c r="D500" s="25" t="s">
        <v>14750</v>
      </c>
      <c r="E500" t="s">
        <v>192</v>
      </c>
      <c r="F500" s="28">
        <v>1</v>
      </c>
      <c r="G500" t="s">
        <v>193</v>
      </c>
      <c r="H500" t="s">
        <v>194</v>
      </c>
      <c r="I500" t="s">
        <v>14777</v>
      </c>
      <c r="J500" t="s">
        <v>9302</v>
      </c>
      <c r="K500" t="s">
        <v>15219</v>
      </c>
      <c r="L500" t="s">
        <v>6254</v>
      </c>
      <c r="M500" t="s">
        <v>15114</v>
      </c>
      <c r="N500" t="s">
        <v>4849</v>
      </c>
      <c r="O500" t="s">
        <v>7703</v>
      </c>
      <c r="P500" t="s">
        <v>15220</v>
      </c>
      <c r="Q500" t="s">
        <v>15221</v>
      </c>
      <c r="S500" t="s">
        <v>9309</v>
      </c>
      <c r="U500" t="s">
        <v>2242</v>
      </c>
      <c r="V500" t="s">
        <v>193</v>
      </c>
      <c r="W500" t="s">
        <v>9310</v>
      </c>
      <c r="Z500" t="s">
        <v>9311</v>
      </c>
      <c r="AF500" t="s">
        <v>4714</v>
      </c>
      <c r="AG500" t="s">
        <v>15218</v>
      </c>
      <c r="AI500" t="s">
        <v>6955</v>
      </c>
      <c r="AJ500" s="27" t="str">
        <f t="shared" si="14"/>
        <v>431301</v>
      </c>
      <c r="AK500" s="27">
        <v>1</v>
      </c>
      <c r="AL500" s="27">
        <f t="shared" si="15"/>
        <v>1</v>
      </c>
      <c r="AM500" s="28">
        <v>1</v>
      </c>
    </row>
    <row r="501" spans="1:39" x14ac:dyDescent="0.25">
      <c r="A501" t="s">
        <v>15222</v>
      </c>
      <c r="B501" t="s">
        <v>467</v>
      </c>
      <c r="C501" t="s">
        <v>468</v>
      </c>
      <c r="D501" s="25" t="s">
        <v>14750</v>
      </c>
      <c r="E501" t="s">
        <v>192</v>
      </c>
      <c r="F501" s="28">
        <v>1</v>
      </c>
      <c r="G501" t="s">
        <v>193</v>
      </c>
      <c r="H501" t="s">
        <v>194</v>
      </c>
      <c r="I501" t="s">
        <v>14788</v>
      </c>
      <c r="J501" t="s">
        <v>9302</v>
      </c>
      <c r="K501" t="s">
        <v>15223</v>
      </c>
      <c r="L501" t="s">
        <v>6288</v>
      </c>
      <c r="M501" t="s">
        <v>14779</v>
      </c>
      <c r="N501" t="s">
        <v>14780</v>
      </c>
      <c r="O501" t="s">
        <v>13125</v>
      </c>
      <c r="P501" t="s">
        <v>15224</v>
      </c>
      <c r="Q501" t="s">
        <v>15225</v>
      </c>
      <c r="S501" t="s">
        <v>9309</v>
      </c>
      <c r="U501" t="s">
        <v>469</v>
      </c>
      <c r="V501" t="s">
        <v>193</v>
      </c>
      <c r="W501" t="s">
        <v>9310</v>
      </c>
      <c r="Z501" t="s">
        <v>9311</v>
      </c>
      <c r="AF501" t="s">
        <v>4714</v>
      </c>
      <c r="AG501" t="s">
        <v>467</v>
      </c>
      <c r="AI501" t="s">
        <v>6955</v>
      </c>
      <c r="AJ501" s="27" t="str">
        <f t="shared" si="14"/>
        <v>243303</v>
      </c>
      <c r="AK501" s="27">
        <v>1</v>
      </c>
      <c r="AL501" s="27">
        <f t="shared" si="15"/>
        <v>1</v>
      </c>
      <c r="AM501" s="28">
        <v>1</v>
      </c>
    </row>
    <row r="502" spans="1:39" x14ac:dyDescent="0.25">
      <c r="A502" t="s">
        <v>15226</v>
      </c>
      <c r="B502" t="s">
        <v>15227</v>
      </c>
      <c r="C502" t="s">
        <v>883</v>
      </c>
      <c r="D502" s="25" t="s">
        <v>14750</v>
      </c>
      <c r="E502" t="s">
        <v>233</v>
      </c>
      <c r="F502" s="28">
        <v>1</v>
      </c>
      <c r="G502" t="s">
        <v>193</v>
      </c>
      <c r="H502" t="s">
        <v>194</v>
      </c>
      <c r="I502" t="s">
        <v>14788</v>
      </c>
      <c r="J502" t="s">
        <v>14627</v>
      </c>
      <c r="K502" t="s">
        <v>15228</v>
      </c>
      <c r="L502" t="s">
        <v>6275</v>
      </c>
      <c r="M502" t="s">
        <v>14887</v>
      </c>
      <c r="N502" t="s">
        <v>14888</v>
      </c>
      <c r="O502" t="s">
        <v>13303</v>
      </c>
      <c r="P502" t="s">
        <v>15229</v>
      </c>
      <c r="Q502" t="s">
        <v>15230</v>
      </c>
      <c r="S502" t="s">
        <v>9309</v>
      </c>
      <c r="T502" s="492" t="s">
        <v>15231</v>
      </c>
      <c r="U502" t="s">
        <v>884</v>
      </c>
      <c r="V502" t="s">
        <v>194</v>
      </c>
      <c r="W502" t="s">
        <v>14632</v>
      </c>
      <c r="Z502" t="s">
        <v>9311</v>
      </c>
      <c r="AF502" t="s">
        <v>4714</v>
      </c>
      <c r="AG502" t="s">
        <v>15227</v>
      </c>
      <c r="AI502" t="s">
        <v>6955</v>
      </c>
      <c r="AJ502" s="27" t="str">
        <f t="shared" si="14"/>
        <v>834205</v>
      </c>
      <c r="AK502" s="27">
        <v>1</v>
      </c>
      <c r="AL502" s="27">
        <f t="shared" si="15"/>
        <v>1</v>
      </c>
      <c r="AM502" s="28">
        <v>1</v>
      </c>
    </row>
    <row r="503" spans="1:39" x14ac:dyDescent="0.25">
      <c r="A503" t="s">
        <v>15226</v>
      </c>
      <c r="B503" t="s">
        <v>15232</v>
      </c>
      <c r="C503" t="s">
        <v>883</v>
      </c>
      <c r="D503" s="25" t="s">
        <v>14750</v>
      </c>
      <c r="E503" t="s">
        <v>233</v>
      </c>
      <c r="F503" s="28">
        <v>1</v>
      </c>
      <c r="G503" t="s">
        <v>193</v>
      </c>
      <c r="H503" t="s">
        <v>194</v>
      </c>
      <c r="I503" t="s">
        <v>14777</v>
      </c>
      <c r="J503" t="s">
        <v>14627</v>
      </c>
      <c r="K503" t="s">
        <v>15233</v>
      </c>
      <c r="L503" t="s">
        <v>6275</v>
      </c>
      <c r="M503" t="s">
        <v>14887</v>
      </c>
      <c r="N503" t="s">
        <v>14888</v>
      </c>
      <c r="O503" t="s">
        <v>13303</v>
      </c>
      <c r="P503" t="s">
        <v>15234</v>
      </c>
      <c r="Q503" t="s">
        <v>15235</v>
      </c>
      <c r="S503" t="s">
        <v>9309</v>
      </c>
      <c r="T503" s="492" t="s">
        <v>15231</v>
      </c>
      <c r="U503" t="s">
        <v>884</v>
      </c>
      <c r="V503" t="s">
        <v>194</v>
      </c>
      <c r="W503" t="s">
        <v>14632</v>
      </c>
      <c r="Z503" t="s">
        <v>9311</v>
      </c>
      <c r="AF503" t="s">
        <v>4714</v>
      </c>
      <c r="AG503" t="s">
        <v>15232</v>
      </c>
      <c r="AI503" t="s">
        <v>6955</v>
      </c>
      <c r="AJ503" s="27" t="str">
        <f t="shared" si="14"/>
        <v>834205</v>
      </c>
      <c r="AK503" s="27">
        <v>1</v>
      </c>
      <c r="AL503" s="27">
        <f t="shared" si="15"/>
        <v>1</v>
      </c>
      <c r="AM503" s="28">
        <v>1</v>
      </c>
    </row>
    <row r="504" spans="1:39" x14ac:dyDescent="0.25">
      <c r="A504" t="s">
        <v>15226</v>
      </c>
      <c r="B504" t="s">
        <v>15236</v>
      </c>
      <c r="C504" t="s">
        <v>15237</v>
      </c>
      <c r="D504" s="25" t="s">
        <v>14750</v>
      </c>
      <c r="E504" t="s">
        <v>233</v>
      </c>
      <c r="F504" s="28">
        <v>1</v>
      </c>
      <c r="G504" t="s">
        <v>193</v>
      </c>
      <c r="H504" t="s">
        <v>194</v>
      </c>
      <c r="I504" t="s">
        <v>14777</v>
      </c>
      <c r="J504" t="s">
        <v>15238</v>
      </c>
      <c r="K504" t="s">
        <v>15239</v>
      </c>
      <c r="L504" t="s">
        <v>6275</v>
      </c>
      <c r="M504" t="s">
        <v>14887</v>
      </c>
      <c r="N504" t="s">
        <v>14888</v>
      </c>
      <c r="O504" t="s">
        <v>13303</v>
      </c>
      <c r="P504" t="s">
        <v>15240</v>
      </c>
      <c r="Q504" t="s">
        <v>15241</v>
      </c>
      <c r="S504" t="s">
        <v>9309</v>
      </c>
      <c r="T504" s="492" t="s">
        <v>15242</v>
      </c>
      <c r="U504" t="s">
        <v>15243</v>
      </c>
      <c r="V504" t="s">
        <v>194</v>
      </c>
      <c r="W504" t="s">
        <v>12023</v>
      </c>
      <c r="Z504" t="s">
        <v>9311</v>
      </c>
      <c r="AF504" t="s">
        <v>4714</v>
      </c>
      <c r="AG504" t="s">
        <v>15236</v>
      </c>
      <c r="AI504" t="s">
        <v>6955</v>
      </c>
      <c r="AJ504" s="27" t="str">
        <f t="shared" si="14"/>
        <v>814103</v>
      </c>
      <c r="AK504" s="27">
        <v>1</v>
      </c>
      <c r="AL504" s="27">
        <f t="shared" si="15"/>
        <v>1</v>
      </c>
      <c r="AM504" s="28">
        <v>1</v>
      </c>
    </row>
    <row r="505" spans="1:39" x14ac:dyDescent="0.25">
      <c r="A505" t="s">
        <v>1040</v>
      </c>
      <c r="B505" t="s">
        <v>15244</v>
      </c>
      <c r="C505" t="s">
        <v>15245</v>
      </c>
      <c r="D505" s="25" t="s">
        <v>14750</v>
      </c>
      <c r="E505" t="s">
        <v>233</v>
      </c>
      <c r="F505" s="28">
        <v>1</v>
      </c>
      <c r="G505" t="s">
        <v>193</v>
      </c>
      <c r="H505" t="s">
        <v>194</v>
      </c>
      <c r="I505" t="s">
        <v>14777</v>
      </c>
      <c r="J505" t="s">
        <v>9302</v>
      </c>
      <c r="K505" t="s">
        <v>15246</v>
      </c>
      <c r="L505" t="s">
        <v>6266</v>
      </c>
      <c r="M505" t="s">
        <v>14887</v>
      </c>
      <c r="N505" t="s">
        <v>14888</v>
      </c>
      <c r="O505" t="s">
        <v>13303</v>
      </c>
      <c r="P505" t="s">
        <v>15247</v>
      </c>
      <c r="Q505" t="s">
        <v>15248</v>
      </c>
      <c r="S505" t="s">
        <v>9309</v>
      </c>
      <c r="U505" t="s">
        <v>15249</v>
      </c>
      <c r="V505" t="s">
        <v>193</v>
      </c>
      <c r="W505" t="s">
        <v>9310</v>
      </c>
      <c r="Z505" t="s">
        <v>9311</v>
      </c>
      <c r="AF505" t="s">
        <v>4714</v>
      </c>
      <c r="AG505" t="s">
        <v>15244</v>
      </c>
      <c r="AI505" t="s">
        <v>6955</v>
      </c>
      <c r="AJ505" s="27" t="str">
        <f t="shared" si="14"/>
        <v>832201</v>
      </c>
      <c r="AK505" s="27">
        <v>1</v>
      </c>
      <c r="AL505" s="27">
        <f t="shared" si="15"/>
        <v>1</v>
      </c>
      <c r="AM505" s="28">
        <v>1</v>
      </c>
    </row>
    <row r="506" spans="1:39" x14ac:dyDescent="0.25">
      <c r="A506" t="s">
        <v>15250</v>
      </c>
      <c r="B506" t="s">
        <v>1505</v>
      </c>
      <c r="C506" t="s">
        <v>1506</v>
      </c>
      <c r="D506" s="25" t="s">
        <v>14750</v>
      </c>
      <c r="E506" t="s">
        <v>192</v>
      </c>
      <c r="F506" s="28">
        <v>1</v>
      </c>
      <c r="G506" t="s">
        <v>193</v>
      </c>
      <c r="H506" t="s">
        <v>194</v>
      </c>
      <c r="I506" t="s">
        <v>14022</v>
      </c>
      <c r="J506" t="s">
        <v>301</v>
      </c>
      <c r="K506" t="s">
        <v>15251</v>
      </c>
      <c r="L506" t="s">
        <v>6389</v>
      </c>
      <c r="M506" t="s">
        <v>14779</v>
      </c>
      <c r="N506" t="s">
        <v>14780</v>
      </c>
      <c r="O506" t="s">
        <v>13125</v>
      </c>
      <c r="P506" t="s">
        <v>15252</v>
      </c>
      <c r="Q506" t="s">
        <v>15253</v>
      </c>
      <c r="S506" t="s">
        <v>9309</v>
      </c>
      <c r="T506" t="s">
        <v>9367</v>
      </c>
      <c r="U506" t="s">
        <v>1507</v>
      </c>
      <c r="V506" t="s">
        <v>194</v>
      </c>
      <c r="W506" t="s">
        <v>9300</v>
      </c>
      <c r="Z506" t="s">
        <v>9311</v>
      </c>
      <c r="AF506" t="s">
        <v>4714</v>
      </c>
      <c r="AG506" t="s">
        <v>1505</v>
      </c>
      <c r="AI506" t="s">
        <v>6955</v>
      </c>
      <c r="AJ506" s="27" t="str">
        <f t="shared" si="14"/>
        <v>216604</v>
      </c>
      <c r="AK506" s="27">
        <v>1</v>
      </c>
      <c r="AL506" s="27">
        <f t="shared" si="15"/>
        <v>1</v>
      </c>
      <c r="AM506" s="28">
        <v>1</v>
      </c>
    </row>
    <row r="507" spans="1:39" x14ac:dyDescent="0.25">
      <c r="A507" t="s">
        <v>15250</v>
      </c>
      <c r="B507" t="s">
        <v>15254</v>
      </c>
      <c r="C507" t="s">
        <v>3219</v>
      </c>
      <c r="D507" s="25" t="s">
        <v>14750</v>
      </c>
      <c r="E507" t="s">
        <v>192</v>
      </c>
      <c r="F507" s="28">
        <v>1</v>
      </c>
      <c r="G507" t="s">
        <v>193</v>
      </c>
      <c r="H507" t="s">
        <v>194</v>
      </c>
      <c r="I507" t="s">
        <v>14788</v>
      </c>
      <c r="J507" t="s">
        <v>301</v>
      </c>
      <c r="K507" t="s">
        <v>15255</v>
      </c>
      <c r="L507" t="s">
        <v>6302</v>
      </c>
      <c r="M507" t="s">
        <v>14779</v>
      </c>
      <c r="N507" t="s">
        <v>14780</v>
      </c>
      <c r="O507" t="s">
        <v>13125</v>
      </c>
      <c r="P507" t="s">
        <v>15256</v>
      </c>
      <c r="Q507" t="s">
        <v>15257</v>
      </c>
      <c r="S507" t="s">
        <v>9309</v>
      </c>
      <c r="T507" t="s">
        <v>9367</v>
      </c>
      <c r="U507" t="s">
        <v>3620</v>
      </c>
      <c r="V507" t="s">
        <v>194</v>
      </c>
      <c r="W507" t="s">
        <v>9300</v>
      </c>
      <c r="Z507" t="s">
        <v>9311</v>
      </c>
      <c r="AF507" t="s">
        <v>4714</v>
      </c>
      <c r="AG507" t="s">
        <v>15254</v>
      </c>
      <c r="AI507" t="s">
        <v>6955</v>
      </c>
      <c r="AJ507" s="27" t="str">
        <f t="shared" si="14"/>
        <v>243109</v>
      </c>
      <c r="AK507" s="27">
        <v>1</v>
      </c>
      <c r="AL507" s="27">
        <f t="shared" si="15"/>
        <v>1</v>
      </c>
      <c r="AM507" s="28">
        <v>1</v>
      </c>
    </row>
    <row r="508" spans="1:39" x14ac:dyDescent="0.25">
      <c r="A508" t="s">
        <v>14478</v>
      </c>
      <c r="B508" t="s">
        <v>15258</v>
      </c>
      <c r="C508" t="s">
        <v>85</v>
      </c>
      <c r="D508" s="25" t="s">
        <v>14750</v>
      </c>
      <c r="E508" t="s">
        <v>192</v>
      </c>
      <c r="F508" s="28">
        <v>1</v>
      </c>
      <c r="G508" t="s">
        <v>193</v>
      </c>
      <c r="H508" t="s">
        <v>194</v>
      </c>
      <c r="I508" t="s">
        <v>14777</v>
      </c>
      <c r="J508" t="s">
        <v>9302</v>
      </c>
      <c r="K508" t="s">
        <v>15259</v>
      </c>
      <c r="L508" t="s">
        <v>6245</v>
      </c>
      <c r="M508" t="s">
        <v>14779</v>
      </c>
      <c r="N508" t="s">
        <v>14780</v>
      </c>
      <c r="O508" t="s">
        <v>13125</v>
      </c>
      <c r="P508" t="s">
        <v>15260</v>
      </c>
      <c r="Q508" t="s">
        <v>15261</v>
      </c>
      <c r="S508" t="s">
        <v>9309</v>
      </c>
      <c r="U508" t="s">
        <v>477</v>
      </c>
      <c r="V508" t="s">
        <v>193</v>
      </c>
      <c r="W508" t="s">
        <v>9310</v>
      </c>
      <c r="Z508" t="s">
        <v>9311</v>
      </c>
      <c r="AF508" t="s">
        <v>4714</v>
      </c>
      <c r="AG508" t="s">
        <v>15258</v>
      </c>
      <c r="AI508" t="s">
        <v>6955</v>
      </c>
      <c r="AJ508" s="27" t="str">
        <f t="shared" si="14"/>
        <v>243305</v>
      </c>
      <c r="AK508" s="27">
        <v>1</v>
      </c>
      <c r="AL508" s="27">
        <f t="shared" si="15"/>
        <v>1</v>
      </c>
      <c r="AM508" s="28">
        <v>1</v>
      </c>
    </row>
    <row r="509" spans="1:39" x14ac:dyDescent="0.25">
      <c r="A509" t="s">
        <v>3040</v>
      </c>
      <c r="B509" t="s">
        <v>1598</v>
      </c>
      <c r="C509" t="s">
        <v>10</v>
      </c>
      <c r="D509" s="25" t="s">
        <v>14750</v>
      </c>
      <c r="E509" t="s">
        <v>192</v>
      </c>
      <c r="F509" s="28">
        <v>1</v>
      </c>
      <c r="G509" t="s">
        <v>193</v>
      </c>
      <c r="H509" t="s">
        <v>194</v>
      </c>
      <c r="I509" t="s">
        <v>14777</v>
      </c>
      <c r="J509" t="s">
        <v>1979</v>
      </c>
      <c r="K509" t="s">
        <v>15262</v>
      </c>
      <c r="L509" t="s">
        <v>6245</v>
      </c>
      <c r="M509" t="s">
        <v>14779</v>
      </c>
      <c r="N509" t="s">
        <v>14780</v>
      </c>
      <c r="O509" t="s">
        <v>13125</v>
      </c>
      <c r="P509" t="s">
        <v>15263</v>
      </c>
      <c r="Q509" t="s">
        <v>15264</v>
      </c>
      <c r="S509" t="s">
        <v>9309</v>
      </c>
      <c r="T509" t="s">
        <v>9786</v>
      </c>
      <c r="U509" t="s">
        <v>484</v>
      </c>
      <c r="V509" t="s">
        <v>194</v>
      </c>
      <c r="W509" t="s">
        <v>9300</v>
      </c>
      <c r="Z509" t="s">
        <v>9311</v>
      </c>
      <c r="AF509" t="s">
        <v>4714</v>
      </c>
      <c r="AG509" t="s">
        <v>1598</v>
      </c>
      <c r="AI509" t="s">
        <v>6955</v>
      </c>
      <c r="AJ509" s="27" t="str">
        <f t="shared" si="14"/>
        <v>251401</v>
      </c>
      <c r="AK509" s="27">
        <v>1</v>
      </c>
      <c r="AL509" s="27">
        <f t="shared" si="15"/>
        <v>1</v>
      </c>
      <c r="AM509" s="28">
        <v>1</v>
      </c>
    </row>
    <row r="510" spans="1:39" x14ac:dyDescent="0.25">
      <c r="A510" t="s">
        <v>382</v>
      </c>
      <c r="B510" t="s">
        <v>15265</v>
      </c>
      <c r="C510" t="s">
        <v>384</v>
      </c>
      <c r="D510" s="25" t="s">
        <v>14750</v>
      </c>
      <c r="E510" t="s">
        <v>192</v>
      </c>
      <c r="F510" s="28">
        <v>1</v>
      </c>
      <c r="G510" t="s">
        <v>193</v>
      </c>
      <c r="H510" t="s">
        <v>194</v>
      </c>
      <c r="I510" t="s">
        <v>13110</v>
      </c>
      <c r="J510" t="s">
        <v>210</v>
      </c>
      <c r="K510" t="s">
        <v>15266</v>
      </c>
      <c r="L510" t="s">
        <v>6324</v>
      </c>
      <c r="M510" t="s">
        <v>14779</v>
      </c>
      <c r="N510" t="s">
        <v>14780</v>
      </c>
      <c r="O510" t="s">
        <v>13125</v>
      </c>
      <c r="P510" t="s">
        <v>15267</v>
      </c>
      <c r="Q510" t="s">
        <v>15268</v>
      </c>
      <c r="S510" t="s">
        <v>9309</v>
      </c>
      <c r="T510" t="s">
        <v>9334</v>
      </c>
      <c r="U510" t="s">
        <v>386</v>
      </c>
      <c r="V510" t="s">
        <v>194</v>
      </c>
      <c r="W510" t="s">
        <v>9300</v>
      </c>
      <c r="Z510" t="s">
        <v>9311</v>
      </c>
      <c r="AF510" t="s">
        <v>4714</v>
      </c>
      <c r="AG510" t="s">
        <v>15265</v>
      </c>
      <c r="AI510" t="s">
        <v>6955</v>
      </c>
      <c r="AJ510" s="27" t="str">
        <f t="shared" si="14"/>
        <v>216102</v>
      </c>
      <c r="AK510" s="27">
        <v>1</v>
      </c>
      <c r="AL510" s="27">
        <f t="shared" si="15"/>
        <v>1</v>
      </c>
      <c r="AM510" s="28">
        <v>1</v>
      </c>
    </row>
    <row r="511" spans="1:39" x14ac:dyDescent="0.25">
      <c r="A511" t="s">
        <v>15269</v>
      </c>
      <c r="B511" t="s">
        <v>15270</v>
      </c>
      <c r="C511" t="s">
        <v>18</v>
      </c>
      <c r="D511" s="25" t="s">
        <v>14750</v>
      </c>
      <c r="E511" t="s">
        <v>192</v>
      </c>
      <c r="F511" s="28">
        <v>1</v>
      </c>
      <c r="G511" t="s">
        <v>194</v>
      </c>
      <c r="H511" t="s">
        <v>193</v>
      </c>
      <c r="I511" t="s">
        <v>14788</v>
      </c>
      <c r="J511" t="s">
        <v>9302</v>
      </c>
      <c r="K511" t="s">
        <v>15271</v>
      </c>
      <c r="L511" t="s">
        <v>6340</v>
      </c>
      <c r="M511" t="s">
        <v>14779</v>
      </c>
      <c r="N511" t="s">
        <v>14780</v>
      </c>
      <c r="O511" t="s">
        <v>13125</v>
      </c>
      <c r="P511" t="s">
        <v>15272</v>
      </c>
      <c r="Q511" t="s">
        <v>15273</v>
      </c>
      <c r="S511" t="s">
        <v>9309</v>
      </c>
      <c r="U511" t="s">
        <v>1476</v>
      </c>
      <c r="V511" t="s">
        <v>193</v>
      </c>
      <c r="W511" t="s">
        <v>9310</v>
      </c>
      <c r="Z511" t="s">
        <v>9311</v>
      </c>
      <c r="AF511" t="s">
        <v>4714</v>
      </c>
      <c r="AG511" t="s">
        <v>15270</v>
      </c>
      <c r="AI511" t="s">
        <v>6955</v>
      </c>
      <c r="AJ511" s="27" t="str">
        <f t="shared" si="14"/>
        <v>242309</v>
      </c>
      <c r="AK511" s="27">
        <v>1</v>
      </c>
      <c r="AL511" s="27">
        <f t="shared" si="15"/>
        <v>1</v>
      </c>
      <c r="AM511" s="28">
        <v>1</v>
      </c>
    </row>
    <row r="512" spans="1:39" x14ac:dyDescent="0.25">
      <c r="A512" t="s">
        <v>1675</v>
      </c>
      <c r="B512" t="s">
        <v>401</v>
      </c>
      <c r="C512" t="s">
        <v>525</v>
      </c>
      <c r="D512" s="25" t="s">
        <v>14750</v>
      </c>
      <c r="E512" t="s">
        <v>233</v>
      </c>
      <c r="F512" s="28">
        <v>1</v>
      </c>
      <c r="G512" t="s">
        <v>193</v>
      </c>
      <c r="H512" t="s">
        <v>194</v>
      </c>
      <c r="I512" t="s">
        <v>14777</v>
      </c>
      <c r="J512" t="s">
        <v>210</v>
      </c>
      <c r="K512" t="s">
        <v>15274</v>
      </c>
      <c r="L512" t="s">
        <v>6254</v>
      </c>
      <c r="M512" t="s">
        <v>14887</v>
      </c>
      <c r="N512" t="s">
        <v>14888</v>
      </c>
      <c r="O512" t="s">
        <v>13303</v>
      </c>
      <c r="P512" t="s">
        <v>15275</v>
      </c>
      <c r="Q512" t="s">
        <v>15276</v>
      </c>
      <c r="S512" t="s">
        <v>9309</v>
      </c>
      <c r="T512" t="s">
        <v>9334</v>
      </c>
      <c r="U512" t="s">
        <v>526</v>
      </c>
      <c r="V512" t="s">
        <v>194</v>
      </c>
      <c r="W512" t="s">
        <v>9300</v>
      </c>
      <c r="Z512" t="s">
        <v>9311</v>
      </c>
      <c r="AF512" t="s">
        <v>4714</v>
      </c>
      <c r="AG512" t="s">
        <v>401</v>
      </c>
      <c r="AI512" t="s">
        <v>6955</v>
      </c>
      <c r="AJ512" s="27" t="str">
        <f t="shared" si="14"/>
        <v>263102</v>
      </c>
      <c r="AK512" s="27">
        <v>1</v>
      </c>
      <c r="AL512" s="27">
        <f t="shared" si="15"/>
        <v>1</v>
      </c>
      <c r="AM512" s="28">
        <v>1</v>
      </c>
    </row>
    <row r="513" spans="1:39" x14ac:dyDescent="0.25">
      <c r="A513" t="s">
        <v>15277</v>
      </c>
      <c r="B513" t="s">
        <v>632</v>
      </c>
      <c r="C513" t="s">
        <v>17</v>
      </c>
      <c r="D513" s="25" t="s">
        <v>14750</v>
      </c>
      <c r="E513" t="s">
        <v>192</v>
      </c>
      <c r="F513" s="28">
        <v>1</v>
      </c>
      <c r="G513" t="s">
        <v>193</v>
      </c>
      <c r="H513" t="s">
        <v>194</v>
      </c>
      <c r="I513" t="s">
        <v>14788</v>
      </c>
      <c r="J513" t="s">
        <v>9302</v>
      </c>
      <c r="K513" t="s">
        <v>15278</v>
      </c>
      <c r="L513" t="s">
        <v>6288</v>
      </c>
      <c r="M513" t="s">
        <v>14809</v>
      </c>
      <c r="N513" t="s">
        <v>14780</v>
      </c>
      <c r="O513" t="s">
        <v>13125</v>
      </c>
      <c r="P513" t="s">
        <v>15279</v>
      </c>
      <c r="Q513" t="s">
        <v>15280</v>
      </c>
      <c r="S513" t="s">
        <v>9309</v>
      </c>
      <c r="U513" t="s">
        <v>624</v>
      </c>
      <c r="V513" t="s">
        <v>193</v>
      </c>
      <c r="W513" t="s">
        <v>9310</v>
      </c>
      <c r="Z513" t="s">
        <v>9311</v>
      </c>
      <c r="AF513" t="s">
        <v>4714</v>
      </c>
      <c r="AG513" t="s">
        <v>17</v>
      </c>
      <c r="AI513" t="s">
        <v>6955</v>
      </c>
      <c r="AJ513" s="27" t="str">
        <f t="shared" si="14"/>
        <v>332203</v>
      </c>
      <c r="AK513" s="27">
        <v>1</v>
      </c>
      <c r="AL513" s="27">
        <f t="shared" si="15"/>
        <v>1</v>
      </c>
      <c r="AM513" s="28">
        <v>1</v>
      </c>
    </row>
    <row r="514" spans="1:39" x14ac:dyDescent="0.25">
      <c r="A514" t="s">
        <v>413</v>
      </c>
      <c r="B514" t="s">
        <v>15281</v>
      </c>
      <c r="C514" t="s">
        <v>4966</v>
      </c>
      <c r="D514" s="25" t="s">
        <v>14750</v>
      </c>
      <c r="E514" t="s">
        <v>192</v>
      </c>
      <c r="F514" s="28">
        <v>1</v>
      </c>
      <c r="G514" t="s">
        <v>193</v>
      </c>
      <c r="H514" t="s">
        <v>194</v>
      </c>
      <c r="I514" t="s">
        <v>14022</v>
      </c>
      <c r="J514" t="s">
        <v>276</v>
      </c>
      <c r="K514" t="s">
        <v>15282</v>
      </c>
      <c r="L514" t="s">
        <v>6286</v>
      </c>
      <c r="M514" t="s">
        <v>14779</v>
      </c>
      <c r="N514" t="s">
        <v>14780</v>
      </c>
      <c r="O514" t="s">
        <v>13125</v>
      </c>
      <c r="P514" t="s">
        <v>15283</v>
      </c>
      <c r="Q514" t="s">
        <v>15284</v>
      </c>
      <c r="S514" t="s">
        <v>9309</v>
      </c>
      <c r="T514" t="s">
        <v>9786</v>
      </c>
      <c r="U514" t="s">
        <v>405</v>
      </c>
      <c r="V514" t="s">
        <v>194</v>
      </c>
      <c r="W514" t="s">
        <v>9300</v>
      </c>
      <c r="Z514" t="s">
        <v>9311</v>
      </c>
      <c r="AF514" t="s">
        <v>4714</v>
      </c>
      <c r="AG514" t="s">
        <v>15281</v>
      </c>
      <c r="AI514" t="s">
        <v>6955</v>
      </c>
      <c r="AJ514" s="27" t="str">
        <f t="shared" si="14"/>
        <v>241304</v>
      </c>
      <c r="AK514" s="27">
        <v>1</v>
      </c>
      <c r="AL514" s="27">
        <f t="shared" si="15"/>
        <v>1</v>
      </c>
      <c r="AM514" s="28">
        <v>1</v>
      </c>
    </row>
    <row r="515" spans="1:39" x14ac:dyDescent="0.25">
      <c r="A515" t="s">
        <v>413</v>
      </c>
      <c r="B515" t="s">
        <v>15281</v>
      </c>
      <c r="C515" t="s">
        <v>4966</v>
      </c>
      <c r="D515" s="25" t="s">
        <v>14750</v>
      </c>
      <c r="E515" t="s">
        <v>192</v>
      </c>
      <c r="F515" s="28">
        <v>1</v>
      </c>
      <c r="G515" t="s">
        <v>193</v>
      </c>
      <c r="H515" t="s">
        <v>194</v>
      </c>
      <c r="I515" t="s">
        <v>14022</v>
      </c>
      <c r="J515" t="s">
        <v>223</v>
      </c>
      <c r="K515" t="s">
        <v>15285</v>
      </c>
      <c r="L515" t="s">
        <v>6286</v>
      </c>
      <c r="M515" t="s">
        <v>14779</v>
      </c>
      <c r="N515" t="s">
        <v>14780</v>
      </c>
      <c r="O515" t="s">
        <v>13125</v>
      </c>
      <c r="P515" t="s">
        <v>15286</v>
      </c>
      <c r="Q515" t="s">
        <v>15287</v>
      </c>
      <c r="S515" t="s">
        <v>9309</v>
      </c>
      <c r="T515" t="s">
        <v>11163</v>
      </c>
      <c r="U515" t="s">
        <v>405</v>
      </c>
      <c r="V515" t="s">
        <v>194</v>
      </c>
      <c r="W515" t="s">
        <v>9300</v>
      </c>
      <c r="Z515" t="s">
        <v>9311</v>
      </c>
      <c r="AF515" t="s">
        <v>4714</v>
      </c>
      <c r="AG515" t="s">
        <v>15281</v>
      </c>
      <c r="AI515" t="s">
        <v>6955</v>
      </c>
      <c r="AJ515" s="27" t="str">
        <f t="shared" ref="AJ515:AJ578" si="16">MID(U515,8,6)</f>
        <v>241304</v>
      </c>
      <c r="AK515" s="27">
        <v>1</v>
      </c>
      <c r="AL515" s="27">
        <f t="shared" ref="AL515:AL578" si="17">SUM(F515)</f>
        <v>1</v>
      </c>
      <c r="AM515" s="28">
        <v>1</v>
      </c>
    </row>
    <row r="516" spans="1:39" x14ac:dyDescent="0.25">
      <c r="A516" t="s">
        <v>413</v>
      </c>
      <c r="B516" t="s">
        <v>15281</v>
      </c>
      <c r="C516" t="s">
        <v>4966</v>
      </c>
      <c r="D516" s="25" t="s">
        <v>14750</v>
      </c>
      <c r="E516" t="s">
        <v>192</v>
      </c>
      <c r="F516" s="28">
        <v>1</v>
      </c>
      <c r="G516" t="s">
        <v>193</v>
      </c>
      <c r="H516" t="s">
        <v>194</v>
      </c>
      <c r="I516" t="s">
        <v>14022</v>
      </c>
      <c r="J516" t="s">
        <v>367</v>
      </c>
      <c r="K516" t="s">
        <v>15288</v>
      </c>
      <c r="L516" t="s">
        <v>6286</v>
      </c>
      <c r="M516" t="s">
        <v>14779</v>
      </c>
      <c r="N516" t="s">
        <v>14780</v>
      </c>
      <c r="O516" t="s">
        <v>13125</v>
      </c>
      <c r="P516" t="s">
        <v>15289</v>
      </c>
      <c r="Q516" t="s">
        <v>15290</v>
      </c>
      <c r="S516" t="s">
        <v>9309</v>
      </c>
      <c r="T516" t="s">
        <v>9974</v>
      </c>
      <c r="U516" t="s">
        <v>405</v>
      </c>
      <c r="V516" t="s">
        <v>194</v>
      </c>
      <c r="W516" t="s">
        <v>9300</v>
      </c>
      <c r="Z516" t="s">
        <v>9311</v>
      </c>
      <c r="AF516" t="s">
        <v>4714</v>
      </c>
      <c r="AG516" t="s">
        <v>15281</v>
      </c>
      <c r="AI516" t="s">
        <v>6955</v>
      </c>
      <c r="AJ516" s="27" t="str">
        <f t="shared" si="16"/>
        <v>241304</v>
      </c>
      <c r="AK516" s="27">
        <v>1</v>
      </c>
      <c r="AL516" s="27">
        <f t="shared" si="17"/>
        <v>1</v>
      </c>
      <c r="AM516" s="28">
        <v>1</v>
      </c>
    </row>
    <row r="517" spans="1:39" x14ac:dyDescent="0.25">
      <c r="A517" t="s">
        <v>413</v>
      </c>
      <c r="B517" t="s">
        <v>15281</v>
      </c>
      <c r="C517" t="s">
        <v>4966</v>
      </c>
      <c r="D517" s="25" t="s">
        <v>14750</v>
      </c>
      <c r="E517" t="s">
        <v>192</v>
      </c>
      <c r="F517" s="28">
        <v>1</v>
      </c>
      <c r="G517" t="s">
        <v>193</v>
      </c>
      <c r="H517" t="s">
        <v>194</v>
      </c>
      <c r="I517" t="s">
        <v>14022</v>
      </c>
      <c r="J517" t="s">
        <v>385</v>
      </c>
      <c r="K517" t="s">
        <v>15291</v>
      </c>
      <c r="L517" t="s">
        <v>6286</v>
      </c>
      <c r="M517" t="s">
        <v>14779</v>
      </c>
      <c r="N517" t="s">
        <v>14780</v>
      </c>
      <c r="O517" t="s">
        <v>13125</v>
      </c>
      <c r="P517" t="s">
        <v>15292</v>
      </c>
      <c r="Q517" t="s">
        <v>15293</v>
      </c>
      <c r="S517" t="s">
        <v>9309</v>
      </c>
      <c r="T517" t="s">
        <v>9410</v>
      </c>
      <c r="U517" t="s">
        <v>405</v>
      </c>
      <c r="V517" t="s">
        <v>194</v>
      </c>
      <c r="W517" t="s">
        <v>9300</v>
      </c>
      <c r="Z517" t="s">
        <v>9311</v>
      </c>
      <c r="AF517" t="s">
        <v>4714</v>
      </c>
      <c r="AG517" t="s">
        <v>15281</v>
      </c>
      <c r="AI517" t="s">
        <v>6955</v>
      </c>
      <c r="AJ517" s="27" t="str">
        <f t="shared" si="16"/>
        <v>241304</v>
      </c>
      <c r="AK517" s="27">
        <v>1</v>
      </c>
      <c r="AL517" s="27">
        <f t="shared" si="17"/>
        <v>1</v>
      </c>
      <c r="AM517" s="28">
        <v>1</v>
      </c>
    </row>
    <row r="518" spans="1:39" x14ac:dyDescent="0.25">
      <c r="A518" t="s">
        <v>413</v>
      </c>
      <c r="B518" t="s">
        <v>15281</v>
      </c>
      <c r="C518" t="s">
        <v>4966</v>
      </c>
      <c r="D518" s="25" t="s">
        <v>14750</v>
      </c>
      <c r="E518" t="s">
        <v>192</v>
      </c>
      <c r="F518" s="28">
        <v>1</v>
      </c>
      <c r="G518" t="s">
        <v>193</v>
      </c>
      <c r="H518" t="s">
        <v>194</v>
      </c>
      <c r="I518" t="s">
        <v>14022</v>
      </c>
      <c r="J518" t="s">
        <v>253</v>
      </c>
      <c r="K518" t="s">
        <v>15294</v>
      </c>
      <c r="L518" t="s">
        <v>6286</v>
      </c>
      <c r="M518" t="s">
        <v>14779</v>
      </c>
      <c r="N518" t="s">
        <v>14780</v>
      </c>
      <c r="O518" t="s">
        <v>13125</v>
      </c>
      <c r="P518" t="s">
        <v>15295</v>
      </c>
      <c r="Q518" t="s">
        <v>15296</v>
      </c>
      <c r="S518" t="s">
        <v>9309</v>
      </c>
      <c r="T518" t="s">
        <v>9468</v>
      </c>
      <c r="U518" t="s">
        <v>405</v>
      </c>
      <c r="V518" t="s">
        <v>194</v>
      </c>
      <c r="W518" t="s">
        <v>9300</v>
      </c>
      <c r="Z518" t="s">
        <v>9311</v>
      </c>
      <c r="AF518" t="s">
        <v>4714</v>
      </c>
      <c r="AG518" t="s">
        <v>15281</v>
      </c>
      <c r="AI518" t="s">
        <v>6955</v>
      </c>
      <c r="AJ518" s="27" t="str">
        <f t="shared" si="16"/>
        <v>241304</v>
      </c>
      <c r="AK518" s="27">
        <v>1</v>
      </c>
      <c r="AL518" s="27">
        <f t="shared" si="17"/>
        <v>1</v>
      </c>
      <c r="AM518" s="28">
        <v>1</v>
      </c>
    </row>
    <row r="519" spans="1:39" x14ac:dyDescent="0.25">
      <c r="A519" t="s">
        <v>9239</v>
      </c>
      <c r="B519" t="s">
        <v>15297</v>
      </c>
      <c r="C519" t="s">
        <v>67</v>
      </c>
      <c r="D519" s="25" t="s">
        <v>14750</v>
      </c>
      <c r="E519" t="s">
        <v>233</v>
      </c>
      <c r="F519" s="28">
        <v>1</v>
      </c>
      <c r="G519" t="s">
        <v>194</v>
      </c>
      <c r="H519" t="s">
        <v>193</v>
      </c>
      <c r="I519" t="s">
        <v>14788</v>
      </c>
      <c r="J519" t="s">
        <v>9302</v>
      </c>
      <c r="K519" t="s">
        <v>15298</v>
      </c>
      <c r="L519" t="s">
        <v>6266</v>
      </c>
      <c r="M519" t="s">
        <v>14887</v>
      </c>
      <c r="N519" t="s">
        <v>14888</v>
      </c>
      <c r="O519" t="s">
        <v>13303</v>
      </c>
      <c r="P519" t="s">
        <v>15299</v>
      </c>
      <c r="Q519" t="s">
        <v>15300</v>
      </c>
      <c r="S519" t="s">
        <v>9309</v>
      </c>
      <c r="U519" t="s">
        <v>709</v>
      </c>
      <c r="V519" t="s">
        <v>194</v>
      </c>
      <c r="W519" t="s">
        <v>9946</v>
      </c>
      <c r="Z519" t="s">
        <v>9311</v>
      </c>
      <c r="AF519" t="s">
        <v>4714</v>
      </c>
      <c r="AG519" t="s">
        <v>15297</v>
      </c>
      <c r="AI519" t="s">
        <v>6955</v>
      </c>
      <c r="AJ519" s="27" t="str">
        <f t="shared" si="16"/>
        <v>432103</v>
      </c>
      <c r="AK519" s="27">
        <v>1</v>
      </c>
      <c r="AL519" s="27">
        <f t="shared" si="17"/>
        <v>1</v>
      </c>
      <c r="AM519" s="28">
        <v>1</v>
      </c>
    </row>
    <row r="520" spans="1:39" x14ac:dyDescent="0.25">
      <c r="A520" t="s">
        <v>9239</v>
      </c>
      <c r="B520" t="s">
        <v>885</v>
      </c>
      <c r="C520" t="s">
        <v>886</v>
      </c>
      <c r="D520" s="25" t="s">
        <v>14750</v>
      </c>
      <c r="E520" t="s">
        <v>233</v>
      </c>
      <c r="F520" s="28">
        <v>1</v>
      </c>
      <c r="G520" t="s">
        <v>194</v>
      </c>
      <c r="H520" t="s">
        <v>193</v>
      </c>
      <c r="I520" t="s">
        <v>14788</v>
      </c>
      <c r="J520" t="s">
        <v>9302</v>
      </c>
      <c r="K520" t="s">
        <v>15301</v>
      </c>
      <c r="L520" t="s">
        <v>6266</v>
      </c>
      <c r="M520" t="s">
        <v>14887</v>
      </c>
      <c r="N520" t="s">
        <v>14888</v>
      </c>
      <c r="O520" t="s">
        <v>13303</v>
      </c>
      <c r="P520" t="s">
        <v>15302</v>
      </c>
      <c r="Q520" t="s">
        <v>15303</v>
      </c>
      <c r="S520" t="s">
        <v>9309</v>
      </c>
      <c r="U520" t="s">
        <v>887</v>
      </c>
      <c r="V520" t="s">
        <v>194</v>
      </c>
      <c r="W520" t="s">
        <v>9946</v>
      </c>
      <c r="Z520" t="s">
        <v>9311</v>
      </c>
      <c r="AF520" t="s">
        <v>4714</v>
      </c>
      <c r="AG520" t="s">
        <v>885</v>
      </c>
      <c r="AI520" t="s">
        <v>6955</v>
      </c>
      <c r="AJ520" s="27" t="str">
        <f t="shared" si="16"/>
        <v>834401</v>
      </c>
      <c r="AK520" s="27">
        <v>1</v>
      </c>
      <c r="AL520" s="27">
        <f t="shared" si="17"/>
        <v>1</v>
      </c>
      <c r="AM520" s="28">
        <v>1</v>
      </c>
    </row>
    <row r="521" spans="1:39" x14ac:dyDescent="0.25">
      <c r="A521" t="s">
        <v>9239</v>
      </c>
      <c r="B521" t="s">
        <v>15304</v>
      </c>
      <c r="C521" t="s">
        <v>15305</v>
      </c>
      <c r="D521" s="25" t="s">
        <v>14750</v>
      </c>
      <c r="E521" t="s">
        <v>233</v>
      </c>
      <c r="F521" s="28">
        <v>1</v>
      </c>
      <c r="G521" t="s">
        <v>193</v>
      </c>
      <c r="H521" t="s">
        <v>194</v>
      </c>
      <c r="I521" t="s">
        <v>14788</v>
      </c>
      <c r="J521" t="s">
        <v>9302</v>
      </c>
      <c r="K521" t="s">
        <v>15306</v>
      </c>
      <c r="L521" t="s">
        <v>6266</v>
      </c>
      <c r="M521" t="s">
        <v>14887</v>
      </c>
      <c r="N521" t="s">
        <v>14888</v>
      </c>
      <c r="O521" t="s">
        <v>13303</v>
      </c>
      <c r="P521" t="s">
        <v>15307</v>
      </c>
      <c r="Q521" t="s">
        <v>15308</v>
      </c>
      <c r="S521" t="s">
        <v>9309</v>
      </c>
      <c r="U521" t="s">
        <v>1691</v>
      </c>
      <c r="V521" t="s">
        <v>193</v>
      </c>
      <c r="W521" t="s">
        <v>9310</v>
      </c>
      <c r="Z521" t="s">
        <v>9311</v>
      </c>
      <c r="AF521" t="s">
        <v>4714</v>
      </c>
      <c r="AG521" t="s">
        <v>15304</v>
      </c>
      <c r="AI521" t="s">
        <v>6955</v>
      </c>
      <c r="AJ521" s="27" t="str">
        <f t="shared" si="16"/>
        <v>933401</v>
      </c>
      <c r="AK521" s="27">
        <v>1</v>
      </c>
      <c r="AL521" s="27">
        <f t="shared" si="17"/>
        <v>1</v>
      </c>
      <c r="AM521" s="28">
        <v>1</v>
      </c>
    </row>
    <row r="522" spans="1:39" x14ac:dyDescent="0.25">
      <c r="A522" t="s">
        <v>9239</v>
      </c>
      <c r="B522" t="s">
        <v>15309</v>
      </c>
      <c r="C522" t="s">
        <v>15310</v>
      </c>
      <c r="D522" s="25" t="s">
        <v>14750</v>
      </c>
      <c r="E522" t="s">
        <v>233</v>
      </c>
      <c r="F522" s="28">
        <v>1</v>
      </c>
      <c r="G522" t="s">
        <v>193</v>
      </c>
      <c r="H522" t="s">
        <v>194</v>
      </c>
      <c r="I522" t="s">
        <v>14777</v>
      </c>
      <c r="J522" t="s">
        <v>9302</v>
      </c>
      <c r="K522" t="s">
        <v>15311</v>
      </c>
      <c r="L522" t="s">
        <v>6275</v>
      </c>
      <c r="M522" t="s">
        <v>14887</v>
      </c>
      <c r="N522" t="s">
        <v>14888</v>
      </c>
      <c r="O522" t="s">
        <v>13303</v>
      </c>
      <c r="P522" t="s">
        <v>15312</v>
      </c>
      <c r="Q522" t="s">
        <v>15313</v>
      </c>
      <c r="S522" t="s">
        <v>9309</v>
      </c>
      <c r="U522" t="s">
        <v>15314</v>
      </c>
      <c r="V522" t="s">
        <v>193</v>
      </c>
      <c r="W522" t="s">
        <v>9310</v>
      </c>
      <c r="Z522" t="s">
        <v>9311</v>
      </c>
      <c r="AF522" t="s">
        <v>4714</v>
      </c>
      <c r="AG522" t="s">
        <v>15309</v>
      </c>
      <c r="AI522" t="s">
        <v>6955</v>
      </c>
      <c r="AJ522" s="27" t="str">
        <f t="shared" si="16"/>
        <v>816010</v>
      </c>
      <c r="AK522" s="27">
        <v>1</v>
      </c>
      <c r="AL522" s="27">
        <f t="shared" si="17"/>
        <v>1</v>
      </c>
      <c r="AM522" s="28">
        <v>1</v>
      </c>
    </row>
    <row r="523" spans="1:39" x14ac:dyDescent="0.25">
      <c r="A523" t="s">
        <v>15315</v>
      </c>
      <c r="B523" t="s">
        <v>67</v>
      </c>
      <c r="C523" t="s">
        <v>67</v>
      </c>
      <c r="D523" s="25" t="s">
        <v>14750</v>
      </c>
      <c r="E523" t="s">
        <v>192</v>
      </c>
      <c r="F523" s="28">
        <v>1</v>
      </c>
      <c r="G523" t="s">
        <v>193</v>
      </c>
      <c r="H523" t="s">
        <v>194</v>
      </c>
      <c r="I523" t="s">
        <v>14788</v>
      </c>
      <c r="J523" t="s">
        <v>826</v>
      </c>
      <c r="K523" t="s">
        <v>15316</v>
      </c>
      <c r="L523" t="s">
        <v>6266</v>
      </c>
      <c r="M523" t="s">
        <v>14779</v>
      </c>
      <c r="N523" t="s">
        <v>14780</v>
      </c>
      <c r="O523" t="s">
        <v>13125</v>
      </c>
      <c r="P523" t="s">
        <v>15317</v>
      </c>
      <c r="Q523" t="s">
        <v>15318</v>
      </c>
      <c r="S523" t="s">
        <v>9309</v>
      </c>
      <c r="T523" t="s">
        <v>9726</v>
      </c>
      <c r="U523" t="s">
        <v>709</v>
      </c>
      <c r="V523" t="s">
        <v>194</v>
      </c>
      <c r="W523" t="s">
        <v>9300</v>
      </c>
      <c r="Z523" t="s">
        <v>9311</v>
      </c>
      <c r="AF523" t="s">
        <v>4714</v>
      </c>
      <c r="AG523" t="s">
        <v>67</v>
      </c>
      <c r="AI523" t="s">
        <v>6955</v>
      </c>
      <c r="AJ523" s="27" t="str">
        <f t="shared" si="16"/>
        <v>432103</v>
      </c>
      <c r="AK523" s="27">
        <v>1</v>
      </c>
      <c r="AL523" s="27">
        <f t="shared" si="17"/>
        <v>1</v>
      </c>
      <c r="AM523" s="28">
        <v>1</v>
      </c>
    </row>
    <row r="524" spans="1:39" x14ac:dyDescent="0.25">
      <c r="A524" t="s">
        <v>15315</v>
      </c>
      <c r="B524" t="s">
        <v>356</v>
      </c>
      <c r="C524" t="s">
        <v>62</v>
      </c>
      <c r="D524" s="25" t="s">
        <v>14750</v>
      </c>
      <c r="E524" t="s">
        <v>192</v>
      </c>
      <c r="F524" s="28">
        <v>1</v>
      </c>
      <c r="G524" t="s">
        <v>193</v>
      </c>
      <c r="H524" t="s">
        <v>194</v>
      </c>
      <c r="I524" t="s">
        <v>14788</v>
      </c>
      <c r="J524" t="s">
        <v>826</v>
      </c>
      <c r="K524" t="s">
        <v>15319</v>
      </c>
      <c r="L524" t="s">
        <v>6275</v>
      </c>
      <c r="M524" t="s">
        <v>14779</v>
      </c>
      <c r="N524" t="s">
        <v>14780</v>
      </c>
      <c r="O524" t="s">
        <v>13125</v>
      </c>
      <c r="P524" t="s">
        <v>15320</v>
      </c>
      <c r="Q524" t="s">
        <v>15321</v>
      </c>
      <c r="S524" t="s">
        <v>9309</v>
      </c>
      <c r="T524" t="s">
        <v>9726</v>
      </c>
      <c r="U524" t="s">
        <v>601</v>
      </c>
      <c r="V524" t="s">
        <v>194</v>
      </c>
      <c r="W524" t="s">
        <v>9300</v>
      </c>
      <c r="Z524" t="s">
        <v>9311</v>
      </c>
      <c r="AF524" t="s">
        <v>4714</v>
      </c>
      <c r="AG524" t="s">
        <v>356</v>
      </c>
      <c r="AI524" t="s">
        <v>6955</v>
      </c>
      <c r="AJ524" s="27" t="str">
        <f t="shared" si="16"/>
        <v>313904</v>
      </c>
      <c r="AK524" s="27">
        <v>1</v>
      </c>
      <c r="AL524" s="27">
        <f t="shared" si="17"/>
        <v>1</v>
      </c>
      <c r="AM524" s="28">
        <v>1</v>
      </c>
    </row>
    <row r="525" spans="1:39" x14ac:dyDescent="0.25">
      <c r="A525" t="s">
        <v>15315</v>
      </c>
      <c r="B525" t="s">
        <v>15322</v>
      </c>
      <c r="C525" t="s">
        <v>35</v>
      </c>
      <c r="D525" s="25" t="s">
        <v>14750</v>
      </c>
      <c r="E525" t="s">
        <v>192</v>
      </c>
      <c r="F525" s="28">
        <v>1</v>
      </c>
      <c r="G525" t="s">
        <v>193</v>
      </c>
      <c r="H525" t="s">
        <v>194</v>
      </c>
      <c r="I525" t="s">
        <v>14777</v>
      </c>
      <c r="J525" t="s">
        <v>9302</v>
      </c>
      <c r="K525" t="s">
        <v>15323</v>
      </c>
      <c r="L525" t="s">
        <v>6245</v>
      </c>
      <c r="M525" t="s">
        <v>14779</v>
      </c>
      <c r="N525" t="s">
        <v>14780</v>
      </c>
      <c r="O525" t="s">
        <v>13125</v>
      </c>
      <c r="P525" t="s">
        <v>15324</v>
      </c>
      <c r="Q525" t="s">
        <v>15325</v>
      </c>
      <c r="S525" t="s">
        <v>9309</v>
      </c>
      <c r="U525" t="s">
        <v>207</v>
      </c>
      <c r="V525" t="s">
        <v>193</v>
      </c>
      <c r="W525" t="s">
        <v>9310</v>
      </c>
      <c r="Z525" t="s">
        <v>9311</v>
      </c>
      <c r="AF525" t="s">
        <v>4714</v>
      </c>
      <c r="AG525" t="s">
        <v>15322</v>
      </c>
      <c r="AI525" t="s">
        <v>6955</v>
      </c>
      <c r="AJ525" s="27" t="str">
        <f t="shared" si="16"/>
        <v>122106</v>
      </c>
      <c r="AK525" s="27">
        <v>1</v>
      </c>
      <c r="AL525" s="27">
        <f t="shared" si="17"/>
        <v>1</v>
      </c>
      <c r="AM525" s="28">
        <v>1</v>
      </c>
    </row>
    <row r="526" spans="1:39" x14ac:dyDescent="0.25">
      <c r="A526" t="s">
        <v>1490</v>
      </c>
      <c r="B526" t="s">
        <v>15326</v>
      </c>
      <c r="C526" t="s">
        <v>46</v>
      </c>
      <c r="D526" s="25" t="s">
        <v>14750</v>
      </c>
      <c r="E526" t="s">
        <v>192</v>
      </c>
      <c r="F526" s="28">
        <v>1</v>
      </c>
      <c r="G526" t="s">
        <v>193</v>
      </c>
      <c r="H526" t="s">
        <v>194</v>
      </c>
      <c r="I526" t="s">
        <v>13110</v>
      </c>
      <c r="J526" t="s">
        <v>575</v>
      </c>
      <c r="K526" t="s">
        <v>15327</v>
      </c>
      <c r="L526" t="s">
        <v>6921</v>
      </c>
      <c r="M526" t="s">
        <v>14779</v>
      </c>
      <c r="N526" t="s">
        <v>14780</v>
      </c>
      <c r="O526" t="s">
        <v>13125</v>
      </c>
      <c r="P526" t="s">
        <v>15328</v>
      </c>
      <c r="Q526" t="s">
        <v>15329</v>
      </c>
      <c r="S526" t="s">
        <v>9309</v>
      </c>
      <c r="T526" t="s">
        <v>9726</v>
      </c>
      <c r="U526" t="s">
        <v>510</v>
      </c>
      <c r="V526" t="s">
        <v>194</v>
      </c>
      <c r="W526" t="s">
        <v>9300</v>
      </c>
      <c r="Z526" t="s">
        <v>9311</v>
      </c>
      <c r="AF526" t="s">
        <v>4714</v>
      </c>
      <c r="AG526" t="s">
        <v>15326</v>
      </c>
      <c r="AI526" t="s">
        <v>6955</v>
      </c>
      <c r="AJ526" s="27" t="str">
        <f t="shared" si="16"/>
        <v>252201</v>
      </c>
      <c r="AK526" s="27">
        <v>1</v>
      </c>
      <c r="AL526" s="27">
        <f t="shared" si="17"/>
        <v>1</v>
      </c>
      <c r="AM526" s="28">
        <v>1</v>
      </c>
    </row>
    <row r="527" spans="1:39" x14ac:dyDescent="0.25">
      <c r="A527" t="s">
        <v>15330</v>
      </c>
      <c r="B527" t="s">
        <v>261</v>
      </c>
      <c r="C527" t="s">
        <v>74</v>
      </c>
      <c r="D527" s="25" t="s">
        <v>14750</v>
      </c>
      <c r="E527" t="s">
        <v>192</v>
      </c>
      <c r="F527" s="28">
        <v>1</v>
      </c>
      <c r="G527" t="s">
        <v>193</v>
      </c>
      <c r="H527" t="s">
        <v>194</v>
      </c>
      <c r="I527" t="s">
        <v>14788</v>
      </c>
      <c r="J527" t="s">
        <v>276</v>
      </c>
      <c r="K527" t="s">
        <v>15331</v>
      </c>
      <c r="L527" t="s">
        <v>6249</v>
      </c>
      <c r="M527" t="s">
        <v>15025</v>
      </c>
      <c r="N527" t="s">
        <v>14780</v>
      </c>
      <c r="O527" t="s">
        <v>13125</v>
      </c>
      <c r="P527" t="s">
        <v>15332</v>
      </c>
      <c r="Q527" t="s">
        <v>15333</v>
      </c>
      <c r="S527" t="s">
        <v>9309</v>
      </c>
      <c r="T527" t="s">
        <v>9786</v>
      </c>
      <c r="U527" t="s">
        <v>246</v>
      </c>
      <c r="V527" t="s">
        <v>194</v>
      </c>
      <c r="W527" t="s">
        <v>9300</v>
      </c>
      <c r="Z527" t="s">
        <v>9311</v>
      </c>
      <c r="AF527" t="s">
        <v>4714</v>
      </c>
      <c r="AG527" t="s">
        <v>261</v>
      </c>
      <c r="AI527" t="s">
        <v>6955</v>
      </c>
      <c r="AJ527" s="27" t="str">
        <f t="shared" si="16"/>
        <v>142004</v>
      </c>
      <c r="AK527" s="27">
        <v>1</v>
      </c>
      <c r="AL527" s="27">
        <f t="shared" si="17"/>
        <v>1</v>
      </c>
      <c r="AM527" s="28">
        <v>1</v>
      </c>
    </row>
    <row r="528" spans="1:39" x14ac:dyDescent="0.25">
      <c r="A528" t="s">
        <v>15334</v>
      </c>
      <c r="B528" t="s">
        <v>15335</v>
      </c>
      <c r="C528" t="s">
        <v>17</v>
      </c>
      <c r="D528" s="25" t="s">
        <v>14750</v>
      </c>
      <c r="E528" t="s">
        <v>192</v>
      </c>
      <c r="F528" s="28">
        <v>1</v>
      </c>
      <c r="G528" t="s">
        <v>193</v>
      </c>
      <c r="H528" t="s">
        <v>194</v>
      </c>
      <c r="I528" t="s">
        <v>14777</v>
      </c>
      <c r="J528" t="s">
        <v>9302</v>
      </c>
      <c r="K528" t="s">
        <v>15336</v>
      </c>
      <c r="L528" t="s">
        <v>6302</v>
      </c>
      <c r="M528" t="s">
        <v>14779</v>
      </c>
      <c r="N528" t="s">
        <v>14780</v>
      </c>
      <c r="O528" t="s">
        <v>13125</v>
      </c>
      <c r="P528" t="s">
        <v>15337</v>
      </c>
      <c r="Q528" t="s">
        <v>15338</v>
      </c>
      <c r="S528" t="s">
        <v>9309</v>
      </c>
      <c r="U528" t="s">
        <v>624</v>
      </c>
      <c r="V528" t="s">
        <v>193</v>
      </c>
      <c r="W528" t="s">
        <v>9310</v>
      </c>
      <c r="Z528" t="s">
        <v>9311</v>
      </c>
      <c r="AF528" t="s">
        <v>4714</v>
      </c>
      <c r="AG528" t="s">
        <v>15335</v>
      </c>
      <c r="AI528" t="s">
        <v>6955</v>
      </c>
      <c r="AJ528" s="27" t="str">
        <f t="shared" si="16"/>
        <v>332203</v>
      </c>
      <c r="AK528" s="27">
        <v>1</v>
      </c>
      <c r="AL528" s="27">
        <f t="shared" si="17"/>
        <v>1</v>
      </c>
      <c r="AM528" s="28">
        <v>1</v>
      </c>
    </row>
    <row r="529" spans="1:39" x14ac:dyDescent="0.25">
      <c r="A529" t="s">
        <v>15339</v>
      </c>
      <c r="B529" t="s">
        <v>15340</v>
      </c>
      <c r="C529" t="s">
        <v>15341</v>
      </c>
      <c r="D529" s="25" t="s">
        <v>14750</v>
      </c>
      <c r="E529" t="s">
        <v>192</v>
      </c>
      <c r="F529" s="28">
        <v>1</v>
      </c>
      <c r="G529" t="s">
        <v>193</v>
      </c>
      <c r="H529" t="s">
        <v>194</v>
      </c>
      <c r="I529" t="s">
        <v>14788</v>
      </c>
      <c r="J529" t="s">
        <v>9302</v>
      </c>
      <c r="K529" t="s">
        <v>15342</v>
      </c>
      <c r="L529" t="s">
        <v>6389</v>
      </c>
      <c r="M529" t="s">
        <v>14779</v>
      </c>
      <c r="N529" t="s">
        <v>14780</v>
      </c>
      <c r="O529" t="s">
        <v>13125</v>
      </c>
      <c r="P529" t="s">
        <v>15343</v>
      </c>
      <c r="Q529" t="s">
        <v>15344</v>
      </c>
      <c r="S529" t="s">
        <v>9309</v>
      </c>
      <c r="U529" t="s">
        <v>15345</v>
      </c>
      <c r="V529" t="s">
        <v>193</v>
      </c>
      <c r="W529" t="s">
        <v>9310</v>
      </c>
      <c r="Z529" t="s">
        <v>9311</v>
      </c>
      <c r="AF529" t="s">
        <v>4714</v>
      </c>
      <c r="AG529" t="s">
        <v>15340</v>
      </c>
      <c r="AI529" t="s">
        <v>6955</v>
      </c>
      <c r="AJ529" s="27" t="str">
        <f t="shared" si="16"/>
        <v>243102</v>
      </c>
      <c r="AK529" s="27">
        <v>1</v>
      </c>
      <c r="AL529" s="27">
        <f t="shared" si="17"/>
        <v>1</v>
      </c>
      <c r="AM529" s="28">
        <v>1</v>
      </c>
    </row>
    <row r="530" spans="1:39" x14ac:dyDescent="0.25">
      <c r="A530" t="s">
        <v>15346</v>
      </c>
      <c r="B530" t="s">
        <v>15347</v>
      </c>
      <c r="C530" t="s">
        <v>1133</v>
      </c>
      <c r="D530" s="25" t="s">
        <v>14750</v>
      </c>
      <c r="E530" t="s">
        <v>192</v>
      </c>
      <c r="F530" s="28">
        <v>1</v>
      </c>
      <c r="G530" t="s">
        <v>193</v>
      </c>
      <c r="H530" t="s">
        <v>194</v>
      </c>
      <c r="I530" t="s">
        <v>14777</v>
      </c>
      <c r="J530" t="s">
        <v>9302</v>
      </c>
      <c r="K530" t="s">
        <v>15348</v>
      </c>
      <c r="L530" t="s">
        <v>6327</v>
      </c>
      <c r="M530" t="s">
        <v>14779</v>
      </c>
      <c r="N530" t="s">
        <v>14780</v>
      </c>
      <c r="O530" t="s">
        <v>13125</v>
      </c>
      <c r="P530" t="s">
        <v>15349</v>
      </c>
      <c r="Q530" t="s">
        <v>15350</v>
      </c>
      <c r="S530" t="s">
        <v>9309</v>
      </c>
      <c r="U530" t="s">
        <v>1134</v>
      </c>
      <c r="V530" t="s">
        <v>193</v>
      </c>
      <c r="W530" t="s">
        <v>9310</v>
      </c>
      <c r="Z530" t="s">
        <v>9311</v>
      </c>
      <c r="AF530" t="s">
        <v>4714</v>
      </c>
      <c r="AG530" t="s">
        <v>15347</v>
      </c>
      <c r="AI530" t="s">
        <v>6955</v>
      </c>
      <c r="AJ530" s="27" t="str">
        <f t="shared" si="16"/>
        <v>112008</v>
      </c>
      <c r="AK530" s="27">
        <v>1</v>
      </c>
      <c r="AL530" s="27">
        <f t="shared" si="17"/>
        <v>1</v>
      </c>
      <c r="AM530" s="28">
        <v>1</v>
      </c>
    </row>
    <row r="531" spans="1:39" x14ac:dyDescent="0.25">
      <c r="A531" t="s">
        <v>15351</v>
      </c>
      <c r="B531" t="s">
        <v>15352</v>
      </c>
      <c r="C531" t="s">
        <v>31</v>
      </c>
      <c r="D531" s="25" t="s">
        <v>14750</v>
      </c>
      <c r="E531" t="s">
        <v>252</v>
      </c>
      <c r="F531" s="28">
        <v>1</v>
      </c>
      <c r="G531" t="s">
        <v>193</v>
      </c>
      <c r="H531" t="s">
        <v>194</v>
      </c>
      <c r="I531" t="s">
        <v>14777</v>
      </c>
      <c r="J531" t="s">
        <v>210</v>
      </c>
      <c r="K531" t="s">
        <v>15353</v>
      </c>
      <c r="L531" t="s">
        <v>6312</v>
      </c>
      <c r="M531" t="s">
        <v>15054</v>
      </c>
      <c r="N531" t="s">
        <v>14888</v>
      </c>
      <c r="O531" t="s">
        <v>13164</v>
      </c>
      <c r="P531" t="s">
        <v>15354</v>
      </c>
      <c r="Q531" t="s">
        <v>15355</v>
      </c>
      <c r="S531" t="s">
        <v>9309</v>
      </c>
      <c r="T531" t="s">
        <v>9334</v>
      </c>
      <c r="U531" t="s">
        <v>1884</v>
      </c>
      <c r="V531" t="s">
        <v>194</v>
      </c>
      <c r="W531" t="s">
        <v>9300</v>
      </c>
      <c r="Z531" t="s">
        <v>9311</v>
      </c>
      <c r="AF531" t="s">
        <v>4714</v>
      </c>
      <c r="AG531" t="s">
        <v>9433</v>
      </c>
      <c r="AI531" t="s">
        <v>6955</v>
      </c>
      <c r="AJ531" s="27" t="str">
        <f t="shared" si="16"/>
        <v>229201</v>
      </c>
      <c r="AK531" s="27">
        <v>1</v>
      </c>
      <c r="AL531" s="27">
        <f t="shared" si="17"/>
        <v>1</v>
      </c>
      <c r="AM531" s="28">
        <v>1</v>
      </c>
    </row>
    <row r="532" spans="1:39" x14ac:dyDescent="0.25">
      <c r="A532" t="s">
        <v>15356</v>
      </c>
      <c r="B532" t="s">
        <v>15357</v>
      </c>
      <c r="C532" t="s">
        <v>82</v>
      </c>
      <c r="D532" s="25" t="s">
        <v>14750</v>
      </c>
      <c r="E532" t="s">
        <v>192</v>
      </c>
      <c r="F532" s="28">
        <v>1</v>
      </c>
      <c r="G532" t="s">
        <v>193</v>
      </c>
      <c r="H532" t="s">
        <v>194</v>
      </c>
      <c r="I532" t="s">
        <v>14777</v>
      </c>
      <c r="J532" t="s">
        <v>9302</v>
      </c>
      <c r="K532" t="s">
        <v>15358</v>
      </c>
      <c r="L532" t="s">
        <v>6921</v>
      </c>
      <c r="M532" t="s">
        <v>14779</v>
      </c>
      <c r="N532" t="s">
        <v>14780</v>
      </c>
      <c r="O532" t="s">
        <v>13125</v>
      </c>
      <c r="P532" t="s">
        <v>15359</v>
      </c>
      <c r="Q532" t="s">
        <v>15360</v>
      </c>
      <c r="S532" t="s">
        <v>9309</v>
      </c>
      <c r="U532" t="s">
        <v>504</v>
      </c>
      <c r="V532" t="s">
        <v>193</v>
      </c>
      <c r="W532" t="s">
        <v>9310</v>
      </c>
      <c r="Z532" t="s">
        <v>9311</v>
      </c>
      <c r="AF532" t="s">
        <v>4714</v>
      </c>
      <c r="AG532" t="s">
        <v>15357</v>
      </c>
      <c r="AI532" t="s">
        <v>6955</v>
      </c>
      <c r="AJ532" s="27" t="str">
        <f t="shared" si="16"/>
        <v>252101</v>
      </c>
      <c r="AK532" s="27">
        <v>1</v>
      </c>
      <c r="AL532" s="27">
        <f t="shared" si="17"/>
        <v>1</v>
      </c>
      <c r="AM532" s="28">
        <v>1</v>
      </c>
    </row>
    <row r="533" spans="1:39" x14ac:dyDescent="0.25">
      <c r="A533" t="s">
        <v>15361</v>
      </c>
      <c r="B533" t="s">
        <v>632</v>
      </c>
      <c r="C533" t="s">
        <v>17</v>
      </c>
      <c r="D533" s="25" t="s">
        <v>14750</v>
      </c>
      <c r="E533" t="s">
        <v>192</v>
      </c>
      <c r="F533" s="28">
        <v>1</v>
      </c>
      <c r="G533" t="s">
        <v>193</v>
      </c>
      <c r="H533" t="s">
        <v>194</v>
      </c>
      <c r="I533" t="s">
        <v>14788</v>
      </c>
      <c r="J533" t="s">
        <v>9302</v>
      </c>
      <c r="K533" t="s">
        <v>15362</v>
      </c>
      <c r="L533" t="s">
        <v>6288</v>
      </c>
      <c r="M533" t="s">
        <v>14809</v>
      </c>
      <c r="N533" t="s">
        <v>14780</v>
      </c>
      <c r="O533" t="s">
        <v>13125</v>
      </c>
      <c r="P533" t="s">
        <v>15363</v>
      </c>
      <c r="Q533" t="s">
        <v>15364</v>
      </c>
      <c r="S533" t="s">
        <v>9309</v>
      </c>
      <c r="U533" t="s">
        <v>624</v>
      </c>
      <c r="V533" t="s">
        <v>193</v>
      </c>
      <c r="W533" t="s">
        <v>9310</v>
      </c>
      <c r="Z533" t="s">
        <v>9311</v>
      </c>
      <c r="AF533" t="s">
        <v>4714</v>
      </c>
      <c r="AG533" t="s">
        <v>17</v>
      </c>
      <c r="AI533" t="s">
        <v>6955</v>
      </c>
      <c r="AJ533" s="27" t="str">
        <f t="shared" si="16"/>
        <v>332203</v>
      </c>
      <c r="AK533" s="27">
        <v>1</v>
      </c>
      <c r="AL533" s="27">
        <f t="shared" si="17"/>
        <v>1</v>
      </c>
      <c r="AM533" s="28">
        <v>1</v>
      </c>
    </row>
    <row r="534" spans="1:39" x14ac:dyDescent="0.25">
      <c r="A534" t="s">
        <v>15365</v>
      </c>
      <c r="B534" t="s">
        <v>15366</v>
      </c>
      <c r="C534" t="s">
        <v>554</v>
      </c>
      <c r="D534" s="25" t="s">
        <v>14750</v>
      </c>
      <c r="E534" t="s">
        <v>233</v>
      </c>
      <c r="F534" s="28">
        <v>1</v>
      </c>
      <c r="G534" t="s">
        <v>193</v>
      </c>
      <c r="H534" t="s">
        <v>194</v>
      </c>
      <c r="I534" t="s">
        <v>13110</v>
      </c>
      <c r="J534" t="s">
        <v>9302</v>
      </c>
      <c r="K534" t="s">
        <v>15367</v>
      </c>
      <c r="L534" t="s">
        <v>6245</v>
      </c>
      <c r="M534" t="s">
        <v>14887</v>
      </c>
      <c r="N534" t="s">
        <v>14888</v>
      </c>
      <c r="O534" t="s">
        <v>13303</v>
      </c>
      <c r="P534" t="s">
        <v>15368</v>
      </c>
      <c r="Q534" t="s">
        <v>15369</v>
      </c>
      <c r="S534" t="s">
        <v>9309</v>
      </c>
      <c r="U534" t="s">
        <v>555</v>
      </c>
      <c r="V534" t="s">
        <v>193</v>
      </c>
      <c r="W534" t="s">
        <v>9310</v>
      </c>
      <c r="Z534" t="s">
        <v>9311</v>
      </c>
      <c r="AF534" t="s">
        <v>4714</v>
      </c>
      <c r="AG534" t="s">
        <v>15366</v>
      </c>
      <c r="AI534" t="s">
        <v>6955</v>
      </c>
      <c r="AJ534" s="27" t="str">
        <f t="shared" si="16"/>
        <v>311303</v>
      </c>
      <c r="AK534" s="27">
        <v>1</v>
      </c>
      <c r="AL534" s="27">
        <f t="shared" si="17"/>
        <v>1</v>
      </c>
      <c r="AM534" s="28">
        <v>1</v>
      </c>
    </row>
    <row r="535" spans="1:39" x14ac:dyDescent="0.25">
      <c r="A535" t="s">
        <v>15365</v>
      </c>
      <c r="B535" t="s">
        <v>836</v>
      </c>
      <c r="C535" t="s">
        <v>3645</v>
      </c>
      <c r="D535" s="25" t="s">
        <v>14750</v>
      </c>
      <c r="E535" t="s">
        <v>233</v>
      </c>
      <c r="F535" s="28">
        <v>1</v>
      </c>
      <c r="G535" t="s">
        <v>193</v>
      </c>
      <c r="H535" t="s">
        <v>194</v>
      </c>
      <c r="I535" t="s">
        <v>14788</v>
      </c>
      <c r="J535" t="s">
        <v>9302</v>
      </c>
      <c r="K535" t="s">
        <v>15370</v>
      </c>
      <c r="L535" t="s">
        <v>6256</v>
      </c>
      <c r="M535" t="s">
        <v>14887</v>
      </c>
      <c r="N535" t="s">
        <v>14888</v>
      </c>
      <c r="O535" t="s">
        <v>13303</v>
      </c>
      <c r="P535" t="s">
        <v>15371</v>
      </c>
      <c r="Q535" t="s">
        <v>15372</v>
      </c>
      <c r="S535" t="s">
        <v>9309</v>
      </c>
      <c r="U535" t="s">
        <v>3647</v>
      </c>
      <c r="V535" t="s">
        <v>193</v>
      </c>
      <c r="W535" t="s">
        <v>9310</v>
      </c>
      <c r="Z535" t="s">
        <v>9311</v>
      </c>
      <c r="AF535" t="s">
        <v>4714</v>
      </c>
      <c r="AG535" t="s">
        <v>836</v>
      </c>
      <c r="AI535" t="s">
        <v>6955</v>
      </c>
      <c r="AJ535" s="27" t="str">
        <f t="shared" si="16"/>
        <v>741207</v>
      </c>
      <c r="AK535" s="27">
        <v>1</v>
      </c>
      <c r="AL535" s="27">
        <f t="shared" si="17"/>
        <v>1</v>
      </c>
      <c r="AM535" s="28">
        <v>1</v>
      </c>
    </row>
    <row r="536" spans="1:39" x14ac:dyDescent="0.25">
      <c r="A536" t="s">
        <v>15365</v>
      </c>
      <c r="B536" t="s">
        <v>6565</v>
      </c>
      <c r="C536" t="s">
        <v>1325</v>
      </c>
      <c r="D536" s="25" t="s">
        <v>14750</v>
      </c>
      <c r="E536" t="s">
        <v>233</v>
      </c>
      <c r="F536" s="28">
        <v>1</v>
      </c>
      <c r="G536" t="s">
        <v>193</v>
      </c>
      <c r="H536" t="s">
        <v>194</v>
      </c>
      <c r="I536" t="s">
        <v>14777</v>
      </c>
      <c r="J536" t="s">
        <v>9302</v>
      </c>
      <c r="K536" t="s">
        <v>15373</v>
      </c>
      <c r="L536" t="s">
        <v>6256</v>
      </c>
      <c r="M536" t="s">
        <v>14887</v>
      </c>
      <c r="N536" t="s">
        <v>14888</v>
      </c>
      <c r="O536" t="s">
        <v>13303</v>
      </c>
      <c r="P536" t="s">
        <v>15374</v>
      </c>
      <c r="Q536" t="s">
        <v>15375</v>
      </c>
      <c r="S536" t="s">
        <v>9309</v>
      </c>
      <c r="U536" t="s">
        <v>1327</v>
      </c>
      <c r="V536" t="s">
        <v>193</v>
      </c>
      <c r="W536" t="s">
        <v>9310</v>
      </c>
      <c r="Z536" t="s">
        <v>9311</v>
      </c>
      <c r="AF536" t="s">
        <v>4714</v>
      </c>
      <c r="AG536" t="s">
        <v>6565</v>
      </c>
      <c r="AI536" t="s">
        <v>6955</v>
      </c>
      <c r="AJ536" s="27" t="str">
        <f t="shared" si="16"/>
        <v>931301</v>
      </c>
      <c r="AK536" s="27">
        <v>1</v>
      </c>
      <c r="AL536" s="27">
        <f t="shared" si="17"/>
        <v>1</v>
      </c>
      <c r="AM536" s="28">
        <v>1</v>
      </c>
    </row>
    <row r="537" spans="1:39" x14ac:dyDescent="0.25">
      <c r="A537" t="s">
        <v>3217</v>
      </c>
      <c r="B537" t="s">
        <v>12036</v>
      </c>
      <c r="C537" t="s">
        <v>67</v>
      </c>
      <c r="D537" s="25" t="s">
        <v>14750</v>
      </c>
      <c r="E537" t="s">
        <v>192</v>
      </c>
      <c r="F537" s="28">
        <v>1</v>
      </c>
      <c r="G537" t="s">
        <v>193</v>
      </c>
      <c r="H537" t="s">
        <v>194</v>
      </c>
      <c r="I537" t="s">
        <v>14788</v>
      </c>
      <c r="J537" t="s">
        <v>210</v>
      </c>
      <c r="K537" t="s">
        <v>15376</v>
      </c>
      <c r="L537" t="s">
        <v>6266</v>
      </c>
      <c r="M537" t="s">
        <v>15025</v>
      </c>
      <c r="N537" t="s">
        <v>14780</v>
      </c>
      <c r="O537" t="s">
        <v>13125</v>
      </c>
      <c r="P537" t="s">
        <v>15377</v>
      </c>
      <c r="Q537" t="s">
        <v>15378</v>
      </c>
      <c r="S537" t="s">
        <v>9309</v>
      </c>
      <c r="T537" t="s">
        <v>9334</v>
      </c>
      <c r="U537" t="s">
        <v>709</v>
      </c>
      <c r="V537" t="s">
        <v>194</v>
      </c>
      <c r="W537" t="s">
        <v>9300</v>
      </c>
      <c r="Z537" t="s">
        <v>9311</v>
      </c>
      <c r="AF537" t="s">
        <v>4714</v>
      </c>
      <c r="AG537" t="s">
        <v>12036</v>
      </c>
      <c r="AI537" t="s">
        <v>6955</v>
      </c>
      <c r="AJ537" s="27" t="str">
        <f t="shared" si="16"/>
        <v>432103</v>
      </c>
      <c r="AK537" s="27">
        <v>1</v>
      </c>
      <c r="AL537" s="27">
        <f t="shared" si="17"/>
        <v>1</v>
      </c>
      <c r="AM537" s="28">
        <v>1</v>
      </c>
    </row>
    <row r="538" spans="1:39" x14ac:dyDescent="0.25">
      <c r="A538" t="s">
        <v>15379</v>
      </c>
      <c r="B538" t="s">
        <v>15380</v>
      </c>
      <c r="C538" t="s">
        <v>136</v>
      </c>
      <c r="D538" s="25" t="s">
        <v>14750</v>
      </c>
      <c r="E538" t="s">
        <v>192</v>
      </c>
      <c r="F538" s="28">
        <v>1</v>
      </c>
      <c r="G538" t="s">
        <v>193</v>
      </c>
      <c r="H538" t="s">
        <v>194</v>
      </c>
      <c r="I538" t="s">
        <v>14022</v>
      </c>
      <c r="J538" t="s">
        <v>210</v>
      </c>
      <c r="K538" t="s">
        <v>15381</v>
      </c>
      <c r="L538" t="s">
        <v>6343</v>
      </c>
      <c r="M538" t="s">
        <v>15025</v>
      </c>
      <c r="N538" t="s">
        <v>14780</v>
      </c>
      <c r="O538" t="s">
        <v>13125</v>
      </c>
      <c r="P538" t="s">
        <v>15382</v>
      </c>
      <c r="Q538" t="s">
        <v>15383</v>
      </c>
      <c r="S538" t="s">
        <v>9309</v>
      </c>
      <c r="T538" t="s">
        <v>9334</v>
      </c>
      <c r="U538" t="s">
        <v>461</v>
      </c>
      <c r="V538" t="s">
        <v>194</v>
      </c>
      <c r="W538" t="s">
        <v>9300</v>
      </c>
      <c r="Z538" t="s">
        <v>9311</v>
      </c>
      <c r="AF538" t="s">
        <v>4714</v>
      </c>
      <c r="AG538" t="s">
        <v>15380</v>
      </c>
      <c r="AI538" t="s">
        <v>6955</v>
      </c>
      <c r="AJ538" s="27" t="str">
        <f t="shared" si="16"/>
        <v>243301</v>
      </c>
      <c r="AK538" s="27">
        <v>1</v>
      </c>
      <c r="AL538" s="27">
        <f t="shared" si="17"/>
        <v>1</v>
      </c>
      <c r="AM538" s="28">
        <v>1</v>
      </c>
    </row>
    <row r="539" spans="1:39" x14ac:dyDescent="0.25">
      <c r="A539" t="s">
        <v>15384</v>
      </c>
      <c r="B539" t="s">
        <v>3801</v>
      </c>
      <c r="C539" t="s">
        <v>3801</v>
      </c>
      <c r="D539" s="25" t="s">
        <v>14750</v>
      </c>
      <c r="E539" t="s">
        <v>192</v>
      </c>
      <c r="F539" s="28">
        <v>1</v>
      </c>
      <c r="G539" t="s">
        <v>193</v>
      </c>
      <c r="H539" t="s">
        <v>194</v>
      </c>
      <c r="I539" t="s">
        <v>14788</v>
      </c>
      <c r="J539" t="s">
        <v>210</v>
      </c>
      <c r="K539" t="s">
        <v>15385</v>
      </c>
      <c r="L539" t="s">
        <v>6275</v>
      </c>
      <c r="M539" t="s">
        <v>14779</v>
      </c>
      <c r="N539" t="s">
        <v>14780</v>
      </c>
      <c r="O539" t="s">
        <v>13125</v>
      </c>
      <c r="P539" t="s">
        <v>15386</v>
      </c>
      <c r="Q539" t="s">
        <v>15387</v>
      </c>
      <c r="S539" t="s">
        <v>9309</v>
      </c>
      <c r="T539" t="s">
        <v>9334</v>
      </c>
      <c r="U539" t="s">
        <v>3802</v>
      </c>
      <c r="V539" t="s">
        <v>194</v>
      </c>
      <c r="W539" t="s">
        <v>9300</v>
      </c>
      <c r="Z539" t="s">
        <v>9311</v>
      </c>
      <c r="AF539" t="s">
        <v>4714</v>
      </c>
      <c r="AG539" t="s">
        <v>3801</v>
      </c>
      <c r="AI539" t="s">
        <v>6955</v>
      </c>
      <c r="AJ539" s="27" t="str">
        <f t="shared" si="16"/>
        <v>713203</v>
      </c>
      <c r="AK539" s="27">
        <v>1</v>
      </c>
      <c r="AL539" s="27">
        <f t="shared" si="17"/>
        <v>1</v>
      </c>
      <c r="AM539" s="28">
        <v>1</v>
      </c>
    </row>
    <row r="540" spans="1:39" x14ac:dyDescent="0.25">
      <c r="A540" t="s">
        <v>15388</v>
      </c>
      <c r="B540" t="s">
        <v>15389</v>
      </c>
      <c r="C540" t="s">
        <v>129</v>
      </c>
      <c r="D540" s="25" t="s">
        <v>14750</v>
      </c>
      <c r="E540" t="s">
        <v>192</v>
      </c>
      <c r="F540" s="28">
        <v>1</v>
      </c>
      <c r="G540" t="s">
        <v>193</v>
      </c>
      <c r="H540" t="s">
        <v>194</v>
      </c>
      <c r="I540" t="s">
        <v>14777</v>
      </c>
      <c r="J540" t="s">
        <v>9302</v>
      </c>
      <c r="K540" t="s">
        <v>15390</v>
      </c>
      <c r="L540" t="s">
        <v>6261</v>
      </c>
      <c r="M540" t="s">
        <v>14779</v>
      </c>
      <c r="N540" t="s">
        <v>14780</v>
      </c>
      <c r="O540" t="s">
        <v>13125</v>
      </c>
      <c r="P540" t="s">
        <v>15391</v>
      </c>
      <c r="Q540" t="s">
        <v>15392</v>
      </c>
      <c r="S540" t="s">
        <v>9309</v>
      </c>
      <c r="U540" t="s">
        <v>203</v>
      </c>
      <c r="V540" t="s">
        <v>193</v>
      </c>
      <c r="W540" t="s">
        <v>9310</v>
      </c>
      <c r="Z540" t="s">
        <v>9311</v>
      </c>
      <c r="AF540" t="s">
        <v>4714</v>
      </c>
      <c r="AG540" t="s">
        <v>15389</v>
      </c>
      <c r="AI540" t="s">
        <v>6955</v>
      </c>
      <c r="AJ540" s="27" t="str">
        <f t="shared" si="16"/>
        <v>121904</v>
      </c>
      <c r="AK540" s="27">
        <v>1</v>
      </c>
      <c r="AL540" s="27">
        <f t="shared" si="17"/>
        <v>1</v>
      </c>
      <c r="AM540" s="28">
        <v>1</v>
      </c>
    </row>
    <row r="541" spans="1:39" x14ac:dyDescent="0.25">
      <c r="A541" t="s">
        <v>491</v>
      </c>
      <c r="B541" t="s">
        <v>4055</v>
      </c>
      <c r="C541" t="s">
        <v>10</v>
      </c>
      <c r="D541" s="25" t="s">
        <v>14750</v>
      </c>
      <c r="E541" t="s">
        <v>192</v>
      </c>
      <c r="F541" s="28">
        <v>1</v>
      </c>
      <c r="G541" t="s">
        <v>193</v>
      </c>
      <c r="H541" t="s">
        <v>194</v>
      </c>
      <c r="I541" t="s">
        <v>14788</v>
      </c>
      <c r="J541" t="s">
        <v>210</v>
      </c>
      <c r="K541" t="s">
        <v>15393</v>
      </c>
      <c r="L541" t="s">
        <v>6261</v>
      </c>
      <c r="M541" t="s">
        <v>14779</v>
      </c>
      <c r="N541" t="s">
        <v>14780</v>
      </c>
      <c r="O541" t="s">
        <v>13125</v>
      </c>
      <c r="P541" t="s">
        <v>15394</v>
      </c>
      <c r="Q541" t="s">
        <v>15395</v>
      </c>
      <c r="S541" t="s">
        <v>9309</v>
      </c>
      <c r="T541" t="s">
        <v>9334</v>
      </c>
      <c r="U541" t="s">
        <v>484</v>
      </c>
      <c r="V541" t="s">
        <v>194</v>
      </c>
      <c r="W541" t="s">
        <v>9300</v>
      </c>
      <c r="Z541" t="s">
        <v>9311</v>
      </c>
      <c r="AF541" t="s">
        <v>4714</v>
      </c>
      <c r="AG541" t="s">
        <v>4055</v>
      </c>
      <c r="AI541" t="s">
        <v>6955</v>
      </c>
      <c r="AJ541" s="27" t="str">
        <f t="shared" si="16"/>
        <v>251401</v>
      </c>
      <c r="AK541" s="27">
        <v>1</v>
      </c>
      <c r="AL541" s="27">
        <f t="shared" si="17"/>
        <v>1</v>
      </c>
      <c r="AM541" s="28">
        <v>1</v>
      </c>
    </row>
    <row r="542" spans="1:39" x14ac:dyDescent="0.25">
      <c r="A542" t="s">
        <v>491</v>
      </c>
      <c r="B542" t="s">
        <v>15396</v>
      </c>
      <c r="C542" t="s">
        <v>444</v>
      </c>
      <c r="D542" s="25" t="s">
        <v>14750</v>
      </c>
      <c r="E542" t="s">
        <v>192</v>
      </c>
      <c r="F542" s="28">
        <v>1</v>
      </c>
      <c r="G542" t="s">
        <v>193</v>
      </c>
      <c r="H542" t="s">
        <v>194</v>
      </c>
      <c r="I542" t="s">
        <v>14777</v>
      </c>
      <c r="J542" t="s">
        <v>210</v>
      </c>
      <c r="K542" t="s">
        <v>15397</v>
      </c>
      <c r="L542" t="s">
        <v>6261</v>
      </c>
      <c r="M542" t="s">
        <v>14779</v>
      </c>
      <c r="N542" t="s">
        <v>14780</v>
      </c>
      <c r="O542" t="s">
        <v>13125</v>
      </c>
      <c r="P542" t="s">
        <v>15398</v>
      </c>
      <c r="Q542" t="s">
        <v>15399</v>
      </c>
      <c r="S542" t="s">
        <v>9309</v>
      </c>
      <c r="T542" t="s">
        <v>9334</v>
      </c>
      <c r="U542" t="s">
        <v>445</v>
      </c>
      <c r="V542" t="s">
        <v>194</v>
      </c>
      <c r="W542" t="s">
        <v>9300</v>
      </c>
      <c r="Z542" t="s">
        <v>9311</v>
      </c>
      <c r="AF542" t="s">
        <v>4714</v>
      </c>
      <c r="AG542" t="s">
        <v>15396</v>
      </c>
      <c r="AI542" t="s">
        <v>6955</v>
      </c>
      <c r="AJ542" s="27" t="str">
        <f t="shared" si="16"/>
        <v>243103</v>
      </c>
      <c r="AK542" s="27">
        <v>1</v>
      </c>
      <c r="AL542" s="27">
        <f t="shared" si="17"/>
        <v>1</v>
      </c>
      <c r="AM542" s="28">
        <v>1</v>
      </c>
    </row>
    <row r="543" spans="1:39" x14ac:dyDescent="0.25">
      <c r="A543" t="s">
        <v>491</v>
      </c>
      <c r="B543" t="s">
        <v>2849</v>
      </c>
      <c r="C543" t="s">
        <v>10</v>
      </c>
      <c r="D543" s="25" t="s">
        <v>14750</v>
      </c>
      <c r="E543" t="s">
        <v>192</v>
      </c>
      <c r="F543" s="28">
        <v>1</v>
      </c>
      <c r="G543" t="s">
        <v>193</v>
      </c>
      <c r="H543" t="s">
        <v>194</v>
      </c>
      <c r="I543" t="s">
        <v>14788</v>
      </c>
      <c r="J543" t="s">
        <v>210</v>
      </c>
      <c r="K543" t="s">
        <v>15400</v>
      </c>
      <c r="L543" t="s">
        <v>6261</v>
      </c>
      <c r="M543" t="s">
        <v>14779</v>
      </c>
      <c r="N543" t="s">
        <v>14780</v>
      </c>
      <c r="O543" t="s">
        <v>13125</v>
      </c>
      <c r="P543" t="s">
        <v>15401</v>
      </c>
      <c r="Q543" t="s">
        <v>15402</v>
      </c>
      <c r="S543" t="s">
        <v>9309</v>
      </c>
      <c r="T543" t="s">
        <v>9334</v>
      </c>
      <c r="U543" t="s">
        <v>484</v>
      </c>
      <c r="V543" t="s">
        <v>194</v>
      </c>
      <c r="W543" t="s">
        <v>9300</v>
      </c>
      <c r="Z543" t="s">
        <v>9311</v>
      </c>
      <c r="AF543" t="s">
        <v>4714</v>
      </c>
      <c r="AG543" t="s">
        <v>2849</v>
      </c>
      <c r="AI543" t="s">
        <v>6955</v>
      </c>
      <c r="AJ543" s="27" t="str">
        <f t="shared" si="16"/>
        <v>251401</v>
      </c>
      <c r="AK543" s="27">
        <v>1</v>
      </c>
      <c r="AL543" s="27">
        <f t="shared" si="17"/>
        <v>1</v>
      </c>
      <c r="AM543" s="28">
        <v>1</v>
      </c>
    </row>
    <row r="544" spans="1:39" x14ac:dyDescent="0.25">
      <c r="A544" t="s">
        <v>491</v>
      </c>
      <c r="B544" t="s">
        <v>2860</v>
      </c>
      <c r="C544" t="s">
        <v>2861</v>
      </c>
      <c r="D544" s="25" t="s">
        <v>14750</v>
      </c>
      <c r="E544" t="s">
        <v>192</v>
      </c>
      <c r="F544" s="28">
        <v>1</v>
      </c>
      <c r="G544" t="s">
        <v>193</v>
      </c>
      <c r="H544" t="s">
        <v>194</v>
      </c>
      <c r="I544" t="s">
        <v>14022</v>
      </c>
      <c r="J544" t="s">
        <v>210</v>
      </c>
      <c r="K544" t="s">
        <v>15403</v>
      </c>
      <c r="L544" t="s">
        <v>6261</v>
      </c>
      <c r="M544" t="s">
        <v>14779</v>
      </c>
      <c r="N544" t="s">
        <v>14780</v>
      </c>
      <c r="O544" t="s">
        <v>13125</v>
      </c>
      <c r="P544" t="s">
        <v>15404</v>
      </c>
      <c r="Q544" t="s">
        <v>15405</v>
      </c>
      <c r="S544" t="s">
        <v>9309</v>
      </c>
      <c r="T544" t="s">
        <v>9334</v>
      </c>
      <c r="U544" t="s">
        <v>3629</v>
      </c>
      <c r="V544" t="s">
        <v>194</v>
      </c>
      <c r="W544" t="s">
        <v>9300</v>
      </c>
      <c r="Z544" t="s">
        <v>9311</v>
      </c>
      <c r="AF544" t="s">
        <v>4714</v>
      </c>
      <c r="AG544" t="s">
        <v>2860</v>
      </c>
      <c r="AI544" t="s">
        <v>6955</v>
      </c>
      <c r="AJ544" s="27" t="str">
        <f t="shared" si="16"/>
        <v>251903</v>
      </c>
      <c r="AK544" s="27">
        <v>1</v>
      </c>
      <c r="AL544" s="27">
        <f t="shared" si="17"/>
        <v>1</v>
      </c>
      <c r="AM544" s="28">
        <v>1</v>
      </c>
    </row>
    <row r="545" spans="1:39" x14ac:dyDescent="0.25">
      <c r="A545" t="s">
        <v>4959</v>
      </c>
      <c r="B545" t="s">
        <v>1520</v>
      </c>
      <c r="C545" t="s">
        <v>15406</v>
      </c>
      <c r="D545" s="25" t="s">
        <v>14750</v>
      </c>
      <c r="E545" t="s">
        <v>233</v>
      </c>
      <c r="F545" s="28">
        <v>1</v>
      </c>
      <c r="G545" t="s">
        <v>193</v>
      </c>
      <c r="H545" t="s">
        <v>194</v>
      </c>
      <c r="I545" t="s">
        <v>14788</v>
      </c>
      <c r="J545" t="s">
        <v>210</v>
      </c>
      <c r="K545" t="s">
        <v>15407</v>
      </c>
      <c r="L545" t="s">
        <v>6306</v>
      </c>
      <c r="M545" t="s">
        <v>14887</v>
      </c>
      <c r="N545" t="s">
        <v>14888</v>
      </c>
      <c r="O545" t="s">
        <v>14022</v>
      </c>
      <c r="P545" t="s">
        <v>15408</v>
      </c>
      <c r="Q545" t="s">
        <v>15409</v>
      </c>
      <c r="S545" t="s">
        <v>9309</v>
      </c>
      <c r="T545" t="s">
        <v>9334</v>
      </c>
      <c r="U545" t="s">
        <v>15410</v>
      </c>
      <c r="V545" t="s">
        <v>194</v>
      </c>
      <c r="W545" t="s">
        <v>9300</v>
      </c>
      <c r="Z545" t="s">
        <v>9311</v>
      </c>
      <c r="AF545" t="s">
        <v>4714</v>
      </c>
      <c r="AG545" t="s">
        <v>1520</v>
      </c>
      <c r="AI545" t="s">
        <v>6955</v>
      </c>
      <c r="AJ545" s="27" t="str">
        <f t="shared" si="16"/>
        <v>216505</v>
      </c>
      <c r="AK545" s="27">
        <v>1</v>
      </c>
      <c r="AL545" s="27">
        <f t="shared" si="17"/>
        <v>1</v>
      </c>
      <c r="AM545" s="28">
        <v>1</v>
      </c>
    </row>
    <row r="546" spans="1:39" x14ac:dyDescent="0.25">
      <c r="A546" t="s">
        <v>15411</v>
      </c>
      <c r="B546" t="s">
        <v>15412</v>
      </c>
      <c r="C546" t="s">
        <v>148</v>
      </c>
      <c r="D546" s="25" t="s">
        <v>14750</v>
      </c>
      <c r="E546" t="s">
        <v>192</v>
      </c>
      <c r="F546" s="28">
        <v>1</v>
      </c>
      <c r="G546" t="s">
        <v>193</v>
      </c>
      <c r="H546" t="s">
        <v>194</v>
      </c>
      <c r="I546" t="s">
        <v>14777</v>
      </c>
      <c r="J546" t="s">
        <v>15413</v>
      </c>
      <c r="K546" t="s">
        <v>15414</v>
      </c>
      <c r="L546" t="s">
        <v>6245</v>
      </c>
      <c r="M546" t="s">
        <v>14779</v>
      </c>
      <c r="N546" t="s">
        <v>14780</v>
      </c>
      <c r="O546" t="s">
        <v>13125</v>
      </c>
      <c r="P546" t="s">
        <v>15415</v>
      </c>
      <c r="Q546" t="s">
        <v>15416</v>
      </c>
      <c r="S546" t="s">
        <v>9309</v>
      </c>
      <c r="U546" t="s">
        <v>661</v>
      </c>
      <c r="V546" t="s">
        <v>193</v>
      </c>
      <c r="W546" t="s">
        <v>9310</v>
      </c>
      <c r="Z546" t="s">
        <v>9311</v>
      </c>
      <c r="AF546" t="s">
        <v>4714</v>
      </c>
      <c r="AG546" t="s">
        <v>15412</v>
      </c>
      <c r="AI546" t="s">
        <v>6955</v>
      </c>
      <c r="AJ546" s="27" t="str">
        <f t="shared" si="16"/>
        <v>333104</v>
      </c>
      <c r="AK546" s="27">
        <v>1</v>
      </c>
      <c r="AL546" s="27">
        <f t="shared" si="17"/>
        <v>1</v>
      </c>
      <c r="AM546" s="28">
        <v>1</v>
      </c>
    </row>
    <row r="547" spans="1:39" x14ac:dyDescent="0.25">
      <c r="A547" t="s">
        <v>12819</v>
      </c>
      <c r="B547" t="s">
        <v>15417</v>
      </c>
      <c r="C547" t="s">
        <v>4977</v>
      </c>
      <c r="D547" s="25" t="s">
        <v>14750</v>
      </c>
      <c r="E547" t="s">
        <v>192</v>
      </c>
      <c r="F547" s="28">
        <v>1</v>
      </c>
      <c r="G547" t="s">
        <v>193</v>
      </c>
      <c r="H547" t="s">
        <v>194</v>
      </c>
      <c r="I547" t="s">
        <v>14022</v>
      </c>
      <c r="J547" t="s">
        <v>210</v>
      </c>
      <c r="K547" t="s">
        <v>15418</v>
      </c>
      <c r="L547" t="s">
        <v>6286</v>
      </c>
      <c r="M547" t="s">
        <v>14779</v>
      </c>
      <c r="N547" t="s">
        <v>14780</v>
      </c>
      <c r="O547" t="s">
        <v>13125</v>
      </c>
      <c r="P547" t="s">
        <v>15419</v>
      </c>
      <c r="Q547" t="s">
        <v>15420</v>
      </c>
      <c r="S547" t="s">
        <v>9309</v>
      </c>
      <c r="T547" t="s">
        <v>9334</v>
      </c>
      <c r="U547" t="s">
        <v>4978</v>
      </c>
      <c r="V547" t="s">
        <v>194</v>
      </c>
      <c r="W547" t="s">
        <v>9300</v>
      </c>
      <c r="Z547" t="s">
        <v>9311</v>
      </c>
      <c r="AF547" t="s">
        <v>4714</v>
      </c>
      <c r="AG547" t="s">
        <v>15417</v>
      </c>
      <c r="AI547" t="s">
        <v>6955</v>
      </c>
      <c r="AJ547" s="27" t="str">
        <f t="shared" si="16"/>
        <v>242217</v>
      </c>
      <c r="AK547" s="27">
        <v>1</v>
      </c>
      <c r="AL547" s="27">
        <f t="shared" si="17"/>
        <v>1</v>
      </c>
      <c r="AM547" s="28">
        <v>1</v>
      </c>
    </row>
    <row r="548" spans="1:39" x14ac:dyDescent="0.25">
      <c r="A548" t="s">
        <v>14606</v>
      </c>
      <c r="B548" t="s">
        <v>15421</v>
      </c>
      <c r="C548" t="s">
        <v>12</v>
      </c>
      <c r="D548" s="25" t="s">
        <v>14750</v>
      </c>
      <c r="E548" t="s">
        <v>192</v>
      </c>
      <c r="F548" s="28">
        <v>1</v>
      </c>
      <c r="G548" t="s">
        <v>193</v>
      </c>
      <c r="H548" t="s">
        <v>194</v>
      </c>
      <c r="I548" t="s">
        <v>14777</v>
      </c>
      <c r="J548" t="s">
        <v>9302</v>
      </c>
      <c r="K548" t="s">
        <v>15422</v>
      </c>
      <c r="L548" t="s">
        <v>6324</v>
      </c>
      <c r="M548" t="s">
        <v>14779</v>
      </c>
      <c r="N548" t="s">
        <v>14780</v>
      </c>
      <c r="O548" t="s">
        <v>13125</v>
      </c>
      <c r="P548" t="s">
        <v>15423</v>
      </c>
      <c r="Q548" t="s">
        <v>15424</v>
      </c>
      <c r="S548" t="s">
        <v>9309</v>
      </c>
      <c r="U548" t="s">
        <v>220</v>
      </c>
      <c r="V548" t="s">
        <v>193</v>
      </c>
      <c r="W548" t="s">
        <v>9310</v>
      </c>
      <c r="Z548" t="s">
        <v>9311</v>
      </c>
      <c r="AF548" t="s">
        <v>4714</v>
      </c>
      <c r="AG548" t="s">
        <v>15421</v>
      </c>
      <c r="AI548" t="s">
        <v>6955</v>
      </c>
      <c r="AJ548" s="27" t="str">
        <f t="shared" si="16"/>
        <v>132301</v>
      </c>
      <c r="AK548" s="27">
        <v>1</v>
      </c>
      <c r="AL548" s="27">
        <f t="shared" si="17"/>
        <v>1</v>
      </c>
      <c r="AM548" s="28">
        <v>1</v>
      </c>
    </row>
    <row r="549" spans="1:39" x14ac:dyDescent="0.25">
      <c r="A549" t="s">
        <v>14606</v>
      </c>
      <c r="B549" t="s">
        <v>15425</v>
      </c>
      <c r="C549" t="s">
        <v>296</v>
      </c>
      <c r="D549" s="25" t="s">
        <v>14750</v>
      </c>
      <c r="E549" t="s">
        <v>192</v>
      </c>
      <c r="F549" s="28">
        <v>1</v>
      </c>
      <c r="G549" t="s">
        <v>193</v>
      </c>
      <c r="H549" t="s">
        <v>194</v>
      </c>
      <c r="I549" t="s">
        <v>14777</v>
      </c>
      <c r="J549" t="s">
        <v>9302</v>
      </c>
      <c r="K549" t="s">
        <v>15426</v>
      </c>
      <c r="L549" t="s">
        <v>6324</v>
      </c>
      <c r="M549" t="s">
        <v>14779</v>
      </c>
      <c r="N549" t="s">
        <v>14780</v>
      </c>
      <c r="O549" t="s">
        <v>13125</v>
      </c>
      <c r="P549" t="s">
        <v>15427</v>
      </c>
      <c r="Q549" t="s">
        <v>15428</v>
      </c>
      <c r="S549" t="s">
        <v>9309</v>
      </c>
      <c r="U549" t="s">
        <v>297</v>
      </c>
      <c r="V549" t="s">
        <v>193</v>
      </c>
      <c r="W549" t="s">
        <v>9310</v>
      </c>
      <c r="Z549" t="s">
        <v>9311</v>
      </c>
      <c r="AF549" t="s">
        <v>4714</v>
      </c>
      <c r="AG549" t="s">
        <v>15425</v>
      </c>
      <c r="AI549" t="s">
        <v>6955</v>
      </c>
      <c r="AJ549" s="27" t="str">
        <f t="shared" si="16"/>
        <v>214204</v>
      </c>
      <c r="AK549" s="27">
        <v>1</v>
      </c>
      <c r="AL549" s="27">
        <f t="shared" si="17"/>
        <v>1</v>
      </c>
      <c r="AM549" s="28">
        <v>1</v>
      </c>
    </row>
    <row r="550" spans="1:39" x14ac:dyDescent="0.25">
      <c r="A550" t="s">
        <v>11327</v>
      </c>
      <c r="B550" t="s">
        <v>15429</v>
      </c>
      <c r="C550" t="s">
        <v>46</v>
      </c>
      <c r="D550" s="25" t="s">
        <v>14750</v>
      </c>
      <c r="E550" t="s">
        <v>192</v>
      </c>
      <c r="F550" s="28">
        <v>1</v>
      </c>
      <c r="G550" t="s">
        <v>193</v>
      </c>
      <c r="H550" t="s">
        <v>194</v>
      </c>
      <c r="I550" t="s">
        <v>14022</v>
      </c>
      <c r="J550" t="s">
        <v>210</v>
      </c>
      <c r="K550" t="s">
        <v>15430</v>
      </c>
      <c r="L550" t="s">
        <v>6921</v>
      </c>
      <c r="M550" t="s">
        <v>14779</v>
      </c>
      <c r="N550" t="s">
        <v>14780</v>
      </c>
      <c r="O550" t="s">
        <v>13125</v>
      </c>
      <c r="P550" t="s">
        <v>15431</v>
      </c>
      <c r="Q550" t="s">
        <v>15432</v>
      </c>
      <c r="S550" t="s">
        <v>9309</v>
      </c>
      <c r="T550" t="s">
        <v>9334</v>
      </c>
      <c r="U550" t="s">
        <v>510</v>
      </c>
      <c r="V550" t="s">
        <v>194</v>
      </c>
      <c r="W550" t="s">
        <v>9300</v>
      </c>
      <c r="Z550" t="s">
        <v>9311</v>
      </c>
      <c r="AF550" t="s">
        <v>4714</v>
      </c>
      <c r="AG550" t="s">
        <v>15429</v>
      </c>
      <c r="AI550" t="s">
        <v>6955</v>
      </c>
      <c r="AJ550" s="27" t="str">
        <f t="shared" si="16"/>
        <v>252201</v>
      </c>
      <c r="AK550" s="27">
        <v>1</v>
      </c>
      <c r="AL550" s="27">
        <f t="shared" si="17"/>
        <v>1</v>
      </c>
      <c r="AM550" s="28">
        <v>1</v>
      </c>
    </row>
    <row r="551" spans="1:39" x14ac:dyDescent="0.25">
      <c r="A551" t="s">
        <v>11327</v>
      </c>
      <c r="B551" t="s">
        <v>15433</v>
      </c>
      <c r="C551" t="s">
        <v>1136</v>
      </c>
      <c r="D551" s="25" t="s">
        <v>14750</v>
      </c>
      <c r="E551" t="s">
        <v>192</v>
      </c>
      <c r="F551" s="28">
        <v>1</v>
      </c>
      <c r="G551" t="s">
        <v>193</v>
      </c>
      <c r="H551" t="s">
        <v>194</v>
      </c>
      <c r="I551" t="s">
        <v>14777</v>
      </c>
      <c r="J551" t="s">
        <v>210</v>
      </c>
      <c r="K551" t="s">
        <v>15434</v>
      </c>
      <c r="L551" t="s">
        <v>6921</v>
      </c>
      <c r="M551" t="s">
        <v>14779</v>
      </c>
      <c r="N551" t="s">
        <v>14780</v>
      </c>
      <c r="O551" t="s">
        <v>13125</v>
      </c>
      <c r="P551" t="s">
        <v>15435</v>
      </c>
      <c r="Q551" t="s">
        <v>15436</v>
      </c>
      <c r="S551" t="s">
        <v>9309</v>
      </c>
      <c r="T551" t="s">
        <v>9334</v>
      </c>
      <c r="U551" t="s">
        <v>1137</v>
      </c>
      <c r="V551" t="s">
        <v>194</v>
      </c>
      <c r="W551" t="s">
        <v>9300</v>
      </c>
      <c r="Z551" t="s">
        <v>9311</v>
      </c>
      <c r="AF551" t="s">
        <v>4714</v>
      </c>
      <c r="AG551" t="s">
        <v>15433</v>
      </c>
      <c r="AI551" t="s">
        <v>6955</v>
      </c>
      <c r="AJ551" s="27" t="str">
        <f t="shared" si="16"/>
        <v>121201</v>
      </c>
      <c r="AK551" s="27">
        <v>1</v>
      </c>
      <c r="AL551" s="27">
        <f t="shared" si="17"/>
        <v>1</v>
      </c>
      <c r="AM551" s="28">
        <v>1</v>
      </c>
    </row>
    <row r="552" spans="1:39" x14ac:dyDescent="0.25">
      <c r="A552" t="s">
        <v>11327</v>
      </c>
      <c r="B552" t="s">
        <v>15437</v>
      </c>
      <c r="C552" t="s">
        <v>18</v>
      </c>
      <c r="D552" s="25" t="s">
        <v>14750</v>
      </c>
      <c r="E552" t="s">
        <v>192</v>
      </c>
      <c r="F552" s="28">
        <v>1</v>
      </c>
      <c r="G552" t="s">
        <v>193</v>
      </c>
      <c r="H552" t="s">
        <v>194</v>
      </c>
      <c r="I552" t="s">
        <v>13110</v>
      </c>
      <c r="J552" t="s">
        <v>9302</v>
      </c>
      <c r="K552" t="s">
        <v>15438</v>
      </c>
      <c r="L552" t="s">
        <v>6286</v>
      </c>
      <c r="M552" t="s">
        <v>14779</v>
      </c>
      <c r="N552" t="s">
        <v>14780</v>
      </c>
      <c r="O552" t="s">
        <v>13125</v>
      </c>
      <c r="P552" t="s">
        <v>15439</v>
      </c>
      <c r="Q552" t="s">
        <v>15440</v>
      </c>
      <c r="S552" t="s">
        <v>9309</v>
      </c>
      <c r="U552" t="s">
        <v>1476</v>
      </c>
      <c r="V552" t="s">
        <v>193</v>
      </c>
      <c r="W552" t="s">
        <v>9310</v>
      </c>
      <c r="Z552" t="s">
        <v>9311</v>
      </c>
      <c r="AF552" t="s">
        <v>4714</v>
      </c>
      <c r="AG552" t="s">
        <v>15437</v>
      </c>
      <c r="AI552" t="s">
        <v>6955</v>
      </c>
      <c r="AJ552" s="27" t="str">
        <f t="shared" si="16"/>
        <v>242309</v>
      </c>
      <c r="AK552" s="27">
        <v>1</v>
      </c>
      <c r="AL552" s="27">
        <f t="shared" si="17"/>
        <v>1</v>
      </c>
      <c r="AM552" s="28">
        <v>1</v>
      </c>
    </row>
    <row r="553" spans="1:39" x14ac:dyDescent="0.25">
      <c r="A553" t="s">
        <v>11327</v>
      </c>
      <c r="B553" t="s">
        <v>11328</v>
      </c>
      <c r="C553" t="s">
        <v>507</v>
      </c>
      <c r="D553" s="25" t="s">
        <v>14750</v>
      </c>
      <c r="E553" t="s">
        <v>192</v>
      </c>
      <c r="F553" s="28">
        <v>1</v>
      </c>
      <c r="G553" t="s">
        <v>193</v>
      </c>
      <c r="H553" t="s">
        <v>194</v>
      </c>
      <c r="I553" t="s">
        <v>14022</v>
      </c>
      <c r="J553" t="s">
        <v>210</v>
      </c>
      <c r="K553" t="s">
        <v>15441</v>
      </c>
      <c r="L553" t="s">
        <v>7531</v>
      </c>
      <c r="M553" t="s">
        <v>14779</v>
      </c>
      <c r="N553" t="s">
        <v>14780</v>
      </c>
      <c r="O553" t="s">
        <v>13125</v>
      </c>
      <c r="P553" t="s">
        <v>15442</v>
      </c>
      <c r="Q553" t="s">
        <v>15443</v>
      </c>
      <c r="S553" t="s">
        <v>9309</v>
      </c>
      <c r="T553" t="s">
        <v>9334</v>
      </c>
      <c r="U553" t="s">
        <v>508</v>
      </c>
      <c r="V553" t="s">
        <v>194</v>
      </c>
      <c r="W553" t="s">
        <v>9300</v>
      </c>
      <c r="Z553" t="s">
        <v>9311</v>
      </c>
      <c r="AF553" t="s">
        <v>4714</v>
      </c>
      <c r="AG553" t="s">
        <v>11328</v>
      </c>
      <c r="AI553" t="s">
        <v>6955</v>
      </c>
      <c r="AJ553" s="27" t="str">
        <f t="shared" si="16"/>
        <v>252102</v>
      </c>
      <c r="AK553" s="27">
        <v>1</v>
      </c>
      <c r="AL553" s="27">
        <f t="shared" si="17"/>
        <v>1</v>
      </c>
      <c r="AM553" s="28">
        <v>1</v>
      </c>
    </row>
    <row r="554" spans="1:39" x14ac:dyDescent="0.25">
      <c r="A554" t="s">
        <v>11327</v>
      </c>
      <c r="B554" t="s">
        <v>15444</v>
      </c>
      <c r="C554" t="s">
        <v>18</v>
      </c>
      <c r="D554" s="25" t="s">
        <v>14750</v>
      </c>
      <c r="E554" t="s">
        <v>192</v>
      </c>
      <c r="F554" s="28">
        <v>1</v>
      </c>
      <c r="G554" t="s">
        <v>193</v>
      </c>
      <c r="H554" t="s">
        <v>194</v>
      </c>
      <c r="I554" t="s">
        <v>14788</v>
      </c>
      <c r="J554" t="s">
        <v>210</v>
      </c>
      <c r="K554" t="s">
        <v>15445</v>
      </c>
      <c r="L554" t="s">
        <v>6340</v>
      </c>
      <c r="M554" t="s">
        <v>14779</v>
      </c>
      <c r="N554" t="s">
        <v>14780</v>
      </c>
      <c r="O554" t="s">
        <v>13125</v>
      </c>
      <c r="P554" t="s">
        <v>15446</v>
      </c>
      <c r="Q554" t="s">
        <v>15447</v>
      </c>
      <c r="S554" t="s">
        <v>9309</v>
      </c>
      <c r="T554" t="s">
        <v>9334</v>
      </c>
      <c r="U554" t="s">
        <v>1476</v>
      </c>
      <c r="V554" t="s">
        <v>194</v>
      </c>
      <c r="W554" t="s">
        <v>9300</v>
      </c>
      <c r="Z554" t="s">
        <v>9311</v>
      </c>
      <c r="AF554" t="s">
        <v>4714</v>
      </c>
      <c r="AG554" t="s">
        <v>15444</v>
      </c>
      <c r="AI554" t="s">
        <v>6955</v>
      </c>
      <c r="AJ554" s="27" t="str">
        <f t="shared" si="16"/>
        <v>242309</v>
      </c>
      <c r="AK554" s="27">
        <v>1</v>
      </c>
      <c r="AL554" s="27">
        <f t="shared" si="17"/>
        <v>1</v>
      </c>
      <c r="AM554" s="28">
        <v>1</v>
      </c>
    </row>
    <row r="555" spans="1:39" x14ac:dyDescent="0.25">
      <c r="A555" t="s">
        <v>15448</v>
      </c>
      <c r="B555" t="s">
        <v>15449</v>
      </c>
      <c r="C555" t="s">
        <v>21</v>
      </c>
      <c r="D555" s="25" t="s">
        <v>14750</v>
      </c>
      <c r="E555" t="s">
        <v>192</v>
      </c>
      <c r="F555" s="28">
        <v>1</v>
      </c>
      <c r="G555" t="s">
        <v>193</v>
      </c>
      <c r="H555" t="s">
        <v>194</v>
      </c>
      <c r="I555" t="s">
        <v>14777</v>
      </c>
      <c r="J555" t="s">
        <v>575</v>
      </c>
      <c r="K555" t="s">
        <v>15450</v>
      </c>
      <c r="L555" t="s">
        <v>6245</v>
      </c>
      <c r="M555" t="s">
        <v>14779</v>
      </c>
      <c r="N555" t="s">
        <v>14780</v>
      </c>
      <c r="O555" t="s">
        <v>13125</v>
      </c>
      <c r="P555" t="s">
        <v>15451</v>
      </c>
      <c r="Q555" t="s">
        <v>15452</v>
      </c>
      <c r="S555" t="s">
        <v>9309</v>
      </c>
      <c r="T555" t="s">
        <v>9726</v>
      </c>
      <c r="U555" t="s">
        <v>293</v>
      </c>
      <c r="V555" t="s">
        <v>194</v>
      </c>
      <c r="W555" t="s">
        <v>9300</v>
      </c>
      <c r="Z555" t="s">
        <v>9311</v>
      </c>
      <c r="AF555" t="s">
        <v>4714</v>
      </c>
      <c r="AG555" t="s">
        <v>15449</v>
      </c>
      <c r="AI555" t="s">
        <v>6955</v>
      </c>
      <c r="AJ555" s="27" t="str">
        <f t="shared" si="16"/>
        <v>214202</v>
      </c>
      <c r="AK555" s="27">
        <v>1</v>
      </c>
      <c r="AL555" s="27">
        <f t="shared" si="17"/>
        <v>1</v>
      </c>
      <c r="AM555" s="28">
        <v>1</v>
      </c>
    </row>
    <row r="556" spans="1:39" x14ac:dyDescent="0.25">
      <c r="A556" t="s">
        <v>15448</v>
      </c>
      <c r="B556" t="s">
        <v>15449</v>
      </c>
      <c r="C556" t="s">
        <v>21</v>
      </c>
      <c r="D556" s="25" t="s">
        <v>14750</v>
      </c>
      <c r="E556" t="s">
        <v>192</v>
      </c>
      <c r="F556" s="28">
        <v>1</v>
      </c>
      <c r="G556" t="s">
        <v>193</v>
      </c>
      <c r="H556" t="s">
        <v>194</v>
      </c>
      <c r="I556" t="s">
        <v>14777</v>
      </c>
      <c r="J556" t="s">
        <v>672</v>
      </c>
      <c r="K556" t="s">
        <v>15453</v>
      </c>
      <c r="L556" t="s">
        <v>6245</v>
      </c>
      <c r="M556" t="s">
        <v>14779</v>
      </c>
      <c r="N556" t="s">
        <v>14780</v>
      </c>
      <c r="O556" t="s">
        <v>13125</v>
      </c>
      <c r="P556" t="s">
        <v>15454</v>
      </c>
      <c r="Q556" t="s">
        <v>15455</v>
      </c>
      <c r="S556" t="s">
        <v>9309</v>
      </c>
      <c r="T556" t="s">
        <v>9726</v>
      </c>
      <c r="U556" t="s">
        <v>293</v>
      </c>
      <c r="V556" t="s">
        <v>194</v>
      </c>
      <c r="W556" t="s">
        <v>9300</v>
      </c>
      <c r="Z556" t="s">
        <v>9311</v>
      </c>
      <c r="AF556" t="s">
        <v>4714</v>
      </c>
      <c r="AG556" t="s">
        <v>15449</v>
      </c>
      <c r="AI556" t="s">
        <v>6955</v>
      </c>
      <c r="AJ556" s="27" t="str">
        <f t="shared" si="16"/>
        <v>214202</v>
      </c>
      <c r="AK556" s="27">
        <v>1</v>
      </c>
      <c r="AL556" s="27">
        <f t="shared" si="17"/>
        <v>1</v>
      </c>
      <c r="AM556" s="28">
        <v>1</v>
      </c>
    </row>
    <row r="557" spans="1:39" x14ac:dyDescent="0.25">
      <c r="A557" t="s">
        <v>974</v>
      </c>
      <c r="B557" t="s">
        <v>15456</v>
      </c>
      <c r="C557" t="s">
        <v>706</v>
      </c>
      <c r="D557" s="25" t="s">
        <v>14750</v>
      </c>
      <c r="E557" t="s">
        <v>192</v>
      </c>
      <c r="F557" s="28">
        <v>1</v>
      </c>
      <c r="G557" t="s">
        <v>193</v>
      </c>
      <c r="H557" t="s">
        <v>194</v>
      </c>
      <c r="I557" t="s">
        <v>14788</v>
      </c>
      <c r="J557" t="s">
        <v>4269</v>
      </c>
      <c r="K557" t="s">
        <v>15457</v>
      </c>
      <c r="L557" t="s">
        <v>6251</v>
      </c>
      <c r="M557" t="s">
        <v>14779</v>
      </c>
      <c r="N557" t="s">
        <v>14780</v>
      </c>
      <c r="O557" t="s">
        <v>13125</v>
      </c>
      <c r="P557" t="s">
        <v>15458</v>
      </c>
      <c r="Q557" t="s">
        <v>15459</v>
      </c>
      <c r="S557" t="s">
        <v>9309</v>
      </c>
      <c r="U557" t="s">
        <v>707</v>
      </c>
      <c r="V557" t="s">
        <v>193</v>
      </c>
      <c r="W557" t="s">
        <v>9310</v>
      </c>
      <c r="Z557" t="s">
        <v>9311</v>
      </c>
      <c r="AF557" t="s">
        <v>4714</v>
      </c>
      <c r="AG557" t="s">
        <v>15456</v>
      </c>
      <c r="AI557" t="s">
        <v>6955</v>
      </c>
      <c r="AJ557" s="27" t="str">
        <f t="shared" si="16"/>
        <v>422201</v>
      </c>
      <c r="AK557" s="27">
        <v>1</v>
      </c>
      <c r="AL557" s="27">
        <f t="shared" si="17"/>
        <v>1</v>
      </c>
      <c r="AM557" s="28">
        <v>1</v>
      </c>
    </row>
    <row r="558" spans="1:39" x14ac:dyDescent="0.25">
      <c r="A558" t="s">
        <v>4022</v>
      </c>
      <c r="B558" t="s">
        <v>8022</v>
      </c>
      <c r="C558" t="s">
        <v>7617</v>
      </c>
      <c r="D558" s="25" t="s">
        <v>14750</v>
      </c>
      <c r="E558" t="s">
        <v>217</v>
      </c>
      <c r="F558" s="28">
        <v>1</v>
      </c>
      <c r="G558" t="s">
        <v>193</v>
      </c>
      <c r="H558" t="s">
        <v>194</v>
      </c>
      <c r="I558" t="s">
        <v>14777</v>
      </c>
      <c r="J558" t="s">
        <v>210</v>
      </c>
      <c r="K558" t="s">
        <v>15460</v>
      </c>
      <c r="L558" t="s">
        <v>6290</v>
      </c>
      <c r="M558" t="s">
        <v>14821</v>
      </c>
      <c r="N558" t="s">
        <v>14735</v>
      </c>
      <c r="O558" t="s">
        <v>15461</v>
      </c>
      <c r="P558" t="s">
        <v>15462</v>
      </c>
      <c r="Q558" t="s">
        <v>15463</v>
      </c>
      <c r="S558" t="s">
        <v>9309</v>
      </c>
      <c r="T558" t="s">
        <v>9334</v>
      </c>
      <c r="U558" t="s">
        <v>7620</v>
      </c>
      <c r="V558" t="s">
        <v>194</v>
      </c>
      <c r="W558" t="s">
        <v>9300</v>
      </c>
      <c r="Z558" t="s">
        <v>9311</v>
      </c>
      <c r="AF558" t="s">
        <v>4714</v>
      </c>
      <c r="AG558" t="s">
        <v>9433</v>
      </c>
      <c r="AI558" t="s">
        <v>6955</v>
      </c>
      <c r="AJ558" s="27" t="str">
        <f t="shared" si="16"/>
        <v>516903</v>
      </c>
      <c r="AK558" s="27">
        <v>1</v>
      </c>
      <c r="AL558" s="27">
        <f t="shared" si="17"/>
        <v>1</v>
      </c>
      <c r="AM558" s="28">
        <v>1</v>
      </c>
    </row>
    <row r="559" spans="1:39" x14ac:dyDescent="0.25">
      <c r="A559" t="s">
        <v>15464</v>
      </c>
      <c r="B559" t="s">
        <v>15465</v>
      </c>
      <c r="C559" t="s">
        <v>542</v>
      </c>
      <c r="D559" s="25" t="s">
        <v>14750</v>
      </c>
      <c r="E559" t="s">
        <v>217</v>
      </c>
      <c r="F559" s="28">
        <v>1</v>
      </c>
      <c r="G559" t="s">
        <v>193</v>
      </c>
      <c r="H559" t="s">
        <v>194</v>
      </c>
      <c r="I559" t="s">
        <v>14788</v>
      </c>
      <c r="J559" t="s">
        <v>15466</v>
      </c>
      <c r="K559" t="s">
        <v>15467</v>
      </c>
      <c r="L559" t="s">
        <v>6286</v>
      </c>
      <c r="M559" t="s">
        <v>14821</v>
      </c>
      <c r="N559" t="s">
        <v>14735</v>
      </c>
      <c r="O559" t="s">
        <v>15461</v>
      </c>
      <c r="P559" t="s">
        <v>15468</v>
      </c>
      <c r="Q559" t="s">
        <v>15469</v>
      </c>
      <c r="S559" t="s">
        <v>9309</v>
      </c>
      <c r="U559" t="s">
        <v>543</v>
      </c>
      <c r="V559" t="s">
        <v>193</v>
      </c>
      <c r="W559" t="s">
        <v>9310</v>
      </c>
      <c r="Z559" t="s">
        <v>9311</v>
      </c>
      <c r="AF559" t="s">
        <v>4714</v>
      </c>
      <c r="AG559" t="s">
        <v>9433</v>
      </c>
      <c r="AI559" t="s">
        <v>6955</v>
      </c>
      <c r="AJ559" s="27" t="str">
        <f t="shared" si="16"/>
        <v>264304</v>
      </c>
      <c r="AK559" s="27">
        <v>1</v>
      </c>
      <c r="AL559" s="27">
        <f t="shared" si="17"/>
        <v>1</v>
      </c>
      <c r="AM559" s="28">
        <v>1</v>
      </c>
    </row>
    <row r="560" spans="1:39" x14ac:dyDescent="0.25">
      <c r="A560" t="s">
        <v>11415</v>
      </c>
      <c r="B560" t="s">
        <v>8016</v>
      </c>
      <c r="C560" t="s">
        <v>99</v>
      </c>
      <c r="D560" s="25" t="s">
        <v>14750</v>
      </c>
      <c r="E560" t="s">
        <v>217</v>
      </c>
      <c r="F560" s="28">
        <v>1</v>
      </c>
      <c r="G560" t="s">
        <v>193</v>
      </c>
      <c r="H560" t="s">
        <v>194</v>
      </c>
      <c r="I560" t="s">
        <v>13110</v>
      </c>
      <c r="J560" t="s">
        <v>210</v>
      </c>
      <c r="K560" t="s">
        <v>15470</v>
      </c>
      <c r="L560" t="s">
        <v>6286</v>
      </c>
      <c r="M560" t="s">
        <v>14821</v>
      </c>
      <c r="N560" t="s">
        <v>14735</v>
      </c>
      <c r="O560" t="s">
        <v>15461</v>
      </c>
      <c r="P560" t="s">
        <v>15471</v>
      </c>
      <c r="Q560" t="s">
        <v>15472</v>
      </c>
      <c r="S560" t="s">
        <v>9309</v>
      </c>
      <c r="T560" t="s">
        <v>9334</v>
      </c>
      <c r="U560" t="s">
        <v>2421</v>
      </c>
      <c r="V560" t="s">
        <v>194</v>
      </c>
      <c r="W560" t="s">
        <v>9300</v>
      </c>
      <c r="Z560" t="s">
        <v>9311</v>
      </c>
      <c r="AF560" t="s">
        <v>4714</v>
      </c>
      <c r="AG560" t="s">
        <v>9433</v>
      </c>
      <c r="AI560" t="s">
        <v>6955</v>
      </c>
      <c r="AJ560" s="27" t="str">
        <f t="shared" si="16"/>
        <v>412001</v>
      </c>
      <c r="AK560" s="27">
        <v>1</v>
      </c>
      <c r="AL560" s="27">
        <f t="shared" si="17"/>
        <v>1</v>
      </c>
      <c r="AM560" s="28">
        <v>1</v>
      </c>
    </row>
    <row r="561" spans="1:39" x14ac:dyDescent="0.25">
      <c r="A561" t="s">
        <v>15473</v>
      </c>
      <c r="B561" t="s">
        <v>15474</v>
      </c>
      <c r="C561" t="s">
        <v>119</v>
      </c>
      <c r="D561" s="25" t="s">
        <v>14750</v>
      </c>
      <c r="E561" t="s">
        <v>192</v>
      </c>
      <c r="F561" s="28">
        <v>1</v>
      </c>
      <c r="G561" t="s">
        <v>193</v>
      </c>
      <c r="H561" t="s">
        <v>194</v>
      </c>
      <c r="I561" t="s">
        <v>14788</v>
      </c>
      <c r="J561" t="s">
        <v>755</v>
      </c>
      <c r="K561" t="s">
        <v>15475</v>
      </c>
      <c r="L561" t="s">
        <v>6266</v>
      </c>
      <c r="M561" t="s">
        <v>15025</v>
      </c>
      <c r="N561" t="s">
        <v>14780</v>
      </c>
      <c r="O561" t="s">
        <v>13303</v>
      </c>
      <c r="P561" t="s">
        <v>15476</v>
      </c>
      <c r="Q561" t="s">
        <v>15477</v>
      </c>
      <c r="S561" t="s">
        <v>9309</v>
      </c>
      <c r="T561" t="s">
        <v>9726</v>
      </c>
      <c r="U561" t="s">
        <v>666</v>
      </c>
      <c r="V561" t="s">
        <v>194</v>
      </c>
      <c r="W561" t="s">
        <v>9300</v>
      </c>
      <c r="Z561" t="s">
        <v>9311</v>
      </c>
      <c r="AF561" t="s">
        <v>4714</v>
      </c>
      <c r="AG561" t="s">
        <v>15474</v>
      </c>
      <c r="AI561" t="s">
        <v>6955</v>
      </c>
      <c r="AJ561" s="27" t="str">
        <f t="shared" si="16"/>
        <v>333105</v>
      </c>
      <c r="AK561" s="27">
        <v>1</v>
      </c>
      <c r="AL561" s="27">
        <f t="shared" si="17"/>
        <v>1</v>
      </c>
      <c r="AM561" s="28">
        <v>1</v>
      </c>
    </row>
    <row r="562" spans="1:39" x14ac:dyDescent="0.25">
      <c r="A562" t="s">
        <v>977</v>
      </c>
      <c r="B562" t="s">
        <v>83</v>
      </c>
      <c r="C562" t="s">
        <v>83</v>
      </c>
      <c r="D562" s="25" t="s">
        <v>14750</v>
      </c>
      <c r="E562" t="s">
        <v>192</v>
      </c>
      <c r="F562" s="28">
        <v>1</v>
      </c>
      <c r="G562" t="s">
        <v>193</v>
      </c>
      <c r="H562" t="s">
        <v>194</v>
      </c>
      <c r="I562" t="s">
        <v>14788</v>
      </c>
      <c r="J562" t="s">
        <v>253</v>
      </c>
      <c r="K562" t="s">
        <v>15478</v>
      </c>
      <c r="L562" t="s">
        <v>6275</v>
      </c>
      <c r="M562" t="s">
        <v>14779</v>
      </c>
      <c r="N562" t="s">
        <v>14780</v>
      </c>
      <c r="O562" t="s">
        <v>13125</v>
      </c>
      <c r="P562" t="s">
        <v>15479</v>
      </c>
      <c r="Q562" t="s">
        <v>15480</v>
      </c>
      <c r="S562" t="s">
        <v>9309</v>
      </c>
      <c r="T562" t="s">
        <v>9468</v>
      </c>
      <c r="U562" t="s">
        <v>791</v>
      </c>
      <c r="V562" t="s">
        <v>194</v>
      </c>
      <c r="W562" t="s">
        <v>9300</v>
      </c>
      <c r="Z562" t="s">
        <v>9311</v>
      </c>
      <c r="AF562" t="s">
        <v>4714</v>
      </c>
      <c r="AG562" t="s">
        <v>83</v>
      </c>
      <c r="AI562" t="s">
        <v>6955</v>
      </c>
      <c r="AJ562" s="27" t="str">
        <f t="shared" si="16"/>
        <v>721204</v>
      </c>
      <c r="AK562" s="27">
        <v>1</v>
      </c>
      <c r="AL562" s="27">
        <f t="shared" si="17"/>
        <v>1</v>
      </c>
      <c r="AM562" s="28">
        <v>1</v>
      </c>
    </row>
    <row r="563" spans="1:39" x14ac:dyDescent="0.25">
      <c r="A563" t="s">
        <v>977</v>
      </c>
      <c r="B563" t="s">
        <v>15481</v>
      </c>
      <c r="C563" t="s">
        <v>9085</v>
      </c>
      <c r="D563" s="25" t="s">
        <v>14750</v>
      </c>
      <c r="E563" t="s">
        <v>192</v>
      </c>
      <c r="F563" s="28">
        <v>1</v>
      </c>
      <c r="G563" t="s">
        <v>193</v>
      </c>
      <c r="H563" t="s">
        <v>194</v>
      </c>
      <c r="I563" t="s">
        <v>14788</v>
      </c>
      <c r="J563" t="s">
        <v>253</v>
      </c>
      <c r="K563" t="s">
        <v>15482</v>
      </c>
      <c r="L563" t="s">
        <v>6275</v>
      </c>
      <c r="M563" t="s">
        <v>14779</v>
      </c>
      <c r="N563" t="s">
        <v>14780</v>
      </c>
      <c r="O563" t="s">
        <v>13125</v>
      </c>
      <c r="P563" t="s">
        <v>15483</v>
      </c>
      <c r="Q563" t="s">
        <v>15484</v>
      </c>
      <c r="S563" t="s">
        <v>9309</v>
      </c>
      <c r="T563" t="s">
        <v>9468</v>
      </c>
      <c r="U563" t="s">
        <v>799</v>
      </c>
      <c r="V563" t="s">
        <v>194</v>
      </c>
      <c r="W563" t="s">
        <v>9300</v>
      </c>
      <c r="Z563" t="s">
        <v>9311</v>
      </c>
      <c r="AF563" t="s">
        <v>4714</v>
      </c>
      <c r="AG563" t="s">
        <v>15481</v>
      </c>
      <c r="AI563" t="s">
        <v>6955</v>
      </c>
      <c r="AJ563" s="27" t="str">
        <f t="shared" si="16"/>
        <v>722204</v>
      </c>
      <c r="AK563" s="27">
        <v>1</v>
      </c>
      <c r="AL563" s="27">
        <f t="shared" si="17"/>
        <v>1</v>
      </c>
      <c r="AM563" s="28">
        <v>1</v>
      </c>
    </row>
    <row r="564" spans="1:39" x14ac:dyDescent="0.25">
      <c r="A564" t="s">
        <v>4620</v>
      </c>
      <c r="B564" t="s">
        <v>15485</v>
      </c>
      <c r="C564" t="s">
        <v>468</v>
      </c>
      <c r="D564" s="25" t="s">
        <v>14750</v>
      </c>
      <c r="E564" t="s">
        <v>192</v>
      </c>
      <c r="F564" s="28">
        <v>1</v>
      </c>
      <c r="G564" t="s">
        <v>193</v>
      </c>
      <c r="H564" t="s">
        <v>194</v>
      </c>
      <c r="I564" t="s">
        <v>14788</v>
      </c>
      <c r="J564" t="s">
        <v>9302</v>
      </c>
      <c r="K564" t="s">
        <v>15486</v>
      </c>
      <c r="L564" t="s">
        <v>6288</v>
      </c>
      <c r="M564" t="s">
        <v>14779</v>
      </c>
      <c r="N564" t="s">
        <v>14780</v>
      </c>
      <c r="O564" t="s">
        <v>13125</v>
      </c>
      <c r="P564" t="s">
        <v>15487</v>
      </c>
      <c r="Q564" t="s">
        <v>15488</v>
      </c>
      <c r="S564" t="s">
        <v>9309</v>
      </c>
      <c r="U564" t="s">
        <v>469</v>
      </c>
      <c r="V564" t="s">
        <v>193</v>
      </c>
      <c r="W564" t="s">
        <v>9310</v>
      </c>
      <c r="Z564" t="s">
        <v>9311</v>
      </c>
      <c r="AF564" t="s">
        <v>4714</v>
      </c>
      <c r="AG564" t="s">
        <v>15485</v>
      </c>
      <c r="AI564" t="s">
        <v>6955</v>
      </c>
      <c r="AJ564" s="27" t="str">
        <f t="shared" si="16"/>
        <v>243303</v>
      </c>
      <c r="AK564" s="27">
        <v>1</v>
      </c>
      <c r="AL564" s="27">
        <f t="shared" si="17"/>
        <v>1</v>
      </c>
      <c r="AM564" s="28">
        <v>1</v>
      </c>
    </row>
    <row r="565" spans="1:39" x14ac:dyDescent="0.25">
      <c r="A565" t="s">
        <v>493</v>
      </c>
      <c r="B565" t="s">
        <v>12177</v>
      </c>
      <c r="C565" t="s">
        <v>10</v>
      </c>
      <c r="D565" s="25" t="s">
        <v>14750</v>
      </c>
      <c r="E565" t="s">
        <v>192</v>
      </c>
      <c r="F565" s="28">
        <v>1</v>
      </c>
      <c r="G565" t="s">
        <v>193</v>
      </c>
      <c r="H565" t="s">
        <v>194</v>
      </c>
      <c r="I565" t="s">
        <v>14788</v>
      </c>
      <c r="J565" t="s">
        <v>210</v>
      </c>
      <c r="K565" t="s">
        <v>15489</v>
      </c>
      <c r="L565" t="s">
        <v>6261</v>
      </c>
      <c r="M565" t="s">
        <v>14779</v>
      </c>
      <c r="N565" t="s">
        <v>14780</v>
      </c>
      <c r="O565" t="s">
        <v>13125</v>
      </c>
      <c r="P565" t="s">
        <v>15490</v>
      </c>
      <c r="Q565" t="s">
        <v>15491</v>
      </c>
      <c r="S565" t="s">
        <v>9309</v>
      </c>
      <c r="T565" t="s">
        <v>9334</v>
      </c>
      <c r="U565" t="s">
        <v>484</v>
      </c>
      <c r="V565" t="s">
        <v>194</v>
      </c>
      <c r="W565" t="s">
        <v>9300</v>
      </c>
      <c r="Z565" t="s">
        <v>9311</v>
      </c>
      <c r="AF565" t="s">
        <v>4714</v>
      </c>
      <c r="AG565" t="s">
        <v>12177</v>
      </c>
      <c r="AI565" t="s">
        <v>6955</v>
      </c>
      <c r="AJ565" s="27" t="str">
        <f t="shared" si="16"/>
        <v>251401</v>
      </c>
      <c r="AK565" s="27">
        <v>1</v>
      </c>
      <c r="AL565" s="27">
        <f t="shared" si="17"/>
        <v>1</v>
      </c>
      <c r="AM565" s="28">
        <v>1</v>
      </c>
    </row>
    <row r="566" spans="1:39" x14ac:dyDescent="0.25">
      <c r="A566" t="s">
        <v>493</v>
      </c>
      <c r="B566" t="s">
        <v>15492</v>
      </c>
      <c r="C566" t="s">
        <v>6050</v>
      </c>
      <c r="D566" s="25" t="s">
        <v>14750</v>
      </c>
      <c r="E566" t="s">
        <v>192</v>
      </c>
      <c r="F566" s="28">
        <v>1</v>
      </c>
      <c r="G566" t="s">
        <v>193</v>
      </c>
      <c r="H566" t="s">
        <v>194</v>
      </c>
      <c r="I566" t="s">
        <v>14022</v>
      </c>
      <c r="J566" t="s">
        <v>210</v>
      </c>
      <c r="K566" t="s">
        <v>15493</v>
      </c>
      <c r="L566" t="s">
        <v>6261</v>
      </c>
      <c r="M566" t="s">
        <v>14779</v>
      </c>
      <c r="N566" t="s">
        <v>14780</v>
      </c>
      <c r="O566" t="s">
        <v>13125</v>
      </c>
      <c r="P566" t="s">
        <v>15494</v>
      </c>
      <c r="Q566" t="s">
        <v>15495</v>
      </c>
      <c r="S566" t="s">
        <v>9309</v>
      </c>
      <c r="T566" t="s">
        <v>9334</v>
      </c>
      <c r="U566" t="s">
        <v>6052</v>
      </c>
      <c r="V566" t="s">
        <v>194</v>
      </c>
      <c r="W566" t="s">
        <v>9300</v>
      </c>
      <c r="Z566" t="s">
        <v>9311</v>
      </c>
      <c r="AF566" t="s">
        <v>4714</v>
      </c>
      <c r="AG566" t="s">
        <v>15492</v>
      </c>
      <c r="AI566" t="s">
        <v>6955</v>
      </c>
      <c r="AJ566" s="27" t="str">
        <f t="shared" si="16"/>
        <v>251101</v>
      </c>
      <c r="AK566" s="27">
        <v>1</v>
      </c>
      <c r="AL566" s="27">
        <f t="shared" si="17"/>
        <v>1</v>
      </c>
      <c r="AM566" s="28">
        <v>1</v>
      </c>
    </row>
    <row r="567" spans="1:39" x14ac:dyDescent="0.25">
      <c r="A567" t="s">
        <v>493</v>
      </c>
      <c r="B567" t="s">
        <v>15496</v>
      </c>
      <c r="C567" t="s">
        <v>100</v>
      </c>
      <c r="D567" s="25" t="s">
        <v>14750</v>
      </c>
      <c r="E567" t="s">
        <v>192</v>
      </c>
      <c r="F567" s="28">
        <v>1</v>
      </c>
      <c r="G567" t="s">
        <v>193</v>
      </c>
      <c r="H567" t="s">
        <v>194</v>
      </c>
      <c r="I567" t="s">
        <v>14777</v>
      </c>
      <c r="J567" t="s">
        <v>210</v>
      </c>
      <c r="K567" t="s">
        <v>15497</v>
      </c>
      <c r="L567" t="s">
        <v>6340</v>
      </c>
      <c r="M567" t="s">
        <v>15025</v>
      </c>
      <c r="N567" t="s">
        <v>14780</v>
      </c>
      <c r="O567" t="s">
        <v>13125</v>
      </c>
      <c r="P567" t="s">
        <v>15498</v>
      </c>
      <c r="Q567" t="s">
        <v>15499</v>
      </c>
      <c r="S567" t="s">
        <v>9309</v>
      </c>
      <c r="T567" t="s">
        <v>9334</v>
      </c>
      <c r="U567" t="s">
        <v>429</v>
      </c>
      <c r="V567" t="s">
        <v>194</v>
      </c>
      <c r="W567" t="s">
        <v>9300</v>
      </c>
      <c r="Z567" t="s">
        <v>9311</v>
      </c>
      <c r="AF567" t="s">
        <v>4714</v>
      </c>
      <c r="AG567" t="s">
        <v>15496</v>
      </c>
      <c r="AI567" t="s">
        <v>6955</v>
      </c>
      <c r="AJ567" s="27" t="str">
        <f t="shared" si="16"/>
        <v>242108</v>
      </c>
      <c r="AK567" s="27">
        <v>1</v>
      </c>
      <c r="AL567" s="27">
        <f t="shared" si="17"/>
        <v>1</v>
      </c>
      <c r="AM567" s="28">
        <v>1</v>
      </c>
    </row>
    <row r="568" spans="1:39" x14ac:dyDescent="0.25">
      <c r="A568" t="s">
        <v>493</v>
      </c>
      <c r="B568" t="s">
        <v>1053</v>
      </c>
      <c r="C568" t="s">
        <v>10</v>
      </c>
      <c r="D568" s="25" t="s">
        <v>14750</v>
      </c>
      <c r="E568" t="s">
        <v>192</v>
      </c>
      <c r="F568" s="28">
        <v>1</v>
      </c>
      <c r="G568" t="s">
        <v>193</v>
      </c>
      <c r="H568" t="s">
        <v>194</v>
      </c>
      <c r="I568" t="s">
        <v>14022</v>
      </c>
      <c r="J568" t="s">
        <v>210</v>
      </c>
      <c r="K568" t="s">
        <v>15500</v>
      </c>
      <c r="L568" t="s">
        <v>6921</v>
      </c>
      <c r="M568" t="s">
        <v>14779</v>
      </c>
      <c r="N568" t="s">
        <v>14780</v>
      </c>
      <c r="O568" t="s">
        <v>13125</v>
      </c>
      <c r="P568" t="s">
        <v>15501</v>
      </c>
      <c r="Q568" t="s">
        <v>15502</v>
      </c>
      <c r="S568" t="s">
        <v>9309</v>
      </c>
      <c r="T568" t="s">
        <v>9334</v>
      </c>
      <c r="U568" t="s">
        <v>484</v>
      </c>
      <c r="V568" t="s">
        <v>194</v>
      </c>
      <c r="W568" t="s">
        <v>9300</v>
      </c>
      <c r="Z568" t="s">
        <v>9311</v>
      </c>
      <c r="AF568" t="s">
        <v>4714</v>
      </c>
      <c r="AG568" t="s">
        <v>1053</v>
      </c>
      <c r="AI568" t="s">
        <v>6955</v>
      </c>
      <c r="AJ568" s="27" t="str">
        <f t="shared" si="16"/>
        <v>251401</v>
      </c>
      <c r="AK568" s="27">
        <v>1</v>
      </c>
      <c r="AL568" s="27">
        <f t="shared" si="17"/>
        <v>1</v>
      </c>
      <c r="AM568" s="28">
        <v>1</v>
      </c>
    </row>
    <row r="569" spans="1:39" x14ac:dyDescent="0.25">
      <c r="A569" t="s">
        <v>493</v>
      </c>
      <c r="B569" t="s">
        <v>15503</v>
      </c>
      <c r="C569" t="s">
        <v>10</v>
      </c>
      <c r="D569" s="25" t="s">
        <v>14750</v>
      </c>
      <c r="E569" t="s">
        <v>192</v>
      </c>
      <c r="F569" s="28">
        <v>1</v>
      </c>
      <c r="G569" t="s">
        <v>193</v>
      </c>
      <c r="H569" t="s">
        <v>194</v>
      </c>
      <c r="I569" t="s">
        <v>14777</v>
      </c>
      <c r="J569" t="s">
        <v>210</v>
      </c>
      <c r="K569" t="s">
        <v>15504</v>
      </c>
      <c r="L569" t="s">
        <v>6261</v>
      </c>
      <c r="M569" t="s">
        <v>14779</v>
      </c>
      <c r="N569" t="s">
        <v>14780</v>
      </c>
      <c r="O569" t="s">
        <v>13125</v>
      </c>
      <c r="P569" t="s">
        <v>15505</v>
      </c>
      <c r="Q569" t="s">
        <v>15506</v>
      </c>
      <c r="S569" t="s">
        <v>9309</v>
      </c>
      <c r="T569" t="s">
        <v>9334</v>
      </c>
      <c r="U569" t="s">
        <v>484</v>
      </c>
      <c r="V569" t="s">
        <v>194</v>
      </c>
      <c r="W569" t="s">
        <v>9300</v>
      </c>
      <c r="Z569" t="s">
        <v>9311</v>
      </c>
      <c r="AF569" t="s">
        <v>4714</v>
      </c>
      <c r="AG569" t="s">
        <v>15503</v>
      </c>
      <c r="AI569" t="s">
        <v>6955</v>
      </c>
      <c r="AJ569" s="27" t="str">
        <f t="shared" si="16"/>
        <v>251401</v>
      </c>
      <c r="AK569" s="27">
        <v>1</v>
      </c>
      <c r="AL569" s="27">
        <f t="shared" si="17"/>
        <v>1</v>
      </c>
      <c r="AM569" s="28">
        <v>1</v>
      </c>
    </row>
    <row r="570" spans="1:39" x14ac:dyDescent="0.25">
      <c r="A570" t="s">
        <v>493</v>
      </c>
      <c r="B570" t="s">
        <v>15507</v>
      </c>
      <c r="C570" t="s">
        <v>10</v>
      </c>
      <c r="D570" s="25" t="s">
        <v>14750</v>
      </c>
      <c r="E570" t="s">
        <v>192</v>
      </c>
      <c r="F570" s="28">
        <v>1</v>
      </c>
      <c r="G570" t="s">
        <v>193</v>
      </c>
      <c r="H570" t="s">
        <v>194</v>
      </c>
      <c r="I570" t="s">
        <v>14788</v>
      </c>
      <c r="J570" t="s">
        <v>210</v>
      </c>
      <c r="K570" t="s">
        <v>15508</v>
      </c>
      <c r="L570" t="s">
        <v>6261</v>
      </c>
      <c r="M570" t="s">
        <v>14779</v>
      </c>
      <c r="N570" t="s">
        <v>14780</v>
      </c>
      <c r="O570" t="s">
        <v>13125</v>
      </c>
      <c r="P570" t="s">
        <v>15509</v>
      </c>
      <c r="Q570" t="s">
        <v>15510</v>
      </c>
      <c r="S570" t="s">
        <v>9309</v>
      </c>
      <c r="T570" t="s">
        <v>9334</v>
      </c>
      <c r="U570" t="s">
        <v>484</v>
      </c>
      <c r="V570" t="s">
        <v>194</v>
      </c>
      <c r="W570" t="s">
        <v>9300</v>
      </c>
      <c r="Z570" t="s">
        <v>9311</v>
      </c>
      <c r="AF570" t="s">
        <v>4714</v>
      </c>
      <c r="AG570" t="s">
        <v>15507</v>
      </c>
      <c r="AI570" t="s">
        <v>6955</v>
      </c>
      <c r="AJ570" s="27" t="str">
        <f t="shared" si="16"/>
        <v>251401</v>
      </c>
      <c r="AK570" s="27">
        <v>1</v>
      </c>
      <c r="AL570" s="27">
        <f t="shared" si="17"/>
        <v>1</v>
      </c>
      <c r="AM570" s="28">
        <v>1</v>
      </c>
    </row>
    <row r="571" spans="1:39" x14ac:dyDescent="0.25">
      <c r="A571" t="s">
        <v>493</v>
      </c>
      <c r="B571" t="s">
        <v>8468</v>
      </c>
      <c r="C571" t="s">
        <v>354</v>
      </c>
      <c r="D571" s="25" t="s">
        <v>14750</v>
      </c>
      <c r="E571" t="s">
        <v>192</v>
      </c>
      <c r="F571" s="28">
        <v>1</v>
      </c>
      <c r="G571" t="s">
        <v>193</v>
      </c>
      <c r="H571" t="s">
        <v>194</v>
      </c>
      <c r="I571" t="s">
        <v>14788</v>
      </c>
      <c r="J571" t="s">
        <v>210</v>
      </c>
      <c r="K571" t="s">
        <v>15511</v>
      </c>
      <c r="L571" t="s">
        <v>6245</v>
      </c>
      <c r="M571" t="s">
        <v>14779</v>
      </c>
      <c r="N571" t="s">
        <v>14780</v>
      </c>
      <c r="O571" t="s">
        <v>13125</v>
      </c>
      <c r="P571" t="s">
        <v>15512</v>
      </c>
      <c r="Q571" t="s">
        <v>15513</v>
      </c>
      <c r="S571" t="s">
        <v>9309</v>
      </c>
      <c r="T571" t="s">
        <v>9334</v>
      </c>
      <c r="U571" t="s">
        <v>355</v>
      </c>
      <c r="V571" t="s">
        <v>194</v>
      </c>
      <c r="W571" t="s">
        <v>9300</v>
      </c>
      <c r="Z571" t="s">
        <v>9311</v>
      </c>
      <c r="AF571" t="s">
        <v>4714</v>
      </c>
      <c r="AG571" t="s">
        <v>8468</v>
      </c>
      <c r="AI571" t="s">
        <v>6955</v>
      </c>
      <c r="AJ571" s="27" t="str">
        <f t="shared" si="16"/>
        <v>215103</v>
      </c>
      <c r="AK571" s="27">
        <v>1</v>
      </c>
      <c r="AL571" s="27">
        <f t="shared" si="17"/>
        <v>1</v>
      </c>
      <c r="AM571" s="28">
        <v>1</v>
      </c>
    </row>
    <row r="572" spans="1:39" x14ac:dyDescent="0.25">
      <c r="A572" t="s">
        <v>493</v>
      </c>
      <c r="B572" t="s">
        <v>15514</v>
      </c>
      <c r="C572" t="s">
        <v>354</v>
      </c>
      <c r="D572" s="25" t="s">
        <v>14750</v>
      </c>
      <c r="E572" t="s">
        <v>192</v>
      </c>
      <c r="F572" s="28">
        <v>1</v>
      </c>
      <c r="G572" t="s">
        <v>193</v>
      </c>
      <c r="H572" t="s">
        <v>194</v>
      </c>
      <c r="I572" t="s">
        <v>14777</v>
      </c>
      <c r="J572" t="s">
        <v>210</v>
      </c>
      <c r="K572" t="s">
        <v>15515</v>
      </c>
      <c r="L572" t="s">
        <v>6245</v>
      </c>
      <c r="M572" t="s">
        <v>14779</v>
      </c>
      <c r="N572" t="s">
        <v>14780</v>
      </c>
      <c r="O572" t="s">
        <v>13125</v>
      </c>
      <c r="P572" t="s">
        <v>15516</v>
      </c>
      <c r="Q572" t="s">
        <v>15517</v>
      </c>
      <c r="S572" t="s">
        <v>9309</v>
      </c>
      <c r="T572" t="s">
        <v>9334</v>
      </c>
      <c r="U572" t="s">
        <v>355</v>
      </c>
      <c r="V572" t="s">
        <v>194</v>
      </c>
      <c r="W572" t="s">
        <v>9300</v>
      </c>
      <c r="Z572" t="s">
        <v>9311</v>
      </c>
      <c r="AF572" t="s">
        <v>4714</v>
      </c>
      <c r="AG572" t="s">
        <v>15514</v>
      </c>
      <c r="AI572" t="s">
        <v>6955</v>
      </c>
      <c r="AJ572" s="27" t="str">
        <f t="shared" si="16"/>
        <v>215103</v>
      </c>
      <c r="AK572" s="27">
        <v>1</v>
      </c>
      <c r="AL572" s="27">
        <f t="shared" si="17"/>
        <v>1</v>
      </c>
      <c r="AM572" s="28">
        <v>1</v>
      </c>
    </row>
    <row r="573" spans="1:39" x14ac:dyDescent="0.25">
      <c r="A573" t="s">
        <v>10357</v>
      </c>
      <c r="B573" t="s">
        <v>718</v>
      </c>
      <c r="C573" t="s">
        <v>67</v>
      </c>
      <c r="D573" s="25" t="s">
        <v>14750</v>
      </c>
      <c r="E573" t="s">
        <v>233</v>
      </c>
      <c r="F573" s="28">
        <v>1</v>
      </c>
      <c r="G573" t="s">
        <v>193</v>
      </c>
      <c r="H573" t="s">
        <v>194</v>
      </c>
      <c r="I573" t="s">
        <v>14788</v>
      </c>
      <c r="J573" t="s">
        <v>210</v>
      </c>
      <c r="K573" t="s">
        <v>15518</v>
      </c>
      <c r="L573" t="s">
        <v>6266</v>
      </c>
      <c r="M573" t="s">
        <v>14887</v>
      </c>
      <c r="N573" t="s">
        <v>14888</v>
      </c>
      <c r="O573" t="s">
        <v>13303</v>
      </c>
      <c r="P573" t="s">
        <v>15519</v>
      </c>
      <c r="Q573" t="s">
        <v>15520</v>
      </c>
      <c r="S573" t="s">
        <v>9309</v>
      </c>
      <c r="T573" t="s">
        <v>9334</v>
      </c>
      <c r="U573" t="s">
        <v>709</v>
      </c>
      <c r="V573" t="s">
        <v>194</v>
      </c>
      <c r="W573" t="s">
        <v>9300</v>
      </c>
      <c r="Z573" t="s">
        <v>9311</v>
      </c>
      <c r="AF573" t="s">
        <v>4714</v>
      </c>
      <c r="AG573" t="s">
        <v>718</v>
      </c>
      <c r="AI573" t="s">
        <v>6955</v>
      </c>
      <c r="AJ573" s="27" t="str">
        <f t="shared" si="16"/>
        <v>432103</v>
      </c>
      <c r="AK573" s="27">
        <v>1</v>
      </c>
      <c r="AL573" s="27">
        <f t="shared" si="17"/>
        <v>1</v>
      </c>
      <c r="AM573" s="28">
        <v>1</v>
      </c>
    </row>
    <row r="574" spans="1:39" x14ac:dyDescent="0.25">
      <c r="A574" t="s">
        <v>3234</v>
      </c>
      <c r="B574" t="s">
        <v>15521</v>
      </c>
      <c r="C574" t="s">
        <v>17</v>
      </c>
      <c r="D574" s="25" t="s">
        <v>14750</v>
      </c>
      <c r="E574" t="s">
        <v>192</v>
      </c>
      <c r="F574" s="28">
        <v>1</v>
      </c>
      <c r="G574" t="s">
        <v>193</v>
      </c>
      <c r="H574" t="s">
        <v>194</v>
      </c>
      <c r="I574" t="s">
        <v>13110</v>
      </c>
      <c r="J574" t="s">
        <v>210</v>
      </c>
      <c r="K574" t="s">
        <v>15522</v>
      </c>
      <c r="L574" t="s">
        <v>6245</v>
      </c>
      <c r="M574" t="s">
        <v>14779</v>
      </c>
      <c r="N574" t="s">
        <v>14780</v>
      </c>
      <c r="O574" t="s">
        <v>13125</v>
      </c>
      <c r="P574" t="s">
        <v>15523</v>
      </c>
      <c r="Q574" t="s">
        <v>15524</v>
      </c>
      <c r="S574" t="s">
        <v>9309</v>
      </c>
      <c r="T574" t="s">
        <v>9334</v>
      </c>
      <c r="U574" t="s">
        <v>624</v>
      </c>
      <c r="V574" t="s">
        <v>194</v>
      </c>
      <c r="W574" t="s">
        <v>9300</v>
      </c>
      <c r="Z574" t="s">
        <v>9311</v>
      </c>
      <c r="AF574" t="s">
        <v>4714</v>
      </c>
      <c r="AG574" t="s">
        <v>15521</v>
      </c>
      <c r="AI574" t="s">
        <v>6955</v>
      </c>
      <c r="AJ574" s="27" t="str">
        <f t="shared" si="16"/>
        <v>332203</v>
      </c>
      <c r="AK574" s="27">
        <v>1</v>
      </c>
      <c r="AL574" s="27">
        <f t="shared" si="17"/>
        <v>1</v>
      </c>
      <c r="AM574" s="28">
        <v>1</v>
      </c>
    </row>
    <row r="575" spans="1:39" x14ac:dyDescent="0.25">
      <c r="A575" t="s">
        <v>3234</v>
      </c>
      <c r="B575" t="s">
        <v>15525</v>
      </c>
      <c r="C575" t="s">
        <v>17</v>
      </c>
      <c r="D575" s="25" t="s">
        <v>14750</v>
      </c>
      <c r="E575" t="s">
        <v>192</v>
      </c>
      <c r="F575" s="28">
        <v>1</v>
      </c>
      <c r="G575" t="s">
        <v>193</v>
      </c>
      <c r="H575" t="s">
        <v>194</v>
      </c>
      <c r="I575" t="s">
        <v>14788</v>
      </c>
      <c r="J575" t="s">
        <v>210</v>
      </c>
      <c r="K575" t="s">
        <v>15526</v>
      </c>
      <c r="L575" t="s">
        <v>6245</v>
      </c>
      <c r="M575" t="s">
        <v>14779</v>
      </c>
      <c r="N575" t="s">
        <v>14780</v>
      </c>
      <c r="O575" t="s">
        <v>13125</v>
      </c>
      <c r="P575" t="s">
        <v>15527</v>
      </c>
      <c r="Q575" t="s">
        <v>15528</v>
      </c>
      <c r="S575" t="s">
        <v>9309</v>
      </c>
      <c r="T575" t="s">
        <v>9334</v>
      </c>
      <c r="U575" t="s">
        <v>624</v>
      </c>
      <c r="V575" t="s">
        <v>194</v>
      </c>
      <c r="W575" t="s">
        <v>9300</v>
      </c>
      <c r="Z575" t="s">
        <v>9311</v>
      </c>
      <c r="AF575" t="s">
        <v>4714</v>
      </c>
      <c r="AG575" t="s">
        <v>15525</v>
      </c>
      <c r="AI575" t="s">
        <v>6955</v>
      </c>
      <c r="AJ575" s="27" t="str">
        <f t="shared" si="16"/>
        <v>332203</v>
      </c>
      <c r="AK575" s="27">
        <v>1</v>
      </c>
      <c r="AL575" s="27">
        <f t="shared" si="17"/>
        <v>1</v>
      </c>
      <c r="AM575" s="28">
        <v>1</v>
      </c>
    </row>
    <row r="576" spans="1:39" x14ac:dyDescent="0.25">
      <c r="A576" t="s">
        <v>15529</v>
      </c>
      <c r="B576" t="s">
        <v>15530</v>
      </c>
      <c r="C576" t="s">
        <v>17</v>
      </c>
      <c r="D576" s="25" t="s">
        <v>14750</v>
      </c>
      <c r="E576" t="s">
        <v>192</v>
      </c>
      <c r="F576" s="28">
        <v>1</v>
      </c>
      <c r="G576" t="s">
        <v>193</v>
      </c>
      <c r="H576" t="s">
        <v>194</v>
      </c>
      <c r="I576" t="s">
        <v>14022</v>
      </c>
      <c r="J576" t="s">
        <v>210</v>
      </c>
      <c r="K576" t="s">
        <v>15531</v>
      </c>
      <c r="L576" t="s">
        <v>6261</v>
      </c>
      <c r="M576" t="s">
        <v>14779</v>
      </c>
      <c r="N576" t="s">
        <v>14780</v>
      </c>
      <c r="O576" t="s">
        <v>13125</v>
      </c>
      <c r="P576" t="s">
        <v>15532</v>
      </c>
      <c r="Q576" t="s">
        <v>15533</v>
      </c>
      <c r="S576" t="s">
        <v>9309</v>
      </c>
      <c r="T576" t="s">
        <v>9334</v>
      </c>
      <c r="U576" t="s">
        <v>624</v>
      </c>
      <c r="V576" t="s">
        <v>194</v>
      </c>
      <c r="W576" t="s">
        <v>9300</v>
      </c>
      <c r="Z576" t="s">
        <v>9311</v>
      </c>
      <c r="AF576" t="s">
        <v>4714</v>
      </c>
      <c r="AG576" t="s">
        <v>15530</v>
      </c>
      <c r="AI576" t="s">
        <v>6955</v>
      </c>
      <c r="AJ576" s="27" t="str">
        <f t="shared" si="16"/>
        <v>332203</v>
      </c>
      <c r="AK576" s="27">
        <v>1</v>
      </c>
      <c r="AL576" s="27">
        <f t="shared" si="17"/>
        <v>1</v>
      </c>
      <c r="AM576" s="28">
        <v>1</v>
      </c>
    </row>
    <row r="577" spans="1:39" x14ac:dyDescent="0.25">
      <c r="A577" t="s">
        <v>9020</v>
      </c>
      <c r="B577" t="s">
        <v>15534</v>
      </c>
      <c r="C577" t="s">
        <v>17</v>
      </c>
      <c r="D577" s="25" t="s">
        <v>14750</v>
      </c>
      <c r="E577" t="s">
        <v>233</v>
      </c>
      <c r="F577" s="28">
        <v>1</v>
      </c>
      <c r="G577" t="s">
        <v>193</v>
      </c>
      <c r="H577" t="s">
        <v>194</v>
      </c>
      <c r="I577" t="s">
        <v>14777</v>
      </c>
      <c r="J577" t="s">
        <v>9302</v>
      </c>
      <c r="K577" t="s">
        <v>15535</v>
      </c>
      <c r="L577" t="s">
        <v>6249</v>
      </c>
      <c r="M577" t="s">
        <v>14887</v>
      </c>
      <c r="N577" t="s">
        <v>14888</v>
      </c>
      <c r="O577" t="s">
        <v>13303</v>
      </c>
      <c r="P577" t="s">
        <v>15536</v>
      </c>
      <c r="Q577" t="s">
        <v>15537</v>
      </c>
      <c r="S577" t="s">
        <v>9309</v>
      </c>
      <c r="U577" t="s">
        <v>624</v>
      </c>
      <c r="V577" t="s">
        <v>193</v>
      </c>
      <c r="W577" t="s">
        <v>9310</v>
      </c>
      <c r="Z577" t="s">
        <v>9311</v>
      </c>
      <c r="AF577" t="s">
        <v>4714</v>
      </c>
      <c r="AG577" t="s">
        <v>15534</v>
      </c>
      <c r="AI577" t="s">
        <v>6955</v>
      </c>
      <c r="AJ577" s="27" t="str">
        <f t="shared" si="16"/>
        <v>332203</v>
      </c>
      <c r="AK577" s="27">
        <v>1</v>
      </c>
      <c r="AL577" s="27">
        <f t="shared" si="17"/>
        <v>1</v>
      </c>
      <c r="AM577" s="28">
        <v>1</v>
      </c>
    </row>
    <row r="578" spans="1:39" x14ac:dyDescent="0.25">
      <c r="A578" t="s">
        <v>9020</v>
      </c>
      <c r="B578" t="s">
        <v>15538</v>
      </c>
      <c r="C578" t="s">
        <v>17</v>
      </c>
      <c r="D578" s="25" t="s">
        <v>14750</v>
      </c>
      <c r="E578" t="s">
        <v>233</v>
      </c>
      <c r="F578" s="28">
        <v>1</v>
      </c>
      <c r="G578" t="s">
        <v>193</v>
      </c>
      <c r="H578" t="s">
        <v>194</v>
      </c>
      <c r="I578" t="s">
        <v>14777</v>
      </c>
      <c r="J578" t="s">
        <v>9302</v>
      </c>
      <c r="K578" t="s">
        <v>15539</v>
      </c>
      <c r="L578" t="s">
        <v>6249</v>
      </c>
      <c r="M578" t="s">
        <v>14887</v>
      </c>
      <c r="N578" t="s">
        <v>14888</v>
      </c>
      <c r="O578" t="s">
        <v>13303</v>
      </c>
      <c r="P578" t="s">
        <v>15540</v>
      </c>
      <c r="Q578" t="s">
        <v>15541</v>
      </c>
      <c r="S578" t="s">
        <v>9309</v>
      </c>
      <c r="U578" t="s">
        <v>624</v>
      </c>
      <c r="V578" t="s">
        <v>193</v>
      </c>
      <c r="W578" t="s">
        <v>9310</v>
      </c>
      <c r="Z578" t="s">
        <v>9311</v>
      </c>
      <c r="AF578" t="s">
        <v>4714</v>
      </c>
      <c r="AG578" t="s">
        <v>15538</v>
      </c>
      <c r="AI578" t="s">
        <v>6955</v>
      </c>
      <c r="AJ578" s="27" t="str">
        <f t="shared" si="16"/>
        <v>332203</v>
      </c>
      <c r="AK578" s="27">
        <v>1</v>
      </c>
      <c r="AL578" s="27">
        <f t="shared" si="17"/>
        <v>1</v>
      </c>
      <c r="AM578" s="28">
        <v>1</v>
      </c>
    </row>
    <row r="579" spans="1:39" x14ac:dyDescent="0.25">
      <c r="A579" t="s">
        <v>2567</v>
      </c>
      <c r="B579" t="s">
        <v>15542</v>
      </c>
      <c r="C579" t="s">
        <v>3703</v>
      </c>
      <c r="D579" s="25" t="s">
        <v>14750</v>
      </c>
      <c r="E579" t="s">
        <v>192</v>
      </c>
      <c r="F579" s="28">
        <v>1</v>
      </c>
      <c r="G579" t="s">
        <v>193</v>
      </c>
      <c r="H579" t="s">
        <v>194</v>
      </c>
      <c r="I579" t="s">
        <v>14788</v>
      </c>
      <c r="J579" t="s">
        <v>15543</v>
      </c>
      <c r="K579" t="s">
        <v>15544</v>
      </c>
      <c r="L579" t="s">
        <v>6275</v>
      </c>
      <c r="M579" t="s">
        <v>15025</v>
      </c>
      <c r="N579" t="s">
        <v>14780</v>
      </c>
      <c r="O579" t="s">
        <v>13125</v>
      </c>
      <c r="P579" t="s">
        <v>15545</v>
      </c>
      <c r="Q579" t="s">
        <v>15546</v>
      </c>
      <c r="S579" t="s">
        <v>9309</v>
      </c>
      <c r="T579" t="s">
        <v>9468</v>
      </c>
      <c r="U579" t="s">
        <v>3704</v>
      </c>
      <c r="V579" t="s">
        <v>194</v>
      </c>
      <c r="W579" t="s">
        <v>9300</v>
      </c>
      <c r="Z579" t="s">
        <v>9311</v>
      </c>
      <c r="AF579" t="s">
        <v>4714</v>
      </c>
      <c r="AG579" t="s">
        <v>15542</v>
      </c>
      <c r="AI579" t="s">
        <v>6955</v>
      </c>
      <c r="AJ579" s="27" t="str">
        <f t="shared" ref="AJ579:AJ642" si="18">MID(U579,8,6)</f>
        <v>522302</v>
      </c>
      <c r="AK579" s="27">
        <v>1</v>
      </c>
      <c r="AL579" s="27">
        <f t="shared" ref="AL579:AL642" si="19">SUM(F579)</f>
        <v>1</v>
      </c>
      <c r="AM579" s="28">
        <v>1</v>
      </c>
    </row>
    <row r="580" spans="1:39" x14ac:dyDescent="0.25">
      <c r="A580" t="s">
        <v>2567</v>
      </c>
      <c r="B580" t="s">
        <v>15542</v>
      </c>
      <c r="C580" t="s">
        <v>3703</v>
      </c>
      <c r="D580" s="25" t="s">
        <v>14750</v>
      </c>
      <c r="E580" t="s">
        <v>192</v>
      </c>
      <c r="F580" s="28">
        <v>1</v>
      </c>
      <c r="G580" t="s">
        <v>193</v>
      </c>
      <c r="H580" t="s">
        <v>194</v>
      </c>
      <c r="I580" t="s">
        <v>14788</v>
      </c>
      <c r="J580" t="s">
        <v>962</v>
      </c>
      <c r="K580" t="s">
        <v>15547</v>
      </c>
      <c r="L580" t="s">
        <v>6275</v>
      </c>
      <c r="M580" t="s">
        <v>15025</v>
      </c>
      <c r="N580" t="s">
        <v>14780</v>
      </c>
      <c r="O580" t="s">
        <v>13125</v>
      </c>
      <c r="P580" t="s">
        <v>15548</v>
      </c>
      <c r="Q580" t="s">
        <v>15549</v>
      </c>
      <c r="S580" t="s">
        <v>9309</v>
      </c>
      <c r="T580" t="s">
        <v>11394</v>
      </c>
      <c r="U580" t="s">
        <v>3704</v>
      </c>
      <c r="V580" t="s">
        <v>194</v>
      </c>
      <c r="W580" t="s">
        <v>9300</v>
      </c>
      <c r="Z580" t="s">
        <v>9311</v>
      </c>
      <c r="AF580" t="s">
        <v>4714</v>
      </c>
      <c r="AG580" t="s">
        <v>15542</v>
      </c>
      <c r="AI580" t="s">
        <v>6955</v>
      </c>
      <c r="AJ580" s="27" t="str">
        <f t="shared" si="18"/>
        <v>522302</v>
      </c>
      <c r="AK580" s="27">
        <v>1</v>
      </c>
      <c r="AL580" s="27">
        <f t="shared" si="19"/>
        <v>1</v>
      </c>
      <c r="AM580" s="28">
        <v>1</v>
      </c>
    </row>
    <row r="581" spans="1:39" x14ac:dyDescent="0.25">
      <c r="A581" t="s">
        <v>2567</v>
      </c>
      <c r="B581" t="s">
        <v>15542</v>
      </c>
      <c r="C581" t="s">
        <v>3703</v>
      </c>
      <c r="D581" s="25" t="s">
        <v>14750</v>
      </c>
      <c r="E581" t="s">
        <v>192</v>
      </c>
      <c r="F581" s="28">
        <v>1</v>
      </c>
      <c r="G581" t="s">
        <v>193</v>
      </c>
      <c r="H581" t="s">
        <v>194</v>
      </c>
      <c r="I581" t="s">
        <v>14788</v>
      </c>
      <c r="J581" t="s">
        <v>2183</v>
      </c>
      <c r="K581" t="s">
        <v>15550</v>
      </c>
      <c r="L581" t="s">
        <v>6275</v>
      </c>
      <c r="M581" t="s">
        <v>15025</v>
      </c>
      <c r="N581" t="s">
        <v>14780</v>
      </c>
      <c r="O581" t="s">
        <v>13125</v>
      </c>
      <c r="P581" t="s">
        <v>15551</v>
      </c>
      <c r="Q581" t="s">
        <v>15552</v>
      </c>
      <c r="S581" t="s">
        <v>9309</v>
      </c>
      <c r="T581" t="s">
        <v>9892</v>
      </c>
      <c r="U581" t="s">
        <v>3704</v>
      </c>
      <c r="V581" t="s">
        <v>194</v>
      </c>
      <c r="W581" t="s">
        <v>9300</v>
      </c>
      <c r="Z581" t="s">
        <v>9311</v>
      </c>
      <c r="AF581" t="s">
        <v>4714</v>
      </c>
      <c r="AG581" t="s">
        <v>15542</v>
      </c>
      <c r="AI581" t="s">
        <v>6955</v>
      </c>
      <c r="AJ581" s="27" t="str">
        <f t="shared" si="18"/>
        <v>522302</v>
      </c>
      <c r="AK581" s="27">
        <v>1</v>
      </c>
      <c r="AL581" s="27">
        <f t="shared" si="19"/>
        <v>1</v>
      </c>
      <c r="AM581" s="28">
        <v>1</v>
      </c>
    </row>
    <row r="582" spans="1:39" x14ac:dyDescent="0.25">
      <c r="A582" t="s">
        <v>13986</v>
      </c>
      <c r="B582" t="s">
        <v>1838</v>
      </c>
      <c r="C582" t="s">
        <v>1839</v>
      </c>
      <c r="D582" s="25" t="s">
        <v>14750</v>
      </c>
      <c r="E582" t="s">
        <v>217</v>
      </c>
      <c r="F582" s="28">
        <v>1</v>
      </c>
      <c r="G582" t="s">
        <v>193</v>
      </c>
      <c r="H582" t="s">
        <v>194</v>
      </c>
      <c r="I582" t="s">
        <v>14777</v>
      </c>
      <c r="J582" t="s">
        <v>755</v>
      </c>
      <c r="K582" t="s">
        <v>13988</v>
      </c>
      <c r="L582" t="s">
        <v>6389</v>
      </c>
      <c r="M582" t="s">
        <v>14821</v>
      </c>
      <c r="N582" t="s">
        <v>12260</v>
      </c>
      <c r="O582" t="s">
        <v>13200</v>
      </c>
      <c r="P582" t="s">
        <v>15553</v>
      </c>
      <c r="Q582" t="s">
        <v>15554</v>
      </c>
      <c r="S582" t="s">
        <v>9309</v>
      </c>
      <c r="T582" t="s">
        <v>9726</v>
      </c>
      <c r="U582" t="s">
        <v>1841</v>
      </c>
      <c r="V582" t="s">
        <v>194</v>
      </c>
      <c r="W582" t="s">
        <v>9300</v>
      </c>
      <c r="Z582" t="s">
        <v>9311</v>
      </c>
      <c r="AF582" t="s">
        <v>4714</v>
      </c>
      <c r="AG582" t="s">
        <v>9433</v>
      </c>
      <c r="AI582" t="s">
        <v>6955</v>
      </c>
      <c r="AJ582" s="27" t="str">
        <f t="shared" si="18"/>
        <v>732201</v>
      </c>
      <c r="AK582" s="27">
        <v>1</v>
      </c>
      <c r="AL582" s="27">
        <f t="shared" si="19"/>
        <v>1</v>
      </c>
      <c r="AM582" s="28">
        <v>1</v>
      </c>
    </row>
    <row r="583" spans="1:39" x14ac:dyDescent="0.25">
      <c r="A583" t="s">
        <v>13992</v>
      </c>
      <c r="B583" t="s">
        <v>2516</v>
      </c>
      <c r="C583" t="s">
        <v>1402</v>
      </c>
      <c r="D583" s="25" t="s">
        <v>14750</v>
      </c>
      <c r="E583" t="s">
        <v>217</v>
      </c>
      <c r="F583" s="28">
        <v>1</v>
      </c>
      <c r="G583" t="s">
        <v>193</v>
      </c>
      <c r="H583" t="s">
        <v>194</v>
      </c>
      <c r="I583" t="s">
        <v>14788</v>
      </c>
      <c r="J583" t="s">
        <v>755</v>
      </c>
      <c r="K583" t="s">
        <v>13993</v>
      </c>
      <c r="L583" t="s">
        <v>6327</v>
      </c>
      <c r="M583" t="s">
        <v>14821</v>
      </c>
      <c r="N583" t="s">
        <v>12260</v>
      </c>
      <c r="O583" t="s">
        <v>13200</v>
      </c>
      <c r="P583" t="s">
        <v>15555</v>
      </c>
      <c r="Q583" t="s">
        <v>15556</v>
      </c>
      <c r="S583" t="s">
        <v>9309</v>
      </c>
      <c r="T583" t="s">
        <v>9726</v>
      </c>
      <c r="U583" t="s">
        <v>1403</v>
      </c>
      <c r="V583" t="s">
        <v>194</v>
      </c>
      <c r="W583" t="s">
        <v>9300</v>
      </c>
      <c r="Z583" t="s">
        <v>9311</v>
      </c>
      <c r="AF583" t="s">
        <v>4714</v>
      </c>
      <c r="AG583" t="s">
        <v>9433</v>
      </c>
      <c r="AI583" t="s">
        <v>6955</v>
      </c>
      <c r="AJ583" s="27" t="str">
        <f t="shared" si="18"/>
        <v>242228</v>
      </c>
      <c r="AK583" s="27">
        <v>1</v>
      </c>
      <c r="AL583" s="27">
        <f t="shared" si="19"/>
        <v>1</v>
      </c>
      <c r="AM583" s="28">
        <v>1</v>
      </c>
    </row>
    <row r="584" spans="1:39" x14ac:dyDescent="0.25">
      <c r="A584" t="s">
        <v>8994</v>
      </c>
      <c r="B584" t="s">
        <v>15557</v>
      </c>
      <c r="C584" t="s">
        <v>35</v>
      </c>
      <c r="D584" s="25" t="s">
        <v>14750</v>
      </c>
      <c r="E584" t="s">
        <v>192</v>
      </c>
      <c r="F584" s="28">
        <v>1</v>
      </c>
      <c r="G584" t="s">
        <v>193</v>
      </c>
      <c r="H584" t="s">
        <v>194</v>
      </c>
      <c r="I584" t="s">
        <v>14777</v>
      </c>
      <c r="J584" t="s">
        <v>9302</v>
      </c>
      <c r="K584" t="s">
        <v>15558</v>
      </c>
      <c r="L584" t="s">
        <v>6245</v>
      </c>
      <c r="M584" t="s">
        <v>14779</v>
      </c>
      <c r="N584" t="s">
        <v>14780</v>
      </c>
      <c r="O584" t="s">
        <v>13125</v>
      </c>
      <c r="P584" t="s">
        <v>15559</v>
      </c>
      <c r="Q584" t="s">
        <v>15560</v>
      </c>
      <c r="S584" t="s">
        <v>9309</v>
      </c>
      <c r="U584" t="s">
        <v>207</v>
      </c>
      <c r="V584" t="s">
        <v>193</v>
      </c>
      <c r="W584" t="s">
        <v>9310</v>
      </c>
      <c r="Z584" t="s">
        <v>9311</v>
      </c>
      <c r="AF584" t="s">
        <v>4714</v>
      </c>
      <c r="AG584" t="s">
        <v>15557</v>
      </c>
      <c r="AI584" t="s">
        <v>6955</v>
      </c>
      <c r="AJ584" s="27" t="str">
        <f t="shared" si="18"/>
        <v>122106</v>
      </c>
      <c r="AK584" s="27">
        <v>1</v>
      </c>
      <c r="AL584" s="27">
        <f t="shared" si="19"/>
        <v>1</v>
      </c>
      <c r="AM584" s="28">
        <v>1</v>
      </c>
    </row>
    <row r="585" spans="1:39" x14ac:dyDescent="0.25">
      <c r="A585" t="s">
        <v>14001</v>
      </c>
      <c r="B585" t="s">
        <v>15561</v>
      </c>
      <c r="C585" t="s">
        <v>23</v>
      </c>
      <c r="D585" s="25" t="s">
        <v>14750</v>
      </c>
      <c r="E585" t="s">
        <v>192</v>
      </c>
      <c r="F585" s="28">
        <v>1</v>
      </c>
      <c r="G585" t="s">
        <v>193</v>
      </c>
      <c r="H585" t="s">
        <v>194</v>
      </c>
      <c r="I585" t="s">
        <v>14777</v>
      </c>
      <c r="J585" t="s">
        <v>5098</v>
      </c>
      <c r="K585" t="s">
        <v>15562</v>
      </c>
      <c r="L585" t="s">
        <v>6290</v>
      </c>
      <c r="M585" t="s">
        <v>14779</v>
      </c>
      <c r="N585" t="s">
        <v>14780</v>
      </c>
      <c r="O585" t="s">
        <v>13125</v>
      </c>
      <c r="P585" t="s">
        <v>15563</v>
      </c>
      <c r="Q585" t="s">
        <v>15564</v>
      </c>
      <c r="S585" t="s">
        <v>9309</v>
      </c>
      <c r="T585" t="s">
        <v>9786</v>
      </c>
      <c r="U585" t="s">
        <v>985</v>
      </c>
      <c r="V585" t="s">
        <v>194</v>
      </c>
      <c r="W585" t="s">
        <v>9300</v>
      </c>
      <c r="Z585" t="s">
        <v>9311</v>
      </c>
      <c r="AF585" t="s">
        <v>4714</v>
      </c>
      <c r="AG585" t="s">
        <v>15561</v>
      </c>
      <c r="AI585" t="s">
        <v>6955</v>
      </c>
      <c r="AJ585" s="27" t="str">
        <f t="shared" si="18"/>
        <v>263204</v>
      </c>
      <c r="AK585" s="27">
        <v>1</v>
      </c>
      <c r="AL585" s="27">
        <f t="shared" si="19"/>
        <v>1</v>
      </c>
      <c r="AM585" s="28">
        <v>1</v>
      </c>
    </row>
    <row r="586" spans="1:39" x14ac:dyDescent="0.25">
      <c r="A586" t="s">
        <v>14001</v>
      </c>
      <c r="B586" t="s">
        <v>15565</v>
      </c>
      <c r="C586" t="s">
        <v>85</v>
      </c>
      <c r="D586" s="25" t="s">
        <v>14750</v>
      </c>
      <c r="E586" t="s">
        <v>192</v>
      </c>
      <c r="F586" s="28">
        <v>1</v>
      </c>
      <c r="G586" t="s">
        <v>193</v>
      </c>
      <c r="H586" t="s">
        <v>194</v>
      </c>
      <c r="I586" t="s">
        <v>14788</v>
      </c>
      <c r="J586" t="s">
        <v>5098</v>
      </c>
      <c r="K586" t="s">
        <v>15566</v>
      </c>
      <c r="L586" t="s">
        <v>6290</v>
      </c>
      <c r="M586" t="s">
        <v>14779</v>
      </c>
      <c r="N586" t="s">
        <v>14780</v>
      </c>
      <c r="O586" t="s">
        <v>13125</v>
      </c>
      <c r="P586" t="s">
        <v>15567</v>
      </c>
      <c r="Q586" t="s">
        <v>15568</v>
      </c>
      <c r="S586" t="s">
        <v>9309</v>
      </c>
      <c r="T586" t="s">
        <v>9786</v>
      </c>
      <c r="U586" t="s">
        <v>477</v>
      </c>
      <c r="V586" t="s">
        <v>194</v>
      </c>
      <c r="W586" t="s">
        <v>9300</v>
      </c>
      <c r="Z586" t="s">
        <v>9311</v>
      </c>
      <c r="AF586" t="s">
        <v>4714</v>
      </c>
      <c r="AG586" t="s">
        <v>15565</v>
      </c>
      <c r="AI586" t="s">
        <v>6955</v>
      </c>
      <c r="AJ586" s="27" t="str">
        <f t="shared" si="18"/>
        <v>243305</v>
      </c>
      <c r="AK586" s="27">
        <v>1</v>
      </c>
      <c r="AL586" s="27">
        <f t="shared" si="19"/>
        <v>1</v>
      </c>
      <c r="AM586" s="28">
        <v>1</v>
      </c>
    </row>
    <row r="587" spans="1:39" x14ac:dyDescent="0.25">
      <c r="A587" t="s">
        <v>15569</v>
      </c>
      <c r="B587" t="s">
        <v>15570</v>
      </c>
      <c r="C587" t="s">
        <v>129</v>
      </c>
      <c r="D587" s="25" t="s">
        <v>14750</v>
      </c>
      <c r="E587" t="s">
        <v>192</v>
      </c>
      <c r="F587" s="28">
        <v>1</v>
      </c>
      <c r="G587" t="s">
        <v>193</v>
      </c>
      <c r="H587" t="s">
        <v>194</v>
      </c>
      <c r="I587" t="s">
        <v>13110</v>
      </c>
      <c r="J587" t="s">
        <v>367</v>
      </c>
      <c r="K587" t="s">
        <v>15571</v>
      </c>
      <c r="L587" t="s">
        <v>6245</v>
      </c>
      <c r="M587" t="s">
        <v>14779</v>
      </c>
      <c r="N587" t="s">
        <v>14780</v>
      </c>
      <c r="O587" t="s">
        <v>13125</v>
      </c>
      <c r="P587" t="s">
        <v>15572</v>
      </c>
      <c r="Q587" t="s">
        <v>15573</v>
      </c>
      <c r="S587" t="s">
        <v>9309</v>
      </c>
      <c r="T587" t="s">
        <v>9974</v>
      </c>
      <c r="U587" t="s">
        <v>203</v>
      </c>
      <c r="V587" t="s">
        <v>194</v>
      </c>
      <c r="W587" t="s">
        <v>9300</v>
      </c>
      <c r="Z587" t="s">
        <v>9311</v>
      </c>
      <c r="AF587" t="s">
        <v>4714</v>
      </c>
      <c r="AG587" t="s">
        <v>15570</v>
      </c>
      <c r="AI587" t="s">
        <v>6955</v>
      </c>
      <c r="AJ587" s="27" t="str">
        <f t="shared" si="18"/>
        <v>121904</v>
      </c>
      <c r="AK587" s="27">
        <v>1</v>
      </c>
      <c r="AL587" s="27">
        <f t="shared" si="19"/>
        <v>1</v>
      </c>
      <c r="AM587" s="28">
        <v>1</v>
      </c>
    </row>
    <row r="588" spans="1:39" x14ac:dyDescent="0.25">
      <c r="A588" t="s">
        <v>347</v>
      </c>
      <c r="B588" t="s">
        <v>15574</v>
      </c>
      <c r="C588" t="s">
        <v>147</v>
      </c>
      <c r="D588" s="25" t="s">
        <v>14750</v>
      </c>
      <c r="E588" t="s">
        <v>192</v>
      </c>
      <c r="F588" s="28">
        <v>1</v>
      </c>
      <c r="G588" t="s">
        <v>193</v>
      </c>
      <c r="H588" t="s">
        <v>194</v>
      </c>
      <c r="I588" t="s">
        <v>14777</v>
      </c>
      <c r="J588" t="s">
        <v>316</v>
      </c>
      <c r="K588" t="s">
        <v>15575</v>
      </c>
      <c r="L588" t="s">
        <v>6295</v>
      </c>
      <c r="M588" t="s">
        <v>14779</v>
      </c>
      <c r="N588" t="s">
        <v>14780</v>
      </c>
      <c r="O588" t="s">
        <v>13125</v>
      </c>
      <c r="P588" t="s">
        <v>15576</v>
      </c>
      <c r="Q588" t="s">
        <v>15577</v>
      </c>
      <c r="S588" t="s">
        <v>9309</v>
      </c>
      <c r="T588" t="s">
        <v>10012</v>
      </c>
      <c r="U588" t="s">
        <v>2030</v>
      </c>
      <c r="V588" t="s">
        <v>194</v>
      </c>
      <c r="W588" t="s">
        <v>9300</v>
      </c>
      <c r="Z588" t="s">
        <v>9311</v>
      </c>
      <c r="AF588" t="s">
        <v>4714</v>
      </c>
      <c r="AG588" t="s">
        <v>15574</v>
      </c>
      <c r="AI588" t="s">
        <v>6955</v>
      </c>
      <c r="AJ588" s="27" t="str">
        <f t="shared" si="18"/>
        <v>132102</v>
      </c>
      <c r="AK588" s="27">
        <v>1</v>
      </c>
      <c r="AL588" s="27">
        <f t="shared" si="19"/>
        <v>1</v>
      </c>
      <c r="AM588" s="28">
        <v>1</v>
      </c>
    </row>
    <row r="589" spans="1:39" x14ac:dyDescent="0.25">
      <c r="A589" t="s">
        <v>662</v>
      </c>
      <c r="B589" t="s">
        <v>15578</v>
      </c>
      <c r="C589" t="s">
        <v>36</v>
      </c>
      <c r="D589" s="25" t="s">
        <v>14750</v>
      </c>
      <c r="E589" t="s">
        <v>192</v>
      </c>
      <c r="F589" s="28">
        <v>1</v>
      </c>
      <c r="G589" t="s">
        <v>193</v>
      </c>
      <c r="H589" t="s">
        <v>194</v>
      </c>
      <c r="I589" t="s">
        <v>14788</v>
      </c>
      <c r="J589" t="s">
        <v>305</v>
      </c>
      <c r="K589" t="s">
        <v>15579</v>
      </c>
      <c r="L589" t="s">
        <v>7531</v>
      </c>
      <c r="M589" t="s">
        <v>15025</v>
      </c>
      <c r="N589" t="s">
        <v>14780</v>
      </c>
      <c r="O589" t="s">
        <v>13303</v>
      </c>
      <c r="P589" t="s">
        <v>15580</v>
      </c>
      <c r="Q589" t="s">
        <v>15581</v>
      </c>
      <c r="S589" t="s">
        <v>9309</v>
      </c>
      <c r="T589" t="s">
        <v>9753</v>
      </c>
      <c r="U589" t="s">
        <v>609</v>
      </c>
      <c r="V589" t="s">
        <v>194</v>
      </c>
      <c r="W589" t="s">
        <v>9300</v>
      </c>
      <c r="Z589" t="s">
        <v>9311</v>
      </c>
      <c r="AF589" t="s">
        <v>4714</v>
      </c>
      <c r="AG589" t="s">
        <v>15578</v>
      </c>
      <c r="AI589" t="s">
        <v>6955</v>
      </c>
      <c r="AJ589" s="27" t="str">
        <f t="shared" si="18"/>
        <v>331301</v>
      </c>
      <c r="AK589" s="27">
        <v>1</v>
      </c>
      <c r="AL589" s="27">
        <f t="shared" si="19"/>
        <v>1</v>
      </c>
      <c r="AM589" s="28">
        <v>1</v>
      </c>
    </row>
    <row r="590" spans="1:39" x14ac:dyDescent="0.25">
      <c r="A590" t="s">
        <v>5577</v>
      </c>
      <c r="B590" t="s">
        <v>15582</v>
      </c>
      <c r="C590" t="s">
        <v>538</v>
      </c>
      <c r="D590" s="25" t="s">
        <v>14750</v>
      </c>
      <c r="E590" t="s">
        <v>192</v>
      </c>
      <c r="F590" s="28">
        <v>1</v>
      </c>
      <c r="G590" t="s">
        <v>193</v>
      </c>
      <c r="H590" t="s">
        <v>194</v>
      </c>
      <c r="I590" t="s">
        <v>14777</v>
      </c>
      <c r="J590" t="s">
        <v>13001</v>
      </c>
      <c r="K590" t="s">
        <v>15583</v>
      </c>
      <c r="L590" t="s">
        <v>6340</v>
      </c>
      <c r="M590" t="s">
        <v>14779</v>
      </c>
      <c r="N590" t="s">
        <v>14780</v>
      </c>
      <c r="O590" t="s">
        <v>13125</v>
      </c>
      <c r="P590" t="s">
        <v>15584</v>
      </c>
      <c r="Q590" t="s">
        <v>15585</v>
      </c>
      <c r="S590" t="s">
        <v>9309</v>
      </c>
      <c r="T590" t="s">
        <v>9367</v>
      </c>
      <c r="U590" t="s">
        <v>539</v>
      </c>
      <c r="V590" t="s">
        <v>194</v>
      </c>
      <c r="W590" t="s">
        <v>9300</v>
      </c>
      <c r="Z590" t="s">
        <v>9311</v>
      </c>
      <c r="AF590" t="s">
        <v>4714</v>
      </c>
      <c r="AG590" t="s">
        <v>15582</v>
      </c>
      <c r="AI590" t="s">
        <v>6955</v>
      </c>
      <c r="AJ590" s="27" t="str">
        <f t="shared" si="18"/>
        <v>263401</v>
      </c>
      <c r="AK590" s="27">
        <v>1</v>
      </c>
      <c r="AL590" s="27">
        <f t="shared" si="19"/>
        <v>1</v>
      </c>
      <c r="AM590" s="28">
        <v>1</v>
      </c>
    </row>
    <row r="591" spans="1:39" x14ac:dyDescent="0.25">
      <c r="A591" t="s">
        <v>581</v>
      </c>
      <c r="B591" t="s">
        <v>2198</v>
      </c>
      <c r="C591" t="s">
        <v>62</v>
      </c>
      <c r="D591" s="25" t="s">
        <v>14750</v>
      </c>
      <c r="E591" t="s">
        <v>217</v>
      </c>
      <c r="F591" s="28">
        <v>1</v>
      </c>
      <c r="G591" t="s">
        <v>193</v>
      </c>
      <c r="H591" t="s">
        <v>194</v>
      </c>
      <c r="I591" t="s">
        <v>14788</v>
      </c>
      <c r="J591" t="s">
        <v>253</v>
      </c>
      <c r="K591" t="s">
        <v>15586</v>
      </c>
      <c r="L591" t="s">
        <v>6275</v>
      </c>
      <c r="M591" t="s">
        <v>14821</v>
      </c>
      <c r="N591" t="s">
        <v>11614</v>
      </c>
      <c r="O591" t="s">
        <v>14750</v>
      </c>
      <c r="P591" t="s">
        <v>15587</v>
      </c>
      <c r="Q591" t="s">
        <v>15588</v>
      </c>
      <c r="S591" t="s">
        <v>9309</v>
      </c>
      <c r="T591" t="s">
        <v>9468</v>
      </c>
      <c r="U591" t="s">
        <v>601</v>
      </c>
      <c r="V591" t="s">
        <v>194</v>
      </c>
      <c r="W591" t="s">
        <v>9300</v>
      </c>
      <c r="Z591" t="s">
        <v>9311</v>
      </c>
      <c r="AF591" t="s">
        <v>4714</v>
      </c>
      <c r="AG591" t="s">
        <v>9433</v>
      </c>
      <c r="AI591" t="s">
        <v>6955</v>
      </c>
      <c r="AJ591" s="27" t="str">
        <f t="shared" si="18"/>
        <v>313904</v>
      </c>
      <c r="AK591" s="27">
        <v>1</v>
      </c>
      <c r="AL591" s="27">
        <f t="shared" si="19"/>
        <v>1</v>
      </c>
      <c r="AM591" s="28">
        <v>1</v>
      </c>
    </row>
    <row r="592" spans="1:39" x14ac:dyDescent="0.25">
      <c r="A592" t="s">
        <v>581</v>
      </c>
      <c r="B592" t="s">
        <v>14020</v>
      </c>
      <c r="C592" t="s">
        <v>62</v>
      </c>
      <c r="D592" s="25" t="s">
        <v>14750</v>
      </c>
      <c r="E592" t="s">
        <v>217</v>
      </c>
      <c r="F592" s="28">
        <v>1</v>
      </c>
      <c r="G592" t="s">
        <v>193</v>
      </c>
      <c r="H592" t="s">
        <v>194</v>
      </c>
      <c r="I592" t="s">
        <v>14788</v>
      </c>
      <c r="J592" t="s">
        <v>253</v>
      </c>
      <c r="K592" t="s">
        <v>14021</v>
      </c>
      <c r="L592" t="s">
        <v>6275</v>
      </c>
      <c r="M592" t="s">
        <v>14821</v>
      </c>
      <c r="N592" t="s">
        <v>14735</v>
      </c>
      <c r="O592" t="s">
        <v>10546</v>
      </c>
      <c r="P592" t="s">
        <v>15589</v>
      </c>
      <c r="Q592" t="s">
        <v>15590</v>
      </c>
      <c r="S592" t="s">
        <v>9309</v>
      </c>
      <c r="T592" t="s">
        <v>9468</v>
      </c>
      <c r="U592" t="s">
        <v>601</v>
      </c>
      <c r="V592" t="s">
        <v>194</v>
      </c>
      <c r="W592" t="s">
        <v>9300</v>
      </c>
      <c r="Z592" t="s">
        <v>9311</v>
      </c>
      <c r="AF592" t="s">
        <v>4714</v>
      </c>
      <c r="AG592" t="s">
        <v>9433</v>
      </c>
      <c r="AI592" t="s">
        <v>6955</v>
      </c>
      <c r="AJ592" s="27" t="str">
        <f t="shared" si="18"/>
        <v>313904</v>
      </c>
      <c r="AK592" s="27">
        <v>1</v>
      </c>
      <c r="AL592" s="27">
        <f t="shared" si="19"/>
        <v>1</v>
      </c>
      <c r="AM592" s="28">
        <v>1</v>
      </c>
    </row>
    <row r="593" spans="1:39" x14ac:dyDescent="0.25">
      <c r="A593" t="s">
        <v>15591</v>
      </c>
      <c r="B593" t="s">
        <v>67</v>
      </c>
      <c r="C593" t="s">
        <v>67</v>
      </c>
      <c r="D593" s="25" t="s">
        <v>14750</v>
      </c>
      <c r="E593" t="s">
        <v>192</v>
      </c>
      <c r="F593" s="28">
        <v>1</v>
      </c>
      <c r="G593" t="s">
        <v>193</v>
      </c>
      <c r="H593" t="s">
        <v>194</v>
      </c>
      <c r="I593" t="s">
        <v>14788</v>
      </c>
      <c r="J593" t="s">
        <v>4466</v>
      </c>
      <c r="K593" t="s">
        <v>15592</v>
      </c>
      <c r="L593" t="s">
        <v>6275</v>
      </c>
      <c r="M593" t="s">
        <v>14779</v>
      </c>
      <c r="N593" t="s">
        <v>14780</v>
      </c>
      <c r="O593" t="s">
        <v>13125</v>
      </c>
      <c r="P593" t="s">
        <v>15593</v>
      </c>
      <c r="Q593" t="s">
        <v>15594</v>
      </c>
      <c r="S593" t="s">
        <v>9309</v>
      </c>
      <c r="T593" t="s">
        <v>9786</v>
      </c>
      <c r="U593" t="s">
        <v>709</v>
      </c>
      <c r="V593" t="s">
        <v>194</v>
      </c>
      <c r="W593" t="s">
        <v>9300</v>
      </c>
      <c r="Z593" t="s">
        <v>9311</v>
      </c>
      <c r="AF593" t="s">
        <v>4714</v>
      </c>
      <c r="AG593" t="s">
        <v>67</v>
      </c>
      <c r="AI593" t="s">
        <v>6955</v>
      </c>
      <c r="AJ593" s="27" t="str">
        <f t="shared" si="18"/>
        <v>432103</v>
      </c>
      <c r="AK593" s="27">
        <v>1</v>
      </c>
      <c r="AL593" s="27">
        <f t="shared" si="19"/>
        <v>1</v>
      </c>
      <c r="AM593" s="28">
        <v>1</v>
      </c>
    </row>
    <row r="594" spans="1:39" x14ac:dyDescent="0.25">
      <c r="A594" t="s">
        <v>13015</v>
      </c>
      <c r="B594" t="s">
        <v>209</v>
      </c>
      <c r="C594" t="s">
        <v>35</v>
      </c>
      <c r="D594" s="25" t="s">
        <v>14750</v>
      </c>
      <c r="E594" t="s">
        <v>192</v>
      </c>
      <c r="F594" s="28">
        <v>1</v>
      </c>
      <c r="G594" t="s">
        <v>193</v>
      </c>
      <c r="H594" t="s">
        <v>194</v>
      </c>
      <c r="I594" t="s">
        <v>14777</v>
      </c>
      <c r="J594" t="s">
        <v>210</v>
      </c>
      <c r="K594" t="s">
        <v>15595</v>
      </c>
      <c r="L594" t="s">
        <v>6254</v>
      </c>
      <c r="M594" t="s">
        <v>14779</v>
      </c>
      <c r="N594" t="s">
        <v>14780</v>
      </c>
      <c r="O594" t="s">
        <v>13125</v>
      </c>
      <c r="P594" t="s">
        <v>15596</v>
      </c>
      <c r="Q594" t="s">
        <v>15597</v>
      </c>
      <c r="S594" t="s">
        <v>9309</v>
      </c>
      <c r="T594" t="s">
        <v>9334</v>
      </c>
      <c r="U594" t="s">
        <v>207</v>
      </c>
      <c r="V594" t="s">
        <v>194</v>
      </c>
      <c r="W594" t="s">
        <v>9300</v>
      </c>
      <c r="Z594" t="s">
        <v>9311</v>
      </c>
      <c r="AF594" t="s">
        <v>4714</v>
      </c>
      <c r="AG594" t="s">
        <v>209</v>
      </c>
      <c r="AI594" t="s">
        <v>6955</v>
      </c>
      <c r="AJ594" s="27" t="str">
        <f t="shared" si="18"/>
        <v>122106</v>
      </c>
      <c r="AK594" s="27">
        <v>1</v>
      </c>
      <c r="AL594" s="27">
        <f t="shared" si="19"/>
        <v>1</v>
      </c>
      <c r="AM594" s="28">
        <v>1</v>
      </c>
    </row>
    <row r="595" spans="1:39" x14ac:dyDescent="0.25">
      <c r="A595" t="s">
        <v>15598</v>
      </c>
      <c r="B595" t="s">
        <v>15599</v>
      </c>
      <c r="C595" t="s">
        <v>2884</v>
      </c>
      <c r="D595" s="25" t="s">
        <v>14750</v>
      </c>
      <c r="E595" t="s">
        <v>192</v>
      </c>
      <c r="F595" s="28">
        <v>1</v>
      </c>
      <c r="G595" t="s">
        <v>193</v>
      </c>
      <c r="H595" t="s">
        <v>194</v>
      </c>
      <c r="I595" t="s">
        <v>14022</v>
      </c>
      <c r="J595" t="s">
        <v>15600</v>
      </c>
      <c r="K595" t="s">
        <v>15601</v>
      </c>
      <c r="L595" t="s">
        <v>6275</v>
      </c>
      <c r="M595" t="s">
        <v>14779</v>
      </c>
      <c r="N595" t="s">
        <v>14780</v>
      </c>
      <c r="O595" t="s">
        <v>13125</v>
      </c>
      <c r="P595" t="s">
        <v>15602</v>
      </c>
      <c r="Q595" t="s">
        <v>15603</v>
      </c>
      <c r="S595" t="s">
        <v>9309</v>
      </c>
      <c r="T595" t="s">
        <v>9518</v>
      </c>
      <c r="U595" t="s">
        <v>15604</v>
      </c>
      <c r="V595" t="s">
        <v>194</v>
      </c>
      <c r="W595" t="s">
        <v>9300</v>
      </c>
      <c r="Z595" t="s">
        <v>9311</v>
      </c>
      <c r="AF595" t="s">
        <v>4714</v>
      </c>
      <c r="AG595" t="s">
        <v>15599</v>
      </c>
      <c r="AI595" t="s">
        <v>6955</v>
      </c>
      <c r="AJ595" s="27" t="str">
        <f t="shared" si="18"/>
        <v>712101</v>
      </c>
      <c r="AK595" s="27">
        <v>1</v>
      </c>
      <c r="AL595" s="27">
        <f t="shared" si="19"/>
        <v>1</v>
      </c>
      <c r="AM595" s="28">
        <v>1</v>
      </c>
    </row>
    <row r="596" spans="1:39" x14ac:dyDescent="0.25">
      <c r="A596" t="s">
        <v>15605</v>
      </c>
      <c r="B596" t="s">
        <v>15606</v>
      </c>
      <c r="C596" t="s">
        <v>14172</v>
      </c>
      <c r="D596" s="25" t="s">
        <v>14750</v>
      </c>
      <c r="E596" t="s">
        <v>192</v>
      </c>
      <c r="F596" s="28">
        <v>1</v>
      </c>
      <c r="G596" t="s">
        <v>193</v>
      </c>
      <c r="H596" t="s">
        <v>194</v>
      </c>
      <c r="I596" t="s">
        <v>14777</v>
      </c>
      <c r="J596" t="s">
        <v>9302</v>
      </c>
      <c r="K596" t="s">
        <v>15607</v>
      </c>
      <c r="L596" t="s">
        <v>6258</v>
      </c>
      <c r="M596" t="s">
        <v>14779</v>
      </c>
      <c r="N596" t="s">
        <v>14780</v>
      </c>
      <c r="O596" t="s">
        <v>13125</v>
      </c>
      <c r="P596" t="s">
        <v>15608</v>
      </c>
      <c r="Q596" t="s">
        <v>15609</v>
      </c>
      <c r="S596" t="s">
        <v>9309</v>
      </c>
      <c r="U596" t="s">
        <v>14176</v>
      </c>
      <c r="V596" t="s">
        <v>193</v>
      </c>
      <c r="W596" t="s">
        <v>9310</v>
      </c>
      <c r="Z596" t="s">
        <v>9311</v>
      </c>
      <c r="AF596" t="s">
        <v>4714</v>
      </c>
      <c r="AG596" t="s">
        <v>15606</v>
      </c>
      <c r="AI596" t="s">
        <v>6955</v>
      </c>
      <c r="AJ596" s="27" t="str">
        <f t="shared" si="18"/>
        <v>311907</v>
      </c>
      <c r="AK596" s="27">
        <v>1</v>
      </c>
      <c r="AL596" s="27">
        <f t="shared" si="19"/>
        <v>1</v>
      </c>
      <c r="AM596" s="28">
        <v>1</v>
      </c>
    </row>
    <row r="597" spans="1:39" x14ac:dyDescent="0.25">
      <c r="A597" t="s">
        <v>15610</v>
      </c>
      <c r="B597" t="s">
        <v>15611</v>
      </c>
      <c r="C597" t="s">
        <v>119</v>
      </c>
      <c r="D597" s="25" t="s">
        <v>14750</v>
      </c>
      <c r="E597" t="s">
        <v>192</v>
      </c>
      <c r="F597" s="28">
        <v>1</v>
      </c>
      <c r="G597" t="s">
        <v>193</v>
      </c>
      <c r="H597" t="s">
        <v>194</v>
      </c>
      <c r="I597" t="s">
        <v>14788</v>
      </c>
      <c r="J597" t="s">
        <v>253</v>
      </c>
      <c r="K597" t="s">
        <v>15612</v>
      </c>
      <c r="L597" t="s">
        <v>6266</v>
      </c>
      <c r="M597" t="s">
        <v>15025</v>
      </c>
      <c r="N597" t="s">
        <v>14780</v>
      </c>
      <c r="O597" t="s">
        <v>13303</v>
      </c>
      <c r="P597" t="s">
        <v>15613</v>
      </c>
      <c r="Q597" t="s">
        <v>15614</v>
      </c>
      <c r="S597" t="s">
        <v>9309</v>
      </c>
      <c r="T597" t="s">
        <v>9468</v>
      </c>
      <c r="U597" t="s">
        <v>666</v>
      </c>
      <c r="V597" t="s">
        <v>194</v>
      </c>
      <c r="W597" t="s">
        <v>9300</v>
      </c>
      <c r="Z597" t="s">
        <v>9311</v>
      </c>
      <c r="AF597" t="s">
        <v>4714</v>
      </c>
      <c r="AG597" t="s">
        <v>15611</v>
      </c>
      <c r="AI597" t="s">
        <v>6955</v>
      </c>
      <c r="AJ597" s="27" t="str">
        <f t="shared" si="18"/>
        <v>333105</v>
      </c>
      <c r="AK597" s="27">
        <v>1</v>
      </c>
      <c r="AL597" s="27">
        <f t="shared" si="19"/>
        <v>1</v>
      </c>
      <c r="AM597" s="28">
        <v>1</v>
      </c>
    </row>
    <row r="598" spans="1:39" x14ac:dyDescent="0.25">
      <c r="A598" t="s">
        <v>15615</v>
      </c>
      <c r="B598" t="s">
        <v>15616</v>
      </c>
      <c r="C598" t="s">
        <v>566</v>
      </c>
      <c r="D598" s="25" t="s">
        <v>14750</v>
      </c>
      <c r="E598" t="s">
        <v>192</v>
      </c>
      <c r="F598" s="485">
        <v>4</v>
      </c>
      <c r="G598" t="s">
        <v>193</v>
      </c>
      <c r="H598" t="s">
        <v>194</v>
      </c>
      <c r="I598" t="s">
        <v>14777</v>
      </c>
      <c r="J598" t="s">
        <v>210</v>
      </c>
      <c r="K598" t="s">
        <v>15617</v>
      </c>
      <c r="L598" t="s">
        <v>6245</v>
      </c>
      <c r="M598" t="s">
        <v>14779</v>
      </c>
      <c r="N598" t="s">
        <v>14780</v>
      </c>
      <c r="O598" t="s">
        <v>13125</v>
      </c>
      <c r="P598" t="s">
        <v>15618</v>
      </c>
      <c r="Q598" t="s">
        <v>15619</v>
      </c>
      <c r="S598" t="s">
        <v>9309</v>
      </c>
      <c r="T598" t="s">
        <v>9334</v>
      </c>
      <c r="U598" t="s">
        <v>567</v>
      </c>
      <c r="V598" t="s">
        <v>194</v>
      </c>
      <c r="W598" t="s">
        <v>9300</v>
      </c>
      <c r="Z598" t="s">
        <v>9311</v>
      </c>
      <c r="AF598" t="s">
        <v>4714</v>
      </c>
      <c r="AG598" t="s">
        <v>15616</v>
      </c>
      <c r="AI598" t="s">
        <v>6955</v>
      </c>
      <c r="AJ598" s="27" t="str">
        <f t="shared" si="18"/>
        <v>311504</v>
      </c>
      <c r="AK598" s="27">
        <v>1</v>
      </c>
      <c r="AL598" s="27">
        <f t="shared" si="19"/>
        <v>4</v>
      </c>
      <c r="AM598" s="28">
        <v>1</v>
      </c>
    </row>
    <row r="599" spans="1:39" x14ac:dyDescent="0.25">
      <c r="A599" t="s">
        <v>14056</v>
      </c>
      <c r="B599" t="s">
        <v>15620</v>
      </c>
      <c r="C599" t="s">
        <v>36</v>
      </c>
      <c r="D599" s="25" t="s">
        <v>14750</v>
      </c>
      <c r="E599" t="s">
        <v>192</v>
      </c>
      <c r="F599" s="28">
        <v>1</v>
      </c>
      <c r="G599" t="s">
        <v>193</v>
      </c>
      <c r="H599" t="s">
        <v>194</v>
      </c>
      <c r="I599" t="s">
        <v>14022</v>
      </c>
      <c r="J599" t="s">
        <v>9302</v>
      </c>
      <c r="K599" t="s">
        <v>15621</v>
      </c>
      <c r="L599" t="s">
        <v>7531</v>
      </c>
      <c r="M599" t="s">
        <v>14779</v>
      </c>
      <c r="N599" t="s">
        <v>14780</v>
      </c>
      <c r="O599" t="s">
        <v>13125</v>
      </c>
      <c r="P599" t="s">
        <v>15622</v>
      </c>
      <c r="Q599" t="s">
        <v>15623</v>
      </c>
      <c r="S599" t="s">
        <v>9309</v>
      </c>
      <c r="U599" t="s">
        <v>609</v>
      </c>
      <c r="V599" t="s">
        <v>193</v>
      </c>
      <c r="W599" t="s">
        <v>9310</v>
      </c>
      <c r="Z599" t="s">
        <v>9311</v>
      </c>
      <c r="AF599" t="s">
        <v>4714</v>
      </c>
      <c r="AG599" t="s">
        <v>15620</v>
      </c>
      <c r="AI599" t="s">
        <v>6955</v>
      </c>
      <c r="AJ599" s="27" t="str">
        <f t="shared" si="18"/>
        <v>331301</v>
      </c>
      <c r="AK599" s="27">
        <v>1</v>
      </c>
      <c r="AL599" s="27">
        <f t="shared" si="19"/>
        <v>1</v>
      </c>
      <c r="AM599" s="28">
        <v>1</v>
      </c>
    </row>
    <row r="600" spans="1:39" x14ac:dyDescent="0.25">
      <c r="A600" t="s">
        <v>7354</v>
      </c>
      <c r="B600" t="s">
        <v>1520</v>
      </c>
      <c r="C600" t="s">
        <v>4966</v>
      </c>
      <c r="D600" s="25" t="s">
        <v>14750</v>
      </c>
      <c r="E600" t="s">
        <v>233</v>
      </c>
      <c r="F600" s="28">
        <v>1</v>
      </c>
      <c r="G600" t="s">
        <v>193</v>
      </c>
      <c r="H600" t="s">
        <v>194</v>
      </c>
      <c r="I600" t="s">
        <v>14788</v>
      </c>
      <c r="J600" t="s">
        <v>385</v>
      </c>
      <c r="K600" t="s">
        <v>15624</v>
      </c>
      <c r="L600" t="s">
        <v>6306</v>
      </c>
      <c r="M600" t="s">
        <v>14887</v>
      </c>
      <c r="N600" t="s">
        <v>14888</v>
      </c>
      <c r="O600" t="s">
        <v>14099</v>
      </c>
      <c r="P600" t="s">
        <v>15625</v>
      </c>
      <c r="Q600" t="s">
        <v>15626</v>
      </c>
      <c r="S600" t="s">
        <v>9309</v>
      </c>
      <c r="T600" t="s">
        <v>9410</v>
      </c>
      <c r="U600" t="s">
        <v>405</v>
      </c>
      <c r="V600" t="s">
        <v>194</v>
      </c>
      <c r="W600" t="s">
        <v>9300</v>
      </c>
      <c r="Z600" t="s">
        <v>9311</v>
      </c>
      <c r="AF600" t="s">
        <v>4714</v>
      </c>
      <c r="AG600" t="s">
        <v>1520</v>
      </c>
      <c r="AI600" t="s">
        <v>6955</v>
      </c>
      <c r="AJ600" s="27" t="str">
        <f t="shared" si="18"/>
        <v>241304</v>
      </c>
      <c r="AK600" s="27">
        <v>1</v>
      </c>
      <c r="AL600" s="27">
        <f t="shared" si="19"/>
        <v>1</v>
      </c>
      <c r="AM600" s="28">
        <v>1</v>
      </c>
    </row>
    <row r="601" spans="1:39" x14ac:dyDescent="0.25">
      <c r="A601" t="s">
        <v>15627</v>
      </c>
      <c r="B601" t="s">
        <v>15628</v>
      </c>
      <c r="C601" t="s">
        <v>15629</v>
      </c>
      <c r="D601" s="25" t="s">
        <v>14750</v>
      </c>
      <c r="E601" t="s">
        <v>192</v>
      </c>
      <c r="F601" s="28">
        <v>1</v>
      </c>
      <c r="G601" t="s">
        <v>193</v>
      </c>
      <c r="H601" t="s">
        <v>194</v>
      </c>
      <c r="I601" t="s">
        <v>14022</v>
      </c>
      <c r="J601" t="s">
        <v>9302</v>
      </c>
      <c r="K601" t="s">
        <v>15630</v>
      </c>
      <c r="L601" t="s">
        <v>6258</v>
      </c>
      <c r="M601" t="s">
        <v>14779</v>
      </c>
      <c r="N601" t="s">
        <v>14780</v>
      </c>
      <c r="O601" t="s">
        <v>13125</v>
      </c>
      <c r="P601" t="s">
        <v>15631</v>
      </c>
      <c r="Q601" t="s">
        <v>15632</v>
      </c>
      <c r="S601" t="s">
        <v>9309</v>
      </c>
      <c r="U601" t="s">
        <v>15633</v>
      </c>
      <c r="V601" t="s">
        <v>193</v>
      </c>
      <c r="W601" t="s">
        <v>9310</v>
      </c>
      <c r="Z601" t="s">
        <v>9311</v>
      </c>
      <c r="AF601" t="s">
        <v>4714</v>
      </c>
      <c r="AG601" t="s">
        <v>15628</v>
      </c>
      <c r="AI601" t="s">
        <v>6955</v>
      </c>
      <c r="AJ601" s="27" t="str">
        <f t="shared" si="18"/>
        <v>311905</v>
      </c>
      <c r="AK601" s="27">
        <v>1</v>
      </c>
      <c r="AL601" s="27">
        <f t="shared" si="19"/>
        <v>1</v>
      </c>
      <c r="AM601" s="28">
        <v>1</v>
      </c>
    </row>
    <row r="602" spans="1:39" x14ac:dyDescent="0.25">
      <c r="A602" t="s">
        <v>15634</v>
      </c>
      <c r="B602" t="s">
        <v>15635</v>
      </c>
      <c r="C602" t="s">
        <v>227</v>
      </c>
      <c r="D602" s="25" t="s">
        <v>14750</v>
      </c>
      <c r="E602" t="s">
        <v>192</v>
      </c>
      <c r="F602" s="28">
        <v>1</v>
      </c>
      <c r="G602" t="s">
        <v>193</v>
      </c>
      <c r="H602" t="s">
        <v>194</v>
      </c>
      <c r="I602" t="s">
        <v>13110</v>
      </c>
      <c r="J602" t="s">
        <v>9302</v>
      </c>
      <c r="K602" t="s">
        <v>15636</v>
      </c>
      <c r="L602" t="s">
        <v>6921</v>
      </c>
      <c r="M602" t="s">
        <v>14779</v>
      </c>
      <c r="N602" t="s">
        <v>14780</v>
      </c>
      <c r="O602" t="s">
        <v>13125</v>
      </c>
      <c r="P602" t="s">
        <v>15637</v>
      </c>
      <c r="Q602" t="s">
        <v>15638</v>
      </c>
      <c r="S602" t="s">
        <v>9309</v>
      </c>
      <c r="U602" t="s">
        <v>229</v>
      </c>
      <c r="V602" t="s">
        <v>193</v>
      </c>
      <c r="W602" t="s">
        <v>9310</v>
      </c>
      <c r="Z602" t="s">
        <v>9311</v>
      </c>
      <c r="AF602" t="s">
        <v>4714</v>
      </c>
      <c r="AG602" t="s">
        <v>15635</v>
      </c>
      <c r="AI602" t="s">
        <v>6955</v>
      </c>
      <c r="AJ602" s="27" t="str">
        <f t="shared" si="18"/>
        <v>132401</v>
      </c>
      <c r="AK602" s="27">
        <v>1</v>
      </c>
      <c r="AL602" s="27">
        <f t="shared" si="19"/>
        <v>1</v>
      </c>
      <c r="AM602" s="28">
        <v>1</v>
      </c>
    </row>
    <row r="603" spans="1:39" x14ac:dyDescent="0.25">
      <c r="A603" t="s">
        <v>10498</v>
      </c>
      <c r="B603" t="s">
        <v>15639</v>
      </c>
      <c r="C603" t="s">
        <v>3219</v>
      </c>
      <c r="D603" s="25" t="s">
        <v>14750</v>
      </c>
      <c r="E603" t="s">
        <v>192</v>
      </c>
      <c r="F603" s="28">
        <v>1</v>
      </c>
      <c r="G603" t="s">
        <v>193</v>
      </c>
      <c r="H603" t="s">
        <v>194</v>
      </c>
      <c r="I603" t="s">
        <v>14777</v>
      </c>
      <c r="J603" t="s">
        <v>9302</v>
      </c>
      <c r="K603" t="s">
        <v>15640</v>
      </c>
      <c r="L603" t="s">
        <v>6921</v>
      </c>
      <c r="M603" t="s">
        <v>14779</v>
      </c>
      <c r="N603" t="s">
        <v>14780</v>
      </c>
      <c r="O603" t="s">
        <v>13125</v>
      </c>
      <c r="P603" t="s">
        <v>15641</v>
      </c>
      <c r="Q603" t="s">
        <v>15642</v>
      </c>
      <c r="S603" t="s">
        <v>9309</v>
      </c>
      <c r="U603" t="s">
        <v>3620</v>
      </c>
      <c r="V603" t="s">
        <v>193</v>
      </c>
      <c r="W603" t="s">
        <v>9310</v>
      </c>
      <c r="Z603" t="s">
        <v>9311</v>
      </c>
      <c r="AF603" t="s">
        <v>4714</v>
      </c>
      <c r="AG603" t="s">
        <v>15639</v>
      </c>
      <c r="AI603" t="s">
        <v>6955</v>
      </c>
      <c r="AJ603" s="27" t="str">
        <f t="shared" si="18"/>
        <v>243109</v>
      </c>
      <c r="AK603" s="27">
        <v>1</v>
      </c>
      <c r="AL603" s="27">
        <f t="shared" si="19"/>
        <v>1</v>
      </c>
      <c r="AM603" s="28">
        <v>1</v>
      </c>
    </row>
    <row r="604" spans="1:39" x14ac:dyDescent="0.25">
      <c r="A604" t="s">
        <v>15643</v>
      </c>
      <c r="B604" t="s">
        <v>404</v>
      </c>
      <c r="C604" t="s">
        <v>17</v>
      </c>
      <c r="D604" s="25" t="s">
        <v>14750</v>
      </c>
      <c r="E604" t="s">
        <v>192</v>
      </c>
      <c r="F604" s="28">
        <v>1</v>
      </c>
      <c r="G604" t="s">
        <v>193</v>
      </c>
      <c r="H604" t="s">
        <v>194</v>
      </c>
      <c r="I604" t="s">
        <v>14777</v>
      </c>
      <c r="J604" t="s">
        <v>399</v>
      </c>
      <c r="K604" t="s">
        <v>15644</v>
      </c>
      <c r="L604" t="s">
        <v>6245</v>
      </c>
      <c r="M604" t="s">
        <v>14779</v>
      </c>
      <c r="N604" t="s">
        <v>14780</v>
      </c>
      <c r="O604" t="s">
        <v>13125</v>
      </c>
      <c r="P604" t="s">
        <v>15645</v>
      </c>
      <c r="Q604" t="s">
        <v>15646</v>
      </c>
      <c r="S604" t="s">
        <v>9309</v>
      </c>
      <c r="T604" t="s">
        <v>11135</v>
      </c>
      <c r="U604" t="s">
        <v>624</v>
      </c>
      <c r="V604" t="s">
        <v>194</v>
      </c>
      <c r="W604" t="s">
        <v>9300</v>
      </c>
      <c r="Z604" t="s">
        <v>9311</v>
      </c>
      <c r="AF604" t="s">
        <v>4714</v>
      </c>
      <c r="AG604" t="s">
        <v>404</v>
      </c>
      <c r="AI604" t="s">
        <v>6955</v>
      </c>
      <c r="AJ604" s="27" t="str">
        <f t="shared" si="18"/>
        <v>332203</v>
      </c>
      <c r="AK604" s="27">
        <v>1</v>
      </c>
      <c r="AL604" s="27">
        <f t="shared" si="19"/>
        <v>1</v>
      </c>
      <c r="AM604" s="28">
        <v>1</v>
      </c>
    </row>
    <row r="605" spans="1:39" x14ac:dyDescent="0.25">
      <c r="A605" t="s">
        <v>14090</v>
      </c>
      <c r="B605" t="s">
        <v>15647</v>
      </c>
      <c r="C605" t="s">
        <v>7985</v>
      </c>
      <c r="D605" s="25" t="s">
        <v>14750</v>
      </c>
      <c r="E605" t="s">
        <v>233</v>
      </c>
      <c r="F605" s="28">
        <v>1</v>
      </c>
      <c r="G605" t="s">
        <v>194</v>
      </c>
      <c r="H605" t="s">
        <v>193</v>
      </c>
      <c r="I605" t="s">
        <v>14777</v>
      </c>
      <c r="J605" t="s">
        <v>9302</v>
      </c>
      <c r="K605" t="s">
        <v>15648</v>
      </c>
      <c r="L605" t="s">
        <v>6256</v>
      </c>
      <c r="M605" t="s">
        <v>14887</v>
      </c>
      <c r="N605" t="s">
        <v>14888</v>
      </c>
      <c r="O605" t="s">
        <v>13303</v>
      </c>
      <c r="P605" t="s">
        <v>15649</v>
      </c>
      <c r="Q605" t="s">
        <v>15650</v>
      </c>
      <c r="S605" t="s">
        <v>9309</v>
      </c>
      <c r="U605" t="s">
        <v>1118</v>
      </c>
      <c r="V605" t="s">
        <v>194</v>
      </c>
      <c r="W605" t="s">
        <v>9946</v>
      </c>
      <c r="Z605" t="s">
        <v>9311</v>
      </c>
      <c r="AF605" t="s">
        <v>4714</v>
      </c>
      <c r="AG605" t="s">
        <v>15647</v>
      </c>
      <c r="AI605" t="s">
        <v>6955</v>
      </c>
      <c r="AJ605" s="27" t="str">
        <f t="shared" si="18"/>
        <v>214205</v>
      </c>
      <c r="AK605" s="27">
        <v>1</v>
      </c>
      <c r="AL605" s="27">
        <f t="shared" si="19"/>
        <v>1</v>
      </c>
      <c r="AM605" s="28">
        <v>1</v>
      </c>
    </row>
    <row r="606" spans="1:39" x14ac:dyDescent="0.25">
      <c r="A606" t="s">
        <v>14196</v>
      </c>
      <c r="B606" t="s">
        <v>1200</v>
      </c>
      <c r="C606" t="s">
        <v>4966</v>
      </c>
      <c r="D606" s="25" t="s">
        <v>11614</v>
      </c>
      <c r="E606" t="s">
        <v>217</v>
      </c>
      <c r="F606" s="28">
        <v>1</v>
      </c>
      <c r="G606" t="s">
        <v>193</v>
      </c>
      <c r="H606" t="s">
        <v>194</v>
      </c>
      <c r="I606" t="s">
        <v>14099</v>
      </c>
      <c r="J606" t="s">
        <v>276</v>
      </c>
      <c r="K606" t="s">
        <v>14197</v>
      </c>
      <c r="L606" t="s">
        <v>6327</v>
      </c>
      <c r="M606" t="s">
        <v>15651</v>
      </c>
      <c r="N606" t="s">
        <v>15652</v>
      </c>
      <c r="O606" t="s">
        <v>13128</v>
      </c>
      <c r="P606" t="s">
        <v>15653</v>
      </c>
      <c r="Q606" t="s">
        <v>15654</v>
      </c>
      <c r="S606" t="s">
        <v>9309</v>
      </c>
      <c r="T606" t="s">
        <v>9786</v>
      </c>
      <c r="U606" t="s">
        <v>405</v>
      </c>
      <c r="V606" t="s">
        <v>194</v>
      </c>
      <c r="W606" t="s">
        <v>9300</v>
      </c>
      <c r="Z606" t="s">
        <v>9311</v>
      </c>
      <c r="AF606" t="s">
        <v>4714</v>
      </c>
      <c r="AG606" t="s">
        <v>9433</v>
      </c>
      <c r="AI606" t="s">
        <v>6955</v>
      </c>
      <c r="AJ606" s="27" t="str">
        <f t="shared" si="18"/>
        <v>241304</v>
      </c>
      <c r="AK606" s="27">
        <v>1</v>
      </c>
      <c r="AL606" s="27">
        <f t="shared" si="19"/>
        <v>1</v>
      </c>
      <c r="AM606" s="28">
        <v>1</v>
      </c>
    </row>
    <row r="607" spans="1:39" x14ac:dyDescent="0.25">
      <c r="A607" t="s">
        <v>14196</v>
      </c>
      <c r="B607" t="s">
        <v>14201</v>
      </c>
      <c r="C607" t="s">
        <v>4966</v>
      </c>
      <c r="D607" s="25" t="s">
        <v>11614</v>
      </c>
      <c r="E607" t="s">
        <v>217</v>
      </c>
      <c r="F607" s="28">
        <v>1</v>
      </c>
      <c r="G607" t="s">
        <v>193</v>
      </c>
      <c r="H607" t="s">
        <v>194</v>
      </c>
      <c r="I607" t="s">
        <v>14099</v>
      </c>
      <c r="J607" t="s">
        <v>253</v>
      </c>
      <c r="K607" t="s">
        <v>14202</v>
      </c>
      <c r="L607" t="s">
        <v>6327</v>
      </c>
      <c r="M607" t="s">
        <v>15651</v>
      </c>
      <c r="N607" t="s">
        <v>15652</v>
      </c>
      <c r="O607" t="s">
        <v>13128</v>
      </c>
      <c r="P607" t="s">
        <v>15655</v>
      </c>
      <c r="Q607" t="s">
        <v>15656</v>
      </c>
      <c r="S607" t="s">
        <v>9309</v>
      </c>
      <c r="T607" t="s">
        <v>9468</v>
      </c>
      <c r="U607" t="s">
        <v>405</v>
      </c>
      <c r="V607" t="s">
        <v>194</v>
      </c>
      <c r="W607" t="s">
        <v>9300</v>
      </c>
      <c r="Z607" t="s">
        <v>9311</v>
      </c>
      <c r="AF607" t="s">
        <v>4714</v>
      </c>
      <c r="AG607" t="s">
        <v>9433</v>
      </c>
      <c r="AI607" t="s">
        <v>6955</v>
      </c>
      <c r="AJ607" s="27" t="str">
        <f t="shared" si="18"/>
        <v>241304</v>
      </c>
      <c r="AK607" s="27">
        <v>1</v>
      </c>
      <c r="AL607" s="27">
        <f t="shared" si="19"/>
        <v>1</v>
      </c>
      <c r="AM607" s="28">
        <v>1</v>
      </c>
    </row>
    <row r="608" spans="1:39" x14ac:dyDescent="0.25">
      <c r="A608" t="s">
        <v>13197</v>
      </c>
      <c r="B608" t="s">
        <v>6027</v>
      </c>
      <c r="C608" t="s">
        <v>17</v>
      </c>
      <c r="D608" s="25" t="s">
        <v>11614</v>
      </c>
      <c r="E608" t="s">
        <v>233</v>
      </c>
      <c r="F608" s="28">
        <v>1</v>
      </c>
      <c r="G608" t="s">
        <v>193</v>
      </c>
      <c r="H608" t="s">
        <v>194</v>
      </c>
      <c r="I608" t="s">
        <v>14099</v>
      </c>
      <c r="J608" t="s">
        <v>9302</v>
      </c>
      <c r="K608" t="s">
        <v>15657</v>
      </c>
      <c r="L608" t="s">
        <v>6258</v>
      </c>
      <c r="M608" t="s">
        <v>15658</v>
      </c>
      <c r="N608" t="s">
        <v>12285</v>
      </c>
      <c r="O608" t="s">
        <v>13200</v>
      </c>
      <c r="P608" t="s">
        <v>15659</v>
      </c>
      <c r="Q608" t="s">
        <v>15660</v>
      </c>
      <c r="S608" t="s">
        <v>9309</v>
      </c>
      <c r="U608" t="s">
        <v>624</v>
      </c>
      <c r="V608" t="s">
        <v>193</v>
      </c>
      <c r="W608" t="s">
        <v>9310</v>
      </c>
      <c r="Z608" t="s">
        <v>9311</v>
      </c>
      <c r="AF608" t="s">
        <v>4714</v>
      </c>
      <c r="AG608" t="s">
        <v>6027</v>
      </c>
      <c r="AI608" t="s">
        <v>6955</v>
      </c>
      <c r="AJ608" s="27" t="str">
        <f t="shared" si="18"/>
        <v>332203</v>
      </c>
      <c r="AK608" s="27">
        <v>1</v>
      </c>
      <c r="AL608" s="27">
        <f t="shared" si="19"/>
        <v>1</v>
      </c>
      <c r="AM608" s="28">
        <v>1</v>
      </c>
    </row>
    <row r="609" spans="1:39" x14ac:dyDescent="0.25">
      <c r="A609" t="s">
        <v>5999</v>
      </c>
      <c r="B609" t="s">
        <v>15661</v>
      </c>
      <c r="C609" t="s">
        <v>4065</v>
      </c>
      <c r="D609" s="25" t="s">
        <v>11614</v>
      </c>
      <c r="E609" t="s">
        <v>233</v>
      </c>
      <c r="F609" s="28">
        <v>1</v>
      </c>
      <c r="G609" t="s">
        <v>193</v>
      </c>
      <c r="H609" t="s">
        <v>194</v>
      </c>
      <c r="I609" t="s">
        <v>14099</v>
      </c>
      <c r="J609" t="s">
        <v>9302</v>
      </c>
      <c r="K609" t="s">
        <v>15662</v>
      </c>
      <c r="L609" t="s">
        <v>6266</v>
      </c>
      <c r="M609" t="s">
        <v>15658</v>
      </c>
      <c r="N609" t="s">
        <v>12285</v>
      </c>
      <c r="O609" t="s">
        <v>14777</v>
      </c>
      <c r="P609" t="s">
        <v>15663</v>
      </c>
      <c r="Q609" t="s">
        <v>15664</v>
      </c>
      <c r="S609" t="s">
        <v>9309</v>
      </c>
      <c r="U609" t="s">
        <v>4066</v>
      </c>
      <c r="V609" t="s">
        <v>193</v>
      </c>
      <c r="W609" t="s">
        <v>9310</v>
      </c>
      <c r="Z609" t="s">
        <v>9311</v>
      </c>
      <c r="AF609" t="s">
        <v>4714</v>
      </c>
      <c r="AG609" t="s">
        <v>15661</v>
      </c>
      <c r="AI609" t="s">
        <v>6955</v>
      </c>
      <c r="AJ609" s="27" t="str">
        <f t="shared" si="18"/>
        <v>832203</v>
      </c>
      <c r="AK609" s="27">
        <v>1</v>
      </c>
      <c r="AL609" s="27">
        <f t="shared" si="19"/>
        <v>1</v>
      </c>
      <c r="AM609" s="28">
        <v>1</v>
      </c>
    </row>
    <row r="610" spans="1:39" x14ac:dyDescent="0.25">
      <c r="A610" t="s">
        <v>8371</v>
      </c>
      <c r="B610" t="s">
        <v>10554</v>
      </c>
      <c r="C610" t="s">
        <v>37</v>
      </c>
      <c r="D610" s="25" t="s">
        <v>11614</v>
      </c>
      <c r="E610" t="s">
        <v>233</v>
      </c>
      <c r="F610" s="28">
        <v>1</v>
      </c>
      <c r="G610" t="s">
        <v>193</v>
      </c>
      <c r="H610" t="s">
        <v>194</v>
      </c>
      <c r="I610" t="s">
        <v>14099</v>
      </c>
      <c r="J610" t="s">
        <v>9302</v>
      </c>
      <c r="K610" t="s">
        <v>15665</v>
      </c>
      <c r="L610" t="s">
        <v>6921</v>
      </c>
      <c r="M610" t="s">
        <v>15658</v>
      </c>
      <c r="N610" t="s">
        <v>12285</v>
      </c>
      <c r="O610" t="s">
        <v>13114</v>
      </c>
      <c r="P610" t="s">
        <v>15666</v>
      </c>
      <c r="Q610" t="s">
        <v>15667</v>
      </c>
      <c r="S610" t="s">
        <v>9309</v>
      </c>
      <c r="U610" t="s">
        <v>516</v>
      </c>
      <c r="V610" t="s">
        <v>193</v>
      </c>
      <c r="W610" t="s">
        <v>9310</v>
      </c>
      <c r="Z610" t="s">
        <v>9311</v>
      </c>
      <c r="AF610" t="s">
        <v>4714</v>
      </c>
      <c r="AG610" t="s">
        <v>10554</v>
      </c>
      <c r="AI610" t="s">
        <v>6955</v>
      </c>
      <c r="AJ610" s="27" t="str">
        <f t="shared" si="18"/>
        <v>252302</v>
      </c>
      <c r="AK610" s="27">
        <v>1</v>
      </c>
      <c r="AL610" s="27">
        <f t="shared" si="19"/>
        <v>1</v>
      </c>
      <c r="AM610" s="28">
        <v>1</v>
      </c>
    </row>
    <row r="611" spans="1:39" x14ac:dyDescent="0.25">
      <c r="A611" t="s">
        <v>8371</v>
      </c>
      <c r="B611" t="s">
        <v>15668</v>
      </c>
      <c r="C611" t="s">
        <v>37</v>
      </c>
      <c r="D611" s="25" t="s">
        <v>11614</v>
      </c>
      <c r="E611" t="s">
        <v>233</v>
      </c>
      <c r="F611" s="28">
        <v>1</v>
      </c>
      <c r="G611" t="s">
        <v>193</v>
      </c>
      <c r="H611" t="s">
        <v>194</v>
      </c>
      <c r="I611" t="s">
        <v>14099</v>
      </c>
      <c r="J611" t="s">
        <v>9302</v>
      </c>
      <c r="K611" t="s">
        <v>15669</v>
      </c>
      <c r="L611" t="s">
        <v>6921</v>
      </c>
      <c r="M611" t="s">
        <v>15658</v>
      </c>
      <c r="N611" t="s">
        <v>12285</v>
      </c>
      <c r="O611" t="s">
        <v>13114</v>
      </c>
      <c r="P611" t="s">
        <v>15670</v>
      </c>
      <c r="Q611" t="s">
        <v>15671</v>
      </c>
      <c r="S611" t="s">
        <v>9309</v>
      </c>
      <c r="U611" t="s">
        <v>516</v>
      </c>
      <c r="V611" t="s">
        <v>193</v>
      </c>
      <c r="W611" t="s">
        <v>9310</v>
      </c>
      <c r="Z611" t="s">
        <v>9311</v>
      </c>
      <c r="AF611" t="s">
        <v>4714</v>
      </c>
      <c r="AG611" t="s">
        <v>15668</v>
      </c>
      <c r="AI611" t="s">
        <v>6955</v>
      </c>
      <c r="AJ611" s="27" t="str">
        <f t="shared" si="18"/>
        <v>252302</v>
      </c>
      <c r="AK611" s="27">
        <v>1</v>
      </c>
      <c r="AL611" s="27">
        <f t="shared" si="19"/>
        <v>1</v>
      </c>
      <c r="AM611" s="28">
        <v>1</v>
      </c>
    </row>
    <row r="612" spans="1:39" x14ac:dyDescent="0.25">
      <c r="A612" t="s">
        <v>8371</v>
      </c>
      <c r="B612" t="s">
        <v>15672</v>
      </c>
      <c r="C612" t="s">
        <v>10</v>
      </c>
      <c r="D612" s="25" t="s">
        <v>11614</v>
      </c>
      <c r="E612" t="s">
        <v>233</v>
      </c>
      <c r="F612" s="28">
        <v>1</v>
      </c>
      <c r="G612" t="s">
        <v>193</v>
      </c>
      <c r="H612" t="s">
        <v>194</v>
      </c>
      <c r="I612" t="s">
        <v>14099</v>
      </c>
      <c r="J612" t="s">
        <v>9302</v>
      </c>
      <c r="K612" t="s">
        <v>15673</v>
      </c>
      <c r="L612" t="s">
        <v>6261</v>
      </c>
      <c r="M612" t="s">
        <v>15658</v>
      </c>
      <c r="N612" t="s">
        <v>12285</v>
      </c>
      <c r="O612" t="s">
        <v>13114</v>
      </c>
      <c r="P612" t="s">
        <v>15674</v>
      </c>
      <c r="Q612" t="s">
        <v>15675</v>
      </c>
      <c r="S612" t="s">
        <v>9309</v>
      </c>
      <c r="U612" t="s">
        <v>484</v>
      </c>
      <c r="V612" t="s">
        <v>193</v>
      </c>
      <c r="W612" t="s">
        <v>9310</v>
      </c>
      <c r="Z612" t="s">
        <v>9311</v>
      </c>
      <c r="AF612" t="s">
        <v>4714</v>
      </c>
      <c r="AG612" t="s">
        <v>15672</v>
      </c>
      <c r="AI612" t="s">
        <v>6955</v>
      </c>
      <c r="AJ612" s="27" t="str">
        <f t="shared" si="18"/>
        <v>251401</v>
      </c>
      <c r="AK612" s="27">
        <v>1</v>
      </c>
      <c r="AL612" s="27">
        <f t="shared" si="19"/>
        <v>1</v>
      </c>
      <c r="AM612" s="28">
        <v>1</v>
      </c>
    </row>
    <row r="613" spans="1:39" x14ac:dyDescent="0.25">
      <c r="A613" t="s">
        <v>8371</v>
      </c>
      <c r="B613" t="s">
        <v>15676</v>
      </c>
      <c r="C613" t="s">
        <v>10</v>
      </c>
      <c r="D613" s="25" t="s">
        <v>11614</v>
      </c>
      <c r="E613" t="s">
        <v>233</v>
      </c>
      <c r="F613" s="28">
        <v>1</v>
      </c>
      <c r="G613" t="s">
        <v>193</v>
      </c>
      <c r="H613" t="s">
        <v>194</v>
      </c>
      <c r="I613" t="s">
        <v>14099</v>
      </c>
      <c r="J613" t="s">
        <v>9302</v>
      </c>
      <c r="K613" t="s">
        <v>15677</v>
      </c>
      <c r="L613" t="s">
        <v>6261</v>
      </c>
      <c r="M613" t="s">
        <v>15658</v>
      </c>
      <c r="N613" t="s">
        <v>12285</v>
      </c>
      <c r="O613" t="s">
        <v>13114</v>
      </c>
      <c r="P613" t="s">
        <v>15678</v>
      </c>
      <c r="Q613" t="s">
        <v>15679</v>
      </c>
      <c r="S613" t="s">
        <v>9309</v>
      </c>
      <c r="U613" t="s">
        <v>484</v>
      </c>
      <c r="V613" t="s">
        <v>193</v>
      </c>
      <c r="W613" t="s">
        <v>9310</v>
      </c>
      <c r="Z613" t="s">
        <v>9311</v>
      </c>
      <c r="AF613" t="s">
        <v>4714</v>
      </c>
      <c r="AG613" t="s">
        <v>15676</v>
      </c>
      <c r="AI613" t="s">
        <v>6955</v>
      </c>
      <c r="AJ613" s="27" t="str">
        <f t="shared" si="18"/>
        <v>251401</v>
      </c>
      <c r="AK613" s="27">
        <v>1</v>
      </c>
      <c r="AL613" s="27">
        <f t="shared" si="19"/>
        <v>1</v>
      </c>
      <c r="AM613" s="28">
        <v>1</v>
      </c>
    </row>
    <row r="614" spans="1:39" x14ac:dyDescent="0.25">
      <c r="A614" t="s">
        <v>8371</v>
      </c>
      <c r="B614" t="s">
        <v>15680</v>
      </c>
      <c r="C614" t="s">
        <v>513</v>
      </c>
      <c r="D614" s="25" t="s">
        <v>11614</v>
      </c>
      <c r="E614" t="s">
        <v>233</v>
      </c>
      <c r="F614" s="28">
        <v>1</v>
      </c>
      <c r="G614" t="s">
        <v>193</v>
      </c>
      <c r="H614" t="s">
        <v>194</v>
      </c>
      <c r="I614" t="s">
        <v>14099</v>
      </c>
      <c r="J614" t="s">
        <v>9302</v>
      </c>
      <c r="K614" t="s">
        <v>15681</v>
      </c>
      <c r="L614" t="s">
        <v>6921</v>
      </c>
      <c r="M614" t="s">
        <v>15658</v>
      </c>
      <c r="N614" t="s">
        <v>12285</v>
      </c>
      <c r="O614" t="s">
        <v>13200</v>
      </c>
      <c r="P614" t="s">
        <v>15682</v>
      </c>
      <c r="Q614" t="s">
        <v>15683</v>
      </c>
      <c r="S614" t="s">
        <v>9309</v>
      </c>
      <c r="U614" t="s">
        <v>514</v>
      </c>
      <c r="V614" t="s">
        <v>193</v>
      </c>
      <c r="W614" t="s">
        <v>9310</v>
      </c>
      <c r="Z614" t="s">
        <v>9311</v>
      </c>
      <c r="AF614" t="s">
        <v>4714</v>
      </c>
      <c r="AG614" t="s">
        <v>15680</v>
      </c>
      <c r="AI614" t="s">
        <v>6955</v>
      </c>
      <c r="AJ614" s="27" t="str">
        <f t="shared" si="18"/>
        <v>252301</v>
      </c>
      <c r="AK614" s="27">
        <v>1</v>
      </c>
      <c r="AL614" s="27">
        <f t="shared" si="19"/>
        <v>1</v>
      </c>
      <c r="AM614" s="28">
        <v>1</v>
      </c>
    </row>
    <row r="615" spans="1:39" x14ac:dyDescent="0.25">
      <c r="A615" t="s">
        <v>8371</v>
      </c>
      <c r="B615" t="s">
        <v>15684</v>
      </c>
      <c r="C615" t="s">
        <v>507</v>
      </c>
      <c r="D615" s="25" t="s">
        <v>11614</v>
      </c>
      <c r="E615" t="s">
        <v>233</v>
      </c>
      <c r="F615" s="28">
        <v>1</v>
      </c>
      <c r="G615" t="s">
        <v>193</v>
      </c>
      <c r="H615" t="s">
        <v>194</v>
      </c>
      <c r="I615" t="s">
        <v>14099</v>
      </c>
      <c r="J615" t="s">
        <v>9302</v>
      </c>
      <c r="K615" t="s">
        <v>15685</v>
      </c>
      <c r="L615" t="s">
        <v>6921</v>
      </c>
      <c r="M615" t="s">
        <v>15658</v>
      </c>
      <c r="N615" t="s">
        <v>12285</v>
      </c>
      <c r="O615" t="s">
        <v>13114</v>
      </c>
      <c r="P615" t="s">
        <v>15686</v>
      </c>
      <c r="Q615" t="s">
        <v>15687</v>
      </c>
      <c r="S615" t="s">
        <v>9309</v>
      </c>
      <c r="U615" t="s">
        <v>508</v>
      </c>
      <c r="V615" t="s">
        <v>193</v>
      </c>
      <c r="W615" t="s">
        <v>9310</v>
      </c>
      <c r="Z615" t="s">
        <v>9311</v>
      </c>
      <c r="AF615" t="s">
        <v>4714</v>
      </c>
      <c r="AG615" t="s">
        <v>15684</v>
      </c>
      <c r="AI615" t="s">
        <v>6955</v>
      </c>
      <c r="AJ615" s="27" t="str">
        <f t="shared" si="18"/>
        <v>252102</v>
      </c>
      <c r="AK615" s="27">
        <v>1</v>
      </c>
      <c r="AL615" s="27">
        <f t="shared" si="19"/>
        <v>1</v>
      </c>
      <c r="AM615" s="28">
        <v>1</v>
      </c>
    </row>
    <row r="616" spans="1:39" x14ac:dyDescent="0.25">
      <c r="A616" t="s">
        <v>8371</v>
      </c>
      <c r="B616" t="s">
        <v>15688</v>
      </c>
      <c r="C616" t="s">
        <v>61</v>
      </c>
      <c r="D616" s="25" t="s">
        <v>11614</v>
      </c>
      <c r="E616" t="s">
        <v>233</v>
      </c>
      <c r="F616" s="28">
        <v>1</v>
      </c>
      <c r="G616" t="s">
        <v>193</v>
      </c>
      <c r="H616" t="s">
        <v>194</v>
      </c>
      <c r="I616" t="s">
        <v>14099</v>
      </c>
      <c r="J616" t="s">
        <v>9302</v>
      </c>
      <c r="K616" t="s">
        <v>15689</v>
      </c>
      <c r="L616" t="s">
        <v>6921</v>
      </c>
      <c r="M616" t="s">
        <v>15658</v>
      </c>
      <c r="N616" t="s">
        <v>12285</v>
      </c>
      <c r="O616" t="s">
        <v>13114</v>
      </c>
      <c r="P616" t="s">
        <v>15690</v>
      </c>
      <c r="Q616" t="s">
        <v>15691</v>
      </c>
      <c r="S616" t="s">
        <v>9309</v>
      </c>
      <c r="U616" t="s">
        <v>2282</v>
      </c>
      <c r="V616" t="s">
        <v>193</v>
      </c>
      <c r="W616" t="s">
        <v>9310</v>
      </c>
      <c r="Z616" t="s">
        <v>9311</v>
      </c>
      <c r="AF616" t="s">
        <v>4714</v>
      </c>
      <c r="AG616" t="s">
        <v>15688</v>
      </c>
      <c r="AI616" t="s">
        <v>6955</v>
      </c>
      <c r="AJ616" s="27" t="str">
        <f t="shared" si="18"/>
        <v>251103</v>
      </c>
      <c r="AK616" s="27">
        <v>1</v>
      </c>
      <c r="AL616" s="27">
        <f t="shared" si="19"/>
        <v>1</v>
      </c>
      <c r="AM616" s="28">
        <v>1</v>
      </c>
    </row>
    <row r="617" spans="1:39" x14ac:dyDescent="0.25">
      <c r="A617" t="s">
        <v>1207</v>
      </c>
      <c r="B617" t="s">
        <v>13283</v>
      </c>
      <c r="C617" t="s">
        <v>10</v>
      </c>
      <c r="D617" s="25" t="s">
        <v>11614</v>
      </c>
      <c r="E617" t="s">
        <v>217</v>
      </c>
      <c r="F617" s="28">
        <v>1</v>
      </c>
      <c r="G617" t="s">
        <v>193</v>
      </c>
      <c r="H617" t="s">
        <v>194</v>
      </c>
      <c r="I617" t="s">
        <v>14099</v>
      </c>
      <c r="J617" t="s">
        <v>13284</v>
      </c>
      <c r="K617" t="s">
        <v>13285</v>
      </c>
      <c r="L617" t="s">
        <v>6261</v>
      </c>
      <c r="M617" t="s">
        <v>15651</v>
      </c>
      <c r="N617" t="s">
        <v>12306</v>
      </c>
      <c r="O617" t="s">
        <v>13160</v>
      </c>
      <c r="P617" t="s">
        <v>15692</v>
      </c>
      <c r="Q617" t="s">
        <v>15693</v>
      </c>
      <c r="S617" t="s">
        <v>9309</v>
      </c>
      <c r="U617" t="s">
        <v>484</v>
      </c>
      <c r="V617" t="s">
        <v>193</v>
      </c>
      <c r="W617" t="s">
        <v>9310</v>
      </c>
      <c r="Z617" t="s">
        <v>9311</v>
      </c>
      <c r="AF617" t="s">
        <v>4714</v>
      </c>
      <c r="AG617" t="s">
        <v>9433</v>
      </c>
      <c r="AI617" t="s">
        <v>6955</v>
      </c>
      <c r="AJ617" s="27" t="str">
        <f t="shared" si="18"/>
        <v>251401</v>
      </c>
      <c r="AK617" s="27">
        <v>1</v>
      </c>
      <c r="AL617" s="27">
        <f t="shared" si="19"/>
        <v>1</v>
      </c>
      <c r="AM617" s="28">
        <v>1</v>
      </c>
    </row>
    <row r="618" spans="1:39" x14ac:dyDescent="0.25">
      <c r="A618" t="s">
        <v>1207</v>
      </c>
      <c r="B618" t="s">
        <v>5134</v>
      </c>
      <c r="C618" t="s">
        <v>10</v>
      </c>
      <c r="D618" s="25" t="s">
        <v>11614</v>
      </c>
      <c r="E618" t="s">
        <v>217</v>
      </c>
      <c r="F618" s="28">
        <v>1</v>
      </c>
      <c r="G618" t="s">
        <v>194</v>
      </c>
      <c r="H618" t="s">
        <v>193</v>
      </c>
      <c r="I618" t="s">
        <v>14099</v>
      </c>
      <c r="J618" t="s">
        <v>13289</v>
      </c>
      <c r="K618" t="s">
        <v>13290</v>
      </c>
      <c r="L618" t="s">
        <v>6261</v>
      </c>
      <c r="M618" t="s">
        <v>15651</v>
      </c>
      <c r="N618" t="s">
        <v>15652</v>
      </c>
      <c r="O618" t="s">
        <v>13291</v>
      </c>
      <c r="P618" t="s">
        <v>15694</v>
      </c>
      <c r="Q618" t="s">
        <v>15695</v>
      </c>
      <c r="S618" t="s">
        <v>9309</v>
      </c>
      <c r="U618" t="s">
        <v>484</v>
      </c>
      <c r="V618" t="s">
        <v>194</v>
      </c>
      <c r="W618" t="s">
        <v>9946</v>
      </c>
      <c r="Z618" t="s">
        <v>9311</v>
      </c>
      <c r="AF618" t="s">
        <v>4714</v>
      </c>
      <c r="AG618" t="s">
        <v>9433</v>
      </c>
      <c r="AI618" t="s">
        <v>6955</v>
      </c>
      <c r="AJ618" s="27" t="str">
        <f t="shared" si="18"/>
        <v>251401</v>
      </c>
      <c r="AK618" s="27">
        <v>1</v>
      </c>
      <c r="AL618" s="27">
        <f t="shared" si="19"/>
        <v>1</v>
      </c>
      <c r="AM618" s="28">
        <v>1</v>
      </c>
    </row>
    <row r="619" spans="1:39" x14ac:dyDescent="0.25">
      <c r="A619" t="s">
        <v>15696</v>
      </c>
      <c r="B619" t="s">
        <v>15697</v>
      </c>
      <c r="C619" t="s">
        <v>1384</v>
      </c>
      <c r="D619" s="25" t="s">
        <v>11614</v>
      </c>
      <c r="E619" t="s">
        <v>192</v>
      </c>
      <c r="F619" s="28">
        <v>1</v>
      </c>
      <c r="G619" t="s">
        <v>193</v>
      </c>
      <c r="H619" t="s">
        <v>194</v>
      </c>
      <c r="I619" t="s">
        <v>14099</v>
      </c>
      <c r="J619" t="s">
        <v>210</v>
      </c>
      <c r="K619" t="s">
        <v>15698</v>
      </c>
      <c r="L619" t="s">
        <v>6312</v>
      </c>
      <c r="M619" t="s">
        <v>15699</v>
      </c>
      <c r="N619" t="s">
        <v>15700</v>
      </c>
      <c r="O619" t="s">
        <v>13200</v>
      </c>
      <c r="P619" t="s">
        <v>15701</v>
      </c>
      <c r="Q619" t="s">
        <v>15702</v>
      </c>
      <c r="S619" t="s">
        <v>9309</v>
      </c>
      <c r="T619" t="s">
        <v>9334</v>
      </c>
      <c r="U619" t="s">
        <v>1385</v>
      </c>
      <c r="V619" t="s">
        <v>194</v>
      </c>
      <c r="W619" t="s">
        <v>9300</v>
      </c>
      <c r="Z619" t="s">
        <v>9311</v>
      </c>
      <c r="AF619" t="s">
        <v>4714</v>
      </c>
      <c r="AG619" t="s">
        <v>15697</v>
      </c>
      <c r="AI619" t="s">
        <v>6955</v>
      </c>
      <c r="AJ619" s="27" t="str">
        <f t="shared" si="18"/>
        <v>235915</v>
      </c>
      <c r="AK619" s="27">
        <v>1</v>
      </c>
      <c r="AL619" s="27">
        <f t="shared" si="19"/>
        <v>1</v>
      </c>
      <c r="AM619" s="28">
        <v>1</v>
      </c>
    </row>
    <row r="620" spans="1:39" x14ac:dyDescent="0.25">
      <c r="A620" t="s">
        <v>15696</v>
      </c>
      <c r="B620" t="s">
        <v>15703</v>
      </c>
      <c r="C620" t="s">
        <v>1384</v>
      </c>
      <c r="D620" s="25" t="s">
        <v>11614</v>
      </c>
      <c r="E620" t="s">
        <v>192</v>
      </c>
      <c r="F620" s="28">
        <v>1</v>
      </c>
      <c r="G620" t="s">
        <v>193</v>
      </c>
      <c r="H620" t="s">
        <v>194</v>
      </c>
      <c r="I620" t="s">
        <v>14099</v>
      </c>
      <c r="J620" t="s">
        <v>210</v>
      </c>
      <c r="K620" t="s">
        <v>15704</v>
      </c>
      <c r="L620" t="s">
        <v>6312</v>
      </c>
      <c r="M620" t="s">
        <v>15699</v>
      </c>
      <c r="N620" t="s">
        <v>15700</v>
      </c>
      <c r="O620" t="s">
        <v>13200</v>
      </c>
      <c r="P620" t="s">
        <v>15705</v>
      </c>
      <c r="Q620" t="s">
        <v>15706</v>
      </c>
      <c r="S620" t="s">
        <v>9309</v>
      </c>
      <c r="T620" t="s">
        <v>9334</v>
      </c>
      <c r="U620" t="s">
        <v>1385</v>
      </c>
      <c r="V620" t="s">
        <v>194</v>
      </c>
      <c r="W620" t="s">
        <v>9300</v>
      </c>
      <c r="Z620" t="s">
        <v>9311</v>
      </c>
      <c r="AF620" t="s">
        <v>4714</v>
      </c>
      <c r="AG620" t="s">
        <v>15703</v>
      </c>
      <c r="AI620" t="s">
        <v>6955</v>
      </c>
      <c r="AJ620" s="27" t="str">
        <f t="shared" si="18"/>
        <v>235915</v>
      </c>
      <c r="AK620" s="27">
        <v>1</v>
      </c>
      <c r="AL620" s="27">
        <f t="shared" si="19"/>
        <v>1</v>
      </c>
      <c r="AM620" s="28">
        <v>1</v>
      </c>
    </row>
    <row r="621" spans="1:39" x14ac:dyDescent="0.25">
      <c r="A621" t="s">
        <v>218</v>
      </c>
      <c r="B621" t="s">
        <v>10611</v>
      </c>
      <c r="C621" t="s">
        <v>30</v>
      </c>
      <c r="D621" s="25" t="s">
        <v>11614</v>
      </c>
      <c r="E621" t="s">
        <v>233</v>
      </c>
      <c r="F621" s="28">
        <v>1</v>
      </c>
      <c r="G621" t="s">
        <v>193</v>
      </c>
      <c r="H621" t="s">
        <v>194</v>
      </c>
      <c r="I621" t="s">
        <v>14099</v>
      </c>
      <c r="J621" t="s">
        <v>9302</v>
      </c>
      <c r="K621" t="s">
        <v>15707</v>
      </c>
      <c r="L621" t="s">
        <v>6256</v>
      </c>
      <c r="M621" t="s">
        <v>15658</v>
      </c>
      <c r="N621" t="s">
        <v>12285</v>
      </c>
      <c r="O621" t="s">
        <v>14777</v>
      </c>
      <c r="P621" t="s">
        <v>15708</v>
      </c>
      <c r="Q621" t="s">
        <v>15709</v>
      </c>
      <c r="S621" t="s">
        <v>9309</v>
      </c>
      <c r="U621" t="s">
        <v>1025</v>
      </c>
      <c r="V621" t="s">
        <v>193</v>
      </c>
      <c r="W621" t="s">
        <v>9310</v>
      </c>
      <c r="Z621" t="s">
        <v>9311</v>
      </c>
      <c r="AF621" t="s">
        <v>4714</v>
      </c>
      <c r="AG621" t="s">
        <v>10611</v>
      </c>
      <c r="AI621" t="s">
        <v>6955</v>
      </c>
      <c r="AJ621" s="27" t="str">
        <f t="shared" si="18"/>
        <v>214207</v>
      </c>
      <c r="AK621" s="27">
        <v>1</v>
      </c>
      <c r="AL621" s="27">
        <f t="shared" si="19"/>
        <v>1</v>
      </c>
      <c r="AM621" s="28">
        <v>1</v>
      </c>
    </row>
    <row r="622" spans="1:39" x14ac:dyDescent="0.25">
      <c r="A622" t="s">
        <v>6036</v>
      </c>
      <c r="B622" t="s">
        <v>356</v>
      </c>
      <c r="C622" t="s">
        <v>1839</v>
      </c>
      <c r="D622" s="25" t="s">
        <v>11614</v>
      </c>
      <c r="E622" t="s">
        <v>233</v>
      </c>
      <c r="F622" s="28">
        <v>1</v>
      </c>
      <c r="G622" t="s">
        <v>193</v>
      </c>
      <c r="H622" t="s">
        <v>194</v>
      </c>
      <c r="I622" t="s">
        <v>14099</v>
      </c>
      <c r="J622" t="s">
        <v>8667</v>
      </c>
      <c r="K622" t="s">
        <v>15710</v>
      </c>
      <c r="L622" t="s">
        <v>6275</v>
      </c>
      <c r="M622" t="s">
        <v>15658</v>
      </c>
      <c r="N622" t="s">
        <v>12285</v>
      </c>
      <c r="O622" t="s">
        <v>13200</v>
      </c>
      <c r="P622" t="s">
        <v>15711</v>
      </c>
      <c r="Q622" t="s">
        <v>15712</v>
      </c>
      <c r="S622" t="s">
        <v>9309</v>
      </c>
      <c r="T622" t="s">
        <v>9726</v>
      </c>
      <c r="U622" t="s">
        <v>1841</v>
      </c>
      <c r="V622" t="s">
        <v>194</v>
      </c>
      <c r="W622" t="s">
        <v>9300</v>
      </c>
      <c r="Z622" t="s">
        <v>9311</v>
      </c>
      <c r="AF622" t="s">
        <v>4714</v>
      </c>
      <c r="AG622" t="s">
        <v>356</v>
      </c>
      <c r="AI622" t="s">
        <v>6955</v>
      </c>
      <c r="AJ622" s="27" t="str">
        <f t="shared" si="18"/>
        <v>732201</v>
      </c>
      <c r="AK622" s="27">
        <v>1</v>
      </c>
      <c r="AL622" s="27">
        <f t="shared" si="19"/>
        <v>1</v>
      </c>
      <c r="AM622" s="28">
        <v>1</v>
      </c>
    </row>
    <row r="623" spans="1:39" x14ac:dyDescent="0.25">
      <c r="A623" t="s">
        <v>15713</v>
      </c>
      <c r="B623" t="s">
        <v>15714</v>
      </c>
      <c r="C623" t="s">
        <v>15715</v>
      </c>
      <c r="D623" s="25" t="s">
        <v>11614</v>
      </c>
      <c r="E623" t="s">
        <v>233</v>
      </c>
      <c r="F623" s="28">
        <v>1</v>
      </c>
      <c r="G623" t="s">
        <v>193</v>
      </c>
      <c r="H623" t="s">
        <v>194</v>
      </c>
      <c r="I623" t="s">
        <v>14099</v>
      </c>
      <c r="J623" t="s">
        <v>9302</v>
      </c>
      <c r="K623" t="s">
        <v>15716</v>
      </c>
      <c r="L623" t="s">
        <v>6275</v>
      </c>
      <c r="M623" t="s">
        <v>15658</v>
      </c>
      <c r="N623" t="s">
        <v>12285</v>
      </c>
      <c r="O623" t="s">
        <v>14777</v>
      </c>
      <c r="P623" t="s">
        <v>15717</v>
      </c>
      <c r="Q623" t="s">
        <v>15718</v>
      </c>
      <c r="S623" t="s">
        <v>9309</v>
      </c>
      <c r="U623" t="s">
        <v>15719</v>
      </c>
      <c r="V623" t="s">
        <v>193</v>
      </c>
      <c r="W623" t="s">
        <v>9310</v>
      </c>
      <c r="Z623" t="s">
        <v>9311</v>
      </c>
      <c r="AF623" t="s">
        <v>4714</v>
      </c>
      <c r="AG623" t="s">
        <v>15714</v>
      </c>
      <c r="AI623" t="s">
        <v>6955</v>
      </c>
      <c r="AJ623" s="27" t="str">
        <f t="shared" si="18"/>
        <v>742190</v>
      </c>
      <c r="AK623" s="27">
        <v>1</v>
      </c>
      <c r="AL623" s="27">
        <f t="shared" si="19"/>
        <v>1</v>
      </c>
      <c r="AM623" s="28">
        <v>1</v>
      </c>
    </row>
    <row r="624" spans="1:39" x14ac:dyDescent="0.25">
      <c r="A624" t="s">
        <v>7960</v>
      </c>
      <c r="B624" t="s">
        <v>15720</v>
      </c>
      <c r="C624" t="s">
        <v>15721</v>
      </c>
      <c r="D624" s="25" t="s">
        <v>11614</v>
      </c>
      <c r="E624" t="s">
        <v>233</v>
      </c>
      <c r="F624" s="28">
        <v>1</v>
      </c>
      <c r="G624" t="s">
        <v>193</v>
      </c>
      <c r="H624" t="s">
        <v>194</v>
      </c>
      <c r="I624" t="s">
        <v>11608</v>
      </c>
      <c r="J624" t="s">
        <v>210</v>
      </c>
      <c r="K624" t="s">
        <v>15722</v>
      </c>
      <c r="L624" t="s">
        <v>6277</v>
      </c>
      <c r="M624" t="s">
        <v>15658</v>
      </c>
      <c r="N624" t="s">
        <v>12285</v>
      </c>
      <c r="O624" t="s">
        <v>10529</v>
      </c>
      <c r="P624" t="s">
        <v>15723</v>
      </c>
      <c r="Q624" t="s">
        <v>15724</v>
      </c>
      <c r="S624" t="s">
        <v>9309</v>
      </c>
      <c r="T624" t="s">
        <v>9334</v>
      </c>
      <c r="U624" t="s">
        <v>3669</v>
      </c>
      <c r="V624" t="s">
        <v>194</v>
      </c>
      <c r="W624" t="s">
        <v>9300</v>
      </c>
      <c r="Z624" t="s">
        <v>9311</v>
      </c>
      <c r="AF624" t="s">
        <v>4714</v>
      </c>
      <c r="AG624" t="s">
        <v>15720</v>
      </c>
      <c r="AI624" t="s">
        <v>6955</v>
      </c>
      <c r="AJ624" s="27" t="str">
        <f t="shared" si="18"/>
        <v>332490</v>
      </c>
      <c r="AK624" s="27">
        <v>1</v>
      </c>
      <c r="AL624" s="27">
        <f t="shared" si="19"/>
        <v>1</v>
      </c>
      <c r="AM624" s="28">
        <v>1</v>
      </c>
    </row>
    <row r="625" spans="1:39" x14ac:dyDescent="0.25">
      <c r="A625" t="s">
        <v>11914</v>
      </c>
      <c r="B625" t="s">
        <v>15725</v>
      </c>
      <c r="C625" t="s">
        <v>778</v>
      </c>
      <c r="D625" s="25" t="s">
        <v>11614</v>
      </c>
      <c r="E625" t="s">
        <v>233</v>
      </c>
      <c r="F625" s="28">
        <v>1</v>
      </c>
      <c r="G625" t="s">
        <v>193</v>
      </c>
      <c r="H625" t="s">
        <v>194</v>
      </c>
      <c r="I625" t="s">
        <v>14099</v>
      </c>
      <c r="J625" t="s">
        <v>9302</v>
      </c>
      <c r="K625" t="s">
        <v>15726</v>
      </c>
      <c r="L625" t="s">
        <v>6249</v>
      </c>
      <c r="M625" t="s">
        <v>15658</v>
      </c>
      <c r="N625" t="s">
        <v>12285</v>
      </c>
      <c r="O625" t="s">
        <v>13200</v>
      </c>
      <c r="P625" t="s">
        <v>15727</v>
      </c>
      <c r="Q625" t="s">
        <v>15728</v>
      </c>
      <c r="S625" t="s">
        <v>9309</v>
      </c>
      <c r="U625" t="s">
        <v>779</v>
      </c>
      <c r="V625" t="s">
        <v>193</v>
      </c>
      <c r="W625" t="s">
        <v>9310</v>
      </c>
      <c r="Z625" t="s">
        <v>9311</v>
      </c>
      <c r="AF625" t="s">
        <v>4714</v>
      </c>
      <c r="AG625" t="s">
        <v>15725</v>
      </c>
      <c r="AI625" t="s">
        <v>6955</v>
      </c>
      <c r="AJ625" s="27" t="str">
        <f t="shared" si="18"/>
        <v>524902</v>
      </c>
      <c r="AK625" s="27">
        <v>1</v>
      </c>
      <c r="AL625" s="27">
        <f t="shared" si="19"/>
        <v>1</v>
      </c>
      <c r="AM625" s="28">
        <v>1</v>
      </c>
    </row>
    <row r="626" spans="1:39" x14ac:dyDescent="0.25">
      <c r="A626" t="s">
        <v>11914</v>
      </c>
      <c r="B626" t="s">
        <v>15729</v>
      </c>
      <c r="C626" t="s">
        <v>3342</v>
      </c>
      <c r="D626" s="25" t="s">
        <v>11614</v>
      </c>
      <c r="E626" t="s">
        <v>233</v>
      </c>
      <c r="F626" s="28">
        <v>1</v>
      </c>
      <c r="G626" t="s">
        <v>193</v>
      </c>
      <c r="H626" t="s">
        <v>194</v>
      </c>
      <c r="I626" t="s">
        <v>14099</v>
      </c>
      <c r="J626" t="s">
        <v>9302</v>
      </c>
      <c r="K626" t="s">
        <v>15730</v>
      </c>
      <c r="L626" t="s">
        <v>6363</v>
      </c>
      <c r="M626" t="s">
        <v>15658</v>
      </c>
      <c r="N626" t="s">
        <v>12285</v>
      </c>
      <c r="O626" t="s">
        <v>13200</v>
      </c>
      <c r="P626" t="s">
        <v>15731</v>
      </c>
      <c r="Q626" t="s">
        <v>15732</v>
      </c>
      <c r="S626" t="s">
        <v>9309</v>
      </c>
      <c r="U626" t="s">
        <v>3343</v>
      </c>
      <c r="V626" t="s">
        <v>193</v>
      </c>
      <c r="W626" t="s">
        <v>9310</v>
      </c>
      <c r="Z626" t="s">
        <v>9311</v>
      </c>
      <c r="AF626" t="s">
        <v>4714</v>
      </c>
      <c r="AG626" t="s">
        <v>15729</v>
      </c>
      <c r="AI626" t="s">
        <v>6955</v>
      </c>
      <c r="AJ626" s="27" t="str">
        <f t="shared" si="18"/>
        <v>741101</v>
      </c>
      <c r="AK626" s="27">
        <v>1</v>
      </c>
      <c r="AL626" s="27">
        <f t="shared" si="19"/>
        <v>1</v>
      </c>
      <c r="AM626" s="28">
        <v>1</v>
      </c>
    </row>
    <row r="627" spans="1:39" x14ac:dyDescent="0.25">
      <c r="A627" t="s">
        <v>15733</v>
      </c>
      <c r="B627" t="s">
        <v>15734</v>
      </c>
      <c r="C627" t="s">
        <v>1766</v>
      </c>
      <c r="D627" s="25" t="s">
        <v>11614</v>
      </c>
      <c r="E627" t="s">
        <v>233</v>
      </c>
      <c r="F627" s="28">
        <v>1</v>
      </c>
      <c r="G627" t="s">
        <v>193</v>
      </c>
      <c r="H627" t="s">
        <v>194</v>
      </c>
      <c r="I627" t="s">
        <v>14099</v>
      </c>
      <c r="J627" t="s">
        <v>9302</v>
      </c>
      <c r="K627" t="s">
        <v>15735</v>
      </c>
      <c r="L627" t="s">
        <v>6254</v>
      </c>
      <c r="M627" t="s">
        <v>15658</v>
      </c>
      <c r="N627" t="s">
        <v>12285</v>
      </c>
      <c r="O627" t="s">
        <v>15736</v>
      </c>
      <c r="P627" t="s">
        <v>15737</v>
      </c>
      <c r="Q627" t="s">
        <v>15738</v>
      </c>
      <c r="S627" t="s">
        <v>9309</v>
      </c>
      <c r="U627" t="s">
        <v>1767</v>
      </c>
      <c r="V627" t="s">
        <v>193</v>
      </c>
      <c r="W627" t="s">
        <v>9310</v>
      </c>
      <c r="Z627" t="s">
        <v>9311</v>
      </c>
      <c r="AF627" t="s">
        <v>4714</v>
      </c>
      <c r="AG627" t="s">
        <v>15734</v>
      </c>
      <c r="AI627" t="s">
        <v>6955</v>
      </c>
      <c r="AJ627" s="27" t="str">
        <f t="shared" si="18"/>
        <v>242112</v>
      </c>
      <c r="AK627" s="27">
        <v>1</v>
      </c>
      <c r="AL627" s="27">
        <f t="shared" si="19"/>
        <v>1</v>
      </c>
      <c r="AM627" s="28">
        <v>1</v>
      </c>
    </row>
    <row r="628" spans="1:39" x14ac:dyDescent="0.25">
      <c r="A628" t="s">
        <v>15739</v>
      </c>
      <c r="B628" t="s">
        <v>11920</v>
      </c>
      <c r="C628" t="s">
        <v>6617</v>
      </c>
      <c r="D628" s="25" t="s">
        <v>11614</v>
      </c>
      <c r="E628" t="s">
        <v>233</v>
      </c>
      <c r="F628" s="28">
        <v>1</v>
      </c>
      <c r="G628" t="s">
        <v>193</v>
      </c>
      <c r="H628" t="s">
        <v>194</v>
      </c>
      <c r="I628" t="s">
        <v>14099</v>
      </c>
      <c r="J628" t="s">
        <v>9302</v>
      </c>
      <c r="K628" t="s">
        <v>15740</v>
      </c>
      <c r="L628" t="s">
        <v>6266</v>
      </c>
      <c r="M628" t="s">
        <v>15658</v>
      </c>
      <c r="N628" t="s">
        <v>12285</v>
      </c>
      <c r="O628" t="s">
        <v>13200</v>
      </c>
      <c r="P628" t="s">
        <v>15741</v>
      </c>
      <c r="Q628" t="s">
        <v>15742</v>
      </c>
      <c r="S628" t="s">
        <v>9309</v>
      </c>
      <c r="U628" t="s">
        <v>990</v>
      </c>
      <c r="V628" t="s">
        <v>193</v>
      </c>
      <c r="W628" t="s">
        <v>9310</v>
      </c>
      <c r="Z628" t="s">
        <v>9311</v>
      </c>
      <c r="AF628" t="s">
        <v>4714</v>
      </c>
      <c r="AG628" t="s">
        <v>11920</v>
      </c>
      <c r="AI628" t="s">
        <v>6955</v>
      </c>
      <c r="AJ628" s="27" t="str">
        <f t="shared" si="18"/>
        <v>833202</v>
      </c>
      <c r="AK628" s="27">
        <v>1</v>
      </c>
      <c r="AL628" s="27">
        <f t="shared" si="19"/>
        <v>1</v>
      </c>
      <c r="AM628" s="28">
        <v>1</v>
      </c>
    </row>
    <row r="629" spans="1:39" x14ac:dyDescent="0.25">
      <c r="A629" t="s">
        <v>15743</v>
      </c>
      <c r="B629" t="s">
        <v>15744</v>
      </c>
      <c r="C629" t="s">
        <v>111</v>
      </c>
      <c r="D629" s="25" t="s">
        <v>11614</v>
      </c>
      <c r="E629" t="s">
        <v>192</v>
      </c>
      <c r="F629" s="28">
        <v>1</v>
      </c>
      <c r="G629" t="s">
        <v>193</v>
      </c>
      <c r="H629" t="s">
        <v>194</v>
      </c>
      <c r="I629" t="s">
        <v>14099</v>
      </c>
      <c r="J629" t="s">
        <v>276</v>
      </c>
      <c r="K629" t="s">
        <v>15745</v>
      </c>
      <c r="L629" t="s">
        <v>6254</v>
      </c>
      <c r="M629" t="s">
        <v>15699</v>
      </c>
      <c r="N629" t="s">
        <v>15700</v>
      </c>
      <c r="O629" t="s">
        <v>13200</v>
      </c>
      <c r="P629" t="s">
        <v>15746</v>
      </c>
      <c r="Q629" t="s">
        <v>15747</v>
      </c>
      <c r="S629" t="s">
        <v>9309</v>
      </c>
      <c r="T629" t="s">
        <v>9786</v>
      </c>
      <c r="U629" t="s">
        <v>612</v>
      </c>
      <c r="V629" t="s">
        <v>194</v>
      </c>
      <c r="W629" t="s">
        <v>9300</v>
      </c>
      <c r="Z629" t="s">
        <v>9311</v>
      </c>
      <c r="AF629" t="s">
        <v>4714</v>
      </c>
      <c r="AG629" t="s">
        <v>15744</v>
      </c>
      <c r="AI629" t="s">
        <v>6955</v>
      </c>
      <c r="AJ629" s="27" t="str">
        <f t="shared" si="18"/>
        <v>332101</v>
      </c>
      <c r="AK629" s="27">
        <v>1</v>
      </c>
      <c r="AL629" s="27">
        <f t="shared" si="19"/>
        <v>1</v>
      </c>
      <c r="AM629" s="28">
        <v>1</v>
      </c>
    </row>
    <row r="630" spans="1:39" x14ac:dyDescent="0.25">
      <c r="A630" t="s">
        <v>8131</v>
      </c>
      <c r="B630" t="s">
        <v>9812</v>
      </c>
      <c r="C630" t="s">
        <v>100</v>
      </c>
      <c r="D630" s="25" t="s">
        <v>11614</v>
      </c>
      <c r="E630" t="s">
        <v>233</v>
      </c>
      <c r="F630" s="28">
        <v>1</v>
      </c>
      <c r="G630" t="s">
        <v>193</v>
      </c>
      <c r="H630" t="s">
        <v>194</v>
      </c>
      <c r="I630" t="s">
        <v>11608</v>
      </c>
      <c r="J630" t="s">
        <v>9302</v>
      </c>
      <c r="K630" t="s">
        <v>15748</v>
      </c>
      <c r="L630" t="s">
        <v>6266</v>
      </c>
      <c r="M630" t="s">
        <v>15658</v>
      </c>
      <c r="N630" t="s">
        <v>12285</v>
      </c>
      <c r="O630" t="s">
        <v>13114</v>
      </c>
      <c r="P630" t="s">
        <v>15749</v>
      </c>
      <c r="Q630" t="s">
        <v>15750</v>
      </c>
      <c r="S630" t="s">
        <v>9309</v>
      </c>
      <c r="U630" t="s">
        <v>429</v>
      </c>
      <c r="V630" t="s">
        <v>193</v>
      </c>
      <c r="W630" t="s">
        <v>9310</v>
      </c>
      <c r="Z630" t="s">
        <v>9311</v>
      </c>
      <c r="AF630" t="s">
        <v>4714</v>
      </c>
      <c r="AG630" t="s">
        <v>9812</v>
      </c>
      <c r="AI630" t="s">
        <v>6955</v>
      </c>
      <c r="AJ630" s="27" t="str">
        <f t="shared" si="18"/>
        <v>242108</v>
      </c>
      <c r="AK630" s="27">
        <v>1</v>
      </c>
      <c r="AL630" s="27">
        <f t="shared" si="19"/>
        <v>1</v>
      </c>
      <c r="AM630" s="28">
        <v>1</v>
      </c>
    </row>
    <row r="631" spans="1:39" x14ac:dyDescent="0.25">
      <c r="A631" t="s">
        <v>8131</v>
      </c>
      <c r="B631" t="s">
        <v>9816</v>
      </c>
      <c r="C631" t="s">
        <v>100</v>
      </c>
      <c r="D631" s="25" t="s">
        <v>11614</v>
      </c>
      <c r="E631" t="s">
        <v>233</v>
      </c>
      <c r="F631" s="28">
        <v>1</v>
      </c>
      <c r="G631" t="s">
        <v>193</v>
      </c>
      <c r="H631" t="s">
        <v>194</v>
      </c>
      <c r="I631" t="s">
        <v>11608</v>
      </c>
      <c r="J631" t="s">
        <v>9302</v>
      </c>
      <c r="K631" t="s">
        <v>15751</v>
      </c>
      <c r="L631" t="s">
        <v>6277</v>
      </c>
      <c r="M631" t="s">
        <v>15658</v>
      </c>
      <c r="N631" t="s">
        <v>12285</v>
      </c>
      <c r="O631" t="s">
        <v>13114</v>
      </c>
      <c r="P631" t="s">
        <v>15752</v>
      </c>
      <c r="Q631" t="s">
        <v>15753</v>
      </c>
      <c r="S631" t="s">
        <v>9309</v>
      </c>
      <c r="U631" t="s">
        <v>429</v>
      </c>
      <c r="V631" t="s">
        <v>193</v>
      </c>
      <c r="W631" t="s">
        <v>9310</v>
      </c>
      <c r="Z631" t="s">
        <v>9311</v>
      </c>
      <c r="AF631" t="s">
        <v>4714</v>
      </c>
      <c r="AG631" t="s">
        <v>9816</v>
      </c>
      <c r="AI631" t="s">
        <v>6955</v>
      </c>
      <c r="AJ631" s="27" t="str">
        <f t="shared" si="18"/>
        <v>242108</v>
      </c>
      <c r="AK631" s="27">
        <v>1</v>
      </c>
      <c r="AL631" s="27">
        <f t="shared" si="19"/>
        <v>1</v>
      </c>
      <c r="AM631" s="28">
        <v>1</v>
      </c>
    </row>
    <row r="632" spans="1:39" x14ac:dyDescent="0.25">
      <c r="A632" t="s">
        <v>8131</v>
      </c>
      <c r="B632" t="s">
        <v>9816</v>
      </c>
      <c r="C632" t="s">
        <v>100</v>
      </c>
      <c r="D632" s="25" t="s">
        <v>11614</v>
      </c>
      <c r="E632" t="s">
        <v>233</v>
      </c>
      <c r="F632" s="28">
        <v>1</v>
      </c>
      <c r="G632" t="s">
        <v>193</v>
      </c>
      <c r="H632" t="s">
        <v>194</v>
      </c>
      <c r="I632" t="s">
        <v>11608</v>
      </c>
      <c r="J632" t="s">
        <v>9302</v>
      </c>
      <c r="K632" t="s">
        <v>15754</v>
      </c>
      <c r="L632" t="s">
        <v>6277</v>
      </c>
      <c r="M632" t="s">
        <v>15658</v>
      </c>
      <c r="N632" t="s">
        <v>12285</v>
      </c>
      <c r="O632" t="s">
        <v>13114</v>
      </c>
      <c r="P632" t="s">
        <v>15755</v>
      </c>
      <c r="Q632" t="s">
        <v>15756</v>
      </c>
      <c r="S632" t="s">
        <v>9309</v>
      </c>
      <c r="U632" t="s">
        <v>429</v>
      </c>
      <c r="V632" t="s">
        <v>193</v>
      </c>
      <c r="W632" t="s">
        <v>9310</v>
      </c>
      <c r="Z632" t="s">
        <v>9311</v>
      </c>
      <c r="AF632" t="s">
        <v>4714</v>
      </c>
      <c r="AG632" t="s">
        <v>9816</v>
      </c>
      <c r="AI632" t="s">
        <v>6955</v>
      </c>
      <c r="AJ632" s="27" t="str">
        <f t="shared" si="18"/>
        <v>242108</v>
      </c>
      <c r="AK632" s="27">
        <v>1</v>
      </c>
      <c r="AL632" s="27">
        <f t="shared" si="19"/>
        <v>1</v>
      </c>
      <c r="AM632" s="28">
        <v>1</v>
      </c>
    </row>
    <row r="633" spans="1:39" x14ac:dyDescent="0.25">
      <c r="A633" t="s">
        <v>8131</v>
      </c>
      <c r="B633" t="s">
        <v>9816</v>
      </c>
      <c r="C633" t="s">
        <v>100</v>
      </c>
      <c r="D633" s="25" t="s">
        <v>11614</v>
      </c>
      <c r="E633" t="s">
        <v>233</v>
      </c>
      <c r="F633" s="28">
        <v>1</v>
      </c>
      <c r="G633" t="s">
        <v>193</v>
      </c>
      <c r="H633" t="s">
        <v>194</v>
      </c>
      <c r="I633" t="s">
        <v>11608</v>
      </c>
      <c r="J633" t="s">
        <v>9302</v>
      </c>
      <c r="K633" t="s">
        <v>15757</v>
      </c>
      <c r="L633" t="s">
        <v>6277</v>
      </c>
      <c r="M633" t="s">
        <v>15658</v>
      </c>
      <c r="N633" t="s">
        <v>12285</v>
      </c>
      <c r="O633" t="s">
        <v>13114</v>
      </c>
      <c r="P633" t="s">
        <v>15758</v>
      </c>
      <c r="Q633" t="s">
        <v>15759</v>
      </c>
      <c r="S633" t="s">
        <v>9309</v>
      </c>
      <c r="U633" t="s">
        <v>429</v>
      </c>
      <c r="V633" t="s">
        <v>193</v>
      </c>
      <c r="W633" t="s">
        <v>9310</v>
      </c>
      <c r="Z633" t="s">
        <v>9311</v>
      </c>
      <c r="AF633" t="s">
        <v>4714</v>
      </c>
      <c r="AG633" t="s">
        <v>9816</v>
      </c>
      <c r="AI633" t="s">
        <v>6955</v>
      </c>
      <c r="AJ633" s="27" t="str">
        <f t="shared" si="18"/>
        <v>242108</v>
      </c>
      <c r="AK633" s="27">
        <v>1</v>
      </c>
      <c r="AL633" s="27">
        <f t="shared" si="19"/>
        <v>1</v>
      </c>
      <c r="AM633" s="28">
        <v>1</v>
      </c>
    </row>
    <row r="634" spans="1:39" x14ac:dyDescent="0.25">
      <c r="A634" t="s">
        <v>8131</v>
      </c>
      <c r="B634" t="s">
        <v>15760</v>
      </c>
      <c r="C634" t="s">
        <v>9798</v>
      </c>
      <c r="D634" s="25" t="s">
        <v>11614</v>
      </c>
      <c r="E634" t="s">
        <v>233</v>
      </c>
      <c r="F634" s="28">
        <v>1</v>
      </c>
      <c r="G634" t="s">
        <v>193</v>
      </c>
      <c r="H634" t="s">
        <v>194</v>
      </c>
      <c r="I634" t="s">
        <v>14099</v>
      </c>
      <c r="J634" t="s">
        <v>9302</v>
      </c>
      <c r="K634" t="s">
        <v>15761</v>
      </c>
      <c r="L634" t="s">
        <v>6254</v>
      </c>
      <c r="M634" t="s">
        <v>15658</v>
      </c>
      <c r="N634" t="s">
        <v>12285</v>
      </c>
      <c r="O634" t="s">
        <v>13114</v>
      </c>
      <c r="P634" t="s">
        <v>15762</v>
      </c>
      <c r="Q634" t="s">
        <v>15763</v>
      </c>
      <c r="S634" t="s">
        <v>9309</v>
      </c>
      <c r="U634" t="s">
        <v>1592</v>
      </c>
      <c r="V634" t="s">
        <v>193</v>
      </c>
      <c r="W634" t="s">
        <v>9310</v>
      </c>
      <c r="Z634" t="s">
        <v>9311</v>
      </c>
      <c r="AF634" t="s">
        <v>4714</v>
      </c>
      <c r="AG634" t="s">
        <v>15760</v>
      </c>
      <c r="AI634" t="s">
        <v>6955</v>
      </c>
      <c r="AJ634" s="27" t="str">
        <f t="shared" si="18"/>
        <v>241103</v>
      </c>
      <c r="AK634" s="27">
        <v>1</v>
      </c>
      <c r="AL634" s="27">
        <f t="shared" si="19"/>
        <v>1</v>
      </c>
      <c r="AM634" s="28">
        <v>1</v>
      </c>
    </row>
    <row r="635" spans="1:39" x14ac:dyDescent="0.25">
      <c r="A635" t="s">
        <v>8131</v>
      </c>
      <c r="B635" t="s">
        <v>15760</v>
      </c>
      <c r="C635" t="s">
        <v>86</v>
      </c>
      <c r="D635" s="25" t="s">
        <v>11614</v>
      </c>
      <c r="E635" t="s">
        <v>233</v>
      </c>
      <c r="F635" s="28">
        <v>1</v>
      </c>
      <c r="G635" t="s">
        <v>193</v>
      </c>
      <c r="H635" t="s">
        <v>194</v>
      </c>
      <c r="I635" t="s">
        <v>11608</v>
      </c>
      <c r="J635" t="s">
        <v>9302</v>
      </c>
      <c r="K635" t="s">
        <v>15764</v>
      </c>
      <c r="L635" t="s">
        <v>6254</v>
      </c>
      <c r="M635" t="s">
        <v>15658</v>
      </c>
      <c r="N635" t="s">
        <v>12285</v>
      </c>
      <c r="O635" t="s">
        <v>13114</v>
      </c>
      <c r="P635" t="s">
        <v>15765</v>
      </c>
      <c r="Q635" t="s">
        <v>15766</v>
      </c>
      <c r="S635" t="s">
        <v>9309</v>
      </c>
      <c r="U635" t="s">
        <v>1107</v>
      </c>
      <c r="V635" t="s">
        <v>193</v>
      </c>
      <c r="W635" t="s">
        <v>9310</v>
      </c>
      <c r="Z635" t="s">
        <v>9311</v>
      </c>
      <c r="AF635" t="s">
        <v>4714</v>
      </c>
      <c r="AG635" t="s">
        <v>15760</v>
      </c>
      <c r="AI635" t="s">
        <v>6955</v>
      </c>
      <c r="AJ635" s="27" t="str">
        <f t="shared" si="18"/>
        <v>121101</v>
      </c>
      <c r="AK635" s="27">
        <v>1</v>
      </c>
      <c r="AL635" s="27">
        <f t="shared" si="19"/>
        <v>1</v>
      </c>
      <c r="AM635" s="28">
        <v>1</v>
      </c>
    </row>
    <row r="636" spans="1:39" x14ac:dyDescent="0.25">
      <c r="A636" t="s">
        <v>8131</v>
      </c>
      <c r="B636" t="s">
        <v>9830</v>
      </c>
      <c r="C636" t="s">
        <v>156</v>
      </c>
      <c r="D636" s="25" t="s">
        <v>11614</v>
      </c>
      <c r="E636" t="s">
        <v>233</v>
      </c>
      <c r="F636" s="28">
        <v>1</v>
      </c>
      <c r="G636" t="s">
        <v>193</v>
      </c>
      <c r="H636" t="s">
        <v>194</v>
      </c>
      <c r="I636" t="s">
        <v>14099</v>
      </c>
      <c r="J636" t="s">
        <v>9302</v>
      </c>
      <c r="K636" t="s">
        <v>15767</v>
      </c>
      <c r="L636" t="s">
        <v>6266</v>
      </c>
      <c r="M636" t="s">
        <v>15658</v>
      </c>
      <c r="N636" t="s">
        <v>12285</v>
      </c>
      <c r="O636" t="s">
        <v>13114</v>
      </c>
      <c r="P636" t="s">
        <v>15768</v>
      </c>
      <c r="Q636" t="s">
        <v>15769</v>
      </c>
      <c r="S636" t="s">
        <v>9309</v>
      </c>
      <c r="U636" t="s">
        <v>659</v>
      </c>
      <c r="V636" t="s">
        <v>193</v>
      </c>
      <c r="W636" t="s">
        <v>9310</v>
      </c>
      <c r="Z636" t="s">
        <v>9311</v>
      </c>
      <c r="AF636" t="s">
        <v>4714</v>
      </c>
      <c r="AG636" t="s">
        <v>9830</v>
      </c>
      <c r="AI636" t="s">
        <v>6955</v>
      </c>
      <c r="AJ636" s="27" t="str">
        <f t="shared" si="18"/>
        <v>332302</v>
      </c>
      <c r="AK636" s="27">
        <v>1</v>
      </c>
      <c r="AL636" s="27">
        <f t="shared" si="19"/>
        <v>1</v>
      </c>
      <c r="AM636" s="28">
        <v>1</v>
      </c>
    </row>
    <row r="637" spans="1:39" x14ac:dyDescent="0.25">
      <c r="A637" t="s">
        <v>8131</v>
      </c>
      <c r="B637" t="s">
        <v>9830</v>
      </c>
      <c r="C637" t="s">
        <v>156</v>
      </c>
      <c r="D637" s="25" t="s">
        <v>11614</v>
      </c>
      <c r="E637" t="s">
        <v>233</v>
      </c>
      <c r="F637" s="28">
        <v>1</v>
      </c>
      <c r="G637" t="s">
        <v>193</v>
      </c>
      <c r="H637" t="s">
        <v>194</v>
      </c>
      <c r="I637" t="s">
        <v>14099</v>
      </c>
      <c r="J637" t="s">
        <v>9302</v>
      </c>
      <c r="K637" t="s">
        <v>15770</v>
      </c>
      <c r="L637" t="s">
        <v>6266</v>
      </c>
      <c r="M637" t="s">
        <v>15658</v>
      </c>
      <c r="N637" t="s">
        <v>12285</v>
      </c>
      <c r="O637" t="s">
        <v>13114</v>
      </c>
      <c r="P637" t="s">
        <v>15771</v>
      </c>
      <c r="Q637" t="s">
        <v>15772</v>
      </c>
      <c r="S637" t="s">
        <v>9309</v>
      </c>
      <c r="U637" t="s">
        <v>659</v>
      </c>
      <c r="V637" t="s">
        <v>193</v>
      </c>
      <c r="W637" t="s">
        <v>9310</v>
      </c>
      <c r="Z637" t="s">
        <v>9311</v>
      </c>
      <c r="AF637" t="s">
        <v>4714</v>
      </c>
      <c r="AG637" t="s">
        <v>9830</v>
      </c>
      <c r="AI637" t="s">
        <v>6955</v>
      </c>
      <c r="AJ637" s="27" t="str">
        <f t="shared" si="18"/>
        <v>332302</v>
      </c>
      <c r="AK637" s="27">
        <v>1</v>
      </c>
      <c r="AL637" s="27">
        <f t="shared" si="19"/>
        <v>1</v>
      </c>
      <c r="AM637" s="28">
        <v>1</v>
      </c>
    </row>
    <row r="638" spans="1:39" x14ac:dyDescent="0.25">
      <c r="A638" t="s">
        <v>15773</v>
      </c>
      <c r="B638" t="s">
        <v>15774</v>
      </c>
      <c r="C638" t="s">
        <v>480</v>
      </c>
      <c r="D638" s="25" t="s">
        <v>11614</v>
      </c>
      <c r="E638" t="s">
        <v>233</v>
      </c>
      <c r="F638" s="28">
        <v>1</v>
      </c>
      <c r="G638" t="s">
        <v>193</v>
      </c>
      <c r="H638" t="s">
        <v>194</v>
      </c>
      <c r="I638" t="s">
        <v>14099</v>
      </c>
      <c r="J638" t="s">
        <v>9302</v>
      </c>
      <c r="K638" t="s">
        <v>15775</v>
      </c>
      <c r="L638" t="s">
        <v>6921</v>
      </c>
      <c r="M638" t="s">
        <v>15658</v>
      </c>
      <c r="N638" t="s">
        <v>12285</v>
      </c>
      <c r="O638" t="s">
        <v>13200</v>
      </c>
      <c r="P638" t="s">
        <v>15776</v>
      </c>
      <c r="Q638" t="s">
        <v>15777</v>
      </c>
      <c r="S638" t="s">
        <v>9309</v>
      </c>
      <c r="U638" t="s">
        <v>481</v>
      </c>
      <c r="V638" t="s">
        <v>193</v>
      </c>
      <c r="W638" t="s">
        <v>9310</v>
      </c>
      <c r="Z638" t="s">
        <v>9311</v>
      </c>
      <c r="AF638" t="s">
        <v>4714</v>
      </c>
      <c r="AG638" t="s">
        <v>15774</v>
      </c>
      <c r="AI638" t="s">
        <v>6955</v>
      </c>
      <c r="AJ638" s="27" t="str">
        <f t="shared" si="18"/>
        <v>251201</v>
      </c>
      <c r="AK638" s="27">
        <v>1</v>
      </c>
      <c r="AL638" s="27">
        <f t="shared" si="19"/>
        <v>1</v>
      </c>
      <c r="AM638" s="28">
        <v>1</v>
      </c>
    </row>
    <row r="639" spans="1:39" x14ac:dyDescent="0.25">
      <c r="A639" t="s">
        <v>15773</v>
      </c>
      <c r="B639" t="s">
        <v>5101</v>
      </c>
      <c r="C639" t="s">
        <v>10</v>
      </c>
      <c r="D639" s="25" t="s">
        <v>11614</v>
      </c>
      <c r="E639" t="s">
        <v>233</v>
      </c>
      <c r="F639" s="28">
        <v>1</v>
      </c>
      <c r="G639" t="s">
        <v>193</v>
      </c>
      <c r="H639" t="s">
        <v>194</v>
      </c>
      <c r="I639" t="s">
        <v>14099</v>
      </c>
      <c r="J639" t="s">
        <v>9302</v>
      </c>
      <c r="K639" t="s">
        <v>15778</v>
      </c>
      <c r="L639" t="s">
        <v>6261</v>
      </c>
      <c r="M639" t="s">
        <v>15658</v>
      </c>
      <c r="N639" t="s">
        <v>12285</v>
      </c>
      <c r="O639" t="s">
        <v>13200</v>
      </c>
      <c r="P639" t="s">
        <v>15779</v>
      </c>
      <c r="Q639" t="s">
        <v>15780</v>
      </c>
      <c r="S639" t="s">
        <v>9309</v>
      </c>
      <c r="U639" t="s">
        <v>484</v>
      </c>
      <c r="V639" t="s">
        <v>193</v>
      </c>
      <c r="W639" t="s">
        <v>9310</v>
      </c>
      <c r="Z639" t="s">
        <v>9311</v>
      </c>
      <c r="AF639" t="s">
        <v>4714</v>
      </c>
      <c r="AG639" t="s">
        <v>5101</v>
      </c>
      <c r="AI639" t="s">
        <v>6955</v>
      </c>
      <c r="AJ639" s="27" t="str">
        <f t="shared" si="18"/>
        <v>251401</v>
      </c>
      <c r="AK639" s="27">
        <v>1</v>
      </c>
      <c r="AL639" s="27">
        <f t="shared" si="19"/>
        <v>1</v>
      </c>
      <c r="AM639" s="28">
        <v>1</v>
      </c>
    </row>
    <row r="640" spans="1:39" x14ac:dyDescent="0.25">
      <c r="A640" t="s">
        <v>15773</v>
      </c>
      <c r="B640" t="s">
        <v>1419</v>
      </c>
      <c r="C640" t="s">
        <v>10</v>
      </c>
      <c r="D640" s="25" t="s">
        <v>11614</v>
      </c>
      <c r="E640" t="s">
        <v>233</v>
      </c>
      <c r="F640" s="28">
        <v>1</v>
      </c>
      <c r="G640" t="s">
        <v>193</v>
      </c>
      <c r="H640" t="s">
        <v>194</v>
      </c>
      <c r="I640" t="s">
        <v>14099</v>
      </c>
      <c r="J640" t="s">
        <v>9302</v>
      </c>
      <c r="K640" t="s">
        <v>15781</v>
      </c>
      <c r="L640" t="s">
        <v>6261</v>
      </c>
      <c r="M640" t="s">
        <v>15658</v>
      </c>
      <c r="N640" t="s">
        <v>12285</v>
      </c>
      <c r="O640" t="s">
        <v>13200</v>
      </c>
      <c r="P640" t="s">
        <v>15782</v>
      </c>
      <c r="Q640" t="s">
        <v>15783</v>
      </c>
      <c r="S640" t="s">
        <v>9309</v>
      </c>
      <c r="U640" t="s">
        <v>484</v>
      </c>
      <c r="V640" t="s">
        <v>193</v>
      </c>
      <c r="W640" t="s">
        <v>9310</v>
      </c>
      <c r="Z640" t="s">
        <v>9311</v>
      </c>
      <c r="AF640" t="s">
        <v>4714</v>
      </c>
      <c r="AG640" t="s">
        <v>1419</v>
      </c>
      <c r="AI640" t="s">
        <v>6955</v>
      </c>
      <c r="AJ640" s="27" t="str">
        <f t="shared" si="18"/>
        <v>251401</v>
      </c>
      <c r="AK640" s="27">
        <v>1</v>
      </c>
      <c r="AL640" s="27">
        <f t="shared" si="19"/>
        <v>1</v>
      </c>
      <c r="AM640" s="28">
        <v>1</v>
      </c>
    </row>
    <row r="641" spans="1:39" x14ac:dyDescent="0.25">
      <c r="A641" t="s">
        <v>15773</v>
      </c>
      <c r="B641" t="s">
        <v>15784</v>
      </c>
      <c r="C641" t="s">
        <v>10</v>
      </c>
      <c r="D641" s="25" t="s">
        <v>11614</v>
      </c>
      <c r="E641" t="s">
        <v>233</v>
      </c>
      <c r="F641" s="28">
        <v>1</v>
      </c>
      <c r="G641" t="s">
        <v>193</v>
      </c>
      <c r="H641" t="s">
        <v>194</v>
      </c>
      <c r="I641" t="s">
        <v>14099</v>
      </c>
      <c r="J641" t="s">
        <v>9302</v>
      </c>
      <c r="K641" t="s">
        <v>15785</v>
      </c>
      <c r="L641" t="s">
        <v>6261</v>
      </c>
      <c r="M641" t="s">
        <v>15658</v>
      </c>
      <c r="N641" t="s">
        <v>12285</v>
      </c>
      <c r="O641" t="s">
        <v>13200</v>
      </c>
      <c r="P641" t="s">
        <v>15786</v>
      </c>
      <c r="Q641" t="s">
        <v>15787</v>
      </c>
      <c r="S641" t="s">
        <v>9309</v>
      </c>
      <c r="U641" t="s">
        <v>484</v>
      </c>
      <c r="V641" t="s">
        <v>193</v>
      </c>
      <c r="W641" t="s">
        <v>9310</v>
      </c>
      <c r="Z641" t="s">
        <v>9311</v>
      </c>
      <c r="AF641" t="s">
        <v>4714</v>
      </c>
      <c r="AG641" t="s">
        <v>15784</v>
      </c>
      <c r="AI641" t="s">
        <v>6955</v>
      </c>
      <c r="AJ641" s="27" t="str">
        <f t="shared" si="18"/>
        <v>251401</v>
      </c>
      <c r="AK641" s="27">
        <v>1</v>
      </c>
      <c r="AL641" s="27">
        <f t="shared" si="19"/>
        <v>1</v>
      </c>
      <c r="AM641" s="28">
        <v>1</v>
      </c>
    </row>
    <row r="642" spans="1:39" x14ac:dyDescent="0.25">
      <c r="A642" t="s">
        <v>13500</v>
      </c>
      <c r="B642" t="s">
        <v>15788</v>
      </c>
      <c r="C642" t="s">
        <v>10</v>
      </c>
      <c r="D642" s="25" t="s">
        <v>11614</v>
      </c>
      <c r="E642" t="s">
        <v>233</v>
      </c>
      <c r="F642" s="28">
        <v>1</v>
      </c>
      <c r="G642" t="s">
        <v>193</v>
      </c>
      <c r="H642" t="s">
        <v>194</v>
      </c>
      <c r="I642" t="s">
        <v>14099</v>
      </c>
      <c r="J642" t="s">
        <v>9302</v>
      </c>
      <c r="K642" t="s">
        <v>15789</v>
      </c>
      <c r="L642" t="s">
        <v>6921</v>
      </c>
      <c r="M642" t="s">
        <v>15658</v>
      </c>
      <c r="N642" t="s">
        <v>12285</v>
      </c>
      <c r="O642" t="s">
        <v>13200</v>
      </c>
      <c r="P642" t="s">
        <v>15790</v>
      </c>
      <c r="Q642" t="s">
        <v>15791</v>
      </c>
      <c r="S642" t="s">
        <v>9309</v>
      </c>
      <c r="U642" t="s">
        <v>484</v>
      </c>
      <c r="V642" t="s">
        <v>193</v>
      </c>
      <c r="W642" t="s">
        <v>9310</v>
      </c>
      <c r="Z642" t="s">
        <v>9311</v>
      </c>
      <c r="AF642" t="s">
        <v>4714</v>
      </c>
      <c r="AG642" t="s">
        <v>15788</v>
      </c>
      <c r="AI642" t="s">
        <v>6955</v>
      </c>
      <c r="AJ642" s="27" t="str">
        <f t="shared" si="18"/>
        <v>251401</v>
      </c>
      <c r="AK642" s="27">
        <v>1</v>
      </c>
      <c r="AL642" s="27">
        <f t="shared" si="19"/>
        <v>1</v>
      </c>
      <c r="AM642" s="28">
        <v>1</v>
      </c>
    </row>
    <row r="643" spans="1:39" x14ac:dyDescent="0.25">
      <c r="A643" t="s">
        <v>9862</v>
      </c>
      <c r="B643" t="s">
        <v>9863</v>
      </c>
      <c r="C643" t="s">
        <v>6050</v>
      </c>
      <c r="D643" s="25" t="s">
        <v>11614</v>
      </c>
      <c r="E643" t="s">
        <v>233</v>
      </c>
      <c r="F643" s="28">
        <v>1</v>
      </c>
      <c r="G643" t="s">
        <v>193</v>
      </c>
      <c r="H643" t="s">
        <v>194</v>
      </c>
      <c r="I643" t="s">
        <v>14099</v>
      </c>
      <c r="J643" t="s">
        <v>9302</v>
      </c>
      <c r="K643" t="s">
        <v>15792</v>
      </c>
      <c r="L643" t="s">
        <v>6921</v>
      </c>
      <c r="M643" t="s">
        <v>15658</v>
      </c>
      <c r="N643" t="s">
        <v>12285</v>
      </c>
      <c r="O643" t="s">
        <v>13114</v>
      </c>
      <c r="P643" t="s">
        <v>15793</v>
      </c>
      <c r="Q643" t="s">
        <v>15794</v>
      </c>
      <c r="S643" t="s">
        <v>9309</v>
      </c>
      <c r="U643" t="s">
        <v>6052</v>
      </c>
      <c r="V643" t="s">
        <v>193</v>
      </c>
      <c r="W643" t="s">
        <v>9310</v>
      </c>
      <c r="Z643" t="s">
        <v>9311</v>
      </c>
      <c r="AF643" t="s">
        <v>4714</v>
      </c>
      <c r="AG643" t="s">
        <v>9863</v>
      </c>
      <c r="AI643" t="s">
        <v>6955</v>
      </c>
      <c r="AJ643" s="27" t="str">
        <f t="shared" ref="AJ643:AJ702" si="20">MID(U643,8,6)</f>
        <v>251101</v>
      </c>
      <c r="AK643" s="27">
        <v>1</v>
      </c>
      <c r="AL643" s="27">
        <f t="shared" ref="AL643:AL702" si="21">SUM(F643)</f>
        <v>1</v>
      </c>
      <c r="AM643" s="28">
        <v>1</v>
      </c>
    </row>
    <row r="644" spans="1:39" x14ac:dyDescent="0.25">
      <c r="A644" t="s">
        <v>9862</v>
      </c>
      <c r="B644" t="s">
        <v>9867</v>
      </c>
      <c r="C644" t="s">
        <v>157</v>
      </c>
      <c r="D644" s="25" t="s">
        <v>11614</v>
      </c>
      <c r="E644" t="s">
        <v>233</v>
      </c>
      <c r="F644" s="28">
        <v>1</v>
      </c>
      <c r="G644" t="s">
        <v>193</v>
      </c>
      <c r="H644" t="s">
        <v>194</v>
      </c>
      <c r="I644" t="s">
        <v>14099</v>
      </c>
      <c r="J644" t="s">
        <v>9302</v>
      </c>
      <c r="K644" t="s">
        <v>15795</v>
      </c>
      <c r="L644" t="s">
        <v>6921</v>
      </c>
      <c r="M644" t="s">
        <v>15658</v>
      </c>
      <c r="N644" t="s">
        <v>12285</v>
      </c>
      <c r="O644" t="s">
        <v>13114</v>
      </c>
      <c r="P644" t="s">
        <v>15796</v>
      </c>
      <c r="Q644" t="s">
        <v>15797</v>
      </c>
      <c r="S644" t="s">
        <v>9309</v>
      </c>
      <c r="U644" t="s">
        <v>2425</v>
      </c>
      <c r="V644" t="s">
        <v>193</v>
      </c>
      <c r="W644" t="s">
        <v>9310</v>
      </c>
      <c r="Z644" t="s">
        <v>9311</v>
      </c>
      <c r="AF644" t="s">
        <v>4714</v>
      </c>
      <c r="AG644" t="s">
        <v>9867</v>
      </c>
      <c r="AI644" t="s">
        <v>6955</v>
      </c>
      <c r="AJ644" s="27" t="str">
        <f t="shared" si="20"/>
        <v>742208</v>
      </c>
      <c r="AK644" s="27">
        <v>1</v>
      </c>
      <c r="AL644" s="27">
        <f t="shared" si="21"/>
        <v>1</v>
      </c>
      <c r="AM644" s="28">
        <v>1</v>
      </c>
    </row>
    <row r="645" spans="1:39" x14ac:dyDescent="0.25">
      <c r="A645" t="s">
        <v>15798</v>
      </c>
      <c r="B645" t="s">
        <v>4655</v>
      </c>
      <c r="C645" t="s">
        <v>113</v>
      </c>
      <c r="D645" s="25" t="s">
        <v>11614</v>
      </c>
      <c r="E645" t="s">
        <v>233</v>
      </c>
      <c r="F645" s="28">
        <v>1</v>
      </c>
      <c r="G645" t="s">
        <v>193</v>
      </c>
      <c r="H645" t="s">
        <v>194</v>
      </c>
      <c r="I645" t="s">
        <v>14099</v>
      </c>
      <c r="J645" t="s">
        <v>9302</v>
      </c>
      <c r="K645" t="s">
        <v>15799</v>
      </c>
      <c r="L645" t="s">
        <v>6302</v>
      </c>
      <c r="M645" t="s">
        <v>15658</v>
      </c>
      <c r="N645" t="s">
        <v>12285</v>
      </c>
      <c r="O645" t="s">
        <v>13200</v>
      </c>
      <c r="P645" t="s">
        <v>15800</v>
      </c>
      <c r="Q645" t="s">
        <v>15801</v>
      </c>
      <c r="S645" t="s">
        <v>9309</v>
      </c>
      <c r="U645" t="s">
        <v>465</v>
      </c>
      <c r="V645" t="s">
        <v>193</v>
      </c>
      <c r="W645" t="s">
        <v>9310</v>
      </c>
      <c r="Z645" t="s">
        <v>9311</v>
      </c>
      <c r="AF645" t="s">
        <v>4714</v>
      </c>
      <c r="AG645" t="s">
        <v>4655</v>
      </c>
      <c r="AI645" t="s">
        <v>6955</v>
      </c>
      <c r="AJ645" s="27" t="str">
        <f t="shared" si="20"/>
        <v>243302</v>
      </c>
      <c r="AK645" s="27">
        <v>1</v>
      </c>
      <c r="AL645" s="27">
        <f t="shared" si="21"/>
        <v>1</v>
      </c>
      <c r="AM645" s="28">
        <v>1</v>
      </c>
    </row>
    <row r="646" spans="1:39" x14ac:dyDescent="0.25">
      <c r="A646" t="s">
        <v>9037</v>
      </c>
      <c r="B646" t="s">
        <v>2024</v>
      </c>
      <c r="C646" s="494" t="s">
        <v>12</v>
      </c>
      <c r="D646" s="25" t="s">
        <v>11614</v>
      </c>
      <c r="E646" t="s">
        <v>233</v>
      </c>
      <c r="F646" s="27">
        <v>1</v>
      </c>
      <c r="G646" t="s">
        <v>194</v>
      </c>
      <c r="H646" t="s">
        <v>193</v>
      </c>
      <c r="I646" t="s">
        <v>14099</v>
      </c>
      <c r="J646" t="s">
        <v>9302</v>
      </c>
      <c r="K646" t="s">
        <v>15802</v>
      </c>
      <c r="L646" t="s">
        <v>6256</v>
      </c>
      <c r="M646" t="s">
        <v>15658</v>
      </c>
      <c r="N646" t="s">
        <v>12285</v>
      </c>
      <c r="O646" t="s">
        <v>13200</v>
      </c>
      <c r="P646" t="s">
        <v>15803</v>
      </c>
      <c r="Q646" t="s">
        <v>15804</v>
      </c>
      <c r="S646" t="s">
        <v>9309</v>
      </c>
      <c r="U646" s="25" t="s">
        <v>220</v>
      </c>
      <c r="V646" t="s">
        <v>194</v>
      </c>
      <c r="W646" t="s">
        <v>9946</v>
      </c>
      <c r="Z646" t="s">
        <v>9311</v>
      </c>
      <c r="AF646" t="s">
        <v>4714</v>
      </c>
      <c r="AG646" t="s">
        <v>2024</v>
      </c>
      <c r="AI646" t="s">
        <v>6955</v>
      </c>
      <c r="AJ646" s="27" t="str">
        <f t="shared" si="20"/>
        <v>132301</v>
      </c>
      <c r="AK646" s="27">
        <v>1</v>
      </c>
      <c r="AL646" s="27">
        <f t="shared" si="21"/>
        <v>1</v>
      </c>
      <c r="AM646" s="28">
        <v>1</v>
      </c>
    </row>
    <row r="647" spans="1:39" x14ac:dyDescent="0.25">
      <c r="A647" t="s">
        <v>9037</v>
      </c>
      <c r="B647" t="s">
        <v>15805</v>
      </c>
      <c r="D647" s="25" t="s">
        <v>11614</v>
      </c>
      <c r="E647" t="s">
        <v>233</v>
      </c>
      <c r="F647" s="27">
        <v>1</v>
      </c>
      <c r="G647" t="s">
        <v>194</v>
      </c>
      <c r="H647" t="s">
        <v>193</v>
      </c>
      <c r="I647" t="s">
        <v>14099</v>
      </c>
      <c r="J647" t="s">
        <v>9302</v>
      </c>
      <c r="K647" t="s">
        <v>15806</v>
      </c>
      <c r="L647" t="s">
        <v>6256</v>
      </c>
      <c r="M647" t="s">
        <v>15658</v>
      </c>
      <c r="N647" t="s">
        <v>12285</v>
      </c>
      <c r="O647" t="s">
        <v>13200</v>
      </c>
      <c r="P647" t="s">
        <v>15807</v>
      </c>
      <c r="Q647" t="s">
        <v>15808</v>
      </c>
      <c r="S647" t="s">
        <v>9309</v>
      </c>
      <c r="U647" s="25" t="s">
        <v>3386</v>
      </c>
      <c r="V647" t="s">
        <v>194</v>
      </c>
      <c r="W647" t="s">
        <v>9946</v>
      </c>
      <c r="Z647" t="s">
        <v>9311</v>
      </c>
      <c r="AF647" t="s">
        <v>4714</v>
      </c>
      <c r="AG647" t="s">
        <v>15805</v>
      </c>
      <c r="AI647" t="s">
        <v>6955</v>
      </c>
      <c r="AJ647" s="27" t="str">
        <f t="shared" si="20"/>
        <v>834316</v>
      </c>
      <c r="AK647" s="27">
        <v>1</v>
      </c>
      <c r="AL647" s="27">
        <f t="shared" si="21"/>
        <v>1</v>
      </c>
      <c r="AM647" s="28">
        <v>1</v>
      </c>
    </row>
    <row r="648" spans="1:39" x14ac:dyDescent="0.25">
      <c r="A648" t="s">
        <v>9037</v>
      </c>
      <c r="B648" t="s">
        <v>15809</v>
      </c>
      <c r="C648" t="s">
        <v>883</v>
      </c>
      <c r="D648" s="25" t="s">
        <v>11614</v>
      </c>
      <c r="E648" t="s">
        <v>233</v>
      </c>
      <c r="F648" s="28">
        <v>1</v>
      </c>
      <c r="G648" t="s">
        <v>194</v>
      </c>
      <c r="H648" t="s">
        <v>193</v>
      </c>
      <c r="I648" t="s">
        <v>14099</v>
      </c>
      <c r="J648" t="s">
        <v>9302</v>
      </c>
      <c r="K648" t="s">
        <v>15810</v>
      </c>
      <c r="L648" t="s">
        <v>6256</v>
      </c>
      <c r="M648" t="s">
        <v>15658</v>
      </c>
      <c r="N648" t="s">
        <v>12285</v>
      </c>
      <c r="O648" t="s">
        <v>13200</v>
      </c>
      <c r="P648" t="s">
        <v>15811</v>
      </c>
      <c r="Q648" t="s">
        <v>15812</v>
      </c>
      <c r="S648" t="s">
        <v>9309</v>
      </c>
      <c r="U648" t="s">
        <v>884</v>
      </c>
      <c r="V648" t="s">
        <v>193</v>
      </c>
      <c r="W648" t="s">
        <v>9310</v>
      </c>
      <c r="Z648" t="s">
        <v>9311</v>
      </c>
      <c r="AF648" t="s">
        <v>4714</v>
      </c>
      <c r="AG648" t="s">
        <v>15809</v>
      </c>
      <c r="AI648" t="s">
        <v>6955</v>
      </c>
      <c r="AJ648" s="27" t="str">
        <f t="shared" si="20"/>
        <v>834205</v>
      </c>
      <c r="AK648" s="27">
        <v>1</v>
      </c>
      <c r="AL648" s="27">
        <f t="shared" si="21"/>
        <v>1</v>
      </c>
      <c r="AM648" s="28">
        <v>1</v>
      </c>
    </row>
    <row r="649" spans="1:39" x14ac:dyDescent="0.25">
      <c r="A649" t="s">
        <v>1471</v>
      </c>
      <c r="B649" t="s">
        <v>356</v>
      </c>
      <c r="C649" t="s">
        <v>2781</v>
      </c>
      <c r="D649" s="25" t="s">
        <v>11614</v>
      </c>
      <c r="E649" t="s">
        <v>233</v>
      </c>
      <c r="F649" s="28">
        <v>1</v>
      </c>
      <c r="G649" t="s">
        <v>193</v>
      </c>
      <c r="H649" t="s">
        <v>194</v>
      </c>
      <c r="I649" t="s">
        <v>14099</v>
      </c>
      <c r="J649" t="s">
        <v>253</v>
      </c>
      <c r="K649" t="s">
        <v>15813</v>
      </c>
      <c r="L649" t="s">
        <v>6275</v>
      </c>
      <c r="M649" t="s">
        <v>15658</v>
      </c>
      <c r="N649" t="s">
        <v>12285</v>
      </c>
      <c r="O649" t="s">
        <v>13200</v>
      </c>
      <c r="P649" t="s">
        <v>15814</v>
      </c>
      <c r="Q649" t="s">
        <v>15815</v>
      </c>
      <c r="S649" t="s">
        <v>9309</v>
      </c>
      <c r="T649" t="s">
        <v>9468</v>
      </c>
      <c r="U649" t="s">
        <v>7476</v>
      </c>
      <c r="V649" t="s">
        <v>194</v>
      </c>
      <c r="W649" t="s">
        <v>9300</v>
      </c>
      <c r="Z649" t="s">
        <v>9311</v>
      </c>
      <c r="AF649" t="s">
        <v>4714</v>
      </c>
      <c r="AG649" t="s">
        <v>356</v>
      </c>
      <c r="AI649" t="s">
        <v>6955</v>
      </c>
      <c r="AJ649" s="27" t="str">
        <f t="shared" si="20"/>
        <v>311922</v>
      </c>
      <c r="AK649" s="27">
        <v>1</v>
      </c>
      <c r="AL649" s="27">
        <f t="shared" si="21"/>
        <v>1</v>
      </c>
      <c r="AM649" s="28">
        <v>1</v>
      </c>
    </row>
    <row r="650" spans="1:39" x14ac:dyDescent="0.25">
      <c r="A650" t="s">
        <v>1471</v>
      </c>
      <c r="B650" t="s">
        <v>356</v>
      </c>
      <c r="C650" t="s">
        <v>2781</v>
      </c>
      <c r="D650" s="25" t="s">
        <v>11614</v>
      </c>
      <c r="E650" t="s">
        <v>233</v>
      </c>
      <c r="F650" s="28">
        <v>1</v>
      </c>
      <c r="G650" t="s">
        <v>193</v>
      </c>
      <c r="H650" t="s">
        <v>194</v>
      </c>
      <c r="I650" t="s">
        <v>14099</v>
      </c>
      <c r="J650" t="s">
        <v>253</v>
      </c>
      <c r="K650" t="s">
        <v>15816</v>
      </c>
      <c r="L650" t="s">
        <v>6275</v>
      </c>
      <c r="M650" t="s">
        <v>15658</v>
      </c>
      <c r="N650" t="s">
        <v>12285</v>
      </c>
      <c r="O650" t="s">
        <v>13200</v>
      </c>
      <c r="P650" t="s">
        <v>15817</v>
      </c>
      <c r="Q650" t="s">
        <v>15818</v>
      </c>
      <c r="S650" t="s">
        <v>9309</v>
      </c>
      <c r="T650" t="s">
        <v>9468</v>
      </c>
      <c r="U650" t="s">
        <v>7476</v>
      </c>
      <c r="V650" t="s">
        <v>194</v>
      </c>
      <c r="W650" t="s">
        <v>9300</v>
      </c>
      <c r="Z650" t="s">
        <v>9311</v>
      </c>
      <c r="AF650" t="s">
        <v>4714</v>
      </c>
      <c r="AG650" t="s">
        <v>356</v>
      </c>
      <c r="AI650" t="s">
        <v>6955</v>
      </c>
      <c r="AJ650" s="27" t="str">
        <f t="shared" si="20"/>
        <v>311922</v>
      </c>
      <c r="AK650" s="27">
        <v>1</v>
      </c>
      <c r="AL650" s="27">
        <f t="shared" si="21"/>
        <v>1</v>
      </c>
      <c r="AM650" s="28">
        <v>1</v>
      </c>
    </row>
    <row r="651" spans="1:39" x14ac:dyDescent="0.25">
      <c r="A651" t="s">
        <v>11115</v>
      </c>
      <c r="B651" t="s">
        <v>11119</v>
      </c>
      <c r="C651" t="s">
        <v>15819</v>
      </c>
      <c r="D651" s="25" t="s">
        <v>11614</v>
      </c>
      <c r="E651" t="s">
        <v>233</v>
      </c>
      <c r="F651" s="28">
        <v>1</v>
      </c>
      <c r="G651" t="s">
        <v>194</v>
      </c>
      <c r="H651" t="s">
        <v>193</v>
      </c>
      <c r="I651" t="s">
        <v>14099</v>
      </c>
      <c r="J651" t="s">
        <v>9302</v>
      </c>
      <c r="K651" t="s">
        <v>15820</v>
      </c>
      <c r="L651" t="s">
        <v>6256</v>
      </c>
      <c r="M651" t="s">
        <v>15658</v>
      </c>
      <c r="N651" t="s">
        <v>12285</v>
      </c>
      <c r="O651" t="s">
        <v>14777</v>
      </c>
      <c r="P651" t="s">
        <v>15821</v>
      </c>
      <c r="Q651" t="s">
        <v>15822</v>
      </c>
      <c r="S651" t="s">
        <v>9309</v>
      </c>
      <c r="U651" t="s">
        <v>15823</v>
      </c>
      <c r="V651" t="s">
        <v>194</v>
      </c>
      <c r="W651" t="s">
        <v>9946</v>
      </c>
      <c r="Z651" t="s">
        <v>9311</v>
      </c>
      <c r="AF651" t="s">
        <v>4714</v>
      </c>
      <c r="AG651" t="s">
        <v>11119</v>
      </c>
      <c r="AI651" t="s">
        <v>6955</v>
      </c>
      <c r="AJ651" s="27" t="str">
        <f t="shared" si="20"/>
        <v>711102</v>
      </c>
      <c r="AK651" s="27">
        <v>1</v>
      </c>
      <c r="AL651" s="27">
        <f t="shared" si="21"/>
        <v>1</v>
      </c>
      <c r="AM651" s="28">
        <v>1</v>
      </c>
    </row>
    <row r="652" spans="1:39" x14ac:dyDescent="0.25">
      <c r="A652" t="s">
        <v>11115</v>
      </c>
      <c r="B652" t="s">
        <v>3996</v>
      </c>
      <c r="C652" t="s">
        <v>3996</v>
      </c>
      <c r="D652" s="25" t="s">
        <v>11614</v>
      </c>
      <c r="E652" t="s">
        <v>233</v>
      </c>
      <c r="F652" s="28">
        <v>1</v>
      </c>
      <c r="G652" t="s">
        <v>194</v>
      </c>
      <c r="H652" t="s">
        <v>193</v>
      </c>
      <c r="I652" t="s">
        <v>14099</v>
      </c>
      <c r="J652" t="s">
        <v>9302</v>
      </c>
      <c r="K652" t="s">
        <v>15824</v>
      </c>
      <c r="L652" t="s">
        <v>6256</v>
      </c>
      <c r="M652" t="s">
        <v>15658</v>
      </c>
      <c r="N652" t="s">
        <v>12285</v>
      </c>
      <c r="O652" t="s">
        <v>14777</v>
      </c>
      <c r="P652" t="s">
        <v>15825</v>
      </c>
      <c r="Q652" t="s">
        <v>15826</v>
      </c>
      <c r="S652" t="s">
        <v>9309</v>
      </c>
      <c r="U652" t="s">
        <v>3997</v>
      </c>
      <c r="V652" t="s">
        <v>194</v>
      </c>
      <c r="W652" t="s">
        <v>9946</v>
      </c>
      <c r="Z652" t="s">
        <v>9311</v>
      </c>
      <c r="AF652" t="s">
        <v>4714</v>
      </c>
      <c r="AG652" t="s">
        <v>3996</v>
      </c>
      <c r="AI652" t="s">
        <v>6955</v>
      </c>
      <c r="AJ652" s="27" t="str">
        <f t="shared" si="20"/>
        <v>711404</v>
      </c>
      <c r="AK652" s="27">
        <v>1</v>
      </c>
      <c r="AL652" s="27">
        <f t="shared" si="21"/>
        <v>1</v>
      </c>
      <c r="AM652" s="28">
        <v>1</v>
      </c>
    </row>
    <row r="653" spans="1:39" x14ac:dyDescent="0.25">
      <c r="A653" t="s">
        <v>15827</v>
      </c>
      <c r="B653" t="s">
        <v>15828</v>
      </c>
      <c r="C653" t="s">
        <v>778</v>
      </c>
      <c r="D653" s="25" t="s">
        <v>11614</v>
      </c>
      <c r="E653" t="s">
        <v>233</v>
      </c>
      <c r="F653" s="28">
        <v>1</v>
      </c>
      <c r="G653" t="s">
        <v>193</v>
      </c>
      <c r="H653" t="s">
        <v>194</v>
      </c>
      <c r="I653" t="s">
        <v>14099</v>
      </c>
      <c r="J653" t="s">
        <v>210</v>
      </c>
      <c r="K653" t="s">
        <v>15829</v>
      </c>
      <c r="L653" t="s">
        <v>6249</v>
      </c>
      <c r="M653" t="s">
        <v>15658</v>
      </c>
      <c r="N653" t="s">
        <v>12285</v>
      </c>
      <c r="O653" t="s">
        <v>13200</v>
      </c>
      <c r="P653" t="s">
        <v>15830</v>
      </c>
      <c r="Q653" t="s">
        <v>15831</v>
      </c>
      <c r="S653" t="s">
        <v>9309</v>
      </c>
      <c r="T653" t="s">
        <v>9334</v>
      </c>
      <c r="U653" t="s">
        <v>779</v>
      </c>
      <c r="V653" t="s">
        <v>194</v>
      </c>
      <c r="W653" t="s">
        <v>9300</v>
      </c>
      <c r="Z653" t="s">
        <v>9311</v>
      </c>
      <c r="AF653" t="s">
        <v>4714</v>
      </c>
      <c r="AG653" t="s">
        <v>15828</v>
      </c>
      <c r="AI653" t="s">
        <v>6955</v>
      </c>
      <c r="AJ653" s="27" t="str">
        <f t="shared" si="20"/>
        <v>524902</v>
      </c>
      <c r="AK653" s="27">
        <v>1</v>
      </c>
      <c r="AL653" s="27">
        <f t="shared" si="21"/>
        <v>1</v>
      </c>
      <c r="AM653" s="28">
        <v>1</v>
      </c>
    </row>
    <row r="654" spans="1:39" x14ac:dyDescent="0.25">
      <c r="A654" t="s">
        <v>15832</v>
      </c>
      <c r="B654" t="s">
        <v>15833</v>
      </c>
      <c r="C654" t="s">
        <v>15834</v>
      </c>
      <c r="D654" s="25" t="s">
        <v>11614</v>
      </c>
      <c r="E654" t="s">
        <v>233</v>
      </c>
      <c r="F654" s="28">
        <v>1</v>
      </c>
      <c r="G654" t="s">
        <v>193</v>
      </c>
      <c r="H654" t="s">
        <v>194</v>
      </c>
      <c r="I654" t="s">
        <v>14099</v>
      </c>
      <c r="J654" t="s">
        <v>15835</v>
      </c>
      <c r="K654" t="s">
        <v>15836</v>
      </c>
      <c r="L654" t="s">
        <v>6275</v>
      </c>
      <c r="M654" t="s">
        <v>15658</v>
      </c>
      <c r="N654" t="s">
        <v>12285</v>
      </c>
      <c r="O654" t="s">
        <v>14777</v>
      </c>
      <c r="P654" t="s">
        <v>15837</v>
      </c>
      <c r="Q654" t="s">
        <v>15838</v>
      </c>
      <c r="S654" t="s">
        <v>9309</v>
      </c>
      <c r="T654" t="s">
        <v>15839</v>
      </c>
      <c r="U654" t="s">
        <v>15840</v>
      </c>
      <c r="V654" t="s">
        <v>194</v>
      </c>
      <c r="W654" t="s">
        <v>15841</v>
      </c>
      <c r="Z654" t="s">
        <v>9311</v>
      </c>
      <c r="AF654" t="s">
        <v>4714</v>
      </c>
      <c r="AG654" t="s">
        <v>15833</v>
      </c>
      <c r="AI654" t="s">
        <v>6955</v>
      </c>
      <c r="AJ654" s="27" t="str">
        <f t="shared" si="20"/>
        <v>723303</v>
      </c>
      <c r="AK654" s="27">
        <v>1</v>
      </c>
      <c r="AL654" s="27">
        <f t="shared" si="21"/>
        <v>1</v>
      </c>
      <c r="AM654" s="28">
        <v>1</v>
      </c>
    </row>
    <row r="655" spans="1:39" x14ac:dyDescent="0.25">
      <c r="A655" t="s">
        <v>15842</v>
      </c>
      <c r="B655" t="s">
        <v>15843</v>
      </c>
      <c r="C655" t="s">
        <v>7332</v>
      </c>
      <c r="D655" s="25" t="s">
        <v>11614</v>
      </c>
      <c r="E655" t="s">
        <v>233</v>
      </c>
      <c r="F655" s="28">
        <v>1</v>
      </c>
      <c r="G655" t="s">
        <v>193</v>
      </c>
      <c r="H655" t="s">
        <v>194</v>
      </c>
      <c r="I655" t="s">
        <v>14099</v>
      </c>
      <c r="J655" t="s">
        <v>210</v>
      </c>
      <c r="K655" t="s">
        <v>15844</v>
      </c>
      <c r="L655" t="s">
        <v>6288</v>
      </c>
      <c r="M655" t="s">
        <v>15658</v>
      </c>
      <c r="N655" t="s">
        <v>12285</v>
      </c>
      <c r="O655" t="s">
        <v>14738</v>
      </c>
      <c r="P655" t="s">
        <v>15845</v>
      </c>
      <c r="Q655" t="s">
        <v>15846</v>
      </c>
      <c r="S655" t="s">
        <v>9309</v>
      </c>
      <c r="T655" t="s">
        <v>9334</v>
      </c>
      <c r="U655" t="s">
        <v>7334</v>
      </c>
      <c r="V655" t="s">
        <v>194</v>
      </c>
      <c r="W655" t="s">
        <v>9300</v>
      </c>
      <c r="Z655" t="s">
        <v>9311</v>
      </c>
      <c r="AF655" t="s">
        <v>4714</v>
      </c>
      <c r="AG655" t="s">
        <v>15843</v>
      </c>
      <c r="AI655" t="s">
        <v>6955</v>
      </c>
      <c r="AJ655" s="27" t="str">
        <f t="shared" si="20"/>
        <v>226208</v>
      </c>
      <c r="AK655" s="27">
        <v>1</v>
      </c>
      <c r="AL655" s="27">
        <f t="shared" si="21"/>
        <v>1</v>
      </c>
      <c r="AM655" s="28">
        <v>1</v>
      </c>
    </row>
    <row r="656" spans="1:39" x14ac:dyDescent="0.25">
      <c r="A656" t="s">
        <v>540</v>
      </c>
      <c r="B656" t="s">
        <v>15847</v>
      </c>
      <c r="C656" t="s">
        <v>39</v>
      </c>
      <c r="D656" s="25" t="s">
        <v>11614</v>
      </c>
      <c r="E656" t="s">
        <v>217</v>
      </c>
      <c r="F656" s="28">
        <v>1</v>
      </c>
      <c r="G656" t="s">
        <v>193</v>
      </c>
      <c r="H656" t="s">
        <v>194</v>
      </c>
      <c r="I656" t="s">
        <v>14099</v>
      </c>
      <c r="J656" t="s">
        <v>210</v>
      </c>
      <c r="K656" t="s">
        <v>15848</v>
      </c>
      <c r="L656" t="s">
        <v>6269</v>
      </c>
      <c r="M656" t="s">
        <v>15849</v>
      </c>
      <c r="N656" t="s">
        <v>15850</v>
      </c>
      <c r="O656" t="s">
        <v>14888</v>
      </c>
      <c r="P656" t="s">
        <v>15851</v>
      </c>
      <c r="Q656" t="s">
        <v>15852</v>
      </c>
      <c r="S656" t="s">
        <v>9309</v>
      </c>
      <c r="T656" t="s">
        <v>9334</v>
      </c>
      <c r="U656" t="s">
        <v>551</v>
      </c>
      <c r="V656" t="s">
        <v>194</v>
      </c>
      <c r="W656" t="s">
        <v>9300</v>
      </c>
      <c r="Z656" t="s">
        <v>9311</v>
      </c>
      <c r="AF656" t="s">
        <v>4714</v>
      </c>
      <c r="AG656" t="s">
        <v>9433</v>
      </c>
      <c r="AI656" t="s">
        <v>6955</v>
      </c>
      <c r="AJ656" s="27" t="str">
        <f t="shared" si="20"/>
        <v>311204</v>
      </c>
      <c r="AK656" s="27">
        <v>1</v>
      </c>
      <c r="AL656" s="27">
        <f t="shared" si="21"/>
        <v>1</v>
      </c>
      <c r="AM656" s="28">
        <v>1</v>
      </c>
    </row>
    <row r="657" spans="1:39" x14ac:dyDescent="0.25">
      <c r="A657" t="s">
        <v>540</v>
      </c>
      <c r="B657" t="s">
        <v>15853</v>
      </c>
      <c r="C657" t="s">
        <v>157</v>
      </c>
      <c r="D657" s="25" t="s">
        <v>11614</v>
      </c>
      <c r="E657" t="s">
        <v>252</v>
      </c>
      <c r="F657" s="28">
        <v>1</v>
      </c>
      <c r="G657" t="s">
        <v>193</v>
      </c>
      <c r="H657" t="s">
        <v>194</v>
      </c>
      <c r="I657" t="s">
        <v>14099</v>
      </c>
      <c r="J657" t="s">
        <v>210</v>
      </c>
      <c r="K657" t="s">
        <v>15854</v>
      </c>
      <c r="L657" t="s">
        <v>15855</v>
      </c>
      <c r="M657" t="s">
        <v>15856</v>
      </c>
      <c r="N657" t="s">
        <v>11614</v>
      </c>
      <c r="O657" t="s">
        <v>15857</v>
      </c>
      <c r="P657" t="s">
        <v>15858</v>
      </c>
      <c r="Q657" t="s">
        <v>15859</v>
      </c>
      <c r="S657" t="s">
        <v>9309</v>
      </c>
      <c r="T657" t="s">
        <v>9334</v>
      </c>
      <c r="U657" t="s">
        <v>2425</v>
      </c>
      <c r="V657" t="s">
        <v>194</v>
      </c>
      <c r="W657" t="s">
        <v>9300</v>
      </c>
      <c r="Z657" t="s">
        <v>9311</v>
      </c>
      <c r="AF657" t="s">
        <v>4714</v>
      </c>
      <c r="AG657" t="s">
        <v>9433</v>
      </c>
      <c r="AI657" t="s">
        <v>6955</v>
      </c>
      <c r="AJ657" s="27" t="str">
        <f t="shared" si="20"/>
        <v>742208</v>
      </c>
      <c r="AK657" s="27">
        <v>1</v>
      </c>
      <c r="AL657" s="27">
        <f t="shared" si="21"/>
        <v>1</v>
      </c>
      <c r="AM657" s="28">
        <v>1</v>
      </c>
    </row>
    <row r="658" spans="1:39" x14ac:dyDescent="0.25">
      <c r="A658" t="s">
        <v>1479</v>
      </c>
      <c r="B658" t="s">
        <v>15860</v>
      </c>
      <c r="C658" t="s">
        <v>15861</v>
      </c>
      <c r="D658" s="25" t="s">
        <v>11614</v>
      </c>
      <c r="E658" t="s">
        <v>192</v>
      </c>
      <c r="F658" s="28">
        <v>1</v>
      </c>
      <c r="G658" t="s">
        <v>193</v>
      </c>
      <c r="H658" t="s">
        <v>194</v>
      </c>
      <c r="I658" t="s">
        <v>14099</v>
      </c>
      <c r="J658" t="s">
        <v>385</v>
      </c>
      <c r="K658" t="s">
        <v>15862</v>
      </c>
      <c r="L658" t="s">
        <v>6286</v>
      </c>
      <c r="M658" t="s">
        <v>15863</v>
      </c>
      <c r="N658" t="s">
        <v>15700</v>
      </c>
      <c r="O658" t="s">
        <v>13200</v>
      </c>
      <c r="P658" t="s">
        <v>15864</v>
      </c>
      <c r="Q658" t="s">
        <v>15865</v>
      </c>
      <c r="S658" t="s">
        <v>9309</v>
      </c>
      <c r="T658" t="s">
        <v>9410</v>
      </c>
      <c r="U658" t="s">
        <v>1790</v>
      </c>
      <c r="V658" t="s">
        <v>194</v>
      </c>
      <c r="W658" t="s">
        <v>9300</v>
      </c>
      <c r="Z658" t="s">
        <v>9311</v>
      </c>
      <c r="AF658" t="s">
        <v>4714</v>
      </c>
      <c r="AG658" t="s">
        <v>15861</v>
      </c>
      <c r="AI658" t="s">
        <v>6955</v>
      </c>
      <c r="AJ658" s="27" t="str">
        <f t="shared" si="20"/>
        <v>334304</v>
      </c>
      <c r="AK658" s="27">
        <v>1</v>
      </c>
      <c r="AL658" s="27">
        <f t="shared" si="21"/>
        <v>1</v>
      </c>
      <c r="AM658" s="28">
        <v>1</v>
      </c>
    </row>
    <row r="659" spans="1:39" x14ac:dyDescent="0.25">
      <c r="A659" t="s">
        <v>413</v>
      </c>
      <c r="B659" t="s">
        <v>965</v>
      </c>
      <c r="C659" t="s">
        <v>113</v>
      </c>
      <c r="D659" s="25" t="s">
        <v>11614</v>
      </c>
      <c r="E659" t="s">
        <v>233</v>
      </c>
      <c r="F659" s="28">
        <v>1</v>
      </c>
      <c r="G659" t="s">
        <v>193</v>
      </c>
      <c r="H659" t="s">
        <v>194</v>
      </c>
      <c r="I659" t="s">
        <v>14099</v>
      </c>
      <c r="J659" t="s">
        <v>1607</v>
      </c>
      <c r="K659" t="s">
        <v>15866</v>
      </c>
      <c r="L659" t="s">
        <v>6254</v>
      </c>
      <c r="M659" t="s">
        <v>15863</v>
      </c>
      <c r="N659" t="s">
        <v>12306</v>
      </c>
      <c r="O659" t="s">
        <v>14022</v>
      </c>
      <c r="P659" t="s">
        <v>15867</v>
      </c>
      <c r="Q659" t="s">
        <v>15868</v>
      </c>
      <c r="S659" t="s">
        <v>9309</v>
      </c>
      <c r="T659" s="492" t="s">
        <v>15869</v>
      </c>
      <c r="U659" t="s">
        <v>465</v>
      </c>
      <c r="V659" t="s">
        <v>194</v>
      </c>
      <c r="W659" t="s">
        <v>15841</v>
      </c>
      <c r="Z659" t="s">
        <v>9311</v>
      </c>
      <c r="AF659" t="s">
        <v>4714</v>
      </c>
      <c r="AG659" t="s">
        <v>113</v>
      </c>
      <c r="AI659" t="s">
        <v>6955</v>
      </c>
      <c r="AJ659" s="27" t="str">
        <f t="shared" si="20"/>
        <v>243302</v>
      </c>
      <c r="AK659" s="27">
        <v>1</v>
      </c>
      <c r="AL659" s="27">
        <f t="shared" si="21"/>
        <v>1</v>
      </c>
      <c r="AM659" s="28">
        <v>1</v>
      </c>
    </row>
    <row r="660" spans="1:39" x14ac:dyDescent="0.25">
      <c r="A660" t="s">
        <v>8633</v>
      </c>
      <c r="B660" t="s">
        <v>15870</v>
      </c>
      <c r="D660" s="25" t="s">
        <v>11614</v>
      </c>
      <c r="E660" t="s">
        <v>233</v>
      </c>
      <c r="F660" s="27">
        <v>1</v>
      </c>
      <c r="G660" t="s">
        <v>194</v>
      </c>
      <c r="H660" t="s">
        <v>193</v>
      </c>
      <c r="I660" t="s">
        <v>14099</v>
      </c>
      <c r="J660" t="s">
        <v>9302</v>
      </c>
      <c r="K660" t="s">
        <v>15871</v>
      </c>
      <c r="L660" t="s">
        <v>6256</v>
      </c>
      <c r="M660" t="s">
        <v>15658</v>
      </c>
      <c r="N660" t="s">
        <v>12285</v>
      </c>
      <c r="O660" t="s">
        <v>13200</v>
      </c>
      <c r="P660" t="s">
        <v>15872</v>
      </c>
      <c r="Q660" t="s">
        <v>15873</v>
      </c>
      <c r="S660" t="s">
        <v>9309</v>
      </c>
      <c r="U660" s="25" t="s">
        <v>16041</v>
      </c>
      <c r="V660" t="s">
        <v>194</v>
      </c>
      <c r="W660" t="s">
        <v>9946</v>
      </c>
      <c r="Z660" t="s">
        <v>9311</v>
      </c>
      <c r="AF660" t="s">
        <v>4714</v>
      </c>
      <c r="AG660" t="s">
        <v>15870</v>
      </c>
      <c r="AI660" t="s">
        <v>6955</v>
      </c>
      <c r="AJ660" s="27" t="str">
        <f t="shared" si="20"/>
        <v>834302</v>
      </c>
      <c r="AK660" s="27">
        <v>1</v>
      </c>
      <c r="AL660" s="449">
        <f t="shared" si="21"/>
        <v>1</v>
      </c>
      <c r="AM660" s="28">
        <v>1</v>
      </c>
    </row>
    <row r="661" spans="1:39" x14ac:dyDescent="0.25">
      <c r="A661" t="s">
        <v>5372</v>
      </c>
      <c r="B661" t="s">
        <v>15874</v>
      </c>
      <c r="C661" t="s">
        <v>21</v>
      </c>
      <c r="D661" s="25" t="s">
        <v>11614</v>
      </c>
      <c r="E661" t="s">
        <v>233</v>
      </c>
      <c r="F661" s="28">
        <v>1</v>
      </c>
      <c r="G661" t="s">
        <v>193</v>
      </c>
      <c r="H661" t="s">
        <v>194</v>
      </c>
      <c r="I661" t="s">
        <v>14099</v>
      </c>
      <c r="J661" t="s">
        <v>9302</v>
      </c>
      <c r="K661" t="s">
        <v>15875</v>
      </c>
      <c r="L661" t="s">
        <v>6256</v>
      </c>
      <c r="M661" t="s">
        <v>15658</v>
      </c>
      <c r="N661" t="s">
        <v>12285</v>
      </c>
      <c r="O661" t="s">
        <v>13200</v>
      </c>
      <c r="P661" t="s">
        <v>15876</v>
      </c>
      <c r="Q661" t="s">
        <v>15877</v>
      </c>
      <c r="S661" t="s">
        <v>9309</v>
      </c>
      <c r="U661" t="s">
        <v>293</v>
      </c>
      <c r="V661" t="s">
        <v>193</v>
      </c>
      <c r="W661" t="s">
        <v>9310</v>
      </c>
      <c r="Z661" t="s">
        <v>9311</v>
      </c>
      <c r="AF661" t="s">
        <v>4714</v>
      </c>
      <c r="AG661" t="s">
        <v>15874</v>
      </c>
      <c r="AI661" t="s">
        <v>6955</v>
      </c>
      <c r="AJ661" s="27" t="str">
        <f t="shared" si="20"/>
        <v>214202</v>
      </c>
      <c r="AK661" s="27">
        <v>1</v>
      </c>
      <c r="AL661" s="27">
        <f t="shared" si="21"/>
        <v>1</v>
      </c>
      <c r="AM661" s="28">
        <v>1</v>
      </c>
    </row>
    <row r="662" spans="1:39" x14ac:dyDescent="0.25">
      <c r="A662" t="s">
        <v>5372</v>
      </c>
      <c r="B662" t="s">
        <v>8106</v>
      </c>
      <c r="C662" t="s">
        <v>2800</v>
      </c>
      <c r="D662" s="25" t="s">
        <v>11614</v>
      </c>
      <c r="E662" t="s">
        <v>233</v>
      </c>
      <c r="F662" s="28">
        <v>1</v>
      </c>
      <c r="G662" t="s">
        <v>193</v>
      </c>
      <c r="H662" t="s">
        <v>194</v>
      </c>
      <c r="I662" t="s">
        <v>14099</v>
      </c>
      <c r="J662" t="s">
        <v>9302</v>
      </c>
      <c r="K662" t="s">
        <v>15878</v>
      </c>
      <c r="L662" t="s">
        <v>6256</v>
      </c>
      <c r="M662" t="s">
        <v>15658</v>
      </c>
      <c r="N662" t="s">
        <v>12285</v>
      </c>
      <c r="O662" t="s">
        <v>13200</v>
      </c>
      <c r="P662" t="s">
        <v>15879</v>
      </c>
      <c r="Q662" t="s">
        <v>15880</v>
      </c>
      <c r="S662" t="s">
        <v>9309</v>
      </c>
      <c r="U662" t="s">
        <v>8460</v>
      </c>
      <c r="V662" t="s">
        <v>193</v>
      </c>
      <c r="W662" t="s">
        <v>9310</v>
      </c>
      <c r="Z662" t="s">
        <v>9311</v>
      </c>
      <c r="AF662" t="s">
        <v>4714</v>
      </c>
      <c r="AG662" t="s">
        <v>8106</v>
      </c>
      <c r="AI662" t="s">
        <v>6955</v>
      </c>
      <c r="AJ662" s="27" t="str">
        <f t="shared" si="20"/>
        <v>214201</v>
      </c>
      <c r="AK662" s="27">
        <v>1</v>
      </c>
      <c r="AL662" s="27">
        <f t="shared" si="21"/>
        <v>1</v>
      </c>
      <c r="AM662" s="28">
        <v>1</v>
      </c>
    </row>
    <row r="663" spans="1:39" x14ac:dyDescent="0.25">
      <c r="A663" t="s">
        <v>915</v>
      </c>
      <c r="B663" t="s">
        <v>15881</v>
      </c>
      <c r="D663" s="25" t="s">
        <v>11614</v>
      </c>
      <c r="E663" t="s">
        <v>233</v>
      </c>
      <c r="F663" s="28">
        <v>1</v>
      </c>
      <c r="G663" t="s">
        <v>194</v>
      </c>
      <c r="H663" t="s">
        <v>193</v>
      </c>
      <c r="I663" t="s">
        <v>14099</v>
      </c>
      <c r="J663" t="s">
        <v>9302</v>
      </c>
      <c r="K663" t="s">
        <v>15882</v>
      </c>
      <c r="L663" t="s">
        <v>6921</v>
      </c>
      <c r="M663" t="s">
        <v>15658</v>
      </c>
      <c r="N663" t="s">
        <v>12285</v>
      </c>
      <c r="O663" t="s">
        <v>14777</v>
      </c>
      <c r="P663" t="s">
        <v>15883</v>
      </c>
      <c r="Q663" t="s">
        <v>15884</v>
      </c>
      <c r="S663" t="s">
        <v>9309</v>
      </c>
      <c r="U663" s="491" t="s">
        <v>1409</v>
      </c>
      <c r="V663" t="s">
        <v>194</v>
      </c>
      <c r="W663" t="s">
        <v>9946</v>
      </c>
      <c r="Z663" t="s">
        <v>9311</v>
      </c>
      <c r="AF663" t="s">
        <v>4714</v>
      </c>
      <c r="AG663" t="s">
        <v>15881</v>
      </c>
      <c r="AI663" t="s">
        <v>6955</v>
      </c>
      <c r="AJ663" s="27" t="str">
        <f t="shared" si="20"/>
        <v>251402</v>
      </c>
      <c r="AK663" s="27">
        <v>1</v>
      </c>
      <c r="AL663" s="27">
        <f t="shared" si="21"/>
        <v>1</v>
      </c>
      <c r="AM663" s="28">
        <v>1</v>
      </c>
    </row>
    <row r="664" spans="1:39" x14ac:dyDescent="0.25">
      <c r="A664" t="s">
        <v>915</v>
      </c>
      <c r="B664" t="s">
        <v>15885</v>
      </c>
      <c r="C664" t="s">
        <v>69</v>
      </c>
      <c r="D664" s="25" t="s">
        <v>11614</v>
      </c>
      <c r="E664" t="s">
        <v>192</v>
      </c>
      <c r="F664" s="28">
        <v>1</v>
      </c>
      <c r="G664" t="s">
        <v>193</v>
      </c>
      <c r="H664" t="s">
        <v>194</v>
      </c>
      <c r="I664" t="s">
        <v>11608</v>
      </c>
      <c r="J664" t="s">
        <v>9302</v>
      </c>
      <c r="K664" t="s">
        <v>15886</v>
      </c>
      <c r="L664" t="s">
        <v>6921</v>
      </c>
      <c r="M664" t="s">
        <v>15887</v>
      </c>
      <c r="N664" t="s">
        <v>15888</v>
      </c>
      <c r="O664" t="s">
        <v>15889</v>
      </c>
      <c r="P664" t="s">
        <v>15890</v>
      </c>
      <c r="Q664" t="s">
        <v>15891</v>
      </c>
      <c r="S664" t="s">
        <v>9309</v>
      </c>
      <c r="U664" t="s">
        <v>375</v>
      </c>
      <c r="V664" t="s">
        <v>193</v>
      </c>
      <c r="W664" t="s">
        <v>9310</v>
      </c>
      <c r="Z664" t="s">
        <v>9311</v>
      </c>
      <c r="AF664" t="s">
        <v>4714</v>
      </c>
      <c r="AG664" t="s">
        <v>15885</v>
      </c>
      <c r="AI664" t="s">
        <v>6955</v>
      </c>
      <c r="AJ664" s="27" t="str">
        <f t="shared" si="20"/>
        <v>215301</v>
      </c>
      <c r="AK664" s="27">
        <v>1</v>
      </c>
      <c r="AL664" s="27">
        <f t="shared" si="21"/>
        <v>1</v>
      </c>
      <c r="AM664" s="28">
        <v>1</v>
      </c>
    </row>
    <row r="665" spans="1:39" x14ac:dyDescent="0.25">
      <c r="A665" t="s">
        <v>915</v>
      </c>
      <c r="B665" t="s">
        <v>15892</v>
      </c>
      <c r="C665" t="s">
        <v>10</v>
      </c>
      <c r="D665" s="25" t="s">
        <v>11614</v>
      </c>
      <c r="E665" t="s">
        <v>192</v>
      </c>
      <c r="F665" s="28">
        <v>1</v>
      </c>
      <c r="G665" t="s">
        <v>193</v>
      </c>
      <c r="H665" t="s">
        <v>194</v>
      </c>
      <c r="I665" t="s">
        <v>14099</v>
      </c>
      <c r="J665" t="s">
        <v>9302</v>
      </c>
      <c r="K665" t="s">
        <v>15893</v>
      </c>
      <c r="L665" t="s">
        <v>6921</v>
      </c>
      <c r="M665" t="s">
        <v>15887</v>
      </c>
      <c r="N665" t="s">
        <v>15888</v>
      </c>
      <c r="O665" t="s">
        <v>15889</v>
      </c>
      <c r="P665" t="s">
        <v>15894</v>
      </c>
      <c r="Q665" t="s">
        <v>15895</v>
      </c>
      <c r="S665" t="s">
        <v>9309</v>
      </c>
      <c r="U665" t="s">
        <v>484</v>
      </c>
      <c r="V665" t="s">
        <v>193</v>
      </c>
      <c r="W665" t="s">
        <v>9310</v>
      </c>
      <c r="Z665" t="s">
        <v>9311</v>
      </c>
      <c r="AF665" t="s">
        <v>4714</v>
      </c>
      <c r="AG665" t="s">
        <v>15892</v>
      </c>
      <c r="AI665" t="s">
        <v>6955</v>
      </c>
      <c r="AJ665" s="27" t="str">
        <f t="shared" si="20"/>
        <v>251401</v>
      </c>
      <c r="AK665" s="27">
        <v>1</v>
      </c>
      <c r="AL665" s="27">
        <f t="shared" si="21"/>
        <v>1</v>
      </c>
      <c r="AM665" s="28">
        <v>1</v>
      </c>
    </row>
    <row r="666" spans="1:39" x14ac:dyDescent="0.25">
      <c r="A666" t="s">
        <v>915</v>
      </c>
      <c r="B666" t="s">
        <v>15896</v>
      </c>
      <c r="C666" t="s">
        <v>513</v>
      </c>
      <c r="D666" s="25" t="s">
        <v>11614</v>
      </c>
      <c r="E666" t="s">
        <v>233</v>
      </c>
      <c r="F666" s="28">
        <v>1</v>
      </c>
      <c r="G666" t="s">
        <v>194</v>
      </c>
      <c r="H666" t="s">
        <v>193</v>
      </c>
      <c r="I666" t="s">
        <v>14099</v>
      </c>
      <c r="J666" t="s">
        <v>9302</v>
      </c>
      <c r="K666" t="s">
        <v>15897</v>
      </c>
      <c r="L666" t="s">
        <v>6921</v>
      </c>
      <c r="M666" t="s">
        <v>15658</v>
      </c>
      <c r="N666" t="s">
        <v>12285</v>
      </c>
      <c r="O666" t="s">
        <v>14777</v>
      </c>
      <c r="P666" t="s">
        <v>15898</v>
      </c>
      <c r="Q666" t="s">
        <v>15899</v>
      </c>
      <c r="S666" t="s">
        <v>9309</v>
      </c>
      <c r="U666" t="s">
        <v>514</v>
      </c>
      <c r="V666" t="s">
        <v>194</v>
      </c>
      <c r="W666" t="s">
        <v>9946</v>
      </c>
      <c r="Z666" t="s">
        <v>9311</v>
      </c>
      <c r="AF666" t="s">
        <v>4714</v>
      </c>
      <c r="AG666" t="s">
        <v>15896</v>
      </c>
      <c r="AI666" t="s">
        <v>6955</v>
      </c>
      <c r="AJ666" s="27" t="str">
        <f t="shared" si="20"/>
        <v>252301</v>
      </c>
      <c r="AK666" s="27">
        <v>1</v>
      </c>
      <c r="AL666" s="27">
        <f t="shared" si="21"/>
        <v>1</v>
      </c>
      <c r="AM666" s="28">
        <v>1</v>
      </c>
    </row>
    <row r="667" spans="1:39" x14ac:dyDescent="0.25">
      <c r="A667" t="s">
        <v>915</v>
      </c>
      <c r="B667" t="s">
        <v>15900</v>
      </c>
      <c r="D667" s="25" t="s">
        <v>11614</v>
      </c>
      <c r="E667" t="s">
        <v>233</v>
      </c>
      <c r="F667" s="28">
        <v>1</v>
      </c>
      <c r="G667" t="s">
        <v>194</v>
      </c>
      <c r="H667" t="s">
        <v>193</v>
      </c>
      <c r="I667" t="s">
        <v>14099</v>
      </c>
      <c r="J667" t="s">
        <v>9302</v>
      </c>
      <c r="K667" t="s">
        <v>15901</v>
      </c>
      <c r="L667" t="s">
        <v>6261</v>
      </c>
      <c r="M667" t="s">
        <v>15658</v>
      </c>
      <c r="N667" t="s">
        <v>12285</v>
      </c>
      <c r="O667" t="s">
        <v>13200</v>
      </c>
      <c r="P667" t="s">
        <v>15902</v>
      </c>
      <c r="Q667" t="s">
        <v>15903</v>
      </c>
      <c r="S667" t="s">
        <v>9309</v>
      </c>
      <c r="U667" s="491" t="s">
        <v>1409</v>
      </c>
      <c r="V667" t="s">
        <v>194</v>
      </c>
      <c r="W667" t="s">
        <v>9946</v>
      </c>
      <c r="Z667" t="s">
        <v>9311</v>
      </c>
      <c r="AF667" t="s">
        <v>4714</v>
      </c>
      <c r="AG667" t="s">
        <v>15900</v>
      </c>
      <c r="AI667" t="s">
        <v>6955</v>
      </c>
      <c r="AJ667" s="27" t="str">
        <f t="shared" si="20"/>
        <v>251402</v>
      </c>
      <c r="AK667" s="27">
        <v>1</v>
      </c>
      <c r="AL667" s="27">
        <f t="shared" si="21"/>
        <v>1</v>
      </c>
      <c r="AM667" s="28">
        <v>1</v>
      </c>
    </row>
    <row r="668" spans="1:39" x14ac:dyDescent="0.25">
      <c r="A668" t="s">
        <v>915</v>
      </c>
      <c r="B668" t="s">
        <v>15904</v>
      </c>
      <c r="D668" s="25" t="s">
        <v>11614</v>
      </c>
      <c r="E668" t="s">
        <v>233</v>
      </c>
      <c r="F668" s="27">
        <v>1</v>
      </c>
      <c r="G668" t="s">
        <v>194</v>
      </c>
      <c r="H668" t="s">
        <v>193</v>
      </c>
      <c r="I668" t="s">
        <v>14099</v>
      </c>
      <c r="J668" t="s">
        <v>9302</v>
      </c>
      <c r="K668" t="s">
        <v>15905</v>
      </c>
      <c r="L668" t="s">
        <v>6261</v>
      </c>
      <c r="M668" t="s">
        <v>15658</v>
      </c>
      <c r="N668" t="s">
        <v>12285</v>
      </c>
      <c r="O668" t="s">
        <v>10529</v>
      </c>
      <c r="P668" t="s">
        <v>15906</v>
      </c>
      <c r="Q668" t="s">
        <v>15907</v>
      </c>
      <c r="S668" t="s">
        <v>9309</v>
      </c>
      <c r="U668" s="25" t="s">
        <v>484</v>
      </c>
      <c r="V668" t="s">
        <v>194</v>
      </c>
      <c r="W668" t="s">
        <v>9946</v>
      </c>
      <c r="Z668" t="s">
        <v>9311</v>
      </c>
      <c r="AF668" t="s">
        <v>4714</v>
      </c>
      <c r="AG668" t="s">
        <v>15904</v>
      </c>
      <c r="AI668" t="s">
        <v>6955</v>
      </c>
      <c r="AJ668" s="27" t="str">
        <f t="shared" si="20"/>
        <v>251401</v>
      </c>
      <c r="AK668" s="27">
        <v>1</v>
      </c>
      <c r="AL668" s="27">
        <f t="shared" si="21"/>
        <v>1</v>
      </c>
      <c r="AM668" s="28">
        <v>1</v>
      </c>
    </row>
    <row r="669" spans="1:39" x14ac:dyDescent="0.25">
      <c r="A669" t="s">
        <v>915</v>
      </c>
      <c r="B669" t="s">
        <v>15908</v>
      </c>
      <c r="D669" s="25" t="s">
        <v>11614</v>
      </c>
      <c r="E669" t="s">
        <v>233</v>
      </c>
      <c r="F669" s="27">
        <v>1</v>
      </c>
      <c r="G669" t="s">
        <v>194</v>
      </c>
      <c r="H669" t="s">
        <v>193</v>
      </c>
      <c r="I669" t="s">
        <v>14099</v>
      </c>
      <c r="J669" t="s">
        <v>9302</v>
      </c>
      <c r="K669" t="s">
        <v>15909</v>
      </c>
      <c r="L669" t="s">
        <v>6921</v>
      </c>
      <c r="M669" t="s">
        <v>15658</v>
      </c>
      <c r="N669" t="s">
        <v>12285</v>
      </c>
      <c r="O669" t="s">
        <v>14777</v>
      </c>
      <c r="P669" t="s">
        <v>15910</v>
      </c>
      <c r="Q669" t="s">
        <v>15911</v>
      </c>
      <c r="S669" t="s">
        <v>9309</v>
      </c>
      <c r="U669" s="25" t="s">
        <v>14062</v>
      </c>
      <c r="V669" t="s">
        <v>194</v>
      </c>
      <c r="W669" t="s">
        <v>9946</v>
      </c>
      <c r="Z669" t="s">
        <v>9311</v>
      </c>
      <c r="AF669" t="s">
        <v>4714</v>
      </c>
      <c r="AG669" t="s">
        <v>15908</v>
      </c>
      <c r="AI669" t="s">
        <v>6955</v>
      </c>
      <c r="AJ669" s="27" t="str">
        <f t="shared" si="20"/>
        <v>252202</v>
      </c>
      <c r="AK669" s="27">
        <v>1</v>
      </c>
      <c r="AL669" s="27">
        <f t="shared" si="21"/>
        <v>1</v>
      </c>
      <c r="AM669" s="28">
        <v>1</v>
      </c>
    </row>
    <row r="670" spans="1:39" x14ac:dyDescent="0.25">
      <c r="A670" t="s">
        <v>915</v>
      </c>
      <c r="B670" t="s">
        <v>15912</v>
      </c>
      <c r="D670" s="25" t="s">
        <v>11614</v>
      </c>
      <c r="E670" t="s">
        <v>233</v>
      </c>
      <c r="F670" s="28">
        <v>1</v>
      </c>
      <c r="G670" t="s">
        <v>194</v>
      </c>
      <c r="H670" t="s">
        <v>193</v>
      </c>
      <c r="I670" t="s">
        <v>14099</v>
      </c>
      <c r="J670" t="s">
        <v>9302</v>
      </c>
      <c r="K670" t="s">
        <v>15913</v>
      </c>
      <c r="L670" t="s">
        <v>6261</v>
      </c>
      <c r="M670" t="s">
        <v>15658</v>
      </c>
      <c r="N670" t="s">
        <v>12285</v>
      </c>
      <c r="O670" t="s">
        <v>14777</v>
      </c>
      <c r="P670" t="s">
        <v>15914</v>
      </c>
      <c r="Q670" t="s">
        <v>15915</v>
      </c>
      <c r="S670" t="s">
        <v>9309</v>
      </c>
      <c r="U670" s="491" t="s">
        <v>484</v>
      </c>
      <c r="V670" t="s">
        <v>194</v>
      </c>
      <c r="W670" t="s">
        <v>9946</v>
      </c>
      <c r="Z670" t="s">
        <v>9311</v>
      </c>
      <c r="AF670" t="s">
        <v>4714</v>
      </c>
      <c r="AG670" t="s">
        <v>15912</v>
      </c>
      <c r="AI670" t="s">
        <v>6955</v>
      </c>
      <c r="AJ670" s="27" t="str">
        <f t="shared" si="20"/>
        <v>251401</v>
      </c>
      <c r="AK670" s="27">
        <v>1</v>
      </c>
      <c r="AL670" s="27">
        <f t="shared" si="21"/>
        <v>1</v>
      </c>
      <c r="AM670" s="28">
        <v>1</v>
      </c>
    </row>
    <row r="671" spans="1:39" x14ac:dyDescent="0.25">
      <c r="A671" t="s">
        <v>1499</v>
      </c>
      <c r="B671" t="s">
        <v>1688</v>
      </c>
      <c r="C671" t="s">
        <v>922</v>
      </c>
      <c r="D671" s="25" t="s">
        <v>11614</v>
      </c>
      <c r="E671" t="s">
        <v>192</v>
      </c>
      <c r="F671" s="28">
        <v>1</v>
      </c>
      <c r="G671" t="s">
        <v>193</v>
      </c>
      <c r="H671" t="s">
        <v>194</v>
      </c>
      <c r="I671" t="s">
        <v>14099</v>
      </c>
      <c r="J671" t="s">
        <v>210</v>
      </c>
      <c r="K671" t="s">
        <v>15916</v>
      </c>
      <c r="L671" t="s">
        <v>6254</v>
      </c>
      <c r="M671" t="s">
        <v>15699</v>
      </c>
      <c r="N671" t="s">
        <v>15700</v>
      </c>
      <c r="O671" t="s">
        <v>13200</v>
      </c>
      <c r="P671" t="s">
        <v>15917</v>
      </c>
      <c r="Q671" t="s">
        <v>15918</v>
      </c>
      <c r="S671" t="s">
        <v>9309</v>
      </c>
      <c r="T671" t="s">
        <v>9334</v>
      </c>
      <c r="U671" t="s">
        <v>923</v>
      </c>
      <c r="V671" t="s">
        <v>194</v>
      </c>
      <c r="W671" t="s">
        <v>9300</v>
      </c>
      <c r="Z671" t="s">
        <v>9311</v>
      </c>
      <c r="AF671" t="s">
        <v>4714</v>
      </c>
      <c r="AG671" t="s">
        <v>1688</v>
      </c>
      <c r="AI671" t="s">
        <v>6955</v>
      </c>
      <c r="AJ671" s="27" t="str">
        <f t="shared" si="20"/>
        <v>112006</v>
      </c>
      <c r="AK671" s="27">
        <v>1</v>
      </c>
      <c r="AL671" s="27">
        <f t="shared" si="21"/>
        <v>1</v>
      </c>
      <c r="AM671" s="28">
        <v>1</v>
      </c>
    </row>
    <row r="672" spans="1:39" x14ac:dyDescent="0.25">
      <c r="A672" t="s">
        <v>15919</v>
      </c>
      <c r="B672" t="s">
        <v>15920</v>
      </c>
      <c r="C672" t="s">
        <v>15921</v>
      </c>
      <c r="D672" s="25" t="s">
        <v>11614</v>
      </c>
      <c r="E672" t="s">
        <v>233</v>
      </c>
      <c r="F672" s="28">
        <v>1</v>
      </c>
      <c r="G672" t="s">
        <v>193</v>
      </c>
      <c r="H672" t="s">
        <v>194</v>
      </c>
      <c r="I672" t="s">
        <v>14099</v>
      </c>
      <c r="J672" t="s">
        <v>9302</v>
      </c>
      <c r="K672" t="s">
        <v>15922</v>
      </c>
      <c r="L672" t="s">
        <v>15923</v>
      </c>
      <c r="M672" t="s">
        <v>15658</v>
      </c>
      <c r="N672" t="s">
        <v>12285</v>
      </c>
      <c r="O672" t="s">
        <v>13200</v>
      </c>
      <c r="P672" t="s">
        <v>15924</v>
      </c>
      <c r="Q672" t="s">
        <v>15925</v>
      </c>
      <c r="S672" t="s">
        <v>9309</v>
      </c>
      <c r="U672" t="s">
        <v>15926</v>
      </c>
      <c r="V672" t="s">
        <v>193</v>
      </c>
      <c r="W672" t="s">
        <v>9310</v>
      </c>
      <c r="Z672" t="s">
        <v>9311</v>
      </c>
      <c r="AF672" t="s">
        <v>4714</v>
      </c>
      <c r="AG672" t="s">
        <v>15920</v>
      </c>
      <c r="AI672" t="s">
        <v>6955</v>
      </c>
      <c r="AJ672" s="27" t="str">
        <f t="shared" si="20"/>
        <v>235916</v>
      </c>
      <c r="AK672" s="27">
        <v>1</v>
      </c>
      <c r="AL672" s="27">
        <f t="shared" si="21"/>
        <v>1</v>
      </c>
      <c r="AM672" s="28">
        <v>1</v>
      </c>
    </row>
    <row r="673" spans="1:39" x14ac:dyDescent="0.25">
      <c r="A673" t="s">
        <v>5287</v>
      </c>
      <c r="B673" t="s">
        <v>821</v>
      </c>
      <c r="C673" t="s">
        <v>822</v>
      </c>
      <c r="D673" s="25" t="s">
        <v>11614</v>
      </c>
      <c r="E673" t="s">
        <v>233</v>
      </c>
      <c r="F673" s="28">
        <v>1</v>
      </c>
      <c r="G673" t="s">
        <v>193</v>
      </c>
      <c r="H673" t="s">
        <v>194</v>
      </c>
      <c r="I673" t="s">
        <v>14099</v>
      </c>
      <c r="J673" t="s">
        <v>367</v>
      </c>
      <c r="K673" t="s">
        <v>15927</v>
      </c>
      <c r="L673" t="s">
        <v>6275</v>
      </c>
      <c r="M673" t="s">
        <v>15658</v>
      </c>
      <c r="N673" t="s">
        <v>12285</v>
      </c>
      <c r="O673" t="s">
        <v>15736</v>
      </c>
      <c r="P673" t="s">
        <v>15928</v>
      </c>
      <c r="Q673" t="s">
        <v>15929</v>
      </c>
      <c r="S673" t="s">
        <v>9309</v>
      </c>
      <c r="T673" t="s">
        <v>9974</v>
      </c>
      <c r="U673" t="s">
        <v>823</v>
      </c>
      <c r="V673" t="s">
        <v>194</v>
      </c>
      <c r="W673" t="s">
        <v>9300</v>
      </c>
      <c r="Z673" t="s">
        <v>9311</v>
      </c>
      <c r="AF673" t="s">
        <v>4714</v>
      </c>
      <c r="AG673" t="s">
        <v>821</v>
      </c>
      <c r="AI673" t="s">
        <v>6955</v>
      </c>
      <c r="AJ673" s="27" t="str">
        <f t="shared" si="20"/>
        <v>741103</v>
      </c>
      <c r="AK673" s="27">
        <v>1</v>
      </c>
      <c r="AL673" s="27">
        <f t="shared" si="21"/>
        <v>1</v>
      </c>
      <c r="AM673" s="28">
        <v>1</v>
      </c>
    </row>
    <row r="674" spans="1:39" x14ac:dyDescent="0.25">
      <c r="A674" t="s">
        <v>5287</v>
      </c>
      <c r="B674" t="s">
        <v>15930</v>
      </c>
      <c r="C674" t="s">
        <v>15931</v>
      </c>
      <c r="D674" s="25" t="s">
        <v>11614</v>
      </c>
      <c r="E674" t="s">
        <v>233</v>
      </c>
      <c r="F674" s="28">
        <v>1</v>
      </c>
      <c r="G674" t="s">
        <v>193</v>
      </c>
      <c r="H674" t="s">
        <v>194</v>
      </c>
      <c r="I674" t="s">
        <v>14099</v>
      </c>
      <c r="J674" t="s">
        <v>367</v>
      </c>
      <c r="K674" t="s">
        <v>15932</v>
      </c>
      <c r="L674" t="s">
        <v>6275</v>
      </c>
      <c r="M674" t="s">
        <v>15658</v>
      </c>
      <c r="N674" t="s">
        <v>12285</v>
      </c>
      <c r="O674" t="s">
        <v>13200</v>
      </c>
      <c r="P674" t="s">
        <v>15933</v>
      </c>
      <c r="Q674" t="s">
        <v>15934</v>
      </c>
      <c r="S674" t="s">
        <v>9309</v>
      </c>
      <c r="T674" t="s">
        <v>9974</v>
      </c>
      <c r="U674" t="s">
        <v>15935</v>
      </c>
      <c r="V674" t="s">
        <v>194</v>
      </c>
      <c r="W674" t="s">
        <v>9300</v>
      </c>
      <c r="Z674" t="s">
        <v>9311</v>
      </c>
      <c r="AF674" t="s">
        <v>4714</v>
      </c>
      <c r="AG674" t="s">
        <v>15930</v>
      </c>
      <c r="AI674" t="s">
        <v>6955</v>
      </c>
      <c r="AJ674" s="27" t="str">
        <f t="shared" si="20"/>
        <v>753402</v>
      </c>
      <c r="AK674" s="27">
        <v>1</v>
      </c>
      <c r="AL674" s="27">
        <f t="shared" si="21"/>
        <v>1</v>
      </c>
      <c r="AM674" s="28">
        <v>1</v>
      </c>
    </row>
    <row r="675" spans="1:39" x14ac:dyDescent="0.25">
      <c r="A675" t="s">
        <v>5287</v>
      </c>
      <c r="B675" t="s">
        <v>1368</v>
      </c>
      <c r="C675" t="s">
        <v>169</v>
      </c>
      <c r="D675" s="25" t="s">
        <v>11614</v>
      </c>
      <c r="E675" t="s">
        <v>233</v>
      </c>
      <c r="F675" s="28">
        <v>1</v>
      </c>
      <c r="G675" t="s">
        <v>193</v>
      </c>
      <c r="H675" t="s">
        <v>194</v>
      </c>
      <c r="I675" t="s">
        <v>14099</v>
      </c>
      <c r="J675" t="s">
        <v>367</v>
      </c>
      <c r="K675" t="s">
        <v>15936</v>
      </c>
      <c r="L675" t="s">
        <v>6275</v>
      </c>
      <c r="M675" t="s">
        <v>15658</v>
      </c>
      <c r="N675" t="s">
        <v>12285</v>
      </c>
      <c r="O675" t="s">
        <v>13200</v>
      </c>
      <c r="P675" t="s">
        <v>15937</v>
      </c>
      <c r="Q675" t="s">
        <v>15938</v>
      </c>
      <c r="S675" t="s">
        <v>9309</v>
      </c>
      <c r="T675" t="s">
        <v>9974</v>
      </c>
      <c r="U675" t="s">
        <v>1370</v>
      </c>
      <c r="V675" t="s">
        <v>194</v>
      </c>
      <c r="W675" t="s">
        <v>9300</v>
      </c>
      <c r="Z675" t="s">
        <v>9311</v>
      </c>
      <c r="AF675" t="s">
        <v>4714</v>
      </c>
      <c r="AG675" t="s">
        <v>1368</v>
      </c>
      <c r="AI675" t="s">
        <v>6955</v>
      </c>
      <c r="AJ675" s="27" t="str">
        <f t="shared" si="20"/>
        <v>752205</v>
      </c>
      <c r="AK675" s="27">
        <v>1</v>
      </c>
      <c r="AL675" s="27">
        <f t="shared" si="21"/>
        <v>1</v>
      </c>
      <c r="AM675" s="28">
        <v>1</v>
      </c>
    </row>
    <row r="676" spans="1:39" x14ac:dyDescent="0.25">
      <c r="A676" t="s">
        <v>5287</v>
      </c>
      <c r="B676" t="s">
        <v>15939</v>
      </c>
      <c r="C676" t="s">
        <v>15940</v>
      </c>
      <c r="D676" s="25" t="s">
        <v>11614</v>
      </c>
      <c r="E676" t="s">
        <v>233</v>
      </c>
      <c r="F676" s="28">
        <v>1</v>
      </c>
      <c r="G676" t="s">
        <v>193</v>
      </c>
      <c r="H676" t="s">
        <v>194</v>
      </c>
      <c r="I676" t="s">
        <v>14099</v>
      </c>
      <c r="J676" t="s">
        <v>367</v>
      </c>
      <c r="K676" t="s">
        <v>15941</v>
      </c>
      <c r="L676" t="s">
        <v>6275</v>
      </c>
      <c r="M676" t="s">
        <v>15658</v>
      </c>
      <c r="N676" t="s">
        <v>12285</v>
      </c>
      <c r="O676" t="s">
        <v>13200</v>
      </c>
      <c r="P676" t="s">
        <v>15942</v>
      </c>
      <c r="Q676" t="s">
        <v>15943</v>
      </c>
      <c r="S676" t="s">
        <v>9309</v>
      </c>
      <c r="T676" t="s">
        <v>9974</v>
      </c>
      <c r="U676" t="s">
        <v>15944</v>
      </c>
      <c r="V676" t="s">
        <v>194</v>
      </c>
      <c r="W676" t="s">
        <v>9300</v>
      </c>
      <c r="Z676" t="s">
        <v>9311</v>
      </c>
      <c r="AF676" t="s">
        <v>4714</v>
      </c>
      <c r="AG676" t="s">
        <v>15939</v>
      </c>
      <c r="AI676" t="s">
        <v>6955</v>
      </c>
      <c r="AJ676" s="27" t="str">
        <f t="shared" si="20"/>
        <v>753303</v>
      </c>
      <c r="AK676" s="27">
        <v>1</v>
      </c>
      <c r="AL676" s="27">
        <f t="shared" si="21"/>
        <v>1</v>
      </c>
      <c r="AM676" s="28">
        <v>1</v>
      </c>
    </row>
    <row r="677" spans="1:39" x14ac:dyDescent="0.25">
      <c r="A677" t="s">
        <v>1622</v>
      </c>
      <c r="B677" t="s">
        <v>9119</v>
      </c>
      <c r="C677" t="s">
        <v>156</v>
      </c>
      <c r="D677" s="25" t="s">
        <v>11614</v>
      </c>
      <c r="E677" t="s">
        <v>233</v>
      </c>
      <c r="F677" s="28">
        <v>1</v>
      </c>
      <c r="G677" t="s">
        <v>193</v>
      </c>
      <c r="H677" t="s">
        <v>194</v>
      </c>
      <c r="I677" t="s">
        <v>14099</v>
      </c>
      <c r="J677" t="s">
        <v>210</v>
      </c>
      <c r="K677" t="s">
        <v>15945</v>
      </c>
      <c r="L677" t="s">
        <v>6269</v>
      </c>
      <c r="M677" t="s">
        <v>15658</v>
      </c>
      <c r="N677" t="s">
        <v>12285</v>
      </c>
      <c r="O677" t="s">
        <v>11608</v>
      </c>
      <c r="P677" t="s">
        <v>15946</v>
      </c>
      <c r="Q677" t="s">
        <v>15947</v>
      </c>
      <c r="S677" t="s">
        <v>9309</v>
      </c>
      <c r="T677" t="s">
        <v>9334</v>
      </c>
      <c r="U677" t="s">
        <v>659</v>
      </c>
      <c r="V677" t="s">
        <v>194</v>
      </c>
      <c r="W677" t="s">
        <v>9300</v>
      </c>
      <c r="Z677" t="s">
        <v>9311</v>
      </c>
      <c r="AF677" t="s">
        <v>4714</v>
      </c>
      <c r="AG677" t="s">
        <v>9119</v>
      </c>
      <c r="AI677" t="s">
        <v>6955</v>
      </c>
      <c r="AJ677" s="27" t="str">
        <f t="shared" si="20"/>
        <v>332302</v>
      </c>
      <c r="AK677" s="27">
        <v>1</v>
      </c>
      <c r="AL677" s="27">
        <f t="shared" si="21"/>
        <v>1</v>
      </c>
      <c r="AM677" s="28">
        <v>1</v>
      </c>
    </row>
    <row r="678" spans="1:39" x14ac:dyDescent="0.25">
      <c r="A678" t="s">
        <v>15948</v>
      </c>
      <c r="B678" t="s">
        <v>15949</v>
      </c>
      <c r="C678" t="s">
        <v>13328</v>
      </c>
      <c r="D678" s="25" t="s">
        <v>11614</v>
      </c>
      <c r="E678" t="s">
        <v>233</v>
      </c>
      <c r="F678" s="28">
        <v>1</v>
      </c>
      <c r="G678" t="s">
        <v>193</v>
      </c>
      <c r="H678" t="s">
        <v>194</v>
      </c>
      <c r="I678" t="s">
        <v>14099</v>
      </c>
      <c r="J678" t="s">
        <v>9302</v>
      </c>
      <c r="K678" t="s">
        <v>15950</v>
      </c>
      <c r="L678" t="s">
        <v>6923</v>
      </c>
      <c r="M678" t="s">
        <v>15658</v>
      </c>
      <c r="N678" t="s">
        <v>12285</v>
      </c>
      <c r="O678" t="s">
        <v>13200</v>
      </c>
      <c r="P678" t="s">
        <v>15951</v>
      </c>
      <c r="Q678" t="s">
        <v>15952</v>
      </c>
      <c r="S678" t="s">
        <v>9309</v>
      </c>
      <c r="U678" t="s">
        <v>1930</v>
      </c>
      <c r="V678" t="s">
        <v>193</v>
      </c>
      <c r="W678" t="s">
        <v>9310</v>
      </c>
      <c r="Z678" t="s">
        <v>9311</v>
      </c>
      <c r="AF678" t="s">
        <v>4714</v>
      </c>
      <c r="AG678" t="s">
        <v>15949</v>
      </c>
      <c r="AI678" t="s">
        <v>6955</v>
      </c>
      <c r="AJ678" s="27" t="str">
        <f t="shared" si="20"/>
        <v>214302</v>
      </c>
      <c r="AK678" s="27">
        <v>1</v>
      </c>
      <c r="AL678" s="27">
        <f t="shared" si="21"/>
        <v>1</v>
      </c>
      <c r="AM678" s="28">
        <v>1</v>
      </c>
    </row>
    <row r="679" spans="1:39" x14ac:dyDescent="0.25">
      <c r="A679" t="s">
        <v>13870</v>
      </c>
      <c r="B679" t="s">
        <v>15953</v>
      </c>
      <c r="C679" t="s">
        <v>12</v>
      </c>
      <c r="D679" s="25" t="s">
        <v>11614</v>
      </c>
      <c r="E679" t="s">
        <v>233</v>
      </c>
      <c r="F679" s="28">
        <v>1</v>
      </c>
      <c r="G679" t="s">
        <v>193</v>
      </c>
      <c r="H679" t="s">
        <v>194</v>
      </c>
      <c r="I679" t="s">
        <v>14099</v>
      </c>
      <c r="J679" t="s">
        <v>9302</v>
      </c>
      <c r="K679" t="s">
        <v>15954</v>
      </c>
      <c r="L679" t="s">
        <v>6256</v>
      </c>
      <c r="M679" t="s">
        <v>15658</v>
      </c>
      <c r="N679" t="s">
        <v>12285</v>
      </c>
      <c r="O679" t="s">
        <v>13200</v>
      </c>
      <c r="P679" t="s">
        <v>15955</v>
      </c>
      <c r="Q679" t="s">
        <v>15956</v>
      </c>
      <c r="S679" t="s">
        <v>9309</v>
      </c>
      <c r="U679" t="s">
        <v>220</v>
      </c>
      <c r="V679" t="s">
        <v>193</v>
      </c>
      <c r="W679" t="s">
        <v>9310</v>
      </c>
      <c r="Z679" t="s">
        <v>9311</v>
      </c>
      <c r="AF679" t="s">
        <v>4714</v>
      </c>
      <c r="AG679" t="s">
        <v>15953</v>
      </c>
      <c r="AI679" t="s">
        <v>6955</v>
      </c>
      <c r="AJ679" s="27" t="str">
        <f t="shared" si="20"/>
        <v>132301</v>
      </c>
      <c r="AK679" s="27">
        <v>1</v>
      </c>
      <c r="AL679" s="27">
        <f t="shared" si="21"/>
        <v>1</v>
      </c>
      <c r="AM679" s="28">
        <v>1</v>
      </c>
    </row>
    <row r="680" spans="1:39" x14ac:dyDescent="0.25">
      <c r="A680" t="s">
        <v>4022</v>
      </c>
      <c r="B680" t="s">
        <v>8022</v>
      </c>
      <c r="C680" t="s">
        <v>7617</v>
      </c>
      <c r="D680" s="25" t="s">
        <v>11614</v>
      </c>
      <c r="E680" t="s">
        <v>217</v>
      </c>
      <c r="F680" s="28">
        <v>1</v>
      </c>
      <c r="G680" t="s">
        <v>193</v>
      </c>
      <c r="H680" t="s">
        <v>194</v>
      </c>
      <c r="I680" t="s">
        <v>14099</v>
      </c>
      <c r="J680" t="s">
        <v>210</v>
      </c>
      <c r="K680" t="s">
        <v>15460</v>
      </c>
      <c r="L680" t="s">
        <v>6290</v>
      </c>
      <c r="M680" t="s">
        <v>15651</v>
      </c>
      <c r="N680" t="s">
        <v>14735</v>
      </c>
      <c r="O680" t="s">
        <v>15461</v>
      </c>
      <c r="P680" t="s">
        <v>15957</v>
      </c>
      <c r="Q680" t="s">
        <v>15958</v>
      </c>
      <c r="S680" t="s">
        <v>9309</v>
      </c>
      <c r="T680" t="s">
        <v>9334</v>
      </c>
      <c r="U680" t="s">
        <v>7620</v>
      </c>
      <c r="V680" t="s">
        <v>194</v>
      </c>
      <c r="W680" t="s">
        <v>9300</v>
      </c>
      <c r="Z680" t="s">
        <v>9311</v>
      </c>
      <c r="AF680" t="s">
        <v>4714</v>
      </c>
      <c r="AG680" t="s">
        <v>9433</v>
      </c>
      <c r="AI680" t="s">
        <v>6955</v>
      </c>
      <c r="AJ680" s="27" t="str">
        <f t="shared" si="20"/>
        <v>516903</v>
      </c>
      <c r="AK680" s="27">
        <v>1</v>
      </c>
      <c r="AL680" s="27">
        <f t="shared" si="21"/>
        <v>1</v>
      </c>
      <c r="AM680" s="28">
        <v>1</v>
      </c>
    </row>
    <row r="681" spans="1:39" x14ac:dyDescent="0.25">
      <c r="A681" t="s">
        <v>15464</v>
      </c>
      <c r="B681" t="s">
        <v>15465</v>
      </c>
      <c r="C681" t="s">
        <v>542</v>
      </c>
      <c r="D681" s="25" t="s">
        <v>11614</v>
      </c>
      <c r="E681" t="s">
        <v>217</v>
      </c>
      <c r="F681" s="28">
        <v>1</v>
      </c>
      <c r="G681" t="s">
        <v>193</v>
      </c>
      <c r="H681" t="s">
        <v>194</v>
      </c>
      <c r="I681" t="s">
        <v>14099</v>
      </c>
      <c r="J681" t="s">
        <v>15466</v>
      </c>
      <c r="K681" t="s">
        <v>15467</v>
      </c>
      <c r="L681" t="s">
        <v>6286</v>
      </c>
      <c r="M681" t="s">
        <v>15651</v>
      </c>
      <c r="N681" t="s">
        <v>14735</v>
      </c>
      <c r="O681" t="s">
        <v>15461</v>
      </c>
      <c r="P681" t="s">
        <v>15959</v>
      </c>
      <c r="Q681" t="s">
        <v>15960</v>
      </c>
      <c r="S681" t="s">
        <v>9309</v>
      </c>
      <c r="U681" t="s">
        <v>543</v>
      </c>
      <c r="V681" t="s">
        <v>193</v>
      </c>
      <c r="W681" t="s">
        <v>9310</v>
      </c>
      <c r="Z681" t="s">
        <v>9311</v>
      </c>
      <c r="AF681" t="s">
        <v>4714</v>
      </c>
      <c r="AG681" t="s">
        <v>9433</v>
      </c>
      <c r="AI681" t="s">
        <v>6955</v>
      </c>
      <c r="AJ681" s="27" t="str">
        <f t="shared" si="20"/>
        <v>264304</v>
      </c>
      <c r="AK681" s="27">
        <v>1</v>
      </c>
      <c r="AL681" s="27">
        <f t="shared" si="21"/>
        <v>1</v>
      </c>
      <c r="AM681" s="28">
        <v>1</v>
      </c>
    </row>
    <row r="682" spans="1:39" x14ac:dyDescent="0.25">
      <c r="A682" t="s">
        <v>11415</v>
      </c>
      <c r="B682" t="s">
        <v>8016</v>
      </c>
      <c r="C682" t="s">
        <v>99</v>
      </c>
      <c r="D682" s="25" t="s">
        <v>11614</v>
      </c>
      <c r="E682" t="s">
        <v>217</v>
      </c>
      <c r="F682" s="28">
        <v>1</v>
      </c>
      <c r="G682" t="s">
        <v>193</v>
      </c>
      <c r="H682" t="s">
        <v>194</v>
      </c>
      <c r="I682" t="s">
        <v>14099</v>
      </c>
      <c r="J682" t="s">
        <v>210</v>
      </c>
      <c r="K682" t="s">
        <v>15470</v>
      </c>
      <c r="L682" t="s">
        <v>6286</v>
      </c>
      <c r="M682" t="s">
        <v>15651</v>
      </c>
      <c r="N682" t="s">
        <v>14735</v>
      </c>
      <c r="O682" t="s">
        <v>15461</v>
      </c>
      <c r="P682" t="s">
        <v>15961</v>
      </c>
      <c r="Q682" t="s">
        <v>15962</v>
      </c>
      <c r="S682" t="s">
        <v>9309</v>
      </c>
      <c r="T682" t="s">
        <v>9334</v>
      </c>
      <c r="U682" t="s">
        <v>2421</v>
      </c>
      <c r="V682" t="s">
        <v>194</v>
      </c>
      <c r="W682" t="s">
        <v>9300</v>
      </c>
      <c r="Z682" t="s">
        <v>9311</v>
      </c>
      <c r="AF682" t="s">
        <v>4714</v>
      </c>
      <c r="AG682" t="s">
        <v>9433</v>
      </c>
      <c r="AI682" t="s">
        <v>6955</v>
      </c>
      <c r="AJ682" s="27" t="str">
        <f t="shared" si="20"/>
        <v>412001</v>
      </c>
      <c r="AK682" s="27">
        <v>1</v>
      </c>
      <c r="AL682" s="27">
        <f t="shared" si="21"/>
        <v>1</v>
      </c>
      <c r="AM682" s="28">
        <v>1</v>
      </c>
    </row>
    <row r="683" spans="1:39" x14ac:dyDescent="0.25">
      <c r="A683" t="s">
        <v>873</v>
      </c>
      <c r="B683" t="s">
        <v>15963</v>
      </c>
      <c r="C683" t="s">
        <v>4065</v>
      </c>
      <c r="D683" s="25" t="s">
        <v>11614</v>
      </c>
      <c r="E683" t="s">
        <v>233</v>
      </c>
      <c r="F683" s="28">
        <v>1</v>
      </c>
      <c r="G683" t="s">
        <v>193</v>
      </c>
      <c r="H683" t="s">
        <v>194</v>
      </c>
      <c r="I683" t="s">
        <v>14099</v>
      </c>
      <c r="J683" t="s">
        <v>9302</v>
      </c>
      <c r="K683" t="s">
        <v>15964</v>
      </c>
      <c r="L683" t="s">
        <v>6275</v>
      </c>
      <c r="M683" t="s">
        <v>15658</v>
      </c>
      <c r="N683" t="s">
        <v>12285</v>
      </c>
      <c r="O683" t="s">
        <v>13200</v>
      </c>
      <c r="P683" t="s">
        <v>15965</v>
      </c>
      <c r="Q683" t="s">
        <v>15966</v>
      </c>
      <c r="S683" t="s">
        <v>9309</v>
      </c>
      <c r="U683" t="s">
        <v>4066</v>
      </c>
      <c r="V683" t="s">
        <v>193</v>
      </c>
      <c r="W683" t="s">
        <v>9310</v>
      </c>
      <c r="Z683" t="s">
        <v>9311</v>
      </c>
      <c r="AF683" t="s">
        <v>4714</v>
      </c>
      <c r="AG683" t="s">
        <v>15963</v>
      </c>
      <c r="AI683" t="s">
        <v>6955</v>
      </c>
      <c r="AJ683" s="27" t="str">
        <f t="shared" si="20"/>
        <v>832203</v>
      </c>
      <c r="AK683" s="27">
        <v>1</v>
      </c>
      <c r="AL683" s="27">
        <f t="shared" si="21"/>
        <v>1</v>
      </c>
      <c r="AM683" s="28">
        <v>1</v>
      </c>
    </row>
    <row r="684" spans="1:39" x14ac:dyDescent="0.25">
      <c r="A684" t="s">
        <v>15967</v>
      </c>
      <c r="B684" t="s">
        <v>15968</v>
      </c>
      <c r="C684" t="s">
        <v>5952</v>
      </c>
      <c r="D684" s="25" t="s">
        <v>11614</v>
      </c>
      <c r="E684" t="s">
        <v>233</v>
      </c>
      <c r="F684" s="28">
        <v>1</v>
      </c>
      <c r="G684" t="s">
        <v>193</v>
      </c>
      <c r="H684" t="s">
        <v>194</v>
      </c>
      <c r="I684" t="s">
        <v>14099</v>
      </c>
      <c r="J684" t="s">
        <v>309</v>
      </c>
      <c r="K684" t="s">
        <v>15969</v>
      </c>
      <c r="L684" t="s">
        <v>6256</v>
      </c>
      <c r="M684" t="s">
        <v>15658</v>
      </c>
      <c r="N684" t="s">
        <v>12285</v>
      </c>
      <c r="O684" t="s">
        <v>15736</v>
      </c>
      <c r="P684" t="s">
        <v>15970</v>
      </c>
      <c r="Q684" t="s">
        <v>15971</v>
      </c>
      <c r="S684" t="s">
        <v>9309</v>
      </c>
      <c r="T684" t="s">
        <v>9518</v>
      </c>
      <c r="U684" t="s">
        <v>5954</v>
      </c>
      <c r="V684" t="s">
        <v>194</v>
      </c>
      <c r="W684" t="s">
        <v>9300</v>
      </c>
      <c r="Z684" t="s">
        <v>9311</v>
      </c>
      <c r="AF684" t="s">
        <v>4714</v>
      </c>
      <c r="AG684" t="s">
        <v>15968</v>
      </c>
      <c r="AI684" t="s">
        <v>6955</v>
      </c>
      <c r="AJ684" s="27" t="str">
        <f t="shared" si="20"/>
        <v>712612</v>
      </c>
      <c r="AK684" s="27">
        <v>1</v>
      </c>
      <c r="AL684" s="27">
        <f t="shared" si="21"/>
        <v>1</v>
      </c>
      <c r="AM684" s="28">
        <v>1</v>
      </c>
    </row>
    <row r="685" spans="1:39" x14ac:dyDescent="0.25">
      <c r="A685" t="s">
        <v>5180</v>
      </c>
      <c r="B685" t="s">
        <v>15972</v>
      </c>
      <c r="C685" t="s">
        <v>11679</v>
      </c>
      <c r="D685" s="25" t="s">
        <v>11614</v>
      </c>
      <c r="E685" t="s">
        <v>233</v>
      </c>
      <c r="F685" s="28">
        <v>1</v>
      </c>
      <c r="G685" t="s">
        <v>193</v>
      </c>
      <c r="H685" t="s">
        <v>194</v>
      </c>
      <c r="I685" t="s">
        <v>14099</v>
      </c>
      <c r="J685" t="s">
        <v>9302</v>
      </c>
      <c r="K685" t="s">
        <v>15973</v>
      </c>
      <c r="L685" t="s">
        <v>6277</v>
      </c>
      <c r="M685" t="s">
        <v>15658</v>
      </c>
      <c r="N685" t="s">
        <v>12285</v>
      </c>
      <c r="O685" t="s">
        <v>14777</v>
      </c>
      <c r="P685" t="s">
        <v>15974</v>
      </c>
      <c r="Q685" t="s">
        <v>15975</v>
      </c>
      <c r="S685" t="s">
        <v>9309</v>
      </c>
      <c r="U685" t="s">
        <v>11683</v>
      </c>
      <c r="V685" t="s">
        <v>193</v>
      </c>
      <c r="W685" t="s">
        <v>9310</v>
      </c>
      <c r="Z685" t="s">
        <v>9311</v>
      </c>
      <c r="AF685" t="s">
        <v>4714</v>
      </c>
      <c r="AG685" t="s">
        <v>15972</v>
      </c>
      <c r="AI685" t="s">
        <v>6955</v>
      </c>
      <c r="AJ685" s="27" t="str">
        <f t="shared" si="20"/>
        <v>214105</v>
      </c>
      <c r="AK685" s="27">
        <v>1</v>
      </c>
      <c r="AL685" s="27">
        <f t="shared" si="21"/>
        <v>1</v>
      </c>
      <c r="AM685" s="28">
        <v>1</v>
      </c>
    </row>
    <row r="686" spans="1:39" x14ac:dyDescent="0.25">
      <c r="A686" t="s">
        <v>10357</v>
      </c>
      <c r="B686" t="s">
        <v>15976</v>
      </c>
      <c r="C686" t="s">
        <v>566</v>
      </c>
      <c r="D686" s="25" t="s">
        <v>11614</v>
      </c>
      <c r="E686" t="s">
        <v>233</v>
      </c>
      <c r="F686" s="28">
        <v>1</v>
      </c>
      <c r="G686" t="s">
        <v>193</v>
      </c>
      <c r="H686" t="s">
        <v>194</v>
      </c>
      <c r="I686" t="s">
        <v>14099</v>
      </c>
      <c r="J686" t="s">
        <v>210</v>
      </c>
      <c r="K686" t="s">
        <v>15977</v>
      </c>
      <c r="L686" t="s">
        <v>6269</v>
      </c>
      <c r="M686" t="s">
        <v>15658</v>
      </c>
      <c r="N686" t="s">
        <v>12285</v>
      </c>
      <c r="O686" t="s">
        <v>14777</v>
      </c>
      <c r="P686" t="s">
        <v>15978</v>
      </c>
      <c r="Q686" t="s">
        <v>15979</v>
      </c>
      <c r="S686" t="s">
        <v>9309</v>
      </c>
      <c r="T686" t="s">
        <v>9334</v>
      </c>
      <c r="U686" t="s">
        <v>567</v>
      </c>
      <c r="V686" t="s">
        <v>194</v>
      </c>
      <c r="W686" t="s">
        <v>9300</v>
      </c>
      <c r="Z686" t="s">
        <v>9311</v>
      </c>
      <c r="AF686" t="s">
        <v>4714</v>
      </c>
      <c r="AG686" t="s">
        <v>15976</v>
      </c>
      <c r="AI686" t="s">
        <v>6955</v>
      </c>
      <c r="AJ686" s="27" t="str">
        <f t="shared" si="20"/>
        <v>311504</v>
      </c>
      <c r="AK686" s="27">
        <v>1</v>
      </c>
      <c r="AL686" s="27">
        <f t="shared" si="21"/>
        <v>1</v>
      </c>
      <c r="AM686" s="28">
        <v>1</v>
      </c>
    </row>
    <row r="687" spans="1:39" x14ac:dyDescent="0.25">
      <c r="A687" t="s">
        <v>15980</v>
      </c>
      <c r="B687" t="s">
        <v>15981</v>
      </c>
      <c r="C687" t="s">
        <v>80</v>
      </c>
      <c r="D687" s="25" t="s">
        <v>11614</v>
      </c>
      <c r="E687" t="s">
        <v>233</v>
      </c>
      <c r="F687" s="28">
        <v>1</v>
      </c>
      <c r="G687" t="s">
        <v>193</v>
      </c>
      <c r="H687" t="s">
        <v>194</v>
      </c>
      <c r="I687" t="s">
        <v>14099</v>
      </c>
      <c r="J687" t="s">
        <v>9302</v>
      </c>
      <c r="K687" t="s">
        <v>15982</v>
      </c>
      <c r="L687" t="s">
        <v>6249</v>
      </c>
      <c r="M687" t="s">
        <v>15658</v>
      </c>
      <c r="N687" t="s">
        <v>12285</v>
      </c>
      <c r="O687" t="s">
        <v>13200</v>
      </c>
      <c r="P687" t="s">
        <v>15983</v>
      </c>
      <c r="Q687" t="s">
        <v>15984</v>
      </c>
      <c r="S687" t="s">
        <v>9309</v>
      </c>
      <c r="U687" t="s">
        <v>474</v>
      </c>
      <c r="V687" t="s">
        <v>193</v>
      </c>
      <c r="W687" t="s">
        <v>9310</v>
      </c>
      <c r="Z687" t="s">
        <v>9311</v>
      </c>
      <c r="AF687" t="s">
        <v>4714</v>
      </c>
      <c r="AG687" t="s">
        <v>15981</v>
      </c>
      <c r="AI687" t="s">
        <v>6955</v>
      </c>
      <c r="AJ687" s="27" t="str">
        <f t="shared" si="20"/>
        <v>243304</v>
      </c>
      <c r="AK687" s="27">
        <v>1</v>
      </c>
      <c r="AL687" s="27">
        <f t="shared" si="21"/>
        <v>1</v>
      </c>
      <c r="AM687" s="28">
        <v>1</v>
      </c>
    </row>
    <row r="688" spans="1:39" x14ac:dyDescent="0.25">
      <c r="A688" t="s">
        <v>15985</v>
      </c>
      <c r="B688" t="s">
        <v>4946</v>
      </c>
      <c r="C688" t="s">
        <v>27</v>
      </c>
      <c r="D688" s="25" t="s">
        <v>11614</v>
      </c>
      <c r="E688" t="s">
        <v>233</v>
      </c>
      <c r="F688" s="28">
        <v>1</v>
      </c>
      <c r="G688" t="s">
        <v>193</v>
      </c>
      <c r="H688" t="s">
        <v>194</v>
      </c>
      <c r="I688" t="s">
        <v>14099</v>
      </c>
      <c r="J688" t="s">
        <v>210</v>
      </c>
      <c r="K688" t="s">
        <v>15986</v>
      </c>
      <c r="L688" t="s">
        <v>6340</v>
      </c>
      <c r="M688" t="s">
        <v>15658</v>
      </c>
      <c r="N688" t="s">
        <v>12285</v>
      </c>
      <c r="O688" t="s">
        <v>13200</v>
      </c>
      <c r="P688" t="s">
        <v>15987</v>
      </c>
      <c r="Q688" t="s">
        <v>15988</v>
      </c>
      <c r="S688" t="s">
        <v>9309</v>
      </c>
      <c r="T688" t="s">
        <v>9334</v>
      </c>
      <c r="U688" t="s">
        <v>440</v>
      </c>
      <c r="V688" t="s">
        <v>194</v>
      </c>
      <c r="W688" t="s">
        <v>9300</v>
      </c>
      <c r="Z688" t="s">
        <v>9311</v>
      </c>
      <c r="AF688" t="s">
        <v>4714</v>
      </c>
      <c r="AG688" t="s">
        <v>4946</v>
      </c>
      <c r="AI688" t="s">
        <v>6955</v>
      </c>
      <c r="AJ688" s="27" t="str">
        <f t="shared" si="20"/>
        <v>242307</v>
      </c>
      <c r="AK688" s="27">
        <v>1</v>
      </c>
      <c r="AL688" s="27">
        <f t="shared" si="21"/>
        <v>1</v>
      </c>
      <c r="AM688" s="28">
        <v>1</v>
      </c>
    </row>
    <row r="689" spans="1:39" x14ac:dyDescent="0.25">
      <c r="A689" t="s">
        <v>13986</v>
      </c>
      <c r="B689" t="s">
        <v>1838</v>
      </c>
      <c r="C689" t="s">
        <v>1839</v>
      </c>
      <c r="D689" s="25" t="s">
        <v>11614</v>
      </c>
      <c r="E689" t="s">
        <v>217</v>
      </c>
      <c r="F689" s="28">
        <v>1</v>
      </c>
      <c r="G689" t="s">
        <v>193</v>
      </c>
      <c r="H689" t="s">
        <v>194</v>
      </c>
      <c r="I689" t="s">
        <v>14099</v>
      </c>
      <c r="J689" t="s">
        <v>755</v>
      </c>
      <c r="K689" t="s">
        <v>13988</v>
      </c>
      <c r="L689" t="s">
        <v>6389</v>
      </c>
      <c r="M689" t="s">
        <v>15651</v>
      </c>
      <c r="N689" t="s">
        <v>12260</v>
      </c>
      <c r="O689" t="s">
        <v>13200</v>
      </c>
      <c r="P689" t="s">
        <v>15989</v>
      </c>
      <c r="Q689" t="s">
        <v>15990</v>
      </c>
      <c r="S689" t="s">
        <v>9309</v>
      </c>
      <c r="T689" t="s">
        <v>9726</v>
      </c>
      <c r="U689" t="s">
        <v>1841</v>
      </c>
      <c r="V689" t="s">
        <v>194</v>
      </c>
      <c r="W689" t="s">
        <v>9300</v>
      </c>
      <c r="Z689" t="s">
        <v>9311</v>
      </c>
      <c r="AF689" t="s">
        <v>4714</v>
      </c>
      <c r="AG689" t="s">
        <v>9433</v>
      </c>
      <c r="AI689" t="s">
        <v>6955</v>
      </c>
      <c r="AJ689" s="27" t="str">
        <f t="shared" si="20"/>
        <v>732201</v>
      </c>
      <c r="AK689" s="27">
        <v>1</v>
      </c>
      <c r="AL689" s="27">
        <f t="shared" si="21"/>
        <v>1</v>
      </c>
      <c r="AM689" s="28">
        <v>1</v>
      </c>
    </row>
    <row r="690" spans="1:39" x14ac:dyDescent="0.25">
      <c r="A690" t="s">
        <v>13992</v>
      </c>
      <c r="B690" t="s">
        <v>2516</v>
      </c>
      <c r="C690" t="s">
        <v>85</v>
      </c>
      <c r="D690" s="25" t="s">
        <v>11614</v>
      </c>
      <c r="E690" t="s">
        <v>217</v>
      </c>
      <c r="F690" s="28">
        <v>1</v>
      </c>
      <c r="G690" t="s">
        <v>193</v>
      </c>
      <c r="H690" t="s">
        <v>194</v>
      </c>
      <c r="I690" t="s">
        <v>14099</v>
      </c>
      <c r="J690" t="s">
        <v>755</v>
      </c>
      <c r="K690" t="s">
        <v>13993</v>
      </c>
      <c r="L690" t="s">
        <v>6327</v>
      </c>
      <c r="M690" t="s">
        <v>15651</v>
      </c>
      <c r="N690" t="s">
        <v>12260</v>
      </c>
      <c r="O690" t="s">
        <v>13200</v>
      </c>
      <c r="P690" t="s">
        <v>15991</v>
      </c>
      <c r="Q690" t="s">
        <v>15992</v>
      </c>
      <c r="S690" t="s">
        <v>9309</v>
      </c>
      <c r="T690" t="s">
        <v>9726</v>
      </c>
      <c r="U690" t="s">
        <v>477</v>
      </c>
      <c r="V690" t="s">
        <v>194</v>
      </c>
      <c r="W690" t="s">
        <v>9300</v>
      </c>
      <c r="Z690" t="s">
        <v>9311</v>
      </c>
      <c r="AF690" t="s">
        <v>4714</v>
      </c>
      <c r="AG690" t="s">
        <v>9433</v>
      </c>
      <c r="AI690" t="s">
        <v>6955</v>
      </c>
      <c r="AJ690" s="27" t="str">
        <f t="shared" si="20"/>
        <v>243305</v>
      </c>
      <c r="AK690" s="27">
        <v>1</v>
      </c>
      <c r="AL690" s="27">
        <f t="shared" si="21"/>
        <v>1</v>
      </c>
      <c r="AM690" s="28">
        <v>1</v>
      </c>
    </row>
    <row r="691" spans="1:39" x14ac:dyDescent="0.25">
      <c r="A691" t="s">
        <v>9016</v>
      </c>
      <c r="B691" t="s">
        <v>15993</v>
      </c>
      <c r="C691" t="s">
        <v>80</v>
      </c>
      <c r="D691" s="25" t="s">
        <v>11614</v>
      </c>
      <c r="E691" t="s">
        <v>233</v>
      </c>
      <c r="F691" s="28">
        <v>1</v>
      </c>
      <c r="G691" t="s">
        <v>193</v>
      </c>
      <c r="H691" t="s">
        <v>194</v>
      </c>
      <c r="I691" t="s">
        <v>14099</v>
      </c>
      <c r="J691" t="s">
        <v>9302</v>
      </c>
      <c r="K691" t="s">
        <v>15994</v>
      </c>
      <c r="L691" t="s">
        <v>6249</v>
      </c>
      <c r="M691" t="s">
        <v>15658</v>
      </c>
      <c r="N691" t="s">
        <v>12285</v>
      </c>
      <c r="O691" t="s">
        <v>13200</v>
      </c>
      <c r="P691" t="s">
        <v>15995</v>
      </c>
      <c r="Q691" t="s">
        <v>15996</v>
      </c>
      <c r="S691" t="s">
        <v>9309</v>
      </c>
      <c r="U691" t="s">
        <v>474</v>
      </c>
      <c r="V691" t="s">
        <v>193</v>
      </c>
      <c r="W691" t="s">
        <v>9310</v>
      </c>
      <c r="Z691" t="s">
        <v>9311</v>
      </c>
      <c r="AF691" t="s">
        <v>4714</v>
      </c>
      <c r="AG691" t="s">
        <v>15993</v>
      </c>
      <c r="AI691" t="s">
        <v>6955</v>
      </c>
      <c r="AJ691" s="27" t="str">
        <f t="shared" si="20"/>
        <v>243304</v>
      </c>
      <c r="AK691" s="27">
        <v>1</v>
      </c>
      <c r="AL691" s="27">
        <f t="shared" si="21"/>
        <v>1</v>
      </c>
      <c r="AM691" s="28">
        <v>1</v>
      </c>
    </row>
    <row r="692" spans="1:39" x14ac:dyDescent="0.25">
      <c r="A692" t="s">
        <v>15997</v>
      </c>
      <c r="B692" t="s">
        <v>869</v>
      </c>
      <c r="C692" t="s">
        <v>6617</v>
      </c>
      <c r="D692" s="25" t="s">
        <v>11614</v>
      </c>
      <c r="E692" t="s">
        <v>192</v>
      </c>
      <c r="F692" s="28">
        <v>1</v>
      </c>
      <c r="G692" t="s">
        <v>193</v>
      </c>
      <c r="H692" t="s">
        <v>194</v>
      </c>
      <c r="I692" t="s">
        <v>14099</v>
      </c>
      <c r="J692" t="s">
        <v>9302</v>
      </c>
      <c r="K692" t="s">
        <v>15998</v>
      </c>
      <c r="L692" t="s">
        <v>6266</v>
      </c>
      <c r="M692" t="s">
        <v>15699</v>
      </c>
      <c r="N692" t="s">
        <v>15700</v>
      </c>
      <c r="O692" t="s">
        <v>13200</v>
      </c>
      <c r="P692" t="s">
        <v>15999</v>
      </c>
      <c r="Q692" t="s">
        <v>16000</v>
      </c>
      <c r="S692" t="s">
        <v>9309</v>
      </c>
      <c r="U692" t="s">
        <v>990</v>
      </c>
      <c r="V692" t="s">
        <v>193</v>
      </c>
      <c r="W692" t="s">
        <v>9310</v>
      </c>
      <c r="Z692" t="s">
        <v>9311</v>
      </c>
      <c r="AF692" t="s">
        <v>4714</v>
      </c>
      <c r="AG692" t="s">
        <v>869</v>
      </c>
      <c r="AI692" t="s">
        <v>6955</v>
      </c>
      <c r="AJ692" s="27" t="str">
        <f t="shared" si="20"/>
        <v>833202</v>
      </c>
      <c r="AK692" s="27">
        <v>1</v>
      </c>
      <c r="AL692" s="27">
        <f t="shared" si="21"/>
        <v>1</v>
      </c>
      <c r="AM692" s="28">
        <v>1</v>
      </c>
    </row>
    <row r="693" spans="1:39" x14ac:dyDescent="0.25">
      <c r="A693" t="s">
        <v>581</v>
      </c>
      <c r="B693" t="s">
        <v>2198</v>
      </c>
      <c r="C693" t="s">
        <v>62</v>
      </c>
      <c r="D693" s="25" t="s">
        <v>11614</v>
      </c>
      <c r="E693" t="s">
        <v>217</v>
      </c>
      <c r="F693" s="28">
        <v>1</v>
      </c>
      <c r="G693" t="s">
        <v>193</v>
      </c>
      <c r="H693" t="s">
        <v>194</v>
      </c>
      <c r="I693" t="s">
        <v>14099</v>
      </c>
      <c r="J693" t="s">
        <v>253</v>
      </c>
      <c r="K693" t="s">
        <v>15586</v>
      </c>
      <c r="L693" t="s">
        <v>6275</v>
      </c>
      <c r="M693" t="s">
        <v>15651</v>
      </c>
      <c r="N693" t="s">
        <v>12306</v>
      </c>
      <c r="O693" t="s">
        <v>14750</v>
      </c>
      <c r="P693" t="s">
        <v>16001</v>
      </c>
      <c r="Q693" t="s">
        <v>16002</v>
      </c>
      <c r="S693" t="s">
        <v>9309</v>
      </c>
      <c r="T693" t="s">
        <v>9468</v>
      </c>
      <c r="U693" t="s">
        <v>601</v>
      </c>
      <c r="V693" t="s">
        <v>194</v>
      </c>
      <c r="W693" t="s">
        <v>9300</v>
      </c>
      <c r="Z693" t="s">
        <v>9311</v>
      </c>
      <c r="AF693" t="s">
        <v>4714</v>
      </c>
      <c r="AG693" t="s">
        <v>9433</v>
      </c>
      <c r="AI693" t="s">
        <v>6955</v>
      </c>
      <c r="AJ693" s="27" t="str">
        <f t="shared" si="20"/>
        <v>313904</v>
      </c>
      <c r="AK693" s="27">
        <v>1</v>
      </c>
      <c r="AL693" s="27">
        <f t="shared" si="21"/>
        <v>1</v>
      </c>
      <c r="AM693" s="28">
        <v>1</v>
      </c>
    </row>
    <row r="694" spans="1:39" x14ac:dyDescent="0.25">
      <c r="A694" t="s">
        <v>581</v>
      </c>
      <c r="B694" t="s">
        <v>14020</v>
      </c>
      <c r="C694" t="s">
        <v>62</v>
      </c>
      <c r="D694" s="25" t="s">
        <v>11614</v>
      </c>
      <c r="E694" t="s">
        <v>217</v>
      </c>
      <c r="F694" s="28">
        <v>1</v>
      </c>
      <c r="G694" t="s">
        <v>193</v>
      </c>
      <c r="H694" t="s">
        <v>194</v>
      </c>
      <c r="I694" t="s">
        <v>14099</v>
      </c>
      <c r="J694" t="s">
        <v>253</v>
      </c>
      <c r="K694" t="s">
        <v>14021</v>
      </c>
      <c r="L694" t="s">
        <v>6275</v>
      </c>
      <c r="M694" t="s">
        <v>15651</v>
      </c>
      <c r="N694" t="s">
        <v>14735</v>
      </c>
      <c r="O694" t="s">
        <v>10546</v>
      </c>
      <c r="P694" t="s">
        <v>16003</v>
      </c>
      <c r="Q694" t="s">
        <v>16004</v>
      </c>
      <c r="S694" t="s">
        <v>9309</v>
      </c>
      <c r="T694" t="s">
        <v>9468</v>
      </c>
      <c r="U694" t="s">
        <v>601</v>
      </c>
      <c r="V694" t="s">
        <v>194</v>
      </c>
      <c r="W694" t="s">
        <v>9300</v>
      </c>
      <c r="Z694" t="s">
        <v>9311</v>
      </c>
      <c r="AF694" t="s">
        <v>4714</v>
      </c>
      <c r="AG694" t="s">
        <v>9433</v>
      </c>
      <c r="AI694" t="s">
        <v>6955</v>
      </c>
      <c r="AJ694" s="27" t="str">
        <f t="shared" si="20"/>
        <v>313904</v>
      </c>
      <c r="AK694" s="27">
        <v>1</v>
      </c>
      <c r="AL694" s="27">
        <f t="shared" si="21"/>
        <v>1</v>
      </c>
      <c r="AM694" s="28">
        <v>1</v>
      </c>
    </row>
    <row r="695" spans="1:39" x14ac:dyDescent="0.25">
      <c r="A695" t="s">
        <v>16005</v>
      </c>
      <c r="B695" t="s">
        <v>16006</v>
      </c>
      <c r="C695" t="s">
        <v>39</v>
      </c>
      <c r="D695" s="25" t="s">
        <v>11614</v>
      </c>
      <c r="E695" t="s">
        <v>233</v>
      </c>
      <c r="F695" s="28">
        <v>1</v>
      </c>
      <c r="G695" t="s">
        <v>193</v>
      </c>
      <c r="H695" t="s">
        <v>194</v>
      </c>
      <c r="I695" t="s">
        <v>14099</v>
      </c>
      <c r="J695" t="s">
        <v>9302</v>
      </c>
      <c r="K695" t="s">
        <v>16007</v>
      </c>
      <c r="L695" t="s">
        <v>6256</v>
      </c>
      <c r="M695" t="s">
        <v>15658</v>
      </c>
      <c r="N695" t="s">
        <v>12285</v>
      </c>
      <c r="O695" t="s">
        <v>13200</v>
      </c>
      <c r="P695" t="s">
        <v>16008</v>
      </c>
      <c r="Q695" t="s">
        <v>16009</v>
      </c>
      <c r="S695" t="s">
        <v>9309</v>
      </c>
      <c r="U695" t="s">
        <v>551</v>
      </c>
      <c r="V695" t="s">
        <v>193</v>
      </c>
      <c r="W695" t="s">
        <v>9310</v>
      </c>
      <c r="Z695" t="s">
        <v>9311</v>
      </c>
      <c r="AF695" t="s">
        <v>4714</v>
      </c>
      <c r="AG695" t="s">
        <v>16006</v>
      </c>
      <c r="AI695" t="s">
        <v>6955</v>
      </c>
      <c r="AJ695" s="27" t="str">
        <f t="shared" si="20"/>
        <v>311204</v>
      </c>
      <c r="AK695" s="27">
        <v>1</v>
      </c>
      <c r="AL695" s="27">
        <f t="shared" si="21"/>
        <v>1</v>
      </c>
      <c r="AM695" s="28">
        <v>1</v>
      </c>
    </row>
    <row r="696" spans="1:39" x14ac:dyDescent="0.25">
      <c r="A696" t="s">
        <v>9244</v>
      </c>
      <c r="B696" t="s">
        <v>16010</v>
      </c>
      <c r="C696" t="s">
        <v>12</v>
      </c>
      <c r="D696" s="25" t="s">
        <v>11614</v>
      </c>
      <c r="E696" t="s">
        <v>233</v>
      </c>
      <c r="F696" s="28">
        <v>1</v>
      </c>
      <c r="G696" t="s">
        <v>193</v>
      </c>
      <c r="H696" t="s">
        <v>194</v>
      </c>
      <c r="I696" t="s">
        <v>14099</v>
      </c>
      <c r="J696" t="s">
        <v>9302</v>
      </c>
      <c r="K696" t="s">
        <v>16011</v>
      </c>
      <c r="L696" t="s">
        <v>6256</v>
      </c>
      <c r="M696" t="s">
        <v>15658</v>
      </c>
      <c r="N696" t="s">
        <v>12285</v>
      </c>
      <c r="O696" t="s">
        <v>13200</v>
      </c>
      <c r="P696" t="s">
        <v>16012</v>
      </c>
      <c r="Q696" t="s">
        <v>16013</v>
      </c>
      <c r="S696" t="s">
        <v>9309</v>
      </c>
      <c r="U696" t="s">
        <v>220</v>
      </c>
      <c r="V696" t="s">
        <v>193</v>
      </c>
      <c r="W696" t="s">
        <v>9310</v>
      </c>
      <c r="Z696" t="s">
        <v>9311</v>
      </c>
      <c r="AF696" t="s">
        <v>4714</v>
      </c>
      <c r="AG696" t="s">
        <v>16010</v>
      </c>
      <c r="AI696" t="s">
        <v>6955</v>
      </c>
      <c r="AJ696" s="27" t="str">
        <f t="shared" si="20"/>
        <v>132301</v>
      </c>
      <c r="AK696" s="27">
        <v>1</v>
      </c>
      <c r="AL696" s="27">
        <f t="shared" si="21"/>
        <v>1</v>
      </c>
      <c r="AM696" s="28">
        <v>1</v>
      </c>
    </row>
    <row r="697" spans="1:39" x14ac:dyDescent="0.25">
      <c r="A697" t="s">
        <v>14051</v>
      </c>
      <c r="B697" t="s">
        <v>16014</v>
      </c>
      <c r="C697" t="s">
        <v>1384</v>
      </c>
      <c r="D697" s="25" t="s">
        <v>11614</v>
      </c>
      <c r="E697" t="s">
        <v>233</v>
      </c>
      <c r="F697" s="28">
        <v>1</v>
      </c>
      <c r="G697" t="s">
        <v>193</v>
      </c>
      <c r="H697" t="s">
        <v>194</v>
      </c>
      <c r="I697" t="s">
        <v>14099</v>
      </c>
      <c r="J697" t="s">
        <v>253</v>
      </c>
      <c r="K697" t="s">
        <v>16015</v>
      </c>
      <c r="L697" t="s">
        <v>6312</v>
      </c>
      <c r="M697" t="s">
        <v>15658</v>
      </c>
      <c r="N697" t="s">
        <v>12285</v>
      </c>
      <c r="O697" t="s">
        <v>13200</v>
      </c>
      <c r="P697" t="s">
        <v>16016</v>
      </c>
      <c r="Q697" t="s">
        <v>16017</v>
      </c>
      <c r="S697" t="s">
        <v>9309</v>
      </c>
      <c r="T697" t="s">
        <v>9468</v>
      </c>
      <c r="U697" t="s">
        <v>1385</v>
      </c>
      <c r="V697" t="s">
        <v>194</v>
      </c>
      <c r="W697" t="s">
        <v>9300</v>
      </c>
      <c r="Z697" t="s">
        <v>9311</v>
      </c>
      <c r="AF697" t="s">
        <v>4714</v>
      </c>
      <c r="AG697" t="s">
        <v>16014</v>
      </c>
      <c r="AI697" t="s">
        <v>6955</v>
      </c>
      <c r="AJ697" s="27" t="str">
        <f t="shared" si="20"/>
        <v>235915</v>
      </c>
      <c r="AK697" s="27">
        <v>1</v>
      </c>
      <c r="AL697" s="27">
        <f t="shared" si="21"/>
        <v>1</v>
      </c>
      <c r="AM697" s="28">
        <v>1</v>
      </c>
    </row>
    <row r="698" spans="1:39" x14ac:dyDescent="0.25">
      <c r="A698" t="s">
        <v>16018</v>
      </c>
      <c r="B698" t="s">
        <v>16019</v>
      </c>
      <c r="C698" t="s">
        <v>85</v>
      </c>
      <c r="D698" s="25" t="s">
        <v>11614</v>
      </c>
      <c r="E698" t="s">
        <v>233</v>
      </c>
      <c r="F698" s="28">
        <v>1</v>
      </c>
      <c r="G698" t="s">
        <v>193</v>
      </c>
      <c r="H698" t="s">
        <v>194</v>
      </c>
      <c r="I698" t="s">
        <v>14099</v>
      </c>
      <c r="J698" t="s">
        <v>385</v>
      </c>
      <c r="K698" t="s">
        <v>16020</v>
      </c>
      <c r="L698" t="s">
        <v>6302</v>
      </c>
      <c r="M698" t="s">
        <v>15658</v>
      </c>
      <c r="N698" t="s">
        <v>12285</v>
      </c>
      <c r="O698" t="s">
        <v>16021</v>
      </c>
      <c r="P698" t="s">
        <v>16022</v>
      </c>
      <c r="Q698" t="s">
        <v>16023</v>
      </c>
      <c r="S698" t="s">
        <v>9309</v>
      </c>
      <c r="T698" t="s">
        <v>9410</v>
      </c>
      <c r="U698" t="s">
        <v>477</v>
      </c>
      <c r="V698" t="s">
        <v>194</v>
      </c>
      <c r="W698" t="s">
        <v>9300</v>
      </c>
      <c r="Z698" t="s">
        <v>9311</v>
      </c>
      <c r="AF698" t="s">
        <v>4714</v>
      </c>
      <c r="AG698" t="s">
        <v>16019</v>
      </c>
      <c r="AI698" t="s">
        <v>6955</v>
      </c>
      <c r="AJ698" s="27" t="str">
        <f t="shared" si="20"/>
        <v>243305</v>
      </c>
      <c r="AK698" s="27">
        <v>1</v>
      </c>
      <c r="AL698" s="27">
        <f t="shared" si="21"/>
        <v>1</v>
      </c>
      <c r="AM698" s="28">
        <v>1</v>
      </c>
    </row>
    <row r="699" spans="1:39" x14ac:dyDescent="0.25">
      <c r="A699" t="s">
        <v>16024</v>
      </c>
      <c r="B699" t="s">
        <v>16025</v>
      </c>
      <c r="C699" t="s">
        <v>3996</v>
      </c>
      <c r="D699" s="25" t="s">
        <v>11614</v>
      </c>
      <c r="E699" t="s">
        <v>233</v>
      </c>
      <c r="F699" s="28">
        <v>1</v>
      </c>
      <c r="G699" t="s">
        <v>194</v>
      </c>
      <c r="H699" t="s">
        <v>193</v>
      </c>
      <c r="I699" t="s">
        <v>14099</v>
      </c>
      <c r="J699" t="s">
        <v>9302</v>
      </c>
      <c r="K699" t="s">
        <v>16026</v>
      </c>
      <c r="L699" t="s">
        <v>6256</v>
      </c>
      <c r="M699" t="s">
        <v>15658</v>
      </c>
      <c r="N699" t="s">
        <v>12285</v>
      </c>
      <c r="O699" t="s">
        <v>14777</v>
      </c>
      <c r="P699" t="s">
        <v>16027</v>
      </c>
      <c r="Q699" t="s">
        <v>16028</v>
      </c>
      <c r="S699" t="s">
        <v>9309</v>
      </c>
      <c r="U699" t="s">
        <v>3997</v>
      </c>
      <c r="V699" t="s">
        <v>194</v>
      </c>
      <c r="W699" t="s">
        <v>9946</v>
      </c>
      <c r="Z699" t="s">
        <v>9311</v>
      </c>
      <c r="AF699" t="s">
        <v>4714</v>
      </c>
      <c r="AG699" t="s">
        <v>16025</v>
      </c>
      <c r="AI699" t="s">
        <v>6955</v>
      </c>
      <c r="AJ699" s="27" t="str">
        <f t="shared" si="20"/>
        <v>711404</v>
      </c>
      <c r="AK699" s="27">
        <v>1</v>
      </c>
      <c r="AL699" s="27">
        <f t="shared" si="21"/>
        <v>1</v>
      </c>
      <c r="AM699" s="28">
        <v>1</v>
      </c>
    </row>
    <row r="700" spans="1:39" x14ac:dyDescent="0.25">
      <c r="A700" t="s">
        <v>16024</v>
      </c>
      <c r="B700" t="s">
        <v>10704</v>
      </c>
      <c r="C700" t="s">
        <v>18</v>
      </c>
      <c r="D700" s="25" t="s">
        <v>11614</v>
      </c>
      <c r="E700" t="s">
        <v>233</v>
      </c>
      <c r="F700" s="28">
        <v>1</v>
      </c>
      <c r="G700" t="s">
        <v>193</v>
      </c>
      <c r="H700" t="s">
        <v>194</v>
      </c>
      <c r="I700" t="s">
        <v>14099</v>
      </c>
      <c r="J700" t="s">
        <v>210</v>
      </c>
      <c r="K700" t="s">
        <v>16029</v>
      </c>
      <c r="L700" t="s">
        <v>6340</v>
      </c>
      <c r="M700" t="s">
        <v>15658</v>
      </c>
      <c r="N700" t="s">
        <v>12285</v>
      </c>
      <c r="O700" t="s">
        <v>13200</v>
      </c>
      <c r="P700" t="s">
        <v>16030</v>
      </c>
      <c r="Q700" t="s">
        <v>16031</v>
      </c>
      <c r="S700" t="s">
        <v>9309</v>
      </c>
      <c r="T700" t="s">
        <v>9334</v>
      </c>
      <c r="U700" t="s">
        <v>1476</v>
      </c>
      <c r="V700" t="s">
        <v>194</v>
      </c>
      <c r="W700" t="s">
        <v>9300</v>
      </c>
      <c r="Z700" t="s">
        <v>9311</v>
      </c>
      <c r="AF700" t="s">
        <v>4714</v>
      </c>
      <c r="AG700" t="s">
        <v>10704</v>
      </c>
      <c r="AI700" t="s">
        <v>6955</v>
      </c>
      <c r="AJ700" s="27" t="str">
        <f t="shared" si="20"/>
        <v>242309</v>
      </c>
      <c r="AK700" s="27">
        <v>1</v>
      </c>
      <c r="AL700" s="27">
        <f t="shared" si="21"/>
        <v>1</v>
      </c>
      <c r="AM700" s="28">
        <v>1</v>
      </c>
    </row>
    <row r="701" spans="1:39" x14ac:dyDescent="0.25">
      <c r="A701" t="s">
        <v>16032</v>
      </c>
      <c r="B701" t="s">
        <v>16033</v>
      </c>
      <c r="C701" t="s">
        <v>3968</v>
      </c>
      <c r="D701" s="25" t="s">
        <v>11614</v>
      </c>
      <c r="E701" t="s">
        <v>233</v>
      </c>
      <c r="F701" s="28">
        <v>1</v>
      </c>
      <c r="G701" t="s">
        <v>194</v>
      </c>
      <c r="H701" t="s">
        <v>193</v>
      </c>
      <c r="I701" t="s">
        <v>14099</v>
      </c>
      <c r="J701" t="s">
        <v>9302</v>
      </c>
      <c r="K701" t="s">
        <v>16034</v>
      </c>
      <c r="L701" t="s">
        <v>6277</v>
      </c>
      <c r="M701" t="s">
        <v>15658</v>
      </c>
      <c r="N701" t="s">
        <v>12285</v>
      </c>
      <c r="O701" t="s">
        <v>16021</v>
      </c>
      <c r="P701" t="s">
        <v>16035</v>
      </c>
      <c r="Q701" t="s">
        <v>16036</v>
      </c>
      <c r="S701" t="s">
        <v>9309</v>
      </c>
      <c r="U701" t="s">
        <v>3969</v>
      </c>
      <c r="V701" t="s">
        <v>194</v>
      </c>
      <c r="W701" t="s">
        <v>9946</v>
      </c>
      <c r="Z701" t="s">
        <v>9311</v>
      </c>
      <c r="AF701" t="s">
        <v>4714</v>
      </c>
      <c r="AG701" t="s">
        <v>16033</v>
      </c>
      <c r="AI701" t="s">
        <v>6955</v>
      </c>
      <c r="AJ701" s="27" t="str">
        <f t="shared" si="20"/>
        <v>141103</v>
      </c>
      <c r="AK701" s="27">
        <v>1</v>
      </c>
      <c r="AL701" s="27">
        <f t="shared" si="21"/>
        <v>1</v>
      </c>
      <c r="AM701" s="28">
        <v>1</v>
      </c>
    </row>
    <row r="702" spans="1:39" x14ac:dyDescent="0.25">
      <c r="A702" t="s">
        <v>16032</v>
      </c>
      <c r="B702" t="s">
        <v>16037</v>
      </c>
      <c r="D702" s="25" t="s">
        <v>11614</v>
      </c>
      <c r="E702" t="s">
        <v>233</v>
      </c>
      <c r="F702" s="27">
        <v>1</v>
      </c>
      <c r="G702" t="s">
        <v>194</v>
      </c>
      <c r="H702" t="s">
        <v>193</v>
      </c>
      <c r="I702" t="s">
        <v>14099</v>
      </c>
      <c r="J702" t="s">
        <v>9302</v>
      </c>
      <c r="K702" t="s">
        <v>16038</v>
      </c>
      <c r="L702" t="s">
        <v>6343</v>
      </c>
      <c r="M702" t="s">
        <v>15658</v>
      </c>
      <c r="N702" t="s">
        <v>12285</v>
      </c>
      <c r="O702" t="s">
        <v>16021</v>
      </c>
      <c r="P702" t="s">
        <v>16039</v>
      </c>
      <c r="Q702" t="s">
        <v>16040</v>
      </c>
      <c r="S702" t="s">
        <v>9309</v>
      </c>
      <c r="U702" s="25" t="s">
        <v>2002</v>
      </c>
      <c r="V702" t="s">
        <v>194</v>
      </c>
      <c r="W702" t="s">
        <v>9946</v>
      </c>
      <c r="Z702" t="s">
        <v>9311</v>
      </c>
      <c r="AF702" t="s">
        <v>4714</v>
      </c>
      <c r="AG702" t="s">
        <v>16037</v>
      </c>
      <c r="AI702" t="s">
        <v>6955</v>
      </c>
      <c r="AJ702" s="27" t="str">
        <f t="shared" si="20"/>
        <v>513101</v>
      </c>
      <c r="AK702" s="27">
        <v>1</v>
      </c>
      <c r="AL702" s="27">
        <f t="shared" si="21"/>
        <v>1</v>
      </c>
      <c r="AM702" s="28">
        <v>1</v>
      </c>
    </row>
    <row r="703" spans="1:39" x14ac:dyDescent="0.25">
      <c r="AK703" s="27">
        <f>SUM(AK2:AK702)</f>
        <v>701</v>
      </c>
      <c r="AL703" s="449">
        <f>SUM(AL2:AL702)</f>
        <v>704</v>
      </c>
      <c r="AM703" s="449">
        <f>SUM(AM2:AM702)</f>
        <v>701</v>
      </c>
    </row>
    <row r="704" spans="1:39" x14ac:dyDescent="0.25">
      <c r="T704" s="28"/>
      <c r="AK704" s="27">
        <f>SUBTOTAL(9,AK2:AK702)</f>
        <v>701</v>
      </c>
      <c r="AL704" s="27">
        <f>SUBTOTAL(9,AL2:AL702)</f>
        <v>704</v>
      </c>
      <c r="AM704" s="27">
        <f>SUBTOTAL(9,AM2:AM702)</f>
        <v>701</v>
      </c>
    </row>
  </sheetData>
  <autoFilter ref="A1:AM703"/>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72"/>
  <sheetViews>
    <sheetView zoomScale="80" zoomScaleNormal="80" workbookViewId="0"/>
  </sheetViews>
  <sheetFormatPr defaultRowHeight="15" x14ac:dyDescent="0.25"/>
  <cols>
    <col min="1" max="1" width="12.28515625" style="138" customWidth="1"/>
    <col min="2" max="2" width="59.5703125" style="138" customWidth="1"/>
    <col min="3" max="3" width="58.85546875" style="138" customWidth="1"/>
    <col min="4" max="4" width="11.28515625" style="138" customWidth="1"/>
    <col min="5" max="5" width="10" style="138" customWidth="1"/>
    <col min="6" max="6" width="4.5703125" style="27" customWidth="1"/>
    <col min="7" max="7" width="14.42578125" style="28" customWidth="1"/>
    <col min="8" max="8" width="14.85546875" style="28" customWidth="1"/>
    <col min="9" max="9" width="11" style="28" customWidth="1"/>
    <col min="10" max="10" width="43.7109375" style="138" customWidth="1"/>
    <col min="11" max="11" width="5.140625" style="138" customWidth="1"/>
    <col min="12" max="12" width="13.7109375" style="138" customWidth="1"/>
    <col min="13" max="13" width="14" style="138" customWidth="1"/>
    <col min="14" max="14" width="16.140625" style="138" customWidth="1"/>
    <col min="15" max="15" width="11.7109375" style="138" customWidth="1"/>
    <col min="16" max="16" width="11.140625" style="138" customWidth="1"/>
    <col min="17" max="21" width="9.140625" style="138"/>
    <col min="22" max="22" width="9.140625" style="28"/>
    <col min="23" max="23" width="15.140625" style="504" customWidth="1"/>
    <col min="24" max="24" width="14.42578125" style="138" customWidth="1"/>
    <col min="25" max="25" width="6.28515625" style="28" customWidth="1"/>
    <col min="26" max="33" width="9.140625" style="138"/>
    <col min="34" max="34" width="13.42578125" style="28" customWidth="1"/>
    <col min="35" max="35" width="56.7109375" style="138" customWidth="1"/>
    <col min="36" max="36" width="9.140625" style="138" customWidth="1"/>
    <col min="37" max="37" width="8.5703125" style="138" customWidth="1"/>
    <col min="38" max="16384" width="9.140625" style="138"/>
  </cols>
  <sheetData>
    <row r="1" spans="1:39" ht="21" customHeight="1" x14ac:dyDescent="0.25">
      <c r="A1" s="158" t="s">
        <v>176</v>
      </c>
      <c r="B1" s="158" t="s">
        <v>177</v>
      </c>
      <c r="C1" s="158" t="s">
        <v>178</v>
      </c>
      <c r="D1" s="158" t="s">
        <v>179</v>
      </c>
      <c r="E1" s="158" t="s">
        <v>900</v>
      </c>
      <c r="F1" s="62" t="s">
        <v>181</v>
      </c>
      <c r="G1" s="62" t="s">
        <v>182</v>
      </c>
      <c r="H1" s="62" t="s">
        <v>183</v>
      </c>
      <c r="I1" s="62" t="s">
        <v>184</v>
      </c>
      <c r="J1" s="158" t="s">
        <v>185</v>
      </c>
      <c r="K1" s="158" t="s">
        <v>186</v>
      </c>
      <c r="L1" s="158" t="s">
        <v>6943</v>
      </c>
      <c r="M1" s="158" t="s">
        <v>6942</v>
      </c>
      <c r="N1" s="158" t="s">
        <v>4700</v>
      </c>
      <c r="O1" s="158" t="s">
        <v>6391</v>
      </c>
      <c r="P1" s="158" t="s">
        <v>6930</v>
      </c>
      <c r="Q1" s="158" t="s">
        <v>6931</v>
      </c>
      <c r="R1" s="158" t="s">
        <v>4701</v>
      </c>
      <c r="S1" s="158" t="s">
        <v>6932</v>
      </c>
      <c r="T1" s="158" t="s">
        <v>6933</v>
      </c>
      <c r="U1" s="158" t="s">
        <v>1726</v>
      </c>
      <c r="V1" s="62" t="s">
        <v>4702</v>
      </c>
      <c r="W1" s="505" t="s">
        <v>187</v>
      </c>
      <c r="X1" s="158" t="s">
        <v>6934</v>
      </c>
      <c r="Y1" s="62" t="s">
        <v>4703</v>
      </c>
      <c r="Z1" s="158" t="s">
        <v>6935</v>
      </c>
      <c r="AA1" s="158" t="s">
        <v>4704</v>
      </c>
      <c r="AB1" s="158" t="s">
        <v>6936</v>
      </c>
      <c r="AC1" s="158" t="s">
        <v>6937</v>
      </c>
      <c r="AD1" s="158" t="s">
        <v>6938</v>
      </c>
      <c r="AE1" s="158" t="s">
        <v>6939</v>
      </c>
      <c r="AF1" s="158" t="s">
        <v>6940</v>
      </c>
      <c r="AG1" s="158" t="s">
        <v>4705</v>
      </c>
      <c r="AH1" s="62" t="s">
        <v>4706</v>
      </c>
      <c r="AI1" s="158" t="s">
        <v>6941</v>
      </c>
      <c r="AJ1" s="495" t="s">
        <v>13058</v>
      </c>
      <c r="AK1" s="62" t="s">
        <v>13055</v>
      </c>
      <c r="AL1" s="62" t="s">
        <v>13056</v>
      </c>
      <c r="AM1" s="62" t="s">
        <v>13057</v>
      </c>
    </row>
    <row r="2" spans="1:39" x14ac:dyDescent="0.25">
      <c r="A2" s="35" t="s">
        <v>17621</v>
      </c>
      <c r="B2" s="35" t="s">
        <v>156</v>
      </c>
      <c r="C2" s="35" t="s">
        <v>156</v>
      </c>
      <c r="D2" s="35" t="s">
        <v>16073</v>
      </c>
      <c r="E2" s="35" t="s">
        <v>252</v>
      </c>
      <c r="F2" s="62">
        <v>1</v>
      </c>
      <c r="G2" s="30" t="s">
        <v>193</v>
      </c>
      <c r="H2" s="30" t="s">
        <v>194</v>
      </c>
      <c r="I2" s="30" t="s">
        <v>16121</v>
      </c>
      <c r="J2" s="35" t="s">
        <v>309</v>
      </c>
      <c r="K2" s="35">
        <v>18</v>
      </c>
      <c r="L2" s="35" t="s">
        <v>6955</v>
      </c>
      <c r="M2" s="35"/>
      <c r="N2" s="35" t="s">
        <v>17620</v>
      </c>
      <c r="O2" s="35" t="s">
        <v>6249</v>
      </c>
      <c r="P2" s="35" t="s">
        <v>17260</v>
      </c>
      <c r="Q2" s="35" t="s">
        <v>17619</v>
      </c>
      <c r="R2" s="35" t="s">
        <v>16073</v>
      </c>
      <c r="S2" s="35">
        <v>2425313</v>
      </c>
      <c r="T2" s="35">
        <v>33353331</v>
      </c>
      <c r="U2" s="35"/>
      <c r="V2" s="30">
        <v>1815</v>
      </c>
      <c r="W2" s="35" t="s">
        <v>659</v>
      </c>
      <c r="X2" s="35" t="s">
        <v>194</v>
      </c>
      <c r="Y2" s="30">
        <v>1</v>
      </c>
      <c r="Z2" s="35"/>
      <c r="AA2" s="35"/>
      <c r="AB2" s="35"/>
      <c r="AC2" s="35"/>
      <c r="AD2" s="35"/>
      <c r="AE2" s="35"/>
      <c r="AF2" s="35"/>
      <c r="AG2" s="35"/>
      <c r="AH2" s="30" t="s">
        <v>4714</v>
      </c>
      <c r="AI2" s="35" t="s">
        <v>156</v>
      </c>
      <c r="AJ2" s="62" t="str">
        <f>MID('I kw.22'!W2,8,6)</f>
        <v>332302</v>
      </c>
      <c r="AK2" s="62">
        <v>1</v>
      </c>
      <c r="AL2" s="496">
        <f>SUM(F2)</f>
        <v>1</v>
      </c>
      <c r="AM2" s="62">
        <v>1</v>
      </c>
    </row>
    <row r="3" spans="1:39" x14ac:dyDescent="0.25">
      <c r="A3" s="35" t="s">
        <v>4693</v>
      </c>
      <c r="B3" s="35" t="s">
        <v>13186</v>
      </c>
      <c r="C3" s="35" t="s">
        <v>944</v>
      </c>
      <c r="D3" s="35" t="s">
        <v>16073</v>
      </c>
      <c r="E3" s="35" t="s">
        <v>233</v>
      </c>
      <c r="F3" s="62">
        <v>1</v>
      </c>
      <c r="G3" s="30" t="s">
        <v>193</v>
      </c>
      <c r="H3" s="30" t="s">
        <v>194</v>
      </c>
      <c r="I3" s="30" t="s">
        <v>16121</v>
      </c>
      <c r="J3" s="35" t="s">
        <v>9302</v>
      </c>
      <c r="K3" s="35">
        <v>18</v>
      </c>
      <c r="L3" s="35" t="s">
        <v>6955</v>
      </c>
      <c r="M3" s="35"/>
      <c r="N3" s="35" t="s">
        <v>17618</v>
      </c>
      <c r="O3" s="35" t="s">
        <v>6288</v>
      </c>
      <c r="P3" s="35" t="s">
        <v>17260</v>
      </c>
      <c r="Q3" s="35" t="s">
        <v>17617</v>
      </c>
      <c r="R3" s="35" t="s">
        <v>16397</v>
      </c>
      <c r="S3" s="35">
        <v>2425386</v>
      </c>
      <c r="T3" s="35">
        <v>34135613</v>
      </c>
      <c r="U3" s="35"/>
      <c r="V3" s="30"/>
      <c r="W3" s="505" t="s">
        <v>945</v>
      </c>
      <c r="X3" s="35" t="s">
        <v>193</v>
      </c>
      <c r="Y3" s="30">
        <v>25</v>
      </c>
      <c r="Z3" s="35"/>
      <c r="AA3" s="35"/>
      <c r="AB3" s="35"/>
      <c r="AC3" s="35"/>
      <c r="AD3" s="35"/>
      <c r="AE3" s="35"/>
      <c r="AF3" s="35"/>
      <c r="AG3" s="35"/>
      <c r="AH3" s="30" t="s">
        <v>4714</v>
      </c>
      <c r="AI3" s="35" t="s">
        <v>13190</v>
      </c>
      <c r="AJ3" s="62" t="str">
        <f>MID('I kw.22'!W3,8,6)</f>
        <v>321301</v>
      </c>
      <c r="AK3" s="62">
        <v>1</v>
      </c>
      <c r="AL3" s="62">
        <f t="shared" ref="AL3:AL66" si="0">SUM(F3)</f>
        <v>1</v>
      </c>
      <c r="AM3" s="62">
        <v>1</v>
      </c>
    </row>
    <row r="4" spans="1:39" x14ac:dyDescent="0.25">
      <c r="A4" s="35" t="s">
        <v>10446</v>
      </c>
      <c r="B4" s="35" t="s">
        <v>10447</v>
      </c>
      <c r="C4" s="35" t="s">
        <v>6617</v>
      </c>
      <c r="D4" s="35" t="s">
        <v>16073</v>
      </c>
      <c r="E4" s="35" t="s">
        <v>233</v>
      </c>
      <c r="F4" s="62">
        <v>1</v>
      </c>
      <c r="G4" s="30" t="s">
        <v>193</v>
      </c>
      <c r="H4" s="30" t="s">
        <v>194</v>
      </c>
      <c r="I4" s="30" t="s">
        <v>16066</v>
      </c>
      <c r="J4" s="35" t="s">
        <v>9302</v>
      </c>
      <c r="K4" s="35">
        <v>18</v>
      </c>
      <c r="L4" s="35" t="s">
        <v>6955</v>
      </c>
      <c r="M4" s="35"/>
      <c r="N4" s="35" t="s">
        <v>17616</v>
      </c>
      <c r="O4" s="35" t="s">
        <v>6266</v>
      </c>
      <c r="P4" s="35" t="s">
        <v>17585</v>
      </c>
      <c r="Q4" s="35" t="s">
        <v>16052</v>
      </c>
      <c r="R4" s="35" t="s">
        <v>16641</v>
      </c>
      <c r="S4" s="35">
        <v>2425475</v>
      </c>
      <c r="T4" s="35">
        <v>34543988</v>
      </c>
      <c r="U4" s="35"/>
      <c r="V4" s="30"/>
      <c r="W4" s="505" t="s">
        <v>990</v>
      </c>
      <c r="X4" s="35" t="s">
        <v>193</v>
      </c>
      <c r="Y4" s="30">
        <v>25</v>
      </c>
      <c r="Z4" s="35"/>
      <c r="AA4" s="35"/>
      <c r="AB4" s="35"/>
      <c r="AC4" s="35"/>
      <c r="AD4" s="35"/>
      <c r="AE4" s="35"/>
      <c r="AF4" s="35"/>
      <c r="AG4" s="35"/>
      <c r="AH4" s="30" t="s">
        <v>4714</v>
      </c>
      <c r="AI4" s="35" t="s">
        <v>10447</v>
      </c>
      <c r="AJ4" s="62" t="str">
        <f>MID('I kw.22'!W4,8,6)</f>
        <v>833202</v>
      </c>
      <c r="AK4" s="62">
        <v>1</v>
      </c>
      <c r="AL4" s="62">
        <f t="shared" si="0"/>
        <v>1</v>
      </c>
      <c r="AM4" s="62">
        <v>1</v>
      </c>
    </row>
    <row r="5" spans="1:39" x14ac:dyDescent="0.25">
      <c r="A5" s="35" t="s">
        <v>17615</v>
      </c>
      <c r="B5" s="35" t="s">
        <v>17613</v>
      </c>
      <c r="C5" s="35" t="s">
        <v>43</v>
      </c>
      <c r="D5" s="35" t="s">
        <v>16073</v>
      </c>
      <c r="E5" s="35" t="s">
        <v>233</v>
      </c>
      <c r="F5" s="62">
        <v>1</v>
      </c>
      <c r="G5" s="30" t="s">
        <v>193</v>
      </c>
      <c r="H5" s="30" t="s">
        <v>194</v>
      </c>
      <c r="I5" s="30" t="s">
        <v>16078</v>
      </c>
      <c r="J5" s="35" t="s">
        <v>210</v>
      </c>
      <c r="K5" s="35">
        <v>18</v>
      </c>
      <c r="L5" s="35" t="s">
        <v>6955</v>
      </c>
      <c r="M5" s="35"/>
      <c r="N5" s="35" t="s">
        <v>17614</v>
      </c>
      <c r="O5" s="35" t="s">
        <v>6277</v>
      </c>
      <c r="P5" s="35" t="s">
        <v>17585</v>
      </c>
      <c r="Q5" s="35" t="s">
        <v>16052</v>
      </c>
      <c r="R5" s="35" t="s">
        <v>16641</v>
      </c>
      <c r="S5" s="35">
        <v>2425498</v>
      </c>
      <c r="T5" s="35">
        <v>34544012</v>
      </c>
      <c r="U5" s="35"/>
      <c r="V5" s="30">
        <v>1863</v>
      </c>
      <c r="W5" s="35" t="s">
        <v>452</v>
      </c>
      <c r="X5" s="35" t="s">
        <v>194</v>
      </c>
      <c r="Y5" s="30">
        <v>1</v>
      </c>
      <c r="Z5" s="35"/>
      <c r="AA5" s="35"/>
      <c r="AB5" s="35"/>
      <c r="AC5" s="35"/>
      <c r="AD5" s="35"/>
      <c r="AE5" s="35"/>
      <c r="AF5" s="35"/>
      <c r="AG5" s="35"/>
      <c r="AH5" s="30" t="s">
        <v>4714</v>
      </c>
      <c r="AI5" s="35" t="s">
        <v>17613</v>
      </c>
      <c r="AJ5" s="62" t="str">
        <f>MID('I kw.22'!W5,8,6)</f>
        <v>243106</v>
      </c>
      <c r="AK5" s="62">
        <v>1</v>
      </c>
      <c r="AL5" s="62">
        <f t="shared" si="0"/>
        <v>1</v>
      </c>
      <c r="AM5" s="62">
        <v>1</v>
      </c>
    </row>
    <row r="6" spans="1:39" x14ac:dyDescent="0.25">
      <c r="A6" s="35" t="s">
        <v>17612</v>
      </c>
      <c r="B6" s="35" t="s">
        <v>17609</v>
      </c>
      <c r="C6" s="35" t="s">
        <v>43</v>
      </c>
      <c r="D6" s="35" t="s">
        <v>16073</v>
      </c>
      <c r="E6" s="35" t="s">
        <v>233</v>
      </c>
      <c r="F6" s="62">
        <v>1</v>
      </c>
      <c r="G6" s="30" t="s">
        <v>193</v>
      </c>
      <c r="H6" s="30" t="s">
        <v>194</v>
      </c>
      <c r="I6" s="30" t="s">
        <v>16048</v>
      </c>
      <c r="J6" s="35" t="s">
        <v>9302</v>
      </c>
      <c r="K6" s="35">
        <v>18</v>
      </c>
      <c r="L6" s="35" t="s">
        <v>6955</v>
      </c>
      <c r="M6" s="35"/>
      <c r="N6" s="35" t="s">
        <v>17611</v>
      </c>
      <c r="O6" s="35" t="s">
        <v>6363</v>
      </c>
      <c r="P6" s="35" t="s">
        <v>17585</v>
      </c>
      <c r="Q6" s="35" t="s">
        <v>16052</v>
      </c>
      <c r="R6" s="35" t="s">
        <v>17610</v>
      </c>
      <c r="S6" s="35">
        <v>2425503</v>
      </c>
      <c r="T6" s="35">
        <v>34544021</v>
      </c>
      <c r="U6" s="35"/>
      <c r="V6" s="30"/>
      <c r="W6" s="505" t="s">
        <v>452</v>
      </c>
      <c r="X6" s="35" t="s">
        <v>193</v>
      </c>
      <c r="Y6" s="30">
        <v>25</v>
      </c>
      <c r="Z6" s="35"/>
      <c r="AA6" s="35"/>
      <c r="AB6" s="35"/>
      <c r="AC6" s="35"/>
      <c r="AD6" s="35"/>
      <c r="AE6" s="35"/>
      <c r="AF6" s="35"/>
      <c r="AG6" s="35"/>
      <c r="AH6" s="30" t="s">
        <v>4714</v>
      </c>
      <c r="AI6" s="35" t="s">
        <v>17609</v>
      </c>
      <c r="AJ6" s="62" t="str">
        <f>MID('I kw.22'!W6,8,6)</f>
        <v>243106</v>
      </c>
      <c r="AK6" s="62">
        <v>1</v>
      </c>
      <c r="AL6" s="62">
        <f t="shared" si="0"/>
        <v>1</v>
      </c>
      <c r="AM6" s="62">
        <v>1</v>
      </c>
    </row>
    <row r="7" spans="1:39" x14ac:dyDescent="0.25">
      <c r="A7" s="35" t="s">
        <v>17606</v>
      </c>
      <c r="B7" s="35" t="s">
        <v>17607</v>
      </c>
      <c r="C7" s="35" t="s">
        <v>737</v>
      </c>
      <c r="D7" s="35" t="s">
        <v>16073</v>
      </c>
      <c r="E7" s="35" t="s">
        <v>233</v>
      </c>
      <c r="F7" s="62">
        <v>1</v>
      </c>
      <c r="G7" s="30" t="s">
        <v>193</v>
      </c>
      <c r="H7" s="30" t="s">
        <v>194</v>
      </c>
      <c r="I7" s="30" t="s">
        <v>16048</v>
      </c>
      <c r="J7" s="35" t="s">
        <v>9302</v>
      </c>
      <c r="K7" s="35">
        <v>18</v>
      </c>
      <c r="L7" s="35" t="s">
        <v>6955</v>
      </c>
      <c r="M7" s="35"/>
      <c r="N7" s="35" t="s">
        <v>17608</v>
      </c>
      <c r="O7" s="35" t="s">
        <v>6277</v>
      </c>
      <c r="P7" s="35" t="s">
        <v>17585</v>
      </c>
      <c r="Q7" s="35" t="s">
        <v>16052</v>
      </c>
      <c r="R7" s="35" t="s">
        <v>16641</v>
      </c>
      <c r="S7" s="35">
        <v>2425536</v>
      </c>
      <c r="T7" s="35">
        <v>34544055</v>
      </c>
      <c r="U7" s="35"/>
      <c r="V7" s="30"/>
      <c r="W7" s="505" t="s">
        <v>738</v>
      </c>
      <c r="X7" s="35" t="s">
        <v>193</v>
      </c>
      <c r="Y7" s="30">
        <v>25</v>
      </c>
      <c r="Z7" s="35"/>
      <c r="AA7" s="35"/>
      <c r="AB7" s="35"/>
      <c r="AC7" s="35"/>
      <c r="AD7" s="35"/>
      <c r="AE7" s="35"/>
      <c r="AF7" s="35"/>
      <c r="AG7" s="35"/>
      <c r="AH7" s="30" t="s">
        <v>4714</v>
      </c>
      <c r="AI7" s="35" t="s">
        <v>17607</v>
      </c>
      <c r="AJ7" s="62" t="str">
        <f>MID('I kw.22'!W7,8,6)</f>
        <v>522201</v>
      </c>
      <c r="AK7" s="62">
        <v>1</v>
      </c>
      <c r="AL7" s="496">
        <f t="shared" si="0"/>
        <v>1</v>
      </c>
      <c r="AM7" s="62">
        <v>1</v>
      </c>
    </row>
    <row r="8" spans="1:39" x14ac:dyDescent="0.25">
      <c r="A8" s="35" t="s">
        <v>17606</v>
      </c>
      <c r="B8" s="35" t="s">
        <v>2512</v>
      </c>
      <c r="C8" s="35" t="s">
        <v>43</v>
      </c>
      <c r="D8" s="35" t="s">
        <v>16073</v>
      </c>
      <c r="E8" s="35" t="s">
        <v>233</v>
      </c>
      <c r="F8" s="62">
        <v>1</v>
      </c>
      <c r="G8" s="30" t="s">
        <v>193</v>
      </c>
      <c r="H8" s="30" t="s">
        <v>194</v>
      </c>
      <c r="I8" s="30" t="s">
        <v>16048</v>
      </c>
      <c r="J8" s="35" t="s">
        <v>9302</v>
      </c>
      <c r="K8" s="35">
        <v>18</v>
      </c>
      <c r="L8" s="35" t="s">
        <v>6955</v>
      </c>
      <c r="M8" s="35"/>
      <c r="N8" s="35" t="s">
        <v>17605</v>
      </c>
      <c r="O8" s="35" t="s">
        <v>6249</v>
      </c>
      <c r="P8" s="35" t="s">
        <v>17585</v>
      </c>
      <c r="Q8" s="35" t="s">
        <v>16052</v>
      </c>
      <c r="R8" s="35" t="s">
        <v>16641</v>
      </c>
      <c r="S8" s="35">
        <v>2425552</v>
      </c>
      <c r="T8" s="35">
        <v>34544071</v>
      </c>
      <c r="U8" s="35"/>
      <c r="V8" s="30"/>
      <c r="W8" s="505" t="s">
        <v>452</v>
      </c>
      <c r="X8" s="35" t="s">
        <v>193</v>
      </c>
      <c r="Y8" s="30">
        <v>25</v>
      </c>
      <c r="Z8" s="35"/>
      <c r="AA8" s="35"/>
      <c r="AB8" s="35"/>
      <c r="AC8" s="35"/>
      <c r="AD8" s="35"/>
      <c r="AE8" s="35"/>
      <c r="AF8" s="35"/>
      <c r="AG8" s="35"/>
      <c r="AH8" s="30" t="s">
        <v>4714</v>
      </c>
      <c r="AI8" s="35" t="s">
        <v>2512</v>
      </c>
      <c r="AJ8" s="62" t="str">
        <f>MID('I kw.22'!W8,8,6)</f>
        <v>243106</v>
      </c>
      <c r="AK8" s="62">
        <v>1</v>
      </c>
      <c r="AL8" s="62">
        <f t="shared" si="0"/>
        <v>1</v>
      </c>
      <c r="AM8" s="62">
        <v>1</v>
      </c>
    </row>
    <row r="9" spans="1:39" x14ac:dyDescent="0.25">
      <c r="A9" s="35" t="s">
        <v>13836</v>
      </c>
      <c r="B9" s="35" t="s">
        <v>17603</v>
      </c>
      <c r="C9" s="35" t="s">
        <v>706</v>
      </c>
      <c r="D9" s="35" t="s">
        <v>16073</v>
      </c>
      <c r="E9" s="35" t="s">
        <v>233</v>
      </c>
      <c r="F9" s="62">
        <v>1</v>
      </c>
      <c r="G9" s="30" t="s">
        <v>193</v>
      </c>
      <c r="H9" s="30" t="s">
        <v>194</v>
      </c>
      <c r="I9" s="30" t="s">
        <v>16048</v>
      </c>
      <c r="J9" s="35" t="s">
        <v>9302</v>
      </c>
      <c r="K9" s="35">
        <v>18</v>
      </c>
      <c r="L9" s="35" t="s">
        <v>6955</v>
      </c>
      <c r="M9" s="35"/>
      <c r="N9" s="35" t="s">
        <v>17604</v>
      </c>
      <c r="O9" s="35" t="s">
        <v>6286</v>
      </c>
      <c r="P9" s="35" t="s">
        <v>17585</v>
      </c>
      <c r="Q9" s="35" t="s">
        <v>16052</v>
      </c>
      <c r="R9" s="35" t="s">
        <v>16641</v>
      </c>
      <c r="S9" s="35">
        <v>2425569</v>
      </c>
      <c r="T9" s="35">
        <v>34544089</v>
      </c>
      <c r="U9" s="35"/>
      <c r="V9" s="30"/>
      <c r="W9" s="505" t="s">
        <v>707</v>
      </c>
      <c r="X9" s="35" t="s">
        <v>193</v>
      </c>
      <c r="Y9" s="30">
        <v>25</v>
      </c>
      <c r="Z9" s="35"/>
      <c r="AA9" s="35"/>
      <c r="AB9" s="35"/>
      <c r="AC9" s="35"/>
      <c r="AD9" s="35"/>
      <c r="AE9" s="35"/>
      <c r="AF9" s="35"/>
      <c r="AG9" s="35"/>
      <c r="AH9" s="30" t="s">
        <v>4714</v>
      </c>
      <c r="AI9" s="35" t="s">
        <v>17603</v>
      </c>
      <c r="AJ9" s="62" t="str">
        <f>MID('I kw.22'!W9,8,6)</f>
        <v>422201</v>
      </c>
      <c r="AK9" s="62">
        <v>1</v>
      </c>
      <c r="AL9" s="62">
        <f t="shared" si="0"/>
        <v>1</v>
      </c>
      <c r="AM9" s="62">
        <v>1</v>
      </c>
    </row>
    <row r="10" spans="1:39" x14ac:dyDescent="0.25">
      <c r="A10" s="35" t="s">
        <v>17602</v>
      </c>
      <c r="B10" s="35" t="s">
        <v>17600</v>
      </c>
      <c r="C10" s="35" t="s">
        <v>103</v>
      </c>
      <c r="D10" s="35" t="s">
        <v>16073</v>
      </c>
      <c r="E10" s="35" t="s">
        <v>233</v>
      </c>
      <c r="F10" s="62">
        <v>1</v>
      </c>
      <c r="G10" s="30" t="s">
        <v>194</v>
      </c>
      <c r="H10" s="30" t="s">
        <v>193</v>
      </c>
      <c r="I10" s="30" t="s">
        <v>16078</v>
      </c>
      <c r="J10" s="35" t="s">
        <v>9302</v>
      </c>
      <c r="K10" s="35">
        <v>18</v>
      </c>
      <c r="L10" s="35" t="s">
        <v>6955</v>
      </c>
      <c r="M10" s="35"/>
      <c r="N10" s="35" t="s">
        <v>17601</v>
      </c>
      <c r="O10" s="35" t="s">
        <v>6277</v>
      </c>
      <c r="P10" s="35" t="s">
        <v>17585</v>
      </c>
      <c r="Q10" s="35" t="s">
        <v>16052</v>
      </c>
      <c r="R10" s="35" t="s">
        <v>16641</v>
      </c>
      <c r="S10" s="35">
        <v>2425617</v>
      </c>
      <c r="T10" s="35">
        <v>34544137</v>
      </c>
      <c r="U10" s="35"/>
      <c r="V10" s="30"/>
      <c r="W10" s="505" t="s">
        <v>1443</v>
      </c>
      <c r="X10" s="35" t="s">
        <v>194</v>
      </c>
      <c r="Y10" s="30">
        <v>0</v>
      </c>
      <c r="Z10" s="35"/>
      <c r="AA10" s="35"/>
      <c r="AB10" s="35"/>
      <c r="AC10" s="35"/>
      <c r="AD10" s="35"/>
      <c r="AE10" s="35"/>
      <c r="AF10" s="35"/>
      <c r="AG10" s="35"/>
      <c r="AH10" s="30" t="s">
        <v>4714</v>
      </c>
      <c r="AI10" s="35" t="s">
        <v>17600</v>
      </c>
      <c r="AJ10" s="62" t="str">
        <f>MID('I kw.22'!W10,8,6)</f>
        <v>132103</v>
      </c>
      <c r="AK10" s="62">
        <v>1</v>
      </c>
      <c r="AL10" s="62">
        <f t="shared" si="0"/>
        <v>1</v>
      </c>
      <c r="AM10" s="62">
        <v>1</v>
      </c>
    </row>
    <row r="11" spans="1:39" x14ac:dyDescent="0.25">
      <c r="A11" s="35" t="s">
        <v>5372</v>
      </c>
      <c r="B11" s="35" t="s">
        <v>17596</v>
      </c>
      <c r="C11" s="35" t="s">
        <v>21</v>
      </c>
      <c r="D11" s="35" t="s">
        <v>16073</v>
      </c>
      <c r="E11" s="35" t="s">
        <v>233</v>
      </c>
      <c r="F11" s="62">
        <v>1</v>
      </c>
      <c r="G11" s="30" t="s">
        <v>193</v>
      </c>
      <c r="H11" s="30" t="s">
        <v>194</v>
      </c>
      <c r="I11" s="30" t="s">
        <v>16121</v>
      </c>
      <c r="J11" s="35" t="s">
        <v>9302</v>
      </c>
      <c r="K11" s="35">
        <v>18</v>
      </c>
      <c r="L11" s="35" t="s">
        <v>6955</v>
      </c>
      <c r="M11" s="35"/>
      <c r="N11" s="35" t="s">
        <v>17599</v>
      </c>
      <c r="O11" s="35" t="s">
        <v>6256</v>
      </c>
      <c r="P11" s="35" t="s">
        <v>17585</v>
      </c>
      <c r="Q11" s="35" t="s">
        <v>16052</v>
      </c>
      <c r="R11" s="35" t="s">
        <v>16641</v>
      </c>
      <c r="S11" s="35">
        <v>2425635</v>
      </c>
      <c r="T11" s="35">
        <v>34544155</v>
      </c>
      <c r="U11" s="35"/>
      <c r="V11" s="30"/>
      <c r="W11" s="505" t="s">
        <v>293</v>
      </c>
      <c r="X11" s="35" t="s">
        <v>193</v>
      </c>
      <c r="Y11" s="30">
        <v>25</v>
      </c>
      <c r="Z11" s="35"/>
      <c r="AA11" s="35"/>
      <c r="AB11" s="35"/>
      <c r="AC11" s="35"/>
      <c r="AD11" s="35"/>
      <c r="AE11" s="35"/>
      <c r="AF11" s="35"/>
      <c r="AG11" s="35"/>
      <c r="AH11" s="30" t="s">
        <v>4714</v>
      </c>
      <c r="AI11" s="35" t="s">
        <v>17596</v>
      </c>
      <c r="AJ11" s="62" t="str">
        <f>MID('I kw.22'!W11,8,6)</f>
        <v>214202</v>
      </c>
      <c r="AK11" s="62">
        <v>1</v>
      </c>
      <c r="AL11" s="62">
        <f t="shared" si="0"/>
        <v>1</v>
      </c>
      <c r="AM11" s="62">
        <v>1</v>
      </c>
    </row>
    <row r="12" spans="1:39" x14ac:dyDescent="0.25">
      <c r="A12" s="35" t="s">
        <v>5372</v>
      </c>
      <c r="B12" s="35" t="s">
        <v>17596</v>
      </c>
      <c r="C12" s="35" t="s">
        <v>21</v>
      </c>
      <c r="D12" s="35" t="s">
        <v>16073</v>
      </c>
      <c r="E12" s="35" t="s">
        <v>233</v>
      </c>
      <c r="F12" s="62">
        <v>1</v>
      </c>
      <c r="G12" s="30" t="s">
        <v>193</v>
      </c>
      <c r="H12" s="30" t="s">
        <v>194</v>
      </c>
      <c r="I12" s="30" t="s">
        <v>16121</v>
      </c>
      <c r="J12" s="35" t="s">
        <v>9302</v>
      </c>
      <c r="K12" s="35">
        <v>18</v>
      </c>
      <c r="L12" s="35" t="s">
        <v>6955</v>
      </c>
      <c r="M12" s="35"/>
      <c r="N12" s="35" t="s">
        <v>17598</v>
      </c>
      <c r="O12" s="35" t="s">
        <v>6256</v>
      </c>
      <c r="P12" s="35" t="s">
        <v>17585</v>
      </c>
      <c r="Q12" s="35" t="s">
        <v>16052</v>
      </c>
      <c r="R12" s="35" t="s">
        <v>16641</v>
      </c>
      <c r="S12" s="35">
        <v>2425651</v>
      </c>
      <c r="T12" s="35">
        <v>34544171</v>
      </c>
      <c r="U12" s="35"/>
      <c r="V12" s="30"/>
      <c r="W12" s="505" t="s">
        <v>293</v>
      </c>
      <c r="X12" s="35" t="s">
        <v>193</v>
      </c>
      <c r="Y12" s="30">
        <v>25</v>
      </c>
      <c r="Z12" s="35"/>
      <c r="AA12" s="35"/>
      <c r="AB12" s="35"/>
      <c r="AC12" s="35"/>
      <c r="AD12" s="35"/>
      <c r="AE12" s="35"/>
      <c r="AF12" s="35"/>
      <c r="AG12" s="35"/>
      <c r="AH12" s="30" t="s">
        <v>4714</v>
      </c>
      <c r="AI12" s="35" t="s">
        <v>17596</v>
      </c>
      <c r="AJ12" s="62" t="str">
        <f>MID('I kw.22'!W12,8,6)</f>
        <v>214202</v>
      </c>
      <c r="AK12" s="62">
        <v>1</v>
      </c>
      <c r="AL12" s="62">
        <f t="shared" si="0"/>
        <v>1</v>
      </c>
      <c r="AM12" s="62">
        <v>1</v>
      </c>
    </row>
    <row r="13" spans="1:39" x14ac:dyDescent="0.25">
      <c r="A13" s="35" t="s">
        <v>5372</v>
      </c>
      <c r="B13" s="35" t="s">
        <v>17596</v>
      </c>
      <c r="C13" s="35" t="s">
        <v>21</v>
      </c>
      <c r="D13" s="35" t="s">
        <v>16073</v>
      </c>
      <c r="E13" s="35" t="s">
        <v>233</v>
      </c>
      <c r="F13" s="62">
        <v>1</v>
      </c>
      <c r="G13" s="30" t="s">
        <v>193</v>
      </c>
      <c r="H13" s="30" t="s">
        <v>194</v>
      </c>
      <c r="I13" s="30" t="s">
        <v>16121</v>
      </c>
      <c r="J13" s="35" t="s">
        <v>9302</v>
      </c>
      <c r="K13" s="35">
        <v>18</v>
      </c>
      <c r="L13" s="35" t="s">
        <v>6955</v>
      </c>
      <c r="M13" s="35"/>
      <c r="N13" s="35" t="s">
        <v>17597</v>
      </c>
      <c r="O13" s="35" t="s">
        <v>6256</v>
      </c>
      <c r="P13" s="35" t="s">
        <v>17585</v>
      </c>
      <c r="Q13" s="35" t="s">
        <v>16052</v>
      </c>
      <c r="R13" s="35" t="s">
        <v>16641</v>
      </c>
      <c r="S13" s="35">
        <v>2425667</v>
      </c>
      <c r="T13" s="35">
        <v>34544187</v>
      </c>
      <c r="U13" s="35"/>
      <c r="V13" s="30"/>
      <c r="W13" s="505" t="s">
        <v>293</v>
      </c>
      <c r="X13" s="35" t="s">
        <v>193</v>
      </c>
      <c r="Y13" s="30">
        <v>25</v>
      </c>
      <c r="Z13" s="35"/>
      <c r="AA13" s="35"/>
      <c r="AB13" s="35"/>
      <c r="AC13" s="35"/>
      <c r="AD13" s="35"/>
      <c r="AE13" s="35"/>
      <c r="AF13" s="35"/>
      <c r="AG13" s="35"/>
      <c r="AH13" s="30" t="s">
        <v>4714</v>
      </c>
      <c r="AI13" s="35" t="s">
        <v>17596</v>
      </c>
      <c r="AJ13" s="62" t="str">
        <f>MID('I kw.22'!W13,8,6)</f>
        <v>214202</v>
      </c>
      <c r="AK13" s="62">
        <v>1</v>
      </c>
      <c r="AL13" s="62">
        <f t="shared" si="0"/>
        <v>1</v>
      </c>
      <c r="AM13" s="62">
        <v>1</v>
      </c>
    </row>
    <row r="14" spans="1:39" x14ac:dyDescent="0.25">
      <c r="A14" s="35" t="s">
        <v>5180</v>
      </c>
      <c r="B14" s="35" t="s">
        <v>17594</v>
      </c>
      <c r="C14" s="35" t="s">
        <v>778</v>
      </c>
      <c r="D14" s="35" t="s">
        <v>16073</v>
      </c>
      <c r="E14" s="35" t="s">
        <v>233</v>
      </c>
      <c r="F14" s="62">
        <v>1</v>
      </c>
      <c r="G14" s="30" t="s">
        <v>193</v>
      </c>
      <c r="H14" s="30" t="s">
        <v>194</v>
      </c>
      <c r="I14" s="30" t="s">
        <v>16048</v>
      </c>
      <c r="J14" s="35" t="s">
        <v>9302</v>
      </c>
      <c r="K14" s="35">
        <v>18</v>
      </c>
      <c r="L14" s="35" t="s">
        <v>6955</v>
      </c>
      <c r="M14" s="35"/>
      <c r="N14" s="35" t="s">
        <v>17595</v>
      </c>
      <c r="O14" s="35" t="s">
        <v>6249</v>
      </c>
      <c r="P14" s="35" t="s">
        <v>17585</v>
      </c>
      <c r="Q14" s="35" t="s">
        <v>16052</v>
      </c>
      <c r="R14" s="35" t="s">
        <v>16641</v>
      </c>
      <c r="S14" s="35">
        <v>2425685</v>
      </c>
      <c r="T14" s="35">
        <v>34544205</v>
      </c>
      <c r="U14" s="35"/>
      <c r="V14" s="30"/>
      <c r="W14" s="505" t="s">
        <v>779</v>
      </c>
      <c r="X14" s="35" t="s">
        <v>193</v>
      </c>
      <c r="Y14" s="30">
        <v>25</v>
      </c>
      <c r="Z14" s="35"/>
      <c r="AA14" s="35"/>
      <c r="AB14" s="35"/>
      <c r="AC14" s="35"/>
      <c r="AD14" s="35"/>
      <c r="AE14" s="35"/>
      <c r="AF14" s="35"/>
      <c r="AG14" s="35"/>
      <c r="AH14" s="30" t="s">
        <v>4714</v>
      </c>
      <c r="AI14" s="35" t="s">
        <v>17594</v>
      </c>
      <c r="AJ14" s="62" t="str">
        <f>MID('I kw.22'!W14,8,6)</f>
        <v>524902</v>
      </c>
      <c r="AK14" s="62">
        <v>1</v>
      </c>
      <c r="AL14" s="62">
        <f t="shared" si="0"/>
        <v>1</v>
      </c>
      <c r="AM14" s="62">
        <v>1</v>
      </c>
    </row>
    <row r="15" spans="1:39" x14ac:dyDescent="0.25">
      <c r="A15" s="35" t="s">
        <v>2622</v>
      </c>
      <c r="B15" s="35" t="s">
        <v>13789</v>
      </c>
      <c r="C15" s="35" t="s">
        <v>62</v>
      </c>
      <c r="D15" s="35" t="s">
        <v>16073</v>
      </c>
      <c r="E15" s="35" t="s">
        <v>233</v>
      </c>
      <c r="F15" s="62">
        <v>1</v>
      </c>
      <c r="G15" s="30" t="s">
        <v>193</v>
      </c>
      <c r="H15" s="30" t="s">
        <v>194</v>
      </c>
      <c r="I15" s="30" t="s">
        <v>16078</v>
      </c>
      <c r="J15" s="35" t="s">
        <v>2183</v>
      </c>
      <c r="K15" s="35">
        <v>18</v>
      </c>
      <c r="L15" s="35" t="s">
        <v>6955</v>
      </c>
      <c r="M15" s="35"/>
      <c r="N15" s="35" t="s">
        <v>17593</v>
      </c>
      <c r="O15" s="35" t="s">
        <v>6275</v>
      </c>
      <c r="P15" s="35" t="s">
        <v>17585</v>
      </c>
      <c r="Q15" s="35" t="s">
        <v>16052</v>
      </c>
      <c r="R15" s="35" t="s">
        <v>16641</v>
      </c>
      <c r="S15" s="35">
        <v>2425700</v>
      </c>
      <c r="T15" s="35">
        <v>34544220</v>
      </c>
      <c r="U15" s="35"/>
      <c r="V15" s="30">
        <v>1820</v>
      </c>
      <c r="W15" s="35" t="s">
        <v>601</v>
      </c>
      <c r="X15" s="35" t="s">
        <v>194</v>
      </c>
      <c r="Y15" s="30">
        <v>1</v>
      </c>
      <c r="Z15" s="35"/>
      <c r="AA15" s="35"/>
      <c r="AB15" s="35"/>
      <c r="AC15" s="35"/>
      <c r="AD15" s="35"/>
      <c r="AE15" s="35"/>
      <c r="AF15" s="35"/>
      <c r="AG15" s="35"/>
      <c r="AH15" s="30" t="s">
        <v>4714</v>
      </c>
      <c r="AI15" s="35" t="s">
        <v>13789</v>
      </c>
      <c r="AJ15" s="62" t="str">
        <f>MID('I kw.22'!W15,8,6)</f>
        <v>313904</v>
      </c>
      <c r="AK15" s="62">
        <v>1</v>
      </c>
      <c r="AL15" s="62">
        <f t="shared" si="0"/>
        <v>1</v>
      </c>
      <c r="AM15" s="62">
        <v>1</v>
      </c>
    </row>
    <row r="16" spans="1:39" x14ac:dyDescent="0.25">
      <c r="A16" s="35" t="s">
        <v>17592</v>
      </c>
      <c r="B16" s="35" t="s">
        <v>17590</v>
      </c>
      <c r="C16" s="35" t="s">
        <v>12</v>
      </c>
      <c r="D16" s="35" t="s">
        <v>16073</v>
      </c>
      <c r="E16" s="35" t="s">
        <v>233</v>
      </c>
      <c r="F16" s="62">
        <v>1</v>
      </c>
      <c r="G16" s="30" t="s">
        <v>193</v>
      </c>
      <c r="H16" s="30" t="s">
        <v>194</v>
      </c>
      <c r="I16" s="30" t="s">
        <v>16121</v>
      </c>
      <c r="J16" s="35" t="s">
        <v>9302</v>
      </c>
      <c r="K16" s="35">
        <v>18</v>
      </c>
      <c r="L16" s="35" t="s">
        <v>6955</v>
      </c>
      <c r="M16" s="35"/>
      <c r="N16" s="35" t="s">
        <v>17591</v>
      </c>
      <c r="O16" s="35" t="s">
        <v>6256</v>
      </c>
      <c r="P16" s="35" t="s">
        <v>17585</v>
      </c>
      <c r="Q16" s="35" t="s">
        <v>16052</v>
      </c>
      <c r="R16" s="35" t="s">
        <v>16641</v>
      </c>
      <c r="S16" s="35">
        <v>2425709</v>
      </c>
      <c r="T16" s="35">
        <v>34544229</v>
      </c>
      <c r="U16" s="35"/>
      <c r="V16" s="30"/>
      <c r="W16" s="505" t="s">
        <v>220</v>
      </c>
      <c r="X16" s="35" t="s">
        <v>193</v>
      </c>
      <c r="Y16" s="30">
        <v>25</v>
      </c>
      <c r="Z16" s="35"/>
      <c r="AA16" s="35"/>
      <c r="AB16" s="35"/>
      <c r="AC16" s="35"/>
      <c r="AD16" s="35"/>
      <c r="AE16" s="35"/>
      <c r="AF16" s="35"/>
      <c r="AG16" s="35"/>
      <c r="AH16" s="30" t="s">
        <v>4714</v>
      </c>
      <c r="AI16" s="35" t="s">
        <v>17590</v>
      </c>
      <c r="AJ16" s="62" t="str">
        <f>MID('I kw.22'!W16,8,6)</f>
        <v>132301</v>
      </c>
      <c r="AK16" s="62">
        <v>1</v>
      </c>
      <c r="AL16" s="62">
        <f t="shared" si="0"/>
        <v>1</v>
      </c>
      <c r="AM16" s="62">
        <v>1</v>
      </c>
    </row>
    <row r="17" spans="1:39" x14ac:dyDescent="0.25">
      <c r="A17" s="35" t="s">
        <v>712</v>
      </c>
      <c r="B17" s="35" t="s">
        <v>1998</v>
      </c>
      <c r="C17" s="35" t="s">
        <v>51</v>
      </c>
      <c r="D17" s="35" t="s">
        <v>16073</v>
      </c>
      <c r="E17" s="35" t="s">
        <v>233</v>
      </c>
      <c r="F17" s="62">
        <v>1</v>
      </c>
      <c r="G17" s="30" t="s">
        <v>193</v>
      </c>
      <c r="H17" s="30" t="s">
        <v>194</v>
      </c>
      <c r="I17" s="30" t="s">
        <v>16061</v>
      </c>
      <c r="J17" s="35" t="s">
        <v>210</v>
      </c>
      <c r="K17" s="35">
        <v>18</v>
      </c>
      <c r="L17" s="35" t="s">
        <v>6955</v>
      </c>
      <c r="M17" s="35"/>
      <c r="N17" s="35" t="s">
        <v>17589</v>
      </c>
      <c r="O17" s="35" t="s">
        <v>6275</v>
      </c>
      <c r="P17" s="35" t="s">
        <v>17585</v>
      </c>
      <c r="Q17" s="35" t="s">
        <v>16052</v>
      </c>
      <c r="R17" s="35" t="s">
        <v>16641</v>
      </c>
      <c r="S17" s="35">
        <v>2425770</v>
      </c>
      <c r="T17" s="35">
        <v>34544291</v>
      </c>
      <c r="U17" s="35"/>
      <c r="V17" s="30">
        <v>1863</v>
      </c>
      <c r="W17" s="35" t="s">
        <v>904</v>
      </c>
      <c r="X17" s="35" t="s">
        <v>194</v>
      </c>
      <c r="Y17" s="30">
        <v>1</v>
      </c>
      <c r="Z17" s="35"/>
      <c r="AA17" s="35"/>
      <c r="AB17" s="35"/>
      <c r="AC17" s="35"/>
      <c r="AD17" s="35"/>
      <c r="AE17" s="35"/>
      <c r="AF17" s="35"/>
      <c r="AG17" s="35"/>
      <c r="AH17" s="30" t="s">
        <v>4714</v>
      </c>
      <c r="AI17" s="35" t="s">
        <v>1998</v>
      </c>
      <c r="AJ17" s="62" t="str">
        <f>MID('I kw.22'!W17,8,6)</f>
        <v>523002</v>
      </c>
      <c r="AK17" s="62">
        <v>1</v>
      </c>
      <c r="AL17" s="62">
        <f t="shared" si="0"/>
        <v>1</v>
      </c>
      <c r="AM17" s="62">
        <v>1</v>
      </c>
    </row>
    <row r="18" spans="1:39" x14ac:dyDescent="0.25">
      <c r="A18" s="35" t="s">
        <v>5287</v>
      </c>
      <c r="B18" s="35" t="s">
        <v>313</v>
      </c>
      <c r="C18" s="35" t="s">
        <v>144</v>
      </c>
      <c r="D18" s="35" t="s">
        <v>16073</v>
      </c>
      <c r="E18" s="35" t="s">
        <v>233</v>
      </c>
      <c r="F18" s="62">
        <v>1</v>
      </c>
      <c r="G18" s="30" t="s">
        <v>193</v>
      </c>
      <c r="H18" s="30" t="s">
        <v>194</v>
      </c>
      <c r="I18" s="30" t="s">
        <v>16121</v>
      </c>
      <c r="J18" s="35" t="s">
        <v>367</v>
      </c>
      <c r="K18" s="35">
        <v>18</v>
      </c>
      <c r="L18" s="35" t="s">
        <v>6955</v>
      </c>
      <c r="M18" s="35"/>
      <c r="N18" s="35" t="s">
        <v>17588</v>
      </c>
      <c r="O18" s="35" t="s">
        <v>6245</v>
      </c>
      <c r="P18" s="35" t="s">
        <v>17585</v>
      </c>
      <c r="Q18" s="35" t="s">
        <v>16052</v>
      </c>
      <c r="R18" s="35" t="s">
        <v>16641</v>
      </c>
      <c r="S18" s="35">
        <v>2425774</v>
      </c>
      <c r="T18" s="35">
        <v>34544295</v>
      </c>
      <c r="U18" s="35"/>
      <c r="V18" s="30">
        <v>1805</v>
      </c>
      <c r="W18" s="35" t="s">
        <v>1980</v>
      </c>
      <c r="X18" s="35" t="s">
        <v>194</v>
      </c>
      <c r="Y18" s="30">
        <v>1</v>
      </c>
      <c r="Z18" s="35"/>
      <c r="AA18" s="35"/>
      <c r="AB18" s="35"/>
      <c r="AC18" s="35"/>
      <c r="AD18" s="35"/>
      <c r="AE18" s="35"/>
      <c r="AF18" s="35"/>
      <c r="AG18" s="35"/>
      <c r="AH18" s="30" t="s">
        <v>4714</v>
      </c>
      <c r="AI18" s="35" t="s">
        <v>313</v>
      </c>
      <c r="AJ18" s="62" t="str">
        <f>MID('I kw.22'!W18,8,6)</f>
        <v>214914</v>
      </c>
      <c r="AK18" s="62">
        <v>1</v>
      </c>
      <c r="AL18" s="62">
        <f t="shared" si="0"/>
        <v>1</v>
      </c>
      <c r="AM18" s="62">
        <v>1</v>
      </c>
    </row>
    <row r="19" spans="1:39" x14ac:dyDescent="0.25">
      <c r="A19" s="35" t="s">
        <v>1675</v>
      </c>
      <c r="B19" s="35" t="s">
        <v>17252</v>
      </c>
      <c r="C19" s="35" t="s">
        <v>4966</v>
      </c>
      <c r="D19" s="35" t="s">
        <v>16073</v>
      </c>
      <c r="E19" s="35" t="s">
        <v>233</v>
      </c>
      <c r="F19" s="62">
        <v>1</v>
      </c>
      <c r="G19" s="30" t="s">
        <v>193</v>
      </c>
      <c r="H19" s="30" t="s">
        <v>194</v>
      </c>
      <c r="I19" s="30" t="s">
        <v>16048</v>
      </c>
      <c r="J19" s="35" t="s">
        <v>210</v>
      </c>
      <c r="K19" s="35">
        <v>18</v>
      </c>
      <c r="L19" s="35" t="s">
        <v>6955</v>
      </c>
      <c r="M19" s="35"/>
      <c r="N19" s="35" t="s">
        <v>17587</v>
      </c>
      <c r="O19" s="35" t="s">
        <v>6254</v>
      </c>
      <c r="P19" s="35" t="s">
        <v>17585</v>
      </c>
      <c r="Q19" s="35" t="s">
        <v>16052</v>
      </c>
      <c r="R19" s="35" t="s">
        <v>16641</v>
      </c>
      <c r="S19" s="35">
        <v>2425782</v>
      </c>
      <c r="T19" s="35">
        <v>34544303</v>
      </c>
      <c r="U19" s="35"/>
      <c r="V19" s="30">
        <v>1863</v>
      </c>
      <c r="W19" s="35" t="s">
        <v>405</v>
      </c>
      <c r="X19" s="35" t="s">
        <v>194</v>
      </c>
      <c r="Y19" s="30">
        <v>1</v>
      </c>
      <c r="Z19" s="35"/>
      <c r="AA19" s="35"/>
      <c r="AB19" s="35"/>
      <c r="AC19" s="35"/>
      <c r="AD19" s="35"/>
      <c r="AE19" s="35"/>
      <c r="AF19" s="35"/>
      <c r="AG19" s="35"/>
      <c r="AH19" s="30" t="s">
        <v>4714</v>
      </c>
      <c r="AI19" s="35" t="s">
        <v>17252</v>
      </c>
      <c r="AJ19" s="62" t="str">
        <f>MID('I kw.22'!W19,8,6)</f>
        <v>241304</v>
      </c>
      <c r="AK19" s="62">
        <v>1</v>
      </c>
      <c r="AL19" s="62">
        <f t="shared" si="0"/>
        <v>1</v>
      </c>
      <c r="AM19" s="62">
        <v>1</v>
      </c>
    </row>
    <row r="20" spans="1:39" x14ac:dyDescent="0.25">
      <c r="A20" s="35" t="s">
        <v>8026</v>
      </c>
      <c r="B20" s="35" t="s">
        <v>869</v>
      </c>
      <c r="C20" s="35" t="s">
        <v>6617</v>
      </c>
      <c r="D20" s="35" t="s">
        <v>16073</v>
      </c>
      <c r="E20" s="35" t="s">
        <v>233</v>
      </c>
      <c r="F20" s="62">
        <v>1</v>
      </c>
      <c r="G20" s="30" t="s">
        <v>193</v>
      </c>
      <c r="H20" s="30" t="s">
        <v>194</v>
      </c>
      <c r="I20" s="30" t="s">
        <v>16066</v>
      </c>
      <c r="J20" s="35" t="s">
        <v>253</v>
      </c>
      <c r="K20" s="35">
        <v>18</v>
      </c>
      <c r="L20" s="35" t="s">
        <v>6955</v>
      </c>
      <c r="M20" s="35"/>
      <c r="N20" s="35" t="s">
        <v>17586</v>
      </c>
      <c r="O20" s="35" t="s">
        <v>6266</v>
      </c>
      <c r="P20" s="35" t="s">
        <v>17585</v>
      </c>
      <c r="Q20" s="35" t="s">
        <v>16052</v>
      </c>
      <c r="R20" s="35" t="s">
        <v>16641</v>
      </c>
      <c r="S20" s="35">
        <v>2425810</v>
      </c>
      <c r="T20" s="35">
        <v>34544332</v>
      </c>
      <c r="U20" s="35"/>
      <c r="V20" s="30">
        <v>1811</v>
      </c>
      <c r="W20" s="35" t="s">
        <v>990</v>
      </c>
      <c r="X20" s="35" t="s">
        <v>194</v>
      </c>
      <c r="Y20" s="30">
        <v>1</v>
      </c>
      <c r="Z20" s="35"/>
      <c r="AA20" s="35"/>
      <c r="AB20" s="35"/>
      <c r="AC20" s="35"/>
      <c r="AD20" s="35"/>
      <c r="AE20" s="35"/>
      <c r="AF20" s="35"/>
      <c r="AG20" s="35"/>
      <c r="AH20" s="30" t="s">
        <v>4714</v>
      </c>
      <c r="AI20" s="35" t="s">
        <v>869</v>
      </c>
      <c r="AJ20" s="62" t="str">
        <f>MID('I kw.22'!W20,8,6)</f>
        <v>833202</v>
      </c>
      <c r="AK20" s="62">
        <v>1</v>
      </c>
      <c r="AL20" s="62">
        <f t="shared" si="0"/>
        <v>1</v>
      </c>
      <c r="AM20" s="62">
        <v>1</v>
      </c>
    </row>
    <row r="21" spans="1:39" x14ac:dyDescent="0.25">
      <c r="A21" s="35" t="s">
        <v>1060</v>
      </c>
      <c r="B21" s="35" t="s">
        <v>2124</v>
      </c>
      <c r="C21" s="35" t="s">
        <v>13</v>
      </c>
      <c r="D21" s="35" t="s">
        <v>16073</v>
      </c>
      <c r="E21" s="35" t="s">
        <v>233</v>
      </c>
      <c r="F21" s="62">
        <v>1</v>
      </c>
      <c r="G21" s="30" t="s">
        <v>193</v>
      </c>
      <c r="H21" s="30" t="s">
        <v>194</v>
      </c>
      <c r="I21" s="30" t="s">
        <v>16078</v>
      </c>
      <c r="J21" s="35" t="s">
        <v>253</v>
      </c>
      <c r="K21" s="35">
        <v>18</v>
      </c>
      <c r="L21" s="35" t="s">
        <v>6955</v>
      </c>
      <c r="M21" s="35"/>
      <c r="N21" s="35" t="s">
        <v>17584</v>
      </c>
      <c r="O21" s="35" t="s">
        <v>6306</v>
      </c>
      <c r="P21" s="35" t="s">
        <v>17578</v>
      </c>
      <c r="Q21" s="35" t="s">
        <v>16052</v>
      </c>
      <c r="R21" s="35" t="s">
        <v>17583</v>
      </c>
      <c r="S21" s="35">
        <v>2425907</v>
      </c>
      <c r="T21" s="35">
        <v>34544432</v>
      </c>
      <c r="U21" s="35"/>
      <c r="V21" s="30">
        <v>1811</v>
      </c>
      <c r="W21" s="35" t="s">
        <v>2125</v>
      </c>
      <c r="X21" s="35" t="s">
        <v>194</v>
      </c>
      <c r="Y21" s="30">
        <v>1</v>
      </c>
      <c r="Z21" s="35"/>
      <c r="AA21" s="35"/>
      <c r="AB21" s="35"/>
      <c r="AC21" s="35"/>
      <c r="AD21" s="35"/>
      <c r="AE21" s="35"/>
      <c r="AF21" s="35"/>
      <c r="AG21" s="35"/>
      <c r="AH21" s="30" t="s">
        <v>4714</v>
      </c>
      <c r="AI21" s="35" t="s">
        <v>2124</v>
      </c>
      <c r="AJ21" s="62" t="str">
        <f>MID('I kw.22'!W21,8,6)</f>
        <v>225101</v>
      </c>
      <c r="AK21" s="62">
        <v>1</v>
      </c>
      <c r="AL21" s="62">
        <f t="shared" si="0"/>
        <v>1</v>
      </c>
      <c r="AM21" s="62">
        <v>1</v>
      </c>
    </row>
    <row r="22" spans="1:39" x14ac:dyDescent="0.25">
      <c r="A22" s="35" t="s">
        <v>1060</v>
      </c>
      <c r="B22" s="35" t="s">
        <v>2124</v>
      </c>
      <c r="C22" s="35" t="s">
        <v>13</v>
      </c>
      <c r="D22" s="35" t="s">
        <v>16073</v>
      </c>
      <c r="E22" s="35" t="s">
        <v>233</v>
      </c>
      <c r="F22" s="62">
        <v>1</v>
      </c>
      <c r="G22" s="30" t="s">
        <v>193</v>
      </c>
      <c r="H22" s="30" t="s">
        <v>194</v>
      </c>
      <c r="I22" s="30" t="s">
        <v>16078</v>
      </c>
      <c r="J22" s="35" t="s">
        <v>253</v>
      </c>
      <c r="K22" s="35">
        <v>18</v>
      </c>
      <c r="L22" s="35" t="s">
        <v>6955</v>
      </c>
      <c r="M22" s="35"/>
      <c r="N22" s="35" t="s">
        <v>17582</v>
      </c>
      <c r="O22" s="35" t="s">
        <v>6306</v>
      </c>
      <c r="P22" s="35" t="s">
        <v>17578</v>
      </c>
      <c r="Q22" s="35" t="s">
        <v>16052</v>
      </c>
      <c r="R22" s="35" t="s">
        <v>16061</v>
      </c>
      <c r="S22" s="35">
        <v>2425910</v>
      </c>
      <c r="T22" s="35">
        <v>34544435</v>
      </c>
      <c r="U22" s="35"/>
      <c r="V22" s="30">
        <v>1811</v>
      </c>
      <c r="W22" s="35" t="s">
        <v>2125</v>
      </c>
      <c r="X22" s="35" t="s">
        <v>194</v>
      </c>
      <c r="Y22" s="30">
        <v>1</v>
      </c>
      <c r="Z22" s="35"/>
      <c r="AA22" s="35"/>
      <c r="AB22" s="35"/>
      <c r="AC22" s="35"/>
      <c r="AD22" s="35"/>
      <c r="AE22" s="35"/>
      <c r="AF22" s="35"/>
      <c r="AG22" s="35"/>
      <c r="AH22" s="30" t="s">
        <v>4714</v>
      </c>
      <c r="AI22" s="35" t="s">
        <v>2124</v>
      </c>
      <c r="AJ22" s="62" t="str">
        <f>MID('I kw.22'!W22,8,6)</f>
        <v>225101</v>
      </c>
      <c r="AK22" s="62">
        <v>1</v>
      </c>
      <c r="AL22" s="62">
        <f t="shared" si="0"/>
        <v>1</v>
      </c>
      <c r="AM22" s="62">
        <v>1</v>
      </c>
    </row>
    <row r="23" spans="1:39" x14ac:dyDescent="0.25">
      <c r="A23" s="35" t="s">
        <v>4762</v>
      </c>
      <c r="B23" s="35" t="s">
        <v>1024</v>
      </c>
      <c r="C23" s="35" t="s">
        <v>4763</v>
      </c>
      <c r="D23" s="35" t="s">
        <v>16073</v>
      </c>
      <c r="E23" s="35" t="s">
        <v>233</v>
      </c>
      <c r="F23" s="62">
        <v>1</v>
      </c>
      <c r="G23" s="30" t="s">
        <v>193</v>
      </c>
      <c r="H23" s="30" t="s">
        <v>194</v>
      </c>
      <c r="I23" s="30" t="s">
        <v>16048</v>
      </c>
      <c r="J23" s="35" t="s">
        <v>210</v>
      </c>
      <c r="K23" s="35">
        <v>18</v>
      </c>
      <c r="L23" s="35" t="s">
        <v>6955</v>
      </c>
      <c r="M23" s="35"/>
      <c r="N23" s="35" t="s">
        <v>17581</v>
      </c>
      <c r="O23" s="35" t="s">
        <v>6306</v>
      </c>
      <c r="P23" s="35" t="s">
        <v>17578</v>
      </c>
      <c r="Q23" s="35" t="s">
        <v>16052</v>
      </c>
      <c r="R23" s="35" t="s">
        <v>16061</v>
      </c>
      <c r="S23" s="35">
        <v>2425953</v>
      </c>
      <c r="T23" s="35">
        <v>34544478</v>
      </c>
      <c r="U23" s="35"/>
      <c r="V23" s="30">
        <v>1863</v>
      </c>
      <c r="W23" s="35" t="s">
        <v>1339</v>
      </c>
      <c r="X23" s="35" t="s">
        <v>194</v>
      </c>
      <c r="Y23" s="30">
        <v>1</v>
      </c>
      <c r="Z23" s="35"/>
      <c r="AA23" s="35"/>
      <c r="AB23" s="35"/>
      <c r="AC23" s="35"/>
      <c r="AD23" s="35"/>
      <c r="AE23" s="35"/>
      <c r="AF23" s="35"/>
      <c r="AG23" s="35"/>
      <c r="AH23" s="30" t="s">
        <v>4714</v>
      </c>
      <c r="AI23" s="35" t="s">
        <v>1024</v>
      </c>
      <c r="AJ23" s="62" t="str">
        <f>MID('I kw.22'!W23,8,6)</f>
        <v>325511</v>
      </c>
      <c r="AK23" s="62">
        <v>1</v>
      </c>
      <c r="AL23" s="62">
        <f t="shared" si="0"/>
        <v>1</v>
      </c>
      <c r="AM23" s="62">
        <v>1</v>
      </c>
    </row>
    <row r="24" spans="1:39" x14ac:dyDescent="0.25">
      <c r="A24" s="35" t="s">
        <v>17580</v>
      </c>
      <c r="B24" s="35" t="s">
        <v>17577</v>
      </c>
      <c r="C24" s="35" t="s">
        <v>46</v>
      </c>
      <c r="D24" s="35" t="s">
        <v>16073</v>
      </c>
      <c r="E24" s="35" t="s">
        <v>233</v>
      </c>
      <c r="F24" s="62">
        <v>1</v>
      </c>
      <c r="G24" s="30" t="s">
        <v>193</v>
      </c>
      <c r="H24" s="30" t="s">
        <v>194</v>
      </c>
      <c r="I24" s="30" t="s">
        <v>16078</v>
      </c>
      <c r="J24" s="35" t="s">
        <v>210</v>
      </c>
      <c r="K24" s="35">
        <v>18</v>
      </c>
      <c r="L24" s="35" t="s">
        <v>6955</v>
      </c>
      <c r="M24" s="35"/>
      <c r="N24" s="35" t="s">
        <v>17579</v>
      </c>
      <c r="O24" s="35" t="s">
        <v>6261</v>
      </c>
      <c r="P24" s="35" t="s">
        <v>17578</v>
      </c>
      <c r="Q24" s="35" t="s">
        <v>16304</v>
      </c>
      <c r="R24" s="35" t="s">
        <v>16397</v>
      </c>
      <c r="S24" s="35">
        <v>2425993</v>
      </c>
      <c r="T24" s="35">
        <v>34544519</v>
      </c>
      <c r="U24" s="35"/>
      <c r="V24" s="30">
        <v>1863</v>
      </c>
      <c r="W24" s="35" t="s">
        <v>510</v>
      </c>
      <c r="X24" s="35" t="s">
        <v>194</v>
      </c>
      <c r="Y24" s="30">
        <v>1</v>
      </c>
      <c r="Z24" s="35"/>
      <c r="AA24" s="35"/>
      <c r="AB24" s="35"/>
      <c r="AC24" s="35"/>
      <c r="AD24" s="35"/>
      <c r="AE24" s="35"/>
      <c r="AF24" s="35"/>
      <c r="AG24" s="35"/>
      <c r="AH24" s="30" t="s">
        <v>4714</v>
      </c>
      <c r="AI24" s="35" t="s">
        <v>17577</v>
      </c>
      <c r="AJ24" s="62" t="str">
        <f>MID('I kw.22'!W24,8,6)</f>
        <v>252201</v>
      </c>
      <c r="AK24" s="62">
        <v>1</v>
      </c>
      <c r="AL24" s="62">
        <f t="shared" si="0"/>
        <v>1</v>
      </c>
      <c r="AM24" s="62">
        <v>1</v>
      </c>
    </row>
    <row r="25" spans="1:39" x14ac:dyDescent="0.25">
      <c r="A25" s="35" t="s">
        <v>17576</v>
      </c>
      <c r="B25" s="35" t="s">
        <v>17575</v>
      </c>
      <c r="C25" s="35" t="s">
        <v>3764</v>
      </c>
      <c r="D25" s="35" t="s">
        <v>16073</v>
      </c>
      <c r="E25" s="35" t="s">
        <v>217</v>
      </c>
      <c r="F25" s="62">
        <v>1</v>
      </c>
      <c r="G25" s="30" t="s">
        <v>193</v>
      </c>
      <c r="H25" s="30" t="s">
        <v>194</v>
      </c>
      <c r="I25" s="30" t="s">
        <v>16121</v>
      </c>
      <c r="J25" s="35" t="s">
        <v>17574</v>
      </c>
      <c r="K25" s="35">
        <v>18</v>
      </c>
      <c r="L25" s="35" t="s">
        <v>6955</v>
      </c>
      <c r="M25" s="35"/>
      <c r="N25" s="35" t="s">
        <v>17573</v>
      </c>
      <c r="O25" s="35" t="s">
        <v>6327</v>
      </c>
      <c r="P25" s="35" t="s">
        <v>17572</v>
      </c>
      <c r="Q25" s="35" t="s">
        <v>4849</v>
      </c>
      <c r="R25" s="35" t="s">
        <v>7703</v>
      </c>
      <c r="S25" s="35">
        <v>2426061</v>
      </c>
      <c r="T25" s="35">
        <v>34578314</v>
      </c>
      <c r="U25" s="35"/>
      <c r="V25" s="30"/>
      <c r="W25" s="505" t="s">
        <v>3765</v>
      </c>
      <c r="X25" s="35" t="s">
        <v>193</v>
      </c>
      <c r="Y25" s="30">
        <v>25</v>
      </c>
      <c r="Z25" s="35"/>
      <c r="AA25" s="35"/>
      <c r="AB25" s="35"/>
      <c r="AC25" s="35"/>
      <c r="AD25" s="35"/>
      <c r="AE25" s="35"/>
      <c r="AF25" s="35"/>
      <c r="AG25" s="35"/>
      <c r="AH25" s="30" t="s">
        <v>4714</v>
      </c>
      <c r="AI25" s="35" t="s">
        <v>9433</v>
      </c>
      <c r="AJ25" s="62" t="str">
        <f>MID('I kw.22'!W25,8,6)</f>
        <v>314207</v>
      </c>
      <c r="AK25" s="62">
        <v>1</v>
      </c>
      <c r="AL25" s="62">
        <f t="shared" si="0"/>
        <v>1</v>
      </c>
      <c r="AM25" s="62">
        <v>1</v>
      </c>
    </row>
    <row r="26" spans="1:39" x14ac:dyDescent="0.25">
      <c r="A26" s="35" t="s">
        <v>16325</v>
      </c>
      <c r="B26" s="35" t="s">
        <v>16334</v>
      </c>
      <c r="C26" s="35" t="s">
        <v>10</v>
      </c>
      <c r="D26" s="35" t="s">
        <v>16073</v>
      </c>
      <c r="E26" s="35" t="s">
        <v>217</v>
      </c>
      <c r="F26" s="62">
        <v>1</v>
      </c>
      <c r="G26" s="30" t="s">
        <v>194</v>
      </c>
      <c r="H26" s="30" t="s">
        <v>193</v>
      </c>
      <c r="I26" s="30" t="s">
        <v>16121</v>
      </c>
      <c r="J26" s="506" t="s">
        <v>13289</v>
      </c>
      <c r="K26" s="35">
        <v>18</v>
      </c>
      <c r="L26" s="35" t="s">
        <v>6955</v>
      </c>
      <c r="M26" s="35"/>
      <c r="N26" s="35" t="s">
        <v>16333</v>
      </c>
      <c r="O26" s="35" t="s">
        <v>6261</v>
      </c>
      <c r="P26" s="35" t="s">
        <v>17561</v>
      </c>
      <c r="Q26" s="35" t="s">
        <v>16049</v>
      </c>
      <c r="R26" s="35" t="s">
        <v>16078</v>
      </c>
      <c r="S26" s="35">
        <v>2426066</v>
      </c>
      <c r="T26" s="35">
        <v>34578319</v>
      </c>
      <c r="U26" s="35"/>
      <c r="V26" s="30"/>
      <c r="W26" s="505" t="s">
        <v>484</v>
      </c>
      <c r="X26" s="35" t="s">
        <v>194</v>
      </c>
      <c r="Y26" s="30">
        <v>0</v>
      </c>
      <c r="Z26" s="35"/>
      <c r="AA26" s="35"/>
      <c r="AB26" s="35"/>
      <c r="AC26" s="35"/>
      <c r="AD26" s="35"/>
      <c r="AE26" s="35"/>
      <c r="AF26" s="35"/>
      <c r="AG26" s="35"/>
      <c r="AH26" s="30" t="s">
        <v>4714</v>
      </c>
      <c r="AI26" s="35" t="s">
        <v>9433</v>
      </c>
      <c r="AJ26" s="62" t="str">
        <f>MID('I kw.22'!W26,8,6)</f>
        <v>251401</v>
      </c>
      <c r="AK26" s="62">
        <v>1</v>
      </c>
      <c r="AL26" s="62">
        <f t="shared" si="0"/>
        <v>1</v>
      </c>
      <c r="AM26" s="62">
        <v>1</v>
      </c>
    </row>
    <row r="27" spans="1:39" x14ac:dyDescent="0.25">
      <c r="A27" s="35" t="s">
        <v>16325</v>
      </c>
      <c r="B27" s="35" t="s">
        <v>16332</v>
      </c>
      <c r="C27" s="35" t="s">
        <v>1384</v>
      </c>
      <c r="D27" s="35" t="s">
        <v>16073</v>
      </c>
      <c r="E27" s="35" t="s">
        <v>217</v>
      </c>
      <c r="F27" s="62">
        <v>1</v>
      </c>
      <c r="G27" s="30" t="s">
        <v>194</v>
      </c>
      <c r="H27" s="30" t="s">
        <v>193</v>
      </c>
      <c r="I27" s="30" t="s">
        <v>16183</v>
      </c>
      <c r="J27" s="35" t="s">
        <v>16331</v>
      </c>
      <c r="K27" s="35">
        <v>18</v>
      </c>
      <c r="L27" s="35" t="s">
        <v>6955</v>
      </c>
      <c r="M27" s="35"/>
      <c r="N27" s="35" t="s">
        <v>16330</v>
      </c>
      <c r="O27" s="35" t="s">
        <v>6921</v>
      </c>
      <c r="P27" s="35" t="s">
        <v>17571</v>
      </c>
      <c r="Q27" s="35" t="s">
        <v>16329</v>
      </c>
      <c r="R27" s="35" t="s">
        <v>16448</v>
      </c>
      <c r="S27" s="35">
        <v>2426077</v>
      </c>
      <c r="T27" s="35">
        <v>34578330</v>
      </c>
      <c r="U27" s="35"/>
      <c r="V27" s="30"/>
      <c r="W27" s="505" t="s">
        <v>1385</v>
      </c>
      <c r="X27" s="35" t="s">
        <v>194</v>
      </c>
      <c r="Y27" s="30">
        <v>0</v>
      </c>
      <c r="Z27" s="35"/>
      <c r="AA27" s="35"/>
      <c r="AB27" s="35"/>
      <c r="AC27" s="35"/>
      <c r="AD27" s="35"/>
      <c r="AE27" s="35"/>
      <c r="AF27" s="35"/>
      <c r="AG27" s="35"/>
      <c r="AH27" s="30" t="s">
        <v>4714</v>
      </c>
      <c r="AI27" s="35" t="s">
        <v>9433</v>
      </c>
      <c r="AJ27" s="62" t="str">
        <f>MID('I kw.22'!W27,8,6)</f>
        <v>235915</v>
      </c>
      <c r="AK27" s="62">
        <v>1</v>
      </c>
      <c r="AL27" s="62">
        <f t="shared" si="0"/>
        <v>1</v>
      </c>
      <c r="AM27" s="62">
        <v>1</v>
      </c>
    </row>
    <row r="28" spans="1:39" x14ac:dyDescent="0.25">
      <c r="A28" s="35" t="s">
        <v>4022</v>
      </c>
      <c r="B28" s="35" t="s">
        <v>16327</v>
      </c>
      <c r="C28" s="35" t="s">
        <v>542</v>
      </c>
      <c r="D28" s="35" t="s">
        <v>16073</v>
      </c>
      <c r="E28" s="35" t="s">
        <v>217</v>
      </c>
      <c r="F28" s="62">
        <v>1</v>
      </c>
      <c r="G28" s="30" t="s">
        <v>193</v>
      </c>
      <c r="H28" s="30" t="s">
        <v>194</v>
      </c>
      <c r="I28" s="30" t="s">
        <v>16121</v>
      </c>
      <c r="J28" s="35" t="s">
        <v>15466</v>
      </c>
      <c r="K28" s="35">
        <v>18</v>
      </c>
      <c r="L28" s="35" t="s">
        <v>6955</v>
      </c>
      <c r="M28" s="35"/>
      <c r="N28" s="35" t="s">
        <v>16326</v>
      </c>
      <c r="O28" s="35" t="s">
        <v>6286</v>
      </c>
      <c r="P28" s="35" t="s">
        <v>17561</v>
      </c>
      <c r="Q28" s="35" t="s">
        <v>16304</v>
      </c>
      <c r="R28" s="35" t="s">
        <v>16121</v>
      </c>
      <c r="S28" s="35">
        <v>2426103</v>
      </c>
      <c r="T28" s="35">
        <v>34578356</v>
      </c>
      <c r="U28" s="35"/>
      <c r="V28" s="30"/>
      <c r="W28" s="505" t="s">
        <v>543</v>
      </c>
      <c r="X28" s="35" t="s">
        <v>193</v>
      </c>
      <c r="Y28" s="30">
        <v>25</v>
      </c>
      <c r="Z28" s="35"/>
      <c r="AA28" s="35"/>
      <c r="AB28" s="35"/>
      <c r="AC28" s="35"/>
      <c r="AD28" s="35"/>
      <c r="AE28" s="35"/>
      <c r="AF28" s="35"/>
      <c r="AG28" s="35"/>
      <c r="AH28" s="30" t="s">
        <v>4714</v>
      </c>
      <c r="AI28" s="35" t="s">
        <v>9433</v>
      </c>
      <c r="AJ28" s="62" t="str">
        <f>MID('I kw.22'!W28,8,6)</f>
        <v>264304</v>
      </c>
      <c r="AK28" s="62">
        <v>1</v>
      </c>
      <c r="AL28" s="62">
        <f t="shared" si="0"/>
        <v>1</v>
      </c>
      <c r="AM28" s="62">
        <v>1</v>
      </c>
    </row>
    <row r="29" spans="1:39" x14ac:dyDescent="0.25">
      <c r="A29" s="35" t="s">
        <v>16325</v>
      </c>
      <c r="B29" s="35" t="s">
        <v>16324</v>
      </c>
      <c r="C29" s="35" t="s">
        <v>10</v>
      </c>
      <c r="D29" s="35" t="s">
        <v>16073</v>
      </c>
      <c r="E29" s="35" t="s">
        <v>217</v>
      </c>
      <c r="F29" s="62">
        <v>1</v>
      </c>
      <c r="G29" s="30" t="s">
        <v>194</v>
      </c>
      <c r="H29" s="30" t="s">
        <v>193</v>
      </c>
      <c r="I29" s="30" t="s">
        <v>16048</v>
      </c>
      <c r="J29" s="506" t="s">
        <v>13289</v>
      </c>
      <c r="K29" s="35">
        <v>18</v>
      </c>
      <c r="L29" s="35" t="s">
        <v>6955</v>
      </c>
      <c r="M29" s="35"/>
      <c r="N29" s="35" t="s">
        <v>16323</v>
      </c>
      <c r="O29" s="35" t="s">
        <v>6261</v>
      </c>
      <c r="P29" s="35" t="s">
        <v>17561</v>
      </c>
      <c r="Q29" s="35" t="s">
        <v>16049</v>
      </c>
      <c r="R29" s="35" t="s">
        <v>16078</v>
      </c>
      <c r="S29" s="35">
        <v>2426133</v>
      </c>
      <c r="T29" s="35">
        <v>34578386</v>
      </c>
      <c r="U29" s="35"/>
      <c r="V29" s="30"/>
      <c r="W29" s="505" t="s">
        <v>484</v>
      </c>
      <c r="X29" s="35" t="s">
        <v>194</v>
      </c>
      <c r="Y29" s="30">
        <v>0</v>
      </c>
      <c r="Z29" s="35"/>
      <c r="AA29" s="35"/>
      <c r="AB29" s="35"/>
      <c r="AC29" s="35"/>
      <c r="AD29" s="35"/>
      <c r="AE29" s="35"/>
      <c r="AF29" s="35"/>
      <c r="AG29" s="35"/>
      <c r="AH29" s="30" t="s">
        <v>4714</v>
      </c>
      <c r="AI29" s="35" t="s">
        <v>9433</v>
      </c>
      <c r="AJ29" s="62" t="str">
        <f>MID('I kw.22'!W29,8,6)</f>
        <v>251401</v>
      </c>
      <c r="AK29" s="62">
        <v>1</v>
      </c>
      <c r="AL29" s="62">
        <f t="shared" si="0"/>
        <v>1</v>
      </c>
      <c r="AM29" s="62">
        <v>1</v>
      </c>
    </row>
    <row r="30" spans="1:39" x14ac:dyDescent="0.25">
      <c r="A30" s="35" t="s">
        <v>11415</v>
      </c>
      <c r="B30" s="35" t="s">
        <v>8016</v>
      </c>
      <c r="C30" s="35" t="s">
        <v>99</v>
      </c>
      <c r="D30" s="35" t="s">
        <v>16073</v>
      </c>
      <c r="E30" s="35" t="s">
        <v>217</v>
      </c>
      <c r="F30" s="62">
        <v>1</v>
      </c>
      <c r="G30" s="30" t="s">
        <v>193</v>
      </c>
      <c r="H30" s="30" t="s">
        <v>194</v>
      </c>
      <c r="I30" s="30" t="s">
        <v>16121</v>
      </c>
      <c r="J30" s="35" t="s">
        <v>210</v>
      </c>
      <c r="K30" s="35">
        <v>18</v>
      </c>
      <c r="L30" s="35" t="s">
        <v>6955</v>
      </c>
      <c r="M30" s="35"/>
      <c r="N30" s="35" t="s">
        <v>16320</v>
      </c>
      <c r="O30" s="35" t="s">
        <v>6286</v>
      </c>
      <c r="P30" s="35" t="s">
        <v>17561</v>
      </c>
      <c r="Q30" s="35" t="s">
        <v>16304</v>
      </c>
      <c r="R30" s="35" t="s">
        <v>16121</v>
      </c>
      <c r="S30" s="35">
        <v>2426196</v>
      </c>
      <c r="T30" s="35">
        <v>34578449</v>
      </c>
      <c r="U30" s="35"/>
      <c r="V30" s="30">
        <v>1863</v>
      </c>
      <c r="W30" s="35" t="s">
        <v>2421</v>
      </c>
      <c r="X30" s="35" t="s">
        <v>194</v>
      </c>
      <c r="Y30" s="30">
        <v>1</v>
      </c>
      <c r="Z30" s="35"/>
      <c r="AA30" s="35"/>
      <c r="AB30" s="35"/>
      <c r="AC30" s="35"/>
      <c r="AD30" s="35"/>
      <c r="AE30" s="35"/>
      <c r="AF30" s="35"/>
      <c r="AG30" s="35"/>
      <c r="AH30" s="30" t="s">
        <v>4714</v>
      </c>
      <c r="AI30" s="35" t="s">
        <v>9433</v>
      </c>
      <c r="AJ30" s="62" t="str">
        <f>MID('I kw.22'!W30,8,6)</f>
        <v>412001</v>
      </c>
      <c r="AK30" s="62">
        <v>1</v>
      </c>
      <c r="AL30" s="62">
        <f t="shared" si="0"/>
        <v>1</v>
      </c>
      <c r="AM30" s="62">
        <v>1</v>
      </c>
    </row>
    <row r="31" spans="1:39" x14ac:dyDescent="0.25">
      <c r="A31" s="35" t="s">
        <v>1207</v>
      </c>
      <c r="B31" s="35" t="s">
        <v>16909</v>
      </c>
      <c r="C31" s="35" t="s">
        <v>4966</v>
      </c>
      <c r="D31" s="35" t="s">
        <v>16073</v>
      </c>
      <c r="E31" s="35" t="s">
        <v>217</v>
      </c>
      <c r="F31" s="62">
        <v>1</v>
      </c>
      <c r="G31" s="30" t="s">
        <v>193</v>
      </c>
      <c r="H31" s="30" t="s">
        <v>194</v>
      </c>
      <c r="I31" s="30" t="s">
        <v>16061</v>
      </c>
      <c r="J31" s="35" t="s">
        <v>210</v>
      </c>
      <c r="K31" s="35">
        <v>18</v>
      </c>
      <c r="L31" s="35" t="s">
        <v>6955</v>
      </c>
      <c r="M31" s="35"/>
      <c r="N31" s="35" t="s">
        <v>17570</v>
      </c>
      <c r="O31" s="35" t="s">
        <v>6251</v>
      </c>
      <c r="P31" s="35" t="s">
        <v>17561</v>
      </c>
      <c r="Q31" s="35" t="s">
        <v>16304</v>
      </c>
      <c r="R31" s="35" t="s">
        <v>17569</v>
      </c>
      <c r="S31" s="35">
        <v>2426236</v>
      </c>
      <c r="T31" s="35">
        <v>34578489</v>
      </c>
      <c r="U31" s="35"/>
      <c r="V31" s="30">
        <v>1863</v>
      </c>
      <c r="W31" s="35" t="s">
        <v>405</v>
      </c>
      <c r="X31" s="35" t="s">
        <v>194</v>
      </c>
      <c r="Y31" s="30">
        <v>1</v>
      </c>
      <c r="Z31" s="35"/>
      <c r="AA31" s="35"/>
      <c r="AB31" s="35"/>
      <c r="AC31" s="35"/>
      <c r="AD31" s="35"/>
      <c r="AE31" s="35"/>
      <c r="AF31" s="35"/>
      <c r="AG31" s="35"/>
      <c r="AH31" s="30" t="s">
        <v>4714</v>
      </c>
      <c r="AI31" s="35" t="s">
        <v>9433</v>
      </c>
      <c r="AJ31" s="62" t="str">
        <f>MID('I kw.22'!W31,8,6)</f>
        <v>241304</v>
      </c>
      <c r="AK31" s="62">
        <v>1</v>
      </c>
      <c r="AL31" s="62">
        <f t="shared" si="0"/>
        <v>1</v>
      </c>
      <c r="AM31" s="62">
        <v>1</v>
      </c>
    </row>
    <row r="32" spans="1:39" x14ac:dyDescent="0.25">
      <c r="A32" s="35" t="s">
        <v>581</v>
      </c>
      <c r="B32" s="35" t="s">
        <v>17568</v>
      </c>
      <c r="C32" s="35" t="s">
        <v>62</v>
      </c>
      <c r="D32" s="35" t="s">
        <v>16073</v>
      </c>
      <c r="E32" s="35" t="s">
        <v>217</v>
      </c>
      <c r="F32" s="62">
        <v>1</v>
      </c>
      <c r="G32" s="30" t="s">
        <v>193</v>
      </c>
      <c r="H32" s="30" t="s">
        <v>194</v>
      </c>
      <c r="I32" s="30" t="s">
        <v>16078</v>
      </c>
      <c r="J32" s="35" t="s">
        <v>253</v>
      </c>
      <c r="K32" s="35">
        <v>18</v>
      </c>
      <c r="L32" s="35" t="s">
        <v>6955</v>
      </c>
      <c r="M32" s="35"/>
      <c r="N32" s="35" t="s">
        <v>17567</v>
      </c>
      <c r="O32" s="35" t="s">
        <v>6269</v>
      </c>
      <c r="P32" s="35" t="s">
        <v>17561</v>
      </c>
      <c r="Q32" s="35" t="s">
        <v>17560</v>
      </c>
      <c r="R32" s="35" t="s">
        <v>16253</v>
      </c>
      <c r="S32" s="35">
        <v>2426250</v>
      </c>
      <c r="T32" s="35">
        <v>34578503</v>
      </c>
      <c r="U32" s="35"/>
      <c r="V32" s="30">
        <v>1811</v>
      </c>
      <c r="W32" s="35" t="s">
        <v>601</v>
      </c>
      <c r="X32" s="35" t="s">
        <v>194</v>
      </c>
      <c r="Y32" s="30">
        <v>1</v>
      </c>
      <c r="Z32" s="35"/>
      <c r="AA32" s="35"/>
      <c r="AB32" s="35"/>
      <c r="AC32" s="35"/>
      <c r="AD32" s="35"/>
      <c r="AE32" s="35"/>
      <c r="AF32" s="35"/>
      <c r="AG32" s="35"/>
      <c r="AH32" s="30" t="s">
        <v>4714</v>
      </c>
      <c r="AI32" s="35" t="s">
        <v>9433</v>
      </c>
      <c r="AJ32" s="62" t="str">
        <f>MID('I kw.22'!W32,8,6)</f>
        <v>313904</v>
      </c>
      <c r="AK32" s="62">
        <v>1</v>
      </c>
      <c r="AL32" s="62">
        <f t="shared" si="0"/>
        <v>1</v>
      </c>
      <c r="AM32" s="62">
        <v>1</v>
      </c>
    </row>
    <row r="33" spans="1:39" x14ac:dyDescent="0.25">
      <c r="A33" s="35" t="s">
        <v>17157</v>
      </c>
      <c r="B33" s="35" t="s">
        <v>17156</v>
      </c>
      <c r="C33" s="35" t="s">
        <v>62</v>
      </c>
      <c r="D33" s="35" t="s">
        <v>16073</v>
      </c>
      <c r="E33" s="35" t="s">
        <v>217</v>
      </c>
      <c r="F33" s="62">
        <v>1</v>
      </c>
      <c r="G33" s="30" t="s">
        <v>193</v>
      </c>
      <c r="H33" s="30" t="s">
        <v>194</v>
      </c>
      <c r="I33" s="30" t="s">
        <v>16048</v>
      </c>
      <c r="J33" s="35" t="s">
        <v>210</v>
      </c>
      <c r="K33" s="35">
        <v>18</v>
      </c>
      <c r="L33" s="35" t="s">
        <v>6955</v>
      </c>
      <c r="M33" s="35"/>
      <c r="N33" s="35" t="s">
        <v>17155</v>
      </c>
      <c r="O33" s="35" t="s">
        <v>6275</v>
      </c>
      <c r="P33" s="35" t="s">
        <v>17561</v>
      </c>
      <c r="Q33" s="35" t="s">
        <v>16304</v>
      </c>
      <c r="R33" s="35" t="s">
        <v>17154</v>
      </c>
      <c r="S33" s="35">
        <v>2426255</v>
      </c>
      <c r="T33" s="35">
        <v>34578508</v>
      </c>
      <c r="U33" s="35"/>
      <c r="V33" s="30">
        <v>1863</v>
      </c>
      <c r="W33" s="35" t="s">
        <v>601</v>
      </c>
      <c r="X33" s="35" t="s">
        <v>194</v>
      </c>
      <c r="Y33" s="30">
        <v>1</v>
      </c>
      <c r="Z33" s="35"/>
      <c r="AA33" s="35"/>
      <c r="AB33" s="35"/>
      <c r="AC33" s="35"/>
      <c r="AD33" s="35"/>
      <c r="AE33" s="35"/>
      <c r="AF33" s="35"/>
      <c r="AG33" s="35"/>
      <c r="AH33" s="30" t="s">
        <v>4714</v>
      </c>
      <c r="AI33" s="35" t="s">
        <v>9433</v>
      </c>
      <c r="AJ33" s="62" t="str">
        <f>MID('I kw.22'!W33,8,6)</f>
        <v>313904</v>
      </c>
      <c r="AK33" s="62">
        <v>1</v>
      </c>
      <c r="AL33" s="62">
        <f t="shared" si="0"/>
        <v>1</v>
      </c>
      <c r="AM33" s="62">
        <v>1</v>
      </c>
    </row>
    <row r="34" spans="1:39" x14ac:dyDescent="0.25">
      <c r="A34" s="35" t="s">
        <v>15464</v>
      </c>
      <c r="B34" s="35" t="s">
        <v>16319</v>
      </c>
      <c r="C34" s="35" t="s">
        <v>17</v>
      </c>
      <c r="D34" s="35" t="s">
        <v>16073</v>
      </c>
      <c r="E34" s="35" t="s">
        <v>217</v>
      </c>
      <c r="F34" s="62">
        <v>1</v>
      </c>
      <c r="G34" s="30" t="s">
        <v>193</v>
      </c>
      <c r="H34" s="30" t="s">
        <v>194</v>
      </c>
      <c r="I34" s="30" t="s">
        <v>16121</v>
      </c>
      <c r="J34" s="35" t="s">
        <v>210</v>
      </c>
      <c r="K34" s="35">
        <v>18</v>
      </c>
      <c r="L34" s="35" t="s">
        <v>6955</v>
      </c>
      <c r="M34" s="35"/>
      <c r="N34" s="35" t="s">
        <v>17566</v>
      </c>
      <c r="O34" s="35" t="s">
        <v>6269</v>
      </c>
      <c r="P34" s="35" t="s">
        <v>17561</v>
      </c>
      <c r="Q34" s="35" t="s">
        <v>16383</v>
      </c>
      <c r="R34" s="35" t="s">
        <v>17565</v>
      </c>
      <c r="S34" s="35">
        <v>2426266</v>
      </c>
      <c r="T34" s="35">
        <v>34578519</v>
      </c>
      <c r="U34" s="35"/>
      <c r="V34" s="30">
        <v>1863</v>
      </c>
      <c r="W34" s="35" t="s">
        <v>624</v>
      </c>
      <c r="X34" s="35" t="s">
        <v>194</v>
      </c>
      <c r="Y34" s="30">
        <v>1</v>
      </c>
      <c r="Z34" s="35"/>
      <c r="AA34" s="35"/>
      <c r="AB34" s="35"/>
      <c r="AC34" s="35"/>
      <c r="AD34" s="35"/>
      <c r="AE34" s="35"/>
      <c r="AF34" s="35"/>
      <c r="AG34" s="35"/>
      <c r="AH34" s="30" t="s">
        <v>4714</v>
      </c>
      <c r="AI34" s="35" t="s">
        <v>9433</v>
      </c>
      <c r="AJ34" s="62" t="str">
        <f>MID('I kw.22'!W34,8,6)</f>
        <v>332203</v>
      </c>
      <c r="AK34" s="62">
        <v>1</v>
      </c>
      <c r="AL34" s="62">
        <f t="shared" si="0"/>
        <v>1</v>
      </c>
      <c r="AM34" s="62">
        <v>1</v>
      </c>
    </row>
    <row r="35" spans="1:39" x14ac:dyDescent="0.25">
      <c r="A35" s="35" t="s">
        <v>581</v>
      </c>
      <c r="B35" s="35" t="s">
        <v>14020</v>
      </c>
      <c r="C35" s="35" t="s">
        <v>62</v>
      </c>
      <c r="D35" s="35" t="s">
        <v>16073</v>
      </c>
      <c r="E35" s="35" t="s">
        <v>217</v>
      </c>
      <c r="F35" s="62">
        <v>1</v>
      </c>
      <c r="G35" s="30" t="s">
        <v>193</v>
      </c>
      <c r="H35" s="30" t="s">
        <v>194</v>
      </c>
      <c r="I35" s="30" t="s">
        <v>16066</v>
      </c>
      <c r="J35" s="35" t="s">
        <v>253</v>
      </c>
      <c r="K35" s="35">
        <v>18</v>
      </c>
      <c r="L35" s="35" t="s">
        <v>6955</v>
      </c>
      <c r="M35" s="35"/>
      <c r="N35" s="35" t="s">
        <v>16764</v>
      </c>
      <c r="O35" s="35" t="s">
        <v>6275</v>
      </c>
      <c r="P35" s="35" t="s">
        <v>17561</v>
      </c>
      <c r="Q35" s="35" t="s">
        <v>16845</v>
      </c>
      <c r="R35" s="35" t="s">
        <v>16066</v>
      </c>
      <c r="S35" s="35">
        <v>2426303</v>
      </c>
      <c r="T35" s="35">
        <v>34578556</v>
      </c>
      <c r="U35" s="35"/>
      <c r="V35" s="30">
        <v>1811</v>
      </c>
      <c r="W35" s="35" t="s">
        <v>601</v>
      </c>
      <c r="X35" s="35" t="s">
        <v>194</v>
      </c>
      <c r="Y35" s="30">
        <v>1</v>
      </c>
      <c r="Z35" s="35"/>
      <c r="AA35" s="35"/>
      <c r="AB35" s="35"/>
      <c r="AC35" s="35"/>
      <c r="AD35" s="35"/>
      <c r="AE35" s="35"/>
      <c r="AF35" s="35"/>
      <c r="AG35" s="35"/>
      <c r="AH35" s="30" t="s">
        <v>4714</v>
      </c>
      <c r="AI35" s="35" t="s">
        <v>9433</v>
      </c>
      <c r="AJ35" s="62" t="str">
        <f>MID('I kw.22'!W35,8,6)</f>
        <v>313904</v>
      </c>
      <c r="AK35" s="62">
        <v>1</v>
      </c>
      <c r="AL35" s="62">
        <f t="shared" si="0"/>
        <v>1</v>
      </c>
      <c r="AM35" s="62">
        <v>1</v>
      </c>
    </row>
    <row r="36" spans="1:39" x14ac:dyDescent="0.25">
      <c r="A36" s="35" t="s">
        <v>581</v>
      </c>
      <c r="B36" s="35" t="s">
        <v>17153</v>
      </c>
      <c r="C36" s="35" t="s">
        <v>62</v>
      </c>
      <c r="D36" s="35" t="s">
        <v>16073</v>
      </c>
      <c r="E36" s="35" t="s">
        <v>217</v>
      </c>
      <c r="F36" s="62">
        <v>1</v>
      </c>
      <c r="G36" s="30" t="s">
        <v>193</v>
      </c>
      <c r="H36" s="30" t="s">
        <v>194</v>
      </c>
      <c r="I36" s="30" t="s">
        <v>16066</v>
      </c>
      <c r="J36" s="35" t="s">
        <v>253</v>
      </c>
      <c r="K36" s="35">
        <v>18</v>
      </c>
      <c r="L36" s="35" t="s">
        <v>6955</v>
      </c>
      <c r="M36" s="35"/>
      <c r="N36" s="35" t="s">
        <v>17152</v>
      </c>
      <c r="O36" s="35" t="s">
        <v>6275</v>
      </c>
      <c r="P36" s="35" t="s">
        <v>17561</v>
      </c>
      <c r="Q36" s="35" t="s">
        <v>17560</v>
      </c>
      <c r="R36" s="35" t="s">
        <v>16392</v>
      </c>
      <c r="S36" s="35">
        <v>2426320</v>
      </c>
      <c r="T36" s="35">
        <v>34578573</v>
      </c>
      <c r="U36" s="35"/>
      <c r="V36" s="30">
        <v>1811</v>
      </c>
      <c r="W36" s="35" t="s">
        <v>601</v>
      </c>
      <c r="X36" s="35" t="s">
        <v>194</v>
      </c>
      <c r="Y36" s="30">
        <v>1</v>
      </c>
      <c r="Z36" s="35"/>
      <c r="AA36" s="35"/>
      <c r="AB36" s="35"/>
      <c r="AC36" s="35"/>
      <c r="AD36" s="35"/>
      <c r="AE36" s="35"/>
      <c r="AF36" s="35"/>
      <c r="AG36" s="35"/>
      <c r="AH36" s="30" t="s">
        <v>4714</v>
      </c>
      <c r="AI36" s="35" t="s">
        <v>9433</v>
      </c>
      <c r="AJ36" s="62" t="str">
        <f>MID('I kw.22'!W36,8,6)</f>
        <v>313904</v>
      </c>
      <c r="AK36" s="62">
        <v>1</v>
      </c>
      <c r="AL36" s="62">
        <f t="shared" si="0"/>
        <v>1</v>
      </c>
      <c r="AM36" s="62">
        <v>1</v>
      </c>
    </row>
    <row r="37" spans="1:39" x14ac:dyDescent="0.25">
      <c r="A37" s="35" t="s">
        <v>17564</v>
      </c>
      <c r="B37" s="35" t="s">
        <v>14</v>
      </c>
      <c r="C37" s="35" t="s">
        <v>14</v>
      </c>
      <c r="D37" s="35" t="s">
        <v>16073</v>
      </c>
      <c r="E37" s="35" t="s">
        <v>217</v>
      </c>
      <c r="F37" s="62">
        <v>1</v>
      </c>
      <c r="G37" s="30" t="s">
        <v>193</v>
      </c>
      <c r="H37" s="30" t="s">
        <v>194</v>
      </c>
      <c r="I37" s="30" t="s">
        <v>16121</v>
      </c>
      <c r="J37" s="35" t="s">
        <v>210</v>
      </c>
      <c r="K37" s="35">
        <v>18</v>
      </c>
      <c r="L37" s="35" t="s">
        <v>6955</v>
      </c>
      <c r="M37" s="35"/>
      <c r="N37" s="35" t="s">
        <v>17563</v>
      </c>
      <c r="O37" s="35" t="s">
        <v>6462</v>
      </c>
      <c r="P37" s="35" t="s">
        <v>17260</v>
      </c>
      <c r="Q37" s="35" t="s">
        <v>16052</v>
      </c>
      <c r="R37" s="35" t="s">
        <v>17562</v>
      </c>
      <c r="S37" s="35">
        <v>2426364</v>
      </c>
      <c r="T37" s="35">
        <v>34578617</v>
      </c>
      <c r="U37" s="35"/>
      <c r="V37" s="30">
        <v>1863</v>
      </c>
      <c r="W37" s="35" t="s">
        <v>1859</v>
      </c>
      <c r="X37" s="35" t="s">
        <v>194</v>
      </c>
      <c r="Y37" s="30">
        <v>1</v>
      </c>
      <c r="Z37" s="35"/>
      <c r="AA37" s="35"/>
      <c r="AB37" s="35"/>
      <c r="AC37" s="35"/>
      <c r="AD37" s="35"/>
      <c r="AE37" s="35"/>
      <c r="AF37" s="35"/>
      <c r="AG37" s="35"/>
      <c r="AH37" s="30" t="s">
        <v>4714</v>
      </c>
      <c r="AI37" s="35" t="s">
        <v>14</v>
      </c>
      <c r="AJ37" s="62" t="str">
        <f>MID('I kw.22'!W37,8,6)</f>
        <v>264201</v>
      </c>
      <c r="AK37" s="62">
        <v>1</v>
      </c>
      <c r="AL37" s="62">
        <f t="shared" si="0"/>
        <v>1</v>
      </c>
      <c r="AM37" s="62">
        <v>1</v>
      </c>
    </row>
    <row r="38" spans="1:39" x14ac:dyDescent="0.25">
      <c r="A38" s="35" t="s">
        <v>4022</v>
      </c>
      <c r="B38" s="35" t="s">
        <v>8022</v>
      </c>
      <c r="C38" s="35" t="s">
        <v>7617</v>
      </c>
      <c r="D38" s="35" t="s">
        <v>16073</v>
      </c>
      <c r="E38" s="35" t="s">
        <v>217</v>
      </c>
      <c r="F38" s="62">
        <v>1</v>
      </c>
      <c r="G38" s="30" t="s">
        <v>193</v>
      </c>
      <c r="H38" s="30" t="s">
        <v>194</v>
      </c>
      <c r="I38" s="30" t="s">
        <v>16121</v>
      </c>
      <c r="J38" s="35" t="s">
        <v>210</v>
      </c>
      <c r="K38" s="35">
        <v>18</v>
      </c>
      <c r="L38" s="35" t="s">
        <v>6955</v>
      </c>
      <c r="M38" s="35"/>
      <c r="N38" s="35" t="s">
        <v>16312</v>
      </c>
      <c r="O38" s="35" t="s">
        <v>6290</v>
      </c>
      <c r="P38" s="35" t="s">
        <v>17561</v>
      </c>
      <c r="Q38" s="35" t="s">
        <v>16304</v>
      </c>
      <c r="R38" s="35" t="s">
        <v>16121</v>
      </c>
      <c r="S38" s="35">
        <v>2426439</v>
      </c>
      <c r="T38" s="35">
        <v>34578692</v>
      </c>
      <c r="U38" s="35"/>
      <c r="V38" s="30">
        <v>1863</v>
      </c>
      <c r="W38" s="35" t="s">
        <v>7620</v>
      </c>
      <c r="X38" s="35" t="s">
        <v>194</v>
      </c>
      <c r="Y38" s="30">
        <v>1</v>
      </c>
      <c r="Z38" s="35"/>
      <c r="AA38" s="35"/>
      <c r="AB38" s="35"/>
      <c r="AC38" s="35"/>
      <c r="AD38" s="35"/>
      <c r="AE38" s="35"/>
      <c r="AF38" s="35"/>
      <c r="AG38" s="35"/>
      <c r="AH38" s="30" t="s">
        <v>4714</v>
      </c>
      <c r="AI38" s="35" t="s">
        <v>9433</v>
      </c>
      <c r="AJ38" s="62" t="str">
        <f>MID('I kw.22'!W38,8,6)</f>
        <v>516903</v>
      </c>
      <c r="AK38" s="62">
        <v>1</v>
      </c>
      <c r="AL38" s="62">
        <f t="shared" si="0"/>
        <v>1</v>
      </c>
      <c r="AM38" s="62">
        <v>1</v>
      </c>
    </row>
    <row r="39" spans="1:39" x14ac:dyDescent="0.25">
      <c r="A39" s="35" t="s">
        <v>17151</v>
      </c>
      <c r="B39" s="35" t="s">
        <v>17150</v>
      </c>
      <c r="C39" s="35" t="s">
        <v>43</v>
      </c>
      <c r="D39" s="35" t="s">
        <v>16073</v>
      </c>
      <c r="E39" s="35" t="s">
        <v>217</v>
      </c>
      <c r="F39" s="62">
        <v>1</v>
      </c>
      <c r="G39" s="30" t="s">
        <v>193</v>
      </c>
      <c r="H39" s="30" t="s">
        <v>194</v>
      </c>
      <c r="I39" s="30" t="s">
        <v>16048</v>
      </c>
      <c r="J39" s="35" t="s">
        <v>301</v>
      </c>
      <c r="K39" s="35">
        <v>18</v>
      </c>
      <c r="L39" s="35" t="s">
        <v>6955</v>
      </c>
      <c r="M39" s="35"/>
      <c r="N39" s="35" t="s">
        <v>17149</v>
      </c>
      <c r="O39" s="35" t="s">
        <v>6249</v>
      </c>
      <c r="P39" s="35" t="s">
        <v>17561</v>
      </c>
      <c r="Q39" s="35" t="s">
        <v>17560</v>
      </c>
      <c r="R39" s="35" t="s">
        <v>17147</v>
      </c>
      <c r="S39" s="35">
        <v>2426452</v>
      </c>
      <c r="T39" s="35">
        <v>34578705</v>
      </c>
      <c r="U39" s="35"/>
      <c r="V39" s="30">
        <v>1810</v>
      </c>
      <c r="W39" s="35" t="s">
        <v>452</v>
      </c>
      <c r="X39" s="35" t="s">
        <v>194</v>
      </c>
      <c r="Y39" s="30">
        <v>1</v>
      </c>
      <c r="Z39" s="35"/>
      <c r="AA39" s="35"/>
      <c r="AB39" s="35"/>
      <c r="AC39" s="35"/>
      <c r="AD39" s="35"/>
      <c r="AE39" s="35"/>
      <c r="AF39" s="35"/>
      <c r="AG39" s="35"/>
      <c r="AH39" s="30" t="s">
        <v>4714</v>
      </c>
      <c r="AI39" s="35" t="s">
        <v>9433</v>
      </c>
      <c r="AJ39" s="62" t="str">
        <f>MID('I kw.22'!W39,8,6)</f>
        <v>243106</v>
      </c>
      <c r="AK39" s="62">
        <v>1</v>
      </c>
      <c r="AL39" s="62">
        <f t="shared" si="0"/>
        <v>1</v>
      </c>
      <c r="AM39" s="62">
        <v>1</v>
      </c>
    </row>
    <row r="40" spans="1:39" x14ac:dyDescent="0.25">
      <c r="A40" s="35" t="s">
        <v>14121</v>
      </c>
      <c r="B40" s="35" t="s">
        <v>17558</v>
      </c>
      <c r="C40" s="35" t="s">
        <v>16355</v>
      </c>
      <c r="D40" s="35" t="s">
        <v>16073</v>
      </c>
      <c r="E40" s="35" t="s">
        <v>192</v>
      </c>
      <c r="F40" s="62">
        <v>1</v>
      </c>
      <c r="G40" s="30" t="s">
        <v>193</v>
      </c>
      <c r="H40" s="30" t="s">
        <v>194</v>
      </c>
      <c r="I40" s="30" t="s">
        <v>16061</v>
      </c>
      <c r="J40" s="35" t="s">
        <v>9302</v>
      </c>
      <c r="K40" s="35">
        <v>18</v>
      </c>
      <c r="L40" s="35" t="s">
        <v>6955</v>
      </c>
      <c r="M40" s="35"/>
      <c r="N40" s="35" t="s">
        <v>17559</v>
      </c>
      <c r="O40" s="35" t="s">
        <v>7531</v>
      </c>
      <c r="P40" s="35" t="s">
        <v>17244</v>
      </c>
      <c r="Q40" s="35" t="s">
        <v>16304</v>
      </c>
      <c r="R40" s="35" t="s">
        <v>17040</v>
      </c>
      <c r="S40" s="35">
        <v>2426532</v>
      </c>
      <c r="T40" s="35">
        <v>34578858</v>
      </c>
      <c r="U40" s="35"/>
      <c r="V40" s="30"/>
      <c r="W40" s="505" t="s">
        <v>508</v>
      </c>
      <c r="X40" s="35" t="s">
        <v>193</v>
      </c>
      <c r="Y40" s="30">
        <v>25</v>
      </c>
      <c r="Z40" s="35"/>
      <c r="AA40" s="35"/>
      <c r="AB40" s="35"/>
      <c r="AC40" s="35"/>
      <c r="AD40" s="35"/>
      <c r="AE40" s="35"/>
      <c r="AF40" s="35"/>
      <c r="AG40" s="35"/>
      <c r="AH40" s="30" t="s">
        <v>4714</v>
      </c>
      <c r="AI40" s="35" t="s">
        <v>17558</v>
      </c>
      <c r="AJ40" s="62" t="str">
        <f>MID('I kw.22'!W40,8,6)</f>
        <v>252102</v>
      </c>
      <c r="AK40" s="62">
        <v>1</v>
      </c>
      <c r="AL40" s="62">
        <f t="shared" si="0"/>
        <v>1</v>
      </c>
      <c r="AM40" s="62">
        <v>1</v>
      </c>
    </row>
    <row r="41" spans="1:39" x14ac:dyDescent="0.25">
      <c r="A41" s="35" t="s">
        <v>17557</v>
      </c>
      <c r="B41" s="35" t="s">
        <v>17553</v>
      </c>
      <c r="C41" s="35" t="s">
        <v>17556</v>
      </c>
      <c r="D41" s="35" t="s">
        <v>16073</v>
      </c>
      <c r="E41" s="35" t="s">
        <v>192</v>
      </c>
      <c r="F41" s="62">
        <v>1</v>
      </c>
      <c r="G41" s="30" t="s">
        <v>193</v>
      </c>
      <c r="H41" s="30" t="s">
        <v>194</v>
      </c>
      <c r="I41" s="30" t="s">
        <v>16078</v>
      </c>
      <c r="J41" s="35" t="s">
        <v>9302</v>
      </c>
      <c r="K41" s="35">
        <v>18</v>
      </c>
      <c r="L41" s="35" t="s">
        <v>6955</v>
      </c>
      <c r="M41" s="35"/>
      <c r="N41" s="35" t="s">
        <v>17555</v>
      </c>
      <c r="O41" s="35" t="s">
        <v>6254</v>
      </c>
      <c r="P41" s="35" t="s">
        <v>17244</v>
      </c>
      <c r="Q41" s="35" t="s">
        <v>16304</v>
      </c>
      <c r="R41" s="35" t="s">
        <v>17040</v>
      </c>
      <c r="S41" s="35">
        <v>2426554</v>
      </c>
      <c r="T41" s="35">
        <v>34578880</v>
      </c>
      <c r="U41" s="35"/>
      <c r="V41" s="30"/>
      <c r="W41" s="505" t="s">
        <v>17554</v>
      </c>
      <c r="X41" s="35" t="s">
        <v>193</v>
      </c>
      <c r="Y41" s="30">
        <v>25</v>
      </c>
      <c r="Z41" s="35"/>
      <c r="AA41" s="35"/>
      <c r="AB41" s="35"/>
      <c r="AC41" s="35"/>
      <c r="AD41" s="35"/>
      <c r="AE41" s="35"/>
      <c r="AF41" s="35"/>
      <c r="AG41" s="35"/>
      <c r="AH41" s="30" t="s">
        <v>4714</v>
      </c>
      <c r="AI41" s="35" t="s">
        <v>17553</v>
      </c>
      <c r="AJ41" s="62" t="str">
        <f>MID('I kw.22'!W41,8,6)</f>
        <v>241309</v>
      </c>
      <c r="AK41" s="62">
        <v>1</v>
      </c>
      <c r="AL41" s="62">
        <f t="shared" si="0"/>
        <v>1</v>
      </c>
      <c r="AM41" s="62">
        <v>1</v>
      </c>
    </row>
    <row r="42" spans="1:39" x14ac:dyDescent="0.25">
      <c r="A42" s="35" t="s">
        <v>17552</v>
      </c>
      <c r="B42" s="35" t="s">
        <v>17550</v>
      </c>
      <c r="C42" s="35" t="s">
        <v>778</v>
      </c>
      <c r="D42" s="35" t="s">
        <v>16073</v>
      </c>
      <c r="E42" s="35" t="s">
        <v>192</v>
      </c>
      <c r="F42" s="62">
        <v>1</v>
      </c>
      <c r="G42" s="30" t="s">
        <v>193</v>
      </c>
      <c r="H42" s="30" t="s">
        <v>194</v>
      </c>
      <c r="I42" s="30" t="s">
        <v>16121</v>
      </c>
      <c r="J42" s="35" t="s">
        <v>9302</v>
      </c>
      <c r="K42" s="35">
        <v>18</v>
      </c>
      <c r="L42" s="35" t="s">
        <v>6955</v>
      </c>
      <c r="M42" s="35"/>
      <c r="N42" s="35" t="s">
        <v>17551</v>
      </c>
      <c r="O42" s="35" t="s">
        <v>6251</v>
      </c>
      <c r="P42" s="35" t="s">
        <v>17244</v>
      </c>
      <c r="Q42" s="35" t="s">
        <v>16304</v>
      </c>
      <c r="R42" s="35" t="s">
        <v>17040</v>
      </c>
      <c r="S42" s="35">
        <v>2426570</v>
      </c>
      <c r="T42" s="35">
        <v>34578896</v>
      </c>
      <c r="U42" s="35"/>
      <c r="V42" s="30"/>
      <c r="W42" s="505" t="s">
        <v>779</v>
      </c>
      <c r="X42" s="35" t="s">
        <v>193</v>
      </c>
      <c r="Y42" s="30">
        <v>25</v>
      </c>
      <c r="Z42" s="35"/>
      <c r="AA42" s="35"/>
      <c r="AB42" s="35"/>
      <c r="AC42" s="35"/>
      <c r="AD42" s="35"/>
      <c r="AE42" s="35"/>
      <c r="AF42" s="35"/>
      <c r="AG42" s="35"/>
      <c r="AH42" s="30" t="s">
        <v>4714</v>
      </c>
      <c r="AI42" s="35" t="s">
        <v>17550</v>
      </c>
      <c r="AJ42" s="62" t="str">
        <f>MID('I kw.22'!W42,8,6)</f>
        <v>524902</v>
      </c>
      <c r="AK42" s="62">
        <v>1</v>
      </c>
      <c r="AL42" s="62">
        <f t="shared" si="0"/>
        <v>1</v>
      </c>
      <c r="AM42" s="62">
        <v>1</v>
      </c>
    </row>
    <row r="43" spans="1:39" x14ac:dyDescent="0.25">
      <c r="A43" s="35" t="s">
        <v>17549</v>
      </c>
      <c r="B43" s="35" t="s">
        <v>17547</v>
      </c>
      <c r="C43" s="35" t="s">
        <v>17</v>
      </c>
      <c r="D43" s="35" t="s">
        <v>16073</v>
      </c>
      <c r="E43" s="35" t="s">
        <v>192</v>
      </c>
      <c r="F43" s="62">
        <v>1</v>
      </c>
      <c r="G43" s="30" t="s">
        <v>193</v>
      </c>
      <c r="H43" s="30" t="s">
        <v>194</v>
      </c>
      <c r="I43" s="30" t="s">
        <v>16078</v>
      </c>
      <c r="J43" s="35" t="s">
        <v>9302</v>
      </c>
      <c r="K43" s="35">
        <v>18</v>
      </c>
      <c r="L43" s="35" t="s">
        <v>6955</v>
      </c>
      <c r="M43" s="35"/>
      <c r="N43" s="35" t="s">
        <v>17548</v>
      </c>
      <c r="O43" s="35" t="s">
        <v>6302</v>
      </c>
      <c r="P43" s="35" t="s">
        <v>17244</v>
      </c>
      <c r="Q43" s="35" t="s">
        <v>16304</v>
      </c>
      <c r="R43" s="35" t="s">
        <v>17040</v>
      </c>
      <c r="S43" s="35">
        <v>2426592</v>
      </c>
      <c r="T43" s="35">
        <v>34578918</v>
      </c>
      <c r="U43" s="35"/>
      <c r="V43" s="30"/>
      <c r="W43" s="505" t="s">
        <v>624</v>
      </c>
      <c r="X43" s="35" t="s">
        <v>193</v>
      </c>
      <c r="Y43" s="30">
        <v>25</v>
      </c>
      <c r="Z43" s="35"/>
      <c r="AA43" s="35"/>
      <c r="AB43" s="35"/>
      <c r="AC43" s="35"/>
      <c r="AD43" s="35"/>
      <c r="AE43" s="35"/>
      <c r="AF43" s="35"/>
      <c r="AG43" s="35"/>
      <c r="AH43" s="30" t="s">
        <v>4714</v>
      </c>
      <c r="AI43" s="35" t="s">
        <v>17547</v>
      </c>
      <c r="AJ43" s="62" t="str">
        <f>MID('I kw.22'!W43,8,6)</f>
        <v>332203</v>
      </c>
      <c r="AK43" s="62">
        <v>1</v>
      </c>
      <c r="AL43" s="62">
        <f t="shared" si="0"/>
        <v>1</v>
      </c>
      <c r="AM43" s="62">
        <v>1</v>
      </c>
    </row>
    <row r="44" spans="1:39" x14ac:dyDescent="0.25">
      <c r="A44" s="35" t="s">
        <v>14121</v>
      </c>
      <c r="B44" s="35" t="s">
        <v>17545</v>
      </c>
      <c r="C44" s="35" t="s">
        <v>10</v>
      </c>
      <c r="D44" s="35" t="s">
        <v>16073</v>
      </c>
      <c r="E44" s="35" t="s">
        <v>192</v>
      </c>
      <c r="F44" s="62">
        <v>1</v>
      </c>
      <c r="G44" s="30" t="s">
        <v>193</v>
      </c>
      <c r="H44" s="30" t="s">
        <v>194</v>
      </c>
      <c r="I44" s="30" t="s">
        <v>16121</v>
      </c>
      <c r="J44" s="35" t="s">
        <v>9302</v>
      </c>
      <c r="K44" s="35">
        <v>18</v>
      </c>
      <c r="L44" s="35" t="s">
        <v>6955</v>
      </c>
      <c r="M44" s="35"/>
      <c r="N44" s="35" t="s">
        <v>17546</v>
      </c>
      <c r="O44" s="35" t="s">
        <v>7531</v>
      </c>
      <c r="P44" s="35" t="s">
        <v>17244</v>
      </c>
      <c r="Q44" s="35" t="s">
        <v>16304</v>
      </c>
      <c r="R44" s="35" t="s">
        <v>17040</v>
      </c>
      <c r="S44" s="35">
        <v>2426616</v>
      </c>
      <c r="T44" s="35">
        <v>34578942</v>
      </c>
      <c r="U44" s="35"/>
      <c r="V44" s="30"/>
      <c r="W44" s="505" t="s">
        <v>484</v>
      </c>
      <c r="X44" s="35" t="s">
        <v>193</v>
      </c>
      <c r="Y44" s="30">
        <v>25</v>
      </c>
      <c r="Z44" s="35"/>
      <c r="AA44" s="35"/>
      <c r="AB44" s="35"/>
      <c r="AC44" s="35"/>
      <c r="AD44" s="35"/>
      <c r="AE44" s="35"/>
      <c r="AF44" s="35"/>
      <c r="AG44" s="35"/>
      <c r="AH44" s="30" t="s">
        <v>4714</v>
      </c>
      <c r="AI44" s="35" t="s">
        <v>17545</v>
      </c>
      <c r="AJ44" s="62" t="str">
        <f>MID('I kw.22'!W44,8,6)</f>
        <v>251401</v>
      </c>
      <c r="AK44" s="62">
        <v>1</v>
      </c>
      <c r="AL44" s="62">
        <f t="shared" si="0"/>
        <v>1</v>
      </c>
      <c r="AM44" s="62">
        <v>1</v>
      </c>
    </row>
    <row r="45" spans="1:39" x14ac:dyDescent="0.25">
      <c r="A45" s="35" t="s">
        <v>14121</v>
      </c>
      <c r="B45" s="35" t="s">
        <v>17543</v>
      </c>
      <c r="C45" s="35" t="s">
        <v>37</v>
      </c>
      <c r="D45" s="35" t="s">
        <v>16073</v>
      </c>
      <c r="E45" s="35" t="s">
        <v>192</v>
      </c>
      <c r="F45" s="62">
        <v>1</v>
      </c>
      <c r="G45" s="30" t="s">
        <v>193</v>
      </c>
      <c r="H45" s="30" t="s">
        <v>194</v>
      </c>
      <c r="I45" s="30" t="s">
        <v>16066</v>
      </c>
      <c r="J45" s="35" t="s">
        <v>9302</v>
      </c>
      <c r="K45" s="35">
        <v>18</v>
      </c>
      <c r="L45" s="35" t="s">
        <v>6955</v>
      </c>
      <c r="M45" s="35"/>
      <c r="N45" s="35" t="s">
        <v>17544</v>
      </c>
      <c r="O45" s="35" t="s">
        <v>7531</v>
      </c>
      <c r="P45" s="35" t="s">
        <v>17244</v>
      </c>
      <c r="Q45" s="35" t="s">
        <v>16304</v>
      </c>
      <c r="R45" s="35" t="s">
        <v>17040</v>
      </c>
      <c r="S45" s="35">
        <v>2426632</v>
      </c>
      <c r="T45" s="35">
        <v>34578958</v>
      </c>
      <c r="U45" s="35"/>
      <c r="V45" s="30"/>
      <c r="W45" s="505" t="s">
        <v>516</v>
      </c>
      <c r="X45" s="35" t="s">
        <v>193</v>
      </c>
      <c r="Y45" s="30">
        <v>25</v>
      </c>
      <c r="Z45" s="35"/>
      <c r="AA45" s="35"/>
      <c r="AB45" s="35"/>
      <c r="AC45" s="35"/>
      <c r="AD45" s="35"/>
      <c r="AE45" s="35"/>
      <c r="AF45" s="35"/>
      <c r="AG45" s="35"/>
      <c r="AH45" s="30" t="s">
        <v>4714</v>
      </c>
      <c r="AI45" s="35" t="s">
        <v>17543</v>
      </c>
      <c r="AJ45" s="62" t="str">
        <f>MID('I kw.22'!W45,8,6)</f>
        <v>252302</v>
      </c>
      <c r="AK45" s="62">
        <v>1</v>
      </c>
      <c r="AL45" s="62">
        <f t="shared" si="0"/>
        <v>1</v>
      </c>
      <c r="AM45" s="62">
        <v>1</v>
      </c>
    </row>
    <row r="46" spans="1:39" x14ac:dyDescent="0.25">
      <c r="A46" s="35" t="s">
        <v>17542</v>
      </c>
      <c r="B46" s="35" t="s">
        <v>17540</v>
      </c>
      <c r="C46" s="35" t="s">
        <v>10</v>
      </c>
      <c r="D46" s="35" t="s">
        <v>16073</v>
      </c>
      <c r="E46" s="35" t="s">
        <v>192</v>
      </c>
      <c r="F46" s="62">
        <v>1</v>
      </c>
      <c r="G46" s="30" t="s">
        <v>193</v>
      </c>
      <c r="H46" s="30" t="s">
        <v>194</v>
      </c>
      <c r="I46" s="30" t="s">
        <v>16078</v>
      </c>
      <c r="J46" s="35" t="s">
        <v>9302</v>
      </c>
      <c r="K46" s="35">
        <v>18</v>
      </c>
      <c r="L46" s="35" t="s">
        <v>6955</v>
      </c>
      <c r="M46" s="35"/>
      <c r="N46" s="35" t="s">
        <v>17541</v>
      </c>
      <c r="O46" s="35" t="s">
        <v>6261</v>
      </c>
      <c r="P46" s="35" t="s">
        <v>17244</v>
      </c>
      <c r="Q46" s="35" t="s">
        <v>16304</v>
      </c>
      <c r="R46" s="35" t="s">
        <v>17040</v>
      </c>
      <c r="S46" s="35">
        <v>2426642</v>
      </c>
      <c r="T46" s="35">
        <v>34578968</v>
      </c>
      <c r="U46" s="35"/>
      <c r="V46" s="30"/>
      <c r="W46" s="505" t="s">
        <v>484</v>
      </c>
      <c r="X46" s="35" t="s">
        <v>193</v>
      </c>
      <c r="Y46" s="30">
        <v>25</v>
      </c>
      <c r="Z46" s="35"/>
      <c r="AA46" s="35"/>
      <c r="AB46" s="35"/>
      <c r="AC46" s="35"/>
      <c r="AD46" s="35"/>
      <c r="AE46" s="35"/>
      <c r="AF46" s="35"/>
      <c r="AG46" s="35"/>
      <c r="AH46" s="30" t="s">
        <v>4714</v>
      </c>
      <c r="AI46" s="35" t="s">
        <v>17540</v>
      </c>
      <c r="AJ46" s="62" t="str">
        <f>MID('I kw.22'!W46,8,6)</f>
        <v>251401</v>
      </c>
      <c r="AK46" s="62">
        <v>1</v>
      </c>
      <c r="AL46" s="62">
        <f t="shared" si="0"/>
        <v>1</v>
      </c>
      <c r="AM46" s="62">
        <v>1</v>
      </c>
    </row>
    <row r="47" spans="1:39" x14ac:dyDescent="0.25">
      <c r="A47" s="35" t="s">
        <v>4954</v>
      </c>
      <c r="B47" s="35" t="s">
        <v>4651</v>
      </c>
      <c r="C47" s="35" t="s">
        <v>17539</v>
      </c>
      <c r="D47" s="35" t="s">
        <v>16073</v>
      </c>
      <c r="E47" s="35" t="s">
        <v>192</v>
      </c>
      <c r="F47" s="62">
        <v>1</v>
      </c>
      <c r="G47" s="30" t="s">
        <v>193</v>
      </c>
      <c r="H47" s="30" t="s">
        <v>194</v>
      </c>
      <c r="I47" s="30" t="s">
        <v>16048</v>
      </c>
      <c r="J47" s="35" t="s">
        <v>9302</v>
      </c>
      <c r="K47" s="35">
        <v>18</v>
      </c>
      <c r="L47" s="35" t="s">
        <v>6955</v>
      </c>
      <c r="M47" s="35"/>
      <c r="N47" s="35" t="s">
        <v>17538</v>
      </c>
      <c r="O47" s="35" t="s">
        <v>7531</v>
      </c>
      <c r="P47" s="35" t="s">
        <v>17244</v>
      </c>
      <c r="Q47" s="35" t="s">
        <v>16304</v>
      </c>
      <c r="R47" s="35" t="s">
        <v>17040</v>
      </c>
      <c r="S47" s="35">
        <v>2426674</v>
      </c>
      <c r="T47" s="35">
        <v>34579000</v>
      </c>
      <c r="U47" s="35"/>
      <c r="V47" s="30"/>
      <c r="W47" s="505" t="s">
        <v>17537</v>
      </c>
      <c r="X47" s="35" t="s">
        <v>193</v>
      </c>
      <c r="Y47" s="30">
        <v>25</v>
      </c>
      <c r="Z47" s="35"/>
      <c r="AA47" s="35"/>
      <c r="AB47" s="35"/>
      <c r="AC47" s="35"/>
      <c r="AD47" s="35"/>
      <c r="AE47" s="35"/>
      <c r="AF47" s="35"/>
      <c r="AG47" s="35"/>
      <c r="AH47" s="30" t="s">
        <v>4714</v>
      </c>
      <c r="AI47" s="35" t="s">
        <v>4651</v>
      </c>
      <c r="AJ47" s="62" t="str">
        <f>MID('I kw.22'!W47,8,6)</f>
        <v>241102</v>
      </c>
      <c r="AK47" s="62">
        <v>1</v>
      </c>
      <c r="AL47" s="62">
        <f t="shared" si="0"/>
        <v>1</v>
      </c>
      <c r="AM47" s="62">
        <v>1</v>
      </c>
    </row>
    <row r="48" spans="1:39" x14ac:dyDescent="0.25">
      <c r="A48" s="35" t="s">
        <v>690</v>
      </c>
      <c r="B48" s="35" t="s">
        <v>17535</v>
      </c>
      <c r="C48" s="35" t="s">
        <v>8953</v>
      </c>
      <c r="D48" s="35" t="s">
        <v>16073</v>
      </c>
      <c r="E48" s="35" t="s">
        <v>192</v>
      </c>
      <c r="F48" s="62">
        <v>1</v>
      </c>
      <c r="G48" s="30" t="s">
        <v>193</v>
      </c>
      <c r="H48" s="30" t="s">
        <v>194</v>
      </c>
      <c r="I48" s="30" t="s">
        <v>16121</v>
      </c>
      <c r="J48" s="35" t="s">
        <v>9302</v>
      </c>
      <c r="K48" s="35">
        <v>18</v>
      </c>
      <c r="L48" s="35" t="s">
        <v>6955</v>
      </c>
      <c r="M48" s="35"/>
      <c r="N48" s="35" t="s">
        <v>17536</v>
      </c>
      <c r="O48" s="35" t="s">
        <v>6921</v>
      </c>
      <c r="P48" s="35" t="s">
        <v>17244</v>
      </c>
      <c r="Q48" s="35" t="s">
        <v>16304</v>
      </c>
      <c r="R48" s="35" t="s">
        <v>17040</v>
      </c>
      <c r="S48" s="35">
        <v>2426687</v>
      </c>
      <c r="T48" s="35">
        <v>34579013</v>
      </c>
      <c r="U48" s="35"/>
      <c r="V48" s="30"/>
      <c r="W48" s="505" t="s">
        <v>8955</v>
      </c>
      <c r="X48" s="35" t="s">
        <v>193</v>
      </c>
      <c r="Y48" s="30">
        <v>25</v>
      </c>
      <c r="Z48" s="35"/>
      <c r="AA48" s="35"/>
      <c r="AB48" s="35"/>
      <c r="AC48" s="35"/>
      <c r="AD48" s="35"/>
      <c r="AE48" s="35"/>
      <c r="AF48" s="35"/>
      <c r="AG48" s="35"/>
      <c r="AH48" s="30" t="s">
        <v>4714</v>
      </c>
      <c r="AI48" s="35" t="s">
        <v>17535</v>
      </c>
      <c r="AJ48" s="62" t="str">
        <f>MID('I kw.22'!W48,8,6)</f>
        <v>252103</v>
      </c>
      <c r="AK48" s="62">
        <v>1</v>
      </c>
      <c r="AL48" s="62">
        <f t="shared" si="0"/>
        <v>1</v>
      </c>
      <c r="AM48" s="62">
        <v>1</v>
      </c>
    </row>
    <row r="49" spans="1:39" x14ac:dyDescent="0.25">
      <c r="A49" s="35" t="s">
        <v>690</v>
      </c>
      <c r="B49" s="35" t="s">
        <v>17533</v>
      </c>
      <c r="C49" s="35" t="s">
        <v>10</v>
      </c>
      <c r="D49" s="35" t="s">
        <v>16073</v>
      </c>
      <c r="E49" s="35" t="s">
        <v>192</v>
      </c>
      <c r="F49" s="62">
        <v>1</v>
      </c>
      <c r="G49" s="30" t="s">
        <v>193</v>
      </c>
      <c r="H49" s="30" t="s">
        <v>194</v>
      </c>
      <c r="I49" s="30" t="s">
        <v>16121</v>
      </c>
      <c r="J49" s="35" t="s">
        <v>9302</v>
      </c>
      <c r="K49" s="35">
        <v>18</v>
      </c>
      <c r="L49" s="35" t="s">
        <v>6955</v>
      </c>
      <c r="M49" s="35"/>
      <c r="N49" s="35" t="s">
        <v>17534</v>
      </c>
      <c r="O49" s="35" t="s">
        <v>6921</v>
      </c>
      <c r="P49" s="35" t="s">
        <v>17244</v>
      </c>
      <c r="Q49" s="35" t="s">
        <v>16304</v>
      </c>
      <c r="R49" s="35" t="s">
        <v>17040</v>
      </c>
      <c r="S49" s="35">
        <v>2426701</v>
      </c>
      <c r="T49" s="35">
        <v>34579027</v>
      </c>
      <c r="U49" s="35"/>
      <c r="V49" s="30"/>
      <c r="W49" s="505" t="s">
        <v>484</v>
      </c>
      <c r="X49" s="35" t="s">
        <v>193</v>
      </c>
      <c r="Y49" s="30">
        <v>25</v>
      </c>
      <c r="Z49" s="35"/>
      <c r="AA49" s="35"/>
      <c r="AB49" s="35"/>
      <c r="AC49" s="35"/>
      <c r="AD49" s="35"/>
      <c r="AE49" s="35"/>
      <c r="AF49" s="35"/>
      <c r="AG49" s="35"/>
      <c r="AH49" s="30" t="s">
        <v>4714</v>
      </c>
      <c r="AI49" s="35" t="s">
        <v>17533</v>
      </c>
      <c r="AJ49" s="62" t="str">
        <f>MID('I kw.22'!W49,8,6)</f>
        <v>251401</v>
      </c>
      <c r="AK49" s="62">
        <v>1</v>
      </c>
      <c r="AL49" s="62">
        <f t="shared" si="0"/>
        <v>1</v>
      </c>
      <c r="AM49" s="62">
        <v>1</v>
      </c>
    </row>
    <row r="50" spans="1:39" x14ac:dyDescent="0.25">
      <c r="A50" s="35" t="s">
        <v>1612</v>
      </c>
      <c r="B50" s="35" t="s">
        <v>14901</v>
      </c>
      <c r="C50" s="35" t="s">
        <v>8953</v>
      </c>
      <c r="D50" s="35" t="s">
        <v>16073</v>
      </c>
      <c r="E50" s="35" t="s">
        <v>192</v>
      </c>
      <c r="F50" s="62">
        <v>1</v>
      </c>
      <c r="G50" s="30" t="s">
        <v>193</v>
      </c>
      <c r="H50" s="30" t="s">
        <v>194</v>
      </c>
      <c r="I50" s="30" t="s">
        <v>16066</v>
      </c>
      <c r="J50" s="35" t="s">
        <v>9302</v>
      </c>
      <c r="K50" s="35">
        <v>18</v>
      </c>
      <c r="L50" s="35" t="s">
        <v>6955</v>
      </c>
      <c r="M50" s="35"/>
      <c r="N50" s="35" t="s">
        <v>17532</v>
      </c>
      <c r="O50" s="35" t="s">
        <v>6261</v>
      </c>
      <c r="P50" s="35" t="s">
        <v>17244</v>
      </c>
      <c r="Q50" s="35" t="s">
        <v>16304</v>
      </c>
      <c r="R50" s="35" t="s">
        <v>17040</v>
      </c>
      <c r="S50" s="35">
        <v>2426732</v>
      </c>
      <c r="T50" s="35">
        <v>34579058</v>
      </c>
      <c r="U50" s="35"/>
      <c r="V50" s="30"/>
      <c r="W50" s="505" t="s">
        <v>8955</v>
      </c>
      <c r="X50" s="35" t="s">
        <v>193</v>
      </c>
      <c r="Y50" s="30">
        <v>25</v>
      </c>
      <c r="Z50" s="35"/>
      <c r="AA50" s="35"/>
      <c r="AB50" s="35"/>
      <c r="AC50" s="35"/>
      <c r="AD50" s="35"/>
      <c r="AE50" s="35"/>
      <c r="AF50" s="35"/>
      <c r="AG50" s="35"/>
      <c r="AH50" s="30" t="s">
        <v>4714</v>
      </c>
      <c r="AI50" s="35" t="s">
        <v>14901</v>
      </c>
      <c r="AJ50" s="62" t="str">
        <f>MID('I kw.22'!W50,8,6)</f>
        <v>252103</v>
      </c>
      <c r="AK50" s="62">
        <v>1</v>
      </c>
      <c r="AL50" s="62">
        <f t="shared" si="0"/>
        <v>1</v>
      </c>
      <c r="AM50" s="62">
        <v>1</v>
      </c>
    </row>
    <row r="51" spans="1:39" x14ac:dyDescent="0.25">
      <c r="A51" s="35" t="s">
        <v>17531</v>
      </c>
      <c r="B51" s="35" t="s">
        <v>17529</v>
      </c>
      <c r="C51" s="35" t="s">
        <v>740</v>
      </c>
      <c r="D51" s="35" t="s">
        <v>16073</v>
      </c>
      <c r="E51" s="35" t="s">
        <v>192</v>
      </c>
      <c r="F51" s="62">
        <v>1</v>
      </c>
      <c r="G51" s="30" t="s">
        <v>193</v>
      </c>
      <c r="H51" s="30" t="s">
        <v>194</v>
      </c>
      <c r="I51" s="30" t="s">
        <v>16121</v>
      </c>
      <c r="J51" s="35" t="s">
        <v>9302</v>
      </c>
      <c r="K51" s="35">
        <v>18</v>
      </c>
      <c r="L51" s="35" t="s">
        <v>6955</v>
      </c>
      <c r="M51" s="35"/>
      <c r="N51" s="35" t="s">
        <v>17530</v>
      </c>
      <c r="O51" s="35" t="s">
        <v>6286</v>
      </c>
      <c r="P51" s="35" t="s">
        <v>17244</v>
      </c>
      <c r="Q51" s="35" t="s">
        <v>16304</v>
      </c>
      <c r="R51" s="35" t="s">
        <v>17040</v>
      </c>
      <c r="S51" s="35">
        <v>2426750</v>
      </c>
      <c r="T51" s="35">
        <v>34579076</v>
      </c>
      <c r="U51" s="35"/>
      <c r="V51" s="30"/>
      <c r="W51" s="505" t="s">
        <v>741</v>
      </c>
      <c r="X51" s="35" t="s">
        <v>193</v>
      </c>
      <c r="Y51" s="30">
        <v>25</v>
      </c>
      <c r="Z51" s="35"/>
      <c r="AA51" s="35"/>
      <c r="AB51" s="35"/>
      <c r="AC51" s="35"/>
      <c r="AD51" s="35"/>
      <c r="AE51" s="35"/>
      <c r="AF51" s="35"/>
      <c r="AG51" s="35"/>
      <c r="AH51" s="30" t="s">
        <v>4714</v>
      </c>
      <c r="AI51" s="35" t="s">
        <v>17529</v>
      </c>
      <c r="AJ51" s="62" t="str">
        <f>MID('I kw.22'!W51,8,6)</f>
        <v>522301</v>
      </c>
      <c r="AK51" s="62">
        <v>1</v>
      </c>
      <c r="AL51" s="62">
        <f t="shared" si="0"/>
        <v>1</v>
      </c>
      <c r="AM51" s="62">
        <v>1</v>
      </c>
    </row>
    <row r="52" spans="1:39" x14ac:dyDescent="0.25">
      <c r="A52" s="35" t="s">
        <v>1612</v>
      </c>
      <c r="B52" s="35" t="s">
        <v>17527</v>
      </c>
      <c r="C52" s="35" t="s">
        <v>16355</v>
      </c>
      <c r="D52" s="35" t="s">
        <v>16073</v>
      </c>
      <c r="E52" s="35" t="s">
        <v>192</v>
      </c>
      <c r="F52" s="62">
        <v>1</v>
      </c>
      <c r="G52" s="30" t="s">
        <v>193</v>
      </c>
      <c r="H52" s="30" t="s">
        <v>194</v>
      </c>
      <c r="I52" s="30" t="s">
        <v>16066</v>
      </c>
      <c r="J52" s="35" t="s">
        <v>9302</v>
      </c>
      <c r="K52" s="35">
        <v>18</v>
      </c>
      <c r="L52" s="35" t="s">
        <v>6955</v>
      </c>
      <c r="M52" s="35"/>
      <c r="N52" s="35" t="s">
        <v>17528</v>
      </c>
      <c r="O52" s="35" t="s">
        <v>6295</v>
      </c>
      <c r="P52" s="35" t="s">
        <v>17244</v>
      </c>
      <c r="Q52" s="35" t="s">
        <v>16304</v>
      </c>
      <c r="R52" s="35" t="s">
        <v>17040</v>
      </c>
      <c r="S52" s="35">
        <v>2426766</v>
      </c>
      <c r="T52" s="35">
        <v>34579092</v>
      </c>
      <c r="U52" s="35"/>
      <c r="V52" s="30"/>
      <c r="W52" s="505" t="s">
        <v>508</v>
      </c>
      <c r="X52" s="35" t="s">
        <v>193</v>
      </c>
      <c r="Y52" s="30">
        <v>25</v>
      </c>
      <c r="Z52" s="35"/>
      <c r="AA52" s="35"/>
      <c r="AB52" s="35"/>
      <c r="AC52" s="35"/>
      <c r="AD52" s="35"/>
      <c r="AE52" s="35"/>
      <c r="AF52" s="35"/>
      <c r="AG52" s="35"/>
      <c r="AH52" s="30" t="s">
        <v>4714</v>
      </c>
      <c r="AI52" s="35" t="s">
        <v>17527</v>
      </c>
      <c r="AJ52" s="62" t="str">
        <f>MID('I kw.22'!W52,8,6)</f>
        <v>252102</v>
      </c>
      <c r="AK52" s="62">
        <v>1</v>
      </c>
      <c r="AL52" s="62">
        <f t="shared" si="0"/>
        <v>1</v>
      </c>
      <c r="AM52" s="62">
        <v>1</v>
      </c>
    </row>
    <row r="53" spans="1:39" x14ac:dyDescent="0.25">
      <c r="A53" s="35" t="s">
        <v>1612</v>
      </c>
      <c r="B53" s="35" t="s">
        <v>17525</v>
      </c>
      <c r="C53" s="35" t="s">
        <v>8953</v>
      </c>
      <c r="D53" s="35" t="s">
        <v>16073</v>
      </c>
      <c r="E53" s="35" t="s">
        <v>192</v>
      </c>
      <c r="F53" s="62">
        <v>1</v>
      </c>
      <c r="G53" s="30" t="s">
        <v>193</v>
      </c>
      <c r="H53" s="30" t="s">
        <v>194</v>
      </c>
      <c r="I53" s="30" t="s">
        <v>16066</v>
      </c>
      <c r="J53" s="35" t="s">
        <v>9302</v>
      </c>
      <c r="K53" s="35">
        <v>18</v>
      </c>
      <c r="L53" s="35" t="s">
        <v>6955</v>
      </c>
      <c r="M53" s="35"/>
      <c r="N53" s="35" t="s">
        <v>17526</v>
      </c>
      <c r="O53" s="35" t="s">
        <v>6295</v>
      </c>
      <c r="P53" s="35" t="s">
        <v>17244</v>
      </c>
      <c r="Q53" s="35" t="s">
        <v>16304</v>
      </c>
      <c r="R53" s="35" t="s">
        <v>17040</v>
      </c>
      <c r="S53" s="35">
        <v>2426781</v>
      </c>
      <c r="T53" s="35">
        <v>34579107</v>
      </c>
      <c r="U53" s="35"/>
      <c r="V53" s="30"/>
      <c r="W53" s="505" t="s">
        <v>8955</v>
      </c>
      <c r="X53" s="35" t="s">
        <v>193</v>
      </c>
      <c r="Y53" s="30">
        <v>25</v>
      </c>
      <c r="Z53" s="35"/>
      <c r="AA53" s="35"/>
      <c r="AB53" s="35"/>
      <c r="AC53" s="35"/>
      <c r="AD53" s="35"/>
      <c r="AE53" s="35"/>
      <c r="AF53" s="35"/>
      <c r="AG53" s="35"/>
      <c r="AH53" s="30" t="s">
        <v>4714</v>
      </c>
      <c r="AI53" s="35" t="s">
        <v>17525</v>
      </c>
      <c r="AJ53" s="62" t="str">
        <f>MID('I kw.22'!W53,8,6)</f>
        <v>252103</v>
      </c>
      <c r="AK53" s="62">
        <v>1</v>
      </c>
      <c r="AL53" s="62">
        <f t="shared" si="0"/>
        <v>1</v>
      </c>
      <c r="AM53" s="62">
        <v>1</v>
      </c>
    </row>
    <row r="54" spans="1:39" x14ac:dyDescent="0.25">
      <c r="A54" s="35" t="s">
        <v>690</v>
      </c>
      <c r="B54" s="35" t="s">
        <v>17523</v>
      </c>
      <c r="C54" s="35" t="s">
        <v>10</v>
      </c>
      <c r="D54" s="35" t="s">
        <v>16073</v>
      </c>
      <c r="E54" s="35" t="s">
        <v>192</v>
      </c>
      <c r="F54" s="62">
        <v>1</v>
      </c>
      <c r="G54" s="30" t="s">
        <v>193</v>
      </c>
      <c r="H54" s="30" t="s">
        <v>194</v>
      </c>
      <c r="I54" s="30" t="s">
        <v>16121</v>
      </c>
      <c r="J54" s="35" t="s">
        <v>9302</v>
      </c>
      <c r="K54" s="35">
        <v>18</v>
      </c>
      <c r="L54" s="35" t="s">
        <v>6955</v>
      </c>
      <c r="M54" s="35"/>
      <c r="N54" s="35" t="s">
        <v>17524</v>
      </c>
      <c r="O54" s="35" t="s">
        <v>6921</v>
      </c>
      <c r="P54" s="35" t="s">
        <v>17244</v>
      </c>
      <c r="Q54" s="35" t="s">
        <v>16304</v>
      </c>
      <c r="R54" s="35" t="s">
        <v>17040</v>
      </c>
      <c r="S54" s="35">
        <v>2426796</v>
      </c>
      <c r="T54" s="35">
        <v>34579122</v>
      </c>
      <c r="U54" s="35"/>
      <c r="V54" s="30"/>
      <c r="W54" s="505" t="s">
        <v>484</v>
      </c>
      <c r="X54" s="35" t="s">
        <v>193</v>
      </c>
      <c r="Y54" s="30">
        <v>25</v>
      </c>
      <c r="Z54" s="35"/>
      <c r="AA54" s="35"/>
      <c r="AB54" s="35"/>
      <c r="AC54" s="35"/>
      <c r="AD54" s="35"/>
      <c r="AE54" s="35"/>
      <c r="AF54" s="35"/>
      <c r="AG54" s="35"/>
      <c r="AH54" s="30" t="s">
        <v>4714</v>
      </c>
      <c r="AI54" s="35" t="s">
        <v>17523</v>
      </c>
      <c r="AJ54" s="62" t="str">
        <f>MID('I kw.22'!W54,8,6)</f>
        <v>251401</v>
      </c>
      <c r="AK54" s="62">
        <v>1</v>
      </c>
      <c r="AL54" s="62">
        <f t="shared" si="0"/>
        <v>1</v>
      </c>
      <c r="AM54" s="62">
        <v>1</v>
      </c>
    </row>
    <row r="55" spans="1:39" x14ac:dyDescent="0.25">
      <c r="A55" s="35" t="s">
        <v>690</v>
      </c>
      <c r="B55" s="35" t="s">
        <v>17521</v>
      </c>
      <c r="C55" s="35" t="s">
        <v>37</v>
      </c>
      <c r="D55" s="35" t="s">
        <v>16073</v>
      </c>
      <c r="E55" s="35" t="s">
        <v>192</v>
      </c>
      <c r="F55" s="62">
        <v>1</v>
      </c>
      <c r="G55" s="30" t="s">
        <v>193</v>
      </c>
      <c r="H55" s="30" t="s">
        <v>194</v>
      </c>
      <c r="I55" s="30" t="s">
        <v>16066</v>
      </c>
      <c r="J55" s="35" t="s">
        <v>9302</v>
      </c>
      <c r="K55" s="35">
        <v>18</v>
      </c>
      <c r="L55" s="35" t="s">
        <v>6955</v>
      </c>
      <c r="M55" s="35"/>
      <c r="N55" s="35" t="s">
        <v>17522</v>
      </c>
      <c r="O55" s="35" t="s">
        <v>6921</v>
      </c>
      <c r="P55" s="35" t="s">
        <v>17244</v>
      </c>
      <c r="Q55" s="35" t="s">
        <v>16304</v>
      </c>
      <c r="R55" s="35" t="s">
        <v>17040</v>
      </c>
      <c r="S55" s="35">
        <v>2426811</v>
      </c>
      <c r="T55" s="35">
        <v>34579137</v>
      </c>
      <c r="U55" s="35"/>
      <c r="V55" s="30"/>
      <c r="W55" s="505" t="s">
        <v>516</v>
      </c>
      <c r="X55" s="35" t="s">
        <v>193</v>
      </c>
      <c r="Y55" s="30">
        <v>25</v>
      </c>
      <c r="Z55" s="35"/>
      <c r="AA55" s="35"/>
      <c r="AB55" s="35"/>
      <c r="AC55" s="35"/>
      <c r="AD55" s="35"/>
      <c r="AE55" s="35"/>
      <c r="AF55" s="35"/>
      <c r="AG55" s="35"/>
      <c r="AH55" s="30" t="s">
        <v>4714</v>
      </c>
      <c r="AI55" s="35" t="s">
        <v>17521</v>
      </c>
      <c r="AJ55" s="62" t="str">
        <f>MID('I kw.22'!W55,8,6)</f>
        <v>252302</v>
      </c>
      <c r="AK55" s="62">
        <v>1</v>
      </c>
      <c r="AL55" s="62">
        <f t="shared" si="0"/>
        <v>1</v>
      </c>
      <c r="AM55" s="62">
        <v>1</v>
      </c>
    </row>
    <row r="56" spans="1:39" x14ac:dyDescent="0.25">
      <c r="A56" s="35" t="s">
        <v>11473</v>
      </c>
      <c r="B56" s="35" t="s">
        <v>13958</v>
      </c>
      <c r="C56" s="35" t="s">
        <v>82</v>
      </c>
      <c r="D56" s="35" t="s">
        <v>16073</v>
      </c>
      <c r="E56" s="35" t="s">
        <v>192</v>
      </c>
      <c r="F56" s="62">
        <v>1</v>
      </c>
      <c r="G56" s="30" t="s">
        <v>193</v>
      </c>
      <c r="H56" s="30" t="s">
        <v>194</v>
      </c>
      <c r="I56" s="30" t="s">
        <v>16121</v>
      </c>
      <c r="J56" s="35" t="s">
        <v>9302</v>
      </c>
      <c r="K56" s="35">
        <v>18</v>
      </c>
      <c r="L56" s="35" t="s">
        <v>6955</v>
      </c>
      <c r="M56" s="35"/>
      <c r="N56" s="35" t="s">
        <v>17520</v>
      </c>
      <c r="O56" s="35" t="s">
        <v>6921</v>
      </c>
      <c r="P56" s="35" t="s">
        <v>17244</v>
      </c>
      <c r="Q56" s="35" t="s">
        <v>16304</v>
      </c>
      <c r="R56" s="35" t="s">
        <v>17040</v>
      </c>
      <c r="S56" s="35">
        <v>2426834</v>
      </c>
      <c r="T56" s="35">
        <v>34579160</v>
      </c>
      <c r="U56" s="35"/>
      <c r="V56" s="30"/>
      <c r="W56" s="505" t="s">
        <v>504</v>
      </c>
      <c r="X56" s="35" t="s">
        <v>193</v>
      </c>
      <c r="Y56" s="30">
        <v>25</v>
      </c>
      <c r="Z56" s="35"/>
      <c r="AA56" s="35"/>
      <c r="AB56" s="35"/>
      <c r="AC56" s="35"/>
      <c r="AD56" s="35"/>
      <c r="AE56" s="35"/>
      <c r="AF56" s="35"/>
      <c r="AG56" s="35"/>
      <c r="AH56" s="30" t="s">
        <v>4714</v>
      </c>
      <c r="AI56" s="35" t="s">
        <v>13958</v>
      </c>
      <c r="AJ56" s="62" t="str">
        <f>MID('I kw.22'!W56,8,6)</f>
        <v>252101</v>
      </c>
      <c r="AK56" s="62">
        <v>1</v>
      </c>
      <c r="AL56" s="62">
        <f t="shared" si="0"/>
        <v>1</v>
      </c>
      <c r="AM56" s="62">
        <v>1</v>
      </c>
    </row>
    <row r="57" spans="1:39" x14ac:dyDescent="0.25">
      <c r="A57" s="35" t="s">
        <v>10076</v>
      </c>
      <c r="B57" s="35" t="s">
        <v>17516</v>
      </c>
      <c r="C57" s="35" t="s">
        <v>17519</v>
      </c>
      <c r="D57" s="35" t="s">
        <v>16073</v>
      </c>
      <c r="E57" s="35" t="s">
        <v>192</v>
      </c>
      <c r="F57" s="62">
        <v>1</v>
      </c>
      <c r="G57" s="30" t="s">
        <v>193</v>
      </c>
      <c r="H57" s="30" t="s">
        <v>194</v>
      </c>
      <c r="I57" s="30" t="s">
        <v>16078</v>
      </c>
      <c r="J57" s="35" t="s">
        <v>9302</v>
      </c>
      <c r="K57" s="35">
        <v>18</v>
      </c>
      <c r="L57" s="35" t="s">
        <v>6955</v>
      </c>
      <c r="M57" s="35"/>
      <c r="N57" s="35" t="s">
        <v>17518</v>
      </c>
      <c r="O57" s="35" t="s">
        <v>6245</v>
      </c>
      <c r="P57" s="35" t="s">
        <v>17244</v>
      </c>
      <c r="Q57" s="35" t="s">
        <v>16304</v>
      </c>
      <c r="R57" s="35" t="s">
        <v>17040</v>
      </c>
      <c r="S57" s="35">
        <v>2426849</v>
      </c>
      <c r="T57" s="35">
        <v>34579175</v>
      </c>
      <c r="U57" s="35"/>
      <c r="V57" s="30"/>
      <c r="W57" s="505" t="s">
        <v>17517</v>
      </c>
      <c r="X57" s="35" t="s">
        <v>193</v>
      </c>
      <c r="Y57" s="30">
        <v>25</v>
      </c>
      <c r="Z57" s="35"/>
      <c r="AA57" s="35"/>
      <c r="AB57" s="35"/>
      <c r="AC57" s="35"/>
      <c r="AD57" s="35"/>
      <c r="AE57" s="35"/>
      <c r="AF57" s="35"/>
      <c r="AG57" s="35"/>
      <c r="AH57" s="30" t="s">
        <v>4714</v>
      </c>
      <c r="AI57" s="35" t="s">
        <v>17516</v>
      </c>
      <c r="AJ57" s="62" t="str">
        <f>MID('I kw.22'!W57,8,6)</f>
        <v>242104</v>
      </c>
      <c r="AK57" s="62">
        <v>1</v>
      </c>
      <c r="AL57" s="62">
        <f t="shared" si="0"/>
        <v>1</v>
      </c>
      <c r="AM57" s="62">
        <v>1</v>
      </c>
    </row>
    <row r="58" spans="1:39" x14ac:dyDescent="0.25">
      <c r="A58" s="35" t="s">
        <v>17515</v>
      </c>
      <c r="B58" s="35" t="s">
        <v>17513</v>
      </c>
      <c r="C58" s="35" t="s">
        <v>43</v>
      </c>
      <c r="D58" s="35" t="s">
        <v>16073</v>
      </c>
      <c r="E58" s="35" t="s">
        <v>192</v>
      </c>
      <c r="F58" s="62">
        <v>1</v>
      </c>
      <c r="G58" s="30" t="s">
        <v>193</v>
      </c>
      <c r="H58" s="30" t="s">
        <v>194</v>
      </c>
      <c r="I58" s="30" t="s">
        <v>16121</v>
      </c>
      <c r="J58" s="35" t="s">
        <v>9302</v>
      </c>
      <c r="K58" s="35">
        <v>18</v>
      </c>
      <c r="L58" s="35" t="s">
        <v>6955</v>
      </c>
      <c r="M58" s="35"/>
      <c r="N58" s="35" t="s">
        <v>17514</v>
      </c>
      <c r="O58" s="35" t="s">
        <v>6302</v>
      </c>
      <c r="P58" s="35" t="s">
        <v>17244</v>
      </c>
      <c r="Q58" s="35" t="s">
        <v>16304</v>
      </c>
      <c r="R58" s="35" t="s">
        <v>17040</v>
      </c>
      <c r="S58" s="35">
        <v>2426870</v>
      </c>
      <c r="T58" s="35">
        <v>34579196</v>
      </c>
      <c r="U58" s="35"/>
      <c r="V58" s="30"/>
      <c r="W58" s="505" t="s">
        <v>452</v>
      </c>
      <c r="X58" s="35" t="s">
        <v>193</v>
      </c>
      <c r="Y58" s="30">
        <v>25</v>
      </c>
      <c r="Z58" s="35"/>
      <c r="AA58" s="35"/>
      <c r="AB58" s="35"/>
      <c r="AC58" s="35"/>
      <c r="AD58" s="35"/>
      <c r="AE58" s="35"/>
      <c r="AF58" s="35"/>
      <c r="AG58" s="35"/>
      <c r="AH58" s="30" t="s">
        <v>4714</v>
      </c>
      <c r="AI58" s="35" t="s">
        <v>17513</v>
      </c>
      <c r="AJ58" s="62" t="str">
        <f>MID('I kw.22'!W58,8,6)</f>
        <v>243106</v>
      </c>
      <c r="AK58" s="62">
        <v>1</v>
      </c>
      <c r="AL58" s="62">
        <f t="shared" si="0"/>
        <v>1</v>
      </c>
      <c r="AM58" s="62">
        <v>1</v>
      </c>
    </row>
    <row r="59" spans="1:39" x14ac:dyDescent="0.25">
      <c r="A59" s="35" t="s">
        <v>17512</v>
      </c>
      <c r="B59" s="35" t="s">
        <v>17510</v>
      </c>
      <c r="C59" s="35" t="s">
        <v>18</v>
      </c>
      <c r="D59" s="35" t="s">
        <v>16073</v>
      </c>
      <c r="E59" s="35" t="s">
        <v>192</v>
      </c>
      <c r="F59" s="62">
        <v>1</v>
      </c>
      <c r="G59" s="30" t="s">
        <v>193</v>
      </c>
      <c r="H59" s="30" t="s">
        <v>194</v>
      </c>
      <c r="I59" s="30" t="s">
        <v>16061</v>
      </c>
      <c r="J59" s="35" t="s">
        <v>9302</v>
      </c>
      <c r="K59" s="35">
        <v>18</v>
      </c>
      <c r="L59" s="35" t="s">
        <v>6955</v>
      </c>
      <c r="M59" s="35"/>
      <c r="N59" s="35" t="s">
        <v>17511</v>
      </c>
      <c r="O59" s="35" t="s">
        <v>6340</v>
      </c>
      <c r="P59" s="35" t="s">
        <v>17244</v>
      </c>
      <c r="Q59" s="35" t="s">
        <v>16304</v>
      </c>
      <c r="R59" s="35" t="s">
        <v>17040</v>
      </c>
      <c r="S59" s="35">
        <v>2426887</v>
      </c>
      <c r="T59" s="35">
        <v>34579213</v>
      </c>
      <c r="U59" s="35"/>
      <c r="V59" s="30"/>
      <c r="W59" s="505" t="s">
        <v>1476</v>
      </c>
      <c r="X59" s="35" t="s">
        <v>193</v>
      </c>
      <c r="Y59" s="30">
        <v>25</v>
      </c>
      <c r="Z59" s="35"/>
      <c r="AA59" s="35"/>
      <c r="AB59" s="35"/>
      <c r="AC59" s="35"/>
      <c r="AD59" s="35"/>
      <c r="AE59" s="35"/>
      <c r="AF59" s="35"/>
      <c r="AG59" s="35"/>
      <c r="AH59" s="30" t="s">
        <v>4714</v>
      </c>
      <c r="AI59" s="35" t="s">
        <v>17510</v>
      </c>
      <c r="AJ59" s="62" t="str">
        <f>MID('I kw.22'!W59,8,6)</f>
        <v>242309</v>
      </c>
      <c r="AK59" s="62">
        <v>1</v>
      </c>
      <c r="AL59" s="62">
        <f t="shared" si="0"/>
        <v>1</v>
      </c>
      <c r="AM59" s="62">
        <v>1</v>
      </c>
    </row>
    <row r="60" spans="1:39" x14ac:dyDescent="0.25">
      <c r="A60" s="35" t="s">
        <v>9387</v>
      </c>
      <c r="B60" s="35" t="s">
        <v>17508</v>
      </c>
      <c r="C60" s="35" t="s">
        <v>16355</v>
      </c>
      <c r="D60" s="35" t="s">
        <v>16073</v>
      </c>
      <c r="E60" s="35" t="s">
        <v>192</v>
      </c>
      <c r="F60" s="62">
        <v>1</v>
      </c>
      <c r="G60" s="30" t="s">
        <v>193</v>
      </c>
      <c r="H60" s="30" t="s">
        <v>194</v>
      </c>
      <c r="I60" s="30" t="s">
        <v>16078</v>
      </c>
      <c r="J60" s="35" t="s">
        <v>9302</v>
      </c>
      <c r="K60" s="35">
        <v>18</v>
      </c>
      <c r="L60" s="35" t="s">
        <v>6955</v>
      </c>
      <c r="M60" s="35"/>
      <c r="N60" s="35" t="s">
        <v>17509</v>
      </c>
      <c r="O60" s="35" t="s">
        <v>6295</v>
      </c>
      <c r="P60" s="35" t="s">
        <v>17244</v>
      </c>
      <c r="Q60" s="35" t="s">
        <v>16304</v>
      </c>
      <c r="R60" s="35" t="s">
        <v>17040</v>
      </c>
      <c r="S60" s="35">
        <v>2426907</v>
      </c>
      <c r="T60" s="35">
        <v>34579233</v>
      </c>
      <c r="U60" s="35"/>
      <c r="V60" s="30"/>
      <c r="W60" s="505" t="s">
        <v>508</v>
      </c>
      <c r="X60" s="35" t="s">
        <v>193</v>
      </c>
      <c r="Y60" s="30">
        <v>25</v>
      </c>
      <c r="Z60" s="35"/>
      <c r="AA60" s="35"/>
      <c r="AB60" s="35"/>
      <c r="AC60" s="35"/>
      <c r="AD60" s="35"/>
      <c r="AE60" s="35"/>
      <c r="AF60" s="35"/>
      <c r="AG60" s="35"/>
      <c r="AH60" s="30" t="s">
        <v>4714</v>
      </c>
      <c r="AI60" s="35" t="s">
        <v>17508</v>
      </c>
      <c r="AJ60" s="62" t="str">
        <f>MID('I kw.22'!W60,8,6)</f>
        <v>252102</v>
      </c>
      <c r="AK60" s="62">
        <v>1</v>
      </c>
      <c r="AL60" s="62">
        <f t="shared" si="0"/>
        <v>1</v>
      </c>
      <c r="AM60" s="62">
        <v>1</v>
      </c>
    </row>
    <row r="61" spans="1:39" x14ac:dyDescent="0.25">
      <c r="A61" s="35" t="s">
        <v>11473</v>
      </c>
      <c r="B61" s="35" t="s">
        <v>17506</v>
      </c>
      <c r="C61" s="35" t="s">
        <v>46</v>
      </c>
      <c r="D61" s="35" t="s">
        <v>16073</v>
      </c>
      <c r="E61" s="35" t="s">
        <v>192</v>
      </c>
      <c r="F61" s="62">
        <v>1</v>
      </c>
      <c r="G61" s="30" t="s">
        <v>193</v>
      </c>
      <c r="H61" s="30" t="s">
        <v>194</v>
      </c>
      <c r="I61" s="30" t="s">
        <v>16121</v>
      </c>
      <c r="J61" s="35" t="s">
        <v>9302</v>
      </c>
      <c r="K61" s="35">
        <v>18</v>
      </c>
      <c r="L61" s="35" t="s">
        <v>6955</v>
      </c>
      <c r="M61" s="35"/>
      <c r="N61" s="35" t="s">
        <v>17507</v>
      </c>
      <c r="O61" s="35" t="s">
        <v>6921</v>
      </c>
      <c r="P61" s="35" t="s">
        <v>17244</v>
      </c>
      <c r="Q61" s="35" t="s">
        <v>16304</v>
      </c>
      <c r="R61" s="35" t="s">
        <v>17040</v>
      </c>
      <c r="S61" s="35">
        <v>2426924</v>
      </c>
      <c r="T61" s="35">
        <v>34579250</v>
      </c>
      <c r="U61" s="35"/>
      <c r="V61" s="30"/>
      <c r="W61" s="505" t="s">
        <v>510</v>
      </c>
      <c r="X61" s="35" t="s">
        <v>193</v>
      </c>
      <c r="Y61" s="30">
        <v>25</v>
      </c>
      <c r="Z61" s="35"/>
      <c r="AA61" s="35"/>
      <c r="AB61" s="35"/>
      <c r="AC61" s="35"/>
      <c r="AD61" s="35"/>
      <c r="AE61" s="35"/>
      <c r="AF61" s="35"/>
      <c r="AG61" s="35"/>
      <c r="AH61" s="30" t="s">
        <v>4714</v>
      </c>
      <c r="AI61" s="35" t="s">
        <v>17506</v>
      </c>
      <c r="AJ61" s="62" t="str">
        <f>MID('I kw.22'!W61,8,6)</f>
        <v>252201</v>
      </c>
      <c r="AK61" s="62">
        <v>1</v>
      </c>
      <c r="AL61" s="62">
        <f t="shared" si="0"/>
        <v>1</v>
      </c>
      <c r="AM61" s="62">
        <v>1</v>
      </c>
    </row>
    <row r="62" spans="1:39" x14ac:dyDescent="0.25">
      <c r="A62" s="35" t="s">
        <v>17505</v>
      </c>
      <c r="B62" s="35" t="s">
        <v>496</v>
      </c>
      <c r="C62" s="35" t="s">
        <v>10</v>
      </c>
      <c r="D62" s="35" t="s">
        <v>16073</v>
      </c>
      <c r="E62" s="35" t="s">
        <v>192</v>
      </c>
      <c r="F62" s="62">
        <v>1</v>
      </c>
      <c r="G62" s="30" t="s">
        <v>193</v>
      </c>
      <c r="H62" s="30" t="s">
        <v>194</v>
      </c>
      <c r="I62" s="30" t="s">
        <v>16121</v>
      </c>
      <c r="J62" s="35" t="s">
        <v>9302</v>
      </c>
      <c r="K62" s="35">
        <v>18</v>
      </c>
      <c r="L62" s="35" t="s">
        <v>6955</v>
      </c>
      <c r="M62" s="35"/>
      <c r="N62" s="35" t="s">
        <v>17504</v>
      </c>
      <c r="O62" s="35" t="s">
        <v>6261</v>
      </c>
      <c r="P62" s="35" t="s">
        <v>17244</v>
      </c>
      <c r="Q62" s="35" t="s">
        <v>16304</v>
      </c>
      <c r="R62" s="35" t="s">
        <v>17040</v>
      </c>
      <c r="S62" s="35">
        <v>2426939</v>
      </c>
      <c r="T62" s="35">
        <v>34579265</v>
      </c>
      <c r="U62" s="35"/>
      <c r="V62" s="30"/>
      <c r="W62" s="505" t="s">
        <v>484</v>
      </c>
      <c r="X62" s="35" t="s">
        <v>193</v>
      </c>
      <c r="Y62" s="30">
        <v>25</v>
      </c>
      <c r="Z62" s="35"/>
      <c r="AA62" s="35"/>
      <c r="AB62" s="35"/>
      <c r="AC62" s="35"/>
      <c r="AD62" s="35"/>
      <c r="AE62" s="35"/>
      <c r="AF62" s="35"/>
      <c r="AG62" s="35"/>
      <c r="AH62" s="30" t="s">
        <v>4714</v>
      </c>
      <c r="AI62" s="35" t="s">
        <v>496</v>
      </c>
      <c r="AJ62" s="62" t="str">
        <f>MID('I kw.22'!W62,8,6)</f>
        <v>251401</v>
      </c>
      <c r="AK62" s="62">
        <v>1</v>
      </c>
      <c r="AL62" s="62">
        <f t="shared" si="0"/>
        <v>1</v>
      </c>
      <c r="AM62" s="62">
        <v>1</v>
      </c>
    </row>
    <row r="63" spans="1:39" x14ac:dyDescent="0.25">
      <c r="A63" s="35" t="s">
        <v>17503</v>
      </c>
      <c r="B63" s="35" t="s">
        <v>17501</v>
      </c>
      <c r="C63" s="35" t="s">
        <v>35</v>
      </c>
      <c r="D63" s="35" t="s">
        <v>16073</v>
      </c>
      <c r="E63" s="35" t="s">
        <v>192</v>
      </c>
      <c r="F63" s="62">
        <v>1</v>
      </c>
      <c r="G63" s="30" t="s">
        <v>193</v>
      </c>
      <c r="H63" s="30" t="s">
        <v>194</v>
      </c>
      <c r="I63" s="30" t="s">
        <v>16078</v>
      </c>
      <c r="J63" s="35" t="s">
        <v>9302</v>
      </c>
      <c r="K63" s="35">
        <v>18</v>
      </c>
      <c r="L63" s="35" t="s">
        <v>6955</v>
      </c>
      <c r="M63" s="35"/>
      <c r="N63" s="35" t="s">
        <v>17502</v>
      </c>
      <c r="O63" s="35" t="s">
        <v>6288</v>
      </c>
      <c r="P63" s="35" t="s">
        <v>17244</v>
      </c>
      <c r="Q63" s="35" t="s">
        <v>16304</v>
      </c>
      <c r="R63" s="35" t="s">
        <v>17040</v>
      </c>
      <c r="S63" s="35">
        <v>2426955</v>
      </c>
      <c r="T63" s="35">
        <v>34579281</v>
      </c>
      <c r="U63" s="35"/>
      <c r="V63" s="30"/>
      <c r="W63" s="505" t="s">
        <v>207</v>
      </c>
      <c r="X63" s="35" t="s">
        <v>193</v>
      </c>
      <c r="Y63" s="30">
        <v>25</v>
      </c>
      <c r="Z63" s="35"/>
      <c r="AA63" s="35"/>
      <c r="AB63" s="35"/>
      <c r="AC63" s="35"/>
      <c r="AD63" s="35"/>
      <c r="AE63" s="35"/>
      <c r="AF63" s="35"/>
      <c r="AG63" s="35"/>
      <c r="AH63" s="30" t="s">
        <v>4714</v>
      </c>
      <c r="AI63" s="35" t="s">
        <v>17501</v>
      </c>
      <c r="AJ63" s="62" t="str">
        <f>MID('I kw.22'!W63,8,6)</f>
        <v>122106</v>
      </c>
      <c r="AK63" s="62">
        <v>1</v>
      </c>
      <c r="AL63" s="62">
        <f t="shared" si="0"/>
        <v>1</v>
      </c>
      <c r="AM63" s="62">
        <v>1</v>
      </c>
    </row>
    <row r="64" spans="1:39" x14ac:dyDescent="0.25">
      <c r="A64" s="35" t="s">
        <v>17500</v>
      </c>
      <c r="B64" s="35" t="s">
        <v>17498</v>
      </c>
      <c r="C64" s="35" t="s">
        <v>92</v>
      </c>
      <c r="D64" s="35" t="s">
        <v>16073</v>
      </c>
      <c r="E64" s="35" t="s">
        <v>192</v>
      </c>
      <c r="F64" s="62">
        <v>1</v>
      </c>
      <c r="G64" s="30" t="s">
        <v>193</v>
      </c>
      <c r="H64" s="30" t="s">
        <v>194</v>
      </c>
      <c r="I64" s="30" t="s">
        <v>16121</v>
      </c>
      <c r="J64" s="35" t="s">
        <v>9302</v>
      </c>
      <c r="K64" s="35">
        <v>18</v>
      </c>
      <c r="L64" s="35" t="s">
        <v>6955</v>
      </c>
      <c r="M64" s="35"/>
      <c r="N64" s="35" t="s">
        <v>17499</v>
      </c>
      <c r="O64" s="35" t="s">
        <v>6921</v>
      </c>
      <c r="P64" s="35" t="s">
        <v>17244</v>
      </c>
      <c r="Q64" s="35" t="s">
        <v>16304</v>
      </c>
      <c r="R64" s="35" t="s">
        <v>17040</v>
      </c>
      <c r="S64" s="35">
        <v>2426973</v>
      </c>
      <c r="T64" s="35">
        <v>34579299</v>
      </c>
      <c r="U64" s="35"/>
      <c r="V64" s="30"/>
      <c r="W64" s="505" t="s">
        <v>2078</v>
      </c>
      <c r="X64" s="35" t="s">
        <v>193</v>
      </c>
      <c r="Y64" s="30">
        <v>25</v>
      </c>
      <c r="Z64" s="35"/>
      <c r="AA64" s="35"/>
      <c r="AB64" s="35"/>
      <c r="AC64" s="35"/>
      <c r="AD64" s="35"/>
      <c r="AE64" s="35"/>
      <c r="AF64" s="35"/>
      <c r="AG64" s="35"/>
      <c r="AH64" s="30" t="s">
        <v>4714</v>
      </c>
      <c r="AI64" s="35" t="s">
        <v>17498</v>
      </c>
      <c r="AJ64" s="62" t="str">
        <f>MID('I kw.22'!W64,8,6)</f>
        <v>351201</v>
      </c>
      <c r="AK64" s="62">
        <v>1</v>
      </c>
      <c r="AL64" s="62">
        <f t="shared" si="0"/>
        <v>1</v>
      </c>
      <c r="AM64" s="62">
        <v>1</v>
      </c>
    </row>
    <row r="65" spans="1:39" x14ac:dyDescent="0.25">
      <c r="A65" s="35" t="s">
        <v>4887</v>
      </c>
      <c r="B65" s="35" t="s">
        <v>404</v>
      </c>
      <c r="C65" s="35" t="s">
        <v>778</v>
      </c>
      <c r="D65" s="35" t="s">
        <v>16073</v>
      </c>
      <c r="E65" s="35" t="s">
        <v>192</v>
      </c>
      <c r="F65" s="62">
        <v>1</v>
      </c>
      <c r="G65" s="30" t="s">
        <v>193</v>
      </c>
      <c r="H65" s="30" t="s">
        <v>194</v>
      </c>
      <c r="I65" s="30" t="s">
        <v>16121</v>
      </c>
      <c r="J65" s="35" t="s">
        <v>9302</v>
      </c>
      <c r="K65" s="35">
        <v>18</v>
      </c>
      <c r="L65" s="35" t="s">
        <v>6955</v>
      </c>
      <c r="M65" s="35"/>
      <c r="N65" s="35" t="s">
        <v>17497</v>
      </c>
      <c r="O65" s="35" t="s">
        <v>6245</v>
      </c>
      <c r="P65" s="35" t="s">
        <v>17244</v>
      </c>
      <c r="Q65" s="35" t="s">
        <v>16304</v>
      </c>
      <c r="R65" s="35" t="s">
        <v>17040</v>
      </c>
      <c r="S65" s="35">
        <v>2426994</v>
      </c>
      <c r="T65" s="35">
        <v>34579320</v>
      </c>
      <c r="U65" s="35"/>
      <c r="V65" s="30"/>
      <c r="W65" s="505" t="s">
        <v>779</v>
      </c>
      <c r="X65" s="35" t="s">
        <v>193</v>
      </c>
      <c r="Y65" s="30">
        <v>25</v>
      </c>
      <c r="Z65" s="35"/>
      <c r="AA65" s="35"/>
      <c r="AB65" s="35"/>
      <c r="AC65" s="35"/>
      <c r="AD65" s="35"/>
      <c r="AE65" s="35"/>
      <c r="AF65" s="35"/>
      <c r="AG65" s="35"/>
      <c r="AH65" s="30" t="s">
        <v>4714</v>
      </c>
      <c r="AI65" s="35" t="s">
        <v>404</v>
      </c>
      <c r="AJ65" s="62" t="str">
        <f>MID('I kw.22'!W65,8,6)</f>
        <v>524902</v>
      </c>
      <c r="AK65" s="62">
        <v>1</v>
      </c>
      <c r="AL65" s="62">
        <f t="shared" si="0"/>
        <v>1</v>
      </c>
      <c r="AM65" s="62">
        <v>1</v>
      </c>
    </row>
    <row r="66" spans="1:39" x14ac:dyDescent="0.25">
      <c r="A66" s="35" t="s">
        <v>2108</v>
      </c>
      <c r="B66" s="35" t="s">
        <v>2514</v>
      </c>
      <c r="C66" s="35" t="s">
        <v>706</v>
      </c>
      <c r="D66" s="35" t="s">
        <v>16073</v>
      </c>
      <c r="E66" s="35" t="s">
        <v>192</v>
      </c>
      <c r="F66" s="62">
        <v>1</v>
      </c>
      <c r="G66" s="30" t="s">
        <v>193</v>
      </c>
      <c r="H66" s="30" t="s">
        <v>194</v>
      </c>
      <c r="I66" s="30" t="s">
        <v>16048</v>
      </c>
      <c r="J66" s="35" t="s">
        <v>276</v>
      </c>
      <c r="K66" s="35">
        <v>18</v>
      </c>
      <c r="L66" s="35" t="s">
        <v>6955</v>
      </c>
      <c r="M66" s="35"/>
      <c r="N66" s="35" t="s">
        <v>17496</v>
      </c>
      <c r="O66" s="35" t="s">
        <v>6251</v>
      </c>
      <c r="P66" s="35" t="s">
        <v>17244</v>
      </c>
      <c r="Q66" s="35" t="s">
        <v>16304</v>
      </c>
      <c r="R66" s="35" t="s">
        <v>17040</v>
      </c>
      <c r="S66" s="35">
        <v>2427013</v>
      </c>
      <c r="T66" s="35">
        <v>34579339</v>
      </c>
      <c r="U66" s="35"/>
      <c r="V66" s="30">
        <v>1803</v>
      </c>
      <c r="W66" s="35" t="s">
        <v>707</v>
      </c>
      <c r="X66" s="35" t="s">
        <v>194</v>
      </c>
      <c r="Y66" s="30">
        <v>1</v>
      </c>
      <c r="Z66" s="35"/>
      <c r="AA66" s="35"/>
      <c r="AB66" s="35"/>
      <c r="AC66" s="35"/>
      <c r="AD66" s="35"/>
      <c r="AE66" s="35"/>
      <c r="AF66" s="35"/>
      <c r="AG66" s="35"/>
      <c r="AH66" s="30" t="s">
        <v>4714</v>
      </c>
      <c r="AI66" s="35" t="s">
        <v>2514</v>
      </c>
      <c r="AJ66" s="62" t="str">
        <f>MID('I kw.22'!W66,8,6)</f>
        <v>422201</v>
      </c>
      <c r="AK66" s="62">
        <v>1</v>
      </c>
      <c r="AL66" s="62">
        <f t="shared" si="0"/>
        <v>1</v>
      </c>
      <c r="AM66" s="62">
        <v>1</v>
      </c>
    </row>
    <row r="67" spans="1:39" x14ac:dyDescent="0.25">
      <c r="A67" s="35" t="s">
        <v>17495</v>
      </c>
      <c r="B67" s="35" t="s">
        <v>17493</v>
      </c>
      <c r="C67" s="35" t="s">
        <v>3991</v>
      </c>
      <c r="D67" s="35" t="s">
        <v>16073</v>
      </c>
      <c r="E67" s="35" t="s">
        <v>192</v>
      </c>
      <c r="F67" s="62">
        <v>1</v>
      </c>
      <c r="G67" s="30" t="s">
        <v>193</v>
      </c>
      <c r="H67" s="30" t="s">
        <v>194</v>
      </c>
      <c r="I67" s="30" t="s">
        <v>16078</v>
      </c>
      <c r="J67" s="35" t="s">
        <v>9302</v>
      </c>
      <c r="K67" s="35">
        <v>18</v>
      </c>
      <c r="L67" s="35" t="s">
        <v>6955</v>
      </c>
      <c r="M67" s="35"/>
      <c r="N67" s="35" t="s">
        <v>17494</v>
      </c>
      <c r="O67" s="35" t="s">
        <v>6288</v>
      </c>
      <c r="P67" s="35" t="s">
        <v>17244</v>
      </c>
      <c r="Q67" s="35" t="s">
        <v>16304</v>
      </c>
      <c r="R67" s="35" t="s">
        <v>17040</v>
      </c>
      <c r="S67" s="35">
        <v>2427018</v>
      </c>
      <c r="T67" s="35">
        <v>34579344</v>
      </c>
      <c r="U67" s="35"/>
      <c r="V67" s="30"/>
      <c r="W67" s="505" t="s">
        <v>3993</v>
      </c>
      <c r="X67" s="35" t="s">
        <v>193</v>
      </c>
      <c r="Y67" s="30">
        <v>25</v>
      </c>
      <c r="Z67" s="35"/>
      <c r="AA67" s="35"/>
      <c r="AB67" s="35"/>
      <c r="AC67" s="35"/>
      <c r="AD67" s="35"/>
      <c r="AE67" s="35"/>
      <c r="AF67" s="35"/>
      <c r="AG67" s="35"/>
      <c r="AH67" s="30" t="s">
        <v>4714</v>
      </c>
      <c r="AI67" s="35" t="s">
        <v>17493</v>
      </c>
      <c r="AJ67" s="62" t="str">
        <f>MID('I kw.22'!W67,8,6)</f>
        <v>222101</v>
      </c>
      <c r="AK67" s="62">
        <v>1</v>
      </c>
      <c r="AL67" s="62">
        <f t="shared" ref="AL67:AL130" si="1">SUM(F67)</f>
        <v>1</v>
      </c>
      <c r="AM67" s="62">
        <v>1</v>
      </c>
    </row>
    <row r="68" spans="1:39" x14ac:dyDescent="0.25">
      <c r="A68" s="35" t="s">
        <v>17492</v>
      </c>
      <c r="B68" s="35" t="s">
        <v>17490</v>
      </c>
      <c r="C68" s="35" t="s">
        <v>43</v>
      </c>
      <c r="D68" s="35" t="s">
        <v>16073</v>
      </c>
      <c r="E68" s="35" t="s">
        <v>192</v>
      </c>
      <c r="F68" s="62">
        <v>1</v>
      </c>
      <c r="G68" s="30" t="s">
        <v>193</v>
      </c>
      <c r="H68" s="30" t="s">
        <v>194</v>
      </c>
      <c r="I68" s="30" t="s">
        <v>16078</v>
      </c>
      <c r="J68" s="35" t="s">
        <v>9302</v>
      </c>
      <c r="K68" s="35">
        <v>18</v>
      </c>
      <c r="L68" s="35" t="s">
        <v>6955</v>
      </c>
      <c r="M68" s="35"/>
      <c r="N68" s="35" t="s">
        <v>17491</v>
      </c>
      <c r="O68" s="35" t="s">
        <v>6295</v>
      </c>
      <c r="P68" s="35" t="s">
        <v>17244</v>
      </c>
      <c r="Q68" s="35" t="s">
        <v>16304</v>
      </c>
      <c r="R68" s="35" t="s">
        <v>17040</v>
      </c>
      <c r="S68" s="35">
        <v>2427039</v>
      </c>
      <c r="T68" s="35">
        <v>34579365</v>
      </c>
      <c r="U68" s="35"/>
      <c r="V68" s="30"/>
      <c r="W68" s="505" t="s">
        <v>452</v>
      </c>
      <c r="X68" s="35" t="s">
        <v>193</v>
      </c>
      <c r="Y68" s="30">
        <v>25</v>
      </c>
      <c r="Z68" s="35"/>
      <c r="AA68" s="35"/>
      <c r="AB68" s="35"/>
      <c r="AC68" s="35"/>
      <c r="AD68" s="35"/>
      <c r="AE68" s="35"/>
      <c r="AF68" s="35"/>
      <c r="AG68" s="35"/>
      <c r="AH68" s="30" t="s">
        <v>4714</v>
      </c>
      <c r="AI68" s="35" t="s">
        <v>17490</v>
      </c>
      <c r="AJ68" s="62" t="str">
        <f>MID('I kw.22'!W68,8,6)</f>
        <v>243106</v>
      </c>
      <c r="AK68" s="62">
        <v>1</v>
      </c>
      <c r="AL68" s="62">
        <f t="shared" si="1"/>
        <v>1</v>
      </c>
      <c r="AM68" s="62">
        <v>1</v>
      </c>
    </row>
    <row r="69" spans="1:39" x14ac:dyDescent="0.25">
      <c r="A69" s="35" t="s">
        <v>17489</v>
      </c>
      <c r="B69" s="35" t="s">
        <v>11915</v>
      </c>
      <c r="C69" s="35" t="s">
        <v>778</v>
      </c>
      <c r="D69" s="35" t="s">
        <v>16073</v>
      </c>
      <c r="E69" s="35" t="s">
        <v>192</v>
      </c>
      <c r="F69" s="62">
        <v>1</v>
      </c>
      <c r="G69" s="30" t="s">
        <v>193</v>
      </c>
      <c r="H69" s="30" t="s">
        <v>194</v>
      </c>
      <c r="I69" s="30" t="s">
        <v>16121</v>
      </c>
      <c r="J69" s="35" t="s">
        <v>9302</v>
      </c>
      <c r="K69" s="35">
        <v>18</v>
      </c>
      <c r="L69" s="35" t="s">
        <v>6955</v>
      </c>
      <c r="M69" s="35"/>
      <c r="N69" s="35" t="s">
        <v>17488</v>
      </c>
      <c r="O69" s="35" t="s">
        <v>6245</v>
      </c>
      <c r="P69" s="35" t="s">
        <v>17244</v>
      </c>
      <c r="Q69" s="35" t="s">
        <v>16304</v>
      </c>
      <c r="R69" s="35" t="s">
        <v>17040</v>
      </c>
      <c r="S69" s="35">
        <v>2427062</v>
      </c>
      <c r="T69" s="35">
        <v>34579388</v>
      </c>
      <c r="U69" s="35"/>
      <c r="V69" s="30"/>
      <c r="W69" s="505" t="s">
        <v>779</v>
      </c>
      <c r="X69" s="35" t="s">
        <v>193</v>
      </c>
      <c r="Y69" s="30">
        <v>25</v>
      </c>
      <c r="Z69" s="35"/>
      <c r="AA69" s="35"/>
      <c r="AB69" s="35"/>
      <c r="AC69" s="35"/>
      <c r="AD69" s="35"/>
      <c r="AE69" s="35"/>
      <c r="AF69" s="35"/>
      <c r="AG69" s="35"/>
      <c r="AH69" s="30" t="s">
        <v>4714</v>
      </c>
      <c r="AI69" s="35" t="s">
        <v>11915</v>
      </c>
      <c r="AJ69" s="62" t="str">
        <f>MID('I kw.22'!W69,8,6)</f>
        <v>524902</v>
      </c>
      <c r="AK69" s="62">
        <v>1</v>
      </c>
      <c r="AL69" s="62">
        <f t="shared" si="1"/>
        <v>1</v>
      </c>
      <c r="AM69" s="62">
        <v>1</v>
      </c>
    </row>
    <row r="70" spans="1:39" x14ac:dyDescent="0.25">
      <c r="A70" s="35" t="s">
        <v>17487</v>
      </c>
      <c r="B70" s="35" t="s">
        <v>17483</v>
      </c>
      <c r="C70" s="35" t="s">
        <v>17486</v>
      </c>
      <c r="D70" s="35" t="s">
        <v>16073</v>
      </c>
      <c r="E70" s="35" t="s">
        <v>192</v>
      </c>
      <c r="F70" s="62">
        <v>1</v>
      </c>
      <c r="G70" s="30" t="s">
        <v>193</v>
      </c>
      <c r="H70" s="30" t="s">
        <v>194</v>
      </c>
      <c r="I70" s="30" t="s">
        <v>16048</v>
      </c>
      <c r="J70" s="35" t="s">
        <v>9302</v>
      </c>
      <c r="K70" s="35">
        <v>18</v>
      </c>
      <c r="L70" s="35" t="s">
        <v>6955</v>
      </c>
      <c r="M70" s="35"/>
      <c r="N70" s="35" t="s">
        <v>17485</v>
      </c>
      <c r="O70" s="35" t="s">
        <v>6295</v>
      </c>
      <c r="P70" s="35" t="s">
        <v>17244</v>
      </c>
      <c r="Q70" s="35" t="s">
        <v>16304</v>
      </c>
      <c r="R70" s="35" t="s">
        <v>17040</v>
      </c>
      <c r="S70" s="35">
        <v>2427078</v>
      </c>
      <c r="T70" s="35">
        <v>34579404</v>
      </c>
      <c r="U70" s="35"/>
      <c r="V70" s="30"/>
      <c r="W70" s="505" t="s">
        <v>17484</v>
      </c>
      <c r="X70" s="35" t="s">
        <v>193</v>
      </c>
      <c r="Y70" s="30">
        <v>25</v>
      </c>
      <c r="Z70" s="35"/>
      <c r="AA70" s="35"/>
      <c r="AB70" s="35"/>
      <c r="AC70" s="35"/>
      <c r="AD70" s="35"/>
      <c r="AE70" s="35"/>
      <c r="AF70" s="35"/>
      <c r="AG70" s="35"/>
      <c r="AH70" s="30" t="s">
        <v>4714</v>
      </c>
      <c r="AI70" s="35" t="s">
        <v>17483</v>
      </c>
      <c r="AJ70" s="62" t="str">
        <f>MID('I kw.22'!W70,8,6)</f>
        <v>213106</v>
      </c>
      <c r="AK70" s="62">
        <v>1</v>
      </c>
      <c r="AL70" s="62">
        <f t="shared" si="1"/>
        <v>1</v>
      </c>
      <c r="AM70" s="62">
        <v>1</v>
      </c>
    </row>
    <row r="71" spans="1:39" x14ac:dyDescent="0.25">
      <c r="A71" s="35" t="s">
        <v>10498</v>
      </c>
      <c r="B71" s="35" t="s">
        <v>17481</v>
      </c>
      <c r="C71" s="35" t="s">
        <v>17092</v>
      </c>
      <c r="D71" s="35" t="s">
        <v>16073</v>
      </c>
      <c r="E71" s="35" t="s">
        <v>192</v>
      </c>
      <c r="F71" s="62">
        <v>1</v>
      </c>
      <c r="G71" s="30" t="s">
        <v>193</v>
      </c>
      <c r="H71" s="30" t="s">
        <v>194</v>
      </c>
      <c r="I71" s="30" t="s">
        <v>16078</v>
      </c>
      <c r="J71" s="35" t="s">
        <v>9302</v>
      </c>
      <c r="K71" s="35">
        <v>18</v>
      </c>
      <c r="L71" s="35" t="s">
        <v>6955</v>
      </c>
      <c r="M71" s="35"/>
      <c r="N71" s="35" t="s">
        <v>17482</v>
      </c>
      <c r="O71" s="35" t="s">
        <v>7531</v>
      </c>
      <c r="P71" s="35" t="s">
        <v>17244</v>
      </c>
      <c r="Q71" s="35" t="s">
        <v>16304</v>
      </c>
      <c r="R71" s="35" t="s">
        <v>17040</v>
      </c>
      <c r="S71" s="35">
        <v>2427094</v>
      </c>
      <c r="T71" s="35">
        <v>34579420</v>
      </c>
      <c r="U71" s="35"/>
      <c r="V71" s="30"/>
      <c r="W71" s="505" t="s">
        <v>1800</v>
      </c>
      <c r="X71" s="35" t="s">
        <v>193</v>
      </c>
      <c r="Y71" s="30">
        <v>25</v>
      </c>
      <c r="Z71" s="35"/>
      <c r="AA71" s="35"/>
      <c r="AB71" s="35"/>
      <c r="AC71" s="35"/>
      <c r="AD71" s="35"/>
      <c r="AE71" s="35"/>
      <c r="AF71" s="35"/>
      <c r="AG71" s="35"/>
      <c r="AH71" s="30" t="s">
        <v>4714</v>
      </c>
      <c r="AI71" s="35" t="s">
        <v>17481</v>
      </c>
      <c r="AJ71" s="62" t="str">
        <f>MID('I kw.22'!W71,8,6)</f>
        <v>242204</v>
      </c>
      <c r="AK71" s="62">
        <v>1</v>
      </c>
      <c r="AL71" s="62">
        <f t="shared" si="1"/>
        <v>1</v>
      </c>
      <c r="AM71" s="62">
        <v>1</v>
      </c>
    </row>
    <row r="72" spans="1:39" x14ac:dyDescent="0.25">
      <c r="A72" s="35" t="s">
        <v>10076</v>
      </c>
      <c r="B72" s="35" t="s">
        <v>17479</v>
      </c>
      <c r="C72" s="35" t="s">
        <v>16248</v>
      </c>
      <c r="D72" s="35" t="s">
        <v>16073</v>
      </c>
      <c r="E72" s="35" t="s">
        <v>192</v>
      </c>
      <c r="F72" s="62">
        <v>1</v>
      </c>
      <c r="G72" s="30" t="s">
        <v>193</v>
      </c>
      <c r="H72" s="30" t="s">
        <v>194</v>
      </c>
      <c r="I72" s="30" t="s">
        <v>16048</v>
      </c>
      <c r="J72" s="35" t="s">
        <v>9302</v>
      </c>
      <c r="K72" s="35">
        <v>18</v>
      </c>
      <c r="L72" s="35" t="s">
        <v>6955</v>
      </c>
      <c r="M72" s="35"/>
      <c r="N72" s="35" t="s">
        <v>17480</v>
      </c>
      <c r="O72" s="35" t="s">
        <v>6290</v>
      </c>
      <c r="P72" s="35" t="s">
        <v>17244</v>
      </c>
      <c r="Q72" s="35" t="s">
        <v>16304</v>
      </c>
      <c r="R72" s="35" t="s">
        <v>17040</v>
      </c>
      <c r="S72" s="35">
        <v>2427109</v>
      </c>
      <c r="T72" s="35">
        <v>34579435</v>
      </c>
      <c r="U72" s="35"/>
      <c r="V72" s="30"/>
      <c r="W72" s="505" t="s">
        <v>16246</v>
      </c>
      <c r="X72" s="35" t="s">
        <v>193</v>
      </c>
      <c r="Y72" s="30">
        <v>25</v>
      </c>
      <c r="Z72" s="35"/>
      <c r="AA72" s="35"/>
      <c r="AB72" s="35"/>
      <c r="AC72" s="35"/>
      <c r="AD72" s="35"/>
      <c r="AE72" s="35"/>
      <c r="AF72" s="35"/>
      <c r="AG72" s="35"/>
      <c r="AH72" s="30" t="s">
        <v>4714</v>
      </c>
      <c r="AI72" s="35" t="s">
        <v>17479</v>
      </c>
      <c r="AJ72" s="62" t="str">
        <f>MID('I kw.22'!W72,8,6)</f>
        <v>263510</v>
      </c>
      <c r="AK72" s="62">
        <v>1</v>
      </c>
      <c r="AL72" s="62">
        <f t="shared" si="1"/>
        <v>1</v>
      </c>
      <c r="AM72" s="62">
        <v>1</v>
      </c>
    </row>
    <row r="73" spans="1:39" x14ac:dyDescent="0.25">
      <c r="A73" s="35" t="s">
        <v>13238</v>
      </c>
      <c r="B73" s="35" t="s">
        <v>13239</v>
      </c>
      <c r="C73" s="35" t="s">
        <v>35</v>
      </c>
      <c r="D73" s="35" t="s">
        <v>16073</v>
      </c>
      <c r="E73" s="35" t="s">
        <v>192</v>
      </c>
      <c r="F73" s="62">
        <v>1</v>
      </c>
      <c r="G73" s="30" t="s">
        <v>193</v>
      </c>
      <c r="H73" s="30" t="s">
        <v>194</v>
      </c>
      <c r="I73" s="30" t="s">
        <v>16066</v>
      </c>
      <c r="J73" s="35" t="s">
        <v>9302</v>
      </c>
      <c r="K73" s="35">
        <v>18</v>
      </c>
      <c r="L73" s="35" t="s">
        <v>6955</v>
      </c>
      <c r="M73" s="35"/>
      <c r="N73" s="35" t="s">
        <v>17478</v>
      </c>
      <c r="O73" s="35" t="s">
        <v>6288</v>
      </c>
      <c r="P73" s="35" t="s">
        <v>17244</v>
      </c>
      <c r="Q73" s="35" t="s">
        <v>16304</v>
      </c>
      <c r="R73" s="35" t="s">
        <v>17040</v>
      </c>
      <c r="S73" s="35">
        <v>2427124</v>
      </c>
      <c r="T73" s="35">
        <v>34579450</v>
      </c>
      <c r="U73" s="35"/>
      <c r="V73" s="30"/>
      <c r="W73" s="505" t="s">
        <v>207</v>
      </c>
      <c r="X73" s="35" t="s">
        <v>193</v>
      </c>
      <c r="Y73" s="30">
        <v>25</v>
      </c>
      <c r="Z73" s="35"/>
      <c r="AA73" s="35"/>
      <c r="AB73" s="35"/>
      <c r="AC73" s="35"/>
      <c r="AD73" s="35"/>
      <c r="AE73" s="35"/>
      <c r="AF73" s="35"/>
      <c r="AG73" s="35"/>
      <c r="AH73" s="30" t="s">
        <v>4714</v>
      </c>
      <c r="AI73" s="35" t="s">
        <v>13239</v>
      </c>
      <c r="AJ73" s="62" t="str">
        <f>MID('I kw.22'!W73,8,6)</f>
        <v>122106</v>
      </c>
      <c r="AK73" s="62">
        <v>1</v>
      </c>
      <c r="AL73" s="62">
        <f t="shared" si="1"/>
        <v>1</v>
      </c>
      <c r="AM73" s="62">
        <v>1</v>
      </c>
    </row>
    <row r="74" spans="1:39" x14ac:dyDescent="0.25">
      <c r="A74" s="35" t="s">
        <v>17477</v>
      </c>
      <c r="B74" s="35" t="s">
        <v>17475</v>
      </c>
      <c r="C74" s="35" t="s">
        <v>5884</v>
      </c>
      <c r="D74" s="35" t="s">
        <v>16073</v>
      </c>
      <c r="E74" s="35" t="s">
        <v>192</v>
      </c>
      <c r="F74" s="62">
        <v>1</v>
      </c>
      <c r="G74" s="30" t="s">
        <v>193</v>
      </c>
      <c r="H74" s="30" t="s">
        <v>194</v>
      </c>
      <c r="I74" s="30" t="s">
        <v>16048</v>
      </c>
      <c r="J74" s="35" t="s">
        <v>9302</v>
      </c>
      <c r="K74" s="35">
        <v>18</v>
      </c>
      <c r="L74" s="35" t="s">
        <v>6955</v>
      </c>
      <c r="M74" s="35"/>
      <c r="N74" s="35" t="s">
        <v>17476</v>
      </c>
      <c r="O74" s="35" t="s">
        <v>6290</v>
      </c>
      <c r="P74" s="35" t="s">
        <v>17244</v>
      </c>
      <c r="Q74" s="35" t="s">
        <v>16304</v>
      </c>
      <c r="R74" s="35" t="s">
        <v>17040</v>
      </c>
      <c r="S74" s="35">
        <v>2427137</v>
      </c>
      <c r="T74" s="35">
        <v>34579463</v>
      </c>
      <c r="U74" s="35"/>
      <c r="V74" s="30"/>
      <c r="W74" s="505" t="s">
        <v>5886</v>
      </c>
      <c r="X74" s="35" t="s">
        <v>193</v>
      </c>
      <c r="Y74" s="30">
        <v>25</v>
      </c>
      <c r="Z74" s="35"/>
      <c r="AA74" s="35"/>
      <c r="AB74" s="35"/>
      <c r="AC74" s="35"/>
      <c r="AD74" s="35"/>
      <c r="AE74" s="35"/>
      <c r="AF74" s="35"/>
      <c r="AG74" s="35"/>
      <c r="AH74" s="30" t="s">
        <v>4714</v>
      </c>
      <c r="AI74" s="35" t="s">
        <v>17475</v>
      </c>
      <c r="AJ74" s="62" t="str">
        <f>MID('I kw.22'!W74,8,6)</f>
        <v>243107</v>
      </c>
      <c r="AK74" s="62">
        <v>1</v>
      </c>
      <c r="AL74" s="62">
        <f t="shared" si="1"/>
        <v>1</v>
      </c>
      <c r="AM74" s="62">
        <v>1</v>
      </c>
    </row>
    <row r="75" spans="1:39" x14ac:dyDescent="0.25">
      <c r="A75" s="35" t="s">
        <v>9373</v>
      </c>
      <c r="B75" s="35" t="s">
        <v>17473</v>
      </c>
      <c r="C75" s="35" t="s">
        <v>10</v>
      </c>
      <c r="D75" s="35" t="s">
        <v>16073</v>
      </c>
      <c r="E75" s="35" t="s">
        <v>192</v>
      </c>
      <c r="F75" s="62">
        <v>1</v>
      </c>
      <c r="G75" s="30" t="s">
        <v>193</v>
      </c>
      <c r="H75" s="30" t="s">
        <v>194</v>
      </c>
      <c r="I75" s="30" t="s">
        <v>16121</v>
      </c>
      <c r="J75" s="35" t="s">
        <v>9302</v>
      </c>
      <c r="K75" s="35">
        <v>18</v>
      </c>
      <c r="L75" s="35" t="s">
        <v>6955</v>
      </c>
      <c r="M75" s="35"/>
      <c r="N75" s="35" t="s">
        <v>17474</v>
      </c>
      <c r="O75" s="35" t="s">
        <v>6295</v>
      </c>
      <c r="P75" s="35" t="s">
        <v>17244</v>
      </c>
      <c r="Q75" s="35" t="s">
        <v>16304</v>
      </c>
      <c r="R75" s="35" t="s">
        <v>17040</v>
      </c>
      <c r="S75" s="35">
        <v>2427159</v>
      </c>
      <c r="T75" s="35">
        <v>34579485</v>
      </c>
      <c r="U75" s="35"/>
      <c r="V75" s="30"/>
      <c r="W75" s="505" t="s">
        <v>484</v>
      </c>
      <c r="X75" s="35" t="s">
        <v>193</v>
      </c>
      <c r="Y75" s="30">
        <v>25</v>
      </c>
      <c r="Z75" s="35"/>
      <c r="AA75" s="35"/>
      <c r="AB75" s="35"/>
      <c r="AC75" s="35"/>
      <c r="AD75" s="35"/>
      <c r="AE75" s="35"/>
      <c r="AF75" s="35"/>
      <c r="AG75" s="35"/>
      <c r="AH75" s="30" t="s">
        <v>4714</v>
      </c>
      <c r="AI75" s="35" t="s">
        <v>17473</v>
      </c>
      <c r="AJ75" s="62" t="str">
        <f>MID('I kw.22'!W75,8,6)</f>
        <v>251401</v>
      </c>
      <c r="AK75" s="62">
        <v>1</v>
      </c>
      <c r="AL75" s="62">
        <f t="shared" si="1"/>
        <v>1</v>
      </c>
      <c r="AM75" s="62">
        <v>1</v>
      </c>
    </row>
    <row r="76" spans="1:39" x14ac:dyDescent="0.25">
      <c r="A76" s="35" t="s">
        <v>11612</v>
      </c>
      <c r="B76" s="35" t="s">
        <v>10928</v>
      </c>
      <c r="C76" s="35" t="s">
        <v>129</v>
      </c>
      <c r="D76" s="35" t="s">
        <v>16073</v>
      </c>
      <c r="E76" s="35" t="s">
        <v>192</v>
      </c>
      <c r="F76" s="62">
        <v>1</v>
      </c>
      <c r="G76" s="30" t="s">
        <v>193</v>
      </c>
      <c r="H76" s="30" t="s">
        <v>194</v>
      </c>
      <c r="I76" s="30" t="s">
        <v>16121</v>
      </c>
      <c r="J76" s="35" t="s">
        <v>9302</v>
      </c>
      <c r="K76" s="35">
        <v>18</v>
      </c>
      <c r="L76" s="35" t="s">
        <v>6955</v>
      </c>
      <c r="M76" s="35"/>
      <c r="N76" s="35" t="s">
        <v>17472</v>
      </c>
      <c r="O76" s="35" t="s">
        <v>6261</v>
      </c>
      <c r="P76" s="35" t="s">
        <v>17244</v>
      </c>
      <c r="Q76" s="35" t="s">
        <v>16304</v>
      </c>
      <c r="R76" s="35" t="s">
        <v>17040</v>
      </c>
      <c r="S76" s="35">
        <v>2427180</v>
      </c>
      <c r="T76" s="35">
        <v>34579506</v>
      </c>
      <c r="U76" s="35"/>
      <c r="V76" s="30"/>
      <c r="W76" s="505" t="s">
        <v>203</v>
      </c>
      <c r="X76" s="35" t="s">
        <v>193</v>
      </c>
      <c r="Y76" s="30">
        <v>25</v>
      </c>
      <c r="Z76" s="35"/>
      <c r="AA76" s="35"/>
      <c r="AB76" s="35"/>
      <c r="AC76" s="35"/>
      <c r="AD76" s="35"/>
      <c r="AE76" s="35"/>
      <c r="AF76" s="35"/>
      <c r="AG76" s="35"/>
      <c r="AH76" s="30" t="s">
        <v>4714</v>
      </c>
      <c r="AI76" s="35" t="s">
        <v>10928</v>
      </c>
      <c r="AJ76" s="62" t="str">
        <f>MID('I kw.22'!W76,8,6)</f>
        <v>121904</v>
      </c>
      <c r="AK76" s="62">
        <v>1</v>
      </c>
      <c r="AL76" s="62">
        <f t="shared" si="1"/>
        <v>1</v>
      </c>
      <c r="AM76" s="62">
        <v>1</v>
      </c>
    </row>
    <row r="77" spans="1:39" x14ac:dyDescent="0.25">
      <c r="A77" s="35" t="s">
        <v>17471</v>
      </c>
      <c r="B77" s="35" t="s">
        <v>17469</v>
      </c>
      <c r="C77" s="35" t="s">
        <v>6617</v>
      </c>
      <c r="D77" s="35" t="s">
        <v>16073</v>
      </c>
      <c r="E77" s="35" t="s">
        <v>192</v>
      </c>
      <c r="F77" s="62">
        <v>1</v>
      </c>
      <c r="G77" s="30" t="s">
        <v>193</v>
      </c>
      <c r="H77" s="30" t="s">
        <v>194</v>
      </c>
      <c r="I77" s="30" t="s">
        <v>16066</v>
      </c>
      <c r="J77" s="35" t="s">
        <v>9302</v>
      </c>
      <c r="K77" s="35">
        <v>18</v>
      </c>
      <c r="L77" s="35" t="s">
        <v>6955</v>
      </c>
      <c r="M77" s="35"/>
      <c r="N77" s="35" t="s">
        <v>17470</v>
      </c>
      <c r="O77" s="35" t="s">
        <v>6266</v>
      </c>
      <c r="P77" s="35" t="s">
        <v>17244</v>
      </c>
      <c r="Q77" s="35" t="s">
        <v>16304</v>
      </c>
      <c r="R77" s="35" t="s">
        <v>17040</v>
      </c>
      <c r="S77" s="35">
        <v>2427190</v>
      </c>
      <c r="T77" s="35">
        <v>34579516</v>
      </c>
      <c r="U77" s="35"/>
      <c r="V77" s="30"/>
      <c r="W77" s="505" t="s">
        <v>990</v>
      </c>
      <c r="X77" s="35" t="s">
        <v>193</v>
      </c>
      <c r="Y77" s="30">
        <v>25</v>
      </c>
      <c r="Z77" s="35"/>
      <c r="AA77" s="35"/>
      <c r="AB77" s="35"/>
      <c r="AC77" s="35"/>
      <c r="AD77" s="35"/>
      <c r="AE77" s="35"/>
      <c r="AF77" s="35"/>
      <c r="AG77" s="35"/>
      <c r="AH77" s="30" t="s">
        <v>4714</v>
      </c>
      <c r="AI77" s="35" t="s">
        <v>17469</v>
      </c>
      <c r="AJ77" s="62" t="str">
        <f>MID('I kw.22'!W77,8,6)</f>
        <v>833202</v>
      </c>
      <c r="AK77" s="62">
        <v>1</v>
      </c>
      <c r="AL77" s="62">
        <f t="shared" si="1"/>
        <v>1</v>
      </c>
      <c r="AM77" s="62">
        <v>1</v>
      </c>
    </row>
    <row r="78" spans="1:39" x14ac:dyDescent="0.25">
      <c r="A78" s="35" t="s">
        <v>17468</v>
      </c>
      <c r="B78" s="35" t="s">
        <v>17466</v>
      </c>
      <c r="C78" s="35" t="s">
        <v>266</v>
      </c>
      <c r="D78" s="35" t="s">
        <v>16073</v>
      </c>
      <c r="E78" s="35" t="s">
        <v>192</v>
      </c>
      <c r="F78" s="62">
        <v>1</v>
      </c>
      <c r="G78" s="30" t="s">
        <v>193</v>
      </c>
      <c r="H78" s="30" t="s">
        <v>194</v>
      </c>
      <c r="I78" s="30" t="s">
        <v>16078</v>
      </c>
      <c r="J78" s="35" t="s">
        <v>9302</v>
      </c>
      <c r="K78" s="35">
        <v>18</v>
      </c>
      <c r="L78" s="35" t="s">
        <v>6955</v>
      </c>
      <c r="M78" s="35"/>
      <c r="N78" s="35" t="s">
        <v>17467</v>
      </c>
      <c r="O78" s="35" t="s">
        <v>6251</v>
      </c>
      <c r="P78" s="35" t="s">
        <v>17244</v>
      </c>
      <c r="Q78" s="35" t="s">
        <v>16304</v>
      </c>
      <c r="R78" s="35" t="s">
        <v>17040</v>
      </c>
      <c r="S78" s="35">
        <v>2427204</v>
      </c>
      <c r="T78" s="35">
        <v>34579530</v>
      </c>
      <c r="U78" s="35"/>
      <c r="V78" s="30"/>
      <c r="W78" s="505" t="s">
        <v>268</v>
      </c>
      <c r="X78" s="35" t="s">
        <v>193</v>
      </c>
      <c r="Y78" s="30">
        <v>25</v>
      </c>
      <c r="Z78" s="35"/>
      <c r="AA78" s="35"/>
      <c r="AB78" s="35"/>
      <c r="AC78" s="35"/>
      <c r="AD78" s="35"/>
      <c r="AE78" s="35"/>
      <c r="AF78" s="35"/>
      <c r="AG78" s="35"/>
      <c r="AH78" s="30" t="s">
        <v>4714</v>
      </c>
      <c r="AI78" s="35" t="s">
        <v>17466</v>
      </c>
      <c r="AJ78" s="62" t="str">
        <f>MID('I kw.22'!W78,8,6)</f>
        <v>143905</v>
      </c>
      <c r="AK78" s="62">
        <v>1</v>
      </c>
      <c r="AL78" s="62">
        <f t="shared" si="1"/>
        <v>1</v>
      </c>
      <c r="AM78" s="62">
        <v>1</v>
      </c>
    </row>
    <row r="79" spans="1:39" x14ac:dyDescent="0.25">
      <c r="A79" s="35" t="s">
        <v>17465</v>
      </c>
      <c r="B79" s="35" t="s">
        <v>17463</v>
      </c>
      <c r="C79" s="35" t="s">
        <v>2861</v>
      </c>
      <c r="D79" s="35" t="s">
        <v>16073</v>
      </c>
      <c r="E79" s="35" t="s">
        <v>192</v>
      </c>
      <c r="F79" s="62">
        <v>1</v>
      </c>
      <c r="G79" s="30" t="s">
        <v>193</v>
      </c>
      <c r="H79" s="30" t="s">
        <v>194</v>
      </c>
      <c r="I79" s="30" t="s">
        <v>16121</v>
      </c>
      <c r="J79" s="35" t="s">
        <v>9302</v>
      </c>
      <c r="K79" s="35">
        <v>18</v>
      </c>
      <c r="L79" s="35" t="s">
        <v>6955</v>
      </c>
      <c r="M79" s="35"/>
      <c r="N79" s="35" t="s">
        <v>17464</v>
      </c>
      <c r="O79" s="35" t="s">
        <v>6261</v>
      </c>
      <c r="P79" s="35" t="s">
        <v>17244</v>
      </c>
      <c r="Q79" s="35" t="s">
        <v>16304</v>
      </c>
      <c r="R79" s="35" t="s">
        <v>17040</v>
      </c>
      <c r="S79" s="35">
        <v>2427226</v>
      </c>
      <c r="T79" s="35">
        <v>34579552</v>
      </c>
      <c r="U79" s="35"/>
      <c r="V79" s="30"/>
      <c r="W79" s="505" t="s">
        <v>3629</v>
      </c>
      <c r="X79" s="35" t="s">
        <v>193</v>
      </c>
      <c r="Y79" s="30">
        <v>25</v>
      </c>
      <c r="Z79" s="35"/>
      <c r="AA79" s="35"/>
      <c r="AB79" s="35"/>
      <c r="AC79" s="35"/>
      <c r="AD79" s="35"/>
      <c r="AE79" s="35"/>
      <c r="AF79" s="35"/>
      <c r="AG79" s="35"/>
      <c r="AH79" s="30" t="s">
        <v>4714</v>
      </c>
      <c r="AI79" s="35" t="s">
        <v>17463</v>
      </c>
      <c r="AJ79" s="62" t="str">
        <f>MID('I kw.22'!W79,8,6)</f>
        <v>251903</v>
      </c>
      <c r="AK79" s="62">
        <v>1</v>
      </c>
      <c r="AL79" s="62">
        <f t="shared" si="1"/>
        <v>1</v>
      </c>
      <c r="AM79" s="62">
        <v>1</v>
      </c>
    </row>
    <row r="80" spans="1:39" x14ac:dyDescent="0.25">
      <c r="A80" s="35" t="s">
        <v>17462</v>
      </c>
      <c r="B80" s="35" t="s">
        <v>1644</v>
      </c>
      <c r="C80" s="35" t="s">
        <v>80</v>
      </c>
      <c r="D80" s="35" t="s">
        <v>16073</v>
      </c>
      <c r="E80" s="35" t="s">
        <v>192</v>
      </c>
      <c r="F80" s="62">
        <v>1</v>
      </c>
      <c r="G80" s="30" t="s">
        <v>193</v>
      </c>
      <c r="H80" s="30" t="s">
        <v>194</v>
      </c>
      <c r="I80" s="30" t="s">
        <v>16121</v>
      </c>
      <c r="J80" s="35" t="s">
        <v>9302</v>
      </c>
      <c r="K80" s="35">
        <v>18</v>
      </c>
      <c r="L80" s="35" t="s">
        <v>6955</v>
      </c>
      <c r="M80" s="35"/>
      <c r="N80" s="35" t="s">
        <v>17461</v>
      </c>
      <c r="O80" s="35" t="s">
        <v>6245</v>
      </c>
      <c r="P80" s="35" t="s">
        <v>17244</v>
      </c>
      <c r="Q80" s="35" t="s">
        <v>16304</v>
      </c>
      <c r="R80" s="35" t="s">
        <v>17040</v>
      </c>
      <c r="S80" s="35">
        <v>2427242</v>
      </c>
      <c r="T80" s="35">
        <v>34579568</v>
      </c>
      <c r="U80" s="35"/>
      <c r="V80" s="30"/>
      <c r="W80" s="505" t="s">
        <v>474</v>
      </c>
      <c r="X80" s="35" t="s">
        <v>193</v>
      </c>
      <c r="Y80" s="30">
        <v>25</v>
      </c>
      <c r="Z80" s="35"/>
      <c r="AA80" s="35"/>
      <c r="AB80" s="35"/>
      <c r="AC80" s="35"/>
      <c r="AD80" s="35"/>
      <c r="AE80" s="35"/>
      <c r="AF80" s="35"/>
      <c r="AG80" s="35"/>
      <c r="AH80" s="30" t="s">
        <v>4714</v>
      </c>
      <c r="AI80" s="35" t="s">
        <v>1644</v>
      </c>
      <c r="AJ80" s="62" t="str">
        <f>MID('I kw.22'!W80,8,6)</f>
        <v>243304</v>
      </c>
      <c r="AK80" s="62">
        <v>1</v>
      </c>
      <c r="AL80" s="62">
        <f t="shared" si="1"/>
        <v>1</v>
      </c>
      <c r="AM80" s="62">
        <v>1</v>
      </c>
    </row>
    <row r="81" spans="1:39" x14ac:dyDescent="0.25">
      <c r="A81" s="35" t="s">
        <v>14121</v>
      </c>
      <c r="B81" s="35" t="s">
        <v>17457</v>
      </c>
      <c r="C81" s="35" t="s">
        <v>17460</v>
      </c>
      <c r="D81" s="35" t="s">
        <v>16073</v>
      </c>
      <c r="E81" s="35" t="s">
        <v>192</v>
      </c>
      <c r="F81" s="62">
        <v>1</v>
      </c>
      <c r="G81" s="30" t="s">
        <v>193</v>
      </c>
      <c r="H81" s="30" t="s">
        <v>194</v>
      </c>
      <c r="I81" s="30" t="s">
        <v>16066</v>
      </c>
      <c r="J81" s="35" t="s">
        <v>9302</v>
      </c>
      <c r="K81" s="35">
        <v>18</v>
      </c>
      <c r="L81" s="35" t="s">
        <v>6955</v>
      </c>
      <c r="M81" s="35"/>
      <c r="N81" s="35" t="s">
        <v>17459</v>
      </c>
      <c r="O81" s="35" t="s">
        <v>7531</v>
      </c>
      <c r="P81" s="35" t="s">
        <v>17244</v>
      </c>
      <c r="Q81" s="35" t="s">
        <v>16304</v>
      </c>
      <c r="R81" s="35" t="s">
        <v>17040</v>
      </c>
      <c r="S81" s="35">
        <v>2427261</v>
      </c>
      <c r="T81" s="35">
        <v>34579587</v>
      </c>
      <c r="U81" s="35"/>
      <c r="V81" s="30"/>
      <c r="W81" s="505" t="s">
        <v>17458</v>
      </c>
      <c r="X81" s="35" t="s">
        <v>193</v>
      </c>
      <c r="Y81" s="30">
        <v>25</v>
      </c>
      <c r="Z81" s="35"/>
      <c r="AA81" s="35"/>
      <c r="AB81" s="35"/>
      <c r="AC81" s="35"/>
      <c r="AD81" s="35"/>
      <c r="AE81" s="35"/>
      <c r="AF81" s="35"/>
      <c r="AG81" s="35"/>
      <c r="AH81" s="30" t="s">
        <v>4714</v>
      </c>
      <c r="AI81" s="35" t="s">
        <v>17457</v>
      </c>
      <c r="AJ81" s="62" t="str">
        <f>MID('I kw.22'!W81,8,6)</f>
        <v>242190</v>
      </c>
      <c r="AK81" s="62">
        <v>1</v>
      </c>
      <c r="AL81" s="62">
        <f t="shared" si="1"/>
        <v>1</v>
      </c>
      <c r="AM81" s="62">
        <v>1</v>
      </c>
    </row>
    <row r="82" spans="1:39" x14ac:dyDescent="0.25">
      <c r="A82" s="35" t="s">
        <v>17452</v>
      </c>
      <c r="B82" s="35" t="s">
        <v>17455</v>
      </c>
      <c r="C82" s="35" t="s">
        <v>46</v>
      </c>
      <c r="D82" s="35" t="s">
        <v>16073</v>
      </c>
      <c r="E82" s="35" t="s">
        <v>192</v>
      </c>
      <c r="F82" s="62">
        <v>1</v>
      </c>
      <c r="G82" s="30" t="s">
        <v>193</v>
      </c>
      <c r="H82" s="30" t="s">
        <v>194</v>
      </c>
      <c r="I82" s="30" t="s">
        <v>16121</v>
      </c>
      <c r="J82" s="35" t="s">
        <v>9302</v>
      </c>
      <c r="K82" s="35">
        <v>18</v>
      </c>
      <c r="L82" s="35" t="s">
        <v>6955</v>
      </c>
      <c r="M82" s="35"/>
      <c r="N82" s="35" t="s">
        <v>17456</v>
      </c>
      <c r="O82" s="35" t="s">
        <v>6921</v>
      </c>
      <c r="P82" s="35" t="s">
        <v>17244</v>
      </c>
      <c r="Q82" s="35" t="s">
        <v>16304</v>
      </c>
      <c r="R82" s="35" t="s">
        <v>17040</v>
      </c>
      <c r="S82" s="35">
        <v>2427277</v>
      </c>
      <c r="T82" s="35">
        <v>34579603</v>
      </c>
      <c r="U82" s="35"/>
      <c r="V82" s="30"/>
      <c r="W82" s="505" t="s">
        <v>510</v>
      </c>
      <c r="X82" s="35" t="s">
        <v>193</v>
      </c>
      <c r="Y82" s="30">
        <v>25</v>
      </c>
      <c r="Z82" s="35"/>
      <c r="AA82" s="35"/>
      <c r="AB82" s="35"/>
      <c r="AC82" s="35"/>
      <c r="AD82" s="35"/>
      <c r="AE82" s="35"/>
      <c r="AF82" s="35"/>
      <c r="AG82" s="35"/>
      <c r="AH82" s="30" t="s">
        <v>4714</v>
      </c>
      <c r="AI82" s="35" t="s">
        <v>17455</v>
      </c>
      <c r="AJ82" s="62" t="str">
        <f>MID('I kw.22'!W82,8,6)</f>
        <v>252201</v>
      </c>
      <c r="AK82" s="62">
        <v>1</v>
      </c>
      <c r="AL82" s="62">
        <f t="shared" si="1"/>
        <v>1</v>
      </c>
      <c r="AM82" s="62">
        <v>1</v>
      </c>
    </row>
    <row r="83" spans="1:39" x14ac:dyDescent="0.25">
      <c r="A83" s="35" t="s">
        <v>17452</v>
      </c>
      <c r="B83" s="35" t="s">
        <v>17453</v>
      </c>
      <c r="C83" s="35" t="s">
        <v>46</v>
      </c>
      <c r="D83" s="35" t="s">
        <v>16073</v>
      </c>
      <c r="E83" s="35" t="s">
        <v>192</v>
      </c>
      <c r="F83" s="62">
        <v>1</v>
      </c>
      <c r="G83" s="30" t="s">
        <v>193</v>
      </c>
      <c r="H83" s="30" t="s">
        <v>194</v>
      </c>
      <c r="I83" s="30" t="s">
        <v>16121</v>
      </c>
      <c r="J83" s="35" t="s">
        <v>9302</v>
      </c>
      <c r="K83" s="35">
        <v>18</v>
      </c>
      <c r="L83" s="35" t="s">
        <v>6955</v>
      </c>
      <c r="M83" s="35"/>
      <c r="N83" s="35" t="s">
        <v>17454</v>
      </c>
      <c r="O83" s="35" t="s">
        <v>6921</v>
      </c>
      <c r="P83" s="35" t="s">
        <v>17244</v>
      </c>
      <c r="Q83" s="35" t="s">
        <v>16304</v>
      </c>
      <c r="R83" s="35" t="s">
        <v>17040</v>
      </c>
      <c r="S83" s="35">
        <v>2427294</v>
      </c>
      <c r="T83" s="35">
        <v>34579620</v>
      </c>
      <c r="U83" s="35"/>
      <c r="V83" s="30"/>
      <c r="W83" s="505" t="s">
        <v>510</v>
      </c>
      <c r="X83" s="35" t="s">
        <v>193</v>
      </c>
      <c r="Y83" s="30">
        <v>25</v>
      </c>
      <c r="Z83" s="35"/>
      <c r="AA83" s="35"/>
      <c r="AB83" s="35"/>
      <c r="AC83" s="35"/>
      <c r="AD83" s="35"/>
      <c r="AE83" s="35"/>
      <c r="AF83" s="35"/>
      <c r="AG83" s="35"/>
      <c r="AH83" s="30" t="s">
        <v>4714</v>
      </c>
      <c r="AI83" s="35" t="s">
        <v>17453</v>
      </c>
      <c r="AJ83" s="62" t="str">
        <f>MID('I kw.22'!W83,8,6)</f>
        <v>252201</v>
      </c>
      <c r="AK83" s="62">
        <v>1</v>
      </c>
      <c r="AL83" s="62">
        <f t="shared" si="1"/>
        <v>1</v>
      </c>
      <c r="AM83" s="62">
        <v>1</v>
      </c>
    </row>
    <row r="84" spans="1:39" x14ac:dyDescent="0.25">
      <c r="A84" s="35" t="s">
        <v>17452</v>
      </c>
      <c r="B84" s="35" t="s">
        <v>82</v>
      </c>
      <c r="C84" s="35" t="s">
        <v>82</v>
      </c>
      <c r="D84" s="35" t="s">
        <v>16073</v>
      </c>
      <c r="E84" s="35" t="s">
        <v>192</v>
      </c>
      <c r="F84" s="62">
        <v>1</v>
      </c>
      <c r="G84" s="30" t="s">
        <v>193</v>
      </c>
      <c r="H84" s="30" t="s">
        <v>194</v>
      </c>
      <c r="I84" s="30" t="s">
        <v>16121</v>
      </c>
      <c r="J84" s="35" t="s">
        <v>9302</v>
      </c>
      <c r="K84" s="35">
        <v>18</v>
      </c>
      <c r="L84" s="35" t="s">
        <v>6955</v>
      </c>
      <c r="M84" s="35"/>
      <c r="N84" s="35" t="s">
        <v>17451</v>
      </c>
      <c r="O84" s="35" t="s">
        <v>6921</v>
      </c>
      <c r="P84" s="35" t="s">
        <v>17244</v>
      </c>
      <c r="Q84" s="35" t="s">
        <v>16304</v>
      </c>
      <c r="R84" s="35" t="s">
        <v>17040</v>
      </c>
      <c r="S84" s="35">
        <v>2427310</v>
      </c>
      <c r="T84" s="35">
        <v>34579636</v>
      </c>
      <c r="U84" s="35"/>
      <c r="V84" s="30"/>
      <c r="W84" s="505" t="s">
        <v>504</v>
      </c>
      <c r="X84" s="35" t="s">
        <v>193</v>
      </c>
      <c r="Y84" s="30">
        <v>25</v>
      </c>
      <c r="Z84" s="35"/>
      <c r="AA84" s="35"/>
      <c r="AB84" s="35"/>
      <c r="AC84" s="35"/>
      <c r="AD84" s="35"/>
      <c r="AE84" s="35"/>
      <c r="AF84" s="35"/>
      <c r="AG84" s="35"/>
      <c r="AH84" s="30" t="s">
        <v>4714</v>
      </c>
      <c r="AI84" s="35" t="s">
        <v>82</v>
      </c>
      <c r="AJ84" s="62" t="str">
        <f>MID('I kw.22'!W84,8,6)</f>
        <v>252101</v>
      </c>
      <c r="AK84" s="62">
        <v>1</v>
      </c>
      <c r="AL84" s="62">
        <f t="shared" si="1"/>
        <v>1</v>
      </c>
      <c r="AM84" s="62">
        <v>1</v>
      </c>
    </row>
    <row r="85" spans="1:39" x14ac:dyDescent="0.25">
      <c r="A85" s="35" t="s">
        <v>9346</v>
      </c>
      <c r="B85" s="35" t="s">
        <v>17449</v>
      </c>
      <c r="C85" s="35" t="s">
        <v>43</v>
      </c>
      <c r="D85" s="35" t="s">
        <v>16073</v>
      </c>
      <c r="E85" s="35" t="s">
        <v>192</v>
      </c>
      <c r="F85" s="62">
        <v>1</v>
      </c>
      <c r="G85" s="30" t="s">
        <v>193</v>
      </c>
      <c r="H85" s="30" t="s">
        <v>194</v>
      </c>
      <c r="I85" s="30" t="s">
        <v>16183</v>
      </c>
      <c r="J85" s="35" t="s">
        <v>9302</v>
      </c>
      <c r="K85" s="35">
        <v>18</v>
      </c>
      <c r="L85" s="35" t="s">
        <v>6955</v>
      </c>
      <c r="M85" s="35"/>
      <c r="N85" s="35" t="s">
        <v>17450</v>
      </c>
      <c r="O85" s="35" t="s">
        <v>6327</v>
      </c>
      <c r="P85" s="35" t="s">
        <v>17244</v>
      </c>
      <c r="Q85" s="35" t="s">
        <v>16304</v>
      </c>
      <c r="R85" s="35" t="s">
        <v>17040</v>
      </c>
      <c r="S85" s="35">
        <v>2427326</v>
      </c>
      <c r="T85" s="35">
        <v>34579652</v>
      </c>
      <c r="U85" s="35"/>
      <c r="V85" s="30"/>
      <c r="W85" s="505" t="s">
        <v>452</v>
      </c>
      <c r="X85" s="35" t="s">
        <v>193</v>
      </c>
      <c r="Y85" s="30">
        <v>25</v>
      </c>
      <c r="Z85" s="35"/>
      <c r="AA85" s="35"/>
      <c r="AB85" s="35"/>
      <c r="AC85" s="35"/>
      <c r="AD85" s="35"/>
      <c r="AE85" s="35"/>
      <c r="AF85" s="35"/>
      <c r="AG85" s="35"/>
      <c r="AH85" s="30" t="s">
        <v>4714</v>
      </c>
      <c r="AI85" s="35" t="s">
        <v>17449</v>
      </c>
      <c r="AJ85" s="62" t="str">
        <f>MID('I kw.22'!W85,8,6)</f>
        <v>243106</v>
      </c>
      <c r="AK85" s="62">
        <v>1</v>
      </c>
      <c r="AL85" s="62">
        <f t="shared" si="1"/>
        <v>1</v>
      </c>
      <c r="AM85" s="62">
        <v>1</v>
      </c>
    </row>
    <row r="86" spans="1:39" x14ac:dyDescent="0.25">
      <c r="A86" s="35" t="s">
        <v>17448</v>
      </c>
      <c r="B86" s="35" t="s">
        <v>17446</v>
      </c>
      <c r="C86" s="35" t="s">
        <v>119</v>
      </c>
      <c r="D86" s="35" t="s">
        <v>16073</v>
      </c>
      <c r="E86" s="35" t="s">
        <v>192</v>
      </c>
      <c r="F86" s="62">
        <v>1</v>
      </c>
      <c r="G86" s="30" t="s">
        <v>193</v>
      </c>
      <c r="H86" s="30" t="s">
        <v>194</v>
      </c>
      <c r="I86" s="30" t="s">
        <v>16121</v>
      </c>
      <c r="J86" s="35" t="s">
        <v>9302</v>
      </c>
      <c r="K86" s="35">
        <v>18</v>
      </c>
      <c r="L86" s="35" t="s">
        <v>6955</v>
      </c>
      <c r="M86" s="35"/>
      <c r="N86" s="35" t="s">
        <v>17447</v>
      </c>
      <c r="O86" s="35" t="s">
        <v>6266</v>
      </c>
      <c r="P86" s="35" t="s">
        <v>17244</v>
      </c>
      <c r="Q86" s="35" t="s">
        <v>16304</v>
      </c>
      <c r="R86" s="35" t="s">
        <v>17040</v>
      </c>
      <c r="S86" s="35">
        <v>2427350</v>
      </c>
      <c r="T86" s="35">
        <v>34579676</v>
      </c>
      <c r="U86" s="35"/>
      <c r="V86" s="30"/>
      <c r="W86" s="505" t="s">
        <v>666</v>
      </c>
      <c r="X86" s="35" t="s">
        <v>193</v>
      </c>
      <c r="Y86" s="30">
        <v>25</v>
      </c>
      <c r="Z86" s="35"/>
      <c r="AA86" s="35"/>
      <c r="AB86" s="35"/>
      <c r="AC86" s="35"/>
      <c r="AD86" s="35"/>
      <c r="AE86" s="35"/>
      <c r="AF86" s="35"/>
      <c r="AG86" s="35"/>
      <c r="AH86" s="30" t="s">
        <v>4714</v>
      </c>
      <c r="AI86" s="35" t="s">
        <v>17446</v>
      </c>
      <c r="AJ86" s="62" t="str">
        <f>MID('I kw.22'!W86,8,6)</f>
        <v>333105</v>
      </c>
      <c r="AK86" s="62">
        <v>1</v>
      </c>
      <c r="AL86" s="62">
        <f t="shared" si="1"/>
        <v>1</v>
      </c>
      <c r="AM86" s="62">
        <v>1</v>
      </c>
    </row>
    <row r="87" spans="1:39" x14ac:dyDescent="0.25">
      <c r="A87" s="35" t="s">
        <v>17445</v>
      </c>
      <c r="B87" s="35" t="s">
        <v>1586</v>
      </c>
      <c r="C87" s="35" t="s">
        <v>85</v>
      </c>
      <c r="D87" s="35" t="s">
        <v>16073</v>
      </c>
      <c r="E87" s="35" t="s">
        <v>192</v>
      </c>
      <c r="F87" s="62">
        <v>1</v>
      </c>
      <c r="G87" s="30" t="s">
        <v>193</v>
      </c>
      <c r="H87" s="30" t="s">
        <v>194</v>
      </c>
      <c r="I87" s="30" t="s">
        <v>16121</v>
      </c>
      <c r="J87" s="35" t="s">
        <v>9302</v>
      </c>
      <c r="K87" s="35">
        <v>18</v>
      </c>
      <c r="L87" s="35" t="s">
        <v>6955</v>
      </c>
      <c r="M87" s="35"/>
      <c r="N87" s="35" t="s">
        <v>17444</v>
      </c>
      <c r="O87" s="35" t="s">
        <v>6245</v>
      </c>
      <c r="P87" s="35" t="s">
        <v>17244</v>
      </c>
      <c r="Q87" s="35" t="s">
        <v>16304</v>
      </c>
      <c r="R87" s="35" t="s">
        <v>17040</v>
      </c>
      <c r="S87" s="35">
        <v>2427383</v>
      </c>
      <c r="T87" s="35">
        <v>34579709</v>
      </c>
      <c r="U87" s="35"/>
      <c r="V87" s="30"/>
      <c r="W87" s="505" t="s">
        <v>477</v>
      </c>
      <c r="X87" s="35" t="s">
        <v>193</v>
      </c>
      <c r="Y87" s="30">
        <v>25</v>
      </c>
      <c r="Z87" s="35"/>
      <c r="AA87" s="35"/>
      <c r="AB87" s="35"/>
      <c r="AC87" s="35"/>
      <c r="AD87" s="35"/>
      <c r="AE87" s="35"/>
      <c r="AF87" s="35"/>
      <c r="AG87" s="35"/>
      <c r="AH87" s="30" t="s">
        <v>4714</v>
      </c>
      <c r="AI87" s="35" t="s">
        <v>1586</v>
      </c>
      <c r="AJ87" s="62" t="str">
        <f>MID('I kw.22'!W87,8,6)</f>
        <v>243305</v>
      </c>
      <c r="AK87" s="62">
        <v>1</v>
      </c>
      <c r="AL87" s="62">
        <f t="shared" si="1"/>
        <v>1</v>
      </c>
      <c r="AM87" s="62">
        <v>1</v>
      </c>
    </row>
    <row r="88" spans="1:39" x14ac:dyDescent="0.25">
      <c r="A88" s="35" t="s">
        <v>17443</v>
      </c>
      <c r="B88" s="35" t="s">
        <v>17441</v>
      </c>
      <c r="C88" s="35" t="s">
        <v>37</v>
      </c>
      <c r="D88" s="35" t="s">
        <v>16073</v>
      </c>
      <c r="E88" s="35" t="s">
        <v>192</v>
      </c>
      <c r="F88" s="62">
        <v>1</v>
      </c>
      <c r="G88" s="30" t="s">
        <v>193</v>
      </c>
      <c r="H88" s="30" t="s">
        <v>194</v>
      </c>
      <c r="I88" s="30" t="s">
        <v>16078</v>
      </c>
      <c r="J88" s="35" t="s">
        <v>9302</v>
      </c>
      <c r="K88" s="35">
        <v>18</v>
      </c>
      <c r="L88" s="35" t="s">
        <v>6955</v>
      </c>
      <c r="M88" s="35"/>
      <c r="N88" s="35" t="s">
        <v>17442</v>
      </c>
      <c r="O88" s="35" t="s">
        <v>6261</v>
      </c>
      <c r="P88" s="35" t="s">
        <v>17244</v>
      </c>
      <c r="Q88" s="35" t="s">
        <v>16304</v>
      </c>
      <c r="R88" s="35" t="s">
        <v>17040</v>
      </c>
      <c r="S88" s="35">
        <v>2427400</v>
      </c>
      <c r="T88" s="35">
        <v>34579726</v>
      </c>
      <c r="U88" s="35"/>
      <c r="V88" s="30"/>
      <c r="W88" s="505" t="s">
        <v>516</v>
      </c>
      <c r="X88" s="35" t="s">
        <v>193</v>
      </c>
      <c r="Y88" s="30">
        <v>25</v>
      </c>
      <c r="Z88" s="35"/>
      <c r="AA88" s="35"/>
      <c r="AB88" s="35"/>
      <c r="AC88" s="35"/>
      <c r="AD88" s="35"/>
      <c r="AE88" s="35"/>
      <c r="AF88" s="35"/>
      <c r="AG88" s="35"/>
      <c r="AH88" s="30" t="s">
        <v>4714</v>
      </c>
      <c r="AI88" s="35" t="s">
        <v>17441</v>
      </c>
      <c r="AJ88" s="62" t="str">
        <f>MID('I kw.22'!W88,8,6)</f>
        <v>252302</v>
      </c>
      <c r="AK88" s="62">
        <v>1</v>
      </c>
      <c r="AL88" s="62">
        <f t="shared" si="1"/>
        <v>1</v>
      </c>
      <c r="AM88" s="62">
        <v>1</v>
      </c>
    </row>
    <row r="89" spans="1:39" x14ac:dyDescent="0.25">
      <c r="A89" s="35" t="s">
        <v>690</v>
      </c>
      <c r="B89" s="35" t="s">
        <v>17439</v>
      </c>
      <c r="C89" s="35" t="s">
        <v>2861</v>
      </c>
      <c r="D89" s="35" t="s">
        <v>16073</v>
      </c>
      <c r="E89" s="35" t="s">
        <v>192</v>
      </c>
      <c r="F89" s="62">
        <v>1</v>
      </c>
      <c r="G89" s="30" t="s">
        <v>193</v>
      </c>
      <c r="H89" s="30" t="s">
        <v>194</v>
      </c>
      <c r="I89" s="30" t="s">
        <v>16066</v>
      </c>
      <c r="J89" s="35" t="s">
        <v>9302</v>
      </c>
      <c r="K89" s="35">
        <v>18</v>
      </c>
      <c r="L89" s="35" t="s">
        <v>6955</v>
      </c>
      <c r="M89" s="35"/>
      <c r="N89" s="35" t="s">
        <v>17440</v>
      </c>
      <c r="O89" s="35" t="s">
        <v>6921</v>
      </c>
      <c r="P89" s="35" t="s">
        <v>17244</v>
      </c>
      <c r="Q89" s="35" t="s">
        <v>16304</v>
      </c>
      <c r="R89" s="35" t="s">
        <v>17040</v>
      </c>
      <c r="S89" s="35">
        <v>2427416</v>
      </c>
      <c r="T89" s="35">
        <v>34579742</v>
      </c>
      <c r="U89" s="35"/>
      <c r="V89" s="30"/>
      <c r="W89" s="505" t="s">
        <v>3629</v>
      </c>
      <c r="X89" s="35" t="s">
        <v>193</v>
      </c>
      <c r="Y89" s="30">
        <v>25</v>
      </c>
      <c r="Z89" s="35"/>
      <c r="AA89" s="35"/>
      <c r="AB89" s="35"/>
      <c r="AC89" s="35"/>
      <c r="AD89" s="35"/>
      <c r="AE89" s="35"/>
      <c r="AF89" s="35"/>
      <c r="AG89" s="35"/>
      <c r="AH89" s="30" t="s">
        <v>4714</v>
      </c>
      <c r="AI89" s="35" t="s">
        <v>17439</v>
      </c>
      <c r="AJ89" s="62" t="str">
        <f>MID('I kw.22'!W89,8,6)</f>
        <v>251903</v>
      </c>
      <c r="AK89" s="62">
        <v>1</v>
      </c>
      <c r="AL89" s="62">
        <f t="shared" si="1"/>
        <v>1</v>
      </c>
      <c r="AM89" s="62">
        <v>1</v>
      </c>
    </row>
    <row r="90" spans="1:39" x14ac:dyDescent="0.25">
      <c r="A90" s="35" t="s">
        <v>4969</v>
      </c>
      <c r="B90" s="35" t="s">
        <v>17437</v>
      </c>
      <c r="C90" s="35" t="s">
        <v>10</v>
      </c>
      <c r="D90" s="35" t="s">
        <v>16073</v>
      </c>
      <c r="E90" s="35" t="s">
        <v>192</v>
      </c>
      <c r="F90" s="62">
        <v>1</v>
      </c>
      <c r="G90" s="30" t="s">
        <v>193</v>
      </c>
      <c r="H90" s="30" t="s">
        <v>194</v>
      </c>
      <c r="I90" s="30" t="s">
        <v>16121</v>
      </c>
      <c r="J90" s="35" t="s">
        <v>9302</v>
      </c>
      <c r="K90" s="35">
        <v>18</v>
      </c>
      <c r="L90" s="35" t="s">
        <v>6955</v>
      </c>
      <c r="M90" s="35"/>
      <c r="N90" s="35" t="s">
        <v>17438</v>
      </c>
      <c r="O90" s="35" t="s">
        <v>6261</v>
      </c>
      <c r="P90" s="35" t="s">
        <v>17244</v>
      </c>
      <c r="Q90" s="35" t="s">
        <v>16304</v>
      </c>
      <c r="R90" s="35" t="s">
        <v>17040</v>
      </c>
      <c r="S90" s="35">
        <v>2427437</v>
      </c>
      <c r="T90" s="35">
        <v>34579763</v>
      </c>
      <c r="U90" s="35"/>
      <c r="V90" s="30"/>
      <c r="W90" s="505" t="s">
        <v>484</v>
      </c>
      <c r="X90" s="35" t="s">
        <v>193</v>
      </c>
      <c r="Y90" s="30">
        <v>25</v>
      </c>
      <c r="Z90" s="35"/>
      <c r="AA90" s="35"/>
      <c r="AB90" s="35"/>
      <c r="AC90" s="35"/>
      <c r="AD90" s="35"/>
      <c r="AE90" s="35"/>
      <c r="AF90" s="35"/>
      <c r="AG90" s="35"/>
      <c r="AH90" s="30" t="s">
        <v>4714</v>
      </c>
      <c r="AI90" s="35" t="s">
        <v>17437</v>
      </c>
      <c r="AJ90" s="62" t="str">
        <f>MID('I kw.22'!W90,8,6)</f>
        <v>251401</v>
      </c>
      <c r="AK90" s="62">
        <v>1</v>
      </c>
      <c r="AL90" s="62">
        <f t="shared" si="1"/>
        <v>1</v>
      </c>
      <c r="AM90" s="62">
        <v>1</v>
      </c>
    </row>
    <row r="91" spans="1:39" x14ac:dyDescent="0.25">
      <c r="A91" s="35" t="s">
        <v>690</v>
      </c>
      <c r="B91" s="35" t="s">
        <v>17435</v>
      </c>
      <c r="C91" s="35" t="s">
        <v>10</v>
      </c>
      <c r="D91" s="35" t="s">
        <v>16073</v>
      </c>
      <c r="E91" s="35" t="s">
        <v>192</v>
      </c>
      <c r="F91" s="62">
        <v>1</v>
      </c>
      <c r="G91" s="30" t="s">
        <v>193</v>
      </c>
      <c r="H91" s="30" t="s">
        <v>194</v>
      </c>
      <c r="I91" s="30" t="s">
        <v>16121</v>
      </c>
      <c r="J91" s="35" t="s">
        <v>9302</v>
      </c>
      <c r="K91" s="35">
        <v>18</v>
      </c>
      <c r="L91" s="35" t="s">
        <v>6955</v>
      </c>
      <c r="M91" s="35"/>
      <c r="N91" s="35" t="s">
        <v>17436</v>
      </c>
      <c r="O91" s="35" t="s">
        <v>6261</v>
      </c>
      <c r="P91" s="35" t="s">
        <v>17244</v>
      </c>
      <c r="Q91" s="35" t="s">
        <v>16304</v>
      </c>
      <c r="R91" s="35" t="s">
        <v>17040</v>
      </c>
      <c r="S91" s="35">
        <v>2427454</v>
      </c>
      <c r="T91" s="35">
        <v>34579780</v>
      </c>
      <c r="U91" s="35"/>
      <c r="V91" s="30"/>
      <c r="W91" s="505" t="s">
        <v>484</v>
      </c>
      <c r="X91" s="35" t="s">
        <v>193</v>
      </c>
      <c r="Y91" s="30">
        <v>25</v>
      </c>
      <c r="Z91" s="35"/>
      <c r="AA91" s="35"/>
      <c r="AB91" s="35"/>
      <c r="AC91" s="35"/>
      <c r="AD91" s="35"/>
      <c r="AE91" s="35"/>
      <c r="AF91" s="35"/>
      <c r="AG91" s="35"/>
      <c r="AH91" s="30" t="s">
        <v>4714</v>
      </c>
      <c r="AI91" s="35" t="s">
        <v>17435</v>
      </c>
      <c r="AJ91" s="62" t="str">
        <f>MID('I kw.22'!W91,8,6)</f>
        <v>251401</v>
      </c>
      <c r="AK91" s="62">
        <v>1</v>
      </c>
      <c r="AL91" s="62">
        <f t="shared" si="1"/>
        <v>1</v>
      </c>
      <c r="AM91" s="62">
        <v>1</v>
      </c>
    </row>
    <row r="92" spans="1:39" x14ac:dyDescent="0.25">
      <c r="A92" s="35" t="s">
        <v>17434</v>
      </c>
      <c r="B92" s="35" t="s">
        <v>17432</v>
      </c>
      <c r="C92" s="35" t="s">
        <v>15819</v>
      </c>
      <c r="D92" s="35" t="s">
        <v>16073</v>
      </c>
      <c r="E92" s="35" t="s">
        <v>192</v>
      </c>
      <c r="F92" s="62">
        <v>1</v>
      </c>
      <c r="G92" s="30" t="s">
        <v>193</v>
      </c>
      <c r="H92" s="30" t="s">
        <v>194</v>
      </c>
      <c r="I92" s="30" t="s">
        <v>16066</v>
      </c>
      <c r="J92" s="35" t="s">
        <v>9302</v>
      </c>
      <c r="K92" s="35">
        <v>18</v>
      </c>
      <c r="L92" s="35" t="s">
        <v>6955</v>
      </c>
      <c r="M92" s="35"/>
      <c r="N92" s="35" t="s">
        <v>17433</v>
      </c>
      <c r="O92" s="35" t="s">
        <v>6258</v>
      </c>
      <c r="P92" s="35" t="s">
        <v>17244</v>
      </c>
      <c r="Q92" s="35" t="s">
        <v>16304</v>
      </c>
      <c r="R92" s="35" t="s">
        <v>17040</v>
      </c>
      <c r="S92" s="35">
        <v>2427481</v>
      </c>
      <c r="T92" s="35">
        <v>34579807</v>
      </c>
      <c r="U92" s="35"/>
      <c r="V92" s="30"/>
      <c r="W92" s="505" t="s">
        <v>15823</v>
      </c>
      <c r="X92" s="35" t="s">
        <v>193</v>
      </c>
      <c r="Y92" s="30">
        <v>25</v>
      </c>
      <c r="Z92" s="35"/>
      <c r="AA92" s="35"/>
      <c r="AB92" s="35"/>
      <c r="AC92" s="35"/>
      <c r="AD92" s="35"/>
      <c r="AE92" s="35"/>
      <c r="AF92" s="35"/>
      <c r="AG92" s="35"/>
      <c r="AH92" s="30" t="s">
        <v>4714</v>
      </c>
      <c r="AI92" s="35" t="s">
        <v>17432</v>
      </c>
      <c r="AJ92" s="62" t="str">
        <f>MID('I kw.22'!W92,8,6)</f>
        <v>711102</v>
      </c>
      <c r="AK92" s="62">
        <v>1</v>
      </c>
      <c r="AL92" s="62">
        <f t="shared" si="1"/>
        <v>1</v>
      </c>
      <c r="AM92" s="62">
        <v>1</v>
      </c>
    </row>
    <row r="93" spans="1:39" x14ac:dyDescent="0.25">
      <c r="A93" s="35" t="s">
        <v>17123</v>
      </c>
      <c r="B93" s="35" t="s">
        <v>17430</v>
      </c>
      <c r="C93" s="35" t="s">
        <v>778</v>
      </c>
      <c r="D93" s="35" t="s">
        <v>16073</v>
      </c>
      <c r="E93" s="35" t="s">
        <v>192</v>
      </c>
      <c r="F93" s="62">
        <v>1</v>
      </c>
      <c r="G93" s="30" t="s">
        <v>193</v>
      </c>
      <c r="H93" s="30" t="s">
        <v>194</v>
      </c>
      <c r="I93" s="30" t="s">
        <v>16121</v>
      </c>
      <c r="J93" s="35" t="s">
        <v>9302</v>
      </c>
      <c r="K93" s="35">
        <v>18</v>
      </c>
      <c r="L93" s="35" t="s">
        <v>6955</v>
      </c>
      <c r="M93" s="35"/>
      <c r="N93" s="35" t="s">
        <v>17431</v>
      </c>
      <c r="O93" s="35" t="s">
        <v>6245</v>
      </c>
      <c r="P93" s="35" t="s">
        <v>17244</v>
      </c>
      <c r="Q93" s="35" t="s">
        <v>16304</v>
      </c>
      <c r="R93" s="35" t="s">
        <v>17040</v>
      </c>
      <c r="S93" s="35">
        <v>2427506</v>
      </c>
      <c r="T93" s="35">
        <v>34579832</v>
      </c>
      <c r="U93" s="35"/>
      <c r="V93" s="30"/>
      <c r="W93" s="505" t="s">
        <v>779</v>
      </c>
      <c r="X93" s="35" t="s">
        <v>193</v>
      </c>
      <c r="Y93" s="30">
        <v>25</v>
      </c>
      <c r="Z93" s="35"/>
      <c r="AA93" s="35"/>
      <c r="AB93" s="35"/>
      <c r="AC93" s="35"/>
      <c r="AD93" s="35"/>
      <c r="AE93" s="35"/>
      <c r="AF93" s="35"/>
      <c r="AG93" s="35"/>
      <c r="AH93" s="30" t="s">
        <v>4714</v>
      </c>
      <c r="AI93" s="35" t="s">
        <v>17430</v>
      </c>
      <c r="AJ93" s="62" t="str">
        <f>MID('I kw.22'!W93,8,6)</f>
        <v>524902</v>
      </c>
      <c r="AK93" s="62">
        <v>1</v>
      </c>
      <c r="AL93" s="496">
        <f t="shared" si="1"/>
        <v>1</v>
      </c>
      <c r="AM93" s="62">
        <v>1</v>
      </c>
    </row>
    <row r="94" spans="1:39" x14ac:dyDescent="0.25">
      <c r="A94" s="35" t="s">
        <v>17049</v>
      </c>
      <c r="B94" s="35" t="s">
        <v>17428</v>
      </c>
      <c r="C94" s="35" t="s">
        <v>1384</v>
      </c>
      <c r="D94" s="35" t="s">
        <v>16073</v>
      </c>
      <c r="E94" s="35" t="s">
        <v>192</v>
      </c>
      <c r="F94" s="62">
        <v>1</v>
      </c>
      <c r="G94" s="30" t="s">
        <v>193</v>
      </c>
      <c r="H94" s="30" t="s">
        <v>194</v>
      </c>
      <c r="I94" s="30" t="s">
        <v>16121</v>
      </c>
      <c r="J94" s="35" t="s">
        <v>9302</v>
      </c>
      <c r="K94" s="35">
        <v>18</v>
      </c>
      <c r="L94" s="35" t="s">
        <v>6955</v>
      </c>
      <c r="M94" s="35"/>
      <c r="N94" s="35" t="s">
        <v>17429</v>
      </c>
      <c r="O94" s="35" t="s">
        <v>6245</v>
      </c>
      <c r="P94" s="35" t="s">
        <v>17244</v>
      </c>
      <c r="Q94" s="35" t="s">
        <v>16304</v>
      </c>
      <c r="R94" s="35" t="s">
        <v>17040</v>
      </c>
      <c r="S94" s="35">
        <v>2427522</v>
      </c>
      <c r="T94" s="35">
        <v>34579848</v>
      </c>
      <c r="U94" s="35"/>
      <c r="V94" s="30"/>
      <c r="W94" s="505" t="s">
        <v>1385</v>
      </c>
      <c r="X94" s="35" t="s">
        <v>193</v>
      </c>
      <c r="Y94" s="30">
        <v>25</v>
      </c>
      <c r="Z94" s="35"/>
      <c r="AA94" s="35"/>
      <c r="AB94" s="35"/>
      <c r="AC94" s="35"/>
      <c r="AD94" s="35"/>
      <c r="AE94" s="35"/>
      <c r="AF94" s="35"/>
      <c r="AG94" s="35"/>
      <c r="AH94" s="30" t="s">
        <v>4714</v>
      </c>
      <c r="AI94" s="35" t="s">
        <v>17428</v>
      </c>
      <c r="AJ94" s="62" t="str">
        <f>MID('I kw.22'!W94,8,6)</f>
        <v>235915</v>
      </c>
      <c r="AK94" s="62">
        <v>1</v>
      </c>
      <c r="AL94" s="496">
        <f t="shared" si="1"/>
        <v>1</v>
      </c>
      <c r="AM94" s="62">
        <v>1</v>
      </c>
    </row>
    <row r="95" spans="1:39" x14ac:dyDescent="0.25">
      <c r="A95" s="35" t="s">
        <v>17427</v>
      </c>
      <c r="B95" s="35" t="s">
        <v>632</v>
      </c>
      <c r="C95" s="35" t="s">
        <v>17</v>
      </c>
      <c r="D95" s="35" t="s">
        <v>16073</v>
      </c>
      <c r="E95" s="35" t="s">
        <v>192</v>
      </c>
      <c r="F95" s="62">
        <v>1</v>
      </c>
      <c r="G95" s="30" t="s">
        <v>193</v>
      </c>
      <c r="H95" s="30" t="s">
        <v>194</v>
      </c>
      <c r="I95" s="30" t="s">
        <v>16121</v>
      </c>
      <c r="J95" s="35" t="s">
        <v>9302</v>
      </c>
      <c r="K95" s="35">
        <v>18</v>
      </c>
      <c r="L95" s="35" t="s">
        <v>6955</v>
      </c>
      <c r="M95" s="35"/>
      <c r="N95" s="35" t="s">
        <v>17426</v>
      </c>
      <c r="O95" s="35" t="s">
        <v>6251</v>
      </c>
      <c r="P95" s="35" t="s">
        <v>17260</v>
      </c>
      <c r="Q95" s="35" t="s">
        <v>16304</v>
      </c>
      <c r="R95" s="35" t="s">
        <v>17040</v>
      </c>
      <c r="S95" s="35">
        <v>2427553</v>
      </c>
      <c r="T95" s="35">
        <v>34579879</v>
      </c>
      <c r="U95" s="35"/>
      <c r="V95" s="30"/>
      <c r="W95" s="505" t="s">
        <v>624</v>
      </c>
      <c r="X95" s="35" t="s">
        <v>193</v>
      </c>
      <c r="Y95" s="30">
        <v>25</v>
      </c>
      <c r="Z95" s="35"/>
      <c r="AA95" s="35"/>
      <c r="AB95" s="35"/>
      <c r="AC95" s="35"/>
      <c r="AD95" s="35"/>
      <c r="AE95" s="35"/>
      <c r="AF95" s="35"/>
      <c r="AG95" s="35"/>
      <c r="AH95" s="30" t="s">
        <v>4714</v>
      </c>
      <c r="AI95" s="35" t="s">
        <v>17</v>
      </c>
      <c r="AJ95" s="62" t="str">
        <f>MID('I kw.22'!W95,8,6)</f>
        <v>332203</v>
      </c>
      <c r="AK95" s="62">
        <v>1</v>
      </c>
      <c r="AL95" s="62">
        <f t="shared" si="1"/>
        <v>1</v>
      </c>
      <c r="AM95" s="62">
        <v>1</v>
      </c>
    </row>
    <row r="96" spans="1:39" x14ac:dyDescent="0.25">
      <c r="A96" s="35" t="s">
        <v>17425</v>
      </c>
      <c r="B96" s="35" t="s">
        <v>17423</v>
      </c>
      <c r="C96" s="35" t="s">
        <v>366</v>
      </c>
      <c r="D96" s="35" t="s">
        <v>16073</v>
      </c>
      <c r="E96" s="35" t="s">
        <v>192</v>
      </c>
      <c r="F96" s="62">
        <v>1</v>
      </c>
      <c r="G96" s="30" t="s">
        <v>193</v>
      </c>
      <c r="H96" s="30" t="s">
        <v>194</v>
      </c>
      <c r="I96" s="30" t="s">
        <v>16078</v>
      </c>
      <c r="J96" s="35" t="s">
        <v>9302</v>
      </c>
      <c r="K96" s="35">
        <v>18</v>
      </c>
      <c r="L96" s="35" t="s">
        <v>6955</v>
      </c>
      <c r="M96" s="35"/>
      <c r="N96" s="35" t="s">
        <v>17424</v>
      </c>
      <c r="O96" s="35" t="s">
        <v>6245</v>
      </c>
      <c r="P96" s="35" t="s">
        <v>17244</v>
      </c>
      <c r="Q96" s="35" t="s">
        <v>16304</v>
      </c>
      <c r="R96" s="35" t="s">
        <v>17040</v>
      </c>
      <c r="S96" s="35">
        <v>2427564</v>
      </c>
      <c r="T96" s="35">
        <v>34579890</v>
      </c>
      <c r="U96" s="35"/>
      <c r="V96" s="30"/>
      <c r="W96" s="505" t="s">
        <v>368</v>
      </c>
      <c r="X96" s="35" t="s">
        <v>193</v>
      </c>
      <c r="Y96" s="30">
        <v>25</v>
      </c>
      <c r="Z96" s="35"/>
      <c r="AA96" s="35"/>
      <c r="AB96" s="35"/>
      <c r="AC96" s="35"/>
      <c r="AD96" s="35"/>
      <c r="AE96" s="35"/>
      <c r="AF96" s="35"/>
      <c r="AG96" s="35"/>
      <c r="AH96" s="30" t="s">
        <v>4714</v>
      </c>
      <c r="AI96" s="35" t="s">
        <v>17423</v>
      </c>
      <c r="AJ96" s="62" t="str">
        <f>MID('I kw.22'!W96,8,6)</f>
        <v>215201</v>
      </c>
      <c r="AK96" s="62">
        <v>1</v>
      </c>
      <c r="AL96" s="62">
        <f t="shared" si="1"/>
        <v>1</v>
      </c>
      <c r="AM96" s="62">
        <v>1</v>
      </c>
    </row>
    <row r="97" spans="1:39" x14ac:dyDescent="0.25">
      <c r="A97" s="35" t="s">
        <v>17422</v>
      </c>
      <c r="B97" s="35" t="s">
        <v>17420</v>
      </c>
      <c r="C97" s="35" t="s">
        <v>778</v>
      </c>
      <c r="D97" s="35" t="s">
        <v>16073</v>
      </c>
      <c r="E97" s="35" t="s">
        <v>192</v>
      </c>
      <c r="F97" s="62">
        <v>1</v>
      </c>
      <c r="G97" s="30" t="s">
        <v>193</v>
      </c>
      <c r="H97" s="30" t="s">
        <v>194</v>
      </c>
      <c r="I97" s="30" t="s">
        <v>16121</v>
      </c>
      <c r="J97" s="35" t="s">
        <v>9302</v>
      </c>
      <c r="K97" s="35">
        <v>18</v>
      </c>
      <c r="L97" s="35" t="s">
        <v>6955</v>
      </c>
      <c r="M97" s="35"/>
      <c r="N97" s="35" t="s">
        <v>17421</v>
      </c>
      <c r="O97" s="35" t="s">
        <v>6251</v>
      </c>
      <c r="P97" s="35" t="s">
        <v>17244</v>
      </c>
      <c r="Q97" s="35" t="s">
        <v>16304</v>
      </c>
      <c r="R97" s="35" t="s">
        <v>17040</v>
      </c>
      <c r="S97" s="35">
        <v>2427572</v>
      </c>
      <c r="T97" s="35">
        <v>34579898</v>
      </c>
      <c r="U97" s="35"/>
      <c r="V97" s="30"/>
      <c r="W97" s="505" t="s">
        <v>779</v>
      </c>
      <c r="X97" s="35" t="s">
        <v>193</v>
      </c>
      <c r="Y97" s="30">
        <v>25</v>
      </c>
      <c r="Z97" s="35"/>
      <c r="AA97" s="35"/>
      <c r="AB97" s="35"/>
      <c r="AC97" s="35"/>
      <c r="AD97" s="35"/>
      <c r="AE97" s="35"/>
      <c r="AF97" s="35"/>
      <c r="AG97" s="35"/>
      <c r="AH97" s="30" t="s">
        <v>4714</v>
      </c>
      <c r="AI97" s="35" t="s">
        <v>17420</v>
      </c>
      <c r="AJ97" s="62" t="str">
        <f>MID('I kw.22'!W97,8,6)</f>
        <v>524902</v>
      </c>
      <c r="AK97" s="62">
        <v>1</v>
      </c>
      <c r="AL97" s="62">
        <f t="shared" si="1"/>
        <v>1</v>
      </c>
      <c r="AM97" s="62">
        <v>1</v>
      </c>
    </row>
    <row r="98" spans="1:39" x14ac:dyDescent="0.25">
      <c r="A98" s="35" t="s">
        <v>10307</v>
      </c>
      <c r="B98" s="35" t="s">
        <v>17418</v>
      </c>
      <c r="C98" s="35" t="s">
        <v>4090</v>
      </c>
      <c r="D98" s="35" t="s">
        <v>16073</v>
      </c>
      <c r="E98" s="35" t="s">
        <v>192</v>
      </c>
      <c r="F98" s="62">
        <v>1</v>
      </c>
      <c r="G98" s="30" t="s">
        <v>193</v>
      </c>
      <c r="H98" s="30" t="s">
        <v>194</v>
      </c>
      <c r="I98" s="30" t="s">
        <v>16048</v>
      </c>
      <c r="J98" s="35" t="s">
        <v>9302</v>
      </c>
      <c r="K98" s="35">
        <v>18</v>
      </c>
      <c r="L98" s="35" t="s">
        <v>6955</v>
      </c>
      <c r="M98" s="35"/>
      <c r="N98" s="35" t="s">
        <v>17419</v>
      </c>
      <c r="O98" s="35" t="s">
        <v>6254</v>
      </c>
      <c r="P98" s="35" t="s">
        <v>17244</v>
      </c>
      <c r="Q98" s="35" t="s">
        <v>16304</v>
      </c>
      <c r="R98" s="35" t="s">
        <v>17040</v>
      </c>
      <c r="S98" s="35">
        <v>2427603</v>
      </c>
      <c r="T98" s="35">
        <v>34579929</v>
      </c>
      <c r="U98" s="35"/>
      <c r="V98" s="30"/>
      <c r="W98" s="505" t="s">
        <v>4091</v>
      </c>
      <c r="X98" s="35" t="s">
        <v>193</v>
      </c>
      <c r="Y98" s="30">
        <v>25</v>
      </c>
      <c r="Z98" s="35"/>
      <c r="AA98" s="35"/>
      <c r="AB98" s="35"/>
      <c r="AC98" s="35"/>
      <c r="AD98" s="35"/>
      <c r="AE98" s="35"/>
      <c r="AF98" s="35"/>
      <c r="AG98" s="35"/>
      <c r="AH98" s="30" t="s">
        <v>4714</v>
      </c>
      <c r="AI98" s="35" t="s">
        <v>17418</v>
      </c>
      <c r="AJ98" s="62" t="str">
        <f>MID('I kw.22'!W98,8,6)</f>
        <v>421403</v>
      </c>
      <c r="AK98" s="62">
        <v>1</v>
      </c>
      <c r="AL98" s="62">
        <f t="shared" si="1"/>
        <v>1</v>
      </c>
      <c r="AM98" s="62">
        <v>1</v>
      </c>
    </row>
    <row r="99" spans="1:39" x14ac:dyDescent="0.25">
      <c r="A99" s="35" t="s">
        <v>9346</v>
      </c>
      <c r="B99" s="35" t="s">
        <v>17416</v>
      </c>
      <c r="C99" s="35" t="s">
        <v>10</v>
      </c>
      <c r="D99" s="35" t="s">
        <v>16073</v>
      </c>
      <c r="E99" s="35" t="s">
        <v>192</v>
      </c>
      <c r="F99" s="62">
        <v>1</v>
      </c>
      <c r="G99" s="30" t="s">
        <v>193</v>
      </c>
      <c r="H99" s="30" t="s">
        <v>194</v>
      </c>
      <c r="I99" s="30" t="s">
        <v>16121</v>
      </c>
      <c r="J99" s="35" t="s">
        <v>9302</v>
      </c>
      <c r="K99" s="35">
        <v>18</v>
      </c>
      <c r="L99" s="35" t="s">
        <v>6955</v>
      </c>
      <c r="M99" s="35"/>
      <c r="N99" s="35" t="s">
        <v>17417</v>
      </c>
      <c r="O99" s="35" t="s">
        <v>6295</v>
      </c>
      <c r="P99" s="35" t="s">
        <v>17244</v>
      </c>
      <c r="Q99" s="35" t="s">
        <v>16304</v>
      </c>
      <c r="R99" s="35" t="s">
        <v>17040</v>
      </c>
      <c r="S99" s="35">
        <v>2427619</v>
      </c>
      <c r="T99" s="35">
        <v>34579945</v>
      </c>
      <c r="U99" s="35"/>
      <c r="V99" s="30"/>
      <c r="W99" s="505" t="s">
        <v>484</v>
      </c>
      <c r="X99" s="35" t="s">
        <v>193</v>
      </c>
      <c r="Y99" s="30">
        <v>25</v>
      </c>
      <c r="Z99" s="35"/>
      <c r="AA99" s="35"/>
      <c r="AB99" s="35"/>
      <c r="AC99" s="35"/>
      <c r="AD99" s="35"/>
      <c r="AE99" s="35"/>
      <c r="AF99" s="35"/>
      <c r="AG99" s="35"/>
      <c r="AH99" s="30" t="s">
        <v>4714</v>
      </c>
      <c r="AI99" s="35" t="s">
        <v>17416</v>
      </c>
      <c r="AJ99" s="62" t="str">
        <f>MID('I kw.22'!W99,8,6)</f>
        <v>251401</v>
      </c>
      <c r="AK99" s="62">
        <v>1</v>
      </c>
      <c r="AL99" s="62">
        <f t="shared" si="1"/>
        <v>1</v>
      </c>
      <c r="AM99" s="62">
        <v>1</v>
      </c>
    </row>
    <row r="100" spans="1:39" x14ac:dyDescent="0.25">
      <c r="A100" s="35" t="s">
        <v>17415</v>
      </c>
      <c r="B100" s="35" t="s">
        <v>16276</v>
      </c>
      <c r="C100" s="35" t="s">
        <v>420</v>
      </c>
      <c r="D100" s="35" t="s">
        <v>16073</v>
      </c>
      <c r="E100" s="35" t="s">
        <v>192</v>
      </c>
      <c r="F100" s="62">
        <v>1</v>
      </c>
      <c r="G100" s="30" t="s">
        <v>193</v>
      </c>
      <c r="H100" s="30" t="s">
        <v>194</v>
      </c>
      <c r="I100" s="30" t="s">
        <v>16048</v>
      </c>
      <c r="J100" s="35" t="s">
        <v>9302</v>
      </c>
      <c r="K100" s="35">
        <v>18</v>
      </c>
      <c r="L100" s="35" t="s">
        <v>6955</v>
      </c>
      <c r="M100" s="35"/>
      <c r="N100" s="35" t="s">
        <v>17414</v>
      </c>
      <c r="O100" s="35" t="s">
        <v>7531</v>
      </c>
      <c r="P100" s="35" t="s">
        <v>17244</v>
      </c>
      <c r="Q100" s="35" t="s">
        <v>16304</v>
      </c>
      <c r="R100" s="35" t="s">
        <v>17040</v>
      </c>
      <c r="S100" s="35">
        <v>2427635</v>
      </c>
      <c r="T100" s="35">
        <v>34579961</v>
      </c>
      <c r="U100" s="35"/>
      <c r="V100" s="30"/>
      <c r="W100" s="505" t="s">
        <v>421</v>
      </c>
      <c r="X100" s="35" t="s">
        <v>193</v>
      </c>
      <c r="Y100" s="30">
        <v>25</v>
      </c>
      <c r="Z100" s="35"/>
      <c r="AA100" s="35"/>
      <c r="AB100" s="35"/>
      <c r="AC100" s="35"/>
      <c r="AD100" s="35"/>
      <c r="AE100" s="35"/>
      <c r="AF100" s="35"/>
      <c r="AG100" s="35"/>
      <c r="AH100" s="30" t="s">
        <v>4714</v>
      </c>
      <c r="AI100" s="35" t="s">
        <v>16276</v>
      </c>
      <c r="AJ100" s="62" t="str">
        <f>MID('I kw.22'!W100,8,6)</f>
        <v>241306</v>
      </c>
      <c r="AK100" s="62">
        <v>1</v>
      </c>
      <c r="AL100" s="62">
        <f t="shared" si="1"/>
        <v>1</v>
      </c>
      <c r="AM100" s="62">
        <v>1</v>
      </c>
    </row>
    <row r="101" spans="1:39" x14ac:dyDescent="0.25">
      <c r="A101" s="35" t="s">
        <v>17413</v>
      </c>
      <c r="B101" s="35" t="s">
        <v>17411</v>
      </c>
      <c r="C101" s="35" t="s">
        <v>319</v>
      </c>
      <c r="D101" s="35" t="s">
        <v>16073</v>
      </c>
      <c r="E101" s="35" t="s">
        <v>192</v>
      </c>
      <c r="F101" s="62">
        <v>1</v>
      </c>
      <c r="G101" s="30" t="s">
        <v>193</v>
      </c>
      <c r="H101" s="30" t="s">
        <v>194</v>
      </c>
      <c r="I101" s="30" t="s">
        <v>16048</v>
      </c>
      <c r="J101" s="35" t="s">
        <v>9302</v>
      </c>
      <c r="K101" s="35">
        <v>18</v>
      </c>
      <c r="L101" s="35" t="s">
        <v>6955</v>
      </c>
      <c r="M101" s="35"/>
      <c r="N101" s="35" t="s">
        <v>17412</v>
      </c>
      <c r="O101" s="35" t="s">
        <v>6258</v>
      </c>
      <c r="P101" s="35" t="s">
        <v>17244</v>
      </c>
      <c r="Q101" s="35" t="s">
        <v>16304</v>
      </c>
      <c r="R101" s="35" t="s">
        <v>17040</v>
      </c>
      <c r="S101" s="35">
        <v>2427644</v>
      </c>
      <c r="T101" s="35">
        <v>34579970</v>
      </c>
      <c r="U101" s="35"/>
      <c r="V101" s="30"/>
      <c r="W101" s="505" t="s">
        <v>320</v>
      </c>
      <c r="X101" s="35" t="s">
        <v>193</v>
      </c>
      <c r="Y101" s="30">
        <v>25</v>
      </c>
      <c r="Z101" s="35"/>
      <c r="AA101" s="35"/>
      <c r="AB101" s="35"/>
      <c r="AC101" s="35"/>
      <c r="AD101" s="35"/>
      <c r="AE101" s="35"/>
      <c r="AF101" s="35"/>
      <c r="AG101" s="35"/>
      <c r="AH101" s="30" t="s">
        <v>4714</v>
      </c>
      <c r="AI101" s="35" t="s">
        <v>17411</v>
      </c>
      <c r="AJ101" s="62" t="str">
        <f>MID('I kw.22'!W101,8,6)</f>
        <v>214407</v>
      </c>
      <c r="AK101" s="62">
        <v>1</v>
      </c>
      <c r="AL101" s="62">
        <f t="shared" si="1"/>
        <v>1</v>
      </c>
      <c r="AM101" s="62">
        <v>1</v>
      </c>
    </row>
    <row r="102" spans="1:39" x14ac:dyDescent="0.25">
      <c r="A102" s="35" t="s">
        <v>10278</v>
      </c>
      <c r="B102" s="35" t="s">
        <v>10970</v>
      </c>
      <c r="C102" s="35" t="s">
        <v>8953</v>
      </c>
      <c r="D102" s="35" t="s">
        <v>16073</v>
      </c>
      <c r="E102" s="35" t="s">
        <v>192</v>
      </c>
      <c r="F102" s="62">
        <v>1</v>
      </c>
      <c r="G102" s="30" t="s">
        <v>193</v>
      </c>
      <c r="H102" s="30" t="s">
        <v>194</v>
      </c>
      <c r="I102" s="30" t="s">
        <v>16061</v>
      </c>
      <c r="J102" s="35" t="s">
        <v>9302</v>
      </c>
      <c r="K102" s="35">
        <v>18</v>
      </c>
      <c r="L102" s="35" t="s">
        <v>6955</v>
      </c>
      <c r="M102" s="35"/>
      <c r="N102" s="35" t="s">
        <v>17410</v>
      </c>
      <c r="O102" s="35" t="s">
        <v>6295</v>
      </c>
      <c r="P102" s="35" t="s">
        <v>17244</v>
      </c>
      <c r="Q102" s="35" t="s">
        <v>16304</v>
      </c>
      <c r="R102" s="35" t="s">
        <v>17040</v>
      </c>
      <c r="S102" s="35">
        <v>2427663</v>
      </c>
      <c r="T102" s="35">
        <v>34579989</v>
      </c>
      <c r="U102" s="35"/>
      <c r="V102" s="30"/>
      <c r="W102" s="505" t="s">
        <v>8955</v>
      </c>
      <c r="X102" s="35" t="s">
        <v>193</v>
      </c>
      <c r="Y102" s="30">
        <v>25</v>
      </c>
      <c r="Z102" s="35"/>
      <c r="AA102" s="35"/>
      <c r="AB102" s="35"/>
      <c r="AC102" s="35"/>
      <c r="AD102" s="35"/>
      <c r="AE102" s="35"/>
      <c r="AF102" s="35"/>
      <c r="AG102" s="35"/>
      <c r="AH102" s="30" t="s">
        <v>4714</v>
      </c>
      <c r="AI102" s="35" t="s">
        <v>10970</v>
      </c>
      <c r="AJ102" s="62" t="str">
        <f>MID('I kw.22'!W102,8,6)</f>
        <v>252103</v>
      </c>
      <c r="AK102" s="62">
        <v>1</v>
      </c>
      <c r="AL102" s="62">
        <f t="shared" si="1"/>
        <v>1</v>
      </c>
      <c r="AM102" s="62">
        <v>1</v>
      </c>
    </row>
    <row r="103" spans="1:39" x14ac:dyDescent="0.25">
      <c r="A103" s="35" t="s">
        <v>10278</v>
      </c>
      <c r="B103" s="35" t="s">
        <v>17408</v>
      </c>
      <c r="C103" s="35" t="s">
        <v>10</v>
      </c>
      <c r="D103" s="35" t="s">
        <v>16073</v>
      </c>
      <c r="E103" s="35" t="s">
        <v>192</v>
      </c>
      <c r="F103" s="62">
        <v>1</v>
      </c>
      <c r="G103" s="30" t="s">
        <v>193</v>
      </c>
      <c r="H103" s="30" t="s">
        <v>194</v>
      </c>
      <c r="I103" s="30" t="s">
        <v>16078</v>
      </c>
      <c r="J103" s="35" t="s">
        <v>9302</v>
      </c>
      <c r="K103" s="35">
        <v>18</v>
      </c>
      <c r="L103" s="35" t="s">
        <v>6955</v>
      </c>
      <c r="M103" s="35"/>
      <c r="N103" s="35" t="s">
        <v>17409</v>
      </c>
      <c r="O103" s="35" t="s">
        <v>6261</v>
      </c>
      <c r="P103" s="35" t="s">
        <v>17244</v>
      </c>
      <c r="Q103" s="35" t="s">
        <v>16304</v>
      </c>
      <c r="R103" s="35" t="s">
        <v>17040</v>
      </c>
      <c r="S103" s="35">
        <v>2427676</v>
      </c>
      <c r="T103" s="35">
        <v>34580002</v>
      </c>
      <c r="U103" s="35"/>
      <c r="V103" s="30"/>
      <c r="W103" s="505" t="s">
        <v>484</v>
      </c>
      <c r="X103" s="35" t="s">
        <v>193</v>
      </c>
      <c r="Y103" s="30">
        <v>25</v>
      </c>
      <c r="Z103" s="35"/>
      <c r="AA103" s="35"/>
      <c r="AB103" s="35"/>
      <c r="AC103" s="35"/>
      <c r="AD103" s="35"/>
      <c r="AE103" s="35"/>
      <c r="AF103" s="35"/>
      <c r="AG103" s="35"/>
      <c r="AH103" s="30" t="s">
        <v>4714</v>
      </c>
      <c r="AI103" s="35" t="s">
        <v>17408</v>
      </c>
      <c r="AJ103" s="62" t="str">
        <f>MID('I kw.22'!W103,8,6)</f>
        <v>251401</v>
      </c>
      <c r="AK103" s="62">
        <v>1</v>
      </c>
      <c r="AL103" s="62">
        <f t="shared" si="1"/>
        <v>1</v>
      </c>
      <c r="AM103" s="62">
        <v>1</v>
      </c>
    </row>
    <row r="104" spans="1:39" x14ac:dyDescent="0.25">
      <c r="A104" s="35" t="s">
        <v>11574</v>
      </c>
      <c r="B104" s="35" t="s">
        <v>632</v>
      </c>
      <c r="C104" s="35" t="s">
        <v>17</v>
      </c>
      <c r="D104" s="35" t="s">
        <v>16073</v>
      </c>
      <c r="E104" s="35" t="s">
        <v>192</v>
      </c>
      <c r="F104" s="62">
        <v>1</v>
      </c>
      <c r="G104" s="30" t="s">
        <v>193</v>
      </c>
      <c r="H104" s="30" t="s">
        <v>194</v>
      </c>
      <c r="I104" s="30" t="s">
        <v>16121</v>
      </c>
      <c r="J104" s="35" t="s">
        <v>9302</v>
      </c>
      <c r="K104" s="35">
        <v>18</v>
      </c>
      <c r="L104" s="35" t="s">
        <v>6955</v>
      </c>
      <c r="M104" s="35"/>
      <c r="N104" s="35" t="s">
        <v>17407</v>
      </c>
      <c r="O104" s="35" t="s">
        <v>6249</v>
      </c>
      <c r="P104" s="35" t="s">
        <v>17260</v>
      </c>
      <c r="Q104" s="35" t="s">
        <v>16304</v>
      </c>
      <c r="R104" s="35" t="s">
        <v>17040</v>
      </c>
      <c r="S104" s="35">
        <v>2427699</v>
      </c>
      <c r="T104" s="35">
        <v>34580025</v>
      </c>
      <c r="U104" s="35"/>
      <c r="V104" s="30"/>
      <c r="W104" s="505" t="s">
        <v>624</v>
      </c>
      <c r="X104" s="35" t="s">
        <v>193</v>
      </c>
      <c r="Y104" s="30">
        <v>25</v>
      </c>
      <c r="Z104" s="35"/>
      <c r="AA104" s="35"/>
      <c r="AB104" s="35"/>
      <c r="AC104" s="35"/>
      <c r="AD104" s="35"/>
      <c r="AE104" s="35"/>
      <c r="AF104" s="35"/>
      <c r="AG104" s="35"/>
      <c r="AH104" s="30" t="s">
        <v>4714</v>
      </c>
      <c r="AI104" s="35" t="s">
        <v>17</v>
      </c>
      <c r="AJ104" s="62" t="str">
        <f>MID('I kw.22'!W104,8,6)</f>
        <v>332203</v>
      </c>
      <c r="AK104" s="62">
        <v>1</v>
      </c>
      <c r="AL104" s="62">
        <f t="shared" si="1"/>
        <v>1</v>
      </c>
      <c r="AM104" s="62">
        <v>1</v>
      </c>
    </row>
    <row r="105" spans="1:39" x14ac:dyDescent="0.25">
      <c r="A105" s="35" t="s">
        <v>17406</v>
      </c>
      <c r="B105" s="35" t="s">
        <v>17404</v>
      </c>
      <c r="C105" s="35" t="s">
        <v>57</v>
      </c>
      <c r="D105" s="35" t="s">
        <v>16073</v>
      </c>
      <c r="E105" s="35" t="s">
        <v>192</v>
      </c>
      <c r="F105" s="62">
        <v>1</v>
      </c>
      <c r="G105" s="30" t="s">
        <v>193</v>
      </c>
      <c r="H105" s="30" t="s">
        <v>194</v>
      </c>
      <c r="I105" s="30" t="s">
        <v>16121</v>
      </c>
      <c r="J105" s="35" t="s">
        <v>9302</v>
      </c>
      <c r="K105" s="35">
        <v>18</v>
      </c>
      <c r="L105" s="35" t="s">
        <v>6955</v>
      </c>
      <c r="M105" s="35"/>
      <c r="N105" s="35" t="s">
        <v>17405</v>
      </c>
      <c r="O105" s="35" t="s">
        <v>6251</v>
      </c>
      <c r="P105" s="35" t="s">
        <v>17244</v>
      </c>
      <c r="Q105" s="35" t="s">
        <v>16304</v>
      </c>
      <c r="R105" s="35" t="s">
        <v>17040</v>
      </c>
      <c r="S105" s="35">
        <v>2427711</v>
      </c>
      <c r="T105" s="35">
        <v>34580037</v>
      </c>
      <c r="U105" s="35"/>
      <c r="V105" s="30"/>
      <c r="W105" s="505" t="s">
        <v>2693</v>
      </c>
      <c r="X105" s="35" t="s">
        <v>193</v>
      </c>
      <c r="Y105" s="30">
        <v>25</v>
      </c>
      <c r="Z105" s="35"/>
      <c r="AA105" s="35"/>
      <c r="AB105" s="35"/>
      <c r="AC105" s="35"/>
      <c r="AD105" s="35"/>
      <c r="AE105" s="35"/>
      <c r="AF105" s="35"/>
      <c r="AG105" s="35"/>
      <c r="AH105" s="30" t="s">
        <v>4714</v>
      </c>
      <c r="AI105" s="35" t="s">
        <v>17404</v>
      </c>
      <c r="AJ105" s="62" t="str">
        <f>MID('I kw.22'!W105,8,6)</f>
        <v>524404</v>
      </c>
      <c r="AK105" s="62">
        <v>1</v>
      </c>
      <c r="AL105" s="62">
        <f t="shared" si="1"/>
        <v>1</v>
      </c>
      <c r="AM105" s="62">
        <v>1</v>
      </c>
    </row>
    <row r="106" spans="1:39" x14ac:dyDescent="0.25">
      <c r="A106" s="35" t="s">
        <v>17403</v>
      </c>
      <c r="B106" s="35" t="s">
        <v>17401</v>
      </c>
      <c r="C106" s="35" t="s">
        <v>17</v>
      </c>
      <c r="D106" s="35" t="s">
        <v>16073</v>
      </c>
      <c r="E106" s="35" t="s">
        <v>192</v>
      </c>
      <c r="F106" s="62">
        <v>1</v>
      </c>
      <c r="G106" s="30" t="s">
        <v>193</v>
      </c>
      <c r="H106" s="30" t="s">
        <v>194</v>
      </c>
      <c r="I106" s="30" t="s">
        <v>16121</v>
      </c>
      <c r="J106" s="35" t="s">
        <v>9302</v>
      </c>
      <c r="K106" s="35">
        <v>18</v>
      </c>
      <c r="L106" s="35" t="s">
        <v>6955</v>
      </c>
      <c r="M106" s="35"/>
      <c r="N106" s="35" t="s">
        <v>17402</v>
      </c>
      <c r="O106" s="35" t="s">
        <v>7001</v>
      </c>
      <c r="P106" s="35" t="s">
        <v>17244</v>
      </c>
      <c r="Q106" s="35" t="s">
        <v>16304</v>
      </c>
      <c r="R106" s="35" t="s">
        <v>16641</v>
      </c>
      <c r="S106" s="35">
        <v>2427727</v>
      </c>
      <c r="T106" s="35">
        <v>34580053</v>
      </c>
      <c r="U106" s="35"/>
      <c r="V106" s="30"/>
      <c r="W106" s="505" t="s">
        <v>624</v>
      </c>
      <c r="X106" s="35" t="s">
        <v>193</v>
      </c>
      <c r="Y106" s="30">
        <v>25</v>
      </c>
      <c r="Z106" s="35"/>
      <c r="AA106" s="35"/>
      <c r="AB106" s="35"/>
      <c r="AC106" s="35"/>
      <c r="AD106" s="35"/>
      <c r="AE106" s="35"/>
      <c r="AF106" s="35"/>
      <c r="AG106" s="35"/>
      <c r="AH106" s="30" t="s">
        <v>4714</v>
      </c>
      <c r="AI106" s="35" t="s">
        <v>17401</v>
      </c>
      <c r="AJ106" s="62" t="str">
        <f>MID('I kw.22'!W106,8,6)</f>
        <v>332203</v>
      </c>
      <c r="AK106" s="62">
        <v>1</v>
      </c>
      <c r="AL106" s="62">
        <f t="shared" si="1"/>
        <v>1</v>
      </c>
      <c r="AM106" s="62">
        <v>1</v>
      </c>
    </row>
    <row r="107" spans="1:39" x14ac:dyDescent="0.25">
      <c r="A107" s="35" t="s">
        <v>17390</v>
      </c>
      <c r="B107" s="35" t="s">
        <v>17388</v>
      </c>
      <c r="C107" s="35" t="s">
        <v>2993</v>
      </c>
      <c r="D107" s="35" t="s">
        <v>16073</v>
      </c>
      <c r="E107" s="35" t="s">
        <v>192</v>
      </c>
      <c r="F107" s="62">
        <v>1</v>
      </c>
      <c r="G107" s="30" t="s">
        <v>193</v>
      </c>
      <c r="H107" s="30" t="s">
        <v>194</v>
      </c>
      <c r="I107" s="30" t="s">
        <v>16183</v>
      </c>
      <c r="J107" s="35" t="s">
        <v>4751</v>
      </c>
      <c r="K107" s="35">
        <v>18</v>
      </c>
      <c r="L107" s="35" t="s">
        <v>6955</v>
      </c>
      <c r="M107" s="35"/>
      <c r="N107" s="35" t="s">
        <v>17400</v>
      </c>
      <c r="O107" s="35" t="s">
        <v>6921</v>
      </c>
      <c r="P107" s="35" t="s">
        <v>17244</v>
      </c>
      <c r="Q107" s="35" t="s">
        <v>16304</v>
      </c>
      <c r="R107" s="35" t="s">
        <v>17040</v>
      </c>
      <c r="S107" s="35">
        <v>2427894</v>
      </c>
      <c r="T107" s="35">
        <v>34580220</v>
      </c>
      <c r="U107" s="35"/>
      <c r="V107" s="30">
        <v>1862</v>
      </c>
      <c r="W107" s="35" t="s">
        <v>3793</v>
      </c>
      <c r="X107" s="35" t="s">
        <v>194</v>
      </c>
      <c r="Y107" s="30">
        <v>1</v>
      </c>
      <c r="Z107" s="35"/>
      <c r="AA107" s="35"/>
      <c r="AB107" s="35"/>
      <c r="AC107" s="35"/>
      <c r="AD107" s="35"/>
      <c r="AE107" s="35"/>
      <c r="AF107" s="35"/>
      <c r="AG107" s="35"/>
      <c r="AH107" s="30" t="s">
        <v>4714</v>
      </c>
      <c r="AI107" s="35" t="s">
        <v>17388</v>
      </c>
      <c r="AJ107" s="62" t="str">
        <f>MID('I kw.22'!W107,8,6)</f>
        <v>251904</v>
      </c>
      <c r="AK107" s="62">
        <v>1</v>
      </c>
      <c r="AL107" s="62">
        <f t="shared" si="1"/>
        <v>1</v>
      </c>
      <c r="AM107" s="62">
        <v>1</v>
      </c>
    </row>
    <row r="108" spans="1:39" x14ac:dyDescent="0.25">
      <c r="A108" s="35" t="s">
        <v>17390</v>
      </c>
      <c r="B108" s="35" t="s">
        <v>17388</v>
      </c>
      <c r="C108" s="35" t="s">
        <v>2993</v>
      </c>
      <c r="D108" s="35" t="s">
        <v>16073</v>
      </c>
      <c r="E108" s="35" t="s">
        <v>192</v>
      </c>
      <c r="F108" s="62">
        <v>1</v>
      </c>
      <c r="G108" s="30" t="s">
        <v>193</v>
      </c>
      <c r="H108" s="30" t="s">
        <v>194</v>
      </c>
      <c r="I108" s="30" t="s">
        <v>16183</v>
      </c>
      <c r="J108" s="35" t="s">
        <v>276</v>
      </c>
      <c r="K108" s="35">
        <v>18</v>
      </c>
      <c r="L108" s="35" t="s">
        <v>6955</v>
      </c>
      <c r="M108" s="35"/>
      <c r="N108" s="35" t="s">
        <v>17399</v>
      </c>
      <c r="O108" s="35" t="s">
        <v>6921</v>
      </c>
      <c r="P108" s="35" t="s">
        <v>17244</v>
      </c>
      <c r="Q108" s="35" t="s">
        <v>16304</v>
      </c>
      <c r="R108" s="35" t="s">
        <v>17040</v>
      </c>
      <c r="S108" s="35">
        <v>2427897</v>
      </c>
      <c r="T108" s="35">
        <v>34580223</v>
      </c>
      <c r="U108" s="35"/>
      <c r="V108" s="30">
        <v>1803</v>
      </c>
      <c r="W108" s="35" t="s">
        <v>3793</v>
      </c>
      <c r="X108" s="35" t="s">
        <v>194</v>
      </c>
      <c r="Y108" s="30">
        <v>1</v>
      </c>
      <c r="Z108" s="35"/>
      <c r="AA108" s="35"/>
      <c r="AB108" s="35"/>
      <c r="AC108" s="35"/>
      <c r="AD108" s="35"/>
      <c r="AE108" s="35"/>
      <c r="AF108" s="35"/>
      <c r="AG108" s="35"/>
      <c r="AH108" s="30" t="s">
        <v>4714</v>
      </c>
      <c r="AI108" s="35" t="s">
        <v>17388</v>
      </c>
      <c r="AJ108" s="62" t="str">
        <f>MID('I kw.22'!W108,8,6)</f>
        <v>251904</v>
      </c>
      <c r="AK108" s="62">
        <v>1</v>
      </c>
      <c r="AL108" s="62">
        <f t="shared" si="1"/>
        <v>1</v>
      </c>
      <c r="AM108" s="62">
        <v>1</v>
      </c>
    </row>
    <row r="109" spans="1:39" x14ac:dyDescent="0.25">
      <c r="A109" s="35" t="s">
        <v>17390</v>
      </c>
      <c r="B109" s="35" t="s">
        <v>17388</v>
      </c>
      <c r="C109" s="35" t="s">
        <v>2993</v>
      </c>
      <c r="D109" s="35" t="s">
        <v>16073</v>
      </c>
      <c r="E109" s="35" t="s">
        <v>192</v>
      </c>
      <c r="F109" s="62">
        <v>1</v>
      </c>
      <c r="G109" s="30" t="s">
        <v>193</v>
      </c>
      <c r="H109" s="30" t="s">
        <v>194</v>
      </c>
      <c r="I109" s="30" t="s">
        <v>16183</v>
      </c>
      <c r="J109" s="35" t="s">
        <v>385</v>
      </c>
      <c r="K109" s="35">
        <v>18</v>
      </c>
      <c r="L109" s="35" t="s">
        <v>6955</v>
      </c>
      <c r="M109" s="35"/>
      <c r="N109" s="35" t="s">
        <v>17398</v>
      </c>
      <c r="O109" s="35" t="s">
        <v>6921</v>
      </c>
      <c r="P109" s="35" t="s">
        <v>17244</v>
      </c>
      <c r="Q109" s="35" t="s">
        <v>16304</v>
      </c>
      <c r="R109" s="35" t="s">
        <v>17040</v>
      </c>
      <c r="S109" s="35">
        <v>2427898</v>
      </c>
      <c r="T109" s="35">
        <v>34580224</v>
      </c>
      <c r="U109" s="35"/>
      <c r="V109" s="30">
        <v>1861</v>
      </c>
      <c r="W109" s="35" t="s">
        <v>3793</v>
      </c>
      <c r="X109" s="35" t="s">
        <v>194</v>
      </c>
      <c r="Y109" s="30">
        <v>1</v>
      </c>
      <c r="Z109" s="35"/>
      <c r="AA109" s="35"/>
      <c r="AB109" s="35"/>
      <c r="AC109" s="35"/>
      <c r="AD109" s="35"/>
      <c r="AE109" s="35"/>
      <c r="AF109" s="35"/>
      <c r="AG109" s="35"/>
      <c r="AH109" s="30" t="s">
        <v>4714</v>
      </c>
      <c r="AI109" s="35" t="s">
        <v>17388</v>
      </c>
      <c r="AJ109" s="62" t="str">
        <f>MID('I kw.22'!W109,8,6)</f>
        <v>251904</v>
      </c>
      <c r="AK109" s="62">
        <v>1</v>
      </c>
      <c r="AL109" s="62">
        <f t="shared" si="1"/>
        <v>1</v>
      </c>
      <c r="AM109" s="62">
        <v>1</v>
      </c>
    </row>
    <row r="110" spans="1:39" x14ac:dyDescent="0.25">
      <c r="A110" s="35" t="s">
        <v>17390</v>
      </c>
      <c r="B110" s="35" t="s">
        <v>17388</v>
      </c>
      <c r="C110" s="35" t="s">
        <v>2993</v>
      </c>
      <c r="D110" s="35" t="s">
        <v>16073</v>
      </c>
      <c r="E110" s="35" t="s">
        <v>192</v>
      </c>
      <c r="F110" s="62">
        <v>1</v>
      </c>
      <c r="G110" s="30" t="s">
        <v>193</v>
      </c>
      <c r="H110" s="30" t="s">
        <v>194</v>
      </c>
      <c r="I110" s="30" t="s">
        <v>16183</v>
      </c>
      <c r="J110" s="35" t="s">
        <v>301</v>
      </c>
      <c r="K110" s="35">
        <v>18</v>
      </c>
      <c r="L110" s="35" t="s">
        <v>6955</v>
      </c>
      <c r="M110" s="35"/>
      <c r="N110" s="35" t="s">
        <v>17397</v>
      </c>
      <c r="O110" s="35" t="s">
        <v>6921</v>
      </c>
      <c r="P110" s="35" t="s">
        <v>17244</v>
      </c>
      <c r="Q110" s="35" t="s">
        <v>16304</v>
      </c>
      <c r="R110" s="35" t="s">
        <v>17040</v>
      </c>
      <c r="S110" s="35">
        <v>2427905</v>
      </c>
      <c r="T110" s="35">
        <v>34580231</v>
      </c>
      <c r="U110" s="35"/>
      <c r="V110" s="30">
        <v>1810</v>
      </c>
      <c r="W110" s="35" t="s">
        <v>3793</v>
      </c>
      <c r="X110" s="35" t="s">
        <v>194</v>
      </c>
      <c r="Y110" s="30">
        <v>1</v>
      </c>
      <c r="Z110" s="35"/>
      <c r="AA110" s="35"/>
      <c r="AB110" s="35"/>
      <c r="AC110" s="35"/>
      <c r="AD110" s="35"/>
      <c r="AE110" s="35"/>
      <c r="AF110" s="35"/>
      <c r="AG110" s="35"/>
      <c r="AH110" s="30" t="s">
        <v>4714</v>
      </c>
      <c r="AI110" s="35" t="s">
        <v>17388</v>
      </c>
      <c r="AJ110" s="62" t="str">
        <f>MID('I kw.22'!W110,8,6)</f>
        <v>251904</v>
      </c>
      <c r="AK110" s="62">
        <v>1</v>
      </c>
      <c r="AL110" s="62">
        <f t="shared" si="1"/>
        <v>1</v>
      </c>
      <c r="AM110" s="62">
        <v>1</v>
      </c>
    </row>
    <row r="111" spans="1:39" x14ac:dyDescent="0.25">
      <c r="A111" s="35" t="s">
        <v>17390</v>
      </c>
      <c r="B111" s="35" t="s">
        <v>17388</v>
      </c>
      <c r="C111" s="35" t="s">
        <v>2993</v>
      </c>
      <c r="D111" s="35" t="s">
        <v>16073</v>
      </c>
      <c r="E111" s="35" t="s">
        <v>192</v>
      </c>
      <c r="F111" s="62">
        <v>1</v>
      </c>
      <c r="G111" s="30" t="s">
        <v>193</v>
      </c>
      <c r="H111" s="30" t="s">
        <v>194</v>
      </c>
      <c r="I111" s="30" t="s">
        <v>16183</v>
      </c>
      <c r="J111" s="35" t="s">
        <v>223</v>
      </c>
      <c r="K111" s="35">
        <v>18</v>
      </c>
      <c r="L111" s="35" t="s">
        <v>6955</v>
      </c>
      <c r="M111" s="35"/>
      <c r="N111" s="35" t="s">
        <v>17396</v>
      </c>
      <c r="O111" s="35" t="s">
        <v>6921</v>
      </c>
      <c r="P111" s="35" t="s">
        <v>17244</v>
      </c>
      <c r="Q111" s="35" t="s">
        <v>16304</v>
      </c>
      <c r="R111" s="35" t="s">
        <v>17040</v>
      </c>
      <c r="S111" s="35">
        <v>2427906</v>
      </c>
      <c r="T111" s="35">
        <v>34580232</v>
      </c>
      <c r="U111" s="35"/>
      <c r="V111" s="30">
        <v>1804</v>
      </c>
      <c r="W111" s="35" t="s">
        <v>3793</v>
      </c>
      <c r="X111" s="35" t="s">
        <v>194</v>
      </c>
      <c r="Y111" s="30">
        <v>1</v>
      </c>
      <c r="Z111" s="35"/>
      <c r="AA111" s="35"/>
      <c r="AB111" s="35"/>
      <c r="AC111" s="35"/>
      <c r="AD111" s="35"/>
      <c r="AE111" s="35"/>
      <c r="AF111" s="35"/>
      <c r="AG111" s="35"/>
      <c r="AH111" s="30" t="s">
        <v>4714</v>
      </c>
      <c r="AI111" s="35" t="s">
        <v>17388</v>
      </c>
      <c r="AJ111" s="62" t="str">
        <f>MID('I kw.22'!W111,8,6)</f>
        <v>251904</v>
      </c>
      <c r="AK111" s="62">
        <v>1</v>
      </c>
      <c r="AL111" s="62">
        <f t="shared" si="1"/>
        <v>1</v>
      </c>
      <c r="AM111" s="62">
        <v>1</v>
      </c>
    </row>
    <row r="112" spans="1:39" x14ac:dyDescent="0.25">
      <c r="A112" s="35" t="s">
        <v>17390</v>
      </c>
      <c r="B112" s="35" t="s">
        <v>17388</v>
      </c>
      <c r="C112" s="35" t="s">
        <v>2993</v>
      </c>
      <c r="D112" s="35" t="s">
        <v>16073</v>
      </c>
      <c r="E112" s="35" t="s">
        <v>192</v>
      </c>
      <c r="F112" s="62">
        <v>1</v>
      </c>
      <c r="G112" s="30" t="s">
        <v>193</v>
      </c>
      <c r="H112" s="30" t="s">
        <v>194</v>
      </c>
      <c r="I112" s="30" t="s">
        <v>16183</v>
      </c>
      <c r="J112" s="35" t="s">
        <v>327</v>
      </c>
      <c r="K112" s="35">
        <v>18</v>
      </c>
      <c r="L112" s="35" t="s">
        <v>6955</v>
      </c>
      <c r="M112" s="35"/>
      <c r="N112" s="35" t="s">
        <v>17395</v>
      </c>
      <c r="O112" s="35" t="s">
        <v>6921</v>
      </c>
      <c r="P112" s="35" t="s">
        <v>17244</v>
      </c>
      <c r="Q112" s="35" t="s">
        <v>16304</v>
      </c>
      <c r="R112" s="35" t="s">
        <v>17040</v>
      </c>
      <c r="S112" s="35">
        <v>2427907</v>
      </c>
      <c r="T112" s="35">
        <v>34580233</v>
      </c>
      <c r="U112" s="35"/>
      <c r="V112" s="30">
        <v>1808</v>
      </c>
      <c r="W112" s="35" t="s">
        <v>3793</v>
      </c>
      <c r="X112" s="35" t="s">
        <v>194</v>
      </c>
      <c r="Y112" s="30">
        <v>1</v>
      </c>
      <c r="Z112" s="35"/>
      <c r="AA112" s="35"/>
      <c r="AB112" s="35"/>
      <c r="AC112" s="35"/>
      <c r="AD112" s="35"/>
      <c r="AE112" s="35"/>
      <c r="AF112" s="35"/>
      <c r="AG112" s="35"/>
      <c r="AH112" s="30" t="s">
        <v>4714</v>
      </c>
      <c r="AI112" s="35" t="s">
        <v>17388</v>
      </c>
      <c r="AJ112" s="62" t="str">
        <f>MID('I kw.22'!W112,8,6)</f>
        <v>251904</v>
      </c>
      <c r="AK112" s="62">
        <v>1</v>
      </c>
      <c r="AL112" s="62">
        <f t="shared" si="1"/>
        <v>1</v>
      </c>
      <c r="AM112" s="62">
        <v>1</v>
      </c>
    </row>
    <row r="113" spans="1:39" x14ac:dyDescent="0.25">
      <c r="A113" s="35" t="s">
        <v>17390</v>
      </c>
      <c r="B113" s="35" t="s">
        <v>17388</v>
      </c>
      <c r="C113" s="35" t="s">
        <v>2993</v>
      </c>
      <c r="D113" s="35" t="s">
        <v>16073</v>
      </c>
      <c r="E113" s="35" t="s">
        <v>192</v>
      </c>
      <c r="F113" s="62">
        <v>1</v>
      </c>
      <c r="G113" s="30" t="s">
        <v>193</v>
      </c>
      <c r="H113" s="30" t="s">
        <v>194</v>
      </c>
      <c r="I113" s="30" t="s">
        <v>16183</v>
      </c>
      <c r="J113" s="35" t="s">
        <v>747</v>
      </c>
      <c r="K113" s="35">
        <v>18</v>
      </c>
      <c r="L113" s="35" t="s">
        <v>6955</v>
      </c>
      <c r="M113" s="35"/>
      <c r="N113" s="35" t="s">
        <v>17394</v>
      </c>
      <c r="O113" s="35" t="s">
        <v>6921</v>
      </c>
      <c r="P113" s="35" t="s">
        <v>17244</v>
      </c>
      <c r="Q113" s="35" t="s">
        <v>16304</v>
      </c>
      <c r="R113" s="35" t="s">
        <v>17040</v>
      </c>
      <c r="S113" s="35">
        <v>2427908</v>
      </c>
      <c r="T113" s="35">
        <v>34580234</v>
      </c>
      <c r="U113" s="35"/>
      <c r="V113" s="30">
        <v>1817</v>
      </c>
      <c r="W113" s="35" t="s">
        <v>3793</v>
      </c>
      <c r="X113" s="35" t="s">
        <v>194</v>
      </c>
      <c r="Y113" s="30">
        <v>1</v>
      </c>
      <c r="Z113" s="35"/>
      <c r="AA113" s="35"/>
      <c r="AB113" s="35"/>
      <c r="AC113" s="35"/>
      <c r="AD113" s="35"/>
      <c r="AE113" s="35"/>
      <c r="AF113" s="35"/>
      <c r="AG113" s="35"/>
      <c r="AH113" s="30" t="s">
        <v>4714</v>
      </c>
      <c r="AI113" s="35" t="s">
        <v>17388</v>
      </c>
      <c r="AJ113" s="62" t="str">
        <f>MID('I kw.22'!W113,8,6)</f>
        <v>251904</v>
      </c>
      <c r="AK113" s="62">
        <v>1</v>
      </c>
      <c r="AL113" s="62">
        <f t="shared" si="1"/>
        <v>1</v>
      </c>
      <c r="AM113" s="62">
        <v>1</v>
      </c>
    </row>
    <row r="114" spans="1:39" x14ac:dyDescent="0.25">
      <c r="A114" s="35" t="s">
        <v>17390</v>
      </c>
      <c r="B114" s="35" t="s">
        <v>17388</v>
      </c>
      <c r="C114" s="35" t="s">
        <v>2993</v>
      </c>
      <c r="D114" s="35" t="s">
        <v>16073</v>
      </c>
      <c r="E114" s="35" t="s">
        <v>192</v>
      </c>
      <c r="F114" s="62">
        <v>1</v>
      </c>
      <c r="G114" s="30" t="s">
        <v>193</v>
      </c>
      <c r="H114" s="30" t="s">
        <v>194</v>
      </c>
      <c r="I114" s="30" t="s">
        <v>16183</v>
      </c>
      <c r="J114" s="35" t="s">
        <v>962</v>
      </c>
      <c r="K114" s="35">
        <v>18</v>
      </c>
      <c r="L114" s="35" t="s">
        <v>6955</v>
      </c>
      <c r="M114" s="35"/>
      <c r="N114" s="35" t="s">
        <v>17393</v>
      </c>
      <c r="O114" s="35" t="s">
        <v>6921</v>
      </c>
      <c r="P114" s="35" t="s">
        <v>17244</v>
      </c>
      <c r="Q114" s="35" t="s">
        <v>16304</v>
      </c>
      <c r="R114" s="35" t="s">
        <v>17040</v>
      </c>
      <c r="S114" s="35">
        <v>2427909</v>
      </c>
      <c r="T114" s="35">
        <v>34580235</v>
      </c>
      <c r="U114" s="35"/>
      <c r="V114" s="30">
        <v>1806</v>
      </c>
      <c r="W114" s="35" t="s">
        <v>3793</v>
      </c>
      <c r="X114" s="35" t="s">
        <v>194</v>
      </c>
      <c r="Y114" s="30">
        <v>1</v>
      </c>
      <c r="Z114" s="35"/>
      <c r="AA114" s="35"/>
      <c r="AB114" s="35"/>
      <c r="AC114" s="35"/>
      <c r="AD114" s="35"/>
      <c r="AE114" s="35"/>
      <c r="AF114" s="35"/>
      <c r="AG114" s="35"/>
      <c r="AH114" s="30" t="s">
        <v>4714</v>
      </c>
      <c r="AI114" s="35" t="s">
        <v>17388</v>
      </c>
      <c r="AJ114" s="62" t="str">
        <f>MID('I kw.22'!W114,8,6)</f>
        <v>251904</v>
      </c>
      <c r="AK114" s="62">
        <v>1</v>
      </c>
      <c r="AL114" s="62">
        <f t="shared" si="1"/>
        <v>1</v>
      </c>
      <c r="AM114" s="62">
        <v>1</v>
      </c>
    </row>
    <row r="115" spans="1:39" x14ac:dyDescent="0.25">
      <c r="A115" s="35" t="s">
        <v>17390</v>
      </c>
      <c r="B115" s="35" t="s">
        <v>17388</v>
      </c>
      <c r="C115" s="35" t="s">
        <v>2993</v>
      </c>
      <c r="D115" s="35" t="s">
        <v>16073</v>
      </c>
      <c r="E115" s="35" t="s">
        <v>192</v>
      </c>
      <c r="F115" s="62">
        <v>1</v>
      </c>
      <c r="G115" s="30" t="s">
        <v>193</v>
      </c>
      <c r="H115" s="30" t="s">
        <v>194</v>
      </c>
      <c r="I115" s="30" t="s">
        <v>16183</v>
      </c>
      <c r="J115" s="35" t="s">
        <v>253</v>
      </c>
      <c r="K115" s="35">
        <v>18</v>
      </c>
      <c r="L115" s="35" t="s">
        <v>6955</v>
      </c>
      <c r="M115" s="35"/>
      <c r="N115" s="35" t="s">
        <v>17392</v>
      </c>
      <c r="O115" s="35" t="s">
        <v>6921</v>
      </c>
      <c r="P115" s="35" t="s">
        <v>17244</v>
      </c>
      <c r="Q115" s="35" t="s">
        <v>16304</v>
      </c>
      <c r="R115" s="35" t="s">
        <v>17040</v>
      </c>
      <c r="S115" s="35">
        <v>2427910</v>
      </c>
      <c r="T115" s="35">
        <v>34580236</v>
      </c>
      <c r="U115" s="35"/>
      <c r="V115" s="30">
        <v>1811</v>
      </c>
      <c r="W115" s="35" t="s">
        <v>3793</v>
      </c>
      <c r="X115" s="35" t="s">
        <v>194</v>
      </c>
      <c r="Y115" s="30">
        <v>1</v>
      </c>
      <c r="Z115" s="35"/>
      <c r="AA115" s="35"/>
      <c r="AB115" s="35"/>
      <c r="AC115" s="35"/>
      <c r="AD115" s="35"/>
      <c r="AE115" s="35"/>
      <c r="AF115" s="35"/>
      <c r="AG115" s="35"/>
      <c r="AH115" s="30" t="s">
        <v>4714</v>
      </c>
      <c r="AI115" s="35" t="s">
        <v>17388</v>
      </c>
      <c r="AJ115" s="62" t="str">
        <f>MID('I kw.22'!W115,8,6)</f>
        <v>251904</v>
      </c>
      <c r="AK115" s="62">
        <v>1</v>
      </c>
      <c r="AL115" s="62">
        <f t="shared" si="1"/>
        <v>1</v>
      </c>
      <c r="AM115" s="62">
        <v>1</v>
      </c>
    </row>
    <row r="116" spans="1:39" x14ac:dyDescent="0.25">
      <c r="A116" s="35" t="s">
        <v>17390</v>
      </c>
      <c r="B116" s="35" t="s">
        <v>17388</v>
      </c>
      <c r="C116" s="35" t="s">
        <v>2993</v>
      </c>
      <c r="D116" s="35" t="s">
        <v>16073</v>
      </c>
      <c r="E116" s="35" t="s">
        <v>192</v>
      </c>
      <c r="F116" s="62">
        <v>1</v>
      </c>
      <c r="G116" s="30" t="s">
        <v>193</v>
      </c>
      <c r="H116" s="30" t="s">
        <v>194</v>
      </c>
      <c r="I116" s="30" t="s">
        <v>16183</v>
      </c>
      <c r="J116" s="35" t="s">
        <v>285</v>
      </c>
      <c r="K116" s="35">
        <v>18</v>
      </c>
      <c r="L116" s="35" t="s">
        <v>6955</v>
      </c>
      <c r="M116" s="35"/>
      <c r="N116" s="35" t="s">
        <v>17391</v>
      </c>
      <c r="O116" s="35" t="s">
        <v>6921</v>
      </c>
      <c r="P116" s="35" t="s">
        <v>17244</v>
      </c>
      <c r="Q116" s="35" t="s">
        <v>16304</v>
      </c>
      <c r="R116" s="35" t="s">
        <v>17040</v>
      </c>
      <c r="S116" s="35">
        <v>2427911</v>
      </c>
      <c r="T116" s="35">
        <v>34580237</v>
      </c>
      <c r="U116" s="35"/>
      <c r="V116" s="30">
        <v>1815</v>
      </c>
      <c r="W116" s="35" t="s">
        <v>3793</v>
      </c>
      <c r="X116" s="35" t="s">
        <v>194</v>
      </c>
      <c r="Y116" s="30">
        <v>1</v>
      </c>
      <c r="Z116" s="35"/>
      <c r="AA116" s="35"/>
      <c r="AB116" s="35"/>
      <c r="AC116" s="35"/>
      <c r="AD116" s="35"/>
      <c r="AE116" s="35"/>
      <c r="AF116" s="35"/>
      <c r="AG116" s="35"/>
      <c r="AH116" s="30" t="s">
        <v>4714</v>
      </c>
      <c r="AI116" s="35" t="s">
        <v>17388</v>
      </c>
      <c r="AJ116" s="62" t="str">
        <f>MID('I kw.22'!W116,8,6)</f>
        <v>251904</v>
      </c>
      <c r="AK116" s="62">
        <v>1</v>
      </c>
      <c r="AL116" s="62">
        <f t="shared" si="1"/>
        <v>1</v>
      </c>
      <c r="AM116" s="62">
        <v>1</v>
      </c>
    </row>
    <row r="117" spans="1:39" x14ac:dyDescent="0.25">
      <c r="A117" s="35" t="s">
        <v>17390</v>
      </c>
      <c r="B117" s="35" t="s">
        <v>17388</v>
      </c>
      <c r="C117" s="35" t="s">
        <v>2993</v>
      </c>
      <c r="D117" s="35" t="s">
        <v>16073</v>
      </c>
      <c r="E117" s="35" t="s">
        <v>192</v>
      </c>
      <c r="F117" s="62">
        <v>1</v>
      </c>
      <c r="G117" s="30" t="s">
        <v>193</v>
      </c>
      <c r="H117" s="30" t="s">
        <v>194</v>
      </c>
      <c r="I117" s="30" t="s">
        <v>16183</v>
      </c>
      <c r="J117" s="35" t="s">
        <v>316</v>
      </c>
      <c r="K117" s="35">
        <v>18</v>
      </c>
      <c r="L117" s="35" t="s">
        <v>6955</v>
      </c>
      <c r="M117" s="35"/>
      <c r="N117" s="35" t="s">
        <v>17389</v>
      </c>
      <c r="O117" s="35" t="s">
        <v>6921</v>
      </c>
      <c r="P117" s="35" t="s">
        <v>17244</v>
      </c>
      <c r="Q117" s="35" t="s">
        <v>16304</v>
      </c>
      <c r="R117" s="35" t="s">
        <v>17040</v>
      </c>
      <c r="S117" s="35">
        <v>2427912</v>
      </c>
      <c r="T117" s="35">
        <v>34580238</v>
      </c>
      <c r="U117" s="35"/>
      <c r="V117" s="30">
        <v>1818</v>
      </c>
      <c r="W117" s="35" t="s">
        <v>3793</v>
      </c>
      <c r="X117" s="35" t="s">
        <v>194</v>
      </c>
      <c r="Y117" s="30">
        <v>1</v>
      </c>
      <c r="Z117" s="35"/>
      <c r="AA117" s="35"/>
      <c r="AB117" s="35"/>
      <c r="AC117" s="35"/>
      <c r="AD117" s="35"/>
      <c r="AE117" s="35"/>
      <c r="AF117" s="35"/>
      <c r="AG117" s="35"/>
      <c r="AH117" s="30" t="s">
        <v>4714</v>
      </c>
      <c r="AI117" s="35" t="s">
        <v>17388</v>
      </c>
      <c r="AJ117" s="62" t="str">
        <f>MID('I kw.22'!W117,8,6)</f>
        <v>251904</v>
      </c>
      <c r="AK117" s="62">
        <v>1</v>
      </c>
      <c r="AL117" s="62">
        <f t="shared" si="1"/>
        <v>1</v>
      </c>
      <c r="AM117" s="62">
        <v>1</v>
      </c>
    </row>
    <row r="118" spans="1:39" x14ac:dyDescent="0.25">
      <c r="A118" s="35" t="s">
        <v>15473</v>
      </c>
      <c r="B118" s="35" t="s">
        <v>17386</v>
      </c>
      <c r="C118" s="35" t="s">
        <v>27</v>
      </c>
      <c r="D118" s="35" t="s">
        <v>16073</v>
      </c>
      <c r="E118" s="35" t="s">
        <v>192</v>
      </c>
      <c r="F118" s="62">
        <v>1</v>
      </c>
      <c r="G118" s="30" t="s">
        <v>193</v>
      </c>
      <c r="H118" s="30" t="s">
        <v>194</v>
      </c>
      <c r="I118" s="30" t="s">
        <v>16078</v>
      </c>
      <c r="J118" s="35" t="s">
        <v>210</v>
      </c>
      <c r="K118" s="35">
        <v>18</v>
      </c>
      <c r="L118" s="35" t="s">
        <v>6955</v>
      </c>
      <c r="M118" s="35"/>
      <c r="N118" s="35" t="s">
        <v>17387</v>
      </c>
      <c r="O118" s="35" t="s">
        <v>6286</v>
      </c>
      <c r="P118" s="35" t="s">
        <v>17244</v>
      </c>
      <c r="Q118" s="35" t="s">
        <v>16304</v>
      </c>
      <c r="R118" s="35" t="s">
        <v>17040</v>
      </c>
      <c r="S118" s="35">
        <v>2427921</v>
      </c>
      <c r="T118" s="35">
        <v>34580247</v>
      </c>
      <c r="U118" s="35"/>
      <c r="V118" s="30">
        <v>1863</v>
      </c>
      <c r="W118" s="35" t="s">
        <v>440</v>
      </c>
      <c r="X118" s="35" t="s">
        <v>194</v>
      </c>
      <c r="Y118" s="30">
        <v>1</v>
      </c>
      <c r="Z118" s="35"/>
      <c r="AA118" s="35"/>
      <c r="AB118" s="35"/>
      <c r="AC118" s="35"/>
      <c r="AD118" s="35"/>
      <c r="AE118" s="35"/>
      <c r="AF118" s="35"/>
      <c r="AG118" s="35"/>
      <c r="AH118" s="30" t="s">
        <v>4714</v>
      </c>
      <c r="AI118" s="35" t="s">
        <v>17386</v>
      </c>
      <c r="AJ118" s="62" t="str">
        <f>MID('I kw.22'!W118,8,6)</f>
        <v>242307</v>
      </c>
      <c r="AK118" s="62">
        <v>1</v>
      </c>
      <c r="AL118" s="62">
        <f t="shared" si="1"/>
        <v>1</v>
      </c>
      <c r="AM118" s="62">
        <v>1</v>
      </c>
    </row>
    <row r="119" spans="1:39" x14ac:dyDescent="0.25">
      <c r="A119" s="35" t="s">
        <v>17385</v>
      </c>
      <c r="B119" s="35" t="s">
        <v>17383</v>
      </c>
      <c r="C119" s="35" t="s">
        <v>36</v>
      </c>
      <c r="D119" s="35" t="s">
        <v>16073</v>
      </c>
      <c r="E119" s="35" t="s">
        <v>192</v>
      </c>
      <c r="F119" s="62">
        <v>1</v>
      </c>
      <c r="G119" s="30" t="s">
        <v>193</v>
      </c>
      <c r="H119" s="30" t="s">
        <v>194</v>
      </c>
      <c r="I119" s="30" t="s">
        <v>16121</v>
      </c>
      <c r="J119" s="35" t="s">
        <v>210</v>
      </c>
      <c r="K119" s="35">
        <v>18</v>
      </c>
      <c r="L119" s="35" t="s">
        <v>6955</v>
      </c>
      <c r="M119" s="35"/>
      <c r="N119" s="35" t="s">
        <v>17384</v>
      </c>
      <c r="O119" s="35" t="s">
        <v>6254</v>
      </c>
      <c r="P119" s="35" t="s">
        <v>17244</v>
      </c>
      <c r="Q119" s="35" t="s">
        <v>16304</v>
      </c>
      <c r="R119" s="35" t="s">
        <v>17040</v>
      </c>
      <c r="S119" s="35">
        <v>2427993</v>
      </c>
      <c r="T119" s="35">
        <v>34580319</v>
      </c>
      <c r="U119" s="35"/>
      <c r="V119" s="30">
        <v>1863</v>
      </c>
      <c r="W119" s="35" t="s">
        <v>609</v>
      </c>
      <c r="X119" s="35" t="s">
        <v>194</v>
      </c>
      <c r="Y119" s="30">
        <v>1</v>
      </c>
      <c r="Z119" s="35"/>
      <c r="AA119" s="35"/>
      <c r="AB119" s="35"/>
      <c r="AC119" s="35"/>
      <c r="AD119" s="35"/>
      <c r="AE119" s="35"/>
      <c r="AF119" s="35"/>
      <c r="AG119" s="35"/>
      <c r="AH119" s="30" t="s">
        <v>4714</v>
      </c>
      <c r="AI119" s="35" t="s">
        <v>17383</v>
      </c>
      <c r="AJ119" s="62" t="str">
        <f>MID('I kw.22'!W119,8,6)</f>
        <v>331301</v>
      </c>
      <c r="AK119" s="62">
        <v>1</v>
      </c>
      <c r="AL119" s="62">
        <f t="shared" si="1"/>
        <v>1</v>
      </c>
      <c r="AM119" s="62">
        <v>1</v>
      </c>
    </row>
    <row r="120" spans="1:39" x14ac:dyDescent="0.25">
      <c r="A120" s="35" t="s">
        <v>1748</v>
      </c>
      <c r="B120" s="35" t="s">
        <v>17381</v>
      </c>
      <c r="C120" s="35" t="s">
        <v>1506</v>
      </c>
      <c r="D120" s="35" t="s">
        <v>16073</v>
      </c>
      <c r="E120" s="35" t="s">
        <v>192</v>
      </c>
      <c r="F120" s="62">
        <v>1</v>
      </c>
      <c r="G120" s="30" t="s">
        <v>193</v>
      </c>
      <c r="H120" s="30" t="s">
        <v>194</v>
      </c>
      <c r="I120" s="30" t="s">
        <v>16121</v>
      </c>
      <c r="J120" s="35" t="s">
        <v>210</v>
      </c>
      <c r="K120" s="35">
        <v>18</v>
      </c>
      <c r="L120" s="35" t="s">
        <v>6955</v>
      </c>
      <c r="M120" s="35"/>
      <c r="N120" s="35" t="s">
        <v>17382</v>
      </c>
      <c r="O120" s="35" t="s">
        <v>6389</v>
      </c>
      <c r="P120" s="35" t="s">
        <v>17244</v>
      </c>
      <c r="Q120" s="35" t="s">
        <v>16304</v>
      </c>
      <c r="R120" s="35" t="s">
        <v>17040</v>
      </c>
      <c r="S120" s="35">
        <v>2428004</v>
      </c>
      <c r="T120" s="35">
        <v>34580330</v>
      </c>
      <c r="U120" s="35"/>
      <c r="V120" s="30">
        <v>1863</v>
      </c>
      <c r="W120" s="35" t="s">
        <v>1507</v>
      </c>
      <c r="X120" s="35" t="s">
        <v>194</v>
      </c>
      <c r="Y120" s="30">
        <v>1</v>
      </c>
      <c r="Z120" s="35"/>
      <c r="AA120" s="35"/>
      <c r="AB120" s="35"/>
      <c r="AC120" s="35"/>
      <c r="AD120" s="35"/>
      <c r="AE120" s="35"/>
      <c r="AF120" s="35"/>
      <c r="AG120" s="35"/>
      <c r="AH120" s="30" t="s">
        <v>4714</v>
      </c>
      <c r="AI120" s="35" t="s">
        <v>17381</v>
      </c>
      <c r="AJ120" s="62" t="str">
        <f>MID('I kw.22'!W120,8,6)</f>
        <v>216604</v>
      </c>
      <c r="AK120" s="62">
        <v>1</v>
      </c>
      <c r="AL120" s="62">
        <f t="shared" si="1"/>
        <v>1</v>
      </c>
      <c r="AM120" s="62">
        <v>1</v>
      </c>
    </row>
    <row r="121" spans="1:39" x14ac:dyDescent="0.25">
      <c r="A121" s="35" t="s">
        <v>17380</v>
      </c>
      <c r="B121" s="35" t="s">
        <v>1462</v>
      </c>
      <c r="C121" s="35" t="s">
        <v>29</v>
      </c>
      <c r="D121" s="35" t="s">
        <v>16073</v>
      </c>
      <c r="E121" s="35" t="s">
        <v>192</v>
      </c>
      <c r="F121" s="62">
        <v>1</v>
      </c>
      <c r="G121" s="30" t="s">
        <v>193</v>
      </c>
      <c r="H121" s="30" t="s">
        <v>194</v>
      </c>
      <c r="I121" s="30" t="s">
        <v>16078</v>
      </c>
      <c r="J121" s="35" t="s">
        <v>253</v>
      </c>
      <c r="K121" s="35">
        <v>18</v>
      </c>
      <c r="L121" s="35" t="s">
        <v>6955</v>
      </c>
      <c r="M121" s="35"/>
      <c r="N121" s="35" t="s">
        <v>17379</v>
      </c>
      <c r="O121" s="35" t="s">
        <v>6275</v>
      </c>
      <c r="P121" s="35" t="s">
        <v>17244</v>
      </c>
      <c r="Q121" s="35" t="s">
        <v>16304</v>
      </c>
      <c r="R121" s="35" t="s">
        <v>17040</v>
      </c>
      <c r="S121" s="35">
        <v>2428040</v>
      </c>
      <c r="T121" s="35">
        <v>34580366</v>
      </c>
      <c r="U121" s="35"/>
      <c r="V121" s="30">
        <v>1811</v>
      </c>
      <c r="W121" s="35" t="s">
        <v>808</v>
      </c>
      <c r="X121" s="35" t="s">
        <v>194</v>
      </c>
      <c r="Y121" s="30">
        <v>1</v>
      </c>
      <c r="Z121" s="35"/>
      <c r="AA121" s="35"/>
      <c r="AB121" s="35"/>
      <c r="AC121" s="35"/>
      <c r="AD121" s="35"/>
      <c r="AE121" s="35"/>
      <c r="AF121" s="35"/>
      <c r="AG121" s="35"/>
      <c r="AH121" s="30" t="s">
        <v>4714</v>
      </c>
      <c r="AI121" s="35" t="s">
        <v>1462</v>
      </c>
      <c r="AJ121" s="62" t="str">
        <f>MID('I kw.22'!W121,8,6)</f>
        <v>722308</v>
      </c>
      <c r="AK121" s="62">
        <v>1</v>
      </c>
      <c r="AL121" s="62">
        <f t="shared" si="1"/>
        <v>1</v>
      </c>
      <c r="AM121" s="62">
        <v>1</v>
      </c>
    </row>
    <row r="122" spans="1:39" x14ac:dyDescent="0.25">
      <c r="A122" s="35" t="s">
        <v>11871</v>
      </c>
      <c r="B122" s="35" t="s">
        <v>6074</v>
      </c>
      <c r="C122" s="35" t="s">
        <v>5326</v>
      </c>
      <c r="D122" s="35" t="s">
        <v>16073</v>
      </c>
      <c r="E122" s="35" t="s">
        <v>192</v>
      </c>
      <c r="F122" s="62">
        <v>1</v>
      </c>
      <c r="G122" s="30" t="s">
        <v>193</v>
      </c>
      <c r="H122" s="30" t="s">
        <v>194</v>
      </c>
      <c r="I122" s="30" t="s">
        <v>16078</v>
      </c>
      <c r="J122" s="35" t="s">
        <v>672</v>
      </c>
      <c r="K122" s="35">
        <v>18</v>
      </c>
      <c r="L122" s="35" t="s">
        <v>6955</v>
      </c>
      <c r="M122" s="35"/>
      <c r="N122" s="35" t="s">
        <v>17378</v>
      </c>
      <c r="O122" s="35" t="s">
        <v>6279</v>
      </c>
      <c r="P122" s="35" t="s">
        <v>17244</v>
      </c>
      <c r="Q122" s="35" t="s">
        <v>16304</v>
      </c>
      <c r="R122" s="35" t="s">
        <v>17040</v>
      </c>
      <c r="S122" s="35">
        <v>2428108</v>
      </c>
      <c r="T122" s="35">
        <v>34580434</v>
      </c>
      <c r="U122" s="35"/>
      <c r="V122" s="30">
        <v>1816</v>
      </c>
      <c r="W122" s="35" t="s">
        <v>584</v>
      </c>
      <c r="X122" s="35" t="s">
        <v>194</v>
      </c>
      <c r="Y122" s="30">
        <v>1</v>
      </c>
      <c r="Z122" s="35"/>
      <c r="AA122" s="35"/>
      <c r="AB122" s="35"/>
      <c r="AC122" s="35"/>
      <c r="AD122" s="35"/>
      <c r="AE122" s="35"/>
      <c r="AF122" s="35"/>
      <c r="AG122" s="35"/>
      <c r="AH122" s="30" t="s">
        <v>4714</v>
      </c>
      <c r="AI122" s="35" t="s">
        <v>6074</v>
      </c>
      <c r="AJ122" s="62" t="str">
        <f>MID('I kw.22'!W122,8,6)</f>
        <v>311937</v>
      </c>
      <c r="AK122" s="62">
        <v>1</v>
      </c>
      <c r="AL122" s="62">
        <f t="shared" si="1"/>
        <v>1</v>
      </c>
      <c r="AM122" s="62">
        <v>1</v>
      </c>
    </row>
    <row r="123" spans="1:39" x14ac:dyDescent="0.25">
      <c r="A123" s="35" t="s">
        <v>15169</v>
      </c>
      <c r="B123" s="35" t="s">
        <v>9523</v>
      </c>
      <c r="C123" s="35" t="s">
        <v>1408</v>
      </c>
      <c r="D123" s="35" t="s">
        <v>16073</v>
      </c>
      <c r="E123" s="35" t="s">
        <v>192</v>
      </c>
      <c r="F123" s="62">
        <v>1</v>
      </c>
      <c r="G123" s="30" t="s">
        <v>193</v>
      </c>
      <c r="H123" s="30" t="s">
        <v>194</v>
      </c>
      <c r="I123" s="30" t="s">
        <v>16121</v>
      </c>
      <c r="J123" s="35" t="s">
        <v>210</v>
      </c>
      <c r="K123" s="35">
        <v>18</v>
      </c>
      <c r="L123" s="35" t="s">
        <v>6955</v>
      </c>
      <c r="M123" s="35"/>
      <c r="N123" s="35" t="s">
        <v>17377</v>
      </c>
      <c r="O123" s="35" t="s">
        <v>6261</v>
      </c>
      <c r="P123" s="35" t="s">
        <v>17244</v>
      </c>
      <c r="Q123" s="35" t="s">
        <v>16304</v>
      </c>
      <c r="R123" s="35" t="s">
        <v>17040</v>
      </c>
      <c r="S123" s="35">
        <v>2428159</v>
      </c>
      <c r="T123" s="35">
        <v>34580485</v>
      </c>
      <c r="U123" s="35"/>
      <c r="V123" s="30">
        <v>1863</v>
      </c>
      <c r="W123" s="35" t="s">
        <v>1409</v>
      </c>
      <c r="X123" s="35" t="s">
        <v>194</v>
      </c>
      <c r="Y123" s="30">
        <v>1</v>
      </c>
      <c r="Z123" s="35"/>
      <c r="AA123" s="35"/>
      <c r="AB123" s="35"/>
      <c r="AC123" s="35"/>
      <c r="AD123" s="35"/>
      <c r="AE123" s="35"/>
      <c r="AF123" s="35"/>
      <c r="AG123" s="35"/>
      <c r="AH123" s="30" t="s">
        <v>4714</v>
      </c>
      <c r="AI123" s="35" t="s">
        <v>9523</v>
      </c>
      <c r="AJ123" s="62" t="str">
        <f>MID('I kw.22'!W123,8,6)</f>
        <v>251402</v>
      </c>
      <c r="AK123" s="62">
        <v>1</v>
      </c>
      <c r="AL123" s="62">
        <f t="shared" si="1"/>
        <v>1</v>
      </c>
      <c r="AM123" s="62">
        <v>1</v>
      </c>
    </row>
    <row r="124" spans="1:39" x14ac:dyDescent="0.25">
      <c r="A124" s="35" t="s">
        <v>16504</v>
      </c>
      <c r="B124" s="35" t="s">
        <v>356</v>
      </c>
      <c r="C124" s="35" t="s">
        <v>356</v>
      </c>
      <c r="D124" s="35" t="s">
        <v>16073</v>
      </c>
      <c r="E124" s="35" t="s">
        <v>192</v>
      </c>
      <c r="F124" s="62">
        <v>1</v>
      </c>
      <c r="G124" s="30" t="s">
        <v>193</v>
      </c>
      <c r="H124" s="30" t="s">
        <v>194</v>
      </c>
      <c r="I124" s="30" t="s">
        <v>16121</v>
      </c>
      <c r="J124" s="35" t="s">
        <v>962</v>
      </c>
      <c r="K124" s="35">
        <v>18</v>
      </c>
      <c r="L124" s="35" t="s">
        <v>6955</v>
      </c>
      <c r="M124" s="35"/>
      <c r="N124" s="35" t="s">
        <v>17376</v>
      </c>
      <c r="O124" s="35" t="s">
        <v>6275</v>
      </c>
      <c r="P124" s="35" t="s">
        <v>17244</v>
      </c>
      <c r="Q124" s="35" t="s">
        <v>16304</v>
      </c>
      <c r="R124" s="35" t="s">
        <v>17040</v>
      </c>
      <c r="S124" s="35">
        <v>2428304</v>
      </c>
      <c r="T124" s="35">
        <v>34580630</v>
      </c>
      <c r="U124" s="35"/>
      <c r="V124" s="30">
        <v>1806</v>
      </c>
      <c r="W124" s="35" t="s">
        <v>16081</v>
      </c>
      <c r="X124" s="35" t="s">
        <v>194</v>
      </c>
      <c r="Y124" s="30">
        <v>1</v>
      </c>
      <c r="Z124" s="35"/>
      <c r="AA124" s="35"/>
      <c r="AB124" s="35"/>
      <c r="AC124" s="35"/>
      <c r="AD124" s="35"/>
      <c r="AE124" s="35"/>
      <c r="AF124" s="35"/>
      <c r="AG124" s="35"/>
      <c r="AH124" s="30" t="s">
        <v>4714</v>
      </c>
      <c r="AI124" s="35" t="s">
        <v>356</v>
      </c>
      <c r="AJ124" s="62" t="str">
        <f>MID('I kw.22'!W124,8,6)</f>
        <v>754903</v>
      </c>
      <c r="AK124" s="62">
        <v>1</v>
      </c>
      <c r="AL124" s="62">
        <f t="shared" si="1"/>
        <v>1</v>
      </c>
      <c r="AM124" s="62">
        <v>1</v>
      </c>
    </row>
    <row r="125" spans="1:39" x14ac:dyDescent="0.25">
      <c r="A125" s="35" t="s">
        <v>1426</v>
      </c>
      <c r="B125" s="35" t="s">
        <v>6074</v>
      </c>
      <c r="C125" s="35" t="s">
        <v>5326</v>
      </c>
      <c r="D125" s="35" t="s">
        <v>16073</v>
      </c>
      <c r="E125" s="35" t="s">
        <v>192</v>
      </c>
      <c r="F125" s="62">
        <v>1</v>
      </c>
      <c r="G125" s="30" t="s">
        <v>193</v>
      </c>
      <c r="H125" s="30" t="s">
        <v>194</v>
      </c>
      <c r="I125" s="30" t="s">
        <v>16078</v>
      </c>
      <c r="J125" s="35" t="s">
        <v>253</v>
      </c>
      <c r="K125" s="35">
        <v>18</v>
      </c>
      <c r="L125" s="35" t="s">
        <v>6955</v>
      </c>
      <c r="M125" s="35"/>
      <c r="N125" s="35" t="s">
        <v>17375</v>
      </c>
      <c r="O125" s="35" t="s">
        <v>6279</v>
      </c>
      <c r="P125" s="35" t="s">
        <v>17244</v>
      </c>
      <c r="Q125" s="35" t="s">
        <v>16304</v>
      </c>
      <c r="R125" s="35" t="s">
        <v>17040</v>
      </c>
      <c r="S125" s="35">
        <v>2428336</v>
      </c>
      <c r="T125" s="35">
        <v>34580662</v>
      </c>
      <c r="U125" s="35"/>
      <c r="V125" s="30">
        <v>1811</v>
      </c>
      <c r="W125" s="35" t="s">
        <v>584</v>
      </c>
      <c r="X125" s="35" t="s">
        <v>194</v>
      </c>
      <c r="Y125" s="30">
        <v>1</v>
      </c>
      <c r="Z125" s="35"/>
      <c r="AA125" s="35"/>
      <c r="AB125" s="35"/>
      <c r="AC125" s="35"/>
      <c r="AD125" s="35"/>
      <c r="AE125" s="35"/>
      <c r="AF125" s="35"/>
      <c r="AG125" s="35"/>
      <c r="AH125" s="30" t="s">
        <v>4714</v>
      </c>
      <c r="AI125" s="35" t="s">
        <v>6074</v>
      </c>
      <c r="AJ125" s="62" t="str">
        <f>MID('I kw.22'!W125,8,6)</f>
        <v>311937</v>
      </c>
      <c r="AK125" s="62">
        <v>1</v>
      </c>
      <c r="AL125" s="62">
        <f t="shared" si="1"/>
        <v>1</v>
      </c>
      <c r="AM125" s="62">
        <v>1</v>
      </c>
    </row>
    <row r="126" spans="1:39" x14ac:dyDescent="0.25">
      <c r="A126" s="35" t="s">
        <v>2656</v>
      </c>
      <c r="B126" s="35" t="s">
        <v>17373</v>
      </c>
      <c r="C126" s="35" t="s">
        <v>566</v>
      </c>
      <c r="D126" s="35" t="s">
        <v>16073</v>
      </c>
      <c r="E126" s="35" t="s">
        <v>192</v>
      </c>
      <c r="F126" s="62">
        <v>1</v>
      </c>
      <c r="G126" s="30" t="s">
        <v>193</v>
      </c>
      <c r="H126" s="30" t="s">
        <v>194</v>
      </c>
      <c r="I126" s="30" t="s">
        <v>16078</v>
      </c>
      <c r="J126" s="35" t="s">
        <v>210</v>
      </c>
      <c r="K126" s="35">
        <v>18</v>
      </c>
      <c r="L126" s="35" t="s">
        <v>6955</v>
      </c>
      <c r="M126" s="35"/>
      <c r="N126" s="35" t="s">
        <v>17374</v>
      </c>
      <c r="O126" s="35" t="s">
        <v>6245</v>
      </c>
      <c r="P126" s="35" t="s">
        <v>17244</v>
      </c>
      <c r="Q126" s="35" t="s">
        <v>16304</v>
      </c>
      <c r="R126" s="35" t="s">
        <v>17040</v>
      </c>
      <c r="S126" s="35">
        <v>2428393</v>
      </c>
      <c r="T126" s="35">
        <v>34580719</v>
      </c>
      <c r="U126" s="35"/>
      <c r="V126" s="30">
        <v>1863</v>
      </c>
      <c r="W126" s="35" t="s">
        <v>567</v>
      </c>
      <c r="X126" s="35" t="s">
        <v>194</v>
      </c>
      <c r="Y126" s="30">
        <v>1</v>
      </c>
      <c r="Z126" s="35"/>
      <c r="AA126" s="35"/>
      <c r="AB126" s="35"/>
      <c r="AC126" s="35"/>
      <c r="AD126" s="35"/>
      <c r="AE126" s="35"/>
      <c r="AF126" s="35"/>
      <c r="AG126" s="35"/>
      <c r="AH126" s="30" t="s">
        <v>4714</v>
      </c>
      <c r="AI126" s="35" t="s">
        <v>17373</v>
      </c>
      <c r="AJ126" s="62" t="str">
        <f>MID('I kw.22'!W126,8,6)</f>
        <v>311504</v>
      </c>
      <c r="AK126" s="62">
        <v>1</v>
      </c>
      <c r="AL126" s="62">
        <f t="shared" si="1"/>
        <v>1</v>
      </c>
      <c r="AM126" s="62">
        <v>1</v>
      </c>
    </row>
    <row r="127" spans="1:39" x14ac:dyDescent="0.25">
      <c r="A127" s="35" t="s">
        <v>17372</v>
      </c>
      <c r="B127" s="35" t="s">
        <v>17370</v>
      </c>
      <c r="C127" s="35" t="s">
        <v>829</v>
      </c>
      <c r="D127" s="35" t="s">
        <v>16073</v>
      </c>
      <c r="E127" s="35" t="s">
        <v>192</v>
      </c>
      <c r="F127" s="62">
        <v>1</v>
      </c>
      <c r="G127" s="30" t="s">
        <v>193</v>
      </c>
      <c r="H127" s="30" t="s">
        <v>194</v>
      </c>
      <c r="I127" s="30" t="s">
        <v>16078</v>
      </c>
      <c r="J127" s="35" t="s">
        <v>253</v>
      </c>
      <c r="K127" s="35">
        <v>18</v>
      </c>
      <c r="L127" s="35" t="s">
        <v>6955</v>
      </c>
      <c r="M127" s="35"/>
      <c r="N127" s="35" t="s">
        <v>17371</v>
      </c>
      <c r="O127" s="35" t="s">
        <v>6275</v>
      </c>
      <c r="P127" s="35" t="s">
        <v>17244</v>
      </c>
      <c r="Q127" s="35" t="s">
        <v>16304</v>
      </c>
      <c r="R127" s="35" t="s">
        <v>17040</v>
      </c>
      <c r="S127" s="35">
        <v>2428440</v>
      </c>
      <c r="T127" s="35">
        <v>34580766</v>
      </c>
      <c r="U127" s="35"/>
      <c r="V127" s="30">
        <v>1811</v>
      </c>
      <c r="W127" s="35" t="s">
        <v>830</v>
      </c>
      <c r="X127" s="35" t="s">
        <v>194</v>
      </c>
      <c r="Y127" s="30">
        <v>1</v>
      </c>
      <c r="Z127" s="35"/>
      <c r="AA127" s="35"/>
      <c r="AB127" s="35"/>
      <c r="AC127" s="35"/>
      <c r="AD127" s="35"/>
      <c r="AE127" s="35"/>
      <c r="AF127" s="35"/>
      <c r="AG127" s="35"/>
      <c r="AH127" s="30" t="s">
        <v>4714</v>
      </c>
      <c r="AI127" s="35" t="s">
        <v>17370</v>
      </c>
      <c r="AJ127" s="62" t="str">
        <f>MID('I kw.22'!W127,8,6)</f>
        <v>741201</v>
      </c>
      <c r="AK127" s="62">
        <v>1</v>
      </c>
      <c r="AL127" s="62">
        <f t="shared" si="1"/>
        <v>1</v>
      </c>
      <c r="AM127" s="62">
        <v>1</v>
      </c>
    </row>
    <row r="128" spans="1:39" x14ac:dyDescent="0.25">
      <c r="A128" s="35" t="s">
        <v>17369</v>
      </c>
      <c r="B128" s="35" t="s">
        <v>17366</v>
      </c>
      <c r="C128" s="35" t="s">
        <v>17366</v>
      </c>
      <c r="D128" s="35" t="s">
        <v>16073</v>
      </c>
      <c r="E128" s="35" t="s">
        <v>192</v>
      </c>
      <c r="F128" s="62">
        <v>1</v>
      </c>
      <c r="G128" s="30" t="s">
        <v>193</v>
      </c>
      <c r="H128" s="30" t="s">
        <v>194</v>
      </c>
      <c r="I128" s="30" t="s">
        <v>16121</v>
      </c>
      <c r="J128" s="35" t="s">
        <v>253</v>
      </c>
      <c r="K128" s="35">
        <v>18</v>
      </c>
      <c r="L128" s="35" t="s">
        <v>6955</v>
      </c>
      <c r="M128" s="35"/>
      <c r="N128" s="35" t="s">
        <v>17368</v>
      </c>
      <c r="O128" s="35" t="s">
        <v>6343</v>
      </c>
      <c r="P128" s="35" t="s">
        <v>17244</v>
      </c>
      <c r="Q128" s="35" t="s">
        <v>16304</v>
      </c>
      <c r="R128" s="35" t="s">
        <v>17040</v>
      </c>
      <c r="S128" s="35">
        <v>2428443</v>
      </c>
      <c r="T128" s="35">
        <v>34580769</v>
      </c>
      <c r="U128" s="35"/>
      <c r="V128" s="30">
        <v>1811</v>
      </c>
      <c r="W128" s="35" t="s">
        <v>17367</v>
      </c>
      <c r="X128" s="35" t="s">
        <v>194</v>
      </c>
      <c r="Y128" s="30">
        <v>1</v>
      </c>
      <c r="Z128" s="35"/>
      <c r="AA128" s="35"/>
      <c r="AB128" s="35"/>
      <c r="AC128" s="35"/>
      <c r="AD128" s="35"/>
      <c r="AE128" s="35"/>
      <c r="AF128" s="35"/>
      <c r="AG128" s="35"/>
      <c r="AH128" s="30" t="s">
        <v>4714</v>
      </c>
      <c r="AI128" s="35" t="s">
        <v>17366</v>
      </c>
      <c r="AJ128" s="62" t="str">
        <f>MID('I kw.22'!W128,8,6)</f>
        <v>941201</v>
      </c>
      <c r="AK128" s="62">
        <v>1</v>
      </c>
      <c r="AL128" s="62">
        <f t="shared" si="1"/>
        <v>1</v>
      </c>
      <c r="AM128" s="62">
        <v>1</v>
      </c>
    </row>
    <row r="129" spans="1:39" x14ac:dyDescent="0.25">
      <c r="A129" s="35" t="s">
        <v>17363</v>
      </c>
      <c r="B129" s="35" t="s">
        <v>17364</v>
      </c>
      <c r="C129" s="35" t="s">
        <v>3219</v>
      </c>
      <c r="D129" s="35" t="s">
        <v>16073</v>
      </c>
      <c r="E129" s="35" t="s">
        <v>192</v>
      </c>
      <c r="F129" s="62">
        <v>1</v>
      </c>
      <c r="G129" s="30" t="s">
        <v>193</v>
      </c>
      <c r="H129" s="30" t="s">
        <v>194</v>
      </c>
      <c r="I129" s="30" t="s">
        <v>16048</v>
      </c>
      <c r="J129" s="35" t="s">
        <v>672</v>
      </c>
      <c r="K129" s="35">
        <v>18</v>
      </c>
      <c r="L129" s="35" t="s">
        <v>6955</v>
      </c>
      <c r="M129" s="35"/>
      <c r="N129" s="35" t="s">
        <v>17365</v>
      </c>
      <c r="O129" s="35" t="s">
        <v>6302</v>
      </c>
      <c r="P129" s="35" t="s">
        <v>17244</v>
      </c>
      <c r="Q129" s="35" t="s">
        <v>16304</v>
      </c>
      <c r="R129" s="35" t="s">
        <v>17040</v>
      </c>
      <c r="S129" s="35">
        <v>2428458</v>
      </c>
      <c r="T129" s="35">
        <v>34580784</v>
      </c>
      <c r="U129" s="35"/>
      <c r="V129" s="30">
        <v>1816</v>
      </c>
      <c r="W129" s="35" t="s">
        <v>3620</v>
      </c>
      <c r="X129" s="35" t="s">
        <v>194</v>
      </c>
      <c r="Y129" s="30">
        <v>1</v>
      </c>
      <c r="Z129" s="35"/>
      <c r="AA129" s="35"/>
      <c r="AB129" s="35"/>
      <c r="AC129" s="35"/>
      <c r="AD129" s="35"/>
      <c r="AE129" s="35"/>
      <c r="AF129" s="35"/>
      <c r="AG129" s="35"/>
      <c r="AH129" s="30" t="s">
        <v>4714</v>
      </c>
      <c r="AI129" s="35" t="s">
        <v>17364</v>
      </c>
      <c r="AJ129" s="62" t="str">
        <f>MID('I kw.22'!W129,8,6)</f>
        <v>243109</v>
      </c>
      <c r="AK129" s="62">
        <v>1</v>
      </c>
      <c r="AL129" s="62">
        <f t="shared" si="1"/>
        <v>1</v>
      </c>
      <c r="AM129" s="62">
        <v>1</v>
      </c>
    </row>
    <row r="130" spans="1:39" x14ac:dyDescent="0.25">
      <c r="A130" s="35" t="s">
        <v>17363</v>
      </c>
      <c r="B130" s="35" t="s">
        <v>17361</v>
      </c>
      <c r="C130" s="35" t="s">
        <v>43</v>
      </c>
      <c r="D130" s="35" t="s">
        <v>16073</v>
      </c>
      <c r="E130" s="35" t="s">
        <v>192</v>
      </c>
      <c r="F130" s="62">
        <v>1</v>
      </c>
      <c r="G130" s="30" t="s">
        <v>193</v>
      </c>
      <c r="H130" s="30" t="s">
        <v>194</v>
      </c>
      <c r="I130" s="30" t="s">
        <v>16078</v>
      </c>
      <c r="J130" s="35" t="s">
        <v>672</v>
      </c>
      <c r="K130" s="35">
        <v>18</v>
      </c>
      <c r="L130" s="35" t="s">
        <v>6955</v>
      </c>
      <c r="M130" s="35"/>
      <c r="N130" s="35" t="s">
        <v>17362</v>
      </c>
      <c r="O130" s="35" t="s">
        <v>6302</v>
      </c>
      <c r="P130" s="35" t="s">
        <v>17244</v>
      </c>
      <c r="Q130" s="35" t="s">
        <v>16304</v>
      </c>
      <c r="R130" s="35" t="s">
        <v>17040</v>
      </c>
      <c r="S130" s="35">
        <v>2428515</v>
      </c>
      <c r="T130" s="35">
        <v>34580841</v>
      </c>
      <c r="U130" s="35"/>
      <c r="V130" s="30">
        <v>1816</v>
      </c>
      <c r="W130" s="35" t="s">
        <v>452</v>
      </c>
      <c r="X130" s="35" t="s">
        <v>194</v>
      </c>
      <c r="Y130" s="30">
        <v>1</v>
      </c>
      <c r="Z130" s="35"/>
      <c r="AA130" s="35"/>
      <c r="AB130" s="35"/>
      <c r="AC130" s="35"/>
      <c r="AD130" s="35"/>
      <c r="AE130" s="35"/>
      <c r="AF130" s="35"/>
      <c r="AG130" s="35"/>
      <c r="AH130" s="30" t="s">
        <v>4714</v>
      </c>
      <c r="AI130" s="35" t="s">
        <v>17361</v>
      </c>
      <c r="AJ130" s="62" t="str">
        <f>MID('I kw.22'!W130,8,6)</f>
        <v>243106</v>
      </c>
      <c r="AK130" s="62">
        <v>1</v>
      </c>
      <c r="AL130" s="62">
        <f t="shared" si="1"/>
        <v>1</v>
      </c>
      <c r="AM130" s="62">
        <v>1</v>
      </c>
    </row>
    <row r="131" spans="1:39" x14ac:dyDescent="0.25">
      <c r="A131" s="35" t="s">
        <v>3217</v>
      </c>
      <c r="B131" s="35" t="s">
        <v>2536</v>
      </c>
      <c r="C131" s="35" t="s">
        <v>119</v>
      </c>
      <c r="D131" s="35" t="s">
        <v>16073</v>
      </c>
      <c r="E131" s="35" t="s">
        <v>192</v>
      </c>
      <c r="F131" s="62">
        <v>1</v>
      </c>
      <c r="G131" s="30" t="s">
        <v>193</v>
      </c>
      <c r="H131" s="30" t="s">
        <v>194</v>
      </c>
      <c r="I131" s="30" t="s">
        <v>16121</v>
      </c>
      <c r="J131" s="35" t="s">
        <v>2819</v>
      </c>
      <c r="K131" s="35">
        <v>18</v>
      </c>
      <c r="L131" s="35" t="s">
        <v>6955</v>
      </c>
      <c r="M131" s="35"/>
      <c r="N131" s="35" t="s">
        <v>17360</v>
      </c>
      <c r="O131" s="35" t="s">
        <v>6275</v>
      </c>
      <c r="P131" s="35" t="s">
        <v>17244</v>
      </c>
      <c r="Q131" s="35" t="s">
        <v>16304</v>
      </c>
      <c r="R131" s="35" t="s">
        <v>17040</v>
      </c>
      <c r="S131" s="35">
        <v>2428516</v>
      </c>
      <c r="T131" s="35">
        <v>34580842</v>
      </c>
      <c r="U131" s="35"/>
      <c r="V131" s="30">
        <v>1803</v>
      </c>
      <c r="W131" s="35" t="s">
        <v>666</v>
      </c>
      <c r="X131" s="35" t="s">
        <v>194</v>
      </c>
      <c r="Y131" s="30">
        <v>1</v>
      </c>
      <c r="Z131" s="35"/>
      <c r="AA131" s="35"/>
      <c r="AB131" s="35"/>
      <c r="AC131" s="35"/>
      <c r="AD131" s="35"/>
      <c r="AE131" s="35"/>
      <c r="AF131" s="35"/>
      <c r="AG131" s="35"/>
      <c r="AH131" s="30" t="s">
        <v>4714</v>
      </c>
      <c r="AI131" s="35" t="s">
        <v>2536</v>
      </c>
      <c r="AJ131" s="62" t="str">
        <f>MID('I kw.22'!W131,8,6)</f>
        <v>333105</v>
      </c>
      <c r="AK131" s="62">
        <v>1</v>
      </c>
      <c r="AL131" s="62">
        <f t="shared" ref="AL131:AL194" si="2">SUM(F131)</f>
        <v>1</v>
      </c>
      <c r="AM131" s="62">
        <v>1</v>
      </c>
    </row>
    <row r="132" spans="1:39" x14ac:dyDescent="0.25">
      <c r="A132" s="35" t="s">
        <v>3217</v>
      </c>
      <c r="B132" s="35" t="s">
        <v>2536</v>
      </c>
      <c r="C132" s="35" t="s">
        <v>119</v>
      </c>
      <c r="D132" s="35" t="s">
        <v>16073</v>
      </c>
      <c r="E132" s="35" t="s">
        <v>192</v>
      </c>
      <c r="F132" s="62">
        <v>1</v>
      </c>
      <c r="G132" s="30" t="s">
        <v>193</v>
      </c>
      <c r="H132" s="30" t="s">
        <v>194</v>
      </c>
      <c r="I132" s="30" t="s">
        <v>16121</v>
      </c>
      <c r="J132" s="35" t="s">
        <v>210</v>
      </c>
      <c r="K132" s="35">
        <v>18</v>
      </c>
      <c r="L132" s="35" t="s">
        <v>6955</v>
      </c>
      <c r="M132" s="35"/>
      <c r="N132" s="35" t="s">
        <v>17359</v>
      </c>
      <c r="O132" s="35" t="s">
        <v>6275</v>
      </c>
      <c r="P132" s="35" t="s">
        <v>17244</v>
      </c>
      <c r="Q132" s="35" t="s">
        <v>16304</v>
      </c>
      <c r="R132" s="35" t="s">
        <v>17040</v>
      </c>
      <c r="S132" s="35">
        <v>2428517</v>
      </c>
      <c r="T132" s="35">
        <v>34580843</v>
      </c>
      <c r="U132" s="35"/>
      <c r="V132" s="30">
        <v>1863</v>
      </c>
      <c r="W132" s="35" t="s">
        <v>666</v>
      </c>
      <c r="X132" s="35" t="s">
        <v>194</v>
      </c>
      <c r="Y132" s="30">
        <v>1</v>
      </c>
      <c r="Z132" s="35"/>
      <c r="AA132" s="35"/>
      <c r="AB132" s="35"/>
      <c r="AC132" s="35"/>
      <c r="AD132" s="35"/>
      <c r="AE132" s="35"/>
      <c r="AF132" s="35"/>
      <c r="AG132" s="35"/>
      <c r="AH132" s="30" t="s">
        <v>4714</v>
      </c>
      <c r="AI132" s="35" t="s">
        <v>2536</v>
      </c>
      <c r="AJ132" s="62" t="str">
        <f>MID('I kw.22'!W132,8,6)</f>
        <v>333105</v>
      </c>
      <c r="AK132" s="62">
        <v>1</v>
      </c>
      <c r="AL132" s="62">
        <f t="shared" si="2"/>
        <v>1</v>
      </c>
      <c r="AM132" s="62">
        <v>1</v>
      </c>
    </row>
    <row r="133" spans="1:39" x14ac:dyDescent="0.25">
      <c r="A133" s="35" t="s">
        <v>12758</v>
      </c>
      <c r="B133" s="35" t="s">
        <v>17357</v>
      </c>
      <c r="C133" s="35" t="s">
        <v>10</v>
      </c>
      <c r="D133" s="35" t="s">
        <v>16073</v>
      </c>
      <c r="E133" s="35" t="s">
        <v>192</v>
      </c>
      <c r="F133" s="62">
        <v>1</v>
      </c>
      <c r="G133" s="30" t="s">
        <v>193</v>
      </c>
      <c r="H133" s="30" t="s">
        <v>194</v>
      </c>
      <c r="I133" s="30" t="s">
        <v>16121</v>
      </c>
      <c r="J133" s="35" t="s">
        <v>210</v>
      </c>
      <c r="K133" s="35">
        <v>18</v>
      </c>
      <c r="L133" s="35" t="s">
        <v>6955</v>
      </c>
      <c r="M133" s="35"/>
      <c r="N133" s="35" t="s">
        <v>17358</v>
      </c>
      <c r="O133" s="35" t="s">
        <v>6261</v>
      </c>
      <c r="P133" s="35" t="s">
        <v>17244</v>
      </c>
      <c r="Q133" s="35" t="s">
        <v>16304</v>
      </c>
      <c r="R133" s="35" t="s">
        <v>17040</v>
      </c>
      <c r="S133" s="35">
        <v>2428537</v>
      </c>
      <c r="T133" s="35">
        <v>34580863</v>
      </c>
      <c r="U133" s="35"/>
      <c r="V133" s="30">
        <v>1863</v>
      </c>
      <c r="W133" s="35" t="s">
        <v>484</v>
      </c>
      <c r="X133" s="35" t="s">
        <v>194</v>
      </c>
      <c r="Y133" s="30">
        <v>1</v>
      </c>
      <c r="Z133" s="35"/>
      <c r="AA133" s="35"/>
      <c r="AB133" s="35"/>
      <c r="AC133" s="35"/>
      <c r="AD133" s="35"/>
      <c r="AE133" s="35"/>
      <c r="AF133" s="35"/>
      <c r="AG133" s="35"/>
      <c r="AH133" s="30" t="s">
        <v>4714</v>
      </c>
      <c r="AI133" s="35" t="s">
        <v>17357</v>
      </c>
      <c r="AJ133" s="62" t="str">
        <f>MID('I kw.22'!W133,8,6)</f>
        <v>251401</v>
      </c>
      <c r="AK133" s="62">
        <v>1</v>
      </c>
      <c r="AL133" s="62">
        <f t="shared" si="2"/>
        <v>1</v>
      </c>
      <c r="AM133" s="62">
        <v>1</v>
      </c>
    </row>
    <row r="134" spans="1:39" x14ac:dyDescent="0.25">
      <c r="A134" s="35" t="s">
        <v>17356</v>
      </c>
      <c r="B134" s="35" t="s">
        <v>17354</v>
      </c>
      <c r="C134" s="35" t="s">
        <v>99</v>
      </c>
      <c r="D134" s="35" t="s">
        <v>16073</v>
      </c>
      <c r="E134" s="35" t="s">
        <v>192</v>
      </c>
      <c r="F134" s="62">
        <v>1</v>
      </c>
      <c r="G134" s="30" t="s">
        <v>193</v>
      </c>
      <c r="H134" s="30" t="s">
        <v>194</v>
      </c>
      <c r="I134" s="30" t="s">
        <v>16078</v>
      </c>
      <c r="J134" s="35" t="s">
        <v>210</v>
      </c>
      <c r="K134" s="35">
        <v>18</v>
      </c>
      <c r="L134" s="35" t="s">
        <v>6955</v>
      </c>
      <c r="M134" s="35"/>
      <c r="N134" s="35" t="s">
        <v>17355</v>
      </c>
      <c r="O134" s="35" t="s">
        <v>6286</v>
      </c>
      <c r="P134" s="35" t="s">
        <v>17244</v>
      </c>
      <c r="Q134" s="35" t="s">
        <v>16304</v>
      </c>
      <c r="R134" s="35" t="s">
        <v>17040</v>
      </c>
      <c r="S134" s="35">
        <v>2428571</v>
      </c>
      <c r="T134" s="35">
        <v>34580897</v>
      </c>
      <c r="U134" s="35"/>
      <c r="V134" s="30">
        <v>1863</v>
      </c>
      <c r="W134" s="35" t="s">
        <v>2421</v>
      </c>
      <c r="X134" s="35" t="s">
        <v>194</v>
      </c>
      <c r="Y134" s="30">
        <v>1</v>
      </c>
      <c r="Z134" s="35"/>
      <c r="AA134" s="35"/>
      <c r="AB134" s="35"/>
      <c r="AC134" s="35"/>
      <c r="AD134" s="35"/>
      <c r="AE134" s="35"/>
      <c r="AF134" s="35"/>
      <c r="AG134" s="35"/>
      <c r="AH134" s="30" t="s">
        <v>4714</v>
      </c>
      <c r="AI134" s="35" t="s">
        <v>17354</v>
      </c>
      <c r="AJ134" s="62" t="str">
        <f>MID('I kw.22'!W134,8,6)</f>
        <v>412001</v>
      </c>
      <c r="AK134" s="62">
        <v>1</v>
      </c>
      <c r="AL134" s="62">
        <f t="shared" si="2"/>
        <v>1</v>
      </c>
      <c r="AM134" s="62">
        <v>1</v>
      </c>
    </row>
    <row r="135" spans="1:39" x14ac:dyDescent="0.25">
      <c r="A135" s="35" t="s">
        <v>12807</v>
      </c>
      <c r="B135" s="35" t="s">
        <v>8800</v>
      </c>
      <c r="C135" s="35" t="s">
        <v>2861</v>
      </c>
      <c r="D135" s="35" t="s">
        <v>16073</v>
      </c>
      <c r="E135" s="35" t="s">
        <v>192</v>
      </c>
      <c r="F135" s="62">
        <v>1</v>
      </c>
      <c r="G135" s="30" t="s">
        <v>193</v>
      </c>
      <c r="H135" s="30" t="s">
        <v>194</v>
      </c>
      <c r="I135" s="30" t="s">
        <v>16066</v>
      </c>
      <c r="J135" s="35" t="s">
        <v>210</v>
      </c>
      <c r="K135" s="35">
        <v>18</v>
      </c>
      <c r="L135" s="35" t="s">
        <v>6955</v>
      </c>
      <c r="M135" s="35"/>
      <c r="N135" s="35" t="s">
        <v>17353</v>
      </c>
      <c r="O135" s="35" t="s">
        <v>6921</v>
      </c>
      <c r="P135" s="35" t="s">
        <v>17244</v>
      </c>
      <c r="Q135" s="35" t="s">
        <v>16304</v>
      </c>
      <c r="R135" s="35" t="s">
        <v>17040</v>
      </c>
      <c r="S135" s="35">
        <v>2428617</v>
      </c>
      <c r="T135" s="35">
        <v>34580943</v>
      </c>
      <c r="U135" s="35"/>
      <c r="V135" s="30">
        <v>1863</v>
      </c>
      <c r="W135" s="35" t="s">
        <v>3629</v>
      </c>
      <c r="X135" s="35" t="s">
        <v>194</v>
      </c>
      <c r="Y135" s="30">
        <v>1</v>
      </c>
      <c r="Z135" s="35"/>
      <c r="AA135" s="35"/>
      <c r="AB135" s="35"/>
      <c r="AC135" s="35"/>
      <c r="AD135" s="35"/>
      <c r="AE135" s="35"/>
      <c r="AF135" s="35"/>
      <c r="AG135" s="35"/>
      <c r="AH135" s="30" t="s">
        <v>4714</v>
      </c>
      <c r="AI135" s="35" t="s">
        <v>8800</v>
      </c>
      <c r="AJ135" s="62" t="str">
        <f>MID('I kw.22'!W135,8,6)</f>
        <v>251903</v>
      </c>
      <c r="AK135" s="62">
        <v>1</v>
      </c>
      <c r="AL135" s="62">
        <f t="shared" si="2"/>
        <v>1</v>
      </c>
      <c r="AM135" s="62">
        <v>1</v>
      </c>
    </row>
    <row r="136" spans="1:39" x14ac:dyDescent="0.25">
      <c r="A136" s="35" t="s">
        <v>2656</v>
      </c>
      <c r="B136" s="35" t="s">
        <v>17351</v>
      </c>
      <c r="C136" s="35" t="s">
        <v>37</v>
      </c>
      <c r="D136" s="35" t="s">
        <v>16073</v>
      </c>
      <c r="E136" s="35" t="s">
        <v>192</v>
      </c>
      <c r="F136" s="62">
        <v>1</v>
      </c>
      <c r="G136" s="30" t="s">
        <v>193</v>
      </c>
      <c r="H136" s="30" t="s">
        <v>194</v>
      </c>
      <c r="I136" s="30" t="s">
        <v>16048</v>
      </c>
      <c r="J136" s="35" t="s">
        <v>210</v>
      </c>
      <c r="K136" s="35">
        <v>18</v>
      </c>
      <c r="L136" s="35" t="s">
        <v>6955</v>
      </c>
      <c r="M136" s="35"/>
      <c r="N136" s="35" t="s">
        <v>17352</v>
      </c>
      <c r="O136" s="35" t="s">
        <v>6921</v>
      </c>
      <c r="P136" s="35" t="s">
        <v>17244</v>
      </c>
      <c r="Q136" s="35" t="s">
        <v>16304</v>
      </c>
      <c r="R136" s="35" t="s">
        <v>17040</v>
      </c>
      <c r="S136" s="35">
        <v>2428632</v>
      </c>
      <c r="T136" s="35">
        <v>34580958</v>
      </c>
      <c r="U136" s="35"/>
      <c r="V136" s="30">
        <v>1863</v>
      </c>
      <c r="W136" s="35" t="s">
        <v>516</v>
      </c>
      <c r="X136" s="35" t="s">
        <v>194</v>
      </c>
      <c r="Y136" s="30">
        <v>1</v>
      </c>
      <c r="Z136" s="35"/>
      <c r="AA136" s="35"/>
      <c r="AB136" s="35"/>
      <c r="AC136" s="35"/>
      <c r="AD136" s="35"/>
      <c r="AE136" s="35"/>
      <c r="AF136" s="35"/>
      <c r="AG136" s="35"/>
      <c r="AH136" s="30" t="s">
        <v>4714</v>
      </c>
      <c r="AI136" s="35" t="s">
        <v>17351</v>
      </c>
      <c r="AJ136" s="62" t="str">
        <f>MID('I kw.22'!W136,8,6)</f>
        <v>252302</v>
      </c>
      <c r="AK136" s="62">
        <v>1</v>
      </c>
      <c r="AL136" s="62">
        <f t="shared" si="2"/>
        <v>1</v>
      </c>
      <c r="AM136" s="62">
        <v>1</v>
      </c>
    </row>
    <row r="137" spans="1:39" x14ac:dyDescent="0.25">
      <c r="A137" s="35" t="s">
        <v>552</v>
      </c>
      <c r="B137" s="35" t="s">
        <v>17349</v>
      </c>
      <c r="C137" s="35" t="s">
        <v>62</v>
      </c>
      <c r="D137" s="35" t="s">
        <v>16073</v>
      </c>
      <c r="E137" s="35" t="s">
        <v>192</v>
      </c>
      <c r="F137" s="62">
        <v>1</v>
      </c>
      <c r="G137" s="30" t="s">
        <v>193</v>
      </c>
      <c r="H137" s="30" t="s">
        <v>194</v>
      </c>
      <c r="I137" s="30" t="s">
        <v>16078</v>
      </c>
      <c r="J137" s="35" t="s">
        <v>253</v>
      </c>
      <c r="K137" s="35">
        <v>18</v>
      </c>
      <c r="L137" s="35" t="s">
        <v>6955</v>
      </c>
      <c r="M137" s="35"/>
      <c r="N137" s="35" t="s">
        <v>17350</v>
      </c>
      <c r="O137" s="35" t="s">
        <v>6275</v>
      </c>
      <c r="P137" s="35" t="s">
        <v>17244</v>
      </c>
      <c r="Q137" s="35" t="s">
        <v>16304</v>
      </c>
      <c r="R137" s="35" t="s">
        <v>17040</v>
      </c>
      <c r="S137" s="35">
        <v>2428651</v>
      </c>
      <c r="T137" s="35">
        <v>34580977</v>
      </c>
      <c r="U137" s="35"/>
      <c r="V137" s="30">
        <v>1811</v>
      </c>
      <c r="W137" s="35" t="s">
        <v>601</v>
      </c>
      <c r="X137" s="35" t="s">
        <v>194</v>
      </c>
      <c r="Y137" s="30">
        <v>1</v>
      </c>
      <c r="Z137" s="35"/>
      <c r="AA137" s="35"/>
      <c r="AB137" s="35"/>
      <c r="AC137" s="35"/>
      <c r="AD137" s="35"/>
      <c r="AE137" s="35"/>
      <c r="AF137" s="35"/>
      <c r="AG137" s="35"/>
      <c r="AH137" s="30" t="s">
        <v>4714</v>
      </c>
      <c r="AI137" s="35" t="s">
        <v>17349</v>
      </c>
      <c r="AJ137" s="62" t="str">
        <f>MID('I kw.22'!W137,8,6)</f>
        <v>313904</v>
      </c>
      <c r="AK137" s="62">
        <v>1</v>
      </c>
      <c r="AL137" s="62">
        <f t="shared" si="2"/>
        <v>1</v>
      </c>
      <c r="AM137" s="62">
        <v>1</v>
      </c>
    </row>
    <row r="138" spans="1:39" x14ac:dyDescent="0.25">
      <c r="A138" s="35" t="s">
        <v>17348</v>
      </c>
      <c r="B138" s="35" t="s">
        <v>647</v>
      </c>
      <c r="C138" s="35" t="s">
        <v>35</v>
      </c>
      <c r="D138" s="35" t="s">
        <v>16073</v>
      </c>
      <c r="E138" s="35" t="s">
        <v>192</v>
      </c>
      <c r="F138" s="62">
        <v>1</v>
      </c>
      <c r="G138" s="30" t="s">
        <v>193</v>
      </c>
      <c r="H138" s="30" t="s">
        <v>194</v>
      </c>
      <c r="I138" s="30" t="s">
        <v>16121</v>
      </c>
      <c r="J138" s="35" t="s">
        <v>210</v>
      </c>
      <c r="K138" s="35">
        <v>18</v>
      </c>
      <c r="L138" s="35" t="s">
        <v>6955</v>
      </c>
      <c r="M138" s="35"/>
      <c r="N138" s="35" t="s">
        <v>17347</v>
      </c>
      <c r="O138" s="35" t="s">
        <v>6249</v>
      </c>
      <c r="P138" s="35" t="s">
        <v>17244</v>
      </c>
      <c r="Q138" s="35" t="s">
        <v>16304</v>
      </c>
      <c r="R138" s="35" t="s">
        <v>17040</v>
      </c>
      <c r="S138" s="35">
        <v>2428655</v>
      </c>
      <c r="T138" s="35">
        <v>34580981</v>
      </c>
      <c r="U138" s="35"/>
      <c r="V138" s="30">
        <v>1863</v>
      </c>
      <c r="W138" s="35" t="s">
        <v>207</v>
      </c>
      <c r="X138" s="35" t="s">
        <v>194</v>
      </c>
      <c r="Y138" s="30">
        <v>1</v>
      </c>
      <c r="Z138" s="35"/>
      <c r="AA138" s="35"/>
      <c r="AB138" s="35"/>
      <c r="AC138" s="35"/>
      <c r="AD138" s="35"/>
      <c r="AE138" s="35"/>
      <c r="AF138" s="35"/>
      <c r="AG138" s="35"/>
      <c r="AH138" s="30" t="s">
        <v>4714</v>
      </c>
      <c r="AI138" s="35" t="s">
        <v>647</v>
      </c>
      <c r="AJ138" s="62" t="str">
        <f>MID('I kw.22'!W138,8,6)</f>
        <v>122106</v>
      </c>
      <c r="AK138" s="62">
        <v>1</v>
      </c>
      <c r="AL138" s="62">
        <f t="shared" si="2"/>
        <v>1</v>
      </c>
      <c r="AM138" s="62">
        <v>1</v>
      </c>
    </row>
    <row r="139" spans="1:39" x14ac:dyDescent="0.25">
      <c r="A139" s="35" t="s">
        <v>2304</v>
      </c>
      <c r="B139" s="35" t="s">
        <v>14063</v>
      </c>
      <c r="C139" s="35" t="s">
        <v>706</v>
      </c>
      <c r="D139" s="35" t="s">
        <v>16073</v>
      </c>
      <c r="E139" s="35" t="s">
        <v>192</v>
      </c>
      <c r="F139" s="62">
        <v>1</v>
      </c>
      <c r="G139" s="30" t="s">
        <v>193</v>
      </c>
      <c r="H139" s="30" t="s">
        <v>194</v>
      </c>
      <c r="I139" s="30" t="s">
        <v>16048</v>
      </c>
      <c r="J139" s="35" t="s">
        <v>210</v>
      </c>
      <c r="K139" s="35">
        <v>18</v>
      </c>
      <c r="L139" s="35" t="s">
        <v>6955</v>
      </c>
      <c r="M139" s="35"/>
      <c r="N139" s="35" t="s">
        <v>17346</v>
      </c>
      <c r="O139" s="35" t="s">
        <v>6343</v>
      </c>
      <c r="P139" s="35" t="s">
        <v>17244</v>
      </c>
      <c r="Q139" s="35" t="s">
        <v>16304</v>
      </c>
      <c r="R139" s="35" t="s">
        <v>17040</v>
      </c>
      <c r="S139" s="35">
        <v>2428659</v>
      </c>
      <c r="T139" s="35">
        <v>34580985</v>
      </c>
      <c r="U139" s="35"/>
      <c r="V139" s="30">
        <v>1863</v>
      </c>
      <c r="W139" s="35" t="s">
        <v>707</v>
      </c>
      <c r="X139" s="35" t="s">
        <v>194</v>
      </c>
      <c r="Y139" s="30">
        <v>1</v>
      </c>
      <c r="Z139" s="35"/>
      <c r="AA139" s="35"/>
      <c r="AB139" s="35"/>
      <c r="AC139" s="35"/>
      <c r="AD139" s="35"/>
      <c r="AE139" s="35"/>
      <c r="AF139" s="35"/>
      <c r="AG139" s="35"/>
      <c r="AH139" s="30" t="s">
        <v>4714</v>
      </c>
      <c r="AI139" s="35" t="s">
        <v>14063</v>
      </c>
      <c r="AJ139" s="62" t="str">
        <f>MID('I kw.22'!W139,8,6)</f>
        <v>422201</v>
      </c>
      <c r="AK139" s="62">
        <v>1</v>
      </c>
      <c r="AL139" s="62">
        <f t="shared" si="2"/>
        <v>1</v>
      </c>
      <c r="AM139" s="62">
        <v>1</v>
      </c>
    </row>
    <row r="140" spans="1:39" x14ac:dyDescent="0.25">
      <c r="A140" s="35" t="s">
        <v>17266</v>
      </c>
      <c r="B140" s="35" t="s">
        <v>17342</v>
      </c>
      <c r="C140" s="35" t="s">
        <v>17345</v>
      </c>
      <c r="D140" s="35" t="s">
        <v>16073</v>
      </c>
      <c r="E140" s="35" t="s">
        <v>192</v>
      </c>
      <c r="F140" s="62">
        <v>1</v>
      </c>
      <c r="G140" s="30" t="s">
        <v>193</v>
      </c>
      <c r="H140" s="30" t="s">
        <v>194</v>
      </c>
      <c r="I140" s="30" t="s">
        <v>16048</v>
      </c>
      <c r="J140" s="35" t="s">
        <v>17265</v>
      </c>
      <c r="K140" s="35">
        <v>18</v>
      </c>
      <c r="L140" s="35" t="s">
        <v>6955</v>
      </c>
      <c r="M140" s="35"/>
      <c r="N140" s="35" t="s">
        <v>17344</v>
      </c>
      <c r="O140" s="35" t="s">
        <v>6324</v>
      </c>
      <c r="P140" s="35" t="s">
        <v>17244</v>
      </c>
      <c r="Q140" s="35" t="s">
        <v>16304</v>
      </c>
      <c r="R140" s="35" t="s">
        <v>17040</v>
      </c>
      <c r="S140" s="35">
        <v>2428697</v>
      </c>
      <c r="T140" s="35">
        <v>34581023</v>
      </c>
      <c r="U140" s="35"/>
      <c r="V140" s="30">
        <v>1819</v>
      </c>
      <c r="W140" s="35" t="s">
        <v>17343</v>
      </c>
      <c r="X140" s="35" t="s">
        <v>194</v>
      </c>
      <c r="Y140" s="30">
        <v>1</v>
      </c>
      <c r="Z140" s="35"/>
      <c r="AA140" s="35"/>
      <c r="AB140" s="35"/>
      <c r="AC140" s="35"/>
      <c r="AD140" s="35"/>
      <c r="AE140" s="35"/>
      <c r="AF140" s="35"/>
      <c r="AG140" s="35"/>
      <c r="AH140" s="30" t="s">
        <v>4714</v>
      </c>
      <c r="AI140" s="35" t="s">
        <v>17342</v>
      </c>
      <c r="AJ140" s="62" t="str">
        <f>MID('I kw.22'!W140,8,6)</f>
        <v>214601</v>
      </c>
      <c r="AK140" s="62">
        <v>1</v>
      </c>
      <c r="AL140" s="62">
        <f t="shared" si="2"/>
        <v>1</v>
      </c>
      <c r="AM140" s="62">
        <v>1</v>
      </c>
    </row>
    <row r="141" spans="1:39" x14ac:dyDescent="0.25">
      <c r="A141" s="35" t="s">
        <v>17341</v>
      </c>
      <c r="B141" s="35" t="s">
        <v>3312</v>
      </c>
      <c r="C141" s="35" t="s">
        <v>1775</v>
      </c>
      <c r="D141" s="35" t="s">
        <v>16073</v>
      </c>
      <c r="E141" s="35" t="s">
        <v>192</v>
      </c>
      <c r="F141" s="62">
        <v>1</v>
      </c>
      <c r="G141" s="30" t="s">
        <v>193</v>
      </c>
      <c r="H141" s="30" t="s">
        <v>194</v>
      </c>
      <c r="I141" s="30" t="s">
        <v>16061</v>
      </c>
      <c r="J141" s="35" t="s">
        <v>210</v>
      </c>
      <c r="K141" s="35">
        <v>18</v>
      </c>
      <c r="L141" s="35" t="s">
        <v>6955</v>
      </c>
      <c r="M141" s="35"/>
      <c r="N141" s="35" t="s">
        <v>17340</v>
      </c>
      <c r="O141" s="35" t="s">
        <v>6254</v>
      </c>
      <c r="P141" s="35" t="s">
        <v>17244</v>
      </c>
      <c r="Q141" s="35" t="s">
        <v>16304</v>
      </c>
      <c r="R141" s="35" t="s">
        <v>17040</v>
      </c>
      <c r="S141" s="35">
        <v>2428751</v>
      </c>
      <c r="T141" s="35">
        <v>34581077</v>
      </c>
      <c r="U141" s="35"/>
      <c r="V141" s="30">
        <v>1863</v>
      </c>
      <c r="W141" s="35" t="s">
        <v>1777</v>
      </c>
      <c r="X141" s="35" t="s">
        <v>194</v>
      </c>
      <c r="Y141" s="30">
        <v>1</v>
      </c>
      <c r="Z141" s="35"/>
      <c r="AA141" s="35"/>
      <c r="AB141" s="35"/>
      <c r="AC141" s="35"/>
      <c r="AD141" s="35"/>
      <c r="AE141" s="35"/>
      <c r="AF141" s="35"/>
      <c r="AG141" s="35"/>
      <c r="AH141" s="30" t="s">
        <v>4714</v>
      </c>
      <c r="AI141" s="35" t="s">
        <v>3312</v>
      </c>
      <c r="AJ141" s="62" t="str">
        <f>MID('I kw.22'!W141,8,6)</f>
        <v>241302</v>
      </c>
      <c r="AK141" s="62">
        <v>1</v>
      </c>
      <c r="AL141" s="62">
        <f t="shared" si="2"/>
        <v>1</v>
      </c>
      <c r="AM141" s="62">
        <v>1</v>
      </c>
    </row>
    <row r="142" spans="1:39" x14ac:dyDescent="0.25">
      <c r="A142" s="35" t="s">
        <v>9460</v>
      </c>
      <c r="B142" s="35" t="s">
        <v>2390</v>
      </c>
      <c r="C142" s="35" t="s">
        <v>2795</v>
      </c>
      <c r="D142" s="35" t="s">
        <v>16073</v>
      </c>
      <c r="E142" s="35" t="s">
        <v>192</v>
      </c>
      <c r="F142" s="62">
        <v>1</v>
      </c>
      <c r="G142" s="30" t="s">
        <v>193</v>
      </c>
      <c r="H142" s="30" t="s">
        <v>194</v>
      </c>
      <c r="I142" s="30" t="s">
        <v>16066</v>
      </c>
      <c r="J142" s="35" t="s">
        <v>210</v>
      </c>
      <c r="K142" s="35">
        <v>18</v>
      </c>
      <c r="L142" s="35" t="s">
        <v>6955</v>
      </c>
      <c r="M142" s="35"/>
      <c r="N142" s="35" t="s">
        <v>17339</v>
      </c>
      <c r="O142" s="35" t="s">
        <v>6254</v>
      </c>
      <c r="P142" s="35" t="s">
        <v>17244</v>
      </c>
      <c r="Q142" s="35" t="s">
        <v>16304</v>
      </c>
      <c r="R142" s="35" t="s">
        <v>17040</v>
      </c>
      <c r="S142" s="35">
        <v>2428805</v>
      </c>
      <c r="T142" s="35">
        <v>34581131</v>
      </c>
      <c r="U142" s="35"/>
      <c r="V142" s="30">
        <v>1863</v>
      </c>
      <c r="W142" s="35" t="s">
        <v>17338</v>
      </c>
      <c r="X142" s="35" t="s">
        <v>194</v>
      </c>
      <c r="Y142" s="30">
        <v>1</v>
      </c>
      <c r="Z142" s="35"/>
      <c r="AA142" s="35"/>
      <c r="AB142" s="35"/>
      <c r="AC142" s="35"/>
      <c r="AD142" s="35"/>
      <c r="AE142" s="35"/>
      <c r="AF142" s="35"/>
      <c r="AG142" s="35"/>
      <c r="AH142" s="30" t="s">
        <v>4714</v>
      </c>
      <c r="AI142" s="35" t="s">
        <v>2390</v>
      </c>
      <c r="AJ142" s="62" t="str">
        <f>MID('I kw.22'!W142,8,6)</f>
        <v>134690</v>
      </c>
      <c r="AK142" s="62">
        <v>1</v>
      </c>
      <c r="AL142" s="62">
        <f t="shared" si="2"/>
        <v>1</v>
      </c>
      <c r="AM142" s="62">
        <v>1</v>
      </c>
    </row>
    <row r="143" spans="1:39" x14ac:dyDescent="0.25">
      <c r="A143" s="35" t="s">
        <v>3712</v>
      </c>
      <c r="B143" s="35" t="s">
        <v>908</v>
      </c>
      <c r="C143" s="35" t="s">
        <v>119</v>
      </c>
      <c r="D143" s="35" t="s">
        <v>16073</v>
      </c>
      <c r="E143" s="35" t="s">
        <v>192</v>
      </c>
      <c r="F143" s="62">
        <v>1</v>
      </c>
      <c r="G143" s="30" t="s">
        <v>193</v>
      </c>
      <c r="H143" s="30" t="s">
        <v>194</v>
      </c>
      <c r="I143" s="30" t="s">
        <v>16121</v>
      </c>
      <c r="J143" s="35" t="s">
        <v>276</v>
      </c>
      <c r="K143" s="35">
        <v>18</v>
      </c>
      <c r="L143" s="35" t="s">
        <v>6955</v>
      </c>
      <c r="M143" s="35"/>
      <c r="N143" s="35" t="s">
        <v>17337</v>
      </c>
      <c r="O143" s="35" t="s">
        <v>6266</v>
      </c>
      <c r="P143" s="35" t="s">
        <v>17244</v>
      </c>
      <c r="Q143" s="35" t="s">
        <v>16304</v>
      </c>
      <c r="R143" s="35" t="s">
        <v>17040</v>
      </c>
      <c r="S143" s="35">
        <v>2428871</v>
      </c>
      <c r="T143" s="35">
        <v>34581197</v>
      </c>
      <c r="U143" s="35"/>
      <c r="V143" s="30">
        <v>1803</v>
      </c>
      <c r="W143" s="35" t="s">
        <v>666</v>
      </c>
      <c r="X143" s="35" t="s">
        <v>194</v>
      </c>
      <c r="Y143" s="30">
        <v>1</v>
      </c>
      <c r="Z143" s="35"/>
      <c r="AA143" s="35"/>
      <c r="AB143" s="35"/>
      <c r="AC143" s="35"/>
      <c r="AD143" s="35"/>
      <c r="AE143" s="35"/>
      <c r="AF143" s="35"/>
      <c r="AG143" s="35"/>
      <c r="AH143" s="30" t="s">
        <v>4714</v>
      </c>
      <c r="AI143" s="35" t="s">
        <v>908</v>
      </c>
      <c r="AJ143" s="62" t="str">
        <f>MID('I kw.22'!W143,8,6)</f>
        <v>333105</v>
      </c>
      <c r="AK143" s="62">
        <v>1</v>
      </c>
      <c r="AL143" s="62">
        <f t="shared" si="2"/>
        <v>1</v>
      </c>
      <c r="AM143" s="62">
        <v>1</v>
      </c>
    </row>
    <row r="144" spans="1:39" x14ac:dyDescent="0.25">
      <c r="A144" s="35" t="s">
        <v>3712</v>
      </c>
      <c r="B144" s="35" t="s">
        <v>908</v>
      </c>
      <c r="C144" s="35" t="s">
        <v>119</v>
      </c>
      <c r="D144" s="35" t="s">
        <v>16073</v>
      </c>
      <c r="E144" s="35" t="s">
        <v>192</v>
      </c>
      <c r="F144" s="62">
        <v>1</v>
      </c>
      <c r="G144" s="30" t="s">
        <v>193</v>
      </c>
      <c r="H144" s="30" t="s">
        <v>194</v>
      </c>
      <c r="I144" s="30" t="s">
        <v>16121</v>
      </c>
      <c r="J144" s="35" t="s">
        <v>367</v>
      </c>
      <c r="K144" s="35">
        <v>18</v>
      </c>
      <c r="L144" s="35" t="s">
        <v>6955</v>
      </c>
      <c r="M144" s="35"/>
      <c r="N144" s="35" t="s">
        <v>17336</v>
      </c>
      <c r="O144" s="35" t="s">
        <v>6266</v>
      </c>
      <c r="P144" s="35" t="s">
        <v>17244</v>
      </c>
      <c r="Q144" s="35" t="s">
        <v>16304</v>
      </c>
      <c r="R144" s="35" t="s">
        <v>17040</v>
      </c>
      <c r="S144" s="35">
        <v>2428872</v>
      </c>
      <c r="T144" s="35">
        <v>34581198</v>
      </c>
      <c r="U144" s="35"/>
      <c r="V144" s="30">
        <v>1805</v>
      </c>
      <c r="W144" s="35" t="s">
        <v>666</v>
      </c>
      <c r="X144" s="35" t="s">
        <v>194</v>
      </c>
      <c r="Y144" s="30">
        <v>1</v>
      </c>
      <c r="Z144" s="35"/>
      <c r="AA144" s="35"/>
      <c r="AB144" s="35"/>
      <c r="AC144" s="35"/>
      <c r="AD144" s="35"/>
      <c r="AE144" s="35"/>
      <c r="AF144" s="35"/>
      <c r="AG144" s="35"/>
      <c r="AH144" s="30" t="s">
        <v>4714</v>
      </c>
      <c r="AI144" s="35" t="s">
        <v>908</v>
      </c>
      <c r="AJ144" s="62" t="str">
        <f>MID('I kw.22'!W144,8,6)</f>
        <v>333105</v>
      </c>
      <c r="AK144" s="62">
        <v>1</v>
      </c>
      <c r="AL144" s="62">
        <f t="shared" si="2"/>
        <v>1</v>
      </c>
      <c r="AM144" s="62">
        <v>1</v>
      </c>
    </row>
    <row r="145" spans="1:39" x14ac:dyDescent="0.25">
      <c r="A145" s="35" t="s">
        <v>3712</v>
      </c>
      <c r="B145" s="35" t="s">
        <v>908</v>
      </c>
      <c r="C145" s="35" t="s">
        <v>119</v>
      </c>
      <c r="D145" s="35" t="s">
        <v>16073</v>
      </c>
      <c r="E145" s="35" t="s">
        <v>192</v>
      </c>
      <c r="F145" s="62">
        <v>1</v>
      </c>
      <c r="G145" s="30" t="s">
        <v>193</v>
      </c>
      <c r="H145" s="30" t="s">
        <v>194</v>
      </c>
      <c r="I145" s="30" t="s">
        <v>16121</v>
      </c>
      <c r="J145" s="35" t="s">
        <v>4751</v>
      </c>
      <c r="K145" s="35">
        <v>18</v>
      </c>
      <c r="L145" s="35" t="s">
        <v>6955</v>
      </c>
      <c r="M145" s="35"/>
      <c r="N145" s="35" t="s">
        <v>17335</v>
      </c>
      <c r="O145" s="35" t="s">
        <v>6266</v>
      </c>
      <c r="P145" s="35" t="s">
        <v>17244</v>
      </c>
      <c r="Q145" s="35" t="s">
        <v>16304</v>
      </c>
      <c r="R145" s="35" t="s">
        <v>17040</v>
      </c>
      <c r="S145" s="35">
        <v>2428879</v>
      </c>
      <c r="T145" s="35">
        <v>34581205</v>
      </c>
      <c r="U145" s="35"/>
      <c r="V145" s="30">
        <v>1862</v>
      </c>
      <c r="W145" s="35" t="s">
        <v>666</v>
      </c>
      <c r="X145" s="35" t="s">
        <v>194</v>
      </c>
      <c r="Y145" s="30">
        <v>1</v>
      </c>
      <c r="Z145" s="35"/>
      <c r="AA145" s="35"/>
      <c r="AB145" s="35"/>
      <c r="AC145" s="35"/>
      <c r="AD145" s="35"/>
      <c r="AE145" s="35"/>
      <c r="AF145" s="35"/>
      <c r="AG145" s="35"/>
      <c r="AH145" s="30" t="s">
        <v>4714</v>
      </c>
      <c r="AI145" s="35" t="s">
        <v>908</v>
      </c>
      <c r="AJ145" s="62" t="str">
        <f>MID('I kw.22'!W145,8,6)</f>
        <v>333105</v>
      </c>
      <c r="AK145" s="62">
        <v>1</v>
      </c>
      <c r="AL145" s="62">
        <f t="shared" si="2"/>
        <v>1</v>
      </c>
      <c r="AM145" s="62">
        <v>1</v>
      </c>
    </row>
    <row r="146" spans="1:39" x14ac:dyDescent="0.25">
      <c r="A146" s="35" t="s">
        <v>3712</v>
      </c>
      <c r="B146" s="35" t="s">
        <v>908</v>
      </c>
      <c r="C146" s="35" t="s">
        <v>119</v>
      </c>
      <c r="D146" s="35" t="s">
        <v>16073</v>
      </c>
      <c r="E146" s="35" t="s">
        <v>192</v>
      </c>
      <c r="F146" s="62">
        <v>1</v>
      </c>
      <c r="G146" s="30" t="s">
        <v>193</v>
      </c>
      <c r="H146" s="30" t="s">
        <v>194</v>
      </c>
      <c r="I146" s="30" t="s">
        <v>16121</v>
      </c>
      <c r="J146" s="35" t="s">
        <v>210</v>
      </c>
      <c r="K146" s="35">
        <v>18</v>
      </c>
      <c r="L146" s="35" t="s">
        <v>6955</v>
      </c>
      <c r="M146" s="35"/>
      <c r="N146" s="35" t="s">
        <v>17334</v>
      </c>
      <c r="O146" s="35" t="s">
        <v>6266</v>
      </c>
      <c r="P146" s="35" t="s">
        <v>17244</v>
      </c>
      <c r="Q146" s="35" t="s">
        <v>16304</v>
      </c>
      <c r="R146" s="35" t="s">
        <v>17040</v>
      </c>
      <c r="S146" s="35">
        <v>2428880</v>
      </c>
      <c r="T146" s="35">
        <v>34581206</v>
      </c>
      <c r="U146" s="35"/>
      <c r="V146" s="30">
        <v>1863</v>
      </c>
      <c r="W146" s="35" t="s">
        <v>666</v>
      </c>
      <c r="X146" s="35" t="s">
        <v>194</v>
      </c>
      <c r="Y146" s="30">
        <v>1</v>
      </c>
      <c r="Z146" s="35"/>
      <c r="AA146" s="35"/>
      <c r="AB146" s="35"/>
      <c r="AC146" s="35"/>
      <c r="AD146" s="35"/>
      <c r="AE146" s="35"/>
      <c r="AF146" s="35"/>
      <c r="AG146" s="35"/>
      <c r="AH146" s="30" t="s">
        <v>4714</v>
      </c>
      <c r="AI146" s="35" t="s">
        <v>908</v>
      </c>
      <c r="AJ146" s="62" t="str">
        <f>MID('I kw.22'!W146,8,6)</f>
        <v>333105</v>
      </c>
      <c r="AK146" s="62">
        <v>1</v>
      </c>
      <c r="AL146" s="62">
        <f t="shared" si="2"/>
        <v>1</v>
      </c>
      <c r="AM146" s="62">
        <v>1</v>
      </c>
    </row>
    <row r="147" spans="1:39" x14ac:dyDescent="0.25">
      <c r="A147" s="35" t="s">
        <v>3712</v>
      </c>
      <c r="B147" s="35" t="s">
        <v>908</v>
      </c>
      <c r="C147" s="35" t="s">
        <v>119</v>
      </c>
      <c r="D147" s="35" t="s">
        <v>16073</v>
      </c>
      <c r="E147" s="35" t="s">
        <v>192</v>
      </c>
      <c r="F147" s="62">
        <v>1</v>
      </c>
      <c r="G147" s="30" t="s">
        <v>193</v>
      </c>
      <c r="H147" s="30" t="s">
        <v>194</v>
      </c>
      <c r="I147" s="30" t="s">
        <v>16121</v>
      </c>
      <c r="J147" s="35" t="s">
        <v>747</v>
      </c>
      <c r="K147" s="35">
        <v>18</v>
      </c>
      <c r="L147" s="35" t="s">
        <v>6955</v>
      </c>
      <c r="M147" s="35"/>
      <c r="N147" s="35" t="s">
        <v>17333</v>
      </c>
      <c r="O147" s="35" t="s">
        <v>6266</v>
      </c>
      <c r="P147" s="35" t="s">
        <v>17244</v>
      </c>
      <c r="Q147" s="35" t="s">
        <v>16304</v>
      </c>
      <c r="R147" s="35" t="s">
        <v>17040</v>
      </c>
      <c r="S147" s="35">
        <v>2428881</v>
      </c>
      <c r="T147" s="35">
        <v>34581207</v>
      </c>
      <c r="U147" s="35"/>
      <c r="V147" s="30">
        <v>1817</v>
      </c>
      <c r="W147" s="35" t="s">
        <v>666</v>
      </c>
      <c r="X147" s="35" t="s">
        <v>194</v>
      </c>
      <c r="Y147" s="30">
        <v>1</v>
      </c>
      <c r="Z147" s="35"/>
      <c r="AA147" s="35"/>
      <c r="AB147" s="35"/>
      <c r="AC147" s="35"/>
      <c r="AD147" s="35"/>
      <c r="AE147" s="35"/>
      <c r="AF147" s="35"/>
      <c r="AG147" s="35"/>
      <c r="AH147" s="30" t="s">
        <v>4714</v>
      </c>
      <c r="AI147" s="35" t="s">
        <v>908</v>
      </c>
      <c r="AJ147" s="62" t="str">
        <f>MID('I kw.22'!W147,8,6)</f>
        <v>333105</v>
      </c>
      <c r="AK147" s="62">
        <v>1</v>
      </c>
      <c r="AL147" s="62">
        <f t="shared" si="2"/>
        <v>1</v>
      </c>
      <c r="AM147" s="62">
        <v>1</v>
      </c>
    </row>
    <row r="148" spans="1:39" x14ac:dyDescent="0.25">
      <c r="A148" s="35" t="s">
        <v>3712</v>
      </c>
      <c r="B148" s="35" t="s">
        <v>908</v>
      </c>
      <c r="C148" s="35" t="s">
        <v>119</v>
      </c>
      <c r="D148" s="35" t="s">
        <v>16073</v>
      </c>
      <c r="E148" s="35" t="s">
        <v>192</v>
      </c>
      <c r="F148" s="62">
        <v>1</v>
      </c>
      <c r="G148" s="30" t="s">
        <v>193</v>
      </c>
      <c r="H148" s="30" t="s">
        <v>194</v>
      </c>
      <c r="I148" s="30" t="s">
        <v>16121</v>
      </c>
      <c r="J148" s="35" t="s">
        <v>316</v>
      </c>
      <c r="K148" s="35">
        <v>18</v>
      </c>
      <c r="L148" s="35" t="s">
        <v>6955</v>
      </c>
      <c r="M148" s="35"/>
      <c r="N148" s="35" t="s">
        <v>17332</v>
      </c>
      <c r="O148" s="35" t="s">
        <v>6266</v>
      </c>
      <c r="P148" s="35" t="s">
        <v>17244</v>
      </c>
      <c r="Q148" s="35" t="s">
        <v>16304</v>
      </c>
      <c r="R148" s="35" t="s">
        <v>17040</v>
      </c>
      <c r="S148" s="35">
        <v>2428882</v>
      </c>
      <c r="T148" s="35">
        <v>34581208</v>
      </c>
      <c r="U148" s="35"/>
      <c r="V148" s="30">
        <v>1818</v>
      </c>
      <c r="W148" s="35" t="s">
        <v>666</v>
      </c>
      <c r="X148" s="35" t="s">
        <v>194</v>
      </c>
      <c r="Y148" s="30">
        <v>1</v>
      </c>
      <c r="Z148" s="35"/>
      <c r="AA148" s="35"/>
      <c r="AB148" s="35"/>
      <c r="AC148" s="35"/>
      <c r="AD148" s="35"/>
      <c r="AE148" s="35"/>
      <c r="AF148" s="35"/>
      <c r="AG148" s="35"/>
      <c r="AH148" s="30" t="s">
        <v>4714</v>
      </c>
      <c r="AI148" s="35" t="s">
        <v>908</v>
      </c>
      <c r="AJ148" s="62" t="str">
        <f>MID('I kw.22'!W148,8,6)</f>
        <v>333105</v>
      </c>
      <c r="AK148" s="62">
        <v>1</v>
      </c>
      <c r="AL148" s="62">
        <f t="shared" si="2"/>
        <v>1</v>
      </c>
      <c r="AM148" s="62">
        <v>1</v>
      </c>
    </row>
    <row r="149" spans="1:39" x14ac:dyDescent="0.25">
      <c r="A149" s="35" t="s">
        <v>3712</v>
      </c>
      <c r="B149" s="35" t="s">
        <v>17325</v>
      </c>
      <c r="C149" s="35" t="s">
        <v>227</v>
      </c>
      <c r="D149" s="35" t="s">
        <v>16073</v>
      </c>
      <c r="E149" s="35" t="s">
        <v>192</v>
      </c>
      <c r="F149" s="62">
        <v>1</v>
      </c>
      <c r="G149" s="30" t="s">
        <v>193</v>
      </c>
      <c r="H149" s="30" t="s">
        <v>194</v>
      </c>
      <c r="I149" s="30" t="s">
        <v>16121</v>
      </c>
      <c r="J149" s="35" t="s">
        <v>276</v>
      </c>
      <c r="K149" s="35">
        <v>18</v>
      </c>
      <c r="L149" s="35" t="s">
        <v>6955</v>
      </c>
      <c r="M149" s="35"/>
      <c r="N149" s="35" t="s">
        <v>17331</v>
      </c>
      <c r="O149" s="35" t="s">
        <v>6266</v>
      </c>
      <c r="P149" s="35" t="s">
        <v>17244</v>
      </c>
      <c r="Q149" s="35" t="s">
        <v>16304</v>
      </c>
      <c r="R149" s="35" t="s">
        <v>17040</v>
      </c>
      <c r="S149" s="35">
        <v>2428917</v>
      </c>
      <c r="T149" s="35">
        <v>34581243</v>
      </c>
      <c r="U149" s="35"/>
      <c r="V149" s="30">
        <v>1803</v>
      </c>
      <c r="W149" s="35" t="s">
        <v>229</v>
      </c>
      <c r="X149" s="35" t="s">
        <v>194</v>
      </c>
      <c r="Y149" s="30">
        <v>1</v>
      </c>
      <c r="Z149" s="35"/>
      <c r="AA149" s="35"/>
      <c r="AB149" s="35"/>
      <c r="AC149" s="35"/>
      <c r="AD149" s="35"/>
      <c r="AE149" s="35"/>
      <c r="AF149" s="35"/>
      <c r="AG149" s="35"/>
      <c r="AH149" s="30" t="s">
        <v>4714</v>
      </c>
      <c r="AI149" s="35" t="s">
        <v>17325</v>
      </c>
      <c r="AJ149" s="62" t="str">
        <f>MID('I kw.22'!W149,8,6)</f>
        <v>132401</v>
      </c>
      <c r="AK149" s="62">
        <v>1</v>
      </c>
      <c r="AL149" s="62">
        <f t="shared" si="2"/>
        <v>1</v>
      </c>
      <c r="AM149" s="62">
        <v>1</v>
      </c>
    </row>
    <row r="150" spans="1:39" x14ac:dyDescent="0.25">
      <c r="A150" s="35" t="s">
        <v>3712</v>
      </c>
      <c r="B150" s="35" t="s">
        <v>17325</v>
      </c>
      <c r="C150" s="35" t="s">
        <v>227</v>
      </c>
      <c r="D150" s="35" t="s">
        <v>16073</v>
      </c>
      <c r="E150" s="35" t="s">
        <v>192</v>
      </c>
      <c r="F150" s="62">
        <v>1</v>
      </c>
      <c r="G150" s="30" t="s">
        <v>193</v>
      </c>
      <c r="H150" s="30" t="s">
        <v>194</v>
      </c>
      <c r="I150" s="30" t="s">
        <v>16121</v>
      </c>
      <c r="J150" s="35" t="s">
        <v>367</v>
      </c>
      <c r="K150" s="35">
        <v>18</v>
      </c>
      <c r="L150" s="35" t="s">
        <v>6955</v>
      </c>
      <c r="M150" s="35"/>
      <c r="N150" s="35" t="s">
        <v>17330</v>
      </c>
      <c r="O150" s="35" t="s">
        <v>6266</v>
      </c>
      <c r="P150" s="35" t="s">
        <v>17244</v>
      </c>
      <c r="Q150" s="35" t="s">
        <v>16304</v>
      </c>
      <c r="R150" s="35" t="s">
        <v>17040</v>
      </c>
      <c r="S150" s="35">
        <v>2428918</v>
      </c>
      <c r="T150" s="35">
        <v>34581244</v>
      </c>
      <c r="U150" s="35"/>
      <c r="V150" s="30">
        <v>1805</v>
      </c>
      <c r="W150" s="35" t="s">
        <v>229</v>
      </c>
      <c r="X150" s="35" t="s">
        <v>194</v>
      </c>
      <c r="Y150" s="30">
        <v>1</v>
      </c>
      <c r="Z150" s="35"/>
      <c r="AA150" s="35"/>
      <c r="AB150" s="35"/>
      <c r="AC150" s="35"/>
      <c r="AD150" s="35"/>
      <c r="AE150" s="35"/>
      <c r="AF150" s="35"/>
      <c r="AG150" s="35"/>
      <c r="AH150" s="30" t="s">
        <v>4714</v>
      </c>
      <c r="AI150" s="35" t="s">
        <v>17325</v>
      </c>
      <c r="AJ150" s="62" t="str">
        <f>MID('I kw.22'!W150,8,6)</f>
        <v>132401</v>
      </c>
      <c r="AK150" s="62">
        <v>1</v>
      </c>
      <c r="AL150" s="62">
        <f t="shared" si="2"/>
        <v>1</v>
      </c>
      <c r="AM150" s="62">
        <v>1</v>
      </c>
    </row>
    <row r="151" spans="1:39" x14ac:dyDescent="0.25">
      <c r="A151" s="35" t="s">
        <v>3712</v>
      </c>
      <c r="B151" s="35" t="s">
        <v>17325</v>
      </c>
      <c r="C151" s="35" t="s">
        <v>227</v>
      </c>
      <c r="D151" s="35" t="s">
        <v>16073</v>
      </c>
      <c r="E151" s="35" t="s">
        <v>192</v>
      </c>
      <c r="F151" s="62">
        <v>1</v>
      </c>
      <c r="G151" s="30" t="s">
        <v>193</v>
      </c>
      <c r="H151" s="30" t="s">
        <v>194</v>
      </c>
      <c r="I151" s="30" t="s">
        <v>16121</v>
      </c>
      <c r="J151" s="35" t="s">
        <v>4751</v>
      </c>
      <c r="K151" s="35">
        <v>18</v>
      </c>
      <c r="L151" s="35" t="s">
        <v>6955</v>
      </c>
      <c r="M151" s="35"/>
      <c r="N151" s="35" t="s">
        <v>17329</v>
      </c>
      <c r="O151" s="35" t="s">
        <v>6266</v>
      </c>
      <c r="P151" s="35" t="s">
        <v>17244</v>
      </c>
      <c r="Q151" s="35" t="s">
        <v>16304</v>
      </c>
      <c r="R151" s="35" t="s">
        <v>17040</v>
      </c>
      <c r="S151" s="35">
        <v>2428925</v>
      </c>
      <c r="T151" s="35">
        <v>34581251</v>
      </c>
      <c r="U151" s="35"/>
      <c r="V151" s="30">
        <v>1862</v>
      </c>
      <c r="W151" s="35" t="s">
        <v>229</v>
      </c>
      <c r="X151" s="35" t="s">
        <v>194</v>
      </c>
      <c r="Y151" s="30">
        <v>1</v>
      </c>
      <c r="Z151" s="35"/>
      <c r="AA151" s="35"/>
      <c r="AB151" s="35"/>
      <c r="AC151" s="35"/>
      <c r="AD151" s="35"/>
      <c r="AE151" s="35"/>
      <c r="AF151" s="35"/>
      <c r="AG151" s="35"/>
      <c r="AH151" s="30" t="s">
        <v>4714</v>
      </c>
      <c r="AI151" s="35" t="s">
        <v>17325</v>
      </c>
      <c r="AJ151" s="62" t="str">
        <f>MID('I kw.22'!W151,8,6)</f>
        <v>132401</v>
      </c>
      <c r="AK151" s="62">
        <v>1</v>
      </c>
      <c r="AL151" s="62">
        <f t="shared" si="2"/>
        <v>1</v>
      </c>
      <c r="AM151" s="62">
        <v>1</v>
      </c>
    </row>
    <row r="152" spans="1:39" x14ac:dyDescent="0.25">
      <c r="A152" s="35" t="s">
        <v>3712</v>
      </c>
      <c r="B152" s="35" t="s">
        <v>17325</v>
      </c>
      <c r="C152" s="35" t="s">
        <v>227</v>
      </c>
      <c r="D152" s="35" t="s">
        <v>16073</v>
      </c>
      <c r="E152" s="35" t="s">
        <v>192</v>
      </c>
      <c r="F152" s="62">
        <v>1</v>
      </c>
      <c r="G152" s="30" t="s">
        <v>193</v>
      </c>
      <c r="H152" s="30" t="s">
        <v>194</v>
      </c>
      <c r="I152" s="30" t="s">
        <v>16121</v>
      </c>
      <c r="J152" s="35" t="s">
        <v>210</v>
      </c>
      <c r="K152" s="35">
        <v>18</v>
      </c>
      <c r="L152" s="35" t="s">
        <v>6955</v>
      </c>
      <c r="M152" s="35"/>
      <c r="N152" s="35" t="s">
        <v>17328</v>
      </c>
      <c r="O152" s="35" t="s">
        <v>6266</v>
      </c>
      <c r="P152" s="35" t="s">
        <v>17244</v>
      </c>
      <c r="Q152" s="35" t="s">
        <v>16304</v>
      </c>
      <c r="R152" s="35" t="s">
        <v>17040</v>
      </c>
      <c r="S152" s="35">
        <v>2428926</v>
      </c>
      <c r="T152" s="35">
        <v>34581252</v>
      </c>
      <c r="U152" s="35"/>
      <c r="V152" s="30">
        <v>1863</v>
      </c>
      <c r="W152" s="35" t="s">
        <v>229</v>
      </c>
      <c r="X152" s="35" t="s">
        <v>194</v>
      </c>
      <c r="Y152" s="30">
        <v>1</v>
      </c>
      <c r="Z152" s="35"/>
      <c r="AA152" s="35"/>
      <c r="AB152" s="35"/>
      <c r="AC152" s="35"/>
      <c r="AD152" s="35"/>
      <c r="AE152" s="35"/>
      <c r="AF152" s="35"/>
      <c r="AG152" s="35"/>
      <c r="AH152" s="30" t="s">
        <v>4714</v>
      </c>
      <c r="AI152" s="35" t="s">
        <v>17325</v>
      </c>
      <c r="AJ152" s="62" t="str">
        <f>MID('I kw.22'!W152,8,6)</f>
        <v>132401</v>
      </c>
      <c r="AK152" s="62">
        <v>1</v>
      </c>
      <c r="AL152" s="62">
        <f t="shared" si="2"/>
        <v>1</v>
      </c>
      <c r="AM152" s="62">
        <v>1</v>
      </c>
    </row>
    <row r="153" spans="1:39" x14ac:dyDescent="0.25">
      <c r="A153" s="35" t="s">
        <v>3712</v>
      </c>
      <c r="B153" s="35" t="s">
        <v>17325</v>
      </c>
      <c r="C153" s="35" t="s">
        <v>227</v>
      </c>
      <c r="D153" s="35" t="s">
        <v>16073</v>
      </c>
      <c r="E153" s="35" t="s">
        <v>192</v>
      </c>
      <c r="F153" s="62">
        <v>1</v>
      </c>
      <c r="G153" s="30" t="s">
        <v>193</v>
      </c>
      <c r="H153" s="30" t="s">
        <v>194</v>
      </c>
      <c r="I153" s="30" t="s">
        <v>16121</v>
      </c>
      <c r="J153" s="35" t="s">
        <v>747</v>
      </c>
      <c r="K153" s="35">
        <v>18</v>
      </c>
      <c r="L153" s="35" t="s">
        <v>6955</v>
      </c>
      <c r="M153" s="35"/>
      <c r="N153" s="35" t="s">
        <v>17327</v>
      </c>
      <c r="O153" s="35" t="s">
        <v>6266</v>
      </c>
      <c r="P153" s="35" t="s">
        <v>17244</v>
      </c>
      <c r="Q153" s="35" t="s">
        <v>16304</v>
      </c>
      <c r="R153" s="35" t="s">
        <v>17040</v>
      </c>
      <c r="S153" s="35">
        <v>2428927</v>
      </c>
      <c r="T153" s="35">
        <v>34581253</v>
      </c>
      <c r="U153" s="35"/>
      <c r="V153" s="30">
        <v>1817</v>
      </c>
      <c r="W153" s="35" t="s">
        <v>229</v>
      </c>
      <c r="X153" s="35" t="s">
        <v>194</v>
      </c>
      <c r="Y153" s="30">
        <v>1</v>
      </c>
      <c r="Z153" s="35"/>
      <c r="AA153" s="35"/>
      <c r="AB153" s="35"/>
      <c r="AC153" s="35"/>
      <c r="AD153" s="35"/>
      <c r="AE153" s="35"/>
      <c r="AF153" s="35"/>
      <c r="AG153" s="35"/>
      <c r="AH153" s="30" t="s">
        <v>4714</v>
      </c>
      <c r="AI153" s="35" t="s">
        <v>17325</v>
      </c>
      <c r="AJ153" s="62" t="str">
        <f>MID('I kw.22'!W153,8,6)</f>
        <v>132401</v>
      </c>
      <c r="AK153" s="62">
        <v>1</v>
      </c>
      <c r="AL153" s="62">
        <f t="shared" si="2"/>
        <v>1</v>
      </c>
      <c r="AM153" s="62">
        <v>1</v>
      </c>
    </row>
    <row r="154" spans="1:39" x14ac:dyDescent="0.25">
      <c r="A154" s="35" t="s">
        <v>3712</v>
      </c>
      <c r="B154" s="35" t="s">
        <v>17325</v>
      </c>
      <c r="C154" s="35" t="s">
        <v>227</v>
      </c>
      <c r="D154" s="35" t="s">
        <v>16073</v>
      </c>
      <c r="E154" s="35" t="s">
        <v>192</v>
      </c>
      <c r="F154" s="62">
        <v>1</v>
      </c>
      <c r="G154" s="30" t="s">
        <v>193</v>
      </c>
      <c r="H154" s="30" t="s">
        <v>194</v>
      </c>
      <c r="I154" s="30" t="s">
        <v>16121</v>
      </c>
      <c r="J154" s="35" t="s">
        <v>316</v>
      </c>
      <c r="K154" s="35">
        <v>18</v>
      </c>
      <c r="L154" s="35" t="s">
        <v>6955</v>
      </c>
      <c r="M154" s="35"/>
      <c r="N154" s="35" t="s">
        <v>17326</v>
      </c>
      <c r="O154" s="35" t="s">
        <v>6266</v>
      </c>
      <c r="P154" s="35" t="s">
        <v>17244</v>
      </c>
      <c r="Q154" s="35" t="s">
        <v>16304</v>
      </c>
      <c r="R154" s="35" t="s">
        <v>17040</v>
      </c>
      <c r="S154" s="35">
        <v>2428928</v>
      </c>
      <c r="T154" s="35">
        <v>34581254</v>
      </c>
      <c r="U154" s="35"/>
      <c r="V154" s="30">
        <v>1818</v>
      </c>
      <c r="W154" s="35" t="s">
        <v>229</v>
      </c>
      <c r="X154" s="35" t="s">
        <v>194</v>
      </c>
      <c r="Y154" s="30">
        <v>1</v>
      </c>
      <c r="Z154" s="35"/>
      <c r="AA154" s="35"/>
      <c r="AB154" s="35"/>
      <c r="AC154" s="35"/>
      <c r="AD154" s="35"/>
      <c r="AE154" s="35"/>
      <c r="AF154" s="35"/>
      <c r="AG154" s="35"/>
      <c r="AH154" s="30" t="s">
        <v>4714</v>
      </c>
      <c r="AI154" s="35" t="s">
        <v>17325</v>
      </c>
      <c r="AJ154" s="62" t="str">
        <f>MID('I kw.22'!W154,8,6)</f>
        <v>132401</v>
      </c>
      <c r="AK154" s="62">
        <v>1</v>
      </c>
      <c r="AL154" s="62">
        <f t="shared" si="2"/>
        <v>1</v>
      </c>
      <c r="AM154" s="62">
        <v>1</v>
      </c>
    </row>
    <row r="155" spans="1:39" x14ac:dyDescent="0.25">
      <c r="A155" s="35" t="s">
        <v>493</v>
      </c>
      <c r="B155" s="35" t="s">
        <v>17323</v>
      </c>
      <c r="C155" s="35" t="s">
        <v>366</v>
      </c>
      <c r="D155" s="35" t="s">
        <v>16073</v>
      </c>
      <c r="E155" s="35" t="s">
        <v>192</v>
      </c>
      <c r="F155" s="62">
        <v>1</v>
      </c>
      <c r="G155" s="30" t="s">
        <v>193</v>
      </c>
      <c r="H155" s="30" t="s">
        <v>194</v>
      </c>
      <c r="I155" s="30" t="s">
        <v>16121</v>
      </c>
      <c r="J155" s="35" t="s">
        <v>210</v>
      </c>
      <c r="K155" s="35">
        <v>18</v>
      </c>
      <c r="L155" s="35" t="s">
        <v>6955</v>
      </c>
      <c r="M155" s="35"/>
      <c r="N155" s="35" t="s">
        <v>17324</v>
      </c>
      <c r="O155" s="35" t="s">
        <v>6245</v>
      </c>
      <c r="P155" s="35" t="s">
        <v>17244</v>
      </c>
      <c r="Q155" s="35" t="s">
        <v>16304</v>
      </c>
      <c r="R155" s="35" t="s">
        <v>17040</v>
      </c>
      <c r="S155" s="35">
        <v>2428974</v>
      </c>
      <c r="T155" s="35">
        <v>34581300</v>
      </c>
      <c r="U155" s="35"/>
      <c r="V155" s="30">
        <v>1863</v>
      </c>
      <c r="W155" s="35" t="s">
        <v>368</v>
      </c>
      <c r="X155" s="35" t="s">
        <v>194</v>
      </c>
      <c r="Y155" s="30">
        <v>1</v>
      </c>
      <c r="Z155" s="35"/>
      <c r="AA155" s="35"/>
      <c r="AB155" s="35"/>
      <c r="AC155" s="35"/>
      <c r="AD155" s="35"/>
      <c r="AE155" s="35"/>
      <c r="AF155" s="35"/>
      <c r="AG155" s="35"/>
      <c r="AH155" s="30" t="s">
        <v>4714</v>
      </c>
      <c r="AI155" s="35" t="s">
        <v>17323</v>
      </c>
      <c r="AJ155" s="62" t="str">
        <f>MID('I kw.22'!W155,8,6)</f>
        <v>215201</v>
      </c>
      <c r="AK155" s="62">
        <v>1</v>
      </c>
      <c r="AL155" s="62">
        <f t="shared" si="2"/>
        <v>1</v>
      </c>
      <c r="AM155" s="62">
        <v>1</v>
      </c>
    </row>
    <row r="156" spans="1:39" x14ac:dyDescent="0.25">
      <c r="A156" s="35" t="s">
        <v>17322</v>
      </c>
      <c r="B156" s="35" t="s">
        <v>332</v>
      </c>
      <c r="C156" s="35" t="s">
        <v>6472</v>
      </c>
      <c r="D156" s="35" t="s">
        <v>16073</v>
      </c>
      <c r="E156" s="35" t="s">
        <v>192</v>
      </c>
      <c r="F156" s="62">
        <v>1</v>
      </c>
      <c r="G156" s="30" t="s">
        <v>193</v>
      </c>
      <c r="H156" s="30" t="s">
        <v>194</v>
      </c>
      <c r="I156" s="30" t="s">
        <v>16078</v>
      </c>
      <c r="J156" s="35" t="s">
        <v>210</v>
      </c>
      <c r="K156" s="35">
        <v>18</v>
      </c>
      <c r="L156" s="35" t="s">
        <v>6955</v>
      </c>
      <c r="M156" s="35"/>
      <c r="N156" s="35" t="s">
        <v>17321</v>
      </c>
      <c r="O156" s="35" t="s">
        <v>6258</v>
      </c>
      <c r="P156" s="35" t="s">
        <v>17244</v>
      </c>
      <c r="Q156" s="35" t="s">
        <v>16304</v>
      </c>
      <c r="R156" s="35" t="s">
        <v>17040</v>
      </c>
      <c r="S156" s="35">
        <v>2429013</v>
      </c>
      <c r="T156" s="35">
        <v>34581339</v>
      </c>
      <c r="U156" s="35"/>
      <c r="V156" s="30">
        <v>1863</v>
      </c>
      <c r="W156" s="35" t="s">
        <v>1938</v>
      </c>
      <c r="X156" s="35" t="s">
        <v>194</v>
      </c>
      <c r="Y156" s="30">
        <v>1</v>
      </c>
      <c r="Z156" s="35"/>
      <c r="AA156" s="35"/>
      <c r="AB156" s="35"/>
      <c r="AC156" s="35"/>
      <c r="AD156" s="35"/>
      <c r="AE156" s="35"/>
      <c r="AF156" s="35"/>
      <c r="AG156" s="35"/>
      <c r="AH156" s="30" t="s">
        <v>4714</v>
      </c>
      <c r="AI156" s="35" t="s">
        <v>332</v>
      </c>
      <c r="AJ156" s="62" t="str">
        <f>MID('I kw.22'!W156,8,6)</f>
        <v>214406</v>
      </c>
      <c r="AK156" s="62">
        <v>1</v>
      </c>
      <c r="AL156" s="62">
        <f t="shared" si="2"/>
        <v>1</v>
      </c>
      <c r="AM156" s="62">
        <v>1</v>
      </c>
    </row>
    <row r="157" spans="1:39" x14ac:dyDescent="0.25">
      <c r="A157" s="35" t="s">
        <v>17320</v>
      </c>
      <c r="B157" s="35" t="s">
        <v>17317</v>
      </c>
      <c r="C157" s="35" t="s">
        <v>237</v>
      </c>
      <c r="D157" s="35" t="s">
        <v>16073</v>
      </c>
      <c r="E157" s="35" t="s">
        <v>192</v>
      </c>
      <c r="F157" s="62">
        <v>1</v>
      </c>
      <c r="G157" s="30" t="s">
        <v>193</v>
      </c>
      <c r="H157" s="30" t="s">
        <v>194</v>
      </c>
      <c r="I157" s="30" t="s">
        <v>16066</v>
      </c>
      <c r="J157" s="35" t="s">
        <v>17319</v>
      </c>
      <c r="K157" s="35">
        <v>18</v>
      </c>
      <c r="L157" s="35" t="s">
        <v>6955</v>
      </c>
      <c r="M157" s="35"/>
      <c r="N157" s="35" t="s">
        <v>17318</v>
      </c>
      <c r="O157" s="35" t="s">
        <v>6266</v>
      </c>
      <c r="P157" s="35" t="s">
        <v>17244</v>
      </c>
      <c r="Q157" s="35" t="s">
        <v>16304</v>
      </c>
      <c r="R157" s="35" t="s">
        <v>17040</v>
      </c>
      <c r="S157" s="35">
        <v>2429308</v>
      </c>
      <c r="T157" s="35">
        <v>34581634</v>
      </c>
      <c r="U157" s="35"/>
      <c r="V157" s="30">
        <v>1814</v>
      </c>
      <c r="W157" s="35" t="s">
        <v>239</v>
      </c>
      <c r="X157" s="35" t="s">
        <v>194</v>
      </c>
      <c r="Y157" s="30">
        <v>1</v>
      </c>
      <c r="Z157" s="35"/>
      <c r="AA157" s="35"/>
      <c r="AB157" s="35"/>
      <c r="AC157" s="35"/>
      <c r="AD157" s="35"/>
      <c r="AE157" s="35"/>
      <c r="AF157" s="35"/>
      <c r="AG157" s="35"/>
      <c r="AH157" s="30" t="s">
        <v>4714</v>
      </c>
      <c r="AI157" s="35" t="s">
        <v>17317</v>
      </c>
      <c r="AJ157" s="62" t="str">
        <f>MID('I kw.22'!W157,8,6)</f>
        <v>132404</v>
      </c>
      <c r="AK157" s="62">
        <v>1</v>
      </c>
      <c r="AL157" s="62">
        <f t="shared" si="2"/>
        <v>1</v>
      </c>
      <c r="AM157" s="62">
        <v>1</v>
      </c>
    </row>
    <row r="158" spans="1:39" x14ac:dyDescent="0.25">
      <c r="A158" s="35" t="s">
        <v>1207</v>
      </c>
      <c r="B158" s="35" t="s">
        <v>17315</v>
      </c>
      <c r="C158" s="35" t="s">
        <v>1775</v>
      </c>
      <c r="D158" s="35" t="s">
        <v>16073</v>
      </c>
      <c r="E158" s="35" t="s">
        <v>192</v>
      </c>
      <c r="F158" s="62">
        <v>1</v>
      </c>
      <c r="G158" s="30" t="s">
        <v>193</v>
      </c>
      <c r="H158" s="30" t="s">
        <v>194</v>
      </c>
      <c r="I158" s="30" t="s">
        <v>16061</v>
      </c>
      <c r="J158" s="35" t="s">
        <v>210</v>
      </c>
      <c r="K158" s="35">
        <v>18</v>
      </c>
      <c r="L158" s="35" t="s">
        <v>6955</v>
      </c>
      <c r="M158" s="35"/>
      <c r="N158" s="35" t="s">
        <v>17316</v>
      </c>
      <c r="O158" s="35" t="s">
        <v>6254</v>
      </c>
      <c r="P158" s="35" t="s">
        <v>17244</v>
      </c>
      <c r="Q158" s="35" t="s">
        <v>16304</v>
      </c>
      <c r="R158" s="35" t="s">
        <v>16078</v>
      </c>
      <c r="S158" s="35">
        <v>2429340</v>
      </c>
      <c r="T158" s="35">
        <v>34581666</v>
      </c>
      <c r="U158" s="35"/>
      <c r="V158" s="30">
        <v>1863</v>
      </c>
      <c r="W158" s="35" t="s">
        <v>1777</v>
      </c>
      <c r="X158" s="35" t="s">
        <v>194</v>
      </c>
      <c r="Y158" s="30">
        <v>1</v>
      </c>
      <c r="Z158" s="35"/>
      <c r="AA158" s="35"/>
      <c r="AB158" s="35"/>
      <c r="AC158" s="35"/>
      <c r="AD158" s="35"/>
      <c r="AE158" s="35"/>
      <c r="AF158" s="35"/>
      <c r="AG158" s="35"/>
      <c r="AH158" s="30" t="s">
        <v>4714</v>
      </c>
      <c r="AI158" s="35" t="s">
        <v>17315</v>
      </c>
      <c r="AJ158" s="62" t="str">
        <f>MID('I kw.22'!W158,8,6)</f>
        <v>241302</v>
      </c>
      <c r="AK158" s="62">
        <v>1</v>
      </c>
      <c r="AL158" s="62">
        <f t="shared" si="2"/>
        <v>1</v>
      </c>
      <c r="AM158" s="62">
        <v>1</v>
      </c>
    </row>
    <row r="159" spans="1:39" x14ac:dyDescent="0.25">
      <c r="A159" s="35" t="s">
        <v>17314</v>
      </c>
      <c r="B159" s="35" t="s">
        <v>5611</v>
      </c>
      <c r="C159" s="35" t="s">
        <v>17313</v>
      </c>
      <c r="D159" s="35" t="s">
        <v>16073</v>
      </c>
      <c r="E159" s="35" t="s">
        <v>192</v>
      </c>
      <c r="F159" s="62">
        <v>1</v>
      </c>
      <c r="G159" s="30" t="s">
        <v>193</v>
      </c>
      <c r="H159" s="30" t="s">
        <v>194</v>
      </c>
      <c r="I159" s="30" t="s">
        <v>16066</v>
      </c>
      <c r="J159" s="35" t="s">
        <v>210</v>
      </c>
      <c r="K159" s="35">
        <v>18</v>
      </c>
      <c r="L159" s="35" t="s">
        <v>6955</v>
      </c>
      <c r="M159" s="35"/>
      <c r="N159" s="35" t="s">
        <v>17312</v>
      </c>
      <c r="O159" s="35" t="s">
        <v>6275</v>
      </c>
      <c r="P159" s="35" t="s">
        <v>17244</v>
      </c>
      <c r="Q159" s="35" t="s">
        <v>16304</v>
      </c>
      <c r="R159" s="35" t="s">
        <v>17040</v>
      </c>
      <c r="S159" s="35">
        <v>2429427</v>
      </c>
      <c r="T159" s="35">
        <v>34581753</v>
      </c>
      <c r="U159" s="35"/>
      <c r="V159" s="30">
        <v>1863</v>
      </c>
      <c r="W159" s="35" t="s">
        <v>17311</v>
      </c>
      <c r="X159" s="35" t="s">
        <v>194</v>
      </c>
      <c r="Y159" s="30">
        <v>1</v>
      </c>
      <c r="Z159" s="35"/>
      <c r="AA159" s="35"/>
      <c r="AB159" s="35"/>
      <c r="AC159" s="35"/>
      <c r="AD159" s="35"/>
      <c r="AE159" s="35"/>
      <c r="AF159" s="35"/>
      <c r="AG159" s="35"/>
      <c r="AH159" s="30" t="s">
        <v>4714</v>
      </c>
      <c r="AI159" s="35" t="s">
        <v>5611</v>
      </c>
      <c r="AJ159" s="62" t="str">
        <f>MID('I kw.22'!W159,8,6)</f>
        <v>742201</v>
      </c>
      <c r="AK159" s="62">
        <v>1</v>
      </c>
      <c r="AL159" s="62">
        <f t="shared" si="2"/>
        <v>1</v>
      </c>
      <c r="AM159" s="62">
        <v>1</v>
      </c>
    </row>
    <row r="160" spans="1:39" x14ac:dyDescent="0.25">
      <c r="A160" s="35" t="s">
        <v>17308</v>
      </c>
      <c r="B160" s="35" t="s">
        <v>17309</v>
      </c>
      <c r="C160" s="35" t="s">
        <v>778</v>
      </c>
      <c r="D160" s="35" t="s">
        <v>16073</v>
      </c>
      <c r="E160" s="35" t="s">
        <v>192</v>
      </c>
      <c r="F160" s="62">
        <v>1</v>
      </c>
      <c r="G160" s="30" t="s">
        <v>193</v>
      </c>
      <c r="H160" s="30" t="s">
        <v>194</v>
      </c>
      <c r="I160" s="30" t="s">
        <v>16121</v>
      </c>
      <c r="J160" s="35" t="s">
        <v>210</v>
      </c>
      <c r="K160" s="35">
        <v>18</v>
      </c>
      <c r="L160" s="35" t="s">
        <v>6955</v>
      </c>
      <c r="M160" s="35"/>
      <c r="N160" s="35" t="s">
        <v>17310</v>
      </c>
      <c r="O160" s="35" t="s">
        <v>6921</v>
      </c>
      <c r="P160" s="35" t="s">
        <v>17244</v>
      </c>
      <c r="Q160" s="35" t="s">
        <v>16304</v>
      </c>
      <c r="R160" s="35" t="s">
        <v>17040</v>
      </c>
      <c r="S160" s="35">
        <v>2429463</v>
      </c>
      <c r="T160" s="35">
        <v>34581789</v>
      </c>
      <c r="U160" s="35"/>
      <c r="V160" s="30">
        <v>1863</v>
      </c>
      <c r="W160" s="35" t="s">
        <v>779</v>
      </c>
      <c r="X160" s="35" t="s">
        <v>194</v>
      </c>
      <c r="Y160" s="30">
        <v>1</v>
      </c>
      <c r="Z160" s="35"/>
      <c r="AA160" s="35"/>
      <c r="AB160" s="35"/>
      <c r="AC160" s="35"/>
      <c r="AD160" s="35"/>
      <c r="AE160" s="35"/>
      <c r="AF160" s="35"/>
      <c r="AG160" s="35"/>
      <c r="AH160" s="30" t="s">
        <v>4714</v>
      </c>
      <c r="AI160" s="35" t="s">
        <v>17309</v>
      </c>
      <c r="AJ160" s="62" t="str">
        <f>MID('I kw.22'!W160,8,6)</f>
        <v>524902</v>
      </c>
      <c r="AK160" s="62">
        <v>1</v>
      </c>
      <c r="AL160" s="62">
        <f t="shared" si="2"/>
        <v>1</v>
      </c>
      <c r="AM160" s="62">
        <v>1</v>
      </c>
    </row>
    <row r="161" spans="1:39" x14ac:dyDescent="0.25">
      <c r="A161" s="35" t="s">
        <v>17308</v>
      </c>
      <c r="B161" s="35" t="s">
        <v>17306</v>
      </c>
      <c r="C161" s="35" t="s">
        <v>778</v>
      </c>
      <c r="D161" s="35" t="s">
        <v>16073</v>
      </c>
      <c r="E161" s="35" t="s">
        <v>192</v>
      </c>
      <c r="F161" s="62">
        <v>1</v>
      </c>
      <c r="G161" s="30" t="s">
        <v>193</v>
      </c>
      <c r="H161" s="30" t="s">
        <v>194</v>
      </c>
      <c r="I161" s="30" t="s">
        <v>16121</v>
      </c>
      <c r="J161" s="35" t="s">
        <v>210</v>
      </c>
      <c r="K161" s="35">
        <v>18</v>
      </c>
      <c r="L161" s="35" t="s">
        <v>6955</v>
      </c>
      <c r="M161" s="35"/>
      <c r="N161" s="35" t="s">
        <v>17307</v>
      </c>
      <c r="O161" s="35" t="s">
        <v>6921</v>
      </c>
      <c r="P161" s="35" t="s">
        <v>17244</v>
      </c>
      <c r="Q161" s="35" t="s">
        <v>16304</v>
      </c>
      <c r="R161" s="35" t="s">
        <v>17040</v>
      </c>
      <c r="S161" s="35">
        <v>2429479</v>
      </c>
      <c r="T161" s="35">
        <v>34581805</v>
      </c>
      <c r="U161" s="35"/>
      <c r="V161" s="30">
        <v>1863</v>
      </c>
      <c r="W161" s="35" t="s">
        <v>779</v>
      </c>
      <c r="X161" s="35" t="s">
        <v>194</v>
      </c>
      <c r="Y161" s="30">
        <v>1</v>
      </c>
      <c r="Z161" s="35"/>
      <c r="AA161" s="35"/>
      <c r="AB161" s="35"/>
      <c r="AC161" s="35"/>
      <c r="AD161" s="35"/>
      <c r="AE161" s="35"/>
      <c r="AF161" s="35"/>
      <c r="AG161" s="35"/>
      <c r="AH161" s="30" t="s">
        <v>4714</v>
      </c>
      <c r="AI161" s="35" t="s">
        <v>17306</v>
      </c>
      <c r="AJ161" s="62" t="str">
        <f>MID('I kw.22'!W161,8,6)</f>
        <v>524902</v>
      </c>
      <c r="AK161" s="62">
        <v>1</v>
      </c>
      <c r="AL161" s="62">
        <f t="shared" si="2"/>
        <v>1</v>
      </c>
      <c r="AM161" s="62">
        <v>1</v>
      </c>
    </row>
    <row r="162" spans="1:39" x14ac:dyDescent="0.25">
      <c r="A162" s="35" t="s">
        <v>2677</v>
      </c>
      <c r="B162" s="35" t="s">
        <v>67</v>
      </c>
      <c r="C162" s="35" t="s">
        <v>67</v>
      </c>
      <c r="D162" s="35" t="s">
        <v>16073</v>
      </c>
      <c r="E162" s="35" t="s">
        <v>192</v>
      </c>
      <c r="F162" s="62">
        <v>1</v>
      </c>
      <c r="G162" s="30" t="s">
        <v>193</v>
      </c>
      <c r="H162" s="30" t="s">
        <v>194</v>
      </c>
      <c r="I162" s="30" t="s">
        <v>16121</v>
      </c>
      <c r="J162" s="35" t="s">
        <v>210</v>
      </c>
      <c r="K162" s="35">
        <v>18</v>
      </c>
      <c r="L162" s="35" t="s">
        <v>6955</v>
      </c>
      <c r="M162" s="35"/>
      <c r="N162" s="35" t="s">
        <v>17305</v>
      </c>
      <c r="O162" s="35" t="s">
        <v>6266</v>
      </c>
      <c r="P162" s="35" t="s">
        <v>17244</v>
      </c>
      <c r="Q162" s="35" t="s">
        <v>16304</v>
      </c>
      <c r="R162" s="35" t="s">
        <v>17040</v>
      </c>
      <c r="S162" s="35">
        <v>2429501</v>
      </c>
      <c r="T162" s="35">
        <v>34581827</v>
      </c>
      <c r="U162" s="35"/>
      <c r="V162" s="30">
        <v>1863</v>
      </c>
      <c r="W162" s="35" t="s">
        <v>709</v>
      </c>
      <c r="X162" s="35" t="s">
        <v>194</v>
      </c>
      <c r="Y162" s="30">
        <v>1</v>
      </c>
      <c r="Z162" s="35"/>
      <c r="AA162" s="35"/>
      <c r="AB162" s="35"/>
      <c r="AC162" s="35"/>
      <c r="AD162" s="35"/>
      <c r="AE162" s="35"/>
      <c r="AF162" s="35"/>
      <c r="AG162" s="35"/>
      <c r="AH162" s="30" t="s">
        <v>4714</v>
      </c>
      <c r="AI162" s="35" t="s">
        <v>67</v>
      </c>
      <c r="AJ162" s="62" t="str">
        <f>MID('I kw.22'!W162,8,6)</f>
        <v>432103</v>
      </c>
      <c r="AK162" s="62">
        <v>1</v>
      </c>
      <c r="AL162" s="62">
        <f t="shared" si="2"/>
        <v>1</v>
      </c>
      <c r="AM162" s="62">
        <v>1</v>
      </c>
    </row>
    <row r="163" spans="1:39" x14ac:dyDescent="0.25">
      <c r="A163" s="35" t="s">
        <v>1651</v>
      </c>
      <c r="B163" s="35" t="s">
        <v>1998</v>
      </c>
      <c r="C163" s="35" t="s">
        <v>51</v>
      </c>
      <c r="D163" s="35" t="s">
        <v>16073</v>
      </c>
      <c r="E163" s="35" t="s">
        <v>192</v>
      </c>
      <c r="F163" s="62">
        <v>1</v>
      </c>
      <c r="G163" s="30" t="s">
        <v>193</v>
      </c>
      <c r="H163" s="30" t="s">
        <v>194</v>
      </c>
      <c r="I163" s="30" t="s">
        <v>16061</v>
      </c>
      <c r="J163" s="35" t="s">
        <v>385</v>
      </c>
      <c r="K163" s="35">
        <v>18</v>
      </c>
      <c r="L163" s="35" t="s">
        <v>6955</v>
      </c>
      <c r="M163" s="35"/>
      <c r="N163" s="35" t="s">
        <v>17304</v>
      </c>
      <c r="O163" s="35" t="s">
        <v>6286</v>
      </c>
      <c r="P163" s="35" t="s">
        <v>17244</v>
      </c>
      <c r="Q163" s="35" t="s">
        <v>16304</v>
      </c>
      <c r="R163" s="35" t="s">
        <v>17040</v>
      </c>
      <c r="S163" s="35">
        <v>2429522</v>
      </c>
      <c r="T163" s="35">
        <v>34581848</v>
      </c>
      <c r="U163" s="35"/>
      <c r="V163" s="30">
        <v>1861</v>
      </c>
      <c r="W163" s="35" t="s">
        <v>904</v>
      </c>
      <c r="X163" s="35" t="s">
        <v>194</v>
      </c>
      <c r="Y163" s="30">
        <v>1</v>
      </c>
      <c r="Z163" s="35"/>
      <c r="AA163" s="35"/>
      <c r="AB163" s="35"/>
      <c r="AC163" s="35"/>
      <c r="AD163" s="35"/>
      <c r="AE163" s="35"/>
      <c r="AF163" s="35"/>
      <c r="AG163" s="35"/>
      <c r="AH163" s="30" t="s">
        <v>4714</v>
      </c>
      <c r="AI163" s="35" t="s">
        <v>1998</v>
      </c>
      <c r="AJ163" s="62" t="str">
        <f>MID('I kw.22'!W163,8,6)</f>
        <v>523002</v>
      </c>
      <c r="AK163" s="62">
        <v>1</v>
      </c>
      <c r="AL163" s="62">
        <f t="shared" si="2"/>
        <v>1</v>
      </c>
      <c r="AM163" s="62">
        <v>1</v>
      </c>
    </row>
    <row r="164" spans="1:39" x14ac:dyDescent="0.25">
      <c r="A164" s="35" t="s">
        <v>1651</v>
      </c>
      <c r="B164" s="35" t="s">
        <v>17302</v>
      </c>
      <c r="C164" s="35" t="s">
        <v>227</v>
      </c>
      <c r="D164" s="35" t="s">
        <v>16073</v>
      </c>
      <c r="E164" s="35" t="s">
        <v>192</v>
      </c>
      <c r="F164" s="62">
        <v>1</v>
      </c>
      <c r="G164" s="30" t="s">
        <v>193</v>
      </c>
      <c r="H164" s="30" t="s">
        <v>194</v>
      </c>
      <c r="I164" s="30" t="s">
        <v>16078</v>
      </c>
      <c r="J164" s="35" t="s">
        <v>385</v>
      </c>
      <c r="K164" s="35">
        <v>18</v>
      </c>
      <c r="L164" s="35" t="s">
        <v>6955</v>
      </c>
      <c r="M164" s="35"/>
      <c r="N164" s="35" t="s">
        <v>17303</v>
      </c>
      <c r="O164" s="35" t="s">
        <v>6266</v>
      </c>
      <c r="P164" s="35" t="s">
        <v>17244</v>
      </c>
      <c r="Q164" s="35" t="s">
        <v>16304</v>
      </c>
      <c r="R164" s="35" t="s">
        <v>17040</v>
      </c>
      <c r="S164" s="35">
        <v>2429527</v>
      </c>
      <c r="T164" s="35">
        <v>34581853</v>
      </c>
      <c r="U164" s="35"/>
      <c r="V164" s="30">
        <v>1861</v>
      </c>
      <c r="W164" s="35" t="s">
        <v>229</v>
      </c>
      <c r="X164" s="35" t="s">
        <v>194</v>
      </c>
      <c r="Y164" s="30">
        <v>1</v>
      </c>
      <c r="Z164" s="35"/>
      <c r="AA164" s="35"/>
      <c r="AB164" s="35"/>
      <c r="AC164" s="35"/>
      <c r="AD164" s="35"/>
      <c r="AE164" s="35"/>
      <c r="AF164" s="35"/>
      <c r="AG164" s="35"/>
      <c r="AH164" s="30" t="s">
        <v>4714</v>
      </c>
      <c r="AI164" s="35" t="s">
        <v>17302</v>
      </c>
      <c r="AJ164" s="62" t="str">
        <f>MID('I kw.22'!W164,8,6)</f>
        <v>132401</v>
      </c>
      <c r="AK164" s="62">
        <v>1</v>
      </c>
      <c r="AL164" s="62">
        <f t="shared" si="2"/>
        <v>1</v>
      </c>
      <c r="AM164" s="62">
        <v>1</v>
      </c>
    </row>
    <row r="165" spans="1:39" x14ac:dyDescent="0.25">
      <c r="A165" s="35" t="s">
        <v>1651</v>
      </c>
      <c r="B165" s="35" t="s">
        <v>1123</v>
      </c>
      <c r="C165" s="35" t="s">
        <v>17301</v>
      </c>
      <c r="D165" s="35" t="s">
        <v>16073</v>
      </c>
      <c r="E165" s="35" t="s">
        <v>192</v>
      </c>
      <c r="F165" s="62">
        <v>1</v>
      </c>
      <c r="G165" s="30" t="s">
        <v>193</v>
      </c>
      <c r="H165" s="30" t="s">
        <v>194</v>
      </c>
      <c r="I165" s="30" t="s">
        <v>16061</v>
      </c>
      <c r="J165" s="35" t="s">
        <v>385</v>
      </c>
      <c r="K165" s="35">
        <v>18</v>
      </c>
      <c r="L165" s="35" t="s">
        <v>6955</v>
      </c>
      <c r="M165" s="35"/>
      <c r="N165" s="35" t="s">
        <v>17300</v>
      </c>
      <c r="O165" s="35" t="s">
        <v>6266</v>
      </c>
      <c r="P165" s="35" t="s">
        <v>17244</v>
      </c>
      <c r="Q165" s="35" t="s">
        <v>16304</v>
      </c>
      <c r="R165" s="35" t="s">
        <v>17040</v>
      </c>
      <c r="S165" s="35">
        <v>2429528</v>
      </c>
      <c r="T165" s="35">
        <v>34581854</v>
      </c>
      <c r="U165" s="35"/>
      <c r="V165" s="30">
        <v>1861</v>
      </c>
      <c r="W165" s="35" t="s">
        <v>17299</v>
      </c>
      <c r="X165" s="35" t="s">
        <v>194</v>
      </c>
      <c r="Y165" s="30">
        <v>1</v>
      </c>
      <c r="Z165" s="35"/>
      <c r="AA165" s="35"/>
      <c r="AB165" s="35"/>
      <c r="AC165" s="35"/>
      <c r="AD165" s="35"/>
      <c r="AE165" s="35"/>
      <c r="AF165" s="35"/>
      <c r="AG165" s="35"/>
      <c r="AH165" s="30" t="s">
        <v>4714</v>
      </c>
      <c r="AI165" s="35" t="s">
        <v>1123</v>
      </c>
      <c r="AJ165" s="62" t="str">
        <f>MID('I kw.22'!W165,8,6)</f>
        <v>421105</v>
      </c>
      <c r="AK165" s="62">
        <v>1</v>
      </c>
      <c r="AL165" s="62">
        <f t="shared" si="2"/>
        <v>1</v>
      </c>
      <c r="AM165" s="62">
        <v>1</v>
      </c>
    </row>
    <row r="166" spans="1:39" x14ac:dyDescent="0.25">
      <c r="A166" s="35" t="s">
        <v>8109</v>
      </c>
      <c r="B166" s="35" t="s">
        <v>17297</v>
      </c>
      <c r="C166" s="35" t="s">
        <v>27</v>
      </c>
      <c r="D166" s="35" t="s">
        <v>16073</v>
      </c>
      <c r="E166" s="35" t="s">
        <v>192</v>
      </c>
      <c r="F166" s="62">
        <v>1</v>
      </c>
      <c r="G166" s="30" t="s">
        <v>193</v>
      </c>
      <c r="H166" s="30" t="s">
        <v>194</v>
      </c>
      <c r="I166" s="30" t="s">
        <v>16121</v>
      </c>
      <c r="J166" s="35" t="s">
        <v>385</v>
      </c>
      <c r="K166" s="35">
        <v>18</v>
      </c>
      <c r="L166" s="35" t="s">
        <v>6955</v>
      </c>
      <c r="M166" s="35"/>
      <c r="N166" s="35" t="s">
        <v>17298</v>
      </c>
      <c r="O166" s="35" t="s">
        <v>6254</v>
      </c>
      <c r="P166" s="35" t="s">
        <v>17244</v>
      </c>
      <c r="Q166" s="35" t="s">
        <v>16304</v>
      </c>
      <c r="R166" s="35" t="s">
        <v>17040</v>
      </c>
      <c r="S166" s="35">
        <v>2429579</v>
      </c>
      <c r="T166" s="35">
        <v>34581905</v>
      </c>
      <c r="U166" s="35"/>
      <c r="V166" s="30">
        <v>1861</v>
      </c>
      <c r="W166" s="35" t="s">
        <v>440</v>
      </c>
      <c r="X166" s="35" t="s">
        <v>194</v>
      </c>
      <c r="Y166" s="30">
        <v>1</v>
      </c>
      <c r="Z166" s="35"/>
      <c r="AA166" s="35"/>
      <c r="AB166" s="35"/>
      <c r="AC166" s="35"/>
      <c r="AD166" s="35"/>
      <c r="AE166" s="35"/>
      <c r="AF166" s="35"/>
      <c r="AG166" s="35"/>
      <c r="AH166" s="30" t="s">
        <v>4714</v>
      </c>
      <c r="AI166" s="35" t="s">
        <v>17297</v>
      </c>
      <c r="AJ166" s="62" t="str">
        <f>MID('I kw.22'!W166,8,6)</f>
        <v>242307</v>
      </c>
      <c r="AK166" s="62">
        <v>1</v>
      </c>
      <c r="AL166" s="62">
        <f t="shared" si="2"/>
        <v>1</v>
      </c>
      <c r="AM166" s="62">
        <v>1</v>
      </c>
    </row>
    <row r="167" spans="1:39" x14ac:dyDescent="0.25">
      <c r="A167" s="35" t="s">
        <v>1651</v>
      </c>
      <c r="B167" s="35" t="s">
        <v>353</v>
      </c>
      <c r="C167" s="35" t="s">
        <v>237</v>
      </c>
      <c r="D167" s="35" t="s">
        <v>16073</v>
      </c>
      <c r="E167" s="35" t="s">
        <v>192</v>
      </c>
      <c r="F167" s="62">
        <v>1</v>
      </c>
      <c r="G167" s="30" t="s">
        <v>193</v>
      </c>
      <c r="H167" s="30" t="s">
        <v>194</v>
      </c>
      <c r="I167" s="30" t="s">
        <v>16121</v>
      </c>
      <c r="J167" s="35" t="s">
        <v>385</v>
      </c>
      <c r="K167" s="35">
        <v>18</v>
      </c>
      <c r="L167" s="35" t="s">
        <v>6955</v>
      </c>
      <c r="M167" s="35"/>
      <c r="N167" s="35" t="s">
        <v>17296</v>
      </c>
      <c r="O167" s="35" t="s">
        <v>6266</v>
      </c>
      <c r="P167" s="35" t="s">
        <v>17244</v>
      </c>
      <c r="Q167" s="35" t="s">
        <v>16304</v>
      </c>
      <c r="R167" s="35" t="s">
        <v>17040</v>
      </c>
      <c r="S167" s="35">
        <v>2429584</v>
      </c>
      <c r="T167" s="35">
        <v>34581910</v>
      </c>
      <c r="U167" s="35"/>
      <c r="V167" s="30">
        <v>1861</v>
      </c>
      <c r="W167" s="35" t="s">
        <v>239</v>
      </c>
      <c r="X167" s="35" t="s">
        <v>194</v>
      </c>
      <c r="Y167" s="30">
        <v>1</v>
      </c>
      <c r="Z167" s="35"/>
      <c r="AA167" s="35"/>
      <c r="AB167" s="35"/>
      <c r="AC167" s="35"/>
      <c r="AD167" s="35"/>
      <c r="AE167" s="35"/>
      <c r="AF167" s="35"/>
      <c r="AG167" s="35"/>
      <c r="AH167" s="30" t="s">
        <v>4714</v>
      </c>
      <c r="AI167" s="35" t="s">
        <v>353</v>
      </c>
      <c r="AJ167" s="62" t="str">
        <f>MID('I kw.22'!W167,8,6)</f>
        <v>132404</v>
      </c>
      <c r="AK167" s="62">
        <v>1</v>
      </c>
      <c r="AL167" s="62">
        <f t="shared" si="2"/>
        <v>1</v>
      </c>
      <c r="AM167" s="62">
        <v>1</v>
      </c>
    </row>
    <row r="168" spans="1:39" x14ac:dyDescent="0.25">
      <c r="A168" s="35" t="s">
        <v>820</v>
      </c>
      <c r="B168" s="35" t="s">
        <v>17294</v>
      </c>
      <c r="C168" s="35" t="s">
        <v>566</v>
      </c>
      <c r="D168" s="35" t="s">
        <v>16073</v>
      </c>
      <c r="E168" s="35" t="s">
        <v>192</v>
      </c>
      <c r="F168" s="62">
        <v>1</v>
      </c>
      <c r="G168" s="30" t="s">
        <v>193</v>
      </c>
      <c r="H168" s="30" t="s">
        <v>194</v>
      </c>
      <c r="I168" s="30" t="s">
        <v>16048</v>
      </c>
      <c r="J168" s="35" t="s">
        <v>276</v>
      </c>
      <c r="K168" s="35">
        <v>18</v>
      </c>
      <c r="L168" s="35" t="s">
        <v>6955</v>
      </c>
      <c r="M168" s="35"/>
      <c r="N168" s="35" t="s">
        <v>17295</v>
      </c>
      <c r="O168" s="35" t="s">
        <v>6286</v>
      </c>
      <c r="P168" s="35" t="s">
        <v>17244</v>
      </c>
      <c r="Q168" s="35" t="s">
        <v>16304</v>
      </c>
      <c r="R168" s="35" t="s">
        <v>17040</v>
      </c>
      <c r="S168" s="35">
        <v>2429585</v>
      </c>
      <c r="T168" s="35">
        <v>34581911</v>
      </c>
      <c r="U168" s="35"/>
      <c r="V168" s="30">
        <v>1803</v>
      </c>
      <c r="W168" s="35" t="s">
        <v>567</v>
      </c>
      <c r="X168" s="35" t="s">
        <v>194</v>
      </c>
      <c r="Y168" s="30">
        <v>1</v>
      </c>
      <c r="Z168" s="35"/>
      <c r="AA168" s="35"/>
      <c r="AB168" s="35"/>
      <c r="AC168" s="35"/>
      <c r="AD168" s="35"/>
      <c r="AE168" s="35"/>
      <c r="AF168" s="35"/>
      <c r="AG168" s="35"/>
      <c r="AH168" s="30" t="s">
        <v>4714</v>
      </c>
      <c r="AI168" s="35" t="s">
        <v>17294</v>
      </c>
      <c r="AJ168" s="62" t="str">
        <f>MID('I kw.22'!W168,8,6)</f>
        <v>311504</v>
      </c>
      <c r="AK168" s="62">
        <v>1</v>
      </c>
      <c r="AL168" s="62">
        <f t="shared" si="2"/>
        <v>1</v>
      </c>
      <c r="AM168" s="62">
        <v>1</v>
      </c>
    </row>
    <row r="169" spans="1:39" x14ac:dyDescent="0.25">
      <c r="A169" s="35" t="s">
        <v>17288</v>
      </c>
      <c r="B169" s="35" t="s">
        <v>537</v>
      </c>
      <c r="C169" s="35" t="s">
        <v>778</v>
      </c>
      <c r="D169" s="35" t="s">
        <v>16073</v>
      </c>
      <c r="E169" s="35" t="s">
        <v>192</v>
      </c>
      <c r="F169" s="62">
        <v>1</v>
      </c>
      <c r="G169" s="30" t="s">
        <v>193</v>
      </c>
      <c r="H169" s="30" t="s">
        <v>194</v>
      </c>
      <c r="I169" s="30" t="s">
        <v>16121</v>
      </c>
      <c r="J169" s="35" t="s">
        <v>210</v>
      </c>
      <c r="K169" s="35">
        <v>18</v>
      </c>
      <c r="L169" s="35" t="s">
        <v>6955</v>
      </c>
      <c r="M169" s="35"/>
      <c r="N169" s="35" t="s">
        <v>17293</v>
      </c>
      <c r="O169" s="35" t="s">
        <v>6290</v>
      </c>
      <c r="P169" s="35" t="s">
        <v>17260</v>
      </c>
      <c r="Q169" s="35" t="s">
        <v>16304</v>
      </c>
      <c r="R169" s="35" t="s">
        <v>17040</v>
      </c>
      <c r="S169" s="35">
        <v>2429656</v>
      </c>
      <c r="T169" s="35">
        <v>34581982</v>
      </c>
      <c r="U169" s="35"/>
      <c r="V169" s="30">
        <v>1863</v>
      </c>
      <c r="W169" s="35" t="s">
        <v>779</v>
      </c>
      <c r="X169" s="35" t="s">
        <v>194</v>
      </c>
      <c r="Y169" s="30">
        <v>1</v>
      </c>
      <c r="Z169" s="35"/>
      <c r="AA169" s="35"/>
      <c r="AB169" s="35"/>
      <c r="AC169" s="35"/>
      <c r="AD169" s="35"/>
      <c r="AE169" s="35"/>
      <c r="AF169" s="35"/>
      <c r="AG169" s="35"/>
      <c r="AH169" s="30" t="s">
        <v>4714</v>
      </c>
      <c r="AI169" s="35" t="s">
        <v>778</v>
      </c>
      <c r="AJ169" s="62" t="str">
        <f>MID('I kw.22'!W169,8,6)</f>
        <v>524902</v>
      </c>
      <c r="AK169" s="62">
        <v>1</v>
      </c>
      <c r="AL169" s="496">
        <f t="shared" si="2"/>
        <v>1</v>
      </c>
      <c r="AM169" s="62">
        <v>1</v>
      </c>
    </row>
    <row r="170" spans="1:39" x14ac:dyDescent="0.25">
      <c r="A170" s="35" t="s">
        <v>17288</v>
      </c>
      <c r="B170" s="35" t="s">
        <v>537</v>
      </c>
      <c r="C170" s="35" t="s">
        <v>778</v>
      </c>
      <c r="D170" s="35" t="s">
        <v>16073</v>
      </c>
      <c r="E170" s="35" t="s">
        <v>192</v>
      </c>
      <c r="F170" s="62">
        <v>1</v>
      </c>
      <c r="G170" s="30" t="s">
        <v>193</v>
      </c>
      <c r="H170" s="30" t="s">
        <v>194</v>
      </c>
      <c r="I170" s="30" t="s">
        <v>16121</v>
      </c>
      <c r="J170" s="35" t="s">
        <v>276</v>
      </c>
      <c r="K170" s="35">
        <v>18</v>
      </c>
      <c r="L170" s="35" t="s">
        <v>6955</v>
      </c>
      <c r="M170" s="35"/>
      <c r="N170" s="35" t="s">
        <v>17292</v>
      </c>
      <c r="O170" s="35" t="s">
        <v>6290</v>
      </c>
      <c r="P170" s="35" t="s">
        <v>17260</v>
      </c>
      <c r="Q170" s="35" t="s">
        <v>16304</v>
      </c>
      <c r="R170" s="35" t="s">
        <v>17040</v>
      </c>
      <c r="S170" s="35">
        <v>2429657</v>
      </c>
      <c r="T170" s="35">
        <v>34581983</v>
      </c>
      <c r="U170" s="35"/>
      <c r="V170" s="30">
        <v>1803</v>
      </c>
      <c r="W170" s="35" t="s">
        <v>779</v>
      </c>
      <c r="X170" s="35" t="s">
        <v>194</v>
      </c>
      <c r="Y170" s="30">
        <v>1</v>
      </c>
      <c r="Z170" s="35"/>
      <c r="AA170" s="35"/>
      <c r="AB170" s="35"/>
      <c r="AC170" s="35"/>
      <c r="AD170" s="35"/>
      <c r="AE170" s="35"/>
      <c r="AF170" s="35"/>
      <c r="AG170" s="35"/>
      <c r="AH170" s="30" t="s">
        <v>4714</v>
      </c>
      <c r="AI170" s="35" t="s">
        <v>778</v>
      </c>
      <c r="AJ170" s="62" t="str">
        <f>MID('I kw.22'!W170,8,6)</f>
        <v>524902</v>
      </c>
      <c r="AK170" s="62">
        <v>1</v>
      </c>
      <c r="AL170" s="62">
        <f t="shared" si="2"/>
        <v>1</v>
      </c>
      <c r="AM170" s="62">
        <v>1</v>
      </c>
    </row>
    <row r="171" spans="1:39" x14ac:dyDescent="0.25">
      <c r="A171" s="35" t="s">
        <v>17288</v>
      </c>
      <c r="B171" s="35" t="s">
        <v>537</v>
      </c>
      <c r="C171" s="35" t="s">
        <v>778</v>
      </c>
      <c r="D171" s="35" t="s">
        <v>16073</v>
      </c>
      <c r="E171" s="35" t="s">
        <v>192</v>
      </c>
      <c r="F171" s="62">
        <v>1</v>
      </c>
      <c r="G171" s="30" t="s">
        <v>193</v>
      </c>
      <c r="H171" s="30" t="s">
        <v>194</v>
      </c>
      <c r="I171" s="30" t="s">
        <v>16121</v>
      </c>
      <c r="J171" s="35" t="s">
        <v>962</v>
      </c>
      <c r="K171" s="35">
        <v>18</v>
      </c>
      <c r="L171" s="35" t="s">
        <v>6955</v>
      </c>
      <c r="M171" s="35"/>
      <c r="N171" s="35" t="s">
        <v>17291</v>
      </c>
      <c r="O171" s="35" t="s">
        <v>6290</v>
      </c>
      <c r="P171" s="35" t="s">
        <v>17260</v>
      </c>
      <c r="Q171" s="35" t="s">
        <v>16304</v>
      </c>
      <c r="R171" s="35" t="s">
        <v>17040</v>
      </c>
      <c r="S171" s="35">
        <v>2429658</v>
      </c>
      <c r="T171" s="35">
        <v>34581984</v>
      </c>
      <c r="U171" s="35"/>
      <c r="V171" s="30">
        <v>1806</v>
      </c>
      <c r="W171" s="35" t="s">
        <v>779</v>
      </c>
      <c r="X171" s="35" t="s">
        <v>194</v>
      </c>
      <c r="Y171" s="30">
        <v>1</v>
      </c>
      <c r="Z171" s="35"/>
      <c r="AA171" s="35"/>
      <c r="AB171" s="35"/>
      <c r="AC171" s="35"/>
      <c r="AD171" s="35"/>
      <c r="AE171" s="35"/>
      <c r="AF171" s="35"/>
      <c r="AG171" s="35"/>
      <c r="AH171" s="30" t="s">
        <v>4714</v>
      </c>
      <c r="AI171" s="35" t="s">
        <v>778</v>
      </c>
      <c r="AJ171" s="62" t="str">
        <f>MID('I kw.22'!W171,8,6)</f>
        <v>524902</v>
      </c>
      <c r="AK171" s="62">
        <v>1</v>
      </c>
      <c r="AL171" s="62">
        <f t="shared" si="2"/>
        <v>1</v>
      </c>
      <c r="AM171" s="62">
        <v>1</v>
      </c>
    </row>
    <row r="172" spans="1:39" x14ac:dyDescent="0.25">
      <c r="A172" s="35" t="s">
        <v>17288</v>
      </c>
      <c r="B172" s="35" t="s">
        <v>537</v>
      </c>
      <c r="C172" s="35" t="s">
        <v>778</v>
      </c>
      <c r="D172" s="35" t="s">
        <v>16073</v>
      </c>
      <c r="E172" s="35" t="s">
        <v>192</v>
      </c>
      <c r="F172" s="62">
        <v>1</v>
      </c>
      <c r="G172" s="30" t="s">
        <v>193</v>
      </c>
      <c r="H172" s="30" t="s">
        <v>194</v>
      </c>
      <c r="I172" s="30" t="s">
        <v>16121</v>
      </c>
      <c r="J172" s="35" t="s">
        <v>253</v>
      </c>
      <c r="K172" s="35">
        <v>18</v>
      </c>
      <c r="L172" s="35" t="s">
        <v>6955</v>
      </c>
      <c r="M172" s="35"/>
      <c r="N172" s="35" t="s">
        <v>17290</v>
      </c>
      <c r="O172" s="35" t="s">
        <v>6290</v>
      </c>
      <c r="P172" s="35" t="s">
        <v>17260</v>
      </c>
      <c r="Q172" s="35" t="s">
        <v>16304</v>
      </c>
      <c r="R172" s="35" t="s">
        <v>17040</v>
      </c>
      <c r="S172" s="35">
        <v>2429659</v>
      </c>
      <c r="T172" s="35">
        <v>34581985</v>
      </c>
      <c r="U172" s="35"/>
      <c r="V172" s="30">
        <v>1811</v>
      </c>
      <c r="W172" s="35" t="s">
        <v>779</v>
      </c>
      <c r="X172" s="35" t="s">
        <v>194</v>
      </c>
      <c r="Y172" s="30">
        <v>1</v>
      </c>
      <c r="Z172" s="35"/>
      <c r="AA172" s="35"/>
      <c r="AB172" s="35"/>
      <c r="AC172" s="35"/>
      <c r="AD172" s="35"/>
      <c r="AE172" s="35"/>
      <c r="AF172" s="35"/>
      <c r="AG172" s="35"/>
      <c r="AH172" s="30" t="s">
        <v>4714</v>
      </c>
      <c r="AI172" s="35" t="s">
        <v>778</v>
      </c>
      <c r="AJ172" s="62" t="str">
        <f>MID('I kw.22'!W172,8,6)</f>
        <v>524902</v>
      </c>
      <c r="AK172" s="62">
        <v>1</v>
      </c>
      <c r="AL172" s="62">
        <f t="shared" si="2"/>
        <v>1</v>
      </c>
      <c r="AM172" s="62">
        <v>1</v>
      </c>
    </row>
    <row r="173" spans="1:39" x14ac:dyDescent="0.25">
      <c r="A173" s="35" t="s">
        <v>17288</v>
      </c>
      <c r="B173" s="35" t="s">
        <v>537</v>
      </c>
      <c r="C173" s="35" t="s">
        <v>778</v>
      </c>
      <c r="D173" s="35" t="s">
        <v>16073</v>
      </c>
      <c r="E173" s="35" t="s">
        <v>192</v>
      </c>
      <c r="F173" s="62">
        <v>1</v>
      </c>
      <c r="G173" s="30" t="s">
        <v>193</v>
      </c>
      <c r="H173" s="30" t="s">
        <v>194</v>
      </c>
      <c r="I173" s="30" t="s">
        <v>16121</v>
      </c>
      <c r="J173" s="35" t="s">
        <v>223</v>
      </c>
      <c r="K173" s="35">
        <v>18</v>
      </c>
      <c r="L173" s="35" t="s">
        <v>6955</v>
      </c>
      <c r="M173" s="35"/>
      <c r="N173" s="35" t="s">
        <v>17289</v>
      </c>
      <c r="O173" s="35" t="s">
        <v>6290</v>
      </c>
      <c r="P173" s="35" t="s">
        <v>17260</v>
      </c>
      <c r="Q173" s="35" t="s">
        <v>16304</v>
      </c>
      <c r="R173" s="35" t="s">
        <v>17040</v>
      </c>
      <c r="S173" s="35">
        <v>2429660</v>
      </c>
      <c r="T173" s="35">
        <v>34581986</v>
      </c>
      <c r="U173" s="35"/>
      <c r="V173" s="30">
        <v>1804</v>
      </c>
      <c r="W173" s="35" t="s">
        <v>779</v>
      </c>
      <c r="X173" s="35" t="s">
        <v>194</v>
      </c>
      <c r="Y173" s="30">
        <v>1</v>
      </c>
      <c r="Z173" s="35"/>
      <c r="AA173" s="35"/>
      <c r="AB173" s="35"/>
      <c r="AC173" s="35"/>
      <c r="AD173" s="35"/>
      <c r="AE173" s="35"/>
      <c r="AF173" s="35"/>
      <c r="AG173" s="35"/>
      <c r="AH173" s="30" t="s">
        <v>4714</v>
      </c>
      <c r="AI173" s="35" t="s">
        <v>778</v>
      </c>
      <c r="AJ173" s="62" t="str">
        <f>MID('I kw.22'!W173,8,6)</f>
        <v>524902</v>
      </c>
      <c r="AK173" s="62">
        <v>1</v>
      </c>
      <c r="AL173" s="62">
        <f t="shared" si="2"/>
        <v>1</v>
      </c>
      <c r="AM173" s="62">
        <v>1</v>
      </c>
    </row>
    <row r="174" spans="1:39" x14ac:dyDescent="0.25">
      <c r="A174" s="35" t="s">
        <v>17288</v>
      </c>
      <c r="B174" s="35" t="s">
        <v>537</v>
      </c>
      <c r="C174" s="35" t="s">
        <v>778</v>
      </c>
      <c r="D174" s="35" t="s">
        <v>16073</v>
      </c>
      <c r="E174" s="35" t="s">
        <v>192</v>
      </c>
      <c r="F174" s="62">
        <v>1</v>
      </c>
      <c r="G174" s="30" t="s">
        <v>193</v>
      </c>
      <c r="H174" s="30" t="s">
        <v>194</v>
      </c>
      <c r="I174" s="30" t="s">
        <v>16121</v>
      </c>
      <c r="J174" s="35" t="s">
        <v>385</v>
      </c>
      <c r="K174" s="35">
        <v>18</v>
      </c>
      <c r="L174" s="35" t="s">
        <v>6955</v>
      </c>
      <c r="M174" s="35"/>
      <c r="N174" s="35" t="s">
        <v>17287</v>
      </c>
      <c r="O174" s="35" t="s">
        <v>6290</v>
      </c>
      <c r="P174" s="35" t="s">
        <v>17260</v>
      </c>
      <c r="Q174" s="35" t="s">
        <v>16304</v>
      </c>
      <c r="R174" s="35" t="s">
        <v>17040</v>
      </c>
      <c r="S174" s="35">
        <v>2429670</v>
      </c>
      <c r="T174" s="35">
        <v>34581996</v>
      </c>
      <c r="U174" s="35"/>
      <c r="V174" s="30">
        <v>1861</v>
      </c>
      <c r="W174" s="35" t="s">
        <v>779</v>
      </c>
      <c r="X174" s="35" t="s">
        <v>194</v>
      </c>
      <c r="Y174" s="30">
        <v>1</v>
      </c>
      <c r="Z174" s="35"/>
      <c r="AA174" s="35"/>
      <c r="AB174" s="35"/>
      <c r="AC174" s="35"/>
      <c r="AD174" s="35"/>
      <c r="AE174" s="35"/>
      <c r="AF174" s="35"/>
      <c r="AG174" s="35"/>
      <c r="AH174" s="30" t="s">
        <v>4714</v>
      </c>
      <c r="AI174" s="35" t="s">
        <v>778</v>
      </c>
      <c r="AJ174" s="62" t="str">
        <f>MID('I kw.22'!W174,8,6)</f>
        <v>524902</v>
      </c>
      <c r="AK174" s="62">
        <v>1</v>
      </c>
      <c r="AL174" s="62">
        <f t="shared" si="2"/>
        <v>1</v>
      </c>
      <c r="AM174" s="62">
        <v>1</v>
      </c>
    </row>
    <row r="175" spans="1:39" x14ac:dyDescent="0.25">
      <c r="A175" s="35" t="s">
        <v>820</v>
      </c>
      <c r="B175" s="35" t="s">
        <v>4448</v>
      </c>
      <c r="C175" s="35" t="s">
        <v>156</v>
      </c>
      <c r="D175" s="35" t="s">
        <v>16073</v>
      </c>
      <c r="E175" s="35" t="s">
        <v>192</v>
      </c>
      <c r="F175" s="62">
        <v>1</v>
      </c>
      <c r="G175" s="30" t="s">
        <v>193</v>
      </c>
      <c r="H175" s="30" t="s">
        <v>194</v>
      </c>
      <c r="I175" s="30" t="s">
        <v>16048</v>
      </c>
      <c r="J175" s="35" t="s">
        <v>276</v>
      </c>
      <c r="K175" s="35">
        <v>18</v>
      </c>
      <c r="L175" s="35" t="s">
        <v>6955</v>
      </c>
      <c r="M175" s="35"/>
      <c r="N175" s="35" t="s">
        <v>17286</v>
      </c>
      <c r="O175" s="35" t="s">
        <v>7489</v>
      </c>
      <c r="P175" s="35" t="s">
        <v>17244</v>
      </c>
      <c r="Q175" s="35" t="s">
        <v>16304</v>
      </c>
      <c r="R175" s="35" t="s">
        <v>17040</v>
      </c>
      <c r="S175" s="35">
        <v>2429676</v>
      </c>
      <c r="T175" s="35">
        <v>34582002</v>
      </c>
      <c r="U175" s="35"/>
      <c r="V175" s="30">
        <v>1803</v>
      </c>
      <c r="W175" s="35" t="s">
        <v>659</v>
      </c>
      <c r="X175" s="35" t="s">
        <v>194</v>
      </c>
      <c r="Y175" s="30">
        <v>1</v>
      </c>
      <c r="Z175" s="35"/>
      <c r="AA175" s="35"/>
      <c r="AB175" s="35"/>
      <c r="AC175" s="35"/>
      <c r="AD175" s="35"/>
      <c r="AE175" s="35"/>
      <c r="AF175" s="35"/>
      <c r="AG175" s="35"/>
      <c r="AH175" s="30" t="s">
        <v>4714</v>
      </c>
      <c r="AI175" s="35" t="s">
        <v>4448</v>
      </c>
      <c r="AJ175" s="62" t="str">
        <f>MID('I kw.22'!W175,8,6)</f>
        <v>332302</v>
      </c>
      <c r="AK175" s="62">
        <v>1</v>
      </c>
      <c r="AL175" s="62">
        <f t="shared" si="2"/>
        <v>1</v>
      </c>
      <c r="AM175" s="62">
        <v>1</v>
      </c>
    </row>
    <row r="176" spans="1:39" x14ac:dyDescent="0.25">
      <c r="A176" s="35" t="s">
        <v>820</v>
      </c>
      <c r="B176" s="35" t="s">
        <v>17284</v>
      </c>
      <c r="C176" s="35" t="s">
        <v>5607</v>
      </c>
      <c r="D176" s="35" t="s">
        <v>16073</v>
      </c>
      <c r="E176" s="35" t="s">
        <v>192</v>
      </c>
      <c r="F176" s="62">
        <v>1</v>
      </c>
      <c r="G176" s="30" t="s">
        <v>193</v>
      </c>
      <c r="H176" s="30" t="s">
        <v>194</v>
      </c>
      <c r="I176" s="30" t="s">
        <v>16078</v>
      </c>
      <c r="J176" s="35" t="s">
        <v>276</v>
      </c>
      <c r="K176" s="35">
        <v>18</v>
      </c>
      <c r="L176" s="35" t="s">
        <v>6955</v>
      </c>
      <c r="M176" s="35"/>
      <c r="N176" s="35" t="s">
        <v>17285</v>
      </c>
      <c r="O176" s="35" t="s">
        <v>6245</v>
      </c>
      <c r="P176" s="35" t="s">
        <v>17244</v>
      </c>
      <c r="Q176" s="35" t="s">
        <v>16304</v>
      </c>
      <c r="R176" s="35" t="s">
        <v>17040</v>
      </c>
      <c r="S176" s="35">
        <v>2429697</v>
      </c>
      <c r="T176" s="35">
        <v>34582023</v>
      </c>
      <c r="U176" s="35"/>
      <c r="V176" s="30">
        <v>1803</v>
      </c>
      <c r="W176" s="35" t="s">
        <v>302</v>
      </c>
      <c r="X176" s="35" t="s">
        <v>194</v>
      </c>
      <c r="Y176" s="30">
        <v>1</v>
      </c>
      <c r="Z176" s="35"/>
      <c r="AA176" s="35"/>
      <c r="AB176" s="35"/>
      <c r="AC176" s="35"/>
      <c r="AD176" s="35"/>
      <c r="AE176" s="35"/>
      <c r="AF176" s="35"/>
      <c r="AG176" s="35"/>
      <c r="AH176" s="30" t="s">
        <v>4714</v>
      </c>
      <c r="AI176" s="35" t="s">
        <v>17284</v>
      </c>
      <c r="AJ176" s="62" t="str">
        <f>MID('I kw.22'!W176,8,6)</f>
        <v>214402</v>
      </c>
      <c r="AK176" s="62">
        <v>1</v>
      </c>
      <c r="AL176" s="62">
        <f t="shared" si="2"/>
        <v>1</v>
      </c>
      <c r="AM176" s="62">
        <v>1</v>
      </c>
    </row>
    <row r="177" spans="1:39" x14ac:dyDescent="0.25">
      <c r="A177" s="35" t="s">
        <v>5577</v>
      </c>
      <c r="B177" s="35" t="s">
        <v>17282</v>
      </c>
      <c r="C177" s="35" t="s">
        <v>19</v>
      </c>
      <c r="D177" s="35" t="s">
        <v>16073</v>
      </c>
      <c r="E177" s="35" t="s">
        <v>192</v>
      </c>
      <c r="F177" s="62">
        <v>1</v>
      </c>
      <c r="G177" s="30" t="s">
        <v>193</v>
      </c>
      <c r="H177" s="30" t="s">
        <v>194</v>
      </c>
      <c r="I177" s="30" t="s">
        <v>16078</v>
      </c>
      <c r="J177" s="35" t="s">
        <v>13001</v>
      </c>
      <c r="K177" s="35">
        <v>18</v>
      </c>
      <c r="L177" s="35" t="s">
        <v>6955</v>
      </c>
      <c r="M177" s="35"/>
      <c r="N177" s="35" t="s">
        <v>17283</v>
      </c>
      <c r="O177" s="35" t="s">
        <v>6245</v>
      </c>
      <c r="P177" s="35" t="s">
        <v>17244</v>
      </c>
      <c r="Q177" s="35" t="s">
        <v>16304</v>
      </c>
      <c r="R177" s="35" t="s">
        <v>17040</v>
      </c>
      <c r="S177" s="35">
        <v>2429707</v>
      </c>
      <c r="T177" s="35">
        <v>34582033</v>
      </c>
      <c r="U177" s="35"/>
      <c r="V177" s="30">
        <v>1810</v>
      </c>
      <c r="W177" s="35" t="s">
        <v>337</v>
      </c>
      <c r="X177" s="35" t="s">
        <v>194</v>
      </c>
      <c r="Y177" s="30">
        <v>1</v>
      </c>
      <c r="Z177" s="35"/>
      <c r="AA177" s="35"/>
      <c r="AB177" s="35"/>
      <c r="AC177" s="35"/>
      <c r="AD177" s="35"/>
      <c r="AE177" s="35"/>
      <c r="AF177" s="35"/>
      <c r="AG177" s="35"/>
      <c r="AH177" s="30" t="s">
        <v>4714</v>
      </c>
      <c r="AI177" s="35" t="s">
        <v>17282</v>
      </c>
      <c r="AJ177" s="62" t="str">
        <f>MID('I kw.22'!W177,8,6)</f>
        <v>214903</v>
      </c>
      <c r="AK177" s="62">
        <v>1</v>
      </c>
      <c r="AL177" s="62">
        <f t="shared" si="2"/>
        <v>1</v>
      </c>
      <c r="AM177" s="62">
        <v>1</v>
      </c>
    </row>
    <row r="178" spans="1:39" x14ac:dyDescent="0.25">
      <c r="A178" s="35" t="s">
        <v>5577</v>
      </c>
      <c r="B178" s="35" t="s">
        <v>336</v>
      </c>
      <c r="C178" s="35" t="s">
        <v>10</v>
      </c>
      <c r="D178" s="35" t="s">
        <v>16073</v>
      </c>
      <c r="E178" s="35" t="s">
        <v>192</v>
      </c>
      <c r="F178" s="62">
        <v>1</v>
      </c>
      <c r="G178" s="30" t="s">
        <v>193</v>
      </c>
      <c r="H178" s="30" t="s">
        <v>194</v>
      </c>
      <c r="I178" s="30" t="s">
        <v>16121</v>
      </c>
      <c r="J178" s="35" t="s">
        <v>13001</v>
      </c>
      <c r="K178" s="35">
        <v>18</v>
      </c>
      <c r="L178" s="35" t="s">
        <v>6955</v>
      </c>
      <c r="M178" s="35"/>
      <c r="N178" s="35" t="s">
        <v>17281</v>
      </c>
      <c r="O178" s="35" t="s">
        <v>6245</v>
      </c>
      <c r="P178" s="35" t="s">
        <v>17244</v>
      </c>
      <c r="Q178" s="35" t="s">
        <v>16304</v>
      </c>
      <c r="R178" s="35" t="s">
        <v>17040</v>
      </c>
      <c r="S178" s="35">
        <v>2429715</v>
      </c>
      <c r="T178" s="35">
        <v>34582041</v>
      </c>
      <c r="U178" s="35"/>
      <c r="V178" s="30">
        <v>1810</v>
      </c>
      <c r="W178" s="35" t="s">
        <v>484</v>
      </c>
      <c r="X178" s="35" t="s">
        <v>194</v>
      </c>
      <c r="Y178" s="30">
        <v>1</v>
      </c>
      <c r="Z178" s="35"/>
      <c r="AA178" s="35"/>
      <c r="AB178" s="35"/>
      <c r="AC178" s="35"/>
      <c r="AD178" s="35"/>
      <c r="AE178" s="35"/>
      <c r="AF178" s="35"/>
      <c r="AG178" s="35"/>
      <c r="AH178" s="30" t="s">
        <v>4714</v>
      </c>
      <c r="AI178" s="35" t="s">
        <v>336</v>
      </c>
      <c r="AJ178" s="62" t="str">
        <f>MID('I kw.22'!W178,8,6)</f>
        <v>251401</v>
      </c>
      <c r="AK178" s="62">
        <v>1</v>
      </c>
      <c r="AL178" s="62">
        <f t="shared" si="2"/>
        <v>1</v>
      </c>
      <c r="AM178" s="62">
        <v>1</v>
      </c>
    </row>
    <row r="179" spans="1:39" x14ac:dyDescent="0.25">
      <c r="A179" s="35" t="s">
        <v>2009</v>
      </c>
      <c r="B179" s="35" t="s">
        <v>17279</v>
      </c>
      <c r="C179" s="35" t="s">
        <v>100</v>
      </c>
      <c r="D179" s="35" t="s">
        <v>16073</v>
      </c>
      <c r="E179" s="35" t="s">
        <v>192</v>
      </c>
      <c r="F179" s="62">
        <v>1</v>
      </c>
      <c r="G179" s="30" t="s">
        <v>193</v>
      </c>
      <c r="H179" s="30" t="s">
        <v>194</v>
      </c>
      <c r="I179" s="30" t="s">
        <v>16048</v>
      </c>
      <c r="J179" s="35" t="s">
        <v>722</v>
      </c>
      <c r="K179" s="35">
        <v>18</v>
      </c>
      <c r="L179" s="35" t="s">
        <v>6955</v>
      </c>
      <c r="M179" s="35"/>
      <c r="N179" s="35" t="s">
        <v>17280</v>
      </c>
      <c r="O179" s="35" t="s">
        <v>6254</v>
      </c>
      <c r="P179" s="35" t="s">
        <v>17244</v>
      </c>
      <c r="Q179" s="35" t="s">
        <v>16304</v>
      </c>
      <c r="R179" s="35" t="s">
        <v>17040</v>
      </c>
      <c r="S179" s="35">
        <v>2429776</v>
      </c>
      <c r="T179" s="35">
        <v>34582102</v>
      </c>
      <c r="U179" s="35"/>
      <c r="V179" s="30">
        <v>1816</v>
      </c>
      <c r="W179" s="35" t="s">
        <v>429</v>
      </c>
      <c r="X179" s="35" t="s">
        <v>194</v>
      </c>
      <c r="Y179" s="30">
        <v>1</v>
      </c>
      <c r="Z179" s="35"/>
      <c r="AA179" s="35"/>
      <c r="AB179" s="35"/>
      <c r="AC179" s="35"/>
      <c r="AD179" s="35"/>
      <c r="AE179" s="35"/>
      <c r="AF179" s="35"/>
      <c r="AG179" s="35"/>
      <c r="AH179" s="30" t="s">
        <v>4714</v>
      </c>
      <c r="AI179" s="35" t="s">
        <v>17279</v>
      </c>
      <c r="AJ179" s="62" t="str">
        <f>MID('I kw.22'!W179,8,6)</f>
        <v>242108</v>
      </c>
      <c r="AK179" s="62">
        <v>1</v>
      </c>
      <c r="AL179" s="62">
        <f t="shared" si="2"/>
        <v>1</v>
      </c>
      <c r="AM179" s="62">
        <v>1</v>
      </c>
    </row>
    <row r="180" spans="1:39" x14ac:dyDescent="0.25">
      <c r="A180" s="35" t="s">
        <v>493</v>
      </c>
      <c r="B180" s="35" t="s">
        <v>17277</v>
      </c>
      <c r="C180" s="35" t="s">
        <v>20</v>
      </c>
      <c r="D180" s="35" t="s">
        <v>16073</v>
      </c>
      <c r="E180" s="35" t="s">
        <v>192</v>
      </c>
      <c r="F180" s="62">
        <v>1</v>
      </c>
      <c r="G180" s="30" t="s">
        <v>193</v>
      </c>
      <c r="H180" s="30" t="s">
        <v>194</v>
      </c>
      <c r="I180" s="30" t="s">
        <v>16078</v>
      </c>
      <c r="J180" s="35" t="s">
        <v>210</v>
      </c>
      <c r="K180" s="35">
        <v>18</v>
      </c>
      <c r="L180" s="35" t="s">
        <v>6955</v>
      </c>
      <c r="M180" s="35"/>
      <c r="N180" s="35" t="s">
        <v>17278</v>
      </c>
      <c r="O180" s="35" t="s">
        <v>6261</v>
      </c>
      <c r="P180" s="35" t="s">
        <v>17244</v>
      </c>
      <c r="Q180" s="35" t="s">
        <v>16304</v>
      </c>
      <c r="R180" s="35" t="s">
        <v>17040</v>
      </c>
      <c r="S180" s="35">
        <v>2429834</v>
      </c>
      <c r="T180" s="35">
        <v>34582160</v>
      </c>
      <c r="U180" s="35"/>
      <c r="V180" s="30">
        <v>1863</v>
      </c>
      <c r="W180" s="35" t="s">
        <v>286</v>
      </c>
      <c r="X180" s="35" t="s">
        <v>194</v>
      </c>
      <c r="Y180" s="30">
        <v>1</v>
      </c>
      <c r="Z180" s="35"/>
      <c r="AA180" s="35"/>
      <c r="AB180" s="35"/>
      <c r="AC180" s="35"/>
      <c r="AD180" s="35"/>
      <c r="AE180" s="35"/>
      <c r="AF180" s="35"/>
      <c r="AG180" s="35"/>
      <c r="AH180" s="30" t="s">
        <v>4714</v>
      </c>
      <c r="AI180" s="35" t="s">
        <v>17277</v>
      </c>
      <c r="AJ180" s="62" t="str">
        <f>MID('I kw.22'!W180,8,6)</f>
        <v>214109</v>
      </c>
      <c r="AK180" s="62">
        <v>1</v>
      </c>
      <c r="AL180" s="62">
        <f t="shared" si="2"/>
        <v>1</v>
      </c>
      <c r="AM180" s="62">
        <v>1</v>
      </c>
    </row>
    <row r="181" spans="1:39" x14ac:dyDescent="0.25">
      <c r="A181" s="35" t="s">
        <v>17276</v>
      </c>
      <c r="B181" s="35" t="s">
        <v>6666</v>
      </c>
      <c r="C181" s="35" t="s">
        <v>4065</v>
      </c>
      <c r="D181" s="35" t="s">
        <v>16073</v>
      </c>
      <c r="E181" s="35" t="s">
        <v>192</v>
      </c>
      <c r="F181" s="62">
        <v>3</v>
      </c>
      <c r="G181" s="30" t="s">
        <v>193</v>
      </c>
      <c r="H181" s="30" t="s">
        <v>194</v>
      </c>
      <c r="I181" s="30" t="s">
        <v>16066</v>
      </c>
      <c r="J181" s="35" t="s">
        <v>210</v>
      </c>
      <c r="K181" s="35">
        <v>18</v>
      </c>
      <c r="L181" s="35" t="s">
        <v>6955</v>
      </c>
      <c r="M181" s="35"/>
      <c r="N181" s="35" t="s">
        <v>17275</v>
      </c>
      <c r="O181" s="35" t="s">
        <v>6266</v>
      </c>
      <c r="P181" s="35" t="s">
        <v>17244</v>
      </c>
      <c r="Q181" s="35" t="s">
        <v>16304</v>
      </c>
      <c r="R181" s="35" t="s">
        <v>17040</v>
      </c>
      <c r="S181" s="35">
        <v>2429919</v>
      </c>
      <c r="T181" s="35">
        <v>34582245</v>
      </c>
      <c r="U181" s="35"/>
      <c r="V181" s="30">
        <v>1863</v>
      </c>
      <c r="W181" s="35" t="s">
        <v>4066</v>
      </c>
      <c r="X181" s="35" t="s">
        <v>194</v>
      </c>
      <c r="Y181" s="30">
        <v>1</v>
      </c>
      <c r="Z181" s="35"/>
      <c r="AA181" s="35"/>
      <c r="AB181" s="35"/>
      <c r="AC181" s="35"/>
      <c r="AD181" s="35"/>
      <c r="AE181" s="35"/>
      <c r="AF181" s="35"/>
      <c r="AG181" s="35"/>
      <c r="AH181" s="30" t="s">
        <v>4714</v>
      </c>
      <c r="AI181" s="35" t="s">
        <v>6666</v>
      </c>
      <c r="AJ181" s="62" t="str">
        <f>MID('I kw.22'!W181,8,6)</f>
        <v>832203</v>
      </c>
      <c r="AK181" s="62">
        <v>1</v>
      </c>
      <c r="AL181" s="498">
        <f t="shared" si="2"/>
        <v>3</v>
      </c>
      <c r="AM181" s="62">
        <v>1</v>
      </c>
    </row>
    <row r="182" spans="1:39" x14ac:dyDescent="0.25">
      <c r="A182" s="35" t="s">
        <v>820</v>
      </c>
      <c r="B182" s="35" t="s">
        <v>356</v>
      </c>
      <c r="C182" s="35" t="s">
        <v>356</v>
      </c>
      <c r="D182" s="35" t="s">
        <v>16073</v>
      </c>
      <c r="E182" s="35" t="s">
        <v>192</v>
      </c>
      <c r="F182" s="62">
        <v>1</v>
      </c>
      <c r="G182" s="30" t="s">
        <v>193</v>
      </c>
      <c r="H182" s="30" t="s">
        <v>194</v>
      </c>
      <c r="I182" s="30" t="s">
        <v>16121</v>
      </c>
      <c r="J182" s="35" t="s">
        <v>276</v>
      </c>
      <c r="K182" s="35">
        <v>18</v>
      </c>
      <c r="L182" s="35" t="s">
        <v>6955</v>
      </c>
      <c r="M182" s="35"/>
      <c r="N182" s="35" t="s">
        <v>17274</v>
      </c>
      <c r="O182" s="35" t="s">
        <v>6275</v>
      </c>
      <c r="P182" s="35" t="s">
        <v>17244</v>
      </c>
      <c r="Q182" s="35" t="s">
        <v>16304</v>
      </c>
      <c r="R182" s="35" t="s">
        <v>17040</v>
      </c>
      <c r="S182" s="35">
        <v>2429969</v>
      </c>
      <c r="T182" s="35">
        <v>34582295</v>
      </c>
      <c r="U182" s="35"/>
      <c r="V182" s="30">
        <v>1803</v>
      </c>
      <c r="W182" s="35" t="s">
        <v>16081</v>
      </c>
      <c r="X182" s="35" t="s">
        <v>194</v>
      </c>
      <c r="Y182" s="30">
        <v>1</v>
      </c>
      <c r="Z182" s="35"/>
      <c r="AA182" s="35"/>
      <c r="AB182" s="35"/>
      <c r="AC182" s="35"/>
      <c r="AD182" s="35"/>
      <c r="AE182" s="35"/>
      <c r="AF182" s="35"/>
      <c r="AG182" s="35"/>
      <c r="AH182" s="30" t="s">
        <v>4714</v>
      </c>
      <c r="AI182" s="35" t="s">
        <v>356</v>
      </c>
      <c r="AJ182" s="62" t="str">
        <f>MID('I kw.22'!W182,8,6)</f>
        <v>754903</v>
      </c>
      <c r="AK182" s="62">
        <v>1</v>
      </c>
      <c r="AL182" s="62">
        <f t="shared" si="2"/>
        <v>1</v>
      </c>
      <c r="AM182" s="62">
        <v>1</v>
      </c>
    </row>
    <row r="183" spans="1:39" x14ac:dyDescent="0.25">
      <c r="A183" s="35" t="s">
        <v>244</v>
      </c>
      <c r="B183" s="35" t="s">
        <v>17272</v>
      </c>
      <c r="C183" s="35" t="s">
        <v>778</v>
      </c>
      <c r="D183" s="35" t="s">
        <v>16073</v>
      </c>
      <c r="E183" s="35" t="s">
        <v>192</v>
      </c>
      <c r="F183" s="62">
        <v>1</v>
      </c>
      <c r="G183" s="30" t="s">
        <v>193</v>
      </c>
      <c r="H183" s="30" t="s">
        <v>194</v>
      </c>
      <c r="I183" s="30" t="s">
        <v>16121</v>
      </c>
      <c r="J183" s="35" t="s">
        <v>327</v>
      </c>
      <c r="K183" s="35">
        <v>18</v>
      </c>
      <c r="L183" s="35" t="s">
        <v>6955</v>
      </c>
      <c r="M183" s="35"/>
      <c r="N183" s="35" t="s">
        <v>17273</v>
      </c>
      <c r="O183" s="35" t="s">
        <v>6249</v>
      </c>
      <c r="P183" s="35" t="s">
        <v>17244</v>
      </c>
      <c r="Q183" s="35" t="s">
        <v>16304</v>
      </c>
      <c r="R183" s="35" t="s">
        <v>16048</v>
      </c>
      <c r="S183" s="35">
        <v>2429998</v>
      </c>
      <c r="T183" s="35">
        <v>34582324</v>
      </c>
      <c r="U183" s="35"/>
      <c r="V183" s="30">
        <v>1808</v>
      </c>
      <c r="W183" s="35" t="s">
        <v>779</v>
      </c>
      <c r="X183" s="35" t="s">
        <v>194</v>
      </c>
      <c r="Y183" s="30">
        <v>1</v>
      </c>
      <c r="Z183" s="35"/>
      <c r="AA183" s="35"/>
      <c r="AB183" s="35"/>
      <c r="AC183" s="35"/>
      <c r="AD183" s="35"/>
      <c r="AE183" s="35"/>
      <c r="AF183" s="35"/>
      <c r="AG183" s="35"/>
      <c r="AH183" s="30" t="s">
        <v>4714</v>
      </c>
      <c r="AI183" s="35" t="s">
        <v>17272</v>
      </c>
      <c r="AJ183" s="62" t="str">
        <f>MID('I kw.22'!W183,8,6)</f>
        <v>524902</v>
      </c>
      <c r="AK183" s="62">
        <v>1</v>
      </c>
      <c r="AL183" s="62">
        <f t="shared" si="2"/>
        <v>1</v>
      </c>
      <c r="AM183" s="62">
        <v>1</v>
      </c>
    </row>
    <row r="184" spans="1:39" x14ac:dyDescent="0.25">
      <c r="A184" s="35" t="s">
        <v>17271</v>
      </c>
      <c r="B184" s="35" t="s">
        <v>17267</v>
      </c>
      <c r="C184" s="35" t="s">
        <v>17270</v>
      </c>
      <c r="D184" s="35" t="s">
        <v>16073</v>
      </c>
      <c r="E184" s="35" t="s">
        <v>192</v>
      </c>
      <c r="F184" s="62">
        <v>1</v>
      </c>
      <c r="G184" s="30" t="s">
        <v>193</v>
      </c>
      <c r="H184" s="30" t="s">
        <v>194</v>
      </c>
      <c r="I184" s="30" t="s">
        <v>16121</v>
      </c>
      <c r="J184" s="35" t="s">
        <v>210</v>
      </c>
      <c r="K184" s="35">
        <v>18</v>
      </c>
      <c r="L184" s="35" t="s">
        <v>6955</v>
      </c>
      <c r="M184" s="35"/>
      <c r="N184" s="35" t="s">
        <v>17269</v>
      </c>
      <c r="O184" s="35" t="s">
        <v>6374</v>
      </c>
      <c r="P184" s="35" t="s">
        <v>17244</v>
      </c>
      <c r="Q184" s="35" t="s">
        <v>16304</v>
      </c>
      <c r="R184" s="35" t="s">
        <v>17040</v>
      </c>
      <c r="S184" s="35">
        <v>2430090</v>
      </c>
      <c r="T184" s="35">
        <v>34582416</v>
      </c>
      <c r="U184" s="35"/>
      <c r="V184" s="30">
        <v>1863</v>
      </c>
      <c r="W184" s="35" t="s">
        <v>17268</v>
      </c>
      <c r="X184" s="35" t="s">
        <v>194</v>
      </c>
      <c r="Y184" s="30">
        <v>1</v>
      </c>
      <c r="Z184" s="35"/>
      <c r="AA184" s="35"/>
      <c r="AB184" s="35"/>
      <c r="AC184" s="35"/>
      <c r="AD184" s="35"/>
      <c r="AE184" s="35"/>
      <c r="AF184" s="35"/>
      <c r="AG184" s="35"/>
      <c r="AH184" s="30" t="s">
        <v>4714</v>
      </c>
      <c r="AI184" s="35" t="s">
        <v>17267</v>
      </c>
      <c r="AJ184" s="62" t="str">
        <f>MID('I kw.22'!W184,8,6)</f>
        <v>741290</v>
      </c>
      <c r="AK184" s="62">
        <v>1</v>
      </c>
      <c r="AL184" s="62">
        <f t="shared" si="2"/>
        <v>1</v>
      </c>
      <c r="AM184" s="62">
        <v>1</v>
      </c>
    </row>
    <row r="185" spans="1:39" x14ac:dyDescent="0.25">
      <c r="A185" s="35" t="s">
        <v>17266</v>
      </c>
      <c r="B185" s="35" t="s">
        <v>17263</v>
      </c>
      <c r="C185" s="35" t="s">
        <v>5440</v>
      </c>
      <c r="D185" s="35" t="s">
        <v>16073</v>
      </c>
      <c r="E185" s="35" t="s">
        <v>192</v>
      </c>
      <c r="F185" s="62">
        <v>1</v>
      </c>
      <c r="G185" s="30" t="s">
        <v>193</v>
      </c>
      <c r="H185" s="30" t="s">
        <v>194</v>
      </c>
      <c r="I185" s="30" t="s">
        <v>16078</v>
      </c>
      <c r="J185" s="35" t="s">
        <v>17265</v>
      </c>
      <c r="K185" s="35">
        <v>18</v>
      </c>
      <c r="L185" s="35" t="s">
        <v>6955</v>
      </c>
      <c r="M185" s="35"/>
      <c r="N185" s="35" t="s">
        <v>17264</v>
      </c>
      <c r="O185" s="35" t="s">
        <v>6258</v>
      </c>
      <c r="P185" s="35" t="s">
        <v>17244</v>
      </c>
      <c r="Q185" s="35" t="s">
        <v>16304</v>
      </c>
      <c r="R185" s="35" t="s">
        <v>17040</v>
      </c>
      <c r="S185" s="35">
        <v>2430100</v>
      </c>
      <c r="T185" s="35">
        <v>34582426</v>
      </c>
      <c r="U185" s="35"/>
      <c r="V185" s="30">
        <v>1819</v>
      </c>
      <c r="W185" s="35" t="s">
        <v>310</v>
      </c>
      <c r="X185" s="35" t="s">
        <v>194</v>
      </c>
      <c r="Y185" s="30">
        <v>1</v>
      </c>
      <c r="Z185" s="35"/>
      <c r="AA185" s="35"/>
      <c r="AB185" s="35"/>
      <c r="AC185" s="35"/>
      <c r="AD185" s="35"/>
      <c r="AE185" s="35"/>
      <c r="AF185" s="35"/>
      <c r="AG185" s="35"/>
      <c r="AH185" s="30" t="s">
        <v>4714</v>
      </c>
      <c r="AI185" s="35" t="s">
        <v>17263</v>
      </c>
      <c r="AJ185" s="62" t="str">
        <f>MID('I kw.22'!W185,8,6)</f>
        <v>214404</v>
      </c>
      <c r="AK185" s="62">
        <v>1</v>
      </c>
      <c r="AL185" s="62">
        <f t="shared" si="2"/>
        <v>1</v>
      </c>
      <c r="AM185" s="62">
        <v>1</v>
      </c>
    </row>
    <row r="186" spans="1:39" x14ac:dyDescent="0.25">
      <c r="A186" s="35" t="s">
        <v>17262</v>
      </c>
      <c r="B186" s="35" t="s">
        <v>632</v>
      </c>
      <c r="C186" s="35" t="s">
        <v>17</v>
      </c>
      <c r="D186" s="35" t="s">
        <v>16073</v>
      </c>
      <c r="E186" s="35" t="s">
        <v>192</v>
      </c>
      <c r="F186" s="62">
        <v>1</v>
      </c>
      <c r="G186" s="30" t="s">
        <v>193</v>
      </c>
      <c r="H186" s="30" t="s">
        <v>194</v>
      </c>
      <c r="I186" s="30" t="s">
        <v>16121</v>
      </c>
      <c r="J186" s="35" t="s">
        <v>210</v>
      </c>
      <c r="K186" s="35">
        <v>18</v>
      </c>
      <c r="L186" s="35" t="s">
        <v>6955</v>
      </c>
      <c r="M186" s="35"/>
      <c r="N186" s="35" t="s">
        <v>17261</v>
      </c>
      <c r="O186" s="35" t="s">
        <v>6245</v>
      </c>
      <c r="P186" s="35" t="s">
        <v>17260</v>
      </c>
      <c r="Q186" s="35" t="s">
        <v>16304</v>
      </c>
      <c r="R186" s="35" t="s">
        <v>17040</v>
      </c>
      <c r="S186" s="35">
        <v>2430181</v>
      </c>
      <c r="T186" s="35">
        <v>34582507</v>
      </c>
      <c r="U186" s="35"/>
      <c r="V186" s="30">
        <v>1863</v>
      </c>
      <c r="W186" s="35" t="s">
        <v>624</v>
      </c>
      <c r="X186" s="35" t="s">
        <v>194</v>
      </c>
      <c r="Y186" s="30">
        <v>1</v>
      </c>
      <c r="Z186" s="35"/>
      <c r="AA186" s="35"/>
      <c r="AB186" s="35"/>
      <c r="AC186" s="35"/>
      <c r="AD186" s="35"/>
      <c r="AE186" s="35"/>
      <c r="AF186" s="35"/>
      <c r="AG186" s="35"/>
      <c r="AH186" s="30" t="s">
        <v>4714</v>
      </c>
      <c r="AI186" s="35" t="s">
        <v>17</v>
      </c>
      <c r="AJ186" s="62" t="str">
        <f>MID('I kw.22'!W186,8,6)</f>
        <v>332203</v>
      </c>
      <c r="AK186" s="62">
        <v>1</v>
      </c>
      <c r="AL186" s="62">
        <f t="shared" si="2"/>
        <v>1</v>
      </c>
      <c r="AM186" s="62">
        <v>1</v>
      </c>
    </row>
    <row r="187" spans="1:39" x14ac:dyDescent="0.25">
      <c r="A187" s="35" t="s">
        <v>16528</v>
      </c>
      <c r="B187" s="35" t="s">
        <v>17258</v>
      </c>
      <c r="C187" s="35" t="s">
        <v>706</v>
      </c>
      <c r="D187" s="35" t="s">
        <v>16073</v>
      </c>
      <c r="E187" s="35" t="s">
        <v>192</v>
      </c>
      <c r="F187" s="62">
        <v>1</v>
      </c>
      <c r="G187" s="30" t="s">
        <v>193</v>
      </c>
      <c r="H187" s="30" t="s">
        <v>194</v>
      </c>
      <c r="I187" s="30" t="s">
        <v>16121</v>
      </c>
      <c r="J187" s="35" t="s">
        <v>210</v>
      </c>
      <c r="K187" s="35">
        <v>18</v>
      </c>
      <c r="L187" s="35" t="s">
        <v>6955</v>
      </c>
      <c r="M187" s="35"/>
      <c r="N187" s="35" t="s">
        <v>17259</v>
      </c>
      <c r="O187" s="35" t="s">
        <v>6251</v>
      </c>
      <c r="P187" s="35" t="s">
        <v>17244</v>
      </c>
      <c r="Q187" s="35" t="s">
        <v>16304</v>
      </c>
      <c r="R187" s="35" t="s">
        <v>17040</v>
      </c>
      <c r="S187" s="35">
        <v>2430217</v>
      </c>
      <c r="T187" s="35">
        <v>34582543</v>
      </c>
      <c r="U187" s="35"/>
      <c r="V187" s="30">
        <v>1863</v>
      </c>
      <c r="W187" s="35" t="s">
        <v>707</v>
      </c>
      <c r="X187" s="35" t="s">
        <v>194</v>
      </c>
      <c r="Y187" s="30">
        <v>1</v>
      </c>
      <c r="Z187" s="35"/>
      <c r="AA187" s="35"/>
      <c r="AB187" s="35"/>
      <c r="AC187" s="35"/>
      <c r="AD187" s="35"/>
      <c r="AE187" s="35"/>
      <c r="AF187" s="35"/>
      <c r="AG187" s="35"/>
      <c r="AH187" s="30" t="s">
        <v>4714</v>
      </c>
      <c r="AI187" s="35" t="s">
        <v>17258</v>
      </c>
      <c r="AJ187" s="62" t="str">
        <f>MID('I kw.22'!W187,8,6)</f>
        <v>422201</v>
      </c>
      <c r="AK187" s="62">
        <v>1</v>
      </c>
      <c r="AL187" s="62">
        <f t="shared" si="2"/>
        <v>1</v>
      </c>
      <c r="AM187" s="62">
        <v>1</v>
      </c>
    </row>
    <row r="188" spans="1:39" x14ac:dyDescent="0.25">
      <c r="A188" s="35" t="s">
        <v>254</v>
      </c>
      <c r="B188" s="35" t="s">
        <v>255</v>
      </c>
      <c r="C188" s="35" t="s">
        <v>17257</v>
      </c>
      <c r="D188" s="35" t="s">
        <v>16073</v>
      </c>
      <c r="E188" s="35" t="s">
        <v>192</v>
      </c>
      <c r="F188" s="62">
        <v>1</v>
      </c>
      <c r="G188" s="30" t="s">
        <v>193</v>
      </c>
      <c r="H188" s="30" t="s">
        <v>194</v>
      </c>
      <c r="I188" s="30" t="s">
        <v>16066</v>
      </c>
      <c r="J188" s="35" t="s">
        <v>253</v>
      </c>
      <c r="K188" s="35">
        <v>18</v>
      </c>
      <c r="L188" s="35" t="s">
        <v>6955</v>
      </c>
      <c r="M188" s="35"/>
      <c r="N188" s="35" t="s">
        <v>17256</v>
      </c>
      <c r="O188" s="35" t="s">
        <v>6249</v>
      </c>
      <c r="P188" s="35" t="s">
        <v>17244</v>
      </c>
      <c r="Q188" s="35" t="s">
        <v>16304</v>
      </c>
      <c r="R188" s="35" t="s">
        <v>16121</v>
      </c>
      <c r="S188" s="35">
        <v>2430244</v>
      </c>
      <c r="T188" s="35">
        <v>34582570</v>
      </c>
      <c r="U188" s="35"/>
      <c r="V188" s="30">
        <v>1811</v>
      </c>
      <c r="W188" s="35" t="s">
        <v>17255</v>
      </c>
      <c r="X188" s="35" t="s">
        <v>194</v>
      </c>
      <c r="Y188" s="30">
        <v>1</v>
      </c>
      <c r="Z188" s="35"/>
      <c r="AA188" s="35"/>
      <c r="AB188" s="35"/>
      <c r="AC188" s="35"/>
      <c r="AD188" s="35"/>
      <c r="AE188" s="35"/>
      <c r="AF188" s="35"/>
      <c r="AG188" s="35"/>
      <c r="AH188" s="30" t="s">
        <v>4714</v>
      </c>
      <c r="AI188" s="35" t="s">
        <v>255</v>
      </c>
      <c r="AJ188" s="62" t="str">
        <f>MID('I kw.22'!W188,8,6)</f>
        <v>122202</v>
      </c>
      <c r="AK188" s="62">
        <v>1</v>
      </c>
      <c r="AL188" s="62">
        <f t="shared" si="2"/>
        <v>1</v>
      </c>
      <c r="AM188" s="62">
        <v>1</v>
      </c>
    </row>
    <row r="189" spans="1:39" x14ac:dyDescent="0.25">
      <c r="A189" s="35" t="s">
        <v>17254</v>
      </c>
      <c r="B189" s="35" t="s">
        <v>17252</v>
      </c>
      <c r="C189" s="35" t="s">
        <v>4966</v>
      </c>
      <c r="D189" s="35" t="s">
        <v>16073</v>
      </c>
      <c r="E189" s="35" t="s">
        <v>192</v>
      </c>
      <c r="F189" s="62">
        <v>1</v>
      </c>
      <c r="G189" s="30" t="s">
        <v>193</v>
      </c>
      <c r="H189" s="30" t="s">
        <v>194</v>
      </c>
      <c r="I189" s="30" t="s">
        <v>16048</v>
      </c>
      <c r="J189" s="35" t="s">
        <v>210</v>
      </c>
      <c r="K189" s="35">
        <v>18</v>
      </c>
      <c r="L189" s="35" t="s">
        <v>6955</v>
      </c>
      <c r="M189" s="35"/>
      <c r="N189" s="35" t="s">
        <v>17253</v>
      </c>
      <c r="O189" s="35" t="s">
        <v>6254</v>
      </c>
      <c r="P189" s="35" t="s">
        <v>17244</v>
      </c>
      <c r="Q189" s="35" t="s">
        <v>16304</v>
      </c>
      <c r="R189" s="35" t="s">
        <v>17040</v>
      </c>
      <c r="S189" s="35">
        <v>2430342</v>
      </c>
      <c r="T189" s="35">
        <v>34582668</v>
      </c>
      <c r="U189" s="35"/>
      <c r="V189" s="30">
        <v>1863</v>
      </c>
      <c r="W189" s="35" t="s">
        <v>405</v>
      </c>
      <c r="X189" s="35" t="s">
        <v>194</v>
      </c>
      <c r="Y189" s="30">
        <v>1</v>
      </c>
      <c r="Z189" s="35"/>
      <c r="AA189" s="35"/>
      <c r="AB189" s="35"/>
      <c r="AC189" s="35"/>
      <c r="AD189" s="35"/>
      <c r="AE189" s="35"/>
      <c r="AF189" s="35"/>
      <c r="AG189" s="35"/>
      <c r="AH189" s="30" t="s">
        <v>4714</v>
      </c>
      <c r="AI189" s="35" t="s">
        <v>17252</v>
      </c>
      <c r="AJ189" s="62" t="str">
        <f>MID('I kw.22'!W189,8,6)</f>
        <v>241304</v>
      </c>
      <c r="AK189" s="62">
        <v>1</v>
      </c>
      <c r="AL189" s="62">
        <f t="shared" si="2"/>
        <v>1</v>
      </c>
      <c r="AM189" s="62">
        <v>1</v>
      </c>
    </row>
    <row r="190" spans="1:39" x14ac:dyDescent="0.25">
      <c r="A190" s="35" t="s">
        <v>17251</v>
      </c>
      <c r="B190" s="35" t="s">
        <v>17249</v>
      </c>
      <c r="C190" s="35" t="s">
        <v>43</v>
      </c>
      <c r="D190" s="35" t="s">
        <v>16073</v>
      </c>
      <c r="E190" s="35" t="s">
        <v>192</v>
      </c>
      <c r="F190" s="62">
        <v>1</v>
      </c>
      <c r="G190" s="30" t="s">
        <v>193</v>
      </c>
      <c r="H190" s="30" t="s">
        <v>194</v>
      </c>
      <c r="I190" s="30" t="s">
        <v>16078</v>
      </c>
      <c r="J190" s="35" t="s">
        <v>755</v>
      </c>
      <c r="K190" s="35">
        <v>18</v>
      </c>
      <c r="L190" s="35" t="s">
        <v>6955</v>
      </c>
      <c r="M190" s="35"/>
      <c r="N190" s="35" t="s">
        <v>17250</v>
      </c>
      <c r="O190" s="35" t="s">
        <v>6245</v>
      </c>
      <c r="P190" s="35" t="s">
        <v>17244</v>
      </c>
      <c r="Q190" s="35" t="s">
        <v>16304</v>
      </c>
      <c r="R190" s="35" t="s">
        <v>17040</v>
      </c>
      <c r="S190" s="35">
        <v>2430372</v>
      </c>
      <c r="T190" s="35">
        <v>34582698</v>
      </c>
      <c r="U190" s="35"/>
      <c r="V190" s="30">
        <v>1816</v>
      </c>
      <c r="W190" s="35" t="s">
        <v>452</v>
      </c>
      <c r="X190" s="35" t="s">
        <v>194</v>
      </c>
      <c r="Y190" s="30">
        <v>1</v>
      </c>
      <c r="Z190" s="35"/>
      <c r="AA190" s="35"/>
      <c r="AB190" s="35"/>
      <c r="AC190" s="35"/>
      <c r="AD190" s="35"/>
      <c r="AE190" s="35"/>
      <c r="AF190" s="35"/>
      <c r="AG190" s="35"/>
      <c r="AH190" s="30" t="s">
        <v>4714</v>
      </c>
      <c r="AI190" s="35" t="s">
        <v>17249</v>
      </c>
      <c r="AJ190" s="62" t="str">
        <f>MID('I kw.22'!W190,8,6)</f>
        <v>243106</v>
      </c>
      <c r="AK190" s="62">
        <v>1</v>
      </c>
      <c r="AL190" s="62">
        <f t="shared" si="2"/>
        <v>1</v>
      </c>
      <c r="AM190" s="62">
        <v>1</v>
      </c>
    </row>
    <row r="191" spans="1:39" x14ac:dyDescent="0.25">
      <c r="A191" s="35" t="s">
        <v>4969</v>
      </c>
      <c r="B191" s="35" t="s">
        <v>17247</v>
      </c>
      <c r="C191" s="35" t="s">
        <v>10</v>
      </c>
      <c r="D191" s="35" t="s">
        <v>16073</v>
      </c>
      <c r="E191" s="35" t="s">
        <v>192</v>
      </c>
      <c r="F191" s="62">
        <v>1</v>
      </c>
      <c r="G191" s="30" t="s">
        <v>193</v>
      </c>
      <c r="H191" s="30" t="s">
        <v>194</v>
      </c>
      <c r="I191" s="30" t="s">
        <v>16121</v>
      </c>
      <c r="J191" s="35" t="s">
        <v>210</v>
      </c>
      <c r="K191" s="35">
        <v>18</v>
      </c>
      <c r="L191" s="35" t="s">
        <v>6955</v>
      </c>
      <c r="M191" s="35"/>
      <c r="N191" s="35" t="s">
        <v>17248</v>
      </c>
      <c r="O191" s="35" t="s">
        <v>6261</v>
      </c>
      <c r="P191" s="35" t="s">
        <v>17244</v>
      </c>
      <c r="Q191" s="35" t="s">
        <v>16304</v>
      </c>
      <c r="R191" s="35" t="s">
        <v>17040</v>
      </c>
      <c r="S191" s="35">
        <v>2430419</v>
      </c>
      <c r="T191" s="35">
        <v>34582745</v>
      </c>
      <c r="U191" s="35"/>
      <c r="V191" s="30">
        <v>1863</v>
      </c>
      <c r="W191" s="35" t="s">
        <v>484</v>
      </c>
      <c r="X191" s="35" t="s">
        <v>194</v>
      </c>
      <c r="Y191" s="30">
        <v>1</v>
      </c>
      <c r="Z191" s="35"/>
      <c r="AA191" s="35"/>
      <c r="AB191" s="35"/>
      <c r="AC191" s="35"/>
      <c r="AD191" s="35"/>
      <c r="AE191" s="35"/>
      <c r="AF191" s="35"/>
      <c r="AG191" s="35"/>
      <c r="AH191" s="30" t="s">
        <v>4714</v>
      </c>
      <c r="AI191" s="35" t="s">
        <v>17247</v>
      </c>
      <c r="AJ191" s="62" t="str">
        <f>MID('I kw.22'!W191,8,6)</f>
        <v>251401</v>
      </c>
      <c r="AK191" s="62">
        <v>1</v>
      </c>
      <c r="AL191" s="62">
        <f t="shared" si="2"/>
        <v>1</v>
      </c>
      <c r="AM191" s="62">
        <v>1</v>
      </c>
    </row>
    <row r="192" spans="1:39" x14ac:dyDescent="0.25">
      <c r="A192" s="35" t="s">
        <v>17246</v>
      </c>
      <c r="B192" s="35" t="s">
        <v>17</v>
      </c>
      <c r="C192" s="35" t="s">
        <v>17</v>
      </c>
      <c r="D192" s="35" t="s">
        <v>16073</v>
      </c>
      <c r="E192" s="35" t="s">
        <v>192</v>
      </c>
      <c r="F192" s="62">
        <v>1</v>
      </c>
      <c r="G192" s="30" t="s">
        <v>193</v>
      </c>
      <c r="H192" s="30" t="s">
        <v>194</v>
      </c>
      <c r="I192" s="30" t="s">
        <v>16121</v>
      </c>
      <c r="J192" s="35" t="s">
        <v>210</v>
      </c>
      <c r="K192" s="35">
        <v>18</v>
      </c>
      <c r="L192" s="35" t="s">
        <v>6955</v>
      </c>
      <c r="M192" s="35"/>
      <c r="N192" s="35" t="s">
        <v>17245</v>
      </c>
      <c r="O192" s="35" t="s">
        <v>6245</v>
      </c>
      <c r="P192" s="35" t="s">
        <v>17244</v>
      </c>
      <c r="Q192" s="35" t="s">
        <v>16304</v>
      </c>
      <c r="R192" s="35" t="s">
        <v>17040</v>
      </c>
      <c r="S192" s="35">
        <v>2430462</v>
      </c>
      <c r="T192" s="35">
        <v>34582788</v>
      </c>
      <c r="U192" s="35"/>
      <c r="V192" s="30">
        <v>1863</v>
      </c>
      <c r="W192" s="35" t="s">
        <v>624</v>
      </c>
      <c r="X192" s="35" t="s">
        <v>194</v>
      </c>
      <c r="Y192" s="30">
        <v>1</v>
      </c>
      <c r="Z192" s="35"/>
      <c r="AA192" s="35"/>
      <c r="AB192" s="35"/>
      <c r="AC192" s="35"/>
      <c r="AD192" s="35"/>
      <c r="AE192" s="35"/>
      <c r="AF192" s="35"/>
      <c r="AG192" s="35"/>
      <c r="AH192" s="30" t="s">
        <v>4714</v>
      </c>
      <c r="AI192" s="35" t="s">
        <v>17</v>
      </c>
      <c r="AJ192" s="62" t="str">
        <f>MID('I kw.22'!W192,8,6)</f>
        <v>332203</v>
      </c>
      <c r="AK192" s="62">
        <v>1</v>
      </c>
      <c r="AL192" s="62">
        <f t="shared" si="2"/>
        <v>1</v>
      </c>
      <c r="AM192" s="62">
        <v>1</v>
      </c>
    </row>
    <row r="193" spans="1:39" x14ac:dyDescent="0.25">
      <c r="A193" s="35" t="s">
        <v>13603</v>
      </c>
      <c r="B193" s="35" t="s">
        <v>17242</v>
      </c>
      <c r="C193" s="35" t="s">
        <v>122</v>
      </c>
      <c r="D193" s="35" t="s">
        <v>16073</v>
      </c>
      <c r="E193" s="35" t="s">
        <v>192</v>
      </c>
      <c r="F193" s="62">
        <v>1</v>
      </c>
      <c r="G193" s="30" t="s">
        <v>193</v>
      </c>
      <c r="H193" s="30" t="s">
        <v>194</v>
      </c>
      <c r="I193" s="30" t="s">
        <v>16121</v>
      </c>
      <c r="J193" s="35" t="s">
        <v>2043</v>
      </c>
      <c r="K193" s="35">
        <v>18</v>
      </c>
      <c r="L193" s="35" t="s">
        <v>6955</v>
      </c>
      <c r="M193" s="35"/>
      <c r="N193" s="35" t="s">
        <v>17243</v>
      </c>
      <c r="O193" s="35" t="s">
        <v>6286</v>
      </c>
      <c r="P193" s="35" t="s">
        <v>17223</v>
      </c>
      <c r="Q193" s="35" t="s">
        <v>16304</v>
      </c>
      <c r="R193" s="35" t="s">
        <v>17040</v>
      </c>
      <c r="S193" s="35">
        <v>2430556</v>
      </c>
      <c r="T193" s="35">
        <v>34582882</v>
      </c>
      <c r="U193" s="35"/>
      <c r="V193" s="30">
        <v>1804</v>
      </c>
      <c r="W193" s="35" t="s">
        <v>655</v>
      </c>
      <c r="X193" s="35" t="s">
        <v>194</v>
      </c>
      <c r="Y193" s="30">
        <v>1</v>
      </c>
      <c r="Z193" s="35"/>
      <c r="AA193" s="35"/>
      <c r="AB193" s="35"/>
      <c r="AC193" s="35"/>
      <c r="AD193" s="35"/>
      <c r="AE193" s="35"/>
      <c r="AF193" s="35"/>
      <c r="AG193" s="35"/>
      <c r="AH193" s="30" t="s">
        <v>4714</v>
      </c>
      <c r="AI193" s="35" t="s">
        <v>17242</v>
      </c>
      <c r="AJ193" s="62" t="str">
        <f>MID('I kw.22'!W193,8,6)</f>
        <v>332301</v>
      </c>
      <c r="AK193" s="62">
        <v>1</v>
      </c>
      <c r="AL193" s="62">
        <f t="shared" si="2"/>
        <v>1</v>
      </c>
      <c r="AM193" s="62">
        <v>1</v>
      </c>
    </row>
    <row r="194" spans="1:39" x14ac:dyDescent="0.25">
      <c r="A194" s="35" t="s">
        <v>16528</v>
      </c>
      <c r="B194" s="35" t="s">
        <v>17240</v>
      </c>
      <c r="C194" s="35" t="s">
        <v>706</v>
      </c>
      <c r="D194" s="35" t="s">
        <v>16073</v>
      </c>
      <c r="E194" s="35" t="s">
        <v>192</v>
      </c>
      <c r="F194" s="62">
        <v>1</v>
      </c>
      <c r="G194" s="30" t="s">
        <v>193</v>
      </c>
      <c r="H194" s="30" t="s">
        <v>194</v>
      </c>
      <c r="I194" s="30" t="s">
        <v>16183</v>
      </c>
      <c r="J194" s="35" t="s">
        <v>210</v>
      </c>
      <c r="K194" s="35">
        <v>18</v>
      </c>
      <c r="L194" s="35" t="s">
        <v>6955</v>
      </c>
      <c r="M194" s="35"/>
      <c r="N194" s="35" t="s">
        <v>17241</v>
      </c>
      <c r="O194" s="35" t="s">
        <v>6251</v>
      </c>
      <c r="P194" s="35" t="s">
        <v>17223</v>
      </c>
      <c r="Q194" s="35" t="s">
        <v>16304</v>
      </c>
      <c r="R194" s="35" t="s">
        <v>17040</v>
      </c>
      <c r="S194" s="35">
        <v>2430679</v>
      </c>
      <c r="T194" s="35">
        <v>34583005</v>
      </c>
      <c r="U194" s="35"/>
      <c r="V194" s="30">
        <v>1863</v>
      </c>
      <c r="W194" s="35" t="s">
        <v>707</v>
      </c>
      <c r="X194" s="35" t="s">
        <v>194</v>
      </c>
      <c r="Y194" s="30">
        <v>1</v>
      </c>
      <c r="Z194" s="35"/>
      <c r="AA194" s="35"/>
      <c r="AB194" s="35"/>
      <c r="AC194" s="35"/>
      <c r="AD194" s="35"/>
      <c r="AE194" s="35"/>
      <c r="AF194" s="35"/>
      <c r="AG194" s="35"/>
      <c r="AH194" s="30" t="s">
        <v>4714</v>
      </c>
      <c r="AI194" s="35" t="s">
        <v>17240</v>
      </c>
      <c r="AJ194" s="62" t="str">
        <f>MID('I kw.22'!W194,8,6)</f>
        <v>422201</v>
      </c>
      <c r="AK194" s="62">
        <v>1</v>
      </c>
      <c r="AL194" s="62">
        <f t="shared" si="2"/>
        <v>1</v>
      </c>
      <c r="AM194" s="62">
        <v>1</v>
      </c>
    </row>
    <row r="195" spans="1:39" x14ac:dyDescent="0.25">
      <c r="A195" s="35" t="s">
        <v>16063</v>
      </c>
      <c r="B195" s="35" t="s">
        <v>17238</v>
      </c>
      <c r="C195" s="35" t="s">
        <v>6472</v>
      </c>
      <c r="D195" s="35" t="s">
        <v>16073</v>
      </c>
      <c r="E195" s="35" t="s">
        <v>192</v>
      </c>
      <c r="F195" s="62">
        <v>1</v>
      </c>
      <c r="G195" s="30" t="s">
        <v>193</v>
      </c>
      <c r="H195" s="30" t="s">
        <v>194</v>
      </c>
      <c r="I195" s="30" t="s">
        <v>16121</v>
      </c>
      <c r="J195" s="35" t="s">
        <v>672</v>
      </c>
      <c r="K195" s="35">
        <v>18</v>
      </c>
      <c r="L195" s="35" t="s">
        <v>6955</v>
      </c>
      <c r="M195" s="35"/>
      <c r="N195" s="35" t="s">
        <v>17239</v>
      </c>
      <c r="O195" s="35" t="s">
        <v>6245</v>
      </c>
      <c r="P195" s="35" t="s">
        <v>17223</v>
      </c>
      <c r="Q195" s="35" t="s">
        <v>16304</v>
      </c>
      <c r="R195" s="35" t="s">
        <v>17040</v>
      </c>
      <c r="S195" s="35">
        <v>2430873</v>
      </c>
      <c r="T195" s="35">
        <v>34583199</v>
      </c>
      <c r="U195" s="35"/>
      <c r="V195" s="30">
        <v>1816</v>
      </c>
      <c r="W195" s="35" t="s">
        <v>1938</v>
      </c>
      <c r="X195" s="35" t="s">
        <v>194</v>
      </c>
      <c r="Y195" s="30">
        <v>1</v>
      </c>
      <c r="Z195" s="35"/>
      <c r="AA195" s="35"/>
      <c r="AB195" s="35"/>
      <c r="AC195" s="35"/>
      <c r="AD195" s="35"/>
      <c r="AE195" s="35"/>
      <c r="AF195" s="35"/>
      <c r="AG195" s="35"/>
      <c r="AH195" s="30" t="s">
        <v>4714</v>
      </c>
      <c r="AI195" s="35" t="s">
        <v>17238</v>
      </c>
      <c r="AJ195" s="62" t="str">
        <f>MID('I kw.22'!W195,8,6)</f>
        <v>214406</v>
      </c>
      <c r="AK195" s="62">
        <v>1</v>
      </c>
      <c r="AL195" s="62">
        <f t="shared" ref="AL195:AL258" si="3">SUM(F195)</f>
        <v>1</v>
      </c>
      <c r="AM195" s="62">
        <v>1</v>
      </c>
    </row>
    <row r="196" spans="1:39" x14ac:dyDescent="0.25">
      <c r="A196" s="35" t="s">
        <v>17237</v>
      </c>
      <c r="B196" s="35" t="s">
        <v>17234</v>
      </c>
      <c r="C196" s="35" t="s">
        <v>17234</v>
      </c>
      <c r="D196" s="35" t="s">
        <v>16073</v>
      </c>
      <c r="E196" s="35" t="s">
        <v>192</v>
      </c>
      <c r="F196" s="62">
        <v>1</v>
      </c>
      <c r="G196" s="30" t="s">
        <v>193</v>
      </c>
      <c r="H196" s="30" t="s">
        <v>194</v>
      </c>
      <c r="I196" s="30" t="s">
        <v>16121</v>
      </c>
      <c r="J196" s="35" t="s">
        <v>210</v>
      </c>
      <c r="K196" s="35">
        <v>18</v>
      </c>
      <c r="L196" s="35" t="s">
        <v>6955</v>
      </c>
      <c r="M196" s="35"/>
      <c r="N196" s="35" t="s">
        <v>17236</v>
      </c>
      <c r="O196" s="35" t="s">
        <v>7531</v>
      </c>
      <c r="P196" s="35" t="s">
        <v>17223</v>
      </c>
      <c r="Q196" s="35" t="s">
        <v>16304</v>
      </c>
      <c r="R196" s="35" t="s">
        <v>17040</v>
      </c>
      <c r="S196" s="35">
        <v>2430888</v>
      </c>
      <c r="T196" s="35">
        <v>34583214</v>
      </c>
      <c r="U196" s="35"/>
      <c r="V196" s="30">
        <v>1863</v>
      </c>
      <c r="W196" s="35" t="s">
        <v>17235</v>
      </c>
      <c r="X196" s="35" t="s">
        <v>194</v>
      </c>
      <c r="Y196" s="30">
        <v>1</v>
      </c>
      <c r="Z196" s="35"/>
      <c r="AA196" s="35"/>
      <c r="AB196" s="35"/>
      <c r="AC196" s="35"/>
      <c r="AD196" s="35"/>
      <c r="AE196" s="35"/>
      <c r="AF196" s="35"/>
      <c r="AG196" s="35"/>
      <c r="AH196" s="30" t="s">
        <v>4714</v>
      </c>
      <c r="AI196" s="35" t="s">
        <v>17234</v>
      </c>
      <c r="AJ196" s="62" t="str">
        <f>MID('I kw.22'!W196,8,6)</f>
        <v>331503</v>
      </c>
      <c r="AK196" s="62">
        <v>1</v>
      </c>
      <c r="AL196" s="62">
        <f t="shared" si="3"/>
        <v>1</v>
      </c>
      <c r="AM196" s="62">
        <v>1</v>
      </c>
    </row>
    <row r="197" spans="1:39" x14ac:dyDescent="0.25">
      <c r="A197" s="35" t="s">
        <v>17233</v>
      </c>
      <c r="B197" s="35" t="s">
        <v>8721</v>
      </c>
      <c r="C197" s="35" t="s">
        <v>1325</v>
      </c>
      <c r="D197" s="35" t="s">
        <v>16073</v>
      </c>
      <c r="E197" s="35" t="s">
        <v>192</v>
      </c>
      <c r="F197" s="62">
        <v>1</v>
      </c>
      <c r="G197" s="30" t="s">
        <v>193</v>
      </c>
      <c r="H197" s="30" t="s">
        <v>194</v>
      </c>
      <c r="I197" s="30" t="s">
        <v>16078</v>
      </c>
      <c r="J197" s="35" t="s">
        <v>210</v>
      </c>
      <c r="K197" s="35">
        <v>18</v>
      </c>
      <c r="L197" s="35" t="s">
        <v>6955</v>
      </c>
      <c r="M197" s="35"/>
      <c r="N197" s="35" t="s">
        <v>17232</v>
      </c>
      <c r="O197" s="35" t="s">
        <v>6275</v>
      </c>
      <c r="P197" s="35" t="s">
        <v>17223</v>
      </c>
      <c r="Q197" s="35" t="s">
        <v>16304</v>
      </c>
      <c r="R197" s="35" t="s">
        <v>17040</v>
      </c>
      <c r="S197" s="35">
        <v>2431002</v>
      </c>
      <c r="T197" s="35">
        <v>34583328</v>
      </c>
      <c r="U197" s="35"/>
      <c r="V197" s="30">
        <v>1863</v>
      </c>
      <c r="W197" s="35" t="s">
        <v>1327</v>
      </c>
      <c r="X197" s="35" t="s">
        <v>194</v>
      </c>
      <c r="Y197" s="30">
        <v>1</v>
      </c>
      <c r="Z197" s="35"/>
      <c r="AA197" s="35"/>
      <c r="AB197" s="35"/>
      <c r="AC197" s="35"/>
      <c r="AD197" s="35"/>
      <c r="AE197" s="35"/>
      <c r="AF197" s="35"/>
      <c r="AG197" s="35"/>
      <c r="AH197" s="30" t="s">
        <v>4714</v>
      </c>
      <c r="AI197" s="35" t="s">
        <v>8721</v>
      </c>
      <c r="AJ197" s="62" t="str">
        <f>MID('I kw.22'!W197,8,6)</f>
        <v>931301</v>
      </c>
      <c r="AK197" s="62">
        <v>1</v>
      </c>
      <c r="AL197" s="62">
        <f t="shared" si="3"/>
        <v>1</v>
      </c>
      <c r="AM197" s="62">
        <v>1</v>
      </c>
    </row>
    <row r="198" spans="1:39" x14ac:dyDescent="0.25">
      <c r="A198" s="35" t="s">
        <v>17231</v>
      </c>
      <c r="B198" s="35" t="s">
        <v>5172</v>
      </c>
      <c r="C198" s="35" t="s">
        <v>7663</v>
      </c>
      <c r="D198" s="35" t="s">
        <v>16073</v>
      </c>
      <c r="E198" s="35" t="s">
        <v>192</v>
      </c>
      <c r="F198" s="62">
        <v>1</v>
      </c>
      <c r="G198" s="30" t="s">
        <v>193</v>
      </c>
      <c r="H198" s="30" t="s">
        <v>194</v>
      </c>
      <c r="I198" s="30" t="s">
        <v>16121</v>
      </c>
      <c r="J198" s="35" t="s">
        <v>210</v>
      </c>
      <c r="K198" s="35">
        <v>18</v>
      </c>
      <c r="L198" s="35" t="s">
        <v>6955</v>
      </c>
      <c r="M198" s="35"/>
      <c r="N198" s="35" t="s">
        <v>17230</v>
      </c>
      <c r="O198" s="35" t="s">
        <v>6324</v>
      </c>
      <c r="P198" s="35" t="s">
        <v>17223</v>
      </c>
      <c r="Q198" s="35" t="s">
        <v>16304</v>
      </c>
      <c r="R198" s="35" t="s">
        <v>17040</v>
      </c>
      <c r="S198" s="35">
        <v>2431026</v>
      </c>
      <c r="T198" s="35">
        <v>34583352</v>
      </c>
      <c r="U198" s="35"/>
      <c r="V198" s="30">
        <v>1863</v>
      </c>
      <c r="W198" s="35" t="s">
        <v>679</v>
      </c>
      <c r="X198" s="35" t="s">
        <v>194</v>
      </c>
      <c r="Y198" s="30">
        <v>1</v>
      </c>
      <c r="Z198" s="35"/>
      <c r="AA198" s="35"/>
      <c r="AB198" s="35"/>
      <c r="AC198" s="35"/>
      <c r="AD198" s="35"/>
      <c r="AE198" s="35"/>
      <c r="AF198" s="35"/>
      <c r="AG198" s="35"/>
      <c r="AH198" s="30" t="s">
        <v>4714</v>
      </c>
      <c r="AI198" s="35" t="s">
        <v>5172</v>
      </c>
      <c r="AJ198" s="62" t="str">
        <f>MID('I kw.22'!W198,8,6)</f>
        <v>333404</v>
      </c>
      <c r="AK198" s="62">
        <v>1</v>
      </c>
      <c r="AL198" s="62">
        <f t="shared" si="3"/>
        <v>1</v>
      </c>
      <c r="AM198" s="62">
        <v>1</v>
      </c>
    </row>
    <row r="199" spans="1:39" x14ac:dyDescent="0.25">
      <c r="A199" s="35" t="s">
        <v>17229</v>
      </c>
      <c r="B199" s="35" t="s">
        <v>17225</v>
      </c>
      <c r="C199" s="35" t="s">
        <v>17228</v>
      </c>
      <c r="D199" s="35" t="s">
        <v>16073</v>
      </c>
      <c r="E199" s="35" t="s">
        <v>192</v>
      </c>
      <c r="F199" s="62">
        <v>1</v>
      </c>
      <c r="G199" s="30" t="s">
        <v>193</v>
      </c>
      <c r="H199" s="30" t="s">
        <v>194</v>
      </c>
      <c r="I199" s="30" t="s">
        <v>16066</v>
      </c>
      <c r="J199" s="35" t="s">
        <v>210</v>
      </c>
      <c r="K199" s="35">
        <v>18</v>
      </c>
      <c r="L199" s="35" t="s">
        <v>6955</v>
      </c>
      <c r="M199" s="35"/>
      <c r="N199" s="35" t="s">
        <v>17227</v>
      </c>
      <c r="O199" s="35" t="s">
        <v>6327</v>
      </c>
      <c r="P199" s="35" t="s">
        <v>17223</v>
      </c>
      <c r="Q199" s="35" t="s">
        <v>16304</v>
      </c>
      <c r="R199" s="35" t="s">
        <v>17040</v>
      </c>
      <c r="S199" s="35">
        <v>2431045</v>
      </c>
      <c r="T199" s="35">
        <v>34583371</v>
      </c>
      <c r="U199" s="35"/>
      <c r="V199" s="30">
        <v>1863</v>
      </c>
      <c r="W199" s="35" t="s">
        <v>17226</v>
      </c>
      <c r="X199" s="35" t="s">
        <v>194</v>
      </c>
      <c r="Y199" s="30">
        <v>1</v>
      </c>
      <c r="Z199" s="35"/>
      <c r="AA199" s="35"/>
      <c r="AB199" s="35"/>
      <c r="AC199" s="35"/>
      <c r="AD199" s="35"/>
      <c r="AE199" s="35"/>
      <c r="AF199" s="35"/>
      <c r="AG199" s="35"/>
      <c r="AH199" s="30" t="s">
        <v>4714</v>
      </c>
      <c r="AI199" s="35" t="s">
        <v>17225</v>
      </c>
      <c r="AJ199" s="62" t="str">
        <f>MID('I kw.22'!W199,8,6)</f>
        <v>133002</v>
      </c>
      <c r="AK199" s="62">
        <v>1</v>
      </c>
      <c r="AL199" s="62">
        <f t="shared" si="3"/>
        <v>1</v>
      </c>
      <c r="AM199" s="62">
        <v>1</v>
      </c>
    </row>
    <row r="200" spans="1:39" x14ac:dyDescent="0.25">
      <c r="A200" s="35" t="s">
        <v>16560</v>
      </c>
      <c r="B200" s="35" t="s">
        <v>17222</v>
      </c>
      <c r="C200" s="35" t="s">
        <v>5440</v>
      </c>
      <c r="D200" s="35" t="s">
        <v>16073</v>
      </c>
      <c r="E200" s="35" t="s">
        <v>192</v>
      </c>
      <c r="F200" s="62">
        <v>1</v>
      </c>
      <c r="G200" s="30" t="s">
        <v>193</v>
      </c>
      <c r="H200" s="30" t="s">
        <v>194</v>
      </c>
      <c r="I200" s="30" t="s">
        <v>16048</v>
      </c>
      <c r="J200" s="35" t="s">
        <v>285</v>
      </c>
      <c r="K200" s="35">
        <v>18</v>
      </c>
      <c r="L200" s="35" t="s">
        <v>6955</v>
      </c>
      <c r="M200" s="35"/>
      <c r="N200" s="35" t="s">
        <v>17224</v>
      </c>
      <c r="O200" s="35" t="s">
        <v>6258</v>
      </c>
      <c r="P200" s="35" t="s">
        <v>17223</v>
      </c>
      <c r="Q200" s="35" t="s">
        <v>16304</v>
      </c>
      <c r="R200" s="35" t="s">
        <v>17040</v>
      </c>
      <c r="S200" s="35">
        <v>2431077</v>
      </c>
      <c r="T200" s="35">
        <v>34583403</v>
      </c>
      <c r="U200" s="35"/>
      <c r="V200" s="30">
        <v>1815</v>
      </c>
      <c r="W200" s="35" t="s">
        <v>310</v>
      </c>
      <c r="X200" s="35" t="s">
        <v>194</v>
      </c>
      <c r="Y200" s="30">
        <v>1</v>
      </c>
      <c r="Z200" s="35"/>
      <c r="AA200" s="35"/>
      <c r="AB200" s="35"/>
      <c r="AC200" s="35"/>
      <c r="AD200" s="35"/>
      <c r="AE200" s="35"/>
      <c r="AF200" s="35"/>
      <c r="AG200" s="35"/>
      <c r="AH200" s="30" t="s">
        <v>4714</v>
      </c>
      <c r="AI200" s="35" t="s">
        <v>17222</v>
      </c>
      <c r="AJ200" s="62" t="str">
        <f>MID('I kw.22'!W200,8,6)</f>
        <v>214404</v>
      </c>
      <c r="AK200" s="62">
        <v>1</v>
      </c>
      <c r="AL200" s="62">
        <f t="shared" si="3"/>
        <v>1</v>
      </c>
      <c r="AM200" s="62">
        <v>1</v>
      </c>
    </row>
    <row r="201" spans="1:39" x14ac:dyDescent="0.25">
      <c r="A201" s="35" t="s">
        <v>1040</v>
      </c>
      <c r="B201" s="35" t="s">
        <v>632</v>
      </c>
      <c r="C201" s="35" t="s">
        <v>17</v>
      </c>
      <c r="D201" s="35" t="s">
        <v>16845</v>
      </c>
      <c r="E201" s="35" t="s">
        <v>233</v>
      </c>
      <c r="F201" s="62">
        <v>1</v>
      </c>
      <c r="G201" s="30" t="s">
        <v>193</v>
      </c>
      <c r="H201" s="30" t="s">
        <v>194</v>
      </c>
      <c r="I201" s="30" t="s">
        <v>16052</v>
      </c>
      <c r="J201" s="35" t="s">
        <v>9302</v>
      </c>
      <c r="K201" s="35">
        <v>18</v>
      </c>
      <c r="L201" s="35" t="s">
        <v>6955</v>
      </c>
      <c r="M201" s="35"/>
      <c r="N201" s="35" t="s">
        <v>17221</v>
      </c>
      <c r="O201" s="35" t="s">
        <v>6249</v>
      </c>
      <c r="P201" s="35" t="s">
        <v>16894</v>
      </c>
      <c r="Q201" s="35" t="s">
        <v>16053</v>
      </c>
      <c r="R201" s="35" t="s">
        <v>16061</v>
      </c>
      <c r="S201" s="35">
        <v>2392279</v>
      </c>
      <c r="T201" s="35">
        <v>33724844</v>
      </c>
      <c r="U201" s="35"/>
      <c r="V201" s="30"/>
      <c r="W201" s="505" t="s">
        <v>624</v>
      </c>
      <c r="X201" s="35" t="s">
        <v>193</v>
      </c>
      <c r="Y201" s="30">
        <v>25</v>
      </c>
      <c r="Z201" s="35"/>
      <c r="AA201" s="35"/>
      <c r="AB201" s="35"/>
      <c r="AC201" s="35"/>
      <c r="AD201" s="35"/>
      <c r="AE201" s="35"/>
      <c r="AF201" s="35"/>
      <c r="AG201" s="35"/>
      <c r="AH201" s="30" t="s">
        <v>4714</v>
      </c>
      <c r="AI201" s="35" t="s">
        <v>17</v>
      </c>
      <c r="AJ201" s="62" t="str">
        <f>MID('I kw.22'!W201,8,6)</f>
        <v>332203</v>
      </c>
      <c r="AK201" s="62">
        <v>1</v>
      </c>
      <c r="AL201" s="62">
        <f t="shared" si="3"/>
        <v>1</v>
      </c>
      <c r="AM201" s="62">
        <v>1</v>
      </c>
    </row>
    <row r="202" spans="1:39" x14ac:dyDescent="0.25">
      <c r="A202" s="35" t="s">
        <v>690</v>
      </c>
      <c r="B202" s="35" t="s">
        <v>17219</v>
      </c>
      <c r="C202" s="35" t="s">
        <v>2861</v>
      </c>
      <c r="D202" s="35" t="s">
        <v>16845</v>
      </c>
      <c r="E202" s="35" t="s">
        <v>233</v>
      </c>
      <c r="F202" s="62">
        <v>1</v>
      </c>
      <c r="G202" s="30" t="s">
        <v>193</v>
      </c>
      <c r="H202" s="30" t="s">
        <v>194</v>
      </c>
      <c r="I202" s="30" t="s">
        <v>16121</v>
      </c>
      <c r="J202" s="35" t="s">
        <v>9302</v>
      </c>
      <c r="K202" s="35">
        <v>18</v>
      </c>
      <c r="L202" s="35" t="s">
        <v>6955</v>
      </c>
      <c r="M202" s="35"/>
      <c r="N202" s="35" t="s">
        <v>17220</v>
      </c>
      <c r="O202" s="35" t="s">
        <v>6921</v>
      </c>
      <c r="P202" s="35" t="s">
        <v>17160</v>
      </c>
      <c r="Q202" s="35" t="s">
        <v>17159</v>
      </c>
      <c r="R202" s="35" t="s">
        <v>17213</v>
      </c>
      <c r="S202" s="35">
        <v>2392287</v>
      </c>
      <c r="T202" s="35">
        <v>33765534</v>
      </c>
      <c r="U202" s="35"/>
      <c r="V202" s="30"/>
      <c r="W202" s="505" t="s">
        <v>3629</v>
      </c>
      <c r="X202" s="35" t="s">
        <v>193</v>
      </c>
      <c r="Y202" s="30">
        <v>25</v>
      </c>
      <c r="Z202" s="35"/>
      <c r="AA202" s="35"/>
      <c r="AB202" s="35"/>
      <c r="AC202" s="35"/>
      <c r="AD202" s="35"/>
      <c r="AE202" s="35"/>
      <c r="AF202" s="35"/>
      <c r="AG202" s="35"/>
      <c r="AH202" s="30" t="s">
        <v>4714</v>
      </c>
      <c r="AI202" s="35" t="s">
        <v>17219</v>
      </c>
      <c r="AJ202" s="62" t="str">
        <f>MID('I kw.22'!W202,8,6)</f>
        <v>251903</v>
      </c>
      <c r="AK202" s="62">
        <v>1</v>
      </c>
      <c r="AL202" s="62">
        <f t="shared" si="3"/>
        <v>1</v>
      </c>
      <c r="AM202" s="62">
        <v>1</v>
      </c>
    </row>
    <row r="203" spans="1:39" x14ac:dyDescent="0.25">
      <c r="A203" s="35" t="s">
        <v>8787</v>
      </c>
      <c r="B203" s="35" t="s">
        <v>17217</v>
      </c>
      <c r="C203" s="35" t="s">
        <v>10</v>
      </c>
      <c r="D203" s="35" t="s">
        <v>16845</v>
      </c>
      <c r="E203" s="35" t="s">
        <v>233</v>
      </c>
      <c r="F203" s="62">
        <v>1</v>
      </c>
      <c r="G203" s="30" t="s">
        <v>193</v>
      </c>
      <c r="H203" s="30" t="s">
        <v>194</v>
      </c>
      <c r="I203" s="30" t="s">
        <v>16073</v>
      </c>
      <c r="J203" s="35" t="s">
        <v>9302</v>
      </c>
      <c r="K203" s="35">
        <v>18</v>
      </c>
      <c r="L203" s="35" t="s">
        <v>6955</v>
      </c>
      <c r="M203" s="35"/>
      <c r="N203" s="35" t="s">
        <v>17218</v>
      </c>
      <c r="O203" s="35" t="s">
        <v>6261</v>
      </c>
      <c r="P203" s="35" t="s">
        <v>17160</v>
      </c>
      <c r="Q203" s="35" t="s">
        <v>17159</v>
      </c>
      <c r="R203" s="35" t="s">
        <v>17213</v>
      </c>
      <c r="S203" s="35">
        <v>2392303</v>
      </c>
      <c r="T203" s="35">
        <v>33765597</v>
      </c>
      <c r="U203" s="35"/>
      <c r="V203" s="30"/>
      <c r="W203" s="505" t="s">
        <v>484</v>
      </c>
      <c r="X203" s="35" t="s">
        <v>193</v>
      </c>
      <c r="Y203" s="30">
        <v>25</v>
      </c>
      <c r="Z203" s="35"/>
      <c r="AA203" s="35"/>
      <c r="AB203" s="35"/>
      <c r="AC203" s="35"/>
      <c r="AD203" s="35"/>
      <c r="AE203" s="35"/>
      <c r="AF203" s="35"/>
      <c r="AG203" s="35"/>
      <c r="AH203" s="30" t="s">
        <v>4714</v>
      </c>
      <c r="AI203" s="35" t="s">
        <v>17217</v>
      </c>
      <c r="AJ203" s="62" t="str">
        <f>MID('I kw.22'!W203,8,6)</f>
        <v>251401</v>
      </c>
      <c r="AK203" s="62">
        <v>1</v>
      </c>
      <c r="AL203" s="62">
        <f t="shared" si="3"/>
        <v>1</v>
      </c>
      <c r="AM203" s="62">
        <v>1</v>
      </c>
    </row>
    <row r="204" spans="1:39" x14ac:dyDescent="0.25">
      <c r="A204" s="35" t="s">
        <v>8787</v>
      </c>
      <c r="B204" s="35" t="s">
        <v>17215</v>
      </c>
      <c r="C204" s="35" t="s">
        <v>10</v>
      </c>
      <c r="D204" s="35" t="s">
        <v>16845</v>
      </c>
      <c r="E204" s="35" t="s">
        <v>233</v>
      </c>
      <c r="F204" s="62">
        <v>1</v>
      </c>
      <c r="G204" s="30" t="s">
        <v>193</v>
      </c>
      <c r="H204" s="30" t="s">
        <v>194</v>
      </c>
      <c r="I204" s="30" t="s">
        <v>16078</v>
      </c>
      <c r="J204" s="35" t="s">
        <v>9302</v>
      </c>
      <c r="K204" s="35">
        <v>18</v>
      </c>
      <c r="L204" s="35" t="s">
        <v>6955</v>
      </c>
      <c r="M204" s="35"/>
      <c r="N204" s="35" t="s">
        <v>17216</v>
      </c>
      <c r="O204" s="35" t="s">
        <v>6261</v>
      </c>
      <c r="P204" s="35" t="s">
        <v>17160</v>
      </c>
      <c r="Q204" s="35" t="s">
        <v>17159</v>
      </c>
      <c r="R204" s="35" t="s">
        <v>17213</v>
      </c>
      <c r="S204" s="35">
        <v>2392319</v>
      </c>
      <c r="T204" s="35">
        <v>33765662</v>
      </c>
      <c r="U204" s="35"/>
      <c r="V204" s="30"/>
      <c r="W204" s="505" t="s">
        <v>484</v>
      </c>
      <c r="X204" s="35" t="s">
        <v>193</v>
      </c>
      <c r="Y204" s="30">
        <v>25</v>
      </c>
      <c r="Z204" s="35"/>
      <c r="AA204" s="35"/>
      <c r="AB204" s="35"/>
      <c r="AC204" s="35"/>
      <c r="AD204" s="35"/>
      <c r="AE204" s="35"/>
      <c r="AF204" s="35"/>
      <c r="AG204" s="35"/>
      <c r="AH204" s="30" t="s">
        <v>4714</v>
      </c>
      <c r="AI204" s="35" t="s">
        <v>17215</v>
      </c>
      <c r="AJ204" s="62" t="str">
        <f>MID('I kw.22'!W204,8,6)</f>
        <v>251401</v>
      </c>
      <c r="AK204" s="62">
        <v>1</v>
      </c>
      <c r="AL204" s="62">
        <f t="shared" si="3"/>
        <v>1</v>
      </c>
      <c r="AM204" s="62">
        <v>1</v>
      </c>
    </row>
    <row r="205" spans="1:39" x14ac:dyDescent="0.25">
      <c r="A205" s="35" t="s">
        <v>8787</v>
      </c>
      <c r="B205" s="35" t="s">
        <v>9203</v>
      </c>
      <c r="C205" s="35" t="s">
        <v>10</v>
      </c>
      <c r="D205" s="35" t="s">
        <v>16845</v>
      </c>
      <c r="E205" s="35" t="s">
        <v>233</v>
      </c>
      <c r="F205" s="62">
        <v>1</v>
      </c>
      <c r="G205" s="30" t="s">
        <v>193</v>
      </c>
      <c r="H205" s="30" t="s">
        <v>194</v>
      </c>
      <c r="I205" s="30" t="s">
        <v>16121</v>
      </c>
      <c r="J205" s="35" t="s">
        <v>9302</v>
      </c>
      <c r="K205" s="35">
        <v>18</v>
      </c>
      <c r="L205" s="35" t="s">
        <v>6955</v>
      </c>
      <c r="M205" s="35"/>
      <c r="N205" s="35" t="s">
        <v>17214</v>
      </c>
      <c r="O205" s="35" t="s">
        <v>6261</v>
      </c>
      <c r="P205" s="35" t="s">
        <v>17160</v>
      </c>
      <c r="Q205" s="35" t="s">
        <v>17159</v>
      </c>
      <c r="R205" s="35" t="s">
        <v>17213</v>
      </c>
      <c r="S205" s="35">
        <v>2392335</v>
      </c>
      <c r="T205" s="35">
        <v>33765678</v>
      </c>
      <c r="U205" s="35"/>
      <c r="V205" s="30"/>
      <c r="W205" s="505" t="s">
        <v>484</v>
      </c>
      <c r="X205" s="35" t="s">
        <v>193</v>
      </c>
      <c r="Y205" s="30">
        <v>25</v>
      </c>
      <c r="Z205" s="35"/>
      <c r="AA205" s="35"/>
      <c r="AB205" s="35"/>
      <c r="AC205" s="35"/>
      <c r="AD205" s="35"/>
      <c r="AE205" s="35"/>
      <c r="AF205" s="35"/>
      <c r="AG205" s="35"/>
      <c r="AH205" s="30" t="s">
        <v>4714</v>
      </c>
      <c r="AI205" s="35" t="s">
        <v>9203</v>
      </c>
      <c r="AJ205" s="62" t="str">
        <f>MID('I kw.22'!W205,8,6)</f>
        <v>251401</v>
      </c>
      <c r="AK205" s="62">
        <v>1</v>
      </c>
      <c r="AL205" s="62">
        <f t="shared" si="3"/>
        <v>1</v>
      </c>
      <c r="AM205" s="62">
        <v>1</v>
      </c>
    </row>
    <row r="206" spans="1:39" x14ac:dyDescent="0.25">
      <c r="A206" s="35" t="s">
        <v>17197</v>
      </c>
      <c r="B206" s="35" t="s">
        <v>17211</v>
      </c>
      <c r="C206" s="35" t="s">
        <v>9085</v>
      </c>
      <c r="D206" s="35" t="s">
        <v>16845</v>
      </c>
      <c r="E206" s="35" t="s">
        <v>233</v>
      </c>
      <c r="F206" s="62">
        <v>1</v>
      </c>
      <c r="G206" s="30" t="s">
        <v>194</v>
      </c>
      <c r="H206" s="30" t="s">
        <v>193</v>
      </c>
      <c r="I206" s="30" t="s">
        <v>16052</v>
      </c>
      <c r="J206" s="35" t="s">
        <v>9302</v>
      </c>
      <c r="K206" s="35">
        <v>18</v>
      </c>
      <c r="L206" s="35" t="s">
        <v>6955</v>
      </c>
      <c r="M206" s="35"/>
      <c r="N206" s="35" t="s">
        <v>17212</v>
      </c>
      <c r="O206" s="35" t="s">
        <v>6256</v>
      </c>
      <c r="P206" s="35" t="s">
        <v>17160</v>
      </c>
      <c r="Q206" s="35" t="s">
        <v>16113</v>
      </c>
      <c r="R206" s="35" t="s">
        <v>16842</v>
      </c>
      <c r="S206" s="35">
        <v>2392367</v>
      </c>
      <c r="T206" s="35">
        <v>34210327</v>
      </c>
      <c r="U206" s="35"/>
      <c r="V206" s="30"/>
      <c r="W206" s="505" t="s">
        <v>799</v>
      </c>
      <c r="X206" s="35" t="s">
        <v>194</v>
      </c>
      <c r="Y206" s="30">
        <v>0</v>
      </c>
      <c r="Z206" s="35"/>
      <c r="AA206" s="35"/>
      <c r="AB206" s="35"/>
      <c r="AC206" s="35"/>
      <c r="AD206" s="35"/>
      <c r="AE206" s="35"/>
      <c r="AF206" s="35"/>
      <c r="AG206" s="35"/>
      <c r="AH206" s="30" t="s">
        <v>4714</v>
      </c>
      <c r="AI206" s="35" t="s">
        <v>17211</v>
      </c>
      <c r="AJ206" s="62" t="str">
        <f>MID('I kw.22'!W206,8,6)</f>
        <v>722204</v>
      </c>
      <c r="AK206" s="62">
        <v>1</v>
      </c>
      <c r="AL206" s="62">
        <f t="shared" si="3"/>
        <v>1</v>
      </c>
      <c r="AM206" s="62">
        <v>1</v>
      </c>
    </row>
    <row r="207" spans="1:39" x14ac:dyDescent="0.25">
      <c r="A207" s="35" t="s">
        <v>17197</v>
      </c>
      <c r="B207" s="35" t="s">
        <v>17209</v>
      </c>
      <c r="C207" s="35" t="s">
        <v>362</v>
      </c>
      <c r="D207" s="35" t="s">
        <v>16845</v>
      </c>
      <c r="E207" s="35" t="s">
        <v>233</v>
      </c>
      <c r="F207" s="62">
        <v>1</v>
      </c>
      <c r="G207" s="30" t="s">
        <v>194</v>
      </c>
      <c r="H207" s="30" t="s">
        <v>193</v>
      </c>
      <c r="I207" s="30" t="s">
        <v>16073</v>
      </c>
      <c r="J207" s="35" t="s">
        <v>9302</v>
      </c>
      <c r="K207" s="35">
        <v>18</v>
      </c>
      <c r="L207" s="35" t="s">
        <v>6955</v>
      </c>
      <c r="M207" s="35"/>
      <c r="N207" s="35" t="s">
        <v>17210</v>
      </c>
      <c r="O207" s="35" t="s">
        <v>6256</v>
      </c>
      <c r="P207" s="35" t="s">
        <v>17160</v>
      </c>
      <c r="Q207" s="35" t="s">
        <v>16113</v>
      </c>
      <c r="R207" s="35" t="s">
        <v>16842</v>
      </c>
      <c r="S207" s="35">
        <v>2392383</v>
      </c>
      <c r="T207" s="35">
        <v>34210343</v>
      </c>
      <c r="U207" s="35"/>
      <c r="V207" s="30"/>
      <c r="W207" s="505" t="s">
        <v>363</v>
      </c>
      <c r="X207" s="35" t="s">
        <v>194</v>
      </c>
      <c r="Y207" s="30">
        <v>0</v>
      </c>
      <c r="Z207" s="35"/>
      <c r="AA207" s="35"/>
      <c r="AB207" s="35"/>
      <c r="AC207" s="35"/>
      <c r="AD207" s="35"/>
      <c r="AE207" s="35"/>
      <c r="AF207" s="35"/>
      <c r="AG207" s="35"/>
      <c r="AH207" s="30" t="s">
        <v>4714</v>
      </c>
      <c r="AI207" s="35" t="s">
        <v>17209</v>
      </c>
      <c r="AJ207" s="62" t="str">
        <f>MID('I kw.22'!W207,8,6)</f>
        <v>215104</v>
      </c>
      <c r="AK207" s="62">
        <v>1</v>
      </c>
      <c r="AL207" s="62">
        <f t="shared" si="3"/>
        <v>1</v>
      </c>
      <c r="AM207" s="62">
        <v>1</v>
      </c>
    </row>
    <row r="208" spans="1:39" x14ac:dyDescent="0.25">
      <c r="A208" s="35" t="s">
        <v>17197</v>
      </c>
      <c r="B208" s="35" t="s">
        <v>17207</v>
      </c>
      <c r="C208" s="35" t="s">
        <v>1378</v>
      </c>
      <c r="D208" s="35" t="s">
        <v>16845</v>
      </c>
      <c r="E208" s="35" t="s">
        <v>233</v>
      </c>
      <c r="F208" s="62">
        <v>1</v>
      </c>
      <c r="G208" s="30" t="s">
        <v>194</v>
      </c>
      <c r="H208" s="30" t="s">
        <v>193</v>
      </c>
      <c r="I208" s="30" t="s">
        <v>16078</v>
      </c>
      <c r="J208" s="35" t="s">
        <v>9302</v>
      </c>
      <c r="K208" s="35">
        <v>18</v>
      </c>
      <c r="L208" s="35" t="s">
        <v>6955</v>
      </c>
      <c r="M208" s="35"/>
      <c r="N208" s="35" t="s">
        <v>17208</v>
      </c>
      <c r="O208" s="35" t="s">
        <v>6275</v>
      </c>
      <c r="P208" s="35" t="s">
        <v>17160</v>
      </c>
      <c r="Q208" s="35" t="s">
        <v>16113</v>
      </c>
      <c r="R208" s="35" t="s">
        <v>16842</v>
      </c>
      <c r="S208" s="35">
        <v>2392399</v>
      </c>
      <c r="T208" s="35">
        <v>34210359</v>
      </c>
      <c r="U208" s="35"/>
      <c r="V208" s="30"/>
      <c r="W208" s="505" t="s">
        <v>1380</v>
      </c>
      <c r="X208" s="35" t="s">
        <v>193</v>
      </c>
      <c r="Y208" s="30">
        <v>25</v>
      </c>
      <c r="Z208" s="35"/>
      <c r="AA208" s="35"/>
      <c r="AB208" s="35"/>
      <c r="AC208" s="35"/>
      <c r="AD208" s="35"/>
      <c r="AE208" s="35"/>
      <c r="AF208" s="35"/>
      <c r="AG208" s="35"/>
      <c r="AH208" s="30" t="s">
        <v>4714</v>
      </c>
      <c r="AI208" s="35" t="s">
        <v>17207</v>
      </c>
      <c r="AJ208" s="62" t="str">
        <f>MID('I kw.22'!W208,8,6)</f>
        <v>713201</v>
      </c>
      <c r="AK208" s="62">
        <v>1</v>
      </c>
      <c r="AL208" s="62">
        <f t="shared" si="3"/>
        <v>1</v>
      </c>
      <c r="AM208" s="62">
        <v>1</v>
      </c>
    </row>
    <row r="209" spans="1:39" x14ac:dyDescent="0.25">
      <c r="A209" s="35" t="s">
        <v>17197</v>
      </c>
      <c r="B209" s="35" t="s">
        <v>17205</v>
      </c>
      <c r="C209" s="35" t="s">
        <v>1236</v>
      </c>
      <c r="D209" s="35" t="s">
        <v>16845</v>
      </c>
      <c r="E209" s="35" t="s">
        <v>233</v>
      </c>
      <c r="F209" s="62">
        <v>1</v>
      </c>
      <c r="G209" s="30" t="s">
        <v>194</v>
      </c>
      <c r="H209" s="30" t="s">
        <v>193</v>
      </c>
      <c r="I209" s="30" t="s">
        <v>16121</v>
      </c>
      <c r="J209" s="35" t="s">
        <v>9302</v>
      </c>
      <c r="K209" s="35">
        <v>18</v>
      </c>
      <c r="L209" s="35" t="s">
        <v>6955</v>
      </c>
      <c r="M209" s="35"/>
      <c r="N209" s="35" t="s">
        <v>17206</v>
      </c>
      <c r="O209" s="35" t="s">
        <v>6256</v>
      </c>
      <c r="P209" s="35" t="s">
        <v>17160</v>
      </c>
      <c r="Q209" s="35" t="s">
        <v>16113</v>
      </c>
      <c r="R209" s="35" t="s">
        <v>16842</v>
      </c>
      <c r="S209" s="35">
        <v>2392415</v>
      </c>
      <c r="T209" s="35">
        <v>34210375</v>
      </c>
      <c r="U209" s="35"/>
      <c r="V209" s="30"/>
      <c r="W209" s="505" t="s">
        <v>1237</v>
      </c>
      <c r="X209" s="35" t="s">
        <v>194</v>
      </c>
      <c r="Y209" s="30">
        <v>0</v>
      </c>
      <c r="Z209" s="35"/>
      <c r="AA209" s="35"/>
      <c r="AB209" s="35"/>
      <c r="AC209" s="35"/>
      <c r="AD209" s="35"/>
      <c r="AE209" s="35"/>
      <c r="AF209" s="35"/>
      <c r="AG209" s="35"/>
      <c r="AH209" s="30" t="s">
        <v>4714</v>
      </c>
      <c r="AI209" s="35" t="s">
        <v>17205</v>
      </c>
      <c r="AJ209" s="62" t="str">
        <f>MID('I kw.22'!W209,8,6)</f>
        <v>712601</v>
      </c>
      <c r="AK209" s="62">
        <v>1</v>
      </c>
      <c r="AL209" s="62">
        <f t="shared" si="3"/>
        <v>1</v>
      </c>
      <c r="AM209" s="62">
        <v>1</v>
      </c>
    </row>
    <row r="210" spans="1:39" x14ac:dyDescent="0.25">
      <c r="A210" s="35" t="s">
        <v>17197</v>
      </c>
      <c r="B210" s="35" t="s">
        <v>13302</v>
      </c>
      <c r="C210" s="35" t="s">
        <v>4580</v>
      </c>
      <c r="D210" s="35" t="s">
        <v>16845</v>
      </c>
      <c r="E210" s="35" t="s">
        <v>233</v>
      </c>
      <c r="F210" s="62">
        <v>1</v>
      </c>
      <c r="G210" s="30" t="s">
        <v>194</v>
      </c>
      <c r="H210" s="30" t="s">
        <v>193</v>
      </c>
      <c r="I210" s="30" t="s">
        <v>16066</v>
      </c>
      <c r="J210" s="35" t="s">
        <v>9302</v>
      </c>
      <c r="K210" s="35">
        <v>18</v>
      </c>
      <c r="L210" s="35" t="s">
        <v>6955</v>
      </c>
      <c r="M210" s="35"/>
      <c r="N210" s="35" t="s">
        <v>17204</v>
      </c>
      <c r="O210" s="35" t="s">
        <v>6275</v>
      </c>
      <c r="P210" s="35" t="s">
        <v>17160</v>
      </c>
      <c r="Q210" s="35" t="s">
        <v>16113</v>
      </c>
      <c r="R210" s="35" t="s">
        <v>16842</v>
      </c>
      <c r="S210" s="35">
        <v>2392431</v>
      </c>
      <c r="T210" s="35">
        <v>34210391</v>
      </c>
      <c r="U210" s="35"/>
      <c r="V210" s="30"/>
      <c r="W210" s="505" t="s">
        <v>4581</v>
      </c>
      <c r="X210" s="35" t="s">
        <v>193</v>
      </c>
      <c r="Y210" s="30">
        <v>25</v>
      </c>
      <c r="Z210" s="35"/>
      <c r="AA210" s="35"/>
      <c r="AB210" s="35"/>
      <c r="AC210" s="35"/>
      <c r="AD210" s="35"/>
      <c r="AE210" s="35"/>
      <c r="AF210" s="35"/>
      <c r="AG210" s="35"/>
      <c r="AH210" s="30" t="s">
        <v>4714</v>
      </c>
      <c r="AI210" s="35" t="s">
        <v>13302</v>
      </c>
      <c r="AJ210" s="62" t="str">
        <f>MID('I kw.22'!W210,8,6)</f>
        <v>712703</v>
      </c>
      <c r="AK210" s="62">
        <v>1</v>
      </c>
      <c r="AL210" s="62">
        <f t="shared" si="3"/>
        <v>1</v>
      </c>
      <c r="AM210" s="62">
        <v>1</v>
      </c>
    </row>
    <row r="211" spans="1:39" x14ac:dyDescent="0.25">
      <c r="A211" s="35" t="s">
        <v>17197</v>
      </c>
      <c r="B211" s="35" t="s">
        <v>17202</v>
      </c>
      <c r="C211" s="35" t="s">
        <v>9085</v>
      </c>
      <c r="D211" s="35" t="s">
        <v>16845</v>
      </c>
      <c r="E211" s="35" t="s">
        <v>233</v>
      </c>
      <c r="F211" s="62">
        <v>1</v>
      </c>
      <c r="G211" s="30" t="s">
        <v>194</v>
      </c>
      <c r="H211" s="30" t="s">
        <v>193</v>
      </c>
      <c r="I211" s="30" t="s">
        <v>16052</v>
      </c>
      <c r="J211" s="35" t="s">
        <v>9302</v>
      </c>
      <c r="K211" s="35">
        <v>18</v>
      </c>
      <c r="L211" s="35" t="s">
        <v>6955</v>
      </c>
      <c r="M211" s="35"/>
      <c r="N211" s="35" t="s">
        <v>17203</v>
      </c>
      <c r="O211" s="35" t="s">
        <v>6256</v>
      </c>
      <c r="P211" s="35" t="s">
        <v>17160</v>
      </c>
      <c r="Q211" s="35" t="s">
        <v>16113</v>
      </c>
      <c r="R211" s="35" t="s">
        <v>16842</v>
      </c>
      <c r="S211" s="35">
        <v>2392447</v>
      </c>
      <c r="T211" s="35">
        <v>34210407</v>
      </c>
      <c r="U211" s="35"/>
      <c r="V211" s="30"/>
      <c r="W211" s="505" t="s">
        <v>799</v>
      </c>
      <c r="X211" s="35" t="s">
        <v>194</v>
      </c>
      <c r="Y211" s="30">
        <v>0</v>
      </c>
      <c r="Z211" s="35"/>
      <c r="AA211" s="35"/>
      <c r="AB211" s="35"/>
      <c r="AC211" s="35"/>
      <c r="AD211" s="35"/>
      <c r="AE211" s="35"/>
      <c r="AF211" s="35"/>
      <c r="AG211" s="35"/>
      <c r="AH211" s="30" t="s">
        <v>4714</v>
      </c>
      <c r="AI211" s="35" t="s">
        <v>17202</v>
      </c>
      <c r="AJ211" s="62" t="str">
        <f>MID('I kw.22'!W211,8,6)</f>
        <v>722204</v>
      </c>
      <c r="AK211" s="62">
        <v>1</v>
      </c>
      <c r="AL211" s="62">
        <f t="shared" si="3"/>
        <v>1</v>
      </c>
      <c r="AM211" s="62">
        <v>1</v>
      </c>
    </row>
    <row r="212" spans="1:39" x14ac:dyDescent="0.25">
      <c r="A212" s="35" t="s">
        <v>17197</v>
      </c>
      <c r="B212" s="35" t="s">
        <v>17200</v>
      </c>
      <c r="C212" s="35" t="s">
        <v>9085</v>
      </c>
      <c r="D212" s="35" t="s">
        <v>16845</v>
      </c>
      <c r="E212" s="35" t="s">
        <v>233</v>
      </c>
      <c r="F212" s="62">
        <v>1</v>
      </c>
      <c r="G212" s="30" t="s">
        <v>194</v>
      </c>
      <c r="H212" s="30" t="s">
        <v>193</v>
      </c>
      <c r="I212" s="30" t="s">
        <v>16052</v>
      </c>
      <c r="J212" s="35" t="s">
        <v>9302</v>
      </c>
      <c r="K212" s="35">
        <v>18</v>
      </c>
      <c r="L212" s="35" t="s">
        <v>6955</v>
      </c>
      <c r="M212" s="35"/>
      <c r="N212" s="35" t="s">
        <v>17201</v>
      </c>
      <c r="O212" s="35" t="s">
        <v>6275</v>
      </c>
      <c r="P212" s="35" t="s">
        <v>17160</v>
      </c>
      <c r="Q212" s="35" t="s">
        <v>16113</v>
      </c>
      <c r="R212" s="35" t="s">
        <v>16842</v>
      </c>
      <c r="S212" s="35">
        <v>2392463</v>
      </c>
      <c r="T212" s="35">
        <v>34210423</v>
      </c>
      <c r="U212" s="35"/>
      <c r="V212" s="30"/>
      <c r="W212" s="378" t="s">
        <v>799</v>
      </c>
      <c r="X212" s="35" t="s">
        <v>194</v>
      </c>
      <c r="Y212" s="30">
        <v>0</v>
      </c>
      <c r="Z212" s="35"/>
      <c r="AA212" s="35"/>
      <c r="AB212" s="35"/>
      <c r="AC212" s="35"/>
      <c r="AD212" s="35"/>
      <c r="AE212" s="35"/>
      <c r="AF212" s="35"/>
      <c r="AG212" s="35"/>
      <c r="AH212" s="30" t="s">
        <v>4714</v>
      </c>
      <c r="AI212" s="35" t="s">
        <v>17200</v>
      </c>
      <c r="AJ212" s="77" t="str">
        <f>MID('I kw.22'!W212,8,6)</f>
        <v>722204</v>
      </c>
      <c r="AK212" s="62">
        <v>1</v>
      </c>
      <c r="AL212" s="62">
        <f t="shared" si="3"/>
        <v>1</v>
      </c>
      <c r="AM212" s="62">
        <v>1</v>
      </c>
    </row>
    <row r="213" spans="1:39" x14ac:dyDescent="0.25">
      <c r="A213" s="35" t="s">
        <v>17197</v>
      </c>
      <c r="B213" s="35" t="s">
        <v>17198</v>
      </c>
      <c r="C213" s="35" t="s">
        <v>83</v>
      </c>
      <c r="D213" s="35" t="s">
        <v>16845</v>
      </c>
      <c r="E213" s="35" t="s">
        <v>233</v>
      </c>
      <c r="F213" s="62">
        <v>1</v>
      </c>
      <c r="G213" s="30" t="s">
        <v>194</v>
      </c>
      <c r="H213" s="30" t="s">
        <v>193</v>
      </c>
      <c r="I213" s="30" t="s">
        <v>16073</v>
      </c>
      <c r="J213" s="35" t="s">
        <v>9302</v>
      </c>
      <c r="K213" s="35">
        <v>18</v>
      </c>
      <c r="L213" s="35" t="s">
        <v>6955</v>
      </c>
      <c r="M213" s="35"/>
      <c r="N213" s="35" t="s">
        <v>17199</v>
      </c>
      <c r="O213" s="35" t="s">
        <v>6256</v>
      </c>
      <c r="P213" s="35" t="s">
        <v>17160</v>
      </c>
      <c r="Q213" s="35" t="s">
        <v>16113</v>
      </c>
      <c r="R213" s="35" t="s">
        <v>16842</v>
      </c>
      <c r="S213" s="35">
        <v>2392479</v>
      </c>
      <c r="T213" s="35">
        <v>34210439</v>
      </c>
      <c r="U213" s="35"/>
      <c r="V213" s="30"/>
      <c r="W213" s="505" t="s">
        <v>791</v>
      </c>
      <c r="X213" s="35" t="s">
        <v>194</v>
      </c>
      <c r="Y213" s="30">
        <v>0</v>
      </c>
      <c r="Z213" s="35"/>
      <c r="AA213" s="35"/>
      <c r="AB213" s="35"/>
      <c r="AC213" s="35"/>
      <c r="AD213" s="35"/>
      <c r="AE213" s="35"/>
      <c r="AF213" s="35"/>
      <c r="AG213" s="35"/>
      <c r="AH213" s="30" t="s">
        <v>4714</v>
      </c>
      <c r="AI213" s="35" t="s">
        <v>17198</v>
      </c>
      <c r="AJ213" s="62" t="str">
        <f>MID('I kw.22'!W213,8,6)</f>
        <v>721204</v>
      </c>
      <c r="AK213" s="62">
        <v>1</v>
      </c>
      <c r="AL213" s="62">
        <f t="shared" si="3"/>
        <v>1</v>
      </c>
      <c r="AM213" s="62">
        <v>1</v>
      </c>
    </row>
    <row r="214" spans="1:39" x14ac:dyDescent="0.25">
      <c r="A214" s="35" t="s">
        <v>17197</v>
      </c>
      <c r="B214" s="35" t="s">
        <v>17195</v>
      </c>
      <c r="C214" s="35" t="s">
        <v>83</v>
      </c>
      <c r="D214" s="35" t="s">
        <v>16845</v>
      </c>
      <c r="E214" s="35" t="s">
        <v>233</v>
      </c>
      <c r="F214" s="62">
        <v>1</v>
      </c>
      <c r="G214" s="30" t="s">
        <v>194</v>
      </c>
      <c r="H214" s="30" t="s">
        <v>193</v>
      </c>
      <c r="I214" s="30" t="s">
        <v>16073</v>
      </c>
      <c r="J214" s="35" t="s">
        <v>9302</v>
      </c>
      <c r="K214" s="35">
        <v>18</v>
      </c>
      <c r="L214" s="35" t="s">
        <v>6955</v>
      </c>
      <c r="M214" s="35"/>
      <c r="N214" s="35" t="s">
        <v>17196</v>
      </c>
      <c r="O214" s="35" t="s">
        <v>6256</v>
      </c>
      <c r="P214" s="35" t="s">
        <v>17160</v>
      </c>
      <c r="Q214" s="35" t="s">
        <v>16113</v>
      </c>
      <c r="R214" s="35" t="s">
        <v>16842</v>
      </c>
      <c r="S214" s="35">
        <v>2392495</v>
      </c>
      <c r="T214" s="35">
        <v>34210455</v>
      </c>
      <c r="U214" s="35"/>
      <c r="V214" s="30"/>
      <c r="W214" s="505" t="s">
        <v>791</v>
      </c>
      <c r="X214" s="35" t="s">
        <v>194</v>
      </c>
      <c r="Y214" s="30">
        <v>0</v>
      </c>
      <c r="Z214" s="35"/>
      <c r="AA214" s="35"/>
      <c r="AB214" s="35"/>
      <c r="AC214" s="35"/>
      <c r="AD214" s="35"/>
      <c r="AE214" s="35"/>
      <c r="AF214" s="35"/>
      <c r="AG214" s="35"/>
      <c r="AH214" s="30" t="s">
        <v>4714</v>
      </c>
      <c r="AI214" s="35" t="s">
        <v>17195</v>
      </c>
      <c r="AJ214" s="62" t="str">
        <f>MID('I kw.22'!W214,8,6)</f>
        <v>721204</v>
      </c>
      <c r="AK214" s="62">
        <v>1</v>
      </c>
      <c r="AL214" s="62">
        <f t="shared" si="3"/>
        <v>1</v>
      </c>
      <c r="AM214" s="62">
        <v>1</v>
      </c>
    </row>
    <row r="215" spans="1:39" x14ac:dyDescent="0.25">
      <c r="A215" s="35" t="s">
        <v>8473</v>
      </c>
      <c r="B215" s="35" t="s">
        <v>17193</v>
      </c>
      <c r="C215" s="35" t="s">
        <v>706</v>
      </c>
      <c r="D215" s="35" t="s">
        <v>16845</v>
      </c>
      <c r="E215" s="35" t="s">
        <v>233</v>
      </c>
      <c r="F215" s="62">
        <v>1</v>
      </c>
      <c r="G215" s="30" t="s">
        <v>193</v>
      </c>
      <c r="H215" s="30" t="s">
        <v>194</v>
      </c>
      <c r="I215" s="30" t="s">
        <v>16048</v>
      </c>
      <c r="J215" s="35" t="s">
        <v>210</v>
      </c>
      <c r="K215" s="35">
        <v>18</v>
      </c>
      <c r="L215" s="35" t="s">
        <v>6955</v>
      </c>
      <c r="M215" s="35"/>
      <c r="N215" s="35" t="s">
        <v>17194</v>
      </c>
      <c r="O215" s="35" t="s">
        <v>6249</v>
      </c>
      <c r="P215" s="35" t="s">
        <v>17160</v>
      </c>
      <c r="Q215" s="35" t="s">
        <v>17159</v>
      </c>
      <c r="R215" s="35" t="s">
        <v>16253</v>
      </c>
      <c r="S215" s="35">
        <v>2392567</v>
      </c>
      <c r="T215" s="35">
        <v>34249153</v>
      </c>
      <c r="U215" s="35"/>
      <c r="V215" s="30">
        <v>1863</v>
      </c>
      <c r="W215" s="35" t="s">
        <v>707</v>
      </c>
      <c r="X215" s="35" t="s">
        <v>194</v>
      </c>
      <c r="Y215" s="30">
        <v>1</v>
      </c>
      <c r="Z215" s="35"/>
      <c r="AA215" s="35"/>
      <c r="AB215" s="35"/>
      <c r="AC215" s="35"/>
      <c r="AD215" s="35"/>
      <c r="AE215" s="35"/>
      <c r="AF215" s="35"/>
      <c r="AG215" s="35"/>
      <c r="AH215" s="30" t="s">
        <v>4714</v>
      </c>
      <c r="AI215" s="35" t="s">
        <v>17193</v>
      </c>
      <c r="AJ215" s="62" t="str">
        <f>MID('I kw.22'!W215,8,6)</f>
        <v>422201</v>
      </c>
      <c r="AK215" s="62">
        <v>1</v>
      </c>
      <c r="AL215" s="62">
        <f t="shared" si="3"/>
        <v>1</v>
      </c>
      <c r="AM215" s="62">
        <v>1</v>
      </c>
    </row>
    <row r="216" spans="1:39" x14ac:dyDescent="0.25">
      <c r="A216" s="35" t="s">
        <v>8633</v>
      </c>
      <c r="B216" s="35" t="s">
        <v>12475</v>
      </c>
      <c r="C216" s="35" t="s">
        <v>12475</v>
      </c>
      <c r="D216" s="35" t="s">
        <v>16845</v>
      </c>
      <c r="E216" s="35" t="s">
        <v>233</v>
      </c>
      <c r="F216" s="62">
        <v>1</v>
      </c>
      <c r="G216" s="30" t="s">
        <v>194</v>
      </c>
      <c r="H216" s="30" t="s">
        <v>193</v>
      </c>
      <c r="I216" s="30" t="s">
        <v>16052</v>
      </c>
      <c r="J216" s="35" t="s">
        <v>9302</v>
      </c>
      <c r="K216" s="35">
        <v>18</v>
      </c>
      <c r="L216" s="35" t="s">
        <v>6955</v>
      </c>
      <c r="M216" s="35"/>
      <c r="N216" s="35" t="s">
        <v>17192</v>
      </c>
      <c r="O216" s="35" t="s">
        <v>6256</v>
      </c>
      <c r="P216" s="35" t="s">
        <v>17160</v>
      </c>
      <c r="Q216" s="35" t="s">
        <v>17159</v>
      </c>
      <c r="R216" s="35" t="s">
        <v>16253</v>
      </c>
      <c r="S216" s="35">
        <v>2392608</v>
      </c>
      <c r="T216" s="35">
        <v>34249197</v>
      </c>
      <c r="U216" s="35"/>
      <c r="V216" s="30"/>
      <c r="W216" s="505" t="s">
        <v>1808</v>
      </c>
      <c r="X216" s="35" t="s">
        <v>194</v>
      </c>
      <c r="Y216" s="30">
        <v>0</v>
      </c>
      <c r="Z216" s="35"/>
      <c r="AA216" s="35"/>
      <c r="AB216" s="35"/>
      <c r="AC216" s="35"/>
      <c r="AD216" s="35"/>
      <c r="AE216" s="35"/>
      <c r="AF216" s="35"/>
      <c r="AG216" s="35"/>
      <c r="AH216" s="30" t="s">
        <v>4714</v>
      </c>
      <c r="AI216" s="35" t="s">
        <v>12475</v>
      </c>
      <c r="AJ216" s="62" t="str">
        <f>MID('I kw.22'!W216,8,6)</f>
        <v>711502</v>
      </c>
      <c r="AK216" s="62">
        <v>1</v>
      </c>
      <c r="AL216" s="62">
        <f t="shared" si="3"/>
        <v>1</v>
      </c>
      <c r="AM216" s="62">
        <v>1</v>
      </c>
    </row>
    <row r="217" spans="1:39" x14ac:dyDescent="0.25">
      <c r="A217" s="35" t="s">
        <v>17191</v>
      </c>
      <c r="B217" s="35" t="s">
        <v>17189</v>
      </c>
      <c r="C217" s="35" t="s">
        <v>863</v>
      </c>
      <c r="D217" s="35" t="s">
        <v>16845</v>
      </c>
      <c r="E217" s="35" t="s">
        <v>233</v>
      </c>
      <c r="F217" s="62">
        <v>1</v>
      </c>
      <c r="G217" s="30" t="s">
        <v>194</v>
      </c>
      <c r="H217" s="30" t="s">
        <v>193</v>
      </c>
      <c r="I217" s="30" t="s">
        <v>16121</v>
      </c>
      <c r="J217" s="35" t="s">
        <v>9302</v>
      </c>
      <c r="K217" s="35">
        <v>18</v>
      </c>
      <c r="L217" s="35" t="s">
        <v>6955</v>
      </c>
      <c r="M217" s="35"/>
      <c r="N217" s="35" t="s">
        <v>17190</v>
      </c>
      <c r="O217" s="35" t="s">
        <v>6245</v>
      </c>
      <c r="P217" s="35" t="s">
        <v>17160</v>
      </c>
      <c r="Q217" s="35" t="s">
        <v>17159</v>
      </c>
      <c r="R217" s="35" t="s">
        <v>16253</v>
      </c>
      <c r="S217" s="35">
        <v>2392636</v>
      </c>
      <c r="T217" s="35">
        <v>34249226</v>
      </c>
      <c r="U217" s="35"/>
      <c r="V217" s="30"/>
      <c r="W217" s="505" t="s">
        <v>864</v>
      </c>
      <c r="X217" s="35" t="s">
        <v>194</v>
      </c>
      <c r="Y217" s="30">
        <v>0</v>
      </c>
      <c r="Z217" s="35"/>
      <c r="AA217" s="35"/>
      <c r="AB217" s="35"/>
      <c r="AC217" s="35"/>
      <c r="AD217" s="35"/>
      <c r="AE217" s="35"/>
      <c r="AF217" s="35"/>
      <c r="AG217" s="35"/>
      <c r="AH217" s="30" t="s">
        <v>4714</v>
      </c>
      <c r="AI217" s="35" t="s">
        <v>17189</v>
      </c>
      <c r="AJ217" s="62" t="str">
        <f>MID('I kw.22'!W217,8,6)</f>
        <v>814208</v>
      </c>
      <c r="AK217" s="62">
        <v>1</v>
      </c>
      <c r="AL217" s="62">
        <f t="shared" si="3"/>
        <v>1</v>
      </c>
      <c r="AM217" s="62">
        <v>1</v>
      </c>
    </row>
    <row r="218" spans="1:39" x14ac:dyDescent="0.25">
      <c r="A218" s="35" t="s">
        <v>5828</v>
      </c>
      <c r="B218" s="35" t="s">
        <v>17187</v>
      </c>
      <c r="C218" s="35" t="s">
        <v>3688</v>
      </c>
      <c r="D218" s="35" t="s">
        <v>16845</v>
      </c>
      <c r="E218" s="35" t="s">
        <v>233</v>
      </c>
      <c r="F218" s="62">
        <v>1</v>
      </c>
      <c r="G218" s="30" t="s">
        <v>193</v>
      </c>
      <c r="H218" s="30" t="s">
        <v>194</v>
      </c>
      <c r="I218" s="30" t="s">
        <v>16066</v>
      </c>
      <c r="J218" s="35" t="s">
        <v>9302</v>
      </c>
      <c r="K218" s="35">
        <v>18</v>
      </c>
      <c r="L218" s="35" t="s">
        <v>6955</v>
      </c>
      <c r="M218" s="35"/>
      <c r="N218" s="35" t="s">
        <v>17188</v>
      </c>
      <c r="O218" s="35" t="s">
        <v>6256</v>
      </c>
      <c r="P218" s="35" t="s">
        <v>17160</v>
      </c>
      <c r="Q218" s="35" t="s">
        <v>17159</v>
      </c>
      <c r="R218" s="35" t="s">
        <v>16253</v>
      </c>
      <c r="S218" s="35">
        <v>2392665</v>
      </c>
      <c r="T218" s="35">
        <v>34249264</v>
      </c>
      <c r="U218" s="35"/>
      <c r="V218" s="30"/>
      <c r="W218" s="505" t="s">
        <v>3689</v>
      </c>
      <c r="X218" s="35" t="s">
        <v>193</v>
      </c>
      <c r="Y218" s="30">
        <v>25</v>
      </c>
      <c r="Z218" s="35"/>
      <c r="AA218" s="35"/>
      <c r="AB218" s="35"/>
      <c r="AC218" s="35"/>
      <c r="AD218" s="35"/>
      <c r="AE218" s="35"/>
      <c r="AF218" s="35"/>
      <c r="AG218" s="35"/>
      <c r="AH218" s="30" t="s">
        <v>4714</v>
      </c>
      <c r="AI218" s="35" t="s">
        <v>17187</v>
      </c>
      <c r="AJ218" s="62" t="str">
        <f>MID('I kw.22'!W218,8,6)</f>
        <v>112007</v>
      </c>
      <c r="AK218" s="62">
        <v>1</v>
      </c>
      <c r="AL218" s="62">
        <f t="shared" si="3"/>
        <v>1</v>
      </c>
      <c r="AM218" s="62">
        <v>1</v>
      </c>
    </row>
    <row r="219" spans="1:39" x14ac:dyDescent="0.25">
      <c r="A219" s="35" t="s">
        <v>14465</v>
      </c>
      <c r="B219" s="35" t="s">
        <v>17185</v>
      </c>
      <c r="C219" s="35" t="s">
        <v>16281</v>
      </c>
      <c r="D219" s="35" t="s">
        <v>16845</v>
      </c>
      <c r="E219" s="35" t="s">
        <v>233</v>
      </c>
      <c r="F219" s="62">
        <v>1</v>
      </c>
      <c r="G219" s="30" t="s">
        <v>193</v>
      </c>
      <c r="H219" s="30" t="s">
        <v>194</v>
      </c>
      <c r="I219" s="30" t="s">
        <v>16078</v>
      </c>
      <c r="J219" s="35" t="s">
        <v>9302</v>
      </c>
      <c r="K219" s="35">
        <v>18</v>
      </c>
      <c r="L219" s="35" t="s">
        <v>6955</v>
      </c>
      <c r="M219" s="35"/>
      <c r="N219" s="35" t="s">
        <v>17186</v>
      </c>
      <c r="O219" s="35" t="s">
        <v>6921</v>
      </c>
      <c r="P219" s="35" t="s">
        <v>17160</v>
      </c>
      <c r="Q219" s="35" t="s">
        <v>17159</v>
      </c>
      <c r="R219" s="35" t="s">
        <v>16253</v>
      </c>
      <c r="S219" s="35">
        <v>2392772</v>
      </c>
      <c r="T219" s="35">
        <v>34249387</v>
      </c>
      <c r="U219" s="35"/>
      <c r="V219" s="30"/>
      <c r="W219" s="505" t="s">
        <v>9002</v>
      </c>
      <c r="X219" s="35" t="s">
        <v>193</v>
      </c>
      <c r="Y219" s="30">
        <v>25</v>
      </c>
      <c r="Z219" s="35"/>
      <c r="AA219" s="35"/>
      <c r="AB219" s="35"/>
      <c r="AC219" s="35"/>
      <c r="AD219" s="35"/>
      <c r="AE219" s="35"/>
      <c r="AF219" s="35"/>
      <c r="AG219" s="35"/>
      <c r="AH219" s="30" t="s">
        <v>4714</v>
      </c>
      <c r="AI219" s="35" t="s">
        <v>17185</v>
      </c>
      <c r="AJ219" s="62" t="str">
        <f>MID('I kw.22'!W219,8,6)</f>
        <v>252902</v>
      </c>
      <c r="AK219" s="62">
        <v>1</v>
      </c>
      <c r="AL219" s="62">
        <f t="shared" si="3"/>
        <v>1</v>
      </c>
      <c r="AM219" s="62">
        <v>1</v>
      </c>
    </row>
    <row r="220" spans="1:39" x14ac:dyDescent="0.25">
      <c r="A220" s="35" t="s">
        <v>17184</v>
      </c>
      <c r="B220" s="35" t="s">
        <v>17</v>
      </c>
      <c r="C220" s="35" t="s">
        <v>17</v>
      </c>
      <c r="D220" s="35" t="s">
        <v>16845</v>
      </c>
      <c r="E220" s="35" t="s">
        <v>233</v>
      </c>
      <c r="F220" s="62">
        <v>1</v>
      </c>
      <c r="G220" s="30" t="s">
        <v>193</v>
      </c>
      <c r="H220" s="30" t="s">
        <v>194</v>
      </c>
      <c r="I220" s="30" t="s">
        <v>16052</v>
      </c>
      <c r="J220" s="35" t="s">
        <v>9302</v>
      </c>
      <c r="K220" s="35">
        <v>18</v>
      </c>
      <c r="L220" s="35" t="s">
        <v>6955</v>
      </c>
      <c r="M220" s="35"/>
      <c r="N220" s="35" t="s">
        <v>17183</v>
      </c>
      <c r="O220" s="35" t="s">
        <v>6249</v>
      </c>
      <c r="P220" s="35" t="s">
        <v>17160</v>
      </c>
      <c r="Q220" s="35" t="s">
        <v>17159</v>
      </c>
      <c r="R220" s="35" t="s">
        <v>16253</v>
      </c>
      <c r="S220" s="35">
        <v>2392826</v>
      </c>
      <c r="T220" s="35">
        <v>34249443</v>
      </c>
      <c r="U220" s="35"/>
      <c r="V220" s="30"/>
      <c r="W220" s="505" t="s">
        <v>624</v>
      </c>
      <c r="X220" s="35" t="s">
        <v>193</v>
      </c>
      <c r="Y220" s="30">
        <v>25</v>
      </c>
      <c r="Z220" s="35"/>
      <c r="AA220" s="35"/>
      <c r="AB220" s="35"/>
      <c r="AC220" s="35"/>
      <c r="AD220" s="35"/>
      <c r="AE220" s="35"/>
      <c r="AF220" s="35"/>
      <c r="AG220" s="35"/>
      <c r="AH220" s="30" t="s">
        <v>4714</v>
      </c>
      <c r="AI220" s="35" t="s">
        <v>17</v>
      </c>
      <c r="AJ220" s="62" t="str">
        <f>MID('I kw.22'!W220,8,6)</f>
        <v>332203</v>
      </c>
      <c r="AK220" s="62">
        <v>1</v>
      </c>
      <c r="AL220" s="62">
        <f t="shared" si="3"/>
        <v>1</v>
      </c>
      <c r="AM220" s="62">
        <v>1</v>
      </c>
    </row>
    <row r="221" spans="1:39" x14ac:dyDescent="0.25">
      <c r="A221" s="35" t="s">
        <v>17182</v>
      </c>
      <c r="B221" s="35" t="s">
        <v>17180</v>
      </c>
      <c r="C221" s="35" t="s">
        <v>19</v>
      </c>
      <c r="D221" s="35" t="s">
        <v>16845</v>
      </c>
      <c r="E221" s="35" t="s">
        <v>233</v>
      </c>
      <c r="F221" s="62">
        <v>1</v>
      </c>
      <c r="G221" s="30" t="s">
        <v>194</v>
      </c>
      <c r="H221" s="30" t="s">
        <v>193</v>
      </c>
      <c r="I221" s="30" t="s">
        <v>16078</v>
      </c>
      <c r="J221" s="35" t="s">
        <v>9302</v>
      </c>
      <c r="K221" s="35">
        <v>18</v>
      </c>
      <c r="L221" s="35" t="s">
        <v>6955</v>
      </c>
      <c r="M221" s="35"/>
      <c r="N221" s="35" t="s">
        <v>17181</v>
      </c>
      <c r="O221" s="35" t="s">
        <v>6245</v>
      </c>
      <c r="P221" s="35" t="s">
        <v>17160</v>
      </c>
      <c r="Q221" s="35" t="s">
        <v>17159</v>
      </c>
      <c r="R221" s="35" t="s">
        <v>16253</v>
      </c>
      <c r="S221" s="35">
        <v>2392833</v>
      </c>
      <c r="T221" s="35">
        <v>34249450</v>
      </c>
      <c r="U221" s="35"/>
      <c r="V221" s="30"/>
      <c r="W221" s="505" t="s">
        <v>337</v>
      </c>
      <c r="X221" s="35" t="s">
        <v>193</v>
      </c>
      <c r="Y221" s="30">
        <v>25</v>
      </c>
      <c r="Z221" s="35"/>
      <c r="AA221" s="35"/>
      <c r="AB221" s="35"/>
      <c r="AC221" s="35"/>
      <c r="AD221" s="35"/>
      <c r="AE221" s="35"/>
      <c r="AF221" s="35"/>
      <c r="AG221" s="35"/>
      <c r="AH221" s="30" t="s">
        <v>4714</v>
      </c>
      <c r="AI221" s="35" t="s">
        <v>17180</v>
      </c>
      <c r="AJ221" s="62" t="str">
        <f>MID('I kw.22'!W221,8,6)</f>
        <v>214903</v>
      </c>
      <c r="AK221" s="62">
        <v>1</v>
      </c>
      <c r="AL221" s="62">
        <f t="shared" si="3"/>
        <v>1</v>
      </c>
      <c r="AM221" s="62">
        <v>1</v>
      </c>
    </row>
    <row r="222" spans="1:39" x14ac:dyDescent="0.25">
      <c r="A222" s="35" t="s">
        <v>961</v>
      </c>
      <c r="B222" s="35" t="s">
        <v>6217</v>
      </c>
      <c r="C222" s="35" t="s">
        <v>740</v>
      </c>
      <c r="D222" s="35" t="s">
        <v>16845</v>
      </c>
      <c r="E222" s="35" t="s">
        <v>233</v>
      </c>
      <c r="F222" s="62">
        <v>1</v>
      </c>
      <c r="G222" s="30" t="s">
        <v>193</v>
      </c>
      <c r="H222" s="30" t="s">
        <v>194</v>
      </c>
      <c r="I222" s="30" t="s">
        <v>16083</v>
      </c>
      <c r="J222" s="35" t="s">
        <v>210</v>
      </c>
      <c r="K222" s="35">
        <v>18</v>
      </c>
      <c r="L222" s="35" t="s">
        <v>6955</v>
      </c>
      <c r="M222" s="35"/>
      <c r="N222" s="35" t="s">
        <v>17179</v>
      </c>
      <c r="O222" s="35" t="s">
        <v>6275</v>
      </c>
      <c r="P222" s="35" t="s">
        <v>17160</v>
      </c>
      <c r="Q222" s="35" t="s">
        <v>17159</v>
      </c>
      <c r="R222" s="35" t="s">
        <v>16253</v>
      </c>
      <c r="S222" s="35">
        <v>2392856</v>
      </c>
      <c r="T222" s="35">
        <v>34249476</v>
      </c>
      <c r="U222" s="35"/>
      <c r="V222" s="30">
        <v>1863</v>
      </c>
      <c r="W222" s="35" t="s">
        <v>741</v>
      </c>
      <c r="X222" s="35" t="s">
        <v>194</v>
      </c>
      <c r="Y222" s="30">
        <v>1</v>
      </c>
      <c r="Z222" s="35"/>
      <c r="AA222" s="35"/>
      <c r="AB222" s="35"/>
      <c r="AC222" s="35"/>
      <c r="AD222" s="35"/>
      <c r="AE222" s="35"/>
      <c r="AF222" s="35"/>
      <c r="AG222" s="35"/>
      <c r="AH222" s="30" t="s">
        <v>4714</v>
      </c>
      <c r="AI222" s="35" t="s">
        <v>6217</v>
      </c>
      <c r="AJ222" s="62" t="str">
        <f>MID('I kw.22'!W222,8,6)</f>
        <v>522301</v>
      </c>
      <c r="AK222" s="62">
        <v>1</v>
      </c>
      <c r="AL222" s="62">
        <f t="shared" si="3"/>
        <v>1</v>
      </c>
      <c r="AM222" s="62">
        <v>1</v>
      </c>
    </row>
    <row r="223" spans="1:39" x14ac:dyDescent="0.25">
      <c r="A223" s="35" t="s">
        <v>961</v>
      </c>
      <c r="B223" s="35" t="s">
        <v>1998</v>
      </c>
      <c r="C223" s="35" t="s">
        <v>51</v>
      </c>
      <c r="D223" s="35" t="s">
        <v>16845</v>
      </c>
      <c r="E223" s="35" t="s">
        <v>233</v>
      </c>
      <c r="F223" s="62">
        <v>1</v>
      </c>
      <c r="G223" s="30" t="s">
        <v>193</v>
      </c>
      <c r="H223" s="30" t="s">
        <v>194</v>
      </c>
      <c r="I223" s="30" t="s">
        <v>16061</v>
      </c>
      <c r="J223" s="35" t="s">
        <v>210</v>
      </c>
      <c r="K223" s="35">
        <v>18</v>
      </c>
      <c r="L223" s="35" t="s">
        <v>6955</v>
      </c>
      <c r="M223" s="35"/>
      <c r="N223" s="35" t="s">
        <v>17178</v>
      </c>
      <c r="O223" s="35" t="s">
        <v>6249</v>
      </c>
      <c r="P223" s="35" t="s">
        <v>17160</v>
      </c>
      <c r="Q223" s="35" t="s">
        <v>17159</v>
      </c>
      <c r="R223" s="35" t="s">
        <v>16253</v>
      </c>
      <c r="S223" s="35">
        <v>2392859</v>
      </c>
      <c r="T223" s="35">
        <v>34249479</v>
      </c>
      <c r="U223" s="35"/>
      <c r="V223" s="30">
        <v>1863</v>
      </c>
      <c r="W223" s="35" t="s">
        <v>904</v>
      </c>
      <c r="X223" s="35" t="s">
        <v>194</v>
      </c>
      <c r="Y223" s="30">
        <v>1</v>
      </c>
      <c r="Z223" s="35"/>
      <c r="AA223" s="35"/>
      <c r="AB223" s="35"/>
      <c r="AC223" s="35"/>
      <c r="AD223" s="35"/>
      <c r="AE223" s="35"/>
      <c r="AF223" s="35"/>
      <c r="AG223" s="35"/>
      <c r="AH223" s="30" t="s">
        <v>4714</v>
      </c>
      <c r="AI223" s="35" t="s">
        <v>1998</v>
      </c>
      <c r="AJ223" s="62" t="str">
        <f>MID('I kw.22'!W223,8,6)</f>
        <v>523002</v>
      </c>
      <c r="AK223" s="62">
        <v>1</v>
      </c>
      <c r="AL223" s="62">
        <f t="shared" si="3"/>
        <v>1</v>
      </c>
      <c r="AM223" s="62">
        <v>1</v>
      </c>
    </row>
    <row r="224" spans="1:39" x14ac:dyDescent="0.25">
      <c r="A224" s="35" t="s">
        <v>17177</v>
      </c>
      <c r="B224" s="35" t="s">
        <v>3077</v>
      </c>
      <c r="C224" s="35" t="s">
        <v>36</v>
      </c>
      <c r="D224" s="35" t="s">
        <v>16845</v>
      </c>
      <c r="E224" s="35" t="s">
        <v>233</v>
      </c>
      <c r="F224" s="62">
        <v>1</v>
      </c>
      <c r="G224" s="30" t="s">
        <v>193</v>
      </c>
      <c r="H224" s="30" t="s">
        <v>194</v>
      </c>
      <c r="I224" s="30" t="s">
        <v>16121</v>
      </c>
      <c r="J224" s="35" t="s">
        <v>9302</v>
      </c>
      <c r="K224" s="35">
        <v>18</v>
      </c>
      <c r="L224" s="35" t="s">
        <v>6955</v>
      </c>
      <c r="M224" s="35"/>
      <c r="N224" s="35" t="s">
        <v>17176</v>
      </c>
      <c r="O224" s="35" t="s">
        <v>6254</v>
      </c>
      <c r="P224" s="35" t="s">
        <v>17160</v>
      </c>
      <c r="Q224" s="35" t="s">
        <v>17159</v>
      </c>
      <c r="R224" s="35" t="s">
        <v>16253</v>
      </c>
      <c r="S224" s="35">
        <v>2392895</v>
      </c>
      <c r="T224" s="35">
        <v>34249534</v>
      </c>
      <c r="U224" s="35"/>
      <c r="V224" s="30"/>
      <c r="W224" s="505" t="s">
        <v>609</v>
      </c>
      <c r="X224" s="35" t="s">
        <v>193</v>
      </c>
      <c r="Y224" s="30">
        <v>25</v>
      </c>
      <c r="Z224" s="35"/>
      <c r="AA224" s="35"/>
      <c r="AB224" s="35"/>
      <c r="AC224" s="35"/>
      <c r="AD224" s="35"/>
      <c r="AE224" s="35"/>
      <c r="AF224" s="35"/>
      <c r="AG224" s="35"/>
      <c r="AH224" s="30" t="s">
        <v>4714</v>
      </c>
      <c r="AI224" s="35" t="s">
        <v>3077</v>
      </c>
      <c r="AJ224" s="62" t="str">
        <f>MID('I kw.22'!W224,8,6)</f>
        <v>331301</v>
      </c>
      <c r="AK224" s="62">
        <v>1</v>
      </c>
      <c r="AL224" s="62">
        <f t="shared" si="3"/>
        <v>1</v>
      </c>
      <c r="AM224" s="62">
        <v>1</v>
      </c>
    </row>
    <row r="225" spans="1:39" x14ac:dyDescent="0.25">
      <c r="A225" s="35" t="s">
        <v>17168</v>
      </c>
      <c r="B225" s="35" t="s">
        <v>17174</v>
      </c>
      <c r="C225" s="35" t="s">
        <v>4639</v>
      </c>
      <c r="D225" s="35" t="s">
        <v>16845</v>
      </c>
      <c r="E225" s="35" t="s">
        <v>233</v>
      </c>
      <c r="F225" s="62">
        <v>1</v>
      </c>
      <c r="G225" s="30" t="s">
        <v>193</v>
      </c>
      <c r="H225" s="30" t="s">
        <v>194</v>
      </c>
      <c r="I225" s="30" t="s">
        <v>16048</v>
      </c>
      <c r="J225" s="35" t="s">
        <v>9302</v>
      </c>
      <c r="K225" s="35">
        <v>18</v>
      </c>
      <c r="L225" s="35" t="s">
        <v>6955</v>
      </c>
      <c r="M225" s="35"/>
      <c r="N225" s="35" t="s">
        <v>17175</v>
      </c>
      <c r="O225" s="35" t="s">
        <v>6290</v>
      </c>
      <c r="P225" s="35" t="s">
        <v>17160</v>
      </c>
      <c r="Q225" s="35" t="s">
        <v>17159</v>
      </c>
      <c r="R225" s="35" t="s">
        <v>16253</v>
      </c>
      <c r="S225" s="35">
        <v>2392960</v>
      </c>
      <c r="T225" s="35">
        <v>34249599</v>
      </c>
      <c r="U225" s="35"/>
      <c r="V225" s="30"/>
      <c r="W225" s="505" t="s">
        <v>4640</v>
      </c>
      <c r="X225" s="35" t="s">
        <v>193</v>
      </c>
      <c r="Y225" s="30">
        <v>25</v>
      </c>
      <c r="Z225" s="35"/>
      <c r="AA225" s="35"/>
      <c r="AB225" s="35"/>
      <c r="AC225" s="35"/>
      <c r="AD225" s="35"/>
      <c r="AE225" s="35"/>
      <c r="AF225" s="35"/>
      <c r="AG225" s="35"/>
      <c r="AH225" s="30" t="s">
        <v>4714</v>
      </c>
      <c r="AI225" s="35" t="s">
        <v>17174</v>
      </c>
      <c r="AJ225" s="62" t="str">
        <f>MID('I kw.22'!W225,8,6)</f>
        <v>243203</v>
      </c>
      <c r="AK225" s="62">
        <v>1</v>
      </c>
      <c r="AL225" s="62">
        <f t="shared" si="3"/>
        <v>1</v>
      </c>
      <c r="AM225" s="62">
        <v>1</v>
      </c>
    </row>
    <row r="226" spans="1:39" x14ac:dyDescent="0.25">
      <c r="A226" s="35" t="s">
        <v>417</v>
      </c>
      <c r="B226" s="35" t="s">
        <v>2438</v>
      </c>
      <c r="C226" s="35" t="s">
        <v>4966</v>
      </c>
      <c r="D226" s="35" t="s">
        <v>16845</v>
      </c>
      <c r="E226" s="35" t="s">
        <v>233</v>
      </c>
      <c r="F226" s="62">
        <v>1</v>
      </c>
      <c r="G226" s="30" t="s">
        <v>193</v>
      </c>
      <c r="H226" s="30" t="s">
        <v>194</v>
      </c>
      <c r="I226" s="30" t="s">
        <v>16073</v>
      </c>
      <c r="J226" s="35" t="s">
        <v>316</v>
      </c>
      <c r="K226" s="35">
        <v>18</v>
      </c>
      <c r="L226" s="35" t="s">
        <v>6955</v>
      </c>
      <c r="M226" s="35"/>
      <c r="N226" s="35" t="s">
        <v>17173</v>
      </c>
      <c r="O226" s="35" t="s">
        <v>6254</v>
      </c>
      <c r="P226" s="35" t="s">
        <v>17160</v>
      </c>
      <c r="Q226" s="35" t="s">
        <v>17159</v>
      </c>
      <c r="R226" s="35" t="s">
        <v>17172</v>
      </c>
      <c r="S226" s="35">
        <v>2392975</v>
      </c>
      <c r="T226" s="35">
        <v>34249614</v>
      </c>
      <c r="U226" s="35"/>
      <c r="V226" s="30">
        <v>1818</v>
      </c>
      <c r="W226" s="35" t="s">
        <v>405</v>
      </c>
      <c r="X226" s="35" t="s">
        <v>194</v>
      </c>
      <c r="Y226" s="30">
        <v>1</v>
      </c>
      <c r="Z226" s="35"/>
      <c r="AA226" s="35"/>
      <c r="AB226" s="35"/>
      <c r="AC226" s="35"/>
      <c r="AD226" s="35"/>
      <c r="AE226" s="35"/>
      <c r="AF226" s="35"/>
      <c r="AG226" s="35"/>
      <c r="AH226" s="30" t="s">
        <v>4714</v>
      </c>
      <c r="AI226" s="35" t="s">
        <v>2438</v>
      </c>
      <c r="AJ226" s="62" t="str">
        <f>MID('I kw.22'!W226,8,6)</f>
        <v>241304</v>
      </c>
      <c r="AK226" s="62">
        <v>1</v>
      </c>
      <c r="AL226" s="62">
        <f t="shared" si="3"/>
        <v>1</v>
      </c>
      <c r="AM226" s="62">
        <v>1</v>
      </c>
    </row>
    <row r="227" spans="1:39" x14ac:dyDescent="0.25">
      <c r="A227" s="35" t="s">
        <v>13870</v>
      </c>
      <c r="B227" s="35" t="s">
        <v>8721</v>
      </c>
      <c r="C227" s="35" t="s">
        <v>1325</v>
      </c>
      <c r="D227" s="35" t="s">
        <v>16845</v>
      </c>
      <c r="E227" s="35" t="s">
        <v>233</v>
      </c>
      <c r="F227" s="62">
        <v>1</v>
      </c>
      <c r="G227" s="30" t="s">
        <v>193</v>
      </c>
      <c r="H227" s="30" t="s">
        <v>194</v>
      </c>
      <c r="I227" s="30" t="s">
        <v>16083</v>
      </c>
      <c r="J227" s="35" t="s">
        <v>9302</v>
      </c>
      <c r="K227" s="35">
        <v>18</v>
      </c>
      <c r="L227" s="35" t="s">
        <v>6955</v>
      </c>
      <c r="M227" s="35"/>
      <c r="N227" s="35" t="s">
        <v>17171</v>
      </c>
      <c r="O227" s="35" t="s">
        <v>6256</v>
      </c>
      <c r="P227" s="35" t="s">
        <v>17160</v>
      </c>
      <c r="Q227" s="35" t="s">
        <v>17159</v>
      </c>
      <c r="R227" s="35" t="s">
        <v>16253</v>
      </c>
      <c r="S227" s="35">
        <v>2392993</v>
      </c>
      <c r="T227" s="35">
        <v>34249632</v>
      </c>
      <c r="U227" s="35"/>
      <c r="V227" s="30"/>
      <c r="W227" s="505" t="s">
        <v>1327</v>
      </c>
      <c r="X227" s="35" t="s">
        <v>193</v>
      </c>
      <c r="Y227" s="30">
        <v>25</v>
      </c>
      <c r="Z227" s="35"/>
      <c r="AA227" s="35"/>
      <c r="AB227" s="35"/>
      <c r="AC227" s="35"/>
      <c r="AD227" s="35"/>
      <c r="AE227" s="35"/>
      <c r="AF227" s="35"/>
      <c r="AG227" s="35"/>
      <c r="AH227" s="30" t="s">
        <v>4714</v>
      </c>
      <c r="AI227" s="35" t="s">
        <v>8721</v>
      </c>
      <c r="AJ227" s="62" t="str">
        <f>MID('I kw.22'!W227,8,6)</f>
        <v>931301</v>
      </c>
      <c r="AK227" s="62">
        <v>1</v>
      </c>
      <c r="AL227" s="62">
        <f t="shared" si="3"/>
        <v>1</v>
      </c>
      <c r="AM227" s="62">
        <v>1</v>
      </c>
    </row>
    <row r="228" spans="1:39" x14ac:dyDescent="0.25">
      <c r="A228" s="35" t="s">
        <v>17168</v>
      </c>
      <c r="B228" s="35" t="s">
        <v>17169</v>
      </c>
      <c r="C228" s="35" t="s">
        <v>10</v>
      </c>
      <c r="D228" s="35" t="s">
        <v>16845</v>
      </c>
      <c r="E228" s="35" t="s">
        <v>233</v>
      </c>
      <c r="F228" s="62">
        <v>1</v>
      </c>
      <c r="G228" s="30" t="s">
        <v>193</v>
      </c>
      <c r="H228" s="30" t="s">
        <v>194</v>
      </c>
      <c r="I228" s="30" t="s">
        <v>16073</v>
      </c>
      <c r="J228" s="35" t="s">
        <v>9302</v>
      </c>
      <c r="K228" s="35">
        <v>18</v>
      </c>
      <c r="L228" s="35" t="s">
        <v>6955</v>
      </c>
      <c r="M228" s="35"/>
      <c r="N228" s="35" t="s">
        <v>17170</v>
      </c>
      <c r="O228" s="35" t="s">
        <v>6261</v>
      </c>
      <c r="P228" s="35" t="s">
        <v>17160</v>
      </c>
      <c r="Q228" s="35" t="s">
        <v>17159</v>
      </c>
      <c r="R228" s="35" t="s">
        <v>16253</v>
      </c>
      <c r="S228" s="35">
        <v>2393009</v>
      </c>
      <c r="T228" s="35">
        <v>34249648</v>
      </c>
      <c r="U228" s="35"/>
      <c r="V228" s="30"/>
      <c r="W228" s="505" t="s">
        <v>484</v>
      </c>
      <c r="X228" s="35" t="s">
        <v>193</v>
      </c>
      <c r="Y228" s="30">
        <v>25</v>
      </c>
      <c r="Z228" s="35"/>
      <c r="AA228" s="35"/>
      <c r="AB228" s="35"/>
      <c r="AC228" s="35"/>
      <c r="AD228" s="35"/>
      <c r="AE228" s="35"/>
      <c r="AF228" s="35"/>
      <c r="AG228" s="35"/>
      <c r="AH228" s="30" t="s">
        <v>4714</v>
      </c>
      <c r="AI228" s="35" t="s">
        <v>17169</v>
      </c>
      <c r="AJ228" s="62" t="str">
        <f>MID('I kw.22'!W228,8,6)</f>
        <v>251401</v>
      </c>
      <c r="AK228" s="62">
        <v>1</v>
      </c>
      <c r="AL228" s="62">
        <f t="shared" si="3"/>
        <v>1</v>
      </c>
      <c r="AM228" s="62">
        <v>1</v>
      </c>
    </row>
    <row r="229" spans="1:39" x14ac:dyDescent="0.25">
      <c r="A229" s="35" t="s">
        <v>17168</v>
      </c>
      <c r="B229" s="35" t="s">
        <v>17166</v>
      </c>
      <c r="C229" s="35" t="s">
        <v>19</v>
      </c>
      <c r="D229" s="35" t="s">
        <v>16845</v>
      </c>
      <c r="E229" s="35" t="s">
        <v>233</v>
      </c>
      <c r="F229" s="62">
        <v>1</v>
      </c>
      <c r="G229" s="30" t="s">
        <v>193</v>
      </c>
      <c r="H229" s="30" t="s">
        <v>194</v>
      </c>
      <c r="I229" s="30" t="s">
        <v>16068</v>
      </c>
      <c r="J229" s="35" t="s">
        <v>9302</v>
      </c>
      <c r="K229" s="35">
        <v>18</v>
      </c>
      <c r="L229" s="35" t="s">
        <v>6955</v>
      </c>
      <c r="M229" s="35"/>
      <c r="N229" s="35" t="s">
        <v>17167</v>
      </c>
      <c r="O229" s="35" t="s">
        <v>6921</v>
      </c>
      <c r="P229" s="35" t="s">
        <v>17160</v>
      </c>
      <c r="Q229" s="35" t="s">
        <v>17159</v>
      </c>
      <c r="R229" s="35" t="s">
        <v>16253</v>
      </c>
      <c r="S229" s="35">
        <v>2393029</v>
      </c>
      <c r="T229" s="35">
        <v>34249668</v>
      </c>
      <c r="U229" s="35"/>
      <c r="V229" s="30"/>
      <c r="W229" s="505" t="s">
        <v>337</v>
      </c>
      <c r="X229" s="35" t="s">
        <v>193</v>
      </c>
      <c r="Y229" s="30">
        <v>25</v>
      </c>
      <c r="Z229" s="35"/>
      <c r="AA229" s="35"/>
      <c r="AB229" s="35"/>
      <c r="AC229" s="35"/>
      <c r="AD229" s="35"/>
      <c r="AE229" s="35"/>
      <c r="AF229" s="35"/>
      <c r="AG229" s="35"/>
      <c r="AH229" s="30" t="s">
        <v>4714</v>
      </c>
      <c r="AI229" s="35" t="s">
        <v>17166</v>
      </c>
      <c r="AJ229" s="62" t="str">
        <f>MID('I kw.22'!W229,8,6)</f>
        <v>214903</v>
      </c>
      <c r="AK229" s="62">
        <v>1</v>
      </c>
      <c r="AL229" s="62">
        <f t="shared" si="3"/>
        <v>1</v>
      </c>
      <c r="AM229" s="62">
        <v>1</v>
      </c>
    </row>
    <row r="230" spans="1:39" x14ac:dyDescent="0.25">
      <c r="A230" s="35" t="s">
        <v>7354</v>
      </c>
      <c r="B230" s="35" t="s">
        <v>1520</v>
      </c>
      <c r="C230" s="35" t="s">
        <v>117</v>
      </c>
      <c r="D230" s="35" t="s">
        <v>16845</v>
      </c>
      <c r="E230" s="35" t="s">
        <v>233</v>
      </c>
      <c r="F230" s="62">
        <v>1</v>
      </c>
      <c r="G230" s="30" t="s">
        <v>193</v>
      </c>
      <c r="H230" s="30" t="s">
        <v>194</v>
      </c>
      <c r="I230" s="30" t="s">
        <v>16048</v>
      </c>
      <c r="J230" s="35" t="s">
        <v>385</v>
      </c>
      <c r="K230" s="35">
        <v>18</v>
      </c>
      <c r="L230" s="35" t="s">
        <v>6955</v>
      </c>
      <c r="M230" s="35"/>
      <c r="N230" s="35" t="s">
        <v>17165</v>
      </c>
      <c r="O230" s="35" t="s">
        <v>6306</v>
      </c>
      <c r="P230" s="35" t="s">
        <v>17160</v>
      </c>
      <c r="Q230" s="35" t="s">
        <v>17159</v>
      </c>
      <c r="R230" s="35" t="s">
        <v>16304</v>
      </c>
      <c r="S230" s="35">
        <v>2393060</v>
      </c>
      <c r="T230" s="35">
        <v>34249699</v>
      </c>
      <c r="U230" s="35"/>
      <c r="V230" s="30">
        <v>1861</v>
      </c>
      <c r="W230" s="35" t="s">
        <v>2242</v>
      </c>
      <c r="X230" s="35" t="s">
        <v>194</v>
      </c>
      <c r="Y230" s="30">
        <v>1</v>
      </c>
      <c r="Z230" s="35"/>
      <c r="AA230" s="35"/>
      <c r="AB230" s="35"/>
      <c r="AC230" s="35"/>
      <c r="AD230" s="35"/>
      <c r="AE230" s="35"/>
      <c r="AF230" s="35"/>
      <c r="AG230" s="35"/>
      <c r="AH230" s="30" t="s">
        <v>4714</v>
      </c>
      <c r="AI230" s="35" t="s">
        <v>1520</v>
      </c>
      <c r="AJ230" s="62" t="str">
        <f>MID('I kw.22'!W230,8,6)</f>
        <v>431301</v>
      </c>
      <c r="AK230" s="62">
        <v>1</v>
      </c>
      <c r="AL230" s="62">
        <f t="shared" si="3"/>
        <v>1</v>
      </c>
      <c r="AM230" s="62">
        <v>1</v>
      </c>
    </row>
    <row r="231" spans="1:39" x14ac:dyDescent="0.25">
      <c r="A231" s="35" t="s">
        <v>8288</v>
      </c>
      <c r="B231" s="35" t="s">
        <v>17162</v>
      </c>
      <c r="C231" s="35" t="s">
        <v>17162</v>
      </c>
      <c r="D231" s="35" t="s">
        <v>16845</v>
      </c>
      <c r="E231" s="35" t="s">
        <v>233</v>
      </c>
      <c r="F231" s="62">
        <v>1</v>
      </c>
      <c r="G231" s="30" t="s">
        <v>193</v>
      </c>
      <c r="H231" s="30" t="s">
        <v>194</v>
      </c>
      <c r="I231" s="30" t="s">
        <v>16052</v>
      </c>
      <c r="J231" s="35" t="s">
        <v>385</v>
      </c>
      <c r="K231" s="35">
        <v>18</v>
      </c>
      <c r="L231" s="35" t="s">
        <v>6955</v>
      </c>
      <c r="M231" s="35"/>
      <c r="N231" s="35" t="s">
        <v>17164</v>
      </c>
      <c r="O231" s="35" t="s">
        <v>6306</v>
      </c>
      <c r="P231" s="35" t="s">
        <v>17160</v>
      </c>
      <c r="Q231" s="35" t="s">
        <v>17159</v>
      </c>
      <c r="R231" s="35" t="s">
        <v>16061</v>
      </c>
      <c r="S231" s="35">
        <v>2393089</v>
      </c>
      <c r="T231" s="35">
        <v>34249728</v>
      </c>
      <c r="U231" s="35"/>
      <c r="V231" s="30">
        <v>1861</v>
      </c>
      <c r="W231" s="35" t="s">
        <v>17163</v>
      </c>
      <c r="X231" s="35" t="s">
        <v>194</v>
      </c>
      <c r="Y231" s="30">
        <v>1</v>
      </c>
      <c r="Z231" s="35"/>
      <c r="AA231" s="35"/>
      <c r="AB231" s="35"/>
      <c r="AC231" s="35"/>
      <c r="AD231" s="35"/>
      <c r="AE231" s="35"/>
      <c r="AF231" s="35"/>
      <c r="AG231" s="35"/>
      <c r="AH231" s="30" t="s">
        <v>4714</v>
      </c>
      <c r="AI231" s="35" t="s">
        <v>17162</v>
      </c>
      <c r="AJ231" s="62" t="str">
        <f>MID('I kw.22'!W231,8,6)</f>
        <v>242208</v>
      </c>
      <c r="AK231" s="62">
        <v>1</v>
      </c>
      <c r="AL231" s="62">
        <f t="shared" si="3"/>
        <v>1</v>
      </c>
      <c r="AM231" s="62">
        <v>1</v>
      </c>
    </row>
    <row r="232" spans="1:39" x14ac:dyDescent="0.25">
      <c r="A232" s="35" t="s">
        <v>14465</v>
      </c>
      <c r="B232" s="35" t="s">
        <v>17158</v>
      </c>
      <c r="C232" s="35" t="s">
        <v>37</v>
      </c>
      <c r="D232" s="35" t="s">
        <v>16845</v>
      </c>
      <c r="E232" s="35" t="s">
        <v>233</v>
      </c>
      <c r="F232" s="62">
        <v>1</v>
      </c>
      <c r="G232" s="30" t="s">
        <v>193</v>
      </c>
      <c r="H232" s="30" t="s">
        <v>194</v>
      </c>
      <c r="I232" s="30" t="s">
        <v>16066</v>
      </c>
      <c r="J232" s="35" t="s">
        <v>9302</v>
      </c>
      <c r="K232" s="35">
        <v>18</v>
      </c>
      <c r="L232" s="35" t="s">
        <v>6955</v>
      </c>
      <c r="M232" s="35"/>
      <c r="N232" s="35" t="s">
        <v>17161</v>
      </c>
      <c r="O232" s="35" t="s">
        <v>6921</v>
      </c>
      <c r="P232" s="35" t="s">
        <v>17160</v>
      </c>
      <c r="Q232" s="35" t="s">
        <v>17159</v>
      </c>
      <c r="R232" s="35" t="s">
        <v>16842</v>
      </c>
      <c r="S232" s="35">
        <v>2393135</v>
      </c>
      <c r="T232" s="35">
        <v>34249774</v>
      </c>
      <c r="U232" s="35"/>
      <c r="V232" s="30"/>
      <c r="W232" s="505" t="s">
        <v>516</v>
      </c>
      <c r="X232" s="35" t="s">
        <v>193</v>
      </c>
      <c r="Y232" s="30">
        <v>25</v>
      </c>
      <c r="Z232" s="35"/>
      <c r="AA232" s="35"/>
      <c r="AB232" s="35"/>
      <c r="AC232" s="35"/>
      <c r="AD232" s="35"/>
      <c r="AE232" s="35"/>
      <c r="AF232" s="35"/>
      <c r="AG232" s="35"/>
      <c r="AH232" s="30" t="s">
        <v>4714</v>
      </c>
      <c r="AI232" s="35" t="s">
        <v>17158</v>
      </c>
      <c r="AJ232" s="62" t="str">
        <f>MID('I kw.22'!W232,8,6)</f>
        <v>252302</v>
      </c>
      <c r="AK232" s="62">
        <v>1</v>
      </c>
      <c r="AL232" s="62">
        <f t="shared" si="3"/>
        <v>1</v>
      </c>
      <c r="AM232" s="62">
        <v>1</v>
      </c>
    </row>
    <row r="233" spans="1:39" x14ac:dyDescent="0.25">
      <c r="A233" s="35" t="s">
        <v>16325</v>
      </c>
      <c r="B233" s="35" t="s">
        <v>16334</v>
      </c>
      <c r="C233" s="35" t="s">
        <v>2861</v>
      </c>
      <c r="D233" s="35" t="s">
        <v>16845</v>
      </c>
      <c r="E233" s="35" t="s">
        <v>217</v>
      </c>
      <c r="F233" s="77">
        <v>1</v>
      </c>
      <c r="G233" s="30" t="s">
        <v>194</v>
      </c>
      <c r="H233" s="30" t="s">
        <v>193</v>
      </c>
      <c r="I233" s="30" t="s">
        <v>16073</v>
      </c>
      <c r="J233" s="506" t="s">
        <v>13289</v>
      </c>
      <c r="K233" s="35">
        <v>18</v>
      </c>
      <c r="L233" s="35" t="s">
        <v>6955</v>
      </c>
      <c r="M233" s="35"/>
      <c r="N233" s="35" t="s">
        <v>16333</v>
      </c>
      <c r="O233" s="35" t="s">
        <v>6261</v>
      </c>
      <c r="P233" s="35" t="s">
        <v>17146</v>
      </c>
      <c r="Q233" s="35" t="s">
        <v>16049</v>
      </c>
      <c r="R233" s="35" t="s">
        <v>16078</v>
      </c>
      <c r="S233" s="35">
        <v>2393201</v>
      </c>
      <c r="T233" s="35">
        <v>34282995</v>
      </c>
      <c r="U233" s="35"/>
      <c r="V233" s="30"/>
      <c r="W233" s="378" t="s">
        <v>3629</v>
      </c>
      <c r="X233" s="35" t="s">
        <v>194</v>
      </c>
      <c r="Y233" s="30">
        <v>0</v>
      </c>
      <c r="Z233" s="35"/>
      <c r="AA233" s="35"/>
      <c r="AB233" s="35"/>
      <c r="AC233" s="35"/>
      <c r="AD233" s="35"/>
      <c r="AE233" s="35"/>
      <c r="AF233" s="35"/>
      <c r="AG233" s="35"/>
      <c r="AH233" s="30" t="s">
        <v>4714</v>
      </c>
      <c r="AI233" s="35" t="s">
        <v>9433</v>
      </c>
      <c r="AJ233" s="77" t="str">
        <f>MID('I kw.22'!W233,8,6)</f>
        <v>251903</v>
      </c>
      <c r="AK233" s="62">
        <v>1</v>
      </c>
      <c r="AL233" s="497">
        <f t="shared" si="3"/>
        <v>1</v>
      </c>
      <c r="AM233" s="62">
        <v>1</v>
      </c>
    </row>
    <row r="234" spans="1:39" x14ac:dyDescent="0.25">
      <c r="A234" s="35" t="s">
        <v>16325</v>
      </c>
      <c r="B234" s="35" t="s">
        <v>16332</v>
      </c>
      <c r="C234" s="35" t="s">
        <v>1384</v>
      </c>
      <c r="D234" s="35" t="s">
        <v>16845</v>
      </c>
      <c r="E234" s="35" t="s">
        <v>217</v>
      </c>
      <c r="F234" s="62">
        <v>1</v>
      </c>
      <c r="G234" s="30" t="s">
        <v>194</v>
      </c>
      <c r="H234" s="30" t="s">
        <v>193</v>
      </c>
      <c r="I234" s="30" t="s">
        <v>16183</v>
      </c>
      <c r="J234" s="35" t="s">
        <v>16331</v>
      </c>
      <c r="K234" s="35">
        <v>18</v>
      </c>
      <c r="L234" s="35" t="s">
        <v>6955</v>
      </c>
      <c r="M234" s="35"/>
      <c r="N234" s="35" t="s">
        <v>16330</v>
      </c>
      <c r="O234" s="35" t="s">
        <v>6921</v>
      </c>
      <c r="P234" s="35" t="s">
        <v>17146</v>
      </c>
      <c r="Q234" s="35" t="s">
        <v>16329</v>
      </c>
      <c r="R234" s="35" t="s">
        <v>16328</v>
      </c>
      <c r="S234" s="35">
        <v>2393213</v>
      </c>
      <c r="T234" s="35">
        <v>34283007</v>
      </c>
      <c r="U234" s="35"/>
      <c r="V234" s="30"/>
      <c r="W234" s="505" t="s">
        <v>1385</v>
      </c>
      <c r="X234" s="35" t="s">
        <v>194</v>
      </c>
      <c r="Y234" s="30">
        <v>0</v>
      </c>
      <c r="Z234" s="35"/>
      <c r="AA234" s="35"/>
      <c r="AB234" s="35"/>
      <c r="AC234" s="35"/>
      <c r="AD234" s="35"/>
      <c r="AE234" s="35"/>
      <c r="AF234" s="35"/>
      <c r="AG234" s="35"/>
      <c r="AH234" s="30" t="s">
        <v>4714</v>
      </c>
      <c r="AI234" s="35" t="s">
        <v>9433</v>
      </c>
      <c r="AJ234" s="62" t="str">
        <f>MID('I kw.22'!W234,8,6)</f>
        <v>235915</v>
      </c>
      <c r="AK234" s="62">
        <v>1</v>
      </c>
      <c r="AL234" s="62">
        <f t="shared" si="3"/>
        <v>1</v>
      </c>
      <c r="AM234" s="62">
        <v>1</v>
      </c>
    </row>
    <row r="235" spans="1:39" x14ac:dyDescent="0.25">
      <c r="A235" s="35" t="s">
        <v>4022</v>
      </c>
      <c r="B235" s="35" t="s">
        <v>16327</v>
      </c>
      <c r="C235" s="35" t="s">
        <v>542</v>
      </c>
      <c r="D235" s="35" t="s">
        <v>16845</v>
      </c>
      <c r="E235" s="35" t="s">
        <v>217</v>
      </c>
      <c r="F235" s="62">
        <v>1</v>
      </c>
      <c r="G235" s="30" t="s">
        <v>193</v>
      </c>
      <c r="H235" s="30" t="s">
        <v>194</v>
      </c>
      <c r="I235" s="30" t="s">
        <v>16052</v>
      </c>
      <c r="J235" s="35" t="s">
        <v>15466</v>
      </c>
      <c r="K235" s="35">
        <v>18</v>
      </c>
      <c r="L235" s="35" t="s">
        <v>6955</v>
      </c>
      <c r="M235" s="35"/>
      <c r="N235" s="35" t="s">
        <v>16326</v>
      </c>
      <c r="O235" s="35" t="s">
        <v>6286</v>
      </c>
      <c r="P235" s="35" t="s">
        <v>17146</v>
      </c>
      <c r="Q235" s="35" t="s">
        <v>16113</v>
      </c>
      <c r="R235" s="35" t="s">
        <v>16121</v>
      </c>
      <c r="S235" s="35">
        <v>2393239</v>
      </c>
      <c r="T235" s="35">
        <v>34283033</v>
      </c>
      <c r="U235" s="35"/>
      <c r="V235" s="30"/>
      <c r="W235" s="505" t="s">
        <v>543</v>
      </c>
      <c r="X235" s="35" t="s">
        <v>193</v>
      </c>
      <c r="Y235" s="30">
        <v>25</v>
      </c>
      <c r="Z235" s="35"/>
      <c r="AA235" s="35"/>
      <c r="AB235" s="35"/>
      <c r="AC235" s="35"/>
      <c r="AD235" s="35"/>
      <c r="AE235" s="35"/>
      <c r="AF235" s="35"/>
      <c r="AG235" s="35"/>
      <c r="AH235" s="30" t="s">
        <v>4714</v>
      </c>
      <c r="AI235" s="35" t="s">
        <v>9433</v>
      </c>
      <c r="AJ235" s="62" t="str">
        <f>MID('I kw.22'!W235,8,6)</f>
        <v>264304</v>
      </c>
      <c r="AK235" s="62">
        <v>1</v>
      </c>
      <c r="AL235" s="62">
        <f t="shared" si="3"/>
        <v>1</v>
      </c>
      <c r="AM235" s="62">
        <v>1</v>
      </c>
    </row>
    <row r="236" spans="1:39" x14ac:dyDescent="0.25">
      <c r="A236" s="35" t="s">
        <v>16325</v>
      </c>
      <c r="B236" s="35" t="s">
        <v>16324</v>
      </c>
      <c r="C236" s="35" t="s">
        <v>10</v>
      </c>
      <c r="D236" s="35" t="s">
        <v>16845</v>
      </c>
      <c r="E236" s="35" t="s">
        <v>217</v>
      </c>
      <c r="F236" s="62">
        <v>1</v>
      </c>
      <c r="G236" s="30" t="s">
        <v>194</v>
      </c>
      <c r="H236" s="30" t="s">
        <v>193</v>
      </c>
      <c r="I236" s="30" t="s">
        <v>16068</v>
      </c>
      <c r="J236" s="506" t="s">
        <v>13289</v>
      </c>
      <c r="K236" s="35">
        <v>18</v>
      </c>
      <c r="L236" s="35" t="s">
        <v>6955</v>
      </c>
      <c r="M236" s="35"/>
      <c r="N236" s="35" t="s">
        <v>16323</v>
      </c>
      <c r="O236" s="35" t="s">
        <v>6261</v>
      </c>
      <c r="P236" s="35" t="s">
        <v>17146</v>
      </c>
      <c r="Q236" s="35" t="s">
        <v>16049</v>
      </c>
      <c r="R236" s="35" t="s">
        <v>16078</v>
      </c>
      <c r="S236" s="35">
        <v>2393267</v>
      </c>
      <c r="T236" s="35">
        <v>34283061</v>
      </c>
      <c r="U236" s="35"/>
      <c r="V236" s="30"/>
      <c r="W236" s="505" t="s">
        <v>484</v>
      </c>
      <c r="X236" s="35" t="s">
        <v>194</v>
      </c>
      <c r="Y236" s="30">
        <v>0</v>
      </c>
      <c r="Z236" s="35"/>
      <c r="AA236" s="35"/>
      <c r="AB236" s="35"/>
      <c r="AC236" s="35"/>
      <c r="AD236" s="35"/>
      <c r="AE236" s="35"/>
      <c r="AF236" s="35"/>
      <c r="AG236" s="35"/>
      <c r="AH236" s="30" t="s">
        <v>4714</v>
      </c>
      <c r="AI236" s="35" t="s">
        <v>9433</v>
      </c>
      <c r="AJ236" s="62" t="str">
        <f>MID('I kw.22'!W236,8,6)</f>
        <v>251401</v>
      </c>
      <c r="AK236" s="62">
        <v>1</v>
      </c>
      <c r="AL236" s="62">
        <f t="shared" si="3"/>
        <v>1</v>
      </c>
      <c r="AM236" s="62">
        <v>1</v>
      </c>
    </row>
    <row r="237" spans="1:39" x14ac:dyDescent="0.25">
      <c r="A237" s="35" t="s">
        <v>581</v>
      </c>
      <c r="B237" s="35" t="s">
        <v>16322</v>
      </c>
      <c r="C237" s="35" t="s">
        <v>156</v>
      </c>
      <c r="D237" s="35" t="s">
        <v>16845</v>
      </c>
      <c r="E237" s="35" t="s">
        <v>217</v>
      </c>
      <c r="F237" s="62">
        <v>1</v>
      </c>
      <c r="G237" s="30" t="s">
        <v>193</v>
      </c>
      <c r="H237" s="30" t="s">
        <v>194</v>
      </c>
      <c r="I237" s="30" t="s">
        <v>16068</v>
      </c>
      <c r="J237" s="35" t="s">
        <v>210</v>
      </c>
      <c r="K237" s="35">
        <v>18</v>
      </c>
      <c r="L237" s="35" t="s">
        <v>6955</v>
      </c>
      <c r="M237" s="35"/>
      <c r="N237" s="35" t="s">
        <v>16321</v>
      </c>
      <c r="O237" s="35" t="s">
        <v>6269</v>
      </c>
      <c r="P237" s="35" t="s">
        <v>17146</v>
      </c>
      <c r="Q237" s="35" t="s">
        <v>16113</v>
      </c>
      <c r="R237" s="35" t="s">
        <v>16304</v>
      </c>
      <c r="S237" s="35">
        <v>2393282</v>
      </c>
      <c r="T237" s="35">
        <v>34283076</v>
      </c>
      <c r="U237" s="35"/>
      <c r="V237" s="30">
        <v>1863</v>
      </c>
      <c r="W237" s="35" t="s">
        <v>659</v>
      </c>
      <c r="X237" s="35" t="s">
        <v>194</v>
      </c>
      <c r="Y237" s="30">
        <v>1</v>
      </c>
      <c r="Z237" s="35"/>
      <c r="AA237" s="35"/>
      <c r="AB237" s="35"/>
      <c r="AC237" s="35"/>
      <c r="AD237" s="35"/>
      <c r="AE237" s="35"/>
      <c r="AF237" s="35"/>
      <c r="AG237" s="35"/>
      <c r="AH237" s="30" t="s">
        <v>4714</v>
      </c>
      <c r="AI237" s="35" t="s">
        <v>9433</v>
      </c>
      <c r="AJ237" s="62" t="str">
        <f>MID('I kw.22'!W237,8,6)</f>
        <v>332302</v>
      </c>
      <c r="AK237" s="62">
        <v>1</v>
      </c>
      <c r="AL237" s="62">
        <f t="shared" si="3"/>
        <v>1</v>
      </c>
      <c r="AM237" s="62">
        <v>1</v>
      </c>
    </row>
    <row r="238" spans="1:39" x14ac:dyDescent="0.25">
      <c r="A238" s="35" t="s">
        <v>11415</v>
      </c>
      <c r="B238" s="35" t="s">
        <v>8016</v>
      </c>
      <c r="C238" s="35" t="s">
        <v>99</v>
      </c>
      <c r="D238" s="35" t="s">
        <v>16845</v>
      </c>
      <c r="E238" s="35" t="s">
        <v>217</v>
      </c>
      <c r="F238" s="62">
        <v>1</v>
      </c>
      <c r="G238" s="30" t="s">
        <v>193</v>
      </c>
      <c r="H238" s="30" t="s">
        <v>194</v>
      </c>
      <c r="I238" s="30" t="s">
        <v>16073</v>
      </c>
      <c r="J238" s="35" t="s">
        <v>210</v>
      </c>
      <c r="K238" s="35">
        <v>18</v>
      </c>
      <c r="L238" s="35" t="s">
        <v>6955</v>
      </c>
      <c r="M238" s="35"/>
      <c r="N238" s="35" t="s">
        <v>16320</v>
      </c>
      <c r="O238" s="35" t="s">
        <v>6286</v>
      </c>
      <c r="P238" s="35" t="s">
        <v>17146</v>
      </c>
      <c r="Q238" s="35" t="s">
        <v>16113</v>
      </c>
      <c r="R238" s="35" t="s">
        <v>16121</v>
      </c>
      <c r="S238" s="35">
        <v>2393344</v>
      </c>
      <c r="T238" s="35">
        <v>34283138</v>
      </c>
      <c r="U238" s="35"/>
      <c r="V238" s="30">
        <v>1863</v>
      </c>
      <c r="W238" s="35" t="s">
        <v>2421</v>
      </c>
      <c r="X238" s="35" t="s">
        <v>194</v>
      </c>
      <c r="Y238" s="30">
        <v>1</v>
      </c>
      <c r="Z238" s="35"/>
      <c r="AA238" s="35"/>
      <c r="AB238" s="35"/>
      <c r="AC238" s="35"/>
      <c r="AD238" s="35"/>
      <c r="AE238" s="35"/>
      <c r="AF238" s="35"/>
      <c r="AG238" s="35"/>
      <c r="AH238" s="30" t="s">
        <v>4714</v>
      </c>
      <c r="AI238" s="35" t="s">
        <v>9433</v>
      </c>
      <c r="AJ238" s="62" t="str">
        <f>MID('I kw.22'!W238,8,6)</f>
        <v>412001</v>
      </c>
      <c r="AK238" s="62">
        <v>1</v>
      </c>
      <c r="AL238" s="62">
        <f t="shared" si="3"/>
        <v>1</v>
      </c>
      <c r="AM238" s="62">
        <v>1</v>
      </c>
    </row>
    <row r="239" spans="1:39" x14ac:dyDescent="0.25">
      <c r="A239" s="35" t="s">
        <v>17157</v>
      </c>
      <c r="B239" s="35" t="s">
        <v>17156</v>
      </c>
      <c r="C239" s="35" t="s">
        <v>62</v>
      </c>
      <c r="D239" s="35" t="s">
        <v>16845</v>
      </c>
      <c r="E239" s="35" t="s">
        <v>217</v>
      </c>
      <c r="F239" s="62">
        <v>1</v>
      </c>
      <c r="G239" s="30" t="s">
        <v>193</v>
      </c>
      <c r="H239" s="30" t="s">
        <v>194</v>
      </c>
      <c r="I239" s="30" t="s">
        <v>16083</v>
      </c>
      <c r="J239" s="35" t="s">
        <v>210</v>
      </c>
      <c r="K239" s="35">
        <v>18</v>
      </c>
      <c r="L239" s="35" t="s">
        <v>6955</v>
      </c>
      <c r="M239" s="35"/>
      <c r="N239" s="35" t="s">
        <v>17155</v>
      </c>
      <c r="O239" s="35" t="s">
        <v>6275</v>
      </c>
      <c r="P239" s="35" t="s">
        <v>17146</v>
      </c>
      <c r="Q239" s="35" t="s">
        <v>16113</v>
      </c>
      <c r="R239" s="35" t="s">
        <v>17154</v>
      </c>
      <c r="S239" s="35">
        <v>2393397</v>
      </c>
      <c r="T239" s="35">
        <v>34283191</v>
      </c>
      <c r="U239" s="35"/>
      <c r="V239" s="30">
        <v>1863</v>
      </c>
      <c r="W239" s="35" t="s">
        <v>601</v>
      </c>
      <c r="X239" s="35" t="s">
        <v>194</v>
      </c>
      <c r="Y239" s="30">
        <v>1</v>
      </c>
      <c r="Z239" s="35"/>
      <c r="AA239" s="35"/>
      <c r="AB239" s="35"/>
      <c r="AC239" s="35"/>
      <c r="AD239" s="35"/>
      <c r="AE239" s="35"/>
      <c r="AF239" s="35"/>
      <c r="AG239" s="35"/>
      <c r="AH239" s="30" t="s">
        <v>4714</v>
      </c>
      <c r="AI239" s="35" t="s">
        <v>9433</v>
      </c>
      <c r="AJ239" s="62" t="str">
        <f>MID('I kw.22'!W239,8,6)</f>
        <v>313904</v>
      </c>
      <c r="AK239" s="62">
        <v>1</v>
      </c>
      <c r="AL239" s="62">
        <f t="shared" si="3"/>
        <v>1</v>
      </c>
      <c r="AM239" s="62">
        <v>1</v>
      </c>
    </row>
    <row r="240" spans="1:39" x14ac:dyDescent="0.25">
      <c r="A240" s="35" t="s">
        <v>581</v>
      </c>
      <c r="B240" s="35" t="s">
        <v>16315</v>
      </c>
      <c r="C240" s="35" t="s">
        <v>886</v>
      </c>
      <c r="D240" s="35" t="s">
        <v>16845</v>
      </c>
      <c r="E240" s="35" t="s">
        <v>217</v>
      </c>
      <c r="F240" s="62">
        <v>1</v>
      </c>
      <c r="G240" s="30" t="s">
        <v>193</v>
      </c>
      <c r="H240" s="30" t="s">
        <v>194</v>
      </c>
      <c r="I240" s="30" t="s">
        <v>16052</v>
      </c>
      <c r="J240" s="35" t="s">
        <v>976</v>
      </c>
      <c r="K240" s="35">
        <v>18</v>
      </c>
      <c r="L240" s="35" t="s">
        <v>6955</v>
      </c>
      <c r="M240" s="35"/>
      <c r="N240" s="35" t="s">
        <v>16314</v>
      </c>
      <c r="O240" s="35" t="s">
        <v>6269</v>
      </c>
      <c r="P240" s="35" t="s">
        <v>17146</v>
      </c>
      <c r="Q240" s="35" t="s">
        <v>16113</v>
      </c>
      <c r="R240" s="35" t="s">
        <v>16304</v>
      </c>
      <c r="S240" s="35">
        <v>2393404</v>
      </c>
      <c r="T240" s="35">
        <v>34283198</v>
      </c>
      <c r="U240" s="35"/>
      <c r="V240" s="30">
        <v>1816</v>
      </c>
      <c r="W240" s="35" t="s">
        <v>887</v>
      </c>
      <c r="X240" s="35" t="s">
        <v>194</v>
      </c>
      <c r="Y240" s="30">
        <v>1</v>
      </c>
      <c r="Z240" s="35"/>
      <c r="AA240" s="35"/>
      <c r="AB240" s="35"/>
      <c r="AC240" s="35"/>
      <c r="AD240" s="35"/>
      <c r="AE240" s="35"/>
      <c r="AF240" s="35"/>
      <c r="AG240" s="35"/>
      <c r="AH240" s="30" t="s">
        <v>4714</v>
      </c>
      <c r="AI240" s="35" t="s">
        <v>9433</v>
      </c>
      <c r="AJ240" s="62" t="str">
        <f>MID('I kw.22'!W240,8,6)</f>
        <v>834401</v>
      </c>
      <c r="AK240" s="62">
        <v>1</v>
      </c>
      <c r="AL240" s="62">
        <f t="shared" si="3"/>
        <v>1</v>
      </c>
      <c r="AM240" s="62">
        <v>1</v>
      </c>
    </row>
    <row r="241" spans="1:39" x14ac:dyDescent="0.25">
      <c r="A241" s="35" t="s">
        <v>581</v>
      </c>
      <c r="B241" s="35" t="s">
        <v>14020</v>
      </c>
      <c r="C241" s="35" t="s">
        <v>62</v>
      </c>
      <c r="D241" s="35" t="s">
        <v>16845</v>
      </c>
      <c r="E241" s="35" t="s">
        <v>217</v>
      </c>
      <c r="F241" s="62">
        <v>1</v>
      </c>
      <c r="G241" s="30" t="s">
        <v>193</v>
      </c>
      <c r="H241" s="30" t="s">
        <v>194</v>
      </c>
      <c r="I241" s="30" t="s">
        <v>16083</v>
      </c>
      <c r="J241" s="35" t="s">
        <v>253</v>
      </c>
      <c r="K241" s="35">
        <v>18</v>
      </c>
      <c r="L241" s="35" t="s">
        <v>6955</v>
      </c>
      <c r="M241" s="35"/>
      <c r="N241" s="35" t="s">
        <v>16764</v>
      </c>
      <c r="O241" s="35" t="s">
        <v>6275</v>
      </c>
      <c r="P241" s="35" t="s">
        <v>17146</v>
      </c>
      <c r="Q241" s="35" t="s">
        <v>16307</v>
      </c>
      <c r="R241" s="35" t="s">
        <v>16066</v>
      </c>
      <c r="S241" s="35">
        <v>2393442</v>
      </c>
      <c r="T241" s="35">
        <v>34283236</v>
      </c>
      <c r="U241" s="35"/>
      <c r="V241" s="30">
        <v>1811</v>
      </c>
      <c r="W241" s="35" t="s">
        <v>601</v>
      </c>
      <c r="X241" s="35" t="s">
        <v>194</v>
      </c>
      <c r="Y241" s="30">
        <v>1</v>
      </c>
      <c r="Z241" s="35"/>
      <c r="AA241" s="35"/>
      <c r="AB241" s="35"/>
      <c r="AC241" s="35"/>
      <c r="AD241" s="35"/>
      <c r="AE241" s="35"/>
      <c r="AF241" s="35"/>
      <c r="AG241" s="35"/>
      <c r="AH241" s="30" t="s">
        <v>4714</v>
      </c>
      <c r="AI241" s="35" t="s">
        <v>9433</v>
      </c>
      <c r="AJ241" s="62" t="str">
        <f>MID('I kw.22'!W241,8,6)</f>
        <v>313904</v>
      </c>
      <c r="AK241" s="62">
        <v>1</v>
      </c>
      <c r="AL241" s="62">
        <f t="shared" si="3"/>
        <v>1</v>
      </c>
      <c r="AM241" s="62">
        <v>1</v>
      </c>
    </row>
    <row r="242" spans="1:39" x14ac:dyDescent="0.25">
      <c r="A242" s="35" t="s">
        <v>581</v>
      </c>
      <c r="B242" s="35" t="s">
        <v>17153</v>
      </c>
      <c r="C242" s="35" t="s">
        <v>62</v>
      </c>
      <c r="D242" s="35" t="s">
        <v>16845</v>
      </c>
      <c r="E242" s="35" t="s">
        <v>217</v>
      </c>
      <c r="F242" s="62">
        <v>1</v>
      </c>
      <c r="G242" s="30" t="s">
        <v>193</v>
      </c>
      <c r="H242" s="30" t="s">
        <v>194</v>
      </c>
      <c r="I242" s="30" t="s">
        <v>16083</v>
      </c>
      <c r="J242" s="35" t="s">
        <v>253</v>
      </c>
      <c r="K242" s="35">
        <v>18</v>
      </c>
      <c r="L242" s="35" t="s">
        <v>6955</v>
      </c>
      <c r="M242" s="35"/>
      <c r="N242" s="35" t="s">
        <v>17152</v>
      </c>
      <c r="O242" s="35" t="s">
        <v>6275</v>
      </c>
      <c r="P242" s="35" t="s">
        <v>17146</v>
      </c>
      <c r="Q242" s="35" t="s">
        <v>17148</v>
      </c>
      <c r="R242" s="35" t="s">
        <v>16392</v>
      </c>
      <c r="S242" s="35">
        <v>2393454</v>
      </c>
      <c r="T242" s="35">
        <v>34283248</v>
      </c>
      <c r="U242" s="35"/>
      <c r="V242" s="30">
        <v>1811</v>
      </c>
      <c r="W242" s="35" t="s">
        <v>601</v>
      </c>
      <c r="X242" s="35" t="s">
        <v>194</v>
      </c>
      <c r="Y242" s="30">
        <v>1</v>
      </c>
      <c r="Z242" s="35"/>
      <c r="AA242" s="35"/>
      <c r="AB242" s="35"/>
      <c r="AC242" s="35"/>
      <c r="AD242" s="35"/>
      <c r="AE242" s="35"/>
      <c r="AF242" s="35"/>
      <c r="AG242" s="35"/>
      <c r="AH242" s="30" t="s">
        <v>4714</v>
      </c>
      <c r="AI242" s="35" t="s">
        <v>9433</v>
      </c>
      <c r="AJ242" s="62" t="str">
        <f>MID('I kw.22'!W242,8,6)</f>
        <v>313904</v>
      </c>
      <c r="AK242" s="62">
        <v>1</v>
      </c>
      <c r="AL242" s="62">
        <f t="shared" si="3"/>
        <v>1</v>
      </c>
      <c r="AM242" s="62">
        <v>1</v>
      </c>
    </row>
    <row r="243" spans="1:39" x14ac:dyDescent="0.25">
      <c r="A243" s="35" t="s">
        <v>4022</v>
      </c>
      <c r="B243" s="35" t="s">
        <v>8022</v>
      </c>
      <c r="C243" s="35" t="s">
        <v>16313</v>
      </c>
      <c r="D243" s="35" t="s">
        <v>16845</v>
      </c>
      <c r="E243" s="35" t="s">
        <v>217</v>
      </c>
      <c r="F243" s="62">
        <v>1</v>
      </c>
      <c r="G243" s="30" t="s">
        <v>193</v>
      </c>
      <c r="H243" s="30" t="s">
        <v>194</v>
      </c>
      <c r="I243" s="30" t="s">
        <v>16052</v>
      </c>
      <c r="J243" s="35" t="s">
        <v>210</v>
      </c>
      <c r="K243" s="35">
        <v>18</v>
      </c>
      <c r="L243" s="35" t="s">
        <v>6955</v>
      </c>
      <c r="M243" s="35"/>
      <c r="N243" s="35" t="s">
        <v>16312</v>
      </c>
      <c r="O243" s="35" t="s">
        <v>6290</v>
      </c>
      <c r="P243" s="35" t="s">
        <v>17146</v>
      </c>
      <c r="Q243" s="35" t="s">
        <v>16113</v>
      </c>
      <c r="R243" s="35" t="s">
        <v>16121</v>
      </c>
      <c r="S243" s="35">
        <v>2393565</v>
      </c>
      <c r="T243" s="35">
        <v>34283359</v>
      </c>
      <c r="U243" s="35"/>
      <c r="V243" s="30">
        <v>1863</v>
      </c>
      <c r="W243" s="35" t="s">
        <v>16311</v>
      </c>
      <c r="X243" s="35" t="s">
        <v>194</v>
      </c>
      <c r="Y243" s="30">
        <v>1</v>
      </c>
      <c r="Z243" s="35"/>
      <c r="AA243" s="35"/>
      <c r="AB243" s="35"/>
      <c r="AC243" s="35"/>
      <c r="AD243" s="35"/>
      <c r="AE243" s="35"/>
      <c r="AF243" s="35"/>
      <c r="AG243" s="35"/>
      <c r="AH243" s="30" t="s">
        <v>4714</v>
      </c>
      <c r="AI243" s="35" t="s">
        <v>9433</v>
      </c>
      <c r="AJ243" s="62" t="str">
        <f>MID('I kw.22'!W243,8,6)</f>
        <v>524101</v>
      </c>
      <c r="AK243" s="62">
        <v>1</v>
      </c>
      <c r="AL243" s="62">
        <f t="shared" si="3"/>
        <v>1</v>
      </c>
      <c r="AM243" s="62">
        <v>1</v>
      </c>
    </row>
    <row r="244" spans="1:39" x14ac:dyDescent="0.25">
      <c r="A244" s="35" t="s">
        <v>17151</v>
      </c>
      <c r="B244" s="35" t="s">
        <v>17150</v>
      </c>
      <c r="C244" s="35" t="s">
        <v>43</v>
      </c>
      <c r="D244" s="35" t="s">
        <v>16845</v>
      </c>
      <c r="E244" s="35" t="s">
        <v>217</v>
      </c>
      <c r="F244" s="62">
        <v>1</v>
      </c>
      <c r="G244" s="30" t="s">
        <v>193</v>
      </c>
      <c r="H244" s="30" t="s">
        <v>194</v>
      </c>
      <c r="I244" s="30" t="s">
        <v>16052</v>
      </c>
      <c r="J244" s="35" t="s">
        <v>301</v>
      </c>
      <c r="K244" s="35">
        <v>18</v>
      </c>
      <c r="L244" s="35" t="s">
        <v>6955</v>
      </c>
      <c r="M244" s="35"/>
      <c r="N244" s="35" t="s">
        <v>17149</v>
      </c>
      <c r="O244" s="35" t="s">
        <v>6249</v>
      </c>
      <c r="P244" s="35" t="s">
        <v>17146</v>
      </c>
      <c r="Q244" s="35" t="s">
        <v>17148</v>
      </c>
      <c r="R244" s="35" t="s">
        <v>17147</v>
      </c>
      <c r="S244" s="35">
        <v>2393573</v>
      </c>
      <c r="T244" s="35">
        <v>34283367</v>
      </c>
      <c r="U244" s="35"/>
      <c r="V244" s="30">
        <v>1810</v>
      </c>
      <c r="W244" s="35" t="s">
        <v>452</v>
      </c>
      <c r="X244" s="35" t="s">
        <v>194</v>
      </c>
      <c r="Y244" s="30">
        <v>1</v>
      </c>
      <c r="Z244" s="35"/>
      <c r="AA244" s="35"/>
      <c r="AB244" s="35"/>
      <c r="AC244" s="35"/>
      <c r="AD244" s="35"/>
      <c r="AE244" s="35"/>
      <c r="AF244" s="35"/>
      <c r="AG244" s="35"/>
      <c r="AH244" s="30" t="s">
        <v>4714</v>
      </c>
      <c r="AI244" s="35" t="s">
        <v>9433</v>
      </c>
      <c r="AJ244" s="62" t="str">
        <f>MID('I kw.22'!W244,8,6)</f>
        <v>243106</v>
      </c>
      <c r="AK244" s="62">
        <v>1</v>
      </c>
      <c r="AL244" s="62">
        <f t="shared" si="3"/>
        <v>1</v>
      </c>
      <c r="AM244" s="62">
        <v>1</v>
      </c>
    </row>
    <row r="245" spans="1:39" x14ac:dyDescent="0.25">
      <c r="A245" s="35" t="s">
        <v>581</v>
      </c>
      <c r="B245" s="35" t="s">
        <v>3873</v>
      </c>
      <c r="C245" s="35" t="s">
        <v>62</v>
      </c>
      <c r="D245" s="35" t="s">
        <v>16845</v>
      </c>
      <c r="E245" s="35" t="s">
        <v>217</v>
      </c>
      <c r="F245" s="62">
        <v>1</v>
      </c>
      <c r="G245" s="30" t="s">
        <v>193</v>
      </c>
      <c r="H245" s="30" t="s">
        <v>194</v>
      </c>
      <c r="I245" s="30" t="s">
        <v>16083</v>
      </c>
      <c r="J245" s="35" t="s">
        <v>976</v>
      </c>
      <c r="K245" s="35">
        <v>18</v>
      </c>
      <c r="L245" s="35" t="s">
        <v>6955</v>
      </c>
      <c r="M245" s="35"/>
      <c r="N245" s="35" t="s">
        <v>16306</v>
      </c>
      <c r="O245" s="35" t="s">
        <v>6275</v>
      </c>
      <c r="P245" s="35" t="s">
        <v>17146</v>
      </c>
      <c r="Q245" s="35" t="s">
        <v>16113</v>
      </c>
      <c r="R245" s="35" t="s">
        <v>16304</v>
      </c>
      <c r="S245" s="35">
        <v>2393612</v>
      </c>
      <c r="T245" s="35">
        <v>34283406</v>
      </c>
      <c r="U245" s="35"/>
      <c r="V245" s="30">
        <v>1816</v>
      </c>
      <c r="W245" s="35" t="s">
        <v>601</v>
      </c>
      <c r="X245" s="35" t="s">
        <v>194</v>
      </c>
      <c r="Y245" s="30">
        <v>1</v>
      </c>
      <c r="Z245" s="35"/>
      <c r="AA245" s="35"/>
      <c r="AB245" s="35"/>
      <c r="AC245" s="35"/>
      <c r="AD245" s="35"/>
      <c r="AE245" s="35"/>
      <c r="AF245" s="35"/>
      <c r="AG245" s="35"/>
      <c r="AH245" s="30" t="s">
        <v>4714</v>
      </c>
      <c r="AI245" s="35" t="s">
        <v>9433</v>
      </c>
      <c r="AJ245" s="62" t="str">
        <f>MID('I kw.22'!W245,8,6)</f>
        <v>313904</v>
      </c>
      <c r="AK245" s="62">
        <v>1</v>
      </c>
      <c r="AL245" s="62">
        <f t="shared" si="3"/>
        <v>1</v>
      </c>
      <c r="AM245" s="62">
        <v>1</v>
      </c>
    </row>
    <row r="246" spans="1:39" x14ac:dyDescent="0.25">
      <c r="A246" s="35" t="s">
        <v>17145</v>
      </c>
      <c r="B246" s="35" t="s">
        <v>17143</v>
      </c>
      <c r="C246" s="35" t="s">
        <v>1420</v>
      </c>
      <c r="D246" s="35" t="s">
        <v>16845</v>
      </c>
      <c r="E246" s="35" t="s">
        <v>192</v>
      </c>
      <c r="F246" s="62">
        <v>1</v>
      </c>
      <c r="G246" s="30" t="s">
        <v>193</v>
      </c>
      <c r="H246" s="30" t="s">
        <v>194</v>
      </c>
      <c r="I246" s="30" t="s">
        <v>16048</v>
      </c>
      <c r="J246" s="35" t="s">
        <v>9302</v>
      </c>
      <c r="K246" s="35">
        <v>18</v>
      </c>
      <c r="L246" s="35" t="s">
        <v>6955</v>
      </c>
      <c r="M246" s="35"/>
      <c r="N246" s="35" t="s">
        <v>17144</v>
      </c>
      <c r="O246" s="35" t="s">
        <v>6302</v>
      </c>
      <c r="P246" s="35" t="s">
        <v>16843</v>
      </c>
      <c r="Q246" s="35" t="s">
        <v>16113</v>
      </c>
      <c r="R246" s="35" t="s">
        <v>16842</v>
      </c>
      <c r="S246" s="35">
        <v>2393644</v>
      </c>
      <c r="T246" s="35">
        <v>34283547</v>
      </c>
      <c r="U246" s="35"/>
      <c r="V246" s="30"/>
      <c r="W246" s="505" t="s">
        <v>1421</v>
      </c>
      <c r="X246" s="35" t="s">
        <v>193</v>
      </c>
      <c r="Y246" s="30">
        <v>25</v>
      </c>
      <c r="Z246" s="35"/>
      <c r="AA246" s="35"/>
      <c r="AB246" s="35"/>
      <c r="AC246" s="35"/>
      <c r="AD246" s="35"/>
      <c r="AE246" s="35"/>
      <c r="AF246" s="35"/>
      <c r="AG246" s="35"/>
      <c r="AH246" s="30" t="s">
        <v>4714</v>
      </c>
      <c r="AI246" s="35" t="s">
        <v>17143</v>
      </c>
      <c r="AJ246" s="62" t="str">
        <f>MID('I kw.22'!W246,8,6)</f>
        <v>251303</v>
      </c>
      <c r="AK246" s="62">
        <v>1</v>
      </c>
      <c r="AL246" s="62">
        <f t="shared" si="3"/>
        <v>1</v>
      </c>
      <c r="AM246" s="62">
        <v>1</v>
      </c>
    </row>
    <row r="247" spans="1:39" x14ac:dyDescent="0.25">
      <c r="A247" s="35" t="s">
        <v>12224</v>
      </c>
      <c r="B247" s="35" t="s">
        <v>17141</v>
      </c>
      <c r="C247" s="35" t="s">
        <v>17</v>
      </c>
      <c r="D247" s="35" t="s">
        <v>16845</v>
      </c>
      <c r="E247" s="35" t="s">
        <v>192</v>
      </c>
      <c r="F247" s="62">
        <v>1</v>
      </c>
      <c r="G247" s="30" t="s">
        <v>193</v>
      </c>
      <c r="H247" s="30" t="s">
        <v>194</v>
      </c>
      <c r="I247" s="30" t="s">
        <v>16052</v>
      </c>
      <c r="J247" s="35" t="s">
        <v>9302</v>
      </c>
      <c r="K247" s="35">
        <v>18</v>
      </c>
      <c r="L247" s="35" t="s">
        <v>6955</v>
      </c>
      <c r="M247" s="35"/>
      <c r="N247" s="35" t="s">
        <v>17142</v>
      </c>
      <c r="O247" s="35" t="s">
        <v>6249</v>
      </c>
      <c r="P247" s="35" t="s">
        <v>16843</v>
      </c>
      <c r="Q247" s="35" t="s">
        <v>16113</v>
      </c>
      <c r="R247" s="35" t="s">
        <v>16842</v>
      </c>
      <c r="S247" s="35">
        <v>2393661</v>
      </c>
      <c r="T247" s="35">
        <v>34283564</v>
      </c>
      <c r="U247" s="35"/>
      <c r="V247" s="30"/>
      <c r="W247" s="505" t="s">
        <v>624</v>
      </c>
      <c r="X247" s="35" t="s">
        <v>193</v>
      </c>
      <c r="Y247" s="30">
        <v>25</v>
      </c>
      <c r="Z247" s="35"/>
      <c r="AA247" s="35"/>
      <c r="AB247" s="35"/>
      <c r="AC247" s="35"/>
      <c r="AD247" s="35"/>
      <c r="AE247" s="35"/>
      <c r="AF247" s="35"/>
      <c r="AG247" s="35"/>
      <c r="AH247" s="30" t="s">
        <v>4714</v>
      </c>
      <c r="AI247" s="35" t="s">
        <v>17141</v>
      </c>
      <c r="AJ247" s="62" t="str">
        <f>MID('I kw.22'!W247,8,6)</f>
        <v>332203</v>
      </c>
      <c r="AK247" s="62">
        <v>1</v>
      </c>
      <c r="AL247" s="62">
        <f t="shared" si="3"/>
        <v>1</v>
      </c>
      <c r="AM247" s="62">
        <v>1</v>
      </c>
    </row>
    <row r="248" spans="1:39" x14ac:dyDescent="0.25">
      <c r="A248" s="35" t="s">
        <v>4726</v>
      </c>
      <c r="B248" s="35" t="s">
        <v>17139</v>
      </c>
      <c r="C248" s="35" t="s">
        <v>16355</v>
      </c>
      <c r="D248" s="35" t="s">
        <v>16845</v>
      </c>
      <c r="E248" s="35" t="s">
        <v>192</v>
      </c>
      <c r="F248" s="62">
        <v>1</v>
      </c>
      <c r="G248" s="30" t="s">
        <v>193</v>
      </c>
      <c r="H248" s="30" t="s">
        <v>194</v>
      </c>
      <c r="I248" s="30" t="s">
        <v>16183</v>
      </c>
      <c r="J248" s="35" t="s">
        <v>9302</v>
      </c>
      <c r="K248" s="35">
        <v>18</v>
      </c>
      <c r="L248" s="35" t="s">
        <v>6955</v>
      </c>
      <c r="M248" s="35"/>
      <c r="N248" s="35" t="s">
        <v>17140</v>
      </c>
      <c r="O248" s="35" t="s">
        <v>7531</v>
      </c>
      <c r="P248" s="35" t="s">
        <v>16843</v>
      </c>
      <c r="Q248" s="35" t="s">
        <v>16113</v>
      </c>
      <c r="R248" s="35" t="s">
        <v>16842</v>
      </c>
      <c r="S248" s="35">
        <v>2393683</v>
      </c>
      <c r="T248" s="35">
        <v>34283586</v>
      </c>
      <c r="U248" s="35"/>
      <c r="V248" s="30"/>
      <c r="W248" s="505" t="s">
        <v>508</v>
      </c>
      <c r="X248" s="35" t="s">
        <v>193</v>
      </c>
      <c r="Y248" s="30">
        <v>25</v>
      </c>
      <c r="Z248" s="35"/>
      <c r="AA248" s="35"/>
      <c r="AB248" s="35"/>
      <c r="AC248" s="35"/>
      <c r="AD248" s="35"/>
      <c r="AE248" s="35"/>
      <c r="AF248" s="35"/>
      <c r="AG248" s="35"/>
      <c r="AH248" s="30" t="s">
        <v>4714</v>
      </c>
      <c r="AI248" s="35" t="s">
        <v>17139</v>
      </c>
      <c r="AJ248" s="62" t="str">
        <f>MID('I kw.22'!W248,8,6)</f>
        <v>252102</v>
      </c>
      <c r="AK248" s="62">
        <v>1</v>
      </c>
      <c r="AL248" s="62">
        <f t="shared" si="3"/>
        <v>1</v>
      </c>
      <c r="AM248" s="62">
        <v>1</v>
      </c>
    </row>
    <row r="249" spans="1:39" x14ac:dyDescent="0.25">
      <c r="A249" s="35" t="s">
        <v>17138</v>
      </c>
      <c r="B249" s="35" t="s">
        <v>17136</v>
      </c>
      <c r="C249" s="35" t="s">
        <v>4479</v>
      </c>
      <c r="D249" s="35" t="s">
        <v>16845</v>
      </c>
      <c r="E249" s="35" t="s">
        <v>192</v>
      </c>
      <c r="F249" s="62">
        <v>1</v>
      </c>
      <c r="G249" s="30" t="s">
        <v>193</v>
      </c>
      <c r="H249" s="30" t="s">
        <v>194</v>
      </c>
      <c r="I249" s="30" t="s">
        <v>16066</v>
      </c>
      <c r="J249" s="35" t="s">
        <v>9302</v>
      </c>
      <c r="K249" s="35">
        <v>18</v>
      </c>
      <c r="L249" s="35" t="s">
        <v>6955</v>
      </c>
      <c r="M249" s="35"/>
      <c r="N249" s="35" t="s">
        <v>17137</v>
      </c>
      <c r="O249" s="35" t="s">
        <v>7531</v>
      </c>
      <c r="P249" s="35" t="s">
        <v>16843</v>
      </c>
      <c r="Q249" s="35" t="s">
        <v>16113</v>
      </c>
      <c r="R249" s="35" t="s">
        <v>16842</v>
      </c>
      <c r="S249" s="35">
        <v>2393697</v>
      </c>
      <c r="T249" s="35">
        <v>34283600</v>
      </c>
      <c r="U249" s="35"/>
      <c r="V249" s="30"/>
      <c r="W249" s="505" t="s">
        <v>4482</v>
      </c>
      <c r="X249" s="35" t="s">
        <v>193</v>
      </c>
      <c r="Y249" s="30">
        <v>25</v>
      </c>
      <c r="Z249" s="35"/>
      <c r="AA249" s="35"/>
      <c r="AB249" s="35"/>
      <c r="AC249" s="35"/>
      <c r="AD249" s="35"/>
      <c r="AE249" s="35"/>
      <c r="AF249" s="35"/>
      <c r="AG249" s="35"/>
      <c r="AH249" s="30" t="s">
        <v>4714</v>
      </c>
      <c r="AI249" s="35" t="s">
        <v>17136</v>
      </c>
      <c r="AJ249" s="62" t="str">
        <f>MID('I kw.22'!W249,8,6)</f>
        <v>241101</v>
      </c>
      <c r="AK249" s="62">
        <v>1</v>
      </c>
      <c r="AL249" s="62">
        <f t="shared" si="3"/>
        <v>1</v>
      </c>
      <c r="AM249" s="62">
        <v>1</v>
      </c>
    </row>
    <row r="250" spans="1:39" x14ac:dyDescent="0.25">
      <c r="A250" s="35" t="s">
        <v>17135</v>
      </c>
      <c r="B250" s="35" t="s">
        <v>17133</v>
      </c>
      <c r="C250" s="35" t="s">
        <v>288</v>
      </c>
      <c r="D250" s="35" t="s">
        <v>16845</v>
      </c>
      <c r="E250" s="35" t="s">
        <v>192</v>
      </c>
      <c r="F250" s="62">
        <v>1</v>
      </c>
      <c r="G250" s="30" t="s">
        <v>194</v>
      </c>
      <c r="H250" s="30" t="s">
        <v>193</v>
      </c>
      <c r="I250" s="30" t="s">
        <v>16078</v>
      </c>
      <c r="J250" s="35" t="s">
        <v>9302</v>
      </c>
      <c r="K250" s="35">
        <v>18</v>
      </c>
      <c r="L250" s="35" t="s">
        <v>6955</v>
      </c>
      <c r="M250" s="35"/>
      <c r="N250" s="35" t="s">
        <v>17134</v>
      </c>
      <c r="O250" s="35" t="s">
        <v>6245</v>
      </c>
      <c r="P250" s="35" t="s">
        <v>16843</v>
      </c>
      <c r="Q250" s="35" t="s">
        <v>16113</v>
      </c>
      <c r="R250" s="35" t="s">
        <v>16842</v>
      </c>
      <c r="S250" s="35">
        <v>2393712</v>
      </c>
      <c r="T250" s="35">
        <v>34283615</v>
      </c>
      <c r="U250" s="35"/>
      <c r="V250" s="30"/>
      <c r="W250" s="505" t="s">
        <v>289</v>
      </c>
      <c r="X250" s="35" t="s">
        <v>193</v>
      </c>
      <c r="Y250" s="30">
        <v>25</v>
      </c>
      <c r="Z250" s="35"/>
      <c r="AA250" s="35"/>
      <c r="AB250" s="35"/>
      <c r="AC250" s="35"/>
      <c r="AD250" s="35"/>
      <c r="AE250" s="35"/>
      <c r="AF250" s="35"/>
      <c r="AG250" s="35"/>
      <c r="AH250" s="30" t="s">
        <v>4714</v>
      </c>
      <c r="AI250" s="35" t="s">
        <v>17133</v>
      </c>
      <c r="AJ250" s="62" t="str">
        <f>MID('I kw.22'!W250,8,6)</f>
        <v>214111</v>
      </c>
      <c r="AK250" s="62">
        <v>1</v>
      </c>
      <c r="AL250" s="62">
        <f t="shared" si="3"/>
        <v>1</v>
      </c>
      <c r="AM250" s="62">
        <v>1</v>
      </c>
    </row>
    <row r="251" spans="1:39" x14ac:dyDescent="0.25">
      <c r="A251" s="35" t="s">
        <v>14490</v>
      </c>
      <c r="B251" s="35" t="s">
        <v>17131</v>
      </c>
      <c r="C251" s="35" t="s">
        <v>525</v>
      </c>
      <c r="D251" s="35" t="s">
        <v>16845</v>
      </c>
      <c r="E251" s="35" t="s">
        <v>192</v>
      </c>
      <c r="F251" s="62">
        <v>1</v>
      </c>
      <c r="G251" s="30" t="s">
        <v>193</v>
      </c>
      <c r="H251" s="30" t="s">
        <v>194</v>
      </c>
      <c r="I251" s="30" t="s">
        <v>16048</v>
      </c>
      <c r="J251" s="35" t="s">
        <v>9302</v>
      </c>
      <c r="K251" s="35">
        <v>18</v>
      </c>
      <c r="L251" s="35" t="s">
        <v>6955</v>
      </c>
      <c r="M251" s="35"/>
      <c r="N251" s="35" t="s">
        <v>17132</v>
      </c>
      <c r="O251" s="35" t="s">
        <v>6286</v>
      </c>
      <c r="P251" s="35" t="s">
        <v>16843</v>
      </c>
      <c r="Q251" s="35" t="s">
        <v>16113</v>
      </c>
      <c r="R251" s="35" t="s">
        <v>16842</v>
      </c>
      <c r="S251" s="35">
        <v>2393728</v>
      </c>
      <c r="T251" s="35">
        <v>34283631</v>
      </c>
      <c r="U251" s="35"/>
      <c r="V251" s="30"/>
      <c r="W251" s="505" t="s">
        <v>526</v>
      </c>
      <c r="X251" s="35" t="s">
        <v>193</v>
      </c>
      <c r="Y251" s="30">
        <v>25</v>
      </c>
      <c r="Z251" s="35"/>
      <c r="AA251" s="35"/>
      <c r="AB251" s="35"/>
      <c r="AC251" s="35"/>
      <c r="AD251" s="35"/>
      <c r="AE251" s="35"/>
      <c r="AF251" s="35"/>
      <c r="AG251" s="35"/>
      <c r="AH251" s="30" t="s">
        <v>4714</v>
      </c>
      <c r="AI251" s="35" t="s">
        <v>17131</v>
      </c>
      <c r="AJ251" s="62" t="str">
        <f>MID('I kw.22'!W251,8,6)</f>
        <v>263102</v>
      </c>
      <c r="AK251" s="62">
        <v>1</v>
      </c>
      <c r="AL251" s="62">
        <f t="shared" si="3"/>
        <v>1</v>
      </c>
      <c r="AM251" s="62">
        <v>1</v>
      </c>
    </row>
    <row r="252" spans="1:39" x14ac:dyDescent="0.25">
      <c r="A252" s="35" t="s">
        <v>14490</v>
      </c>
      <c r="B252" s="35" t="s">
        <v>14495</v>
      </c>
      <c r="C252" s="35" t="s">
        <v>4977</v>
      </c>
      <c r="D252" s="35" t="s">
        <v>16845</v>
      </c>
      <c r="E252" s="35" t="s">
        <v>192</v>
      </c>
      <c r="F252" s="62">
        <v>1</v>
      </c>
      <c r="G252" s="30" t="s">
        <v>193</v>
      </c>
      <c r="H252" s="30" t="s">
        <v>194</v>
      </c>
      <c r="I252" s="30" t="s">
        <v>16048</v>
      </c>
      <c r="J252" s="35" t="s">
        <v>9302</v>
      </c>
      <c r="K252" s="35">
        <v>18</v>
      </c>
      <c r="L252" s="35" t="s">
        <v>6955</v>
      </c>
      <c r="M252" s="35"/>
      <c r="N252" s="35" t="s">
        <v>17130</v>
      </c>
      <c r="O252" s="35" t="s">
        <v>6286</v>
      </c>
      <c r="P252" s="35" t="s">
        <v>16843</v>
      </c>
      <c r="Q252" s="35" t="s">
        <v>16113</v>
      </c>
      <c r="R252" s="35" t="s">
        <v>16842</v>
      </c>
      <c r="S252" s="35">
        <v>2393747</v>
      </c>
      <c r="T252" s="35">
        <v>34283650</v>
      </c>
      <c r="U252" s="35"/>
      <c r="V252" s="30"/>
      <c r="W252" s="505" t="s">
        <v>4978</v>
      </c>
      <c r="X252" s="35" t="s">
        <v>193</v>
      </c>
      <c r="Y252" s="30">
        <v>25</v>
      </c>
      <c r="Z252" s="35"/>
      <c r="AA252" s="35"/>
      <c r="AB252" s="35"/>
      <c r="AC252" s="35"/>
      <c r="AD252" s="35"/>
      <c r="AE252" s="35"/>
      <c r="AF252" s="35"/>
      <c r="AG252" s="35"/>
      <c r="AH252" s="30" t="s">
        <v>4714</v>
      </c>
      <c r="AI252" s="35" t="s">
        <v>14495</v>
      </c>
      <c r="AJ252" s="62" t="str">
        <f>MID('I kw.22'!W252,8,6)</f>
        <v>242217</v>
      </c>
      <c r="AK252" s="62">
        <v>1</v>
      </c>
      <c r="AL252" s="62">
        <f t="shared" si="3"/>
        <v>1</v>
      </c>
      <c r="AM252" s="62">
        <v>1</v>
      </c>
    </row>
    <row r="253" spans="1:39" x14ac:dyDescent="0.25">
      <c r="A253" s="35" t="s">
        <v>14490</v>
      </c>
      <c r="B253" s="35" t="s">
        <v>17128</v>
      </c>
      <c r="C253" s="35" t="s">
        <v>18</v>
      </c>
      <c r="D253" s="35" t="s">
        <v>16845</v>
      </c>
      <c r="E253" s="35" t="s">
        <v>192</v>
      </c>
      <c r="F253" s="62">
        <v>1</v>
      </c>
      <c r="G253" s="30" t="s">
        <v>193</v>
      </c>
      <c r="H253" s="30" t="s">
        <v>194</v>
      </c>
      <c r="I253" s="30" t="s">
        <v>16068</v>
      </c>
      <c r="J253" s="35" t="s">
        <v>9302</v>
      </c>
      <c r="K253" s="35">
        <v>18</v>
      </c>
      <c r="L253" s="35" t="s">
        <v>6955</v>
      </c>
      <c r="M253" s="35"/>
      <c r="N253" s="35" t="s">
        <v>17129</v>
      </c>
      <c r="O253" s="35" t="s">
        <v>6286</v>
      </c>
      <c r="P253" s="35" t="s">
        <v>16843</v>
      </c>
      <c r="Q253" s="35" t="s">
        <v>16113</v>
      </c>
      <c r="R253" s="35" t="s">
        <v>16842</v>
      </c>
      <c r="S253" s="35">
        <v>2393777</v>
      </c>
      <c r="T253" s="35">
        <v>34283680</v>
      </c>
      <c r="U253" s="35"/>
      <c r="V253" s="30"/>
      <c r="W253" s="505" t="s">
        <v>1476</v>
      </c>
      <c r="X253" s="35" t="s">
        <v>193</v>
      </c>
      <c r="Y253" s="30">
        <v>25</v>
      </c>
      <c r="Z253" s="35"/>
      <c r="AA253" s="35"/>
      <c r="AB253" s="35"/>
      <c r="AC253" s="35"/>
      <c r="AD253" s="35"/>
      <c r="AE253" s="35"/>
      <c r="AF253" s="35"/>
      <c r="AG253" s="35"/>
      <c r="AH253" s="30" t="s">
        <v>4714</v>
      </c>
      <c r="AI253" s="35" t="s">
        <v>17128</v>
      </c>
      <c r="AJ253" s="62" t="str">
        <f>MID('I kw.22'!W253,8,6)</f>
        <v>242309</v>
      </c>
      <c r="AK253" s="62">
        <v>1</v>
      </c>
      <c r="AL253" s="62">
        <f t="shared" si="3"/>
        <v>1</v>
      </c>
      <c r="AM253" s="62">
        <v>1</v>
      </c>
    </row>
    <row r="254" spans="1:39" x14ac:dyDescent="0.25">
      <c r="A254" s="35" t="s">
        <v>14490</v>
      </c>
      <c r="B254" s="35" t="s">
        <v>17126</v>
      </c>
      <c r="C254" s="35" t="s">
        <v>80</v>
      </c>
      <c r="D254" s="35" t="s">
        <v>16845</v>
      </c>
      <c r="E254" s="35" t="s">
        <v>192</v>
      </c>
      <c r="F254" s="62">
        <v>1</v>
      </c>
      <c r="G254" s="30" t="s">
        <v>193</v>
      </c>
      <c r="H254" s="30" t="s">
        <v>194</v>
      </c>
      <c r="I254" s="30" t="s">
        <v>16048</v>
      </c>
      <c r="J254" s="35" t="s">
        <v>9302</v>
      </c>
      <c r="K254" s="35">
        <v>18</v>
      </c>
      <c r="L254" s="35" t="s">
        <v>6955</v>
      </c>
      <c r="M254" s="35"/>
      <c r="N254" s="35" t="s">
        <v>17127</v>
      </c>
      <c r="O254" s="35" t="s">
        <v>6254</v>
      </c>
      <c r="P254" s="35" t="s">
        <v>16843</v>
      </c>
      <c r="Q254" s="35" t="s">
        <v>16113</v>
      </c>
      <c r="R254" s="35" t="s">
        <v>16842</v>
      </c>
      <c r="S254" s="35">
        <v>2393793</v>
      </c>
      <c r="T254" s="35">
        <v>34283696</v>
      </c>
      <c r="U254" s="35"/>
      <c r="V254" s="30"/>
      <c r="W254" s="505" t="s">
        <v>474</v>
      </c>
      <c r="X254" s="35" t="s">
        <v>193</v>
      </c>
      <c r="Y254" s="30">
        <v>25</v>
      </c>
      <c r="Z254" s="35"/>
      <c r="AA254" s="35"/>
      <c r="AB254" s="35"/>
      <c r="AC254" s="35"/>
      <c r="AD254" s="35"/>
      <c r="AE254" s="35"/>
      <c r="AF254" s="35"/>
      <c r="AG254" s="35"/>
      <c r="AH254" s="30" t="s">
        <v>4714</v>
      </c>
      <c r="AI254" s="35" t="s">
        <v>17126</v>
      </c>
      <c r="AJ254" s="62" t="str">
        <f>MID('I kw.22'!W254,8,6)</f>
        <v>243304</v>
      </c>
      <c r="AK254" s="62">
        <v>1</v>
      </c>
      <c r="AL254" s="62">
        <f t="shared" si="3"/>
        <v>1</v>
      </c>
      <c r="AM254" s="62">
        <v>1</v>
      </c>
    </row>
    <row r="255" spans="1:39" x14ac:dyDescent="0.25">
      <c r="A255" s="35" t="s">
        <v>17105</v>
      </c>
      <c r="B255" s="35" t="s">
        <v>17124</v>
      </c>
      <c r="C255" s="35" t="s">
        <v>10</v>
      </c>
      <c r="D255" s="35" t="s">
        <v>16845</v>
      </c>
      <c r="E255" s="35" t="s">
        <v>192</v>
      </c>
      <c r="F255" s="62">
        <v>1</v>
      </c>
      <c r="G255" s="30" t="s">
        <v>193</v>
      </c>
      <c r="H255" s="30" t="s">
        <v>194</v>
      </c>
      <c r="I255" s="30" t="s">
        <v>16073</v>
      </c>
      <c r="J255" s="35" t="s">
        <v>9302</v>
      </c>
      <c r="K255" s="35">
        <v>18</v>
      </c>
      <c r="L255" s="35" t="s">
        <v>6955</v>
      </c>
      <c r="M255" s="35"/>
      <c r="N255" s="35" t="s">
        <v>17125</v>
      </c>
      <c r="O255" s="35" t="s">
        <v>6261</v>
      </c>
      <c r="P255" s="35" t="s">
        <v>16843</v>
      </c>
      <c r="Q255" s="35" t="s">
        <v>16113</v>
      </c>
      <c r="R255" s="35" t="s">
        <v>16842</v>
      </c>
      <c r="S255" s="35">
        <v>2393810</v>
      </c>
      <c r="T255" s="35">
        <v>34283713</v>
      </c>
      <c r="U255" s="35"/>
      <c r="V255" s="30"/>
      <c r="W255" s="505" t="s">
        <v>484</v>
      </c>
      <c r="X255" s="35" t="s">
        <v>193</v>
      </c>
      <c r="Y255" s="30">
        <v>25</v>
      </c>
      <c r="Z255" s="35"/>
      <c r="AA255" s="35"/>
      <c r="AB255" s="35"/>
      <c r="AC255" s="35"/>
      <c r="AD255" s="35"/>
      <c r="AE255" s="35"/>
      <c r="AF255" s="35"/>
      <c r="AG255" s="35"/>
      <c r="AH255" s="30" t="s">
        <v>4714</v>
      </c>
      <c r="AI255" s="35" t="s">
        <v>17124</v>
      </c>
      <c r="AJ255" s="62" t="str">
        <f>MID('I kw.22'!W255,8,6)</f>
        <v>251401</v>
      </c>
      <c r="AK255" s="62">
        <v>1</v>
      </c>
      <c r="AL255" s="62">
        <f t="shared" si="3"/>
        <v>1</v>
      </c>
      <c r="AM255" s="62">
        <v>1</v>
      </c>
    </row>
    <row r="256" spans="1:39" x14ac:dyDescent="0.25">
      <c r="A256" s="35" t="s">
        <v>17123</v>
      </c>
      <c r="B256" s="35" t="s">
        <v>17121</v>
      </c>
      <c r="C256" s="35" t="s">
        <v>17</v>
      </c>
      <c r="D256" s="35" t="s">
        <v>16845</v>
      </c>
      <c r="E256" s="35" t="s">
        <v>192</v>
      </c>
      <c r="F256" s="62">
        <v>1</v>
      </c>
      <c r="G256" s="30" t="s">
        <v>193</v>
      </c>
      <c r="H256" s="30" t="s">
        <v>194</v>
      </c>
      <c r="I256" s="30" t="s">
        <v>16073</v>
      </c>
      <c r="J256" s="35" t="s">
        <v>962</v>
      </c>
      <c r="K256" s="35">
        <v>18</v>
      </c>
      <c r="L256" s="35" t="s">
        <v>6955</v>
      </c>
      <c r="M256" s="35"/>
      <c r="N256" s="35" t="s">
        <v>17122</v>
      </c>
      <c r="O256" s="35" t="s">
        <v>6245</v>
      </c>
      <c r="P256" s="35" t="s">
        <v>16843</v>
      </c>
      <c r="Q256" s="35" t="s">
        <v>16113</v>
      </c>
      <c r="R256" s="35" t="s">
        <v>16842</v>
      </c>
      <c r="S256" s="35">
        <v>2393819</v>
      </c>
      <c r="T256" s="35">
        <v>34283722</v>
      </c>
      <c r="U256" s="35"/>
      <c r="V256" s="30">
        <v>1806</v>
      </c>
      <c r="W256" s="35" t="s">
        <v>624</v>
      </c>
      <c r="X256" s="35" t="s">
        <v>194</v>
      </c>
      <c r="Y256" s="30">
        <v>1</v>
      </c>
      <c r="Z256" s="35"/>
      <c r="AA256" s="35"/>
      <c r="AB256" s="35"/>
      <c r="AC256" s="35"/>
      <c r="AD256" s="35"/>
      <c r="AE256" s="35"/>
      <c r="AF256" s="35"/>
      <c r="AG256" s="35"/>
      <c r="AH256" s="30" t="s">
        <v>4714</v>
      </c>
      <c r="AI256" s="35" t="s">
        <v>17121</v>
      </c>
      <c r="AJ256" s="62" t="str">
        <f>MID('I kw.22'!W256,8,6)</f>
        <v>332203</v>
      </c>
      <c r="AK256" s="62">
        <v>1</v>
      </c>
      <c r="AL256" s="62">
        <f t="shared" si="3"/>
        <v>1</v>
      </c>
      <c r="AM256" s="62">
        <v>1</v>
      </c>
    </row>
    <row r="257" spans="1:39" x14ac:dyDescent="0.25">
      <c r="A257" s="35" t="s">
        <v>17105</v>
      </c>
      <c r="B257" s="35" t="s">
        <v>17119</v>
      </c>
      <c r="C257" s="35" t="s">
        <v>10</v>
      </c>
      <c r="D257" s="35" t="s">
        <v>16845</v>
      </c>
      <c r="E257" s="35" t="s">
        <v>192</v>
      </c>
      <c r="F257" s="62">
        <v>1</v>
      </c>
      <c r="G257" s="30" t="s">
        <v>193</v>
      </c>
      <c r="H257" s="30" t="s">
        <v>194</v>
      </c>
      <c r="I257" s="30" t="s">
        <v>16078</v>
      </c>
      <c r="J257" s="35" t="s">
        <v>9302</v>
      </c>
      <c r="K257" s="35">
        <v>18</v>
      </c>
      <c r="L257" s="35" t="s">
        <v>6955</v>
      </c>
      <c r="M257" s="35"/>
      <c r="N257" s="35" t="s">
        <v>17120</v>
      </c>
      <c r="O257" s="35" t="s">
        <v>6261</v>
      </c>
      <c r="P257" s="35" t="s">
        <v>16843</v>
      </c>
      <c r="Q257" s="35" t="s">
        <v>16113</v>
      </c>
      <c r="R257" s="35" t="s">
        <v>16842</v>
      </c>
      <c r="S257" s="35">
        <v>2393842</v>
      </c>
      <c r="T257" s="35">
        <v>34283745</v>
      </c>
      <c r="U257" s="35"/>
      <c r="V257" s="30"/>
      <c r="W257" s="505" t="s">
        <v>484</v>
      </c>
      <c r="X257" s="35" t="s">
        <v>193</v>
      </c>
      <c r="Y257" s="30">
        <v>25</v>
      </c>
      <c r="Z257" s="35"/>
      <c r="AA257" s="35"/>
      <c r="AB257" s="35"/>
      <c r="AC257" s="35"/>
      <c r="AD257" s="35"/>
      <c r="AE257" s="35"/>
      <c r="AF257" s="35"/>
      <c r="AG257" s="35"/>
      <c r="AH257" s="30" t="s">
        <v>4714</v>
      </c>
      <c r="AI257" s="35" t="s">
        <v>17119</v>
      </c>
      <c r="AJ257" s="62" t="str">
        <f>MID('I kw.22'!W257,8,6)</f>
        <v>251401</v>
      </c>
      <c r="AK257" s="62">
        <v>1</v>
      </c>
      <c r="AL257" s="62">
        <f t="shared" si="3"/>
        <v>1</v>
      </c>
      <c r="AM257" s="62">
        <v>1</v>
      </c>
    </row>
    <row r="258" spans="1:39" x14ac:dyDescent="0.25">
      <c r="A258" s="35" t="s">
        <v>9346</v>
      </c>
      <c r="B258" s="35" t="s">
        <v>17117</v>
      </c>
      <c r="C258" s="35" t="s">
        <v>37</v>
      </c>
      <c r="D258" s="35" t="s">
        <v>16845</v>
      </c>
      <c r="E258" s="35" t="s">
        <v>192</v>
      </c>
      <c r="F258" s="62">
        <v>1</v>
      </c>
      <c r="G258" s="30" t="s">
        <v>193</v>
      </c>
      <c r="H258" s="30" t="s">
        <v>194</v>
      </c>
      <c r="I258" s="30" t="s">
        <v>16048</v>
      </c>
      <c r="J258" s="35" t="s">
        <v>9302</v>
      </c>
      <c r="K258" s="35">
        <v>18</v>
      </c>
      <c r="L258" s="35" t="s">
        <v>6955</v>
      </c>
      <c r="M258" s="35"/>
      <c r="N258" s="35" t="s">
        <v>17118</v>
      </c>
      <c r="O258" s="35" t="s">
        <v>6921</v>
      </c>
      <c r="P258" s="35" t="s">
        <v>16843</v>
      </c>
      <c r="Q258" s="35" t="s">
        <v>16113</v>
      </c>
      <c r="R258" s="35" t="s">
        <v>16842</v>
      </c>
      <c r="S258" s="35">
        <v>2393857</v>
      </c>
      <c r="T258" s="35">
        <v>34283760</v>
      </c>
      <c r="U258" s="35"/>
      <c r="V258" s="30"/>
      <c r="W258" s="505" t="s">
        <v>516</v>
      </c>
      <c r="X258" s="35" t="s">
        <v>193</v>
      </c>
      <c r="Y258" s="30">
        <v>25</v>
      </c>
      <c r="Z258" s="35"/>
      <c r="AA258" s="35"/>
      <c r="AB258" s="35"/>
      <c r="AC258" s="35"/>
      <c r="AD258" s="35"/>
      <c r="AE258" s="35"/>
      <c r="AF258" s="35"/>
      <c r="AG258" s="35"/>
      <c r="AH258" s="30" t="s">
        <v>4714</v>
      </c>
      <c r="AI258" s="35" t="s">
        <v>17117</v>
      </c>
      <c r="AJ258" s="62" t="str">
        <f>MID('I kw.22'!W258,8,6)</f>
        <v>252302</v>
      </c>
      <c r="AK258" s="62">
        <v>1</v>
      </c>
      <c r="AL258" s="62">
        <f t="shared" si="3"/>
        <v>1</v>
      </c>
      <c r="AM258" s="62">
        <v>1</v>
      </c>
    </row>
    <row r="259" spans="1:39" x14ac:dyDescent="0.25">
      <c r="A259" s="35" t="s">
        <v>17105</v>
      </c>
      <c r="B259" s="35" t="s">
        <v>17115</v>
      </c>
      <c r="C259" s="35" t="s">
        <v>1408</v>
      </c>
      <c r="D259" s="35" t="s">
        <v>16845</v>
      </c>
      <c r="E259" s="35" t="s">
        <v>192</v>
      </c>
      <c r="F259" s="62">
        <v>1</v>
      </c>
      <c r="G259" s="30" t="s">
        <v>193</v>
      </c>
      <c r="H259" s="30" t="s">
        <v>194</v>
      </c>
      <c r="I259" s="30" t="s">
        <v>16078</v>
      </c>
      <c r="J259" s="35" t="s">
        <v>9302</v>
      </c>
      <c r="K259" s="35">
        <v>18</v>
      </c>
      <c r="L259" s="35" t="s">
        <v>6955</v>
      </c>
      <c r="M259" s="35"/>
      <c r="N259" s="35" t="s">
        <v>17116</v>
      </c>
      <c r="O259" s="35" t="s">
        <v>6921</v>
      </c>
      <c r="P259" s="35" t="s">
        <v>16843</v>
      </c>
      <c r="Q259" s="35" t="s">
        <v>16113</v>
      </c>
      <c r="R259" s="35" t="s">
        <v>16842</v>
      </c>
      <c r="S259" s="35">
        <v>2393874</v>
      </c>
      <c r="T259" s="35">
        <v>34283777</v>
      </c>
      <c r="U259" s="35"/>
      <c r="V259" s="30"/>
      <c r="W259" s="505" t="s">
        <v>1409</v>
      </c>
      <c r="X259" s="35" t="s">
        <v>193</v>
      </c>
      <c r="Y259" s="30">
        <v>25</v>
      </c>
      <c r="Z259" s="35"/>
      <c r="AA259" s="35"/>
      <c r="AB259" s="35"/>
      <c r="AC259" s="35"/>
      <c r="AD259" s="35"/>
      <c r="AE259" s="35"/>
      <c r="AF259" s="35"/>
      <c r="AG259" s="35"/>
      <c r="AH259" s="30" t="s">
        <v>4714</v>
      </c>
      <c r="AI259" s="35" t="s">
        <v>17115</v>
      </c>
      <c r="AJ259" s="62" t="str">
        <f>MID('I kw.22'!W259,8,6)</f>
        <v>251402</v>
      </c>
      <c r="AK259" s="62">
        <v>1</v>
      </c>
      <c r="AL259" s="62">
        <f t="shared" ref="AL259:AL322" si="4">SUM(F259)</f>
        <v>1</v>
      </c>
      <c r="AM259" s="62">
        <v>1</v>
      </c>
    </row>
    <row r="260" spans="1:39" x14ac:dyDescent="0.25">
      <c r="A260" s="35" t="s">
        <v>17105</v>
      </c>
      <c r="B260" s="35" t="s">
        <v>17113</v>
      </c>
      <c r="C260" s="35" t="s">
        <v>1384</v>
      </c>
      <c r="D260" s="35" t="s">
        <v>16845</v>
      </c>
      <c r="E260" s="35" t="s">
        <v>192</v>
      </c>
      <c r="F260" s="62">
        <v>1</v>
      </c>
      <c r="G260" s="30" t="s">
        <v>193</v>
      </c>
      <c r="H260" s="30" t="s">
        <v>194</v>
      </c>
      <c r="I260" s="30" t="s">
        <v>16121</v>
      </c>
      <c r="J260" s="35" t="s">
        <v>9302</v>
      </c>
      <c r="K260" s="35">
        <v>18</v>
      </c>
      <c r="L260" s="35" t="s">
        <v>6955</v>
      </c>
      <c r="M260" s="35"/>
      <c r="N260" s="35" t="s">
        <v>17114</v>
      </c>
      <c r="O260" s="35" t="s">
        <v>6921</v>
      </c>
      <c r="P260" s="35" t="s">
        <v>16843</v>
      </c>
      <c r="Q260" s="35" t="s">
        <v>16113</v>
      </c>
      <c r="R260" s="35" t="s">
        <v>16842</v>
      </c>
      <c r="S260" s="35">
        <v>2393890</v>
      </c>
      <c r="T260" s="35">
        <v>34283793</v>
      </c>
      <c r="U260" s="35"/>
      <c r="V260" s="30"/>
      <c r="W260" s="505" t="s">
        <v>1385</v>
      </c>
      <c r="X260" s="35" t="s">
        <v>193</v>
      </c>
      <c r="Y260" s="30">
        <v>25</v>
      </c>
      <c r="Z260" s="35"/>
      <c r="AA260" s="35"/>
      <c r="AB260" s="35"/>
      <c r="AC260" s="35"/>
      <c r="AD260" s="35"/>
      <c r="AE260" s="35"/>
      <c r="AF260" s="35"/>
      <c r="AG260" s="35"/>
      <c r="AH260" s="30" t="s">
        <v>4714</v>
      </c>
      <c r="AI260" s="35" t="s">
        <v>17113</v>
      </c>
      <c r="AJ260" s="62" t="str">
        <f>MID('I kw.22'!W260,8,6)</f>
        <v>235915</v>
      </c>
      <c r="AK260" s="62">
        <v>1</v>
      </c>
      <c r="AL260" s="62">
        <f t="shared" si="4"/>
        <v>1</v>
      </c>
      <c r="AM260" s="62">
        <v>1</v>
      </c>
    </row>
    <row r="261" spans="1:39" x14ac:dyDescent="0.25">
      <c r="A261" s="35" t="s">
        <v>17112</v>
      </c>
      <c r="B261" s="35" t="s">
        <v>17110</v>
      </c>
      <c r="C261" s="35" t="s">
        <v>98</v>
      </c>
      <c r="D261" s="35" t="s">
        <v>16845</v>
      </c>
      <c r="E261" s="35" t="s">
        <v>192</v>
      </c>
      <c r="F261" s="62">
        <v>1</v>
      </c>
      <c r="G261" s="30" t="s">
        <v>193</v>
      </c>
      <c r="H261" s="30" t="s">
        <v>194</v>
      </c>
      <c r="I261" s="30" t="s">
        <v>16061</v>
      </c>
      <c r="J261" s="35" t="s">
        <v>9302</v>
      </c>
      <c r="K261" s="35">
        <v>18</v>
      </c>
      <c r="L261" s="35" t="s">
        <v>6955</v>
      </c>
      <c r="M261" s="35"/>
      <c r="N261" s="35" t="s">
        <v>17111</v>
      </c>
      <c r="O261" s="35" t="s">
        <v>6295</v>
      </c>
      <c r="P261" s="35" t="s">
        <v>16843</v>
      </c>
      <c r="Q261" s="35" t="s">
        <v>16113</v>
      </c>
      <c r="R261" s="35" t="s">
        <v>16842</v>
      </c>
      <c r="S261" s="35">
        <v>2393906</v>
      </c>
      <c r="T261" s="35">
        <v>34283809</v>
      </c>
      <c r="U261" s="35"/>
      <c r="V261" s="30"/>
      <c r="W261" s="505" t="s">
        <v>1973</v>
      </c>
      <c r="X261" s="35" t="s">
        <v>193</v>
      </c>
      <c r="Y261" s="30">
        <v>25</v>
      </c>
      <c r="Z261" s="35"/>
      <c r="AA261" s="35"/>
      <c r="AB261" s="35"/>
      <c r="AC261" s="35"/>
      <c r="AD261" s="35"/>
      <c r="AE261" s="35"/>
      <c r="AF261" s="35"/>
      <c r="AG261" s="35"/>
      <c r="AH261" s="30" t="s">
        <v>4714</v>
      </c>
      <c r="AI261" s="35" t="s">
        <v>17110</v>
      </c>
      <c r="AJ261" s="62" t="str">
        <f>MID('I kw.22'!W261,8,6)</f>
        <v>214502</v>
      </c>
      <c r="AK261" s="62">
        <v>1</v>
      </c>
      <c r="AL261" s="62">
        <f t="shared" si="4"/>
        <v>1</v>
      </c>
      <c r="AM261" s="62">
        <v>1</v>
      </c>
    </row>
    <row r="262" spans="1:39" x14ac:dyDescent="0.25">
      <c r="A262" s="35" t="s">
        <v>9346</v>
      </c>
      <c r="B262" s="35" t="s">
        <v>17108</v>
      </c>
      <c r="C262" s="35" t="s">
        <v>8953</v>
      </c>
      <c r="D262" s="35" t="s">
        <v>16845</v>
      </c>
      <c r="E262" s="35" t="s">
        <v>192</v>
      </c>
      <c r="F262" s="62">
        <v>1</v>
      </c>
      <c r="G262" s="30" t="s">
        <v>193</v>
      </c>
      <c r="H262" s="30" t="s">
        <v>194</v>
      </c>
      <c r="I262" s="30" t="s">
        <v>16061</v>
      </c>
      <c r="J262" s="35" t="s">
        <v>9302</v>
      </c>
      <c r="K262" s="35">
        <v>18</v>
      </c>
      <c r="L262" s="35" t="s">
        <v>6955</v>
      </c>
      <c r="M262" s="35"/>
      <c r="N262" s="35" t="s">
        <v>17109</v>
      </c>
      <c r="O262" s="35" t="s">
        <v>6295</v>
      </c>
      <c r="P262" s="35" t="s">
        <v>16843</v>
      </c>
      <c r="Q262" s="35" t="s">
        <v>16113</v>
      </c>
      <c r="R262" s="35" t="s">
        <v>16842</v>
      </c>
      <c r="S262" s="35">
        <v>2393921</v>
      </c>
      <c r="T262" s="35">
        <v>34283824</v>
      </c>
      <c r="U262" s="35"/>
      <c r="V262" s="30"/>
      <c r="W262" s="505" t="s">
        <v>8955</v>
      </c>
      <c r="X262" s="35" t="s">
        <v>193</v>
      </c>
      <c r="Y262" s="30">
        <v>25</v>
      </c>
      <c r="Z262" s="35"/>
      <c r="AA262" s="35"/>
      <c r="AB262" s="35"/>
      <c r="AC262" s="35"/>
      <c r="AD262" s="35"/>
      <c r="AE262" s="35"/>
      <c r="AF262" s="35"/>
      <c r="AG262" s="35"/>
      <c r="AH262" s="30" t="s">
        <v>4714</v>
      </c>
      <c r="AI262" s="35" t="s">
        <v>17108</v>
      </c>
      <c r="AJ262" s="62" t="str">
        <f>MID('I kw.22'!W262,8,6)</f>
        <v>252103</v>
      </c>
      <c r="AK262" s="62">
        <v>1</v>
      </c>
      <c r="AL262" s="62">
        <f t="shared" si="4"/>
        <v>1</v>
      </c>
      <c r="AM262" s="62">
        <v>1</v>
      </c>
    </row>
    <row r="263" spans="1:39" x14ac:dyDescent="0.25">
      <c r="A263" s="35" t="s">
        <v>9346</v>
      </c>
      <c r="B263" s="35" t="s">
        <v>17106</v>
      </c>
      <c r="C263" s="35" t="s">
        <v>3427</v>
      </c>
      <c r="D263" s="35" t="s">
        <v>16845</v>
      </c>
      <c r="E263" s="35" t="s">
        <v>192</v>
      </c>
      <c r="F263" s="62">
        <v>1</v>
      </c>
      <c r="G263" s="30" t="s">
        <v>193</v>
      </c>
      <c r="H263" s="30" t="s">
        <v>194</v>
      </c>
      <c r="I263" s="30" t="s">
        <v>16066</v>
      </c>
      <c r="J263" s="35" t="s">
        <v>9302</v>
      </c>
      <c r="K263" s="35">
        <v>18</v>
      </c>
      <c r="L263" s="35" t="s">
        <v>6955</v>
      </c>
      <c r="M263" s="35"/>
      <c r="N263" s="35" t="s">
        <v>17107</v>
      </c>
      <c r="O263" s="35" t="s">
        <v>6290</v>
      </c>
      <c r="P263" s="35" t="s">
        <v>16843</v>
      </c>
      <c r="Q263" s="35" t="s">
        <v>16113</v>
      </c>
      <c r="R263" s="35" t="s">
        <v>16842</v>
      </c>
      <c r="S263" s="35">
        <v>2393937</v>
      </c>
      <c r="T263" s="35">
        <v>34283840</v>
      </c>
      <c r="U263" s="35"/>
      <c r="V263" s="30"/>
      <c r="W263" s="505" t="s">
        <v>3428</v>
      </c>
      <c r="X263" s="35" t="s">
        <v>193</v>
      </c>
      <c r="Y263" s="30">
        <v>25</v>
      </c>
      <c r="Z263" s="35"/>
      <c r="AA263" s="35"/>
      <c r="AB263" s="35"/>
      <c r="AC263" s="35"/>
      <c r="AD263" s="35"/>
      <c r="AE263" s="35"/>
      <c r="AF263" s="35"/>
      <c r="AG263" s="35"/>
      <c r="AH263" s="30" t="s">
        <v>4714</v>
      </c>
      <c r="AI263" s="35" t="s">
        <v>17106</v>
      </c>
      <c r="AJ263" s="62" t="str">
        <f>MID('I kw.22'!W263,8,6)</f>
        <v>251202</v>
      </c>
      <c r="AK263" s="62">
        <v>1</v>
      </c>
      <c r="AL263" s="62">
        <f t="shared" si="4"/>
        <v>1</v>
      </c>
      <c r="AM263" s="62">
        <v>1</v>
      </c>
    </row>
    <row r="264" spans="1:39" x14ac:dyDescent="0.25">
      <c r="A264" s="35" t="s">
        <v>17105</v>
      </c>
      <c r="B264" s="35" t="s">
        <v>17103</v>
      </c>
      <c r="C264" s="35" t="s">
        <v>1554</v>
      </c>
      <c r="D264" s="35" t="s">
        <v>16845</v>
      </c>
      <c r="E264" s="35" t="s">
        <v>192</v>
      </c>
      <c r="F264" s="62">
        <v>1</v>
      </c>
      <c r="G264" s="30" t="s">
        <v>193</v>
      </c>
      <c r="H264" s="30" t="s">
        <v>194</v>
      </c>
      <c r="I264" s="30" t="s">
        <v>16083</v>
      </c>
      <c r="J264" s="35" t="s">
        <v>9302</v>
      </c>
      <c r="K264" s="35">
        <v>18</v>
      </c>
      <c r="L264" s="35" t="s">
        <v>6955</v>
      </c>
      <c r="M264" s="35"/>
      <c r="N264" s="35" t="s">
        <v>17104</v>
      </c>
      <c r="O264" s="35" t="s">
        <v>6261</v>
      </c>
      <c r="P264" s="35" t="s">
        <v>16843</v>
      </c>
      <c r="Q264" s="35" t="s">
        <v>16113</v>
      </c>
      <c r="R264" s="35" t="s">
        <v>16842</v>
      </c>
      <c r="S264" s="35">
        <v>2393954</v>
      </c>
      <c r="T264" s="35">
        <v>34283857</v>
      </c>
      <c r="U264" s="35"/>
      <c r="V264" s="30"/>
      <c r="W264" s="505" t="s">
        <v>1555</v>
      </c>
      <c r="X264" s="35" t="s">
        <v>193</v>
      </c>
      <c r="Y264" s="30">
        <v>25</v>
      </c>
      <c r="Z264" s="35"/>
      <c r="AA264" s="35"/>
      <c r="AB264" s="35"/>
      <c r="AC264" s="35"/>
      <c r="AD264" s="35"/>
      <c r="AE264" s="35"/>
      <c r="AF264" s="35"/>
      <c r="AG264" s="35"/>
      <c r="AH264" s="30" t="s">
        <v>4714</v>
      </c>
      <c r="AI264" s="35" t="s">
        <v>17103</v>
      </c>
      <c r="AJ264" s="62" t="str">
        <f>MID('I kw.22'!W264,8,6)</f>
        <v>112013</v>
      </c>
      <c r="AK264" s="62">
        <v>1</v>
      </c>
      <c r="AL264" s="62">
        <f t="shared" si="4"/>
        <v>1</v>
      </c>
      <c r="AM264" s="62">
        <v>1</v>
      </c>
    </row>
    <row r="265" spans="1:39" x14ac:dyDescent="0.25">
      <c r="A265" s="35" t="s">
        <v>17102</v>
      </c>
      <c r="B265" s="35" t="s">
        <v>632</v>
      </c>
      <c r="C265" s="35" t="s">
        <v>17</v>
      </c>
      <c r="D265" s="35" t="s">
        <v>16845</v>
      </c>
      <c r="E265" s="35" t="s">
        <v>192</v>
      </c>
      <c r="F265" s="62">
        <v>1</v>
      </c>
      <c r="G265" s="30" t="s">
        <v>193</v>
      </c>
      <c r="H265" s="30" t="s">
        <v>194</v>
      </c>
      <c r="I265" s="30" t="s">
        <v>16052</v>
      </c>
      <c r="J265" s="35" t="s">
        <v>9302</v>
      </c>
      <c r="K265" s="35">
        <v>18</v>
      </c>
      <c r="L265" s="35" t="s">
        <v>6955</v>
      </c>
      <c r="M265" s="35"/>
      <c r="N265" s="35" t="s">
        <v>17101</v>
      </c>
      <c r="O265" s="35" t="s">
        <v>6245</v>
      </c>
      <c r="P265" s="35" t="s">
        <v>16894</v>
      </c>
      <c r="Q265" s="35" t="s">
        <v>16113</v>
      </c>
      <c r="R265" s="35" t="s">
        <v>16842</v>
      </c>
      <c r="S265" s="35">
        <v>2393972</v>
      </c>
      <c r="T265" s="35">
        <v>34283875</v>
      </c>
      <c r="U265" s="35"/>
      <c r="V265" s="30"/>
      <c r="W265" s="505" t="s">
        <v>624</v>
      </c>
      <c r="X265" s="35" t="s">
        <v>193</v>
      </c>
      <c r="Y265" s="30">
        <v>25</v>
      </c>
      <c r="Z265" s="35"/>
      <c r="AA265" s="35"/>
      <c r="AB265" s="35"/>
      <c r="AC265" s="35"/>
      <c r="AD265" s="35"/>
      <c r="AE265" s="35"/>
      <c r="AF265" s="35"/>
      <c r="AG265" s="35"/>
      <c r="AH265" s="30" t="s">
        <v>4714</v>
      </c>
      <c r="AI265" s="35" t="s">
        <v>17</v>
      </c>
      <c r="AJ265" s="62" t="str">
        <f>MID('I kw.22'!W265,8,6)</f>
        <v>332203</v>
      </c>
      <c r="AK265" s="62">
        <v>1</v>
      </c>
      <c r="AL265" s="62">
        <f t="shared" si="4"/>
        <v>1</v>
      </c>
      <c r="AM265" s="62">
        <v>1</v>
      </c>
    </row>
    <row r="266" spans="1:39" x14ac:dyDescent="0.25">
      <c r="A266" s="35" t="s">
        <v>4887</v>
      </c>
      <c r="B266" s="35" t="s">
        <v>14713</v>
      </c>
      <c r="C266" s="35" t="s">
        <v>14713</v>
      </c>
      <c r="D266" s="35" t="s">
        <v>16845</v>
      </c>
      <c r="E266" s="35" t="s">
        <v>192</v>
      </c>
      <c r="F266" s="62">
        <v>1</v>
      </c>
      <c r="G266" s="30" t="s">
        <v>193</v>
      </c>
      <c r="H266" s="30" t="s">
        <v>194</v>
      </c>
      <c r="I266" s="30" t="s">
        <v>16052</v>
      </c>
      <c r="J266" s="35" t="s">
        <v>9302</v>
      </c>
      <c r="K266" s="35">
        <v>18</v>
      </c>
      <c r="L266" s="35" t="s">
        <v>6955</v>
      </c>
      <c r="M266" s="35"/>
      <c r="N266" s="35" t="s">
        <v>17100</v>
      </c>
      <c r="O266" s="35" t="s">
        <v>6258</v>
      </c>
      <c r="P266" s="35" t="s">
        <v>16843</v>
      </c>
      <c r="Q266" s="35" t="s">
        <v>16113</v>
      </c>
      <c r="R266" s="35" t="s">
        <v>16842</v>
      </c>
      <c r="S266" s="35">
        <v>2393987</v>
      </c>
      <c r="T266" s="35">
        <v>34283890</v>
      </c>
      <c r="U266" s="35"/>
      <c r="V266" s="30"/>
      <c r="W266" s="505" t="s">
        <v>17099</v>
      </c>
      <c r="X266" s="35" t="s">
        <v>193</v>
      </c>
      <c r="Y266" s="30">
        <v>25</v>
      </c>
      <c r="Z266" s="35"/>
      <c r="AA266" s="35"/>
      <c r="AB266" s="35"/>
      <c r="AC266" s="35"/>
      <c r="AD266" s="35"/>
      <c r="AE266" s="35"/>
      <c r="AF266" s="35"/>
      <c r="AG266" s="35"/>
      <c r="AH266" s="30" t="s">
        <v>4714</v>
      </c>
      <c r="AI266" s="35" t="s">
        <v>14713</v>
      </c>
      <c r="AJ266" s="62" t="str">
        <f>MID('I kw.22'!W266,8,6)</f>
        <v>741105</v>
      </c>
      <c r="AK266" s="62">
        <v>1</v>
      </c>
      <c r="AL266" s="62">
        <f t="shared" si="4"/>
        <v>1</v>
      </c>
      <c r="AM266" s="62">
        <v>1</v>
      </c>
    </row>
    <row r="267" spans="1:39" x14ac:dyDescent="0.25">
      <c r="A267" s="35" t="s">
        <v>11473</v>
      </c>
      <c r="B267" s="35" t="s">
        <v>2276</v>
      </c>
      <c r="C267" s="35" t="s">
        <v>10</v>
      </c>
      <c r="D267" s="35" t="s">
        <v>16845</v>
      </c>
      <c r="E267" s="35" t="s">
        <v>192</v>
      </c>
      <c r="F267" s="62">
        <v>1</v>
      </c>
      <c r="G267" s="30" t="s">
        <v>193</v>
      </c>
      <c r="H267" s="30" t="s">
        <v>194</v>
      </c>
      <c r="I267" s="30" t="s">
        <v>16121</v>
      </c>
      <c r="J267" s="35" t="s">
        <v>9302</v>
      </c>
      <c r="K267" s="35">
        <v>18</v>
      </c>
      <c r="L267" s="35" t="s">
        <v>6955</v>
      </c>
      <c r="M267" s="35"/>
      <c r="N267" s="35" t="s">
        <v>17098</v>
      </c>
      <c r="O267" s="35" t="s">
        <v>6261</v>
      </c>
      <c r="P267" s="35" t="s">
        <v>16843</v>
      </c>
      <c r="Q267" s="35" t="s">
        <v>16113</v>
      </c>
      <c r="R267" s="35" t="s">
        <v>16842</v>
      </c>
      <c r="S267" s="35">
        <v>2394007</v>
      </c>
      <c r="T267" s="35">
        <v>34283910</v>
      </c>
      <c r="U267" s="35"/>
      <c r="V267" s="30"/>
      <c r="W267" s="505" t="s">
        <v>484</v>
      </c>
      <c r="X267" s="35" t="s">
        <v>193</v>
      </c>
      <c r="Y267" s="30">
        <v>25</v>
      </c>
      <c r="Z267" s="35"/>
      <c r="AA267" s="35"/>
      <c r="AB267" s="35"/>
      <c r="AC267" s="35"/>
      <c r="AD267" s="35"/>
      <c r="AE267" s="35"/>
      <c r="AF267" s="35"/>
      <c r="AG267" s="35"/>
      <c r="AH267" s="30" t="s">
        <v>4714</v>
      </c>
      <c r="AI267" s="35" t="s">
        <v>2276</v>
      </c>
      <c r="AJ267" s="62" t="str">
        <f>MID('I kw.22'!W267,8,6)</f>
        <v>251401</v>
      </c>
      <c r="AK267" s="62">
        <v>1</v>
      </c>
      <c r="AL267" s="62">
        <f t="shared" si="4"/>
        <v>1</v>
      </c>
      <c r="AM267" s="62">
        <v>1</v>
      </c>
    </row>
    <row r="268" spans="1:39" x14ac:dyDescent="0.25">
      <c r="A268" s="35" t="s">
        <v>11473</v>
      </c>
      <c r="B268" s="35" t="s">
        <v>1406</v>
      </c>
      <c r="C268" s="35" t="s">
        <v>10</v>
      </c>
      <c r="D268" s="35" t="s">
        <v>16845</v>
      </c>
      <c r="E268" s="35" t="s">
        <v>192</v>
      </c>
      <c r="F268" s="62">
        <v>1</v>
      </c>
      <c r="G268" s="30" t="s">
        <v>193</v>
      </c>
      <c r="H268" s="30" t="s">
        <v>194</v>
      </c>
      <c r="I268" s="30" t="s">
        <v>16052</v>
      </c>
      <c r="J268" s="35" t="s">
        <v>9302</v>
      </c>
      <c r="K268" s="35">
        <v>18</v>
      </c>
      <c r="L268" s="35" t="s">
        <v>6955</v>
      </c>
      <c r="M268" s="35"/>
      <c r="N268" s="35" t="s">
        <v>17097</v>
      </c>
      <c r="O268" s="35" t="s">
        <v>6261</v>
      </c>
      <c r="P268" s="35" t="s">
        <v>16843</v>
      </c>
      <c r="Q268" s="35" t="s">
        <v>16113</v>
      </c>
      <c r="R268" s="35" t="s">
        <v>16842</v>
      </c>
      <c r="S268" s="35">
        <v>2394023</v>
      </c>
      <c r="T268" s="35">
        <v>34283926</v>
      </c>
      <c r="U268" s="35"/>
      <c r="V268" s="30"/>
      <c r="W268" s="505" t="s">
        <v>484</v>
      </c>
      <c r="X268" s="35" t="s">
        <v>193</v>
      </c>
      <c r="Y268" s="30">
        <v>25</v>
      </c>
      <c r="Z268" s="35"/>
      <c r="AA268" s="35"/>
      <c r="AB268" s="35"/>
      <c r="AC268" s="35"/>
      <c r="AD268" s="35"/>
      <c r="AE268" s="35"/>
      <c r="AF268" s="35"/>
      <c r="AG268" s="35"/>
      <c r="AH268" s="30" t="s">
        <v>4714</v>
      </c>
      <c r="AI268" s="35" t="s">
        <v>1406</v>
      </c>
      <c r="AJ268" s="62" t="str">
        <f>MID('I kw.22'!W268,8,6)</f>
        <v>251401</v>
      </c>
      <c r="AK268" s="62">
        <v>1</v>
      </c>
      <c r="AL268" s="62">
        <f t="shared" si="4"/>
        <v>1</v>
      </c>
      <c r="AM268" s="62">
        <v>1</v>
      </c>
    </row>
    <row r="269" spans="1:39" x14ac:dyDescent="0.25">
      <c r="A269" s="35" t="s">
        <v>17096</v>
      </c>
      <c r="B269" s="35" t="s">
        <v>17094</v>
      </c>
      <c r="C269" s="35" t="s">
        <v>6241</v>
      </c>
      <c r="D269" s="35" t="s">
        <v>16845</v>
      </c>
      <c r="E269" s="35" t="s">
        <v>192</v>
      </c>
      <c r="F269" s="62">
        <v>1</v>
      </c>
      <c r="G269" s="30" t="s">
        <v>193</v>
      </c>
      <c r="H269" s="30" t="s">
        <v>194</v>
      </c>
      <c r="I269" s="30" t="s">
        <v>16078</v>
      </c>
      <c r="J269" s="35" t="s">
        <v>9302</v>
      </c>
      <c r="K269" s="35">
        <v>18</v>
      </c>
      <c r="L269" s="35" t="s">
        <v>6955</v>
      </c>
      <c r="M269" s="35"/>
      <c r="N269" s="35" t="s">
        <v>17095</v>
      </c>
      <c r="O269" s="35" t="s">
        <v>6286</v>
      </c>
      <c r="P269" s="35" t="s">
        <v>16843</v>
      </c>
      <c r="Q269" s="35" t="s">
        <v>16113</v>
      </c>
      <c r="R269" s="35" t="s">
        <v>16842</v>
      </c>
      <c r="S269" s="35">
        <v>2394066</v>
      </c>
      <c r="T269" s="35">
        <v>34283969</v>
      </c>
      <c r="U269" s="35"/>
      <c r="V269" s="30"/>
      <c r="W269" s="505" t="s">
        <v>6243</v>
      </c>
      <c r="X269" s="35" t="s">
        <v>193</v>
      </c>
      <c r="Y269" s="30">
        <v>25</v>
      </c>
      <c r="Z269" s="35"/>
      <c r="AA269" s="35"/>
      <c r="AB269" s="35"/>
      <c r="AC269" s="35"/>
      <c r="AD269" s="35"/>
      <c r="AE269" s="35"/>
      <c r="AF269" s="35"/>
      <c r="AG269" s="35"/>
      <c r="AH269" s="30" t="s">
        <v>4714</v>
      </c>
      <c r="AI269" s="35" t="s">
        <v>17094</v>
      </c>
      <c r="AJ269" s="62" t="str">
        <f>MID('I kw.22'!W269,8,6)</f>
        <v>264104</v>
      </c>
      <c r="AK269" s="62">
        <v>1</v>
      </c>
      <c r="AL269" s="62">
        <f t="shared" si="4"/>
        <v>1</v>
      </c>
      <c r="AM269" s="62">
        <v>1</v>
      </c>
    </row>
    <row r="270" spans="1:39" x14ac:dyDescent="0.25">
      <c r="A270" s="35" t="s">
        <v>17093</v>
      </c>
      <c r="B270" s="35" t="s">
        <v>17090</v>
      </c>
      <c r="C270" s="35" t="s">
        <v>17092</v>
      </c>
      <c r="D270" s="35" t="s">
        <v>16845</v>
      </c>
      <c r="E270" s="35" t="s">
        <v>192</v>
      </c>
      <c r="F270" s="62">
        <v>1</v>
      </c>
      <c r="G270" s="30" t="s">
        <v>193</v>
      </c>
      <c r="H270" s="30" t="s">
        <v>194</v>
      </c>
      <c r="I270" s="30" t="s">
        <v>16066</v>
      </c>
      <c r="J270" s="35" t="s">
        <v>9302</v>
      </c>
      <c r="K270" s="35">
        <v>18</v>
      </c>
      <c r="L270" s="35" t="s">
        <v>6955</v>
      </c>
      <c r="M270" s="35"/>
      <c r="N270" s="35" t="s">
        <v>17091</v>
      </c>
      <c r="O270" s="35" t="s">
        <v>7531</v>
      </c>
      <c r="P270" s="35" t="s">
        <v>16843</v>
      </c>
      <c r="Q270" s="35" t="s">
        <v>16113</v>
      </c>
      <c r="R270" s="35" t="s">
        <v>16842</v>
      </c>
      <c r="S270" s="35">
        <v>2394081</v>
      </c>
      <c r="T270" s="35">
        <v>34283984</v>
      </c>
      <c r="U270" s="35"/>
      <c r="V270" s="30"/>
      <c r="W270" s="505" t="s">
        <v>1800</v>
      </c>
      <c r="X270" s="35" t="s">
        <v>193</v>
      </c>
      <c r="Y270" s="30">
        <v>25</v>
      </c>
      <c r="Z270" s="35"/>
      <c r="AA270" s="35"/>
      <c r="AB270" s="35"/>
      <c r="AC270" s="35"/>
      <c r="AD270" s="35"/>
      <c r="AE270" s="35"/>
      <c r="AF270" s="35"/>
      <c r="AG270" s="35"/>
      <c r="AH270" s="30" t="s">
        <v>4714</v>
      </c>
      <c r="AI270" s="35" t="s">
        <v>17090</v>
      </c>
      <c r="AJ270" s="62" t="str">
        <f>MID('I kw.22'!W270,8,6)</f>
        <v>242204</v>
      </c>
      <c r="AK270" s="62">
        <v>1</v>
      </c>
      <c r="AL270" s="62">
        <f t="shared" si="4"/>
        <v>1</v>
      </c>
      <c r="AM270" s="62">
        <v>1</v>
      </c>
    </row>
    <row r="271" spans="1:39" x14ac:dyDescent="0.25">
      <c r="A271" s="35" t="s">
        <v>17089</v>
      </c>
      <c r="B271" s="35" t="s">
        <v>17087</v>
      </c>
      <c r="C271" s="35" t="s">
        <v>10</v>
      </c>
      <c r="D271" s="35" t="s">
        <v>16845</v>
      </c>
      <c r="E271" s="35" t="s">
        <v>192</v>
      </c>
      <c r="F271" s="62">
        <v>1</v>
      </c>
      <c r="G271" s="30" t="s">
        <v>193</v>
      </c>
      <c r="H271" s="30" t="s">
        <v>194</v>
      </c>
      <c r="I271" s="30" t="s">
        <v>16073</v>
      </c>
      <c r="J271" s="35" t="s">
        <v>9302</v>
      </c>
      <c r="K271" s="35">
        <v>18</v>
      </c>
      <c r="L271" s="35" t="s">
        <v>6955</v>
      </c>
      <c r="M271" s="35"/>
      <c r="N271" s="35" t="s">
        <v>17088</v>
      </c>
      <c r="O271" s="35" t="s">
        <v>6261</v>
      </c>
      <c r="P271" s="35" t="s">
        <v>16843</v>
      </c>
      <c r="Q271" s="35" t="s">
        <v>16113</v>
      </c>
      <c r="R271" s="35" t="s">
        <v>16842</v>
      </c>
      <c r="S271" s="35">
        <v>2394096</v>
      </c>
      <c r="T271" s="35">
        <v>34283999</v>
      </c>
      <c r="U271" s="35"/>
      <c r="V271" s="30"/>
      <c r="W271" s="505" t="s">
        <v>484</v>
      </c>
      <c r="X271" s="35" t="s">
        <v>193</v>
      </c>
      <c r="Y271" s="30">
        <v>25</v>
      </c>
      <c r="Z271" s="35"/>
      <c r="AA271" s="35"/>
      <c r="AB271" s="35"/>
      <c r="AC271" s="35"/>
      <c r="AD271" s="35"/>
      <c r="AE271" s="35"/>
      <c r="AF271" s="35"/>
      <c r="AG271" s="35"/>
      <c r="AH271" s="30" t="s">
        <v>4714</v>
      </c>
      <c r="AI271" s="35" t="s">
        <v>17087</v>
      </c>
      <c r="AJ271" s="62" t="str">
        <f>MID('I kw.22'!W271,8,6)</f>
        <v>251401</v>
      </c>
      <c r="AK271" s="62">
        <v>1</v>
      </c>
      <c r="AL271" s="62">
        <f t="shared" si="4"/>
        <v>1</v>
      </c>
      <c r="AM271" s="62">
        <v>1</v>
      </c>
    </row>
    <row r="272" spans="1:39" x14ac:dyDescent="0.25">
      <c r="A272" s="35" t="s">
        <v>17086</v>
      </c>
      <c r="B272" s="35" t="s">
        <v>17084</v>
      </c>
      <c r="C272" s="35" t="s">
        <v>935</v>
      </c>
      <c r="D272" s="35" t="s">
        <v>16845</v>
      </c>
      <c r="E272" s="35" t="s">
        <v>192</v>
      </c>
      <c r="F272" s="62">
        <v>1</v>
      </c>
      <c r="G272" s="30" t="s">
        <v>193</v>
      </c>
      <c r="H272" s="30" t="s">
        <v>194</v>
      </c>
      <c r="I272" s="30" t="s">
        <v>16121</v>
      </c>
      <c r="J272" s="35" t="s">
        <v>9302</v>
      </c>
      <c r="K272" s="35">
        <v>18</v>
      </c>
      <c r="L272" s="35" t="s">
        <v>6955</v>
      </c>
      <c r="M272" s="35"/>
      <c r="N272" s="35" t="s">
        <v>17085</v>
      </c>
      <c r="O272" s="35" t="s">
        <v>6245</v>
      </c>
      <c r="P272" s="35" t="s">
        <v>16843</v>
      </c>
      <c r="Q272" s="35" t="s">
        <v>16113</v>
      </c>
      <c r="R272" s="35" t="s">
        <v>16842</v>
      </c>
      <c r="S272" s="35">
        <v>2394115</v>
      </c>
      <c r="T272" s="35">
        <v>34284018</v>
      </c>
      <c r="U272" s="35"/>
      <c r="V272" s="30"/>
      <c r="W272" s="505" t="s">
        <v>936</v>
      </c>
      <c r="X272" s="35" t="s">
        <v>193</v>
      </c>
      <c r="Y272" s="30">
        <v>25</v>
      </c>
      <c r="Z272" s="35"/>
      <c r="AA272" s="35"/>
      <c r="AB272" s="35"/>
      <c r="AC272" s="35"/>
      <c r="AD272" s="35"/>
      <c r="AE272" s="35"/>
      <c r="AF272" s="35"/>
      <c r="AG272" s="35"/>
      <c r="AH272" s="30" t="s">
        <v>4714</v>
      </c>
      <c r="AI272" s="35" t="s">
        <v>17084</v>
      </c>
      <c r="AJ272" s="62" t="str">
        <f>MID('I kw.22'!W272,8,6)</f>
        <v>213205</v>
      </c>
      <c r="AK272" s="62">
        <v>1</v>
      </c>
      <c r="AL272" s="62">
        <f t="shared" si="4"/>
        <v>1</v>
      </c>
      <c r="AM272" s="62">
        <v>1</v>
      </c>
    </row>
    <row r="273" spans="1:39" x14ac:dyDescent="0.25">
      <c r="A273" s="35" t="s">
        <v>17083</v>
      </c>
      <c r="B273" s="35" t="s">
        <v>1505</v>
      </c>
      <c r="C273" s="35" t="s">
        <v>102</v>
      </c>
      <c r="D273" s="35" t="s">
        <v>16845</v>
      </c>
      <c r="E273" s="35" t="s">
        <v>192</v>
      </c>
      <c r="F273" s="62">
        <v>1</v>
      </c>
      <c r="G273" s="30" t="s">
        <v>193</v>
      </c>
      <c r="H273" s="30" t="s">
        <v>194</v>
      </c>
      <c r="I273" s="30" t="s">
        <v>16078</v>
      </c>
      <c r="J273" s="35" t="s">
        <v>9302</v>
      </c>
      <c r="K273" s="35">
        <v>18</v>
      </c>
      <c r="L273" s="35" t="s">
        <v>6955</v>
      </c>
      <c r="M273" s="35"/>
      <c r="N273" s="35" t="s">
        <v>17082</v>
      </c>
      <c r="O273" s="35" t="s">
        <v>6389</v>
      </c>
      <c r="P273" s="35" t="s">
        <v>16843</v>
      </c>
      <c r="Q273" s="35" t="s">
        <v>16113</v>
      </c>
      <c r="R273" s="35" t="s">
        <v>16842</v>
      </c>
      <c r="S273" s="35">
        <v>2394138</v>
      </c>
      <c r="T273" s="35">
        <v>34284041</v>
      </c>
      <c r="U273" s="35"/>
      <c r="V273" s="30"/>
      <c r="W273" s="505" t="s">
        <v>1890</v>
      </c>
      <c r="X273" s="35" t="s">
        <v>193</v>
      </c>
      <c r="Y273" s="30">
        <v>25</v>
      </c>
      <c r="Z273" s="35"/>
      <c r="AA273" s="35"/>
      <c r="AB273" s="35"/>
      <c r="AC273" s="35"/>
      <c r="AD273" s="35"/>
      <c r="AE273" s="35"/>
      <c r="AF273" s="35"/>
      <c r="AG273" s="35"/>
      <c r="AH273" s="30" t="s">
        <v>4714</v>
      </c>
      <c r="AI273" s="35" t="s">
        <v>1505</v>
      </c>
      <c r="AJ273" s="62" t="str">
        <f>MID('I kw.22'!W273,8,6)</f>
        <v>216601</v>
      </c>
      <c r="AK273" s="62">
        <v>1</v>
      </c>
      <c r="AL273" s="62">
        <f t="shared" si="4"/>
        <v>1</v>
      </c>
      <c r="AM273" s="62">
        <v>1</v>
      </c>
    </row>
    <row r="274" spans="1:39" x14ac:dyDescent="0.25">
      <c r="A274" s="35" t="s">
        <v>17081</v>
      </c>
      <c r="B274" s="35" t="s">
        <v>5101</v>
      </c>
      <c r="C274" s="35" t="s">
        <v>10</v>
      </c>
      <c r="D274" s="35" t="s">
        <v>16845</v>
      </c>
      <c r="E274" s="35" t="s">
        <v>192</v>
      </c>
      <c r="F274" s="62">
        <v>1</v>
      </c>
      <c r="G274" s="30" t="s">
        <v>193</v>
      </c>
      <c r="H274" s="30" t="s">
        <v>194</v>
      </c>
      <c r="I274" s="30" t="s">
        <v>16073</v>
      </c>
      <c r="J274" s="35" t="s">
        <v>9302</v>
      </c>
      <c r="K274" s="35">
        <v>18</v>
      </c>
      <c r="L274" s="35" t="s">
        <v>6955</v>
      </c>
      <c r="M274" s="35"/>
      <c r="N274" s="35" t="s">
        <v>17080</v>
      </c>
      <c r="O274" s="35" t="s">
        <v>6261</v>
      </c>
      <c r="P274" s="35" t="s">
        <v>16843</v>
      </c>
      <c r="Q274" s="35" t="s">
        <v>16113</v>
      </c>
      <c r="R274" s="35" t="s">
        <v>16842</v>
      </c>
      <c r="S274" s="35">
        <v>2394166</v>
      </c>
      <c r="T274" s="35">
        <v>34284069</v>
      </c>
      <c r="U274" s="35"/>
      <c r="V274" s="30"/>
      <c r="W274" s="505" t="s">
        <v>484</v>
      </c>
      <c r="X274" s="35" t="s">
        <v>193</v>
      </c>
      <c r="Y274" s="30">
        <v>25</v>
      </c>
      <c r="Z274" s="35"/>
      <c r="AA274" s="35"/>
      <c r="AB274" s="35"/>
      <c r="AC274" s="35"/>
      <c r="AD274" s="35"/>
      <c r="AE274" s="35"/>
      <c r="AF274" s="35"/>
      <c r="AG274" s="35"/>
      <c r="AH274" s="30" t="s">
        <v>4714</v>
      </c>
      <c r="AI274" s="35" t="s">
        <v>5101</v>
      </c>
      <c r="AJ274" s="62" t="str">
        <f>MID('I kw.22'!W274,8,6)</f>
        <v>251401</v>
      </c>
      <c r="AK274" s="62">
        <v>1</v>
      </c>
      <c r="AL274" s="62">
        <f t="shared" si="4"/>
        <v>1</v>
      </c>
      <c r="AM274" s="62">
        <v>1</v>
      </c>
    </row>
    <row r="275" spans="1:39" x14ac:dyDescent="0.25">
      <c r="A275" s="35" t="s">
        <v>17079</v>
      </c>
      <c r="B275" s="35" t="s">
        <v>17077</v>
      </c>
      <c r="C275" s="35" t="s">
        <v>17</v>
      </c>
      <c r="D275" s="35" t="s">
        <v>16845</v>
      </c>
      <c r="E275" s="35" t="s">
        <v>192</v>
      </c>
      <c r="F275" s="62">
        <v>1</v>
      </c>
      <c r="G275" s="30" t="s">
        <v>193</v>
      </c>
      <c r="H275" s="30" t="s">
        <v>194</v>
      </c>
      <c r="I275" s="30" t="s">
        <v>16048</v>
      </c>
      <c r="J275" s="35" t="s">
        <v>399</v>
      </c>
      <c r="K275" s="35">
        <v>18</v>
      </c>
      <c r="L275" s="35" t="s">
        <v>6955</v>
      </c>
      <c r="M275" s="35"/>
      <c r="N275" s="35" t="s">
        <v>17078</v>
      </c>
      <c r="O275" s="35" t="s">
        <v>6288</v>
      </c>
      <c r="P275" s="35" t="s">
        <v>16843</v>
      </c>
      <c r="Q275" s="35" t="s">
        <v>16113</v>
      </c>
      <c r="R275" s="35" t="s">
        <v>16842</v>
      </c>
      <c r="S275" s="35">
        <v>2394186</v>
      </c>
      <c r="T275" s="35">
        <v>34284089</v>
      </c>
      <c r="U275" s="35"/>
      <c r="V275" s="30">
        <v>1802</v>
      </c>
      <c r="W275" s="35" t="s">
        <v>624</v>
      </c>
      <c r="X275" s="35" t="s">
        <v>194</v>
      </c>
      <c r="Y275" s="30">
        <v>1</v>
      </c>
      <c r="Z275" s="35"/>
      <c r="AA275" s="35"/>
      <c r="AB275" s="35"/>
      <c r="AC275" s="35"/>
      <c r="AD275" s="35"/>
      <c r="AE275" s="35"/>
      <c r="AF275" s="35"/>
      <c r="AG275" s="35"/>
      <c r="AH275" s="30" t="s">
        <v>4714</v>
      </c>
      <c r="AI275" s="35" t="s">
        <v>17077</v>
      </c>
      <c r="AJ275" s="62" t="str">
        <f>MID('I kw.22'!W275,8,6)</f>
        <v>332203</v>
      </c>
      <c r="AK275" s="62">
        <v>1</v>
      </c>
      <c r="AL275" s="62">
        <f t="shared" si="4"/>
        <v>1</v>
      </c>
      <c r="AM275" s="62">
        <v>1</v>
      </c>
    </row>
    <row r="276" spans="1:39" x14ac:dyDescent="0.25">
      <c r="A276" s="35" t="s">
        <v>17076</v>
      </c>
      <c r="B276" s="35" t="s">
        <v>17074</v>
      </c>
      <c r="C276" s="35" t="s">
        <v>157</v>
      </c>
      <c r="D276" s="35" t="s">
        <v>16845</v>
      </c>
      <c r="E276" s="35" t="s">
        <v>192</v>
      </c>
      <c r="F276" s="62">
        <v>1</v>
      </c>
      <c r="G276" s="30" t="s">
        <v>193</v>
      </c>
      <c r="H276" s="30" t="s">
        <v>194</v>
      </c>
      <c r="I276" s="30" t="s">
        <v>16048</v>
      </c>
      <c r="J276" s="35" t="s">
        <v>9302</v>
      </c>
      <c r="K276" s="35">
        <v>18</v>
      </c>
      <c r="L276" s="35" t="s">
        <v>6955</v>
      </c>
      <c r="M276" s="35"/>
      <c r="N276" s="35" t="s">
        <v>17075</v>
      </c>
      <c r="O276" s="35" t="s">
        <v>6921</v>
      </c>
      <c r="P276" s="35" t="s">
        <v>16843</v>
      </c>
      <c r="Q276" s="35" t="s">
        <v>16113</v>
      </c>
      <c r="R276" s="35" t="s">
        <v>16842</v>
      </c>
      <c r="S276" s="35">
        <v>2394204</v>
      </c>
      <c r="T276" s="35">
        <v>34284107</v>
      </c>
      <c r="U276" s="35"/>
      <c r="V276" s="30"/>
      <c r="W276" s="505" t="s">
        <v>2425</v>
      </c>
      <c r="X276" s="35" t="s">
        <v>193</v>
      </c>
      <c r="Y276" s="30">
        <v>25</v>
      </c>
      <c r="Z276" s="35"/>
      <c r="AA276" s="35"/>
      <c r="AB276" s="35"/>
      <c r="AC276" s="35"/>
      <c r="AD276" s="35"/>
      <c r="AE276" s="35"/>
      <c r="AF276" s="35"/>
      <c r="AG276" s="35"/>
      <c r="AH276" s="30" t="s">
        <v>4714</v>
      </c>
      <c r="AI276" s="35" t="s">
        <v>17074</v>
      </c>
      <c r="AJ276" s="62" t="str">
        <f>MID('I kw.22'!W276,8,6)</f>
        <v>742208</v>
      </c>
      <c r="AK276" s="62">
        <v>1</v>
      </c>
      <c r="AL276" s="62">
        <f t="shared" si="4"/>
        <v>1</v>
      </c>
      <c r="AM276" s="62">
        <v>1</v>
      </c>
    </row>
    <row r="277" spans="1:39" x14ac:dyDescent="0.25">
      <c r="A277" s="35" t="s">
        <v>17073</v>
      </c>
      <c r="B277" s="35" t="s">
        <v>1553</v>
      </c>
      <c r="C277" s="35" t="s">
        <v>1402</v>
      </c>
      <c r="D277" s="35" t="s">
        <v>16845</v>
      </c>
      <c r="E277" s="35" t="s">
        <v>192</v>
      </c>
      <c r="F277" s="62">
        <v>1</v>
      </c>
      <c r="G277" s="30" t="s">
        <v>193</v>
      </c>
      <c r="H277" s="30" t="s">
        <v>194</v>
      </c>
      <c r="I277" s="30" t="s">
        <v>16083</v>
      </c>
      <c r="J277" s="35" t="s">
        <v>9302</v>
      </c>
      <c r="K277" s="35">
        <v>18</v>
      </c>
      <c r="L277" s="35" t="s">
        <v>6955</v>
      </c>
      <c r="M277" s="35"/>
      <c r="N277" s="35" t="s">
        <v>17072</v>
      </c>
      <c r="O277" s="35" t="s">
        <v>6290</v>
      </c>
      <c r="P277" s="35" t="s">
        <v>16843</v>
      </c>
      <c r="Q277" s="35" t="s">
        <v>16113</v>
      </c>
      <c r="R277" s="35" t="s">
        <v>16842</v>
      </c>
      <c r="S277" s="35">
        <v>2394222</v>
      </c>
      <c r="T277" s="35">
        <v>34284125</v>
      </c>
      <c r="U277" s="35"/>
      <c r="V277" s="30"/>
      <c r="W277" s="505" t="s">
        <v>1403</v>
      </c>
      <c r="X277" s="35" t="s">
        <v>193</v>
      </c>
      <c r="Y277" s="30">
        <v>25</v>
      </c>
      <c r="Z277" s="35"/>
      <c r="AA277" s="35"/>
      <c r="AB277" s="35"/>
      <c r="AC277" s="35"/>
      <c r="AD277" s="35"/>
      <c r="AE277" s="35"/>
      <c r="AF277" s="35"/>
      <c r="AG277" s="35"/>
      <c r="AH277" s="30" t="s">
        <v>4714</v>
      </c>
      <c r="AI277" s="35" t="s">
        <v>1553</v>
      </c>
      <c r="AJ277" s="62" t="str">
        <f>MID('I kw.22'!W277,8,6)</f>
        <v>242228</v>
      </c>
      <c r="AK277" s="62">
        <v>1</v>
      </c>
      <c r="AL277" s="62">
        <f t="shared" si="4"/>
        <v>1</v>
      </c>
      <c r="AM277" s="62">
        <v>1</v>
      </c>
    </row>
    <row r="278" spans="1:39" x14ac:dyDescent="0.25">
      <c r="A278" s="35" t="s">
        <v>17071</v>
      </c>
      <c r="B278" s="35" t="s">
        <v>17069</v>
      </c>
      <c r="C278" s="35" t="s">
        <v>1402</v>
      </c>
      <c r="D278" s="35" t="s">
        <v>16845</v>
      </c>
      <c r="E278" s="35" t="s">
        <v>192</v>
      </c>
      <c r="F278" s="62">
        <v>1</v>
      </c>
      <c r="G278" s="30" t="s">
        <v>193</v>
      </c>
      <c r="H278" s="30" t="s">
        <v>194</v>
      </c>
      <c r="I278" s="30" t="s">
        <v>16083</v>
      </c>
      <c r="J278" s="35" t="s">
        <v>9302</v>
      </c>
      <c r="K278" s="35">
        <v>18</v>
      </c>
      <c r="L278" s="35" t="s">
        <v>6955</v>
      </c>
      <c r="M278" s="35"/>
      <c r="N278" s="35" t="s">
        <v>17070</v>
      </c>
      <c r="O278" s="35" t="s">
        <v>6324</v>
      </c>
      <c r="P278" s="35" t="s">
        <v>16843</v>
      </c>
      <c r="Q278" s="35" t="s">
        <v>16113</v>
      </c>
      <c r="R278" s="35" t="s">
        <v>16842</v>
      </c>
      <c r="S278" s="35">
        <v>2394238</v>
      </c>
      <c r="T278" s="35">
        <v>34284141</v>
      </c>
      <c r="U278" s="35"/>
      <c r="V278" s="30"/>
      <c r="W278" s="505" t="s">
        <v>1403</v>
      </c>
      <c r="X278" s="35" t="s">
        <v>193</v>
      </c>
      <c r="Y278" s="30">
        <v>25</v>
      </c>
      <c r="Z278" s="35"/>
      <c r="AA278" s="35"/>
      <c r="AB278" s="35"/>
      <c r="AC278" s="35"/>
      <c r="AD278" s="35"/>
      <c r="AE278" s="35"/>
      <c r="AF278" s="35"/>
      <c r="AG278" s="35"/>
      <c r="AH278" s="30" t="s">
        <v>4714</v>
      </c>
      <c r="AI278" s="35" t="s">
        <v>17069</v>
      </c>
      <c r="AJ278" s="62" t="str">
        <f>MID('I kw.22'!W278,8,6)</f>
        <v>242228</v>
      </c>
      <c r="AK278" s="62">
        <v>1</v>
      </c>
      <c r="AL278" s="62">
        <f t="shared" si="4"/>
        <v>1</v>
      </c>
      <c r="AM278" s="62">
        <v>1</v>
      </c>
    </row>
    <row r="279" spans="1:39" x14ac:dyDescent="0.25">
      <c r="A279" s="35" t="s">
        <v>415</v>
      </c>
      <c r="B279" s="35" t="s">
        <v>17067</v>
      </c>
      <c r="C279" s="35" t="s">
        <v>10</v>
      </c>
      <c r="D279" s="35" t="s">
        <v>16845</v>
      </c>
      <c r="E279" s="35" t="s">
        <v>192</v>
      </c>
      <c r="F279" s="62">
        <v>1</v>
      </c>
      <c r="G279" s="30" t="s">
        <v>193</v>
      </c>
      <c r="H279" s="30" t="s">
        <v>194</v>
      </c>
      <c r="I279" s="30" t="s">
        <v>16121</v>
      </c>
      <c r="J279" s="35" t="s">
        <v>9302</v>
      </c>
      <c r="K279" s="35">
        <v>18</v>
      </c>
      <c r="L279" s="35" t="s">
        <v>6955</v>
      </c>
      <c r="M279" s="35"/>
      <c r="N279" s="35" t="s">
        <v>17068</v>
      </c>
      <c r="O279" s="35" t="s">
        <v>6261</v>
      </c>
      <c r="P279" s="35" t="s">
        <v>16843</v>
      </c>
      <c r="Q279" s="35" t="s">
        <v>16113</v>
      </c>
      <c r="R279" s="35" t="s">
        <v>16842</v>
      </c>
      <c r="S279" s="35">
        <v>2394254</v>
      </c>
      <c r="T279" s="35">
        <v>34284157</v>
      </c>
      <c r="U279" s="35"/>
      <c r="V279" s="30"/>
      <c r="W279" s="505" t="s">
        <v>484</v>
      </c>
      <c r="X279" s="35" t="s">
        <v>193</v>
      </c>
      <c r="Y279" s="30">
        <v>25</v>
      </c>
      <c r="Z279" s="35"/>
      <c r="AA279" s="35"/>
      <c r="AB279" s="35"/>
      <c r="AC279" s="35"/>
      <c r="AD279" s="35"/>
      <c r="AE279" s="35"/>
      <c r="AF279" s="35"/>
      <c r="AG279" s="35"/>
      <c r="AH279" s="30" t="s">
        <v>4714</v>
      </c>
      <c r="AI279" s="35" t="s">
        <v>17067</v>
      </c>
      <c r="AJ279" s="62" t="str">
        <f>MID('I kw.22'!W279,8,6)</f>
        <v>251401</v>
      </c>
      <c r="AK279" s="62">
        <v>1</v>
      </c>
      <c r="AL279" s="62">
        <f t="shared" si="4"/>
        <v>1</v>
      </c>
      <c r="AM279" s="62">
        <v>1</v>
      </c>
    </row>
    <row r="280" spans="1:39" x14ac:dyDescent="0.25">
      <c r="A280" s="35" t="s">
        <v>5860</v>
      </c>
      <c r="B280" s="35" t="s">
        <v>17065</v>
      </c>
      <c r="C280" s="35" t="s">
        <v>5326</v>
      </c>
      <c r="D280" s="35" t="s">
        <v>16845</v>
      </c>
      <c r="E280" s="35" t="s">
        <v>192</v>
      </c>
      <c r="F280" s="62">
        <v>1</v>
      </c>
      <c r="G280" s="30" t="s">
        <v>193</v>
      </c>
      <c r="H280" s="30" t="s">
        <v>194</v>
      </c>
      <c r="I280" s="30" t="s">
        <v>16066</v>
      </c>
      <c r="J280" s="35" t="s">
        <v>9302</v>
      </c>
      <c r="K280" s="35">
        <v>18</v>
      </c>
      <c r="L280" s="35" t="s">
        <v>6955</v>
      </c>
      <c r="M280" s="35"/>
      <c r="N280" s="35" t="s">
        <v>17066</v>
      </c>
      <c r="O280" s="35" t="s">
        <v>6279</v>
      </c>
      <c r="P280" s="35" t="s">
        <v>16843</v>
      </c>
      <c r="Q280" s="35" t="s">
        <v>16113</v>
      </c>
      <c r="R280" s="35" t="s">
        <v>16842</v>
      </c>
      <c r="S280" s="35">
        <v>2394262</v>
      </c>
      <c r="T280" s="35">
        <v>34284165</v>
      </c>
      <c r="U280" s="35"/>
      <c r="V280" s="30"/>
      <c r="W280" s="505" t="s">
        <v>584</v>
      </c>
      <c r="X280" s="35" t="s">
        <v>193</v>
      </c>
      <c r="Y280" s="30">
        <v>25</v>
      </c>
      <c r="Z280" s="35"/>
      <c r="AA280" s="35"/>
      <c r="AB280" s="35"/>
      <c r="AC280" s="35"/>
      <c r="AD280" s="35"/>
      <c r="AE280" s="35"/>
      <c r="AF280" s="35"/>
      <c r="AG280" s="35"/>
      <c r="AH280" s="30" t="s">
        <v>4714</v>
      </c>
      <c r="AI280" s="35" t="s">
        <v>17065</v>
      </c>
      <c r="AJ280" s="62" t="str">
        <f>MID('I kw.22'!W280,8,6)</f>
        <v>311937</v>
      </c>
      <c r="AK280" s="62">
        <v>1</v>
      </c>
      <c r="AL280" s="62">
        <f t="shared" si="4"/>
        <v>1</v>
      </c>
      <c r="AM280" s="62">
        <v>1</v>
      </c>
    </row>
    <row r="281" spans="1:39" x14ac:dyDescent="0.25">
      <c r="A281" s="35" t="s">
        <v>415</v>
      </c>
      <c r="B281" s="35" t="s">
        <v>17063</v>
      </c>
      <c r="C281" s="35" t="s">
        <v>10</v>
      </c>
      <c r="D281" s="35" t="s">
        <v>16845</v>
      </c>
      <c r="E281" s="35" t="s">
        <v>192</v>
      </c>
      <c r="F281" s="62">
        <v>1</v>
      </c>
      <c r="G281" s="30" t="s">
        <v>193</v>
      </c>
      <c r="H281" s="30" t="s">
        <v>194</v>
      </c>
      <c r="I281" s="30" t="s">
        <v>16121</v>
      </c>
      <c r="J281" s="35" t="s">
        <v>9302</v>
      </c>
      <c r="K281" s="35">
        <v>18</v>
      </c>
      <c r="L281" s="35" t="s">
        <v>6955</v>
      </c>
      <c r="M281" s="35"/>
      <c r="N281" s="35" t="s">
        <v>17064</v>
      </c>
      <c r="O281" s="35" t="s">
        <v>6261</v>
      </c>
      <c r="P281" s="35" t="s">
        <v>16843</v>
      </c>
      <c r="Q281" s="35" t="s">
        <v>16113</v>
      </c>
      <c r="R281" s="35" t="s">
        <v>16842</v>
      </c>
      <c r="S281" s="35">
        <v>2394272</v>
      </c>
      <c r="T281" s="35">
        <v>34284175</v>
      </c>
      <c r="U281" s="35"/>
      <c r="V281" s="30"/>
      <c r="W281" s="505" t="s">
        <v>484</v>
      </c>
      <c r="X281" s="35" t="s">
        <v>193</v>
      </c>
      <c r="Y281" s="30">
        <v>25</v>
      </c>
      <c r="Z281" s="35"/>
      <c r="AA281" s="35"/>
      <c r="AB281" s="35"/>
      <c r="AC281" s="35"/>
      <c r="AD281" s="35"/>
      <c r="AE281" s="35"/>
      <c r="AF281" s="35"/>
      <c r="AG281" s="35"/>
      <c r="AH281" s="30" t="s">
        <v>4714</v>
      </c>
      <c r="AI281" s="35" t="s">
        <v>17063</v>
      </c>
      <c r="AJ281" s="62" t="str">
        <f>MID('I kw.22'!W281,8,6)</f>
        <v>251401</v>
      </c>
      <c r="AK281" s="62">
        <v>1</v>
      </c>
      <c r="AL281" s="62">
        <f t="shared" si="4"/>
        <v>1</v>
      </c>
      <c r="AM281" s="62">
        <v>1</v>
      </c>
    </row>
    <row r="282" spans="1:39" x14ac:dyDescent="0.25">
      <c r="A282" s="35" t="s">
        <v>14037</v>
      </c>
      <c r="B282" s="35" t="s">
        <v>17061</v>
      </c>
      <c r="C282" s="35" t="s">
        <v>17</v>
      </c>
      <c r="D282" s="35" t="s">
        <v>16845</v>
      </c>
      <c r="E282" s="35" t="s">
        <v>192</v>
      </c>
      <c r="F282" s="62">
        <v>1</v>
      </c>
      <c r="G282" s="30" t="s">
        <v>193</v>
      </c>
      <c r="H282" s="30" t="s">
        <v>194</v>
      </c>
      <c r="I282" s="30" t="s">
        <v>16183</v>
      </c>
      <c r="J282" s="35" t="s">
        <v>9302</v>
      </c>
      <c r="K282" s="35">
        <v>18</v>
      </c>
      <c r="L282" s="35" t="s">
        <v>6955</v>
      </c>
      <c r="M282" s="35"/>
      <c r="N282" s="35" t="s">
        <v>17062</v>
      </c>
      <c r="O282" s="35" t="s">
        <v>6249</v>
      </c>
      <c r="P282" s="35" t="s">
        <v>16843</v>
      </c>
      <c r="Q282" s="35" t="s">
        <v>16113</v>
      </c>
      <c r="R282" s="35" t="s">
        <v>16842</v>
      </c>
      <c r="S282" s="35">
        <v>2394292</v>
      </c>
      <c r="T282" s="35">
        <v>34284195</v>
      </c>
      <c r="U282" s="35"/>
      <c r="V282" s="30"/>
      <c r="W282" s="505" t="s">
        <v>624</v>
      </c>
      <c r="X282" s="35" t="s">
        <v>193</v>
      </c>
      <c r="Y282" s="30">
        <v>25</v>
      </c>
      <c r="Z282" s="35"/>
      <c r="AA282" s="35"/>
      <c r="AB282" s="35"/>
      <c r="AC282" s="35"/>
      <c r="AD282" s="35"/>
      <c r="AE282" s="35"/>
      <c r="AF282" s="35"/>
      <c r="AG282" s="35"/>
      <c r="AH282" s="30" t="s">
        <v>4714</v>
      </c>
      <c r="AI282" s="35" t="s">
        <v>17061</v>
      </c>
      <c r="AJ282" s="62" t="str">
        <f>MID('I kw.22'!W282,8,6)</f>
        <v>332203</v>
      </c>
      <c r="AK282" s="62">
        <v>1</v>
      </c>
      <c r="AL282" s="62">
        <f t="shared" si="4"/>
        <v>1</v>
      </c>
      <c r="AM282" s="62">
        <v>1</v>
      </c>
    </row>
    <row r="283" spans="1:39" x14ac:dyDescent="0.25">
      <c r="A283" s="35" t="s">
        <v>4569</v>
      </c>
      <c r="B283" s="35" t="s">
        <v>14727</v>
      </c>
      <c r="C283" s="35" t="s">
        <v>21</v>
      </c>
      <c r="D283" s="35" t="s">
        <v>16845</v>
      </c>
      <c r="E283" s="35" t="s">
        <v>192</v>
      </c>
      <c r="F283" s="62">
        <v>1</v>
      </c>
      <c r="G283" s="30" t="s">
        <v>193</v>
      </c>
      <c r="H283" s="30" t="s">
        <v>194</v>
      </c>
      <c r="I283" s="30" t="s">
        <v>16052</v>
      </c>
      <c r="J283" s="35" t="s">
        <v>9302</v>
      </c>
      <c r="K283" s="35">
        <v>18</v>
      </c>
      <c r="L283" s="35" t="s">
        <v>6955</v>
      </c>
      <c r="M283" s="35"/>
      <c r="N283" s="35" t="s">
        <v>17060</v>
      </c>
      <c r="O283" s="35" t="s">
        <v>6324</v>
      </c>
      <c r="P283" s="35" t="s">
        <v>16843</v>
      </c>
      <c r="Q283" s="35" t="s">
        <v>16113</v>
      </c>
      <c r="R283" s="35" t="s">
        <v>16842</v>
      </c>
      <c r="S283" s="35">
        <v>2394310</v>
      </c>
      <c r="T283" s="35">
        <v>34284213</v>
      </c>
      <c r="U283" s="35"/>
      <c r="V283" s="30"/>
      <c r="W283" s="505" t="s">
        <v>293</v>
      </c>
      <c r="X283" s="35" t="s">
        <v>193</v>
      </c>
      <c r="Y283" s="30">
        <v>25</v>
      </c>
      <c r="Z283" s="35"/>
      <c r="AA283" s="35"/>
      <c r="AB283" s="35"/>
      <c r="AC283" s="35"/>
      <c r="AD283" s="35"/>
      <c r="AE283" s="35"/>
      <c r="AF283" s="35"/>
      <c r="AG283" s="35"/>
      <c r="AH283" s="30" t="s">
        <v>4714</v>
      </c>
      <c r="AI283" s="35" t="s">
        <v>14727</v>
      </c>
      <c r="AJ283" s="62" t="str">
        <f>MID('I kw.22'!W283,8,6)</f>
        <v>214202</v>
      </c>
      <c r="AK283" s="62">
        <v>1</v>
      </c>
      <c r="AL283" s="62">
        <f t="shared" si="4"/>
        <v>1</v>
      </c>
      <c r="AM283" s="62">
        <v>1</v>
      </c>
    </row>
    <row r="284" spans="1:39" x14ac:dyDescent="0.25">
      <c r="A284" s="35" t="s">
        <v>17059</v>
      </c>
      <c r="B284" s="35" t="s">
        <v>17057</v>
      </c>
      <c r="C284" s="35" t="s">
        <v>4419</v>
      </c>
      <c r="D284" s="35" t="s">
        <v>16845</v>
      </c>
      <c r="E284" s="35" t="s">
        <v>192</v>
      </c>
      <c r="F284" s="62">
        <v>1</v>
      </c>
      <c r="G284" s="30" t="s">
        <v>193</v>
      </c>
      <c r="H284" s="30" t="s">
        <v>194</v>
      </c>
      <c r="I284" s="30" t="s">
        <v>16073</v>
      </c>
      <c r="J284" s="35" t="s">
        <v>9302</v>
      </c>
      <c r="K284" s="35">
        <v>18</v>
      </c>
      <c r="L284" s="35" t="s">
        <v>6955</v>
      </c>
      <c r="M284" s="35"/>
      <c r="N284" s="35" t="s">
        <v>17058</v>
      </c>
      <c r="O284" s="35" t="s">
        <v>6245</v>
      </c>
      <c r="P284" s="35" t="s">
        <v>16843</v>
      </c>
      <c r="Q284" s="35" t="s">
        <v>16113</v>
      </c>
      <c r="R284" s="35" t="s">
        <v>16842</v>
      </c>
      <c r="S284" s="35">
        <v>2394345</v>
      </c>
      <c r="T284" s="35">
        <v>34284248</v>
      </c>
      <c r="U284" s="35"/>
      <c r="V284" s="30"/>
      <c r="W284" s="505" t="s">
        <v>4421</v>
      </c>
      <c r="X284" s="35" t="s">
        <v>193</v>
      </c>
      <c r="Y284" s="30">
        <v>25</v>
      </c>
      <c r="Z284" s="35"/>
      <c r="AA284" s="35"/>
      <c r="AB284" s="35"/>
      <c r="AC284" s="35"/>
      <c r="AD284" s="35"/>
      <c r="AE284" s="35"/>
      <c r="AF284" s="35"/>
      <c r="AG284" s="35"/>
      <c r="AH284" s="30" t="s">
        <v>4714</v>
      </c>
      <c r="AI284" s="35" t="s">
        <v>17057</v>
      </c>
      <c r="AJ284" s="62" t="str">
        <f>MID('I kw.22'!W284,8,6)</f>
        <v>334101</v>
      </c>
      <c r="AK284" s="62">
        <v>1</v>
      </c>
      <c r="AL284" s="62">
        <f t="shared" si="4"/>
        <v>1</v>
      </c>
      <c r="AM284" s="62">
        <v>1</v>
      </c>
    </row>
    <row r="285" spans="1:39" x14ac:dyDescent="0.25">
      <c r="A285" s="35" t="s">
        <v>14753</v>
      </c>
      <c r="B285" s="35" t="s">
        <v>17055</v>
      </c>
      <c r="C285" s="35" t="s">
        <v>37</v>
      </c>
      <c r="D285" s="35" t="s">
        <v>16845</v>
      </c>
      <c r="E285" s="35" t="s">
        <v>192</v>
      </c>
      <c r="F285" s="62">
        <v>1</v>
      </c>
      <c r="G285" s="30" t="s">
        <v>193</v>
      </c>
      <c r="H285" s="30" t="s">
        <v>194</v>
      </c>
      <c r="I285" s="30" t="s">
        <v>16048</v>
      </c>
      <c r="J285" s="35" t="s">
        <v>9302</v>
      </c>
      <c r="K285" s="35">
        <v>18</v>
      </c>
      <c r="L285" s="35" t="s">
        <v>6955</v>
      </c>
      <c r="M285" s="35"/>
      <c r="N285" s="35" t="s">
        <v>17056</v>
      </c>
      <c r="O285" s="35" t="s">
        <v>6340</v>
      </c>
      <c r="P285" s="35" t="s">
        <v>16843</v>
      </c>
      <c r="Q285" s="35" t="s">
        <v>16113</v>
      </c>
      <c r="R285" s="35" t="s">
        <v>16842</v>
      </c>
      <c r="S285" s="35">
        <v>2394361</v>
      </c>
      <c r="T285" s="35">
        <v>34284264</v>
      </c>
      <c r="U285" s="35"/>
      <c r="V285" s="30"/>
      <c r="W285" s="505" t="s">
        <v>516</v>
      </c>
      <c r="X285" s="35" t="s">
        <v>193</v>
      </c>
      <c r="Y285" s="30">
        <v>25</v>
      </c>
      <c r="Z285" s="35"/>
      <c r="AA285" s="35"/>
      <c r="AB285" s="35"/>
      <c r="AC285" s="35"/>
      <c r="AD285" s="35"/>
      <c r="AE285" s="35"/>
      <c r="AF285" s="35"/>
      <c r="AG285" s="35"/>
      <c r="AH285" s="30" t="s">
        <v>4714</v>
      </c>
      <c r="AI285" s="35" t="s">
        <v>17055</v>
      </c>
      <c r="AJ285" s="62" t="str">
        <f>MID('I kw.22'!W285,8,6)</f>
        <v>252302</v>
      </c>
      <c r="AK285" s="62">
        <v>1</v>
      </c>
      <c r="AL285" s="62">
        <f t="shared" si="4"/>
        <v>1</v>
      </c>
      <c r="AM285" s="62">
        <v>1</v>
      </c>
    </row>
    <row r="286" spans="1:39" x14ac:dyDescent="0.25">
      <c r="A286" s="35" t="s">
        <v>11327</v>
      </c>
      <c r="B286" s="35" t="s">
        <v>17053</v>
      </c>
      <c r="C286" s="35" t="s">
        <v>27</v>
      </c>
      <c r="D286" s="35" t="s">
        <v>16845</v>
      </c>
      <c r="E286" s="35" t="s">
        <v>192</v>
      </c>
      <c r="F286" s="62">
        <v>1</v>
      </c>
      <c r="G286" s="30" t="s">
        <v>193</v>
      </c>
      <c r="H286" s="30" t="s">
        <v>194</v>
      </c>
      <c r="I286" s="30" t="s">
        <v>16078</v>
      </c>
      <c r="J286" s="35" t="s">
        <v>9302</v>
      </c>
      <c r="K286" s="35">
        <v>18</v>
      </c>
      <c r="L286" s="35" t="s">
        <v>6955</v>
      </c>
      <c r="M286" s="35"/>
      <c r="N286" s="35" t="s">
        <v>17054</v>
      </c>
      <c r="O286" s="35" t="s">
        <v>6254</v>
      </c>
      <c r="P286" s="35" t="s">
        <v>16843</v>
      </c>
      <c r="Q286" s="35" t="s">
        <v>16113</v>
      </c>
      <c r="R286" s="35" t="s">
        <v>16842</v>
      </c>
      <c r="S286" s="35">
        <v>2394370</v>
      </c>
      <c r="T286" s="35">
        <v>34284273</v>
      </c>
      <c r="U286" s="35"/>
      <c r="V286" s="30"/>
      <c r="W286" s="505" t="s">
        <v>440</v>
      </c>
      <c r="X286" s="35" t="s">
        <v>193</v>
      </c>
      <c r="Y286" s="30">
        <v>25</v>
      </c>
      <c r="Z286" s="35"/>
      <c r="AA286" s="35"/>
      <c r="AB286" s="35"/>
      <c r="AC286" s="35"/>
      <c r="AD286" s="35"/>
      <c r="AE286" s="35"/>
      <c r="AF286" s="35"/>
      <c r="AG286" s="35"/>
      <c r="AH286" s="30" t="s">
        <v>4714</v>
      </c>
      <c r="AI286" s="35" t="s">
        <v>17053</v>
      </c>
      <c r="AJ286" s="62" t="str">
        <f>MID('I kw.22'!W286,8,6)</f>
        <v>242307</v>
      </c>
      <c r="AK286" s="62">
        <v>1</v>
      </c>
      <c r="AL286" s="62">
        <f t="shared" si="4"/>
        <v>1</v>
      </c>
      <c r="AM286" s="62">
        <v>1</v>
      </c>
    </row>
    <row r="287" spans="1:39" x14ac:dyDescent="0.25">
      <c r="A287" s="35" t="s">
        <v>7713</v>
      </c>
      <c r="B287" s="35" t="s">
        <v>1095</v>
      </c>
      <c r="C287" s="35" t="s">
        <v>35</v>
      </c>
      <c r="D287" s="35" t="s">
        <v>16845</v>
      </c>
      <c r="E287" s="35" t="s">
        <v>192</v>
      </c>
      <c r="F287" s="62">
        <v>1</v>
      </c>
      <c r="G287" s="30" t="s">
        <v>193</v>
      </c>
      <c r="H287" s="30" t="s">
        <v>194</v>
      </c>
      <c r="I287" s="30" t="s">
        <v>16048</v>
      </c>
      <c r="J287" s="35" t="s">
        <v>9302</v>
      </c>
      <c r="K287" s="35">
        <v>18</v>
      </c>
      <c r="L287" s="35" t="s">
        <v>6955</v>
      </c>
      <c r="M287" s="35"/>
      <c r="N287" s="35" t="s">
        <v>17052</v>
      </c>
      <c r="O287" s="35" t="s">
        <v>6249</v>
      </c>
      <c r="P287" s="35" t="s">
        <v>16843</v>
      </c>
      <c r="Q287" s="35" t="s">
        <v>16113</v>
      </c>
      <c r="R287" s="35" t="s">
        <v>16842</v>
      </c>
      <c r="S287" s="35">
        <v>2394379</v>
      </c>
      <c r="T287" s="35">
        <v>34284282</v>
      </c>
      <c r="U287" s="35"/>
      <c r="V287" s="30"/>
      <c r="W287" s="505" t="s">
        <v>207</v>
      </c>
      <c r="X287" s="35" t="s">
        <v>193</v>
      </c>
      <c r="Y287" s="30">
        <v>25</v>
      </c>
      <c r="Z287" s="35"/>
      <c r="AA287" s="35"/>
      <c r="AB287" s="35"/>
      <c r="AC287" s="35"/>
      <c r="AD287" s="35"/>
      <c r="AE287" s="35"/>
      <c r="AF287" s="35"/>
      <c r="AG287" s="35"/>
      <c r="AH287" s="30" t="s">
        <v>4714</v>
      </c>
      <c r="AI287" s="35" t="s">
        <v>1095</v>
      </c>
      <c r="AJ287" s="62" t="str">
        <f>MID('I kw.22'!W287,8,6)</f>
        <v>122106</v>
      </c>
      <c r="AK287" s="62">
        <v>1</v>
      </c>
      <c r="AL287" s="62">
        <f t="shared" si="4"/>
        <v>1</v>
      </c>
      <c r="AM287" s="62">
        <v>1</v>
      </c>
    </row>
    <row r="288" spans="1:39" x14ac:dyDescent="0.25">
      <c r="A288" s="35" t="s">
        <v>13314</v>
      </c>
      <c r="B288" s="35" t="s">
        <v>17050</v>
      </c>
      <c r="C288" s="35" t="s">
        <v>15861</v>
      </c>
      <c r="D288" s="35" t="s">
        <v>16845</v>
      </c>
      <c r="E288" s="35" t="s">
        <v>192</v>
      </c>
      <c r="F288" s="62">
        <v>1</v>
      </c>
      <c r="G288" s="30" t="s">
        <v>193</v>
      </c>
      <c r="H288" s="30" t="s">
        <v>194</v>
      </c>
      <c r="I288" s="30" t="s">
        <v>16078</v>
      </c>
      <c r="J288" s="35" t="s">
        <v>9302</v>
      </c>
      <c r="K288" s="35">
        <v>18</v>
      </c>
      <c r="L288" s="35" t="s">
        <v>6955</v>
      </c>
      <c r="M288" s="35"/>
      <c r="N288" s="35" t="s">
        <v>17051</v>
      </c>
      <c r="O288" s="35" t="s">
        <v>6286</v>
      </c>
      <c r="P288" s="35" t="s">
        <v>16843</v>
      </c>
      <c r="Q288" s="35" t="s">
        <v>16113</v>
      </c>
      <c r="R288" s="35" t="s">
        <v>16842</v>
      </c>
      <c r="S288" s="35">
        <v>2394395</v>
      </c>
      <c r="T288" s="35">
        <v>34284298</v>
      </c>
      <c r="U288" s="35"/>
      <c r="V288" s="30"/>
      <c r="W288" s="505" t="s">
        <v>1790</v>
      </c>
      <c r="X288" s="35" t="s">
        <v>193</v>
      </c>
      <c r="Y288" s="30">
        <v>25</v>
      </c>
      <c r="Z288" s="35"/>
      <c r="AA288" s="35"/>
      <c r="AB288" s="35"/>
      <c r="AC288" s="35"/>
      <c r="AD288" s="35"/>
      <c r="AE288" s="35"/>
      <c r="AF288" s="35"/>
      <c r="AG288" s="35"/>
      <c r="AH288" s="30" t="s">
        <v>4714</v>
      </c>
      <c r="AI288" s="35" t="s">
        <v>17050</v>
      </c>
      <c r="AJ288" s="62" t="str">
        <f>MID('I kw.22'!W288,8,6)</f>
        <v>334304</v>
      </c>
      <c r="AK288" s="62">
        <v>1</v>
      </c>
      <c r="AL288" s="62">
        <f t="shared" si="4"/>
        <v>1</v>
      </c>
      <c r="AM288" s="62">
        <v>1</v>
      </c>
    </row>
    <row r="289" spans="1:39" x14ac:dyDescent="0.25">
      <c r="A289" s="35" t="s">
        <v>17049</v>
      </c>
      <c r="B289" s="35" t="s">
        <v>17047</v>
      </c>
      <c r="C289" s="35" t="s">
        <v>17</v>
      </c>
      <c r="D289" s="35" t="s">
        <v>16845</v>
      </c>
      <c r="E289" s="35" t="s">
        <v>192</v>
      </c>
      <c r="F289" s="62">
        <v>1</v>
      </c>
      <c r="G289" s="30" t="s">
        <v>193</v>
      </c>
      <c r="H289" s="30" t="s">
        <v>194</v>
      </c>
      <c r="I289" s="30" t="s">
        <v>16073</v>
      </c>
      <c r="J289" s="35" t="s">
        <v>9302</v>
      </c>
      <c r="K289" s="35">
        <v>18</v>
      </c>
      <c r="L289" s="35" t="s">
        <v>6955</v>
      </c>
      <c r="M289" s="35"/>
      <c r="N289" s="35" t="s">
        <v>17048</v>
      </c>
      <c r="O289" s="35" t="s">
        <v>6245</v>
      </c>
      <c r="P289" s="35" t="s">
        <v>16843</v>
      </c>
      <c r="Q289" s="35" t="s">
        <v>16113</v>
      </c>
      <c r="R289" s="35" t="s">
        <v>16842</v>
      </c>
      <c r="S289" s="35">
        <v>2394410</v>
      </c>
      <c r="T289" s="35">
        <v>34284313</v>
      </c>
      <c r="U289" s="35"/>
      <c r="V289" s="30"/>
      <c r="W289" s="505" t="s">
        <v>624</v>
      </c>
      <c r="X289" s="35" t="s">
        <v>193</v>
      </c>
      <c r="Y289" s="30">
        <v>25</v>
      </c>
      <c r="Z289" s="35"/>
      <c r="AA289" s="35"/>
      <c r="AB289" s="35"/>
      <c r="AC289" s="35"/>
      <c r="AD289" s="35"/>
      <c r="AE289" s="35"/>
      <c r="AF289" s="35"/>
      <c r="AG289" s="35"/>
      <c r="AH289" s="30" t="s">
        <v>4714</v>
      </c>
      <c r="AI289" s="35" t="s">
        <v>17047</v>
      </c>
      <c r="AJ289" s="62" t="str">
        <f>MID('I kw.22'!W289,8,6)</f>
        <v>332203</v>
      </c>
      <c r="AK289" s="62">
        <v>1</v>
      </c>
      <c r="AL289" s="62">
        <f t="shared" si="4"/>
        <v>1</v>
      </c>
      <c r="AM289" s="62">
        <v>1</v>
      </c>
    </row>
    <row r="290" spans="1:39" x14ac:dyDescent="0.25">
      <c r="A290" s="35" t="s">
        <v>2108</v>
      </c>
      <c r="B290" s="35" t="s">
        <v>17043</v>
      </c>
      <c r="C290" s="35" t="s">
        <v>17046</v>
      </c>
      <c r="D290" s="35" t="s">
        <v>16845</v>
      </c>
      <c r="E290" s="35" t="s">
        <v>192</v>
      </c>
      <c r="F290" s="62">
        <v>1</v>
      </c>
      <c r="G290" s="30" t="s">
        <v>193</v>
      </c>
      <c r="H290" s="30" t="s">
        <v>194</v>
      </c>
      <c r="I290" s="30" t="s">
        <v>16061</v>
      </c>
      <c r="J290" s="35" t="s">
        <v>276</v>
      </c>
      <c r="K290" s="35">
        <v>18</v>
      </c>
      <c r="L290" s="35" t="s">
        <v>6955</v>
      </c>
      <c r="M290" s="35"/>
      <c r="N290" s="35" t="s">
        <v>17045</v>
      </c>
      <c r="O290" s="35" t="s">
        <v>6921</v>
      </c>
      <c r="P290" s="35" t="s">
        <v>16843</v>
      </c>
      <c r="Q290" s="35" t="s">
        <v>16113</v>
      </c>
      <c r="R290" s="35" t="s">
        <v>16842</v>
      </c>
      <c r="S290" s="35">
        <v>2394427</v>
      </c>
      <c r="T290" s="35">
        <v>34284330</v>
      </c>
      <c r="U290" s="35"/>
      <c r="V290" s="30">
        <v>1803</v>
      </c>
      <c r="W290" s="35" t="s">
        <v>17044</v>
      </c>
      <c r="X290" s="35" t="s">
        <v>194</v>
      </c>
      <c r="Y290" s="30">
        <v>1</v>
      </c>
      <c r="Z290" s="35"/>
      <c r="AA290" s="35"/>
      <c r="AB290" s="35"/>
      <c r="AC290" s="35"/>
      <c r="AD290" s="35"/>
      <c r="AE290" s="35"/>
      <c r="AF290" s="35"/>
      <c r="AG290" s="35"/>
      <c r="AH290" s="30" t="s">
        <v>4714</v>
      </c>
      <c r="AI290" s="35" t="s">
        <v>17043</v>
      </c>
      <c r="AJ290" s="62" t="str">
        <f>MID('I kw.22'!W290,8,6)</f>
        <v>331404</v>
      </c>
      <c r="AK290" s="62">
        <v>1</v>
      </c>
      <c r="AL290" s="62">
        <f t="shared" si="4"/>
        <v>1</v>
      </c>
      <c r="AM290" s="62">
        <v>1</v>
      </c>
    </row>
    <row r="291" spans="1:39" x14ac:dyDescent="0.25">
      <c r="A291" s="35" t="s">
        <v>17042</v>
      </c>
      <c r="B291" s="35" t="s">
        <v>17039</v>
      </c>
      <c r="C291" s="35" t="s">
        <v>1554</v>
      </c>
      <c r="D291" s="35" t="s">
        <v>16845</v>
      </c>
      <c r="E291" s="35" t="s">
        <v>192</v>
      </c>
      <c r="F291" s="62">
        <v>1</v>
      </c>
      <c r="G291" s="30" t="s">
        <v>193</v>
      </c>
      <c r="H291" s="30" t="s">
        <v>194</v>
      </c>
      <c r="I291" s="30" t="s">
        <v>16066</v>
      </c>
      <c r="J291" s="35" t="s">
        <v>9302</v>
      </c>
      <c r="K291" s="35">
        <v>18</v>
      </c>
      <c r="L291" s="35" t="s">
        <v>6955</v>
      </c>
      <c r="M291" s="35"/>
      <c r="N291" s="35" t="s">
        <v>17041</v>
      </c>
      <c r="O291" s="35" t="s">
        <v>6245</v>
      </c>
      <c r="P291" s="35" t="s">
        <v>16843</v>
      </c>
      <c r="Q291" s="35" t="s">
        <v>16113</v>
      </c>
      <c r="R291" s="35" t="s">
        <v>17040</v>
      </c>
      <c r="S291" s="35">
        <v>2394442</v>
      </c>
      <c r="T291" s="35">
        <v>34284345</v>
      </c>
      <c r="U291" s="35"/>
      <c r="V291" s="30"/>
      <c r="W291" s="505" t="s">
        <v>1555</v>
      </c>
      <c r="X291" s="35" t="s">
        <v>193</v>
      </c>
      <c r="Y291" s="30">
        <v>25</v>
      </c>
      <c r="Z291" s="35"/>
      <c r="AA291" s="35"/>
      <c r="AB291" s="35"/>
      <c r="AC291" s="35"/>
      <c r="AD291" s="35"/>
      <c r="AE291" s="35"/>
      <c r="AF291" s="35"/>
      <c r="AG291" s="35"/>
      <c r="AH291" s="30" t="s">
        <v>4714</v>
      </c>
      <c r="AI291" s="35" t="s">
        <v>17039</v>
      </c>
      <c r="AJ291" s="62" t="str">
        <f>MID('I kw.22'!W291,8,6)</f>
        <v>112013</v>
      </c>
      <c r="AK291" s="62">
        <v>1</v>
      </c>
      <c r="AL291" s="62">
        <f t="shared" si="4"/>
        <v>1</v>
      </c>
      <c r="AM291" s="62">
        <v>1</v>
      </c>
    </row>
    <row r="292" spans="1:39" x14ac:dyDescent="0.25">
      <c r="A292" s="35" t="s">
        <v>1959</v>
      </c>
      <c r="B292" s="35" t="s">
        <v>17037</v>
      </c>
      <c r="C292" s="35" t="s">
        <v>157</v>
      </c>
      <c r="D292" s="35" t="s">
        <v>16845</v>
      </c>
      <c r="E292" s="35" t="s">
        <v>192</v>
      </c>
      <c r="F292" s="62">
        <v>1</v>
      </c>
      <c r="G292" s="30" t="s">
        <v>193</v>
      </c>
      <c r="H292" s="30" t="s">
        <v>194</v>
      </c>
      <c r="I292" s="30" t="s">
        <v>16078</v>
      </c>
      <c r="J292" s="35" t="s">
        <v>9302</v>
      </c>
      <c r="K292" s="35">
        <v>18</v>
      </c>
      <c r="L292" s="35" t="s">
        <v>6955</v>
      </c>
      <c r="M292" s="35"/>
      <c r="N292" s="35" t="s">
        <v>17038</v>
      </c>
      <c r="O292" s="35" t="s">
        <v>6921</v>
      </c>
      <c r="P292" s="35" t="s">
        <v>16843</v>
      </c>
      <c r="Q292" s="35" t="s">
        <v>16113</v>
      </c>
      <c r="R292" s="35" t="s">
        <v>16842</v>
      </c>
      <c r="S292" s="35">
        <v>2394450</v>
      </c>
      <c r="T292" s="35">
        <v>34284353</v>
      </c>
      <c r="U292" s="35"/>
      <c r="V292" s="30"/>
      <c r="W292" s="505" t="s">
        <v>2425</v>
      </c>
      <c r="X292" s="35" t="s">
        <v>193</v>
      </c>
      <c r="Y292" s="30">
        <v>25</v>
      </c>
      <c r="Z292" s="35"/>
      <c r="AA292" s="35"/>
      <c r="AB292" s="35"/>
      <c r="AC292" s="35"/>
      <c r="AD292" s="35"/>
      <c r="AE292" s="35"/>
      <c r="AF292" s="35"/>
      <c r="AG292" s="35"/>
      <c r="AH292" s="30" t="s">
        <v>4714</v>
      </c>
      <c r="AI292" s="35" t="s">
        <v>17037</v>
      </c>
      <c r="AJ292" s="62" t="str">
        <f>MID('I kw.22'!W292,8,6)</f>
        <v>742208</v>
      </c>
      <c r="AK292" s="62">
        <v>1</v>
      </c>
      <c r="AL292" s="62">
        <f t="shared" si="4"/>
        <v>1</v>
      </c>
      <c r="AM292" s="62">
        <v>1</v>
      </c>
    </row>
    <row r="293" spans="1:39" x14ac:dyDescent="0.25">
      <c r="A293" s="35" t="s">
        <v>17036</v>
      </c>
      <c r="B293" s="35" t="s">
        <v>11533</v>
      </c>
      <c r="C293" s="35" t="s">
        <v>10</v>
      </c>
      <c r="D293" s="35" t="s">
        <v>16845</v>
      </c>
      <c r="E293" s="35" t="s">
        <v>192</v>
      </c>
      <c r="F293" s="62">
        <v>1</v>
      </c>
      <c r="G293" s="30" t="s">
        <v>193</v>
      </c>
      <c r="H293" s="30" t="s">
        <v>194</v>
      </c>
      <c r="I293" s="30" t="s">
        <v>16073</v>
      </c>
      <c r="J293" s="35" t="s">
        <v>9302</v>
      </c>
      <c r="K293" s="35">
        <v>18</v>
      </c>
      <c r="L293" s="35" t="s">
        <v>6955</v>
      </c>
      <c r="M293" s="35"/>
      <c r="N293" s="35" t="s">
        <v>17035</v>
      </c>
      <c r="O293" s="35" t="s">
        <v>6261</v>
      </c>
      <c r="P293" s="35" t="s">
        <v>16843</v>
      </c>
      <c r="Q293" s="35" t="s">
        <v>16113</v>
      </c>
      <c r="R293" s="35" t="s">
        <v>16842</v>
      </c>
      <c r="S293" s="35">
        <v>2394463</v>
      </c>
      <c r="T293" s="35">
        <v>34284366</v>
      </c>
      <c r="U293" s="35"/>
      <c r="V293" s="30"/>
      <c r="W293" s="505" t="s">
        <v>484</v>
      </c>
      <c r="X293" s="35" t="s">
        <v>193</v>
      </c>
      <c r="Y293" s="30">
        <v>25</v>
      </c>
      <c r="Z293" s="35"/>
      <c r="AA293" s="35"/>
      <c r="AB293" s="35"/>
      <c r="AC293" s="35"/>
      <c r="AD293" s="35"/>
      <c r="AE293" s="35"/>
      <c r="AF293" s="35"/>
      <c r="AG293" s="35"/>
      <c r="AH293" s="30" t="s">
        <v>4714</v>
      </c>
      <c r="AI293" s="35" t="s">
        <v>11533</v>
      </c>
      <c r="AJ293" s="62" t="str">
        <f>MID('I kw.22'!W293,8,6)</f>
        <v>251401</v>
      </c>
      <c r="AK293" s="62">
        <v>1</v>
      </c>
      <c r="AL293" s="62">
        <f t="shared" si="4"/>
        <v>1</v>
      </c>
      <c r="AM293" s="62">
        <v>1</v>
      </c>
    </row>
    <row r="294" spans="1:39" x14ac:dyDescent="0.25">
      <c r="A294" s="35" t="s">
        <v>17034</v>
      </c>
      <c r="B294" s="35" t="s">
        <v>17032</v>
      </c>
      <c r="C294" s="35" t="s">
        <v>85</v>
      </c>
      <c r="D294" s="35" t="s">
        <v>16845</v>
      </c>
      <c r="E294" s="35" t="s">
        <v>192</v>
      </c>
      <c r="F294" s="62">
        <v>1</v>
      </c>
      <c r="G294" s="30" t="s">
        <v>193</v>
      </c>
      <c r="H294" s="30" t="s">
        <v>194</v>
      </c>
      <c r="I294" s="30" t="s">
        <v>16052</v>
      </c>
      <c r="J294" s="35" t="s">
        <v>9302</v>
      </c>
      <c r="K294" s="35">
        <v>18</v>
      </c>
      <c r="L294" s="35" t="s">
        <v>6955</v>
      </c>
      <c r="M294" s="35"/>
      <c r="N294" s="35" t="s">
        <v>17033</v>
      </c>
      <c r="O294" s="35" t="s">
        <v>6245</v>
      </c>
      <c r="P294" s="35" t="s">
        <v>16843</v>
      </c>
      <c r="Q294" s="35" t="s">
        <v>16113</v>
      </c>
      <c r="R294" s="35" t="s">
        <v>16842</v>
      </c>
      <c r="S294" s="35">
        <v>2394480</v>
      </c>
      <c r="T294" s="35">
        <v>34284383</v>
      </c>
      <c r="U294" s="35"/>
      <c r="V294" s="30"/>
      <c r="W294" s="505" t="s">
        <v>477</v>
      </c>
      <c r="X294" s="35" t="s">
        <v>193</v>
      </c>
      <c r="Y294" s="30">
        <v>25</v>
      </c>
      <c r="Z294" s="35"/>
      <c r="AA294" s="35"/>
      <c r="AB294" s="35"/>
      <c r="AC294" s="35"/>
      <c r="AD294" s="35"/>
      <c r="AE294" s="35"/>
      <c r="AF294" s="35"/>
      <c r="AG294" s="35"/>
      <c r="AH294" s="30" t="s">
        <v>4714</v>
      </c>
      <c r="AI294" s="35" t="s">
        <v>17032</v>
      </c>
      <c r="AJ294" s="62" t="str">
        <f>MID('I kw.22'!W294,8,6)</f>
        <v>243305</v>
      </c>
      <c r="AK294" s="62">
        <v>1</v>
      </c>
      <c r="AL294" s="62">
        <f t="shared" si="4"/>
        <v>1</v>
      </c>
      <c r="AM294" s="62">
        <v>1</v>
      </c>
    </row>
    <row r="295" spans="1:39" x14ac:dyDescent="0.25">
      <c r="A295" s="35" t="s">
        <v>1959</v>
      </c>
      <c r="B295" s="35"/>
      <c r="C295" s="35" t="s">
        <v>36</v>
      </c>
      <c r="D295" s="35" t="s">
        <v>16845</v>
      </c>
      <c r="E295" s="35" t="s">
        <v>192</v>
      </c>
      <c r="F295" s="77">
        <v>1</v>
      </c>
      <c r="G295" s="30" t="s">
        <v>194</v>
      </c>
      <c r="H295" s="30" t="s">
        <v>193</v>
      </c>
      <c r="I295" s="30" t="s">
        <v>16073</v>
      </c>
      <c r="J295" s="35" t="s">
        <v>9302</v>
      </c>
      <c r="K295" s="35">
        <v>18</v>
      </c>
      <c r="L295" s="35" t="s">
        <v>6955</v>
      </c>
      <c r="M295" s="35"/>
      <c r="N295" s="35" t="s">
        <v>17031</v>
      </c>
      <c r="O295" s="35" t="s">
        <v>6286</v>
      </c>
      <c r="P295" s="35" t="s">
        <v>16843</v>
      </c>
      <c r="Q295" s="35" t="s">
        <v>16113</v>
      </c>
      <c r="R295" s="35" t="s">
        <v>16842</v>
      </c>
      <c r="S295" s="35">
        <v>2394492</v>
      </c>
      <c r="T295" s="35">
        <v>34284395</v>
      </c>
      <c r="U295" s="35"/>
      <c r="V295" s="30"/>
      <c r="W295" s="378" t="s">
        <v>609</v>
      </c>
      <c r="X295" s="35" t="s">
        <v>194</v>
      </c>
      <c r="Y295" s="30">
        <v>0</v>
      </c>
      <c r="Z295" s="35"/>
      <c r="AA295" s="35"/>
      <c r="AB295" s="35"/>
      <c r="AC295" s="35"/>
      <c r="AD295" s="35"/>
      <c r="AE295" s="35"/>
      <c r="AF295" s="35"/>
      <c r="AG295" s="35"/>
      <c r="AH295" s="30" t="s">
        <v>5109</v>
      </c>
      <c r="AI295" s="35" t="s">
        <v>17030</v>
      </c>
      <c r="AJ295" s="77" t="str">
        <f>MID('I kw.22'!W295,8,6)</f>
        <v>331301</v>
      </c>
      <c r="AK295" s="62">
        <v>1</v>
      </c>
      <c r="AL295" s="497">
        <f>SUM(F295)</f>
        <v>1</v>
      </c>
      <c r="AM295" s="62">
        <v>1</v>
      </c>
    </row>
    <row r="296" spans="1:39" x14ac:dyDescent="0.25">
      <c r="A296" s="35" t="s">
        <v>17029</v>
      </c>
      <c r="B296" s="35" t="s">
        <v>17027</v>
      </c>
      <c r="C296" s="35" t="s">
        <v>31</v>
      </c>
      <c r="D296" s="35" t="s">
        <v>16845</v>
      </c>
      <c r="E296" s="35" t="s">
        <v>192</v>
      </c>
      <c r="F296" s="62">
        <v>1</v>
      </c>
      <c r="G296" s="30" t="s">
        <v>193</v>
      </c>
      <c r="H296" s="30" t="s">
        <v>194</v>
      </c>
      <c r="I296" s="30" t="s">
        <v>16078</v>
      </c>
      <c r="J296" s="35" t="s">
        <v>249</v>
      </c>
      <c r="K296" s="35">
        <v>18</v>
      </c>
      <c r="L296" s="35" t="s">
        <v>6955</v>
      </c>
      <c r="M296" s="35"/>
      <c r="N296" s="35" t="s">
        <v>17028</v>
      </c>
      <c r="O296" s="35" t="s">
        <v>6288</v>
      </c>
      <c r="P296" s="35" t="s">
        <v>16843</v>
      </c>
      <c r="Q296" s="35" t="s">
        <v>16113</v>
      </c>
      <c r="R296" s="35" t="s">
        <v>16842</v>
      </c>
      <c r="S296" s="35">
        <v>2394500</v>
      </c>
      <c r="T296" s="35">
        <v>34284403</v>
      </c>
      <c r="U296" s="35"/>
      <c r="V296" s="30">
        <v>1816</v>
      </c>
      <c r="W296" s="35" t="s">
        <v>1884</v>
      </c>
      <c r="X296" s="35" t="s">
        <v>194</v>
      </c>
      <c r="Y296" s="30">
        <v>1</v>
      </c>
      <c r="Z296" s="35"/>
      <c r="AA296" s="35"/>
      <c r="AB296" s="35"/>
      <c r="AC296" s="35"/>
      <c r="AD296" s="35"/>
      <c r="AE296" s="35"/>
      <c r="AF296" s="35"/>
      <c r="AG296" s="35"/>
      <c r="AH296" s="30" t="s">
        <v>4714</v>
      </c>
      <c r="AI296" s="35" t="s">
        <v>17027</v>
      </c>
      <c r="AJ296" s="62" t="str">
        <f>MID('I kw.22'!W296,8,6)</f>
        <v>229201</v>
      </c>
      <c r="AK296" s="62">
        <v>1</v>
      </c>
      <c r="AL296" s="62">
        <f t="shared" si="4"/>
        <v>1</v>
      </c>
      <c r="AM296" s="62">
        <v>1</v>
      </c>
    </row>
    <row r="297" spans="1:39" x14ac:dyDescent="0.25">
      <c r="A297" s="35" t="s">
        <v>690</v>
      </c>
      <c r="B297" s="35" t="s">
        <v>17025</v>
      </c>
      <c r="C297" s="35" t="s">
        <v>10</v>
      </c>
      <c r="D297" s="35" t="s">
        <v>16845</v>
      </c>
      <c r="E297" s="35" t="s">
        <v>192</v>
      </c>
      <c r="F297" s="62">
        <v>1</v>
      </c>
      <c r="G297" s="30" t="s">
        <v>193</v>
      </c>
      <c r="H297" s="30" t="s">
        <v>194</v>
      </c>
      <c r="I297" s="30" t="s">
        <v>16068</v>
      </c>
      <c r="J297" s="35" t="s">
        <v>9302</v>
      </c>
      <c r="K297" s="35">
        <v>18</v>
      </c>
      <c r="L297" s="35" t="s">
        <v>6955</v>
      </c>
      <c r="M297" s="35"/>
      <c r="N297" s="35" t="s">
        <v>17026</v>
      </c>
      <c r="O297" s="35" t="s">
        <v>6921</v>
      </c>
      <c r="P297" s="35" t="s">
        <v>16843</v>
      </c>
      <c r="Q297" s="35" t="s">
        <v>16113</v>
      </c>
      <c r="R297" s="35" t="s">
        <v>16842</v>
      </c>
      <c r="S297" s="35">
        <v>2394525</v>
      </c>
      <c r="T297" s="35">
        <v>34284428</v>
      </c>
      <c r="U297" s="35"/>
      <c r="V297" s="30"/>
      <c r="W297" s="505" t="s">
        <v>484</v>
      </c>
      <c r="X297" s="35" t="s">
        <v>193</v>
      </c>
      <c r="Y297" s="30">
        <v>25</v>
      </c>
      <c r="Z297" s="35"/>
      <c r="AA297" s="35"/>
      <c r="AB297" s="35"/>
      <c r="AC297" s="35"/>
      <c r="AD297" s="35"/>
      <c r="AE297" s="35"/>
      <c r="AF297" s="35"/>
      <c r="AG297" s="35"/>
      <c r="AH297" s="30" t="s">
        <v>4714</v>
      </c>
      <c r="AI297" s="35" t="s">
        <v>17025</v>
      </c>
      <c r="AJ297" s="62" t="str">
        <f>MID('I kw.22'!W297,8,6)</f>
        <v>251401</v>
      </c>
      <c r="AK297" s="62">
        <v>1</v>
      </c>
      <c r="AL297" s="62">
        <f t="shared" si="4"/>
        <v>1</v>
      </c>
      <c r="AM297" s="62">
        <v>1</v>
      </c>
    </row>
    <row r="298" spans="1:39" x14ac:dyDescent="0.25">
      <c r="A298" s="35" t="s">
        <v>2315</v>
      </c>
      <c r="B298" s="35" t="s">
        <v>7474</v>
      </c>
      <c r="C298" s="35" t="s">
        <v>566</v>
      </c>
      <c r="D298" s="35" t="s">
        <v>16845</v>
      </c>
      <c r="E298" s="35" t="s">
        <v>192</v>
      </c>
      <c r="F298" s="62">
        <v>1</v>
      </c>
      <c r="G298" s="30" t="s">
        <v>193</v>
      </c>
      <c r="H298" s="30" t="s">
        <v>194</v>
      </c>
      <c r="I298" s="30" t="s">
        <v>16073</v>
      </c>
      <c r="J298" s="35" t="s">
        <v>9302</v>
      </c>
      <c r="K298" s="35">
        <v>18</v>
      </c>
      <c r="L298" s="35" t="s">
        <v>6955</v>
      </c>
      <c r="M298" s="35"/>
      <c r="N298" s="35" t="s">
        <v>17024</v>
      </c>
      <c r="O298" s="35" t="s">
        <v>6245</v>
      </c>
      <c r="P298" s="35" t="s">
        <v>16843</v>
      </c>
      <c r="Q298" s="35" t="s">
        <v>16113</v>
      </c>
      <c r="R298" s="35" t="s">
        <v>16842</v>
      </c>
      <c r="S298" s="35">
        <v>2394553</v>
      </c>
      <c r="T298" s="35">
        <v>34284456</v>
      </c>
      <c r="U298" s="35"/>
      <c r="V298" s="30"/>
      <c r="W298" s="505" t="s">
        <v>567</v>
      </c>
      <c r="X298" s="35" t="s">
        <v>193</v>
      </c>
      <c r="Y298" s="30">
        <v>25</v>
      </c>
      <c r="Z298" s="35"/>
      <c r="AA298" s="35"/>
      <c r="AB298" s="35"/>
      <c r="AC298" s="35"/>
      <c r="AD298" s="35"/>
      <c r="AE298" s="35"/>
      <c r="AF298" s="35"/>
      <c r="AG298" s="35"/>
      <c r="AH298" s="30" t="s">
        <v>4714</v>
      </c>
      <c r="AI298" s="35" t="s">
        <v>7474</v>
      </c>
      <c r="AJ298" s="62" t="str">
        <f>MID('I kw.22'!W298,8,6)</f>
        <v>311504</v>
      </c>
      <c r="AK298" s="62">
        <v>1</v>
      </c>
      <c r="AL298" s="62">
        <f t="shared" si="4"/>
        <v>1</v>
      </c>
      <c r="AM298" s="62">
        <v>1</v>
      </c>
    </row>
    <row r="299" spans="1:39" x14ac:dyDescent="0.25">
      <c r="A299" s="35" t="s">
        <v>17023</v>
      </c>
      <c r="B299" s="35" t="s">
        <v>17021</v>
      </c>
      <c r="C299" s="35" t="s">
        <v>10</v>
      </c>
      <c r="D299" s="35" t="s">
        <v>16845</v>
      </c>
      <c r="E299" s="35" t="s">
        <v>192</v>
      </c>
      <c r="F299" s="62">
        <v>1</v>
      </c>
      <c r="G299" s="30" t="s">
        <v>193</v>
      </c>
      <c r="H299" s="30" t="s">
        <v>194</v>
      </c>
      <c r="I299" s="30" t="s">
        <v>16073</v>
      </c>
      <c r="J299" s="35" t="s">
        <v>9302</v>
      </c>
      <c r="K299" s="35">
        <v>18</v>
      </c>
      <c r="L299" s="35" t="s">
        <v>6955</v>
      </c>
      <c r="M299" s="35"/>
      <c r="N299" s="35" t="s">
        <v>17022</v>
      </c>
      <c r="O299" s="35" t="s">
        <v>6261</v>
      </c>
      <c r="P299" s="35" t="s">
        <v>16843</v>
      </c>
      <c r="Q299" s="35" t="s">
        <v>16113</v>
      </c>
      <c r="R299" s="35" t="s">
        <v>16842</v>
      </c>
      <c r="S299" s="35">
        <v>2394568</v>
      </c>
      <c r="T299" s="35">
        <v>34284471</v>
      </c>
      <c r="U299" s="35"/>
      <c r="V299" s="30"/>
      <c r="W299" s="505" t="s">
        <v>484</v>
      </c>
      <c r="X299" s="35" t="s">
        <v>193</v>
      </c>
      <c r="Y299" s="30">
        <v>25</v>
      </c>
      <c r="Z299" s="35"/>
      <c r="AA299" s="35"/>
      <c r="AB299" s="35"/>
      <c r="AC299" s="35"/>
      <c r="AD299" s="35"/>
      <c r="AE299" s="35"/>
      <c r="AF299" s="35"/>
      <c r="AG299" s="35"/>
      <c r="AH299" s="30" t="s">
        <v>4714</v>
      </c>
      <c r="AI299" s="35" t="s">
        <v>17021</v>
      </c>
      <c r="AJ299" s="62" t="str">
        <f>MID('I kw.22'!W299,8,6)</f>
        <v>251401</v>
      </c>
      <c r="AK299" s="62">
        <v>1</v>
      </c>
      <c r="AL299" s="62">
        <f t="shared" si="4"/>
        <v>1</v>
      </c>
      <c r="AM299" s="62">
        <v>1</v>
      </c>
    </row>
    <row r="300" spans="1:39" x14ac:dyDescent="0.25">
      <c r="A300" s="35" t="s">
        <v>690</v>
      </c>
      <c r="B300" s="35" t="s">
        <v>17019</v>
      </c>
      <c r="C300" s="35" t="s">
        <v>16355</v>
      </c>
      <c r="D300" s="35" t="s">
        <v>16845</v>
      </c>
      <c r="E300" s="35" t="s">
        <v>192</v>
      </c>
      <c r="F300" s="62">
        <v>1</v>
      </c>
      <c r="G300" s="30" t="s">
        <v>193</v>
      </c>
      <c r="H300" s="30" t="s">
        <v>194</v>
      </c>
      <c r="I300" s="30" t="s">
        <v>16048</v>
      </c>
      <c r="J300" s="35" t="s">
        <v>9302</v>
      </c>
      <c r="K300" s="35">
        <v>18</v>
      </c>
      <c r="L300" s="35" t="s">
        <v>6955</v>
      </c>
      <c r="M300" s="35"/>
      <c r="N300" s="35" t="s">
        <v>17020</v>
      </c>
      <c r="O300" s="35" t="s">
        <v>6286</v>
      </c>
      <c r="P300" s="35" t="s">
        <v>16843</v>
      </c>
      <c r="Q300" s="35" t="s">
        <v>16113</v>
      </c>
      <c r="R300" s="35" t="s">
        <v>16842</v>
      </c>
      <c r="S300" s="35">
        <v>2394585</v>
      </c>
      <c r="T300" s="35">
        <v>34284488</v>
      </c>
      <c r="U300" s="35"/>
      <c r="V300" s="30"/>
      <c r="W300" s="505" t="s">
        <v>508</v>
      </c>
      <c r="X300" s="35" t="s">
        <v>193</v>
      </c>
      <c r="Y300" s="30">
        <v>25</v>
      </c>
      <c r="Z300" s="35"/>
      <c r="AA300" s="35"/>
      <c r="AB300" s="35"/>
      <c r="AC300" s="35"/>
      <c r="AD300" s="35"/>
      <c r="AE300" s="35"/>
      <c r="AF300" s="35"/>
      <c r="AG300" s="35"/>
      <c r="AH300" s="30" t="s">
        <v>4714</v>
      </c>
      <c r="AI300" s="35" t="s">
        <v>17019</v>
      </c>
      <c r="AJ300" s="62" t="str">
        <f>MID('I kw.22'!W300,8,6)</f>
        <v>252102</v>
      </c>
      <c r="AK300" s="62">
        <v>1</v>
      </c>
      <c r="AL300" s="62">
        <f t="shared" si="4"/>
        <v>1</v>
      </c>
      <c r="AM300" s="62">
        <v>1</v>
      </c>
    </row>
    <row r="301" spans="1:39" x14ac:dyDescent="0.25">
      <c r="A301" s="35" t="s">
        <v>690</v>
      </c>
      <c r="B301" s="35" t="s">
        <v>17017</v>
      </c>
      <c r="C301" s="35" t="s">
        <v>92</v>
      </c>
      <c r="D301" s="35" t="s">
        <v>16845</v>
      </c>
      <c r="E301" s="35" t="s">
        <v>192</v>
      </c>
      <c r="F301" s="62">
        <v>1</v>
      </c>
      <c r="G301" s="30" t="s">
        <v>193</v>
      </c>
      <c r="H301" s="30" t="s">
        <v>194</v>
      </c>
      <c r="I301" s="30" t="s">
        <v>16121</v>
      </c>
      <c r="J301" s="35" t="s">
        <v>9302</v>
      </c>
      <c r="K301" s="35">
        <v>18</v>
      </c>
      <c r="L301" s="35" t="s">
        <v>6955</v>
      </c>
      <c r="M301" s="35"/>
      <c r="N301" s="35" t="s">
        <v>17018</v>
      </c>
      <c r="O301" s="35" t="s">
        <v>6921</v>
      </c>
      <c r="P301" s="35" t="s">
        <v>16843</v>
      </c>
      <c r="Q301" s="35" t="s">
        <v>16113</v>
      </c>
      <c r="R301" s="35" t="s">
        <v>16842</v>
      </c>
      <c r="S301" s="35">
        <v>2394608</v>
      </c>
      <c r="T301" s="35">
        <v>34284511</v>
      </c>
      <c r="U301" s="35"/>
      <c r="V301" s="30"/>
      <c r="W301" s="505" t="s">
        <v>2078</v>
      </c>
      <c r="X301" s="35" t="s">
        <v>193</v>
      </c>
      <c r="Y301" s="30">
        <v>25</v>
      </c>
      <c r="Z301" s="35"/>
      <c r="AA301" s="35"/>
      <c r="AB301" s="35"/>
      <c r="AC301" s="35"/>
      <c r="AD301" s="35"/>
      <c r="AE301" s="35"/>
      <c r="AF301" s="35"/>
      <c r="AG301" s="35"/>
      <c r="AH301" s="30" t="s">
        <v>4714</v>
      </c>
      <c r="AI301" s="35" t="s">
        <v>17017</v>
      </c>
      <c r="AJ301" s="62" t="str">
        <f>MID('I kw.22'!W301,8,6)</f>
        <v>351201</v>
      </c>
      <c r="AK301" s="62">
        <v>1</v>
      </c>
      <c r="AL301" s="62">
        <f t="shared" si="4"/>
        <v>1</v>
      </c>
      <c r="AM301" s="62">
        <v>1</v>
      </c>
    </row>
    <row r="302" spans="1:39" x14ac:dyDescent="0.25">
      <c r="A302" s="35" t="s">
        <v>690</v>
      </c>
      <c r="B302" s="35" t="s">
        <v>17015</v>
      </c>
      <c r="C302" s="35" t="s">
        <v>2861</v>
      </c>
      <c r="D302" s="35" t="s">
        <v>16845</v>
      </c>
      <c r="E302" s="35" t="s">
        <v>192</v>
      </c>
      <c r="F302" s="62">
        <v>1</v>
      </c>
      <c r="G302" s="30" t="s">
        <v>193</v>
      </c>
      <c r="H302" s="30" t="s">
        <v>194</v>
      </c>
      <c r="I302" s="30" t="s">
        <v>16121</v>
      </c>
      <c r="J302" s="35" t="s">
        <v>9302</v>
      </c>
      <c r="K302" s="35">
        <v>18</v>
      </c>
      <c r="L302" s="35" t="s">
        <v>6955</v>
      </c>
      <c r="M302" s="35"/>
      <c r="N302" s="35" t="s">
        <v>17016</v>
      </c>
      <c r="O302" s="35" t="s">
        <v>6921</v>
      </c>
      <c r="P302" s="35" t="s">
        <v>16843</v>
      </c>
      <c r="Q302" s="35" t="s">
        <v>16113</v>
      </c>
      <c r="R302" s="35" t="s">
        <v>16842</v>
      </c>
      <c r="S302" s="35">
        <v>2394624</v>
      </c>
      <c r="T302" s="35">
        <v>34284527</v>
      </c>
      <c r="U302" s="35"/>
      <c r="V302" s="30"/>
      <c r="W302" s="505" t="s">
        <v>3629</v>
      </c>
      <c r="X302" s="35" t="s">
        <v>193</v>
      </c>
      <c r="Y302" s="30">
        <v>25</v>
      </c>
      <c r="Z302" s="35"/>
      <c r="AA302" s="35"/>
      <c r="AB302" s="35"/>
      <c r="AC302" s="35"/>
      <c r="AD302" s="35"/>
      <c r="AE302" s="35"/>
      <c r="AF302" s="35"/>
      <c r="AG302" s="35"/>
      <c r="AH302" s="30" t="s">
        <v>4714</v>
      </c>
      <c r="AI302" s="35" t="s">
        <v>17015</v>
      </c>
      <c r="AJ302" s="62" t="str">
        <f>MID('I kw.22'!W302,8,6)</f>
        <v>251903</v>
      </c>
      <c r="AK302" s="62">
        <v>1</v>
      </c>
      <c r="AL302" s="62">
        <f t="shared" si="4"/>
        <v>1</v>
      </c>
      <c r="AM302" s="62">
        <v>1</v>
      </c>
    </row>
    <row r="303" spans="1:39" x14ac:dyDescent="0.25">
      <c r="A303" s="35" t="s">
        <v>17014</v>
      </c>
      <c r="B303" s="35" t="s">
        <v>17012</v>
      </c>
      <c r="C303" s="35" t="s">
        <v>133</v>
      </c>
      <c r="D303" s="35" t="s">
        <v>16845</v>
      </c>
      <c r="E303" s="35" t="s">
        <v>192</v>
      </c>
      <c r="F303" s="62">
        <v>1</v>
      </c>
      <c r="G303" s="30" t="s">
        <v>193</v>
      </c>
      <c r="H303" s="30" t="s">
        <v>194</v>
      </c>
      <c r="I303" s="30" t="s">
        <v>16048</v>
      </c>
      <c r="J303" s="35" t="s">
        <v>9302</v>
      </c>
      <c r="K303" s="35">
        <v>18</v>
      </c>
      <c r="L303" s="35" t="s">
        <v>6955</v>
      </c>
      <c r="M303" s="35"/>
      <c r="N303" s="35" t="s">
        <v>17013</v>
      </c>
      <c r="O303" s="35" t="s">
        <v>6254</v>
      </c>
      <c r="P303" s="35" t="s">
        <v>16843</v>
      </c>
      <c r="Q303" s="35" t="s">
        <v>16113</v>
      </c>
      <c r="R303" s="35" t="s">
        <v>16842</v>
      </c>
      <c r="S303" s="35">
        <v>2394642</v>
      </c>
      <c r="T303" s="35">
        <v>34284545</v>
      </c>
      <c r="U303" s="35"/>
      <c r="V303" s="30"/>
      <c r="W303" s="505" t="s">
        <v>673</v>
      </c>
      <c r="X303" s="35" t="s">
        <v>193</v>
      </c>
      <c r="Y303" s="30">
        <v>25</v>
      </c>
      <c r="Z303" s="35"/>
      <c r="AA303" s="35"/>
      <c r="AB303" s="35"/>
      <c r="AC303" s="35"/>
      <c r="AD303" s="35"/>
      <c r="AE303" s="35"/>
      <c r="AF303" s="35"/>
      <c r="AG303" s="35"/>
      <c r="AH303" s="30" t="s">
        <v>4714</v>
      </c>
      <c r="AI303" s="35" t="s">
        <v>17012</v>
      </c>
      <c r="AJ303" s="62" t="str">
        <f>MID('I kw.22'!W303,8,6)</f>
        <v>333107</v>
      </c>
      <c r="AK303" s="62">
        <v>1</v>
      </c>
      <c r="AL303" s="62">
        <f t="shared" si="4"/>
        <v>1</v>
      </c>
      <c r="AM303" s="62">
        <v>1</v>
      </c>
    </row>
    <row r="304" spans="1:39" x14ac:dyDescent="0.25">
      <c r="A304" s="35" t="s">
        <v>17011</v>
      </c>
      <c r="B304" s="35" t="s">
        <v>17009</v>
      </c>
      <c r="C304" s="35" t="s">
        <v>27</v>
      </c>
      <c r="D304" s="35" t="s">
        <v>16845</v>
      </c>
      <c r="E304" s="35" t="s">
        <v>192</v>
      </c>
      <c r="F304" s="62">
        <v>1</v>
      </c>
      <c r="G304" s="30" t="s">
        <v>193</v>
      </c>
      <c r="H304" s="30" t="s">
        <v>194</v>
      </c>
      <c r="I304" s="30" t="s">
        <v>16066</v>
      </c>
      <c r="J304" s="35" t="s">
        <v>9302</v>
      </c>
      <c r="K304" s="35">
        <v>18</v>
      </c>
      <c r="L304" s="35" t="s">
        <v>6955</v>
      </c>
      <c r="M304" s="35"/>
      <c r="N304" s="35" t="s">
        <v>17010</v>
      </c>
      <c r="O304" s="35" t="s">
        <v>6340</v>
      </c>
      <c r="P304" s="35" t="s">
        <v>16843</v>
      </c>
      <c r="Q304" s="35" t="s">
        <v>16113</v>
      </c>
      <c r="R304" s="35" t="s">
        <v>16842</v>
      </c>
      <c r="S304" s="35">
        <v>2394668</v>
      </c>
      <c r="T304" s="35">
        <v>34284571</v>
      </c>
      <c r="U304" s="35"/>
      <c r="V304" s="30"/>
      <c r="W304" s="505" t="s">
        <v>440</v>
      </c>
      <c r="X304" s="35" t="s">
        <v>193</v>
      </c>
      <c r="Y304" s="30">
        <v>25</v>
      </c>
      <c r="Z304" s="35"/>
      <c r="AA304" s="35"/>
      <c r="AB304" s="35"/>
      <c r="AC304" s="35"/>
      <c r="AD304" s="35"/>
      <c r="AE304" s="35"/>
      <c r="AF304" s="35"/>
      <c r="AG304" s="35"/>
      <c r="AH304" s="30" t="s">
        <v>4714</v>
      </c>
      <c r="AI304" s="35" t="s">
        <v>17009</v>
      </c>
      <c r="AJ304" s="62" t="str">
        <f>MID('I kw.22'!W304,8,6)</f>
        <v>242307</v>
      </c>
      <c r="AK304" s="62">
        <v>1</v>
      </c>
      <c r="AL304" s="62">
        <f t="shared" si="4"/>
        <v>1</v>
      </c>
      <c r="AM304" s="62">
        <v>1</v>
      </c>
    </row>
    <row r="305" spans="1:39" x14ac:dyDescent="0.25">
      <c r="A305" s="35" t="s">
        <v>17008</v>
      </c>
      <c r="B305" s="35" t="s">
        <v>2516</v>
      </c>
      <c r="C305" s="35" t="s">
        <v>85</v>
      </c>
      <c r="D305" s="35" t="s">
        <v>16845</v>
      </c>
      <c r="E305" s="35" t="s">
        <v>192</v>
      </c>
      <c r="F305" s="62">
        <v>1</v>
      </c>
      <c r="G305" s="30" t="s">
        <v>193</v>
      </c>
      <c r="H305" s="30" t="s">
        <v>194</v>
      </c>
      <c r="I305" s="30" t="s">
        <v>16052</v>
      </c>
      <c r="J305" s="35" t="s">
        <v>9302</v>
      </c>
      <c r="K305" s="35">
        <v>18</v>
      </c>
      <c r="L305" s="35" t="s">
        <v>6955</v>
      </c>
      <c r="M305" s="35"/>
      <c r="N305" s="35" t="s">
        <v>17007</v>
      </c>
      <c r="O305" s="35" t="s">
        <v>6290</v>
      </c>
      <c r="P305" s="35" t="s">
        <v>16843</v>
      </c>
      <c r="Q305" s="35" t="s">
        <v>16113</v>
      </c>
      <c r="R305" s="35" t="s">
        <v>16842</v>
      </c>
      <c r="S305" s="35">
        <v>2394686</v>
      </c>
      <c r="T305" s="35">
        <v>34284589</v>
      </c>
      <c r="U305" s="35"/>
      <c r="V305" s="30"/>
      <c r="W305" s="505" t="s">
        <v>477</v>
      </c>
      <c r="X305" s="35" t="s">
        <v>193</v>
      </c>
      <c r="Y305" s="30">
        <v>25</v>
      </c>
      <c r="Z305" s="35"/>
      <c r="AA305" s="35"/>
      <c r="AB305" s="35"/>
      <c r="AC305" s="35"/>
      <c r="AD305" s="35"/>
      <c r="AE305" s="35"/>
      <c r="AF305" s="35"/>
      <c r="AG305" s="35"/>
      <c r="AH305" s="30" t="s">
        <v>4714</v>
      </c>
      <c r="AI305" s="35" t="s">
        <v>2516</v>
      </c>
      <c r="AJ305" s="62" t="str">
        <f>MID('I kw.22'!W305,8,6)</f>
        <v>243305</v>
      </c>
      <c r="AK305" s="62">
        <v>1</v>
      </c>
      <c r="AL305" s="62">
        <f t="shared" si="4"/>
        <v>1</v>
      </c>
      <c r="AM305" s="62">
        <v>1</v>
      </c>
    </row>
    <row r="306" spans="1:39" x14ac:dyDescent="0.25">
      <c r="A306" s="35" t="s">
        <v>12918</v>
      </c>
      <c r="B306" s="35" t="s">
        <v>17005</v>
      </c>
      <c r="C306" s="35" t="s">
        <v>156</v>
      </c>
      <c r="D306" s="35" t="s">
        <v>16845</v>
      </c>
      <c r="E306" s="35" t="s">
        <v>192</v>
      </c>
      <c r="F306" s="62">
        <v>1</v>
      </c>
      <c r="G306" s="30" t="s">
        <v>193</v>
      </c>
      <c r="H306" s="30" t="s">
        <v>194</v>
      </c>
      <c r="I306" s="30" t="s">
        <v>16048</v>
      </c>
      <c r="J306" s="35" t="s">
        <v>9302</v>
      </c>
      <c r="K306" s="35">
        <v>18</v>
      </c>
      <c r="L306" s="35" t="s">
        <v>6955</v>
      </c>
      <c r="M306" s="35"/>
      <c r="N306" s="35" t="s">
        <v>17006</v>
      </c>
      <c r="O306" s="35" t="s">
        <v>6254</v>
      </c>
      <c r="P306" s="35" t="s">
        <v>16843</v>
      </c>
      <c r="Q306" s="35" t="s">
        <v>16113</v>
      </c>
      <c r="R306" s="35" t="s">
        <v>16842</v>
      </c>
      <c r="S306" s="35">
        <v>2394704</v>
      </c>
      <c r="T306" s="35">
        <v>34284607</v>
      </c>
      <c r="U306" s="35"/>
      <c r="V306" s="30"/>
      <c r="W306" s="505" t="s">
        <v>659</v>
      </c>
      <c r="X306" s="35" t="s">
        <v>193</v>
      </c>
      <c r="Y306" s="30">
        <v>25</v>
      </c>
      <c r="Z306" s="35"/>
      <c r="AA306" s="35"/>
      <c r="AB306" s="35"/>
      <c r="AC306" s="35"/>
      <c r="AD306" s="35"/>
      <c r="AE306" s="35"/>
      <c r="AF306" s="35"/>
      <c r="AG306" s="35"/>
      <c r="AH306" s="30" t="s">
        <v>4714</v>
      </c>
      <c r="AI306" s="35" t="s">
        <v>17005</v>
      </c>
      <c r="AJ306" s="62" t="str">
        <f>MID('I kw.22'!W306,8,6)</f>
        <v>332302</v>
      </c>
      <c r="AK306" s="62">
        <v>1</v>
      </c>
      <c r="AL306" s="62">
        <f t="shared" si="4"/>
        <v>1</v>
      </c>
      <c r="AM306" s="62">
        <v>1</v>
      </c>
    </row>
    <row r="307" spans="1:39" x14ac:dyDescent="0.25">
      <c r="A307" s="35" t="s">
        <v>17004</v>
      </c>
      <c r="B307" s="35" t="s">
        <v>632</v>
      </c>
      <c r="C307" s="35" t="s">
        <v>17</v>
      </c>
      <c r="D307" s="35" t="s">
        <v>16845</v>
      </c>
      <c r="E307" s="35" t="s">
        <v>192</v>
      </c>
      <c r="F307" s="62">
        <v>1</v>
      </c>
      <c r="G307" s="30" t="s">
        <v>193</v>
      </c>
      <c r="H307" s="30" t="s">
        <v>194</v>
      </c>
      <c r="I307" s="30" t="s">
        <v>16052</v>
      </c>
      <c r="J307" s="35" t="s">
        <v>9302</v>
      </c>
      <c r="K307" s="35">
        <v>18</v>
      </c>
      <c r="L307" s="35" t="s">
        <v>6955</v>
      </c>
      <c r="M307" s="35"/>
      <c r="N307" s="35" t="s">
        <v>17003</v>
      </c>
      <c r="O307" s="35" t="s">
        <v>6245</v>
      </c>
      <c r="P307" s="35" t="s">
        <v>16894</v>
      </c>
      <c r="Q307" s="35" t="s">
        <v>16113</v>
      </c>
      <c r="R307" s="35" t="s">
        <v>16842</v>
      </c>
      <c r="S307" s="35">
        <v>2394728</v>
      </c>
      <c r="T307" s="35">
        <v>34284631</v>
      </c>
      <c r="U307" s="35"/>
      <c r="V307" s="30"/>
      <c r="W307" s="505" t="s">
        <v>624</v>
      </c>
      <c r="X307" s="35" t="s">
        <v>193</v>
      </c>
      <c r="Y307" s="30">
        <v>25</v>
      </c>
      <c r="Z307" s="35"/>
      <c r="AA307" s="35"/>
      <c r="AB307" s="35"/>
      <c r="AC307" s="35"/>
      <c r="AD307" s="35"/>
      <c r="AE307" s="35"/>
      <c r="AF307" s="35"/>
      <c r="AG307" s="35"/>
      <c r="AH307" s="30" t="s">
        <v>4714</v>
      </c>
      <c r="AI307" s="35" t="s">
        <v>17</v>
      </c>
      <c r="AJ307" s="62" t="str">
        <f>MID('I kw.22'!W307,8,6)</f>
        <v>332203</v>
      </c>
      <c r="AK307" s="62">
        <v>1</v>
      </c>
      <c r="AL307" s="62">
        <f t="shared" si="4"/>
        <v>1</v>
      </c>
      <c r="AM307" s="62">
        <v>1</v>
      </c>
    </row>
    <row r="308" spans="1:39" x14ac:dyDescent="0.25">
      <c r="A308" s="35" t="s">
        <v>14864</v>
      </c>
      <c r="B308" s="35" t="s">
        <v>17001</v>
      </c>
      <c r="C308" s="35" t="s">
        <v>5884</v>
      </c>
      <c r="D308" s="35" t="s">
        <v>16845</v>
      </c>
      <c r="E308" s="35" t="s">
        <v>192</v>
      </c>
      <c r="F308" s="62">
        <v>1</v>
      </c>
      <c r="G308" s="30" t="s">
        <v>193</v>
      </c>
      <c r="H308" s="30" t="s">
        <v>194</v>
      </c>
      <c r="I308" s="30" t="s">
        <v>16068</v>
      </c>
      <c r="J308" s="35" t="s">
        <v>9302</v>
      </c>
      <c r="K308" s="35">
        <v>18</v>
      </c>
      <c r="L308" s="35" t="s">
        <v>6955</v>
      </c>
      <c r="M308" s="35"/>
      <c r="N308" s="35" t="s">
        <v>17002</v>
      </c>
      <c r="O308" s="35" t="s">
        <v>6921</v>
      </c>
      <c r="P308" s="35" t="s">
        <v>16843</v>
      </c>
      <c r="Q308" s="35" t="s">
        <v>16113</v>
      </c>
      <c r="R308" s="35" t="s">
        <v>16842</v>
      </c>
      <c r="S308" s="35">
        <v>2394746</v>
      </c>
      <c r="T308" s="35">
        <v>34284649</v>
      </c>
      <c r="U308" s="35"/>
      <c r="V308" s="30"/>
      <c r="W308" s="505" t="s">
        <v>5886</v>
      </c>
      <c r="X308" s="35" t="s">
        <v>193</v>
      </c>
      <c r="Y308" s="30">
        <v>25</v>
      </c>
      <c r="Z308" s="35"/>
      <c r="AA308" s="35"/>
      <c r="AB308" s="35"/>
      <c r="AC308" s="35"/>
      <c r="AD308" s="35"/>
      <c r="AE308" s="35"/>
      <c r="AF308" s="35"/>
      <c r="AG308" s="35"/>
      <c r="AH308" s="30" t="s">
        <v>4714</v>
      </c>
      <c r="AI308" s="35" t="s">
        <v>17001</v>
      </c>
      <c r="AJ308" s="62" t="str">
        <f>MID('I kw.22'!W308,8,6)</f>
        <v>243107</v>
      </c>
      <c r="AK308" s="62">
        <v>1</v>
      </c>
      <c r="AL308" s="62">
        <f t="shared" si="4"/>
        <v>1</v>
      </c>
      <c r="AM308" s="62">
        <v>1</v>
      </c>
    </row>
    <row r="309" spans="1:39" x14ac:dyDescent="0.25">
      <c r="A309" s="35" t="s">
        <v>14341</v>
      </c>
      <c r="B309" s="35" t="s">
        <v>1681</v>
      </c>
      <c r="C309" s="35" t="s">
        <v>150</v>
      </c>
      <c r="D309" s="35" t="s">
        <v>16845</v>
      </c>
      <c r="E309" s="35" t="s">
        <v>192</v>
      </c>
      <c r="F309" s="62">
        <v>1</v>
      </c>
      <c r="G309" s="30" t="s">
        <v>193</v>
      </c>
      <c r="H309" s="30" t="s">
        <v>194</v>
      </c>
      <c r="I309" s="30" t="s">
        <v>16052</v>
      </c>
      <c r="J309" s="35" t="s">
        <v>9302</v>
      </c>
      <c r="K309" s="35">
        <v>18</v>
      </c>
      <c r="L309" s="35" t="s">
        <v>6955</v>
      </c>
      <c r="M309" s="35"/>
      <c r="N309" s="35" t="s">
        <v>17000</v>
      </c>
      <c r="O309" s="35" t="s">
        <v>6363</v>
      </c>
      <c r="P309" s="35" t="s">
        <v>16843</v>
      </c>
      <c r="Q309" s="35" t="s">
        <v>16113</v>
      </c>
      <c r="R309" s="35" t="s">
        <v>16842</v>
      </c>
      <c r="S309" s="35">
        <v>2394761</v>
      </c>
      <c r="T309" s="35">
        <v>34284664</v>
      </c>
      <c r="U309" s="35"/>
      <c r="V309" s="30"/>
      <c r="W309" s="505" t="s">
        <v>1274</v>
      </c>
      <c r="X309" s="35" t="s">
        <v>193</v>
      </c>
      <c r="Y309" s="30">
        <v>25</v>
      </c>
      <c r="Z309" s="35"/>
      <c r="AA309" s="35"/>
      <c r="AB309" s="35"/>
      <c r="AC309" s="35"/>
      <c r="AD309" s="35"/>
      <c r="AE309" s="35"/>
      <c r="AF309" s="35"/>
      <c r="AG309" s="35"/>
      <c r="AH309" s="30" t="s">
        <v>4714</v>
      </c>
      <c r="AI309" s="35" t="s">
        <v>1681</v>
      </c>
      <c r="AJ309" s="62" t="str">
        <f>MID('I kw.22'!W309,8,6)</f>
        <v>132105</v>
      </c>
      <c r="AK309" s="62">
        <v>1</v>
      </c>
      <c r="AL309" s="62">
        <f t="shared" si="4"/>
        <v>1</v>
      </c>
      <c r="AM309" s="62">
        <v>1</v>
      </c>
    </row>
    <row r="310" spans="1:39" x14ac:dyDescent="0.25">
      <c r="A310" s="35" t="s">
        <v>14864</v>
      </c>
      <c r="B310" s="35" t="s">
        <v>16998</v>
      </c>
      <c r="C310" s="35" t="s">
        <v>2993</v>
      </c>
      <c r="D310" s="35" t="s">
        <v>16845</v>
      </c>
      <c r="E310" s="35" t="s">
        <v>192</v>
      </c>
      <c r="F310" s="62">
        <v>1</v>
      </c>
      <c r="G310" s="30" t="s">
        <v>193</v>
      </c>
      <c r="H310" s="30" t="s">
        <v>194</v>
      </c>
      <c r="I310" s="30" t="s">
        <v>16068</v>
      </c>
      <c r="J310" s="35" t="s">
        <v>9302</v>
      </c>
      <c r="K310" s="35">
        <v>18</v>
      </c>
      <c r="L310" s="35" t="s">
        <v>6955</v>
      </c>
      <c r="M310" s="35"/>
      <c r="N310" s="35" t="s">
        <v>16999</v>
      </c>
      <c r="O310" s="35" t="s">
        <v>6921</v>
      </c>
      <c r="P310" s="35" t="s">
        <v>16843</v>
      </c>
      <c r="Q310" s="35" t="s">
        <v>16113</v>
      </c>
      <c r="R310" s="35" t="s">
        <v>16842</v>
      </c>
      <c r="S310" s="35">
        <v>2394771</v>
      </c>
      <c r="T310" s="35">
        <v>34284674</v>
      </c>
      <c r="U310" s="35"/>
      <c r="V310" s="30"/>
      <c r="W310" s="505" t="s">
        <v>3793</v>
      </c>
      <c r="X310" s="35" t="s">
        <v>193</v>
      </c>
      <c r="Y310" s="30">
        <v>25</v>
      </c>
      <c r="Z310" s="35"/>
      <c r="AA310" s="35"/>
      <c r="AB310" s="35"/>
      <c r="AC310" s="35"/>
      <c r="AD310" s="35"/>
      <c r="AE310" s="35"/>
      <c r="AF310" s="35"/>
      <c r="AG310" s="35"/>
      <c r="AH310" s="30" t="s">
        <v>4714</v>
      </c>
      <c r="AI310" s="35" t="s">
        <v>16998</v>
      </c>
      <c r="AJ310" s="62" t="str">
        <f>MID('I kw.22'!W310,8,6)</f>
        <v>251904</v>
      </c>
      <c r="AK310" s="62">
        <v>1</v>
      </c>
      <c r="AL310" s="62">
        <f t="shared" si="4"/>
        <v>1</v>
      </c>
      <c r="AM310" s="62">
        <v>1</v>
      </c>
    </row>
    <row r="311" spans="1:39" x14ac:dyDescent="0.25">
      <c r="A311" s="35" t="s">
        <v>690</v>
      </c>
      <c r="B311" s="35" t="s">
        <v>16996</v>
      </c>
      <c r="C311" s="35" t="s">
        <v>92</v>
      </c>
      <c r="D311" s="35" t="s">
        <v>16845</v>
      </c>
      <c r="E311" s="35" t="s">
        <v>192</v>
      </c>
      <c r="F311" s="62">
        <v>1</v>
      </c>
      <c r="G311" s="30" t="s">
        <v>193</v>
      </c>
      <c r="H311" s="30" t="s">
        <v>194</v>
      </c>
      <c r="I311" s="30" t="s">
        <v>16121</v>
      </c>
      <c r="J311" s="35" t="s">
        <v>9302</v>
      </c>
      <c r="K311" s="35">
        <v>18</v>
      </c>
      <c r="L311" s="35" t="s">
        <v>6955</v>
      </c>
      <c r="M311" s="35"/>
      <c r="N311" s="35" t="s">
        <v>16997</v>
      </c>
      <c r="O311" s="35" t="s">
        <v>6921</v>
      </c>
      <c r="P311" s="35" t="s">
        <v>16843</v>
      </c>
      <c r="Q311" s="35" t="s">
        <v>16113</v>
      </c>
      <c r="R311" s="35" t="s">
        <v>16842</v>
      </c>
      <c r="S311" s="35">
        <v>2394786</v>
      </c>
      <c r="T311" s="35">
        <v>34284689</v>
      </c>
      <c r="U311" s="35"/>
      <c r="V311" s="30"/>
      <c r="W311" s="505" t="s">
        <v>2078</v>
      </c>
      <c r="X311" s="35" t="s">
        <v>193</v>
      </c>
      <c r="Y311" s="30">
        <v>25</v>
      </c>
      <c r="Z311" s="35"/>
      <c r="AA311" s="35"/>
      <c r="AB311" s="35"/>
      <c r="AC311" s="35"/>
      <c r="AD311" s="35"/>
      <c r="AE311" s="35"/>
      <c r="AF311" s="35"/>
      <c r="AG311" s="35"/>
      <c r="AH311" s="30" t="s">
        <v>4714</v>
      </c>
      <c r="AI311" s="35" t="s">
        <v>16996</v>
      </c>
      <c r="AJ311" s="62" t="str">
        <f>MID('I kw.22'!W311,8,6)</f>
        <v>351201</v>
      </c>
      <c r="AK311" s="62">
        <v>1</v>
      </c>
      <c r="AL311" s="62">
        <f t="shared" si="4"/>
        <v>1</v>
      </c>
      <c r="AM311" s="62">
        <v>1</v>
      </c>
    </row>
    <row r="312" spans="1:39" x14ac:dyDescent="0.25">
      <c r="A312" s="35" t="s">
        <v>16995</v>
      </c>
      <c r="B312" s="35" t="s">
        <v>16993</v>
      </c>
      <c r="C312" s="35" t="s">
        <v>43</v>
      </c>
      <c r="D312" s="35" t="s">
        <v>16845</v>
      </c>
      <c r="E312" s="35" t="s">
        <v>192</v>
      </c>
      <c r="F312" s="62">
        <v>1</v>
      </c>
      <c r="G312" s="30" t="s">
        <v>193</v>
      </c>
      <c r="H312" s="30" t="s">
        <v>194</v>
      </c>
      <c r="I312" s="30" t="s">
        <v>16066</v>
      </c>
      <c r="J312" s="35" t="s">
        <v>9302</v>
      </c>
      <c r="K312" s="35">
        <v>18</v>
      </c>
      <c r="L312" s="35" t="s">
        <v>6955</v>
      </c>
      <c r="M312" s="35"/>
      <c r="N312" s="35" t="s">
        <v>16994</v>
      </c>
      <c r="O312" s="35" t="s">
        <v>6290</v>
      </c>
      <c r="P312" s="35" t="s">
        <v>16843</v>
      </c>
      <c r="Q312" s="35" t="s">
        <v>16113</v>
      </c>
      <c r="R312" s="35" t="s">
        <v>16842</v>
      </c>
      <c r="S312" s="35">
        <v>2394807</v>
      </c>
      <c r="T312" s="35">
        <v>34284710</v>
      </c>
      <c r="U312" s="35"/>
      <c r="V312" s="30"/>
      <c r="W312" s="505" t="s">
        <v>452</v>
      </c>
      <c r="X312" s="35" t="s">
        <v>193</v>
      </c>
      <c r="Y312" s="30">
        <v>25</v>
      </c>
      <c r="Z312" s="35"/>
      <c r="AA312" s="35"/>
      <c r="AB312" s="35"/>
      <c r="AC312" s="35"/>
      <c r="AD312" s="35"/>
      <c r="AE312" s="35"/>
      <c r="AF312" s="35"/>
      <c r="AG312" s="35"/>
      <c r="AH312" s="30" t="s">
        <v>4714</v>
      </c>
      <c r="AI312" s="35" t="s">
        <v>16993</v>
      </c>
      <c r="AJ312" s="62" t="str">
        <f>MID('I kw.22'!W312,8,6)</f>
        <v>243106</v>
      </c>
      <c r="AK312" s="62">
        <v>1</v>
      </c>
      <c r="AL312" s="62">
        <f t="shared" si="4"/>
        <v>1</v>
      </c>
      <c r="AM312" s="62">
        <v>1</v>
      </c>
    </row>
    <row r="313" spans="1:39" x14ac:dyDescent="0.25">
      <c r="A313" s="35" t="s">
        <v>13399</v>
      </c>
      <c r="B313" s="35" t="s">
        <v>8657</v>
      </c>
      <c r="C313" s="35" t="s">
        <v>396</v>
      </c>
      <c r="D313" s="35" t="s">
        <v>16845</v>
      </c>
      <c r="E313" s="35" t="s">
        <v>192</v>
      </c>
      <c r="F313" s="62">
        <v>1</v>
      </c>
      <c r="G313" s="30" t="s">
        <v>193</v>
      </c>
      <c r="H313" s="30" t="s">
        <v>194</v>
      </c>
      <c r="I313" s="30" t="s">
        <v>16078</v>
      </c>
      <c r="J313" s="35" t="s">
        <v>9302</v>
      </c>
      <c r="K313" s="35">
        <v>18</v>
      </c>
      <c r="L313" s="35" t="s">
        <v>6955</v>
      </c>
      <c r="M313" s="35"/>
      <c r="N313" s="35" t="s">
        <v>16992</v>
      </c>
      <c r="O313" s="35" t="s">
        <v>6312</v>
      </c>
      <c r="P313" s="35" t="s">
        <v>16843</v>
      </c>
      <c r="Q313" s="35" t="s">
        <v>16113</v>
      </c>
      <c r="R313" s="35" t="s">
        <v>16842</v>
      </c>
      <c r="S313" s="35">
        <v>2394827</v>
      </c>
      <c r="T313" s="35">
        <v>34284730</v>
      </c>
      <c r="U313" s="35"/>
      <c r="V313" s="30"/>
      <c r="W313" s="505" t="s">
        <v>397</v>
      </c>
      <c r="X313" s="35" t="s">
        <v>193</v>
      </c>
      <c r="Y313" s="30">
        <v>25</v>
      </c>
      <c r="Z313" s="35"/>
      <c r="AA313" s="35"/>
      <c r="AB313" s="35"/>
      <c r="AC313" s="35"/>
      <c r="AD313" s="35"/>
      <c r="AE313" s="35"/>
      <c r="AF313" s="35"/>
      <c r="AG313" s="35"/>
      <c r="AH313" s="30" t="s">
        <v>4714</v>
      </c>
      <c r="AI313" s="35" t="s">
        <v>8657</v>
      </c>
      <c r="AJ313" s="62" t="str">
        <f>MID('I kw.22'!W313,8,6)</f>
        <v>235301</v>
      </c>
      <c r="AK313" s="62">
        <v>1</v>
      </c>
      <c r="AL313" s="62">
        <f t="shared" si="4"/>
        <v>1</v>
      </c>
      <c r="AM313" s="62">
        <v>1</v>
      </c>
    </row>
    <row r="314" spans="1:39" x14ac:dyDescent="0.25">
      <c r="A314" s="35" t="s">
        <v>690</v>
      </c>
      <c r="B314" s="35" t="s">
        <v>16990</v>
      </c>
      <c r="C314" s="35" t="s">
        <v>163</v>
      </c>
      <c r="D314" s="35" t="s">
        <v>16845</v>
      </c>
      <c r="E314" s="35" t="s">
        <v>192</v>
      </c>
      <c r="F314" s="62">
        <v>1</v>
      </c>
      <c r="G314" s="30" t="s">
        <v>193</v>
      </c>
      <c r="H314" s="30" t="s">
        <v>194</v>
      </c>
      <c r="I314" s="30" t="s">
        <v>16048</v>
      </c>
      <c r="J314" s="35" t="s">
        <v>9302</v>
      </c>
      <c r="K314" s="35">
        <v>18</v>
      </c>
      <c r="L314" s="35" t="s">
        <v>6955</v>
      </c>
      <c r="M314" s="35"/>
      <c r="N314" s="35" t="s">
        <v>16991</v>
      </c>
      <c r="O314" s="35" t="s">
        <v>6254</v>
      </c>
      <c r="P314" s="35" t="s">
        <v>16843</v>
      </c>
      <c r="Q314" s="35" t="s">
        <v>16113</v>
      </c>
      <c r="R314" s="35" t="s">
        <v>16253</v>
      </c>
      <c r="S314" s="35">
        <v>2394855</v>
      </c>
      <c r="T314" s="35">
        <v>34284758</v>
      </c>
      <c r="U314" s="35"/>
      <c r="V314" s="30"/>
      <c r="W314" s="505" t="s">
        <v>697</v>
      </c>
      <c r="X314" s="35" t="s">
        <v>193</v>
      </c>
      <c r="Y314" s="30">
        <v>25</v>
      </c>
      <c r="Z314" s="35"/>
      <c r="AA314" s="35"/>
      <c r="AB314" s="35"/>
      <c r="AC314" s="35"/>
      <c r="AD314" s="35"/>
      <c r="AE314" s="35"/>
      <c r="AF314" s="35"/>
      <c r="AG314" s="35"/>
      <c r="AH314" s="30" t="s">
        <v>4714</v>
      </c>
      <c r="AI314" s="35" t="s">
        <v>16990</v>
      </c>
      <c r="AJ314" s="62" t="str">
        <f>MID('I kw.22'!W314,8,6)</f>
        <v>351203</v>
      </c>
      <c r="AK314" s="62">
        <v>1</v>
      </c>
      <c r="AL314" s="62">
        <f t="shared" si="4"/>
        <v>1</v>
      </c>
      <c r="AM314" s="62">
        <v>1</v>
      </c>
    </row>
    <row r="315" spans="1:39" x14ac:dyDescent="0.25">
      <c r="A315" s="35" t="s">
        <v>16989</v>
      </c>
      <c r="B315" s="35" t="s">
        <v>16987</v>
      </c>
      <c r="C315" s="35" t="s">
        <v>81</v>
      </c>
      <c r="D315" s="35" t="s">
        <v>16845</v>
      </c>
      <c r="E315" s="35" t="s">
        <v>192</v>
      </c>
      <c r="F315" s="62">
        <v>1</v>
      </c>
      <c r="G315" s="30" t="s">
        <v>193</v>
      </c>
      <c r="H315" s="30" t="s">
        <v>194</v>
      </c>
      <c r="I315" s="30" t="s">
        <v>16066</v>
      </c>
      <c r="J315" s="35" t="s">
        <v>276</v>
      </c>
      <c r="K315" s="35">
        <v>18</v>
      </c>
      <c r="L315" s="35" t="s">
        <v>6955</v>
      </c>
      <c r="M315" s="35"/>
      <c r="N315" s="35" t="s">
        <v>16988</v>
      </c>
      <c r="O315" s="35" t="s">
        <v>6254</v>
      </c>
      <c r="P315" s="35" t="s">
        <v>16843</v>
      </c>
      <c r="Q315" s="35" t="s">
        <v>16113</v>
      </c>
      <c r="R315" s="35" t="s">
        <v>16253</v>
      </c>
      <c r="S315" s="35">
        <v>2394863</v>
      </c>
      <c r="T315" s="35">
        <v>34284766</v>
      </c>
      <c r="U315" s="35"/>
      <c r="V315" s="30">
        <v>1803</v>
      </c>
      <c r="W315" s="35" t="s">
        <v>402</v>
      </c>
      <c r="X315" s="35" t="s">
        <v>194</v>
      </c>
      <c r="Y315" s="30">
        <v>1</v>
      </c>
      <c r="Z315" s="35"/>
      <c r="AA315" s="35"/>
      <c r="AB315" s="35"/>
      <c r="AC315" s="35"/>
      <c r="AD315" s="35"/>
      <c r="AE315" s="35"/>
      <c r="AF315" s="35"/>
      <c r="AG315" s="35"/>
      <c r="AH315" s="30" t="s">
        <v>4714</v>
      </c>
      <c r="AI315" s="35" t="s">
        <v>16987</v>
      </c>
      <c r="AJ315" s="62" t="str">
        <f>MID('I kw.22'!W315,8,6)</f>
        <v>241205</v>
      </c>
      <c r="AK315" s="62">
        <v>1</v>
      </c>
      <c r="AL315" s="62">
        <f t="shared" si="4"/>
        <v>1</v>
      </c>
      <c r="AM315" s="62">
        <v>1</v>
      </c>
    </row>
    <row r="316" spans="1:39" x14ac:dyDescent="0.25">
      <c r="A316" s="35" t="s">
        <v>16986</v>
      </c>
      <c r="B316" s="35" t="s">
        <v>16984</v>
      </c>
      <c r="C316" s="35" t="s">
        <v>721</v>
      </c>
      <c r="D316" s="35" t="s">
        <v>16845</v>
      </c>
      <c r="E316" s="35" t="s">
        <v>192</v>
      </c>
      <c r="F316" s="62">
        <v>1</v>
      </c>
      <c r="G316" s="30" t="s">
        <v>193</v>
      </c>
      <c r="H316" s="30" t="s">
        <v>194</v>
      </c>
      <c r="I316" s="30" t="s">
        <v>16066</v>
      </c>
      <c r="J316" s="35" t="s">
        <v>301</v>
      </c>
      <c r="K316" s="35">
        <v>18</v>
      </c>
      <c r="L316" s="35" t="s">
        <v>6955</v>
      </c>
      <c r="M316" s="35"/>
      <c r="N316" s="35" t="s">
        <v>16985</v>
      </c>
      <c r="O316" s="35" t="s">
        <v>6266</v>
      </c>
      <c r="P316" s="35" t="s">
        <v>16843</v>
      </c>
      <c r="Q316" s="35" t="s">
        <v>16113</v>
      </c>
      <c r="R316" s="35" t="s">
        <v>16842</v>
      </c>
      <c r="S316" s="35">
        <v>2394946</v>
      </c>
      <c r="T316" s="35">
        <v>34284849</v>
      </c>
      <c r="U316" s="35"/>
      <c r="V316" s="30">
        <v>1810</v>
      </c>
      <c r="W316" s="35" t="s">
        <v>723</v>
      </c>
      <c r="X316" s="35" t="s">
        <v>194</v>
      </c>
      <c r="Y316" s="30">
        <v>1</v>
      </c>
      <c r="Z316" s="35"/>
      <c r="AA316" s="35"/>
      <c r="AB316" s="35"/>
      <c r="AC316" s="35"/>
      <c r="AD316" s="35"/>
      <c r="AE316" s="35"/>
      <c r="AF316" s="35"/>
      <c r="AG316" s="35"/>
      <c r="AH316" s="30" t="s">
        <v>4714</v>
      </c>
      <c r="AI316" s="35" t="s">
        <v>16984</v>
      </c>
      <c r="AJ316" s="62" t="str">
        <f>MID('I kw.22'!W316,8,6)</f>
        <v>432201</v>
      </c>
      <c r="AK316" s="62">
        <v>1</v>
      </c>
      <c r="AL316" s="62">
        <f t="shared" si="4"/>
        <v>1</v>
      </c>
      <c r="AM316" s="62">
        <v>1</v>
      </c>
    </row>
    <row r="317" spans="1:39" x14ac:dyDescent="0.25">
      <c r="A317" s="35" t="s">
        <v>16983</v>
      </c>
      <c r="B317" s="35" t="s">
        <v>16981</v>
      </c>
      <c r="C317" s="35" t="s">
        <v>10</v>
      </c>
      <c r="D317" s="35" t="s">
        <v>16845</v>
      </c>
      <c r="E317" s="35" t="s">
        <v>192</v>
      </c>
      <c r="F317" s="62">
        <v>1</v>
      </c>
      <c r="G317" s="30" t="s">
        <v>193</v>
      </c>
      <c r="H317" s="30" t="s">
        <v>194</v>
      </c>
      <c r="I317" s="30" t="s">
        <v>16073</v>
      </c>
      <c r="J317" s="35" t="s">
        <v>210</v>
      </c>
      <c r="K317" s="35">
        <v>18</v>
      </c>
      <c r="L317" s="35" t="s">
        <v>6955</v>
      </c>
      <c r="M317" s="35"/>
      <c r="N317" s="35" t="s">
        <v>16982</v>
      </c>
      <c r="O317" s="35" t="s">
        <v>6261</v>
      </c>
      <c r="P317" s="35" t="s">
        <v>16843</v>
      </c>
      <c r="Q317" s="35" t="s">
        <v>16113</v>
      </c>
      <c r="R317" s="35" t="s">
        <v>16842</v>
      </c>
      <c r="S317" s="35">
        <v>2395079</v>
      </c>
      <c r="T317" s="35">
        <v>34284982</v>
      </c>
      <c r="U317" s="35"/>
      <c r="V317" s="30">
        <v>1863</v>
      </c>
      <c r="W317" s="35" t="s">
        <v>484</v>
      </c>
      <c r="X317" s="35" t="s">
        <v>194</v>
      </c>
      <c r="Y317" s="30">
        <v>1</v>
      </c>
      <c r="Z317" s="35"/>
      <c r="AA317" s="35"/>
      <c r="AB317" s="35"/>
      <c r="AC317" s="35"/>
      <c r="AD317" s="35"/>
      <c r="AE317" s="35"/>
      <c r="AF317" s="35"/>
      <c r="AG317" s="35"/>
      <c r="AH317" s="30" t="s">
        <v>4714</v>
      </c>
      <c r="AI317" s="35" t="s">
        <v>16981</v>
      </c>
      <c r="AJ317" s="62" t="str">
        <f>MID('I kw.22'!W317,8,6)</f>
        <v>251401</v>
      </c>
      <c r="AK317" s="62">
        <v>1</v>
      </c>
      <c r="AL317" s="62">
        <f t="shared" si="4"/>
        <v>1</v>
      </c>
      <c r="AM317" s="62">
        <v>1</v>
      </c>
    </row>
    <row r="318" spans="1:39" x14ac:dyDescent="0.25">
      <c r="A318" s="35" t="s">
        <v>10886</v>
      </c>
      <c r="B318" s="35" t="s">
        <v>6117</v>
      </c>
      <c r="C318" s="35" t="s">
        <v>3359</v>
      </c>
      <c r="D318" s="35" t="s">
        <v>16845</v>
      </c>
      <c r="E318" s="35" t="s">
        <v>192</v>
      </c>
      <c r="F318" s="62">
        <v>1</v>
      </c>
      <c r="G318" s="30" t="s">
        <v>193</v>
      </c>
      <c r="H318" s="30" t="s">
        <v>194</v>
      </c>
      <c r="I318" s="30" t="s">
        <v>16052</v>
      </c>
      <c r="J318" s="35" t="s">
        <v>1059</v>
      </c>
      <c r="K318" s="35">
        <v>18</v>
      </c>
      <c r="L318" s="35" t="s">
        <v>6955</v>
      </c>
      <c r="M318" s="35"/>
      <c r="N318" s="35" t="s">
        <v>16980</v>
      </c>
      <c r="O318" s="35" t="s">
        <v>6288</v>
      </c>
      <c r="P318" s="35" t="s">
        <v>16843</v>
      </c>
      <c r="Q318" s="35" t="s">
        <v>16113</v>
      </c>
      <c r="R318" s="35" t="s">
        <v>16842</v>
      </c>
      <c r="S318" s="35">
        <v>2395238</v>
      </c>
      <c r="T318" s="35">
        <v>34285141</v>
      </c>
      <c r="U318" s="35"/>
      <c r="V318" s="30">
        <v>1809</v>
      </c>
      <c r="W318" s="35" t="s">
        <v>3361</v>
      </c>
      <c r="X318" s="35" t="s">
        <v>194</v>
      </c>
      <c r="Y318" s="30">
        <v>1</v>
      </c>
      <c r="Z318" s="35"/>
      <c r="AA318" s="35"/>
      <c r="AB318" s="35"/>
      <c r="AC318" s="35"/>
      <c r="AD318" s="35"/>
      <c r="AE318" s="35"/>
      <c r="AF318" s="35"/>
      <c r="AG318" s="35"/>
      <c r="AH318" s="30" t="s">
        <v>4714</v>
      </c>
      <c r="AI318" s="35" t="s">
        <v>6117</v>
      </c>
      <c r="AJ318" s="62" t="str">
        <f>MID('I kw.22'!W318,8,6)</f>
        <v>142005</v>
      </c>
      <c r="AK318" s="62">
        <v>1</v>
      </c>
      <c r="AL318" s="62">
        <f t="shared" si="4"/>
        <v>1</v>
      </c>
      <c r="AM318" s="62">
        <v>1</v>
      </c>
    </row>
    <row r="319" spans="1:39" x14ac:dyDescent="0.25">
      <c r="A319" s="35" t="s">
        <v>10886</v>
      </c>
      <c r="B319" s="35" t="s">
        <v>1606</v>
      </c>
      <c r="C319" s="35" t="s">
        <v>22</v>
      </c>
      <c r="D319" s="35" t="s">
        <v>16845</v>
      </c>
      <c r="E319" s="35" t="s">
        <v>192</v>
      </c>
      <c r="F319" s="62">
        <v>1</v>
      </c>
      <c r="G319" s="30" t="s">
        <v>193</v>
      </c>
      <c r="H319" s="30" t="s">
        <v>194</v>
      </c>
      <c r="I319" s="30" t="s">
        <v>16078</v>
      </c>
      <c r="J319" s="35" t="s">
        <v>223</v>
      </c>
      <c r="K319" s="35">
        <v>18</v>
      </c>
      <c r="L319" s="35" t="s">
        <v>6955</v>
      </c>
      <c r="M319" s="35"/>
      <c r="N319" s="35" t="s">
        <v>16979</v>
      </c>
      <c r="O319" s="35" t="s">
        <v>6288</v>
      </c>
      <c r="P319" s="35" t="s">
        <v>16843</v>
      </c>
      <c r="Q319" s="35" t="s">
        <v>16113</v>
      </c>
      <c r="R319" s="35" t="s">
        <v>16842</v>
      </c>
      <c r="S319" s="35">
        <v>2395294</v>
      </c>
      <c r="T319" s="35">
        <v>34285197</v>
      </c>
      <c r="U319" s="35"/>
      <c r="V319" s="30">
        <v>1804</v>
      </c>
      <c r="W319" s="35" t="s">
        <v>1608</v>
      </c>
      <c r="X319" s="35" t="s">
        <v>194</v>
      </c>
      <c r="Y319" s="30">
        <v>1</v>
      </c>
      <c r="Z319" s="35"/>
      <c r="AA319" s="35"/>
      <c r="AB319" s="35"/>
      <c r="AC319" s="35"/>
      <c r="AD319" s="35"/>
      <c r="AE319" s="35"/>
      <c r="AF319" s="35"/>
      <c r="AG319" s="35"/>
      <c r="AH319" s="30" t="s">
        <v>4714</v>
      </c>
      <c r="AI319" s="35" t="s">
        <v>1606</v>
      </c>
      <c r="AJ319" s="62" t="str">
        <f>MID('I kw.22'!W319,8,6)</f>
        <v>228101</v>
      </c>
      <c r="AK319" s="62">
        <v>1</v>
      </c>
      <c r="AL319" s="62">
        <f t="shared" si="4"/>
        <v>1</v>
      </c>
      <c r="AM319" s="62">
        <v>1</v>
      </c>
    </row>
    <row r="320" spans="1:39" x14ac:dyDescent="0.25">
      <c r="A320" s="35" t="s">
        <v>16978</v>
      </c>
      <c r="B320" s="35" t="s">
        <v>4574</v>
      </c>
      <c r="C320" s="35" t="s">
        <v>133</v>
      </c>
      <c r="D320" s="35" t="s">
        <v>16845</v>
      </c>
      <c r="E320" s="35" t="s">
        <v>192</v>
      </c>
      <c r="F320" s="62">
        <v>1</v>
      </c>
      <c r="G320" s="30" t="s">
        <v>193</v>
      </c>
      <c r="H320" s="30" t="s">
        <v>194</v>
      </c>
      <c r="I320" s="30" t="s">
        <v>16078</v>
      </c>
      <c r="J320" s="35" t="s">
        <v>16977</v>
      </c>
      <c r="K320" s="35">
        <v>18</v>
      </c>
      <c r="L320" s="35" t="s">
        <v>6955</v>
      </c>
      <c r="M320" s="35"/>
      <c r="N320" s="35" t="s">
        <v>16976</v>
      </c>
      <c r="O320" s="35" t="s">
        <v>6266</v>
      </c>
      <c r="P320" s="35" t="s">
        <v>16843</v>
      </c>
      <c r="Q320" s="35" t="s">
        <v>16113</v>
      </c>
      <c r="R320" s="35" t="s">
        <v>16842</v>
      </c>
      <c r="S320" s="35">
        <v>2395337</v>
      </c>
      <c r="T320" s="35">
        <v>34285240</v>
      </c>
      <c r="U320" s="35"/>
      <c r="V320" s="30">
        <v>1807</v>
      </c>
      <c r="W320" s="35" t="s">
        <v>673</v>
      </c>
      <c r="X320" s="35" t="s">
        <v>194</v>
      </c>
      <c r="Y320" s="30">
        <v>1</v>
      </c>
      <c r="Z320" s="35"/>
      <c r="AA320" s="35"/>
      <c r="AB320" s="35"/>
      <c r="AC320" s="35"/>
      <c r="AD320" s="35"/>
      <c r="AE320" s="35"/>
      <c r="AF320" s="35"/>
      <c r="AG320" s="35"/>
      <c r="AH320" s="30" t="s">
        <v>4714</v>
      </c>
      <c r="AI320" s="35" t="s">
        <v>4574</v>
      </c>
      <c r="AJ320" s="62" t="str">
        <f>MID('I kw.22'!W320,8,6)</f>
        <v>333107</v>
      </c>
      <c r="AK320" s="62">
        <v>1</v>
      </c>
      <c r="AL320" s="62">
        <f t="shared" si="4"/>
        <v>1</v>
      </c>
      <c r="AM320" s="62">
        <v>1</v>
      </c>
    </row>
    <row r="321" spans="1:39" x14ac:dyDescent="0.25">
      <c r="A321" s="35" t="s">
        <v>8228</v>
      </c>
      <c r="B321" s="35" t="s">
        <v>8</v>
      </c>
      <c r="C321" s="35" t="s">
        <v>740</v>
      </c>
      <c r="D321" s="35" t="s">
        <v>16845</v>
      </c>
      <c r="E321" s="35" t="s">
        <v>192</v>
      </c>
      <c r="F321" s="62">
        <v>1</v>
      </c>
      <c r="G321" s="30" t="s">
        <v>193</v>
      </c>
      <c r="H321" s="30" t="s">
        <v>194</v>
      </c>
      <c r="I321" s="30" t="s">
        <v>16052</v>
      </c>
      <c r="J321" s="35" t="s">
        <v>210</v>
      </c>
      <c r="K321" s="35">
        <v>18</v>
      </c>
      <c r="L321" s="35" t="s">
        <v>6955</v>
      </c>
      <c r="M321" s="35"/>
      <c r="N321" s="35" t="s">
        <v>16975</v>
      </c>
      <c r="O321" s="35" t="s">
        <v>6251</v>
      </c>
      <c r="P321" s="35" t="s">
        <v>16843</v>
      </c>
      <c r="Q321" s="35" t="s">
        <v>16113</v>
      </c>
      <c r="R321" s="35" t="s">
        <v>16842</v>
      </c>
      <c r="S321" s="35">
        <v>2395369</v>
      </c>
      <c r="T321" s="35">
        <v>34285272</v>
      </c>
      <c r="U321" s="35"/>
      <c r="V321" s="30">
        <v>1863</v>
      </c>
      <c r="W321" s="35" t="s">
        <v>741</v>
      </c>
      <c r="X321" s="35" t="s">
        <v>194</v>
      </c>
      <c r="Y321" s="30">
        <v>1</v>
      </c>
      <c r="Z321" s="35"/>
      <c r="AA321" s="35"/>
      <c r="AB321" s="35"/>
      <c r="AC321" s="35"/>
      <c r="AD321" s="35"/>
      <c r="AE321" s="35"/>
      <c r="AF321" s="35"/>
      <c r="AG321" s="35"/>
      <c r="AH321" s="30" t="s">
        <v>4714</v>
      </c>
      <c r="AI321" s="35" t="s">
        <v>8</v>
      </c>
      <c r="AJ321" s="62" t="str">
        <f>MID('I kw.22'!W321,8,6)</f>
        <v>522301</v>
      </c>
      <c r="AK321" s="62">
        <v>1</v>
      </c>
      <c r="AL321" s="62">
        <f t="shared" si="4"/>
        <v>1</v>
      </c>
      <c r="AM321" s="62">
        <v>1</v>
      </c>
    </row>
    <row r="322" spans="1:39" x14ac:dyDescent="0.25">
      <c r="A322" s="35" t="s">
        <v>16974</v>
      </c>
      <c r="B322" s="35" t="s">
        <v>16972</v>
      </c>
      <c r="C322" s="35" t="s">
        <v>46</v>
      </c>
      <c r="D322" s="35" t="s">
        <v>16845</v>
      </c>
      <c r="E322" s="35" t="s">
        <v>192</v>
      </c>
      <c r="F322" s="62">
        <v>1</v>
      </c>
      <c r="G322" s="30" t="s">
        <v>193</v>
      </c>
      <c r="H322" s="30" t="s">
        <v>194</v>
      </c>
      <c r="I322" s="30" t="s">
        <v>16073</v>
      </c>
      <c r="J322" s="35" t="s">
        <v>826</v>
      </c>
      <c r="K322" s="35">
        <v>18</v>
      </c>
      <c r="L322" s="35" t="s">
        <v>6955</v>
      </c>
      <c r="M322" s="35"/>
      <c r="N322" s="35" t="s">
        <v>16973</v>
      </c>
      <c r="O322" s="35" t="s">
        <v>6921</v>
      </c>
      <c r="P322" s="35" t="s">
        <v>16843</v>
      </c>
      <c r="Q322" s="35" t="s">
        <v>16113</v>
      </c>
      <c r="R322" s="35" t="s">
        <v>16842</v>
      </c>
      <c r="S322" s="35">
        <v>2395395</v>
      </c>
      <c r="T322" s="35">
        <v>34285298</v>
      </c>
      <c r="U322" s="35"/>
      <c r="V322" s="30">
        <v>1816</v>
      </c>
      <c r="W322" s="35" t="s">
        <v>510</v>
      </c>
      <c r="X322" s="35" t="s">
        <v>194</v>
      </c>
      <c r="Y322" s="30">
        <v>1</v>
      </c>
      <c r="Z322" s="35"/>
      <c r="AA322" s="35"/>
      <c r="AB322" s="35"/>
      <c r="AC322" s="35"/>
      <c r="AD322" s="35"/>
      <c r="AE322" s="35"/>
      <c r="AF322" s="35"/>
      <c r="AG322" s="35"/>
      <c r="AH322" s="30" t="s">
        <v>4714</v>
      </c>
      <c r="AI322" s="35" t="s">
        <v>16972</v>
      </c>
      <c r="AJ322" s="62" t="str">
        <f>MID('I kw.22'!W322,8,6)</f>
        <v>252201</v>
      </c>
      <c r="AK322" s="62">
        <v>1</v>
      </c>
      <c r="AL322" s="62">
        <f t="shared" si="4"/>
        <v>1</v>
      </c>
      <c r="AM322" s="62">
        <v>1</v>
      </c>
    </row>
    <row r="323" spans="1:39" x14ac:dyDescent="0.25">
      <c r="A323" s="35" t="s">
        <v>369</v>
      </c>
      <c r="B323" s="35" t="s">
        <v>16970</v>
      </c>
      <c r="C323" s="35" t="s">
        <v>83</v>
      </c>
      <c r="D323" s="35" t="s">
        <v>16845</v>
      </c>
      <c r="E323" s="35" t="s">
        <v>192</v>
      </c>
      <c r="F323" s="62">
        <v>1</v>
      </c>
      <c r="G323" s="30" t="s">
        <v>193</v>
      </c>
      <c r="H323" s="30" t="s">
        <v>194</v>
      </c>
      <c r="I323" s="30" t="s">
        <v>16078</v>
      </c>
      <c r="J323" s="35" t="s">
        <v>210</v>
      </c>
      <c r="K323" s="35">
        <v>18</v>
      </c>
      <c r="L323" s="35" t="s">
        <v>6955</v>
      </c>
      <c r="M323" s="35"/>
      <c r="N323" s="35" t="s">
        <v>16971</v>
      </c>
      <c r="O323" s="35" t="s">
        <v>6258</v>
      </c>
      <c r="P323" s="35" t="s">
        <v>16843</v>
      </c>
      <c r="Q323" s="35" t="s">
        <v>16113</v>
      </c>
      <c r="R323" s="35" t="s">
        <v>16842</v>
      </c>
      <c r="S323" s="35">
        <v>2395400</v>
      </c>
      <c r="T323" s="35">
        <v>34285303</v>
      </c>
      <c r="U323" s="35"/>
      <c r="V323" s="30">
        <v>1863</v>
      </c>
      <c r="W323" s="35" t="s">
        <v>791</v>
      </c>
      <c r="X323" s="35" t="s">
        <v>194</v>
      </c>
      <c r="Y323" s="30">
        <v>1</v>
      </c>
      <c r="Z323" s="35"/>
      <c r="AA323" s="35"/>
      <c r="AB323" s="35"/>
      <c r="AC323" s="35"/>
      <c r="AD323" s="35"/>
      <c r="AE323" s="35"/>
      <c r="AF323" s="35"/>
      <c r="AG323" s="35"/>
      <c r="AH323" s="30" t="s">
        <v>4714</v>
      </c>
      <c r="AI323" s="35" t="s">
        <v>16970</v>
      </c>
      <c r="AJ323" s="62" t="str">
        <f>MID('I kw.22'!W323,8,6)</f>
        <v>721204</v>
      </c>
      <c r="AK323" s="62">
        <v>1</v>
      </c>
      <c r="AL323" s="62">
        <f t="shared" ref="AL323:AL386" si="5">SUM(F323)</f>
        <v>1</v>
      </c>
      <c r="AM323" s="62">
        <v>1</v>
      </c>
    </row>
    <row r="324" spans="1:39" x14ac:dyDescent="0.25">
      <c r="A324" s="35" t="s">
        <v>10886</v>
      </c>
      <c r="B324" s="35" t="s">
        <v>13186</v>
      </c>
      <c r="C324" s="35" t="s">
        <v>944</v>
      </c>
      <c r="D324" s="35" t="s">
        <v>16845</v>
      </c>
      <c r="E324" s="35" t="s">
        <v>192</v>
      </c>
      <c r="F324" s="62">
        <v>1</v>
      </c>
      <c r="G324" s="30" t="s">
        <v>193</v>
      </c>
      <c r="H324" s="30" t="s">
        <v>194</v>
      </c>
      <c r="I324" s="30" t="s">
        <v>16052</v>
      </c>
      <c r="J324" s="35" t="s">
        <v>4751</v>
      </c>
      <c r="K324" s="35">
        <v>18</v>
      </c>
      <c r="L324" s="35" t="s">
        <v>6955</v>
      </c>
      <c r="M324" s="35"/>
      <c r="N324" s="35" t="s">
        <v>16969</v>
      </c>
      <c r="O324" s="35" t="s">
        <v>6288</v>
      </c>
      <c r="P324" s="35" t="s">
        <v>16894</v>
      </c>
      <c r="Q324" s="35" t="s">
        <v>16113</v>
      </c>
      <c r="R324" s="35" t="s">
        <v>16842</v>
      </c>
      <c r="S324" s="35">
        <v>2395426</v>
      </c>
      <c r="T324" s="35">
        <v>34285329</v>
      </c>
      <c r="U324" s="35"/>
      <c r="V324" s="30">
        <v>1862</v>
      </c>
      <c r="W324" s="35" t="s">
        <v>945</v>
      </c>
      <c r="X324" s="35" t="s">
        <v>194</v>
      </c>
      <c r="Y324" s="30">
        <v>1</v>
      </c>
      <c r="Z324" s="35"/>
      <c r="AA324" s="35"/>
      <c r="AB324" s="35"/>
      <c r="AC324" s="35"/>
      <c r="AD324" s="35"/>
      <c r="AE324" s="35"/>
      <c r="AF324" s="35"/>
      <c r="AG324" s="35"/>
      <c r="AH324" s="30" t="s">
        <v>4714</v>
      </c>
      <c r="AI324" s="35" t="s">
        <v>13190</v>
      </c>
      <c r="AJ324" s="62" t="str">
        <f>MID('I kw.22'!W324,8,6)</f>
        <v>321301</v>
      </c>
      <c r="AK324" s="62">
        <v>1</v>
      </c>
      <c r="AL324" s="62">
        <f t="shared" si="5"/>
        <v>1</v>
      </c>
      <c r="AM324" s="62">
        <v>1</v>
      </c>
    </row>
    <row r="325" spans="1:39" x14ac:dyDescent="0.25">
      <c r="A325" s="35" t="s">
        <v>16968</v>
      </c>
      <c r="B325" s="35" t="s">
        <v>7743</v>
      </c>
      <c r="C325" s="35" t="s">
        <v>119</v>
      </c>
      <c r="D325" s="35" t="s">
        <v>16845</v>
      </c>
      <c r="E325" s="35" t="s">
        <v>192</v>
      </c>
      <c r="F325" s="62">
        <v>1</v>
      </c>
      <c r="G325" s="30" t="s">
        <v>193</v>
      </c>
      <c r="H325" s="30" t="s">
        <v>194</v>
      </c>
      <c r="I325" s="30" t="s">
        <v>16121</v>
      </c>
      <c r="J325" s="35" t="s">
        <v>210</v>
      </c>
      <c r="K325" s="35">
        <v>18</v>
      </c>
      <c r="L325" s="35" t="s">
        <v>6955</v>
      </c>
      <c r="M325" s="35"/>
      <c r="N325" s="35" t="s">
        <v>16967</v>
      </c>
      <c r="O325" s="35" t="s">
        <v>6266</v>
      </c>
      <c r="P325" s="35" t="s">
        <v>16843</v>
      </c>
      <c r="Q325" s="35" t="s">
        <v>16113</v>
      </c>
      <c r="R325" s="35" t="s">
        <v>16842</v>
      </c>
      <c r="S325" s="35">
        <v>2395468</v>
      </c>
      <c r="T325" s="35">
        <v>34285371</v>
      </c>
      <c r="U325" s="35"/>
      <c r="V325" s="30">
        <v>1863</v>
      </c>
      <c r="W325" s="35" t="s">
        <v>666</v>
      </c>
      <c r="X325" s="35" t="s">
        <v>194</v>
      </c>
      <c r="Y325" s="30">
        <v>1</v>
      </c>
      <c r="Z325" s="35"/>
      <c r="AA325" s="35"/>
      <c r="AB325" s="35"/>
      <c r="AC325" s="35"/>
      <c r="AD325" s="35"/>
      <c r="AE325" s="35"/>
      <c r="AF325" s="35"/>
      <c r="AG325" s="35"/>
      <c r="AH325" s="30" t="s">
        <v>4714</v>
      </c>
      <c r="AI325" s="35" t="s">
        <v>7743</v>
      </c>
      <c r="AJ325" s="62" t="str">
        <f>MID('I kw.22'!W325,8,6)</f>
        <v>333105</v>
      </c>
      <c r="AK325" s="62">
        <v>1</v>
      </c>
      <c r="AL325" s="62">
        <f t="shared" si="5"/>
        <v>1</v>
      </c>
      <c r="AM325" s="62">
        <v>1</v>
      </c>
    </row>
    <row r="326" spans="1:39" x14ac:dyDescent="0.25">
      <c r="A326" s="35" t="s">
        <v>2443</v>
      </c>
      <c r="B326" s="35" t="s">
        <v>16962</v>
      </c>
      <c r="C326" s="35" t="s">
        <v>17</v>
      </c>
      <c r="D326" s="35" t="s">
        <v>16845</v>
      </c>
      <c r="E326" s="35" t="s">
        <v>192</v>
      </c>
      <c r="F326" s="62">
        <v>1</v>
      </c>
      <c r="G326" s="30" t="s">
        <v>193</v>
      </c>
      <c r="H326" s="30" t="s">
        <v>194</v>
      </c>
      <c r="I326" s="30" t="s">
        <v>16052</v>
      </c>
      <c r="J326" s="35" t="s">
        <v>276</v>
      </c>
      <c r="K326" s="35">
        <v>18</v>
      </c>
      <c r="L326" s="35" t="s">
        <v>6955</v>
      </c>
      <c r="M326" s="35"/>
      <c r="N326" s="35" t="s">
        <v>16966</v>
      </c>
      <c r="O326" s="35" t="s">
        <v>6245</v>
      </c>
      <c r="P326" s="35" t="s">
        <v>16843</v>
      </c>
      <c r="Q326" s="35" t="s">
        <v>16113</v>
      </c>
      <c r="R326" s="35" t="s">
        <v>16842</v>
      </c>
      <c r="S326" s="35">
        <v>2395583</v>
      </c>
      <c r="T326" s="35">
        <v>34285486</v>
      </c>
      <c r="U326" s="35"/>
      <c r="V326" s="30">
        <v>1803</v>
      </c>
      <c r="W326" s="35" t="s">
        <v>624</v>
      </c>
      <c r="X326" s="35" t="s">
        <v>194</v>
      </c>
      <c r="Y326" s="30">
        <v>1</v>
      </c>
      <c r="Z326" s="35"/>
      <c r="AA326" s="35"/>
      <c r="AB326" s="35"/>
      <c r="AC326" s="35"/>
      <c r="AD326" s="35"/>
      <c r="AE326" s="35"/>
      <c r="AF326" s="35"/>
      <c r="AG326" s="35"/>
      <c r="AH326" s="30" t="s">
        <v>4714</v>
      </c>
      <c r="AI326" s="35" t="s">
        <v>16962</v>
      </c>
      <c r="AJ326" s="62" t="str">
        <f>MID('I kw.22'!W326,8,6)</f>
        <v>332203</v>
      </c>
      <c r="AK326" s="62">
        <v>1</v>
      </c>
      <c r="AL326" s="62">
        <f t="shared" si="5"/>
        <v>1</v>
      </c>
      <c r="AM326" s="62">
        <v>1</v>
      </c>
    </row>
    <row r="327" spans="1:39" x14ac:dyDescent="0.25">
      <c r="A327" s="35" t="s">
        <v>2443</v>
      </c>
      <c r="B327" s="35" t="s">
        <v>16962</v>
      </c>
      <c r="C327" s="35" t="s">
        <v>17</v>
      </c>
      <c r="D327" s="35" t="s">
        <v>16845</v>
      </c>
      <c r="E327" s="35" t="s">
        <v>192</v>
      </c>
      <c r="F327" s="62">
        <v>1</v>
      </c>
      <c r="G327" s="30" t="s">
        <v>193</v>
      </c>
      <c r="H327" s="30" t="s">
        <v>194</v>
      </c>
      <c r="I327" s="30" t="s">
        <v>16052</v>
      </c>
      <c r="J327" s="35" t="s">
        <v>253</v>
      </c>
      <c r="K327" s="35">
        <v>18</v>
      </c>
      <c r="L327" s="35" t="s">
        <v>6955</v>
      </c>
      <c r="M327" s="35"/>
      <c r="N327" s="35" t="s">
        <v>16965</v>
      </c>
      <c r="O327" s="35" t="s">
        <v>6245</v>
      </c>
      <c r="P327" s="35" t="s">
        <v>16843</v>
      </c>
      <c r="Q327" s="35" t="s">
        <v>16113</v>
      </c>
      <c r="R327" s="35" t="s">
        <v>16842</v>
      </c>
      <c r="S327" s="35">
        <v>2395584</v>
      </c>
      <c r="T327" s="35">
        <v>34285487</v>
      </c>
      <c r="U327" s="35"/>
      <c r="V327" s="30">
        <v>1811</v>
      </c>
      <c r="W327" s="35" t="s">
        <v>624</v>
      </c>
      <c r="X327" s="35" t="s">
        <v>194</v>
      </c>
      <c r="Y327" s="30">
        <v>1</v>
      </c>
      <c r="Z327" s="35"/>
      <c r="AA327" s="35"/>
      <c r="AB327" s="35"/>
      <c r="AC327" s="35"/>
      <c r="AD327" s="35"/>
      <c r="AE327" s="35"/>
      <c r="AF327" s="35"/>
      <c r="AG327" s="35"/>
      <c r="AH327" s="30" t="s">
        <v>4714</v>
      </c>
      <c r="AI327" s="35" t="s">
        <v>16962</v>
      </c>
      <c r="AJ327" s="62" t="str">
        <f>MID('I kw.22'!W327,8,6)</f>
        <v>332203</v>
      </c>
      <c r="AK327" s="62">
        <v>1</v>
      </c>
      <c r="AL327" s="62">
        <f t="shared" si="5"/>
        <v>1</v>
      </c>
      <c r="AM327" s="62">
        <v>1</v>
      </c>
    </row>
    <row r="328" spans="1:39" x14ac:dyDescent="0.25">
      <c r="A328" s="35" t="s">
        <v>2443</v>
      </c>
      <c r="B328" s="35" t="s">
        <v>16962</v>
      </c>
      <c r="C328" s="35" t="s">
        <v>17</v>
      </c>
      <c r="D328" s="35" t="s">
        <v>16845</v>
      </c>
      <c r="E328" s="35" t="s">
        <v>192</v>
      </c>
      <c r="F328" s="62">
        <v>1</v>
      </c>
      <c r="G328" s="30" t="s">
        <v>193</v>
      </c>
      <c r="H328" s="30" t="s">
        <v>194</v>
      </c>
      <c r="I328" s="30" t="s">
        <v>16052</v>
      </c>
      <c r="J328" s="35" t="s">
        <v>285</v>
      </c>
      <c r="K328" s="35">
        <v>18</v>
      </c>
      <c r="L328" s="35" t="s">
        <v>6955</v>
      </c>
      <c r="M328" s="35"/>
      <c r="N328" s="35" t="s">
        <v>16964</v>
      </c>
      <c r="O328" s="35" t="s">
        <v>6245</v>
      </c>
      <c r="P328" s="35" t="s">
        <v>16843</v>
      </c>
      <c r="Q328" s="35" t="s">
        <v>16113</v>
      </c>
      <c r="R328" s="35" t="s">
        <v>16842</v>
      </c>
      <c r="S328" s="35">
        <v>2395585</v>
      </c>
      <c r="T328" s="35">
        <v>34285488</v>
      </c>
      <c r="U328" s="35"/>
      <c r="V328" s="30">
        <v>1815</v>
      </c>
      <c r="W328" s="35" t="s">
        <v>624</v>
      </c>
      <c r="X328" s="35" t="s">
        <v>194</v>
      </c>
      <c r="Y328" s="30">
        <v>1</v>
      </c>
      <c r="Z328" s="35"/>
      <c r="AA328" s="35"/>
      <c r="AB328" s="35"/>
      <c r="AC328" s="35"/>
      <c r="AD328" s="35"/>
      <c r="AE328" s="35"/>
      <c r="AF328" s="35"/>
      <c r="AG328" s="35"/>
      <c r="AH328" s="30" t="s">
        <v>4714</v>
      </c>
      <c r="AI328" s="35" t="s">
        <v>16962</v>
      </c>
      <c r="AJ328" s="62" t="str">
        <f>MID('I kw.22'!W328,8,6)</f>
        <v>332203</v>
      </c>
      <c r="AK328" s="62">
        <v>1</v>
      </c>
      <c r="AL328" s="62">
        <f t="shared" si="5"/>
        <v>1</v>
      </c>
      <c r="AM328" s="62">
        <v>1</v>
      </c>
    </row>
    <row r="329" spans="1:39" x14ac:dyDescent="0.25">
      <c r="A329" s="35" t="s">
        <v>2443</v>
      </c>
      <c r="B329" s="35" t="s">
        <v>16962</v>
      </c>
      <c r="C329" s="35" t="s">
        <v>17</v>
      </c>
      <c r="D329" s="35" t="s">
        <v>16845</v>
      </c>
      <c r="E329" s="35" t="s">
        <v>192</v>
      </c>
      <c r="F329" s="62">
        <v>1</v>
      </c>
      <c r="G329" s="30" t="s">
        <v>193</v>
      </c>
      <c r="H329" s="30" t="s">
        <v>194</v>
      </c>
      <c r="I329" s="30" t="s">
        <v>16052</v>
      </c>
      <c r="J329" s="35" t="s">
        <v>309</v>
      </c>
      <c r="K329" s="35">
        <v>18</v>
      </c>
      <c r="L329" s="35" t="s">
        <v>6955</v>
      </c>
      <c r="M329" s="35"/>
      <c r="N329" s="35" t="s">
        <v>16963</v>
      </c>
      <c r="O329" s="35" t="s">
        <v>6245</v>
      </c>
      <c r="P329" s="35" t="s">
        <v>16843</v>
      </c>
      <c r="Q329" s="35" t="s">
        <v>16113</v>
      </c>
      <c r="R329" s="35" t="s">
        <v>16842</v>
      </c>
      <c r="S329" s="35">
        <v>2395586</v>
      </c>
      <c r="T329" s="35">
        <v>34285489</v>
      </c>
      <c r="U329" s="35"/>
      <c r="V329" s="30">
        <v>1815</v>
      </c>
      <c r="W329" s="35" t="s">
        <v>624</v>
      </c>
      <c r="X329" s="35" t="s">
        <v>194</v>
      </c>
      <c r="Y329" s="30">
        <v>1</v>
      </c>
      <c r="Z329" s="35"/>
      <c r="AA329" s="35"/>
      <c r="AB329" s="35"/>
      <c r="AC329" s="35"/>
      <c r="AD329" s="35"/>
      <c r="AE329" s="35"/>
      <c r="AF329" s="35"/>
      <c r="AG329" s="35"/>
      <c r="AH329" s="30" t="s">
        <v>4714</v>
      </c>
      <c r="AI329" s="35" t="s">
        <v>16962</v>
      </c>
      <c r="AJ329" s="62" t="str">
        <f>MID('I kw.22'!W329,8,6)</f>
        <v>332203</v>
      </c>
      <c r="AK329" s="62">
        <v>1</v>
      </c>
      <c r="AL329" s="62">
        <f t="shared" si="5"/>
        <v>1</v>
      </c>
      <c r="AM329" s="62">
        <v>1</v>
      </c>
    </row>
    <row r="330" spans="1:39" x14ac:dyDescent="0.25">
      <c r="A330" s="35" t="s">
        <v>16961</v>
      </c>
      <c r="B330" s="35" t="s">
        <v>8253</v>
      </c>
      <c r="C330" s="35" t="s">
        <v>67</v>
      </c>
      <c r="D330" s="35" t="s">
        <v>16845</v>
      </c>
      <c r="E330" s="35" t="s">
        <v>192</v>
      </c>
      <c r="F330" s="62">
        <v>1</v>
      </c>
      <c r="G330" s="30" t="s">
        <v>193</v>
      </c>
      <c r="H330" s="30" t="s">
        <v>194</v>
      </c>
      <c r="I330" s="30" t="s">
        <v>16083</v>
      </c>
      <c r="J330" s="35" t="s">
        <v>316</v>
      </c>
      <c r="K330" s="35">
        <v>18</v>
      </c>
      <c r="L330" s="35" t="s">
        <v>6955</v>
      </c>
      <c r="M330" s="35"/>
      <c r="N330" s="35" t="s">
        <v>16960</v>
      </c>
      <c r="O330" s="35" t="s">
        <v>6275</v>
      </c>
      <c r="P330" s="35" t="s">
        <v>16843</v>
      </c>
      <c r="Q330" s="35" t="s">
        <v>16113</v>
      </c>
      <c r="R330" s="35" t="s">
        <v>16842</v>
      </c>
      <c r="S330" s="35">
        <v>2395615</v>
      </c>
      <c r="T330" s="35">
        <v>34285518</v>
      </c>
      <c r="U330" s="35"/>
      <c r="V330" s="30">
        <v>1818</v>
      </c>
      <c r="W330" s="35" t="s">
        <v>709</v>
      </c>
      <c r="X330" s="35" t="s">
        <v>194</v>
      </c>
      <c r="Y330" s="30">
        <v>1</v>
      </c>
      <c r="Z330" s="35"/>
      <c r="AA330" s="35"/>
      <c r="AB330" s="35"/>
      <c r="AC330" s="35"/>
      <c r="AD330" s="35"/>
      <c r="AE330" s="35"/>
      <c r="AF330" s="35"/>
      <c r="AG330" s="35"/>
      <c r="AH330" s="30" t="s">
        <v>4714</v>
      </c>
      <c r="AI330" s="35" t="s">
        <v>8253</v>
      </c>
      <c r="AJ330" s="62" t="str">
        <f>MID('I kw.22'!W330,8,6)</f>
        <v>432103</v>
      </c>
      <c r="AK330" s="62">
        <v>1</v>
      </c>
      <c r="AL330" s="62">
        <f t="shared" si="5"/>
        <v>1</v>
      </c>
      <c r="AM330" s="62">
        <v>1</v>
      </c>
    </row>
    <row r="331" spans="1:39" x14ac:dyDescent="0.25">
      <c r="A331" s="35" t="s">
        <v>3716</v>
      </c>
      <c r="B331" s="35" t="s">
        <v>11579</v>
      </c>
      <c r="C331" s="35" t="s">
        <v>17</v>
      </c>
      <c r="D331" s="35" t="s">
        <v>16845</v>
      </c>
      <c r="E331" s="35" t="s">
        <v>192</v>
      </c>
      <c r="F331" s="62">
        <v>1</v>
      </c>
      <c r="G331" s="30" t="s">
        <v>193</v>
      </c>
      <c r="H331" s="30" t="s">
        <v>194</v>
      </c>
      <c r="I331" s="30" t="s">
        <v>16052</v>
      </c>
      <c r="J331" s="35" t="s">
        <v>210</v>
      </c>
      <c r="K331" s="35">
        <v>18</v>
      </c>
      <c r="L331" s="35" t="s">
        <v>6955</v>
      </c>
      <c r="M331" s="35"/>
      <c r="N331" s="35" t="s">
        <v>16959</v>
      </c>
      <c r="O331" s="35" t="s">
        <v>6245</v>
      </c>
      <c r="P331" s="35" t="s">
        <v>16843</v>
      </c>
      <c r="Q331" s="35" t="s">
        <v>16113</v>
      </c>
      <c r="R331" s="35" t="s">
        <v>16842</v>
      </c>
      <c r="S331" s="35">
        <v>2395670</v>
      </c>
      <c r="T331" s="35">
        <v>34285573</v>
      </c>
      <c r="U331" s="35"/>
      <c r="V331" s="30">
        <v>1863</v>
      </c>
      <c r="W331" s="35" t="s">
        <v>624</v>
      </c>
      <c r="X331" s="35" t="s">
        <v>194</v>
      </c>
      <c r="Y331" s="30">
        <v>1</v>
      </c>
      <c r="Z331" s="35"/>
      <c r="AA331" s="35"/>
      <c r="AB331" s="35"/>
      <c r="AC331" s="35"/>
      <c r="AD331" s="35"/>
      <c r="AE331" s="35"/>
      <c r="AF331" s="35"/>
      <c r="AG331" s="35"/>
      <c r="AH331" s="30" t="s">
        <v>4714</v>
      </c>
      <c r="AI331" s="35" t="s">
        <v>11579</v>
      </c>
      <c r="AJ331" s="62" t="str">
        <f>MID('I kw.22'!W331,8,6)</f>
        <v>332203</v>
      </c>
      <c r="AK331" s="62">
        <v>1</v>
      </c>
      <c r="AL331" s="62">
        <f t="shared" si="5"/>
        <v>1</v>
      </c>
      <c r="AM331" s="62">
        <v>1</v>
      </c>
    </row>
    <row r="332" spans="1:39" x14ac:dyDescent="0.25">
      <c r="A332" s="35" t="s">
        <v>3716</v>
      </c>
      <c r="B332" s="35" t="s">
        <v>11579</v>
      </c>
      <c r="C332" s="35" t="s">
        <v>17</v>
      </c>
      <c r="D332" s="35" t="s">
        <v>16845</v>
      </c>
      <c r="E332" s="35" t="s">
        <v>192</v>
      </c>
      <c r="F332" s="62">
        <v>1</v>
      </c>
      <c r="G332" s="30" t="s">
        <v>193</v>
      </c>
      <c r="H332" s="30" t="s">
        <v>194</v>
      </c>
      <c r="I332" s="30" t="s">
        <v>16052</v>
      </c>
      <c r="J332" s="35" t="s">
        <v>301</v>
      </c>
      <c r="K332" s="35">
        <v>18</v>
      </c>
      <c r="L332" s="35" t="s">
        <v>6955</v>
      </c>
      <c r="M332" s="35"/>
      <c r="N332" s="35" t="s">
        <v>16958</v>
      </c>
      <c r="O332" s="35" t="s">
        <v>6245</v>
      </c>
      <c r="P332" s="35" t="s">
        <v>16843</v>
      </c>
      <c r="Q332" s="35" t="s">
        <v>16113</v>
      </c>
      <c r="R332" s="35" t="s">
        <v>16842</v>
      </c>
      <c r="S332" s="35">
        <v>2395671</v>
      </c>
      <c r="T332" s="35">
        <v>34285574</v>
      </c>
      <c r="U332" s="35"/>
      <c r="V332" s="30">
        <v>1810</v>
      </c>
      <c r="W332" s="35" t="s">
        <v>624</v>
      </c>
      <c r="X332" s="35" t="s">
        <v>194</v>
      </c>
      <c r="Y332" s="30">
        <v>1</v>
      </c>
      <c r="Z332" s="35"/>
      <c r="AA332" s="35"/>
      <c r="AB332" s="35"/>
      <c r="AC332" s="35"/>
      <c r="AD332" s="35"/>
      <c r="AE332" s="35"/>
      <c r="AF332" s="35"/>
      <c r="AG332" s="35"/>
      <c r="AH332" s="30" t="s">
        <v>4714</v>
      </c>
      <c r="AI332" s="35" t="s">
        <v>11579</v>
      </c>
      <c r="AJ332" s="62" t="str">
        <f>MID('I kw.22'!W332,8,6)</f>
        <v>332203</v>
      </c>
      <c r="AK332" s="62">
        <v>1</v>
      </c>
      <c r="AL332" s="62">
        <f t="shared" si="5"/>
        <v>1</v>
      </c>
      <c r="AM332" s="62">
        <v>1</v>
      </c>
    </row>
    <row r="333" spans="1:39" x14ac:dyDescent="0.25">
      <c r="A333" s="35" t="s">
        <v>3716</v>
      </c>
      <c r="B333" s="35" t="s">
        <v>11579</v>
      </c>
      <c r="C333" s="35" t="s">
        <v>17</v>
      </c>
      <c r="D333" s="35" t="s">
        <v>16845</v>
      </c>
      <c r="E333" s="35" t="s">
        <v>192</v>
      </c>
      <c r="F333" s="62">
        <v>1</v>
      </c>
      <c r="G333" s="30" t="s">
        <v>193</v>
      </c>
      <c r="H333" s="30" t="s">
        <v>194</v>
      </c>
      <c r="I333" s="30" t="s">
        <v>16052</v>
      </c>
      <c r="J333" s="35" t="s">
        <v>305</v>
      </c>
      <c r="K333" s="35">
        <v>18</v>
      </c>
      <c r="L333" s="35" t="s">
        <v>6955</v>
      </c>
      <c r="M333" s="35"/>
      <c r="N333" s="35" t="s">
        <v>16957</v>
      </c>
      <c r="O333" s="35" t="s">
        <v>6245</v>
      </c>
      <c r="P333" s="35" t="s">
        <v>16843</v>
      </c>
      <c r="Q333" s="35" t="s">
        <v>16113</v>
      </c>
      <c r="R333" s="35" t="s">
        <v>16842</v>
      </c>
      <c r="S333" s="35">
        <v>2395672</v>
      </c>
      <c r="T333" s="35">
        <v>34285575</v>
      </c>
      <c r="U333" s="35"/>
      <c r="V333" s="30">
        <v>1814</v>
      </c>
      <c r="W333" s="35" t="s">
        <v>624</v>
      </c>
      <c r="X333" s="35" t="s">
        <v>194</v>
      </c>
      <c r="Y333" s="30">
        <v>1</v>
      </c>
      <c r="Z333" s="35"/>
      <c r="AA333" s="35"/>
      <c r="AB333" s="35"/>
      <c r="AC333" s="35"/>
      <c r="AD333" s="35"/>
      <c r="AE333" s="35"/>
      <c r="AF333" s="35"/>
      <c r="AG333" s="35"/>
      <c r="AH333" s="30" t="s">
        <v>4714</v>
      </c>
      <c r="AI333" s="35" t="s">
        <v>11579</v>
      </c>
      <c r="AJ333" s="62" t="str">
        <f>MID('I kw.22'!W333,8,6)</f>
        <v>332203</v>
      </c>
      <c r="AK333" s="62">
        <v>1</v>
      </c>
      <c r="AL333" s="62">
        <f t="shared" si="5"/>
        <v>1</v>
      </c>
      <c r="AM333" s="62">
        <v>1</v>
      </c>
    </row>
    <row r="334" spans="1:39" x14ac:dyDescent="0.25">
      <c r="A334" s="35" t="s">
        <v>3716</v>
      </c>
      <c r="B334" s="35" t="s">
        <v>11579</v>
      </c>
      <c r="C334" s="35" t="s">
        <v>17</v>
      </c>
      <c r="D334" s="35" t="s">
        <v>16845</v>
      </c>
      <c r="E334" s="35" t="s">
        <v>192</v>
      </c>
      <c r="F334" s="62">
        <v>1</v>
      </c>
      <c r="G334" s="30" t="s">
        <v>193</v>
      </c>
      <c r="H334" s="30" t="s">
        <v>194</v>
      </c>
      <c r="I334" s="30" t="s">
        <v>16052</v>
      </c>
      <c r="J334" s="35" t="s">
        <v>4751</v>
      </c>
      <c r="K334" s="35">
        <v>18</v>
      </c>
      <c r="L334" s="35" t="s">
        <v>6955</v>
      </c>
      <c r="M334" s="35"/>
      <c r="N334" s="35" t="s">
        <v>16956</v>
      </c>
      <c r="O334" s="35" t="s">
        <v>6245</v>
      </c>
      <c r="P334" s="35" t="s">
        <v>16843</v>
      </c>
      <c r="Q334" s="35" t="s">
        <v>16113</v>
      </c>
      <c r="R334" s="35" t="s">
        <v>16842</v>
      </c>
      <c r="S334" s="35">
        <v>2395673</v>
      </c>
      <c r="T334" s="35">
        <v>34285576</v>
      </c>
      <c r="U334" s="35"/>
      <c r="V334" s="30">
        <v>1862</v>
      </c>
      <c r="W334" s="35" t="s">
        <v>624</v>
      </c>
      <c r="X334" s="35" t="s">
        <v>194</v>
      </c>
      <c r="Y334" s="30">
        <v>1</v>
      </c>
      <c r="Z334" s="35"/>
      <c r="AA334" s="35"/>
      <c r="AB334" s="35"/>
      <c r="AC334" s="35"/>
      <c r="AD334" s="35"/>
      <c r="AE334" s="35"/>
      <c r="AF334" s="35"/>
      <c r="AG334" s="35"/>
      <c r="AH334" s="30" t="s">
        <v>4714</v>
      </c>
      <c r="AI334" s="35" t="s">
        <v>11579</v>
      </c>
      <c r="AJ334" s="62" t="str">
        <f>MID('I kw.22'!W334,8,6)</f>
        <v>332203</v>
      </c>
      <c r="AK334" s="62">
        <v>1</v>
      </c>
      <c r="AL334" s="62">
        <f t="shared" si="5"/>
        <v>1</v>
      </c>
      <c r="AM334" s="62">
        <v>1</v>
      </c>
    </row>
    <row r="335" spans="1:39" x14ac:dyDescent="0.25">
      <c r="A335" s="35" t="s">
        <v>3716</v>
      </c>
      <c r="B335" s="35" t="s">
        <v>11579</v>
      </c>
      <c r="C335" s="35" t="s">
        <v>17</v>
      </c>
      <c r="D335" s="35" t="s">
        <v>16845</v>
      </c>
      <c r="E335" s="35" t="s">
        <v>192</v>
      </c>
      <c r="F335" s="62">
        <v>1</v>
      </c>
      <c r="G335" s="30" t="s">
        <v>193</v>
      </c>
      <c r="H335" s="30" t="s">
        <v>194</v>
      </c>
      <c r="I335" s="30" t="s">
        <v>16052</v>
      </c>
      <c r="J335" s="35" t="s">
        <v>223</v>
      </c>
      <c r="K335" s="35">
        <v>18</v>
      </c>
      <c r="L335" s="35" t="s">
        <v>6955</v>
      </c>
      <c r="M335" s="35"/>
      <c r="N335" s="35" t="s">
        <v>16955</v>
      </c>
      <c r="O335" s="35" t="s">
        <v>6245</v>
      </c>
      <c r="P335" s="35" t="s">
        <v>16843</v>
      </c>
      <c r="Q335" s="35" t="s">
        <v>16113</v>
      </c>
      <c r="R335" s="35" t="s">
        <v>16842</v>
      </c>
      <c r="S335" s="35">
        <v>2395674</v>
      </c>
      <c r="T335" s="35">
        <v>34285577</v>
      </c>
      <c r="U335" s="35"/>
      <c r="V335" s="30">
        <v>1804</v>
      </c>
      <c r="W335" s="35" t="s">
        <v>624</v>
      </c>
      <c r="X335" s="35" t="s">
        <v>194</v>
      </c>
      <c r="Y335" s="30">
        <v>1</v>
      </c>
      <c r="Z335" s="35"/>
      <c r="AA335" s="35"/>
      <c r="AB335" s="35"/>
      <c r="AC335" s="35"/>
      <c r="AD335" s="35"/>
      <c r="AE335" s="35"/>
      <c r="AF335" s="35"/>
      <c r="AG335" s="35"/>
      <c r="AH335" s="30" t="s">
        <v>4714</v>
      </c>
      <c r="AI335" s="35" t="s">
        <v>11579</v>
      </c>
      <c r="AJ335" s="62" t="str">
        <f>MID('I kw.22'!W335,8,6)</f>
        <v>332203</v>
      </c>
      <c r="AK335" s="62">
        <v>1</v>
      </c>
      <c r="AL335" s="62">
        <f t="shared" si="5"/>
        <v>1</v>
      </c>
      <c r="AM335" s="62">
        <v>1</v>
      </c>
    </row>
    <row r="336" spans="1:39" x14ac:dyDescent="0.25">
      <c r="A336" s="35" t="s">
        <v>1523</v>
      </c>
      <c r="B336" s="35" t="s">
        <v>16953</v>
      </c>
      <c r="C336" s="35" t="s">
        <v>6156</v>
      </c>
      <c r="D336" s="35" t="s">
        <v>16845</v>
      </c>
      <c r="E336" s="35" t="s">
        <v>192</v>
      </c>
      <c r="F336" s="62">
        <v>1</v>
      </c>
      <c r="G336" s="30" t="s">
        <v>193</v>
      </c>
      <c r="H336" s="30" t="s">
        <v>194</v>
      </c>
      <c r="I336" s="30" t="s">
        <v>16068</v>
      </c>
      <c r="J336" s="35" t="s">
        <v>210</v>
      </c>
      <c r="K336" s="35">
        <v>18</v>
      </c>
      <c r="L336" s="35" t="s">
        <v>6955</v>
      </c>
      <c r="M336" s="35"/>
      <c r="N336" s="35" t="s">
        <v>16954</v>
      </c>
      <c r="O336" s="35" t="s">
        <v>6327</v>
      </c>
      <c r="P336" s="35" t="s">
        <v>16843</v>
      </c>
      <c r="Q336" s="35" t="s">
        <v>16113</v>
      </c>
      <c r="R336" s="35" t="s">
        <v>16842</v>
      </c>
      <c r="S336" s="35">
        <v>2395824</v>
      </c>
      <c r="T336" s="35">
        <v>34285727</v>
      </c>
      <c r="U336" s="35"/>
      <c r="V336" s="30">
        <v>1863</v>
      </c>
      <c r="W336" s="35" t="s">
        <v>6158</v>
      </c>
      <c r="X336" s="35" t="s">
        <v>194</v>
      </c>
      <c r="Y336" s="30">
        <v>1</v>
      </c>
      <c r="Z336" s="35"/>
      <c r="AA336" s="35"/>
      <c r="AB336" s="35"/>
      <c r="AC336" s="35"/>
      <c r="AD336" s="35"/>
      <c r="AE336" s="35"/>
      <c r="AF336" s="35"/>
      <c r="AG336" s="35"/>
      <c r="AH336" s="30" t="s">
        <v>4714</v>
      </c>
      <c r="AI336" s="35" t="s">
        <v>16953</v>
      </c>
      <c r="AJ336" s="62" t="str">
        <f>MID('I kw.22'!W336,8,6)</f>
        <v>241204</v>
      </c>
      <c r="AK336" s="62">
        <v>1</v>
      </c>
      <c r="AL336" s="62">
        <f t="shared" si="5"/>
        <v>1</v>
      </c>
      <c r="AM336" s="62">
        <v>1</v>
      </c>
    </row>
    <row r="337" spans="1:39" x14ac:dyDescent="0.25">
      <c r="A337" s="35" t="s">
        <v>10278</v>
      </c>
      <c r="B337" s="35" t="s">
        <v>16951</v>
      </c>
      <c r="C337" s="35" t="s">
        <v>10</v>
      </c>
      <c r="D337" s="35" t="s">
        <v>16845</v>
      </c>
      <c r="E337" s="35" t="s">
        <v>192</v>
      </c>
      <c r="F337" s="62">
        <v>1</v>
      </c>
      <c r="G337" s="30" t="s">
        <v>193</v>
      </c>
      <c r="H337" s="30" t="s">
        <v>194</v>
      </c>
      <c r="I337" s="30" t="s">
        <v>16121</v>
      </c>
      <c r="J337" s="35" t="s">
        <v>210</v>
      </c>
      <c r="K337" s="35">
        <v>18</v>
      </c>
      <c r="L337" s="35" t="s">
        <v>6955</v>
      </c>
      <c r="M337" s="35"/>
      <c r="N337" s="35" t="s">
        <v>16952</v>
      </c>
      <c r="O337" s="35" t="s">
        <v>6261</v>
      </c>
      <c r="P337" s="35" t="s">
        <v>16843</v>
      </c>
      <c r="Q337" s="35" t="s">
        <v>16113</v>
      </c>
      <c r="R337" s="35" t="s">
        <v>16842</v>
      </c>
      <c r="S337" s="35">
        <v>2395845</v>
      </c>
      <c r="T337" s="35">
        <v>34285748</v>
      </c>
      <c r="U337" s="35"/>
      <c r="V337" s="30">
        <v>1863</v>
      </c>
      <c r="W337" s="35" t="s">
        <v>484</v>
      </c>
      <c r="X337" s="35" t="s">
        <v>194</v>
      </c>
      <c r="Y337" s="30">
        <v>1</v>
      </c>
      <c r="Z337" s="35"/>
      <c r="AA337" s="35"/>
      <c r="AB337" s="35"/>
      <c r="AC337" s="35"/>
      <c r="AD337" s="35"/>
      <c r="AE337" s="35"/>
      <c r="AF337" s="35"/>
      <c r="AG337" s="35"/>
      <c r="AH337" s="30" t="s">
        <v>4714</v>
      </c>
      <c r="AI337" s="35" t="s">
        <v>16951</v>
      </c>
      <c r="AJ337" s="62" t="str">
        <f>MID('I kw.22'!W337,8,6)</f>
        <v>251401</v>
      </c>
      <c r="AK337" s="62">
        <v>1</v>
      </c>
      <c r="AL337" s="62">
        <f t="shared" si="5"/>
        <v>1</v>
      </c>
      <c r="AM337" s="62">
        <v>1</v>
      </c>
    </row>
    <row r="338" spans="1:39" x14ac:dyDescent="0.25">
      <c r="A338" s="35" t="s">
        <v>16950</v>
      </c>
      <c r="B338" s="35" t="s">
        <v>1760</v>
      </c>
      <c r="C338" s="35" t="s">
        <v>122</v>
      </c>
      <c r="D338" s="35" t="s">
        <v>16845</v>
      </c>
      <c r="E338" s="35" t="s">
        <v>192</v>
      </c>
      <c r="F338" s="62">
        <v>1</v>
      </c>
      <c r="G338" s="30" t="s">
        <v>193</v>
      </c>
      <c r="H338" s="30" t="s">
        <v>194</v>
      </c>
      <c r="I338" s="30" t="s">
        <v>16068</v>
      </c>
      <c r="J338" s="35" t="s">
        <v>210</v>
      </c>
      <c r="K338" s="35">
        <v>18</v>
      </c>
      <c r="L338" s="35" t="s">
        <v>6955</v>
      </c>
      <c r="M338" s="35"/>
      <c r="N338" s="35" t="s">
        <v>16949</v>
      </c>
      <c r="O338" s="35" t="s">
        <v>7489</v>
      </c>
      <c r="P338" s="35" t="s">
        <v>16843</v>
      </c>
      <c r="Q338" s="35" t="s">
        <v>16113</v>
      </c>
      <c r="R338" s="35" t="s">
        <v>16842</v>
      </c>
      <c r="S338" s="35">
        <v>2395876</v>
      </c>
      <c r="T338" s="35">
        <v>34285779</v>
      </c>
      <c r="U338" s="35"/>
      <c r="V338" s="30">
        <v>1863</v>
      </c>
      <c r="W338" s="35" t="s">
        <v>655</v>
      </c>
      <c r="X338" s="35" t="s">
        <v>194</v>
      </c>
      <c r="Y338" s="30">
        <v>1</v>
      </c>
      <c r="Z338" s="35"/>
      <c r="AA338" s="35"/>
      <c r="AB338" s="35"/>
      <c r="AC338" s="35"/>
      <c r="AD338" s="35"/>
      <c r="AE338" s="35"/>
      <c r="AF338" s="35"/>
      <c r="AG338" s="35"/>
      <c r="AH338" s="30" t="s">
        <v>4714</v>
      </c>
      <c r="AI338" s="35" t="s">
        <v>1760</v>
      </c>
      <c r="AJ338" s="62" t="str">
        <f>MID('I kw.22'!W338,8,6)</f>
        <v>332301</v>
      </c>
      <c r="AK338" s="62">
        <v>1</v>
      </c>
      <c r="AL338" s="62">
        <f t="shared" si="5"/>
        <v>1</v>
      </c>
      <c r="AM338" s="62">
        <v>1</v>
      </c>
    </row>
    <row r="339" spans="1:39" x14ac:dyDescent="0.25">
      <c r="A339" s="35" t="s">
        <v>919</v>
      </c>
      <c r="B339" s="35" t="s">
        <v>1200</v>
      </c>
      <c r="C339" s="35" t="s">
        <v>4966</v>
      </c>
      <c r="D339" s="35" t="s">
        <v>16845</v>
      </c>
      <c r="E339" s="35" t="s">
        <v>192</v>
      </c>
      <c r="F339" s="62">
        <v>1</v>
      </c>
      <c r="G339" s="30" t="s">
        <v>193</v>
      </c>
      <c r="H339" s="30" t="s">
        <v>194</v>
      </c>
      <c r="I339" s="30" t="s">
        <v>16052</v>
      </c>
      <c r="J339" s="35" t="s">
        <v>210</v>
      </c>
      <c r="K339" s="35">
        <v>18</v>
      </c>
      <c r="L339" s="35" t="s">
        <v>6955</v>
      </c>
      <c r="M339" s="35"/>
      <c r="N339" s="35" t="s">
        <v>16948</v>
      </c>
      <c r="O339" s="35" t="s">
        <v>6254</v>
      </c>
      <c r="P339" s="35" t="s">
        <v>16843</v>
      </c>
      <c r="Q339" s="35" t="s">
        <v>16113</v>
      </c>
      <c r="R339" s="35" t="s">
        <v>16842</v>
      </c>
      <c r="S339" s="35">
        <v>2395912</v>
      </c>
      <c r="T339" s="35">
        <v>34285815</v>
      </c>
      <c r="U339" s="35"/>
      <c r="V339" s="30">
        <v>1863</v>
      </c>
      <c r="W339" s="35" t="s">
        <v>405</v>
      </c>
      <c r="X339" s="35" t="s">
        <v>194</v>
      </c>
      <c r="Y339" s="30">
        <v>1</v>
      </c>
      <c r="Z339" s="35"/>
      <c r="AA339" s="35"/>
      <c r="AB339" s="35"/>
      <c r="AC339" s="35"/>
      <c r="AD339" s="35"/>
      <c r="AE339" s="35"/>
      <c r="AF339" s="35"/>
      <c r="AG339" s="35"/>
      <c r="AH339" s="30" t="s">
        <v>4714</v>
      </c>
      <c r="AI339" s="35" t="s">
        <v>1200</v>
      </c>
      <c r="AJ339" s="62" t="str">
        <f>MID('I kw.22'!W339,8,6)</f>
        <v>241304</v>
      </c>
      <c r="AK339" s="62">
        <v>1</v>
      </c>
      <c r="AL339" s="62">
        <f t="shared" si="5"/>
        <v>1</v>
      </c>
      <c r="AM339" s="62">
        <v>1</v>
      </c>
    </row>
    <row r="340" spans="1:39" x14ac:dyDescent="0.25">
      <c r="A340" s="35" t="s">
        <v>919</v>
      </c>
      <c r="B340" s="35" t="s">
        <v>1200</v>
      </c>
      <c r="C340" s="35" t="s">
        <v>4966</v>
      </c>
      <c r="D340" s="35" t="s">
        <v>16845</v>
      </c>
      <c r="E340" s="35" t="s">
        <v>192</v>
      </c>
      <c r="F340" s="62">
        <v>1</v>
      </c>
      <c r="G340" s="30" t="s">
        <v>193</v>
      </c>
      <c r="H340" s="30" t="s">
        <v>194</v>
      </c>
      <c r="I340" s="30" t="s">
        <v>16052</v>
      </c>
      <c r="J340" s="35" t="s">
        <v>253</v>
      </c>
      <c r="K340" s="35">
        <v>18</v>
      </c>
      <c r="L340" s="35" t="s">
        <v>6955</v>
      </c>
      <c r="M340" s="35"/>
      <c r="N340" s="35" t="s">
        <v>16947</v>
      </c>
      <c r="O340" s="35" t="s">
        <v>6254</v>
      </c>
      <c r="P340" s="35" t="s">
        <v>16843</v>
      </c>
      <c r="Q340" s="35" t="s">
        <v>16113</v>
      </c>
      <c r="R340" s="35" t="s">
        <v>16842</v>
      </c>
      <c r="S340" s="35">
        <v>2395935</v>
      </c>
      <c r="T340" s="35">
        <v>34285838</v>
      </c>
      <c r="U340" s="35"/>
      <c r="V340" s="30">
        <v>1811</v>
      </c>
      <c r="W340" s="35" t="s">
        <v>405</v>
      </c>
      <c r="X340" s="35" t="s">
        <v>194</v>
      </c>
      <c r="Y340" s="30">
        <v>1</v>
      </c>
      <c r="Z340" s="35"/>
      <c r="AA340" s="35"/>
      <c r="AB340" s="35"/>
      <c r="AC340" s="35"/>
      <c r="AD340" s="35"/>
      <c r="AE340" s="35"/>
      <c r="AF340" s="35"/>
      <c r="AG340" s="35"/>
      <c r="AH340" s="30" t="s">
        <v>4714</v>
      </c>
      <c r="AI340" s="35" t="s">
        <v>1200</v>
      </c>
      <c r="AJ340" s="62" t="str">
        <f>MID('I kw.22'!W340,8,6)</f>
        <v>241304</v>
      </c>
      <c r="AK340" s="62">
        <v>1</v>
      </c>
      <c r="AL340" s="62">
        <f t="shared" si="5"/>
        <v>1</v>
      </c>
      <c r="AM340" s="62">
        <v>1</v>
      </c>
    </row>
    <row r="341" spans="1:39" x14ac:dyDescent="0.25">
      <c r="A341" s="35" t="s">
        <v>919</v>
      </c>
      <c r="B341" s="35" t="s">
        <v>1200</v>
      </c>
      <c r="C341" s="35" t="s">
        <v>4966</v>
      </c>
      <c r="D341" s="35" t="s">
        <v>16845</v>
      </c>
      <c r="E341" s="35" t="s">
        <v>192</v>
      </c>
      <c r="F341" s="62">
        <v>1</v>
      </c>
      <c r="G341" s="30" t="s">
        <v>193</v>
      </c>
      <c r="H341" s="30" t="s">
        <v>194</v>
      </c>
      <c r="I341" s="30" t="s">
        <v>16052</v>
      </c>
      <c r="J341" s="35" t="s">
        <v>276</v>
      </c>
      <c r="K341" s="35">
        <v>18</v>
      </c>
      <c r="L341" s="35" t="s">
        <v>6955</v>
      </c>
      <c r="M341" s="35"/>
      <c r="N341" s="35" t="s">
        <v>16946</v>
      </c>
      <c r="O341" s="35" t="s">
        <v>6254</v>
      </c>
      <c r="P341" s="35" t="s">
        <v>16843</v>
      </c>
      <c r="Q341" s="35" t="s">
        <v>16113</v>
      </c>
      <c r="R341" s="35" t="s">
        <v>16842</v>
      </c>
      <c r="S341" s="35">
        <v>2395937</v>
      </c>
      <c r="T341" s="35">
        <v>34285840</v>
      </c>
      <c r="U341" s="35"/>
      <c r="V341" s="30">
        <v>1803</v>
      </c>
      <c r="W341" s="35" t="s">
        <v>405</v>
      </c>
      <c r="X341" s="35" t="s">
        <v>194</v>
      </c>
      <c r="Y341" s="30">
        <v>1</v>
      </c>
      <c r="Z341" s="35"/>
      <c r="AA341" s="35"/>
      <c r="AB341" s="35"/>
      <c r="AC341" s="35"/>
      <c r="AD341" s="35"/>
      <c r="AE341" s="35"/>
      <c r="AF341" s="35"/>
      <c r="AG341" s="35"/>
      <c r="AH341" s="30" t="s">
        <v>4714</v>
      </c>
      <c r="AI341" s="35" t="s">
        <v>1200</v>
      </c>
      <c r="AJ341" s="62" t="str">
        <f>MID('I kw.22'!W341,8,6)</f>
        <v>241304</v>
      </c>
      <c r="AK341" s="62">
        <v>1</v>
      </c>
      <c r="AL341" s="62">
        <f t="shared" si="5"/>
        <v>1</v>
      </c>
      <c r="AM341" s="62">
        <v>1</v>
      </c>
    </row>
    <row r="342" spans="1:39" x14ac:dyDescent="0.25">
      <c r="A342" s="35" t="s">
        <v>919</v>
      </c>
      <c r="B342" s="35" t="s">
        <v>1200</v>
      </c>
      <c r="C342" s="35" t="s">
        <v>4966</v>
      </c>
      <c r="D342" s="35" t="s">
        <v>16845</v>
      </c>
      <c r="E342" s="35" t="s">
        <v>192</v>
      </c>
      <c r="F342" s="62">
        <v>1</v>
      </c>
      <c r="G342" s="30" t="s">
        <v>193</v>
      </c>
      <c r="H342" s="30" t="s">
        <v>194</v>
      </c>
      <c r="I342" s="30" t="s">
        <v>16121</v>
      </c>
      <c r="J342" s="35" t="s">
        <v>385</v>
      </c>
      <c r="K342" s="35">
        <v>18</v>
      </c>
      <c r="L342" s="35" t="s">
        <v>6955</v>
      </c>
      <c r="M342" s="35"/>
      <c r="N342" s="35" t="s">
        <v>16945</v>
      </c>
      <c r="O342" s="35" t="s">
        <v>6254</v>
      </c>
      <c r="P342" s="35" t="s">
        <v>16843</v>
      </c>
      <c r="Q342" s="35" t="s">
        <v>16113</v>
      </c>
      <c r="R342" s="35" t="s">
        <v>16842</v>
      </c>
      <c r="S342" s="35">
        <v>2395939</v>
      </c>
      <c r="T342" s="35">
        <v>34285842</v>
      </c>
      <c r="U342" s="35"/>
      <c r="V342" s="30">
        <v>1861</v>
      </c>
      <c r="W342" s="35" t="s">
        <v>405</v>
      </c>
      <c r="X342" s="35" t="s">
        <v>194</v>
      </c>
      <c r="Y342" s="30">
        <v>1</v>
      </c>
      <c r="Z342" s="35"/>
      <c r="AA342" s="35"/>
      <c r="AB342" s="35"/>
      <c r="AC342" s="35"/>
      <c r="AD342" s="35"/>
      <c r="AE342" s="35"/>
      <c r="AF342" s="35"/>
      <c r="AG342" s="35"/>
      <c r="AH342" s="30" t="s">
        <v>4714</v>
      </c>
      <c r="AI342" s="35" t="s">
        <v>1200</v>
      </c>
      <c r="AJ342" s="62" t="str">
        <f>MID('I kw.22'!W342,8,6)</f>
        <v>241304</v>
      </c>
      <c r="AK342" s="62">
        <v>1</v>
      </c>
      <c r="AL342" s="62">
        <f t="shared" si="5"/>
        <v>1</v>
      </c>
      <c r="AM342" s="62">
        <v>1</v>
      </c>
    </row>
    <row r="343" spans="1:39" x14ac:dyDescent="0.25">
      <c r="A343" s="35" t="s">
        <v>16944</v>
      </c>
      <c r="B343" s="35" t="s">
        <v>16942</v>
      </c>
      <c r="C343" s="35" t="s">
        <v>27</v>
      </c>
      <c r="D343" s="35" t="s">
        <v>16845</v>
      </c>
      <c r="E343" s="35" t="s">
        <v>192</v>
      </c>
      <c r="F343" s="62">
        <v>1</v>
      </c>
      <c r="G343" s="30" t="s">
        <v>193</v>
      </c>
      <c r="H343" s="30" t="s">
        <v>194</v>
      </c>
      <c r="I343" s="30" t="s">
        <v>16083</v>
      </c>
      <c r="J343" s="35" t="s">
        <v>210</v>
      </c>
      <c r="K343" s="35">
        <v>18</v>
      </c>
      <c r="L343" s="35" t="s">
        <v>6955</v>
      </c>
      <c r="M343" s="35"/>
      <c r="N343" s="35" t="s">
        <v>16943</v>
      </c>
      <c r="O343" s="35" t="s">
        <v>6343</v>
      </c>
      <c r="P343" s="35" t="s">
        <v>16843</v>
      </c>
      <c r="Q343" s="35" t="s">
        <v>16113</v>
      </c>
      <c r="R343" s="35" t="s">
        <v>16842</v>
      </c>
      <c r="S343" s="35">
        <v>2395982</v>
      </c>
      <c r="T343" s="35">
        <v>34285885</v>
      </c>
      <c r="U343" s="35"/>
      <c r="V343" s="30">
        <v>1863</v>
      </c>
      <c r="W343" s="35" t="s">
        <v>440</v>
      </c>
      <c r="X343" s="35" t="s">
        <v>194</v>
      </c>
      <c r="Y343" s="30">
        <v>1</v>
      </c>
      <c r="Z343" s="35"/>
      <c r="AA343" s="35"/>
      <c r="AB343" s="35"/>
      <c r="AC343" s="35"/>
      <c r="AD343" s="35"/>
      <c r="AE343" s="35"/>
      <c r="AF343" s="35"/>
      <c r="AG343" s="35"/>
      <c r="AH343" s="30" t="s">
        <v>4714</v>
      </c>
      <c r="AI343" s="35" t="s">
        <v>16942</v>
      </c>
      <c r="AJ343" s="62" t="str">
        <f>MID('I kw.22'!W343,8,6)</f>
        <v>242307</v>
      </c>
      <c r="AK343" s="62">
        <v>1</v>
      </c>
      <c r="AL343" s="62">
        <f t="shared" si="5"/>
        <v>1</v>
      </c>
      <c r="AM343" s="62">
        <v>1</v>
      </c>
    </row>
    <row r="344" spans="1:39" x14ac:dyDescent="0.25">
      <c r="A344" s="35" t="s">
        <v>6456</v>
      </c>
      <c r="B344" s="35" t="s">
        <v>16938</v>
      </c>
      <c r="C344" s="35" t="s">
        <v>16941</v>
      </c>
      <c r="D344" s="35" t="s">
        <v>16845</v>
      </c>
      <c r="E344" s="35" t="s">
        <v>192</v>
      </c>
      <c r="F344" s="62">
        <v>1</v>
      </c>
      <c r="G344" s="30" t="s">
        <v>193</v>
      </c>
      <c r="H344" s="30" t="s">
        <v>194</v>
      </c>
      <c r="I344" s="30" t="s">
        <v>16068</v>
      </c>
      <c r="J344" s="35" t="s">
        <v>755</v>
      </c>
      <c r="K344" s="35">
        <v>18</v>
      </c>
      <c r="L344" s="35" t="s">
        <v>6955</v>
      </c>
      <c r="M344" s="35"/>
      <c r="N344" s="35" t="s">
        <v>16940</v>
      </c>
      <c r="O344" s="35" t="s">
        <v>6245</v>
      </c>
      <c r="P344" s="35" t="s">
        <v>16843</v>
      </c>
      <c r="Q344" s="35" t="s">
        <v>16113</v>
      </c>
      <c r="R344" s="35" t="s">
        <v>16842</v>
      </c>
      <c r="S344" s="35">
        <v>2395986</v>
      </c>
      <c r="T344" s="35">
        <v>34285889</v>
      </c>
      <c r="U344" s="35"/>
      <c r="V344" s="30">
        <v>1816</v>
      </c>
      <c r="W344" s="35" t="s">
        <v>16939</v>
      </c>
      <c r="X344" s="35" t="s">
        <v>194</v>
      </c>
      <c r="Y344" s="30">
        <v>1</v>
      </c>
      <c r="Z344" s="35"/>
      <c r="AA344" s="35"/>
      <c r="AB344" s="35"/>
      <c r="AC344" s="35"/>
      <c r="AD344" s="35"/>
      <c r="AE344" s="35"/>
      <c r="AF344" s="35"/>
      <c r="AG344" s="35"/>
      <c r="AH344" s="30" t="s">
        <v>4714</v>
      </c>
      <c r="AI344" s="35" t="s">
        <v>16938</v>
      </c>
      <c r="AJ344" s="62" t="str">
        <f>MID('I kw.22'!W344,8,6)</f>
        <v>311203</v>
      </c>
      <c r="AK344" s="62">
        <v>1</v>
      </c>
      <c r="AL344" s="62">
        <f t="shared" si="5"/>
        <v>1</v>
      </c>
      <c r="AM344" s="62">
        <v>1</v>
      </c>
    </row>
    <row r="345" spans="1:39" x14ac:dyDescent="0.25">
      <c r="A345" s="35" t="s">
        <v>15605</v>
      </c>
      <c r="B345" s="35" t="s">
        <v>15606</v>
      </c>
      <c r="C345" s="35" t="s">
        <v>14172</v>
      </c>
      <c r="D345" s="35" t="s">
        <v>16845</v>
      </c>
      <c r="E345" s="35" t="s">
        <v>192</v>
      </c>
      <c r="F345" s="62">
        <v>1</v>
      </c>
      <c r="G345" s="30" t="s">
        <v>193</v>
      </c>
      <c r="H345" s="30" t="s">
        <v>194</v>
      </c>
      <c r="I345" s="30" t="s">
        <v>16078</v>
      </c>
      <c r="J345" s="35" t="s">
        <v>210</v>
      </c>
      <c r="K345" s="35">
        <v>18</v>
      </c>
      <c r="L345" s="35" t="s">
        <v>6955</v>
      </c>
      <c r="M345" s="35"/>
      <c r="N345" s="35" t="s">
        <v>16937</v>
      </c>
      <c r="O345" s="35" t="s">
        <v>6258</v>
      </c>
      <c r="P345" s="35" t="s">
        <v>16843</v>
      </c>
      <c r="Q345" s="35" t="s">
        <v>16113</v>
      </c>
      <c r="R345" s="35" t="s">
        <v>16842</v>
      </c>
      <c r="S345" s="35">
        <v>2396020</v>
      </c>
      <c r="T345" s="35">
        <v>34285923</v>
      </c>
      <c r="U345" s="35"/>
      <c r="V345" s="30">
        <v>1863</v>
      </c>
      <c r="W345" s="35" t="s">
        <v>14176</v>
      </c>
      <c r="X345" s="35" t="s">
        <v>194</v>
      </c>
      <c r="Y345" s="30">
        <v>1</v>
      </c>
      <c r="Z345" s="35"/>
      <c r="AA345" s="35"/>
      <c r="AB345" s="35"/>
      <c r="AC345" s="35"/>
      <c r="AD345" s="35"/>
      <c r="AE345" s="35"/>
      <c r="AF345" s="35"/>
      <c r="AG345" s="35"/>
      <c r="AH345" s="30" t="s">
        <v>4714</v>
      </c>
      <c r="AI345" s="35" t="s">
        <v>15606</v>
      </c>
      <c r="AJ345" s="62" t="str">
        <f>MID('I kw.22'!W345,8,6)</f>
        <v>311907</v>
      </c>
      <c r="AK345" s="62">
        <v>1</v>
      </c>
      <c r="AL345" s="62">
        <f t="shared" si="5"/>
        <v>1</v>
      </c>
      <c r="AM345" s="62">
        <v>1</v>
      </c>
    </row>
    <row r="346" spans="1:39" x14ac:dyDescent="0.25">
      <c r="A346" s="35" t="s">
        <v>369</v>
      </c>
      <c r="B346" s="35" t="s">
        <v>984</v>
      </c>
      <c r="C346" s="35" t="s">
        <v>27</v>
      </c>
      <c r="D346" s="35" t="s">
        <v>16845</v>
      </c>
      <c r="E346" s="35" t="s">
        <v>192</v>
      </c>
      <c r="F346" s="62">
        <v>1</v>
      </c>
      <c r="G346" s="30" t="s">
        <v>193</v>
      </c>
      <c r="H346" s="30" t="s">
        <v>194</v>
      </c>
      <c r="I346" s="30" t="s">
        <v>16068</v>
      </c>
      <c r="J346" s="35" t="s">
        <v>210</v>
      </c>
      <c r="K346" s="35">
        <v>18</v>
      </c>
      <c r="L346" s="35" t="s">
        <v>6955</v>
      </c>
      <c r="M346" s="35"/>
      <c r="N346" s="35" t="s">
        <v>16936</v>
      </c>
      <c r="O346" s="35" t="s">
        <v>6340</v>
      </c>
      <c r="P346" s="35" t="s">
        <v>16843</v>
      </c>
      <c r="Q346" s="35" t="s">
        <v>16113</v>
      </c>
      <c r="R346" s="35" t="s">
        <v>16842</v>
      </c>
      <c r="S346" s="35">
        <v>2396022</v>
      </c>
      <c r="T346" s="35">
        <v>34285925</v>
      </c>
      <c r="U346" s="35"/>
      <c r="V346" s="30">
        <v>1863</v>
      </c>
      <c r="W346" s="35" t="s">
        <v>440</v>
      </c>
      <c r="X346" s="35" t="s">
        <v>194</v>
      </c>
      <c r="Y346" s="30">
        <v>1</v>
      </c>
      <c r="Z346" s="35"/>
      <c r="AA346" s="35"/>
      <c r="AB346" s="35"/>
      <c r="AC346" s="35"/>
      <c r="AD346" s="35"/>
      <c r="AE346" s="35"/>
      <c r="AF346" s="35"/>
      <c r="AG346" s="35"/>
      <c r="AH346" s="30" t="s">
        <v>4714</v>
      </c>
      <c r="AI346" s="35" t="s">
        <v>984</v>
      </c>
      <c r="AJ346" s="62" t="str">
        <f>MID('I kw.22'!W346,8,6)</f>
        <v>242307</v>
      </c>
      <c r="AK346" s="62">
        <v>1</v>
      </c>
      <c r="AL346" s="62">
        <f t="shared" si="5"/>
        <v>1</v>
      </c>
      <c r="AM346" s="62">
        <v>1</v>
      </c>
    </row>
    <row r="347" spans="1:39" x14ac:dyDescent="0.25">
      <c r="A347" s="35" t="s">
        <v>1568</v>
      </c>
      <c r="B347" s="35" t="s">
        <v>16934</v>
      </c>
      <c r="C347" s="35" t="s">
        <v>566</v>
      </c>
      <c r="D347" s="35" t="s">
        <v>16845</v>
      </c>
      <c r="E347" s="35" t="s">
        <v>192</v>
      </c>
      <c r="F347" s="62">
        <v>1</v>
      </c>
      <c r="G347" s="30" t="s">
        <v>193</v>
      </c>
      <c r="H347" s="30" t="s">
        <v>194</v>
      </c>
      <c r="I347" s="30" t="s">
        <v>16078</v>
      </c>
      <c r="J347" s="35" t="s">
        <v>276</v>
      </c>
      <c r="K347" s="35">
        <v>18</v>
      </c>
      <c r="L347" s="35" t="s">
        <v>6955</v>
      </c>
      <c r="M347" s="35"/>
      <c r="N347" s="35" t="s">
        <v>16935</v>
      </c>
      <c r="O347" s="35" t="s">
        <v>6279</v>
      </c>
      <c r="P347" s="35" t="s">
        <v>16843</v>
      </c>
      <c r="Q347" s="35" t="s">
        <v>16113</v>
      </c>
      <c r="R347" s="35" t="s">
        <v>16842</v>
      </c>
      <c r="S347" s="35">
        <v>2396040</v>
      </c>
      <c r="T347" s="35">
        <v>34285943</v>
      </c>
      <c r="U347" s="35"/>
      <c r="V347" s="30">
        <v>1803</v>
      </c>
      <c r="W347" s="35" t="s">
        <v>567</v>
      </c>
      <c r="X347" s="35" t="s">
        <v>194</v>
      </c>
      <c r="Y347" s="30">
        <v>1</v>
      </c>
      <c r="Z347" s="35"/>
      <c r="AA347" s="35"/>
      <c r="AB347" s="35"/>
      <c r="AC347" s="35"/>
      <c r="AD347" s="35"/>
      <c r="AE347" s="35"/>
      <c r="AF347" s="35"/>
      <c r="AG347" s="35"/>
      <c r="AH347" s="30" t="s">
        <v>4714</v>
      </c>
      <c r="AI347" s="35" t="s">
        <v>16934</v>
      </c>
      <c r="AJ347" s="62" t="str">
        <f>MID('I kw.22'!W347,8,6)</f>
        <v>311504</v>
      </c>
      <c r="AK347" s="62">
        <v>1</v>
      </c>
      <c r="AL347" s="62">
        <f t="shared" si="5"/>
        <v>1</v>
      </c>
      <c r="AM347" s="62">
        <v>1</v>
      </c>
    </row>
    <row r="348" spans="1:39" x14ac:dyDescent="0.25">
      <c r="A348" s="35" t="s">
        <v>7645</v>
      </c>
      <c r="B348" s="35" t="s">
        <v>16932</v>
      </c>
      <c r="C348" s="35" t="s">
        <v>85</v>
      </c>
      <c r="D348" s="35" t="s">
        <v>16845</v>
      </c>
      <c r="E348" s="35" t="s">
        <v>192</v>
      </c>
      <c r="F348" s="62">
        <v>1</v>
      </c>
      <c r="G348" s="30" t="s">
        <v>193</v>
      </c>
      <c r="H348" s="30" t="s">
        <v>194</v>
      </c>
      <c r="I348" s="30" t="s">
        <v>16052</v>
      </c>
      <c r="J348" s="35" t="s">
        <v>575</v>
      </c>
      <c r="K348" s="35">
        <v>18</v>
      </c>
      <c r="L348" s="35" t="s">
        <v>6955</v>
      </c>
      <c r="M348" s="35"/>
      <c r="N348" s="35" t="s">
        <v>16933</v>
      </c>
      <c r="O348" s="35" t="s">
        <v>6245</v>
      </c>
      <c r="P348" s="35" t="s">
        <v>16843</v>
      </c>
      <c r="Q348" s="35" t="s">
        <v>16113</v>
      </c>
      <c r="R348" s="35" t="s">
        <v>16842</v>
      </c>
      <c r="S348" s="35">
        <v>2396049</v>
      </c>
      <c r="T348" s="35">
        <v>34285952</v>
      </c>
      <c r="U348" s="35"/>
      <c r="V348" s="30">
        <v>1816</v>
      </c>
      <c r="W348" s="35" t="s">
        <v>477</v>
      </c>
      <c r="X348" s="35" t="s">
        <v>194</v>
      </c>
      <c r="Y348" s="30">
        <v>1</v>
      </c>
      <c r="Z348" s="35"/>
      <c r="AA348" s="35"/>
      <c r="AB348" s="35"/>
      <c r="AC348" s="35"/>
      <c r="AD348" s="35"/>
      <c r="AE348" s="35"/>
      <c r="AF348" s="35"/>
      <c r="AG348" s="35"/>
      <c r="AH348" s="30" t="s">
        <v>4714</v>
      </c>
      <c r="AI348" s="35" t="s">
        <v>16932</v>
      </c>
      <c r="AJ348" s="62" t="str">
        <f>MID('I kw.22'!W348,8,6)</f>
        <v>243305</v>
      </c>
      <c r="AK348" s="62">
        <v>1</v>
      </c>
      <c r="AL348" s="62">
        <f t="shared" si="5"/>
        <v>1</v>
      </c>
      <c r="AM348" s="62">
        <v>1</v>
      </c>
    </row>
    <row r="349" spans="1:39" x14ac:dyDescent="0.25">
      <c r="A349" s="35" t="s">
        <v>16931</v>
      </c>
      <c r="B349" s="35" t="s">
        <v>4358</v>
      </c>
      <c r="C349" s="35" t="s">
        <v>62</v>
      </c>
      <c r="D349" s="35" t="s">
        <v>16845</v>
      </c>
      <c r="E349" s="35" t="s">
        <v>192</v>
      </c>
      <c r="F349" s="62">
        <v>1</v>
      </c>
      <c r="G349" s="30" t="s">
        <v>193</v>
      </c>
      <c r="H349" s="30" t="s">
        <v>194</v>
      </c>
      <c r="I349" s="30" t="s">
        <v>16083</v>
      </c>
      <c r="J349" s="35" t="s">
        <v>672</v>
      </c>
      <c r="K349" s="35">
        <v>18</v>
      </c>
      <c r="L349" s="35" t="s">
        <v>6955</v>
      </c>
      <c r="M349" s="35"/>
      <c r="N349" s="35" t="s">
        <v>16930</v>
      </c>
      <c r="O349" s="35" t="s">
        <v>6275</v>
      </c>
      <c r="P349" s="35" t="s">
        <v>16843</v>
      </c>
      <c r="Q349" s="35" t="s">
        <v>16113</v>
      </c>
      <c r="R349" s="35" t="s">
        <v>16842</v>
      </c>
      <c r="S349" s="35">
        <v>2396050</v>
      </c>
      <c r="T349" s="35">
        <v>34285953</v>
      </c>
      <c r="U349" s="35"/>
      <c r="V349" s="30">
        <v>1816</v>
      </c>
      <c r="W349" s="35" t="s">
        <v>601</v>
      </c>
      <c r="X349" s="35" t="s">
        <v>194</v>
      </c>
      <c r="Y349" s="30">
        <v>1</v>
      </c>
      <c r="Z349" s="35"/>
      <c r="AA349" s="35"/>
      <c r="AB349" s="35"/>
      <c r="AC349" s="35"/>
      <c r="AD349" s="35"/>
      <c r="AE349" s="35"/>
      <c r="AF349" s="35"/>
      <c r="AG349" s="35"/>
      <c r="AH349" s="30" t="s">
        <v>4714</v>
      </c>
      <c r="AI349" s="35" t="s">
        <v>4358</v>
      </c>
      <c r="AJ349" s="62" t="str">
        <f>MID('I kw.22'!W349,8,6)</f>
        <v>313904</v>
      </c>
      <c r="AK349" s="62">
        <v>1</v>
      </c>
      <c r="AL349" s="62">
        <f t="shared" si="5"/>
        <v>1</v>
      </c>
      <c r="AM349" s="62">
        <v>1</v>
      </c>
    </row>
    <row r="350" spans="1:39" x14ac:dyDescent="0.25">
      <c r="A350" s="35" t="s">
        <v>16929</v>
      </c>
      <c r="B350" s="35" t="s">
        <v>67</v>
      </c>
      <c r="C350" s="35" t="s">
        <v>67</v>
      </c>
      <c r="D350" s="35" t="s">
        <v>16845</v>
      </c>
      <c r="E350" s="35" t="s">
        <v>192</v>
      </c>
      <c r="F350" s="62">
        <v>1</v>
      </c>
      <c r="G350" s="30" t="s">
        <v>193</v>
      </c>
      <c r="H350" s="30" t="s">
        <v>194</v>
      </c>
      <c r="I350" s="30" t="s">
        <v>16052</v>
      </c>
      <c r="J350" s="35" t="s">
        <v>575</v>
      </c>
      <c r="K350" s="35">
        <v>18</v>
      </c>
      <c r="L350" s="35" t="s">
        <v>6955</v>
      </c>
      <c r="M350" s="35"/>
      <c r="N350" s="35" t="s">
        <v>16928</v>
      </c>
      <c r="O350" s="35" t="s">
        <v>6266</v>
      </c>
      <c r="P350" s="35" t="s">
        <v>16843</v>
      </c>
      <c r="Q350" s="35" t="s">
        <v>16113</v>
      </c>
      <c r="R350" s="35" t="s">
        <v>16842</v>
      </c>
      <c r="S350" s="35">
        <v>2396056</v>
      </c>
      <c r="T350" s="35">
        <v>34285959</v>
      </c>
      <c r="U350" s="35"/>
      <c r="V350" s="30">
        <v>1816</v>
      </c>
      <c r="W350" s="35" t="s">
        <v>709</v>
      </c>
      <c r="X350" s="35" t="s">
        <v>194</v>
      </c>
      <c r="Y350" s="30">
        <v>1</v>
      </c>
      <c r="Z350" s="35"/>
      <c r="AA350" s="35"/>
      <c r="AB350" s="35"/>
      <c r="AC350" s="35"/>
      <c r="AD350" s="35"/>
      <c r="AE350" s="35"/>
      <c r="AF350" s="35"/>
      <c r="AG350" s="35"/>
      <c r="AH350" s="30" t="s">
        <v>4714</v>
      </c>
      <c r="AI350" s="35" t="s">
        <v>67</v>
      </c>
      <c r="AJ350" s="62" t="str">
        <f>MID('I kw.22'!W350,8,6)</f>
        <v>432103</v>
      </c>
      <c r="AK350" s="62">
        <v>1</v>
      </c>
      <c r="AL350" s="62">
        <f t="shared" si="5"/>
        <v>1</v>
      </c>
      <c r="AM350" s="62">
        <v>1</v>
      </c>
    </row>
    <row r="351" spans="1:39" x14ac:dyDescent="0.25">
      <c r="A351" s="35" t="s">
        <v>5518</v>
      </c>
      <c r="B351" s="35" t="s">
        <v>5519</v>
      </c>
      <c r="C351" s="35" t="s">
        <v>740</v>
      </c>
      <c r="D351" s="35" t="s">
        <v>16845</v>
      </c>
      <c r="E351" s="35" t="s">
        <v>192</v>
      </c>
      <c r="F351" s="62">
        <v>1</v>
      </c>
      <c r="G351" s="30" t="s">
        <v>193</v>
      </c>
      <c r="H351" s="30" t="s">
        <v>194</v>
      </c>
      <c r="I351" s="30" t="s">
        <v>16068</v>
      </c>
      <c r="J351" s="35" t="s">
        <v>210</v>
      </c>
      <c r="K351" s="35">
        <v>18</v>
      </c>
      <c r="L351" s="35" t="s">
        <v>6955</v>
      </c>
      <c r="M351" s="35"/>
      <c r="N351" s="35" t="s">
        <v>16927</v>
      </c>
      <c r="O351" s="35" t="s">
        <v>6921</v>
      </c>
      <c r="P351" s="35" t="s">
        <v>16843</v>
      </c>
      <c r="Q351" s="35" t="s">
        <v>16113</v>
      </c>
      <c r="R351" s="35" t="s">
        <v>16842</v>
      </c>
      <c r="S351" s="35">
        <v>2396080</v>
      </c>
      <c r="T351" s="35">
        <v>34285983</v>
      </c>
      <c r="U351" s="35"/>
      <c r="V351" s="30">
        <v>1863</v>
      </c>
      <c r="W351" s="35" t="s">
        <v>741</v>
      </c>
      <c r="X351" s="35" t="s">
        <v>194</v>
      </c>
      <c r="Y351" s="30">
        <v>1</v>
      </c>
      <c r="Z351" s="35"/>
      <c r="AA351" s="35"/>
      <c r="AB351" s="35"/>
      <c r="AC351" s="35"/>
      <c r="AD351" s="35"/>
      <c r="AE351" s="35"/>
      <c r="AF351" s="35"/>
      <c r="AG351" s="35"/>
      <c r="AH351" s="30" t="s">
        <v>4714</v>
      </c>
      <c r="AI351" s="35" t="s">
        <v>5519</v>
      </c>
      <c r="AJ351" s="62" t="str">
        <f>MID('I kw.22'!W351,8,6)</f>
        <v>522301</v>
      </c>
      <c r="AK351" s="62">
        <v>1</v>
      </c>
      <c r="AL351" s="62">
        <f t="shared" si="5"/>
        <v>1</v>
      </c>
      <c r="AM351" s="62">
        <v>1</v>
      </c>
    </row>
    <row r="352" spans="1:39" x14ac:dyDescent="0.25">
      <c r="A352" s="35" t="s">
        <v>5518</v>
      </c>
      <c r="B352" s="35" t="s">
        <v>5519</v>
      </c>
      <c r="C352" s="35" t="s">
        <v>740</v>
      </c>
      <c r="D352" s="35" t="s">
        <v>16845</v>
      </c>
      <c r="E352" s="35" t="s">
        <v>192</v>
      </c>
      <c r="F352" s="62">
        <v>1</v>
      </c>
      <c r="G352" s="30" t="s">
        <v>193</v>
      </c>
      <c r="H352" s="30" t="s">
        <v>194</v>
      </c>
      <c r="I352" s="30" t="s">
        <v>16068</v>
      </c>
      <c r="J352" s="35" t="s">
        <v>747</v>
      </c>
      <c r="K352" s="35">
        <v>18</v>
      </c>
      <c r="L352" s="35" t="s">
        <v>6955</v>
      </c>
      <c r="M352" s="35"/>
      <c r="N352" s="35" t="s">
        <v>16926</v>
      </c>
      <c r="O352" s="35" t="s">
        <v>6921</v>
      </c>
      <c r="P352" s="35" t="s">
        <v>16843</v>
      </c>
      <c r="Q352" s="35" t="s">
        <v>16113</v>
      </c>
      <c r="R352" s="35" t="s">
        <v>16842</v>
      </c>
      <c r="S352" s="35">
        <v>2396081</v>
      </c>
      <c r="T352" s="35">
        <v>34285984</v>
      </c>
      <c r="U352" s="35"/>
      <c r="V352" s="30">
        <v>1817</v>
      </c>
      <c r="W352" s="35" t="s">
        <v>741</v>
      </c>
      <c r="X352" s="35" t="s">
        <v>194</v>
      </c>
      <c r="Y352" s="30">
        <v>1</v>
      </c>
      <c r="Z352" s="35"/>
      <c r="AA352" s="35"/>
      <c r="AB352" s="35"/>
      <c r="AC352" s="35"/>
      <c r="AD352" s="35"/>
      <c r="AE352" s="35"/>
      <c r="AF352" s="35"/>
      <c r="AG352" s="35"/>
      <c r="AH352" s="30" t="s">
        <v>4714</v>
      </c>
      <c r="AI352" s="35" t="s">
        <v>5519</v>
      </c>
      <c r="AJ352" s="62" t="str">
        <f>MID('I kw.22'!W352,8,6)</f>
        <v>522301</v>
      </c>
      <c r="AK352" s="62">
        <v>1</v>
      </c>
      <c r="AL352" s="62">
        <f t="shared" si="5"/>
        <v>1</v>
      </c>
      <c r="AM352" s="62">
        <v>1</v>
      </c>
    </row>
    <row r="353" spans="1:39" x14ac:dyDescent="0.25">
      <c r="A353" s="35" t="s">
        <v>16925</v>
      </c>
      <c r="B353" s="35" t="s">
        <v>1724</v>
      </c>
      <c r="C353" s="35" t="s">
        <v>35</v>
      </c>
      <c r="D353" s="35" t="s">
        <v>16845</v>
      </c>
      <c r="E353" s="35" t="s">
        <v>192</v>
      </c>
      <c r="F353" s="62">
        <v>1</v>
      </c>
      <c r="G353" s="30" t="s">
        <v>193</v>
      </c>
      <c r="H353" s="30" t="s">
        <v>194</v>
      </c>
      <c r="I353" s="30" t="s">
        <v>16183</v>
      </c>
      <c r="J353" s="35" t="s">
        <v>210</v>
      </c>
      <c r="K353" s="35">
        <v>18</v>
      </c>
      <c r="L353" s="35" t="s">
        <v>6955</v>
      </c>
      <c r="M353" s="35"/>
      <c r="N353" s="35" t="s">
        <v>16924</v>
      </c>
      <c r="O353" s="35" t="s">
        <v>6251</v>
      </c>
      <c r="P353" s="35" t="s">
        <v>16843</v>
      </c>
      <c r="Q353" s="35" t="s">
        <v>16113</v>
      </c>
      <c r="R353" s="35" t="s">
        <v>16842</v>
      </c>
      <c r="S353" s="35">
        <v>2396116</v>
      </c>
      <c r="T353" s="35">
        <v>34286019</v>
      </c>
      <c r="U353" s="35"/>
      <c r="V353" s="30">
        <v>1863</v>
      </c>
      <c r="W353" s="35" t="s">
        <v>207</v>
      </c>
      <c r="X353" s="35" t="s">
        <v>194</v>
      </c>
      <c r="Y353" s="30">
        <v>1</v>
      </c>
      <c r="Z353" s="35"/>
      <c r="AA353" s="35"/>
      <c r="AB353" s="35"/>
      <c r="AC353" s="35"/>
      <c r="AD353" s="35"/>
      <c r="AE353" s="35"/>
      <c r="AF353" s="35"/>
      <c r="AG353" s="35"/>
      <c r="AH353" s="30" t="s">
        <v>4714</v>
      </c>
      <c r="AI353" s="35" t="s">
        <v>1724</v>
      </c>
      <c r="AJ353" s="62" t="str">
        <f>MID('I kw.22'!W353,8,6)</f>
        <v>122106</v>
      </c>
      <c r="AK353" s="62">
        <v>1</v>
      </c>
      <c r="AL353" s="62">
        <f t="shared" si="5"/>
        <v>1</v>
      </c>
      <c r="AM353" s="62">
        <v>1</v>
      </c>
    </row>
    <row r="354" spans="1:39" x14ac:dyDescent="0.25">
      <c r="A354" s="35" t="s">
        <v>16923</v>
      </c>
      <c r="B354" s="35" t="s">
        <v>1765</v>
      </c>
      <c r="C354" s="35" t="s">
        <v>1766</v>
      </c>
      <c r="D354" s="35" t="s">
        <v>16845</v>
      </c>
      <c r="E354" s="35" t="s">
        <v>192</v>
      </c>
      <c r="F354" s="62">
        <v>1</v>
      </c>
      <c r="G354" s="30" t="s">
        <v>193</v>
      </c>
      <c r="H354" s="30" t="s">
        <v>194</v>
      </c>
      <c r="I354" s="30" t="s">
        <v>16052</v>
      </c>
      <c r="J354" s="35" t="s">
        <v>210</v>
      </c>
      <c r="K354" s="35">
        <v>18</v>
      </c>
      <c r="L354" s="35" t="s">
        <v>6955</v>
      </c>
      <c r="M354" s="35"/>
      <c r="N354" s="35" t="s">
        <v>16922</v>
      </c>
      <c r="O354" s="35" t="s">
        <v>6295</v>
      </c>
      <c r="P354" s="35" t="s">
        <v>16843</v>
      </c>
      <c r="Q354" s="35" t="s">
        <v>16113</v>
      </c>
      <c r="R354" s="35" t="s">
        <v>16842</v>
      </c>
      <c r="S354" s="35">
        <v>2396266</v>
      </c>
      <c r="T354" s="35">
        <v>34286169</v>
      </c>
      <c r="U354" s="35"/>
      <c r="V354" s="30">
        <v>1863</v>
      </c>
      <c r="W354" s="35" t="s">
        <v>1767</v>
      </c>
      <c r="X354" s="35" t="s">
        <v>194</v>
      </c>
      <c r="Y354" s="30">
        <v>1</v>
      </c>
      <c r="Z354" s="35"/>
      <c r="AA354" s="35"/>
      <c r="AB354" s="35"/>
      <c r="AC354" s="35"/>
      <c r="AD354" s="35"/>
      <c r="AE354" s="35"/>
      <c r="AF354" s="35"/>
      <c r="AG354" s="35"/>
      <c r="AH354" s="30" t="s">
        <v>4714</v>
      </c>
      <c r="AI354" s="35" t="s">
        <v>1765</v>
      </c>
      <c r="AJ354" s="62" t="str">
        <f>MID('I kw.22'!W354,8,6)</f>
        <v>242112</v>
      </c>
      <c r="AK354" s="62">
        <v>1</v>
      </c>
      <c r="AL354" s="62">
        <f t="shared" si="5"/>
        <v>1</v>
      </c>
      <c r="AM354" s="62">
        <v>1</v>
      </c>
    </row>
    <row r="355" spans="1:39" x14ac:dyDescent="0.25">
      <c r="A355" s="35" t="s">
        <v>10533</v>
      </c>
      <c r="B355" s="35" t="s">
        <v>16920</v>
      </c>
      <c r="C355" s="35" t="s">
        <v>9798</v>
      </c>
      <c r="D355" s="35" t="s">
        <v>16845</v>
      </c>
      <c r="E355" s="35" t="s">
        <v>192</v>
      </c>
      <c r="F355" s="62">
        <v>1</v>
      </c>
      <c r="G355" s="30" t="s">
        <v>193</v>
      </c>
      <c r="H355" s="30" t="s">
        <v>194</v>
      </c>
      <c r="I355" s="30" t="s">
        <v>16078</v>
      </c>
      <c r="J355" s="35" t="s">
        <v>210</v>
      </c>
      <c r="K355" s="35">
        <v>18</v>
      </c>
      <c r="L355" s="35" t="s">
        <v>6955</v>
      </c>
      <c r="M355" s="35"/>
      <c r="N355" s="35" t="s">
        <v>16921</v>
      </c>
      <c r="O355" s="35" t="s">
        <v>6286</v>
      </c>
      <c r="P355" s="35" t="s">
        <v>16843</v>
      </c>
      <c r="Q355" s="35" t="s">
        <v>16113</v>
      </c>
      <c r="R355" s="35" t="s">
        <v>16842</v>
      </c>
      <c r="S355" s="35">
        <v>2396298</v>
      </c>
      <c r="T355" s="35">
        <v>34286201</v>
      </c>
      <c r="U355" s="35"/>
      <c r="V355" s="30">
        <v>1863</v>
      </c>
      <c r="W355" s="35" t="s">
        <v>1592</v>
      </c>
      <c r="X355" s="35" t="s">
        <v>194</v>
      </c>
      <c r="Y355" s="30">
        <v>1</v>
      </c>
      <c r="Z355" s="35"/>
      <c r="AA355" s="35"/>
      <c r="AB355" s="35"/>
      <c r="AC355" s="35"/>
      <c r="AD355" s="35"/>
      <c r="AE355" s="35"/>
      <c r="AF355" s="35"/>
      <c r="AG355" s="35"/>
      <c r="AH355" s="30" t="s">
        <v>4714</v>
      </c>
      <c r="AI355" s="35" t="s">
        <v>16920</v>
      </c>
      <c r="AJ355" s="62" t="str">
        <f>MID('I kw.22'!W355,8,6)</f>
        <v>241103</v>
      </c>
      <c r="AK355" s="62">
        <v>1</v>
      </c>
      <c r="AL355" s="62">
        <f t="shared" si="5"/>
        <v>1</v>
      </c>
      <c r="AM355" s="62">
        <v>1</v>
      </c>
    </row>
    <row r="356" spans="1:39" x14ac:dyDescent="0.25">
      <c r="A356" s="35" t="s">
        <v>16919</v>
      </c>
      <c r="B356" s="35" t="s">
        <v>16917</v>
      </c>
      <c r="C356" s="35" t="s">
        <v>1124</v>
      </c>
      <c r="D356" s="35" t="s">
        <v>16845</v>
      </c>
      <c r="E356" s="35" t="s">
        <v>192</v>
      </c>
      <c r="F356" s="62">
        <v>1</v>
      </c>
      <c r="G356" s="30" t="s">
        <v>193</v>
      </c>
      <c r="H356" s="30" t="s">
        <v>194</v>
      </c>
      <c r="I356" s="30" t="s">
        <v>16061</v>
      </c>
      <c r="J356" s="35" t="s">
        <v>210</v>
      </c>
      <c r="K356" s="35">
        <v>18</v>
      </c>
      <c r="L356" s="35" t="s">
        <v>6955</v>
      </c>
      <c r="M356" s="35"/>
      <c r="N356" s="35" t="s">
        <v>16918</v>
      </c>
      <c r="O356" s="35" t="s">
        <v>6266</v>
      </c>
      <c r="P356" s="35" t="s">
        <v>16843</v>
      </c>
      <c r="Q356" s="35" t="s">
        <v>16113</v>
      </c>
      <c r="R356" s="35" t="s">
        <v>16842</v>
      </c>
      <c r="S356" s="35">
        <v>2396337</v>
      </c>
      <c r="T356" s="35">
        <v>34286240</v>
      </c>
      <c r="U356" s="35"/>
      <c r="V356" s="30">
        <v>1863</v>
      </c>
      <c r="W356" s="35" t="s">
        <v>1125</v>
      </c>
      <c r="X356" s="35" t="s">
        <v>194</v>
      </c>
      <c r="Y356" s="30">
        <v>1</v>
      </c>
      <c r="Z356" s="35"/>
      <c r="AA356" s="35"/>
      <c r="AB356" s="35"/>
      <c r="AC356" s="35"/>
      <c r="AD356" s="35"/>
      <c r="AE356" s="35"/>
      <c r="AF356" s="35"/>
      <c r="AG356" s="35"/>
      <c r="AH356" s="30" t="s">
        <v>4714</v>
      </c>
      <c r="AI356" s="35" t="s">
        <v>16917</v>
      </c>
      <c r="AJ356" s="62" t="str">
        <f>MID('I kw.22'!W356,8,6)</f>
        <v>432302</v>
      </c>
      <c r="AK356" s="62">
        <v>1</v>
      </c>
      <c r="AL356" s="62">
        <f t="shared" si="5"/>
        <v>1</v>
      </c>
      <c r="AM356" s="62">
        <v>1</v>
      </c>
    </row>
    <row r="357" spans="1:39" x14ac:dyDescent="0.25">
      <c r="A357" s="35" t="s">
        <v>16916</v>
      </c>
      <c r="B357" s="35" t="s">
        <v>16914</v>
      </c>
      <c r="C357" s="35" t="s">
        <v>36</v>
      </c>
      <c r="D357" s="35" t="s">
        <v>16845</v>
      </c>
      <c r="E357" s="35" t="s">
        <v>192</v>
      </c>
      <c r="F357" s="62">
        <v>1</v>
      </c>
      <c r="G357" s="30" t="s">
        <v>193</v>
      </c>
      <c r="H357" s="30" t="s">
        <v>194</v>
      </c>
      <c r="I357" s="30" t="s">
        <v>16121</v>
      </c>
      <c r="J357" s="35" t="s">
        <v>210</v>
      </c>
      <c r="K357" s="35">
        <v>18</v>
      </c>
      <c r="L357" s="35" t="s">
        <v>6955</v>
      </c>
      <c r="M357" s="35"/>
      <c r="N357" s="35" t="s">
        <v>16915</v>
      </c>
      <c r="O357" s="35" t="s">
        <v>7531</v>
      </c>
      <c r="P357" s="35" t="s">
        <v>16843</v>
      </c>
      <c r="Q357" s="35" t="s">
        <v>16113</v>
      </c>
      <c r="R357" s="35" t="s">
        <v>16842</v>
      </c>
      <c r="S357" s="35">
        <v>2396367</v>
      </c>
      <c r="T357" s="35">
        <v>34286270</v>
      </c>
      <c r="U357" s="35"/>
      <c r="V357" s="30">
        <v>1863</v>
      </c>
      <c r="W357" s="35" t="s">
        <v>609</v>
      </c>
      <c r="X357" s="35" t="s">
        <v>194</v>
      </c>
      <c r="Y357" s="30">
        <v>1</v>
      </c>
      <c r="Z357" s="35"/>
      <c r="AA357" s="35"/>
      <c r="AB357" s="35"/>
      <c r="AC357" s="35"/>
      <c r="AD357" s="35"/>
      <c r="AE357" s="35"/>
      <c r="AF357" s="35"/>
      <c r="AG357" s="35"/>
      <c r="AH357" s="30" t="s">
        <v>4714</v>
      </c>
      <c r="AI357" s="35" t="s">
        <v>16914</v>
      </c>
      <c r="AJ357" s="62" t="str">
        <f>MID('I kw.22'!W357,8,6)</f>
        <v>331301</v>
      </c>
      <c r="AK357" s="62">
        <v>1</v>
      </c>
      <c r="AL357" s="62">
        <f t="shared" si="5"/>
        <v>1</v>
      </c>
      <c r="AM357" s="62">
        <v>1</v>
      </c>
    </row>
    <row r="358" spans="1:39" x14ac:dyDescent="0.25">
      <c r="A358" s="35" t="s">
        <v>2200</v>
      </c>
      <c r="B358" s="35" t="s">
        <v>16912</v>
      </c>
      <c r="C358" s="35" t="s">
        <v>6472</v>
      </c>
      <c r="D358" s="35" t="s">
        <v>16845</v>
      </c>
      <c r="E358" s="35" t="s">
        <v>192</v>
      </c>
      <c r="F358" s="62">
        <v>1</v>
      </c>
      <c r="G358" s="30" t="s">
        <v>193</v>
      </c>
      <c r="H358" s="30" t="s">
        <v>194</v>
      </c>
      <c r="I358" s="30" t="s">
        <v>16048</v>
      </c>
      <c r="J358" s="35" t="s">
        <v>2201</v>
      </c>
      <c r="K358" s="35">
        <v>18</v>
      </c>
      <c r="L358" s="35" t="s">
        <v>6955</v>
      </c>
      <c r="M358" s="35"/>
      <c r="N358" s="35" t="s">
        <v>16913</v>
      </c>
      <c r="O358" s="35" t="s">
        <v>6279</v>
      </c>
      <c r="P358" s="35" t="s">
        <v>16843</v>
      </c>
      <c r="Q358" s="35" t="s">
        <v>16113</v>
      </c>
      <c r="R358" s="35" t="s">
        <v>16842</v>
      </c>
      <c r="S358" s="35">
        <v>2396384</v>
      </c>
      <c r="T358" s="35">
        <v>34286287</v>
      </c>
      <c r="U358" s="35"/>
      <c r="V358" s="30">
        <v>1820</v>
      </c>
      <c r="W358" s="35" t="s">
        <v>1938</v>
      </c>
      <c r="X358" s="35" t="s">
        <v>194</v>
      </c>
      <c r="Y358" s="30">
        <v>1</v>
      </c>
      <c r="Z358" s="35"/>
      <c r="AA358" s="35"/>
      <c r="AB358" s="35"/>
      <c r="AC358" s="35"/>
      <c r="AD358" s="35"/>
      <c r="AE358" s="35"/>
      <c r="AF358" s="35"/>
      <c r="AG358" s="35"/>
      <c r="AH358" s="30" t="s">
        <v>4714</v>
      </c>
      <c r="AI358" s="35" t="s">
        <v>16912</v>
      </c>
      <c r="AJ358" s="62" t="str">
        <f>MID('I kw.22'!W358,8,6)</f>
        <v>214406</v>
      </c>
      <c r="AK358" s="62">
        <v>1</v>
      </c>
      <c r="AL358" s="62">
        <f t="shared" si="5"/>
        <v>1</v>
      </c>
      <c r="AM358" s="62">
        <v>1</v>
      </c>
    </row>
    <row r="359" spans="1:39" x14ac:dyDescent="0.25">
      <c r="A359" s="35" t="s">
        <v>1207</v>
      </c>
      <c r="B359" s="35" t="s">
        <v>13294</v>
      </c>
      <c r="C359" s="35" t="s">
        <v>770</v>
      </c>
      <c r="D359" s="35" t="s">
        <v>16845</v>
      </c>
      <c r="E359" s="35" t="s">
        <v>192</v>
      </c>
      <c r="F359" s="62">
        <v>1</v>
      </c>
      <c r="G359" s="30" t="s">
        <v>193</v>
      </c>
      <c r="H359" s="30" t="s">
        <v>194</v>
      </c>
      <c r="I359" s="30" t="s">
        <v>16052</v>
      </c>
      <c r="J359" s="35" t="s">
        <v>210</v>
      </c>
      <c r="K359" s="35">
        <v>18</v>
      </c>
      <c r="L359" s="35" t="s">
        <v>6955</v>
      </c>
      <c r="M359" s="35"/>
      <c r="N359" s="35" t="s">
        <v>16911</v>
      </c>
      <c r="O359" s="35" t="s">
        <v>6254</v>
      </c>
      <c r="P359" s="35" t="s">
        <v>16843</v>
      </c>
      <c r="Q359" s="35" t="s">
        <v>16113</v>
      </c>
      <c r="R359" s="35" t="s">
        <v>16121</v>
      </c>
      <c r="S359" s="35">
        <v>2396398</v>
      </c>
      <c r="T359" s="35">
        <v>34286301</v>
      </c>
      <c r="U359" s="35"/>
      <c r="V359" s="30">
        <v>1863</v>
      </c>
      <c r="W359" s="35" t="s">
        <v>772</v>
      </c>
      <c r="X359" s="35" t="s">
        <v>194</v>
      </c>
      <c r="Y359" s="30">
        <v>1</v>
      </c>
      <c r="Z359" s="35"/>
      <c r="AA359" s="35"/>
      <c r="AB359" s="35"/>
      <c r="AC359" s="35"/>
      <c r="AD359" s="35"/>
      <c r="AE359" s="35"/>
      <c r="AF359" s="35"/>
      <c r="AG359" s="35"/>
      <c r="AH359" s="30" t="s">
        <v>4714</v>
      </c>
      <c r="AI359" s="35" t="s">
        <v>13294</v>
      </c>
      <c r="AJ359" s="62" t="str">
        <f>MID('I kw.22'!W359,8,6)</f>
        <v>522305</v>
      </c>
      <c r="AK359" s="62">
        <v>1</v>
      </c>
      <c r="AL359" s="62">
        <f t="shared" si="5"/>
        <v>1</v>
      </c>
      <c r="AM359" s="62">
        <v>1</v>
      </c>
    </row>
    <row r="360" spans="1:39" x14ac:dyDescent="0.25">
      <c r="A360" s="35" t="s">
        <v>1207</v>
      </c>
      <c r="B360" s="35" t="s">
        <v>16909</v>
      </c>
      <c r="C360" s="35" t="s">
        <v>4966</v>
      </c>
      <c r="D360" s="35" t="s">
        <v>16845</v>
      </c>
      <c r="E360" s="35" t="s">
        <v>192</v>
      </c>
      <c r="F360" s="62">
        <v>1</v>
      </c>
      <c r="G360" s="30" t="s">
        <v>193</v>
      </c>
      <c r="H360" s="30" t="s">
        <v>194</v>
      </c>
      <c r="I360" s="30" t="s">
        <v>16061</v>
      </c>
      <c r="J360" s="35" t="s">
        <v>210</v>
      </c>
      <c r="K360" s="35">
        <v>18</v>
      </c>
      <c r="L360" s="35" t="s">
        <v>6955</v>
      </c>
      <c r="M360" s="35"/>
      <c r="N360" s="35" t="s">
        <v>16910</v>
      </c>
      <c r="O360" s="35" t="s">
        <v>6254</v>
      </c>
      <c r="P360" s="35" t="s">
        <v>16843</v>
      </c>
      <c r="Q360" s="35" t="s">
        <v>16113</v>
      </c>
      <c r="R360" s="35" t="s">
        <v>16121</v>
      </c>
      <c r="S360" s="35">
        <v>2396412</v>
      </c>
      <c r="T360" s="35">
        <v>34286315</v>
      </c>
      <c r="U360" s="35"/>
      <c r="V360" s="30">
        <v>1863</v>
      </c>
      <c r="W360" s="35" t="s">
        <v>405</v>
      </c>
      <c r="X360" s="35" t="s">
        <v>194</v>
      </c>
      <c r="Y360" s="30">
        <v>1</v>
      </c>
      <c r="Z360" s="35"/>
      <c r="AA360" s="35"/>
      <c r="AB360" s="35"/>
      <c r="AC360" s="35"/>
      <c r="AD360" s="35"/>
      <c r="AE360" s="35"/>
      <c r="AF360" s="35"/>
      <c r="AG360" s="35"/>
      <c r="AH360" s="30" t="s">
        <v>4714</v>
      </c>
      <c r="AI360" s="35" t="s">
        <v>16909</v>
      </c>
      <c r="AJ360" s="62" t="str">
        <f>MID('I kw.22'!W360,8,6)</f>
        <v>241304</v>
      </c>
      <c r="AK360" s="62">
        <v>1</v>
      </c>
      <c r="AL360" s="62">
        <f t="shared" si="5"/>
        <v>1</v>
      </c>
      <c r="AM360" s="62">
        <v>1</v>
      </c>
    </row>
    <row r="361" spans="1:39" x14ac:dyDescent="0.25">
      <c r="A361" s="35" t="s">
        <v>1207</v>
      </c>
      <c r="B361" s="35" t="s">
        <v>8064</v>
      </c>
      <c r="C361" s="35" t="s">
        <v>4966</v>
      </c>
      <c r="D361" s="35" t="s">
        <v>16845</v>
      </c>
      <c r="E361" s="35" t="s">
        <v>192</v>
      </c>
      <c r="F361" s="62">
        <v>1</v>
      </c>
      <c r="G361" s="30" t="s">
        <v>193</v>
      </c>
      <c r="H361" s="30" t="s">
        <v>194</v>
      </c>
      <c r="I361" s="30" t="s">
        <v>16066</v>
      </c>
      <c r="J361" s="35" t="s">
        <v>4751</v>
      </c>
      <c r="K361" s="35">
        <v>18</v>
      </c>
      <c r="L361" s="35" t="s">
        <v>6955</v>
      </c>
      <c r="M361" s="35"/>
      <c r="N361" s="35" t="s">
        <v>16908</v>
      </c>
      <c r="O361" s="35" t="s">
        <v>6254</v>
      </c>
      <c r="P361" s="35" t="s">
        <v>16843</v>
      </c>
      <c r="Q361" s="35" t="s">
        <v>16113</v>
      </c>
      <c r="R361" s="35" t="s">
        <v>16121</v>
      </c>
      <c r="S361" s="35">
        <v>2396437</v>
      </c>
      <c r="T361" s="35">
        <v>34286340</v>
      </c>
      <c r="U361" s="35"/>
      <c r="V361" s="30">
        <v>1862</v>
      </c>
      <c r="W361" s="35" t="s">
        <v>405</v>
      </c>
      <c r="X361" s="35" t="s">
        <v>194</v>
      </c>
      <c r="Y361" s="30">
        <v>1</v>
      </c>
      <c r="Z361" s="35"/>
      <c r="AA361" s="35"/>
      <c r="AB361" s="35"/>
      <c r="AC361" s="35"/>
      <c r="AD361" s="35"/>
      <c r="AE361" s="35"/>
      <c r="AF361" s="35"/>
      <c r="AG361" s="35"/>
      <c r="AH361" s="30" t="s">
        <v>4714</v>
      </c>
      <c r="AI361" s="35" t="s">
        <v>8064</v>
      </c>
      <c r="AJ361" s="62" t="str">
        <f>MID('I kw.22'!W361,8,6)</f>
        <v>241304</v>
      </c>
      <c r="AK361" s="62">
        <v>1</v>
      </c>
      <c r="AL361" s="62">
        <f t="shared" si="5"/>
        <v>1</v>
      </c>
      <c r="AM361" s="62">
        <v>1</v>
      </c>
    </row>
    <row r="362" spans="1:39" x14ac:dyDescent="0.25">
      <c r="A362" s="35" t="s">
        <v>1207</v>
      </c>
      <c r="B362" s="35" t="s">
        <v>8064</v>
      </c>
      <c r="C362" s="35" t="s">
        <v>4966</v>
      </c>
      <c r="D362" s="35" t="s">
        <v>16845</v>
      </c>
      <c r="E362" s="35" t="s">
        <v>192</v>
      </c>
      <c r="F362" s="62">
        <v>1</v>
      </c>
      <c r="G362" s="30" t="s">
        <v>193</v>
      </c>
      <c r="H362" s="30" t="s">
        <v>194</v>
      </c>
      <c r="I362" s="30" t="s">
        <v>16066</v>
      </c>
      <c r="J362" s="35" t="s">
        <v>316</v>
      </c>
      <c r="K362" s="35">
        <v>18</v>
      </c>
      <c r="L362" s="35" t="s">
        <v>6955</v>
      </c>
      <c r="M362" s="35"/>
      <c r="N362" s="35" t="s">
        <v>16907</v>
      </c>
      <c r="O362" s="35" t="s">
        <v>6254</v>
      </c>
      <c r="P362" s="35" t="s">
        <v>16843</v>
      </c>
      <c r="Q362" s="35" t="s">
        <v>16113</v>
      </c>
      <c r="R362" s="35" t="s">
        <v>16121</v>
      </c>
      <c r="S362" s="35">
        <v>2396440</v>
      </c>
      <c r="T362" s="35">
        <v>34286343</v>
      </c>
      <c r="U362" s="35"/>
      <c r="V362" s="30">
        <v>1818</v>
      </c>
      <c r="W362" s="35" t="s">
        <v>405</v>
      </c>
      <c r="X362" s="35" t="s">
        <v>194</v>
      </c>
      <c r="Y362" s="30">
        <v>1</v>
      </c>
      <c r="Z362" s="35"/>
      <c r="AA362" s="35"/>
      <c r="AB362" s="35"/>
      <c r="AC362" s="35"/>
      <c r="AD362" s="35"/>
      <c r="AE362" s="35"/>
      <c r="AF362" s="35"/>
      <c r="AG362" s="35"/>
      <c r="AH362" s="30" t="s">
        <v>4714</v>
      </c>
      <c r="AI362" s="35" t="s">
        <v>8064</v>
      </c>
      <c r="AJ362" s="62" t="str">
        <f>MID('I kw.22'!W362,8,6)</f>
        <v>241304</v>
      </c>
      <c r="AK362" s="62">
        <v>1</v>
      </c>
      <c r="AL362" s="62">
        <f t="shared" si="5"/>
        <v>1</v>
      </c>
      <c r="AM362" s="62">
        <v>1</v>
      </c>
    </row>
    <row r="363" spans="1:39" x14ac:dyDescent="0.25">
      <c r="A363" s="35" t="s">
        <v>16146</v>
      </c>
      <c r="B363" s="35" t="s">
        <v>15565</v>
      </c>
      <c r="C363" s="35" t="s">
        <v>43</v>
      </c>
      <c r="D363" s="35" t="s">
        <v>16845</v>
      </c>
      <c r="E363" s="35" t="s">
        <v>192</v>
      </c>
      <c r="F363" s="62">
        <v>1</v>
      </c>
      <c r="G363" s="30" t="s">
        <v>193</v>
      </c>
      <c r="H363" s="30" t="s">
        <v>194</v>
      </c>
      <c r="I363" s="30" t="s">
        <v>16121</v>
      </c>
      <c r="J363" s="35" t="s">
        <v>5098</v>
      </c>
      <c r="K363" s="35">
        <v>18</v>
      </c>
      <c r="L363" s="35" t="s">
        <v>6955</v>
      </c>
      <c r="M363" s="35"/>
      <c r="N363" s="35" t="s">
        <v>16906</v>
      </c>
      <c r="O363" s="35" t="s">
        <v>6290</v>
      </c>
      <c r="P363" s="35" t="s">
        <v>16843</v>
      </c>
      <c r="Q363" s="35" t="s">
        <v>16113</v>
      </c>
      <c r="R363" s="35" t="s">
        <v>16842</v>
      </c>
      <c r="S363" s="35">
        <v>2396476</v>
      </c>
      <c r="T363" s="35">
        <v>34286379</v>
      </c>
      <c r="U363" s="35"/>
      <c r="V363" s="30">
        <v>1803</v>
      </c>
      <c r="W363" s="35" t="s">
        <v>452</v>
      </c>
      <c r="X363" s="35" t="s">
        <v>194</v>
      </c>
      <c r="Y363" s="30">
        <v>1</v>
      </c>
      <c r="Z363" s="35"/>
      <c r="AA363" s="35"/>
      <c r="AB363" s="35"/>
      <c r="AC363" s="35"/>
      <c r="AD363" s="35"/>
      <c r="AE363" s="35"/>
      <c r="AF363" s="35"/>
      <c r="AG363" s="35"/>
      <c r="AH363" s="30" t="s">
        <v>4714</v>
      </c>
      <c r="AI363" s="35" t="s">
        <v>15565</v>
      </c>
      <c r="AJ363" s="62" t="str">
        <f>MID('I kw.22'!W363,8,6)</f>
        <v>243106</v>
      </c>
      <c r="AK363" s="62">
        <v>1</v>
      </c>
      <c r="AL363" s="62">
        <f t="shared" si="5"/>
        <v>1</v>
      </c>
      <c r="AM363" s="62">
        <v>1</v>
      </c>
    </row>
    <row r="364" spans="1:39" x14ac:dyDescent="0.25">
      <c r="A364" s="35" t="s">
        <v>16905</v>
      </c>
      <c r="B364" s="35" t="s">
        <v>16903</v>
      </c>
      <c r="C364" s="35" t="s">
        <v>86</v>
      </c>
      <c r="D364" s="35" t="s">
        <v>16845</v>
      </c>
      <c r="E364" s="35" t="s">
        <v>192</v>
      </c>
      <c r="F364" s="62">
        <v>1</v>
      </c>
      <c r="G364" s="30" t="s">
        <v>193</v>
      </c>
      <c r="H364" s="30" t="s">
        <v>194</v>
      </c>
      <c r="I364" s="30" t="s">
        <v>16121</v>
      </c>
      <c r="J364" s="35" t="s">
        <v>1829</v>
      </c>
      <c r="K364" s="35">
        <v>18</v>
      </c>
      <c r="L364" s="35" t="s">
        <v>6955</v>
      </c>
      <c r="M364" s="35"/>
      <c r="N364" s="35" t="s">
        <v>16904</v>
      </c>
      <c r="O364" s="35" t="s">
        <v>6254</v>
      </c>
      <c r="P364" s="35" t="s">
        <v>16843</v>
      </c>
      <c r="Q364" s="35" t="s">
        <v>16113</v>
      </c>
      <c r="R364" s="35" t="s">
        <v>16842</v>
      </c>
      <c r="S364" s="35">
        <v>2396523</v>
      </c>
      <c r="T364" s="35">
        <v>34286426</v>
      </c>
      <c r="U364" s="35"/>
      <c r="V364" s="30">
        <v>1816</v>
      </c>
      <c r="W364" s="35" t="s">
        <v>1107</v>
      </c>
      <c r="X364" s="35" t="s">
        <v>194</v>
      </c>
      <c r="Y364" s="30">
        <v>1</v>
      </c>
      <c r="Z364" s="35"/>
      <c r="AA364" s="35"/>
      <c r="AB364" s="35"/>
      <c r="AC364" s="35"/>
      <c r="AD364" s="35"/>
      <c r="AE364" s="35"/>
      <c r="AF364" s="35"/>
      <c r="AG364" s="35"/>
      <c r="AH364" s="30" t="s">
        <v>4714</v>
      </c>
      <c r="AI364" s="35" t="s">
        <v>16903</v>
      </c>
      <c r="AJ364" s="62" t="str">
        <f>MID('I kw.22'!W364,8,6)</f>
        <v>121101</v>
      </c>
      <c r="AK364" s="62">
        <v>1</v>
      </c>
      <c r="AL364" s="62">
        <f t="shared" si="5"/>
        <v>1</v>
      </c>
      <c r="AM364" s="62">
        <v>1</v>
      </c>
    </row>
    <row r="365" spans="1:39" x14ac:dyDescent="0.25">
      <c r="A365" s="35" t="s">
        <v>16877</v>
      </c>
      <c r="B365" s="35" t="s">
        <v>16901</v>
      </c>
      <c r="C365" s="35" t="s">
        <v>27</v>
      </c>
      <c r="D365" s="35" t="s">
        <v>16845</v>
      </c>
      <c r="E365" s="35" t="s">
        <v>192</v>
      </c>
      <c r="F365" s="62">
        <v>1</v>
      </c>
      <c r="G365" s="30" t="s">
        <v>193</v>
      </c>
      <c r="H365" s="30" t="s">
        <v>194</v>
      </c>
      <c r="I365" s="30" t="s">
        <v>16121</v>
      </c>
      <c r="J365" s="35" t="s">
        <v>210</v>
      </c>
      <c r="K365" s="35">
        <v>18</v>
      </c>
      <c r="L365" s="35" t="s">
        <v>6955</v>
      </c>
      <c r="M365" s="35"/>
      <c r="N365" s="35" t="s">
        <v>16902</v>
      </c>
      <c r="O365" s="35" t="s">
        <v>6340</v>
      </c>
      <c r="P365" s="35" t="s">
        <v>16843</v>
      </c>
      <c r="Q365" s="35" t="s">
        <v>16113</v>
      </c>
      <c r="R365" s="35" t="s">
        <v>16842</v>
      </c>
      <c r="S365" s="35">
        <v>2396555</v>
      </c>
      <c r="T365" s="35">
        <v>34286458</v>
      </c>
      <c r="U365" s="35"/>
      <c r="V365" s="30">
        <v>1863</v>
      </c>
      <c r="W365" s="35" t="s">
        <v>440</v>
      </c>
      <c r="X365" s="35" t="s">
        <v>194</v>
      </c>
      <c r="Y365" s="30">
        <v>1</v>
      </c>
      <c r="Z365" s="35"/>
      <c r="AA365" s="35"/>
      <c r="AB365" s="35"/>
      <c r="AC365" s="35"/>
      <c r="AD365" s="35"/>
      <c r="AE365" s="35"/>
      <c r="AF365" s="35"/>
      <c r="AG365" s="35"/>
      <c r="AH365" s="30" t="s">
        <v>4714</v>
      </c>
      <c r="AI365" s="35" t="s">
        <v>16901</v>
      </c>
      <c r="AJ365" s="62" t="str">
        <f>MID('I kw.22'!W365,8,6)</f>
        <v>242307</v>
      </c>
      <c r="AK365" s="62">
        <v>1</v>
      </c>
      <c r="AL365" s="62">
        <f t="shared" si="5"/>
        <v>1</v>
      </c>
      <c r="AM365" s="62">
        <v>1</v>
      </c>
    </row>
    <row r="366" spans="1:39" x14ac:dyDescent="0.25">
      <c r="A366" s="35" t="s">
        <v>15157</v>
      </c>
      <c r="B366" s="35" t="s">
        <v>67</v>
      </c>
      <c r="C366" s="35" t="s">
        <v>67</v>
      </c>
      <c r="D366" s="35" t="s">
        <v>16845</v>
      </c>
      <c r="E366" s="35" t="s">
        <v>192</v>
      </c>
      <c r="F366" s="62">
        <v>1</v>
      </c>
      <c r="G366" s="30" t="s">
        <v>193</v>
      </c>
      <c r="H366" s="30" t="s">
        <v>194</v>
      </c>
      <c r="I366" s="30" t="s">
        <v>16052</v>
      </c>
      <c r="J366" s="35" t="s">
        <v>210</v>
      </c>
      <c r="K366" s="35">
        <v>18</v>
      </c>
      <c r="L366" s="35" t="s">
        <v>6955</v>
      </c>
      <c r="M366" s="35"/>
      <c r="N366" s="35" t="s">
        <v>16900</v>
      </c>
      <c r="O366" s="35" t="s">
        <v>6275</v>
      </c>
      <c r="P366" s="35" t="s">
        <v>16843</v>
      </c>
      <c r="Q366" s="35" t="s">
        <v>16113</v>
      </c>
      <c r="R366" s="35" t="s">
        <v>16842</v>
      </c>
      <c r="S366" s="35">
        <v>2396610</v>
      </c>
      <c r="T366" s="35">
        <v>34286513</v>
      </c>
      <c r="U366" s="35"/>
      <c r="V366" s="30">
        <v>1863</v>
      </c>
      <c r="W366" s="35" t="s">
        <v>709</v>
      </c>
      <c r="X366" s="35" t="s">
        <v>194</v>
      </c>
      <c r="Y366" s="30">
        <v>1</v>
      </c>
      <c r="Z366" s="35"/>
      <c r="AA366" s="35"/>
      <c r="AB366" s="35"/>
      <c r="AC366" s="35"/>
      <c r="AD366" s="35"/>
      <c r="AE366" s="35"/>
      <c r="AF366" s="35"/>
      <c r="AG366" s="35"/>
      <c r="AH366" s="30" t="s">
        <v>4714</v>
      </c>
      <c r="AI366" s="35" t="s">
        <v>67</v>
      </c>
      <c r="AJ366" s="62" t="str">
        <f>MID('I kw.22'!W366,8,6)</f>
        <v>432103</v>
      </c>
      <c r="AK366" s="62">
        <v>1</v>
      </c>
      <c r="AL366" s="62">
        <f t="shared" si="5"/>
        <v>1</v>
      </c>
      <c r="AM366" s="62">
        <v>1</v>
      </c>
    </row>
    <row r="367" spans="1:39" x14ac:dyDescent="0.25">
      <c r="A367" s="35" t="s">
        <v>16899</v>
      </c>
      <c r="B367" s="35" t="s">
        <v>16897</v>
      </c>
      <c r="C367" s="35" t="s">
        <v>16263</v>
      </c>
      <c r="D367" s="35" t="s">
        <v>16845</v>
      </c>
      <c r="E367" s="35" t="s">
        <v>192</v>
      </c>
      <c r="F367" s="62">
        <v>1</v>
      </c>
      <c r="G367" s="30" t="s">
        <v>193</v>
      </c>
      <c r="H367" s="30" t="s">
        <v>194</v>
      </c>
      <c r="I367" s="30" t="s">
        <v>16083</v>
      </c>
      <c r="J367" s="35" t="s">
        <v>672</v>
      </c>
      <c r="K367" s="35">
        <v>18</v>
      </c>
      <c r="L367" s="35" t="s">
        <v>6955</v>
      </c>
      <c r="M367" s="35"/>
      <c r="N367" s="35" t="s">
        <v>16898</v>
      </c>
      <c r="O367" s="35" t="s">
        <v>6275</v>
      </c>
      <c r="P367" s="35" t="s">
        <v>16843</v>
      </c>
      <c r="Q367" s="35" t="s">
        <v>16113</v>
      </c>
      <c r="R367" s="35" t="s">
        <v>16842</v>
      </c>
      <c r="S367" s="35">
        <v>2396613</v>
      </c>
      <c r="T367" s="35">
        <v>34286516</v>
      </c>
      <c r="U367" s="35"/>
      <c r="V367" s="30">
        <v>1816</v>
      </c>
      <c r="W367" s="35" t="s">
        <v>16261</v>
      </c>
      <c r="X367" s="35" t="s">
        <v>194</v>
      </c>
      <c r="Y367" s="30">
        <v>1</v>
      </c>
      <c r="Z367" s="35"/>
      <c r="AA367" s="35"/>
      <c r="AB367" s="35"/>
      <c r="AC367" s="35"/>
      <c r="AD367" s="35"/>
      <c r="AE367" s="35"/>
      <c r="AF367" s="35"/>
      <c r="AG367" s="35"/>
      <c r="AH367" s="30" t="s">
        <v>4714</v>
      </c>
      <c r="AI367" s="35" t="s">
        <v>16897</v>
      </c>
      <c r="AJ367" s="62" t="str">
        <f>MID('I kw.22'!W367,8,6)</f>
        <v>821190</v>
      </c>
      <c r="AK367" s="62">
        <v>1</v>
      </c>
      <c r="AL367" s="62">
        <f t="shared" si="5"/>
        <v>1</v>
      </c>
      <c r="AM367" s="62">
        <v>1</v>
      </c>
    </row>
    <row r="368" spans="1:39" x14ac:dyDescent="0.25">
      <c r="A368" s="35" t="s">
        <v>552</v>
      </c>
      <c r="B368" s="35" t="s">
        <v>3240</v>
      </c>
      <c r="C368" s="35" t="s">
        <v>163</v>
      </c>
      <c r="D368" s="35" t="s">
        <v>16845</v>
      </c>
      <c r="E368" s="35" t="s">
        <v>192</v>
      </c>
      <c r="F368" s="62">
        <v>1</v>
      </c>
      <c r="G368" s="30" t="s">
        <v>193</v>
      </c>
      <c r="H368" s="30" t="s">
        <v>194</v>
      </c>
      <c r="I368" s="30" t="s">
        <v>16073</v>
      </c>
      <c r="J368" s="35" t="s">
        <v>253</v>
      </c>
      <c r="K368" s="35">
        <v>18</v>
      </c>
      <c r="L368" s="35" t="s">
        <v>6955</v>
      </c>
      <c r="M368" s="35"/>
      <c r="N368" s="35" t="s">
        <v>16896</v>
      </c>
      <c r="O368" s="35" t="s">
        <v>6921</v>
      </c>
      <c r="P368" s="35" t="s">
        <v>16843</v>
      </c>
      <c r="Q368" s="35" t="s">
        <v>16113</v>
      </c>
      <c r="R368" s="35" t="s">
        <v>16842</v>
      </c>
      <c r="S368" s="35">
        <v>2396616</v>
      </c>
      <c r="T368" s="35">
        <v>34286519</v>
      </c>
      <c r="U368" s="35"/>
      <c r="V368" s="30">
        <v>1811</v>
      </c>
      <c r="W368" s="35" t="s">
        <v>697</v>
      </c>
      <c r="X368" s="35" t="s">
        <v>194</v>
      </c>
      <c r="Y368" s="30">
        <v>1</v>
      </c>
      <c r="Z368" s="35"/>
      <c r="AA368" s="35"/>
      <c r="AB368" s="35"/>
      <c r="AC368" s="35"/>
      <c r="AD368" s="35"/>
      <c r="AE368" s="35"/>
      <c r="AF368" s="35"/>
      <c r="AG368" s="35"/>
      <c r="AH368" s="30" t="s">
        <v>4714</v>
      </c>
      <c r="AI368" s="35" t="s">
        <v>3240</v>
      </c>
      <c r="AJ368" s="62" t="str">
        <f>MID('I kw.22'!W368,8,6)</f>
        <v>351203</v>
      </c>
      <c r="AK368" s="62">
        <v>1</v>
      </c>
      <c r="AL368" s="62">
        <f t="shared" si="5"/>
        <v>1</v>
      </c>
      <c r="AM368" s="62">
        <v>1</v>
      </c>
    </row>
    <row r="369" spans="1:39" x14ac:dyDescent="0.25">
      <c r="A369" s="35" t="s">
        <v>7726</v>
      </c>
      <c r="B369" s="35" t="s">
        <v>921</v>
      </c>
      <c r="C369" s="35" t="s">
        <v>922</v>
      </c>
      <c r="D369" s="35" t="s">
        <v>16845</v>
      </c>
      <c r="E369" s="35" t="s">
        <v>192</v>
      </c>
      <c r="F369" s="62">
        <v>1</v>
      </c>
      <c r="G369" s="30" t="s">
        <v>193</v>
      </c>
      <c r="H369" s="30" t="s">
        <v>194</v>
      </c>
      <c r="I369" s="30" t="s">
        <v>16052</v>
      </c>
      <c r="J369" s="35" t="s">
        <v>253</v>
      </c>
      <c r="K369" s="35">
        <v>18</v>
      </c>
      <c r="L369" s="35" t="s">
        <v>6955</v>
      </c>
      <c r="M369" s="35"/>
      <c r="N369" s="35" t="s">
        <v>16895</v>
      </c>
      <c r="O369" s="35" t="s">
        <v>7531</v>
      </c>
      <c r="P369" s="35" t="s">
        <v>16894</v>
      </c>
      <c r="Q369" s="35" t="s">
        <v>16113</v>
      </c>
      <c r="R369" s="35" t="s">
        <v>16842</v>
      </c>
      <c r="S369" s="35">
        <v>2396711</v>
      </c>
      <c r="T369" s="35">
        <v>34286614</v>
      </c>
      <c r="U369" s="35"/>
      <c r="V369" s="30">
        <v>1811</v>
      </c>
      <c r="W369" s="35" t="s">
        <v>923</v>
      </c>
      <c r="X369" s="35" t="s">
        <v>194</v>
      </c>
      <c r="Y369" s="30">
        <v>1</v>
      </c>
      <c r="Z369" s="35"/>
      <c r="AA369" s="35"/>
      <c r="AB369" s="35"/>
      <c r="AC369" s="35"/>
      <c r="AD369" s="35"/>
      <c r="AE369" s="35"/>
      <c r="AF369" s="35"/>
      <c r="AG369" s="35"/>
      <c r="AH369" s="30" t="s">
        <v>4714</v>
      </c>
      <c r="AI369" s="35" t="s">
        <v>922</v>
      </c>
      <c r="AJ369" s="62" t="str">
        <f>MID('I kw.22'!W369,8,6)</f>
        <v>112006</v>
      </c>
      <c r="AK369" s="62">
        <v>1</v>
      </c>
      <c r="AL369" s="62">
        <f t="shared" si="5"/>
        <v>1</v>
      </c>
      <c r="AM369" s="62">
        <v>1</v>
      </c>
    </row>
    <row r="370" spans="1:39" x14ac:dyDescent="0.25">
      <c r="A370" s="35" t="s">
        <v>11602</v>
      </c>
      <c r="B370" s="35" t="s">
        <v>4226</v>
      </c>
      <c r="C370" s="35" t="s">
        <v>36</v>
      </c>
      <c r="D370" s="35" t="s">
        <v>16845</v>
      </c>
      <c r="E370" s="35" t="s">
        <v>192</v>
      </c>
      <c r="F370" s="62">
        <v>1</v>
      </c>
      <c r="G370" s="30" t="s">
        <v>193</v>
      </c>
      <c r="H370" s="30" t="s">
        <v>194</v>
      </c>
      <c r="I370" s="30" t="s">
        <v>16078</v>
      </c>
      <c r="J370" s="35" t="s">
        <v>210</v>
      </c>
      <c r="K370" s="35">
        <v>18</v>
      </c>
      <c r="L370" s="35" t="s">
        <v>6955</v>
      </c>
      <c r="M370" s="35"/>
      <c r="N370" s="35" t="s">
        <v>16893</v>
      </c>
      <c r="O370" s="35" t="s">
        <v>7531</v>
      </c>
      <c r="P370" s="35" t="s">
        <v>16843</v>
      </c>
      <c r="Q370" s="35" t="s">
        <v>16113</v>
      </c>
      <c r="R370" s="35" t="s">
        <v>16842</v>
      </c>
      <c r="S370" s="35">
        <v>2396732</v>
      </c>
      <c r="T370" s="35">
        <v>34286635</v>
      </c>
      <c r="U370" s="35"/>
      <c r="V370" s="30">
        <v>1863</v>
      </c>
      <c r="W370" s="35" t="s">
        <v>609</v>
      </c>
      <c r="X370" s="35" t="s">
        <v>194</v>
      </c>
      <c r="Y370" s="30">
        <v>1</v>
      </c>
      <c r="Z370" s="35"/>
      <c r="AA370" s="35"/>
      <c r="AB370" s="35"/>
      <c r="AC370" s="35"/>
      <c r="AD370" s="35"/>
      <c r="AE370" s="35"/>
      <c r="AF370" s="35"/>
      <c r="AG370" s="35"/>
      <c r="AH370" s="30" t="s">
        <v>4714</v>
      </c>
      <c r="AI370" s="35" t="s">
        <v>4226</v>
      </c>
      <c r="AJ370" s="62" t="str">
        <f>MID('I kw.22'!W370,8,6)</f>
        <v>331301</v>
      </c>
      <c r="AK370" s="62">
        <v>1</v>
      </c>
      <c r="AL370" s="62">
        <f t="shared" si="5"/>
        <v>1</v>
      </c>
      <c r="AM370" s="62">
        <v>1</v>
      </c>
    </row>
    <row r="371" spans="1:39" x14ac:dyDescent="0.25">
      <c r="A371" s="35" t="s">
        <v>16892</v>
      </c>
      <c r="B371" s="35" t="s">
        <v>113</v>
      </c>
      <c r="C371" s="35" t="s">
        <v>113</v>
      </c>
      <c r="D371" s="35" t="s">
        <v>16845</v>
      </c>
      <c r="E371" s="35" t="s">
        <v>192</v>
      </c>
      <c r="F371" s="62">
        <v>1</v>
      </c>
      <c r="G371" s="30" t="s">
        <v>193</v>
      </c>
      <c r="H371" s="30" t="s">
        <v>194</v>
      </c>
      <c r="I371" s="30" t="s">
        <v>16052</v>
      </c>
      <c r="J371" s="35" t="s">
        <v>210</v>
      </c>
      <c r="K371" s="35">
        <v>18</v>
      </c>
      <c r="L371" s="35" t="s">
        <v>6955</v>
      </c>
      <c r="M371" s="35"/>
      <c r="N371" s="35" t="s">
        <v>16891</v>
      </c>
      <c r="O371" s="35" t="s">
        <v>6286</v>
      </c>
      <c r="P371" s="35" t="s">
        <v>16843</v>
      </c>
      <c r="Q371" s="35" t="s">
        <v>16113</v>
      </c>
      <c r="R371" s="35" t="s">
        <v>16842</v>
      </c>
      <c r="S371" s="35">
        <v>2396759</v>
      </c>
      <c r="T371" s="35">
        <v>34286662</v>
      </c>
      <c r="U371" s="35"/>
      <c r="V371" s="30">
        <v>1863</v>
      </c>
      <c r="W371" s="35" t="s">
        <v>465</v>
      </c>
      <c r="X371" s="35" t="s">
        <v>194</v>
      </c>
      <c r="Y371" s="30">
        <v>1</v>
      </c>
      <c r="Z371" s="35"/>
      <c r="AA371" s="35"/>
      <c r="AB371" s="35"/>
      <c r="AC371" s="35"/>
      <c r="AD371" s="35"/>
      <c r="AE371" s="35"/>
      <c r="AF371" s="35"/>
      <c r="AG371" s="35"/>
      <c r="AH371" s="30" t="s">
        <v>4714</v>
      </c>
      <c r="AI371" s="35" t="s">
        <v>113</v>
      </c>
      <c r="AJ371" s="62" t="str">
        <f>MID('I kw.22'!W371,8,6)</f>
        <v>243302</v>
      </c>
      <c r="AK371" s="62">
        <v>1</v>
      </c>
      <c r="AL371" s="62">
        <f t="shared" si="5"/>
        <v>1</v>
      </c>
      <c r="AM371" s="62">
        <v>1</v>
      </c>
    </row>
    <row r="372" spans="1:39" x14ac:dyDescent="0.25">
      <c r="A372" s="35" t="s">
        <v>12279</v>
      </c>
      <c r="B372" s="35" t="s">
        <v>16889</v>
      </c>
      <c r="C372" s="35" t="s">
        <v>10</v>
      </c>
      <c r="D372" s="35" t="s">
        <v>16845</v>
      </c>
      <c r="E372" s="35" t="s">
        <v>192</v>
      </c>
      <c r="F372" s="62">
        <v>1</v>
      </c>
      <c r="G372" s="30" t="s">
        <v>193</v>
      </c>
      <c r="H372" s="30" t="s">
        <v>194</v>
      </c>
      <c r="I372" s="30" t="s">
        <v>16073</v>
      </c>
      <c r="J372" s="35" t="s">
        <v>210</v>
      </c>
      <c r="K372" s="35">
        <v>18</v>
      </c>
      <c r="L372" s="35" t="s">
        <v>6955</v>
      </c>
      <c r="M372" s="35"/>
      <c r="N372" s="35" t="s">
        <v>16890</v>
      </c>
      <c r="O372" s="35" t="s">
        <v>6295</v>
      </c>
      <c r="P372" s="35" t="s">
        <v>16843</v>
      </c>
      <c r="Q372" s="35" t="s">
        <v>16113</v>
      </c>
      <c r="R372" s="35" t="s">
        <v>16842</v>
      </c>
      <c r="S372" s="35">
        <v>2396770</v>
      </c>
      <c r="T372" s="35">
        <v>34286673</v>
      </c>
      <c r="U372" s="35"/>
      <c r="V372" s="30">
        <v>1863</v>
      </c>
      <c r="W372" s="35" t="s">
        <v>484</v>
      </c>
      <c r="X372" s="35" t="s">
        <v>194</v>
      </c>
      <c r="Y372" s="30">
        <v>1</v>
      </c>
      <c r="Z372" s="35"/>
      <c r="AA372" s="35"/>
      <c r="AB372" s="35"/>
      <c r="AC372" s="35"/>
      <c r="AD372" s="35"/>
      <c r="AE372" s="35"/>
      <c r="AF372" s="35"/>
      <c r="AG372" s="35"/>
      <c r="AH372" s="30" t="s">
        <v>4714</v>
      </c>
      <c r="AI372" s="35" t="s">
        <v>16889</v>
      </c>
      <c r="AJ372" s="62" t="str">
        <f>MID('I kw.22'!W372,8,6)</f>
        <v>251401</v>
      </c>
      <c r="AK372" s="62">
        <v>1</v>
      </c>
      <c r="AL372" s="62">
        <f t="shared" si="5"/>
        <v>1</v>
      </c>
      <c r="AM372" s="62">
        <v>1</v>
      </c>
    </row>
    <row r="373" spans="1:39" x14ac:dyDescent="0.25">
      <c r="A373" s="35" t="s">
        <v>16888</v>
      </c>
      <c r="B373" s="35" t="s">
        <v>16827</v>
      </c>
      <c r="C373" s="35" t="s">
        <v>886</v>
      </c>
      <c r="D373" s="35" t="s">
        <v>16845</v>
      </c>
      <c r="E373" s="35" t="s">
        <v>192</v>
      </c>
      <c r="F373" s="62">
        <v>1</v>
      </c>
      <c r="G373" s="30" t="s">
        <v>193</v>
      </c>
      <c r="H373" s="30" t="s">
        <v>194</v>
      </c>
      <c r="I373" s="30" t="s">
        <v>16052</v>
      </c>
      <c r="J373" s="35" t="s">
        <v>210</v>
      </c>
      <c r="K373" s="35">
        <v>18</v>
      </c>
      <c r="L373" s="35" t="s">
        <v>6955</v>
      </c>
      <c r="M373" s="35"/>
      <c r="N373" s="35" t="s">
        <v>16887</v>
      </c>
      <c r="O373" s="35" t="s">
        <v>6275</v>
      </c>
      <c r="P373" s="35" t="s">
        <v>16843</v>
      </c>
      <c r="Q373" s="35" t="s">
        <v>16113</v>
      </c>
      <c r="R373" s="35" t="s">
        <v>16842</v>
      </c>
      <c r="S373" s="35">
        <v>2396803</v>
      </c>
      <c r="T373" s="35">
        <v>34286706</v>
      </c>
      <c r="U373" s="35"/>
      <c r="V373" s="30">
        <v>1863</v>
      </c>
      <c r="W373" s="35" t="s">
        <v>887</v>
      </c>
      <c r="X373" s="35" t="s">
        <v>194</v>
      </c>
      <c r="Y373" s="30">
        <v>1</v>
      </c>
      <c r="Z373" s="35"/>
      <c r="AA373" s="35"/>
      <c r="AB373" s="35"/>
      <c r="AC373" s="35"/>
      <c r="AD373" s="35"/>
      <c r="AE373" s="35"/>
      <c r="AF373" s="35"/>
      <c r="AG373" s="35"/>
      <c r="AH373" s="30" t="s">
        <v>4714</v>
      </c>
      <c r="AI373" s="35" t="s">
        <v>16827</v>
      </c>
      <c r="AJ373" s="62" t="str">
        <f>MID('I kw.22'!W373,8,6)</f>
        <v>834401</v>
      </c>
      <c r="AK373" s="62">
        <v>1</v>
      </c>
      <c r="AL373" s="62">
        <f t="shared" si="5"/>
        <v>1</v>
      </c>
      <c r="AM373" s="62">
        <v>1</v>
      </c>
    </row>
    <row r="374" spans="1:39" x14ac:dyDescent="0.25">
      <c r="A374" s="35" t="s">
        <v>254</v>
      </c>
      <c r="B374" s="35" t="s">
        <v>255</v>
      </c>
      <c r="C374" s="35" t="s">
        <v>95</v>
      </c>
      <c r="D374" s="35" t="s">
        <v>16845</v>
      </c>
      <c r="E374" s="35" t="s">
        <v>192</v>
      </c>
      <c r="F374" s="62">
        <v>1</v>
      </c>
      <c r="G374" s="30" t="s">
        <v>193</v>
      </c>
      <c r="H374" s="30" t="s">
        <v>194</v>
      </c>
      <c r="I374" s="30" t="s">
        <v>16073</v>
      </c>
      <c r="J374" s="35" t="s">
        <v>253</v>
      </c>
      <c r="K374" s="35">
        <v>18</v>
      </c>
      <c r="L374" s="35" t="s">
        <v>6955</v>
      </c>
      <c r="M374" s="35"/>
      <c r="N374" s="35" t="s">
        <v>16886</v>
      </c>
      <c r="O374" s="35" t="s">
        <v>6249</v>
      </c>
      <c r="P374" s="35" t="s">
        <v>16843</v>
      </c>
      <c r="Q374" s="35" t="s">
        <v>16113</v>
      </c>
      <c r="R374" s="35" t="s">
        <v>16304</v>
      </c>
      <c r="S374" s="35">
        <v>2396920</v>
      </c>
      <c r="T374" s="35">
        <v>34286823</v>
      </c>
      <c r="U374" s="35"/>
      <c r="V374" s="30">
        <v>1811</v>
      </c>
      <c r="W374" s="35" t="s">
        <v>1015</v>
      </c>
      <c r="X374" s="35" t="s">
        <v>194</v>
      </c>
      <c r="Y374" s="30">
        <v>1</v>
      </c>
      <c r="Z374" s="35"/>
      <c r="AA374" s="35"/>
      <c r="AB374" s="35"/>
      <c r="AC374" s="35"/>
      <c r="AD374" s="35"/>
      <c r="AE374" s="35"/>
      <c r="AF374" s="35"/>
      <c r="AG374" s="35"/>
      <c r="AH374" s="30" t="s">
        <v>4714</v>
      </c>
      <c r="AI374" s="35" t="s">
        <v>255</v>
      </c>
      <c r="AJ374" s="62" t="str">
        <f>MID('I kw.22'!W374,8,6)</f>
        <v>122102</v>
      </c>
      <c r="AK374" s="62">
        <v>1</v>
      </c>
      <c r="AL374" s="62">
        <f t="shared" si="5"/>
        <v>1</v>
      </c>
      <c r="AM374" s="62">
        <v>1</v>
      </c>
    </row>
    <row r="375" spans="1:39" x14ac:dyDescent="0.25">
      <c r="A375" s="35" t="s">
        <v>7645</v>
      </c>
      <c r="B375" s="35" t="s">
        <v>16884</v>
      </c>
      <c r="C375" s="35" t="s">
        <v>566</v>
      </c>
      <c r="D375" s="35" t="s">
        <v>16845</v>
      </c>
      <c r="E375" s="35" t="s">
        <v>192</v>
      </c>
      <c r="F375" s="62">
        <v>1</v>
      </c>
      <c r="G375" s="30" t="s">
        <v>193</v>
      </c>
      <c r="H375" s="30" t="s">
        <v>194</v>
      </c>
      <c r="I375" s="30" t="s">
        <v>16068</v>
      </c>
      <c r="J375" s="35" t="s">
        <v>575</v>
      </c>
      <c r="K375" s="35">
        <v>18</v>
      </c>
      <c r="L375" s="35" t="s">
        <v>6955</v>
      </c>
      <c r="M375" s="35"/>
      <c r="N375" s="35" t="s">
        <v>16885</v>
      </c>
      <c r="O375" s="35" t="s">
        <v>6286</v>
      </c>
      <c r="P375" s="35" t="s">
        <v>16843</v>
      </c>
      <c r="Q375" s="35" t="s">
        <v>16113</v>
      </c>
      <c r="R375" s="35" t="s">
        <v>16842</v>
      </c>
      <c r="S375" s="35">
        <v>2396937</v>
      </c>
      <c r="T375" s="35">
        <v>34286840</v>
      </c>
      <c r="U375" s="35"/>
      <c r="V375" s="30">
        <v>1816</v>
      </c>
      <c r="W375" s="35" t="s">
        <v>567</v>
      </c>
      <c r="X375" s="35" t="s">
        <v>194</v>
      </c>
      <c r="Y375" s="30">
        <v>1</v>
      </c>
      <c r="Z375" s="35"/>
      <c r="AA375" s="35"/>
      <c r="AB375" s="35"/>
      <c r="AC375" s="35"/>
      <c r="AD375" s="35"/>
      <c r="AE375" s="35"/>
      <c r="AF375" s="35"/>
      <c r="AG375" s="35"/>
      <c r="AH375" s="30" t="s">
        <v>4714</v>
      </c>
      <c r="AI375" s="35" t="s">
        <v>16884</v>
      </c>
      <c r="AJ375" s="62" t="str">
        <f>MID('I kw.22'!W375,8,6)</f>
        <v>311504</v>
      </c>
      <c r="AK375" s="62">
        <v>1</v>
      </c>
      <c r="AL375" s="62">
        <f t="shared" si="5"/>
        <v>1</v>
      </c>
      <c r="AM375" s="62">
        <v>1</v>
      </c>
    </row>
    <row r="376" spans="1:39" x14ac:dyDescent="0.25">
      <c r="A376" s="35" t="s">
        <v>2009</v>
      </c>
      <c r="B376" s="35" t="s">
        <v>16881</v>
      </c>
      <c r="C376" s="35" t="s">
        <v>100</v>
      </c>
      <c r="D376" s="35" t="s">
        <v>16845</v>
      </c>
      <c r="E376" s="35" t="s">
        <v>192</v>
      </c>
      <c r="F376" s="62">
        <v>1</v>
      </c>
      <c r="G376" s="30" t="s">
        <v>193</v>
      </c>
      <c r="H376" s="30" t="s">
        <v>194</v>
      </c>
      <c r="I376" s="30" t="s">
        <v>16068</v>
      </c>
      <c r="J376" s="35" t="s">
        <v>755</v>
      </c>
      <c r="K376" s="35">
        <v>18</v>
      </c>
      <c r="L376" s="35" t="s">
        <v>6955</v>
      </c>
      <c r="M376" s="35"/>
      <c r="N376" s="35" t="s">
        <v>16883</v>
      </c>
      <c r="O376" s="35" t="s">
        <v>6266</v>
      </c>
      <c r="P376" s="35" t="s">
        <v>16843</v>
      </c>
      <c r="Q376" s="35" t="s">
        <v>16113</v>
      </c>
      <c r="R376" s="35" t="s">
        <v>16842</v>
      </c>
      <c r="S376" s="35">
        <v>2396988</v>
      </c>
      <c r="T376" s="35">
        <v>34286891</v>
      </c>
      <c r="U376" s="35"/>
      <c r="V376" s="30">
        <v>1816</v>
      </c>
      <c r="W376" s="35" t="s">
        <v>429</v>
      </c>
      <c r="X376" s="35" t="s">
        <v>194</v>
      </c>
      <c r="Y376" s="30">
        <v>1</v>
      </c>
      <c r="Z376" s="35"/>
      <c r="AA376" s="35"/>
      <c r="AB376" s="35"/>
      <c r="AC376" s="35"/>
      <c r="AD376" s="35"/>
      <c r="AE376" s="35"/>
      <c r="AF376" s="35"/>
      <c r="AG376" s="35"/>
      <c r="AH376" s="30" t="s">
        <v>4714</v>
      </c>
      <c r="AI376" s="35" t="s">
        <v>16881</v>
      </c>
      <c r="AJ376" s="62" t="str">
        <f>MID('I kw.22'!W376,8,6)</f>
        <v>242108</v>
      </c>
      <c r="AK376" s="62">
        <v>1</v>
      </c>
      <c r="AL376" s="62">
        <f t="shared" si="5"/>
        <v>1</v>
      </c>
      <c r="AM376" s="62">
        <v>1</v>
      </c>
    </row>
    <row r="377" spans="1:39" x14ac:dyDescent="0.25">
      <c r="A377" s="35" t="s">
        <v>2009</v>
      </c>
      <c r="B377" s="35" t="s">
        <v>16881</v>
      </c>
      <c r="C377" s="35" t="s">
        <v>100</v>
      </c>
      <c r="D377" s="35" t="s">
        <v>16845</v>
      </c>
      <c r="E377" s="35" t="s">
        <v>192</v>
      </c>
      <c r="F377" s="62">
        <v>1</v>
      </c>
      <c r="G377" s="30" t="s">
        <v>193</v>
      </c>
      <c r="H377" s="30" t="s">
        <v>194</v>
      </c>
      <c r="I377" s="30" t="s">
        <v>16068</v>
      </c>
      <c r="J377" s="35" t="s">
        <v>722</v>
      </c>
      <c r="K377" s="35">
        <v>18</v>
      </c>
      <c r="L377" s="35" t="s">
        <v>6955</v>
      </c>
      <c r="M377" s="35"/>
      <c r="N377" s="35" t="s">
        <v>16882</v>
      </c>
      <c r="O377" s="35" t="s">
        <v>6266</v>
      </c>
      <c r="P377" s="35" t="s">
        <v>16843</v>
      </c>
      <c r="Q377" s="35" t="s">
        <v>16113</v>
      </c>
      <c r="R377" s="35" t="s">
        <v>16842</v>
      </c>
      <c r="S377" s="35">
        <v>2396989</v>
      </c>
      <c r="T377" s="35">
        <v>34286892</v>
      </c>
      <c r="U377" s="35"/>
      <c r="V377" s="30">
        <v>1816</v>
      </c>
      <c r="W377" s="35" t="s">
        <v>429</v>
      </c>
      <c r="X377" s="35" t="s">
        <v>194</v>
      </c>
      <c r="Y377" s="30">
        <v>1</v>
      </c>
      <c r="Z377" s="35"/>
      <c r="AA377" s="35"/>
      <c r="AB377" s="35"/>
      <c r="AC377" s="35"/>
      <c r="AD377" s="35"/>
      <c r="AE377" s="35"/>
      <c r="AF377" s="35"/>
      <c r="AG377" s="35"/>
      <c r="AH377" s="30" t="s">
        <v>4714</v>
      </c>
      <c r="AI377" s="35" t="s">
        <v>16881</v>
      </c>
      <c r="AJ377" s="62" t="str">
        <f>MID('I kw.22'!W377,8,6)</f>
        <v>242108</v>
      </c>
      <c r="AK377" s="62">
        <v>1</v>
      </c>
      <c r="AL377" s="62">
        <f t="shared" si="5"/>
        <v>1</v>
      </c>
      <c r="AM377" s="62">
        <v>1</v>
      </c>
    </row>
    <row r="378" spans="1:39" x14ac:dyDescent="0.25">
      <c r="A378" s="35" t="s">
        <v>16880</v>
      </c>
      <c r="B378" s="35" t="s">
        <v>83</v>
      </c>
      <c r="C378" s="35" t="s">
        <v>83</v>
      </c>
      <c r="D378" s="35" t="s">
        <v>16845</v>
      </c>
      <c r="E378" s="35" t="s">
        <v>192</v>
      </c>
      <c r="F378" s="62">
        <v>1</v>
      </c>
      <c r="G378" s="30" t="s">
        <v>193</v>
      </c>
      <c r="H378" s="30" t="s">
        <v>194</v>
      </c>
      <c r="I378" s="30" t="s">
        <v>16052</v>
      </c>
      <c r="J378" s="35" t="s">
        <v>16879</v>
      </c>
      <c r="K378" s="35">
        <v>18</v>
      </c>
      <c r="L378" s="35" t="s">
        <v>6955</v>
      </c>
      <c r="M378" s="35"/>
      <c r="N378" s="35" t="s">
        <v>16878</v>
      </c>
      <c r="O378" s="35" t="s">
        <v>6275</v>
      </c>
      <c r="P378" s="35" t="s">
        <v>16843</v>
      </c>
      <c r="Q378" s="35" t="s">
        <v>16113</v>
      </c>
      <c r="R378" s="35" t="s">
        <v>16842</v>
      </c>
      <c r="S378" s="35">
        <v>2396994</v>
      </c>
      <c r="T378" s="35">
        <v>34286897</v>
      </c>
      <c r="U378" s="35"/>
      <c r="V378" s="30">
        <v>1816</v>
      </c>
      <c r="W378" s="35" t="s">
        <v>791</v>
      </c>
      <c r="X378" s="35" t="s">
        <v>194</v>
      </c>
      <c r="Y378" s="30">
        <v>1</v>
      </c>
      <c r="Z378" s="35"/>
      <c r="AA378" s="35"/>
      <c r="AB378" s="35"/>
      <c r="AC378" s="35"/>
      <c r="AD378" s="35"/>
      <c r="AE378" s="35"/>
      <c r="AF378" s="35"/>
      <c r="AG378" s="35"/>
      <c r="AH378" s="30" t="s">
        <v>4714</v>
      </c>
      <c r="AI378" s="35" t="s">
        <v>83</v>
      </c>
      <c r="AJ378" s="62" t="str">
        <f>MID('I kw.22'!W378,8,6)</f>
        <v>721204</v>
      </c>
      <c r="AK378" s="62">
        <v>1</v>
      </c>
      <c r="AL378" s="62">
        <f t="shared" si="5"/>
        <v>1</v>
      </c>
      <c r="AM378" s="62">
        <v>1</v>
      </c>
    </row>
    <row r="379" spans="1:39" x14ac:dyDescent="0.25">
      <c r="A379" s="35" t="s">
        <v>16877</v>
      </c>
      <c r="B379" s="35" t="s">
        <v>16874</v>
      </c>
      <c r="C379" s="35" t="s">
        <v>10</v>
      </c>
      <c r="D379" s="35" t="s">
        <v>16845</v>
      </c>
      <c r="E379" s="35" t="s">
        <v>192</v>
      </c>
      <c r="F379" s="62">
        <v>1</v>
      </c>
      <c r="G379" s="30" t="s">
        <v>193</v>
      </c>
      <c r="H379" s="30" t="s">
        <v>194</v>
      </c>
      <c r="I379" s="30" t="s">
        <v>16052</v>
      </c>
      <c r="J379" s="35" t="s">
        <v>210</v>
      </c>
      <c r="K379" s="35">
        <v>18</v>
      </c>
      <c r="L379" s="35" t="s">
        <v>6955</v>
      </c>
      <c r="M379" s="35"/>
      <c r="N379" s="35" t="s">
        <v>16876</v>
      </c>
      <c r="O379" s="35" t="s">
        <v>6261</v>
      </c>
      <c r="P379" s="35" t="s">
        <v>16843</v>
      </c>
      <c r="Q379" s="35" t="s">
        <v>16113</v>
      </c>
      <c r="R379" s="35" t="s">
        <v>16875</v>
      </c>
      <c r="S379" s="35">
        <v>2397033</v>
      </c>
      <c r="T379" s="35">
        <v>34286936</v>
      </c>
      <c r="U379" s="35"/>
      <c r="V379" s="30">
        <v>1863</v>
      </c>
      <c r="W379" s="35" t="s">
        <v>484</v>
      </c>
      <c r="X379" s="35" t="s">
        <v>194</v>
      </c>
      <c r="Y379" s="30">
        <v>1</v>
      </c>
      <c r="Z379" s="35"/>
      <c r="AA379" s="35"/>
      <c r="AB379" s="35"/>
      <c r="AC379" s="35"/>
      <c r="AD379" s="35"/>
      <c r="AE379" s="35"/>
      <c r="AF379" s="35"/>
      <c r="AG379" s="35"/>
      <c r="AH379" s="30" t="s">
        <v>4714</v>
      </c>
      <c r="AI379" s="35" t="s">
        <v>16874</v>
      </c>
      <c r="AJ379" s="62" t="str">
        <f>MID('I kw.22'!W379,8,6)</f>
        <v>251401</v>
      </c>
      <c r="AK379" s="62">
        <v>1</v>
      </c>
      <c r="AL379" s="62">
        <f t="shared" si="5"/>
        <v>1</v>
      </c>
      <c r="AM379" s="62">
        <v>1</v>
      </c>
    </row>
    <row r="380" spans="1:39" x14ac:dyDescent="0.25">
      <c r="A380" s="35" t="s">
        <v>16873</v>
      </c>
      <c r="B380" s="35" t="s">
        <v>16871</v>
      </c>
      <c r="C380" s="35" t="s">
        <v>341</v>
      </c>
      <c r="D380" s="35" t="s">
        <v>16845</v>
      </c>
      <c r="E380" s="35" t="s">
        <v>192</v>
      </c>
      <c r="F380" s="62">
        <v>1</v>
      </c>
      <c r="G380" s="30" t="s">
        <v>193</v>
      </c>
      <c r="H380" s="30" t="s">
        <v>194</v>
      </c>
      <c r="I380" s="30" t="s">
        <v>16073</v>
      </c>
      <c r="J380" s="35" t="s">
        <v>210</v>
      </c>
      <c r="K380" s="35">
        <v>18</v>
      </c>
      <c r="L380" s="35" t="s">
        <v>6955</v>
      </c>
      <c r="M380" s="35"/>
      <c r="N380" s="35" t="s">
        <v>16872</v>
      </c>
      <c r="O380" s="35" t="s">
        <v>6245</v>
      </c>
      <c r="P380" s="35" t="s">
        <v>16843</v>
      </c>
      <c r="Q380" s="35" t="s">
        <v>16113</v>
      </c>
      <c r="R380" s="35" t="s">
        <v>16842</v>
      </c>
      <c r="S380" s="35">
        <v>2397046</v>
      </c>
      <c r="T380" s="35">
        <v>34286949</v>
      </c>
      <c r="U380" s="35"/>
      <c r="V380" s="30">
        <v>1863</v>
      </c>
      <c r="W380" s="35" t="s">
        <v>342</v>
      </c>
      <c r="X380" s="35" t="s">
        <v>194</v>
      </c>
      <c r="Y380" s="30">
        <v>1</v>
      </c>
      <c r="Z380" s="35"/>
      <c r="AA380" s="35"/>
      <c r="AB380" s="35"/>
      <c r="AC380" s="35"/>
      <c r="AD380" s="35"/>
      <c r="AE380" s="35"/>
      <c r="AF380" s="35"/>
      <c r="AG380" s="35"/>
      <c r="AH380" s="30" t="s">
        <v>4714</v>
      </c>
      <c r="AI380" s="35" t="s">
        <v>16871</v>
      </c>
      <c r="AJ380" s="62" t="str">
        <f>MID('I kw.22'!W380,8,6)</f>
        <v>214906</v>
      </c>
      <c r="AK380" s="62">
        <v>1</v>
      </c>
      <c r="AL380" s="62">
        <f t="shared" si="5"/>
        <v>1</v>
      </c>
      <c r="AM380" s="62">
        <v>1</v>
      </c>
    </row>
    <row r="381" spans="1:39" x14ac:dyDescent="0.25">
      <c r="A381" s="35" t="s">
        <v>751</v>
      </c>
      <c r="B381" s="35" t="s">
        <v>13491</v>
      </c>
      <c r="C381" s="35" t="s">
        <v>74</v>
      </c>
      <c r="D381" s="35" t="s">
        <v>16845</v>
      </c>
      <c r="E381" s="35" t="s">
        <v>192</v>
      </c>
      <c r="F381" s="62">
        <v>1</v>
      </c>
      <c r="G381" s="30" t="s">
        <v>193</v>
      </c>
      <c r="H381" s="30" t="s">
        <v>194</v>
      </c>
      <c r="I381" s="30" t="s">
        <v>16073</v>
      </c>
      <c r="J381" s="35" t="s">
        <v>305</v>
      </c>
      <c r="K381" s="35">
        <v>18</v>
      </c>
      <c r="L381" s="35" t="s">
        <v>6955</v>
      </c>
      <c r="M381" s="35"/>
      <c r="N381" s="35" t="s">
        <v>16870</v>
      </c>
      <c r="O381" s="35" t="s">
        <v>6249</v>
      </c>
      <c r="P381" s="35" t="s">
        <v>16843</v>
      </c>
      <c r="Q381" s="35" t="s">
        <v>16113</v>
      </c>
      <c r="R381" s="35" t="s">
        <v>16842</v>
      </c>
      <c r="S381" s="35">
        <v>2397085</v>
      </c>
      <c r="T381" s="35">
        <v>34286988</v>
      </c>
      <c r="U381" s="35"/>
      <c r="V381" s="30">
        <v>1814</v>
      </c>
      <c r="W381" s="35" t="s">
        <v>246</v>
      </c>
      <c r="X381" s="35" t="s">
        <v>194</v>
      </c>
      <c r="Y381" s="30">
        <v>1</v>
      </c>
      <c r="Z381" s="35"/>
      <c r="AA381" s="35"/>
      <c r="AB381" s="35"/>
      <c r="AC381" s="35"/>
      <c r="AD381" s="35"/>
      <c r="AE381" s="35"/>
      <c r="AF381" s="35"/>
      <c r="AG381" s="35"/>
      <c r="AH381" s="30" t="s">
        <v>4714</v>
      </c>
      <c r="AI381" s="35" t="s">
        <v>13491</v>
      </c>
      <c r="AJ381" s="62" t="str">
        <f>MID('I kw.22'!W381,8,6)</f>
        <v>142004</v>
      </c>
      <c r="AK381" s="62">
        <v>1</v>
      </c>
      <c r="AL381" s="62">
        <f t="shared" si="5"/>
        <v>1</v>
      </c>
      <c r="AM381" s="62">
        <v>1</v>
      </c>
    </row>
    <row r="382" spans="1:39" x14ac:dyDescent="0.25">
      <c r="A382" s="35" t="s">
        <v>491</v>
      </c>
      <c r="B382" s="35" t="s">
        <v>16868</v>
      </c>
      <c r="C382" s="35" t="s">
        <v>18</v>
      </c>
      <c r="D382" s="35" t="s">
        <v>16845</v>
      </c>
      <c r="E382" s="35" t="s">
        <v>192</v>
      </c>
      <c r="F382" s="62">
        <v>1</v>
      </c>
      <c r="G382" s="30" t="s">
        <v>193</v>
      </c>
      <c r="H382" s="30" t="s">
        <v>194</v>
      </c>
      <c r="I382" s="30" t="s">
        <v>16078</v>
      </c>
      <c r="J382" s="35" t="s">
        <v>210</v>
      </c>
      <c r="K382" s="35">
        <v>18</v>
      </c>
      <c r="L382" s="35" t="s">
        <v>6955</v>
      </c>
      <c r="M382" s="35"/>
      <c r="N382" s="35" t="s">
        <v>16869</v>
      </c>
      <c r="O382" s="35" t="s">
        <v>6340</v>
      </c>
      <c r="P382" s="35" t="s">
        <v>16843</v>
      </c>
      <c r="Q382" s="35" t="s">
        <v>16113</v>
      </c>
      <c r="R382" s="35" t="s">
        <v>16842</v>
      </c>
      <c r="S382" s="35">
        <v>2397136</v>
      </c>
      <c r="T382" s="35">
        <v>34287039</v>
      </c>
      <c r="U382" s="35"/>
      <c r="V382" s="30">
        <v>1863</v>
      </c>
      <c r="W382" s="35" t="s">
        <v>1476</v>
      </c>
      <c r="X382" s="35" t="s">
        <v>194</v>
      </c>
      <c r="Y382" s="30">
        <v>1</v>
      </c>
      <c r="Z382" s="35"/>
      <c r="AA382" s="35"/>
      <c r="AB382" s="35"/>
      <c r="AC382" s="35"/>
      <c r="AD382" s="35"/>
      <c r="AE382" s="35"/>
      <c r="AF382" s="35"/>
      <c r="AG382" s="35"/>
      <c r="AH382" s="30" t="s">
        <v>4714</v>
      </c>
      <c r="AI382" s="35" t="s">
        <v>16868</v>
      </c>
      <c r="AJ382" s="62" t="str">
        <f>MID('I kw.22'!W382,8,6)</f>
        <v>242309</v>
      </c>
      <c r="AK382" s="62">
        <v>1</v>
      </c>
      <c r="AL382" s="62">
        <f t="shared" si="5"/>
        <v>1</v>
      </c>
      <c r="AM382" s="62">
        <v>1</v>
      </c>
    </row>
    <row r="383" spans="1:39" x14ac:dyDescent="0.25">
      <c r="A383" s="35" t="s">
        <v>491</v>
      </c>
      <c r="B383" s="35" t="s">
        <v>5905</v>
      </c>
      <c r="C383" s="35" t="s">
        <v>5906</v>
      </c>
      <c r="D383" s="35" t="s">
        <v>16845</v>
      </c>
      <c r="E383" s="35" t="s">
        <v>192</v>
      </c>
      <c r="F383" s="62">
        <v>1</v>
      </c>
      <c r="G383" s="30" t="s">
        <v>193</v>
      </c>
      <c r="H383" s="30" t="s">
        <v>194</v>
      </c>
      <c r="I383" s="30" t="s">
        <v>16073</v>
      </c>
      <c r="J383" s="35" t="s">
        <v>210</v>
      </c>
      <c r="K383" s="35">
        <v>18</v>
      </c>
      <c r="L383" s="35" t="s">
        <v>6955</v>
      </c>
      <c r="M383" s="35"/>
      <c r="N383" s="35" t="s">
        <v>16867</v>
      </c>
      <c r="O383" s="35" t="s">
        <v>6286</v>
      </c>
      <c r="P383" s="35" t="s">
        <v>16843</v>
      </c>
      <c r="Q383" s="35" t="s">
        <v>16113</v>
      </c>
      <c r="R383" s="35" t="s">
        <v>16842</v>
      </c>
      <c r="S383" s="35">
        <v>2397150</v>
      </c>
      <c r="T383" s="35">
        <v>34287053</v>
      </c>
      <c r="U383" s="35"/>
      <c r="V383" s="30">
        <v>1863</v>
      </c>
      <c r="W383" s="35" t="s">
        <v>5908</v>
      </c>
      <c r="X383" s="35" t="s">
        <v>194</v>
      </c>
      <c r="Y383" s="30">
        <v>1</v>
      </c>
      <c r="Z383" s="35"/>
      <c r="AA383" s="35"/>
      <c r="AB383" s="35"/>
      <c r="AC383" s="35"/>
      <c r="AD383" s="35"/>
      <c r="AE383" s="35"/>
      <c r="AF383" s="35"/>
      <c r="AG383" s="35"/>
      <c r="AH383" s="30" t="s">
        <v>4714</v>
      </c>
      <c r="AI383" s="35" t="s">
        <v>5905</v>
      </c>
      <c r="AJ383" s="62" t="str">
        <f>MID('I kw.22'!W383,8,6)</f>
        <v>133005</v>
      </c>
      <c r="AK383" s="62">
        <v>1</v>
      </c>
      <c r="AL383" s="62">
        <f t="shared" si="5"/>
        <v>1</v>
      </c>
      <c r="AM383" s="62">
        <v>1</v>
      </c>
    </row>
    <row r="384" spans="1:39" x14ac:dyDescent="0.25">
      <c r="A384" s="35" t="s">
        <v>7621</v>
      </c>
      <c r="B384" s="35" t="s">
        <v>16864</v>
      </c>
      <c r="C384" s="35" t="s">
        <v>3936</v>
      </c>
      <c r="D384" s="35" t="s">
        <v>16845</v>
      </c>
      <c r="E384" s="35" t="s">
        <v>192</v>
      </c>
      <c r="F384" s="62">
        <v>1</v>
      </c>
      <c r="G384" s="30" t="s">
        <v>193</v>
      </c>
      <c r="H384" s="30" t="s">
        <v>194</v>
      </c>
      <c r="I384" s="30" t="s">
        <v>16083</v>
      </c>
      <c r="J384" s="35" t="s">
        <v>16866</v>
      </c>
      <c r="K384" s="35">
        <v>18</v>
      </c>
      <c r="L384" s="35" t="s">
        <v>6955</v>
      </c>
      <c r="M384" s="35"/>
      <c r="N384" s="35" t="s">
        <v>16865</v>
      </c>
      <c r="O384" s="35" t="s">
        <v>6275</v>
      </c>
      <c r="P384" s="35" t="s">
        <v>16843</v>
      </c>
      <c r="Q384" s="35" t="s">
        <v>16113</v>
      </c>
      <c r="R384" s="35" t="s">
        <v>16842</v>
      </c>
      <c r="S384" s="35">
        <v>2397168</v>
      </c>
      <c r="T384" s="35">
        <v>34287071</v>
      </c>
      <c r="U384" s="35"/>
      <c r="V384" s="30">
        <v>1807</v>
      </c>
      <c r="W384" s="35" t="s">
        <v>3937</v>
      </c>
      <c r="X384" s="35" t="s">
        <v>194</v>
      </c>
      <c r="Y384" s="30">
        <v>1</v>
      </c>
      <c r="Z384" s="35"/>
      <c r="AA384" s="35"/>
      <c r="AB384" s="35"/>
      <c r="AC384" s="35"/>
      <c r="AD384" s="35"/>
      <c r="AE384" s="35"/>
      <c r="AF384" s="35"/>
      <c r="AG384" s="35"/>
      <c r="AH384" s="30" t="s">
        <v>4714</v>
      </c>
      <c r="AI384" s="35" t="s">
        <v>16864</v>
      </c>
      <c r="AJ384" s="62" t="str">
        <f>MID('I kw.22'!W384,8,6)</f>
        <v>311705</v>
      </c>
      <c r="AK384" s="62">
        <v>1</v>
      </c>
      <c r="AL384" s="62">
        <f t="shared" si="5"/>
        <v>1</v>
      </c>
      <c r="AM384" s="62">
        <v>1</v>
      </c>
    </row>
    <row r="385" spans="1:39" x14ac:dyDescent="0.25">
      <c r="A385" s="35" t="s">
        <v>7608</v>
      </c>
      <c r="B385" s="35" t="s">
        <v>16599</v>
      </c>
      <c r="C385" s="35" t="s">
        <v>43</v>
      </c>
      <c r="D385" s="35" t="s">
        <v>16845</v>
      </c>
      <c r="E385" s="35" t="s">
        <v>192</v>
      </c>
      <c r="F385" s="62">
        <v>1</v>
      </c>
      <c r="G385" s="30" t="s">
        <v>194</v>
      </c>
      <c r="H385" s="30" t="s">
        <v>193</v>
      </c>
      <c r="I385" s="30" t="s">
        <v>16068</v>
      </c>
      <c r="J385" s="35" t="s">
        <v>210</v>
      </c>
      <c r="K385" s="35">
        <v>18</v>
      </c>
      <c r="L385" s="35" t="s">
        <v>6955</v>
      </c>
      <c r="M385" s="35"/>
      <c r="N385" s="35" t="s">
        <v>16863</v>
      </c>
      <c r="O385" s="35" t="s">
        <v>6302</v>
      </c>
      <c r="P385" s="35" t="s">
        <v>16843</v>
      </c>
      <c r="Q385" s="35" t="s">
        <v>16113</v>
      </c>
      <c r="R385" s="35" t="s">
        <v>16842</v>
      </c>
      <c r="S385" s="35">
        <v>2397192</v>
      </c>
      <c r="T385" s="35">
        <v>34287095</v>
      </c>
      <c r="U385" s="35"/>
      <c r="V385" s="30">
        <v>1863</v>
      </c>
      <c r="W385" s="35" t="s">
        <v>452</v>
      </c>
      <c r="X385" s="35" t="s">
        <v>194</v>
      </c>
      <c r="Y385" s="30">
        <v>1</v>
      </c>
      <c r="Z385" s="35"/>
      <c r="AA385" s="35"/>
      <c r="AB385" s="35"/>
      <c r="AC385" s="35"/>
      <c r="AD385" s="35"/>
      <c r="AE385" s="35"/>
      <c r="AF385" s="35"/>
      <c r="AG385" s="35"/>
      <c r="AH385" s="30" t="s">
        <v>4714</v>
      </c>
      <c r="AI385" s="35" t="s">
        <v>16599</v>
      </c>
      <c r="AJ385" s="62" t="str">
        <f>MID('I kw.22'!W385,8,6)</f>
        <v>243106</v>
      </c>
      <c r="AK385" s="62">
        <v>1</v>
      </c>
      <c r="AL385" s="62">
        <f t="shared" si="5"/>
        <v>1</v>
      </c>
      <c r="AM385" s="62">
        <v>1</v>
      </c>
    </row>
    <row r="386" spans="1:39" x14ac:dyDescent="0.25">
      <c r="A386" s="35" t="s">
        <v>16862</v>
      </c>
      <c r="B386" s="35" t="s">
        <v>16860</v>
      </c>
      <c r="C386" s="35" t="s">
        <v>10</v>
      </c>
      <c r="D386" s="35" t="s">
        <v>16845</v>
      </c>
      <c r="E386" s="35" t="s">
        <v>192</v>
      </c>
      <c r="F386" s="62">
        <v>1</v>
      </c>
      <c r="G386" s="30" t="s">
        <v>193</v>
      </c>
      <c r="H386" s="30" t="s">
        <v>194</v>
      </c>
      <c r="I386" s="30" t="s">
        <v>16073</v>
      </c>
      <c r="J386" s="35" t="s">
        <v>210</v>
      </c>
      <c r="K386" s="35">
        <v>18</v>
      </c>
      <c r="L386" s="35" t="s">
        <v>6955</v>
      </c>
      <c r="M386" s="35"/>
      <c r="N386" s="35" t="s">
        <v>16861</v>
      </c>
      <c r="O386" s="35" t="s">
        <v>6261</v>
      </c>
      <c r="P386" s="35" t="s">
        <v>16843</v>
      </c>
      <c r="Q386" s="35" t="s">
        <v>16113</v>
      </c>
      <c r="R386" s="35" t="s">
        <v>16842</v>
      </c>
      <c r="S386" s="35">
        <v>2397203</v>
      </c>
      <c r="T386" s="35">
        <v>34287106</v>
      </c>
      <c r="U386" s="35"/>
      <c r="V386" s="30">
        <v>1863</v>
      </c>
      <c r="W386" s="35" t="s">
        <v>484</v>
      </c>
      <c r="X386" s="35" t="s">
        <v>194</v>
      </c>
      <c r="Y386" s="30">
        <v>1</v>
      </c>
      <c r="Z386" s="35"/>
      <c r="AA386" s="35"/>
      <c r="AB386" s="35"/>
      <c r="AC386" s="35"/>
      <c r="AD386" s="35"/>
      <c r="AE386" s="35"/>
      <c r="AF386" s="35"/>
      <c r="AG386" s="35"/>
      <c r="AH386" s="30" t="s">
        <v>4714</v>
      </c>
      <c r="AI386" s="35" t="s">
        <v>16860</v>
      </c>
      <c r="AJ386" s="62" t="str">
        <f>MID('I kw.22'!W386,8,6)</f>
        <v>251401</v>
      </c>
      <c r="AK386" s="62">
        <v>1</v>
      </c>
      <c r="AL386" s="62">
        <f t="shared" si="5"/>
        <v>1</v>
      </c>
      <c r="AM386" s="62">
        <v>1</v>
      </c>
    </row>
    <row r="387" spans="1:39" x14ac:dyDescent="0.25">
      <c r="A387" s="35" t="s">
        <v>11327</v>
      </c>
      <c r="B387" s="35" t="s">
        <v>16858</v>
      </c>
      <c r="C387" s="35" t="s">
        <v>27</v>
      </c>
      <c r="D387" s="35" t="s">
        <v>16845</v>
      </c>
      <c r="E387" s="35" t="s">
        <v>192</v>
      </c>
      <c r="F387" s="62">
        <v>1</v>
      </c>
      <c r="G387" s="30" t="s">
        <v>193</v>
      </c>
      <c r="H387" s="30" t="s">
        <v>194</v>
      </c>
      <c r="I387" s="30" t="s">
        <v>16078</v>
      </c>
      <c r="J387" s="35" t="s">
        <v>210</v>
      </c>
      <c r="K387" s="35">
        <v>18</v>
      </c>
      <c r="L387" s="35" t="s">
        <v>6955</v>
      </c>
      <c r="M387" s="35"/>
      <c r="N387" s="35" t="s">
        <v>16859</v>
      </c>
      <c r="O387" s="35" t="s">
        <v>6340</v>
      </c>
      <c r="P387" s="35" t="s">
        <v>16843</v>
      </c>
      <c r="Q387" s="35" t="s">
        <v>16113</v>
      </c>
      <c r="R387" s="35" t="s">
        <v>16842</v>
      </c>
      <c r="S387" s="35">
        <v>2397216</v>
      </c>
      <c r="T387" s="35">
        <v>34287119</v>
      </c>
      <c r="U387" s="35"/>
      <c r="V387" s="30">
        <v>1863</v>
      </c>
      <c r="W387" s="35" t="s">
        <v>440</v>
      </c>
      <c r="X387" s="35" t="s">
        <v>194</v>
      </c>
      <c r="Y387" s="30">
        <v>1</v>
      </c>
      <c r="Z387" s="35"/>
      <c r="AA387" s="35"/>
      <c r="AB387" s="35"/>
      <c r="AC387" s="35"/>
      <c r="AD387" s="35"/>
      <c r="AE387" s="35"/>
      <c r="AF387" s="35"/>
      <c r="AG387" s="35"/>
      <c r="AH387" s="30" t="s">
        <v>4714</v>
      </c>
      <c r="AI387" s="35" t="s">
        <v>16858</v>
      </c>
      <c r="AJ387" s="62" t="str">
        <f>MID('I kw.22'!W387,8,6)</f>
        <v>242307</v>
      </c>
      <c r="AK387" s="62">
        <v>1</v>
      </c>
      <c r="AL387" s="62">
        <f t="shared" ref="AL387:AL450" si="6">SUM(F387)</f>
        <v>1</v>
      </c>
      <c r="AM387" s="62">
        <v>1</v>
      </c>
    </row>
    <row r="388" spans="1:39" x14ac:dyDescent="0.25">
      <c r="A388" s="35" t="s">
        <v>16857</v>
      </c>
      <c r="B388" s="35" t="s">
        <v>16855</v>
      </c>
      <c r="C388" s="35" t="s">
        <v>17</v>
      </c>
      <c r="D388" s="35" t="s">
        <v>16845</v>
      </c>
      <c r="E388" s="35" t="s">
        <v>192</v>
      </c>
      <c r="F388" s="62">
        <v>1</v>
      </c>
      <c r="G388" s="30" t="s">
        <v>193</v>
      </c>
      <c r="H388" s="30" t="s">
        <v>194</v>
      </c>
      <c r="I388" s="30" t="s">
        <v>16121</v>
      </c>
      <c r="J388" s="35" t="s">
        <v>210</v>
      </c>
      <c r="K388" s="35">
        <v>18</v>
      </c>
      <c r="L388" s="35" t="s">
        <v>6955</v>
      </c>
      <c r="M388" s="35"/>
      <c r="N388" s="35" t="s">
        <v>16856</v>
      </c>
      <c r="O388" s="35" t="s">
        <v>6288</v>
      </c>
      <c r="P388" s="35" t="s">
        <v>16843</v>
      </c>
      <c r="Q388" s="35" t="s">
        <v>16113</v>
      </c>
      <c r="R388" s="35" t="s">
        <v>16842</v>
      </c>
      <c r="S388" s="35">
        <v>2397298</v>
      </c>
      <c r="T388" s="35">
        <v>34287201</v>
      </c>
      <c r="U388" s="35"/>
      <c r="V388" s="30">
        <v>1863</v>
      </c>
      <c r="W388" s="35" t="s">
        <v>624</v>
      </c>
      <c r="X388" s="35" t="s">
        <v>194</v>
      </c>
      <c r="Y388" s="30">
        <v>1</v>
      </c>
      <c r="Z388" s="35"/>
      <c r="AA388" s="35"/>
      <c r="AB388" s="35"/>
      <c r="AC388" s="35"/>
      <c r="AD388" s="35"/>
      <c r="AE388" s="35"/>
      <c r="AF388" s="35"/>
      <c r="AG388" s="35"/>
      <c r="AH388" s="30" t="s">
        <v>4714</v>
      </c>
      <c r="AI388" s="35" t="s">
        <v>16855</v>
      </c>
      <c r="AJ388" s="62" t="str">
        <f>MID('I kw.22'!W388,8,6)</f>
        <v>332203</v>
      </c>
      <c r="AK388" s="62">
        <v>1</v>
      </c>
      <c r="AL388" s="62">
        <f t="shared" si="6"/>
        <v>1</v>
      </c>
      <c r="AM388" s="62">
        <v>1</v>
      </c>
    </row>
    <row r="389" spans="1:39" x14ac:dyDescent="0.25">
      <c r="A389" s="35" t="s">
        <v>5577</v>
      </c>
      <c r="B389" s="35" t="s">
        <v>16853</v>
      </c>
      <c r="C389" s="35" t="s">
        <v>20</v>
      </c>
      <c r="D389" s="35" t="s">
        <v>16845</v>
      </c>
      <c r="E389" s="35" t="s">
        <v>192</v>
      </c>
      <c r="F389" s="62">
        <v>1</v>
      </c>
      <c r="G389" s="30" t="s">
        <v>193</v>
      </c>
      <c r="H389" s="30" t="s">
        <v>194</v>
      </c>
      <c r="I389" s="30" t="s">
        <v>16048</v>
      </c>
      <c r="J389" s="35" t="s">
        <v>13001</v>
      </c>
      <c r="K389" s="35">
        <v>18</v>
      </c>
      <c r="L389" s="35" t="s">
        <v>6955</v>
      </c>
      <c r="M389" s="35"/>
      <c r="N389" s="35" t="s">
        <v>16854</v>
      </c>
      <c r="O389" s="35" t="s">
        <v>6279</v>
      </c>
      <c r="P389" s="35" t="s">
        <v>16843</v>
      </c>
      <c r="Q389" s="35" t="s">
        <v>16113</v>
      </c>
      <c r="R389" s="35" t="s">
        <v>16842</v>
      </c>
      <c r="S389" s="35">
        <v>2397320</v>
      </c>
      <c r="T389" s="35">
        <v>34287223</v>
      </c>
      <c r="U389" s="35"/>
      <c r="V389" s="30">
        <v>1810</v>
      </c>
      <c r="W389" s="35" t="s">
        <v>286</v>
      </c>
      <c r="X389" s="35" t="s">
        <v>194</v>
      </c>
      <c r="Y389" s="30">
        <v>1</v>
      </c>
      <c r="Z389" s="35"/>
      <c r="AA389" s="35"/>
      <c r="AB389" s="35"/>
      <c r="AC389" s="35"/>
      <c r="AD389" s="35"/>
      <c r="AE389" s="35"/>
      <c r="AF389" s="35"/>
      <c r="AG389" s="35"/>
      <c r="AH389" s="30" t="s">
        <v>4714</v>
      </c>
      <c r="AI389" s="35" t="s">
        <v>16853</v>
      </c>
      <c r="AJ389" s="62" t="str">
        <f>MID('I kw.22'!W389,8,6)</f>
        <v>214109</v>
      </c>
      <c r="AK389" s="62">
        <v>1</v>
      </c>
      <c r="AL389" s="62">
        <f t="shared" si="6"/>
        <v>1</v>
      </c>
      <c r="AM389" s="62">
        <v>1</v>
      </c>
    </row>
    <row r="390" spans="1:39" x14ac:dyDescent="0.25">
      <c r="A390" s="35" t="s">
        <v>11871</v>
      </c>
      <c r="B390" s="35" t="s">
        <v>8253</v>
      </c>
      <c r="C390" s="35" t="s">
        <v>67</v>
      </c>
      <c r="D390" s="35" t="s">
        <v>16845</v>
      </c>
      <c r="E390" s="35" t="s">
        <v>192</v>
      </c>
      <c r="F390" s="62">
        <v>1</v>
      </c>
      <c r="G390" s="30" t="s">
        <v>193</v>
      </c>
      <c r="H390" s="30" t="s">
        <v>194</v>
      </c>
      <c r="I390" s="30" t="s">
        <v>16083</v>
      </c>
      <c r="J390" s="35" t="s">
        <v>672</v>
      </c>
      <c r="K390" s="35">
        <v>18</v>
      </c>
      <c r="L390" s="35" t="s">
        <v>6955</v>
      </c>
      <c r="M390" s="35"/>
      <c r="N390" s="35" t="s">
        <v>16852</v>
      </c>
      <c r="O390" s="35" t="s">
        <v>6266</v>
      </c>
      <c r="P390" s="35" t="s">
        <v>16843</v>
      </c>
      <c r="Q390" s="35" t="s">
        <v>16113</v>
      </c>
      <c r="R390" s="35" t="s">
        <v>16842</v>
      </c>
      <c r="S390" s="35">
        <v>2397431</v>
      </c>
      <c r="T390" s="35">
        <v>34287334</v>
      </c>
      <c r="U390" s="35"/>
      <c r="V390" s="30">
        <v>1816</v>
      </c>
      <c r="W390" s="35" t="s">
        <v>709</v>
      </c>
      <c r="X390" s="35" t="s">
        <v>194</v>
      </c>
      <c r="Y390" s="30">
        <v>1</v>
      </c>
      <c r="Z390" s="35"/>
      <c r="AA390" s="35"/>
      <c r="AB390" s="35"/>
      <c r="AC390" s="35"/>
      <c r="AD390" s="35"/>
      <c r="AE390" s="35"/>
      <c r="AF390" s="35"/>
      <c r="AG390" s="35"/>
      <c r="AH390" s="30" t="s">
        <v>4714</v>
      </c>
      <c r="AI390" s="35" t="s">
        <v>8253</v>
      </c>
      <c r="AJ390" s="62" t="str">
        <f>MID('I kw.22'!W390,8,6)</f>
        <v>432103</v>
      </c>
      <c r="AK390" s="62">
        <v>1</v>
      </c>
      <c r="AL390" s="62">
        <f t="shared" si="6"/>
        <v>1</v>
      </c>
      <c r="AM390" s="62">
        <v>1</v>
      </c>
    </row>
    <row r="391" spans="1:39" x14ac:dyDescent="0.25">
      <c r="A391" s="35" t="s">
        <v>8187</v>
      </c>
      <c r="B391" s="35" t="s">
        <v>9975</v>
      </c>
      <c r="C391" s="35" t="s">
        <v>740</v>
      </c>
      <c r="D391" s="35" t="s">
        <v>16845</v>
      </c>
      <c r="E391" s="35" t="s">
        <v>192</v>
      </c>
      <c r="F391" s="62">
        <v>1</v>
      </c>
      <c r="G391" s="30" t="s">
        <v>193</v>
      </c>
      <c r="H391" s="30" t="s">
        <v>194</v>
      </c>
      <c r="I391" s="30" t="s">
        <v>16068</v>
      </c>
      <c r="J391" s="35" t="s">
        <v>253</v>
      </c>
      <c r="K391" s="35">
        <v>18</v>
      </c>
      <c r="L391" s="35" t="s">
        <v>6955</v>
      </c>
      <c r="M391" s="35"/>
      <c r="N391" s="35" t="s">
        <v>16851</v>
      </c>
      <c r="O391" s="35" t="s">
        <v>6251</v>
      </c>
      <c r="P391" s="35" t="s">
        <v>16843</v>
      </c>
      <c r="Q391" s="35" t="s">
        <v>16113</v>
      </c>
      <c r="R391" s="35" t="s">
        <v>16121</v>
      </c>
      <c r="S391" s="35">
        <v>2397491</v>
      </c>
      <c r="T391" s="35">
        <v>34287394</v>
      </c>
      <c r="U391" s="35"/>
      <c r="V391" s="30">
        <v>1811</v>
      </c>
      <c r="W391" s="35" t="s">
        <v>741</v>
      </c>
      <c r="X391" s="35" t="s">
        <v>194</v>
      </c>
      <c r="Y391" s="30">
        <v>1</v>
      </c>
      <c r="Z391" s="35"/>
      <c r="AA391" s="35"/>
      <c r="AB391" s="35"/>
      <c r="AC391" s="35"/>
      <c r="AD391" s="35"/>
      <c r="AE391" s="35"/>
      <c r="AF391" s="35"/>
      <c r="AG391" s="35"/>
      <c r="AH391" s="30" t="s">
        <v>4714</v>
      </c>
      <c r="AI391" s="35" t="s">
        <v>9975</v>
      </c>
      <c r="AJ391" s="62" t="str">
        <f>MID('I kw.22'!W391,8,6)</f>
        <v>522301</v>
      </c>
      <c r="AK391" s="62">
        <v>1</v>
      </c>
      <c r="AL391" s="62">
        <f t="shared" si="6"/>
        <v>1</v>
      </c>
      <c r="AM391" s="62">
        <v>1</v>
      </c>
    </row>
    <row r="392" spans="1:39" x14ac:dyDescent="0.25">
      <c r="A392" s="35" t="s">
        <v>8187</v>
      </c>
      <c r="B392" s="35" t="s">
        <v>2935</v>
      </c>
      <c r="C392" s="35" t="s">
        <v>74</v>
      </c>
      <c r="D392" s="35" t="s">
        <v>16845</v>
      </c>
      <c r="E392" s="35" t="s">
        <v>192</v>
      </c>
      <c r="F392" s="62">
        <v>1</v>
      </c>
      <c r="G392" s="30" t="s">
        <v>193</v>
      </c>
      <c r="H392" s="30" t="s">
        <v>194</v>
      </c>
      <c r="I392" s="30" t="s">
        <v>16052</v>
      </c>
      <c r="J392" s="35" t="s">
        <v>1995</v>
      </c>
      <c r="K392" s="35">
        <v>18</v>
      </c>
      <c r="L392" s="35" t="s">
        <v>6955</v>
      </c>
      <c r="M392" s="35"/>
      <c r="N392" s="35" t="s">
        <v>16850</v>
      </c>
      <c r="O392" s="35" t="s">
        <v>6249</v>
      </c>
      <c r="P392" s="35" t="s">
        <v>16843</v>
      </c>
      <c r="Q392" s="35" t="s">
        <v>16113</v>
      </c>
      <c r="R392" s="35" t="s">
        <v>16121</v>
      </c>
      <c r="S392" s="35">
        <v>2397580</v>
      </c>
      <c r="T392" s="35">
        <v>34287483</v>
      </c>
      <c r="U392" s="35"/>
      <c r="V392" s="30">
        <v>1821</v>
      </c>
      <c r="W392" s="35" t="s">
        <v>246</v>
      </c>
      <c r="X392" s="35" t="s">
        <v>194</v>
      </c>
      <c r="Y392" s="30">
        <v>1</v>
      </c>
      <c r="Z392" s="35"/>
      <c r="AA392" s="35"/>
      <c r="AB392" s="35"/>
      <c r="AC392" s="35"/>
      <c r="AD392" s="35"/>
      <c r="AE392" s="35"/>
      <c r="AF392" s="35"/>
      <c r="AG392" s="35"/>
      <c r="AH392" s="30" t="s">
        <v>4714</v>
      </c>
      <c r="AI392" s="35" t="s">
        <v>2935</v>
      </c>
      <c r="AJ392" s="62" t="str">
        <f>MID('I kw.22'!W392,8,6)</f>
        <v>142004</v>
      </c>
      <c r="AK392" s="62">
        <v>1</v>
      </c>
      <c r="AL392" s="62">
        <f t="shared" si="6"/>
        <v>1</v>
      </c>
      <c r="AM392" s="62">
        <v>1</v>
      </c>
    </row>
    <row r="393" spans="1:39" x14ac:dyDescent="0.25">
      <c r="A393" s="35" t="s">
        <v>1639</v>
      </c>
      <c r="B393" s="35" t="s">
        <v>16848</v>
      </c>
      <c r="C393" s="35" t="s">
        <v>163</v>
      </c>
      <c r="D393" s="35" t="s">
        <v>16845</v>
      </c>
      <c r="E393" s="35" t="s">
        <v>192</v>
      </c>
      <c r="F393" s="62">
        <v>1</v>
      </c>
      <c r="G393" s="30" t="s">
        <v>193</v>
      </c>
      <c r="H393" s="30" t="s">
        <v>194</v>
      </c>
      <c r="I393" s="30" t="s">
        <v>16068</v>
      </c>
      <c r="J393" s="35" t="s">
        <v>210</v>
      </c>
      <c r="K393" s="35">
        <v>18</v>
      </c>
      <c r="L393" s="35" t="s">
        <v>6955</v>
      </c>
      <c r="M393" s="35"/>
      <c r="N393" s="35" t="s">
        <v>16849</v>
      </c>
      <c r="O393" s="35" t="s">
        <v>6921</v>
      </c>
      <c r="P393" s="35" t="s">
        <v>16843</v>
      </c>
      <c r="Q393" s="35" t="s">
        <v>16113</v>
      </c>
      <c r="R393" s="35" t="s">
        <v>16842</v>
      </c>
      <c r="S393" s="35">
        <v>2397852</v>
      </c>
      <c r="T393" s="35">
        <v>34287755</v>
      </c>
      <c r="U393" s="35"/>
      <c r="V393" s="30">
        <v>1863</v>
      </c>
      <c r="W393" s="35" t="s">
        <v>697</v>
      </c>
      <c r="X393" s="35" t="s">
        <v>194</v>
      </c>
      <c r="Y393" s="30">
        <v>1</v>
      </c>
      <c r="Z393" s="35"/>
      <c r="AA393" s="35"/>
      <c r="AB393" s="35"/>
      <c r="AC393" s="35"/>
      <c r="AD393" s="35"/>
      <c r="AE393" s="35"/>
      <c r="AF393" s="35"/>
      <c r="AG393" s="35"/>
      <c r="AH393" s="30" t="s">
        <v>4714</v>
      </c>
      <c r="AI393" s="35" t="s">
        <v>16848</v>
      </c>
      <c r="AJ393" s="62" t="str">
        <f>MID('I kw.22'!W393,8,6)</f>
        <v>351203</v>
      </c>
      <c r="AK393" s="62">
        <v>1</v>
      </c>
      <c r="AL393" s="62">
        <f t="shared" si="6"/>
        <v>1</v>
      </c>
      <c r="AM393" s="62">
        <v>1</v>
      </c>
    </row>
    <row r="394" spans="1:39" x14ac:dyDescent="0.25">
      <c r="A394" s="35" t="s">
        <v>493</v>
      </c>
      <c r="B394" s="35" t="s">
        <v>16846</v>
      </c>
      <c r="C394" s="35" t="s">
        <v>10</v>
      </c>
      <c r="D394" s="35" t="s">
        <v>16845</v>
      </c>
      <c r="E394" s="35" t="s">
        <v>192</v>
      </c>
      <c r="F394" s="62">
        <v>1</v>
      </c>
      <c r="G394" s="30" t="s">
        <v>193</v>
      </c>
      <c r="H394" s="30" t="s">
        <v>194</v>
      </c>
      <c r="I394" s="30" t="s">
        <v>16121</v>
      </c>
      <c r="J394" s="35" t="s">
        <v>210</v>
      </c>
      <c r="K394" s="35">
        <v>18</v>
      </c>
      <c r="L394" s="35" t="s">
        <v>6955</v>
      </c>
      <c r="M394" s="35"/>
      <c r="N394" s="35" t="s">
        <v>16847</v>
      </c>
      <c r="O394" s="35" t="s">
        <v>6261</v>
      </c>
      <c r="P394" s="35" t="s">
        <v>16843</v>
      </c>
      <c r="Q394" s="35" t="s">
        <v>16113</v>
      </c>
      <c r="R394" s="35" t="s">
        <v>16842</v>
      </c>
      <c r="S394" s="35">
        <v>2397864</v>
      </c>
      <c r="T394" s="35">
        <v>34287767</v>
      </c>
      <c r="U394" s="35"/>
      <c r="V394" s="30">
        <v>1863</v>
      </c>
      <c r="W394" s="35" t="s">
        <v>484</v>
      </c>
      <c r="X394" s="35" t="s">
        <v>194</v>
      </c>
      <c r="Y394" s="30">
        <v>1</v>
      </c>
      <c r="Z394" s="35"/>
      <c r="AA394" s="35"/>
      <c r="AB394" s="35"/>
      <c r="AC394" s="35"/>
      <c r="AD394" s="35"/>
      <c r="AE394" s="35"/>
      <c r="AF394" s="35"/>
      <c r="AG394" s="35"/>
      <c r="AH394" s="30" t="s">
        <v>4714</v>
      </c>
      <c r="AI394" s="35" t="s">
        <v>16846</v>
      </c>
      <c r="AJ394" s="62" t="str">
        <f>MID('I kw.22'!W394,8,6)</f>
        <v>251401</v>
      </c>
      <c r="AK394" s="62">
        <v>1</v>
      </c>
      <c r="AL394" s="62">
        <f t="shared" si="6"/>
        <v>1</v>
      </c>
      <c r="AM394" s="62">
        <v>1</v>
      </c>
    </row>
    <row r="395" spans="1:39" x14ac:dyDescent="0.25">
      <c r="A395" s="35" t="s">
        <v>1787</v>
      </c>
      <c r="B395" s="35" t="s">
        <v>7426</v>
      </c>
      <c r="C395" s="35" t="s">
        <v>19</v>
      </c>
      <c r="D395" s="35" t="s">
        <v>16845</v>
      </c>
      <c r="E395" s="35" t="s">
        <v>192</v>
      </c>
      <c r="F395" s="62">
        <v>1</v>
      </c>
      <c r="G395" s="30" t="s">
        <v>193</v>
      </c>
      <c r="H395" s="30" t="s">
        <v>194</v>
      </c>
      <c r="I395" s="30" t="s">
        <v>16048</v>
      </c>
      <c r="J395" s="35" t="s">
        <v>253</v>
      </c>
      <c r="K395" s="35">
        <v>18</v>
      </c>
      <c r="L395" s="35" t="s">
        <v>6955</v>
      </c>
      <c r="M395" s="35"/>
      <c r="N395" s="35" t="s">
        <v>16844</v>
      </c>
      <c r="O395" s="35" t="s">
        <v>6295</v>
      </c>
      <c r="P395" s="35" t="s">
        <v>16843</v>
      </c>
      <c r="Q395" s="35" t="s">
        <v>16113</v>
      </c>
      <c r="R395" s="35" t="s">
        <v>16842</v>
      </c>
      <c r="S395" s="35">
        <v>2398008</v>
      </c>
      <c r="T395" s="35">
        <v>34287911</v>
      </c>
      <c r="U395" s="35"/>
      <c r="V395" s="30">
        <v>1811</v>
      </c>
      <c r="W395" s="35" t="s">
        <v>337</v>
      </c>
      <c r="X395" s="35" t="s">
        <v>194</v>
      </c>
      <c r="Y395" s="30">
        <v>1</v>
      </c>
      <c r="Z395" s="35"/>
      <c r="AA395" s="35"/>
      <c r="AB395" s="35"/>
      <c r="AC395" s="35"/>
      <c r="AD395" s="35"/>
      <c r="AE395" s="35"/>
      <c r="AF395" s="35"/>
      <c r="AG395" s="35"/>
      <c r="AH395" s="30" t="s">
        <v>4714</v>
      </c>
      <c r="AI395" s="35" t="s">
        <v>7426</v>
      </c>
      <c r="AJ395" s="62" t="str">
        <f>MID('I kw.22'!W395,8,6)</f>
        <v>214903</v>
      </c>
      <c r="AK395" s="62">
        <v>1</v>
      </c>
      <c r="AL395" s="62">
        <f t="shared" si="6"/>
        <v>1</v>
      </c>
      <c r="AM395" s="62">
        <v>1</v>
      </c>
    </row>
    <row r="396" spans="1:39" x14ac:dyDescent="0.25">
      <c r="A396" s="35" t="s">
        <v>6063</v>
      </c>
      <c r="B396" s="35" t="s">
        <v>632</v>
      </c>
      <c r="C396" s="35" t="s">
        <v>17</v>
      </c>
      <c r="D396" s="35" t="s">
        <v>16307</v>
      </c>
      <c r="E396" s="35" t="s">
        <v>233</v>
      </c>
      <c r="F396" s="62">
        <v>1</v>
      </c>
      <c r="G396" s="30" t="s">
        <v>193</v>
      </c>
      <c r="H396" s="30" t="s">
        <v>194</v>
      </c>
      <c r="I396" s="30" t="s">
        <v>16052</v>
      </c>
      <c r="J396" s="35" t="s">
        <v>9302</v>
      </c>
      <c r="K396" s="35">
        <v>18</v>
      </c>
      <c r="L396" s="35" t="s">
        <v>6955</v>
      </c>
      <c r="M396" s="35"/>
      <c r="N396" s="35" t="s">
        <v>16841</v>
      </c>
      <c r="O396" s="35" t="s">
        <v>6249</v>
      </c>
      <c r="P396" s="35" t="s">
        <v>16540</v>
      </c>
      <c r="Q396" s="35" t="s">
        <v>16053</v>
      </c>
      <c r="R396" s="35" t="s">
        <v>16083</v>
      </c>
      <c r="S396" s="35">
        <v>2359821</v>
      </c>
      <c r="T396" s="35">
        <v>33442830</v>
      </c>
      <c r="U396" s="35"/>
      <c r="V396" s="30"/>
      <c r="W396" s="505" t="s">
        <v>624</v>
      </c>
      <c r="X396" s="35" t="s">
        <v>193</v>
      </c>
      <c r="Y396" s="30">
        <v>25</v>
      </c>
      <c r="Z396" s="35"/>
      <c r="AA396" s="35"/>
      <c r="AB396" s="35"/>
      <c r="AC396" s="35"/>
      <c r="AD396" s="35"/>
      <c r="AE396" s="35"/>
      <c r="AF396" s="35"/>
      <c r="AG396" s="35"/>
      <c r="AH396" s="30" t="s">
        <v>4714</v>
      </c>
      <c r="AI396" s="35" t="s">
        <v>17</v>
      </c>
      <c r="AJ396" s="62" t="str">
        <f>MID('I kw.22'!W396,8,6)</f>
        <v>332203</v>
      </c>
      <c r="AK396" s="62">
        <v>1</v>
      </c>
      <c r="AL396" s="62">
        <f t="shared" si="6"/>
        <v>1</v>
      </c>
      <c r="AM396" s="62">
        <v>1</v>
      </c>
    </row>
    <row r="397" spans="1:39" x14ac:dyDescent="0.25">
      <c r="A397" s="35" t="s">
        <v>16840</v>
      </c>
      <c r="B397" s="35" t="s">
        <v>1057</v>
      </c>
      <c r="C397" s="35" t="s">
        <v>74</v>
      </c>
      <c r="D397" s="35" t="s">
        <v>16307</v>
      </c>
      <c r="E397" s="35" t="s">
        <v>233</v>
      </c>
      <c r="F397" s="62">
        <v>1</v>
      </c>
      <c r="G397" s="30" t="s">
        <v>193</v>
      </c>
      <c r="H397" s="30" t="s">
        <v>194</v>
      </c>
      <c r="I397" s="30" t="s">
        <v>16052</v>
      </c>
      <c r="J397" s="35" t="s">
        <v>367</v>
      </c>
      <c r="K397" s="35">
        <v>18</v>
      </c>
      <c r="L397" s="35" t="s">
        <v>6955</v>
      </c>
      <c r="M397" s="35"/>
      <c r="N397" s="35" t="s">
        <v>16839</v>
      </c>
      <c r="O397" s="35" t="s">
        <v>6277</v>
      </c>
      <c r="P397" s="35" t="s">
        <v>16766</v>
      </c>
      <c r="Q397" s="35" t="s">
        <v>16765</v>
      </c>
      <c r="R397" s="35" t="s">
        <v>16392</v>
      </c>
      <c r="S397" s="35">
        <v>2359922</v>
      </c>
      <c r="T397" s="35">
        <v>33960441</v>
      </c>
      <c r="U397" s="35"/>
      <c r="V397" s="30">
        <v>1805</v>
      </c>
      <c r="W397" s="35" t="s">
        <v>246</v>
      </c>
      <c r="X397" s="35" t="s">
        <v>194</v>
      </c>
      <c r="Y397" s="30">
        <v>1</v>
      </c>
      <c r="Z397" s="35"/>
      <c r="AA397" s="35"/>
      <c r="AB397" s="35"/>
      <c r="AC397" s="35"/>
      <c r="AD397" s="35"/>
      <c r="AE397" s="35"/>
      <c r="AF397" s="35"/>
      <c r="AG397" s="35"/>
      <c r="AH397" s="30" t="s">
        <v>4714</v>
      </c>
      <c r="AI397" s="35" t="s">
        <v>1057</v>
      </c>
      <c r="AJ397" s="62" t="str">
        <f>MID('I kw.22'!W397,8,6)</f>
        <v>142004</v>
      </c>
      <c r="AK397" s="62">
        <v>1</v>
      </c>
      <c r="AL397" s="62">
        <f t="shared" si="6"/>
        <v>1</v>
      </c>
      <c r="AM397" s="62">
        <v>1</v>
      </c>
    </row>
    <row r="398" spans="1:39" x14ac:dyDescent="0.25">
      <c r="A398" s="35" t="s">
        <v>6036</v>
      </c>
      <c r="B398" s="35" t="s">
        <v>16835</v>
      </c>
      <c r="C398" s="35" t="s">
        <v>16838</v>
      </c>
      <c r="D398" s="35" t="s">
        <v>16307</v>
      </c>
      <c r="E398" s="35" t="s">
        <v>233</v>
      </c>
      <c r="F398" s="62">
        <v>1</v>
      </c>
      <c r="G398" s="30" t="s">
        <v>193</v>
      </c>
      <c r="H398" s="30" t="s">
        <v>194</v>
      </c>
      <c r="I398" s="30" t="s">
        <v>16048</v>
      </c>
      <c r="J398" s="35" t="s">
        <v>6038</v>
      </c>
      <c r="K398" s="35">
        <v>18</v>
      </c>
      <c r="L398" s="35" t="s">
        <v>6955</v>
      </c>
      <c r="M398" s="35"/>
      <c r="N398" s="35" t="s">
        <v>16837</v>
      </c>
      <c r="O398" s="35" t="s">
        <v>8003</v>
      </c>
      <c r="P398" s="35" t="s">
        <v>16766</v>
      </c>
      <c r="Q398" s="35" t="s">
        <v>16765</v>
      </c>
      <c r="R398" s="35" t="s">
        <v>16392</v>
      </c>
      <c r="S398" s="35">
        <v>2359936</v>
      </c>
      <c r="T398" s="35">
        <v>33960455</v>
      </c>
      <c r="U398" s="35"/>
      <c r="V398" s="30">
        <v>1816</v>
      </c>
      <c r="W398" s="35" t="s">
        <v>16836</v>
      </c>
      <c r="X398" s="35" t="s">
        <v>194</v>
      </c>
      <c r="Y398" s="30">
        <v>1</v>
      </c>
      <c r="Z398" s="35"/>
      <c r="AA398" s="35"/>
      <c r="AB398" s="35"/>
      <c r="AC398" s="35"/>
      <c r="AD398" s="35"/>
      <c r="AE398" s="35"/>
      <c r="AF398" s="35"/>
      <c r="AG398" s="35"/>
      <c r="AH398" s="30" t="s">
        <v>4714</v>
      </c>
      <c r="AI398" s="35" t="s">
        <v>16835</v>
      </c>
      <c r="AJ398" s="62" t="str">
        <f>MID('I kw.22'!W398,8,6)</f>
        <v>732101</v>
      </c>
      <c r="AK398" s="62">
        <v>1</v>
      </c>
      <c r="AL398" s="62">
        <f t="shared" si="6"/>
        <v>1</v>
      </c>
      <c r="AM398" s="62">
        <v>1</v>
      </c>
    </row>
    <row r="399" spans="1:39" x14ac:dyDescent="0.25">
      <c r="A399" s="35" t="s">
        <v>15832</v>
      </c>
      <c r="B399" s="35" t="s">
        <v>16833</v>
      </c>
      <c r="C399" s="35" t="s">
        <v>1133</v>
      </c>
      <c r="D399" s="35" t="s">
        <v>16307</v>
      </c>
      <c r="E399" s="35" t="s">
        <v>233</v>
      </c>
      <c r="F399" s="62">
        <v>1</v>
      </c>
      <c r="G399" s="30" t="s">
        <v>193</v>
      </c>
      <c r="H399" s="30" t="s">
        <v>194</v>
      </c>
      <c r="I399" s="30" t="s">
        <v>16061</v>
      </c>
      <c r="J399" s="35" t="s">
        <v>9302</v>
      </c>
      <c r="K399" s="35">
        <v>18</v>
      </c>
      <c r="L399" s="35" t="s">
        <v>6955</v>
      </c>
      <c r="M399" s="35"/>
      <c r="N399" s="35" t="s">
        <v>16834</v>
      </c>
      <c r="O399" s="35" t="s">
        <v>6249</v>
      </c>
      <c r="P399" s="35" t="s">
        <v>16766</v>
      </c>
      <c r="Q399" s="35" t="s">
        <v>16765</v>
      </c>
      <c r="R399" s="35" t="s">
        <v>16392</v>
      </c>
      <c r="S399" s="35">
        <v>2359947</v>
      </c>
      <c r="T399" s="35">
        <v>33960466</v>
      </c>
      <c r="U399" s="35"/>
      <c r="V399" s="30"/>
      <c r="W399" s="505" t="s">
        <v>1134</v>
      </c>
      <c r="X399" s="35" t="s">
        <v>193</v>
      </c>
      <c r="Y399" s="30">
        <v>25</v>
      </c>
      <c r="Z399" s="35"/>
      <c r="AA399" s="35"/>
      <c r="AB399" s="35"/>
      <c r="AC399" s="35"/>
      <c r="AD399" s="35"/>
      <c r="AE399" s="35"/>
      <c r="AF399" s="35"/>
      <c r="AG399" s="35"/>
      <c r="AH399" s="30" t="s">
        <v>4714</v>
      </c>
      <c r="AI399" s="35" t="s">
        <v>16833</v>
      </c>
      <c r="AJ399" s="62" t="str">
        <f>MID('I kw.22'!W399,8,6)</f>
        <v>112008</v>
      </c>
      <c r="AK399" s="62">
        <v>1</v>
      </c>
      <c r="AL399" s="62">
        <f t="shared" si="6"/>
        <v>1</v>
      </c>
      <c r="AM399" s="62">
        <v>1</v>
      </c>
    </row>
    <row r="400" spans="1:39" x14ac:dyDescent="0.25">
      <c r="A400" s="35" t="s">
        <v>16832</v>
      </c>
      <c r="B400" s="35" t="s">
        <v>16830</v>
      </c>
      <c r="C400" s="35" t="s">
        <v>3031</v>
      </c>
      <c r="D400" s="35" t="s">
        <v>16307</v>
      </c>
      <c r="E400" s="35" t="s">
        <v>233</v>
      </c>
      <c r="F400" s="62">
        <v>1</v>
      </c>
      <c r="G400" s="30" t="s">
        <v>193</v>
      </c>
      <c r="H400" s="30" t="s">
        <v>194</v>
      </c>
      <c r="I400" s="30" t="s">
        <v>16073</v>
      </c>
      <c r="J400" s="35" t="s">
        <v>9302</v>
      </c>
      <c r="K400" s="35">
        <v>18</v>
      </c>
      <c r="L400" s="35" t="s">
        <v>6955</v>
      </c>
      <c r="M400" s="35"/>
      <c r="N400" s="35" t="s">
        <v>16831</v>
      </c>
      <c r="O400" s="35" t="s">
        <v>6286</v>
      </c>
      <c r="P400" s="35" t="s">
        <v>16766</v>
      </c>
      <c r="Q400" s="35" t="s">
        <v>16765</v>
      </c>
      <c r="R400" s="35" t="s">
        <v>16052</v>
      </c>
      <c r="S400" s="35">
        <v>2359972</v>
      </c>
      <c r="T400" s="35">
        <v>33960491</v>
      </c>
      <c r="U400" s="35"/>
      <c r="V400" s="30"/>
      <c r="W400" s="505" t="s">
        <v>4380</v>
      </c>
      <c r="X400" s="35" t="s">
        <v>193</v>
      </c>
      <c r="Y400" s="30">
        <v>25</v>
      </c>
      <c r="Z400" s="35"/>
      <c r="AA400" s="35"/>
      <c r="AB400" s="35"/>
      <c r="AC400" s="35"/>
      <c r="AD400" s="35"/>
      <c r="AE400" s="35"/>
      <c r="AF400" s="35"/>
      <c r="AG400" s="35"/>
      <c r="AH400" s="30" t="s">
        <v>4714</v>
      </c>
      <c r="AI400" s="35" t="s">
        <v>16830</v>
      </c>
      <c r="AJ400" s="62" t="str">
        <f>MID('I kw.22'!W400,8,6)</f>
        <v>141101</v>
      </c>
      <c r="AK400" s="62">
        <v>1</v>
      </c>
      <c r="AL400" s="62">
        <f t="shared" si="6"/>
        <v>1</v>
      </c>
      <c r="AM400" s="62">
        <v>1</v>
      </c>
    </row>
    <row r="401" spans="1:39" x14ac:dyDescent="0.25">
      <c r="A401" s="35" t="s">
        <v>16829</v>
      </c>
      <c r="B401" s="35" t="s">
        <v>16827</v>
      </c>
      <c r="C401" s="35" t="s">
        <v>886</v>
      </c>
      <c r="D401" s="35" t="s">
        <v>16307</v>
      </c>
      <c r="E401" s="35" t="s">
        <v>233</v>
      </c>
      <c r="F401" s="62">
        <v>1</v>
      </c>
      <c r="G401" s="30" t="s">
        <v>193</v>
      </c>
      <c r="H401" s="30" t="s">
        <v>194</v>
      </c>
      <c r="I401" s="30" t="s">
        <v>16052</v>
      </c>
      <c r="J401" s="35" t="s">
        <v>210</v>
      </c>
      <c r="K401" s="35">
        <v>18</v>
      </c>
      <c r="L401" s="35" t="s">
        <v>6955</v>
      </c>
      <c r="M401" s="35"/>
      <c r="N401" s="35" t="s">
        <v>16828</v>
      </c>
      <c r="O401" s="35" t="s">
        <v>6266</v>
      </c>
      <c r="P401" s="35" t="s">
        <v>16766</v>
      </c>
      <c r="Q401" s="35" t="s">
        <v>16765</v>
      </c>
      <c r="R401" s="35" t="s">
        <v>16392</v>
      </c>
      <c r="S401" s="35">
        <v>2360005</v>
      </c>
      <c r="T401" s="35">
        <v>33960524</v>
      </c>
      <c r="U401" s="35"/>
      <c r="V401" s="30">
        <v>1863</v>
      </c>
      <c r="W401" s="35" t="s">
        <v>887</v>
      </c>
      <c r="X401" s="35" t="s">
        <v>194</v>
      </c>
      <c r="Y401" s="30">
        <v>1</v>
      </c>
      <c r="Z401" s="35"/>
      <c r="AA401" s="35"/>
      <c r="AB401" s="35"/>
      <c r="AC401" s="35"/>
      <c r="AD401" s="35"/>
      <c r="AE401" s="35"/>
      <c r="AF401" s="35"/>
      <c r="AG401" s="35"/>
      <c r="AH401" s="30" t="s">
        <v>4714</v>
      </c>
      <c r="AI401" s="35" t="s">
        <v>16827</v>
      </c>
      <c r="AJ401" s="62" t="str">
        <f>MID('I kw.22'!W401,8,6)</f>
        <v>834401</v>
      </c>
      <c r="AK401" s="62">
        <v>1</v>
      </c>
      <c r="AL401" s="62">
        <f t="shared" si="6"/>
        <v>1</v>
      </c>
      <c r="AM401" s="62">
        <v>1</v>
      </c>
    </row>
    <row r="402" spans="1:39" x14ac:dyDescent="0.25">
      <c r="A402" s="35" t="s">
        <v>9239</v>
      </c>
      <c r="B402" s="35" t="s">
        <v>16825</v>
      </c>
      <c r="C402" s="35" t="s">
        <v>1215</v>
      </c>
      <c r="D402" s="35" t="s">
        <v>16307</v>
      </c>
      <c r="E402" s="35" t="s">
        <v>233</v>
      </c>
      <c r="F402" s="62">
        <v>1</v>
      </c>
      <c r="G402" s="30" t="s">
        <v>194</v>
      </c>
      <c r="H402" s="30" t="s">
        <v>193</v>
      </c>
      <c r="I402" s="30" t="s">
        <v>16083</v>
      </c>
      <c r="J402" s="35" t="s">
        <v>9302</v>
      </c>
      <c r="K402" s="35">
        <v>18</v>
      </c>
      <c r="L402" s="35" t="s">
        <v>6955</v>
      </c>
      <c r="M402" s="35"/>
      <c r="N402" s="35" t="s">
        <v>16826</v>
      </c>
      <c r="O402" s="35" t="s">
        <v>6266</v>
      </c>
      <c r="P402" s="35" t="s">
        <v>16766</v>
      </c>
      <c r="Q402" s="35" t="s">
        <v>16765</v>
      </c>
      <c r="R402" s="35" t="s">
        <v>16392</v>
      </c>
      <c r="S402" s="35">
        <v>2360021</v>
      </c>
      <c r="T402" s="35">
        <v>33960540</v>
      </c>
      <c r="U402" s="35"/>
      <c r="V402" s="30"/>
      <c r="W402" s="505" t="s">
        <v>1216</v>
      </c>
      <c r="X402" s="35" t="s">
        <v>193</v>
      </c>
      <c r="Y402" s="30">
        <v>25</v>
      </c>
      <c r="Z402" s="35"/>
      <c r="AA402" s="35"/>
      <c r="AB402" s="35"/>
      <c r="AC402" s="35"/>
      <c r="AD402" s="35"/>
      <c r="AE402" s="35"/>
      <c r="AF402" s="35"/>
      <c r="AG402" s="35"/>
      <c r="AH402" s="30" t="s">
        <v>4714</v>
      </c>
      <c r="AI402" s="35" t="s">
        <v>16825</v>
      </c>
      <c r="AJ402" s="62" t="str">
        <f>MID('I kw.22'!W402,8,6)</f>
        <v>933304</v>
      </c>
      <c r="AK402" s="62">
        <v>1</v>
      </c>
      <c r="AL402" s="62">
        <f t="shared" si="6"/>
        <v>1</v>
      </c>
      <c r="AM402" s="62">
        <v>1</v>
      </c>
    </row>
    <row r="403" spans="1:39" x14ac:dyDescent="0.25">
      <c r="A403" s="35" t="s">
        <v>16824</v>
      </c>
      <c r="B403" s="35" t="s">
        <v>16820</v>
      </c>
      <c r="C403" s="35" t="s">
        <v>17</v>
      </c>
      <c r="D403" s="35" t="s">
        <v>16307</v>
      </c>
      <c r="E403" s="35" t="s">
        <v>233</v>
      </c>
      <c r="F403" s="62">
        <v>1</v>
      </c>
      <c r="G403" s="30" t="s">
        <v>193</v>
      </c>
      <c r="H403" s="30" t="s">
        <v>194</v>
      </c>
      <c r="I403" s="30" t="s">
        <v>16052</v>
      </c>
      <c r="J403" s="35" t="s">
        <v>16823</v>
      </c>
      <c r="K403" s="35">
        <v>18</v>
      </c>
      <c r="L403" s="35" t="s">
        <v>6955</v>
      </c>
      <c r="M403" s="35"/>
      <c r="N403" s="35" t="s">
        <v>16822</v>
      </c>
      <c r="O403" s="35" t="s">
        <v>6249</v>
      </c>
      <c r="P403" s="35" t="s">
        <v>16766</v>
      </c>
      <c r="Q403" s="35" t="s">
        <v>16765</v>
      </c>
      <c r="R403" s="35" t="s">
        <v>16392</v>
      </c>
      <c r="S403" s="35">
        <v>2360046</v>
      </c>
      <c r="T403" s="35">
        <v>33960566</v>
      </c>
      <c r="U403" s="35"/>
      <c r="V403" s="30" t="s">
        <v>16821</v>
      </c>
      <c r="W403" s="35" t="s">
        <v>624</v>
      </c>
      <c r="X403" s="35" t="s">
        <v>194</v>
      </c>
      <c r="Y403" s="30">
        <v>3</v>
      </c>
      <c r="Z403" s="35"/>
      <c r="AA403" s="35"/>
      <c r="AB403" s="35"/>
      <c r="AC403" s="35"/>
      <c r="AD403" s="35"/>
      <c r="AE403" s="35"/>
      <c r="AF403" s="35"/>
      <c r="AG403" s="35"/>
      <c r="AH403" s="30" t="s">
        <v>4714</v>
      </c>
      <c r="AI403" s="35" t="s">
        <v>16820</v>
      </c>
      <c r="AJ403" s="62" t="str">
        <f>MID('I kw.22'!W403,8,6)</f>
        <v>332203</v>
      </c>
      <c r="AK403" s="62">
        <v>1</v>
      </c>
      <c r="AL403" s="62">
        <f t="shared" si="6"/>
        <v>1</v>
      </c>
      <c r="AM403" s="62">
        <v>1</v>
      </c>
    </row>
    <row r="404" spans="1:39" x14ac:dyDescent="0.25">
      <c r="A404" s="35" t="s">
        <v>16819</v>
      </c>
      <c r="B404" s="35" t="s">
        <v>16817</v>
      </c>
      <c r="C404" s="35" t="s">
        <v>92</v>
      </c>
      <c r="D404" s="35" t="s">
        <v>16307</v>
      </c>
      <c r="E404" s="35" t="s">
        <v>233</v>
      </c>
      <c r="F404" s="62">
        <v>1</v>
      </c>
      <c r="G404" s="30" t="s">
        <v>193</v>
      </c>
      <c r="H404" s="30" t="s">
        <v>194</v>
      </c>
      <c r="I404" s="30" t="s">
        <v>16121</v>
      </c>
      <c r="J404" s="35" t="s">
        <v>9302</v>
      </c>
      <c r="K404" s="35">
        <v>18</v>
      </c>
      <c r="L404" s="35" t="s">
        <v>6955</v>
      </c>
      <c r="M404" s="35"/>
      <c r="N404" s="35" t="s">
        <v>16818</v>
      </c>
      <c r="O404" s="35" t="s">
        <v>6249</v>
      </c>
      <c r="P404" s="35" t="s">
        <v>16766</v>
      </c>
      <c r="Q404" s="35" t="s">
        <v>16765</v>
      </c>
      <c r="R404" s="35" t="s">
        <v>16392</v>
      </c>
      <c r="S404" s="35">
        <v>2360076</v>
      </c>
      <c r="T404" s="35">
        <v>33960598</v>
      </c>
      <c r="U404" s="35"/>
      <c r="V404" s="30"/>
      <c r="W404" s="505" t="s">
        <v>2078</v>
      </c>
      <c r="X404" s="35" t="s">
        <v>193</v>
      </c>
      <c r="Y404" s="30">
        <v>25</v>
      </c>
      <c r="Z404" s="35"/>
      <c r="AA404" s="35"/>
      <c r="AB404" s="35"/>
      <c r="AC404" s="35"/>
      <c r="AD404" s="35"/>
      <c r="AE404" s="35"/>
      <c r="AF404" s="35"/>
      <c r="AG404" s="35"/>
      <c r="AH404" s="30" t="s">
        <v>4714</v>
      </c>
      <c r="AI404" s="35" t="s">
        <v>16817</v>
      </c>
      <c r="AJ404" s="62" t="str">
        <f>MID('I kw.22'!W404,8,6)</f>
        <v>351201</v>
      </c>
      <c r="AK404" s="62">
        <v>1</v>
      </c>
      <c r="AL404" s="62">
        <f t="shared" si="6"/>
        <v>1</v>
      </c>
      <c r="AM404" s="62">
        <v>1</v>
      </c>
    </row>
    <row r="405" spans="1:39" x14ac:dyDescent="0.25">
      <c r="A405" s="35" t="s">
        <v>9239</v>
      </c>
      <c r="B405" s="35" t="s">
        <v>16813</v>
      </c>
      <c r="C405" s="35" t="s">
        <v>16816</v>
      </c>
      <c r="D405" s="35" t="s">
        <v>16307</v>
      </c>
      <c r="E405" s="35" t="s">
        <v>233</v>
      </c>
      <c r="F405" s="62">
        <v>1</v>
      </c>
      <c r="G405" s="30" t="s">
        <v>194</v>
      </c>
      <c r="H405" s="30" t="s">
        <v>193</v>
      </c>
      <c r="I405" s="30" t="s">
        <v>16083</v>
      </c>
      <c r="J405" s="35" t="s">
        <v>9302</v>
      </c>
      <c r="K405" s="35">
        <v>18</v>
      </c>
      <c r="L405" s="35" t="s">
        <v>6955</v>
      </c>
      <c r="M405" s="35"/>
      <c r="N405" s="35" t="s">
        <v>16815</v>
      </c>
      <c r="O405" s="35" t="s">
        <v>6275</v>
      </c>
      <c r="P405" s="35" t="s">
        <v>16766</v>
      </c>
      <c r="Q405" s="35" t="s">
        <v>16765</v>
      </c>
      <c r="R405" s="35" t="s">
        <v>16392</v>
      </c>
      <c r="S405" s="35">
        <v>2360121</v>
      </c>
      <c r="T405" s="35">
        <v>33960646</v>
      </c>
      <c r="U405" s="35"/>
      <c r="V405" s="30"/>
      <c r="W405" s="505" t="s">
        <v>16814</v>
      </c>
      <c r="X405" s="35" t="s">
        <v>193</v>
      </c>
      <c r="Y405" s="30">
        <v>25</v>
      </c>
      <c r="Z405" s="35"/>
      <c r="AA405" s="35"/>
      <c r="AB405" s="35"/>
      <c r="AC405" s="35"/>
      <c r="AD405" s="35"/>
      <c r="AE405" s="35"/>
      <c r="AF405" s="35"/>
      <c r="AG405" s="35"/>
      <c r="AH405" s="30" t="s">
        <v>4714</v>
      </c>
      <c r="AI405" s="35" t="s">
        <v>16813</v>
      </c>
      <c r="AJ405" s="62" t="str">
        <f>MID('I kw.22'!W405,8,6)</f>
        <v>814204</v>
      </c>
      <c r="AK405" s="62">
        <v>1</v>
      </c>
      <c r="AL405" s="62">
        <f t="shared" si="6"/>
        <v>1</v>
      </c>
      <c r="AM405" s="62">
        <v>1</v>
      </c>
    </row>
    <row r="406" spans="1:39" x14ac:dyDescent="0.25">
      <c r="A406" s="35" t="s">
        <v>9239</v>
      </c>
      <c r="B406" s="35" t="s">
        <v>16811</v>
      </c>
      <c r="C406" s="35" t="s">
        <v>11194</v>
      </c>
      <c r="D406" s="35" t="s">
        <v>16307</v>
      </c>
      <c r="E406" s="35" t="s">
        <v>233</v>
      </c>
      <c r="F406" s="62">
        <v>1</v>
      </c>
      <c r="G406" s="30" t="s">
        <v>194</v>
      </c>
      <c r="H406" s="30" t="s">
        <v>193</v>
      </c>
      <c r="I406" s="30" t="s">
        <v>16078</v>
      </c>
      <c r="J406" s="35" t="s">
        <v>9302</v>
      </c>
      <c r="K406" s="35">
        <v>18</v>
      </c>
      <c r="L406" s="35" t="s">
        <v>6955</v>
      </c>
      <c r="M406" s="35"/>
      <c r="N406" s="35" t="s">
        <v>16812</v>
      </c>
      <c r="O406" s="35" t="s">
        <v>6275</v>
      </c>
      <c r="P406" s="35" t="s">
        <v>16766</v>
      </c>
      <c r="Q406" s="35" t="s">
        <v>16765</v>
      </c>
      <c r="R406" s="35" t="s">
        <v>16392</v>
      </c>
      <c r="S406" s="35">
        <v>2360137</v>
      </c>
      <c r="T406" s="35">
        <v>33960662</v>
      </c>
      <c r="U406" s="35"/>
      <c r="V406" s="30"/>
      <c r="W406" s="505" t="s">
        <v>11198</v>
      </c>
      <c r="X406" s="35" t="s">
        <v>194</v>
      </c>
      <c r="Y406" s="30">
        <v>0</v>
      </c>
      <c r="Z406" s="35"/>
      <c r="AA406" s="35"/>
      <c r="AB406" s="35"/>
      <c r="AC406" s="35"/>
      <c r="AD406" s="35"/>
      <c r="AE406" s="35"/>
      <c r="AF406" s="35"/>
      <c r="AG406" s="35"/>
      <c r="AH406" s="30" t="s">
        <v>4714</v>
      </c>
      <c r="AI406" s="35" t="s">
        <v>16811</v>
      </c>
      <c r="AJ406" s="62" t="str">
        <f>MID('I kw.22'!W406,8,6)</f>
        <v>815702</v>
      </c>
      <c r="AK406" s="62">
        <v>1</v>
      </c>
      <c r="AL406" s="62">
        <f t="shared" si="6"/>
        <v>1</v>
      </c>
      <c r="AM406" s="62">
        <v>1</v>
      </c>
    </row>
    <row r="407" spans="1:39" x14ac:dyDescent="0.25">
      <c r="A407" s="35" t="s">
        <v>16810</v>
      </c>
      <c r="B407" s="35" t="s">
        <v>2630</v>
      </c>
      <c r="C407" s="35" t="s">
        <v>42</v>
      </c>
      <c r="D407" s="35" t="s">
        <v>16307</v>
      </c>
      <c r="E407" s="35" t="s">
        <v>233</v>
      </c>
      <c r="F407" s="62">
        <v>1</v>
      </c>
      <c r="G407" s="30" t="s">
        <v>193</v>
      </c>
      <c r="H407" s="30" t="s">
        <v>194</v>
      </c>
      <c r="I407" s="30" t="s">
        <v>16068</v>
      </c>
      <c r="J407" s="35" t="s">
        <v>9302</v>
      </c>
      <c r="K407" s="35">
        <v>18</v>
      </c>
      <c r="L407" s="35" t="s">
        <v>6955</v>
      </c>
      <c r="M407" s="35"/>
      <c r="N407" s="35" t="s">
        <v>16809</v>
      </c>
      <c r="O407" s="35" t="s">
        <v>6327</v>
      </c>
      <c r="P407" s="35" t="s">
        <v>16766</v>
      </c>
      <c r="Q407" s="35" t="s">
        <v>16765</v>
      </c>
      <c r="R407" s="35" t="s">
        <v>16392</v>
      </c>
      <c r="S407" s="35">
        <v>2360182</v>
      </c>
      <c r="T407" s="35">
        <v>33960709</v>
      </c>
      <c r="U407" s="35"/>
      <c r="V407" s="30"/>
      <c r="W407" s="505" t="s">
        <v>2628</v>
      </c>
      <c r="X407" s="35" t="s">
        <v>193</v>
      </c>
      <c r="Y407" s="30">
        <v>25</v>
      </c>
      <c r="Z407" s="35"/>
      <c r="AA407" s="35"/>
      <c r="AB407" s="35"/>
      <c r="AC407" s="35"/>
      <c r="AD407" s="35"/>
      <c r="AE407" s="35"/>
      <c r="AF407" s="35"/>
      <c r="AG407" s="35"/>
      <c r="AH407" s="30" t="s">
        <v>4714</v>
      </c>
      <c r="AI407" s="35" t="s">
        <v>2630</v>
      </c>
      <c r="AJ407" s="62" t="str">
        <f>MID('I kw.22'!W407,8,6)</f>
        <v>325509</v>
      </c>
      <c r="AK407" s="62">
        <v>1</v>
      </c>
      <c r="AL407" s="62">
        <f t="shared" si="6"/>
        <v>1</v>
      </c>
      <c r="AM407" s="62">
        <v>1</v>
      </c>
    </row>
    <row r="408" spans="1:39" x14ac:dyDescent="0.25">
      <c r="A408" s="35" t="s">
        <v>6036</v>
      </c>
      <c r="B408" s="35" t="s">
        <v>16807</v>
      </c>
      <c r="C408" s="35" t="s">
        <v>3416</v>
      </c>
      <c r="D408" s="35" t="s">
        <v>16307</v>
      </c>
      <c r="E408" s="35" t="s">
        <v>233</v>
      </c>
      <c r="F408" s="62">
        <v>1</v>
      </c>
      <c r="G408" s="30" t="s">
        <v>193</v>
      </c>
      <c r="H408" s="30" t="s">
        <v>194</v>
      </c>
      <c r="I408" s="30" t="s">
        <v>16068</v>
      </c>
      <c r="J408" s="35" t="s">
        <v>6038</v>
      </c>
      <c r="K408" s="35">
        <v>18</v>
      </c>
      <c r="L408" s="35" t="s">
        <v>6955</v>
      </c>
      <c r="M408" s="35"/>
      <c r="N408" s="35" t="s">
        <v>16808</v>
      </c>
      <c r="O408" s="35" t="s">
        <v>6295</v>
      </c>
      <c r="P408" s="35" t="s">
        <v>16766</v>
      </c>
      <c r="Q408" s="35" t="s">
        <v>16765</v>
      </c>
      <c r="R408" s="35" t="s">
        <v>16392</v>
      </c>
      <c r="S408" s="35">
        <v>2360217</v>
      </c>
      <c r="T408" s="35">
        <v>33960744</v>
      </c>
      <c r="U408" s="35"/>
      <c r="V408" s="30">
        <v>1816</v>
      </c>
      <c r="W408" s="35" t="s">
        <v>3417</v>
      </c>
      <c r="X408" s="35" t="s">
        <v>194</v>
      </c>
      <c r="Y408" s="30">
        <v>1</v>
      </c>
      <c r="Z408" s="35"/>
      <c r="AA408" s="35"/>
      <c r="AB408" s="35"/>
      <c r="AC408" s="35"/>
      <c r="AD408" s="35"/>
      <c r="AE408" s="35"/>
      <c r="AF408" s="35"/>
      <c r="AG408" s="35"/>
      <c r="AH408" s="30" t="s">
        <v>4714</v>
      </c>
      <c r="AI408" s="35" t="s">
        <v>16807</v>
      </c>
      <c r="AJ408" s="62" t="str">
        <f>MID('I kw.22'!W408,8,6)</f>
        <v>243105</v>
      </c>
      <c r="AK408" s="62">
        <v>1</v>
      </c>
      <c r="AL408" s="62">
        <f t="shared" si="6"/>
        <v>1</v>
      </c>
      <c r="AM408" s="62">
        <v>1</v>
      </c>
    </row>
    <row r="409" spans="1:39" x14ac:dyDescent="0.25">
      <c r="A409" s="35" t="s">
        <v>6036</v>
      </c>
      <c r="B409" s="35" t="s">
        <v>8665</v>
      </c>
      <c r="C409" s="35" t="s">
        <v>13987</v>
      </c>
      <c r="D409" s="35" t="s">
        <v>16307</v>
      </c>
      <c r="E409" s="35" t="s">
        <v>233</v>
      </c>
      <c r="F409" s="62">
        <v>1</v>
      </c>
      <c r="G409" s="30" t="s">
        <v>193</v>
      </c>
      <c r="H409" s="30" t="s">
        <v>194</v>
      </c>
      <c r="I409" s="30" t="s">
        <v>16083</v>
      </c>
      <c r="J409" s="35" t="s">
        <v>6038</v>
      </c>
      <c r="K409" s="35">
        <v>18</v>
      </c>
      <c r="L409" s="35" t="s">
        <v>6955</v>
      </c>
      <c r="M409" s="35"/>
      <c r="N409" s="35" t="s">
        <v>16806</v>
      </c>
      <c r="O409" s="35" t="s">
        <v>6275</v>
      </c>
      <c r="P409" s="35" t="s">
        <v>16766</v>
      </c>
      <c r="Q409" s="35" t="s">
        <v>16765</v>
      </c>
      <c r="R409" s="35" t="s">
        <v>16392</v>
      </c>
      <c r="S409" s="35">
        <v>2360218</v>
      </c>
      <c r="T409" s="35">
        <v>33960745</v>
      </c>
      <c r="U409" s="35"/>
      <c r="V409" s="30">
        <v>1816</v>
      </c>
      <c r="W409" s="35" t="s">
        <v>13991</v>
      </c>
      <c r="X409" s="35" t="s">
        <v>194</v>
      </c>
      <c r="Y409" s="30">
        <v>1</v>
      </c>
      <c r="Z409" s="35"/>
      <c r="AA409" s="35"/>
      <c r="AB409" s="35"/>
      <c r="AC409" s="35"/>
      <c r="AD409" s="35"/>
      <c r="AE409" s="35"/>
      <c r="AF409" s="35"/>
      <c r="AG409" s="35"/>
      <c r="AH409" s="30" t="s">
        <v>4714</v>
      </c>
      <c r="AI409" s="35" t="s">
        <v>8665</v>
      </c>
      <c r="AJ409" s="62" t="str">
        <f>MID('I kw.22'!W409,8,6)</f>
        <v>311918</v>
      </c>
      <c r="AK409" s="62">
        <v>1</v>
      </c>
      <c r="AL409" s="62">
        <f t="shared" si="6"/>
        <v>1</v>
      </c>
      <c r="AM409" s="62">
        <v>1</v>
      </c>
    </row>
    <row r="410" spans="1:39" x14ac:dyDescent="0.25">
      <c r="A410" s="35" t="s">
        <v>6036</v>
      </c>
      <c r="B410" s="35" t="s">
        <v>16804</v>
      </c>
      <c r="C410" s="35" t="s">
        <v>43</v>
      </c>
      <c r="D410" s="35" t="s">
        <v>16307</v>
      </c>
      <c r="E410" s="35" t="s">
        <v>233</v>
      </c>
      <c r="F410" s="62">
        <v>1</v>
      </c>
      <c r="G410" s="30" t="s">
        <v>193</v>
      </c>
      <c r="H410" s="30" t="s">
        <v>194</v>
      </c>
      <c r="I410" s="30" t="s">
        <v>16068</v>
      </c>
      <c r="J410" s="35" t="s">
        <v>6038</v>
      </c>
      <c r="K410" s="35">
        <v>18</v>
      </c>
      <c r="L410" s="35" t="s">
        <v>6955</v>
      </c>
      <c r="M410" s="35"/>
      <c r="N410" s="35" t="s">
        <v>16805</v>
      </c>
      <c r="O410" s="35" t="s">
        <v>6302</v>
      </c>
      <c r="P410" s="35" t="s">
        <v>16766</v>
      </c>
      <c r="Q410" s="35" t="s">
        <v>16765</v>
      </c>
      <c r="R410" s="35" t="s">
        <v>16392</v>
      </c>
      <c r="S410" s="35">
        <v>2360219</v>
      </c>
      <c r="T410" s="35">
        <v>33960746</v>
      </c>
      <c r="U410" s="35"/>
      <c r="V410" s="30">
        <v>1816</v>
      </c>
      <c r="W410" s="35" t="s">
        <v>452</v>
      </c>
      <c r="X410" s="35" t="s">
        <v>194</v>
      </c>
      <c r="Y410" s="30">
        <v>1</v>
      </c>
      <c r="Z410" s="35"/>
      <c r="AA410" s="35"/>
      <c r="AB410" s="35"/>
      <c r="AC410" s="35"/>
      <c r="AD410" s="35"/>
      <c r="AE410" s="35"/>
      <c r="AF410" s="35"/>
      <c r="AG410" s="35"/>
      <c r="AH410" s="30" t="s">
        <v>4714</v>
      </c>
      <c r="AI410" s="35" t="s">
        <v>16804</v>
      </c>
      <c r="AJ410" s="62" t="str">
        <f>MID('I kw.22'!W410,8,6)</f>
        <v>243106</v>
      </c>
      <c r="AK410" s="62">
        <v>1</v>
      </c>
      <c r="AL410" s="62">
        <f t="shared" si="6"/>
        <v>1</v>
      </c>
      <c r="AM410" s="62">
        <v>1</v>
      </c>
    </row>
    <row r="411" spans="1:39" x14ac:dyDescent="0.25">
      <c r="A411" s="35" t="s">
        <v>6036</v>
      </c>
      <c r="B411" s="35" t="s">
        <v>16802</v>
      </c>
      <c r="C411" s="35" t="s">
        <v>115</v>
      </c>
      <c r="D411" s="35" t="s">
        <v>16307</v>
      </c>
      <c r="E411" s="35" t="s">
        <v>233</v>
      </c>
      <c r="F411" s="62">
        <v>1</v>
      </c>
      <c r="G411" s="30" t="s">
        <v>193</v>
      </c>
      <c r="H411" s="30" t="s">
        <v>194</v>
      </c>
      <c r="I411" s="30" t="s">
        <v>16073</v>
      </c>
      <c r="J411" s="35" t="s">
        <v>6038</v>
      </c>
      <c r="K411" s="35">
        <v>18</v>
      </c>
      <c r="L411" s="35" t="s">
        <v>6955</v>
      </c>
      <c r="M411" s="35"/>
      <c r="N411" s="35" t="s">
        <v>16803</v>
      </c>
      <c r="O411" s="35" t="s">
        <v>6245</v>
      </c>
      <c r="P411" s="35" t="s">
        <v>16766</v>
      </c>
      <c r="Q411" s="35" t="s">
        <v>16765</v>
      </c>
      <c r="R411" s="35" t="s">
        <v>16392</v>
      </c>
      <c r="S411" s="35">
        <v>2360220</v>
      </c>
      <c r="T411" s="35">
        <v>33960747</v>
      </c>
      <c r="U411" s="35"/>
      <c r="V411" s="30">
        <v>1816</v>
      </c>
      <c r="W411" s="35" t="s">
        <v>1183</v>
      </c>
      <c r="X411" s="35" t="s">
        <v>194</v>
      </c>
      <c r="Y411" s="30">
        <v>1</v>
      </c>
      <c r="Z411" s="35"/>
      <c r="AA411" s="35"/>
      <c r="AB411" s="35"/>
      <c r="AC411" s="35"/>
      <c r="AD411" s="35"/>
      <c r="AE411" s="35"/>
      <c r="AF411" s="35"/>
      <c r="AG411" s="35"/>
      <c r="AH411" s="30" t="s">
        <v>4714</v>
      </c>
      <c r="AI411" s="35" t="s">
        <v>16802</v>
      </c>
      <c r="AJ411" s="62" t="str">
        <f>MID('I kw.22'!W411,8,6)</f>
        <v>311909</v>
      </c>
      <c r="AK411" s="62">
        <v>1</v>
      </c>
      <c r="AL411" s="62">
        <f t="shared" si="6"/>
        <v>1</v>
      </c>
      <c r="AM411" s="62">
        <v>1</v>
      </c>
    </row>
    <row r="412" spans="1:39" x14ac:dyDescent="0.25">
      <c r="A412" s="35" t="s">
        <v>6036</v>
      </c>
      <c r="B412" s="35" t="s">
        <v>16800</v>
      </c>
      <c r="C412" s="35" t="s">
        <v>150</v>
      </c>
      <c r="D412" s="35" t="s">
        <v>16307</v>
      </c>
      <c r="E412" s="35" t="s">
        <v>233</v>
      </c>
      <c r="F412" s="62">
        <v>1</v>
      </c>
      <c r="G412" s="30" t="s">
        <v>193</v>
      </c>
      <c r="H412" s="30" t="s">
        <v>194</v>
      </c>
      <c r="I412" s="30" t="s">
        <v>16068</v>
      </c>
      <c r="J412" s="35" t="s">
        <v>6038</v>
      </c>
      <c r="K412" s="35">
        <v>18</v>
      </c>
      <c r="L412" s="35" t="s">
        <v>6955</v>
      </c>
      <c r="M412" s="35"/>
      <c r="N412" s="35" t="s">
        <v>16801</v>
      </c>
      <c r="O412" s="35" t="s">
        <v>6277</v>
      </c>
      <c r="P412" s="35" t="s">
        <v>16766</v>
      </c>
      <c r="Q412" s="35" t="s">
        <v>16765</v>
      </c>
      <c r="R412" s="35" t="s">
        <v>16392</v>
      </c>
      <c r="S412" s="35">
        <v>2360221</v>
      </c>
      <c r="T412" s="35">
        <v>33960748</v>
      </c>
      <c r="U412" s="35"/>
      <c r="V412" s="30">
        <v>1816</v>
      </c>
      <c r="W412" s="35" t="s">
        <v>1274</v>
      </c>
      <c r="X412" s="35" t="s">
        <v>194</v>
      </c>
      <c r="Y412" s="30">
        <v>1</v>
      </c>
      <c r="Z412" s="35"/>
      <c r="AA412" s="35"/>
      <c r="AB412" s="35"/>
      <c r="AC412" s="35"/>
      <c r="AD412" s="35"/>
      <c r="AE412" s="35"/>
      <c r="AF412" s="35"/>
      <c r="AG412" s="35"/>
      <c r="AH412" s="30" t="s">
        <v>4714</v>
      </c>
      <c r="AI412" s="35" t="s">
        <v>16800</v>
      </c>
      <c r="AJ412" s="62" t="str">
        <f>MID('I kw.22'!W412,8,6)</f>
        <v>132105</v>
      </c>
      <c r="AK412" s="62">
        <v>1</v>
      </c>
      <c r="AL412" s="62">
        <f t="shared" si="6"/>
        <v>1</v>
      </c>
      <c r="AM412" s="62">
        <v>1</v>
      </c>
    </row>
    <row r="413" spans="1:39" x14ac:dyDescent="0.25">
      <c r="A413" s="35" t="s">
        <v>6036</v>
      </c>
      <c r="B413" s="35" t="s">
        <v>6046</v>
      </c>
      <c r="C413" s="35" t="s">
        <v>10</v>
      </c>
      <c r="D413" s="35" t="s">
        <v>16307</v>
      </c>
      <c r="E413" s="35" t="s">
        <v>233</v>
      </c>
      <c r="F413" s="62">
        <v>1</v>
      </c>
      <c r="G413" s="30" t="s">
        <v>193</v>
      </c>
      <c r="H413" s="30" t="s">
        <v>194</v>
      </c>
      <c r="I413" s="30" t="s">
        <v>16073</v>
      </c>
      <c r="J413" s="35" t="s">
        <v>6038</v>
      </c>
      <c r="K413" s="35">
        <v>18</v>
      </c>
      <c r="L413" s="35" t="s">
        <v>6955</v>
      </c>
      <c r="M413" s="35"/>
      <c r="N413" s="35" t="s">
        <v>16799</v>
      </c>
      <c r="O413" s="35" t="s">
        <v>6261</v>
      </c>
      <c r="P413" s="35" t="s">
        <v>16766</v>
      </c>
      <c r="Q413" s="35" t="s">
        <v>16765</v>
      </c>
      <c r="R413" s="35" t="s">
        <v>16392</v>
      </c>
      <c r="S413" s="35">
        <v>2360222</v>
      </c>
      <c r="T413" s="35">
        <v>33960749</v>
      </c>
      <c r="U413" s="35"/>
      <c r="V413" s="30">
        <v>1816</v>
      </c>
      <c r="W413" s="35" t="s">
        <v>484</v>
      </c>
      <c r="X413" s="35" t="s">
        <v>194</v>
      </c>
      <c r="Y413" s="30">
        <v>1</v>
      </c>
      <c r="Z413" s="35"/>
      <c r="AA413" s="35"/>
      <c r="AB413" s="35"/>
      <c r="AC413" s="35"/>
      <c r="AD413" s="35"/>
      <c r="AE413" s="35"/>
      <c r="AF413" s="35"/>
      <c r="AG413" s="35"/>
      <c r="AH413" s="30" t="s">
        <v>4714</v>
      </c>
      <c r="AI413" s="35" t="s">
        <v>6046</v>
      </c>
      <c r="AJ413" s="62" t="str">
        <f>MID('I kw.22'!W413,8,6)</f>
        <v>251401</v>
      </c>
      <c r="AK413" s="62">
        <v>1</v>
      </c>
      <c r="AL413" s="62">
        <f t="shared" si="6"/>
        <v>1</v>
      </c>
      <c r="AM413" s="62">
        <v>1</v>
      </c>
    </row>
    <row r="414" spans="1:39" x14ac:dyDescent="0.25">
      <c r="A414" s="35" t="s">
        <v>6036</v>
      </c>
      <c r="B414" s="35" t="s">
        <v>15828</v>
      </c>
      <c r="C414" s="35" t="s">
        <v>778</v>
      </c>
      <c r="D414" s="35" t="s">
        <v>16307</v>
      </c>
      <c r="E414" s="35" t="s">
        <v>233</v>
      </c>
      <c r="F414" s="62">
        <v>1</v>
      </c>
      <c r="G414" s="30" t="s">
        <v>193</v>
      </c>
      <c r="H414" s="30" t="s">
        <v>194</v>
      </c>
      <c r="I414" s="30" t="s">
        <v>16068</v>
      </c>
      <c r="J414" s="35" t="s">
        <v>6038</v>
      </c>
      <c r="K414" s="35">
        <v>18</v>
      </c>
      <c r="L414" s="35" t="s">
        <v>6955</v>
      </c>
      <c r="M414" s="35"/>
      <c r="N414" s="35" t="s">
        <v>16798</v>
      </c>
      <c r="O414" s="35" t="s">
        <v>6249</v>
      </c>
      <c r="P414" s="35" t="s">
        <v>16766</v>
      </c>
      <c r="Q414" s="35" t="s">
        <v>16765</v>
      </c>
      <c r="R414" s="35" t="s">
        <v>16392</v>
      </c>
      <c r="S414" s="35">
        <v>2360223</v>
      </c>
      <c r="T414" s="35">
        <v>33960750</v>
      </c>
      <c r="U414" s="35"/>
      <c r="V414" s="30">
        <v>1816</v>
      </c>
      <c r="W414" s="35" t="s">
        <v>779</v>
      </c>
      <c r="X414" s="35" t="s">
        <v>194</v>
      </c>
      <c r="Y414" s="30">
        <v>1</v>
      </c>
      <c r="Z414" s="35"/>
      <c r="AA414" s="35"/>
      <c r="AB414" s="35"/>
      <c r="AC414" s="35"/>
      <c r="AD414" s="35"/>
      <c r="AE414" s="35"/>
      <c r="AF414" s="35"/>
      <c r="AG414" s="35"/>
      <c r="AH414" s="30" t="s">
        <v>4714</v>
      </c>
      <c r="AI414" s="35" t="s">
        <v>15828</v>
      </c>
      <c r="AJ414" s="62" t="str">
        <f>MID('I kw.22'!W414,8,6)</f>
        <v>524902</v>
      </c>
      <c r="AK414" s="62">
        <v>1</v>
      </c>
      <c r="AL414" s="62">
        <f t="shared" si="6"/>
        <v>1</v>
      </c>
      <c r="AM414" s="62">
        <v>1</v>
      </c>
    </row>
    <row r="415" spans="1:39" x14ac:dyDescent="0.25">
      <c r="A415" s="35" t="s">
        <v>6036</v>
      </c>
      <c r="B415" s="35" t="s">
        <v>16796</v>
      </c>
      <c r="C415" s="35" t="s">
        <v>4001</v>
      </c>
      <c r="D415" s="35" t="s">
        <v>16307</v>
      </c>
      <c r="E415" s="35" t="s">
        <v>233</v>
      </c>
      <c r="F415" s="62">
        <v>1</v>
      </c>
      <c r="G415" s="30" t="s">
        <v>193</v>
      </c>
      <c r="H415" s="30" t="s">
        <v>194</v>
      </c>
      <c r="I415" s="30" t="s">
        <v>16068</v>
      </c>
      <c r="J415" s="35" t="s">
        <v>6038</v>
      </c>
      <c r="K415" s="35">
        <v>18</v>
      </c>
      <c r="L415" s="35" t="s">
        <v>6955</v>
      </c>
      <c r="M415" s="35"/>
      <c r="N415" s="35" t="s">
        <v>16797</v>
      </c>
      <c r="O415" s="35" t="s">
        <v>6302</v>
      </c>
      <c r="P415" s="35" t="s">
        <v>16766</v>
      </c>
      <c r="Q415" s="35" t="s">
        <v>16765</v>
      </c>
      <c r="R415" s="35" t="s">
        <v>16392</v>
      </c>
      <c r="S415" s="35">
        <v>2360224</v>
      </c>
      <c r="T415" s="35">
        <v>33960751</v>
      </c>
      <c r="U415" s="35"/>
      <c r="V415" s="30">
        <v>1816</v>
      </c>
      <c r="W415" s="35" t="s">
        <v>4002</v>
      </c>
      <c r="X415" s="35" t="s">
        <v>194</v>
      </c>
      <c r="Y415" s="30">
        <v>1</v>
      </c>
      <c r="Z415" s="35"/>
      <c r="AA415" s="35"/>
      <c r="AB415" s="35"/>
      <c r="AC415" s="35"/>
      <c r="AD415" s="35"/>
      <c r="AE415" s="35"/>
      <c r="AF415" s="35"/>
      <c r="AG415" s="35"/>
      <c r="AH415" s="30" t="s">
        <v>4714</v>
      </c>
      <c r="AI415" s="35" t="s">
        <v>16796</v>
      </c>
      <c r="AJ415" s="62" t="str">
        <f>MID('I kw.22'!W415,8,6)</f>
        <v>263409</v>
      </c>
      <c r="AK415" s="62">
        <v>1</v>
      </c>
      <c r="AL415" s="62">
        <f t="shared" si="6"/>
        <v>1</v>
      </c>
      <c r="AM415" s="62">
        <v>1</v>
      </c>
    </row>
    <row r="416" spans="1:39" x14ac:dyDescent="0.25">
      <c r="A416" s="35" t="s">
        <v>6036</v>
      </c>
      <c r="B416" s="35" t="s">
        <v>16794</v>
      </c>
      <c r="C416" s="35" t="s">
        <v>3416</v>
      </c>
      <c r="D416" s="35" t="s">
        <v>16307</v>
      </c>
      <c r="E416" s="35" t="s">
        <v>233</v>
      </c>
      <c r="F416" s="62">
        <v>1</v>
      </c>
      <c r="G416" s="30" t="s">
        <v>193</v>
      </c>
      <c r="H416" s="30" t="s">
        <v>194</v>
      </c>
      <c r="I416" s="30" t="s">
        <v>16068</v>
      </c>
      <c r="J416" s="35" t="s">
        <v>6038</v>
      </c>
      <c r="K416" s="35">
        <v>18</v>
      </c>
      <c r="L416" s="35" t="s">
        <v>6955</v>
      </c>
      <c r="M416" s="35"/>
      <c r="N416" s="35" t="s">
        <v>16795</v>
      </c>
      <c r="O416" s="35" t="s">
        <v>6249</v>
      </c>
      <c r="P416" s="35" t="s">
        <v>16766</v>
      </c>
      <c r="Q416" s="35" t="s">
        <v>16765</v>
      </c>
      <c r="R416" s="35" t="s">
        <v>16392</v>
      </c>
      <c r="S416" s="35">
        <v>2360225</v>
      </c>
      <c r="T416" s="35">
        <v>33960752</v>
      </c>
      <c r="U416" s="35"/>
      <c r="V416" s="30">
        <v>1816</v>
      </c>
      <c r="W416" s="35" t="s">
        <v>3417</v>
      </c>
      <c r="X416" s="35" t="s">
        <v>194</v>
      </c>
      <c r="Y416" s="30">
        <v>1</v>
      </c>
      <c r="Z416" s="35"/>
      <c r="AA416" s="35"/>
      <c r="AB416" s="35"/>
      <c r="AC416" s="35"/>
      <c r="AD416" s="35"/>
      <c r="AE416" s="35"/>
      <c r="AF416" s="35"/>
      <c r="AG416" s="35"/>
      <c r="AH416" s="30" t="s">
        <v>4714</v>
      </c>
      <c r="AI416" s="35" t="s">
        <v>16794</v>
      </c>
      <c r="AJ416" s="62" t="str">
        <f>MID('I kw.22'!W416,8,6)</f>
        <v>243105</v>
      </c>
      <c r="AK416" s="62">
        <v>1</v>
      </c>
      <c r="AL416" s="62">
        <f t="shared" si="6"/>
        <v>1</v>
      </c>
      <c r="AM416" s="62">
        <v>1</v>
      </c>
    </row>
    <row r="417" spans="1:39" x14ac:dyDescent="0.25">
      <c r="A417" s="35" t="s">
        <v>6036</v>
      </c>
      <c r="B417" s="35" t="s">
        <v>16792</v>
      </c>
      <c r="C417" s="35" t="s">
        <v>3416</v>
      </c>
      <c r="D417" s="35" t="s">
        <v>16307</v>
      </c>
      <c r="E417" s="35" t="s">
        <v>233</v>
      </c>
      <c r="F417" s="62">
        <v>1</v>
      </c>
      <c r="G417" s="30" t="s">
        <v>193</v>
      </c>
      <c r="H417" s="30" t="s">
        <v>194</v>
      </c>
      <c r="I417" s="30" t="s">
        <v>16068</v>
      </c>
      <c r="J417" s="35" t="s">
        <v>6038</v>
      </c>
      <c r="K417" s="35">
        <v>18</v>
      </c>
      <c r="L417" s="35" t="s">
        <v>6955</v>
      </c>
      <c r="M417" s="35"/>
      <c r="N417" s="35" t="s">
        <v>16793</v>
      </c>
      <c r="O417" s="35" t="s">
        <v>6249</v>
      </c>
      <c r="P417" s="35" t="s">
        <v>16766</v>
      </c>
      <c r="Q417" s="35" t="s">
        <v>16765</v>
      </c>
      <c r="R417" s="35" t="s">
        <v>16392</v>
      </c>
      <c r="S417" s="35">
        <v>2360226</v>
      </c>
      <c r="T417" s="35">
        <v>33960753</v>
      </c>
      <c r="U417" s="35"/>
      <c r="V417" s="30">
        <v>1816</v>
      </c>
      <c r="W417" s="35" t="s">
        <v>3417</v>
      </c>
      <c r="X417" s="35" t="s">
        <v>194</v>
      </c>
      <c r="Y417" s="30">
        <v>1</v>
      </c>
      <c r="Z417" s="35"/>
      <c r="AA417" s="35"/>
      <c r="AB417" s="35"/>
      <c r="AC417" s="35"/>
      <c r="AD417" s="35"/>
      <c r="AE417" s="35"/>
      <c r="AF417" s="35"/>
      <c r="AG417" s="35"/>
      <c r="AH417" s="30" t="s">
        <v>4714</v>
      </c>
      <c r="AI417" s="35" t="s">
        <v>16792</v>
      </c>
      <c r="AJ417" s="62" t="str">
        <f>MID('I kw.22'!W417,8,6)</f>
        <v>243105</v>
      </c>
      <c r="AK417" s="62">
        <v>1</v>
      </c>
      <c r="AL417" s="62">
        <f t="shared" si="6"/>
        <v>1</v>
      </c>
      <c r="AM417" s="62">
        <v>1</v>
      </c>
    </row>
    <row r="418" spans="1:39" x14ac:dyDescent="0.25">
      <c r="A418" s="35" t="s">
        <v>6036</v>
      </c>
      <c r="B418" s="35" t="s">
        <v>16790</v>
      </c>
      <c r="C418" s="35" t="s">
        <v>43</v>
      </c>
      <c r="D418" s="35" t="s">
        <v>16307</v>
      </c>
      <c r="E418" s="35" t="s">
        <v>233</v>
      </c>
      <c r="F418" s="62">
        <v>1</v>
      </c>
      <c r="G418" s="30" t="s">
        <v>193</v>
      </c>
      <c r="H418" s="30" t="s">
        <v>194</v>
      </c>
      <c r="I418" s="30" t="s">
        <v>16048</v>
      </c>
      <c r="J418" s="35" t="s">
        <v>6038</v>
      </c>
      <c r="K418" s="35">
        <v>18</v>
      </c>
      <c r="L418" s="35" t="s">
        <v>6955</v>
      </c>
      <c r="M418" s="35"/>
      <c r="N418" s="35" t="s">
        <v>16791</v>
      </c>
      <c r="O418" s="35" t="s">
        <v>6302</v>
      </c>
      <c r="P418" s="35" t="s">
        <v>16766</v>
      </c>
      <c r="Q418" s="35" t="s">
        <v>16765</v>
      </c>
      <c r="R418" s="35" t="s">
        <v>16392</v>
      </c>
      <c r="S418" s="35">
        <v>2360227</v>
      </c>
      <c r="T418" s="35">
        <v>33960754</v>
      </c>
      <c r="U418" s="35"/>
      <c r="V418" s="30">
        <v>1816</v>
      </c>
      <c r="W418" s="35" t="s">
        <v>452</v>
      </c>
      <c r="X418" s="35" t="s">
        <v>194</v>
      </c>
      <c r="Y418" s="30">
        <v>1</v>
      </c>
      <c r="Z418" s="35"/>
      <c r="AA418" s="35"/>
      <c r="AB418" s="35"/>
      <c r="AC418" s="35"/>
      <c r="AD418" s="35"/>
      <c r="AE418" s="35"/>
      <c r="AF418" s="35"/>
      <c r="AG418" s="35"/>
      <c r="AH418" s="30" t="s">
        <v>4714</v>
      </c>
      <c r="AI418" s="35" t="s">
        <v>16790</v>
      </c>
      <c r="AJ418" s="62" t="str">
        <f>MID('I kw.22'!W418,8,6)</f>
        <v>243106</v>
      </c>
      <c r="AK418" s="62">
        <v>1</v>
      </c>
      <c r="AL418" s="62">
        <f t="shared" si="6"/>
        <v>1</v>
      </c>
      <c r="AM418" s="62">
        <v>1</v>
      </c>
    </row>
    <row r="419" spans="1:39" x14ac:dyDescent="0.25">
      <c r="A419" s="35" t="s">
        <v>7155</v>
      </c>
      <c r="B419" s="35" t="s">
        <v>16788</v>
      </c>
      <c r="C419" s="35" t="s">
        <v>163</v>
      </c>
      <c r="D419" s="35" t="s">
        <v>16307</v>
      </c>
      <c r="E419" s="35" t="s">
        <v>233</v>
      </c>
      <c r="F419" s="62">
        <v>1</v>
      </c>
      <c r="G419" s="30" t="s">
        <v>193</v>
      </c>
      <c r="H419" s="30" t="s">
        <v>194</v>
      </c>
      <c r="I419" s="30" t="s">
        <v>16068</v>
      </c>
      <c r="J419" s="35" t="s">
        <v>210</v>
      </c>
      <c r="K419" s="35">
        <v>18</v>
      </c>
      <c r="L419" s="35" t="s">
        <v>6955</v>
      </c>
      <c r="M419" s="35"/>
      <c r="N419" s="35" t="s">
        <v>16789</v>
      </c>
      <c r="O419" s="35" t="s">
        <v>6921</v>
      </c>
      <c r="P419" s="35" t="s">
        <v>16766</v>
      </c>
      <c r="Q419" s="35" t="s">
        <v>16765</v>
      </c>
      <c r="R419" s="35" t="s">
        <v>16392</v>
      </c>
      <c r="S419" s="35">
        <v>2360237</v>
      </c>
      <c r="T419" s="35">
        <v>33960764</v>
      </c>
      <c r="U419" s="35"/>
      <c r="V419" s="30">
        <v>1863</v>
      </c>
      <c r="W419" s="35" t="s">
        <v>697</v>
      </c>
      <c r="X419" s="35" t="s">
        <v>194</v>
      </c>
      <c r="Y419" s="30">
        <v>1</v>
      </c>
      <c r="Z419" s="35"/>
      <c r="AA419" s="35"/>
      <c r="AB419" s="35"/>
      <c r="AC419" s="35"/>
      <c r="AD419" s="35"/>
      <c r="AE419" s="35"/>
      <c r="AF419" s="35"/>
      <c r="AG419" s="35"/>
      <c r="AH419" s="30" t="s">
        <v>4714</v>
      </c>
      <c r="AI419" s="35" t="s">
        <v>16788</v>
      </c>
      <c r="AJ419" s="62" t="str">
        <f>MID('I kw.22'!W419,8,6)</f>
        <v>351203</v>
      </c>
      <c r="AK419" s="62">
        <v>1</v>
      </c>
      <c r="AL419" s="62">
        <f t="shared" si="6"/>
        <v>1</v>
      </c>
      <c r="AM419" s="62">
        <v>1</v>
      </c>
    </row>
    <row r="420" spans="1:39" x14ac:dyDescent="0.25">
      <c r="A420" s="35" t="s">
        <v>16787</v>
      </c>
      <c r="B420" s="35" t="s">
        <v>2889</v>
      </c>
      <c r="C420" s="35" t="s">
        <v>9498</v>
      </c>
      <c r="D420" s="35" t="s">
        <v>16307</v>
      </c>
      <c r="E420" s="35" t="s">
        <v>233</v>
      </c>
      <c r="F420" s="62">
        <v>1</v>
      </c>
      <c r="G420" s="30" t="s">
        <v>193</v>
      </c>
      <c r="H420" s="30" t="s">
        <v>194</v>
      </c>
      <c r="I420" s="30" t="s">
        <v>16068</v>
      </c>
      <c r="J420" s="35" t="s">
        <v>210</v>
      </c>
      <c r="K420" s="35">
        <v>18</v>
      </c>
      <c r="L420" s="35" t="s">
        <v>6955</v>
      </c>
      <c r="M420" s="35"/>
      <c r="N420" s="35" t="s">
        <v>16786</v>
      </c>
      <c r="O420" s="35" t="s">
        <v>6249</v>
      </c>
      <c r="P420" s="35" t="s">
        <v>16766</v>
      </c>
      <c r="Q420" s="35" t="s">
        <v>16765</v>
      </c>
      <c r="R420" s="35" t="s">
        <v>16392</v>
      </c>
      <c r="S420" s="35">
        <v>2360271</v>
      </c>
      <c r="T420" s="35">
        <v>33960809</v>
      </c>
      <c r="U420" s="35"/>
      <c r="V420" s="30">
        <v>1863</v>
      </c>
      <c r="W420" s="35" t="s">
        <v>9502</v>
      </c>
      <c r="X420" s="35" t="s">
        <v>194</v>
      </c>
      <c r="Y420" s="30">
        <v>1</v>
      </c>
      <c r="Z420" s="35"/>
      <c r="AA420" s="35"/>
      <c r="AB420" s="35"/>
      <c r="AC420" s="35"/>
      <c r="AD420" s="35"/>
      <c r="AE420" s="35"/>
      <c r="AF420" s="35"/>
      <c r="AG420" s="35"/>
      <c r="AH420" s="30" t="s">
        <v>4714</v>
      </c>
      <c r="AI420" s="35" t="s">
        <v>2889</v>
      </c>
      <c r="AJ420" s="62" t="str">
        <f>MID('I kw.22'!W420,8,6)</f>
        <v>242113</v>
      </c>
      <c r="AK420" s="62">
        <v>1</v>
      </c>
      <c r="AL420" s="62">
        <f t="shared" si="6"/>
        <v>1</v>
      </c>
      <c r="AM420" s="62">
        <v>1</v>
      </c>
    </row>
    <row r="421" spans="1:39" x14ac:dyDescent="0.25">
      <c r="A421" s="35" t="s">
        <v>15733</v>
      </c>
      <c r="B421" s="35" t="s">
        <v>16784</v>
      </c>
      <c r="C421" s="35" t="s">
        <v>10</v>
      </c>
      <c r="D421" s="35" t="s">
        <v>16307</v>
      </c>
      <c r="E421" s="35" t="s">
        <v>233</v>
      </c>
      <c r="F421" s="62">
        <v>1</v>
      </c>
      <c r="G421" s="30" t="s">
        <v>193</v>
      </c>
      <c r="H421" s="30" t="s">
        <v>194</v>
      </c>
      <c r="I421" s="30" t="s">
        <v>16121</v>
      </c>
      <c r="J421" s="35" t="s">
        <v>9302</v>
      </c>
      <c r="K421" s="35">
        <v>18</v>
      </c>
      <c r="L421" s="35" t="s">
        <v>6955</v>
      </c>
      <c r="M421" s="35"/>
      <c r="N421" s="35" t="s">
        <v>16785</v>
      </c>
      <c r="O421" s="35" t="s">
        <v>6261</v>
      </c>
      <c r="P421" s="35" t="s">
        <v>16766</v>
      </c>
      <c r="Q421" s="35" t="s">
        <v>16765</v>
      </c>
      <c r="R421" s="35" t="s">
        <v>16392</v>
      </c>
      <c r="S421" s="35">
        <v>2360303</v>
      </c>
      <c r="T421" s="35">
        <v>33960842</v>
      </c>
      <c r="U421" s="35"/>
      <c r="V421" s="30"/>
      <c r="W421" s="505" t="s">
        <v>484</v>
      </c>
      <c r="X421" s="35" t="s">
        <v>193</v>
      </c>
      <c r="Y421" s="30">
        <v>25</v>
      </c>
      <c r="Z421" s="35"/>
      <c r="AA421" s="35"/>
      <c r="AB421" s="35"/>
      <c r="AC421" s="35"/>
      <c r="AD421" s="35"/>
      <c r="AE421" s="35"/>
      <c r="AF421" s="35"/>
      <c r="AG421" s="35"/>
      <c r="AH421" s="30" t="s">
        <v>4714</v>
      </c>
      <c r="AI421" s="35" t="s">
        <v>16784</v>
      </c>
      <c r="AJ421" s="62" t="str">
        <f>MID('I kw.22'!W421,8,6)</f>
        <v>251401</v>
      </c>
      <c r="AK421" s="62">
        <v>1</v>
      </c>
      <c r="AL421" s="62">
        <f t="shared" si="6"/>
        <v>1</v>
      </c>
      <c r="AM421" s="62">
        <v>1</v>
      </c>
    </row>
    <row r="422" spans="1:39" x14ac:dyDescent="0.25">
      <c r="A422" s="35" t="s">
        <v>15733</v>
      </c>
      <c r="B422" s="35" t="s">
        <v>16782</v>
      </c>
      <c r="C422" s="35" t="s">
        <v>10</v>
      </c>
      <c r="D422" s="35" t="s">
        <v>16307</v>
      </c>
      <c r="E422" s="35" t="s">
        <v>233</v>
      </c>
      <c r="F422" s="62">
        <v>1</v>
      </c>
      <c r="G422" s="30" t="s">
        <v>193</v>
      </c>
      <c r="H422" s="30" t="s">
        <v>194</v>
      </c>
      <c r="I422" s="30" t="s">
        <v>16073</v>
      </c>
      <c r="J422" s="35" t="s">
        <v>9302</v>
      </c>
      <c r="K422" s="35">
        <v>18</v>
      </c>
      <c r="L422" s="35" t="s">
        <v>6955</v>
      </c>
      <c r="M422" s="35"/>
      <c r="N422" s="35" t="s">
        <v>16783</v>
      </c>
      <c r="O422" s="35" t="s">
        <v>6261</v>
      </c>
      <c r="P422" s="35" t="s">
        <v>16766</v>
      </c>
      <c r="Q422" s="35" t="s">
        <v>16765</v>
      </c>
      <c r="R422" s="35" t="s">
        <v>16392</v>
      </c>
      <c r="S422" s="35">
        <v>2360320</v>
      </c>
      <c r="T422" s="35">
        <v>33960859</v>
      </c>
      <c r="U422" s="35"/>
      <c r="V422" s="30"/>
      <c r="W422" s="505" t="s">
        <v>484</v>
      </c>
      <c r="X422" s="35" t="s">
        <v>193</v>
      </c>
      <c r="Y422" s="30">
        <v>25</v>
      </c>
      <c r="Z422" s="35"/>
      <c r="AA422" s="35"/>
      <c r="AB422" s="35"/>
      <c r="AC422" s="35"/>
      <c r="AD422" s="35"/>
      <c r="AE422" s="35"/>
      <c r="AF422" s="35"/>
      <c r="AG422" s="35"/>
      <c r="AH422" s="30" t="s">
        <v>4714</v>
      </c>
      <c r="AI422" s="35" t="s">
        <v>16782</v>
      </c>
      <c r="AJ422" s="62" t="str">
        <f>MID('I kw.22'!W422,8,6)</f>
        <v>251401</v>
      </c>
      <c r="AK422" s="62">
        <v>1</v>
      </c>
      <c r="AL422" s="62">
        <f t="shared" si="6"/>
        <v>1</v>
      </c>
      <c r="AM422" s="62">
        <v>1</v>
      </c>
    </row>
    <row r="423" spans="1:39" x14ac:dyDescent="0.25">
      <c r="A423" s="35" t="s">
        <v>16781</v>
      </c>
      <c r="B423" s="35" t="s">
        <v>10928</v>
      </c>
      <c r="C423" s="35" t="s">
        <v>129</v>
      </c>
      <c r="D423" s="35" t="s">
        <v>16307</v>
      </c>
      <c r="E423" s="35" t="s">
        <v>233</v>
      </c>
      <c r="F423" s="62">
        <v>1</v>
      </c>
      <c r="G423" s="30" t="s">
        <v>193</v>
      </c>
      <c r="H423" s="30" t="s">
        <v>194</v>
      </c>
      <c r="I423" s="30" t="s">
        <v>16121</v>
      </c>
      <c r="J423" s="35" t="s">
        <v>9302</v>
      </c>
      <c r="K423" s="35">
        <v>18</v>
      </c>
      <c r="L423" s="35" t="s">
        <v>6955</v>
      </c>
      <c r="M423" s="35"/>
      <c r="N423" s="35" t="s">
        <v>16780</v>
      </c>
      <c r="O423" s="35" t="s">
        <v>6295</v>
      </c>
      <c r="P423" s="35" t="s">
        <v>16766</v>
      </c>
      <c r="Q423" s="35" t="s">
        <v>16765</v>
      </c>
      <c r="R423" s="35" t="s">
        <v>16392</v>
      </c>
      <c r="S423" s="35">
        <v>2360342</v>
      </c>
      <c r="T423" s="35">
        <v>33960881</v>
      </c>
      <c r="U423" s="35"/>
      <c r="V423" s="30"/>
      <c r="W423" s="505" t="s">
        <v>203</v>
      </c>
      <c r="X423" s="35" t="s">
        <v>193</v>
      </c>
      <c r="Y423" s="30">
        <v>25</v>
      </c>
      <c r="Z423" s="35"/>
      <c r="AA423" s="35"/>
      <c r="AB423" s="35"/>
      <c r="AC423" s="35"/>
      <c r="AD423" s="35"/>
      <c r="AE423" s="35"/>
      <c r="AF423" s="35"/>
      <c r="AG423" s="35"/>
      <c r="AH423" s="30" t="s">
        <v>4714</v>
      </c>
      <c r="AI423" s="35" t="s">
        <v>10928</v>
      </c>
      <c r="AJ423" s="62" t="str">
        <f>MID('I kw.22'!W423,8,6)</f>
        <v>121904</v>
      </c>
      <c r="AK423" s="62">
        <v>1</v>
      </c>
      <c r="AL423" s="62">
        <f t="shared" si="6"/>
        <v>1</v>
      </c>
      <c r="AM423" s="62">
        <v>1</v>
      </c>
    </row>
    <row r="424" spans="1:39" x14ac:dyDescent="0.25">
      <c r="A424" s="35" t="s">
        <v>5078</v>
      </c>
      <c r="B424" s="35" t="s">
        <v>3657</v>
      </c>
      <c r="C424" s="35" t="s">
        <v>17</v>
      </c>
      <c r="D424" s="35" t="s">
        <v>16307</v>
      </c>
      <c r="E424" s="35" t="s">
        <v>233</v>
      </c>
      <c r="F424" s="62">
        <v>1</v>
      </c>
      <c r="G424" s="30" t="s">
        <v>193</v>
      </c>
      <c r="H424" s="30" t="s">
        <v>194</v>
      </c>
      <c r="I424" s="30" t="s">
        <v>16078</v>
      </c>
      <c r="J424" s="35" t="s">
        <v>210</v>
      </c>
      <c r="K424" s="35">
        <v>18</v>
      </c>
      <c r="L424" s="35" t="s">
        <v>6955</v>
      </c>
      <c r="M424" s="35"/>
      <c r="N424" s="35" t="s">
        <v>16779</v>
      </c>
      <c r="O424" s="35" t="s">
        <v>6266</v>
      </c>
      <c r="P424" s="35" t="s">
        <v>16766</v>
      </c>
      <c r="Q424" s="35" t="s">
        <v>16765</v>
      </c>
      <c r="R424" s="35" t="s">
        <v>16392</v>
      </c>
      <c r="S424" s="35">
        <v>2360386</v>
      </c>
      <c r="T424" s="35">
        <v>33960925</v>
      </c>
      <c r="U424" s="35"/>
      <c r="V424" s="30">
        <v>1863</v>
      </c>
      <c r="W424" s="35" t="s">
        <v>624</v>
      </c>
      <c r="X424" s="35" t="s">
        <v>194</v>
      </c>
      <c r="Y424" s="30">
        <v>1</v>
      </c>
      <c r="Z424" s="35"/>
      <c r="AA424" s="35"/>
      <c r="AB424" s="35"/>
      <c r="AC424" s="35"/>
      <c r="AD424" s="35"/>
      <c r="AE424" s="35"/>
      <c r="AF424" s="35"/>
      <c r="AG424" s="35"/>
      <c r="AH424" s="30" t="s">
        <v>4714</v>
      </c>
      <c r="AI424" s="35" t="s">
        <v>3657</v>
      </c>
      <c r="AJ424" s="62" t="str">
        <f>MID('I kw.22'!W424,8,6)</f>
        <v>332203</v>
      </c>
      <c r="AK424" s="62">
        <v>1</v>
      </c>
      <c r="AL424" s="62">
        <f t="shared" si="6"/>
        <v>1</v>
      </c>
      <c r="AM424" s="62">
        <v>1</v>
      </c>
    </row>
    <row r="425" spans="1:39" x14ac:dyDescent="0.25">
      <c r="A425" s="35" t="s">
        <v>16778</v>
      </c>
      <c r="B425" s="35" t="s">
        <v>16776</v>
      </c>
      <c r="C425" s="35" t="s">
        <v>396</v>
      </c>
      <c r="D425" s="35" t="s">
        <v>16307</v>
      </c>
      <c r="E425" s="35" t="s">
        <v>233</v>
      </c>
      <c r="F425" s="62">
        <v>1</v>
      </c>
      <c r="G425" s="30" t="s">
        <v>193</v>
      </c>
      <c r="H425" s="30" t="s">
        <v>194</v>
      </c>
      <c r="I425" s="30" t="s">
        <v>16078</v>
      </c>
      <c r="J425" s="35" t="s">
        <v>5967</v>
      </c>
      <c r="K425" s="35">
        <v>18</v>
      </c>
      <c r="L425" s="35" t="s">
        <v>6955</v>
      </c>
      <c r="M425" s="35"/>
      <c r="N425" s="35" t="s">
        <v>16777</v>
      </c>
      <c r="O425" s="35" t="s">
        <v>6312</v>
      </c>
      <c r="P425" s="35" t="s">
        <v>16766</v>
      </c>
      <c r="Q425" s="35" t="s">
        <v>16765</v>
      </c>
      <c r="R425" s="35" t="s">
        <v>16392</v>
      </c>
      <c r="S425" s="35">
        <v>2360398</v>
      </c>
      <c r="T425" s="35">
        <v>33960943</v>
      </c>
      <c r="U425" s="35"/>
      <c r="V425" s="30"/>
      <c r="W425" s="505" t="s">
        <v>397</v>
      </c>
      <c r="X425" s="35" t="s">
        <v>193</v>
      </c>
      <c r="Y425" s="30">
        <v>25</v>
      </c>
      <c r="Z425" s="35"/>
      <c r="AA425" s="35"/>
      <c r="AB425" s="35"/>
      <c r="AC425" s="35"/>
      <c r="AD425" s="35"/>
      <c r="AE425" s="35"/>
      <c r="AF425" s="35"/>
      <c r="AG425" s="35"/>
      <c r="AH425" s="30" t="s">
        <v>4714</v>
      </c>
      <c r="AI425" s="35" t="s">
        <v>16776</v>
      </c>
      <c r="AJ425" s="62" t="str">
        <f>MID('I kw.22'!W425,8,6)</f>
        <v>235301</v>
      </c>
      <c r="AK425" s="62">
        <v>1</v>
      </c>
      <c r="AL425" s="62">
        <f t="shared" si="6"/>
        <v>1</v>
      </c>
      <c r="AM425" s="62">
        <v>1</v>
      </c>
    </row>
    <row r="426" spans="1:39" x14ac:dyDescent="0.25">
      <c r="A426" s="35" t="s">
        <v>16775</v>
      </c>
      <c r="B426" s="35" t="s">
        <v>16773</v>
      </c>
      <c r="C426" s="35" t="s">
        <v>354</v>
      </c>
      <c r="D426" s="35" t="s">
        <v>16307</v>
      </c>
      <c r="E426" s="35" t="s">
        <v>233</v>
      </c>
      <c r="F426" s="62">
        <v>1</v>
      </c>
      <c r="G426" s="30" t="s">
        <v>193</v>
      </c>
      <c r="H426" s="30" t="s">
        <v>194</v>
      </c>
      <c r="I426" s="30" t="s">
        <v>16183</v>
      </c>
      <c r="J426" s="35" t="s">
        <v>9302</v>
      </c>
      <c r="K426" s="35">
        <v>18</v>
      </c>
      <c r="L426" s="35" t="s">
        <v>6955</v>
      </c>
      <c r="M426" s="35"/>
      <c r="N426" s="35" t="s">
        <v>16774</v>
      </c>
      <c r="O426" s="35" t="s">
        <v>6256</v>
      </c>
      <c r="P426" s="35" t="s">
        <v>16766</v>
      </c>
      <c r="Q426" s="35" t="s">
        <v>16765</v>
      </c>
      <c r="R426" s="35" t="s">
        <v>16392</v>
      </c>
      <c r="S426" s="35">
        <v>2360416</v>
      </c>
      <c r="T426" s="35">
        <v>33960961</v>
      </c>
      <c r="U426" s="35"/>
      <c r="V426" s="30"/>
      <c r="W426" s="505" t="s">
        <v>355</v>
      </c>
      <c r="X426" s="35" t="s">
        <v>193</v>
      </c>
      <c r="Y426" s="30">
        <v>25</v>
      </c>
      <c r="Z426" s="35"/>
      <c r="AA426" s="35"/>
      <c r="AB426" s="35"/>
      <c r="AC426" s="35"/>
      <c r="AD426" s="35"/>
      <c r="AE426" s="35"/>
      <c r="AF426" s="35"/>
      <c r="AG426" s="35"/>
      <c r="AH426" s="30" t="s">
        <v>4714</v>
      </c>
      <c r="AI426" s="35" t="s">
        <v>16773</v>
      </c>
      <c r="AJ426" s="62" t="str">
        <f>MID('I kw.22'!W426,8,6)</f>
        <v>215103</v>
      </c>
      <c r="AK426" s="62">
        <v>1</v>
      </c>
      <c r="AL426" s="62">
        <f t="shared" si="6"/>
        <v>1</v>
      </c>
      <c r="AM426" s="62">
        <v>1</v>
      </c>
    </row>
    <row r="427" spans="1:39" x14ac:dyDescent="0.25">
      <c r="A427" s="35" t="s">
        <v>5287</v>
      </c>
      <c r="B427" s="35" t="s">
        <v>67</v>
      </c>
      <c r="C427" s="35" t="s">
        <v>67</v>
      </c>
      <c r="D427" s="35" t="s">
        <v>16307</v>
      </c>
      <c r="E427" s="35" t="s">
        <v>233</v>
      </c>
      <c r="F427" s="62">
        <v>1</v>
      </c>
      <c r="G427" s="30" t="s">
        <v>193</v>
      </c>
      <c r="H427" s="30" t="s">
        <v>194</v>
      </c>
      <c r="I427" s="30" t="s">
        <v>16052</v>
      </c>
      <c r="J427" s="35" t="s">
        <v>367</v>
      </c>
      <c r="K427" s="35">
        <v>18</v>
      </c>
      <c r="L427" s="35" t="s">
        <v>6955</v>
      </c>
      <c r="M427" s="35"/>
      <c r="N427" s="35" t="s">
        <v>16772</v>
      </c>
      <c r="O427" s="35" t="s">
        <v>6266</v>
      </c>
      <c r="P427" s="35" t="s">
        <v>16766</v>
      </c>
      <c r="Q427" s="35" t="s">
        <v>16765</v>
      </c>
      <c r="R427" s="35" t="s">
        <v>16392</v>
      </c>
      <c r="S427" s="35">
        <v>2360443</v>
      </c>
      <c r="T427" s="35">
        <v>33960988</v>
      </c>
      <c r="U427" s="35"/>
      <c r="V427" s="30">
        <v>1805</v>
      </c>
      <c r="W427" s="35" t="s">
        <v>709</v>
      </c>
      <c r="X427" s="35" t="s">
        <v>194</v>
      </c>
      <c r="Y427" s="30">
        <v>1</v>
      </c>
      <c r="Z427" s="35"/>
      <c r="AA427" s="35"/>
      <c r="AB427" s="35"/>
      <c r="AC427" s="35"/>
      <c r="AD427" s="35"/>
      <c r="AE427" s="35"/>
      <c r="AF427" s="35"/>
      <c r="AG427" s="35"/>
      <c r="AH427" s="30" t="s">
        <v>4714</v>
      </c>
      <c r="AI427" s="35" t="s">
        <v>67</v>
      </c>
      <c r="AJ427" s="62" t="str">
        <f>MID('I kw.22'!W427,8,6)</f>
        <v>432103</v>
      </c>
      <c r="AK427" s="62">
        <v>1</v>
      </c>
      <c r="AL427" s="62">
        <f t="shared" si="6"/>
        <v>1</v>
      </c>
      <c r="AM427" s="62">
        <v>1</v>
      </c>
    </row>
    <row r="428" spans="1:39" x14ac:dyDescent="0.25">
      <c r="A428" s="35" t="s">
        <v>7323</v>
      </c>
      <c r="B428" s="35" t="s">
        <v>5652</v>
      </c>
      <c r="C428" s="35" t="s">
        <v>3991</v>
      </c>
      <c r="D428" s="35" t="s">
        <v>16307</v>
      </c>
      <c r="E428" s="35" t="s">
        <v>233</v>
      </c>
      <c r="F428" s="62">
        <v>1</v>
      </c>
      <c r="G428" s="30" t="s">
        <v>193</v>
      </c>
      <c r="H428" s="30" t="s">
        <v>194</v>
      </c>
      <c r="I428" s="30" t="s">
        <v>16078</v>
      </c>
      <c r="J428" s="35" t="s">
        <v>9302</v>
      </c>
      <c r="K428" s="35">
        <v>18</v>
      </c>
      <c r="L428" s="35" t="s">
        <v>6955</v>
      </c>
      <c r="M428" s="35"/>
      <c r="N428" s="35" t="s">
        <v>16771</v>
      </c>
      <c r="O428" s="35" t="s">
        <v>6288</v>
      </c>
      <c r="P428" s="35" t="s">
        <v>16766</v>
      </c>
      <c r="Q428" s="35" t="s">
        <v>16765</v>
      </c>
      <c r="R428" s="35" t="s">
        <v>16392</v>
      </c>
      <c r="S428" s="35">
        <v>2360458</v>
      </c>
      <c r="T428" s="35">
        <v>33961003</v>
      </c>
      <c r="U428" s="35"/>
      <c r="V428" s="30"/>
      <c r="W428" s="505" t="s">
        <v>3993</v>
      </c>
      <c r="X428" s="35" t="s">
        <v>193</v>
      </c>
      <c r="Y428" s="30">
        <v>25</v>
      </c>
      <c r="Z428" s="35"/>
      <c r="AA428" s="35"/>
      <c r="AB428" s="35"/>
      <c r="AC428" s="35"/>
      <c r="AD428" s="35"/>
      <c r="AE428" s="35"/>
      <c r="AF428" s="35"/>
      <c r="AG428" s="35"/>
      <c r="AH428" s="30" t="s">
        <v>4714</v>
      </c>
      <c r="AI428" s="35" t="s">
        <v>5652</v>
      </c>
      <c r="AJ428" s="62" t="str">
        <f>MID('I kw.22'!W428,8,6)</f>
        <v>222101</v>
      </c>
      <c r="AK428" s="62">
        <v>1</v>
      </c>
      <c r="AL428" s="62">
        <f t="shared" si="6"/>
        <v>1</v>
      </c>
      <c r="AM428" s="62">
        <v>1</v>
      </c>
    </row>
    <row r="429" spans="1:39" x14ac:dyDescent="0.25">
      <c r="A429" s="35" t="s">
        <v>417</v>
      </c>
      <c r="B429" s="35" t="s">
        <v>16769</v>
      </c>
      <c r="C429" s="35" t="s">
        <v>4966</v>
      </c>
      <c r="D429" s="35" t="s">
        <v>16307</v>
      </c>
      <c r="E429" s="35" t="s">
        <v>233</v>
      </c>
      <c r="F429" s="62">
        <v>1</v>
      </c>
      <c r="G429" s="30" t="s">
        <v>193</v>
      </c>
      <c r="H429" s="30" t="s">
        <v>194</v>
      </c>
      <c r="I429" s="30" t="s">
        <v>16073</v>
      </c>
      <c r="J429" s="35" t="s">
        <v>4751</v>
      </c>
      <c r="K429" s="35">
        <v>18</v>
      </c>
      <c r="L429" s="35" t="s">
        <v>6955</v>
      </c>
      <c r="M429" s="35"/>
      <c r="N429" s="35" t="s">
        <v>16770</v>
      </c>
      <c r="O429" s="35" t="s">
        <v>6254</v>
      </c>
      <c r="P429" s="35" t="s">
        <v>16766</v>
      </c>
      <c r="Q429" s="35" t="s">
        <v>16765</v>
      </c>
      <c r="R429" s="35" t="s">
        <v>16121</v>
      </c>
      <c r="S429" s="35">
        <v>2360474</v>
      </c>
      <c r="T429" s="35">
        <v>33961019</v>
      </c>
      <c r="U429" s="35"/>
      <c r="V429" s="30">
        <v>1862</v>
      </c>
      <c r="W429" s="35" t="s">
        <v>405</v>
      </c>
      <c r="X429" s="35" t="s">
        <v>194</v>
      </c>
      <c r="Y429" s="30">
        <v>1</v>
      </c>
      <c r="Z429" s="35"/>
      <c r="AA429" s="35"/>
      <c r="AB429" s="35"/>
      <c r="AC429" s="35"/>
      <c r="AD429" s="35"/>
      <c r="AE429" s="35"/>
      <c r="AF429" s="35"/>
      <c r="AG429" s="35"/>
      <c r="AH429" s="30" t="s">
        <v>4714</v>
      </c>
      <c r="AI429" s="35" t="s">
        <v>16769</v>
      </c>
      <c r="AJ429" s="62" t="str">
        <f>MID('I kw.22'!W429,8,6)</f>
        <v>241304</v>
      </c>
      <c r="AK429" s="62">
        <v>1</v>
      </c>
      <c r="AL429" s="62">
        <f t="shared" si="6"/>
        <v>1</v>
      </c>
      <c r="AM429" s="62">
        <v>1</v>
      </c>
    </row>
    <row r="430" spans="1:39" x14ac:dyDescent="0.25">
      <c r="A430" s="35" t="s">
        <v>417</v>
      </c>
      <c r="B430" s="35" t="s">
        <v>2438</v>
      </c>
      <c r="C430" s="35" t="s">
        <v>4966</v>
      </c>
      <c r="D430" s="35" t="s">
        <v>16307</v>
      </c>
      <c r="E430" s="35" t="s">
        <v>233</v>
      </c>
      <c r="F430" s="62">
        <v>1</v>
      </c>
      <c r="G430" s="30" t="s">
        <v>193</v>
      </c>
      <c r="H430" s="30" t="s">
        <v>194</v>
      </c>
      <c r="I430" s="30" t="s">
        <v>16073</v>
      </c>
      <c r="J430" s="35" t="s">
        <v>4751</v>
      </c>
      <c r="K430" s="35">
        <v>18</v>
      </c>
      <c r="L430" s="35" t="s">
        <v>6955</v>
      </c>
      <c r="M430" s="35"/>
      <c r="N430" s="35" t="s">
        <v>16768</v>
      </c>
      <c r="O430" s="35" t="s">
        <v>6254</v>
      </c>
      <c r="P430" s="35" t="s">
        <v>16766</v>
      </c>
      <c r="Q430" s="35" t="s">
        <v>16765</v>
      </c>
      <c r="R430" s="35" t="s">
        <v>16121</v>
      </c>
      <c r="S430" s="35">
        <v>2360475</v>
      </c>
      <c r="T430" s="35">
        <v>33961020</v>
      </c>
      <c r="U430" s="35"/>
      <c r="V430" s="30">
        <v>1862</v>
      </c>
      <c r="W430" s="35" t="s">
        <v>405</v>
      </c>
      <c r="X430" s="35" t="s">
        <v>194</v>
      </c>
      <c r="Y430" s="30">
        <v>1</v>
      </c>
      <c r="Z430" s="35"/>
      <c r="AA430" s="35"/>
      <c r="AB430" s="35"/>
      <c r="AC430" s="35"/>
      <c r="AD430" s="35"/>
      <c r="AE430" s="35"/>
      <c r="AF430" s="35"/>
      <c r="AG430" s="35"/>
      <c r="AH430" s="30" t="s">
        <v>4714</v>
      </c>
      <c r="AI430" s="35" t="s">
        <v>2438</v>
      </c>
      <c r="AJ430" s="62" t="str">
        <f>MID('I kw.22'!W430,8,6)</f>
        <v>241304</v>
      </c>
      <c r="AK430" s="62">
        <v>1</v>
      </c>
      <c r="AL430" s="62">
        <f t="shared" si="6"/>
        <v>1</v>
      </c>
      <c r="AM430" s="62">
        <v>1</v>
      </c>
    </row>
    <row r="431" spans="1:39" x14ac:dyDescent="0.25">
      <c r="A431" s="35" t="s">
        <v>5457</v>
      </c>
      <c r="B431" s="35" t="s">
        <v>3264</v>
      </c>
      <c r="C431" s="35" t="s">
        <v>39</v>
      </c>
      <c r="D431" s="35" t="s">
        <v>16307</v>
      </c>
      <c r="E431" s="35" t="s">
        <v>233</v>
      </c>
      <c r="F431" s="62">
        <v>1</v>
      </c>
      <c r="G431" s="30" t="s">
        <v>193</v>
      </c>
      <c r="H431" s="30" t="s">
        <v>194</v>
      </c>
      <c r="I431" s="30" t="s">
        <v>16078</v>
      </c>
      <c r="J431" s="35" t="s">
        <v>210</v>
      </c>
      <c r="K431" s="35">
        <v>18</v>
      </c>
      <c r="L431" s="35" t="s">
        <v>6955</v>
      </c>
      <c r="M431" s="35"/>
      <c r="N431" s="35" t="s">
        <v>16767</v>
      </c>
      <c r="O431" s="35" t="s">
        <v>6306</v>
      </c>
      <c r="P431" s="35" t="s">
        <v>16766</v>
      </c>
      <c r="Q431" s="35" t="s">
        <v>16765</v>
      </c>
      <c r="R431" s="35" t="s">
        <v>16383</v>
      </c>
      <c r="S431" s="35">
        <v>2360514</v>
      </c>
      <c r="T431" s="35">
        <v>33961060</v>
      </c>
      <c r="U431" s="35"/>
      <c r="V431" s="30">
        <v>1863</v>
      </c>
      <c r="W431" s="35" t="s">
        <v>551</v>
      </c>
      <c r="X431" s="35" t="s">
        <v>194</v>
      </c>
      <c r="Y431" s="30">
        <v>1</v>
      </c>
      <c r="Z431" s="35"/>
      <c r="AA431" s="35"/>
      <c r="AB431" s="35"/>
      <c r="AC431" s="35"/>
      <c r="AD431" s="35"/>
      <c r="AE431" s="35"/>
      <c r="AF431" s="35"/>
      <c r="AG431" s="35"/>
      <c r="AH431" s="30" t="s">
        <v>4714</v>
      </c>
      <c r="AI431" s="35" t="s">
        <v>3264</v>
      </c>
      <c r="AJ431" s="62" t="str">
        <f>MID('I kw.22'!W431,8,6)</f>
        <v>311204</v>
      </c>
      <c r="AK431" s="62">
        <v>1</v>
      </c>
      <c r="AL431" s="62">
        <f t="shared" si="6"/>
        <v>1</v>
      </c>
      <c r="AM431" s="62">
        <v>1</v>
      </c>
    </row>
    <row r="432" spans="1:39" x14ac:dyDescent="0.25">
      <c r="A432" s="35" t="s">
        <v>16325</v>
      </c>
      <c r="B432" s="35" t="s">
        <v>16334</v>
      </c>
      <c r="C432" s="35" t="s">
        <v>2861</v>
      </c>
      <c r="D432" s="35" t="s">
        <v>16307</v>
      </c>
      <c r="E432" s="35" t="s">
        <v>217</v>
      </c>
      <c r="F432" s="77">
        <v>1</v>
      </c>
      <c r="G432" s="30" t="s">
        <v>194</v>
      </c>
      <c r="H432" s="30" t="s">
        <v>193</v>
      </c>
      <c r="I432" s="30" t="s">
        <v>16073</v>
      </c>
      <c r="J432" s="506" t="s">
        <v>13289</v>
      </c>
      <c r="K432" s="35">
        <v>18</v>
      </c>
      <c r="L432" s="35" t="s">
        <v>6955</v>
      </c>
      <c r="M432" s="35"/>
      <c r="N432" s="35" t="s">
        <v>16333</v>
      </c>
      <c r="O432" s="35" t="s">
        <v>6261</v>
      </c>
      <c r="P432" s="35" t="s">
        <v>16763</v>
      </c>
      <c r="Q432" s="35" t="s">
        <v>16049</v>
      </c>
      <c r="R432" s="35" t="s">
        <v>16078</v>
      </c>
      <c r="S432" s="35">
        <v>2360615</v>
      </c>
      <c r="T432" s="35">
        <v>33993544</v>
      </c>
      <c r="U432" s="35"/>
      <c r="V432" s="30"/>
      <c r="W432" s="378" t="s">
        <v>3629</v>
      </c>
      <c r="X432" s="35" t="s">
        <v>194</v>
      </c>
      <c r="Y432" s="30">
        <v>0</v>
      </c>
      <c r="Z432" s="35"/>
      <c r="AA432" s="35"/>
      <c r="AB432" s="35"/>
      <c r="AC432" s="35"/>
      <c r="AD432" s="35"/>
      <c r="AE432" s="35"/>
      <c r="AF432" s="35"/>
      <c r="AG432" s="35"/>
      <c r="AH432" s="30" t="s">
        <v>4714</v>
      </c>
      <c r="AI432" s="35" t="s">
        <v>9433</v>
      </c>
      <c r="AJ432" s="77" t="str">
        <f>MID('I kw.22'!W432,8,6)</f>
        <v>251903</v>
      </c>
      <c r="AK432" s="62">
        <v>1</v>
      </c>
      <c r="AL432" s="497">
        <f t="shared" si="6"/>
        <v>1</v>
      </c>
      <c r="AM432" s="62">
        <v>1</v>
      </c>
    </row>
    <row r="433" spans="1:39" x14ac:dyDescent="0.25">
      <c r="A433" s="35" t="s">
        <v>16325</v>
      </c>
      <c r="B433" s="35" t="s">
        <v>16332</v>
      </c>
      <c r="C433" s="35" t="s">
        <v>1384</v>
      </c>
      <c r="D433" s="35" t="s">
        <v>16307</v>
      </c>
      <c r="E433" s="35" t="s">
        <v>217</v>
      </c>
      <c r="F433" s="62">
        <v>1</v>
      </c>
      <c r="G433" s="30" t="s">
        <v>194</v>
      </c>
      <c r="H433" s="30" t="s">
        <v>193</v>
      </c>
      <c r="I433" s="30" t="s">
        <v>16183</v>
      </c>
      <c r="J433" s="35" t="s">
        <v>16331</v>
      </c>
      <c r="K433" s="35">
        <v>18</v>
      </c>
      <c r="L433" s="35" t="s">
        <v>6955</v>
      </c>
      <c r="M433" s="35"/>
      <c r="N433" s="35" t="s">
        <v>16330</v>
      </c>
      <c r="O433" s="35" t="s">
        <v>6921</v>
      </c>
      <c r="P433" s="35" t="s">
        <v>16763</v>
      </c>
      <c r="Q433" s="35" t="s">
        <v>16329</v>
      </c>
      <c r="R433" s="35" t="s">
        <v>16328</v>
      </c>
      <c r="S433" s="35">
        <v>2360630</v>
      </c>
      <c r="T433" s="35">
        <v>33993559</v>
      </c>
      <c r="U433" s="35"/>
      <c r="V433" s="30"/>
      <c r="W433" s="505" t="s">
        <v>1385</v>
      </c>
      <c r="X433" s="35" t="s">
        <v>194</v>
      </c>
      <c r="Y433" s="30">
        <v>0</v>
      </c>
      <c r="Z433" s="35"/>
      <c r="AA433" s="35"/>
      <c r="AB433" s="35"/>
      <c r="AC433" s="35"/>
      <c r="AD433" s="35"/>
      <c r="AE433" s="35"/>
      <c r="AF433" s="35"/>
      <c r="AG433" s="35"/>
      <c r="AH433" s="30" t="s">
        <v>4714</v>
      </c>
      <c r="AI433" s="35" t="s">
        <v>9433</v>
      </c>
      <c r="AJ433" s="62" t="str">
        <f>MID('I kw.22'!W433,8,6)</f>
        <v>235915</v>
      </c>
      <c r="AK433" s="62">
        <v>1</v>
      </c>
      <c r="AL433" s="62">
        <f t="shared" si="6"/>
        <v>1</v>
      </c>
      <c r="AM433" s="62">
        <v>1</v>
      </c>
    </row>
    <row r="434" spans="1:39" x14ac:dyDescent="0.25">
      <c r="A434" s="35" t="s">
        <v>4022</v>
      </c>
      <c r="B434" s="35" t="s">
        <v>16327</v>
      </c>
      <c r="C434" s="35" t="s">
        <v>542</v>
      </c>
      <c r="D434" s="35" t="s">
        <v>16307</v>
      </c>
      <c r="E434" s="35" t="s">
        <v>217</v>
      </c>
      <c r="F434" s="62">
        <v>1</v>
      </c>
      <c r="G434" s="30" t="s">
        <v>193</v>
      </c>
      <c r="H434" s="30" t="s">
        <v>194</v>
      </c>
      <c r="I434" s="30" t="s">
        <v>16052</v>
      </c>
      <c r="J434" s="35" t="s">
        <v>15466</v>
      </c>
      <c r="K434" s="35">
        <v>18</v>
      </c>
      <c r="L434" s="35" t="s">
        <v>6955</v>
      </c>
      <c r="M434" s="35"/>
      <c r="N434" s="35" t="s">
        <v>16326</v>
      </c>
      <c r="O434" s="35" t="s">
        <v>6286</v>
      </c>
      <c r="P434" s="35" t="s">
        <v>16763</v>
      </c>
      <c r="Q434" s="35" t="s">
        <v>16393</v>
      </c>
      <c r="R434" s="35" t="s">
        <v>16121</v>
      </c>
      <c r="S434" s="35">
        <v>2360655</v>
      </c>
      <c r="T434" s="35">
        <v>33993584</v>
      </c>
      <c r="U434" s="35"/>
      <c r="V434" s="30"/>
      <c r="W434" s="505" t="s">
        <v>543</v>
      </c>
      <c r="X434" s="35" t="s">
        <v>193</v>
      </c>
      <c r="Y434" s="30">
        <v>25</v>
      </c>
      <c r="Z434" s="35"/>
      <c r="AA434" s="35"/>
      <c r="AB434" s="35"/>
      <c r="AC434" s="35"/>
      <c r="AD434" s="35"/>
      <c r="AE434" s="35"/>
      <c r="AF434" s="35"/>
      <c r="AG434" s="35"/>
      <c r="AH434" s="30" t="s">
        <v>4714</v>
      </c>
      <c r="AI434" s="35" t="s">
        <v>9433</v>
      </c>
      <c r="AJ434" s="62" t="str">
        <f>MID('I kw.22'!W434,8,6)</f>
        <v>264304</v>
      </c>
      <c r="AK434" s="62">
        <v>1</v>
      </c>
      <c r="AL434" s="62">
        <f t="shared" si="6"/>
        <v>1</v>
      </c>
      <c r="AM434" s="62">
        <v>1</v>
      </c>
    </row>
    <row r="435" spans="1:39" x14ac:dyDescent="0.25">
      <c r="A435" s="35" t="s">
        <v>16325</v>
      </c>
      <c r="B435" s="35" t="s">
        <v>16324</v>
      </c>
      <c r="C435" s="35" t="s">
        <v>10</v>
      </c>
      <c r="D435" s="35" t="s">
        <v>16307</v>
      </c>
      <c r="E435" s="35" t="s">
        <v>217</v>
      </c>
      <c r="F435" s="62">
        <v>1</v>
      </c>
      <c r="G435" s="30" t="s">
        <v>194</v>
      </c>
      <c r="H435" s="30" t="s">
        <v>193</v>
      </c>
      <c r="I435" s="30" t="s">
        <v>16068</v>
      </c>
      <c r="J435" s="506" t="s">
        <v>13289</v>
      </c>
      <c r="K435" s="35">
        <v>18</v>
      </c>
      <c r="L435" s="35" t="s">
        <v>6955</v>
      </c>
      <c r="M435" s="35"/>
      <c r="N435" s="35" t="s">
        <v>16323</v>
      </c>
      <c r="O435" s="35" t="s">
        <v>6261</v>
      </c>
      <c r="P435" s="35" t="s">
        <v>16763</v>
      </c>
      <c r="Q435" s="35" t="s">
        <v>16049</v>
      </c>
      <c r="R435" s="35" t="s">
        <v>16078</v>
      </c>
      <c r="S435" s="35">
        <v>2360684</v>
      </c>
      <c r="T435" s="35">
        <v>33993613</v>
      </c>
      <c r="U435" s="35"/>
      <c r="V435" s="30"/>
      <c r="W435" s="505" t="s">
        <v>484</v>
      </c>
      <c r="X435" s="35" t="s">
        <v>194</v>
      </c>
      <c r="Y435" s="30">
        <v>0</v>
      </c>
      <c r="Z435" s="35"/>
      <c r="AA435" s="35"/>
      <c r="AB435" s="35"/>
      <c r="AC435" s="35"/>
      <c r="AD435" s="35"/>
      <c r="AE435" s="35"/>
      <c r="AF435" s="35"/>
      <c r="AG435" s="35"/>
      <c r="AH435" s="30" t="s">
        <v>4714</v>
      </c>
      <c r="AI435" s="35" t="s">
        <v>9433</v>
      </c>
      <c r="AJ435" s="62" t="str">
        <f>MID('I kw.22'!W435,8,6)</f>
        <v>251401</v>
      </c>
      <c r="AK435" s="62">
        <v>1</v>
      </c>
      <c r="AL435" s="62">
        <f t="shared" si="6"/>
        <v>1</v>
      </c>
      <c r="AM435" s="62">
        <v>1</v>
      </c>
    </row>
    <row r="436" spans="1:39" x14ac:dyDescent="0.25">
      <c r="A436" s="35" t="s">
        <v>581</v>
      </c>
      <c r="B436" s="35" t="s">
        <v>16322</v>
      </c>
      <c r="C436" s="35" t="s">
        <v>156</v>
      </c>
      <c r="D436" s="35" t="s">
        <v>16307</v>
      </c>
      <c r="E436" s="35" t="s">
        <v>217</v>
      </c>
      <c r="F436" s="62">
        <v>1</v>
      </c>
      <c r="G436" s="30" t="s">
        <v>193</v>
      </c>
      <c r="H436" s="30" t="s">
        <v>194</v>
      </c>
      <c r="I436" s="30" t="s">
        <v>16068</v>
      </c>
      <c r="J436" s="35" t="s">
        <v>210</v>
      </c>
      <c r="K436" s="35">
        <v>18</v>
      </c>
      <c r="L436" s="35" t="s">
        <v>6955</v>
      </c>
      <c r="M436" s="35"/>
      <c r="N436" s="35" t="s">
        <v>16321</v>
      </c>
      <c r="O436" s="35" t="s">
        <v>6269</v>
      </c>
      <c r="P436" s="35" t="s">
        <v>16763</v>
      </c>
      <c r="Q436" s="35" t="s">
        <v>16393</v>
      </c>
      <c r="R436" s="35" t="s">
        <v>16304</v>
      </c>
      <c r="S436" s="35">
        <v>2360705</v>
      </c>
      <c r="T436" s="35">
        <v>33993634</v>
      </c>
      <c r="U436" s="35"/>
      <c r="V436" s="30">
        <v>1863</v>
      </c>
      <c r="W436" s="35" t="s">
        <v>659</v>
      </c>
      <c r="X436" s="35" t="s">
        <v>194</v>
      </c>
      <c r="Y436" s="30">
        <v>1</v>
      </c>
      <c r="Z436" s="35"/>
      <c r="AA436" s="35"/>
      <c r="AB436" s="35"/>
      <c r="AC436" s="35"/>
      <c r="AD436" s="35"/>
      <c r="AE436" s="35"/>
      <c r="AF436" s="35"/>
      <c r="AG436" s="35"/>
      <c r="AH436" s="30" t="s">
        <v>4714</v>
      </c>
      <c r="AI436" s="35" t="s">
        <v>9433</v>
      </c>
      <c r="AJ436" s="62" t="str">
        <f>MID('I kw.22'!W436,8,6)</f>
        <v>332302</v>
      </c>
      <c r="AK436" s="62">
        <v>1</v>
      </c>
      <c r="AL436" s="62">
        <f t="shared" si="6"/>
        <v>1</v>
      </c>
      <c r="AM436" s="62">
        <v>1</v>
      </c>
    </row>
    <row r="437" spans="1:39" x14ac:dyDescent="0.25">
      <c r="A437" s="35" t="s">
        <v>11415</v>
      </c>
      <c r="B437" s="35" t="s">
        <v>8016</v>
      </c>
      <c r="C437" s="35" t="s">
        <v>99</v>
      </c>
      <c r="D437" s="35" t="s">
        <v>16307</v>
      </c>
      <c r="E437" s="35" t="s">
        <v>217</v>
      </c>
      <c r="F437" s="62">
        <v>1</v>
      </c>
      <c r="G437" s="30" t="s">
        <v>193</v>
      </c>
      <c r="H437" s="30" t="s">
        <v>194</v>
      </c>
      <c r="I437" s="30" t="s">
        <v>16073</v>
      </c>
      <c r="J437" s="35" t="s">
        <v>210</v>
      </c>
      <c r="K437" s="35">
        <v>18</v>
      </c>
      <c r="L437" s="35" t="s">
        <v>6955</v>
      </c>
      <c r="M437" s="35"/>
      <c r="N437" s="35" t="s">
        <v>16320</v>
      </c>
      <c r="O437" s="35" t="s">
        <v>6286</v>
      </c>
      <c r="P437" s="35" t="s">
        <v>16763</v>
      </c>
      <c r="Q437" s="35" t="s">
        <v>16393</v>
      </c>
      <c r="R437" s="35" t="s">
        <v>16121</v>
      </c>
      <c r="S437" s="35">
        <v>2360775</v>
      </c>
      <c r="T437" s="35">
        <v>33993704</v>
      </c>
      <c r="U437" s="35"/>
      <c r="V437" s="30">
        <v>1863</v>
      </c>
      <c r="W437" s="35" t="s">
        <v>2421</v>
      </c>
      <c r="X437" s="35" t="s">
        <v>194</v>
      </c>
      <c r="Y437" s="30">
        <v>1</v>
      </c>
      <c r="Z437" s="35"/>
      <c r="AA437" s="35"/>
      <c r="AB437" s="35"/>
      <c r="AC437" s="35"/>
      <c r="AD437" s="35"/>
      <c r="AE437" s="35"/>
      <c r="AF437" s="35"/>
      <c r="AG437" s="35"/>
      <c r="AH437" s="30" t="s">
        <v>4714</v>
      </c>
      <c r="AI437" s="35" t="s">
        <v>9433</v>
      </c>
      <c r="AJ437" s="62" t="str">
        <f>MID('I kw.22'!W437,8,6)</f>
        <v>412001</v>
      </c>
      <c r="AK437" s="62">
        <v>1</v>
      </c>
      <c r="AL437" s="62">
        <f t="shared" si="6"/>
        <v>1</v>
      </c>
      <c r="AM437" s="62">
        <v>1</v>
      </c>
    </row>
    <row r="438" spans="1:39" x14ac:dyDescent="0.25">
      <c r="A438" s="35" t="s">
        <v>581</v>
      </c>
      <c r="B438" s="35" t="s">
        <v>16315</v>
      </c>
      <c r="C438" s="35" t="s">
        <v>886</v>
      </c>
      <c r="D438" s="35" t="s">
        <v>16307</v>
      </c>
      <c r="E438" s="35" t="s">
        <v>217</v>
      </c>
      <c r="F438" s="62">
        <v>1</v>
      </c>
      <c r="G438" s="30" t="s">
        <v>193</v>
      </c>
      <c r="H438" s="30" t="s">
        <v>194</v>
      </c>
      <c r="I438" s="30" t="s">
        <v>16052</v>
      </c>
      <c r="J438" s="35" t="s">
        <v>976</v>
      </c>
      <c r="K438" s="35">
        <v>18</v>
      </c>
      <c r="L438" s="35" t="s">
        <v>6955</v>
      </c>
      <c r="M438" s="35"/>
      <c r="N438" s="35" t="s">
        <v>16314</v>
      </c>
      <c r="O438" s="35" t="s">
        <v>6269</v>
      </c>
      <c r="P438" s="35" t="s">
        <v>16763</v>
      </c>
      <c r="Q438" s="35" t="s">
        <v>16393</v>
      </c>
      <c r="R438" s="35" t="s">
        <v>16304</v>
      </c>
      <c r="S438" s="35">
        <v>2360831</v>
      </c>
      <c r="T438" s="35">
        <v>33993760</v>
      </c>
      <c r="U438" s="35"/>
      <c r="V438" s="30">
        <v>1816</v>
      </c>
      <c r="W438" s="35" t="s">
        <v>887</v>
      </c>
      <c r="X438" s="35" t="s">
        <v>194</v>
      </c>
      <c r="Y438" s="30">
        <v>1</v>
      </c>
      <c r="Z438" s="35"/>
      <c r="AA438" s="35"/>
      <c r="AB438" s="35"/>
      <c r="AC438" s="35"/>
      <c r="AD438" s="35"/>
      <c r="AE438" s="35"/>
      <c r="AF438" s="35"/>
      <c r="AG438" s="35"/>
      <c r="AH438" s="30" t="s">
        <v>4714</v>
      </c>
      <c r="AI438" s="35" t="s">
        <v>9433</v>
      </c>
      <c r="AJ438" s="62" t="str">
        <f>MID('I kw.22'!W438,8,6)</f>
        <v>834401</v>
      </c>
      <c r="AK438" s="62">
        <v>1</v>
      </c>
      <c r="AL438" s="62">
        <f t="shared" si="6"/>
        <v>1</v>
      </c>
      <c r="AM438" s="62">
        <v>1</v>
      </c>
    </row>
    <row r="439" spans="1:39" x14ac:dyDescent="0.25">
      <c r="A439" s="35" t="s">
        <v>581</v>
      </c>
      <c r="B439" s="35" t="s">
        <v>14020</v>
      </c>
      <c r="C439" s="35" t="s">
        <v>62</v>
      </c>
      <c r="D439" s="35" t="s">
        <v>16307</v>
      </c>
      <c r="E439" s="35" t="s">
        <v>217</v>
      </c>
      <c r="F439" s="62">
        <v>1</v>
      </c>
      <c r="G439" s="30" t="s">
        <v>193</v>
      </c>
      <c r="H439" s="30" t="s">
        <v>194</v>
      </c>
      <c r="I439" s="30" t="s">
        <v>16083</v>
      </c>
      <c r="J439" s="35" t="s">
        <v>253</v>
      </c>
      <c r="K439" s="35">
        <v>18</v>
      </c>
      <c r="L439" s="35" t="s">
        <v>6955</v>
      </c>
      <c r="M439" s="35"/>
      <c r="N439" s="35" t="s">
        <v>16764</v>
      </c>
      <c r="O439" s="35" t="s">
        <v>6275</v>
      </c>
      <c r="P439" s="35" t="s">
        <v>16763</v>
      </c>
      <c r="Q439" s="35" t="s">
        <v>16053</v>
      </c>
      <c r="R439" s="35" t="s">
        <v>16066</v>
      </c>
      <c r="S439" s="35">
        <v>2360870</v>
      </c>
      <c r="T439" s="35">
        <v>33993799</v>
      </c>
      <c r="U439" s="35"/>
      <c r="V439" s="30">
        <v>1811</v>
      </c>
      <c r="W439" s="35" t="s">
        <v>601</v>
      </c>
      <c r="X439" s="35" t="s">
        <v>194</v>
      </c>
      <c r="Y439" s="30">
        <v>1</v>
      </c>
      <c r="Z439" s="35"/>
      <c r="AA439" s="35"/>
      <c r="AB439" s="35"/>
      <c r="AC439" s="35"/>
      <c r="AD439" s="35"/>
      <c r="AE439" s="35"/>
      <c r="AF439" s="35"/>
      <c r="AG439" s="35"/>
      <c r="AH439" s="30" t="s">
        <v>4714</v>
      </c>
      <c r="AI439" s="35" t="s">
        <v>9433</v>
      </c>
      <c r="AJ439" s="62" t="str">
        <f>MID('I kw.22'!W439,8,6)</f>
        <v>313904</v>
      </c>
      <c r="AK439" s="62">
        <v>1</v>
      </c>
      <c r="AL439" s="62">
        <f t="shared" si="6"/>
        <v>1</v>
      </c>
      <c r="AM439" s="62">
        <v>1</v>
      </c>
    </row>
    <row r="440" spans="1:39" x14ac:dyDescent="0.25">
      <c r="A440" s="35" t="s">
        <v>4022</v>
      </c>
      <c r="B440" s="35" t="s">
        <v>8022</v>
      </c>
      <c r="C440" s="35" t="s">
        <v>16313</v>
      </c>
      <c r="D440" s="35" t="s">
        <v>16307</v>
      </c>
      <c r="E440" s="35" t="s">
        <v>217</v>
      </c>
      <c r="F440" s="62">
        <v>1</v>
      </c>
      <c r="G440" s="30" t="s">
        <v>193</v>
      </c>
      <c r="H440" s="30" t="s">
        <v>194</v>
      </c>
      <c r="I440" s="30" t="s">
        <v>16052</v>
      </c>
      <c r="J440" s="35" t="s">
        <v>210</v>
      </c>
      <c r="K440" s="35">
        <v>18</v>
      </c>
      <c r="L440" s="35" t="s">
        <v>6955</v>
      </c>
      <c r="M440" s="35"/>
      <c r="N440" s="35" t="s">
        <v>16312</v>
      </c>
      <c r="O440" s="35" t="s">
        <v>6290</v>
      </c>
      <c r="P440" s="35" t="s">
        <v>16763</v>
      </c>
      <c r="Q440" s="35" t="s">
        <v>16393</v>
      </c>
      <c r="R440" s="35" t="s">
        <v>16121</v>
      </c>
      <c r="S440" s="35">
        <v>2361010</v>
      </c>
      <c r="T440" s="35">
        <v>33993939</v>
      </c>
      <c r="U440" s="35"/>
      <c r="V440" s="30">
        <v>1863</v>
      </c>
      <c r="W440" s="35" t="s">
        <v>16311</v>
      </c>
      <c r="X440" s="35" t="s">
        <v>194</v>
      </c>
      <c r="Y440" s="30">
        <v>1</v>
      </c>
      <c r="Z440" s="35"/>
      <c r="AA440" s="35"/>
      <c r="AB440" s="35"/>
      <c r="AC440" s="35"/>
      <c r="AD440" s="35"/>
      <c r="AE440" s="35"/>
      <c r="AF440" s="35"/>
      <c r="AG440" s="35"/>
      <c r="AH440" s="30" t="s">
        <v>4714</v>
      </c>
      <c r="AI440" s="35" t="s">
        <v>9433</v>
      </c>
      <c r="AJ440" s="62" t="str">
        <f>MID('I kw.22'!W440,8,6)</f>
        <v>524101</v>
      </c>
      <c r="AK440" s="62">
        <v>1</v>
      </c>
      <c r="AL440" s="62">
        <f t="shared" si="6"/>
        <v>1</v>
      </c>
      <c r="AM440" s="62">
        <v>1</v>
      </c>
    </row>
    <row r="441" spans="1:39" x14ac:dyDescent="0.25">
      <c r="A441" s="35" t="s">
        <v>581</v>
      </c>
      <c r="B441" s="35" t="s">
        <v>3873</v>
      </c>
      <c r="C441" s="35" t="s">
        <v>62</v>
      </c>
      <c r="D441" s="35" t="s">
        <v>16307</v>
      </c>
      <c r="E441" s="35" t="s">
        <v>217</v>
      </c>
      <c r="F441" s="62">
        <v>1</v>
      </c>
      <c r="G441" s="30" t="s">
        <v>193</v>
      </c>
      <c r="H441" s="30" t="s">
        <v>194</v>
      </c>
      <c r="I441" s="30" t="s">
        <v>16083</v>
      </c>
      <c r="J441" s="35" t="s">
        <v>976</v>
      </c>
      <c r="K441" s="35">
        <v>18</v>
      </c>
      <c r="L441" s="35" t="s">
        <v>6955</v>
      </c>
      <c r="M441" s="35"/>
      <c r="N441" s="35" t="s">
        <v>16306</v>
      </c>
      <c r="O441" s="35" t="s">
        <v>6275</v>
      </c>
      <c r="P441" s="35" t="s">
        <v>16763</v>
      </c>
      <c r="Q441" s="35" t="s">
        <v>16393</v>
      </c>
      <c r="R441" s="35" t="s">
        <v>16304</v>
      </c>
      <c r="S441" s="35">
        <v>2361065</v>
      </c>
      <c r="T441" s="35">
        <v>33993994</v>
      </c>
      <c r="U441" s="35"/>
      <c r="V441" s="30">
        <v>1816</v>
      </c>
      <c r="W441" s="35" t="s">
        <v>601</v>
      </c>
      <c r="X441" s="35" t="s">
        <v>194</v>
      </c>
      <c r="Y441" s="30">
        <v>1</v>
      </c>
      <c r="Z441" s="35"/>
      <c r="AA441" s="35"/>
      <c r="AB441" s="35"/>
      <c r="AC441" s="35"/>
      <c r="AD441" s="35"/>
      <c r="AE441" s="35"/>
      <c r="AF441" s="35"/>
      <c r="AG441" s="35"/>
      <c r="AH441" s="30" t="s">
        <v>4714</v>
      </c>
      <c r="AI441" s="35" t="s">
        <v>9433</v>
      </c>
      <c r="AJ441" s="62" t="str">
        <f>MID('I kw.22'!W441,8,6)</f>
        <v>313904</v>
      </c>
      <c r="AK441" s="62">
        <v>1</v>
      </c>
      <c r="AL441" s="62">
        <f t="shared" si="6"/>
        <v>1</v>
      </c>
      <c r="AM441" s="62">
        <v>1</v>
      </c>
    </row>
    <row r="442" spans="1:39" x14ac:dyDescent="0.25">
      <c r="A442" s="35" t="s">
        <v>15269</v>
      </c>
      <c r="B442" s="35" t="s">
        <v>16761</v>
      </c>
      <c r="C442" s="35" t="s">
        <v>27</v>
      </c>
      <c r="D442" s="35" t="s">
        <v>16307</v>
      </c>
      <c r="E442" s="35" t="s">
        <v>192</v>
      </c>
      <c r="F442" s="62">
        <v>1</v>
      </c>
      <c r="G442" s="30" t="s">
        <v>193</v>
      </c>
      <c r="H442" s="30" t="s">
        <v>194</v>
      </c>
      <c r="I442" s="30" t="s">
        <v>16121</v>
      </c>
      <c r="J442" s="35" t="s">
        <v>9302</v>
      </c>
      <c r="K442" s="35">
        <v>18</v>
      </c>
      <c r="L442" s="35" t="s">
        <v>6955</v>
      </c>
      <c r="M442" s="35"/>
      <c r="N442" s="35" t="s">
        <v>16762</v>
      </c>
      <c r="O442" s="35" t="s">
        <v>6254</v>
      </c>
      <c r="P442" s="35" t="s">
        <v>16394</v>
      </c>
      <c r="Q442" s="35" t="s">
        <v>16393</v>
      </c>
      <c r="R442" s="35" t="s">
        <v>16397</v>
      </c>
      <c r="S442" s="35">
        <v>2361105</v>
      </c>
      <c r="T442" s="35">
        <v>33994109</v>
      </c>
      <c r="U442" s="35"/>
      <c r="V442" s="30"/>
      <c r="W442" s="505" t="s">
        <v>440</v>
      </c>
      <c r="X442" s="35" t="s">
        <v>193</v>
      </c>
      <c r="Y442" s="30">
        <v>25</v>
      </c>
      <c r="Z442" s="35"/>
      <c r="AA442" s="35"/>
      <c r="AB442" s="35"/>
      <c r="AC442" s="35"/>
      <c r="AD442" s="35"/>
      <c r="AE442" s="35"/>
      <c r="AF442" s="35"/>
      <c r="AG442" s="35"/>
      <c r="AH442" s="30" t="s">
        <v>4714</v>
      </c>
      <c r="AI442" s="35" t="s">
        <v>16761</v>
      </c>
      <c r="AJ442" s="62" t="str">
        <f>MID('I kw.22'!W442,8,6)</f>
        <v>242307</v>
      </c>
      <c r="AK442" s="62">
        <v>1</v>
      </c>
      <c r="AL442" s="62">
        <f t="shared" si="6"/>
        <v>1</v>
      </c>
      <c r="AM442" s="62">
        <v>1</v>
      </c>
    </row>
    <row r="443" spans="1:39" x14ac:dyDescent="0.25">
      <c r="A443" s="35" t="s">
        <v>16760</v>
      </c>
      <c r="B443" s="35" t="s">
        <v>16756</v>
      </c>
      <c r="C443" s="35" t="s">
        <v>16759</v>
      </c>
      <c r="D443" s="35" t="s">
        <v>16307</v>
      </c>
      <c r="E443" s="35" t="s">
        <v>192</v>
      </c>
      <c r="F443" s="62">
        <v>1</v>
      </c>
      <c r="G443" s="30" t="s">
        <v>194</v>
      </c>
      <c r="H443" s="30" t="s">
        <v>193</v>
      </c>
      <c r="I443" s="30" t="s">
        <v>16083</v>
      </c>
      <c r="J443" s="35" t="s">
        <v>9302</v>
      </c>
      <c r="K443" s="35">
        <v>18</v>
      </c>
      <c r="L443" s="35" t="s">
        <v>6955</v>
      </c>
      <c r="M443" s="35"/>
      <c r="N443" s="35" t="s">
        <v>16758</v>
      </c>
      <c r="O443" s="35" t="s">
        <v>6295</v>
      </c>
      <c r="P443" s="35" t="s">
        <v>16394</v>
      </c>
      <c r="Q443" s="35" t="s">
        <v>16393</v>
      </c>
      <c r="R443" s="35" t="s">
        <v>16397</v>
      </c>
      <c r="S443" s="35">
        <v>2361120</v>
      </c>
      <c r="T443" s="35">
        <v>33994124</v>
      </c>
      <c r="U443" s="35"/>
      <c r="V443" s="30"/>
      <c r="W443" s="505" t="s">
        <v>16757</v>
      </c>
      <c r="X443" s="35" t="s">
        <v>194</v>
      </c>
      <c r="Y443" s="30">
        <v>0</v>
      </c>
      <c r="Z443" s="35"/>
      <c r="AA443" s="35"/>
      <c r="AB443" s="35"/>
      <c r="AC443" s="35"/>
      <c r="AD443" s="35"/>
      <c r="AE443" s="35"/>
      <c r="AF443" s="35"/>
      <c r="AG443" s="35"/>
      <c r="AH443" s="30" t="s">
        <v>4714</v>
      </c>
      <c r="AI443" s="35" t="s">
        <v>16756</v>
      </c>
      <c r="AJ443" s="62" t="str">
        <f>MID('I kw.22'!W443,8,6)</f>
        <v>931203</v>
      </c>
      <c r="AK443" s="62">
        <v>1</v>
      </c>
      <c r="AL443" s="62">
        <f t="shared" si="6"/>
        <v>1</v>
      </c>
      <c r="AM443" s="62">
        <v>1</v>
      </c>
    </row>
    <row r="444" spans="1:39" x14ac:dyDescent="0.25">
      <c r="A444" s="35" t="s">
        <v>1483</v>
      </c>
      <c r="B444" s="35" t="s">
        <v>921</v>
      </c>
      <c r="C444" s="35" t="s">
        <v>922</v>
      </c>
      <c r="D444" s="35" t="s">
        <v>16307</v>
      </c>
      <c r="E444" s="35" t="s">
        <v>192</v>
      </c>
      <c r="F444" s="62">
        <v>1</v>
      </c>
      <c r="G444" s="30" t="s">
        <v>193</v>
      </c>
      <c r="H444" s="30" t="s">
        <v>194</v>
      </c>
      <c r="I444" s="30" t="s">
        <v>16052</v>
      </c>
      <c r="J444" s="35" t="s">
        <v>1486</v>
      </c>
      <c r="K444" s="35">
        <v>18</v>
      </c>
      <c r="L444" s="35" t="s">
        <v>6955</v>
      </c>
      <c r="M444" s="35"/>
      <c r="N444" s="35" t="s">
        <v>16755</v>
      </c>
      <c r="O444" s="35" t="s">
        <v>7531</v>
      </c>
      <c r="P444" s="35" t="s">
        <v>16540</v>
      </c>
      <c r="Q444" s="35" t="s">
        <v>16393</v>
      </c>
      <c r="R444" s="35" t="s">
        <v>16397</v>
      </c>
      <c r="S444" s="35">
        <v>2361128</v>
      </c>
      <c r="T444" s="35">
        <v>33994132</v>
      </c>
      <c r="U444" s="35"/>
      <c r="V444" s="30"/>
      <c r="W444" s="505" t="s">
        <v>923</v>
      </c>
      <c r="X444" s="35" t="s">
        <v>193</v>
      </c>
      <c r="Y444" s="30">
        <v>25</v>
      </c>
      <c r="Z444" s="35"/>
      <c r="AA444" s="35"/>
      <c r="AB444" s="35"/>
      <c r="AC444" s="35"/>
      <c r="AD444" s="35"/>
      <c r="AE444" s="35"/>
      <c r="AF444" s="35"/>
      <c r="AG444" s="35"/>
      <c r="AH444" s="30" t="s">
        <v>4714</v>
      </c>
      <c r="AI444" s="35" t="s">
        <v>922</v>
      </c>
      <c r="AJ444" s="62" t="str">
        <f>MID('I kw.22'!W444,8,6)</f>
        <v>112006</v>
      </c>
      <c r="AK444" s="62">
        <v>1</v>
      </c>
      <c r="AL444" s="62">
        <f t="shared" si="6"/>
        <v>1</v>
      </c>
      <c r="AM444" s="62">
        <v>1</v>
      </c>
    </row>
    <row r="445" spans="1:39" x14ac:dyDescent="0.25">
      <c r="A445" s="35" t="s">
        <v>4969</v>
      </c>
      <c r="B445" s="35" t="s">
        <v>1053</v>
      </c>
      <c r="C445" s="35" t="s">
        <v>3427</v>
      </c>
      <c r="D445" s="35" t="s">
        <v>16307</v>
      </c>
      <c r="E445" s="35" t="s">
        <v>192</v>
      </c>
      <c r="F445" s="62">
        <v>1</v>
      </c>
      <c r="G445" s="30" t="s">
        <v>193</v>
      </c>
      <c r="H445" s="30" t="s">
        <v>194</v>
      </c>
      <c r="I445" s="30" t="s">
        <v>16073</v>
      </c>
      <c r="J445" s="35" t="s">
        <v>9302</v>
      </c>
      <c r="K445" s="35">
        <v>18</v>
      </c>
      <c r="L445" s="35" t="s">
        <v>6955</v>
      </c>
      <c r="M445" s="35"/>
      <c r="N445" s="35" t="s">
        <v>16754</v>
      </c>
      <c r="O445" s="35" t="s">
        <v>6921</v>
      </c>
      <c r="P445" s="35" t="s">
        <v>16394</v>
      </c>
      <c r="Q445" s="35" t="s">
        <v>16393</v>
      </c>
      <c r="R445" s="35" t="s">
        <v>16397</v>
      </c>
      <c r="S445" s="35">
        <v>2361147</v>
      </c>
      <c r="T445" s="35">
        <v>33994151</v>
      </c>
      <c r="U445" s="35"/>
      <c r="V445" s="30"/>
      <c r="W445" s="505" t="s">
        <v>3428</v>
      </c>
      <c r="X445" s="35" t="s">
        <v>193</v>
      </c>
      <c r="Y445" s="30">
        <v>25</v>
      </c>
      <c r="Z445" s="35"/>
      <c r="AA445" s="35"/>
      <c r="AB445" s="35"/>
      <c r="AC445" s="35"/>
      <c r="AD445" s="35"/>
      <c r="AE445" s="35"/>
      <c r="AF445" s="35"/>
      <c r="AG445" s="35"/>
      <c r="AH445" s="30" t="s">
        <v>4714</v>
      </c>
      <c r="AI445" s="35" t="s">
        <v>1053</v>
      </c>
      <c r="AJ445" s="62" t="str">
        <f>MID('I kw.22'!W445,8,6)</f>
        <v>251202</v>
      </c>
      <c r="AK445" s="62">
        <v>1</v>
      </c>
      <c r="AL445" s="62">
        <f t="shared" si="6"/>
        <v>1</v>
      </c>
      <c r="AM445" s="62">
        <v>1</v>
      </c>
    </row>
    <row r="446" spans="1:39" x14ac:dyDescent="0.25">
      <c r="A446" s="35" t="s">
        <v>4969</v>
      </c>
      <c r="B446" s="35" t="s">
        <v>16752</v>
      </c>
      <c r="C446" s="35" t="s">
        <v>37</v>
      </c>
      <c r="D446" s="35" t="s">
        <v>16307</v>
      </c>
      <c r="E446" s="35" t="s">
        <v>192</v>
      </c>
      <c r="F446" s="62">
        <v>1</v>
      </c>
      <c r="G446" s="30" t="s">
        <v>193</v>
      </c>
      <c r="H446" s="30" t="s">
        <v>194</v>
      </c>
      <c r="I446" s="30" t="s">
        <v>16121</v>
      </c>
      <c r="J446" s="35" t="s">
        <v>9302</v>
      </c>
      <c r="K446" s="35">
        <v>18</v>
      </c>
      <c r="L446" s="35" t="s">
        <v>6955</v>
      </c>
      <c r="M446" s="35"/>
      <c r="N446" s="35" t="s">
        <v>16753</v>
      </c>
      <c r="O446" s="35" t="s">
        <v>6921</v>
      </c>
      <c r="P446" s="35" t="s">
        <v>16394</v>
      </c>
      <c r="Q446" s="35" t="s">
        <v>16393</v>
      </c>
      <c r="R446" s="35" t="s">
        <v>16397</v>
      </c>
      <c r="S446" s="35">
        <v>2361166</v>
      </c>
      <c r="T446" s="35">
        <v>33994170</v>
      </c>
      <c r="U446" s="35"/>
      <c r="V446" s="30"/>
      <c r="W446" s="505" t="s">
        <v>516</v>
      </c>
      <c r="X446" s="35" t="s">
        <v>193</v>
      </c>
      <c r="Y446" s="30">
        <v>25</v>
      </c>
      <c r="Z446" s="35"/>
      <c r="AA446" s="35"/>
      <c r="AB446" s="35"/>
      <c r="AC446" s="35"/>
      <c r="AD446" s="35"/>
      <c r="AE446" s="35"/>
      <c r="AF446" s="35"/>
      <c r="AG446" s="35"/>
      <c r="AH446" s="30" t="s">
        <v>4714</v>
      </c>
      <c r="AI446" s="35" t="s">
        <v>16752</v>
      </c>
      <c r="AJ446" s="62" t="str">
        <f>MID('I kw.22'!W446,8,6)</f>
        <v>252302</v>
      </c>
      <c r="AK446" s="62">
        <v>1</v>
      </c>
      <c r="AL446" s="62">
        <f t="shared" si="6"/>
        <v>1</v>
      </c>
      <c r="AM446" s="62">
        <v>1</v>
      </c>
    </row>
    <row r="447" spans="1:39" x14ac:dyDescent="0.25">
      <c r="A447" s="35" t="s">
        <v>16615</v>
      </c>
      <c r="B447" s="35" t="s">
        <v>1553</v>
      </c>
      <c r="C447" s="35" t="s">
        <v>1402</v>
      </c>
      <c r="D447" s="35" t="s">
        <v>16307</v>
      </c>
      <c r="E447" s="35" t="s">
        <v>192</v>
      </c>
      <c r="F447" s="62">
        <v>1</v>
      </c>
      <c r="G447" s="30" t="s">
        <v>193</v>
      </c>
      <c r="H447" s="30" t="s">
        <v>194</v>
      </c>
      <c r="I447" s="30" t="s">
        <v>16083</v>
      </c>
      <c r="J447" s="35" t="s">
        <v>9302</v>
      </c>
      <c r="K447" s="35">
        <v>18</v>
      </c>
      <c r="L447" s="35" t="s">
        <v>6955</v>
      </c>
      <c r="M447" s="35"/>
      <c r="N447" s="35" t="s">
        <v>16751</v>
      </c>
      <c r="O447" s="35" t="s">
        <v>6288</v>
      </c>
      <c r="P447" s="35" t="s">
        <v>16394</v>
      </c>
      <c r="Q447" s="35" t="s">
        <v>16393</v>
      </c>
      <c r="R447" s="35" t="s">
        <v>16397</v>
      </c>
      <c r="S447" s="35">
        <v>2361190</v>
      </c>
      <c r="T447" s="35">
        <v>33994194</v>
      </c>
      <c r="U447" s="35"/>
      <c r="V447" s="30"/>
      <c r="W447" s="505" t="s">
        <v>1403</v>
      </c>
      <c r="X447" s="35" t="s">
        <v>193</v>
      </c>
      <c r="Y447" s="30">
        <v>25</v>
      </c>
      <c r="Z447" s="35"/>
      <c r="AA447" s="35"/>
      <c r="AB447" s="35"/>
      <c r="AC447" s="35"/>
      <c r="AD447" s="35"/>
      <c r="AE447" s="35"/>
      <c r="AF447" s="35"/>
      <c r="AG447" s="35"/>
      <c r="AH447" s="30" t="s">
        <v>4714</v>
      </c>
      <c r="AI447" s="35" t="s">
        <v>1553</v>
      </c>
      <c r="AJ447" s="62" t="str">
        <f>MID('I kw.22'!W447,8,6)</f>
        <v>242228</v>
      </c>
      <c r="AK447" s="62">
        <v>1</v>
      </c>
      <c r="AL447" s="62">
        <f t="shared" si="6"/>
        <v>1</v>
      </c>
      <c r="AM447" s="62">
        <v>1</v>
      </c>
    </row>
    <row r="448" spans="1:39" x14ac:dyDescent="0.25">
      <c r="A448" s="35" t="s">
        <v>1499</v>
      </c>
      <c r="B448" s="35" t="s">
        <v>2815</v>
      </c>
      <c r="C448" s="35" t="s">
        <v>420</v>
      </c>
      <c r="D448" s="35" t="s">
        <v>16307</v>
      </c>
      <c r="E448" s="35" t="s">
        <v>192</v>
      </c>
      <c r="F448" s="62">
        <v>1</v>
      </c>
      <c r="G448" s="30" t="s">
        <v>193</v>
      </c>
      <c r="H448" s="30" t="s">
        <v>194</v>
      </c>
      <c r="I448" s="30" t="s">
        <v>16061</v>
      </c>
      <c r="J448" s="35" t="s">
        <v>210</v>
      </c>
      <c r="K448" s="35">
        <v>18</v>
      </c>
      <c r="L448" s="35" t="s">
        <v>6955</v>
      </c>
      <c r="M448" s="35"/>
      <c r="N448" s="35" t="s">
        <v>16750</v>
      </c>
      <c r="O448" s="35" t="s">
        <v>7531</v>
      </c>
      <c r="P448" s="35" t="s">
        <v>16394</v>
      </c>
      <c r="Q448" s="35" t="s">
        <v>16393</v>
      </c>
      <c r="R448" s="35" t="s">
        <v>16397</v>
      </c>
      <c r="S448" s="35">
        <v>2361216</v>
      </c>
      <c r="T448" s="35">
        <v>33994220</v>
      </c>
      <c r="U448" s="35"/>
      <c r="V448" s="30">
        <v>1863</v>
      </c>
      <c r="W448" s="35" t="s">
        <v>421</v>
      </c>
      <c r="X448" s="35" t="s">
        <v>194</v>
      </c>
      <c r="Y448" s="30">
        <v>1</v>
      </c>
      <c r="Z448" s="35"/>
      <c r="AA448" s="35"/>
      <c r="AB448" s="35"/>
      <c r="AC448" s="35"/>
      <c r="AD448" s="35"/>
      <c r="AE448" s="35"/>
      <c r="AF448" s="35"/>
      <c r="AG448" s="35"/>
      <c r="AH448" s="30" t="s">
        <v>4714</v>
      </c>
      <c r="AI448" s="35" t="s">
        <v>2815</v>
      </c>
      <c r="AJ448" s="62" t="str">
        <f>MID('I kw.22'!W448,8,6)</f>
        <v>241306</v>
      </c>
      <c r="AK448" s="62">
        <v>1</v>
      </c>
      <c r="AL448" s="62">
        <f t="shared" si="6"/>
        <v>1</v>
      </c>
      <c r="AM448" s="62">
        <v>1</v>
      </c>
    </row>
    <row r="449" spans="1:39" x14ac:dyDescent="0.25">
      <c r="A449" s="35" t="s">
        <v>16749</v>
      </c>
      <c r="B449" s="35" t="s">
        <v>10966</v>
      </c>
      <c r="C449" s="35" t="s">
        <v>10</v>
      </c>
      <c r="D449" s="35" t="s">
        <v>16307</v>
      </c>
      <c r="E449" s="35" t="s">
        <v>192</v>
      </c>
      <c r="F449" s="62">
        <v>1</v>
      </c>
      <c r="G449" s="30" t="s">
        <v>193</v>
      </c>
      <c r="H449" s="30" t="s">
        <v>194</v>
      </c>
      <c r="I449" s="30" t="s">
        <v>16121</v>
      </c>
      <c r="J449" s="35" t="s">
        <v>9302</v>
      </c>
      <c r="K449" s="35">
        <v>18</v>
      </c>
      <c r="L449" s="35" t="s">
        <v>6955</v>
      </c>
      <c r="M449" s="35"/>
      <c r="N449" s="35" t="s">
        <v>16748</v>
      </c>
      <c r="O449" s="35" t="s">
        <v>6261</v>
      </c>
      <c r="P449" s="35" t="s">
        <v>16394</v>
      </c>
      <c r="Q449" s="35" t="s">
        <v>16393</v>
      </c>
      <c r="R449" s="35" t="s">
        <v>16397</v>
      </c>
      <c r="S449" s="35">
        <v>2361228</v>
      </c>
      <c r="T449" s="35">
        <v>33994232</v>
      </c>
      <c r="U449" s="35"/>
      <c r="V449" s="30"/>
      <c r="W449" s="505" t="s">
        <v>484</v>
      </c>
      <c r="X449" s="35" t="s">
        <v>193</v>
      </c>
      <c r="Y449" s="30">
        <v>25</v>
      </c>
      <c r="Z449" s="35"/>
      <c r="AA449" s="35"/>
      <c r="AB449" s="35"/>
      <c r="AC449" s="35"/>
      <c r="AD449" s="35"/>
      <c r="AE449" s="35"/>
      <c r="AF449" s="35"/>
      <c r="AG449" s="35"/>
      <c r="AH449" s="30" t="s">
        <v>4714</v>
      </c>
      <c r="AI449" s="35" t="s">
        <v>10966</v>
      </c>
      <c r="AJ449" s="62" t="str">
        <f>MID('I kw.22'!W449,8,6)</f>
        <v>251401</v>
      </c>
      <c r="AK449" s="62">
        <v>1</v>
      </c>
      <c r="AL449" s="62">
        <f t="shared" si="6"/>
        <v>1</v>
      </c>
      <c r="AM449" s="62">
        <v>1</v>
      </c>
    </row>
    <row r="450" spans="1:39" x14ac:dyDescent="0.25">
      <c r="A450" s="35" t="s">
        <v>16747</v>
      </c>
      <c r="B450" s="35" t="s">
        <v>16745</v>
      </c>
      <c r="C450" s="35" t="s">
        <v>113</v>
      </c>
      <c r="D450" s="35" t="s">
        <v>16307</v>
      </c>
      <c r="E450" s="35" t="s">
        <v>192</v>
      </c>
      <c r="F450" s="62">
        <v>1</v>
      </c>
      <c r="G450" s="30" t="s">
        <v>193</v>
      </c>
      <c r="H450" s="30" t="s">
        <v>194</v>
      </c>
      <c r="I450" s="30" t="s">
        <v>16048</v>
      </c>
      <c r="J450" s="35" t="s">
        <v>9302</v>
      </c>
      <c r="K450" s="35">
        <v>18</v>
      </c>
      <c r="L450" s="35" t="s">
        <v>6955</v>
      </c>
      <c r="M450" s="35"/>
      <c r="N450" s="35" t="s">
        <v>16746</v>
      </c>
      <c r="O450" s="35" t="s">
        <v>6921</v>
      </c>
      <c r="P450" s="35" t="s">
        <v>16394</v>
      </c>
      <c r="Q450" s="35" t="s">
        <v>16393</v>
      </c>
      <c r="R450" s="35" t="s">
        <v>16397</v>
      </c>
      <c r="S450" s="35">
        <v>2361246</v>
      </c>
      <c r="T450" s="35">
        <v>33994250</v>
      </c>
      <c r="U450" s="35"/>
      <c r="V450" s="30"/>
      <c r="W450" s="505" t="s">
        <v>465</v>
      </c>
      <c r="X450" s="35" t="s">
        <v>193</v>
      </c>
      <c r="Y450" s="30">
        <v>25</v>
      </c>
      <c r="Z450" s="35"/>
      <c r="AA450" s="35"/>
      <c r="AB450" s="35"/>
      <c r="AC450" s="35"/>
      <c r="AD450" s="35"/>
      <c r="AE450" s="35"/>
      <c r="AF450" s="35"/>
      <c r="AG450" s="35"/>
      <c r="AH450" s="30" t="s">
        <v>4714</v>
      </c>
      <c r="AI450" s="35" t="s">
        <v>16745</v>
      </c>
      <c r="AJ450" s="62" t="str">
        <f>MID('I kw.22'!W450,8,6)</f>
        <v>243302</v>
      </c>
      <c r="AK450" s="62">
        <v>1</v>
      </c>
      <c r="AL450" s="62">
        <f t="shared" si="6"/>
        <v>1</v>
      </c>
      <c r="AM450" s="62">
        <v>1</v>
      </c>
    </row>
    <row r="451" spans="1:39" x14ac:dyDescent="0.25">
      <c r="A451" s="35" t="s">
        <v>16744</v>
      </c>
      <c r="B451" s="35" t="s">
        <v>16742</v>
      </c>
      <c r="C451" s="35" t="s">
        <v>105</v>
      </c>
      <c r="D451" s="35" t="s">
        <v>16307</v>
      </c>
      <c r="E451" s="35" t="s">
        <v>192</v>
      </c>
      <c r="F451" s="62">
        <v>1</v>
      </c>
      <c r="G451" s="30" t="s">
        <v>193</v>
      </c>
      <c r="H451" s="30" t="s">
        <v>194</v>
      </c>
      <c r="I451" s="30" t="s">
        <v>16068</v>
      </c>
      <c r="J451" s="35" t="s">
        <v>9302</v>
      </c>
      <c r="K451" s="35">
        <v>18</v>
      </c>
      <c r="L451" s="35" t="s">
        <v>6955</v>
      </c>
      <c r="M451" s="35"/>
      <c r="N451" s="35" t="s">
        <v>16743</v>
      </c>
      <c r="O451" s="35" t="s">
        <v>6245</v>
      </c>
      <c r="P451" s="35" t="s">
        <v>16394</v>
      </c>
      <c r="Q451" s="35" t="s">
        <v>16393</v>
      </c>
      <c r="R451" s="35" t="s">
        <v>16397</v>
      </c>
      <c r="S451" s="35">
        <v>2361263</v>
      </c>
      <c r="T451" s="35">
        <v>33994267</v>
      </c>
      <c r="U451" s="35"/>
      <c r="V451" s="30"/>
      <c r="W451" s="505" t="s">
        <v>676</v>
      </c>
      <c r="X451" s="35" t="s">
        <v>193</v>
      </c>
      <c r="Y451" s="30">
        <v>25</v>
      </c>
      <c r="Z451" s="35"/>
      <c r="AA451" s="35"/>
      <c r="AB451" s="35"/>
      <c r="AC451" s="35"/>
      <c r="AD451" s="35"/>
      <c r="AE451" s="35"/>
      <c r="AF451" s="35"/>
      <c r="AG451" s="35"/>
      <c r="AH451" s="30" t="s">
        <v>4714</v>
      </c>
      <c r="AI451" s="35" t="s">
        <v>16742</v>
      </c>
      <c r="AJ451" s="62" t="str">
        <f>MID('I kw.22'!W451,8,6)</f>
        <v>333108</v>
      </c>
      <c r="AK451" s="62">
        <v>1</v>
      </c>
      <c r="AL451" s="62">
        <f t="shared" ref="AL451:AL514" si="7">SUM(F451)</f>
        <v>1</v>
      </c>
      <c r="AM451" s="62">
        <v>1</v>
      </c>
    </row>
    <row r="452" spans="1:39" x14ac:dyDescent="0.25">
      <c r="A452" s="35" t="s">
        <v>16741</v>
      </c>
      <c r="B452" s="35" t="s">
        <v>16739</v>
      </c>
      <c r="C452" s="35" t="s">
        <v>43</v>
      </c>
      <c r="D452" s="35" t="s">
        <v>16307</v>
      </c>
      <c r="E452" s="35" t="s">
        <v>192</v>
      </c>
      <c r="F452" s="62">
        <v>1</v>
      </c>
      <c r="G452" s="30" t="s">
        <v>193</v>
      </c>
      <c r="H452" s="30" t="s">
        <v>194</v>
      </c>
      <c r="I452" s="30" t="s">
        <v>16068</v>
      </c>
      <c r="J452" s="35" t="s">
        <v>9302</v>
      </c>
      <c r="K452" s="35">
        <v>18</v>
      </c>
      <c r="L452" s="35" t="s">
        <v>6955</v>
      </c>
      <c r="M452" s="35"/>
      <c r="N452" s="35" t="s">
        <v>16740</v>
      </c>
      <c r="O452" s="35" t="s">
        <v>6302</v>
      </c>
      <c r="P452" s="35" t="s">
        <v>16394</v>
      </c>
      <c r="Q452" s="35" t="s">
        <v>16393</v>
      </c>
      <c r="R452" s="35" t="s">
        <v>16397</v>
      </c>
      <c r="S452" s="35">
        <v>2361273</v>
      </c>
      <c r="T452" s="35">
        <v>33994277</v>
      </c>
      <c r="U452" s="35"/>
      <c r="V452" s="30"/>
      <c r="W452" s="505" t="s">
        <v>452</v>
      </c>
      <c r="X452" s="35" t="s">
        <v>193</v>
      </c>
      <c r="Y452" s="30">
        <v>25</v>
      </c>
      <c r="Z452" s="35"/>
      <c r="AA452" s="35"/>
      <c r="AB452" s="35"/>
      <c r="AC452" s="35"/>
      <c r="AD452" s="35"/>
      <c r="AE452" s="35"/>
      <c r="AF452" s="35"/>
      <c r="AG452" s="35"/>
      <c r="AH452" s="30" t="s">
        <v>4714</v>
      </c>
      <c r="AI452" s="35" t="s">
        <v>16739</v>
      </c>
      <c r="AJ452" s="62" t="str">
        <f>MID('I kw.22'!W452,8,6)</f>
        <v>243106</v>
      </c>
      <c r="AK452" s="62">
        <v>1</v>
      </c>
      <c r="AL452" s="62">
        <f t="shared" si="7"/>
        <v>1</v>
      </c>
      <c r="AM452" s="62">
        <v>1</v>
      </c>
    </row>
    <row r="453" spans="1:39" x14ac:dyDescent="0.25">
      <c r="A453" s="35" t="s">
        <v>16738</v>
      </c>
      <c r="B453" s="35" t="s">
        <v>16736</v>
      </c>
      <c r="C453" s="35" t="s">
        <v>19</v>
      </c>
      <c r="D453" s="35" t="s">
        <v>16307</v>
      </c>
      <c r="E453" s="35" t="s">
        <v>192</v>
      </c>
      <c r="F453" s="62">
        <v>1</v>
      </c>
      <c r="G453" s="30" t="s">
        <v>193</v>
      </c>
      <c r="H453" s="30" t="s">
        <v>194</v>
      </c>
      <c r="I453" s="30" t="s">
        <v>16048</v>
      </c>
      <c r="J453" s="35" t="s">
        <v>9302</v>
      </c>
      <c r="K453" s="35">
        <v>18</v>
      </c>
      <c r="L453" s="35" t="s">
        <v>6955</v>
      </c>
      <c r="M453" s="35"/>
      <c r="N453" s="35" t="s">
        <v>16737</v>
      </c>
      <c r="O453" s="35" t="s">
        <v>6374</v>
      </c>
      <c r="P453" s="35" t="s">
        <v>16394</v>
      </c>
      <c r="Q453" s="35" t="s">
        <v>16393</v>
      </c>
      <c r="R453" s="35" t="s">
        <v>16397</v>
      </c>
      <c r="S453" s="35">
        <v>2361290</v>
      </c>
      <c r="T453" s="35">
        <v>33994294</v>
      </c>
      <c r="U453" s="35"/>
      <c r="V453" s="30"/>
      <c r="W453" s="505" t="s">
        <v>337</v>
      </c>
      <c r="X453" s="35" t="s">
        <v>193</v>
      </c>
      <c r="Y453" s="30">
        <v>25</v>
      </c>
      <c r="Z453" s="35"/>
      <c r="AA453" s="35"/>
      <c r="AB453" s="35"/>
      <c r="AC453" s="35"/>
      <c r="AD453" s="35"/>
      <c r="AE453" s="35"/>
      <c r="AF453" s="35"/>
      <c r="AG453" s="35"/>
      <c r="AH453" s="30" t="s">
        <v>4714</v>
      </c>
      <c r="AI453" s="35" t="s">
        <v>16736</v>
      </c>
      <c r="AJ453" s="62" t="str">
        <f>MID('I kw.22'!W453,8,6)</f>
        <v>214903</v>
      </c>
      <c r="AK453" s="62">
        <v>1</v>
      </c>
      <c r="AL453" s="62">
        <f t="shared" si="7"/>
        <v>1</v>
      </c>
      <c r="AM453" s="62">
        <v>1</v>
      </c>
    </row>
    <row r="454" spans="1:39" x14ac:dyDescent="0.25">
      <c r="A454" s="35" t="s">
        <v>14224</v>
      </c>
      <c r="B454" s="35" t="s">
        <v>16734</v>
      </c>
      <c r="C454" s="35" t="s">
        <v>10</v>
      </c>
      <c r="D454" s="35" t="s">
        <v>16307</v>
      </c>
      <c r="E454" s="35" t="s">
        <v>192</v>
      </c>
      <c r="F454" s="62">
        <v>1</v>
      </c>
      <c r="G454" s="30" t="s">
        <v>193</v>
      </c>
      <c r="H454" s="30" t="s">
        <v>194</v>
      </c>
      <c r="I454" s="30" t="s">
        <v>16121</v>
      </c>
      <c r="J454" s="35" t="s">
        <v>9302</v>
      </c>
      <c r="K454" s="35">
        <v>18</v>
      </c>
      <c r="L454" s="35" t="s">
        <v>6955</v>
      </c>
      <c r="M454" s="35"/>
      <c r="N454" s="35" t="s">
        <v>16735</v>
      </c>
      <c r="O454" s="35" t="s">
        <v>6261</v>
      </c>
      <c r="P454" s="35" t="s">
        <v>16394</v>
      </c>
      <c r="Q454" s="35" t="s">
        <v>16393</v>
      </c>
      <c r="R454" s="35" t="s">
        <v>16397</v>
      </c>
      <c r="S454" s="35">
        <v>2361306</v>
      </c>
      <c r="T454" s="35">
        <v>33994310</v>
      </c>
      <c r="U454" s="35"/>
      <c r="V454" s="30"/>
      <c r="W454" s="505" t="s">
        <v>484</v>
      </c>
      <c r="X454" s="35" t="s">
        <v>193</v>
      </c>
      <c r="Y454" s="30">
        <v>25</v>
      </c>
      <c r="Z454" s="35"/>
      <c r="AA454" s="35"/>
      <c r="AB454" s="35"/>
      <c r="AC454" s="35"/>
      <c r="AD454" s="35"/>
      <c r="AE454" s="35"/>
      <c r="AF454" s="35"/>
      <c r="AG454" s="35"/>
      <c r="AH454" s="30" t="s">
        <v>4714</v>
      </c>
      <c r="AI454" s="35" t="s">
        <v>16734</v>
      </c>
      <c r="AJ454" s="62" t="str">
        <f>MID('I kw.22'!W454,8,6)</f>
        <v>251401</v>
      </c>
      <c r="AK454" s="62">
        <v>1</v>
      </c>
      <c r="AL454" s="62">
        <f t="shared" si="7"/>
        <v>1</v>
      </c>
      <c r="AM454" s="62">
        <v>1</v>
      </c>
    </row>
    <row r="455" spans="1:39" x14ac:dyDescent="0.25">
      <c r="A455" s="35" t="s">
        <v>6422</v>
      </c>
      <c r="B455" s="35" t="s">
        <v>1765</v>
      </c>
      <c r="C455" s="35" t="s">
        <v>1766</v>
      </c>
      <c r="D455" s="35" t="s">
        <v>16307</v>
      </c>
      <c r="E455" s="35" t="s">
        <v>192</v>
      </c>
      <c r="F455" s="62">
        <v>1</v>
      </c>
      <c r="G455" s="30" t="s">
        <v>193</v>
      </c>
      <c r="H455" s="30" t="s">
        <v>194</v>
      </c>
      <c r="I455" s="30" t="s">
        <v>16052</v>
      </c>
      <c r="J455" s="35" t="s">
        <v>9302</v>
      </c>
      <c r="K455" s="35">
        <v>18</v>
      </c>
      <c r="L455" s="35" t="s">
        <v>6955</v>
      </c>
      <c r="M455" s="35"/>
      <c r="N455" s="35" t="s">
        <v>16733</v>
      </c>
      <c r="O455" s="35" t="s">
        <v>6295</v>
      </c>
      <c r="P455" s="35" t="s">
        <v>16394</v>
      </c>
      <c r="Q455" s="35" t="s">
        <v>16393</v>
      </c>
      <c r="R455" s="35" t="s">
        <v>16397</v>
      </c>
      <c r="S455" s="35">
        <v>2361322</v>
      </c>
      <c r="T455" s="35">
        <v>33994326</v>
      </c>
      <c r="U455" s="35"/>
      <c r="V455" s="30"/>
      <c r="W455" s="505" t="s">
        <v>1767</v>
      </c>
      <c r="X455" s="35" t="s">
        <v>193</v>
      </c>
      <c r="Y455" s="30">
        <v>25</v>
      </c>
      <c r="Z455" s="35"/>
      <c r="AA455" s="35"/>
      <c r="AB455" s="35"/>
      <c r="AC455" s="35"/>
      <c r="AD455" s="35"/>
      <c r="AE455" s="35"/>
      <c r="AF455" s="35"/>
      <c r="AG455" s="35"/>
      <c r="AH455" s="30" t="s">
        <v>4714</v>
      </c>
      <c r="AI455" s="35" t="s">
        <v>1765</v>
      </c>
      <c r="AJ455" s="62" t="str">
        <f>MID('I kw.22'!W455,8,6)</f>
        <v>242112</v>
      </c>
      <c r="AK455" s="62">
        <v>1</v>
      </c>
      <c r="AL455" s="62">
        <f t="shared" si="7"/>
        <v>1</v>
      </c>
      <c r="AM455" s="62">
        <v>1</v>
      </c>
    </row>
    <row r="456" spans="1:39" x14ac:dyDescent="0.25">
      <c r="A456" s="35" t="s">
        <v>2830</v>
      </c>
      <c r="B456" s="35" t="s">
        <v>16731</v>
      </c>
      <c r="C456" s="35" t="s">
        <v>43</v>
      </c>
      <c r="D456" s="35" t="s">
        <v>16307</v>
      </c>
      <c r="E456" s="35" t="s">
        <v>192</v>
      </c>
      <c r="F456" s="62">
        <v>1</v>
      </c>
      <c r="G456" s="30" t="s">
        <v>193</v>
      </c>
      <c r="H456" s="30" t="s">
        <v>194</v>
      </c>
      <c r="I456" s="30" t="s">
        <v>16068</v>
      </c>
      <c r="J456" s="35" t="s">
        <v>9302</v>
      </c>
      <c r="K456" s="35">
        <v>18</v>
      </c>
      <c r="L456" s="35" t="s">
        <v>6955</v>
      </c>
      <c r="M456" s="35"/>
      <c r="N456" s="35" t="s">
        <v>16732</v>
      </c>
      <c r="O456" s="35" t="s">
        <v>6245</v>
      </c>
      <c r="P456" s="35" t="s">
        <v>16394</v>
      </c>
      <c r="Q456" s="35" t="s">
        <v>16393</v>
      </c>
      <c r="R456" s="35" t="s">
        <v>16397</v>
      </c>
      <c r="S456" s="35">
        <v>2361337</v>
      </c>
      <c r="T456" s="35">
        <v>33994341</v>
      </c>
      <c r="U456" s="35"/>
      <c r="V456" s="30"/>
      <c r="W456" s="505" t="s">
        <v>452</v>
      </c>
      <c r="X456" s="35" t="s">
        <v>193</v>
      </c>
      <c r="Y456" s="30">
        <v>25</v>
      </c>
      <c r="Z456" s="35"/>
      <c r="AA456" s="35"/>
      <c r="AB456" s="35"/>
      <c r="AC456" s="35"/>
      <c r="AD456" s="35"/>
      <c r="AE456" s="35"/>
      <c r="AF456" s="35"/>
      <c r="AG456" s="35"/>
      <c r="AH456" s="30" t="s">
        <v>4714</v>
      </c>
      <c r="AI456" s="35" t="s">
        <v>16731</v>
      </c>
      <c r="AJ456" s="62" t="str">
        <f>MID('I kw.22'!W456,8,6)</f>
        <v>243106</v>
      </c>
      <c r="AK456" s="62">
        <v>1</v>
      </c>
      <c r="AL456" s="62">
        <f t="shared" si="7"/>
        <v>1</v>
      </c>
      <c r="AM456" s="62">
        <v>1</v>
      </c>
    </row>
    <row r="457" spans="1:39" x14ac:dyDescent="0.25">
      <c r="A457" s="35" t="s">
        <v>16730</v>
      </c>
      <c r="B457" s="35" t="s">
        <v>16728</v>
      </c>
      <c r="C457" s="35" t="s">
        <v>4966</v>
      </c>
      <c r="D457" s="35" t="s">
        <v>16307</v>
      </c>
      <c r="E457" s="35" t="s">
        <v>192</v>
      </c>
      <c r="F457" s="62">
        <v>1</v>
      </c>
      <c r="G457" s="30" t="s">
        <v>193</v>
      </c>
      <c r="H457" s="30" t="s">
        <v>194</v>
      </c>
      <c r="I457" s="30" t="s">
        <v>16083</v>
      </c>
      <c r="J457" s="35" t="s">
        <v>9302</v>
      </c>
      <c r="K457" s="35">
        <v>18</v>
      </c>
      <c r="L457" s="35" t="s">
        <v>6955</v>
      </c>
      <c r="M457" s="35"/>
      <c r="N457" s="35" t="s">
        <v>16729</v>
      </c>
      <c r="O457" s="35" t="s">
        <v>6286</v>
      </c>
      <c r="P457" s="35" t="s">
        <v>16394</v>
      </c>
      <c r="Q457" s="35" t="s">
        <v>16393</v>
      </c>
      <c r="R457" s="35" t="s">
        <v>16397</v>
      </c>
      <c r="S457" s="35">
        <v>2361344</v>
      </c>
      <c r="T457" s="35">
        <v>33994348</v>
      </c>
      <c r="U457" s="35"/>
      <c r="V457" s="30"/>
      <c r="W457" s="505" t="s">
        <v>405</v>
      </c>
      <c r="X457" s="35" t="s">
        <v>193</v>
      </c>
      <c r="Y457" s="30">
        <v>25</v>
      </c>
      <c r="Z457" s="35"/>
      <c r="AA457" s="35"/>
      <c r="AB457" s="35"/>
      <c r="AC457" s="35"/>
      <c r="AD457" s="35"/>
      <c r="AE457" s="35"/>
      <c r="AF457" s="35"/>
      <c r="AG457" s="35"/>
      <c r="AH457" s="30" t="s">
        <v>4714</v>
      </c>
      <c r="AI457" s="35" t="s">
        <v>16728</v>
      </c>
      <c r="AJ457" s="62" t="str">
        <f>MID('I kw.22'!W457,8,6)</f>
        <v>241304</v>
      </c>
      <c r="AK457" s="62">
        <v>1</v>
      </c>
      <c r="AL457" s="62">
        <f t="shared" si="7"/>
        <v>1</v>
      </c>
      <c r="AM457" s="62">
        <v>1</v>
      </c>
    </row>
    <row r="458" spans="1:39" x14ac:dyDescent="0.25">
      <c r="A458" s="35" t="s">
        <v>16727</v>
      </c>
      <c r="B458" s="35" t="s">
        <v>16725</v>
      </c>
      <c r="C458" s="35" t="s">
        <v>566</v>
      </c>
      <c r="D458" s="35" t="s">
        <v>16307</v>
      </c>
      <c r="E458" s="35" t="s">
        <v>192</v>
      </c>
      <c r="F458" s="62">
        <v>1</v>
      </c>
      <c r="G458" s="30" t="s">
        <v>193</v>
      </c>
      <c r="H458" s="30" t="s">
        <v>194</v>
      </c>
      <c r="I458" s="30" t="s">
        <v>16121</v>
      </c>
      <c r="J458" s="35" t="s">
        <v>9302</v>
      </c>
      <c r="K458" s="35">
        <v>18</v>
      </c>
      <c r="L458" s="35" t="s">
        <v>6955</v>
      </c>
      <c r="M458" s="35"/>
      <c r="N458" s="35" t="s">
        <v>16726</v>
      </c>
      <c r="O458" s="35" t="s">
        <v>6258</v>
      </c>
      <c r="P458" s="35" t="s">
        <v>16394</v>
      </c>
      <c r="Q458" s="35" t="s">
        <v>16393</v>
      </c>
      <c r="R458" s="35" t="s">
        <v>16397</v>
      </c>
      <c r="S458" s="35">
        <v>2361357</v>
      </c>
      <c r="T458" s="35">
        <v>33994361</v>
      </c>
      <c r="U458" s="35"/>
      <c r="V458" s="30"/>
      <c r="W458" s="505" t="s">
        <v>567</v>
      </c>
      <c r="X458" s="35" t="s">
        <v>193</v>
      </c>
      <c r="Y458" s="30">
        <v>25</v>
      </c>
      <c r="Z458" s="35"/>
      <c r="AA458" s="35"/>
      <c r="AB458" s="35"/>
      <c r="AC458" s="35"/>
      <c r="AD458" s="35"/>
      <c r="AE458" s="35"/>
      <c r="AF458" s="35"/>
      <c r="AG458" s="35"/>
      <c r="AH458" s="30" t="s">
        <v>4714</v>
      </c>
      <c r="AI458" s="35" t="s">
        <v>16725</v>
      </c>
      <c r="AJ458" s="62" t="str">
        <f>MID('I kw.22'!W458,8,6)</f>
        <v>311504</v>
      </c>
      <c r="AK458" s="62">
        <v>1</v>
      </c>
      <c r="AL458" s="62">
        <f t="shared" si="7"/>
        <v>1</v>
      </c>
      <c r="AM458" s="62">
        <v>1</v>
      </c>
    </row>
    <row r="459" spans="1:39" x14ac:dyDescent="0.25">
      <c r="A459" s="35" t="s">
        <v>16724</v>
      </c>
      <c r="B459" s="35" t="s">
        <v>5134</v>
      </c>
      <c r="C459" s="35" t="s">
        <v>10</v>
      </c>
      <c r="D459" s="35" t="s">
        <v>16307</v>
      </c>
      <c r="E459" s="35" t="s">
        <v>192</v>
      </c>
      <c r="F459" s="62">
        <v>1</v>
      </c>
      <c r="G459" s="30" t="s">
        <v>193</v>
      </c>
      <c r="H459" s="30" t="s">
        <v>194</v>
      </c>
      <c r="I459" s="30" t="s">
        <v>16073</v>
      </c>
      <c r="J459" s="35" t="s">
        <v>9302</v>
      </c>
      <c r="K459" s="35">
        <v>18</v>
      </c>
      <c r="L459" s="35" t="s">
        <v>6955</v>
      </c>
      <c r="M459" s="35"/>
      <c r="N459" s="35" t="s">
        <v>16723</v>
      </c>
      <c r="O459" s="35" t="s">
        <v>6261</v>
      </c>
      <c r="P459" s="35" t="s">
        <v>16394</v>
      </c>
      <c r="Q459" s="35" t="s">
        <v>16393</v>
      </c>
      <c r="R459" s="35" t="s">
        <v>16397</v>
      </c>
      <c r="S459" s="35">
        <v>2361373</v>
      </c>
      <c r="T459" s="35">
        <v>33994377</v>
      </c>
      <c r="U459" s="35"/>
      <c r="V459" s="30"/>
      <c r="W459" s="505" t="s">
        <v>484</v>
      </c>
      <c r="X459" s="35" t="s">
        <v>193</v>
      </c>
      <c r="Y459" s="30">
        <v>25</v>
      </c>
      <c r="Z459" s="35"/>
      <c r="AA459" s="35"/>
      <c r="AB459" s="35"/>
      <c r="AC459" s="35"/>
      <c r="AD459" s="35"/>
      <c r="AE459" s="35"/>
      <c r="AF459" s="35"/>
      <c r="AG459" s="35"/>
      <c r="AH459" s="30" t="s">
        <v>4714</v>
      </c>
      <c r="AI459" s="35" t="s">
        <v>5134</v>
      </c>
      <c r="AJ459" s="62" t="str">
        <f>MID('I kw.22'!W459,8,6)</f>
        <v>251401</v>
      </c>
      <c r="AK459" s="62">
        <v>1</v>
      </c>
      <c r="AL459" s="62">
        <f t="shared" si="7"/>
        <v>1</v>
      </c>
      <c r="AM459" s="62">
        <v>1</v>
      </c>
    </row>
    <row r="460" spans="1:39" x14ac:dyDescent="0.25">
      <c r="A460" s="35" t="s">
        <v>1959</v>
      </c>
      <c r="B460" s="35" t="s">
        <v>16721</v>
      </c>
      <c r="C460" s="35" t="s">
        <v>4977</v>
      </c>
      <c r="D460" s="35" t="s">
        <v>16307</v>
      </c>
      <c r="E460" s="35" t="s">
        <v>192</v>
      </c>
      <c r="F460" s="62">
        <v>1</v>
      </c>
      <c r="G460" s="30" t="s">
        <v>194</v>
      </c>
      <c r="H460" s="30" t="s">
        <v>193</v>
      </c>
      <c r="I460" s="30" t="s">
        <v>16048</v>
      </c>
      <c r="J460" s="35" t="s">
        <v>9302</v>
      </c>
      <c r="K460" s="35">
        <v>18</v>
      </c>
      <c r="L460" s="35" t="s">
        <v>6955</v>
      </c>
      <c r="M460" s="35"/>
      <c r="N460" s="35" t="s">
        <v>16722</v>
      </c>
      <c r="O460" s="35" t="s">
        <v>6340</v>
      </c>
      <c r="P460" s="35" t="s">
        <v>16394</v>
      </c>
      <c r="Q460" s="35" t="s">
        <v>16393</v>
      </c>
      <c r="R460" s="35" t="s">
        <v>16397</v>
      </c>
      <c r="S460" s="35">
        <v>2361389</v>
      </c>
      <c r="T460" s="35">
        <v>33994393</v>
      </c>
      <c r="U460" s="35"/>
      <c r="V460" s="30"/>
      <c r="W460" s="505" t="s">
        <v>4978</v>
      </c>
      <c r="X460" s="35" t="s">
        <v>194</v>
      </c>
      <c r="Y460" s="30">
        <v>0</v>
      </c>
      <c r="Z460" s="35"/>
      <c r="AA460" s="35"/>
      <c r="AB460" s="35"/>
      <c r="AC460" s="35"/>
      <c r="AD460" s="35"/>
      <c r="AE460" s="35"/>
      <c r="AF460" s="35"/>
      <c r="AG460" s="35"/>
      <c r="AH460" s="30" t="s">
        <v>4714</v>
      </c>
      <c r="AI460" s="35" t="s">
        <v>16721</v>
      </c>
      <c r="AJ460" s="62" t="str">
        <f>MID('I kw.22'!W460,8,6)</f>
        <v>242217</v>
      </c>
      <c r="AK460" s="62">
        <v>1</v>
      </c>
      <c r="AL460" s="62">
        <f t="shared" si="7"/>
        <v>1</v>
      </c>
      <c r="AM460" s="62">
        <v>1</v>
      </c>
    </row>
    <row r="461" spans="1:39" x14ac:dyDescent="0.25">
      <c r="A461" s="35" t="s">
        <v>1959</v>
      </c>
      <c r="B461" s="35" t="s">
        <v>16719</v>
      </c>
      <c r="C461" s="35" t="s">
        <v>104</v>
      </c>
      <c r="D461" s="35" t="s">
        <v>16307</v>
      </c>
      <c r="E461" s="35" t="s">
        <v>192</v>
      </c>
      <c r="F461" s="62">
        <v>1</v>
      </c>
      <c r="G461" s="30" t="s">
        <v>194</v>
      </c>
      <c r="H461" s="30" t="s">
        <v>193</v>
      </c>
      <c r="I461" s="30" t="s">
        <v>16083</v>
      </c>
      <c r="J461" s="35" t="s">
        <v>9302</v>
      </c>
      <c r="K461" s="35">
        <v>18</v>
      </c>
      <c r="L461" s="35" t="s">
        <v>6955</v>
      </c>
      <c r="M461" s="35"/>
      <c r="N461" s="35" t="s">
        <v>16720</v>
      </c>
      <c r="O461" s="35" t="s">
        <v>6286</v>
      </c>
      <c r="P461" s="35" t="s">
        <v>16394</v>
      </c>
      <c r="Q461" s="35" t="s">
        <v>16393</v>
      </c>
      <c r="R461" s="35" t="s">
        <v>16397</v>
      </c>
      <c r="S461" s="35">
        <v>2361399</v>
      </c>
      <c r="T461" s="35">
        <v>33994403</v>
      </c>
      <c r="U461" s="35"/>
      <c r="V461" s="30"/>
      <c r="W461" s="505" t="s">
        <v>703</v>
      </c>
      <c r="X461" s="35" t="s">
        <v>194</v>
      </c>
      <c r="Y461" s="30">
        <v>0</v>
      </c>
      <c r="Z461" s="35"/>
      <c r="AA461" s="35"/>
      <c r="AB461" s="35"/>
      <c r="AC461" s="35"/>
      <c r="AD461" s="35"/>
      <c r="AE461" s="35"/>
      <c r="AF461" s="35"/>
      <c r="AG461" s="35"/>
      <c r="AH461" s="30" t="s">
        <v>4714</v>
      </c>
      <c r="AI461" s="35" t="s">
        <v>16719</v>
      </c>
      <c r="AJ461" s="62" t="str">
        <f>MID('I kw.22'!W461,8,6)</f>
        <v>411004</v>
      </c>
      <c r="AK461" s="62">
        <v>1</v>
      </c>
      <c r="AL461" s="62">
        <f t="shared" si="7"/>
        <v>1</v>
      </c>
      <c r="AM461" s="62">
        <v>1</v>
      </c>
    </row>
    <row r="462" spans="1:39" x14ac:dyDescent="0.25">
      <c r="A462" s="35" t="s">
        <v>16718</v>
      </c>
      <c r="B462" s="35" t="s">
        <v>16716</v>
      </c>
      <c r="C462" s="35" t="s">
        <v>80</v>
      </c>
      <c r="D462" s="35" t="s">
        <v>16307</v>
      </c>
      <c r="E462" s="35" t="s">
        <v>192</v>
      </c>
      <c r="F462" s="62">
        <v>1</v>
      </c>
      <c r="G462" s="30" t="s">
        <v>193</v>
      </c>
      <c r="H462" s="30" t="s">
        <v>194</v>
      </c>
      <c r="I462" s="30" t="s">
        <v>16121</v>
      </c>
      <c r="J462" s="35" t="s">
        <v>9302</v>
      </c>
      <c r="K462" s="35">
        <v>18</v>
      </c>
      <c r="L462" s="35" t="s">
        <v>6955</v>
      </c>
      <c r="M462" s="35"/>
      <c r="N462" s="35" t="s">
        <v>16717</v>
      </c>
      <c r="O462" s="35" t="s">
        <v>6343</v>
      </c>
      <c r="P462" s="35" t="s">
        <v>16394</v>
      </c>
      <c r="Q462" s="35" t="s">
        <v>16393</v>
      </c>
      <c r="R462" s="35" t="s">
        <v>16397</v>
      </c>
      <c r="S462" s="35">
        <v>2361415</v>
      </c>
      <c r="T462" s="35">
        <v>33994419</v>
      </c>
      <c r="U462" s="35"/>
      <c r="V462" s="30"/>
      <c r="W462" s="505" t="s">
        <v>474</v>
      </c>
      <c r="X462" s="35" t="s">
        <v>193</v>
      </c>
      <c r="Y462" s="30">
        <v>25</v>
      </c>
      <c r="Z462" s="35"/>
      <c r="AA462" s="35"/>
      <c r="AB462" s="35"/>
      <c r="AC462" s="35"/>
      <c r="AD462" s="35"/>
      <c r="AE462" s="35"/>
      <c r="AF462" s="35"/>
      <c r="AG462" s="35"/>
      <c r="AH462" s="30" t="s">
        <v>4714</v>
      </c>
      <c r="AI462" s="35" t="s">
        <v>16716</v>
      </c>
      <c r="AJ462" s="62" t="str">
        <f>MID('I kw.22'!W462,8,6)</f>
        <v>243304</v>
      </c>
      <c r="AK462" s="62">
        <v>1</v>
      </c>
      <c r="AL462" s="62">
        <f t="shared" si="7"/>
        <v>1</v>
      </c>
      <c r="AM462" s="62">
        <v>1</v>
      </c>
    </row>
    <row r="463" spans="1:39" x14ac:dyDescent="0.25">
      <c r="A463" s="35" t="s">
        <v>1959</v>
      </c>
      <c r="B463" s="35" t="s">
        <v>14813</v>
      </c>
      <c r="C463" s="35" t="s">
        <v>9377</v>
      </c>
      <c r="D463" s="35" t="s">
        <v>16307</v>
      </c>
      <c r="E463" s="35" t="s">
        <v>192</v>
      </c>
      <c r="F463" s="62">
        <v>1</v>
      </c>
      <c r="G463" s="30" t="s">
        <v>193</v>
      </c>
      <c r="H463" s="30" t="s">
        <v>194</v>
      </c>
      <c r="I463" s="30" t="s">
        <v>16073</v>
      </c>
      <c r="J463" s="35" t="s">
        <v>9302</v>
      </c>
      <c r="K463" s="35">
        <v>18</v>
      </c>
      <c r="L463" s="35" t="s">
        <v>6955</v>
      </c>
      <c r="M463" s="35"/>
      <c r="N463" s="35" t="s">
        <v>16715</v>
      </c>
      <c r="O463" s="35" t="s">
        <v>6286</v>
      </c>
      <c r="P463" s="35" t="s">
        <v>16394</v>
      </c>
      <c r="Q463" s="35" t="s">
        <v>16393</v>
      </c>
      <c r="R463" s="35" t="s">
        <v>16397</v>
      </c>
      <c r="S463" s="35">
        <v>2361417</v>
      </c>
      <c r="T463" s="35">
        <v>33994421</v>
      </c>
      <c r="U463" s="35"/>
      <c r="V463" s="30"/>
      <c r="W463" s="505" t="s">
        <v>9381</v>
      </c>
      <c r="X463" s="35" t="s">
        <v>193</v>
      </c>
      <c r="Y463" s="30">
        <v>25</v>
      </c>
      <c r="Z463" s="35"/>
      <c r="AA463" s="35"/>
      <c r="AB463" s="35"/>
      <c r="AC463" s="35"/>
      <c r="AD463" s="35"/>
      <c r="AE463" s="35"/>
      <c r="AF463" s="35"/>
      <c r="AG463" s="35"/>
      <c r="AH463" s="30" t="s">
        <v>4714</v>
      </c>
      <c r="AI463" s="35" t="s">
        <v>14813</v>
      </c>
      <c r="AJ463" s="62" t="str">
        <f>MID('I kw.22'!W463,8,6)</f>
        <v>264302</v>
      </c>
      <c r="AK463" s="62">
        <v>1</v>
      </c>
      <c r="AL463" s="62">
        <f t="shared" si="7"/>
        <v>1</v>
      </c>
      <c r="AM463" s="62">
        <v>1</v>
      </c>
    </row>
    <row r="464" spans="1:39" x14ac:dyDescent="0.25">
      <c r="A464" s="35" t="s">
        <v>1959</v>
      </c>
      <c r="B464" s="35" t="s">
        <v>16713</v>
      </c>
      <c r="C464" s="35" t="s">
        <v>778</v>
      </c>
      <c r="D464" s="35" t="s">
        <v>16307</v>
      </c>
      <c r="E464" s="35" t="s">
        <v>192</v>
      </c>
      <c r="F464" s="62">
        <v>1</v>
      </c>
      <c r="G464" s="30" t="s">
        <v>193</v>
      </c>
      <c r="H464" s="30" t="s">
        <v>194</v>
      </c>
      <c r="I464" s="30" t="s">
        <v>16061</v>
      </c>
      <c r="J464" s="35" t="s">
        <v>9302</v>
      </c>
      <c r="K464" s="35">
        <v>18</v>
      </c>
      <c r="L464" s="35" t="s">
        <v>6955</v>
      </c>
      <c r="M464" s="35"/>
      <c r="N464" s="35" t="s">
        <v>16714</v>
      </c>
      <c r="O464" s="35" t="s">
        <v>6921</v>
      </c>
      <c r="P464" s="35" t="s">
        <v>16394</v>
      </c>
      <c r="Q464" s="35" t="s">
        <v>16393</v>
      </c>
      <c r="R464" s="35" t="s">
        <v>16397</v>
      </c>
      <c r="S464" s="35">
        <v>2361422</v>
      </c>
      <c r="T464" s="35">
        <v>33994426</v>
      </c>
      <c r="U464" s="35"/>
      <c r="V464" s="30"/>
      <c r="W464" s="505" t="s">
        <v>779</v>
      </c>
      <c r="X464" s="35" t="s">
        <v>193</v>
      </c>
      <c r="Y464" s="30">
        <v>25</v>
      </c>
      <c r="Z464" s="35"/>
      <c r="AA464" s="35"/>
      <c r="AB464" s="35"/>
      <c r="AC464" s="35"/>
      <c r="AD464" s="35"/>
      <c r="AE464" s="35"/>
      <c r="AF464" s="35"/>
      <c r="AG464" s="35"/>
      <c r="AH464" s="30" t="s">
        <v>4714</v>
      </c>
      <c r="AI464" s="35" t="s">
        <v>16713</v>
      </c>
      <c r="AJ464" s="62" t="str">
        <f>MID('I kw.22'!W464,8,6)</f>
        <v>524902</v>
      </c>
      <c r="AK464" s="62">
        <v>1</v>
      </c>
      <c r="AL464" s="62">
        <f t="shared" si="7"/>
        <v>1</v>
      </c>
      <c r="AM464" s="62">
        <v>1</v>
      </c>
    </row>
    <row r="465" spans="1:39" x14ac:dyDescent="0.25">
      <c r="A465" s="35" t="s">
        <v>1959</v>
      </c>
      <c r="B465" s="35" t="s">
        <v>16711</v>
      </c>
      <c r="C465" s="35" t="s">
        <v>122</v>
      </c>
      <c r="D465" s="35" t="s">
        <v>16307</v>
      </c>
      <c r="E465" s="35" t="s">
        <v>192</v>
      </c>
      <c r="F465" s="62">
        <v>1</v>
      </c>
      <c r="G465" s="30" t="s">
        <v>193</v>
      </c>
      <c r="H465" s="30" t="s">
        <v>194</v>
      </c>
      <c r="I465" s="30" t="s">
        <v>16121</v>
      </c>
      <c r="J465" s="35" t="s">
        <v>9302</v>
      </c>
      <c r="K465" s="35">
        <v>18</v>
      </c>
      <c r="L465" s="35" t="s">
        <v>6955</v>
      </c>
      <c r="M465" s="35"/>
      <c r="N465" s="35" t="s">
        <v>16712</v>
      </c>
      <c r="O465" s="35" t="s">
        <v>6286</v>
      </c>
      <c r="P465" s="35" t="s">
        <v>16394</v>
      </c>
      <c r="Q465" s="35" t="s">
        <v>16393</v>
      </c>
      <c r="R465" s="35" t="s">
        <v>16397</v>
      </c>
      <c r="S465" s="35">
        <v>2361432</v>
      </c>
      <c r="T465" s="35">
        <v>33994436</v>
      </c>
      <c r="U465" s="35"/>
      <c r="V465" s="30"/>
      <c r="W465" s="505" t="s">
        <v>655</v>
      </c>
      <c r="X465" s="35" t="s">
        <v>193</v>
      </c>
      <c r="Y465" s="30">
        <v>25</v>
      </c>
      <c r="Z465" s="35"/>
      <c r="AA465" s="35"/>
      <c r="AB465" s="35"/>
      <c r="AC465" s="35"/>
      <c r="AD465" s="35"/>
      <c r="AE465" s="35"/>
      <c r="AF465" s="35"/>
      <c r="AG465" s="35"/>
      <c r="AH465" s="30" t="s">
        <v>4714</v>
      </c>
      <c r="AI465" s="35" t="s">
        <v>16711</v>
      </c>
      <c r="AJ465" s="62" t="str">
        <f>MID('I kw.22'!W465,8,6)</f>
        <v>332301</v>
      </c>
      <c r="AK465" s="62">
        <v>1</v>
      </c>
      <c r="AL465" s="62">
        <f t="shared" si="7"/>
        <v>1</v>
      </c>
      <c r="AM465" s="62">
        <v>1</v>
      </c>
    </row>
    <row r="466" spans="1:39" x14ac:dyDescent="0.25">
      <c r="A466" s="35" t="s">
        <v>1959</v>
      </c>
      <c r="B466" s="35" t="s">
        <v>16709</v>
      </c>
      <c r="C466" s="35" t="s">
        <v>36</v>
      </c>
      <c r="D466" s="35" t="s">
        <v>16307</v>
      </c>
      <c r="E466" s="35" t="s">
        <v>192</v>
      </c>
      <c r="F466" s="62">
        <v>1</v>
      </c>
      <c r="G466" s="30" t="s">
        <v>193</v>
      </c>
      <c r="H466" s="30" t="s">
        <v>194</v>
      </c>
      <c r="I466" s="30" t="s">
        <v>16121</v>
      </c>
      <c r="J466" s="35" t="s">
        <v>9302</v>
      </c>
      <c r="K466" s="35">
        <v>18</v>
      </c>
      <c r="L466" s="35" t="s">
        <v>6955</v>
      </c>
      <c r="M466" s="35"/>
      <c r="N466" s="35" t="s">
        <v>16710</v>
      </c>
      <c r="O466" s="35" t="s">
        <v>6286</v>
      </c>
      <c r="P466" s="35" t="s">
        <v>16394</v>
      </c>
      <c r="Q466" s="35" t="s">
        <v>16393</v>
      </c>
      <c r="R466" s="35" t="s">
        <v>16397</v>
      </c>
      <c r="S466" s="35">
        <v>2361442</v>
      </c>
      <c r="T466" s="35">
        <v>33994446</v>
      </c>
      <c r="U466" s="35"/>
      <c r="V466" s="30"/>
      <c r="W466" s="505" t="s">
        <v>609</v>
      </c>
      <c r="X466" s="35" t="s">
        <v>193</v>
      </c>
      <c r="Y466" s="30">
        <v>25</v>
      </c>
      <c r="Z466" s="35"/>
      <c r="AA466" s="35"/>
      <c r="AB466" s="35"/>
      <c r="AC466" s="35"/>
      <c r="AD466" s="35"/>
      <c r="AE466" s="35"/>
      <c r="AF466" s="35"/>
      <c r="AG466" s="35"/>
      <c r="AH466" s="30" t="s">
        <v>4714</v>
      </c>
      <c r="AI466" s="35" t="s">
        <v>16709</v>
      </c>
      <c r="AJ466" s="62" t="str">
        <f>MID('I kw.22'!W466,8,6)</f>
        <v>331301</v>
      </c>
      <c r="AK466" s="62">
        <v>1</v>
      </c>
      <c r="AL466" s="62">
        <f t="shared" si="7"/>
        <v>1</v>
      </c>
      <c r="AM466" s="62">
        <v>1</v>
      </c>
    </row>
    <row r="467" spans="1:39" x14ac:dyDescent="0.25">
      <c r="A467" s="35" t="s">
        <v>1959</v>
      </c>
      <c r="B467" s="35" t="s">
        <v>16707</v>
      </c>
      <c r="C467" s="35" t="s">
        <v>4090</v>
      </c>
      <c r="D467" s="35" t="s">
        <v>16307</v>
      </c>
      <c r="E467" s="35" t="s">
        <v>192</v>
      </c>
      <c r="F467" s="62">
        <v>1</v>
      </c>
      <c r="G467" s="30" t="s">
        <v>193</v>
      </c>
      <c r="H467" s="30" t="s">
        <v>194</v>
      </c>
      <c r="I467" s="30" t="s">
        <v>16183</v>
      </c>
      <c r="J467" s="35" t="s">
        <v>9302</v>
      </c>
      <c r="K467" s="35">
        <v>18</v>
      </c>
      <c r="L467" s="35" t="s">
        <v>6955</v>
      </c>
      <c r="M467" s="35"/>
      <c r="N467" s="35" t="s">
        <v>16708</v>
      </c>
      <c r="O467" s="35" t="s">
        <v>6254</v>
      </c>
      <c r="P467" s="35" t="s">
        <v>16394</v>
      </c>
      <c r="Q467" s="35" t="s">
        <v>16393</v>
      </c>
      <c r="R467" s="35" t="s">
        <v>16397</v>
      </c>
      <c r="S467" s="35">
        <v>2361444</v>
      </c>
      <c r="T467" s="35">
        <v>33994448</v>
      </c>
      <c r="U467" s="35"/>
      <c r="V467" s="30"/>
      <c r="W467" s="505" t="s">
        <v>4091</v>
      </c>
      <c r="X467" s="35" t="s">
        <v>193</v>
      </c>
      <c r="Y467" s="30">
        <v>25</v>
      </c>
      <c r="Z467" s="35"/>
      <c r="AA467" s="35"/>
      <c r="AB467" s="35"/>
      <c r="AC467" s="35"/>
      <c r="AD467" s="35"/>
      <c r="AE467" s="35"/>
      <c r="AF467" s="35"/>
      <c r="AG467" s="35"/>
      <c r="AH467" s="30" t="s">
        <v>4714</v>
      </c>
      <c r="AI467" s="35" t="s">
        <v>16707</v>
      </c>
      <c r="AJ467" s="62" t="str">
        <f>MID('I kw.22'!W467,8,6)</f>
        <v>421403</v>
      </c>
      <c r="AK467" s="62">
        <v>1</v>
      </c>
      <c r="AL467" s="62">
        <f t="shared" si="7"/>
        <v>1</v>
      </c>
      <c r="AM467" s="62">
        <v>1</v>
      </c>
    </row>
    <row r="468" spans="1:39" x14ac:dyDescent="0.25">
      <c r="A468" s="35" t="s">
        <v>16706</v>
      </c>
      <c r="B468" s="35" t="s">
        <v>16704</v>
      </c>
      <c r="C468" s="35" t="s">
        <v>5884</v>
      </c>
      <c r="D468" s="35" t="s">
        <v>16307</v>
      </c>
      <c r="E468" s="35" t="s">
        <v>192</v>
      </c>
      <c r="F468" s="62">
        <v>1</v>
      </c>
      <c r="G468" s="30" t="s">
        <v>193</v>
      </c>
      <c r="H468" s="30" t="s">
        <v>194</v>
      </c>
      <c r="I468" s="30" t="s">
        <v>16068</v>
      </c>
      <c r="J468" s="35" t="s">
        <v>276</v>
      </c>
      <c r="K468" s="35">
        <v>18</v>
      </c>
      <c r="L468" s="35" t="s">
        <v>6955</v>
      </c>
      <c r="M468" s="35"/>
      <c r="N468" s="35" t="s">
        <v>16705</v>
      </c>
      <c r="O468" s="35" t="s">
        <v>7001</v>
      </c>
      <c r="P468" s="35" t="s">
        <v>16394</v>
      </c>
      <c r="Q468" s="35" t="s">
        <v>16393</v>
      </c>
      <c r="R468" s="35" t="s">
        <v>16397</v>
      </c>
      <c r="S468" s="35">
        <v>2361457</v>
      </c>
      <c r="T468" s="35">
        <v>33994461</v>
      </c>
      <c r="U468" s="35"/>
      <c r="V468" s="30">
        <v>1803</v>
      </c>
      <c r="W468" s="35" t="s">
        <v>5886</v>
      </c>
      <c r="X468" s="35" t="s">
        <v>194</v>
      </c>
      <c r="Y468" s="30">
        <v>1</v>
      </c>
      <c r="Z468" s="35"/>
      <c r="AA468" s="35"/>
      <c r="AB468" s="35"/>
      <c r="AC468" s="35"/>
      <c r="AD468" s="35"/>
      <c r="AE468" s="35"/>
      <c r="AF468" s="35"/>
      <c r="AG468" s="35"/>
      <c r="AH468" s="30" t="s">
        <v>4714</v>
      </c>
      <c r="AI468" s="35" t="s">
        <v>16704</v>
      </c>
      <c r="AJ468" s="62" t="str">
        <f>MID('I kw.22'!W468,8,6)</f>
        <v>243107</v>
      </c>
      <c r="AK468" s="62">
        <v>1</v>
      </c>
      <c r="AL468" s="62">
        <f t="shared" si="7"/>
        <v>1</v>
      </c>
      <c r="AM468" s="62">
        <v>1</v>
      </c>
    </row>
    <row r="469" spans="1:39" x14ac:dyDescent="0.25">
      <c r="A469" s="35" t="s">
        <v>7364</v>
      </c>
      <c r="B469" s="35" t="s">
        <v>7365</v>
      </c>
      <c r="C469" s="35" t="s">
        <v>3654</v>
      </c>
      <c r="D469" s="35" t="s">
        <v>16307</v>
      </c>
      <c r="E469" s="35" t="s">
        <v>192</v>
      </c>
      <c r="F469" s="62">
        <v>1</v>
      </c>
      <c r="G469" s="30" t="s">
        <v>193</v>
      </c>
      <c r="H469" s="30" t="s">
        <v>194</v>
      </c>
      <c r="I469" s="30" t="s">
        <v>16068</v>
      </c>
      <c r="J469" s="35" t="s">
        <v>276</v>
      </c>
      <c r="K469" s="35">
        <v>18</v>
      </c>
      <c r="L469" s="35" t="s">
        <v>6955</v>
      </c>
      <c r="M469" s="35"/>
      <c r="N469" s="35" t="s">
        <v>16703</v>
      </c>
      <c r="O469" s="35" t="s">
        <v>7001</v>
      </c>
      <c r="P469" s="35" t="s">
        <v>16394</v>
      </c>
      <c r="Q469" s="35" t="s">
        <v>16393</v>
      </c>
      <c r="R469" s="35" t="s">
        <v>16392</v>
      </c>
      <c r="S469" s="35">
        <v>2361473</v>
      </c>
      <c r="T469" s="35">
        <v>33994477</v>
      </c>
      <c r="U469" s="35"/>
      <c r="V469" s="30">
        <v>1803</v>
      </c>
      <c r="W469" s="35" t="s">
        <v>3655</v>
      </c>
      <c r="X469" s="35" t="s">
        <v>194</v>
      </c>
      <c r="Y469" s="30">
        <v>1</v>
      </c>
      <c r="Z469" s="35"/>
      <c r="AA469" s="35"/>
      <c r="AB469" s="35"/>
      <c r="AC469" s="35"/>
      <c r="AD469" s="35"/>
      <c r="AE469" s="35"/>
      <c r="AF469" s="35"/>
      <c r="AG469" s="35"/>
      <c r="AH469" s="30" t="s">
        <v>4714</v>
      </c>
      <c r="AI469" s="35" t="s">
        <v>7365</v>
      </c>
      <c r="AJ469" s="62" t="str">
        <f>MID('I kw.22'!W469,8,6)</f>
        <v>122101</v>
      </c>
      <c r="AK469" s="62">
        <v>1</v>
      </c>
      <c r="AL469" s="62">
        <f t="shared" si="7"/>
        <v>1</v>
      </c>
      <c r="AM469" s="62">
        <v>1</v>
      </c>
    </row>
    <row r="470" spans="1:39" x14ac:dyDescent="0.25">
      <c r="A470" s="35" t="s">
        <v>16702</v>
      </c>
      <c r="B470" s="35" t="s">
        <v>16700</v>
      </c>
      <c r="C470" s="35" t="s">
        <v>525</v>
      </c>
      <c r="D470" s="35" t="s">
        <v>16307</v>
      </c>
      <c r="E470" s="35" t="s">
        <v>192</v>
      </c>
      <c r="F470" s="62">
        <v>1</v>
      </c>
      <c r="G470" s="30" t="s">
        <v>193</v>
      </c>
      <c r="H470" s="30" t="s">
        <v>194</v>
      </c>
      <c r="I470" s="30" t="s">
        <v>16068</v>
      </c>
      <c r="J470" s="35" t="s">
        <v>9302</v>
      </c>
      <c r="K470" s="35">
        <v>18</v>
      </c>
      <c r="L470" s="35" t="s">
        <v>6955</v>
      </c>
      <c r="M470" s="35"/>
      <c r="N470" s="35" t="s">
        <v>16701</v>
      </c>
      <c r="O470" s="35" t="s">
        <v>6327</v>
      </c>
      <c r="P470" s="35" t="s">
        <v>16394</v>
      </c>
      <c r="Q470" s="35" t="s">
        <v>16393</v>
      </c>
      <c r="R470" s="35" t="s">
        <v>16397</v>
      </c>
      <c r="S470" s="35">
        <v>2361491</v>
      </c>
      <c r="T470" s="35">
        <v>33994495</v>
      </c>
      <c r="U470" s="35"/>
      <c r="V470" s="30"/>
      <c r="W470" s="505" t="s">
        <v>526</v>
      </c>
      <c r="X470" s="35" t="s">
        <v>193</v>
      </c>
      <c r="Y470" s="30">
        <v>25</v>
      </c>
      <c r="Z470" s="35"/>
      <c r="AA470" s="35"/>
      <c r="AB470" s="35"/>
      <c r="AC470" s="35"/>
      <c r="AD470" s="35"/>
      <c r="AE470" s="35"/>
      <c r="AF470" s="35"/>
      <c r="AG470" s="35"/>
      <c r="AH470" s="30" t="s">
        <v>4714</v>
      </c>
      <c r="AI470" s="35" t="s">
        <v>16700</v>
      </c>
      <c r="AJ470" s="62" t="str">
        <f>MID('I kw.22'!W470,8,6)</f>
        <v>263102</v>
      </c>
      <c r="AK470" s="62">
        <v>1</v>
      </c>
      <c r="AL470" s="62">
        <f t="shared" si="7"/>
        <v>1</v>
      </c>
      <c r="AM470" s="62">
        <v>1</v>
      </c>
    </row>
    <row r="471" spans="1:39" x14ac:dyDescent="0.25">
      <c r="A471" s="35" t="s">
        <v>16699</v>
      </c>
      <c r="B471" s="35" t="s">
        <v>16697</v>
      </c>
      <c r="C471" s="35" t="s">
        <v>740</v>
      </c>
      <c r="D471" s="35" t="s">
        <v>16307</v>
      </c>
      <c r="E471" s="35" t="s">
        <v>192</v>
      </c>
      <c r="F471" s="62">
        <v>1</v>
      </c>
      <c r="G471" s="30" t="s">
        <v>193</v>
      </c>
      <c r="H471" s="30" t="s">
        <v>194</v>
      </c>
      <c r="I471" s="30" t="s">
        <v>16078</v>
      </c>
      <c r="J471" s="35" t="s">
        <v>9302</v>
      </c>
      <c r="K471" s="35">
        <v>18</v>
      </c>
      <c r="L471" s="35" t="s">
        <v>6955</v>
      </c>
      <c r="M471" s="35"/>
      <c r="N471" s="35" t="s">
        <v>16698</v>
      </c>
      <c r="O471" s="35" t="s">
        <v>6245</v>
      </c>
      <c r="P471" s="35" t="s">
        <v>16394</v>
      </c>
      <c r="Q471" s="35" t="s">
        <v>16393</v>
      </c>
      <c r="R471" s="35" t="s">
        <v>16397</v>
      </c>
      <c r="S471" s="35">
        <v>2361504</v>
      </c>
      <c r="T471" s="35">
        <v>33994508</v>
      </c>
      <c r="U471" s="35"/>
      <c r="V471" s="30"/>
      <c r="W471" s="505" t="s">
        <v>741</v>
      </c>
      <c r="X471" s="35" t="s">
        <v>193</v>
      </c>
      <c r="Y471" s="30">
        <v>25</v>
      </c>
      <c r="Z471" s="35"/>
      <c r="AA471" s="35"/>
      <c r="AB471" s="35"/>
      <c r="AC471" s="35"/>
      <c r="AD471" s="35"/>
      <c r="AE471" s="35"/>
      <c r="AF471" s="35"/>
      <c r="AG471" s="35"/>
      <c r="AH471" s="30" t="s">
        <v>4714</v>
      </c>
      <c r="AI471" s="35" t="s">
        <v>16697</v>
      </c>
      <c r="AJ471" s="62" t="str">
        <f>MID('I kw.22'!W471,8,6)</f>
        <v>522301</v>
      </c>
      <c r="AK471" s="62">
        <v>1</v>
      </c>
      <c r="AL471" s="62">
        <f t="shared" si="7"/>
        <v>1</v>
      </c>
      <c r="AM471" s="62">
        <v>1</v>
      </c>
    </row>
    <row r="472" spans="1:39" x14ac:dyDescent="0.25">
      <c r="A472" s="35" t="s">
        <v>5895</v>
      </c>
      <c r="B472" s="35" t="s">
        <v>5896</v>
      </c>
      <c r="C472" s="35" t="s">
        <v>778</v>
      </c>
      <c r="D472" s="35" t="s">
        <v>16307</v>
      </c>
      <c r="E472" s="35" t="s">
        <v>192</v>
      </c>
      <c r="F472" s="62">
        <v>1</v>
      </c>
      <c r="G472" s="30" t="s">
        <v>193</v>
      </c>
      <c r="H472" s="30" t="s">
        <v>194</v>
      </c>
      <c r="I472" s="30" t="s">
        <v>16048</v>
      </c>
      <c r="J472" s="35" t="s">
        <v>9302</v>
      </c>
      <c r="K472" s="35">
        <v>18</v>
      </c>
      <c r="L472" s="35" t="s">
        <v>6955</v>
      </c>
      <c r="M472" s="35"/>
      <c r="N472" s="35" t="s">
        <v>16696</v>
      </c>
      <c r="O472" s="35" t="s">
        <v>6286</v>
      </c>
      <c r="P472" s="35" t="s">
        <v>16394</v>
      </c>
      <c r="Q472" s="35" t="s">
        <v>16393</v>
      </c>
      <c r="R472" s="35" t="s">
        <v>16397</v>
      </c>
      <c r="S472" s="35">
        <v>2361519</v>
      </c>
      <c r="T472" s="35">
        <v>33994523</v>
      </c>
      <c r="U472" s="35"/>
      <c r="V472" s="30"/>
      <c r="W472" s="505" t="s">
        <v>779</v>
      </c>
      <c r="X472" s="35" t="s">
        <v>193</v>
      </c>
      <c r="Y472" s="30">
        <v>25</v>
      </c>
      <c r="Z472" s="35"/>
      <c r="AA472" s="35"/>
      <c r="AB472" s="35"/>
      <c r="AC472" s="35"/>
      <c r="AD472" s="35"/>
      <c r="AE472" s="35"/>
      <c r="AF472" s="35"/>
      <c r="AG472" s="35"/>
      <c r="AH472" s="30" t="s">
        <v>4714</v>
      </c>
      <c r="AI472" s="35" t="s">
        <v>5896</v>
      </c>
      <c r="AJ472" s="62" t="str">
        <f>MID('I kw.22'!W472,8,6)</f>
        <v>524902</v>
      </c>
      <c r="AK472" s="62">
        <v>1</v>
      </c>
      <c r="AL472" s="62">
        <f t="shared" si="7"/>
        <v>1</v>
      </c>
      <c r="AM472" s="62">
        <v>1</v>
      </c>
    </row>
    <row r="473" spans="1:39" x14ac:dyDescent="0.25">
      <c r="A473" s="35" t="s">
        <v>16695</v>
      </c>
      <c r="B473" s="35" t="s">
        <v>468</v>
      </c>
      <c r="C473" s="35" t="s">
        <v>468</v>
      </c>
      <c r="D473" s="35" t="s">
        <v>16307</v>
      </c>
      <c r="E473" s="35" t="s">
        <v>192</v>
      </c>
      <c r="F473" s="62">
        <v>1</v>
      </c>
      <c r="G473" s="30" t="s">
        <v>193</v>
      </c>
      <c r="H473" s="30" t="s">
        <v>194</v>
      </c>
      <c r="I473" s="30" t="s">
        <v>16052</v>
      </c>
      <c r="J473" s="35" t="s">
        <v>9302</v>
      </c>
      <c r="K473" s="35">
        <v>18</v>
      </c>
      <c r="L473" s="35" t="s">
        <v>6955</v>
      </c>
      <c r="M473" s="35"/>
      <c r="N473" s="35" t="s">
        <v>16694</v>
      </c>
      <c r="O473" s="35" t="s">
        <v>6288</v>
      </c>
      <c r="P473" s="35" t="s">
        <v>16394</v>
      </c>
      <c r="Q473" s="35" t="s">
        <v>16393</v>
      </c>
      <c r="R473" s="35" t="s">
        <v>16397</v>
      </c>
      <c r="S473" s="35">
        <v>2361529</v>
      </c>
      <c r="T473" s="35">
        <v>33994533</v>
      </c>
      <c r="U473" s="35"/>
      <c r="V473" s="30"/>
      <c r="W473" s="505" t="s">
        <v>469</v>
      </c>
      <c r="X473" s="35" t="s">
        <v>193</v>
      </c>
      <c r="Y473" s="30">
        <v>25</v>
      </c>
      <c r="Z473" s="35"/>
      <c r="AA473" s="35"/>
      <c r="AB473" s="35"/>
      <c r="AC473" s="35"/>
      <c r="AD473" s="35"/>
      <c r="AE473" s="35"/>
      <c r="AF473" s="35"/>
      <c r="AG473" s="35"/>
      <c r="AH473" s="30" t="s">
        <v>4714</v>
      </c>
      <c r="AI473" s="35" t="s">
        <v>468</v>
      </c>
      <c r="AJ473" s="62" t="str">
        <f>MID('I kw.22'!W473,8,6)</f>
        <v>243303</v>
      </c>
      <c r="AK473" s="62">
        <v>1</v>
      </c>
      <c r="AL473" s="62">
        <f t="shared" si="7"/>
        <v>1</v>
      </c>
      <c r="AM473" s="62">
        <v>1</v>
      </c>
    </row>
    <row r="474" spans="1:39" x14ac:dyDescent="0.25">
      <c r="A474" s="35" t="s">
        <v>16693</v>
      </c>
      <c r="B474" s="35" t="s">
        <v>16691</v>
      </c>
      <c r="C474" s="35" t="s">
        <v>3219</v>
      </c>
      <c r="D474" s="35" t="s">
        <v>16307</v>
      </c>
      <c r="E474" s="35" t="s">
        <v>192</v>
      </c>
      <c r="F474" s="62">
        <v>1</v>
      </c>
      <c r="G474" s="30" t="s">
        <v>193</v>
      </c>
      <c r="H474" s="30" t="s">
        <v>194</v>
      </c>
      <c r="I474" s="30" t="s">
        <v>16048</v>
      </c>
      <c r="J474" s="35" t="s">
        <v>9302</v>
      </c>
      <c r="K474" s="35">
        <v>18</v>
      </c>
      <c r="L474" s="35" t="s">
        <v>6955</v>
      </c>
      <c r="M474" s="35"/>
      <c r="N474" s="35" t="s">
        <v>16692</v>
      </c>
      <c r="O474" s="35" t="s">
        <v>6302</v>
      </c>
      <c r="P474" s="35" t="s">
        <v>16394</v>
      </c>
      <c r="Q474" s="35" t="s">
        <v>16393</v>
      </c>
      <c r="R474" s="35" t="s">
        <v>16397</v>
      </c>
      <c r="S474" s="35">
        <v>2361538</v>
      </c>
      <c r="T474" s="35">
        <v>33994542</v>
      </c>
      <c r="U474" s="35"/>
      <c r="V474" s="30"/>
      <c r="W474" s="505" t="s">
        <v>3620</v>
      </c>
      <c r="X474" s="35" t="s">
        <v>193</v>
      </c>
      <c r="Y474" s="30">
        <v>25</v>
      </c>
      <c r="Z474" s="35"/>
      <c r="AA474" s="35"/>
      <c r="AB474" s="35"/>
      <c r="AC474" s="35"/>
      <c r="AD474" s="35"/>
      <c r="AE474" s="35"/>
      <c r="AF474" s="35"/>
      <c r="AG474" s="35"/>
      <c r="AH474" s="30" t="s">
        <v>4714</v>
      </c>
      <c r="AI474" s="35" t="s">
        <v>16691</v>
      </c>
      <c r="AJ474" s="62" t="str">
        <f>MID('I kw.22'!W474,8,6)</f>
        <v>243109</v>
      </c>
      <c r="AK474" s="62">
        <v>1</v>
      </c>
      <c r="AL474" s="62">
        <f t="shared" si="7"/>
        <v>1</v>
      </c>
      <c r="AM474" s="62">
        <v>1</v>
      </c>
    </row>
    <row r="475" spans="1:39" x14ac:dyDescent="0.25">
      <c r="A475" s="35" t="s">
        <v>15997</v>
      </c>
      <c r="B475" s="35" t="s">
        <v>869</v>
      </c>
      <c r="C475" s="35" t="s">
        <v>6617</v>
      </c>
      <c r="D475" s="35" t="s">
        <v>16307</v>
      </c>
      <c r="E475" s="35" t="s">
        <v>192</v>
      </c>
      <c r="F475" s="62">
        <v>1</v>
      </c>
      <c r="G475" s="30" t="s">
        <v>193</v>
      </c>
      <c r="H475" s="30" t="s">
        <v>194</v>
      </c>
      <c r="I475" s="30" t="s">
        <v>16073</v>
      </c>
      <c r="J475" s="35" t="s">
        <v>9302</v>
      </c>
      <c r="K475" s="35">
        <v>18</v>
      </c>
      <c r="L475" s="35" t="s">
        <v>6955</v>
      </c>
      <c r="M475" s="35"/>
      <c r="N475" s="35" t="s">
        <v>16690</v>
      </c>
      <c r="O475" s="35" t="s">
        <v>6266</v>
      </c>
      <c r="P475" s="35" t="s">
        <v>16394</v>
      </c>
      <c r="Q475" s="35" t="s">
        <v>16393</v>
      </c>
      <c r="R475" s="35" t="s">
        <v>16397</v>
      </c>
      <c r="S475" s="35">
        <v>2361560</v>
      </c>
      <c r="T475" s="35">
        <v>33994564</v>
      </c>
      <c r="U475" s="35"/>
      <c r="V475" s="30"/>
      <c r="W475" s="505" t="s">
        <v>990</v>
      </c>
      <c r="X475" s="35" t="s">
        <v>193</v>
      </c>
      <c r="Y475" s="30">
        <v>25</v>
      </c>
      <c r="Z475" s="35"/>
      <c r="AA475" s="35"/>
      <c r="AB475" s="35"/>
      <c r="AC475" s="35"/>
      <c r="AD475" s="35"/>
      <c r="AE475" s="35"/>
      <c r="AF475" s="35"/>
      <c r="AG475" s="35"/>
      <c r="AH475" s="30" t="s">
        <v>4714</v>
      </c>
      <c r="AI475" s="35" t="s">
        <v>869</v>
      </c>
      <c r="AJ475" s="62" t="str">
        <f>MID('I kw.22'!W475,8,6)</f>
        <v>833202</v>
      </c>
      <c r="AK475" s="62">
        <v>1</v>
      </c>
      <c r="AL475" s="62">
        <f t="shared" si="7"/>
        <v>1</v>
      </c>
      <c r="AM475" s="62">
        <v>1</v>
      </c>
    </row>
    <row r="476" spans="1:39" x14ac:dyDescent="0.25">
      <c r="A476" s="35" t="s">
        <v>10278</v>
      </c>
      <c r="B476" s="35" t="s">
        <v>16688</v>
      </c>
      <c r="C476" s="35" t="s">
        <v>444</v>
      </c>
      <c r="D476" s="35" t="s">
        <v>16307</v>
      </c>
      <c r="E476" s="35" t="s">
        <v>192</v>
      </c>
      <c r="F476" s="62">
        <v>1</v>
      </c>
      <c r="G476" s="30" t="s">
        <v>193</v>
      </c>
      <c r="H476" s="30" t="s">
        <v>194</v>
      </c>
      <c r="I476" s="30" t="s">
        <v>16061</v>
      </c>
      <c r="J476" s="35" t="s">
        <v>9302</v>
      </c>
      <c r="K476" s="35">
        <v>18</v>
      </c>
      <c r="L476" s="35" t="s">
        <v>6955</v>
      </c>
      <c r="M476" s="35"/>
      <c r="N476" s="35" t="s">
        <v>16689</v>
      </c>
      <c r="O476" s="35" t="s">
        <v>6302</v>
      </c>
      <c r="P476" s="35" t="s">
        <v>16394</v>
      </c>
      <c r="Q476" s="35" t="s">
        <v>16393</v>
      </c>
      <c r="R476" s="35" t="s">
        <v>16397</v>
      </c>
      <c r="S476" s="35">
        <v>2361574</v>
      </c>
      <c r="T476" s="35">
        <v>33994578</v>
      </c>
      <c r="U476" s="35"/>
      <c r="V476" s="30"/>
      <c r="W476" s="505" t="s">
        <v>445</v>
      </c>
      <c r="X476" s="35" t="s">
        <v>193</v>
      </c>
      <c r="Y476" s="30">
        <v>25</v>
      </c>
      <c r="Z476" s="35"/>
      <c r="AA476" s="35"/>
      <c r="AB476" s="35"/>
      <c r="AC476" s="35"/>
      <c r="AD476" s="35"/>
      <c r="AE476" s="35"/>
      <c r="AF476" s="35"/>
      <c r="AG476" s="35"/>
      <c r="AH476" s="30" t="s">
        <v>4714</v>
      </c>
      <c r="AI476" s="35" t="s">
        <v>16688</v>
      </c>
      <c r="AJ476" s="62" t="str">
        <f>MID('I kw.22'!W476,8,6)</f>
        <v>243103</v>
      </c>
      <c r="AK476" s="62">
        <v>1</v>
      </c>
      <c r="AL476" s="62">
        <f t="shared" si="7"/>
        <v>1</v>
      </c>
      <c r="AM476" s="62">
        <v>1</v>
      </c>
    </row>
    <row r="477" spans="1:39" x14ac:dyDescent="0.25">
      <c r="A477" s="35" t="s">
        <v>11612</v>
      </c>
      <c r="B477" s="35" t="s">
        <v>16686</v>
      </c>
      <c r="C477" s="35" t="s">
        <v>1766</v>
      </c>
      <c r="D477" s="35" t="s">
        <v>16307</v>
      </c>
      <c r="E477" s="35" t="s">
        <v>192</v>
      </c>
      <c r="F477" s="62">
        <v>1</v>
      </c>
      <c r="G477" s="30" t="s">
        <v>193</v>
      </c>
      <c r="H477" s="30" t="s">
        <v>194</v>
      </c>
      <c r="I477" s="30" t="s">
        <v>16078</v>
      </c>
      <c r="J477" s="35" t="s">
        <v>9302</v>
      </c>
      <c r="K477" s="35">
        <v>18</v>
      </c>
      <c r="L477" s="35" t="s">
        <v>6955</v>
      </c>
      <c r="M477" s="35"/>
      <c r="N477" s="35" t="s">
        <v>16687</v>
      </c>
      <c r="O477" s="35" t="s">
        <v>7531</v>
      </c>
      <c r="P477" s="35" t="s">
        <v>16394</v>
      </c>
      <c r="Q477" s="35" t="s">
        <v>16393</v>
      </c>
      <c r="R477" s="35" t="s">
        <v>16397</v>
      </c>
      <c r="S477" s="35">
        <v>2361583</v>
      </c>
      <c r="T477" s="35">
        <v>33994587</v>
      </c>
      <c r="U477" s="35"/>
      <c r="V477" s="30"/>
      <c r="W477" s="505" t="s">
        <v>1767</v>
      </c>
      <c r="X477" s="35" t="s">
        <v>193</v>
      </c>
      <c r="Y477" s="30">
        <v>25</v>
      </c>
      <c r="Z477" s="35"/>
      <c r="AA477" s="35"/>
      <c r="AB477" s="35"/>
      <c r="AC477" s="35"/>
      <c r="AD477" s="35"/>
      <c r="AE477" s="35"/>
      <c r="AF477" s="35"/>
      <c r="AG477" s="35"/>
      <c r="AH477" s="30" t="s">
        <v>5109</v>
      </c>
      <c r="AI477" s="35" t="s">
        <v>16686</v>
      </c>
      <c r="AJ477" s="62" t="str">
        <f>MID('I kw.22'!W477,8,6)</f>
        <v>242112</v>
      </c>
      <c r="AK477" s="62">
        <v>1</v>
      </c>
      <c r="AL477" s="62">
        <f t="shared" si="7"/>
        <v>1</v>
      </c>
      <c r="AM477" s="62">
        <v>1</v>
      </c>
    </row>
    <row r="478" spans="1:39" x14ac:dyDescent="0.25">
      <c r="A478" s="35" t="s">
        <v>9346</v>
      </c>
      <c r="B478" s="35" t="s">
        <v>14877</v>
      </c>
      <c r="C478" s="35" t="s">
        <v>16281</v>
      </c>
      <c r="D478" s="35" t="s">
        <v>16307</v>
      </c>
      <c r="E478" s="35" t="s">
        <v>192</v>
      </c>
      <c r="F478" s="62">
        <v>1</v>
      </c>
      <c r="G478" s="30" t="s">
        <v>193</v>
      </c>
      <c r="H478" s="30" t="s">
        <v>194</v>
      </c>
      <c r="I478" s="30" t="s">
        <v>16078</v>
      </c>
      <c r="J478" s="35" t="s">
        <v>9302</v>
      </c>
      <c r="K478" s="35">
        <v>18</v>
      </c>
      <c r="L478" s="35" t="s">
        <v>6955</v>
      </c>
      <c r="M478" s="35"/>
      <c r="N478" s="35" t="s">
        <v>16685</v>
      </c>
      <c r="O478" s="35" t="s">
        <v>6921</v>
      </c>
      <c r="P478" s="35" t="s">
        <v>16394</v>
      </c>
      <c r="Q478" s="35" t="s">
        <v>16393</v>
      </c>
      <c r="R478" s="35" t="s">
        <v>16397</v>
      </c>
      <c r="S478" s="35">
        <v>2361608</v>
      </c>
      <c r="T478" s="35">
        <v>33994612</v>
      </c>
      <c r="U478" s="35"/>
      <c r="V478" s="30"/>
      <c r="W478" s="505" t="s">
        <v>9002</v>
      </c>
      <c r="X478" s="35" t="s">
        <v>193</v>
      </c>
      <c r="Y478" s="30">
        <v>25</v>
      </c>
      <c r="Z478" s="35"/>
      <c r="AA478" s="35"/>
      <c r="AB478" s="35"/>
      <c r="AC478" s="35"/>
      <c r="AD478" s="35"/>
      <c r="AE478" s="35"/>
      <c r="AF478" s="35"/>
      <c r="AG478" s="35"/>
      <c r="AH478" s="30" t="s">
        <v>4714</v>
      </c>
      <c r="AI478" s="35" t="s">
        <v>14877</v>
      </c>
      <c r="AJ478" s="62" t="str">
        <f>MID('I kw.22'!W478,8,6)</f>
        <v>252902</v>
      </c>
      <c r="AK478" s="62">
        <v>1</v>
      </c>
      <c r="AL478" s="62">
        <f t="shared" si="7"/>
        <v>1</v>
      </c>
      <c r="AM478" s="62">
        <v>1</v>
      </c>
    </row>
    <row r="479" spans="1:39" x14ac:dyDescent="0.25">
      <c r="A479" s="35" t="s">
        <v>11612</v>
      </c>
      <c r="B479" s="35" t="s">
        <v>16683</v>
      </c>
      <c r="C479" s="35" t="s">
        <v>10</v>
      </c>
      <c r="D479" s="35" t="s">
        <v>16307</v>
      </c>
      <c r="E479" s="35" t="s">
        <v>192</v>
      </c>
      <c r="F479" s="62">
        <v>1</v>
      </c>
      <c r="G479" s="30" t="s">
        <v>193</v>
      </c>
      <c r="H479" s="30" t="s">
        <v>194</v>
      </c>
      <c r="I479" s="30" t="s">
        <v>16078</v>
      </c>
      <c r="J479" s="35" t="s">
        <v>9302</v>
      </c>
      <c r="K479" s="35">
        <v>18</v>
      </c>
      <c r="L479" s="35" t="s">
        <v>6955</v>
      </c>
      <c r="M479" s="35"/>
      <c r="N479" s="35" t="s">
        <v>16684</v>
      </c>
      <c r="O479" s="35" t="s">
        <v>6921</v>
      </c>
      <c r="P479" s="35" t="s">
        <v>16394</v>
      </c>
      <c r="Q479" s="35" t="s">
        <v>16393</v>
      </c>
      <c r="R479" s="35" t="s">
        <v>16397</v>
      </c>
      <c r="S479" s="35">
        <v>2361630</v>
      </c>
      <c r="T479" s="35">
        <v>33994634</v>
      </c>
      <c r="U479" s="35"/>
      <c r="V479" s="30"/>
      <c r="W479" s="505" t="s">
        <v>484</v>
      </c>
      <c r="X479" s="35" t="s">
        <v>193</v>
      </c>
      <c r="Y479" s="30">
        <v>25</v>
      </c>
      <c r="Z479" s="35"/>
      <c r="AA479" s="35"/>
      <c r="AB479" s="35"/>
      <c r="AC479" s="35"/>
      <c r="AD479" s="35"/>
      <c r="AE479" s="35"/>
      <c r="AF479" s="35"/>
      <c r="AG479" s="35"/>
      <c r="AH479" s="30" t="s">
        <v>5109</v>
      </c>
      <c r="AI479" s="35" t="s">
        <v>16683</v>
      </c>
      <c r="AJ479" s="62" t="str">
        <f>MID('I kw.22'!W479,8,6)</f>
        <v>251401</v>
      </c>
      <c r="AK479" s="62">
        <v>1</v>
      </c>
      <c r="AL479" s="62">
        <f t="shared" si="7"/>
        <v>1</v>
      </c>
      <c r="AM479" s="62">
        <v>1</v>
      </c>
    </row>
    <row r="480" spans="1:39" x14ac:dyDescent="0.25">
      <c r="A480" s="35" t="s">
        <v>9346</v>
      </c>
      <c r="B480" s="35" t="s">
        <v>16681</v>
      </c>
      <c r="C480" s="35" t="s">
        <v>16677</v>
      </c>
      <c r="D480" s="35" t="s">
        <v>16307</v>
      </c>
      <c r="E480" s="35" t="s">
        <v>192</v>
      </c>
      <c r="F480" s="62">
        <v>1</v>
      </c>
      <c r="G480" s="30" t="s">
        <v>193</v>
      </c>
      <c r="H480" s="30" t="s">
        <v>194</v>
      </c>
      <c r="I480" s="30" t="s">
        <v>16121</v>
      </c>
      <c r="J480" s="35" t="s">
        <v>9302</v>
      </c>
      <c r="K480" s="35">
        <v>18</v>
      </c>
      <c r="L480" s="35" t="s">
        <v>6955</v>
      </c>
      <c r="M480" s="35"/>
      <c r="N480" s="35" t="s">
        <v>16682</v>
      </c>
      <c r="O480" s="35" t="s">
        <v>6921</v>
      </c>
      <c r="P480" s="35" t="s">
        <v>16394</v>
      </c>
      <c r="Q480" s="35" t="s">
        <v>16393</v>
      </c>
      <c r="R480" s="35" t="s">
        <v>16397</v>
      </c>
      <c r="S480" s="35">
        <v>2361640</v>
      </c>
      <c r="T480" s="35">
        <v>33994644</v>
      </c>
      <c r="U480" s="35"/>
      <c r="V480" s="30"/>
      <c r="W480" s="505" t="s">
        <v>16675</v>
      </c>
      <c r="X480" s="35" t="s">
        <v>193</v>
      </c>
      <c r="Y480" s="30">
        <v>25</v>
      </c>
      <c r="Z480" s="35"/>
      <c r="AA480" s="35"/>
      <c r="AB480" s="35"/>
      <c r="AC480" s="35"/>
      <c r="AD480" s="35"/>
      <c r="AE480" s="35"/>
      <c r="AF480" s="35"/>
      <c r="AG480" s="35"/>
      <c r="AH480" s="30" t="s">
        <v>4714</v>
      </c>
      <c r="AI480" s="35" t="s">
        <v>16681</v>
      </c>
      <c r="AJ480" s="62" t="str">
        <f>MID('I kw.22'!W480,8,6)</f>
        <v>242227</v>
      </c>
      <c r="AK480" s="62">
        <v>1</v>
      </c>
      <c r="AL480" s="62">
        <f t="shared" si="7"/>
        <v>1</v>
      </c>
      <c r="AM480" s="62">
        <v>1</v>
      </c>
    </row>
    <row r="481" spans="1:39" x14ac:dyDescent="0.25">
      <c r="A481" s="35" t="s">
        <v>16680</v>
      </c>
      <c r="B481" s="35" t="s">
        <v>16678</v>
      </c>
      <c r="C481" s="35" t="s">
        <v>43</v>
      </c>
      <c r="D481" s="35" t="s">
        <v>16307</v>
      </c>
      <c r="E481" s="35" t="s">
        <v>192</v>
      </c>
      <c r="F481" s="62">
        <v>1</v>
      </c>
      <c r="G481" s="30" t="s">
        <v>193</v>
      </c>
      <c r="H481" s="30" t="s">
        <v>194</v>
      </c>
      <c r="I481" s="30" t="s">
        <v>16068</v>
      </c>
      <c r="J481" s="35" t="s">
        <v>9302</v>
      </c>
      <c r="K481" s="35">
        <v>18</v>
      </c>
      <c r="L481" s="35" t="s">
        <v>6955</v>
      </c>
      <c r="M481" s="35"/>
      <c r="N481" s="35" t="s">
        <v>16679</v>
      </c>
      <c r="O481" s="35" t="s">
        <v>6374</v>
      </c>
      <c r="P481" s="35" t="s">
        <v>16394</v>
      </c>
      <c r="Q481" s="35" t="s">
        <v>16393</v>
      </c>
      <c r="R481" s="35" t="s">
        <v>16397</v>
      </c>
      <c r="S481" s="35">
        <v>2361657</v>
      </c>
      <c r="T481" s="35">
        <v>33994661</v>
      </c>
      <c r="U481" s="35"/>
      <c r="V481" s="30"/>
      <c r="W481" s="505" t="s">
        <v>452</v>
      </c>
      <c r="X481" s="35" t="s">
        <v>193</v>
      </c>
      <c r="Y481" s="30">
        <v>25</v>
      </c>
      <c r="Z481" s="35"/>
      <c r="AA481" s="35"/>
      <c r="AB481" s="35"/>
      <c r="AC481" s="35"/>
      <c r="AD481" s="35"/>
      <c r="AE481" s="35"/>
      <c r="AF481" s="35"/>
      <c r="AG481" s="35"/>
      <c r="AH481" s="30" t="s">
        <v>4714</v>
      </c>
      <c r="AI481" s="35" t="s">
        <v>16678</v>
      </c>
      <c r="AJ481" s="62" t="str">
        <f>MID('I kw.22'!W481,8,6)</f>
        <v>243106</v>
      </c>
      <c r="AK481" s="62">
        <v>1</v>
      </c>
      <c r="AL481" s="62">
        <f t="shared" si="7"/>
        <v>1</v>
      </c>
      <c r="AM481" s="62">
        <v>1</v>
      </c>
    </row>
    <row r="482" spans="1:39" x14ac:dyDescent="0.25">
      <c r="A482" s="35" t="s">
        <v>9346</v>
      </c>
      <c r="B482" s="35" t="s">
        <v>14881</v>
      </c>
      <c r="C482" s="35" t="s">
        <v>16677</v>
      </c>
      <c r="D482" s="35" t="s">
        <v>16307</v>
      </c>
      <c r="E482" s="35" t="s">
        <v>192</v>
      </c>
      <c r="F482" s="62">
        <v>1</v>
      </c>
      <c r="G482" s="30" t="s">
        <v>193</v>
      </c>
      <c r="H482" s="30" t="s">
        <v>194</v>
      </c>
      <c r="I482" s="30" t="s">
        <v>16121</v>
      </c>
      <c r="J482" s="35" t="s">
        <v>9302</v>
      </c>
      <c r="K482" s="35">
        <v>18</v>
      </c>
      <c r="L482" s="35" t="s">
        <v>6955</v>
      </c>
      <c r="M482" s="35"/>
      <c r="N482" s="35" t="s">
        <v>16676</v>
      </c>
      <c r="O482" s="35" t="s">
        <v>6921</v>
      </c>
      <c r="P482" s="35" t="s">
        <v>16394</v>
      </c>
      <c r="Q482" s="35" t="s">
        <v>16393</v>
      </c>
      <c r="R482" s="35" t="s">
        <v>16397</v>
      </c>
      <c r="S482" s="35">
        <v>2361672</v>
      </c>
      <c r="T482" s="35">
        <v>33994676</v>
      </c>
      <c r="U482" s="35"/>
      <c r="V482" s="30"/>
      <c r="W482" s="505" t="s">
        <v>16675</v>
      </c>
      <c r="X482" s="35" t="s">
        <v>193</v>
      </c>
      <c r="Y482" s="30">
        <v>25</v>
      </c>
      <c r="Z482" s="35"/>
      <c r="AA482" s="35"/>
      <c r="AB482" s="35"/>
      <c r="AC482" s="35"/>
      <c r="AD482" s="35"/>
      <c r="AE482" s="35"/>
      <c r="AF482" s="35"/>
      <c r="AG482" s="35"/>
      <c r="AH482" s="30" t="s">
        <v>4714</v>
      </c>
      <c r="AI482" s="35" t="s">
        <v>14881</v>
      </c>
      <c r="AJ482" s="62" t="str">
        <f>MID('I kw.22'!W482,8,6)</f>
        <v>242227</v>
      </c>
      <c r="AK482" s="62">
        <v>1</v>
      </c>
      <c r="AL482" s="62">
        <f t="shared" si="7"/>
        <v>1</v>
      </c>
      <c r="AM482" s="62">
        <v>1</v>
      </c>
    </row>
    <row r="483" spans="1:39" x14ac:dyDescent="0.25">
      <c r="A483" s="35" t="s">
        <v>16674</v>
      </c>
      <c r="B483" s="35" t="s">
        <v>16672</v>
      </c>
      <c r="C483" s="35" t="s">
        <v>156</v>
      </c>
      <c r="D483" s="35" t="s">
        <v>16307</v>
      </c>
      <c r="E483" s="35" t="s">
        <v>192</v>
      </c>
      <c r="F483" s="62">
        <v>1</v>
      </c>
      <c r="G483" s="30" t="s">
        <v>193</v>
      </c>
      <c r="H483" s="30" t="s">
        <v>194</v>
      </c>
      <c r="I483" s="30" t="s">
        <v>16183</v>
      </c>
      <c r="J483" s="35" t="s">
        <v>9302</v>
      </c>
      <c r="K483" s="35">
        <v>18</v>
      </c>
      <c r="L483" s="35" t="s">
        <v>6955</v>
      </c>
      <c r="M483" s="35"/>
      <c r="N483" s="35" t="s">
        <v>16673</v>
      </c>
      <c r="O483" s="35" t="s">
        <v>7489</v>
      </c>
      <c r="P483" s="35" t="s">
        <v>16394</v>
      </c>
      <c r="Q483" s="35" t="s">
        <v>16393</v>
      </c>
      <c r="R483" s="35" t="s">
        <v>16397</v>
      </c>
      <c r="S483" s="35">
        <v>2361688</v>
      </c>
      <c r="T483" s="35">
        <v>33994692</v>
      </c>
      <c r="U483" s="35"/>
      <c r="V483" s="30"/>
      <c r="W483" s="505" t="s">
        <v>659</v>
      </c>
      <c r="X483" s="35" t="s">
        <v>193</v>
      </c>
      <c r="Y483" s="30">
        <v>25</v>
      </c>
      <c r="Z483" s="35"/>
      <c r="AA483" s="35"/>
      <c r="AB483" s="35"/>
      <c r="AC483" s="35"/>
      <c r="AD483" s="35"/>
      <c r="AE483" s="35"/>
      <c r="AF483" s="35"/>
      <c r="AG483" s="35"/>
      <c r="AH483" s="30" t="s">
        <v>4714</v>
      </c>
      <c r="AI483" s="35" t="s">
        <v>16672</v>
      </c>
      <c r="AJ483" s="62" t="str">
        <f>MID('I kw.22'!W483,8,6)</f>
        <v>332302</v>
      </c>
      <c r="AK483" s="62">
        <v>1</v>
      </c>
      <c r="AL483" s="62">
        <f t="shared" si="7"/>
        <v>1</v>
      </c>
      <c r="AM483" s="62">
        <v>1</v>
      </c>
    </row>
    <row r="484" spans="1:39" x14ac:dyDescent="0.25">
      <c r="A484" s="35" t="s">
        <v>16671</v>
      </c>
      <c r="B484" s="35" t="s">
        <v>16669</v>
      </c>
      <c r="C484" s="35" t="s">
        <v>5703</v>
      </c>
      <c r="D484" s="35" t="s">
        <v>16307</v>
      </c>
      <c r="E484" s="35" t="s">
        <v>192</v>
      </c>
      <c r="F484" s="62">
        <v>1</v>
      </c>
      <c r="G484" s="30" t="s">
        <v>193</v>
      </c>
      <c r="H484" s="30" t="s">
        <v>194</v>
      </c>
      <c r="I484" s="30" t="s">
        <v>16068</v>
      </c>
      <c r="J484" s="35" t="s">
        <v>9302</v>
      </c>
      <c r="K484" s="35">
        <v>18</v>
      </c>
      <c r="L484" s="35" t="s">
        <v>6955</v>
      </c>
      <c r="M484" s="35"/>
      <c r="N484" s="35" t="s">
        <v>16670</v>
      </c>
      <c r="O484" s="35" t="s">
        <v>7489</v>
      </c>
      <c r="P484" s="35" t="s">
        <v>16394</v>
      </c>
      <c r="Q484" s="35" t="s">
        <v>16393</v>
      </c>
      <c r="R484" s="35" t="s">
        <v>16397</v>
      </c>
      <c r="S484" s="35">
        <v>2361704</v>
      </c>
      <c r="T484" s="35">
        <v>33994708</v>
      </c>
      <c r="U484" s="35"/>
      <c r="V484" s="30"/>
      <c r="W484" s="505" t="s">
        <v>983</v>
      </c>
      <c r="X484" s="35" t="s">
        <v>193</v>
      </c>
      <c r="Y484" s="30">
        <v>25</v>
      </c>
      <c r="Z484" s="35"/>
      <c r="AA484" s="35"/>
      <c r="AB484" s="35"/>
      <c r="AC484" s="35"/>
      <c r="AD484" s="35"/>
      <c r="AE484" s="35"/>
      <c r="AF484" s="35"/>
      <c r="AG484" s="35"/>
      <c r="AH484" s="30" t="s">
        <v>4714</v>
      </c>
      <c r="AI484" s="35" t="s">
        <v>16669</v>
      </c>
      <c r="AJ484" s="62" t="str">
        <f>MID('I kw.22'!W484,8,6)</f>
        <v>213303</v>
      </c>
      <c r="AK484" s="62">
        <v>1</v>
      </c>
      <c r="AL484" s="62">
        <f t="shared" si="7"/>
        <v>1</v>
      </c>
      <c r="AM484" s="62">
        <v>1</v>
      </c>
    </row>
    <row r="485" spans="1:39" x14ac:dyDescent="0.25">
      <c r="A485" s="35" t="s">
        <v>690</v>
      </c>
      <c r="B485" s="35" t="s">
        <v>16667</v>
      </c>
      <c r="C485" s="35" t="s">
        <v>61</v>
      </c>
      <c r="D485" s="35" t="s">
        <v>16307</v>
      </c>
      <c r="E485" s="35" t="s">
        <v>192</v>
      </c>
      <c r="F485" s="62">
        <v>1</v>
      </c>
      <c r="G485" s="30" t="s">
        <v>193</v>
      </c>
      <c r="H485" s="30" t="s">
        <v>194</v>
      </c>
      <c r="I485" s="30" t="s">
        <v>16183</v>
      </c>
      <c r="J485" s="35" t="s">
        <v>9302</v>
      </c>
      <c r="K485" s="35">
        <v>18</v>
      </c>
      <c r="L485" s="35" t="s">
        <v>6955</v>
      </c>
      <c r="M485" s="35"/>
      <c r="N485" s="35" t="s">
        <v>16668</v>
      </c>
      <c r="O485" s="35" t="s">
        <v>6921</v>
      </c>
      <c r="P485" s="35" t="s">
        <v>16394</v>
      </c>
      <c r="Q485" s="35" t="s">
        <v>16393</v>
      </c>
      <c r="R485" s="35" t="s">
        <v>16397</v>
      </c>
      <c r="S485" s="35">
        <v>2361741</v>
      </c>
      <c r="T485" s="35">
        <v>33994745</v>
      </c>
      <c r="U485" s="35"/>
      <c r="V485" s="30"/>
      <c r="W485" s="505" t="s">
        <v>2282</v>
      </c>
      <c r="X485" s="35" t="s">
        <v>193</v>
      </c>
      <c r="Y485" s="30">
        <v>25</v>
      </c>
      <c r="Z485" s="35"/>
      <c r="AA485" s="35"/>
      <c r="AB485" s="35"/>
      <c r="AC485" s="35"/>
      <c r="AD485" s="35"/>
      <c r="AE485" s="35"/>
      <c r="AF485" s="35"/>
      <c r="AG485" s="35"/>
      <c r="AH485" s="30" t="s">
        <v>4714</v>
      </c>
      <c r="AI485" s="35" t="s">
        <v>16667</v>
      </c>
      <c r="AJ485" s="62" t="str">
        <f>MID('I kw.22'!W485,8,6)</f>
        <v>251103</v>
      </c>
      <c r="AK485" s="62">
        <v>1</v>
      </c>
      <c r="AL485" s="62">
        <f t="shared" si="7"/>
        <v>1</v>
      </c>
      <c r="AM485" s="62">
        <v>1</v>
      </c>
    </row>
    <row r="486" spans="1:39" x14ac:dyDescent="0.25">
      <c r="A486" s="35" t="s">
        <v>16664</v>
      </c>
      <c r="B486" s="35" t="s">
        <v>16665</v>
      </c>
      <c r="C486" s="35" t="s">
        <v>1402</v>
      </c>
      <c r="D486" s="35" t="s">
        <v>16307</v>
      </c>
      <c r="E486" s="35" t="s">
        <v>192</v>
      </c>
      <c r="F486" s="62">
        <v>1</v>
      </c>
      <c r="G486" s="30" t="s">
        <v>193</v>
      </c>
      <c r="H486" s="30" t="s">
        <v>194</v>
      </c>
      <c r="I486" s="30" t="s">
        <v>16083</v>
      </c>
      <c r="J486" s="35" t="s">
        <v>9302</v>
      </c>
      <c r="K486" s="35">
        <v>18</v>
      </c>
      <c r="L486" s="35" t="s">
        <v>6955</v>
      </c>
      <c r="M486" s="35"/>
      <c r="N486" s="35" t="s">
        <v>16666</v>
      </c>
      <c r="O486" s="35" t="s">
        <v>6302</v>
      </c>
      <c r="P486" s="35" t="s">
        <v>16394</v>
      </c>
      <c r="Q486" s="35" t="s">
        <v>16393</v>
      </c>
      <c r="R486" s="35" t="s">
        <v>16397</v>
      </c>
      <c r="S486" s="35">
        <v>2361761</v>
      </c>
      <c r="T486" s="35">
        <v>33994765</v>
      </c>
      <c r="U486" s="35"/>
      <c r="V486" s="30"/>
      <c r="W486" s="505" t="s">
        <v>1403</v>
      </c>
      <c r="X486" s="35" t="s">
        <v>193</v>
      </c>
      <c r="Y486" s="30">
        <v>25</v>
      </c>
      <c r="Z486" s="35"/>
      <c r="AA486" s="35"/>
      <c r="AB486" s="35"/>
      <c r="AC486" s="35"/>
      <c r="AD486" s="35"/>
      <c r="AE486" s="35"/>
      <c r="AF486" s="35"/>
      <c r="AG486" s="35"/>
      <c r="AH486" s="30" t="s">
        <v>4714</v>
      </c>
      <c r="AI486" s="35" t="s">
        <v>16665</v>
      </c>
      <c r="AJ486" s="62" t="str">
        <f>MID('I kw.22'!W486,8,6)</f>
        <v>242228</v>
      </c>
      <c r="AK486" s="62">
        <v>1</v>
      </c>
      <c r="AL486" s="62">
        <f t="shared" si="7"/>
        <v>1</v>
      </c>
      <c r="AM486" s="62">
        <v>1</v>
      </c>
    </row>
    <row r="487" spans="1:39" x14ac:dyDescent="0.25">
      <c r="A487" s="35" t="s">
        <v>16664</v>
      </c>
      <c r="B487" s="35" t="s">
        <v>16662</v>
      </c>
      <c r="C487" s="35" t="s">
        <v>80</v>
      </c>
      <c r="D487" s="35" t="s">
        <v>16307</v>
      </c>
      <c r="E487" s="35" t="s">
        <v>192</v>
      </c>
      <c r="F487" s="62">
        <v>1</v>
      </c>
      <c r="G487" s="30" t="s">
        <v>193</v>
      </c>
      <c r="H487" s="30" t="s">
        <v>194</v>
      </c>
      <c r="I487" s="30" t="s">
        <v>16121</v>
      </c>
      <c r="J487" s="35" t="s">
        <v>9302</v>
      </c>
      <c r="K487" s="35">
        <v>18</v>
      </c>
      <c r="L487" s="35" t="s">
        <v>6955</v>
      </c>
      <c r="M487" s="35"/>
      <c r="N487" s="35" t="s">
        <v>16663</v>
      </c>
      <c r="O487" s="35" t="s">
        <v>6290</v>
      </c>
      <c r="P487" s="35" t="s">
        <v>16394</v>
      </c>
      <c r="Q487" s="35" t="s">
        <v>16393</v>
      </c>
      <c r="R487" s="35" t="s">
        <v>16397</v>
      </c>
      <c r="S487" s="35">
        <v>2361779</v>
      </c>
      <c r="T487" s="35">
        <v>33994783</v>
      </c>
      <c r="U487" s="35"/>
      <c r="V487" s="30"/>
      <c r="W487" s="505" t="s">
        <v>474</v>
      </c>
      <c r="X487" s="35" t="s">
        <v>193</v>
      </c>
      <c r="Y487" s="30">
        <v>25</v>
      </c>
      <c r="Z487" s="35"/>
      <c r="AA487" s="35"/>
      <c r="AB487" s="35"/>
      <c r="AC487" s="35"/>
      <c r="AD487" s="35"/>
      <c r="AE487" s="35"/>
      <c r="AF487" s="35"/>
      <c r="AG487" s="35"/>
      <c r="AH487" s="30" t="s">
        <v>4714</v>
      </c>
      <c r="AI487" s="35" t="s">
        <v>16662</v>
      </c>
      <c r="AJ487" s="62" t="str">
        <f>MID('I kw.22'!W487,8,6)</f>
        <v>243304</v>
      </c>
      <c r="AK487" s="62">
        <v>1</v>
      </c>
      <c r="AL487" s="62">
        <f t="shared" si="7"/>
        <v>1</v>
      </c>
      <c r="AM487" s="62">
        <v>1</v>
      </c>
    </row>
    <row r="488" spans="1:39" x14ac:dyDescent="0.25">
      <c r="A488" s="35" t="s">
        <v>5527</v>
      </c>
      <c r="B488" s="35" t="s">
        <v>16660</v>
      </c>
      <c r="C488" s="35" t="s">
        <v>4966</v>
      </c>
      <c r="D488" s="35" t="s">
        <v>16307</v>
      </c>
      <c r="E488" s="35" t="s">
        <v>192</v>
      </c>
      <c r="F488" s="62">
        <v>1</v>
      </c>
      <c r="G488" s="30" t="s">
        <v>193</v>
      </c>
      <c r="H488" s="30" t="s">
        <v>194</v>
      </c>
      <c r="I488" s="30" t="s">
        <v>16073</v>
      </c>
      <c r="J488" s="35" t="s">
        <v>9302</v>
      </c>
      <c r="K488" s="35">
        <v>18</v>
      </c>
      <c r="L488" s="35" t="s">
        <v>6955</v>
      </c>
      <c r="M488" s="35"/>
      <c r="N488" s="35" t="s">
        <v>16661</v>
      </c>
      <c r="O488" s="35" t="s">
        <v>6254</v>
      </c>
      <c r="P488" s="35" t="s">
        <v>16394</v>
      </c>
      <c r="Q488" s="35" t="s">
        <v>16393</v>
      </c>
      <c r="R488" s="35" t="s">
        <v>16397</v>
      </c>
      <c r="S488" s="35">
        <v>2361801</v>
      </c>
      <c r="T488" s="35">
        <v>33994805</v>
      </c>
      <c r="U488" s="35"/>
      <c r="V488" s="30"/>
      <c r="W488" s="505" t="s">
        <v>405</v>
      </c>
      <c r="X488" s="35" t="s">
        <v>193</v>
      </c>
      <c r="Y488" s="30">
        <v>25</v>
      </c>
      <c r="Z488" s="35"/>
      <c r="AA488" s="35"/>
      <c r="AB488" s="35"/>
      <c r="AC488" s="35"/>
      <c r="AD488" s="35"/>
      <c r="AE488" s="35"/>
      <c r="AF488" s="35"/>
      <c r="AG488" s="35"/>
      <c r="AH488" s="30" t="s">
        <v>4714</v>
      </c>
      <c r="AI488" s="35" t="s">
        <v>16660</v>
      </c>
      <c r="AJ488" s="62" t="str">
        <f>MID('I kw.22'!W488,8,6)</f>
        <v>241304</v>
      </c>
      <c r="AK488" s="62">
        <v>1</v>
      </c>
      <c r="AL488" s="62">
        <f t="shared" si="7"/>
        <v>1</v>
      </c>
      <c r="AM488" s="62">
        <v>1</v>
      </c>
    </row>
    <row r="489" spans="1:39" x14ac:dyDescent="0.25">
      <c r="A489" s="35" t="s">
        <v>10076</v>
      </c>
      <c r="B489" s="35" t="s">
        <v>16658</v>
      </c>
      <c r="C489" s="35" t="s">
        <v>10</v>
      </c>
      <c r="D489" s="35" t="s">
        <v>16307</v>
      </c>
      <c r="E489" s="35" t="s">
        <v>192</v>
      </c>
      <c r="F489" s="62">
        <v>1</v>
      </c>
      <c r="G489" s="30" t="s">
        <v>193</v>
      </c>
      <c r="H489" s="30" t="s">
        <v>194</v>
      </c>
      <c r="I489" s="30" t="s">
        <v>16121</v>
      </c>
      <c r="J489" s="35" t="s">
        <v>9302</v>
      </c>
      <c r="K489" s="35">
        <v>18</v>
      </c>
      <c r="L489" s="35" t="s">
        <v>6955</v>
      </c>
      <c r="M489" s="35"/>
      <c r="N489" s="35" t="s">
        <v>16659</v>
      </c>
      <c r="O489" s="35" t="s">
        <v>6261</v>
      </c>
      <c r="P489" s="35" t="s">
        <v>16394</v>
      </c>
      <c r="Q489" s="35" t="s">
        <v>16393</v>
      </c>
      <c r="R489" s="35" t="s">
        <v>16397</v>
      </c>
      <c r="S489" s="35">
        <v>2361821</v>
      </c>
      <c r="T489" s="35">
        <v>33994825</v>
      </c>
      <c r="U489" s="35"/>
      <c r="V489" s="30"/>
      <c r="W489" s="505" t="s">
        <v>484</v>
      </c>
      <c r="X489" s="35" t="s">
        <v>193</v>
      </c>
      <c r="Y489" s="30">
        <v>25</v>
      </c>
      <c r="Z489" s="35"/>
      <c r="AA489" s="35"/>
      <c r="AB489" s="35"/>
      <c r="AC489" s="35"/>
      <c r="AD489" s="35"/>
      <c r="AE489" s="35"/>
      <c r="AF489" s="35"/>
      <c r="AG489" s="35"/>
      <c r="AH489" s="30" t="s">
        <v>4714</v>
      </c>
      <c r="AI489" s="35" t="s">
        <v>16658</v>
      </c>
      <c r="AJ489" s="62" t="str">
        <f>MID('I kw.22'!W489,8,6)</f>
        <v>251401</v>
      </c>
      <c r="AK489" s="62">
        <v>1</v>
      </c>
      <c r="AL489" s="62">
        <f t="shared" si="7"/>
        <v>1</v>
      </c>
      <c r="AM489" s="62">
        <v>1</v>
      </c>
    </row>
    <row r="490" spans="1:39" x14ac:dyDescent="0.25">
      <c r="A490" s="35" t="s">
        <v>10076</v>
      </c>
      <c r="B490" s="35" t="s">
        <v>16655</v>
      </c>
      <c r="C490" s="35" t="s">
        <v>3210</v>
      </c>
      <c r="D490" s="35" t="s">
        <v>16307</v>
      </c>
      <c r="E490" s="35" t="s">
        <v>192</v>
      </c>
      <c r="F490" s="62">
        <v>1</v>
      </c>
      <c r="G490" s="30" t="s">
        <v>193</v>
      </c>
      <c r="H490" s="30" t="s">
        <v>194</v>
      </c>
      <c r="I490" s="30" t="s">
        <v>16078</v>
      </c>
      <c r="J490" s="35" t="s">
        <v>9302</v>
      </c>
      <c r="K490" s="35">
        <v>18</v>
      </c>
      <c r="L490" s="35" t="s">
        <v>6955</v>
      </c>
      <c r="M490" s="35"/>
      <c r="N490" s="35" t="s">
        <v>16657</v>
      </c>
      <c r="O490" s="35" t="s">
        <v>6343</v>
      </c>
      <c r="P490" s="35" t="s">
        <v>16394</v>
      </c>
      <c r="Q490" s="35" t="s">
        <v>16393</v>
      </c>
      <c r="R490" s="35" t="s">
        <v>16397</v>
      </c>
      <c r="S490" s="35">
        <v>2361836</v>
      </c>
      <c r="T490" s="35">
        <v>33994840</v>
      </c>
      <c r="U490" s="35"/>
      <c r="V490" s="30"/>
      <c r="W490" s="505" t="s">
        <v>16656</v>
      </c>
      <c r="X490" s="35" t="s">
        <v>193</v>
      </c>
      <c r="Y490" s="30">
        <v>25</v>
      </c>
      <c r="Z490" s="35"/>
      <c r="AA490" s="35"/>
      <c r="AB490" s="35"/>
      <c r="AC490" s="35"/>
      <c r="AD490" s="35"/>
      <c r="AE490" s="35"/>
      <c r="AF490" s="35"/>
      <c r="AG490" s="35"/>
      <c r="AH490" s="30" t="s">
        <v>4714</v>
      </c>
      <c r="AI490" s="35" t="s">
        <v>16655</v>
      </c>
      <c r="AJ490" s="62" t="str">
        <f>MID('I kw.22'!W490,8,6)</f>
        <v>122301</v>
      </c>
      <c r="AK490" s="62">
        <v>1</v>
      </c>
      <c r="AL490" s="62">
        <f t="shared" si="7"/>
        <v>1</v>
      </c>
      <c r="AM490" s="62">
        <v>1</v>
      </c>
    </row>
    <row r="491" spans="1:39" x14ac:dyDescent="0.25">
      <c r="A491" s="35" t="s">
        <v>4416</v>
      </c>
      <c r="B491" s="35" t="s">
        <v>16653</v>
      </c>
      <c r="C491" s="35" t="s">
        <v>103</v>
      </c>
      <c r="D491" s="35" t="s">
        <v>16307</v>
      </c>
      <c r="E491" s="35" t="s">
        <v>192</v>
      </c>
      <c r="F491" s="62">
        <v>1</v>
      </c>
      <c r="G491" s="30" t="s">
        <v>194</v>
      </c>
      <c r="H491" s="30" t="s">
        <v>193</v>
      </c>
      <c r="I491" s="30" t="s">
        <v>16073</v>
      </c>
      <c r="J491" s="35" t="s">
        <v>9302</v>
      </c>
      <c r="K491" s="35">
        <v>18</v>
      </c>
      <c r="L491" s="35" t="s">
        <v>6955</v>
      </c>
      <c r="M491" s="35"/>
      <c r="N491" s="35" t="s">
        <v>16654</v>
      </c>
      <c r="O491" s="35" t="s">
        <v>6245</v>
      </c>
      <c r="P491" s="35" t="s">
        <v>16394</v>
      </c>
      <c r="Q491" s="35" t="s">
        <v>16393</v>
      </c>
      <c r="R491" s="35" t="s">
        <v>16397</v>
      </c>
      <c r="S491" s="35">
        <v>2361843</v>
      </c>
      <c r="T491" s="35">
        <v>33994847</v>
      </c>
      <c r="U491" s="35"/>
      <c r="V491" s="30"/>
      <c r="W491" s="505" t="s">
        <v>1443</v>
      </c>
      <c r="X491" s="35" t="s">
        <v>194</v>
      </c>
      <c r="Y491" s="30">
        <v>0</v>
      </c>
      <c r="Z491" s="35"/>
      <c r="AA491" s="35"/>
      <c r="AB491" s="35"/>
      <c r="AC491" s="35"/>
      <c r="AD491" s="35"/>
      <c r="AE491" s="35"/>
      <c r="AF491" s="35"/>
      <c r="AG491" s="35"/>
      <c r="AH491" s="30" t="s">
        <v>4714</v>
      </c>
      <c r="AI491" s="35" t="s">
        <v>16653</v>
      </c>
      <c r="AJ491" s="62" t="str">
        <f>MID('I kw.22'!W491,8,6)</f>
        <v>132103</v>
      </c>
      <c r="AK491" s="62">
        <v>1</v>
      </c>
      <c r="AL491" s="62">
        <f t="shared" si="7"/>
        <v>1</v>
      </c>
      <c r="AM491" s="62">
        <v>1</v>
      </c>
    </row>
    <row r="492" spans="1:39" x14ac:dyDescent="0.25">
      <c r="A492" s="35" t="s">
        <v>10076</v>
      </c>
      <c r="B492" s="35" t="s">
        <v>16651</v>
      </c>
      <c r="C492" s="35" t="s">
        <v>190</v>
      </c>
      <c r="D492" s="35" t="s">
        <v>16307</v>
      </c>
      <c r="E492" s="35" t="s">
        <v>192</v>
      </c>
      <c r="F492" s="62">
        <v>1</v>
      </c>
      <c r="G492" s="30" t="s">
        <v>193</v>
      </c>
      <c r="H492" s="30" t="s">
        <v>194</v>
      </c>
      <c r="I492" s="30" t="s">
        <v>16061</v>
      </c>
      <c r="J492" s="35" t="s">
        <v>9302</v>
      </c>
      <c r="K492" s="35">
        <v>18</v>
      </c>
      <c r="L492" s="35" t="s">
        <v>6955</v>
      </c>
      <c r="M492" s="35"/>
      <c r="N492" s="35" t="s">
        <v>16652</v>
      </c>
      <c r="O492" s="35" t="s">
        <v>6254</v>
      </c>
      <c r="P492" s="35" t="s">
        <v>16394</v>
      </c>
      <c r="Q492" s="35" t="s">
        <v>16393</v>
      </c>
      <c r="R492" s="35" t="s">
        <v>16397</v>
      </c>
      <c r="S492" s="35">
        <v>2361853</v>
      </c>
      <c r="T492" s="35">
        <v>33994857</v>
      </c>
      <c r="U492" s="35"/>
      <c r="V492" s="30"/>
      <c r="W492" s="505" t="s">
        <v>197</v>
      </c>
      <c r="X492" s="35" t="s">
        <v>193</v>
      </c>
      <c r="Y492" s="30">
        <v>25</v>
      </c>
      <c r="Z492" s="35"/>
      <c r="AA492" s="35"/>
      <c r="AB492" s="35"/>
      <c r="AC492" s="35"/>
      <c r="AD492" s="35"/>
      <c r="AE492" s="35"/>
      <c r="AF492" s="35"/>
      <c r="AG492" s="35"/>
      <c r="AH492" s="30" t="s">
        <v>4714</v>
      </c>
      <c r="AI492" s="35" t="s">
        <v>16651</v>
      </c>
      <c r="AJ492" s="62" t="str">
        <f>MID('I kw.22'!W492,8,6)</f>
        <v>112012</v>
      </c>
      <c r="AK492" s="62">
        <v>1</v>
      </c>
      <c r="AL492" s="62">
        <f t="shared" si="7"/>
        <v>1</v>
      </c>
      <c r="AM492" s="62">
        <v>1</v>
      </c>
    </row>
    <row r="493" spans="1:39" x14ac:dyDescent="0.25">
      <c r="A493" s="35" t="s">
        <v>16650</v>
      </c>
      <c r="B493" s="35" t="s">
        <v>16647</v>
      </c>
      <c r="C493" s="35" t="s">
        <v>2859</v>
      </c>
      <c r="D493" s="35" t="s">
        <v>16307</v>
      </c>
      <c r="E493" s="35" t="s">
        <v>192</v>
      </c>
      <c r="F493" s="62">
        <v>1</v>
      </c>
      <c r="G493" s="30" t="s">
        <v>194</v>
      </c>
      <c r="H493" s="30" t="s">
        <v>193</v>
      </c>
      <c r="I493" s="30" t="s">
        <v>16073</v>
      </c>
      <c r="J493" s="35" t="s">
        <v>9302</v>
      </c>
      <c r="K493" s="35">
        <v>18</v>
      </c>
      <c r="L493" s="35" t="s">
        <v>6955</v>
      </c>
      <c r="M493" s="35"/>
      <c r="N493" s="35" t="s">
        <v>16649</v>
      </c>
      <c r="O493" s="35" t="s">
        <v>6258</v>
      </c>
      <c r="P493" s="35" t="s">
        <v>16394</v>
      </c>
      <c r="Q493" s="35" t="s">
        <v>16393</v>
      </c>
      <c r="R493" s="35" t="s">
        <v>16641</v>
      </c>
      <c r="S493" s="35">
        <v>2361868</v>
      </c>
      <c r="T493" s="35">
        <v>33994872</v>
      </c>
      <c r="U493" s="35"/>
      <c r="V493" s="30"/>
      <c r="W493" s="505" t="s">
        <v>16648</v>
      </c>
      <c r="X493" s="35" t="s">
        <v>194</v>
      </c>
      <c r="Y493" s="30">
        <v>0</v>
      </c>
      <c r="Z493" s="35"/>
      <c r="AA493" s="35"/>
      <c r="AB493" s="35"/>
      <c r="AC493" s="35"/>
      <c r="AD493" s="35"/>
      <c r="AE493" s="35"/>
      <c r="AF493" s="35"/>
      <c r="AG493" s="35"/>
      <c r="AH493" s="30" t="s">
        <v>4714</v>
      </c>
      <c r="AI493" s="35" t="s">
        <v>16647</v>
      </c>
      <c r="AJ493" s="62" t="str">
        <f>MID('I kw.22'!W493,8,6)</f>
        <v>723103</v>
      </c>
      <c r="AK493" s="62">
        <v>1</v>
      </c>
      <c r="AL493" s="62">
        <f t="shared" si="7"/>
        <v>1</v>
      </c>
      <c r="AM493" s="62">
        <v>1</v>
      </c>
    </row>
    <row r="494" spans="1:39" x14ac:dyDescent="0.25">
      <c r="A494" s="35" t="s">
        <v>16646</v>
      </c>
      <c r="B494" s="35" t="s">
        <v>16644</v>
      </c>
      <c r="C494" s="35" t="s">
        <v>10</v>
      </c>
      <c r="D494" s="35" t="s">
        <v>16307</v>
      </c>
      <c r="E494" s="35" t="s">
        <v>192</v>
      </c>
      <c r="F494" s="62">
        <v>1</v>
      </c>
      <c r="G494" s="30" t="s">
        <v>193</v>
      </c>
      <c r="H494" s="30" t="s">
        <v>194</v>
      </c>
      <c r="I494" s="30" t="s">
        <v>16073</v>
      </c>
      <c r="J494" s="35" t="s">
        <v>9302</v>
      </c>
      <c r="K494" s="35">
        <v>18</v>
      </c>
      <c r="L494" s="35" t="s">
        <v>6955</v>
      </c>
      <c r="M494" s="35"/>
      <c r="N494" s="35" t="s">
        <v>16645</v>
      </c>
      <c r="O494" s="35" t="s">
        <v>6261</v>
      </c>
      <c r="P494" s="35" t="s">
        <v>16394</v>
      </c>
      <c r="Q494" s="35" t="s">
        <v>16393</v>
      </c>
      <c r="R494" s="35" t="s">
        <v>16397</v>
      </c>
      <c r="S494" s="35">
        <v>2361884</v>
      </c>
      <c r="T494" s="35">
        <v>33994888</v>
      </c>
      <c r="U494" s="35"/>
      <c r="V494" s="30"/>
      <c r="W494" s="505" t="s">
        <v>484</v>
      </c>
      <c r="X494" s="35" t="s">
        <v>193</v>
      </c>
      <c r="Y494" s="30">
        <v>25</v>
      </c>
      <c r="Z494" s="35"/>
      <c r="AA494" s="35"/>
      <c r="AB494" s="35"/>
      <c r="AC494" s="35"/>
      <c r="AD494" s="35"/>
      <c r="AE494" s="35"/>
      <c r="AF494" s="35"/>
      <c r="AG494" s="35"/>
      <c r="AH494" s="30" t="s">
        <v>4714</v>
      </c>
      <c r="AI494" s="35" t="s">
        <v>16644</v>
      </c>
      <c r="AJ494" s="62" t="str">
        <f>MID('I kw.22'!W494,8,6)</f>
        <v>251401</v>
      </c>
      <c r="AK494" s="62">
        <v>1</v>
      </c>
      <c r="AL494" s="62">
        <f t="shared" si="7"/>
        <v>1</v>
      </c>
      <c r="AM494" s="62">
        <v>1</v>
      </c>
    </row>
    <row r="495" spans="1:39" x14ac:dyDescent="0.25">
      <c r="A495" s="35" t="s">
        <v>16643</v>
      </c>
      <c r="B495" s="35" t="s">
        <v>991</v>
      </c>
      <c r="C495" s="35" t="s">
        <v>6617</v>
      </c>
      <c r="D495" s="35" t="s">
        <v>16307</v>
      </c>
      <c r="E495" s="35" t="s">
        <v>192</v>
      </c>
      <c r="F495" s="62">
        <v>1</v>
      </c>
      <c r="G495" s="30" t="s">
        <v>193</v>
      </c>
      <c r="H495" s="30" t="s">
        <v>194</v>
      </c>
      <c r="I495" s="30" t="s">
        <v>16073</v>
      </c>
      <c r="J495" s="35" t="s">
        <v>9302</v>
      </c>
      <c r="K495" s="35">
        <v>18</v>
      </c>
      <c r="L495" s="35" t="s">
        <v>6955</v>
      </c>
      <c r="M495" s="35"/>
      <c r="N495" s="35" t="s">
        <v>16642</v>
      </c>
      <c r="O495" s="35" t="s">
        <v>6266</v>
      </c>
      <c r="P495" s="35" t="s">
        <v>16394</v>
      </c>
      <c r="Q495" s="35" t="s">
        <v>16393</v>
      </c>
      <c r="R495" s="35" t="s">
        <v>16641</v>
      </c>
      <c r="S495" s="35">
        <v>2361903</v>
      </c>
      <c r="T495" s="35">
        <v>33994907</v>
      </c>
      <c r="U495" s="35"/>
      <c r="V495" s="30"/>
      <c r="W495" s="505" t="s">
        <v>990</v>
      </c>
      <c r="X495" s="35" t="s">
        <v>193</v>
      </c>
      <c r="Y495" s="30">
        <v>25</v>
      </c>
      <c r="Z495" s="35"/>
      <c r="AA495" s="35"/>
      <c r="AB495" s="35"/>
      <c r="AC495" s="35"/>
      <c r="AD495" s="35"/>
      <c r="AE495" s="35"/>
      <c r="AF495" s="35"/>
      <c r="AG495" s="35"/>
      <c r="AH495" s="30" t="s">
        <v>4714</v>
      </c>
      <c r="AI495" s="35" t="s">
        <v>991</v>
      </c>
      <c r="AJ495" s="62" t="str">
        <f>MID('I kw.22'!W495,8,6)</f>
        <v>833202</v>
      </c>
      <c r="AK495" s="62">
        <v>1</v>
      </c>
      <c r="AL495" s="62">
        <f t="shared" si="7"/>
        <v>1</v>
      </c>
      <c r="AM495" s="62">
        <v>1</v>
      </c>
    </row>
    <row r="496" spans="1:39" x14ac:dyDescent="0.25">
      <c r="A496" s="35" t="s">
        <v>13432</v>
      </c>
      <c r="B496" s="35" t="s">
        <v>16639</v>
      </c>
      <c r="C496" s="35" t="s">
        <v>420</v>
      </c>
      <c r="D496" s="35" t="s">
        <v>16307</v>
      </c>
      <c r="E496" s="35" t="s">
        <v>192</v>
      </c>
      <c r="F496" s="62">
        <v>1</v>
      </c>
      <c r="G496" s="30" t="s">
        <v>193</v>
      </c>
      <c r="H496" s="30" t="s">
        <v>194</v>
      </c>
      <c r="I496" s="30" t="s">
        <v>16078</v>
      </c>
      <c r="J496" s="35" t="s">
        <v>9302</v>
      </c>
      <c r="K496" s="35">
        <v>18</v>
      </c>
      <c r="L496" s="35" t="s">
        <v>6955</v>
      </c>
      <c r="M496" s="35"/>
      <c r="N496" s="35" t="s">
        <v>16640</v>
      </c>
      <c r="O496" s="35" t="s">
        <v>7531</v>
      </c>
      <c r="P496" s="35" t="s">
        <v>16394</v>
      </c>
      <c r="Q496" s="35" t="s">
        <v>16393</v>
      </c>
      <c r="R496" s="35" t="s">
        <v>16397</v>
      </c>
      <c r="S496" s="35">
        <v>2361919</v>
      </c>
      <c r="T496" s="35">
        <v>33994923</v>
      </c>
      <c r="U496" s="35"/>
      <c r="V496" s="30"/>
      <c r="W496" s="505" t="s">
        <v>421</v>
      </c>
      <c r="X496" s="35" t="s">
        <v>193</v>
      </c>
      <c r="Y496" s="30">
        <v>25</v>
      </c>
      <c r="Z496" s="35"/>
      <c r="AA496" s="35"/>
      <c r="AB496" s="35"/>
      <c r="AC496" s="35"/>
      <c r="AD496" s="35"/>
      <c r="AE496" s="35"/>
      <c r="AF496" s="35"/>
      <c r="AG496" s="35"/>
      <c r="AH496" s="30" t="s">
        <v>4714</v>
      </c>
      <c r="AI496" s="35" t="s">
        <v>16639</v>
      </c>
      <c r="AJ496" s="62" t="str">
        <f>MID('I kw.22'!W496,8,6)</f>
        <v>241306</v>
      </c>
      <c r="AK496" s="62">
        <v>1</v>
      </c>
      <c r="AL496" s="62">
        <f t="shared" si="7"/>
        <v>1</v>
      </c>
      <c r="AM496" s="62">
        <v>1</v>
      </c>
    </row>
    <row r="497" spans="1:39" x14ac:dyDescent="0.25">
      <c r="A497" s="35" t="s">
        <v>562</v>
      </c>
      <c r="B497" s="35" t="s">
        <v>16637</v>
      </c>
      <c r="C497" s="35" t="s">
        <v>366</v>
      </c>
      <c r="D497" s="35" t="s">
        <v>16307</v>
      </c>
      <c r="E497" s="35" t="s">
        <v>192</v>
      </c>
      <c r="F497" s="62">
        <v>1</v>
      </c>
      <c r="G497" s="30" t="s">
        <v>193</v>
      </c>
      <c r="H497" s="30" t="s">
        <v>194</v>
      </c>
      <c r="I497" s="30" t="s">
        <v>16078</v>
      </c>
      <c r="J497" s="35" t="s">
        <v>9302</v>
      </c>
      <c r="K497" s="35">
        <v>18</v>
      </c>
      <c r="L497" s="35" t="s">
        <v>6955</v>
      </c>
      <c r="M497" s="35"/>
      <c r="N497" s="35" t="s">
        <v>16638</v>
      </c>
      <c r="O497" s="35" t="s">
        <v>6261</v>
      </c>
      <c r="P497" s="35" t="s">
        <v>16394</v>
      </c>
      <c r="Q497" s="35" t="s">
        <v>16393</v>
      </c>
      <c r="R497" s="35" t="s">
        <v>16397</v>
      </c>
      <c r="S497" s="35">
        <v>2361934</v>
      </c>
      <c r="T497" s="35">
        <v>33994938</v>
      </c>
      <c r="U497" s="35"/>
      <c r="V497" s="30"/>
      <c r="W497" s="505" t="s">
        <v>368</v>
      </c>
      <c r="X497" s="35" t="s">
        <v>193</v>
      </c>
      <c r="Y497" s="30">
        <v>25</v>
      </c>
      <c r="Z497" s="35"/>
      <c r="AA497" s="35"/>
      <c r="AB497" s="35"/>
      <c r="AC497" s="35"/>
      <c r="AD497" s="35"/>
      <c r="AE497" s="35"/>
      <c r="AF497" s="35"/>
      <c r="AG497" s="35"/>
      <c r="AH497" s="30" t="s">
        <v>4714</v>
      </c>
      <c r="AI497" s="35" t="s">
        <v>16637</v>
      </c>
      <c r="AJ497" s="62" t="str">
        <f>MID('I kw.22'!W497,8,6)</f>
        <v>215201</v>
      </c>
      <c r="AK497" s="62">
        <v>1</v>
      </c>
      <c r="AL497" s="62">
        <f t="shared" si="7"/>
        <v>1</v>
      </c>
      <c r="AM497" s="62">
        <v>1</v>
      </c>
    </row>
    <row r="498" spans="1:39" x14ac:dyDescent="0.25">
      <c r="A498" s="35" t="s">
        <v>5860</v>
      </c>
      <c r="B498" s="35" t="s">
        <v>16635</v>
      </c>
      <c r="C498" s="35" t="s">
        <v>35</v>
      </c>
      <c r="D498" s="35" t="s">
        <v>16307</v>
      </c>
      <c r="E498" s="35" t="s">
        <v>192</v>
      </c>
      <c r="F498" s="62">
        <v>1</v>
      </c>
      <c r="G498" s="30" t="s">
        <v>193</v>
      </c>
      <c r="H498" s="30" t="s">
        <v>194</v>
      </c>
      <c r="I498" s="30" t="s">
        <v>16066</v>
      </c>
      <c r="J498" s="35" t="s">
        <v>9302</v>
      </c>
      <c r="K498" s="35">
        <v>18</v>
      </c>
      <c r="L498" s="35" t="s">
        <v>6955</v>
      </c>
      <c r="M498" s="35"/>
      <c r="N498" s="35" t="s">
        <v>16636</v>
      </c>
      <c r="O498" s="35" t="s">
        <v>6245</v>
      </c>
      <c r="P498" s="35" t="s">
        <v>16394</v>
      </c>
      <c r="Q498" s="35" t="s">
        <v>16393</v>
      </c>
      <c r="R498" s="35" t="s">
        <v>16397</v>
      </c>
      <c r="S498" s="35">
        <v>2361954</v>
      </c>
      <c r="T498" s="35">
        <v>33994958</v>
      </c>
      <c r="U498" s="35"/>
      <c r="V498" s="30"/>
      <c r="W498" s="505" t="s">
        <v>207</v>
      </c>
      <c r="X498" s="35" t="s">
        <v>193</v>
      </c>
      <c r="Y498" s="30">
        <v>25</v>
      </c>
      <c r="Z498" s="35"/>
      <c r="AA498" s="35"/>
      <c r="AB498" s="35"/>
      <c r="AC498" s="35"/>
      <c r="AD498" s="35"/>
      <c r="AE498" s="35"/>
      <c r="AF498" s="35"/>
      <c r="AG498" s="35"/>
      <c r="AH498" s="30" t="s">
        <v>4714</v>
      </c>
      <c r="AI498" s="35" t="s">
        <v>16635</v>
      </c>
      <c r="AJ498" s="62" t="str">
        <f>MID('I kw.22'!W498,8,6)</f>
        <v>122106</v>
      </c>
      <c r="AK498" s="62">
        <v>1</v>
      </c>
      <c r="AL498" s="62">
        <f t="shared" si="7"/>
        <v>1</v>
      </c>
      <c r="AM498" s="62">
        <v>1</v>
      </c>
    </row>
    <row r="499" spans="1:39" x14ac:dyDescent="0.25">
      <c r="A499" s="35" t="s">
        <v>16634</v>
      </c>
      <c r="B499" s="35" t="s">
        <v>16632</v>
      </c>
      <c r="C499" s="35" t="s">
        <v>27</v>
      </c>
      <c r="D499" s="35" t="s">
        <v>16307</v>
      </c>
      <c r="E499" s="35" t="s">
        <v>192</v>
      </c>
      <c r="F499" s="62">
        <v>1</v>
      </c>
      <c r="G499" s="30" t="s">
        <v>193</v>
      </c>
      <c r="H499" s="30" t="s">
        <v>194</v>
      </c>
      <c r="I499" s="30" t="s">
        <v>16048</v>
      </c>
      <c r="J499" s="35" t="s">
        <v>9302</v>
      </c>
      <c r="K499" s="35">
        <v>18</v>
      </c>
      <c r="L499" s="35" t="s">
        <v>6955</v>
      </c>
      <c r="M499" s="35"/>
      <c r="N499" s="35" t="s">
        <v>16633</v>
      </c>
      <c r="O499" s="35" t="s">
        <v>6340</v>
      </c>
      <c r="P499" s="35" t="s">
        <v>16394</v>
      </c>
      <c r="Q499" s="35" t="s">
        <v>16393</v>
      </c>
      <c r="R499" s="35" t="s">
        <v>16397</v>
      </c>
      <c r="S499" s="35">
        <v>2361971</v>
      </c>
      <c r="T499" s="35">
        <v>33994975</v>
      </c>
      <c r="U499" s="35"/>
      <c r="V499" s="30"/>
      <c r="W499" s="505" t="s">
        <v>440</v>
      </c>
      <c r="X499" s="35" t="s">
        <v>193</v>
      </c>
      <c r="Y499" s="30">
        <v>25</v>
      </c>
      <c r="Z499" s="35"/>
      <c r="AA499" s="35"/>
      <c r="AB499" s="35"/>
      <c r="AC499" s="35"/>
      <c r="AD499" s="35"/>
      <c r="AE499" s="35"/>
      <c r="AF499" s="35"/>
      <c r="AG499" s="35"/>
      <c r="AH499" s="30" t="s">
        <v>4714</v>
      </c>
      <c r="AI499" s="35" t="s">
        <v>16632</v>
      </c>
      <c r="AJ499" s="62" t="str">
        <f>MID('I kw.22'!W499,8,6)</f>
        <v>242307</v>
      </c>
      <c r="AK499" s="62">
        <v>1</v>
      </c>
      <c r="AL499" s="62">
        <f t="shared" si="7"/>
        <v>1</v>
      </c>
      <c r="AM499" s="62">
        <v>1</v>
      </c>
    </row>
    <row r="500" spans="1:39" x14ac:dyDescent="0.25">
      <c r="A500" s="35" t="s">
        <v>16631</v>
      </c>
      <c r="B500" s="35" t="s">
        <v>16629</v>
      </c>
      <c r="C500" s="35" t="s">
        <v>10</v>
      </c>
      <c r="D500" s="35" t="s">
        <v>16307</v>
      </c>
      <c r="E500" s="35" t="s">
        <v>192</v>
      </c>
      <c r="F500" s="62">
        <v>1</v>
      </c>
      <c r="G500" s="30" t="s">
        <v>193</v>
      </c>
      <c r="H500" s="30" t="s">
        <v>194</v>
      </c>
      <c r="I500" s="30" t="s">
        <v>16073</v>
      </c>
      <c r="J500" s="35" t="s">
        <v>9302</v>
      </c>
      <c r="K500" s="35">
        <v>18</v>
      </c>
      <c r="L500" s="35" t="s">
        <v>6955</v>
      </c>
      <c r="M500" s="35"/>
      <c r="N500" s="35" t="s">
        <v>16630</v>
      </c>
      <c r="O500" s="35" t="s">
        <v>6261</v>
      </c>
      <c r="P500" s="35" t="s">
        <v>16394</v>
      </c>
      <c r="Q500" s="35" t="s">
        <v>16393</v>
      </c>
      <c r="R500" s="35" t="s">
        <v>16397</v>
      </c>
      <c r="S500" s="35">
        <v>2361988</v>
      </c>
      <c r="T500" s="35">
        <v>33994992</v>
      </c>
      <c r="U500" s="35"/>
      <c r="V500" s="30"/>
      <c r="W500" s="505" t="s">
        <v>484</v>
      </c>
      <c r="X500" s="35" t="s">
        <v>193</v>
      </c>
      <c r="Y500" s="30">
        <v>25</v>
      </c>
      <c r="Z500" s="35"/>
      <c r="AA500" s="35"/>
      <c r="AB500" s="35"/>
      <c r="AC500" s="35"/>
      <c r="AD500" s="35"/>
      <c r="AE500" s="35"/>
      <c r="AF500" s="35"/>
      <c r="AG500" s="35"/>
      <c r="AH500" s="30" t="s">
        <v>4714</v>
      </c>
      <c r="AI500" s="35" t="s">
        <v>16629</v>
      </c>
      <c r="AJ500" s="62" t="str">
        <f>MID('I kw.22'!W500,8,6)</f>
        <v>251401</v>
      </c>
      <c r="AK500" s="62">
        <v>1</v>
      </c>
      <c r="AL500" s="62">
        <f t="shared" si="7"/>
        <v>1</v>
      </c>
      <c r="AM500" s="62">
        <v>1</v>
      </c>
    </row>
    <row r="501" spans="1:39" x14ac:dyDescent="0.25">
      <c r="A501" s="35" t="s">
        <v>16628</v>
      </c>
      <c r="B501" s="35" t="s">
        <v>16624</v>
      </c>
      <c r="C501" s="35" t="s">
        <v>16627</v>
      </c>
      <c r="D501" s="35" t="s">
        <v>16307</v>
      </c>
      <c r="E501" s="35" t="s">
        <v>192</v>
      </c>
      <c r="F501" s="62">
        <v>1</v>
      </c>
      <c r="G501" s="30" t="s">
        <v>193</v>
      </c>
      <c r="H501" s="30" t="s">
        <v>194</v>
      </c>
      <c r="I501" s="30" t="s">
        <v>16048</v>
      </c>
      <c r="J501" s="35" t="s">
        <v>9302</v>
      </c>
      <c r="K501" s="35">
        <v>18</v>
      </c>
      <c r="L501" s="35" t="s">
        <v>6955</v>
      </c>
      <c r="M501" s="35"/>
      <c r="N501" s="35" t="s">
        <v>16626</v>
      </c>
      <c r="O501" s="35" t="s">
        <v>6921</v>
      </c>
      <c r="P501" s="35" t="s">
        <v>16394</v>
      </c>
      <c r="Q501" s="35" t="s">
        <v>16393</v>
      </c>
      <c r="R501" s="35" t="s">
        <v>16397</v>
      </c>
      <c r="S501" s="35">
        <v>2362004</v>
      </c>
      <c r="T501" s="35">
        <v>33995008</v>
      </c>
      <c r="U501" s="35"/>
      <c r="V501" s="30"/>
      <c r="W501" s="505" t="s">
        <v>16625</v>
      </c>
      <c r="X501" s="35" t="s">
        <v>193</v>
      </c>
      <c r="Y501" s="30">
        <v>25</v>
      </c>
      <c r="Z501" s="35"/>
      <c r="AA501" s="35"/>
      <c r="AB501" s="35"/>
      <c r="AC501" s="35"/>
      <c r="AD501" s="35"/>
      <c r="AE501" s="35"/>
      <c r="AF501" s="35"/>
      <c r="AG501" s="35"/>
      <c r="AH501" s="30" t="s">
        <v>4714</v>
      </c>
      <c r="AI501" s="35" t="s">
        <v>16624</v>
      </c>
      <c r="AJ501" s="62" t="str">
        <f>MID('I kw.22'!W501,8,6)</f>
        <v>252290</v>
      </c>
      <c r="AK501" s="62">
        <v>1</v>
      </c>
      <c r="AL501" s="62">
        <f t="shared" si="7"/>
        <v>1</v>
      </c>
      <c r="AM501" s="62">
        <v>1</v>
      </c>
    </row>
    <row r="502" spans="1:39" x14ac:dyDescent="0.25">
      <c r="A502" s="35" t="s">
        <v>1207</v>
      </c>
      <c r="B502" s="35" t="s">
        <v>16622</v>
      </c>
      <c r="C502" s="35" t="s">
        <v>82</v>
      </c>
      <c r="D502" s="35" t="s">
        <v>16307</v>
      </c>
      <c r="E502" s="35" t="s">
        <v>192</v>
      </c>
      <c r="F502" s="62">
        <v>1</v>
      </c>
      <c r="G502" s="30" t="s">
        <v>193</v>
      </c>
      <c r="H502" s="30" t="s">
        <v>194</v>
      </c>
      <c r="I502" s="30" t="s">
        <v>16073</v>
      </c>
      <c r="J502" s="35" t="s">
        <v>9302</v>
      </c>
      <c r="K502" s="35">
        <v>18</v>
      </c>
      <c r="L502" s="35" t="s">
        <v>6955</v>
      </c>
      <c r="M502" s="35"/>
      <c r="N502" s="35" t="s">
        <v>16623</v>
      </c>
      <c r="O502" s="35" t="s">
        <v>6921</v>
      </c>
      <c r="P502" s="35" t="s">
        <v>16394</v>
      </c>
      <c r="Q502" s="35" t="s">
        <v>16393</v>
      </c>
      <c r="R502" s="35" t="s">
        <v>16397</v>
      </c>
      <c r="S502" s="35">
        <v>2362021</v>
      </c>
      <c r="T502" s="35">
        <v>33995025</v>
      </c>
      <c r="U502" s="35"/>
      <c r="V502" s="30"/>
      <c r="W502" s="505" t="s">
        <v>504</v>
      </c>
      <c r="X502" s="35" t="s">
        <v>193</v>
      </c>
      <c r="Y502" s="30">
        <v>25</v>
      </c>
      <c r="Z502" s="35"/>
      <c r="AA502" s="35"/>
      <c r="AB502" s="35"/>
      <c r="AC502" s="35"/>
      <c r="AD502" s="35"/>
      <c r="AE502" s="35"/>
      <c r="AF502" s="35"/>
      <c r="AG502" s="35"/>
      <c r="AH502" s="30" t="s">
        <v>4714</v>
      </c>
      <c r="AI502" s="35" t="s">
        <v>16622</v>
      </c>
      <c r="AJ502" s="62" t="str">
        <f>MID('I kw.22'!W502,8,6)</f>
        <v>252101</v>
      </c>
      <c r="AK502" s="62">
        <v>1</v>
      </c>
      <c r="AL502" s="62">
        <f t="shared" si="7"/>
        <v>1</v>
      </c>
      <c r="AM502" s="62">
        <v>1</v>
      </c>
    </row>
    <row r="503" spans="1:39" x14ac:dyDescent="0.25">
      <c r="A503" s="35" t="s">
        <v>16621</v>
      </c>
      <c r="B503" s="35" t="s">
        <v>16619</v>
      </c>
      <c r="C503" s="35" t="s">
        <v>36</v>
      </c>
      <c r="D503" s="35" t="s">
        <v>16307</v>
      </c>
      <c r="E503" s="35" t="s">
        <v>192</v>
      </c>
      <c r="F503" s="62">
        <v>1</v>
      </c>
      <c r="G503" s="30" t="s">
        <v>193</v>
      </c>
      <c r="H503" s="30" t="s">
        <v>194</v>
      </c>
      <c r="I503" s="30" t="s">
        <v>16121</v>
      </c>
      <c r="J503" s="35" t="s">
        <v>9302</v>
      </c>
      <c r="K503" s="35">
        <v>18</v>
      </c>
      <c r="L503" s="35" t="s">
        <v>6955</v>
      </c>
      <c r="M503" s="35"/>
      <c r="N503" s="35" t="s">
        <v>16620</v>
      </c>
      <c r="O503" s="35" t="s">
        <v>7531</v>
      </c>
      <c r="P503" s="35" t="s">
        <v>16394</v>
      </c>
      <c r="Q503" s="35" t="s">
        <v>16393</v>
      </c>
      <c r="R503" s="35" t="s">
        <v>16397</v>
      </c>
      <c r="S503" s="35">
        <v>2362036</v>
      </c>
      <c r="T503" s="35">
        <v>33995040</v>
      </c>
      <c r="U503" s="35"/>
      <c r="V503" s="30"/>
      <c r="W503" s="505" t="s">
        <v>609</v>
      </c>
      <c r="X503" s="35" t="s">
        <v>193</v>
      </c>
      <c r="Y503" s="30">
        <v>25</v>
      </c>
      <c r="Z503" s="35"/>
      <c r="AA503" s="35"/>
      <c r="AB503" s="35"/>
      <c r="AC503" s="35"/>
      <c r="AD503" s="35"/>
      <c r="AE503" s="35"/>
      <c r="AF503" s="35"/>
      <c r="AG503" s="35"/>
      <c r="AH503" s="30" t="s">
        <v>4714</v>
      </c>
      <c r="AI503" s="35" t="s">
        <v>16619</v>
      </c>
      <c r="AJ503" s="62" t="str">
        <f>MID('I kw.22'!W503,8,6)</f>
        <v>331301</v>
      </c>
      <c r="AK503" s="62">
        <v>1</v>
      </c>
      <c r="AL503" s="62">
        <f t="shared" si="7"/>
        <v>1</v>
      </c>
      <c r="AM503" s="62">
        <v>1</v>
      </c>
    </row>
    <row r="504" spans="1:39" x14ac:dyDescent="0.25">
      <c r="A504" s="35" t="s">
        <v>16618</v>
      </c>
      <c r="B504" s="35" t="s">
        <v>16616</v>
      </c>
      <c r="C504" s="35" t="s">
        <v>366</v>
      </c>
      <c r="D504" s="35" t="s">
        <v>16307</v>
      </c>
      <c r="E504" s="35" t="s">
        <v>192</v>
      </c>
      <c r="F504" s="62">
        <v>1</v>
      </c>
      <c r="G504" s="30" t="s">
        <v>193</v>
      </c>
      <c r="H504" s="30" t="s">
        <v>194</v>
      </c>
      <c r="I504" s="30" t="s">
        <v>16061</v>
      </c>
      <c r="J504" s="35" t="s">
        <v>9302</v>
      </c>
      <c r="K504" s="35">
        <v>18</v>
      </c>
      <c r="L504" s="35" t="s">
        <v>6955</v>
      </c>
      <c r="M504" s="35"/>
      <c r="N504" s="35" t="s">
        <v>16617</v>
      </c>
      <c r="O504" s="35" t="s">
        <v>6363</v>
      </c>
      <c r="P504" s="35" t="s">
        <v>16394</v>
      </c>
      <c r="Q504" s="35" t="s">
        <v>16393</v>
      </c>
      <c r="R504" s="35" t="s">
        <v>16397</v>
      </c>
      <c r="S504" s="35">
        <v>2362040</v>
      </c>
      <c r="T504" s="35">
        <v>33995044</v>
      </c>
      <c r="U504" s="35"/>
      <c r="V504" s="30"/>
      <c r="W504" s="505" t="s">
        <v>368</v>
      </c>
      <c r="X504" s="35" t="s">
        <v>193</v>
      </c>
      <c r="Y504" s="30">
        <v>25</v>
      </c>
      <c r="Z504" s="35"/>
      <c r="AA504" s="35"/>
      <c r="AB504" s="35"/>
      <c r="AC504" s="35"/>
      <c r="AD504" s="35"/>
      <c r="AE504" s="35"/>
      <c r="AF504" s="35"/>
      <c r="AG504" s="35"/>
      <c r="AH504" s="30" t="s">
        <v>4714</v>
      </c>
      <c r="AI504" s="35" t="s">
        <v>16616</v>
      </c>
      <c r="AJ504" s="62" t="str">
        <f>MID('I kw.22'!W504,8,6)</f>
        <v>215201</v>
      </c>
      <c r="AK504" s="62">
        <v>1</v>
      </c>
      <c r="AL504" s="62">
        <f t="shared" si="7"/>
        <v>1</v>
      </c>
      <c r="AM504" s="62">
        <v>1</v>
      </c>
    </row>
    <row r="505" spans="1:39" x14ac:dyDescent="0.25">
      <c r="A505" s="35" t="s">
        <v>16615</v>
      </c>
      <c r="B505" s="35" t="s">
        <v>16612</v>
      </c>
      <c r="C505" s="35" t="s">
        <v>85</v>
      </c>
      <c r="D505" s="35" t="s">
        <v>16307</v>
      </c>
      <c r="E505" s="35" t="s">
        <v>192</v>
      </c>
      <c r="F505" s="62">
        <v>1</v>
      </c>
      <c r="G505" s="30" t="s">
        <v>193</v>
      </c>
      <c r="H505" s="30" t="s">
        <v>194</v>
      </c>
      <c r="I505" s="30" t="s">
        <v>16052</v>
      </c>
      <c r="J505" s="35" t="s">
        <v>9302</v>
      </c>
      <c r="K505" s="35">
        <v>18</v>
      </c>
      <c r="L505" s="35" t="s">
        <v>6955</v>
      </c>
      <c r="M505" s="35"/>
      <c r="N505" s="35" t="s">
        <v>16614</v>
      </c>
      <c r="O505" s="35" t="s">
        <v>6290</v>
      </c>
      <c r="P505" s="35" t="s">
        <v>16613</v>
      </c>
      <c r="Q505" s="35" t="s">
        <v>4849</v>
      </c>
      <c r="R505" s="35" t="s">
        <v>7703</v>
      </c>
      <c r="S505" s="35">
        <v>2362044</v>
      </c>
      <c r="T505" s="35">
        <v>33995048</v>
      </c>
      <c r="U505" s="35"/>
      <c r="V505" s="30"/>
      <c r="W505" s="505" t="s">
        <v>477</v>
      </c>
      <c r="X505" s="35" t="s">
        <v>193</v>
      </c>
      <c r="Y505" s="30">
        <v>25</v>
      </c>
      <c r="Z505" s="35"/>
      <c r="AA505" s="35"/>
      <c r="AB505" s="35"/>
      <c r="AC505" s="35"/>
      <c r="AD505" s="35"/>
      <c r="AE505" s="35"/>
      <c r="AF505" s="35"/>
      <c r="AG505" s="35"/>
      <c r="AH505" s="30" t="s">
        <v>4714</v>
      </c>
      <c r="AI505" s="35" t="s">
        <v>16612</v>
      </c>
      <c r="AJ505" s="62" t="str">
        <f>MID('I kw.22'!W505,8,6)</f>
        <v>243305</v>
      </c>
      <c r="AK505" s="62">
        <v>1</v>
      </c>
      <c r="AL505" s="62">
        <f t="shared" si="7"/>
        <v>1</v>
      </c>
      <c r="AM505" s="62">
        <v>1</v>
      </c>
    </row>
    <row r="506" spans="1:39" x14ac:dyDescent="0.25">
      <c r="A506" s="35" t="s">
        <v>16611</v>
      </c>
      <c r="B506" s="35" t="s">
        <v>16609</v>
      </c>
      <c r="C506" s="35" t="s">
        <v>21</v>
      </c>
      <c r="D506" s="35" t="s">
        <v>16307</v>
      </c>
      <c r="E506" s="35" t="s">
        <v>192</v>
      </c>
      <c r="F506" s="62">
        <v>1</v>
      </c>
      <c r="G506" s="30" t="s">
        <v>193</v>
      </c>
      <c r="H506" s="30" t="s">
        <v>194</v>
      </c>
      <c r="I506" s="30" t="s">
        <v>16052</v>
      </c>
      <c r="J506" s="35" t="s">
        <v>9302</v>
      </c>
      <c r="K506" s="35">
        <v>18</v>
      </c>
      <c r="L506" s="35" t="s">
        <v>6955</v>
      </c>
      <c r="M506" s="35"/>
      <c r="N506" s="35" t="s">
        <v>16610</v>
      </c>
      <c r="O506" s="35" t="s">
        <v>6324</v>
      </c>
      <c r="P506" s="35" t="s">
        <v>16394</v>
      </c>
      <c r="Q506" s="35" t="s">
        <v>16393</v>
      </c>
      <c r="R506" s="35" t="s">
        <v>16397</v>
      </c>
      <c r="S506" s="35">
        <v>2362056</v>
      </c>
      <c r="T506" s="35">
        <v>33995060</v>
      </c>
      <c r="U506" s="35"/>
      <c r="V506" s="30"/>
      <c r="W506" s="505" t="s">
        <v>293</v>
      </c>
      <c r="X506" s="35" t="s">
        <v>193</v>
      </c>
      <c r="Y506" s="30">
        <v>25</v>
      </c>
      <c r="Z506" s="35"/>
      <c r="AA506" s="35"/>
      <c r="AB506" s="35"/>
      <c r="AC506" s="35"/>
      <c r="AD506" s="35"/>
      <c r="AE506" s="35"/>
      <c r="AF506" s="35"/>
      <c r="AG506" s="35"/>
      <c r="AH506" s="30" t="s">
        <v>4714</v>
      </c>
      <c r="AI506" s="35" t="s">
        <v>16609</v>
      </c>
      <c r="AJ506" s="62" t="str">
        <f>MID('I kw.22'!W506,8,6)</f>
        <v>214202</v>
      </c>
      <c r="AK506" s="62">
        <v>1</v>
      </c>
      <c r="AL506" s="62">
        <f t="shared" si="7"/>
        <v>1</v>
      </c>
      <c r="AM506" s="62">
        <v>1</v>
      </c>
    </row>
    <row r="507" spans="1:39" x14ac:dyDescent="0.25">
      <c r="A507" s="35" t="s">
        <v>16608</v>
      </c>
      <c r="B507" s="35" t="s">
        <v>16606</v>
      </c>
      <c r="C507" s="35" t="s">
        <v>17</v>
      </c>
      <c r="D507" s="35" t="s">
        <v>16307</v>
      </c>
      <c r="E507" s="35" t="s">
        <v>192</v>
      </c>
      <c r="F507" s="62">
        <v>1</v>
      </c>
      <c r="G507" s="30" t="s">
        <v>193</v>
      </c>
      <c r="H507" s="30" t="s">
        <v>194</v>
      </c>
      <c r="I507" s="30" t="s">
        <v>16052</v>
      </c>
      <c r="J507" s="35" t="s">
        <v>9302</v>
      </c>
      <c r="K507" s="35">
        <v>18</v>
      </c>
      <c r="L507" s="35" t="s">
        <v>6955</v>
      </c>
      <c r="M507" s="35"/>
      <c r="N507" s="35" t="s">
        <v>16607</v>
      </c>
      <c r="O507" s="35" t="s">
        <v>6245</v>
      </c>
      <c r="P507" s="35" t="s">
        <v>16394</v>
      </c>
      <c r="Q507" s="35" t="s">
        <v>16393</v>
      </c>
      <c r="R507" s="35" t="s">
        <v>16397</v>
      </c>
      <c r="S507" s="35">
        <v>2362076</v>
      </c>
      <c r="T507" s="35">
        <v>33995080</v>
      </c>
      <c r="U507" s="35"/>
      <c r="V507" s="30"/>
      <c r="W507" s="505" t="s">
        <v>624</v>
      </c>
      <c r="X507" s="35" t="s">
        <v>193</v>
      </c>
      <c r="Y507" s="30">
        <v>25</v>
      </c>
      <c r="Z507" s="35"/>
      <c r="AA507" s="35"/>
      <c r="AB507" s="35"/>
      <c r="AC507" s="35"/>
      <c r="AD507" s="35"/>
      <c r="AE507" s="35"/>
      <c r="AF507" s="35"/>
      <c r="AG507" s="35"/>
      <c r="AH507" s="30" t="s">
        <v>4714</v>
      </c>
      <c r="AI507" s="35" t="s">
        <v>16606</v>
      </c>
      <c r="AJ507" s="62" t="str">
        <f>MID('I kw.22'!W507,8,6)</f>
        <v>332203</v>
      </c>
      <c r="AK507" s="62">
        <v>1</v>
      </c>
      <c r="AL507" s="62">
        <f t="shared" si="7"/>
        <v>1</v>
      </c>
      <c r="AM507" s="62">
        <v>1</v>
      </c>
    </row>
    <row r="508" spans="1:39" x14ac:dyDescent="0.25">
      <c r="A508" s="35" t="s">
        <v>10278</v>
      </c>
      <c r="B508" s="35" t="s">
        <v>16604</v>
      </c>
      <c r="C508" s="35" t="s">
        <v>16355</v>
      </c>
      <c r="D508" s="35" t="s">
        <v>16307</v>
      </c>
      <c r="E508" s="35" t="s">
        <v>192</v>
      </c>
      <c r="F508" s="62">
        <v>1</v>
      </c>
      <c r="G508" s="30" t="s">
        <v>193</v>
      </c>
      <c r="H508" s="30" t="s">
        <v>194</v>
      </c>
      <c r="I508" s="30" t="s">
        <v>16121</v>
      </c>
      <c r="J508" s="35" t="s">
        <v>9302</v>
      </c>
      <c r="K508" s="35">
        <v>18</v>
      </c>
      <c r="L508" s="35" t="s">
        <v>6955</v>
      </c>
      <c r="M508" s="35"/>
      <c r="N508" s="35" t="s">
        <v>16605</v>
      </c>
      <c r="O508" s="35" t="s">
        <v>6295</v>
      </c>
      <c r="P508" s="35" t="s">
        <v>16394</v>
      </c>
      <c r="Q508" s="35" t="s">
        <v>16393</v>
      </c>
      <c r="R508" s="35" t="s">
        <v>16397</v>
      </c>
      <c r="S508" s="35">
        <v>2362092</v>
      </c>
      <c r="T508" s="35">
        <v>33995096</v>
      </c>
      <c r="U508" s="35"/>
      <c r="V508" s="30"/>
      <c r="W508" s="505" t="s">
        <v>508</v>
      </c>
      <c r="X508" s="35" t="s">
        <v>193</v>
      </c>
      <c r="Y508" s="30">
        <v>25</v>
      </c>
      <c r="Z508" s="35"/>
      <c r="AA508" s="35"/>
      <c r="AB508" s="35"/>
      <c r="AC508" s="35"/>
      <c r="AD508" s="35"/>
      <c r="AE508" s="35"/>
      <c r="AF508" s="35"/>
      <c r="AG508" s="35"/>
      <c r="AH508" s="30" t="s">
        <v>4714</v>
      </c>
      <c r="AI508" s="35" t="s">
        <v>16604</v>
      </c>
      <c r="AJ508" s="62" t="str">
        <f>MID('I kw.22'!W508,8,6)</f>
        <v>252102</v>
      </c>
      <c r="AK508" s="62">
        <v>1</v>
      </c>
      <c r="AL508" s="62">
        <f t="shared" si="7"/>
        <v>1</v>
      </c>
      <c r="AM508" s="62">
        <v>1</v>
      </c>
    </row>
    <row r="509" spans="1:39" x14ac:dyDescent="0.25">
      <c r="A509" s="35" t="s">
        <v>16603</v>
      </c>
      <c r="B509" s="35" t="s">
        <v>16601</v>
      </c>
      <c r="C509" s="35" t="s">
        <v>17</v>
      </c>
      <c r="D509" s="35" t="s">
        <v>16307</v>
      </c>
      <c r="E509" s="35" t="s">
        <v>192</v>
      </c>
      <c r="F509" s="62">
        <v>1</v>
      </c>
      <c r="G509" s="30" t="s">
        <v>193</v>
      </c>
      <c r="H509" s="30" t="s">
        <v>194</v>
      </c>
      <c r="I509" s="30" t="s">
        <v>16078</v>
      </c>
      <c r="J509" s="35" t="s">
        <v>9302</v>
      </c>
      <c r="K509" s="35">
        <v>18</v>
      </c>
      <c r="L509" s="35" t="s">
        <v>6955</v>
      </c>
      <c r="M509" s="35"/>
      <c r="N509" s="35" t="s">
        <v>16602</v>
      </c>
      <c r="O509" s="35" t="s">
        <v>6302</v>
      </c>
      <c r="P509" s="35" t="s">
        <v>16394</v>
      </c>
      <c r="Q509" s="35" t="s">
        <v>16393</v>
      </c>
      <c r="R509" s="35" t="s">
        <v>16397</v>
      </c>
      <c r="S509" s="35">
        <v>2362117</v>
      </c>
      <c r="T509" s="35">
        <v>33995121</v>
      </c>
      <c r="U509" s="35"/>
      <c r="V509" s="30"/>
      <c r="W509" s="505" t="s">
        <v>624</v>
      </c>
      <c r="X509" s="35" t="s">
        <v>193</v>
      </c>
      <c r="Y509" s="30">
        <v>25</v>
      </c>
      <c r="Z509" s="35"/>
      <c r="AA509" s="35"/>
      <c r="AB509" s="35"/>
      <c r="AC509" s="35"/>
      <c r="AD509" s="35"/>
      <c r="AE509" s="35"/>
      <c r="AF509" s="35"/>
      <c r="AG509" s="35"/>
      <c r="AH509" s="30" t="s">
        <v>4714</v>
      </c>
      <c r="AI509" s="35" t="s">
        <v>16601</v>
      </c>
      <c r="AJ509" s="62" t="str">
        <f>MID('I kw.22'!W509,8,6)</f>
        <v>332203</v>
      </c>
      <c r="AK509" s="62">
        <v>1</v>
      </c>
      <c r="AL509" s="62">
        <f t="shared" si="7"/>
        <v>1</v>
      </c>
      <c r="AM509" s="62">
        <v>1</v>
      </c>
    </row>
    <row r="510" spans="1:39" x14ac:dyDescent="0.25">
      <c r="A510" s="35" t="s">
        <v>10287</v>
      </c>
      <c r="B510" s="35" t="s">
        <v>16599</v>
      </c>
      <c r="C510" s="35" t="s">
        <v>43</v>
      </c>
      <c r="D510" s="35" t="s">
        <v>16307</v>
      </c>
      <c r="E510" s="35" t="s">
        <v>192</v>
      </c>
      <c r="F510" s="62">
        <v>1</v>
      </c>
      <c r="G510" s="30" t="s">
        <v>193</v>
      </c>
      <c r="H510" s="30" t="s">
        <v>194</v>
      </c>
      <c r="I510" s="30" t="s">
        <v>16068</v>
      </c>
      <c r="J510" s="35" t="s">
        <v>9302</v>
      </c>
      <c r="K510" s="35">
        <v>18</v>
      </c>
      <c r="L510" s="35" t="s">
        <v>6955</v>
      </c>
      <c r="M510" s="35"/>
      <c r="N510" s="35" t="s">
        <v>16600</v>
      </c>
      <c r="O510" s="35" t="s">
        <v>6302</v>
      </c>
      <c r="P510" s="35" t="s">
        <v>16394</v>
      </c>
      <c r="Q510" s="35" t="s">
        <v>16393</v>
      </c>
      <c r="R510" s="35" t="s">
        <v>16397</v>
      </c>
      <c r="S510" s="35">
        <v>2362138</v>
      </c>
      <c r="T510" s="35">
        <v>33995142</v>
      </c>
      <c r="U510" s="35"/>
      <c r="V510" s="30"/>
      <c r="W510" s="505" t="s">
        <v>452</v>
      </c>
      <c r="X510" s="35" t="s">
        <v>193</v>
      </c>
      <c r="Y510" s="30">
        <v>25</v>
      </c>
      <c r="Z510" s="35"/>
      <c r="AA510" s="35"/>
      <c r="AB510" s="35"/>
      <c r="AC510" s="35"/>
      <c r="AD510" s="35"/>
      <c r="AE510" s="35"/>
      <c r="AF510" s="35"/>
      <c r="AG510" s="35"/>
      <c r="AH510" s="30" t="s">
        <v>4714</v>
      </c>
      <c r="AI510" s="35" t="s">
        <v>16599</v>
      </c>
      <c r="AJ510" s="62" t="str">
        <f>MID('I kw.22'!W510,8,6)</f>
        <v>243106</v>
      </c>
      <c r="AK510" s="62">
        <v>1</v>
      </c>
      <c r="AL510" s="62">
        <f t="shared" si="7"/>
        <v>1</v>
      </c>
      <c r="AM510" s="62">
        <v>1</v>
      </c>
    </row>
    <row r="511" spans="1:39" x14ac:dyDescent="0.25">
      <c r="A511" s="35" t="s">
        <v>10287</v>
      </c>
      <c r="B511" s="35" t="s">
        <v>15340</v>
      </c>
      <c r="C511" s="35" t="s">
        <v>15341</v>
      </c>
      <c r="D511" s="35" t="s">
        <v>16307</v>
      </c>
      <c r="E511" s="35" t="s">
        <v>192</v>
      </c>
      <c r="F511" s="62">
        <v>1</v>
      </c>
      <c r="G511" s="30" t="s">
        <v>193</v>
      </c>
      <c r="H511" s="30" t="s">
        <v>194</v>
      </c>
      <c r="I511" s="30" t="s">
        <v>16061</v>
      </c>
      <c r="J511" s="35" t="s">
        <v>9302</v>
      </c>
      <c r="K511" s="35">
        <v>18</v>
      </c>
      <c r="L511" s="35" t="s">
        <v>6955</v>
      </c>
      <c r="M511" s="35"/>
      <c r="N511" s="35" t="s">
        <v>16598</v>
      </c>
      <c r="O511" s="35" t="s">
        <v>6389</v>
      </c>
      <c r="P511" s="35" t="s">
        <v>16394</v>
      </c>
      <c r="Q511" s="35" t="s">
        <v>16393</v>
      </c>
      <c r="R511" s="35" t="s">
        <v>16397</v>
      </c>
      <c r="S511" s="35">
        <v>2362154</v>
      </c>
      <c r="T511" s="35">
        <v>33995158</v>
      </c>
      <c r="U511" s="35"/>
      <c r="V511" s="30"/>
      <c r="W511" s="505" t="s">
        <v>15345</v>
      </c>
      <c r="X511" s="35" t="s">
        <v>193</v>
      </c>
      <c r="Y511" s="30">
        <v>25</v>
      </c>
      <c r="Z511" s="35"/>
      <c r="AA511" s="35"/>
      <c r="AB511" s="35"/>
      <c r="AC511" s="35"/>
      <c r="AD511" s="35"/>
      <c r="AE511" s="35"/>
      <c r="AF511" s="35"/>
      <c r="AG511" s="35"/>
      <c r="AH511" s="30" t="s">
        <v>4714</v>
      </c>
      <c r="AI511" s="35" t="s">
        <v>15340</v>
      </c>
      <c r="AJ511" s="62" t="str">
        <f>MID('I kw.22'!W511,8,6)</f>
        <v>243102</v>
      </c>
      <c r="AK511" s="62">
        <v>1</v>
      </c>
      <c r="AL511" s="62">
        <f t="shared" si="7"/>
        <v>1</v>
      </c>
      <c r="AM511" s="62">
        <v>1</v>
      </c>
    </row>
    <row r="512" spans="1:39" x14ac:dyDescent="0.25">
      <c r="A512" s="35" t="s">
        <v>16597</v>
      </c>
      <c r="B512" s="35" t="s">
        <v>14727</v>
      </c>
      <c r="C512" s="35" t="s">
        <v>21</v>
      </c>
      <c r="D512" s="35" t="s">
        <v>16307</v>
      </c>
      <c r="E512" s="35" t="s">
        <v>192</v>
      </c>
      <c r="F512" s="62">
        <v>1</v>
      </c>
      <c r="G512" s="30" t="s">
        <v>193</v>
      </c>
      <c r="H512" s="30" t="s">
        <v>194</v>
      </c>
      <c r="I512" s="30" t="s">
        <v>16052</v>
      </c>
      <c r="J512" s="35" t="s">
        <v>9302</v>
      </c>
      <c r="K512" s="35">
        <v>18</v>
      </c>
      <c r="L512" s="35" t="s">
        <v>6955</v>
      </c>
      <c r="M512" s="35"/>
      <c r="N512" s="35" t="s">
        <v>16596</v>
      </c>
      <c r="O512" s="35" t="s">
        <v>6324</v>
      </c>
      <c r="P512" s="35" t="s">
        <v>16394</v>
      </c>
      <c r="Q512" s="35" t="s">
        <v>16393</v>
      </c>
      <c r="R512" s="35" t="s">
        <v>16397</v>
      </c>
      <c r="S512" s="35">
        <v>2362174</v>
      </c>
      <c r="T512" s="35">
        <v>33995178</v>
      </c>
      <c r="U512" s="35"/>
      <c r="V512" s="30"/>
      <c r="W512" s="505" t="s">
        <v>293</v>
      </c>
      <c r="X512" s="35" t="s">
        <v>193</v>
      </c>
      <c r="Y512" s="30">
        <v>25</v>
      </c>
      <c r="Z512" s="35"/>
      <c r="AA512" s="35"/>
      <c r="AB512" s="35"/>
      <c r="AC512" s="35"/>
      <c r="AD512" s="35"/>
      <c r="AE512" s="35"/>
      <c r="AF512" s="35"/>
      <c r="AG512" s="35"/>
      <c r="AH512" s="30" t="s">
        <v>4714</v>
      </c>
      <c r="AI512" s="35" t="s">
        <v>14727</v>
      </c>
      <c r="AJ512" s="62" t="str">
        <f>MID('I kw.22'!W512,8,6)</f>
        <v>214202</v>
      </c>
      <c r="AK512" s="62">
        <v>1</v>
      </c>
      <c r="AL512" s="62">
        <f t="shared" si="7"/>
        <v>1</v>
      </c>
      <c r="AM512" s="62">
        <v>1</v>
      </c>
    </row>
    <row r="513" spans="1:39" x14ac:dyDescent="0.25">
      <c r="A513" s="35" t="s">
        <v>10634</v>
      </c>
      <c r="B513" s="35" t="s">
        <v>10928</v>
      </c>
      <c r="C513" s="35" t="s">
        <v>129</v>
      </c>
      <c r="D513" s="35" t="s">
        <v>16307</v>
      </c>
      <c r="E513" s="35" t="s">
        <v>192</v>
      </c>
      <c r="F513" s="62">
        <v>1</v>
      </c>
      <c r="G513" s="30" t="s">
        <v>193</v>
      </c>
      <c r="H513" s="30" t="s">
        <v>194</v>
      </c>
      <c r="I513" s="30" t="s">
        <v>16121</v>
      </c>
      <c r="J513" s="35" t="s">
        <v>9302</v>
      </c>
      <c r="K513" s="35">
        <v>18</v>
      </c>
      <c r="L513" s="35" t="s">
        <v>6955</v>
      </c>
      <c r="M513" s="35"/>
      <c r="N513" s="35" t="s">
        <v>16595</v>
      </c>
      <c r="O513" s="35" t="s">
        <v>6261</v>
      </c>
      <c r="P513" s="35" t="s">
        <v>16394</v>
      </c>
      <c r="Q513" s="35" t="s">
        <v>16393</v>
      </c>
      <c r="R513" s="35" t="s">
        <v>16397</v>
      </c>
      <c r="S513" s="35">
        <v>2362188</v>
      </c>
      <c r="T513" s="35">
        <v>33995192</v>
      </c>
      <c r="U513" s="35"/>
      <c r="V513" s="30"/>
      <c r="W513" s="505" t="s">
        <v>203</v>
      </c>
      <c r="X513" s="35" t="s">
        <v>193</v>
      </c>
      <c r="Y513" s="30">
        <v>25</v>
      </c>
      <c r="Z513" s="35"/>
      <c r="AA513" s="35"/>
      <c r="AB513" s="35"/>
      <c r="AC513" s="35"/>
      <c r="AD513" s="35"/>
      <c r="AE513" s="35"/>
      <c r="AF513" s="35"/>
      <c r="AG513" s="35"/>
      <c r="AH513" s="30" t="s">
        <v>4714</v>
      </c>
      <c r="AI513" s="35" t="s">
        <v>10928</v>
      </c>
      <c r="AJ513" s="62" t="str">
        <f>MID('I kw.22'!W513,8,6)</f>
        <v>121904</v>
      </c>
      <c r="AK513" s="62">
        <v>1</v>
      </c>
      <c r="AL513" s="62">
        <f t="shared" si="7"/>
        <v>1</v>
      </c>
      <c r="AM513" s="62">
        <v>1</v>
      </c>
    </row>
    <row r="514" spans="1:39" x14ac:dyDescent="0.25">
      <c r="A514" s="35" t="s">
        <v>16594</v>
      </c>
      <c r="B514" s="35" t="s">
        <v>632</v>
      </c>
      <c r="C514" s="35" t="s">
        <v>17</v>
      </c>
      <c r="D514" s="35" t="s">
        <v>16307</v>
      </c>
      <c r="E514" s="35" t="s">
        <v>192</v>
      </c>
      <c r="F514" s="62">
        <v>1</v>
      </c>
      <c r="G514" s="30" t="s">
        <v>193</v>
      </c>
      <c r="H514" s="30" t="s">
        <v>194</v>
      </c>
      <c r="I514" s="30" t="s">
        <v>16052</v>
      </c>
      <c r="J514" s="35" t="s">
        <v>9302</v>
      </c>
      <c r="K514" s="35">
        <v>18</v>
      </c>
      <c r="L514" s="35" t="s">
        <v>6955</v>
      </c>
      <c r="M514" s="35"/>
      <c r="N514" s="35" t="s">
        <v>16593</v>
      </c>
      <c r="O514" s="35" t="s">
        <v>6245</v>
      </c>
      <c r="P514" s="35" t="s">
        <v>16540</v>
      </c>
      <c r="Q514" s="35" t="s">
        <v>16393</v>
      </c>
      <c r="R514" s="35" t="s">
        <v>16397</v>
      </c>
      <c r="S514" s="35">
        <v>2362206</v>
      </c>
      <c r="T514" s="35">
        <v>33995210</v>
      </c>
      <c r="U514" s="35"/>
      <c r="V514" s="30"/>
      <c r="W514" s="505" t="s">
        <v>624</v>
      </c>
      <c r="X514" s="35" t="s">
        <v>193</v>
      </c>
      <c r="Y514" s="30">
        <v>25</v>
      </c>
      <c r="Z514" s="35"/>
      <c r="AA514" s="35"/>
      <c r="AB514" s="35"/>
      <c r="AC514" s="35"/>
      <c r="AD514" s="35"/>
      <c r="AE514" s="35"/>
      <c r="AF514" s="35"/>
      <c r="AG514" s="35"/>
      <c r="AH514" s="30" t="s">
        <v>4714</v>
      </c>
      <c r="AI514" s="35" t="s">
        <v>17</v>
      </c>
      <c r="AJ514" s="62" t="str">
        <f>MID('I kw.22'!W514,8,6)</f>
        <v>332203</v>
      </c>
      <c r="AK514" s="62">
        <v>1</v>
      </c>
      <c r="AL514" s="62">
        <f t="shared" si="7"/>
        <v>1</v>
      </c>
      <c r="AM514" s="62">
        <v>1</v>
      </c>
    </row>
    <row r="515" spans="1:39" x14ac:dyDescent="0.25">
      <c r="A515" s="35" t="s">
        <v>14177</v>
      </c>
      <c r="B515" s="35" t="s">
        <v>16591</v>
      </c>
      <c r="C515" s="35" t="s">
        <v>525</v>
      </c>
      <c r="D515" s="35" t="s">
        <v>16307</v>
      </c>
      <c r="E515" s="35" t="s">
        <v>192</v>
      </c>
      <c r="F515" s="62">
        <v>1</v>
      </c>
      <c r="G515" s="30" t="s">
        <v>193</v>
      </c>
      <c r="H515" s="30" t="s">
        <v>194</v>
      </c>
      <c r="I515" s="30" t="s">
        <v>16083</v>
      </c>
      <c r="J515" s="35" t="s">
        <v>9302</v>
      </c>
      <c r="K515" s="35">
        <v>18</v>
      </c>
      <c r="L515" s="35" t="s">
        <v>6955</v>
      </c>
      <c r="M515" s="35"/>
      <c r="N515" s="35" t="s">
        <v>16592</v>
      </c>
      <c r="O515" s="35" t="s">
        <v>7531</v>
      </c>
      <c r="P515" s="35" t="s">
        <v>16394</v>
      </c>
      <c r="Q515" s="35" t="s">
        <v>16393</v>
      </c>
      <c r="R515" s="35" t="s">
        <v>16397</v>
      </c>
      <c r="S515" s="35">
        <v>2362230</v>
      </c>
      <c r="T515" s="35">
        <v>33995234</v>
      </c>
      <c r="U515" s="35"/>
      <c r="V515" s="30"/>
      <c r="W515" s="505" t="s">
        <v>526</v>
      </c>
      <c r="X515" s="35" t="s">
        <v>193</v>
      </c>
      <c r="Y515" s="30">
        <v>25</v>
      </c>
      <c r="Z515" s="35"/>
      <c r="AA515" s="35"/>
      <c r="AB515" s="35"/>
      <c r="AC515" s="35"/>
      <c r="AD515" s="35"/>
      <c r="AE515" s="35"/>
      <c r="AF515" s="35"/>
      <c r="AG515" s="35"/>
      <c r="AH515" s="30" t="s">
        <v>5109</v>
      </c>
      <c r="AI515" s="35" t="s">
        <v>16591</v>
      </c>
      <c r="AJ515" s="62" t="str">
        <f>MID('I kw.22'!W515,8,6)</f>
        <v>263102</v>
      </c>
      <c r="AK515" s="62">
        <v>1</v>
      </c>
      <c r="AL515" s="62">
        <f t="shared" ref="AL515:AL578" si="8">SUM(F515)</f>
        <v>1</v>
      </c>
      <c r="AM515" s="62">
        <v>1</v>
      </c>
    </row>
    <row r="516" spans="1:39" x14ac:dyDescent="0.25">
      <c r="A516" s="35" t="s">
        <v>9382</v>
      </c>
      <c r="B516" s="35" t="s">
        <v>17</v>
      </c>
      <c r="C516" s="35" t="s">
        <v>17</v>
      </c>
      <c r="D516" s="35" t="s">
        <v>16307</v>
      </c>
      <c r="E516" s="35" t="s">
        <v>192</v>
      </c>
      <c r="F516" s="62">
        <v>1</v>
      </c>
      <c r="G516" s="30" t="s">
        <v>193</v>
      </c>
      <c r="H516" s="30" t="s">
        <v>194</v>
      </c>
      <c r="I516" s="30" t="s">
        <v>16052</v>
      </c>
      <c r="J516" s="35" t="s">
        <v>9302</v>
      </c>
      <c r="K516" s="35">
        <v>18</v>
      </c>
      <c r="L516" s="35" t="s">
        <v>6955</v>
      </c>
      <c r="M516" s="35"/>
      <c r="N516" s="35" t="s">
        <v>16590</v>
      </c>
      <c r="O516" s="35" t="s">
        <v>6245</v>
      </c>
      <c r="P516" s="35" t="s">
        <v>16394</v>
      </c>
      <c r="Q516" s="35" t="s">
        <v>16393</v>
      </c>
      <c r="R516" s="35" t="s">
        <v>16392</v>
      </c>
      <c r="S516" s="35">
        <v>2362257</v>
      </c>
      <c r="T516" s="35">
        <v>33995261</v>
      </c>
      <c r="U516" s="35"/>
      <c r="V516" s="30"/>
      <c r="W516" s="505" t="s">
        <v>624</v>
      </c>
      <c r="X516" s="35" t="s">
        <v>193</v>
      </c>
      <c r="Y516" s="30">
        <v>25</v>
      </c>
      <c r="Z516" s="35"/>
      <c r="AA516" s="35"/>
      <c r="AB516" s="35"/>
      <c r="AC516" s="35"/>
      <c r="AD516" s="35"/>
      <c r="AE516" s="35"/>
      <c r="AF516" s="35"/>
      <c r="AG516" s="35"/>
      <c r="AH516" s="30" t="s">
        <v>4714</v>
      </c>
      <c r="AI516" s="35" t="s">
        <v>17</v>
      </c>
      <c r="AJ516" s="62" t="str">
        <f>MID('I kw.22'!W516,8,6)</f>
        <v>332203</v>
      </c>
      <c r="AK516" s="62">
        <v>1</v>
      </c>
      <c r="AL516" s="62">
        <f t="shared" si="8"/>
        <v>1</v>
      </c>
      <c r="AM516" s="62">
        <v>1</v>
      </c>
    </row>
    <row r="517" spans="1:39" x14ac:dyDescent="0.25">
      <c r="A517" s="35" t="s">
        <v>16589</v>
      </c>
      <c r="B517" s="35" t="s">
        <v>14727</v>
      </c>
      <c r="C517" s="35" t="s">
        <v>21</v>
      </c>
      <c r="D517" s="35" t="s">
        <v>16307</v>
      </c>
      <c r="E517" s="35" t="s">
        <v>192</v>
      </c>
      <c r="F517" s="62">
        <v>1</v>
      </c>
      <c r="G517" s="30" t="s">
        <v>193</v>
      </c>
      <c r="H517" s="30" t="s">
        <v>194</v>
      </c>
      <c r="I517" s="30" t="s">
        <v>16052</v>
      </c>
      <c r="J517" s="35" t="s">
        <v>9302</v>
      </c>
      <c r="K517" s="35">
        <v>18</v>
      </c>
      <c r="L517" s="35" t="s">
        <v>6955</v>
      </c>
      <c r="M517" s="35"/>
      <c r="N517" s="35" t="s">
        <v>16588</v>
      </c>
      <c r="O517" s="35" t="s">
        <v>6324</v>
      </c>
      <c r="P517" s="35" t="s">
        <v>16394</v>
      </c>
      <c r="Q517" s="35" t="s">
        <v>16393</v>
      </c>
      <c r="R517" s="35" t="s">
        <v>16392</v>
      </c>
      <c r="S517" s="35">
        <v>2362269</v>
      </c>
      <c r="T517" s="35">
        <v>33995273</v>
      </c>
      <c r="U517" s="35"/>
      <c r="V517" s="30"/>
      <c r="W517" s="505" t="s">
        <v>293</v>
      </c>
      <c r="X517" s="35" t="s">
        <v>193</v>
      </c>
      <c r="Y517" s="30">
        <v>25</v>
      </c>
      <c r="Z517" s="35"/>
      <c r="AA517" s="35"/>
      <c r="AB517" s="35"/>
      <c r="AC517" s="35"/>
      <c r="AD517" s="35"/>
      <c r="AE517" s="35"/>
      <c r="AF517" s="35"/>
      <c r="AG517" s="35"/>
      <c r="AH517" s="30" t="s">
        <v>4714</v>
      </c>
      <c r="AI517" s="35" t="s">
        <v>14727</v>
      </c>
      <c r="AJ517" s="62" t="str">
        <f>MID('I kw.22'!W517,8,6)</f>
        <v>214202</v>
      </c>
      <c r="AK517" s="62">
        <v>1</v>
      </c>
      <c r="AL517" s="62">
        <f t="shared" si="8"/>
        <v>1</v>
      </c>
      <c r="AM517" s="62">
        <v>1</v>
      </c>
    </row>
    <row r="518" spans="1:39" x14ac:dyDescent="0.25">
      <c r="A518" s="35" t="s">
        <v>1209</v>
      </c>
      <c r="B518" s="35" t="s">
        <v>1210</v>
      </c>
      <c r="C518" s="35" t="s">
        <v>778</v>
      </c>
      <c r="D518" s="35" t="s">
        <v>16307</v>
      </c>
      <c r="E518" s="35" t="s">
        <v>192</v>
      </c>
      <c r="F518" s="62">
        <v>1</v>
      </c>
      <c r="G518" s="30" t="s">
        <v>193</v>
      </c>
      <c r="H518" s="30" t="s">
        <v>194</v>
      </c>
      <c r="I518" s="30" t="s">
        <v>16073</v>
      </c>
      <c r="J518" s="35" t="s">
        <v>367</v>
      </c>
      <c r="K518" s="35">
        <v>18</v>
      </c>
      <c r="L518" s="35" t="s">
        <v>6955</v>
      </c>
      <c r="M518" s="35"/>
      <c r="N518" s="35" t="s">
        <v>16587</v>
      </c>
      <c r="O518" s="35" t="s">
        <v>7531</v>
      </c>
      <c r="P518" s="35" t="s">
        <v>16394</v>
      </c>
      <c r="Q518" s="35" t="s">
        <v>16393</v>
      </c>
      <c r="R518" s="35" t="s">
        <v>16392</v>
      </c>
      <c r="S518" s="35">
        <v>2362289</v>
      </c>
      <c r="T518" s="35">
        <v>33995293</v>
      </c>
      <c r="U518" s="35"/>
      <c r="V518" s="30">
        <v>1805</v>
      </c>
      <c r="W518" s="35" t="s">
        <v>779</v>
      </c>
      <c r="X518" s="35" t="s">
        <v>194</v>
      </c>
      <c r="Y518" s="30">
        <v>1</v>
      </c>
      <c r="Z518" s="35"/>
      <c r="AA518" s="35"/>
      <c r="AB518" s="35"/>
      <c r="AC518" s="35"/>
      <c r="AD518" s="35"/>
      <c r="AE518" s="35"/>
      <c r="AF518" s="35"/>
      <c r="AG518" s="35"/>
      <c r="AH518" s="30" t="s">
        <v>4714</v>
      </c>
      <c r="AI518" s="35" t="s">
        <v>1210</v>
      </c>
      <c r="AJ518" s="62" t="str">
        <f>MID('I kw.22'!W518,8,6)</f>
        <v>524902</v>
      </c>
      <c r="AK518" s="62">
        <v>1</v>
      </c>
      <c r="AL518" s="62">
        <f t="shared" si="8"/>
        <v>1</v>
      </c>
      <c r="AM518" s="62">
        <v>1</v>
      </c>
    </row>
    <row r="519" spans="1:39" x14ac:dyDescent="0.25">
      <c r="A519" s="35" t="s">
        <v>1209</v>
      </c>
      <c r="B519" s="35" t="s">
        <v>1210</v>
      </c>
      <c r="C519" s="35" t="s">
        <v>778</v>
      </c>
      <c r="D519" s="35" t="s">
        <v>16307</v>
      </c>
      <c r="E519" s="35" t="s">
        <v>192</v>
      </c>
      <c r="F519" s="62">
        <v>1</v>
      </c>
      <c r="G519" s="30" t="s">
        <v>193</v>
      </c>
      <c r="H519" s="30" t="s">
        <v>194</v>
      </c>
      <c r="I519" s="30" t="s">
        <v>16073</v>
      </c>
      <c r="J519" s="35" t="s">
        <v>327</v>
      </c>
      <c r="K519" s="35">
        <v>18</v>
      </c>
      <c r="L519" s="35" t="s">
        <v>6955</v>
      </c>
      <c r="M519" s="35"/>
      <c r="N519" s="35" t="s">
        <v>16586</v>
      </c>
      <c r="O519" s="35" t="s">
        <v>7531</v>
      </c>
      <c r="P519" s="35" t="s">
        <v>16394</v>
      </c>
      <c r="Q519" s="35" t="s">
        <v>16393</v>
      </c>
      <c r="R519" s="35" t="s">
        <v>16392</v>
      </c>
      <c r="S519" s="35">
        <v>2362292</v>
      </c>
      <c r="T519" s="35">
        <v>33995296</v>
      </c>
      <c r="U519" s="35"/>
      <c r="V519" s="30">
        <v>1808</v>
      </c>
      <c r="W519" s="35" t="s">
        <v>779</v>
      </c>
      <c r="X519" s="35" t="s">
        <v>194</v>
      </c>
      <c r="Y519" s="30">
        <v>1</v>
      </c>
      <c r="Z519" s="35"/>
      <c r="AA519" s="35"/>
      <c r="AB519" s="35"/>
      <c r="AC519" s="35"/>
      <c r="AD519" s="35"/>
      <c r="AE519" s="35"/>
      <c r="AF519" s="35"/>
      <c r="AG519" s="35"/>
      <c r="AH519" s="30" t="s">
        <v>4714</v>
      </c>
      <c r="AI519" s="35" t="s">
        <v>1210</v>
      </c>
      <c r="AJ519" s="62" t="str">
        <f>MID('I kw.22'!W519,8,6)</f>
        <v>524902</v>
      </c>
      <c r="AK519" s="62">
        <v>1</v>
      </c>
      <c r="AL519" s="62">
        <f t="shared" si="8"/>
        <v>1</v>
      </c>
      <c r="AM519" s="62">
        <v>1</v>
      </c>
    </row>
    <row r="520" spans="1:39" x14ac:dyDescent="0.25">
      <c r="A520" s="35" t="s">
        <v>1209</v>
      </c>
      <c r="B520" s="35" t="s">
        <v>1210</v>
      </c>
      <c r="C520" s="35" t="s">
        <v>778</v>
      </c>
      <c r="D520" s="35" t="s">
        <v>16307</v>
      </c>
      <c r="E520" s="35" t="s">
        <v>192</v>
      </c>
      <c r="F520" s="62">
        <v>1</v>
      </c>
      <c r="G520" s="30" t="s">
        <v>193</v>
      </c>
      <c r="H520" s="30" t="s">
        <v>194</v>
      </c>
      <c r="I520" s="30" t="s">
        <v>16073</v>
      </c>
      <c r="J520" s="35" t="s">
        <v>210</v>
      </c>
      <c r="K520" s="35">
        <v>18</v>
      </c>
      <c r="L520" s="35" t="s">
        <v>6955</v>
      </c>
      <c r="M520" s="35"/>
      <c r="N520" s="35" t="s">
        <v>16585</v>
      </c>
      <c r="O520" s="35" t="s">
        <v>7531</v>
      </c>
      <c r="P520" s="35" t="s">
        <v>16394</v>
      </c>
      <c r="Q520" s="35" t="s">
        <v>16393</v>
      </c>
      <c r="R520" s="35" t="s">
        <v>16392</v>
      </c>
      <c r="S520" s="35">
        <v>2362299</v>
      </c>
      <c r="T520" s="35">
        <v>33995303</v>
      </c>
      <c r="U520" s="35"/>
      <c r="V520" s="30">
        <v>1863</v>
      </c>
      <c r="W520" s="35" t="s">
        <v>779</v>
      </c>
      <c r="X520" s="35" t="s">
        <v>194</v>
      </c>
      <c r="Y520" s="30">
        <v>1</v>
      </c>
      <c r="Z520" s="35"/>
      <c r="AA520" s="35"/>
      <c r="AB520" s="35"/>
      <c r="AC520" s="35"/>
      <c r="AD520" s="35"/>
      <c r="AE520" s="35"/>
      <c r="AF520" s="35"/>
      <c r="AG520" s="35"/>
      <c r="AH520" s="30" t="s">
        <v>4714</v>
      </c>
      <c r="AI520" s="35" t="s">
        <v>1210</v>
      </c>
      <c r="AJ520" s="62" t="str">
        <f>MID('I kw.22'!W520,8,6)</f>
        <v>524902</v>
      </c>
      <c r="AK520" s="62">
        <v>1</v>
      </c>
      <c r="AL520" s="62">
        <f t="shared" si="8"/>
        <v>1</v>
      </c>
      <c r="AM520" s="62">
        <v>1</v>
      </c>
    </row>
    <row r="521" spans="1:39" x14ac:dyDescent="0.25">
      <c r="A521" s="35" t="s">
        <v>1209</v>
      </c>
      <c r="B521" s="35" t="s">
        <v>404</v>
      </c>
      <c r="C521" s="35" t="s">
        <v>4966</v>
      </c>
      <c r="D521" s="35" t="s">
        <v>16307</v>
      </c>
      <c r="E521" s="35" t="s">
        <v>192</v>
      </c>
      <c r="F521" s="62">
        <v>1</v>
      </c>
      <c r="G521" s="30" t="s">
        <v>193</v>
      </c>
      <c r="H521" s="30" t="s">
        <v>194</v>
      </c>
      <c r="I521" s="30" t="s">
        <v>16073</v>
      </c>
      <c r="J521" s="35" t="s">
        <v>367</v>
      </c>
      <c r="K521" s="35">
        <v>18</v>
      </c>
      <c r="L521" s="35" t="s">
        <v>6955</v>
      </c>
      <c r="M521" s="35"/>
      <c r="N521" s="35" t="s">
        <v>16584</v>
      </c>
      <c r="O521" s="35" t="s">
        <v>6254</v>
      </c>
      <c r="P521" s="35" t="s">
        <v>16394</v>
      </c>
      <c r="Q521" s="35" t="s">
        <v>16393</v>
      </c>
      <c r="R521" s="35" t="s">
        <v>16392</v>
      </c>
      <c r="S521" s="35">
        <v>2362311</v>
      </c>
      <c r="T521" s="35">
        <v>33995315</v>
      </c>
      <c r="U521" s="35"/>
      <c r="V521" s="30">
        <v>1805</v>
      </c>
      <c r="W521" s="35" t="s">
        <v>405</v>
      </c>
      <c r="X521" s="35" t="s">
        <v>194</v>
      </c>
      <c r="Y521" s="30">
        <v>1</v>
      </c>
      <c r="Z521" s="35"/>
      <c r="AA521" s="35"/>
      <c r="AB521" s="35"/>
      <c r="AC521" s="35"/>
      <c r="AD521" s="35"/>
      <c r="AE521" s="35"/>
      <c r="AF521" s="35"/>
      <c r="AG521" s="35"/>
      <c r="AH521" s="30" t="s">
        <v>4714</v>
      </c>
      <c r="AI521" s="35" t="s">
        <v>404</v>
      </c>
      <c r="AJ521" s="62" t="str">
        <f>MID('I kw.22'!W521,8,6)</f>
        <v>241304</v>
      </c>
      <c r="AK521" s="62">
        <v>1</v>
      </c>
      <c r="AL521" s="62">
        <f t="shared" si="8"/>
        <v>1</v>
      </c>
      <c r="AM521" s="62">
        <v>1</v>
      </c>
    </row>
    <row r="522" spans="1:39" x14ac:dyDescent="0.25">
      <c r="A522" s="35" t="s">
        <v>1209</v>
      </c>
      <c r="B522" s="35" t="s">
        <v>404</v>
      </c>
      <c r="C522" s="35" t="s">
        <v>4966</v>
      </c>
      <c r="D522" s="35" t="s">
        <v>16307</v>
      </c>
      <c r="E522" s="35" t="s">
        <v>192</v>
      </c>
      <c r="F522" s="62">
        <v>1</v>
      </c>
      <c r="G522" s="30" t="s">
        <v>193</v>
      </c>
      <c r="H522" s="30" t="s">
        <v>194</v>
      </c>
      <c r="I522" s="30" t="s">
        <v>16073</v>
      </c>
      <c r="J522" s="35" t="s">
        <v>316</v>
      </c>
      <c r="K522" s="35">
        <v>18</v>
      </c>
      <c r="L522" s="35" t="s">
        <v>6955</v>
      </c>
      <c r="M522" s="35"/>
      <c r="N522" s="35" t="s">
        <v>16583</v>
      </c>
      <c r="O522" s="35" t="s">
        <v>6254</v>
      </c>
      <c r="P522" s="35" t="s">
        <v>16394</v>
      </c>
      <c r="Q522" s="35" t="s">
        <v>16393</v>
      </c>
      <c r="R522" s="35" t="s">
        <v>16392</v>
      </c>
      <c r="S522" s="35">
        <v>2362330</v>
      </c>
      <c r="T522" s="35">
        <v>33995334</v>
      </c>
      <c r="U522" s="35"/>
      <c r="V522" s="30">
        <v>1818</v>
      </c>
      <c r="W522" s="35" t="s">
        <v>405</v>
      </c>
      <c r="X522" s="35" t="s">
        <v>194</v>
      </c>
      <c r="Y522" s="30">
        <v>1</v>
      </c>
      <c r="Z522" s="35"/>
      <c r="AA522" s="35"/>
      <c r="AB522" s="35"/>
      <c r="AC522" s="35"/>
      <c r="AD522" s="35"/>
      <c r="AE522" s="35"/>
      <c r="AF522" s="35"/>
      <c r="AG522" s="35"/>
      <c r="AH522" s="30" t="s">
        <v>4714</v>
      </c>
      <c r="AI522" s="35" t="s">
        <v>404</v>
      </c>
      <c r="AJ522" s="62" t="str">
        <f>MID('I kw.22'!W522,8,6)</f>
        <v>241304</v>
      </c>
      <c r="AK522" s="62">
        <v>1</v>
      </c>
      <c r="AL522" s="62">
        <f t="shared" si="8"/>
        <v>1</v>
      </c>
      <c r="AM522" s="62">
        <v>1</v>
      </c>
    </row>
    <row r="523" spans="1:39" x14ac:dyDescent="0.25">
      <c r="A523" s="35" t="s">
        <v>4077</v>
      </c>
      <c r="B523" s="35" t="s">
        <v>16581</v>
      </c>
      <c r="C523" s="35" t="s">
        <v>525</v>
      </c>
      <c r="D523" s="35" t="s">
        <v>16307</v>
      </c>
      <c r="E523" s="35" t="s">
        <v>192</v>
      </c>
      <c r="F523" s="62">
        <v>1</v>
      </c>
      <c r="G523" s="30" t="s">
        <v>193</v>
      </c>
      <c r="H523" s="30" t="s">
        <v>194</v>
      </c>
      <c r="I523" s="30" t="s">
        <v>16068</v>
      </c>
      <c r="J523" s="35" t="s">
        <v>4751</v>
      </c>
      <c r="K523" s="35">
        <v>18</v>
      </c>
      <c r="L523" s="35" t="s">
        <v>6955</v>
      </c>
      <c r="M523" s="35"/>
      <c r="N523" s="35" t="s">
        <v>16582</v>
      </c>
      <c r="O523" s="35" t="s">
        <v>6327</v>
      </c>
      <c r="P523" s="35" t="s">
        <v>16394</v>
      </c>
      <c r="Q523" s="35" t="s">
        <v>16393</v>
      </c>
      <c r="R523" s="35" t="s">
        <v>16397</v>
      </c>
      <c r="S523" s="35">
        <v>2362359</v>
      </c>
      <c r="T523" s="35">
        <v>33995363</v>
      </c>
      <c r="U523" s="35"/>
      <c r="V523" s="30">
        <v>1862</v>
      </c>
      <c r="W523" s="35" t="s">
        <v>526</v>
      </c>
      <c r="X523" s="35" t="s">
        <v>194</v>
      </c>
      <c r="Y523" s="30">
        <v>1</v>
      </c>
      <c r="Z523" s="35"/>
      <c r="AA523" s="35"/>
      <c r="AB523" s="35"/>
      <c r="AC523" s="35"/>
      <c r="AD523" s="35"/>
      <c r="AE523" s="35"/>
      <c r="AF523" s="35"/>
      <c r="AG523" s="35"/>
      <c r="AH523" s="30" t="s">
        <v>4714</v>
      </c>
      <c r="AI523" s="35" t="s">
        <v>16581</v>
      </c>
      <c r="AJ523" s="62" t="str">
        <f>MID('I kw.22'!W523,8,6)</f>
        <v>263102</v>
      </c>
      <c r="AK523" s="62">
        <v>1</v>
      </c>
      <c r="AL523" s="62">
        <f t="shared" si="8"/>
        <v>1</v>
      </c>
      <c r="AM523" s="62">
        <v>1</v>
      </c>
    </row>
    <row r="524" spans="1:39" x14ac:dyDescent="0.25">
      <c r="A524" s="35" t="s">
        <v>16580</v>
      </c>
      <c r="B524" s="35" t="s">
        <v>16578</v>
      </c>
      <c r="C524" s="35" t="s">
        <v>5440</v>
      </c>
      <c r="D524" s="35" t="s">
        <v>16307</v>
      </c>
      <c r="E524" s="35" t="s">
        <v>192</v>
      </c>
      <c r="F524" s="62">
        <v>1</v>
      </c>
      <c r="G524" s="30" t="s">
        <v>193</v>
      </c>
      <c r="H524" s="30" t="s">
        <v>194</v>
      </c>
      <c r="I524" s="30" t="s">
        <v>16073</v>
      </c>
      <c r="J524" s="35" t="s">
        <v>210</v>
      </c>
      <c r="K524" s="35">
        <v>18</v>
      </c>
      <c r="L524" s="35" t="s">
        <v>6955</v>
      </c>
      <c r="M524" s="35"/>
      <c r="N524" s="35" t="s">
        <v>16579</v>
      </c>
      <c r="O524" s="35" t="s">
        <v>6245</v>
      </c>
      <c r="P524" s="35" t="s">
        <v>16394</v>
      </c>
      <c r="Q524" s="35" t="s">
        <v>16393</v>
      </c>
      <c r="R524" s="35" t="s">
        <v>16397</v>
      </c>
      <c r="S524" s="35">
        <v>2362457</v>
      </c>
      <c r="T524" s="35">
        <v>33995461</v>
      </c>
      <c r="U524" s="35"/>
      <c r="V524" s="30">
        <v>1863</v>
      </c>
      <c r="W524" s="35" t="s">
        <v>310</v>
      </c>
      <c r="X524" s="35" t="s">
        <v>194</v>
      </c>
      <c r="Y524" s="30">
        <v>1</v>
      </c>
      <c r="Z524" s="35"/>
      <c r="AA524" s="35"/>
      <c r="AB524" s="35"/>
      <c r="AC524" s="35"/>
      <c r="AD524" s="35"/>
      <c r="AE524" s="35"/>
      <c r="AF524" s="35"/>
      <c r="AG524" s="35"/>
      <c r="AH524" s="30" t="s">
        <v>4714</v>
      </c>
      <c r="AI524" s="35" t="s">
        <v>16578</v>
      </c>
      <c r="AJ524" s="62" t="str">
        <f>MID('I kw.22'!W524,8,6)</f>
        <v>214404</v>
      </c>
      <c r="AK524" s="62">
        <v>1</v>
      </c>
      <c r="AL524" s="62">
        <f t="shared" si="8"/>
        <v>1</v>
      </c>
      <c r="AM524" s="62">
        <v>1</v>
      </c>
    </row>
    <row r="525" spans="1:39" x14ac:dyDescent="0.25">
      <c r="A525" s="35" t="s">
        <v>16577</v>
      </c>
      <c r="B525" s="35" t="s">
        <v>16575</v>
      </c>
      <c r="C525" s="35" t="s">
        <v>20</v>
      </c>
      <c r="D525" s="35" t="s">
        <v>16307</v>
      </c>
      <c r="E525" s="35" t="s">
        <v>192</v>
      </c>
      <c r="F525" s="62">
        <v>1</v>
      </c>
      <c r="G525" s="30" t="s">
        <v>193</v>
      </c>
      <c r="H525" s="30" t="s">
        <v>194</v>
      </c>
      <c r="I525" s="30" t="s">
        <v>16078</v>
      </c>
      <c r="J525" s="35" t="s">
        <v>210</v>
      </c>
      <c r="K525" s="35">
        <v>18</v>
      </c>
      <c r="L525" s="35" t="s">
        <v>6955</v>
      </c>
      <c r="M525" s="35"/>
      <c r="N525" s="35" t="s">
        <v>16576</v>
      </c>
      <c r="O525" s="35" t="s">
        <v>6279</v>
      </c>
      <c r="P525" s="35" t="s">
        <v>16394</v>
      </c>
      <c r="Q525" s="35" t="s">
        <v>16393</v>
      </c>
      <c r="R525" s="35" t="s">
        <v>16397</v>
      </c>
      <c r="S525" s="35">
        <v>2362459</v>
      </c>
      <c r="T525" s="35">
        <v>33995463</v>
      </c>
      <c r="U525" s="35"/>
      <c r="V525" s="30">
        <v>1863</v>
      </c>
      <c r="W525" s="35" t="s">
        <v>286</v>
      </c>
      <c r="X525" s="35" t="s">
        <v>194</v>
      </c>
      <c r="Y525" s="30">
        <v>1</v>
      </c>
      <c r="Z525" s="35"/>
      <c r="AA525" s="35"/>
      <c r="AB525" s="35"/>
      <c r="AC525" s="35"/>
      <c r="AD525" s="35"/>
      <c r="AE525" s="35"/>
      <c r="AF525" s="35"/>
      <c r="AG525" s="35"/>
      <c r="AH525" s="30" t="s">
        <v>4714</v>
      </c>
      <c r="AI525" s="35" t="s">
        <v>16575</v>
      </c>
      <c r="AJ525" s="62" t="str">
        <f>MID('I kw.22'!W525,8,6)</f>
        <v>214109</v>
      </c>
      <c r="AK525" s="62">
        <v>1</v>
      </c>
      <c r="AL525" s="62">
        <f t="shared" si="8"/>
        <v>1</v>
      </c>
      <c r="AM525" s="62">
        <v>1</v>
      </c>
    </row>
    <row r="526" spans="1:39" x14ac:dyDescent="0.25">
      <c r="A526" s="35" t="s">
        <v>16574</v>
      </c>
      <c r="B526" s="35" t="s">
        <v>16572</v>
      </c>
      <c r="C526" s="35" t="s">
        <v>3219</v>
      </c>
      <c r="D526" s="35" t="s">
        <v>16307</v>
      </c>
      <c r="E526" s="35" t="s">
        <v>192</v>
      </c>
      <c r="F526" s="62">
        <v>1</v>
      </c>
      <c r="G526" s="30" t="s">
        <v>193</v>
      </c>
      <c r="H526" s="30" t="s">
        <v>194</v>
      </c>
      <c r="I526" s="30" t="s">
        <v>16078</v>
      </c>
      <c r="J526" s="35" t="s">
        <v>210</v>
      </c>
      <c r="K526" s="35">
        <v>18</v>
      </c>
      <c r="L526" s="35" t="s">
        <v>6955</v>
      </c>
      <c r="M526" s="35"/>
      <c r="N526" s="35" t="s">
        <v>16573</v>
      </c>
      <c r="O526" s="35" t="s">
        <v>6302</v>
      </c>
      <c r="P526" s="35" t="s">
        <v>16394</v>
      </c>
      <c r="Q526" s="35" t="s">
        <v>16393</v>
      </c>
      <c r="R526" s="35" t="s">
        <v>16397</v>
      </c>
      <c r="S526" s="35">
        <v>2362467</v>
      </c>
      <c r="T526" s="35">
        <v>33995471</v>
      </c>
      <c r="U526" s="35"/>
      <c r="V526" s="30">
        <v>1863</v>
      </c>
      <c r="W526" s="35" t="s">
        <v>3620</v>
      </c>
      <c r="X526" s="35" t="s">
        <v>194</v>
      </c>
      <c r="Y526" s="30">
        <v>1</v>
      </c>
      <c r="Z526" s="35"/>
      <c r="AA526" s="35"/>
      <c r="AB526" s="35"/>
      <c r="AC526" s="35"/>
      <c r="AD526" s="35"/>
      <c r="AE526" s="35"/>
      <c r="AF526" s="35"/>
      <c r="AG526" s="35"/>
      <c r="AH526" s="30" t="s">
        <v>4714</v>
      </c>
      <c r="AI526" s="35" t="s">
        <v>16572</v>
      </c>
      <c r="AJ526" s="62" t="str">
        <f>MID('I kw.22'!W526,8,6)</f>
        <v>243109</v>
      </c>
      <c r="AK526" s="62">
        <v>1</v>
      </c>
      <c r="AL526" s="62">
        <f t="shared" si="8"/>
        <v>1</v>
      </c>
      <c r="AM526" s="62">
        <v>1</v>
      </c>
    </row>
    <row r="527" spans="1:39" x14ac:dyDescent="0.25">
      <c r="A527" s="35" t="s">
        <v>16571</v>
      </c>
      <c r="B527" s="35" t="s">
        <v>1406</v>
      </c>
      <c r="C527" s="35" t="s">
        <v>10</v>
      </c>
      <c r="D527" s="35" t="s">
        <v>16307</v>
      </c>
      <c r="E527" s="35" t="s">
        <v>192</v>
      </c>
      <c r="F527" s="62">
        <v>1</v>
      </c>
      <c r="G527" s="30" t="s">
        <v>193</v>
      </c>
      <c r="H527" s="30" t="s">
        <v>194</v>
      </c>
      <c r="I527" s="30" t="s">
        <v>16052</v>
      </c>
      <c r="J527" s="35" t="s">
        <v>210</v>
      </c>
      <c r="K527" s="35">
        <v>18</v>
      </c>
      <c r="L527" s="35" t="s">
        <v>6955</v>
      </c>
      <c r="M527" s="35"/>
      <c r="N527" s="35" t="s">
        <v>16570</v>
      </c>
      <c r="O527" s="35" t="s">
        <v>6921</v>
      </c>
      <c r="P527" s="35" t="s">
        <v>16394</v>
      </c>
      <c r="Q527" s="35" t="s">
        <v>16393</v>
      </c>
      <c r="R527" s="35" t="s">
        <v>16397</v>
      </c>
      <c r="S527" s="35">
        <v>2362502</v>
      </c>
      <c r="T527" s="35">
        <v>33995506</v>
      </c>
      <c r="U527" s="35"/>
      <c r="V527" s="30">
        <v>1863</v>
      </c>
      <c r="W527" s="35" t="s">
        <v>484</v>
      </c>
      <c r="X527" s="35" t="s">
        <v>194</v>
      </c>
      <c r="Y527" s="30">
        <v>1</v>
      </c>
      <c r="Z527" s="35"/>
      <c r="AA527" s="35"/>
      <c r="AB527" s="35"/>
      <c r="AC527" s="35"/>
      <c r="AD527" s="35"/>
      <c r="AE527" s="35"/>
      <c r="AF527" s="35"/>
      <c r="AG527" s="35"/>
      <c r="AH527" s="30" t="s">
        <v>4714</v>
      </c>
      <c r="AI527" s="35" t="s">
        <v>1406</v>
      </c>
      <c r="AJ527" s="62" t="str">
        <f>MID('I kw.22'!W527,8,6)</f>
        <v>251401</v>
      </c>
      <c r="AK527" s="62">
        <v>1</v>
      </c>
      <c r="AL527" s="62">
        <f t="shared" si="8"/>
        <v>1</v>
      </c>
      <c r="AM527" s="62">
        <v>1</v>
      </c>
    </row>
    <row r="528" spans="1:39" x14ac:dyDescent="0.25">
      <c r="A528" s="35" t="s">
        <v>10606</v>
      </c>
      <c r="B528" s="35" t="s">
        <v>16568</v>
      </c>
      <c r="C528" s="35" t="s">
        <v>27</v>
      </c>
      <c r="D528" s="35" t="s">
        <v>16307</v>
      </c>
      <c r="E528" s="35" t="s">
        <v>192</v>
      </c>
      <c r="F528" s="62">
        <v>1</v>
      </c>
      <c r="G528" s="30" t="s">
        <v>193</v>
      </c>
      <c r="H528" s="30" t="s">
        <v>194</v>
      </c>
      <c r="I528" s="30" t="s">
        <v>16121</v>
      </c>
      <c r="J528" s="35" t="s">
        <v>755</v>
      </c>
      <c r="K528" s="35">
        <v>18</v>
      </c>
      <c r="L528" s="35" t="s">
        <v>6955</v>
      </c>
      <c r="M528" s="35"/>
      <c r="N528" s="35" t="s">
        <v>16569</v>
      </c>
      <c r="O528" s="35" t="s">
        <v>6340</v>
      </c>
      <c r="P528" s="35" t="s">
        <v>16394</v>
      </c>
      <c r="Q528" s="35" t="s">
        <v>16393</v>
      </c>
      <c r="R528" s="35" t="s">
        <v>16397</v>
      </c>
      <c r="S528" s="35">
        <v>2362505</v>
      </c>
      <c r="T528" s="35">
        <v>33995509</v>
      </c>
      <c r="U528" s="35"/>
      <c r="V528" s="30">
        <v>1816</v>
      </c>
      <c r="W528" s="35" t="s">
        <v>440</v>
      </c>
      <c r="X528" s="35" t="s">
        <v>194</v>
      </c>
      <c r="Y528" s="30">
        <v>1</v>
      </c>
      <c r="Z528" s="35"/>
      <c r="AA528" s="35"/>
      <c r="AB528" s="35"/>
      <c r="AC528" s="35"/>
      <c r="AD528" s="35"/>
      <c r="AE528" s="35"/>
      <c r="AF528" s="35"/>
      <c r="AG528" s="35"/>
      <c r="AH528" s="30" t="s">
        <v>4714</v>
      </c>
      <c r="AI528" s="35" t="s">
        <v>16568</v>
      </c>
      <c r="AJ528" s="62" t="str">
        <f>MID('I kw.22'!W528,8,6)</f>
        <v>242307</v>
      </c>
      <c r="AK528" s="62">
        <v>1</v>
      </c>
      <c r="AL528" s="62">
        <f t="shared" si="8"/>
        <v>1</v>
      </c>
      <c r="AM528" s="62">
        <v>1</v>
      </c>
    </row>
    <row r="529" spans="1:39" x14ac:dyDescent="0.25">
      <c r="A529" s="35" t="s">
        <v>1499</v>
      </c>
      <c r="B529" s="35" t="s">
        <v>1688</v>
      </c>
      <c r="C529" s="35" t="s">
        <v>16567</v>
      </c>
      <c r="D529" s="35" t="s">
        <v>16307</v>
      </c>
      <c r="E529" s="35" t="s">
        <v>192</v>
      </c>
      <c r="F529" s="62">
        <v>1</v>
      </c>
      <c r="G529" s="30" t="s">
        <v>193</v>
      </c>
      <c r="H529" s="30" t="s">
        <v>194</v>
      </c>
      <c r="I529" s="30" t="s">
        <v>16066</v>
      </c>
      <c r="J529" s="35" t="s">
        <v>210</v>
      </c>
      <c r="K529" s="35">
        <v>18</v>
      </c>
      <c r="L529" s="35" t="s">
        <v>6955</v>
      </c>
      <c r="M529" s="35"/>
      <c r="N529" s="35" t="s">
        <v>16566</v>
      </c>
      <c r="O529" s="35" t="s">
        <v>6254</v>
      </c>
      <c r="P529" s="35" t="s">
        <v>16394</v>
      </c>
      <c r="Q529" s="35" t="s">
        <v>16393</v>
      </c>
      <c r="R529" s="35" t="s">
        <v>16397</v>
      </c>
      <c r="S529" s="35">
        <v>2362559</v>
      </c>
      <c r="T529" s="35">
        <v>33995563</v>
      </c>
      <c r="U529" s="35"/>
      <c r="V529" s="30">
        <v>1863</v>
      </c>
      <c r="W529" s="35" t="s">
        <v>16565</v>
      </c>
      <c r="X529" s="35" t="s">
        <v>194</v>
      </c>
      <c r="Y529" s="30">
        <v>1</v>
      </c>
      <c r="Z529" s="35"/>
      <c r="AA529" s="35"/>
      <c r="AB529" s="35"/>
      <c r="AC529" s="35"/>
      <c r="AD529" s="35"/>
      <c r="AE529" s="35"/>
      <c r="AF529" s="35"/>
      <c r="AG529" s="35"/>
      <c r="AH529" s="30" t="s">
        <v>4714</v>
      </c>
      <c r="AI529" s="35" t="s">
        <v>1688</v>
      </c>
      <c r="AJ529" s="62" t="str">
        <f>MID('I kw.22'!W529,8,6)</f>
        <v>121103</v>
      </c>
      <c r="AK529" s="62">
        <v>1</v>
      </c>
      <c r="AL529" s="62">
        <f t="shared" si="8"/>
        <v>1</v>
      </c>
      <c r="AM529" s="62">
        <v>1</v>
      </c>
    </row>
    <row r="530" spans="1:39" x14ac:dyDescent="0.25">
      <c r="A530" s="35" t="s">
        <v>16560</v>
      </c>
      <c r="B530" s="35" t="s">
        <v>16563</v>
      </c>
      <c r="C530" s="35" t="s">
        <v>560</v>
      </c>
      <c r="D530" s="35" t="s">
        <v>16307</v>
      </c>
      <c r="E530" s="35" t="s">
        <v>192</v>
      </c>
      <c r="F530" s="62">
        <v>1</v>
      </c>
      <c r="G530" s="30" t="s">
        <v>193</v>
      </c>
      <c r="H530" s="30" t="s">
        <v>194</v>
      </c>
      <c r="I530" s="30" t="s">
        <v>16121</v>
      </c>
      <c r="J530" s="35" t="s">
        <v>285</v>
      </c>
      <c r="K530" s="35">
        <v>18</v>
      </c>
      <c r="L530" s="35" t="s">
        <v>6955</v>
      </c>
      <c r="M530" s="35"/>
      <c r="N530" s="35" t="s">
        <v>16564</v>
      </c>
      <c r="O530" s="35" t="s">
        <v>6258</v>
      </c>
      <c r="P530" s="35" t="s">
        <v>16394</v>
      </c>
      <c r="Q530" s="35" t="s">
        <v>16393</v>
      </c>
      <c r="R530" s="35" t="s">
        <v>16397</v>
      </c>
      <c r="S530" s="35">
        <v>2362597</v>
      </c>
      <c r="T530" s="35">
        <v>33995601</v>
      </c>
      <c r="U530" s="35"/>
      <c r="V530" s="30">
        <v>1815</v>
      </c>
      <c r="W530" s="35" t="s">
        <v>561</v>
      </c>
      <c r="X530" s="35" t="s">
        <v>194</v>
      </c>
      <c r="Y530" s="30">
        <v>1</v>
      </c>
      <c r="Z530" s="35"/>
      <c r="AA530" s="35"/>
      <c r="AB530" s="35"/>
      <c r="AC530" s="35"/>
      <c r="AD530" s="35"/>
      <c r="AE530" s="35"/>
      <c r="AF530" s="35"/>
      <c r="AG530" s="35"/>
      <c r="AH530" s="30" t="s">
        <v>4714</v>
      </c>
      <c r="AI530" s="35" t="s">
        <v>16563</v>
      </c>
      <c r="AJ530" s="62" t="str">
        <f>MID('I kw.22'!W530,8,6)</f>
        <v>311408</v>
      </c>
      <c r="AK530" s="62">
        <v>1</v>
      </c>
      <c r="AL530" s="62">
        <f t="shared" si="8"/>
        <v>1</v>
      </c>
      <c r="AM530" s="62">
        <v>1</v>
      </c>
    </row>
    <row r="531" spans="1:39" x14ac:dyDescent="0.25">
      <c r="A531" s="35" t="s">
        <v>3150</v>
      </c>
      <c r="B531" s="35" t="s">
        <v>16561</v>
      </c>
      <c r="C531" s="35" t="s">
        <v>8088</v>
      </c>
      <c r="D531" s="35" t="s">
        <v>16307</v>
      </c>
      <c r="E531" s="35" t="s">
        <v>192</v>
      </c>
      <c r="F531" s="62">
        <v>1</v>
      </c>
      <c r="G531" s="30" t="s">
        <v>193</v>
      </c>
      <c r="H531" s="30" t="s">
        <v>194</v>
      </c>
      <c r="I531" s="30" t="s">
        <v>16068</v>
      </c>
      <c r="J531" s="35" t="s">
        <v>210</v>
      </c>
      <c r="K531" s="35">
        <v>18</v>
      </c>
      <c r="L531" s="35" t="s">
        <v>6955</v>
      </c>
      <c r="M531" s="35"/>
      <c r="N531" s="35" t="s">
        <v>16562</v>
      </c>
      <c r="O531" s="35" t="s">
        <v>6258</v>
      </c>
      <c r="P531" s="35" t="s">
        <v>16394</v>
      </c>
      <c r="Q531" s="35" t="s">
        <v>16393</v>
      </c>
      <c r="R531" s="35" t="s">
        <v>16383</v>
      </c>
      <c r="S531" s="35">
        <v>2362608</v>
      </c>
      <c r="T531" s="35">
        <v>33995612</v>
      </c>
      <c r="U531" s="35"/>
      <c r="V531" s="30">
        <v>1863</v>
      </c>
      <c r="W531" s="35" t="s">
        <v>1926</v>
      </c>
      <c r="X531" s="35" t="s">
        <v>194</v>
      </c>
      <c r="Y531" s="30">
        <v>1</v>
      </c>
      <c r="Z531" s="35"/>
      <c r="AA531" s="35"/>
      <c r="AB531" s="35"/>
      <c r="AC531" s="35"/>
      <c r="AD531" s="35"/>
      <c r="AE531" s="35"/>
      <c r="AF531" s="35"/>
      <c r="AG531" s="35"/>
      <c r="AH531" s="30" t="s">
        <v>4714</v>
      </c>
      <c r="AI531" s="35" t="s">
        <v>16561</v>
      </c>
      <c r="AJ531" s="62" t="str">
        <f>MID('I kw.22'!W531,8,6)</f>
        <v>214301</v>
      </c>
      <c r="AK531" s="62">
        <v>1</v>
      </c>
      <c r="AL531" s="62">
        <f t="shared" si="8"/>
        <v>1</v>
      </c>
      <c r="AM531" s="62">
        <v>1</v>
      </c>
    </row>
    <row r="532" spans="1:39" x14ac:dyDescent="0.25">
      <c r="A532" s="35" t="s">
        <v>16560</v>
      </c>
      <c r="B532" s="35" t="s">
        <v>16558</v>
      </c>
      <c r="C532" s="35" t="s">
        <v>4565</v>
      </c>
      <c r="D532" s="35" t="s">
        <v>16307</v>
      </c>
      <c r="E532" s="35" t="s">
        <v>192</v>
      </c>
      <c r="F532" s="62">
        <v>1</v>
      </c>
      <c r="G532" s="30" t="s">
        <v>193</v>
      </c>
      <c r="H532" s="30" t="s">
        <v>194</v>
      </c>
      <c r="I532" s="30" t="s">
        <v>16068</v>
      </c>
      <c r="J532" s="35" t="s">
        <v>285</v>
      </c>
      <c r="K532" s="35">
        <v>18</v>
      </c>
      <c r="L532" s="35" t="s">
        <v>6955</v>
      </c>
      <c r="M532" s="35"/>
      <c r="N532" s="35" t="s">
        <v>16559</v>
      </c>
      <c r="O532" s="35" t="s">
        <v>6245</v>
      </c>
      <c r="P532" s="35" t="s">
        <v>16394</v>
      </c>
      <c r="Q532" s="35" t="s">
        <v>16393</v>
      </c>
      <c r="R532" s="35" t="s">
        <v>16397</v>
      </c>
      <c r="S532" s="35">
        <v>2362614</v>
      </c>
      <c r="T532" s="35">
        <v>33995618</v>
      </c>
      <c r="U532" s="35"/>
      <c r="V532" s="30">
        <v>1815</v>
      </c>
      <c r="W532" s="35" t="s">
        <v>4566</v>
      </c>
      <c r="X532" s="35" t="s">
        <v>194</v>
      </c>
      <c r="Y532" s="30">
        <v>1</v>
      </c>
      <c r="Z532" s="35"/>
      <c r="AA532" s="35"/>
      <c r="AB532" s="35"/>
      <c r="AC532" s="35"/>
      <c r="AD532" s="35"/>
      <c r="AE532" s="35"/>
      <c r="AF532" s="35"/>
      <c r="AG532" s="35"/>
      <c r="AH532" s="30" t="s">
        <v>4714</v>
      </c>
      <c r="AI532" s="35" t="s">
        <v>16558</v>
      </c>
      <c r="AJ532" s="62" t="str">
        <f>MID('I kw.22'!W532,8,6)</f>
        <v>311514</v>
      </c>
      <c r="AK532" s="62">
        <v>1</v>
      </c>
      <c r="AL532" s="62">
        <f t="shared" si="8"/>
        <v>1</v>
      </c>
      <c r="AM532" s="62">
        <v>1</v>
      </c>
    </row>
    <row r="533" spans="1:39" x14ac:dyDescent="0.25">
      <c r="A533" s="35" t="s">
        <v>2401</v>
      </c>
      <c r="B533" s="35" t="s">
        <v>537</v>
      </c>
      <c r="C533" s="35" t="s">
        <v>778</v>
      </c>
      <c r="D533" s="35" t="s">
        <v>16307</v>
      </c>
      <c r="E533" s="35" t="s">
        <v>192</v>
      </c>
      <c r="F533" s="62">
        <v>1</v>
      </c>
      <c r="G533" s="30" t="s">
        <v>193</v>
      </c>
      <c r="H533" s="30" t="s">
        <v>194</v>
      </c>
      <c r="I533" s="30" t="s">
        <v>16052</v>
      </c>
      <c r="J533" s="35" t="s">
        <v>385</v>
      </c>
      <c r="K533" s="35">
        <v>18</v>
      </c>
      <c r="L533" s="35" t="s">
        <v>6955</v>
      </c>
      <c r="M533" s="35"/>
      <c r="N533" s="35" t="s">
        <v>16557</v>
      </c>
      <c r="O533" s="35" t="s">
        <v>6254</v>
      </c>
      <c r="P533" s="35" t="s">
        <v>16540</v>
      </c>
      <c r="Q533" s="35" t="s">
        <v>16393</v>
      </c>
      <c r="R533" s="35" t="s">
        <v>16397</v>
      </c>
      <c r="S533" s="35">
        <v>2362645</v>
      </c>
      <c r="T533" s="35">
        <v>33995649</v>
      </c>
      <c r="U533" s="35"/>
      <c r="V533" s="30">
        <v>1861</v>
      </c>
      <c r="W533" s="35" t="s">
        <v>779</v>
      </c>
      <c r="X533" s="35" t="s">
        <v>194</v>
      </c>
      <c r="Y533" s="30">
        <v>1</v>
      </c>
      <c r="Z533" s="35"/>
      <c r="AA533" s="35"/>
      <c r="AB533" s="35"/>
      <c r="AC533" s="35"/>
      <c r="AD533" s="35"/>
      <c r="AE533" s="35"/>
      <c r="AF533" s="35"/>
      <c r="AG533" s="35"/>
      <c r="AH533" s="30" t="s">
        <v>4714</v>
      </c>
      <c r="AI533" s="35" t="s">
        <v>778</v>
      </c>
      <c r="AJ533" s="62" t="str">
        <f>MID('I kw.22'!W533,8,6)</f>
        <v>524902</v>
      </c>
      <c r="AK533" s="62">
        <v>1</v>
      </c>
      <c r="AL533" s="62">
        <f t="shared" si="8"/>
        <v>1</v>
      </c>
      <c r="AM533" s="62">
        <v>1</v>
      </c>
    </row>
    <row r="534" spans="1:39" x14ac:dyDescent="0.25">
      <c r="A534" s="35" t="s">
        <v>2401</v>
      </c>
      <c r="B534" s="35" t="s">
        <v>537</v>
      </c>
      <c r="C534" s="35" t="s">
        <v>778</v>
      </c>
      <c r="D534" s="35" t="s">
        <v>16307</v>
      </c>
      <c r="E534" s="35" t="s">
        <v>192</v>
      </c>
      <c r="F534" s="62">
        <v>1</v>
      </c>
      <c r="G534" s="30" t="s">
        <v>193</v>
      </c>
      <c r="H534" s="30" t="s">
        <v>194</v>
      </c>
      <c r="I534" s="30" t="s">
        <v>16052</v>
      </c>
      <c r="J534" s="35" t="s">
        <v>4751</v>
      </c>
      <c r="K534" s="35">
        <v>18</v>
      </c>
      <c r="L534" s="35" t="s">
        <v>6955</v>
      </c>
      <c r="M534" s="35"/>
      <c r="N534" s="35" t="s">
        <v>16556</v>
      </c>
      <c r="O534" s="35" t="s">
        <v>6254</v>
      </c>
      <c r="P534" s="35" t="s">
        <v>16540</v>
      </c>
      <c r="Q534" s="35" t="s">
        <v>16393</v>
      </c>
      <c r="R534" s="35" t="s">
        <v>16397</v>
      </c>
      <c r="S534" s="35">
        <v>2362659</v>
      </c>
      <c r="T534" s="35">
        <v>33995663</v>
      </c>
      <c r="U534" s="35"/>
      <c r="V534" s="30">
        <v>1862</v>
      </c>
      <c r="W534" s="35" t="s">
        <v>779</v>
      </c>
      <c r="X534" s="35" t="s">
        <v>194</v>
      </c>
      <c r="Y534" s="30">
        <v>1</v>
      </c>
      <c r="Z534" s="35"/>
      <c r="AA534" s="35"/>
      <c r="AB534" s="35"/>
      <c r="AC534" s="35"/>
      <c r="AD534" s="35"/>
      <c r="AE534" s="35"/>
      <c r="AF534" s="35"/>
      <c r="AG534" s="35"/>
      <c r="AH534" s="30" t="s">
        <v>4714</v>
      </c>
      <c r="AI534" s="35" t="s">
        <v>778</v>
      </c>
      <c r="AJ534" s="62" t="str">
        <f>MID('I kw.22'!W534,8,6)</f>
        <v>524902</v>
      </c>
      <c r="AK534" s="62">
        <v>1</v>
      </c>
      <c r="AL534" s="62">
        <f t="shared" si="8"/>
        <v>1</v>
      </c>
      <c r="AM534" s="62">
        <v>1</v>
      </c>
    </row>
    <row r="535" spans="1:39" x14ac:dyDescent="0.25">
      <c r="A535" s="35" t="s">
        <v>2401</v>
      </c>
      <c r="B535" s="35" t="s">
        <v>537</v>
      </c>
      <c r="C535" s="35" t="s">
        <v>778</v>
      </c>
      <c r="D535" s="35" t="s">
        <v>16307</v>
      </c>
      <c r="E535" s="35" t="s">
        <v>192</v>
      </c>
      <c r="F535" s="62">
        <v>1</v>
      </c>
      <c r="G535" s="30" t="s">
        <v>193</v>
      </c>
      <c r="H535" s="30" t="s">
        <v>194</v>
      </c>
      <c r="I535" s="30" t="s">
        <v>16052</v>
      </c>
      <c r="J535" s="35" t="s">
        <v>210</v>
      </c>
      <c r="K535" s="35">
        <v>18</v>
      </c>
      <c r="L535" s="35" t="s">
        <v>6955</v>
      </c>
      <c r="M535" s="35"/>
      <c r="N535" s="35" t="s">
        <v>16555</v>
      </c>
      <c r="O535" s="35" t="s">
        <v>6254</v>
      </c>
      <c r="P535" s="35" t="s">
        <v>16540</v>
      </c>
      <c r="Q535" s="35" t="s">
        <v>16393</v>
      </c>
      <c r="R535" s="35" t="s">
        <v>16397</v>
      </c>
      <c r="S535" s="35">
        <v>2362661</v>
      </c>
      <c r="T535" s="35">
        <v>33995665</v>
      </c>
      <c r="U535" s="35"/>
      <c r="V535" s="30">
        <v>1863</v>
      </c>
      <c r="W535" s="35" t="s">
        <v>779</v>
      </c>
      <c r="X535" s="35" t="s">
        <v>194</v>
      </c>
      <c r="Y535" s="30">
        <v>1</v>
      </c>
      <c r="Z535" s="35"/>
      <c r="AA535" s="35"/>
      <c r="AB535" s="35"/>
      <c r="AC535" s="35"/>
      <c r="AD535" s="35"/>
      <c r="AE535" s="35"/>
      <c r="AF535" s="35"/>
      <c r="AG535" s="35"/>
      <c r="AH535" s="30" t="s">
        <v>4714</v>
      </c>
      <c r="AI535" s="35" t="s">
        <v>778</v>
      </c>
      <c r="AJ535" s="62" t="str">
        <f>MID('I kw.22'!W535,8,6)</f>
        <v>524902</v>
      </c>
      <c r="AK535" s="62">
        <v>1</v>
      </c>
      <c r="AL535" s="62">
        <f t="shared" si="8"/>
        <v>1</v>
      </c>
      <c r="AM535" s="62">
        <v>1</v>
      </c>
    </row>
    <row r="536" spans="1:39" x14ac:dyDescent="0.25">
      <c r="A536" s="35" t="s">
        <v>2401</v>
      </c>
      <c r="B536" s="35" t="s">
        <v>537</v>
      </c>
      <c r="C536" s="35" t="s">
        <v>778</v>
      </c>
      <c r="D536" s="35" t="s">
        <v>16307</v>
      </c>
      <c r="E536" s="35" t="s">
        <v>192</v>
      </c>
      <c r="F536" s="62">
        <v>1</v>
      </c>
      <c r="G536" s="30" t="s">
        <v>193</v>
      </c>
      <c r="H536" s="30" t="s">
        <v>194</v>
      </c>
      <c r="I536" s="30" t="s">
        <v>16052</v>
      </c>
      <c r="J536" s="35" t="s">
        <v>408</v>
      </c>
      <c r="K536" s="35">
        <v>18</v>
      </c>
      <c r="L536" s="35" t="s">
        <v>6955</v>
      </c>
      <c r="M536" s="35"/>
      <c r="N536" s="35" t="s">
        <v>16554</v>
      </c>
      <c r="O536" s="35" t="s">
        <v>6254</v>
      </c>
      <c r="P536" s="35" t="s">
        <v>16540</v>
      </c>
      <c r="Q536" s="35" t="s">
        <v>16393</v>
      </c>
      <c r="R536" s="35" t="s">
        <v>16397</v>
      </c>
      <c r="S536" s="35">
        <v>2362668</v>
      </c>
      <c r="T536" s="35">
        <v>33995672</v>
      </c>
      <c r="U536" s="35"/>
      <c r="V536" s="30">
        <v>1864</v>
      </c>
      <c r="W536" s="35" t="s">
        <v>779</v>
      </c>
      <c r="X536" s="35" t="s">
        <v>194</v>
      </c>
      <c r="Y536" s="30">
        <v>1</v>
      </c>
      <c r="Z536" s="35"/>
      <c r="AA536" s="35"/>
      <c r="AB536" s="35"/>
      <c r="AC536" s="35"/>
      <c r="AD536" s="35"/>
      <c r="AE536" s="35"/>
      <c r="AF536" s="35"/>
      <c r="AG536" s="35"/>
      <c r="AH536" s="30" t="s">
        <v>4714</v>
      </c>
      <c r="AI536" s="35" t="s">
        <v>778</v>
      </c>
      <c r="AJ536" s="62" t="str">
        <f>MID('I kw.22'!W536,8,6)</f>
        <v>524902</v>
      </c>
      <c r="AK536" s="62">
        <v>1</v>
      </c>
      <c r="AL536" s="62">
        <f t="shared" si="8"/>
        <v>1</v>
      </c>
      <c r="AM536" s="62">
        <v>1</v>
      </c>
    </row>
    <row r="537" spans="1:39" x14ac:dyDescent="0.25">
      <c r="A537" s="35" t="s">
        <v>16553</v>
      </c>
      <c r="B537" s="35" t="s">
        <v>16551</v>
      </c>
      <c r="C537" s="35" t="s">
        <v>2861</v>
      </c>
      <c r="D537" s="35" t="s">
        <v>16307</v>
      </c>
      <c r="E537" s="35" t="s">
        <v>192</v>
      </c>
      <c r="F537" s="62">
        <v>1</v>
      </c>
      <c r="G537" s="30" t="s">
        <v>193</v>
      </c>
      <c r="H537" s="30" t="s">
        <v>194</v>
      </c>
      <c r="I537" s="30" t="s">
        <v>16121</v>
      </c>
      <c r="J537" s="35" t="s">
        <v>210</v>
      </c>
      <c r="K537" s="35">
        <v>18</v>
      </c>
      <c r="L537" s="35" t="s">
        <v>6955</v>
      </c>
      <c r="M537" s="35"/>
      <c r="N537" s="35" t="s">
        <v>16552</v>
      </c>
      <c r="O537" s="35" t="s">
        <v>6921</v>
      </c>
      <c r="P537" s="35" t="s">
        <v>16394</v>
      </c>
      <c r="Q537" s="35" t="s">
        <v>16393</v>
      </c>
      <c r="R537" s="35" t="s">
        <v>16397</v>
      </c>
      <c r="S537" s="35">
        <v>2362739</v>
      </c>
      <c r="T537" s="35">
        <v>33995743</v>
      </c>
      <c r="U537" s="35"/>
      <c r="V537" s="30">
        <v>1863</v>
      </c>
      <c r="W537" s="35" t="s">
        <v>3629</v>
      </c>
      <c r="X537" s="35" t="s">
        <v>194</v>
      </c>
      <c r="Y537" s="30">
        <v>1</v>
      </c>
      <c r="Z537" s="35"/>
      <c r="AA537" s="35"/>
      <c r="AB537" s="35"/>
      <c r="AC537" s="35"/>
      <c r="AD537" s="35"/>
      <c r="AE537" s="35"/>
      <c r="AF537" s="35"/>
      <c r="AG537" s="35"/>
      <c r="AH537" s="30" t="s">
        <v>4714</v>
      </c>
      <c r="AI537" s="35" t="s">
        <v>16551</v>
      </c>
      <c r="AJ537" s="62" t="str">
        <f>MID('I kw.22'!W537,8,6)</f>
        <v>251903</v>
      </c>
      <c r="AK537" s="62">
        <v>1</v>
      </c>
      <c r="AL537" s="62">
        <f t="shared" si="8"/>
        <v>1</v>
      </c>
      <c r="AM537" s="62">
        <v>1</v>
      </c>
    </row>
    <row r="538" spans="1:39" x14ac:dyDescent="0.25">
      <c r="A538" s="35" t="s">
        <v>16549</v>
      </c>
      <c r="B538" s="35" t="s">
        <v>3925</v>
      </c>
      <c r="C538" s="35" t="s">
        <v>43</v>
      </c>
      <c r="D538" s="35" t="s">
        <v>16307</v>
      </c>
      <c r="E538" s="35" t="s">
        <v>192</v>
      </c>
      <c r="F538" s="62">
        <v>1</v>
      </c>
      <c r="G538" s="30" t="s">
        <v>193</v>
      </c>
      <c r="H538" s="30" t="s">
        <v>194</v>
      </c>
      <c r="I538" s="30" t="s">
        <v>16068</v>
      </c>
      <c r="J538" s="35" t="s">
        <v>210</v>
      </c>
      <c r="K538" s="35">
        <v>18</v>
      </c>
      <c r="L538" s="35" t="s">
        <v>6955</v>
      </c>
      <c r="M538" s="35"/>
      <c r="N538" s="35" t="s">
        <v>16550</v>
      </c>
      <c r="O538" s="35" t="s">
        <v>6245</v>
      </c>
      <c r="P538" s="35" t="s">
        <v>16394</v>
      </c>
      <c r="Q538" s="35" t="s">
        <v>16393</v>
      </c>
      <c r="R538" s="35" t="s">
        <v>16397</v>
      </c>
      <c r="S538" s="35">
        <v>2362776</v>
      </c>
      <c r="T538" s="35">
        <v>33995780</v>
      </c>
      <c r="U538" s="35"/>
      <c r="V538" s="30">
        <v>1863</v>
      </c>
      <c r="W538" s="35" t="s">
        <v>452</v>
      </c>
      <c r="X538" s="35" t="s">
        <v>194</v>
      </c>
      <c r="Y538" s="30">
        <v>1</v>
      </c>
      <c r="Z538" s="35"/>
      <c r="AA538" s="35"/>
      <c r="AB538" s="35"/>
      <c r="AC538" s="35"/>
      <c r="AD538" s="35"/>
      <c r="AE538" s="35"/>
      <c r="AF538" s="35"/>
      <c r="AG538" s="35"/>
      <c r="AH538" s="30" t="s">
        <v>4714</v>
      </c>
      <c r="AI538" s="35" t="s">
        <v>3925</v>
      </c>
      <c r="AJ538" s="62" t="str">
        <f>MID('I kw.22'!W538,8,6)</f>
        <v>243106</v>
      </c>
      <c r="AK538" s="62">
        <v>1</v>
      </c>
      <c r="AL538" s="62">
        <f t="shared" si="8"/>
        <v>1</v>
      </c>
      <c r="AM538" s="62">
        <v>1</v>
      </c>
    </row>
    <row r="539" spans="1:39" x14ac:dyDescent="0.25">
      <c r="A539" s="35" t="s">
        <v>16549</v>
      </c>
      <c r="B539" s="35" t="s">
        <v>16547</v>
      </c>
      <c r="C539" s="35" t="s">
        <v>80</v>
      </c>
      <c r="D539" s="35" t="s">
        <v>16307</v>
      </c>
      <c r="E539" s="35" t="s">
        <v>192</v>
      </c>
      <c r="F539" s="62">
        <v>1</v>
      </c>
      <c r="G539" s="30" t="s">
        <v>193</v>
      </c>
      <c r="H539" s="30" t="s">
        <v>194</v>
      </c>
      <c r="I539" s="30" t="s">
        <v>16183</v>
      </c>
      <c r="J539" s="35" t="s">
        <v>210</v>
      </c>
      <c r="K539" s="35">
        <v>18</v>
      </c>
      <c r="L539" s="35" t="s">
        <v>6955</v>
      </c>
      <c r="M539" s="35"/>
      <c r="N539" s="35" t="s">
        <v>16548</v>
      </c>
      <c r="O539" s="35" t="s">
        <v>6245</v>
      </c>
      <c r="P539" s="35" t="s">
        <v>16394</v>
      </c>
      <c r="Q539" s="35" t="s">
        <v>16393</v>
      </c>
      <c r="R539" s="35" t="s">
        <v>16397</v>
      </c>
      <c r="S539" s="35">
        <v>2362778</v>
      </c>
      <c r="T539" s="35">
        <v>33995782</v>
      </c>
      <c r="U539" s="35"/>
      <c r="V539" s="30">
        <v>1863</v>
      </c>
      <c r="W539" s="35" t="s">
        <v>474</v>
      </c>
      <c r="X539" s="35" t="s">
        <v>194</v>
      </c>
      <c r="Y539" s="30">
        <v>1</v>
      </c>
      <c r="Z539" s="35"/>
      <c r="AA539" s="35"/>
      <c r="AB539" s="35"/>
      <c r="AC539" s="35"/>
      <c r="AD539" s="35"/>
      <c r="AE539" s="35"/>
      <c r="AF539" s="35"/>
      <c r="AG539" s="35"/>
      <c r="AH539" s="30" t="s">
        <v>4714</v>
      </c>
      <c r="AI539" s="35" t="s">
        <v>16547</v>
      </c>
      <c r="AJ539" s="62" t="str">
        <f>MID('I kw.22'!W539,8,6)</f>
        <v>243304</v>
      </c>
      <c r="AK539" s="62">
        <v>1</v>
      </c>
      <c r="AL539" s="62">
        <f t="shared" si="8"/>
        <v>1</v>
      </c>
      <c r="AM539" s="62">
        <v>1</v>
      </c>
    </row>
    <row r="540" spans="1:39" x14ac:dyDescent="0.25">
      <c r="A540" s="35" t="s">
        <v>1639</v>
      </c>
      <c r="B540" s="35" t="s">
        <v>16545</v>
      </c>
      <c r="C540" s="35" t="s">
        <v>129</v>
      </c>
      <c r="D540" s="35" t="s">
        <v>16307</v>
      </c>
      <c r="E540" s="35" t="s">
        <v>192</v>
      </c>
      <c r="F540" s="62">
        <v>1</v>
      </c>
      <c r="G540" s="30" t="s">
        <v>193</v>
      </c>
      <c r="H540" s="30" t="s">
        <v>194</v>
      </c>
      <c r="I540" s="30" t="s">
        <v>16121</v>
      </c>
      <c r="J540" s="35" t="s">
        <v>210</v>
      </c>
      <c r="K540" s="35">
        <v>18</v>
      </c>
      <c r="L540" s="35" t="s">
        <v>6955</v>
      </c>
      <c r="M540" s="35"/>
      <c r="N540" s="35" t="s">
        <v>16546</v>
      </c>
      <c r="O540" s="35" t="s">
        <v>6327</v>
      </c>
      <c r="P540" s="35" t="s">
        <v>16394</v>
      </c>
      <c r="Q540" s="35" t="s">
        <v>16393</v>
      </c>
      <c r="R540" s="35" t="s">
        <v>16397</v>
      </c>
      <c r="S540" s="35">
        <v>2362799</v>
      </c>
      <c r="T540" s="35">
        <v>33995803</v>
      </c>
      <c r="U540" s="35"/>
      <c r="V540" s="30">
        <v>1863</v>
      </c>
      <c r="W540" s="35" t="s">
        <v>203</v>
      </c>
      <c r="X540" s="35" t="s">
        <v>194</v>
      </c>
      <c r="Y540" s="30">
        <v>1</v>
      </c>
      <c r="Z540" s="35"/>
      <c r="AA540" s="35"/>
      <c r="AB540" s="35"/>
      <c r="AC540" s="35"/>
      <c r="AD540" s="35"/>
      <c r="AE540" s="35"/>
      <c r="AF540" s="35"/>
      <c r="AG540" s="35"/>
      <c r="AH540" s="30" t="s">
        <v>4714</v>
      </c>
      <c r="AI540" s="35" t="s">
        <v>16545</v>
      </c>
      <c r="AJ540" s="62" t="str">
        <f>MID('I kw.22'!W540,8,6)</f>
        <v>121904</v>
      </c>
      <c r="AK540" s="62">
        <v>1</v>
      </c>
      <c r="AL540" s="62">
        <f t="shared" si="8"/>
        <v>1</v>
      </c>
      <c r="AM540" s="62">
        <v>1</v>
      </c>
    </row>
    <row r="541" spans="1:39" x14ac:dyDescent="0.25">
      <c r="A541" s="35" t="s">
        <v>4252</v>
      </c>
      <c r="B541" s="35" t="s">
        <v>313</v>
      </c>
      <c r="C541" s="35" t="s">
        <v>14315</v>
      </c>
      <c r="D541" s="35" t="s">
        <v>16307</v>
      </c>
      <c r="E541" s="35" t="s">
        <v>192</v>
      </c>
      <c r="F541" s="62">
        <v>1</v>
      </c>
      <c r="G541" s="30" t="s">
        <v>193</v>
      </c>
      <c r="H541" s="30" t="s">
        <v>194</v>
      </c>
      <c r="I541" s="30" t="s">
        <v>16052</v>
      </c>
      <c r="J541" s="35" t="s">
        <v>210</v>
      </c>
      <c r="K541" s="35">
        <v>18</v>
      </c>
      <c r="L541" s="35" t="s">
        <v>6955</v>
      </c>
      <c r="M541" s="35"/>
      <c r="N541" s="35" t="s">
        <v>16544</v>
      </c>
      <c r="O541" s="35" t="s">
        <v>6245</v>
      </c>
      <c r="P541" s="35" t="s">
        <v>16394</v>
      </c>
      <c r="Q541" s="35" t="s">
        <v>16393</v>
      </c>
      <c r="R541" s="35" t="s">
        <v>16397</v>
      </c>
      <c r="S541" s="35">
        <v>2362810</v>
      </c>
      <c r="T541" s="35">
        <v>33995814</v>
      </c>
      <c r="U541" s="35"/>
      <c r="V541" s="30">
        <v>1863</v>
      </c>
      <c r="W541" s="35" t="s">
        <v>14319</v>
      </c>
      <c r="X541" s="35" t="s">
        <v>194</v>
      </c>
      <c r="Y541" s="30">
        <v>1</v>
      </c>
      <c r="Z541" s="35"/>
      <c r="AA541" s="35"/>
      <c r="AB541" s="35"/>
      <c r="AC541" s="35"/>
      <c r="AD541" s="35"/>
      <c r="AE541" s="35"/>
      <c r="AF541" s="35"/>
      <c r="AG541" s="35"/>
      <c r="AH541" s="30" t="s">
        <v>4714</v>
      </c>
      <c r="AI541" s="35" t="s">
        <v>313</v>
      </c>
      <c r="AJ541" s="62" t="str">
        <f>MID('I kw.22'!W541,8,6)</f>
        <v>312206</v>
      </c>
      <c r="AK541" s="62">
        <v>1</v>
      </c>
      <c r="AL541" s="62">
        <f t="shared" si="8"/>
        <v>1</v>
      </c>
      <c r="AM541" s="62">
        <v>1</v>
      </c>
    </row>
    <row r="542" spans="1:39" x14ac:dyDescent="0.25">
      <c r="A542" s="35" t="s">
        <v>16543</v>
      </c>
      <c r="B542" s="35" t="s">
        <v>16542</v>
      </c>
      <c r="C542" s="35" t="s">
        <v>39</v>
      </c>
      <c r="D542" s="35" t="s">
        <v>16307</v>
      </c>
      <c r="E542" s="35" t="s">
        <v>192</v>
      </c>
      <c r="F542" s="62">
        <v>1</v>
      </c>
      <c r="G542" s="30" t="s">
        <v>193</v>
      </c>
      <c r="H542" s="30" t="s">
        <v>194</v>
      </c>
      <c r="I542" s="30" t="s">
        <v>16052</v>
      </c>
      <c r="J542" s="35" t="s">
        <v>210</v>
      </c>
      <c r="K542" s="35">
        <v>18</v>
      </c>
      <c r="L542" s="35" t="s">
        <v>6955</v>
      </c>
      <c r="M542" s="35"/>
      <c r="N542" s="35" t="s">
        <v>16541</v>
      </c>
      <c r="O542" s="35" t="s">
        <v>6245</v>
      </c>
      <c r="P542" s="35" t="s">
        <v>16540</v>
      </c>
      <c r="Q542" s="35" t="s">
        <v>16393</v>
      </c>
      <c r="R542" s="35" t="s">
        <v>16397</v>
      </c>
      <c r="S542" s="35">
        <v>2362835</v>
      </c>
      <c r="T542" s="35">
        <v>33995839</v>
      </c>
      <c r="U542" s="35"/>
      <c r="V542" s="30">
        <v>1863</v>
      </c>
      <c r="W542" s="35" t="s">
        <v>551</v>
      </c>
      <c r="X542" s="35" t="s">
        <v>194</v>
      </c>
      <c r="Y542" s="30">
        <v>1</v>
      </c>
      <c r="Z542" s="35"/>
      <c r="AA542" s="35"/>
      <c r="AB542" s="35"/>
      <c r="AC542" s="35"/>
      <c r="AD542" s="35"/>
      <c r="AE542" s="35"/>
      <c r="AF542" s="35"/>
      <c r="AG542" s="35"/>
      <c r="AH542" s="30" t="s">
        <v>4714</v>
      </c>
      <c r="AI542" s="35" t="s">
        <v>16539</v>
      </c>
      <c r="AJ542" s="62" t="str">
        <f>MID('I kw.22'!W542,8,6)</f>
        <v>311204</v>
      </c>
      <c r="AK542" s="62">
        <v>1</v>
      </c>
      <c r="AL542" s="62">
        <f t="shared" si="8"/>
        <v>1</v>
      </c>
      <c r="AM542" s="62">
        <v>1</v>
      </c>
    </row>
    <row r="543" spans="1:39" x14ac:dyDescent="0.25">
      <c r="A543" s="35" t="s">
        <v>493</v>
      </c>
      <c r="B543" s="35" t="s">
        <v>12943</v>
      </c>
      <c r="C543" s="35" t="s">
        <v>8953</v>
      </c>
      <c r="D543" s="35" t="s">
        <v>16307</v>
      </c>
      <c r="E543" s="35" t="s">
        <v>192</v>
      </c>
      <c r="F543" s="62">
        <v>1</v>
      </c>
      <c r="G543" s="30" t="s">
        <v>193</v>
      </c>
      <c r="H543" s="30" t="s">
        <v>194</v>
      </c>
      <c r="I543" s="30" t="s">
        <v>16121</v>
      </c>
      <c r="J543" s="35" t="s">
        <v>210</v>
      </c>
      <c r="K543" s="35">
        <v>18</v>
      </c>
      <c r="L543" s="35" t="s">
        <v>6955</v>
      </c>
      <c r="M543" s="35"/>
      <c r="N543" s="35" t="s">
        <v>16538</v>
      </c>
      <c r="O543" s="35" t="s">
        <v>6261</v>
      </c>
      <c r="P543" s="35" t="s">
        <v>16394</v>
      </c>
      <c r="Q543" s="35" t="s">
        <v>16393</v>
      </c>
      <c r="R543" s="35" t="s">
        <v>16397</v>
      </c>
      <c r="S543" s="35">
        <v>2362865</v>
      </c>
      <c r="T543" s="35">
        <v>33995869</v>
      </c>
      <c r="U543" s="35"/>
      <c r="V543" s="30">
        <v>1863</v>
      </c>
      <c r="W543" s="35" t="s">
        <v>8955</v>
      </c>
      <c r="X543" s="35" t="s">
        <v>194</v>
      </c>
      <c r="Y543" s="30">
        <v>1</v>
      </c>
      <c r="Z543" s="35"/>
      <c r="AA543" s="35"/>
      <c r="AB543" s="35"/>
      <c r="AC543" s="35"/>
      <c r="AD543" s="35"/>
      <c r="AE543" s="35"/>
      <c r="AF543" s="35"/>
      <c r="AG543" s="35"/>
      <c r="AH543" s="30" t="s">
        <v>4714</v>
      </c>
      <c r="AI543" s="35" t="s">
        <v>12943</v>
      </c>
      <c r="AJ543" s="62" t="str">
        <f>MID('I kw.22'!W543,8,6)</f>
        <v>252103</v>
      </c>
      <c r="AK543" s="62">
        <v>1</v>
      </c>
      <c r="AL543" s="62">
        <f t="shared" si="8"/>
        <v>1</v>
      </c>
      <c r="AM543" s="62">
        <v>1</v>
      </c>
    </row>
    <row r="544" spans="1:39" x14ac:dyDescent="0.25">
      <c r="A544" s="35" t="s">
        <v>16535</v>
      </c>
      <c r="B544" s="35" t="s">
        <v>16536</v>
      </c>
      <c r="C544" s="35" t="s">
        <v>140</v>
      </c>
      <c r="D544" s="35" t="s">
        <v>16307</v>
      </c>
      <c r="E544" s="35" t="s">
        <v>192</v>
      </c>
      <c r="F544" s="62">
        <v>1</v>
      </c>
      <c r="G544" s="30" t="s">
        <v>193</v>
      </c>
      <c r="H544" s="30" t="s">
        <v>194</v>
      </c>
      <c r="I544" s="30" t="s">
        <v>16066</v>
      </c>
      <c r="J544" s="35" t="s">
        <v>16534</v>
      </c>
      <c r="K544" s="35">
        <v>18</v>
      </c>
      <c r="L544" s="35" t="s">
        <v>6955</v>
      </c>
      <c r="M544" s="35"/>
      <c r="N544" s="35" t="s">
        <v>16537</v>
      </c>
      <c r="O544" s="35" t="s">
        <v>6343</v>
      </c>
      <c r="P544" s="35" t="s">
        <v>16394</v>
      </c>
      <c r="Q544" s="35" t="s">
        <v>16393</v>
      </c>
      <c r="R544" s="35" t="s">
        <v>16397</v>
      </c>
      <c r="S544" s="35">
        <v>2363019</v>
      </c>
      <c r="T544" s="35">
        <v>33996023</v>
      </c>
      <c r="U544" s="35"/>
      <c r="V544" s="30">
        <v>1821</v>
      </c>
      <c r="W544" s="35" t="s">
        <v>1262</v>
      </c>
      <c r="X544" s="35" t="s">
        <v>194</v>
      </c>
      <c r="Y544" s="30">
        <v>1</v>
      </c>
      <c r="Z544" s="35"/>
      <c r="AA544" s="35"/>
      <c r="AB544" s="35"/>
      <c r="AC544" s="35"/>
      <c r="AD544" s="35"/>
      <c r="AE544" s="35"/>
      <c r="AF544" s="35"/>
      <c r="AG544" s="35"/>
      <c r="AH544" s="30" t="s">
        <v>4714</v>
      </c>
      <c r="AI544" s="35" t="s">
        <v>16536</v>
      </c>
      <c r="AJ544" s="62" t="str">
        <f>MID('I kw.22'!W544,8,6)</f>
        <v>141202</v>
      </c>
      <c r="AK544" s="62">
        <v>1</v>
      </c>
      <c r="AL544" s="62">
        <f t="shared" si="8"/>
        <v>1</v>
      </c>
      <c r="AM544" s="62">
        <v>1</v>
      </c>
    </row>
    <row r="545" spans="1:39" x14ac:dyDescent="0.25">
      <c r="A545" s="35" t="s">
        <v>16535</v>
      </c>
      <c r="B545" s="35" t="s">
        <v>16532</v>
      </c>
      <c r="C545" s="35" t="s">
        <v>3968</v>
      </c>
      <c r="D545" s="35" t="s">
        <v>16307</v>
      </c>
      <c r="E545" s="35" t="s">
        <v>192</v>
      </c>
      <c r="F545" s="62">
        <v>1</v>
      </c>
      <c r="G545" s="30" t="s">
        <v>193</v>
      </c>
      <c r="H545" s="30" t="s">
        <v>194</v>
      </c>
      <c r="I545" s="30" t="s">
        <v>16073</v>
      </c>
      <c r="J545" s="35" t="s">
        <v>16534</v>
      </c>
      <c r="K545" s="35">
        <v>18</v>
      </c>
      <c r="L545" s="35" t="s">
        <v>6955</v>
      </c>
      <c r="M545" s="35"/>
      <c r="N545" s="35" t="s">
        <v>16533</v>
      </c>
      <c r="O545" s="35" t="s">
        <v>6327</v>
      </c>
      <c r="P545" s="35" t="s">
        <v>16394</v>
      </c>
      <c r="Q545" s="35" t="s">
        <v>16393</v>
      </c>
      <c r="R545" s="35" t="s">
        <v>16397</v>
      </c>
      <c r="S545" s="35">
        <v>2363024</v>
      </c>
      <c r="T545" s="35">
        <v>33996028</v>
      </c>
      <c r="U545" s="35"/>
      <c r="V545" s="30">
        <v>1821</v>
      </c>
      <c r="W545" s="35" t="s">
        <v>3969</v>
      </c>
      <c r="X545" s="35" t="s">
        <v>194</v>
      </c>
      <c r="Y545" s="30">
        <v>1</v>
      </c>
      <c r="Z545" s="35"/>
      <c r="AA545" s="35"/>
      <c r="AB545" s="35"/>
      <c r="AC545" s="35"/>
      <c r="AD545" s="35"/>
      <c r="AE545" s="35"/>
      <c r="AF545" s="35"/>
      <c r="AG545" s="35"/>
      <c r="AH545" s="30" t="s">
        <v>4714</v>
      </c>
      <c r="AI545" s="35" t="s">
        <v>16532</v>
      </c>
      <c r="AJ545" s="62" t="str">
        <f>MID('I kw.22'!W545,8,6)</f>
        <v>141103</v>
      </c>
      <c r="AK545" s="62">
        <v>1</v>
      </c>
      <c r="AL545" s="62">
        <f t="shared" si="8"/>
        <v>1</v>
      </c>
      <c r="AM545" s="62">
        <v>1</v>
      </c>
    </row>
    <row r="546" spans="1:39" x14ac:dyDescent="0.25">
      <c r="A546" s="35" t="s">
        <v>16531</v>
      </c>
      <c r="B546" s="35" t="s">
        <v>2113</v>
      </c>
      <c r="C546" s="35" t="s">
        <v>727</v>
      </c>
      <c r="D546" s="35" t="s">
        <v>16307</v>
      </c>
      <c r="E546" s="35" t="s">
        <v>192</v>
      </c>
      <c r="F546" s="62">
        <v>1</v>
      </c>
      <c r="G546" s="30" t="s">
        <v>193</v>
      </c>
      <c r="H546" s="30" t="s">
        <v>194</v>
      </c>
      <c r="I546" s="30" t="s">
        <v>16083</v>
      </c>
      <c r="J546" s="35" t="s">
        <v>210</v>
      </c>
      <c r="K546" s="35">
        <v>18</v>
      </c>
      <c r="L546" s="35" t="s">
        <v>6955</v>
      </c>
      <c r="M546" s="35"/>
      <c r="N546" s="35" t="s">
        <v>16530</v>
      </c>
      <c r="O546" s="35" t="s">
        <v>6343</v>
      </c>
      <c r="P546" s="35" t="s">
        <v>16394</v>
      </c>
      <c r="Q546" s="35" t="s">
        <v>16393</v>
      </c>
      <c r="R546" s="35" t="s">
        <v>16397</v>
      </c>
      <c r="S546" s="35">
        <v>2363033</v>
      </c>
      <c r="T546" s="35">
        <v>33996037</v>
      </c>
      <c r="U546" s="35"/>
      <c r="V546" s="30">
        <v>1863</v>
      </c>
      <c r="W546" s="35" t="s">
        <v>728</v>
      </c>
      <c r="X546" s="35" t="s">
        <v>194</v>
      </c>
      <c r="Y546" s="30">
        <v>1</v>
      </c>
      <c r="Z546" s="35"/>
      <c r="AA546" s="35"/>
      <c r="AB546" s="35"/>
      <c r="AC546" s="35"/>
      <c r="AD546" s="35"/>
      <c r="AE546" s="35"/>
      <c r="AF546" s="35"/>
      <c r="AG546" s="35"/>
      <c r="AH546" s="30" t="s">
        <v>4714</v>
      </c>
      <c r="AI546" s="35" t="s">
        <v>2113</v>
      </c>
      <c r="AJ546" s="62" t="str">
        <f>MID('I kw.22'!W546,8,6)</f>
        <v>512001</v>
      </c>
      <c r="AK546" s="62">
        <v>1</v>
      </c>
      <c r="AL546" s="62">
        <f t="shared" si="8"/>
        <v>1</v>
      </c>
      <c r="AM546" s="62">
        <v>1</v>
      </c>
    </row>
    <row r="547" spans="1:39" x14ac:dyDescent="0.25">
      <c r="A547" s="35" t="s">
        <v>1748</v>
      </c>
      <c r="B547" s="35" t="s">
        <v>16256</v>
      </c>
      <c r="C547" s="35" t="s">
        <v>15861</v>
      </c>
      <c r="D547" s="35" t="s">
        <v>16307</v>
      </c>
      <c r="E547" s="35" t="s">
        <v>192</v>
      </c>
      <c r="F547" s="62">
        <v>1</v>
      </c>
      <c r="G547" s="30" t="s">
        <v>193</v>
      </c>
      <c r="H547" s="30" t="s">
        <v>194</v>
      </c>
      <c r="I547" s="30" t="s">
        <v>16078</v>
      </c>
      <c r="J547" s="35" t="s">
        <v>210</v>
      </c>
      <c r="K547" s="35">
        <v>18</v>
      </c>
      <c r="L547" s="35" t="s">
        <v>6955</v>
      </c>
      <c r="M547" s="35"/>
      <c r="N547" s="35" t="s">
        <v>16529</v>
      </c>
      <c r="O547" s="35" t="s">
        <v>6327</v>
      </c>
      <c r="P547" s="35" t="s">
        <v>16394</v>
      </c>
      <c r="Q547" s="35" t="s">
        <v>16393</v>
      </c>
      <c r="R547" s="35" t="s">
        <v>16397</v>
      </c>
      <c r="S547" s="35">
        <v>2363038</v>
      </c>
      <c r="T547" s="35">
        <v>33996042</v>
      </c>
      <c r="U547" s="35"/>
      <c r="V547" s="30">
        <v>1863</v>
      </c>
      <c r="W547" s="35" t="s">
        <v>1790</v>
      </c>
      <c r="X547" s="35" t="s">
        <v>194</v>
      </c>
      <c r="Y547" s="30">
        <v>1</v>
      </c>
      <c r="Z547" s="35"/>
      <c r="AA547" s="35"/>
      <c r="AB547" s="35"/>
      <c r="AC547" s="35"/>
      <c r="AD547" s="35"/>
      <c r="AE547" s="35"/>
      <c r="AF547" s="35"/>
      <c r="AG547" s="35"/>
      <c r="AH547" s="30" t="s">
        <v>4714</v>
      </c>
      <c r="AI547" s="35" t="s">
        <v>16256</v>
      </c>
      <c r="AJ547" s="62" t="str">
        <f>MID('I kw.22'!W547,8,6)</f>
        <v>334304</v>
      </c>
      <c r="AK547" s="62">
        <v>1</v>
      </c>
      <c r="AL547" s="62">
        <f t="shared" si="8"/>
        <v>1</v>
      </c>
      <c r="AM547" s="62">
        <v>1</v>
      </c>
    </row>
    <row r="548" spans="1:39" x14ac:dyDescent="0.25">
      <c r="A548" s="35" t="s">
        <v>16528</v>
      </c>
      <c r="B548" s="35" t="s">
        <v>2849</v>
      </c>
      <c r="C548" s="35" t="s">
        <v>10</v>
      </c>
      <c r="D548" s="35" t="s">
        <v>16307</v>
      </c>
      <c r="E548" s="35" t="s">
        <v>192</v>
      </c>
      <c r="F548" s="62">
        <v>1</v>
      </c>
      <c r="G548" s="30" t="s">
        <v>193</v>
      </c>
      <c r="H548" s="30" t="s">
        <v>194</v>
      </c>
      <c r="I548" s="30" t="s">
        <v>16083</v>
      </c>
      <c r="J548" s="35" t="s">
        <v>210</v>
      </c>
      <c r="K548" s="35">
        <v>18</v>
      </c>
      <c r="L548" s="35" t="s">
        <v>6955</v>
      </c>
      <c r="M548" s="35"/>
      <c r="N548" s="35" t="s">
        <v>16527</v>
      </c>
      <c r="O548" s="35" t="s">
        <v>6261</v>
      </c>
      <c r="P548" s="35" t="s">
        <v>16394</v>
      </c>
      <c r="Q548" s="35" t="s">
        <v>16393</v>
      </c>
      <c r="R548" s="35" t="s">
        <v>16397</v>
      </c>
      <c r="S548" s="35">
        <v>2363069</v>
      </c>
      <c r="T548" s="35">
        <v>33996073</v>
      </c>
      <c r="U548" s="35"/>
      <c r="V548" s="30">
        <v>1863</v>
      </c>
      <c r="W548" s="35" t="s">
        <v>484</v>
      </c>
      <c r="X548" s="35" t="s">
        <v>194</v>
      </c>
      <c r="Y548" s="30">
        <v>1</v>
      </c>
      <c r="Z548" s="35"/>
      <c r="AA548" s="35"/>
      <c r="AB548" s="35"/>
      <c r="AC548" s="35"/>
      <c r="AD548" s="35"/>
      <c r="AE548" s="35"/>
      <c r="AF548" s="35"/>
      <c r="AG548" s="35"/>
      <c r="AH548" s="30" t="s">
        <v>4714</v>
      </c>
      <c r="AI548" s="35" t="s">
        <v>2849</v>
      </c>
      <c r="AJ548" s="62" t="str">
        <f>MID('I kw.22'!W548,8,6)</f>
        <v>251401</v>
      </c>
      <c r="AK548" s="62">
        <v>1</v>
      </c>
      <c r="AL548" s="62">
        <f t="shared" si="8"/>
        <v>1</v>
      </c>
      <c r="AM548" s="62">
        <v>1</v>
      </c>
    </row>
    <row r="549" spans="1:39" x14ac:dyDescent="0.25">
      <c r="A549" s="35" t="s">
        <v>15448</v>
      </c>
      <c r="B549" s="35" t="s">
        <v>2992</v>
      </c>
      <c r="C549" s="35" t="s">
        <v>163</v>
      </c>
      <c r="D549" s="35" t="s">
        <v>16307</v>
      </c>
      <c r="E549" s="35" t="s">
        <v>192</v>
      </c>
      <c r="F549" s="62">
        <v>1</v>
      </c>
      <c r="G549" s="30" t="s">
        <v>193</v>
      </c>
      <c r="H549" s="30" t="s">
        <v>194</v>
      </c>
      <c r="I549" s="30" t="s">
        <v>16068</v>
      </c>
      <c r="J549" s="35" t="s">
        <v>575</v>
      </c>
      <c r="K549" s="35">
        <v>18</v>
      </c>
      <c r="L549" s="35" t="s">
        <v>6955</v>
      </c>
      <c r="M549" s="35"/>
      <c r="N549" s="35" t="s">
        <v>16526</v>
      </c>
      <c r="O549" s="35" t="s">
        <v>6921</v>
      </c>
      <c r="P549" s="35" t="s">
        <v>16394</v>
      </c>
      <c r="Q549" s="35" t="s">
        <v>16393</v>
      </c>
      <c r="R549" s="35" t="s">
        <v>16397</v>
      </c>
      <c r="S549" s="35">
        <v>2363079</v>
      </c>
      <c r="T549" s="35">
        <v>33996083</v>
      </c>
      <c r="U549" s="35"/>
      <c r="V549" s="30">
        <v>1816</v>
      </c>
      <c r="W549" s="35" t="s">
        <v>697</v>
      </c>
      <c r="X549" s="35" t="s">
        <v>194</v>
      </c>
      <c r="Y549" s="30">
        <v>1</v>
      </c>
      <c r="Z549" s="35"/>
      <c r="AA549" s="35"/>
      <c r="AB549" s="35"/>
      <c r="AC549" s="35"/>
      <c r="AD549" s="35"/>
      <c r="AE549" s="35"/>
      <c r="AF549" s="35"/>
      <c r="AG549" s="35"/>
      <c r="AH549" s="30" t="s">
        <v>4714</v>
      </c>
      <c r="AI549" s="35" t="s">
        <v>2992</v>
      </c>
      <c r="AJ549" s="62" t="str">
        <f>MID('I kw.22'!W549,8,6)</f>
        <v>351203</v>
      </c>
      <c r="AK549" s="62">
        <v>1</v>
      </c>
      <c r="AL549" s="62">
        <f t="shared" si="8"/>
        <v>1</v>
      </c>
      <c r="AM549" s="62">
        <v>1</v>
      </c>
    </row>
    <row r="550" spans="1:39" x14ac:dyDescent="0.25">
      <c r="A550" s="35" t="s">
        <v>16525</v>
      </c>
      <c r="B550" s="35" t="s">
        <v>3904</v>
      </c>
      <c r="C550" s="35" t="s">
        <v>36</v>
      </c>
      <c r="D550" s="35" t="s">
        <v>16307</v>
      </c>
      <c r="E550" s="35" t="s">
        <v>192</v>
      </c>
      <c r="F550" s="62">
        <v>1</v>
      </c>
      <c r="G550" s="30" t="s">
        <v>193</v>
      </c>
      <c r="H550" s="30" t="s">
        <v>194</v>
      </c>
      <c r="I550" s="30" t="s">
        <v>16048</v>
      </c>
      <c r="J550" s="35" t="s">
        <v>210</v>
      </c>
      <c r="K550" s="35">
        <v>18</v>
      </c>
      <c r="L550" s="35" t="s">
        <v>6955</v>
      </c>
      <c r="M550" s="35"/>
      <c r="N550" s="35" t="s">
        <v>16524</v>
      </c>
      <c r="O550" s="35" t="s">
        <v>7531</v>
      </c>
      <c r="P550" s="35" t="s">
        <v>16394</v>
      </c>
      <c r="Q550" s="35" t="s">
        <v>16393</v>
      </c>
      <c r="R550" s="35" t="s">
        <v>16397</v>
      </c>
      <c r="S550" s="35">
        <v>2363192</v>
      </c>
      <c r="T550" s="35">
        <v>33996196</v>
      </c>
      <c r="U550" s="35"/>
      <c r="V550" s="30">
        <v>1863</v>
      </c>
      <c r="W550" s="35" t="s">
        <v>609</v>
      </c>
      <c r="X550" s="35" t="s">
        <v>194</v>
      </c>
      <c r="Y550" s="30">
        <v>1</v>
      </c>
      <c r="Z550" s="35"/>
      <c r="AA550" s="35"/>
      <c r="AB550" s="35"/>
      <c r="AC550" s="35"/>
      <c r="AD550" s="35"/>
      <c r="AE550" s="35"/>
      <c r="AF550" s="35"/>
      <c r="AG550" s="35"/>
      <c r="AH550" s="30" t="s">
        <v>4714</v>
      </c>
      <c r="AI550" s="35" t="s">
        <v>3904</v>
      </c>
      <c r="AJ550" s="62" t="str">
        <f>MID('I kw.22'!W550,8,6)</f>
        <v>331301</v>
      </c>
      <c r="AK550" s="62">
        <v>1</v>
      </c>
      <c r="AL550" s="62">
        <f t="shared" si="8"/>
        <v>1</v>
      </c>
      <c r="AM550" s="62">
        <v>1</v>
      </c>
    </row>
    <row r="551" spans="1:39" x14ac:dyDescent="0.25">
      <c r="A551" s="35" t="s">
        <v>2567</v>
      </c>
      <c r="B551" s="35" t="s">
        <v>1057</v>
      </c>
      <c r="C551" s="35" t="s">
        <v>74</v>
      </c>
      <c r="D551" s="35" t="s">
        <v>16307</v>
      </c>
      <c r="E551" s="35" t="s">
        <v>192</v>
      </c>
      <c r="F551" s="62">
        <v>1</v>
      </c>
      <c r="G551" s="30" t="s">
        <v>193</v>
      </c>
      <c r="H551" s="30" t="s">
        <v>194</v>
      </c>
      <c r="I551" s="30" t="s">
        <v>16052</v>
      </c>
      <c r="J551" s="35" t="s">
        <v>4266</v>
      </c>
      <c r="K551" s="35">
        <v>18</v>
      </c>
      <c r="L551" s="35" t="s">
        <v>6955</v>
      </c>
      <c r="M551" s="35"/>
      <c r="N551" s="35" t="s">
        <v>16523</v>
      </c>
      <c r="O551" s="35" t="s">
        <v>6249</v>
      </c>
      <c r="P551" s="35" t="s">
        <v>16394</v>
      </c>
      <c r="Q551" s="35" t="s">
        <v>16393</v>
      </c>
      <c r="R551" s="35" t="s">
        <v>16397</v>
      </c>
      <c r="S551" s="35">
        <v>2363200</v>
      </c>
      <c r="T551" s="35">
        <v>33996204</v>
      </c>
      <c r="U551" s="35"/>
      <c r="V551" s="30">
        <v>1803</v>
      </c>
      <c r="W551" s="35" t="s">
        <v>246</v>
      </c>
      <c r="X551" s="35" t="s">
        <v>194</v>
      </c>
      <c r="Y551" s="30">
        <v>1</v>
      </c>
      <c r="Z551" s="35"/>
      <c r="AA551" s="35"/>
      <c r="AB551" s="35"/>
      <c r="AC551" s="35"/>
      <c r="AD551" s="35"/>
      <c r="AE551" s="35"/>
      <c r="AF551" s="35"/>
      <c r="AG551" s="35"/>
      <c r="AH551" s="30" t="s">
        <v>4714</v>
      </c>
      <c r="AI551" s="35" t="s">
        <v>1057</v>
      </c>
      <c r="AJ551" s="62" t="str">
        <f>MID('I kw.22'!W551,8,6)</f>
        <v>142004</v>
      </c>
      <c r="AK551" s="62">
        <v>1</v>
      </c>
      <c r="AL551" s="62">
        <f t="shared" si="8"/>
        <v>1</v>
      </c>
      <c r="AM551" s="62">
        <v>1</v>
      </c>
    </row>
    <row r="552" spans="1:39" x14ac:dyDescent="0.25">
      <c r="A552" s="35" t="s">
        <v>2567</v>
      </c>
      <c r="B552" s="35" t="s">
        <v>1057</v>
      </c>
      <c r="C552" s="35" t="s">
        <v>74</v>
      </c>
      <c r="D552" s="35" t="s">
        <v>16307</v>
      </c>
      <c r="E552" s="35" t="s">
        <v>192</v>
      </c>
      <c r="F552" s="62">
        <v>1</v>
      </c>
      <c r="G552" s="30" t="s">
        <v>193</v>
      </c>
      <c r="H552" s="30" t="s">
        <v>194</v>
      </c>
      <c r="I552" s="30" t="s">
        <v>16052</v>
      </c>
      <c r="J552" s="35" t="s">
        <v>253</v>
      </c>
      <c r="K552" s="35">
        <v>18</v>
      </c>
      <c r="L552" s="35" t="s">
        <v>6955</v>
      </c>
      <c r="M552" s="35"/>
      <c r="N552" s="35" t="s">
        <v>16522</v>
      </c>
      <c r="O552" s="35" t="s">
        <v>6249</v>
      </c>
      <c r="P552" s="35" t="s">
        <v>16394</v>
      </c>
      <c r="Q552" s="35" t="s">
        <v>16393</v>
      </c>
      <c r="R552" s="35" t="s">
        <v>16397</v>
      </c>
      <c r="S552" s="35">
        <v>2363220</v>
      </c>
      <c r="T552" s="35">
        <v>33996224</v>
      </c>
      <c r="U552" s="35"/>
      <c r="V552" s="30">
        <v>1811</v>
      </c>
      <c r="W552" s="35" t="s">
        <v>246</v>
      </c>
      <c r="X552" s="35" t="s">
        <v>194</v>
      </c>
      <c r="Y552" s="30">
        <v>1</v>
      </c>
      <c r="Z552" s="35"/>
      <c r="AA552" s="35"/>
      <c r="AB552" s="35"/>
      <c r="AC552" s="35"/>
      <c r="AD552" s="35"/>
      <c r="AE552" s="35"/>
      <c r="AF552" s="35"/>
      <c r="AG552" s="35"/>
      <c r="AH552" s="30" t="s">
        <v>4714</v>
      </c>
      <c r="AI552" s="35" t="s">
        <v>1057</v>
      </c>
      <c r="AJ552" s="62" t="str">
        <f>MID('I kw.22'!W552,8,6)</f>
        <v>142004</v>
      </c>
      <c r="AK552" s="62">
        <v>1</v>
      </c>
      <c r="AL552" s="62">
        <f t="shared" si="8"/>
        <v>1</v>
      </c>
      <c r="AM552" s="62">
        <v>1</v>
      </c>
    </row>
    <row r="553" spans="1:39" x14ac:dyDescent="0.25">
      <c r="A553" s="35" t="s">
        <v>2567</v>
      </c>
      <c r="B553" s="35" t="s">
        <v>1057</v>
      </c>
      <c r="C553" s="35" t="s">
        <v>74</v>
      </c>
      <c r="D553" s="35" t="s">
        <v>16307</v>
      </c>
      <c r="E553" s="35" t="s">
        <v>192</v>
      </c>
      <c r="F553" s="62">
        <v>1</v>
      </c>
      <c r="G553" s="30" t="s">
        <v>193</v>
      </c>
      <c r="H553" s="30" t="s">
        <v>194</v>
      </c>
      <c r="I553" s="30" t="s">
        <v>16052</v>
      </c>
      <c r="J553" s="35" t="s">
        <v>210</v>
      </c>
      <c r="K553" s="35">
        <v>18</v>
      </c>
      <c r="L553" s="35" t="s">
        <v>6955</v>
      </c>
      <c r="M553" s="35"/>
      <c r="N553" s="35" t="s">
        <v>16521</v>
      </c>
      <c r="O553" s="35" t="s">
        <v>6249</v>
      </c>
      <c r="P553" s="35" t="s">
        <v>16394</v>
      </c>
      <c r="Q553" s="35" t="s">
        <v>16393</v>
      </c>
      <c r="R553" s="35" t="s">
        <v>16397</v>
      </c>
      <c r="S553" s="35">
        <v>2363229</v>
      </c>
      <c r="T553" s="35">
        <v>33996233</v>
      </c>
      <c r="U553" s="35"/>
      <c r="V553" s="30">
        <v>1863</v>
      </c>
      <c r="W553" s="35" t="s">
        <v>246</v>
      </c>
      <c r="X553" s="35" t="s">
        <v>194</v>
      </c>
      <c r="Y553" s="30">
        <v>1</v>
      </c>
      <c r="Z553" s="35"/>
      <c r="AA553" s="35"/>
      <c r="AB553" s="35"/>
      <c r="AC553" s="35"/>
      <c r="AD553" s="35"/>
      <c r="AE553" s="35"/>
      <c r="AF553" s="35"/>
      <c r="AG553" s="35"/>
      <c r="AH553" s="30" t="s">
        <v>4714</v>
      </c>
      <c r="AI553" s="35" t="s">
        <v>1057</v>
      </c>
      <c r="AJ553" s="62" t="str">
        <f>MID('I kw.22'!W553,8,6)</f>
        <v>142004</v>
      </c>
      <c r="AK553" s="62">
        <v>1</v>
      </c>
      <c r="AL553" s="62">
        <f t="shared" si="8"/>
        <v>1</v>
      </c>
      <c r="AM553" s="62">
        <v>1</v>
      </c>
    </row>
    <row r="554" spans="1:39" x14ac:dyDescent="0.25">
      <c r="A554" s="35" t="s">
        <v>2567</v>
      </c>
      <c r="B554" s="35" t="s">
        <v>1057</v>
      </c>
      <c r="C554" s="35" t="s">
        <v>74</v>
      </c>
      <c r="D554" s="35" t="s">
        <v>16307</v>
      </c>
      <c r="E554" s="35" t="s">
        <v>192</v>
      </c>
      <c r="F554" s="62">
        <v>1</v>
      </c>
      <c r="G554" s="30" t="s">
        <v>193</v>
      </c>
      <c r="H554" s="30" t="s">
        <v>194</v>
      </c>
      <c r="I554" s="30" t="s">
        <v>16052</v>
      </c>
      <c r="J554" s="35" t="s">
        <v>15543</v>
      </c>
      <c r="K554" s="35">
        <v>18</v>
      </c>
      <c r="L554" s="35" t="s">
        <v>6955</v>
      </c>
      <c r="M554" s="35"/>
      <c r="N554" s="35" t="s">
        <v>16520</v>
      </c>
      <c r="O554" s="35" t="s">
        <v>6249</v>
      </c>
      <c r="P554" s="35" t="s">
        <v>16394</v>
      </c>
      <c r="Q554" s="35" t="s">
        <v>16393</v>
      </c>
      <c r="R554" s="35" t="s">
        <v>16397</v>
      </c>
      <c r="S554" s="35">
        <v>2363255</v>
      </c>
      <c r="T554" s="35">
        <v>33996259</v>
      </c>
      <c r="U554" s="35"/>
      <c r="V554" s="30">
        <v>1811</v>
      </c>
      <c r="W554" s="35" t="s">
        <v>246</v>
      </c>
      <c r="X554" s="35" t="s">
        <v>194</v>
      </c>
      <c r="Y554" s="30">
        <v>1</v>
      </c>
      <c r="Z554" s="35"/>
      <c r="AA554" s="35"/>
      <c r="AB554" s="35"/>
      <c r="AC554" s="35"/>
      <c r="AD554" s="35"/>
      <c r="AE554" s="35"/>
      <c r="AF554" s="35"/>
      <c r="AG554" s="35"/>
      <c r="AH554" s="30" t="s">
        <v>4714</v>
      </c>
      <c r="AI554" s="35" t="s">
        <v>1057</v>
      </c>
      <c r="AJ554" s="62" t="str">
        <f>MID('I kw.22'!W554,8,6)</f>
        <v>142004</v>
      </c>
      <c r="AK554" s="62">
        <v>1</v>
      </c>
      <c r="AL554" s="62">
        <f t="shared" si="8"/>
        <v>1</v>
      </c>
      <c r="AM554" s="62">
        <v>1</v>
      </c>
    </row>
    <row r="555" spans="1:39" x14ac:dyDescent="0.25">
      <c r="A555" s="35" t="s">
        <v>16512</v>
      </c>
      <c r="B555" s="35" t="s">
        <v>16518</v>
      </c>
      <c r="C555" s="35" t="s">
        <v>81</v>
      </c>
      <c r="D555" s="35" t="s">
        <v>16307</v>
      </c>
      <c r="E555" s="35" t="s">
        <v>192</v>
      </c>
      <c r="F555" s="62">
        <v>1</v>
      </c>
      <c r="G555" s="30" t="s">
        <v>193</v>
      </c>
      <c r="H555" s="30" t="s">
        <v>194</v>
      </c>
      <c r="I555" s="30" t="s">
        <v>16073</v>
      </c>
      <c r="J555" s="35" t="s">
        <v>210</v>
      </c>
      <c r="K555" s="35">
        <v>18</v>
      </c>
      <c r="L555" s="35" t="s">
        <v>6955</v>
      </c>
      <c r="M555" s="35"/>
      <c r="N555" s="35" t="s">
        <v>16519</v>
      </c>
      <c r="O555" s="35" t="s">
        <v>6254</v>
      </c>
      <c r="P555" s="35" t="s">
        <v>16394</v>
      </c>
      <c r="Q555" s="35" t="s">
        <v>16393</v>
      </c>
      <c r="R555" s="35" t="s">
        <v>16397</v>
      </c>
      <c r="S555" s="35">
        <v>2363297</v>
      </c>
      <c r="T555" s="35">
        <v>33996301</v>
      </c>
      <c r="U555" s="35"/>
      <c r="V555" s="30">
        <v>1863</v>
      </c>
      <c r="W555" s="35" t="s">
        <v>402</v>
      </c>
      <c r="X555" s="35" t="s">
        <v>194</v>
      </c>
      <c r="Y555" s="30">
        <v>1</v>
      </c>
      <c r="Z555" s="35"/>
      <c r="AA555" s="35"/>
      <c r="AB555" s="35"/>
      <c r="AC555" s="35"/>
      <c r="AD555" s="35"/>
      <c r="AE555" s="35"/>
      <c r="AF555" s="35"/>
      <c r="AG555" s="35"/>
      <c r="AH555" s="30" t="s">
        <v>4714</v>
      </c>
      <c r="AI555" s="35" t="s">
        <v>16518</v>
      </c>
      <c r="AJ555" s="62" t="str">
        <f>MID('I kw.22'!W555,8,6)</f>
        <v>241205</v>
      </c>
      <c r="AK555" s="62">
        <v>1</v>
      </c>
      <c r="AL555" s="62">
        <f t="shared" si="8"/>
        <v>1</v>
      </c>
      <c r="AM555" s="62">
        <v>1</v>
      </c>
    </row>
    <row r="556" spans="1:39" x14ac:dyDescent="0.25">
      <c r="A556" s="35" t="s">
        <v>2567</v>
      </c>
      <c r="B556" s="35" t="s">
        <v>1057</v>
      </c>
      <c r="C556" s="35" t="s">
        <v>74</v>
      </c>
      <c r="D556" s="35" t="s">
        <v>16307</v>
      </c>
      <c r="E556" s="35" t="s">
        <v>192</v>
      </c>
      <c r="F556" s="62">
        <v>1</v>
      </c>
      <c r="G556" s="30" t="s">
        <v>193</v>
      </c>
      <c r="H556" s="30" t="s">
        <v>194</v>
      </c>
      <c r="I556" s="30" t="s">
        <v>16052</v>
      </c>
      <c r="J556" s="35" t="s">
        <v>249</v>
      </c>
      <c r="K556" s="35">
        <v>18</v>
      </c>
      <c r="L556" s="35" t="s">
        <v>6955</v>
      </c>
      <c r="M556" s="35"/>
      <c r="N556" s="35" t="s">
        <v>16517</v>
      </c>
      <c r="O556" s="35" t="s">
        <v>6249</v>
      </c>
      <c r="P556" s="35" t="s">
        <v>16394</v>
      </c>
      <c r="Q556" s="35" t="s">
        <v>16393</v>
      </c>
      <c r="R556" s="35" t="s">
        <v>16397</v>
      </c>
      <c r="S556" s="35">
        <v>2363312</v>
      </c>
      <c r="T556" s="35">
        <v>33996316</v>
      </c>
      <c r="U556" s="35"/>
      <c r="V556" s="30">
        <v>1816</v>
      </c>
      <c r="W556" s="35" t="s">
        <v>246</v>
      </c>
      <c r="X556" s="35" t="s">
        <v>194</v>
      </c>
      <c r="Y556" s="30">
        <v>1</v>
      </c>
      <c r="Z556" s="35"/>
      <c r="AA556" s="35"/>
      <c r="AB556" s="35"/>
      <c r="AC556" s="35"/>
      <c r="AD556" s="35"/>
      <c r="AE556" s="35"/>
      <c r="AF556" s="35"/>
      <c r="AG556" s="35"/>
      <c r="AH556" s="30" t="s">
        <v>4714</v>
      </c>
      <c r="AI556" s="35" t="s">
        <v>1057</v>
      </c>
      <c r="AJ556" s="62" t="str">
        <f>MID('I kw.22'!W556,8,6)</f>
        <v>142004</v>
      </c>
      <c r="AK556" s="62">
        <v>1</v>
      </c>
      <c r="AL556" s="62">
        <f t="shared" si="8"/>
        <v>1</v>
      </c>
      <c r="AM556" s="62">
        <v>1</v>
      </c>
    </row>
    <row r="557" spans="1:39" x14ac:dyDescent="0.25">
      <c r="A557" s="35" t="s">
        <v>16512</v>
      </c>
      <c r="B557" s="35" t="s">
        <v>16515</v>
      </c>
      <c r="C557" s="35" t="s">
        <v>81</v>
      </c>
      <c r="D557" s="35" t="s">
        <v>16307</v>
      </c>
      <c r="E557" s="35" t="s">
        <v>192</v>
      </c>
      <c r="F557" s="62">
        <v>1</v>
      </c>
      <c r="G557" s="30" t="s">
        <v>193</v>
      </c>
      <c r="H557" s="30" t="s">
        <v>194</v>
      </c>
      <c r="I557" s="30" t="s">
        <v>16073</v>
      </c>
      <c r="J557" s="35" t="s">
        <v>210</v>
      </c>
      <c r="K557" s="35">
        <v>18</v>
      </c>
      <c r="L557" s="35" t="s">
        <v>6955</v>
      </c>
      <c r="M557" s="35"/>
      <c r="N557" s="35" t="s">
        <v>16516</v>
      </c>
      <c r="O557" s="35" t="s">
        <v>6254</v>
      </c>
      <c r="P557" s="35" t="s">
        <v>16394</v>
      </c>
      <c r="Q557" s="35" t="s">
        <v>16393</v>
      </c>
      <c r="R557" s="35" t="s">
        <v>16397</v>
      </c>
      <c r="S557" s="35">
        <v>2363340</v>
      </c>
      <c r="T557" s="35">
        <v>33996344</v>
      </c>
      <c r="U557" s="35"/>
      <c r="V557" s="30">
        <v>1863</v>
      </c>
      <c r="W557" s="35" t="s">
        <v>402</v>
      </c>
      <c r="X557" s="35" t="s">
        <v>194</v>
      </c>
      <c r="Y557" s="30">
        <v>1</v>
      </c>
      <c r="Z557" s="35"/>
      <c r="AA557" s="35"/>
      <c r="AB557" s="35"/>
      <c r="AC557" s="35"/>
      <c r="AD557" s="35"/>
      <c r="AE557" s="35"/>
      <c r="AF557" s="35"/>
      <c r="AG557" s="35"/>
      <c r="AH557" s="30" t="s">
        <v>4714</v>
      </c>
      <c r="AI557" s="35" t="s">
        <v>16515</v>
      </c>
      <c r="AJ557" s="62" t="str">
        <f>MID('I kw.22'!W557,8,6)</f>
        <v>241205</v>
      </c>
      <c r="AK557" s="62">
        <v>1</v>
      </c>
      <c r="AL557" s="62">
        <f t="shared" si="8"/>
        <v>1</v>
      </c>
      <c r="AM557" s="62">
        <v>1</v>
      </c>
    </row>
    <row r="558" spans="1:39" x14ac:dyDescent="0.25">
      <c r="A558" s="35" t="s">
        <v>16512</v>
      </c>
      <c r="B558" s="35" t="s">
        <v>16513</v>
      </c>
      <c r="C558" s="35" t="s">
        <v>81</v>
      </c>
      <c r="D558" s="35" t="s">
        <v>16307</v>
      </c>
      <c r="E558" s="35" t="s">
        <v>192</v>
      </c>
      <c r="F558" s="62">
        <v>1</v>
      </c>
      <c r="G558" s="30" t="s">
        <v>193</v>
      </c>
      <c r="H558" s="30" t="s">
        <v>194</v>
      </c>
      <c r="I558" s="30" t="s">
        <v>16073</v>
      </c>
      <c r="J558" s="35" t="s">
        <v>210</v>
      </c>
      <c r="K558" s="35">
        <v>18</v>
      </c>
      <c r="L558" s="35" t="s">
        <v>6955</v>
      </c>
      <c r="M558" s="35"/>
      <c r="N558" s="35" t="s">
        <v>16514</v>
      </c>
      <c r="O558" s="35" t="s">
        <v>6254</v>
      </c>
      <c r="P558" s="35" t="s">
        <v>16394</v>
      </c>
      <c r="Q558" s="35" t="s">
        <v>16393</v>
      </c>
      <c r="R558" s="35" t="s">
        <v>16397</v>
      </c>
      <c r="S558" s="35">
        <v>2363372</v>
      </c>
      <c r="T558" s="35">
        <v>33996376</v>
      </c>
      <c r="U558" s="35"/>
      <c r="V558" s="30">
        <v>1863</v>
      </c>
      <c r="W558" s="35" t="s">
        <v>402</v>
      </c>
      <c r="X558" s="35" t="s">
        <v>194</v>
      </c>
      <c r="Y558" s="30">
        <v>1</v>
      </c>
      <c r="Z558" s="35"/>
      <c r="AA558" s="35"/>
      <c r="AB558" s="35"/>
      <c r="AC558" s="35"/>
      <c r="AD558" s="35"/>
      <c r="AE558" s="35"/>
      <c r="AF558" s="35"/>
      <c r="AG558" s="35"/>
      <c r="AH558" s="30" t="s">
        <v>4714</v>
      </c>
      <c r="AI558" s="35" t="s">
        <v>16513</v>
      </c>
      <c r="AJ558" s="62" t="str">
        <f>MID('I kw.22'!W558,8,6)</f>
        <v>241205</v>
      </c>
      <c r="AK558" s="62">
        <v>1</v>
      </c>
      <c r="AL558" s="62">
        <f t="shared" si="8"/>
        <v>1</v>
      </c>
      <c r="AM558" s="62">
        <v>1</v>
      </c>
    </row>
    <row r="559" spans="1:39" x14ac:dyDescent="0.25">
      <c r="A559" s="35" t="s">
        <v>16512</v>
      </c>
      <c r="B559" s="35" t="s">
        <v>16510</v>
      </c>
      <c r="C559" s="35" t="s">
        <v>81</v>
      </c>
      <c r="D559" s="35" t="s">
        <v>16307</v>
      </c>
      <c r="E559" s="35" t="s">
        <v>192</v>
      </c>
      <c r="F559" s="62">
        <v>1</v>
      </c>
      <c r="G559" s="30" t="s">
        <v>193</v>
      </c>
      <c r="H559" s="30" t="s">
        <v>194</v>
      </c>
      <c r="I559" s="30" t="s">
        <v>16073</v>
      </c>
      <c r="J559" s="35" t="s">
        <v>210</v>
      </c>
      <c r="K559" s="35">
        <v>18</v>
      </c>
      <c r="L559" s="35" t="s">
        <v>6955</v>
      </c>
      <c r="M559" s="35"/>
      <c r="N559" s="35" t="s">
        <v>16511</v>
      </c>
      <c r="O559" s="35" t="s">
        <v>6254</v>
      </c>
      <c r="P559" s="35" t="s">
        <v>16394</v>
      </c>
      <c r="Q559" s="35" t="s">
        <v>16393</v>
      </c>
      <c r="R559" s="35" t="s">
        <v>16397</v>
      </c>
      <c r="S559" s="35">
        <v>2363411</v>
      </c>
      <c r="T559" s="35">
        <v>33996415</v>
      </c>
      <c r="U559" s="35"/>
      <c r="V559" s="30">
        <v>1863</v>
      </c>
      <c r="W559" s="35" t="s">
        <v>402</v>
      </c>
      <c r="X559" s="35" t="s">
        <v>194</v>
      </c>
      <c r="Y559" s="30">
        <v>1</v>
      </c>
      <c r="Z559" s="35"/>
      <c r="AA559" s="35"/>
      <c r="AB559" s="35"/>
      <c r="AC559" s="35"/>
      <c r="AD559" s="35"/>
      <c r="AE559" s="35"/>
      <c r="AF559" s="35"/>
      <c r="AG559" s="35"/>
      <c r="AH559" s="30" t="s">
        <v>4714</v>
      </c>
      <c r="AI559" s="35" t="s">
        <v>16510</v>
      </c>
      <c r="AJ559" s="62" t="str">
        <f>MID('I kw.22'!W559,8,6)</f>
        <v>241205</v>
      </c>
      <c r="AK559" s="62">
        <v>1</v>
      </c>
      <c r="AL559" s="62">
        <f t="shared" si="8"/>
        <v>1</v>
      </c>
      <c r="AM559" s="62">
        <v>1</v>
      </c>
    </row>
    <row r="560" spans="1:39" x14ac:dyDescent="0.25">
      <c r="A560" s="35" t="s">
        <v>14637</v>
      </c>
      <c r="B560" s="35" t="s">
        <v>14638</v>
      </c>
      <c r="C560" s="35" t="s">
        <v>16509</v>
      </c>
      <c r="D560" s="35" t="s">
        <v>16307</v>
      </c>
      <c r="E560" s="35" t="s">
        <v>192</v>
      </c>
      <c r="F560" s="62">
        <v>1</v>
      </c>
      <c r="G560" s="30" t="s">
        <v>193</v>
      </c>
      <c r="H560" s="30" t="s">
        <v>194</v>
      </c>
      <c r="I560" s="30" t="s">
        <v>16066</v>
      </c>
      <c r="J560" s="35" t="s">
        <v>1889</v>
      </c>
      <c r="K560" s="35">
        <v>18</v>
      </c>
      <c r="L560" s="35" t="s">
        <v>6955</v>
      </c>
      <c r="M560" s="35"/>
      <c r="N560" s="35" t="s">
        <v>16508</v>
      </c>
      <c r="O560" s="35" t="s">
        <v>6275</v>
      </c>
      <c r="P560" s="35" t="s">
        <v>16394</v>
      </c>
      <c r="Q560" s="35" t="s">
        <v>16393</v>
      </c>
      <c r="R560" s="35" t="s">
        <v>16397</v>
      </c>
      <c r="S560" s="35">
        <v>2363439</v>
      </c>
      <c r="T560" s="35">
        <v>33996443</v>
      </c>
      <c r="U560" s="35"/>
      <c r="V560" s="30">
        <v>1803</v>
      </c>
      <c r="W560" s="35" t="s">
        <v>1425</v>
      </c>
      <c r="X560" s="35" t="s">
        <v>194</v>
      </c>
      <c r="Y560" s="30">
        <v>1</v>
      </c>
      <c r="Z560" s="35"/>
      <c r="AA560" s="35"/>
      <c r="AB560" s="35"/>
      <c r="AC560" s="35"/>
      <c r="AD560" s="35"/>
      <c r="AE560" s="35"/>
      <c r="AF560" s="35"/>
      <c r="AG560" s="35"/>
      <c r="AH560" s="30" t="s">
        <v>4714</v>
      </c>
      <c r="AI560" s="35" t="s">
        <v>14638</v>
      </c>
      <c r="AJ560" s="62" t="str">
        <f>MID('I kw.22'!W560,8,6)</f>
        <v>723310</v>
      </c>
      <c r="AK560" s="62">
        <v>1</v>
      </c>
      <c r="AL560" s="62">
        <f t="shared" si="8"/>
        <v>1</v>
      </c>
      <c r="AM560" s="62">
        <v>1</v>
      </c>
    </row>
    <row r="561" spans="1:39" x14ac:dyDescent="0.25">
      <c r="A561" s="35" t="s">
        <v>8166</v>
      </c>
      <c r="B561" s="35" t="s">
        <v>5611</v>
      </c>
      <c r="C561" s="35" t="s">
        <v>4580</v>
      </c>
      <c r="D561" s="35" t="s">
        <v>16307</v>
      </c>
      <c r="E561" s="35" t="s">
        <v>192</v>
      </c>
      <c r="F561" s="62">
        <v>1</v>
      </c>
      <c r="G561" s="30" t="s">
        <v>193</v>
      </c>
      <c r="H561" s="30" t="s">
        <v>194</v>
      </c>
      <c r="I561" s="30" t="s">
        <v>16066</v>
      </c>
      <c r="J561" s="35" t="s">
        <v>210</v>
      </c>
      <c r="K561" s="35">
        <v>18</v>
      </c>
      <c r="L561" s="35" t="s">
        <v>6955</v>
      </c>
      <c r="M561" s="35"/>
      <c r="N561" s="35" t="s">
        <v>16507</v>
      </c>
      <c r="O561" s="35" t="s">
        <v>6275</v>
      </c>
      <c r="P561" s="35" t="s">
        <v>16394</v>
      </c>
      <c r="Q561" s="35" t="s">
        <v>16393</v>
      </c>
      <c r="R561" s="35" t="s">
        <v>16397</v>
      </c>
      <c r="S561" s="35">
        <v>2363518</v>
      </c>
      <c r="T561" s="35">
        <v>33996522</v>
      </c>
      <c r="U561" s="35"/>
      <c r="V561" s="30">
        <v>1863</v>
      </c>
      <c r="W561" s="35" t="s">
        <v>4581</v>
      </c>
      <c r="X561" s="35" t="s">
        <v>194</v>
      </c>
      <c r="Y561" s="30">
        <v>1</v>
      </c>
      <c r="Z561" s="35"/>
      <c r="AA561" s="35"/>
      <c r="AB561" s="35"/>
      <c r="AC561" s="35"/>
      <c r="AD561" s="35"/>
      <c r="AE561" s="35"/>
      <c r="AF561" s="35"/>
      <c r="AG561" s="35"/>
      <c r="AH561" s="30" t="s">
        <v>4714</v>
      </c>
      <c r="AI561" s="35" t="s">
        <v>5611</v>
      </c>
      <c r="AJ561" s="62" t="str">
        <f>MID('I kw.22'!W561,8,6)</f>
        <v>712703</v>
      </c>
      <c r="AK561" s="62">
        <v>1</v>
      </c>
      <c r="AL561" s="62">
        <f t="shared" si="8"/>
        <v>1</v>
      </c>
      <c r="AM561" s="62">
        <v>1</v>
      </c>
    </row>
    <row r="562" spans="1:39" x14ac:dyDescent="0.25">
      <c r="A562" s="35" t="s">
        <v>1707</v>
      </c>
      <c r="B562" s="35" t="s">
        <v>16505</v>
      </c>
      <c r="C562" s="35" t="s">
        <v>43</v>
      </c>
      <c r="D562" s="35" t="s">
        <v>16307</v>
      </c>
      <c r="E562" s="35" t="s">
        <v>192</v>
      </c>
      <c r="F562" s="62">
        <v>1</v>
      </c>
      <c r="G562" s="30" t="s">
        <v>193</v>
      </c>
      <c r="H562" s="30" t="s">
        <v>194</v>
      </c>
      <c r="I562" s="30" t="s">
        <v>16068</v>
      </c>
      <c r="J562" s="35" t="s">
        <v>4751</v>
      </c>
      <c r="K562" s="35">
        <v>18</v>
      </c>
      <c r="L562" s="35" t="s">
        <v>6955</v>
      </c>
      <c r="M562" s="35"/>
      <c r="N562" s="35" t="s">
        <v>16506</v>
      </c>
      <c r="O562" s="35" t="s">
        <v>6249</v>
      </c>
      <c r="P562" s="35" t="s">
        <v>16394</v>
      </c>
      <c r="Q562" s="35" t="s">
        <v>16393</v>
      </c>
      <c r="R562" s="35" t="s">
        <v>16397</v>
      </c>
      <c r="S562" s="35">
        <v>2363541</v>
      </c>
      <c r="T562" s="35">
        <v>33996545</v>
      </c>
      <c r="U562" s="35"/>
      <c r="V562" s="30">
        <v>1862</v>
      </c>
      <c r="W562" s="35" t="s">
        <v>452</v>
      </c>
      <c r="X562" s="35" t="s">
        <v>194</v>
      </c>
      <c r="Y562" s="30">
        <v>1</v>
      </c>
      <c r="Z562" s="35"/>
      <c r="AA562" s="35"/>
      <c r="AB562" s="35"/>
      <c r="AC562" s="35"/>
      <c r="AD562" s="35"/>
      <c r="AE562" s="35"/>
      <c r="AF562" s="35"/>
      <c r="AG562" s="35"/>
      <c r="AH562" s="30" t="s">
        <v>4714</v>
      </c>
      <c r="AI562" s="35" t="s">
        <v>16505</v>
      </c>
      <c r="AJ562" s="62" t="str">
        <f>MID('I kw.22'!W562,8,6)</f>
        <v>243106</v>
      </c>
      <c r="AK562" s="62">
        <v>1</v>
      </c>
      <c r="AL562" s="62">
        <f t="shared" si="8"/>
        <v>1</v>
      </c>
      <c r="AM562" s="62">
        <v>1</v>
      </c>
    </row>
    <row r="563" spans="1:39" x14ac:dyDescent="0.25">
      <c r="A563" s="35" t="s">
        <v>16504</v>
      </c>
      <c r="B563" s="35" t="s">
        <v>67</v>
      </c>
      <c r="C563" s="35" t="s">
        <v>67</v>
      </c>
      <c r="D563" s="35" t="s">
        <v>16307</v>
      </c>
      <c r="E563" s="35" t="s">
        <v>192</v>
      </c>
      <c r="F563" s="62">
        <v>1</v>
      </c>
      <c r="G563" s="30" t="s">
        <v>193</v>
      </c>
      <c r="H563" s="30" t="s">
        <v>194</v>
      </c>
      <c r="I563" s="30" t="s">
        <v>16052</v>
      </c>
      <c r="J563" s="35" t="s">
        <v>962</v>
      </c>
      <c r="K563" s="35">
        <v>18</v>
      </c>
      <c r="L563" s="35" t="s">
        <v>6955</v>
      </c>
      <c r="M563" s="35"/>
      <c r="N563" s="35" t="s">
        <v>16503</v>
      </c>
      <c r="O563" s="35" t="s">
        <v>6275</v>
      </c>
      <c r="P563" s="35" t="s">
        <v>16394</v>
      </c>
      <c r="Q563" s="35" t="s">
        <v>16393</v>
      </c>
      <c r="R563" s="35" t="s">
        <v>16397</v>
      </c>
      <c r="S563" s="35">
        <v>2363549</v>
      </c>
      <c r="T563" s="35">
        <v>33996553</v>
      </c>
      <c r="U563" s="35"/>
      <c r="V563" s="30">
        <v>1806</v>
      </c>
      <c r="W563" s="35" t="s">
        <v>709</v>
      </c>
      <c r="X563" s="35" t="s">
        <v>194</v>
      </c>
      <c r="Y563" s="30">
        <v>1</v>
      </c>
      <c r="Z563" s="35"/>
      <c r="AA563" s="35"/>
      <c r="AB563" s="35"/>
      <c r="AC563" s="35"/>
      <c r="AD563" s="35"/>
      <c r="AE563" s="35"/>
      <c r="AF563" s="35"/>
      <c r="AG563" s="35"/>
      <c r="AH563" s="30" t="s">
        <v>4714</v>
      </c>
      <c r="AI563" s="35" t="s">
        <v>67</v>
      </c>
      <c r="AJ563" s="62" t="str">
        <f>MID('I kw.22'!W563,8,6)</f>
        <v>432103</v>
      </c>
      <c r="AK563" s="62">
        <v>1</v>
      </c>
      <c r="AL563" s="62">
        <f t="shared" si="8"/>
        <v>1</v>
      </c>
      <c r="AM563" s="62">
        <v>1</v>
      </c>
    </row>
    <row r="564" spans="1:39" x14ac:dyDescent="0.25">
      <c r="A564" s="35" t="s">
        <v>558</v>
      </c>
      <c r="B564" s="35" t="s">
        <v>856</v>
      </c>
      <c r="C564" s="35" t="s">
        <v>356</v>
      </c>
      <c r="D564" s="35" t="s">
        <v>16307</v>
      </c>
      <c r="E564" s="35" t="s">
        <v>192</v>
      </c>
      <c r="F564" s="62">
        <v>1</v>
      </c>
      <c r="G564" s="30" t="s">
        <v>193</v>
      </c>
      <c r="H564" s="30" t="s">
        <v>194</v>
      </c>
      <c r="I564" s="30" t="s">
        <v>16052</v>
      </c>
      <c r="J564" s="35" t="s">
        <v>210</v>
      </c>
      <c r="K564" s="35">
        <v>18</v>
      </c>
      <c r="L564" s="35" t="s">
        <v>6955</v>
      </c>
      <c r="M564" s="35"/>
      <c r="N564" s="35" t="s">
        <v>16502</v>
      </c>
      <c r="O564" s="35" t="s">
        <v>6275</v>
      </c>
      <c r="P564" s="35" t="s">
        <v>16394</v>
      </c>
      <c r="Q564" s="35" t="s">
        <v>16393</v>
      </c>
      <c r="R564" s="35" t="s">
        <v>16397</v>
      </c>
      <c r="S564" s="35">
        <v>2363571</v>
      </c>
      <c r="T564" s="35">
        <v>33996575</v>
      </c>
      <c r="U564" s="35"/>
      <c r="V564" s="30">
        <v>1863</v>
      </c>
      <c r="W564" s="35" t="s">
        <v>16081</v>
      </c>
      <c r="X564" s="35" t="s">
        <v>194</v>
      </c>
      <c r="Y564" s="30">
        <v>1</v>
      </c>
      <c r="Z564" s="35"/>
      <c r="AA564" s="35"/>
      <c r="AB564" s="35"/>
      <c r="AC564" s="35"/>
      <c r="AD564" s="35"/>
      <c r="AE564" s="35"/>
      <c r="AF564" s="35"/>
      <c r="AG564" s="35"/>
      <c r="AH564" s="30" t="s">
        <v>4714</v>
      </c>
      <c r="AI564" s="35" t="s">
        <v>856</v>
      </c>
      <c r="AJ564" s="62" t="str">
        <f>MID('I kw.22'!W564,8,6)</f>
        <v>754903</v>
      </c>
      <c r="AK564" s="62">
        <v>1</v>
      </c>
      <c r="AL564" s="62">
        <f t="shared" si="8"/>
        <v>1</v>
      </c>
      <c r="AM564" s="62">
        <v>1</v>
      </c>
    </row>
    <row r="565" spans="1:39" x14ac:dyDescent="0.25">
      <c r="A565" s="35" t="s">
        <v>15169</v>
      </c>
      <c r="B565" s="35" t="s">
        <v>2426</v>
      </c>
      <c r="C565" s="35" t="s">
        <v>14131</v>
      </c>
      <c r="D565" s="35" t="s">
        <v>16307</v>
      </c>
      <c r="E565" s="35" t="s">
        <v>192</v>
      </c>
      <c r="F565" s="62">
        <v>1</v>
      </c>
      <c r="G565" s="30" t="s">
        <v>193</v>
      </c>
      <c r="H565" s="30" t="s">
        <v>194</v>
      </c>
      <c r="I565" s="30" t="s">
        <v>16078</v>
      </c>
      <c r="J565" s="35" t="s">
        <v>210</v>
      </c>
      <c r="K565" s="35">
        <v>18</v>
      </c>
      <c r="L565" s="35" t="s">
        <v>6955</v>
      </c>
      <c r="M565" s="35"/>
      <c r="N565" s="35" t="s">
        <v>16501</v>
      </c>
      <c r="O565" s="35" t="s">
        <v>6340</v>
      </c>
      <c r="P565" s="35" t="s">
        <v>16394</v>
      </c>
      <c r="Q565" s="35" t="s">
        <v>16393</v>
      </c>
      <c r="R565" s="35" t="s">
        <v>16397</v>
      </c>
      <c r="S565" s="35">
        <v>2363615</v>
      </c>
      <c r="T565" s="35">
        <v>33996619</v>
      </c>
      <c r="U565" s="35"/>
      <c r="V565" s="30">
        <v>1863</v>
      </c>
      <c r="W565" s="35" t="s">
        <v>14135</v>
      </c>
      <c r="X565" s="35" t="s">
        <v>194</v>
      </c>
      <c r="Y565" s="30">
        <v>1</v>
      </c>
      <c r="Z565" s="35"/>
      <c r="AA565" s="35"/>
      <c r="AB565" s="35"/>
      <c r="AC565" s="35"/>
      <c r="AD565" s="35"/>
      <c r="AE565" s="35"/>
      <c r="AF565" s="35"/>
      <c r="AG565" s="35"/>
      <c r="AH565" s="30" t="s">
        <v>4714</v>
      </c>
      <c r="AI565" s="35" t="s">
        <v>2426</v>
      </c>
      <c r="AJ565" s="62" t="str">
        <f>MID('I kw.22'!W565,8,6)</f>
        <v>122104</v>
      </c>
      <c r="AK565" s="62">
        <v>1</v>
      </c>
      <c r="AL565" s="62">
        <f t="shared" si="8"/>
        <v>1</v>
      </c>
      <c r="AM565" s="62">
        <v>1</v>
      </c>
    </row>
    <row r="566" spans="1:39" x14ac:dyDescent="0.25">
      <c r="A566" s="35" t="s">
        <v>1523</v>
      </c>
      <c r="B566" s="35" t="s">
        <v>2849</v>
      </c>
      <c r="C566" s="35" t="s">
        <v>10</v>
      </c>
      <c r="D566" s="35" t="s">
        <v>16307</v>
      </c>
      <c r="E566" s="35" t="s">
        <v>192</v>
      </c>
      <c r="F566" s="62">
        <v>1</v>
      </c>
      <c r="G566" s="30" t="s">
        <v>193</v>
      </c>
      <c r="H566" s="30" t="s">
        <v>194</v>
      </c>
      <c r="I566" s="30" t="s">
        <v>16083</v>
      </c>
      <c r="J566" s="35" t="s">
        <v>210</v>
      </c>
      <c r="K566" s="35">
        <v>18</v>
      </c>
      <c r="L566" s="35" t="s">
        <v>6955</v>
      </c>
      <c r="M566" s="35"/>
      <c r="N566" s="35" t="s">
        <v>16500</v>
      </c>
      <c r="O566" s="35" t="s">
        <v>6921</v>
      </c>
      <c r="P566" s="35" t="s">
        <v>16394</v>
      </c>
      <c r="Q566" s="35" t="s">
        <v>16393</v>
      </c>
      <c r="R566" s="35" t="s">
        <v>16397</v>
      </c>
      <c r="S566" s="35">
        <v>2363666</v>
      </c>
      <c r="T566" s="35">
        <v>33996670</v>
      </c>
      <c r="U566" s="35"/>
      <c r="V566" s="30">
        <v>1863</v>
      </c>
      <c r="W566" s="35" t="s">
        <v>484</v>
      </c>
      <c r="X566" s="35" t="s">
        <v>194</v>
      </c>
      <c r="Y566" s="30">
        <v>1</v>
      </c>
      <c r="Z566" s="35"/>
      <c r="AA566" s="35"/>
      <c r="AB566" s="35"/>
      <c r="AC566" s="35"/>
      <c r="AD566" s="35"/>
      <c r="AE566" s="35"/>
      <c r="AF566" s="35"/>
      <c r="AG566" s="35"/>
      <c r="AH566" s="30" t="s">
        <v>4714</v>
      </c>
      <c r="AI566" s="35" t="s">
        <v>2849</v>
      </c>
      <c r="AJ566" s="62" t="str">
        <f>MID('I kw.22'!W566,8,6)</f>
        <v>251401</v>
      </c>
      <c r="AK566" s="62">
        <v>1</v>
      </c>
      <c r="AL566" s="62">
        <f t="shared" si="8"/>
        <v>1</v>
      </c>
      <c r="AM566" s="62">
        <v>1</v>
      </c>
    </row>
    <row r="567" spans="1:39" x14ac:dyDescent="0.25">
      <c r="A567" s="35" t="s">
        <v>2567</v>
      </c>
      <c r="B567" s="35" t="s">
        <v>261</v>
      </c>
      <c r="C567" s="35" t="s">
        <v>74</v>
      </c>
      <c r="D567" s="35" t="s">
        <v>16307</v>
      </c>
      <c r="E567" s="35" t="s">
        <v>192</v>
      </c>
      <c r="F567" s="62">
        <v>1</v>
      </c>
      <c r="G567" s="30" t="s">
        <v>193</v>
      </c>
      <c r="H567" s="30" t="s">
        <v>194</v>
      </c>
      <c r="I567" s="30" t="s">
        <v>16073</v>
      </c>
      <c r="J567" s="35" t="s">
        <v>4266</v>
      </c>
      <c r="K567" s="35">
        <v>18</v>
      </c>
      <c r="L567" s="35" t="s">
        <v>6955</v>
      </c>
      <c r="M567" s="35"/>
      <c r="N567" s="35" t="s">
        <v>16499</v>
      </c>
      <c r="O567" s="35" t="s">
        <v>6249</v>
      </c>
      <c r="P567" s="35" t="s">
        <v>16394</v>
      </c>
      <c r="Q567" s="35" t="s">
        <v>16393</v>
      </c>
      <c r="R567" s="35" t="s">
        <v>16397</v>
      </c>
      <c r="S567" s="35">
        <v>2363680</v>
      </c>
      <c r="T567" s="35">
        <v>33996684</v>
      </c>
      <c r="U567" s="35"/>
      <c r="V567" s="30">
        <v>1803</v>
      </c>
      <c r="W567" s="35" t="s">
        <v>246</v>
      </c>
      <c r="X567" s="35" t="s">
        <v>194</v>
      </c>
      <c r="Y567" s="30">
        <v>1</v>
      </c>
      <c r="Z567" s="35"/>
      <c r="AA567" s="35"/>
      <c r="AB567" s="35"/>
      <c r="AC567" s="35"/>
      <c r="AD567" s="35"/>
      <c r="AE567" s="35"/>
      <c r="AF567" s="35"/>
      <c r="AG567" s="35"/>
      <c r="AH567" s="30" t="s">
        <v>4714</v>
      </c>
      <c r="AI567" s="35" t="s">
        <v>261</v>
      </c>
      <c r="AJ567" s="62" t="str">
        <f>MID('I kw.22'!W567,8,6)</f>
        <v>142004</v>
      </c>
      <c r="AK567" s="62">
        <v>1</v>
      </c>
      <c r="AL567" s="62">
        <f t="shared" si="8"/>
        <v>1</v>
      </c>
      <c r="AM567" s="62">
        <v>1</v>
      </c>
    </row>
    <row r="568" spans="1:39" x14ac:dyDescent="0.25">
      <c r="A568" s="35" t="s">
        <v>16497</v>
      </c>
      <c r="B568" s="35" t="s">
        <v>16495</v>
      </c>
      <c r="C568" s="35" t="s">
        <v>1384</v>
      </c>
      <c r="D568" s="35" t="s">
        <v>16307</v>
      </c>
      <c r="E568" s="35" t="s">
        <v>192</v>
      </c>
      <c r="F568" s="62">
        <v>1</v>
      </c>
      <c r="G568" s="30" t="s">
        <v>193</v>
      </c>
      <c r="H568" s="30" t="s">
        <v>194</v>
      </c>
      <c r="I568" s="30" t="s">
        <v>16121</v>
      </c>
      <c r="J568" s="35" t="s">
        <v>385</v>
      </c>
      <c r="K568" s="35">
        <v>18</v>
      </c>
      <c r="L568" s="35" t="s">
        <v>6955</v>
      </c>
      <c r="M568" s="35"/>
      <c r="N568" s="35" t="s">
        <v>16498</v>
      </c>
      <c r="O568" s="35" t="s">
        <v>6340</v>
      </c>
      <c r="P568" s="35" t="s">
        <v>16394</v>
      </c>
      <c r="Q568" s="35" t="s">
        <v>16393</v>
      </c>
      <c r="R568" s="35" t="s">
        <v>16397</v>
      </c>
      <c r="S568" s="35">
        <v>2363757</v>
      </c>
      <c r="T568" s="35">
        <v>33996761</v>
      </c>
      <c r="U568" s="35"/>
      <c r="V568" s="30">
        <v>1861</v>
      </c>
      <c r="W568" s="35" t="s">
        <v>1385</v>
      </c>
      <c r="X568" s="35" t="s">
        <v>194</v>
      </c>
      <c r="Y568" s="30">
        <v>1</v>
      </c>
      <c r="Z568" s="35"/>
      <c r="AA568" s="35"/>
      <c r="AB568" s="35"/>
      <c r="AC568" s="35"/>
      <c r="AD568" s="35"/>
      <c r="AE568" s="35"/>
      <c r="AF568" s="35"/>
      <c r="AG568" s="35"/>
      <c r="AH568" s="30" t="s">
        <v>4714</v>
      </c>
      <c r="AI568" s="35" t="s">
        <v>16495</v>
      </c>
      <c r="AJ568" s="62" t="str">
        <f>MID('I kw.22'!W568,8,6)</f>
        <v>235915</v>
      </c>
      <c r="AK568" s="62">
        <v>1</v>
      </c>
      <c r="AL568" s="62">
        <f t="shared" si="8"/>
        <v>1</v>
      </c>
      <c r="AM568" s="62">
        <v>1</v>
      </c>
    </row>
    <row r="569" spans="1:39" x14ac:dyDescent="0.25">
      <c r="A569" s="35" t="s">
        <v>16497</v>
      </c>
      <c r="B569" s="35" t="s">
        <v>16495</v>
      </c>
      <c r="C569" s="35" t="s">
        <v>1384</v>
      </c>
      <c r="D569" s="35" t="s">
        <v>16307</v>
      </c>
      <c r="E569" s="35" t="s">
        <v>192</v>
      </c>
      <c r="F569" s="62">
        <v>1</v>
      </c>
      <c r="G569" s="30" t="s">
        <v>193</v>
      </c>
      <c r="H569" s="30" t="s">
        <v>194</v>
      </c>
      <c r="I569" s="30" t="s">
        <v>16121</v>
      </c>
      <c r="J569" s="35" t="s">
        <v>210</v>
      </c>
      <c r="K569" s="35">
        <v>18</v>
      </c>
      <c r="L569" s="35" t="s">
        <v>6955</v>
      </c>
      <c r="M569" s="35"/>
      <c r="N569" s="35" t="s">
        <v>16496</v>
      </c>
      <c r="O569" s="35" t="s">
        <v>6340</v>
      </c>
      <c r="P569" s="35" t="s">
        <v>16394</v>
      </c>
      <c r="Q569" s="35" t="s">
        <v>16393</v>
      </c>
      <c r="R569" s="35" t="s">
        <v>16397</v>
      </c>
      <c r="S569" s="35">
        <v>2363761</v>
      </c>
      <c r="T569" s="35">
        <v>33996765</v>
      </c>
      <c r="U569" s="35"/>
      <c r="V569" s="30">
        <v>1863</v>
      </c>
      <c r="W569" s="35" t="s">
        <v>1385</v>
      </c>
      <c r="X569" s="35" t="s">
        <v>194</v>
      </c>
      <c r="Y569" s="30">
        <v>1</v>
      </c>
      <c r="Z569" s="35"/>
      <c r="AA569" s="35"/>
      <c r="AB569" s="35"/>
      <c r="AC569" s="35"/>
      <c r="AD569" s="35"/>
      <c r="AE569" s="35"/>
      <c r="AF569" s="35"/>
      <c r="AG569" s="35"/>
      <c r="AH569" s="30" t="s">
        <v>4714</v>
      </c>
      <c r="AI569" s="35" t="s">
        <v>16495</v>
      </c>
      <c r="AJ569" s="62" t="str">
        <f>MID('I kw.22'!W569,8,6)</f>
        <v>235915</v>
      </c>
      <c r="AK569" s="62">
        <v>1</v>
      </c>
      <c r="AL569" s="62">
        <f t="shared" si="8"/>
        <v>1</v>
      </c>
      <c r="AM569" s="62">
        <v>1</v>
      </c>
    </row>
    <row r="570" spans="1:39" x14ac:dyDescent="0.25">
      <c r="A570" s="35" t="s">
        <v>16494</v>
      </c>
      <c r="B570" s="35" t="s">
        <v>821</v>
      </c>
      <c r="C570" s="35" t="s">
        <v>822</v>
      </c>
      <c r="D570" s="35" t="s">
        <v>16307</v>
      </c>
      <c r="E570" s="35" t="s">
        <v>192</v>
      </c>
      <c r="F570" s="62">
        <v>1</v>
      </c>
      <c r="G570" s="30" t="s">
        <v>193</v>
      </c>
      <c r="H570" s="30" t="s">
        <v>194</v>
      </c>
      <c r="I570" s="30" t="s">
        <v>16052</v>
      </c>
      <c r="J570" s="35" t="s">
        <v>210</v>
      </c>
      <c r="K570" s="35">
        <v>18</v>
      </c>
      <c r="L570" s="35" t="s">
        <v>6955</v>
      </c>
      <c r="M570" s="35"/>
      <c r="N570" s="35" t="s">
        <v>16493</v>
      </c>
      <c r="O570" s="35" t="s">
        <v>6258</v>
      </c>
      <c r="P570" s="35" t="s">
        <v>16394</v>
      </c>
      <c r="Q570" s="35" t="s">
        <v>16393</v>
      </c>
      <c r="R570" s="35" t="s">
        <v>16397</v>
      </c>
      <c r="S570" s="35">
        <v>2363770</v>
      </c>
      <c r="T570" s="35">
        <v>33996774</v>
      </c>
      <c r="U570" s="35"/>
      <c r="V570" s="30">
        <v>1863</v>
      </c>
      <c r="W570" s="35" t="s">
        <v>823</v>
      </c>
      <c r="X570" s="35" t="s">
        <v>194</v>
      </c>
      <c r="Y570" s="30">
        <v>1</v>
      </c>
      <c r="Z570" s="35"/>
      <c r="AA570" s="35"/>
      <c r="AB570" s="35"/>
      <c r="AC570" s="35"/>
      <c r="AD570" s="35"/>
      <c r="AE570" s="35"/>
      <c r="AF570" s="35"/>
      <c r="AG570" s="35"/>
      <c r="AH570" s="30" t="s">
        <v>4714</v>
      </c>
      <c r="AI570" s="35" t="s">
        <v>821</v>
      </c>
      <c r="AJ570" s="62" t="str">
        <f>MID('I kw.22'!W570,8,6)</f>
        <v>741103</v>
      </c>
      <c r="AK570" s="62">
        <v>1</v>
      </c>
      <c r="AL570" s="62">
        <f t="shared" si="8"/>
        <v>1</v>
      </c>
      <c r="AM570" s="62">
        <v>1</v>
      </c>
    </row>
    <row r="571" spans="1:39" x14ac:dyDescent="0.25">
      <c r="A571" s="35" t="s">
        <v>16431</v>
      </c>
      <c r="B571" s="35" t="s">
        <v>16491</v>
      </c>
      <c r="C571" s="35" t="s">
        <v>3170</v>
      </c>
      <c r="D571" s="35" t="s">
        <v>16307</v>
      </c>
      <c r="E571" s="35" t="s">
        <v>192</v>
      </c>
      <c r="F571" s="62">
        <v>1</v>
      </c>
      <c r="G571" s="30" t="s">
        <v>193</v>
      </c>
      <c r="H571" s="30" t="s">
        <v>194</v>
      </c>
      <c r="I571" s="30" t="s">
        <v>16073</v>
      </c>
      <c r="J571" s="35" t="s">
        <v>367</v>
      </c>
      <c r="K571" s="35">
        <v>18</v>
      </c>
      <c r="L571" s="35" t="s">
        <v>6955</v>
      </c>
      <c r="M571" s="35"/>
      <c r="N571" s="35" t="s">
        <v>16492</v>
      </c>
      <c r="O571" s="35" t="s">
        <v>6261</v>
      </c>
      <c r="P571" s="35" t="s">
        <v>16394</v>
      </c>
      <c r="Q571" s="35" t="s">
        <v>16393</v>
      </c>
      <c r="R571" s="35" t="s">
        <v>16397</v>
      </c>
      <c r="S571" s="35">
        <v>2363788</v>
      </c>
      <c r="T571" s="35">
        <v>33996792</v>
      </c>
      <c r="U571" s="35"/>
      <c r="V571" s="30">
        <v>1805</v>
      </c>
      <c r="W571" s="35" t="s">
        <v>11236</v>
      </c>
      <c r="X571" s="35" t="s">
        <v>194</v>
      </c>
      <c r="Y571" s="30">
        <v>1</v>
      </c>
      <c r="Z571" s="35"/>
      <c r="AA571" s="35"/>
      <c r="AB571" s="35"/>
      <c r="AC571" s="35"/>
      <c r="AD571" s="35"/>
      <c r="AE571" s="35"/>
      <c r="AF571" s="35"/>
      <c r="AG571" s="35"/>
      <c r="AH571" s="30" t="s">
        <v>4714</v>
      </c>
      <c r="AI571" s="35" t="s">
        <v>16491</v>
      </c>
      <c r="AJ571" s="62" t="str">
        <f>MID('I kw.22'!W571,8,6)</f>
        <v>351404</v>
      </c>
      <c r="AK571" s="62">
        <v>1</v>
      </c>
      <c r="AL571" s="62">
        <f t="shared" si="8"/>
        <v>1</v>
      </c>
      <c r="AM571" s="62">
        <v>1</v>
      </c>
    </row>
    <row r="572" spans="1:39" x14ac:dyDescent="0.25">
      <c r="A572" s="35" t="s">
        <v>16431</v>
      </c>
      <c r="B572" s="35" t="s">
        <v>15828</v>
      </c>
      <c r="C572" s="35" t="s">
        <v>778</v>
      </c>
      <c r="D572" s="35" t="s">
        <v>16307</v>
      </c>
      <c r="E572" s="35" t="s">
        <v>192</v>
      </c>
      <c r="F572" s="62">
        <v>1</v>
      </c>
      <c r="G572" s="30" t="s">
        <v>193</v>
      </c>
      <c r="H572" s="30" t="s">
        <v>194</v>
      </c>
      <c r="I572" s="30" t="s">
        <v>16068</v>
      </c>
      <c r="J572" s="35" t="s">
        <v>367</v>
      </c>
      <c r="K572" s="35">
        <v>18</v>
      </c>
      <c r="L572" s="35" t="s">
        <v>6955</v>
      </c>
      <c r="M572" s="35"/>
      <c r="N572" s="35" t="s">
        <v>16490</v>
      </c>
      <c r="O572" s="35" t="s">
        <v>6921</v>
      </c>
      <c r="P572" s="35" t="s">
        <v>16394</v>
      </c>
      <c r="Q572" s="35" t="s">
        <v>16393</v>
      </c>
      <c r="R572" s="35" t="s">
        <v>16397</v>
      </c>
      <c r="S572" s="35">
        <v>2363789</v>
      </c>
      <c r="T572" s="35">
        <v>33996793</v>
      </c>
      <c r="U572" s="35"/>
      <c r="V572" s="30">
        <v>1805</v>
      </c>
      <c r="W572" s="35" t="s">
        <v>779</v>
      </c>
      <c r="X572" s="35" t="s">
        <v>194</v>
      </c>
      <c r="Y572" s="30">
        <v>1</v>
      </c>
      <c r="Z572" s="35"/>
      <c r="AA572" s="35"/>
      <c r="AB572" s="35"/>
      <c r="AC572" s="35"/>
      <c r="AD572" s="35"/>
      <c r="AE572" s="35"/>
      <c r="AF572" s="35"/>
      <c r="AG572" s="35"/>
      <c r="AH572" s="30" t="s">
        <v>4714</v>
      </c>
      <c r="AI572" s="35" t="s">
        <v>15828</v>
      </c>
      <c r="AJ572" s="62" t="str">
        <f>MID('I kw.22'!W572,8,6)</f>
        <v>524902</v>
      </c>
      <c r="AK572" s="62">
        <v>1</v>
      </c>
      <c r="AL572" s="62">
        <f t="shared" si="8"/>
        <v>1</v>
      </c>
      <c r="AM572" s="62">
        <v>1</v>
      </c>
    </row>
    <row r="573" spans="1:39" x14ac:dyDescent="0.25">
      <c r="A573" s="35" t="s">
        <v>16431</v>
      </c>
      <c r="B573" s="35" t="s">
        <v>16488</v>
      </c>
      <c r="C573" s="35" t="s">
        <v>10</v>
      </c>
      <c r="D573" s="35" t="s">
        <v>16307</v>
      </c>
      <c r="E573" s="35" t="s">
        <v>192</v>
      </c>
      <c r="F573" s="62">
        <v>1</v>
      </c>
      <c r="G573" s="30" t="s">
        <v>193</v>
      </c>
      <c r="H573" s="30" t="s">
        <v>194</v>
      </c>
      <c r="I573" s="30" t="s">
        <v>16073</v>
      </c>
      <c r="J573" s="35" t="s">
        <v>367</v>
      </c>
      <c r="K573" s="35">
        <v>18</v>
      </c>
      <c r="L573" s="35" t="s">
        <v>6955</v>
      </c>
      <c r="M573" s="35"/>
      <c r="N573" s="35" t="s">
        <v>16489</v>
      </c>
      <c r="O573" s="35" t="s">
        <v>6921</v>
      </c>
      <c r="P573" s="35" t="s">
        <v>16394</v>
      </c>
      <c r="Q573" s="35" t="s">
        <v>16393</v>
      </c>
      <c r="R573" s="35" t="s">
        <v>16397</v>
      </c>
      <c r="S573" s="35">
        <v>2363792</v>
      </c>
      <c r="T573" s="35">
        <v>33996796</v>
      </c>
      <c r="U573" s="35"/>
      <c r="V573" s="30">
        <v>1805</v>
      </c>
      <c r="W573" s="35" t="s">
        <v>484</v>
      </c>
      <c r="X573" s="35" t="s">
        <v>194</v>
      </c>
      <c r="Y573" s="30">
        <v>1</v>
      </c>
      <c r="Z573" s="35"/>
      <c r="AA573" s="35"/>
      <c r="AB573" s="35"/>
      <c r="AC573" s="35"/>
      <c r="AD573" s="35"/>
      <c r="AE573" s="35"/>
      <c r="AF573" s="35"/>
      <c r="AG573" s="35"/>
      <c r="AH573" s="30" t="s">
        <v>4714</v>
      </c>
      <c r="AI573" s="35" t="s">
        <v>16488</v>
      </c>
      <c r="AJ573" s="62" t="str">
        <f>MID('I kw.22'!W573,8,6)</f>
        <v>251401</v>
      </c>
      <c r="AK573" s="62">
        <v>1</v>
      </c>
      <c r="AL573" s="62">
        <f t="shared" si="8"/>
        <v>1</v>
      </c>
      <c r="AM573" s="62">
        <v>1</v>
      </c>
    </row>
    <row r="574" spans="1:39" x14ac:dyDescent="0.25">
      <c r="A574" s="35" t="s">
        <v>16431</v>
      </c>
      <c r="B574" s="35" t="s">
        <v>16486</v>
      </c>
      <c r="C574" s="35" t="s">
        <v>10</v>
      </c>
      <c r="D574" s="35" t="s">
        <v>16307</v>
      </c>
      <c r="E574" s="35" t="s">
        <v>192</v>
      </c>
      <c r="F574" s="62">
        <v>1</v>
      </c>
      <c r="G574" s="30" t="s">
        <v>193</v>
      </c>
      <c r="H574" s="30" t="s">
        <v>194</v>
      </c>
      <c r="I574" s="30" t="s">
        <v>16121</v>
      </c>
      <c r="J574" s="35" t="s">
        <v>367</v>
      </c>
      <c r="K574" s="35">
        <v>18</v>
      </c>
      <c r="L574" s="35" t="s">
        <v>6955</v>
      </c>
      <c r="M574" s="35"/>
      <c r="N574" s="35" t="s">
        <v>16487</v>
      </c>
      <c r="O574" s="35" t="s">
        <v>6261</v>
      </c>
      <c r="P574" s="35" t="s">
        <v>16394</v>
      </c>
      <c r="Q574" s="35" t="s">
        <v>16393</v>
      </c>
      <c r="R574" s="35" t="s">
        <v>16397</v>
      </c>
      <c r="S574" s="35">
        <v>2363794</v>
      </c>
      <c r="T574" s="35">
        <v>33996798</v>
      </c>
      <c r="U574" s="35"/>
      <c r="V574" s="30">
        <v>1805</v>
      </c>
      <c r="W574" s="35" t="s">
        <v>484</v>
      </c>
      <c r="X574" s="35" t="s">
        <v>194</v>
      </c>
      <c r="Y574" s="30">
        <v>1</v>
      </c>
      <c r="Z574" s="35"/>
      <c r="AA574" s="35"/>
      <c r="AB574" s="35"/>
      <c r="AC574" s="35"/>
      <c r="AD574" s="35"/>
      <c r="AE574" s="35"/>
      <c r="AF574" s="35"/>
      <c r="AG574" s="35"/>
      <c r="AH574" s="30" t="s">
        <v>4714</v>
      </c>
      <c r="AI574" s="35" t="s">
        <v>16486</v>
      </c>
      <c r="AJ574" s="62" t="str">
        <f>MID('I kw.22'!W574,8,6)</f>
        <v>251401</v>
      </c>
      <c r="AK574" s="62">
        <v>1</v>
      </c>
      <c r="AL574" s="62">
        <f t="shared" si="8"/>
        <v>1</v>
      </c>
      <c r="AM574" s="62">
        <v>1</v>
      </c>
    </row>
    <row r="575" spans="1:39" x14ac:dyDescent="0.25">
      <c r="A575" s="35" t="s">
        <v>16431</v>
      </c>
      <c r="B575" s="35" t="s">
        <v>16484</v>
      </c>
      <c r="C575" s="35" t="s">
        <v>3367</v>
      </c>
      <c r="D575" s="35" t="s">
        <v>16307</v>
      </c>
      <c r="E575" s="35" t="s">
        <v>192</v>
      </c>
      <c r="F575" s="62">
        <v>1</v>
      </c>
      <c r="G575" s="30" t="s">
        <v>193</v>
      </c>
      <c r="H575" s="30" t="s">
        <v>194</v>
      </c>
      <c r="I575" s="30" t="s">
        <v>16121</v>
      </c>
      <c r="J575" s="35" t="s">
        <v>367</v>
      </c>
      <c r="K575" s="35">
        <v>18</v>
      </c>
      <c r="L575" s="35" t="s">
        <v>6955</v>
      </c>
      <c r="M575" s="35"/>
      <c r="N575" s="35" t="s">
        <v>16485</v>
      </c>
      <c r="O575" s="35" t="s">
        <v>6921</v>
      </c>
      <c r="P575" s="35" t="s">
        <v>16394</v>
      </c>
      <c r="Q575" s="35" t="s">
        <v>16393</v>
      </c>
      <c r="R575" s="35" t="s">
        <v>16397</v>
      </c>
      <c r="S575" s="35">
        <v>2363799</v>
      </c>
      <c r="T575" s="35">
        <v>33996803</v>
      </c>
      <c r="U575" s="35"/>
      <c r="V575" s="30">
        <v>1805</v>
      </c>
      <c r="W575" s="35" t="s">
        <v>3368</v>
      </c>
      <c r="X575" s="35" t="s">
        <v>194</v>
      </c>
      <c r="Y575" s="30">
        <v>1</v>
      </c>
      <c r="Z575" s="35"/>
      <c r="AA575" s="35"/>
      <c r="AB575" s="35"/>
      <c r="AC575" s="35"/>
      <c r="AD575" s="35"/>
      <c r="AE575" s="35"/>
      <c r="AF575" s="35"/>
      <c r="AG575" s="35"/>
      <c r="AH575" s="30" t="s">
        <v>4714</v>
      </c>
      <c r="AI575" s="35" t="s">
        <v>16484</v>
      </c>
      <c r="AJ575" s="62" t="str">
        <f>MID('I kw.22'!W575,8,6)</f>
        <v>133001</v>
      </c>
      <c r="AK575" s="62">
        <v>1</v>
      </c>
      <c r="AL575" s="62">
        <f t="shared" si="8"/>
        <v>1</v>
      </c>
      <c r="AM575" s="62">
        <v>1</v>
      </c>
    </row>
    <row r="576" spans="1:39" x14ac:dyDescent="0.25">
      <c r="A576" s="35" t="s">
        <v>16483</v>
      </c>
      <c r="B576" s="35" t="s">
        <v>565</v>
      </c>
      <c r="C576" s="35" t="s">
        <v>15245</v>
      </c>
      <c r="D576" s="35" t="s">
        <v>16307</v>
      </c>
      <c r="E576" s="35" t="s">
        <v>192</v>
      </c>
      <c r="F576" s="62">
        <v>1</v>
      </c>
      <c r="G576" s="30" t="s">
        <v>193</v>
      </c>
      <c r="H576" s="30" t="s">
        <v>194</v>
      </c>
      <c r="I576" s="30" t="s">
        <v>16073</v>
      </c>
      <c r="J576" s="35" t="s">
        <v>210</v>
      </c>
      <c r="K576" s="35">
        <v>18</v>
      </c>
      <c r="L576" s="35" t="s">
        <v>6955</v>
      </c>
      <c r="M576" s="35"/>
      <c r="N576" s="35" t="s">
        <v>16482</v>
      </c>
      <c r="O576" s="35" t="s">
        <v>6275</v>
      </c>
      <c r="P576" s="35" t="s">
        <v>16394</v>
      </c>
      <c r="Q576" s="35" t="s">
        <v>16393</v>
      </c>
      <c r="R576" s="35" t="s">
        <v>16397</v>
      </c>
      <c r="S576" s="35">
        <v>2363822</v>
      </c>
      <c r="T576" s="35">
        <v>33996826</v>
      </c>
      <c r="U576" s="35"/>
      <c r="V576" s="30">
        <v>1863</v>
      </c>
      <c r="W576" s="35" t="s">
        <v>15249</v>
      </c>
      <c r="X576" s="35" t="s">
        <v>194</v>
      </c>
      <c r="Y576" s="30">
        <v>1</v>
      </c>
      <c r="Z576" s="35"/>
      <c r="AA576" s="35"/>
      <c r="AB576" s="35"/>
      <c r="AC576" s="35"/>
      <c r="AD576" s="35"/>
      <c r="AE576" s="35"/>
      <c r="AF576" s="35"/>
      <c r="AG576" s="35"/>
      <c r="AH576" s="30" t="s">
        <v>4714</v>
      </c>
      <c r="AI576" s="35" t="s">
        <v>565</v>
      </c>
      <c r="AJ576" s="62" t="str">
        <f>MID('I kw.22'!W576,8,6)</f>
        <v>832201</v>
      </c>
      <c r="AK576" s="62">
        <v>1</v>
      </c>
      <c r="AL576" s="62">
        <f t="shared" si="8"/>
        <v>1</v>
      </c>
      <c r="AM576" s="62">
        <v>1</v>
      </c>
    </row>
    <row r="577" spans="1:39" x14ac:dyDescent="0.25">
      <c r="A577" s="35" t="s">
        <v>382</v>
      </c>
      <c r="B577" s="35" t="s">
        <v>2654</v>
      </c>
      <c r="C577" s="35" t="s">
        <v>133</v>
      </c>
      <c r="D577" s="35" t="s">
        <v>16307</v>
      </c>
      <c r="E577" s="35" t="s">
        <v>192</v>
      </c>
      <c r="F577" s="62">
        <v>1</v>
      </c>
      <c r="G577" s="30" t="s">
        <v>193</v>
      </c>
      <c r="H577" s="30" t="s">
        <v>194</v>
      </c>
      <c r="I577" s="30" t="s">
        <v>16121</v>
      </c>
      <c r="J577" s="35" t="s">
        <v>4786</v>
      </c>
      <c r="K577" s="35">
        <v>18</v>
      </c>
      <c r="L577" s="35" t="s">
        <v>6955</v>
      </c>
      <c r="M577" s="35"/>
      <c r="N577" s="35" t="s">
        <v>16481</v>
      </c>
      <c r="O577" s="35" t="s">
        <v>6266</v>
      </c>
      <c r="P577" s="35" t="s">
        <v>16394</v>
      </c>
      <c r="Q577" s="35" t="s">
        <v>16393</v>
      </c>
      <c r="R577" s="35" t="s">
        <v>16397</v>
      </c>
      <c r="S577" s="35">
        <v>2363874</v>
      </c>
      <c r="T577" s="35">
        <v>33996878</v>
      </c>
      <c r="U577" s="35"/>
      <c r="V577" s="30">
        <v>1816</v>
      </c>
      <c r="W577" s="35" t="s">
        <v>673</v>
      </c>
      <c r="X577" s="35" t="s">
        <v>194</v>
      </c>
      <c r="Y577" s="30">
        <v>1</v>
      </c>
      <c r="Z577" s="35"/>
      <c r="AA577" s="35"/>
      <c r="AB577" s="35"/>
      <c r="AC577" s="35"/>
      <c r="AD577" s="35"/>
      <c r="AE577" s="35"/>
      <c r="AF577" s="35"/>
      <c r="AG577" s="35"/>
      <c r="AH577" s="30" t="s">
        <v>4714</v>
      </c>
      <c r="AI577" s="35" t="s">
        <v>2654</v>
      </c>
      <c r="AJ577" s="62" t="str">
        <f>MID('I kw.22'!W577,8,6)</f>
        <v>333107</v>
      </c>
      <c r="AK577" s="62">
        <v>1</v>
      </c>
      <c r="AL577" s="62">
        <f t="shared" si="8"/>
        <v>1</v>
      </c>
      <c r="AM577" s="62">
        <v>1</v>
      </c>
    </row>
    <row r="578" spans="1:39" x14ac:dyDescent="0.25">
      <c r="A578" s="35" t="s">
        <v>382</v>
      </c>
      <c r="B578" s="35" t="s">
        <v>2654</v>
      </c>
      <c r="C578" s="35" t="s">
        <v>133</v>
      </c>
      <c r="D578" s="35" t="s">
        <v>16307</v>
      </c>
      <c r="E578" s="35" t="s">
        <v>192</v>
      </c>
      <c r="F578" s="62">
        <v>1</v>
      </c>
      <c r="G578" s="30" t="s">
        <v>193</v>
      </c>
      <c r="H578" s="30" t="s">
        <v>194</v>
      </c>
      <c r="I578" s="30" t="s">
        <v>16121</v>
      </c>
      <c r="J578" s="35" t="s">
        <v>210</v>
      </c>
      <c r="K578" s="35">
        <v>18</v>
      </c>
      <c r="L578" s="35" t="s">
        <v>6955</v>
      </c>
      <c r="M578" s="35"/>
      <c r="N578" s="35" t="s">
        <v>16480</v>
      </c>
      <c r="O578" s="35" t="s">
        <v>6266</v>
      </c>
      <c r="P578" s="35" t="s">
        <v>16394</v>
      </c>
      <c r="Q578" s="35" t="s">
        <v>16393</v>
      </c>
      <c r="R578" s="35" t="s">
        <v>16397</v>
      </c>
      <c r="S578" s="35">
        <v>2363875</v>
      </c>
      <c r="T578" s="35">
        <v>33996879</v>
      </c>
      <c r="U578" s="35"/>
      <c r="V578" s="30">
        <v>1863</v>
      </c>
      <c r="W578" s="35" t="s">
        <v>673</v>
      </c>
      <c r="X578" s="35" t="s">
        <v>194</v>
      </c>
      <c r="Y578" s="30">
        <v>1</v>
      </c>
      <c r="Z578" s="35"/>
      <c r="AA578" s="35"/>
      <c r="AB578" s="35"/>
      <c r="AC578" s="35"/>
      <c r="AD578" s="35"/>
      <c r="AE578" s="35"/>
      <c r="AF578" s="35"/>
      <c r="AG578" s="35"/>
      <c r="AH578" s="30" t="s">
        <v>4714</v>
      </c>
      <c r="AI578" s="35" t="s">
        <v>2654</v>
      </c>
      <c r="AJ578" s="62" t="str">
        <f>MID('I kw.22'!W578,8,6)</f>
        <v>333107</v>
      </c>
      <c r="AK578" s="62">
        <v>1</v>
      </c>
      <c r="AL578" s="62">
        <f t="shared" si="8"/>
        <v>1</v>
      </c>
      <c r="AM578" s="62">
        <v>1</v>
      </c>
    </row>
    <row r="579" spans="1:39" x14ac:dyDescent="0.25">
      <c r="A579" s="35" t="s">
        <v>382</v>
      </c>
      <c r="B579" s="35" t="s">
        <v>2654</v>
      </c>
      <c r="C579" s="35" t="s">
        <v>133</v>
      </c>
      <c r="D579" s="35" t="s">
        <v>16307</v>
      </c>
      <c r="E579" s="35" t="s">
        <v>192</v>
      </c>
      <c r="F579" s="62">
        <v>1</v>
      </c>
      <c r="G579" s="30" t="s">
        <v>193</v>
      </c>
      <c r="H579" s="30" t="s">
        <v>194</v>
      </c>
      <c r="I579" s="30" t="s">
        <v>16121</v>
      </c>
      <c r="J579" s="35" t="s">
        <v>253</v>
      </c>
      <c r="K579" s="35">
        <v>18</v>
      </c>
      <c r="L579" s="35" t="s">
        <v>6955</v>
      </c>
      <c r="M579" s="35"/>
      <c r="N579" s="35" t="s">
        <v>16479</v>
      </c>
      <c r="O579" s="35" t="s">
        <v>6266</v>
      </c>
      <c r="P579" s="35" t="s">
        <v>16394</v>
      </c>
      <c r="Q579" s="35" t="s">
        <v>16393</v>
      </c>
      <c r="R579" s="35" t="s">
        <v>16397</v>
      </c>
      <c r="S579" s="35">
        <v>2363876</v>
      </c>
      <c r="T579" s="35">
        <v>33996880</v>
      </c>
      <c r="U579" s="35"/>
      <c r="V579" s="30">
        <v>1811</v>
      </c>
      <c r="W579" s="35" t="s">
        <v>673</v>
      </c>
      <c r="X579" s="35" t="s">
        <v>194</v>
      </c>
      <c r="Y579" s="30">
        <v>1</v>
      </c>
      <c r="Z579" s="35"/>
      <c r="AA579" s="35"/>
      <c r="AB579" s="35"/>
      <c r="AC579" s="35"/>
      <c r="AD579" s="35"/>
      <c r="AE579" s="35"/>
      <c r="AF579" s="35"/>
      <c r="AG579" s="35"/>
      <c r="AH579" s="30" t="s">
        <v>4714</v>
      </c>
      <c r="AI579" s="35" t="s">
        <v>2654</v>
      </c>
      <c r="AJ579" s="62" t="str">
        <f>MID('I kw.22'!W579,8,6)</f>
        <v>333107</v>
      </c>
      <c r="AK579" s="62">
        <v>1</v>
      </c>
      <c r="AL579" s="62">
        <f t="shared" ref="AL579:AL642" si="9">SUM(F579)</f>
        <v>1</v>
      </c>
      <c r="AM579" s="62">
        <v>1</v>
      </c>
    </row>
    <row r="580" spans="1:39" x14ac:dyDescent="0.25">
      <c r="A580" s="35" t="s">
        <v>382</v>
      </c>
      <c r="B580" s="35" t="s">
        <v>2654</v>
      </c>
      <c r="C580" s="35" t="s">
        <v>133</v>
      </c>
      <c r="D580" s="35" t="s">
        <v>16307</v>
      </c>
      <c r="E580" s="35" t="s">
        <v>192</v>
      </c>
      <c r="F580" s="62">
        <v>1</v>
      </c>
      <c r="G580" s="30" t="s">
        <v>193</v>
      </c>
      <c r="H580" s="30" t="s">
        <v>194</v>
      </c>
      <c r="I580" s="30" t="s">
        <v>16121</v>
      </c>
      <c r="J580" s="35" t="s">
        <v>385</v>
      </c>
      <c r="K580" s="35">
        <v>18</v>
      </c>
      <c r="L580" s="35" t="s">
        <v>6955</v>
      </c>
      <c r="M580" s="35"/>
      <c r="N580" s="35" t="s">
        <v>16478</v>
      </c>
      <c r="O580" s="35" t="s">
        <v>6266</v>
      </c>
      <c r="P580" s="35" t="s">
        <v>16394</v>
      </c>
      <c r="Q580" s="35" t="s">
        <v>16393</v>
      </c>
      <c r="R580" s="35" t="s">
        <v>16397</v>
      </c>
      <c r="S580" s="35">
        <v>2363877</v>
      </c>
      <c r="T580" s="35">
        <v>33996881</v>
      </c>
      <c r="U580" s="35"/>
      <c r="V580" s="30">
        <v>1861</v>
      </c>
      <c r="W580" s="35" t="s">
        <v>673</v>
      </c>
      <c r="X580" s="35" t="s">
        <v>194</v>
      </c>
      <c r="Y580" s="30">
        <v>1</v>
      </c>
      <c r="Z580" s="35"/>
      <c r="AA580" s="35"/>
      <c r="AB580" s="35"/>
      <c r="AC580" s="35"/>
      <c r="AD580" s="35"/>
      <c r="AE580" s="35"/>
      <c r="AF580" s="35"/>
      <c r="AG580" s="35"/>
      <c r="AH580" s="30" t="s">
        <v>4714</v>
      </c>
      <c r="AI580" s="35" t="s">
        <v>2654</v>
      </c>
      <c r="AJ580" s="62" t="str">
        <f>MID('I kw.22'!W580,8,6)</f>
        <v>333107</v>
      </c>
      <c r="AK580" s="62">
        <v>1</v>
      </c>
      <c r="AL580" s="62">
        <f t="shared" si="9"/>
        <v>1</v>
      </c>
      <c r="AM580" s="62">
        <v>1</v>
      </c>
    </row>
    <row r="581" spans="1:39" x14ac:dyDescent="0.25">
      <c r="A581" s="35" t="s">
        <v>1523</v>
      </c>
      <c r="B581" s="35" t="s">
        <v>16476</v>
      </c>
      <c r="C581" s="35" t="s">
        <v>129</v>
      </c>
      <c r="D581" s="35" t="s">
        <v>16307</v>
      </c>
      <c r="E581" s="35" t="s">
        <v>192</v>
      </c>
      <c r="F581" s="62">
        <v>1</v>
      </c>
      <c r="G581" s="30" t="s">
        <v>193</v>
      </c>
      <c r="H581" s="30" t="s">
        <v>194</v>
      </c>
      <c r="I581" s="30" t="s">
        <v>16078</v>
      </c>
      <c r="J581" s="35" t="s">
        <v>210</v>
      </c>
      <c r="K581" s="35">
        <v>18</v>
      </c>
      <c r="L581" s="35" t="s">
        <v>6955</v>
      </c>
      <c r="M581" s="35"/>
      <c r="N581" s="35" t="s">
        <v>16477</v>
      </c>
      <c r="O581" s="35" t="s">
        <v>6286</v>
      </c>
      <c r="P581" s="35" t="s">
        <v>16394</v>
      </c>
      <c r="Q581" s="35" t="s">
        <v>16393</v>
      </c>
      <c r="R581" s="35" t="s">
        <v>16397</v>
      </c>
      <c r="S581" s="35">
        <v>2363931</v>
      </c>
      <c r="T581" s="35">
        <v>33996935</v>
      </c>
      <c r="U581" s="35"/>
      <c r="V581" s="30">
        <v>1863</v>
      </c>
      <c r="W581" s="35" t="s">
        <v>203</v>
      </c>
      <c r="X581" s="35" t="s">
        <v>194</v>
      </c>
      <c r="Y581" s="30">
        <v>1</v>
      </c>
      <c r="Z581" s="35"/>
      <c r="AA581" s="35"/>
      <c r="AB581" s="35"/>
      <c r="AC581" s="35"/>
      <c r="AD581" s="35"/>
      <c r="AE581" s="35"/>
      <c r="AF581" s="35"/>
      <c r="AG581" s="35"/>
      <c r="AH581" s="30" t="s">
        <v>4714</v>
      </c>
      <c r="AI581" s="35" t="s">
        <v>16476</v>
      </c>
      <c r="AJ581" s="62" t="str">
        <f>MID('I kw.22'!W581,8,6)</f>
        <v>121904</v>
      </c>
      <c r="AK581" s="62">
        <v>1</v>
      </c>
      <c r="AL581" s="62">
        <f t="shared" si="9"/>
        <v>1</v>
      </c>
      <c r="AM581" s="62">
        <v>1</v>
      </c>
    </row>
    <row r="582" spans="1:39" x14ac:dyDescent="0.25">
      <c r="A582" s="35" t="s">
        <v>8187</v>
      </c>
      <c r="B582" s="35" t="s">
        <v>2935</v>
      </c>
      <c r="C582" s="35" t="s">
        <v>74</v>
      </c>
      <c r="D582" s="35" t="s">
        <v>16307</v>
      </c>
      <c r="E582" s="35" t="s">
        <v>192</v>
      </c>
      <c r="F582" s="62">
        <v>1</v>
      </c>
      <c r="G582" s="30" t="s">
        <v>193</v>
      </c>
      <c r="H582" s="30" t="s">
        <v>194</v>
      </c>
      <c r="I582" s="30" t="s">
        <v>16052</v>
      </c>
      <c r="J582" s="35" t="s">
        <v>367</v>
      </c>
      <c r="K582" s="35">
        <v>18</v>
      </c>
      <c r="L582" s="35" t="s">
        <v>6955</v>
      </c>
      <c r="M582" s="35"/>
      <c r="N582" s="35" t="s">
        <v>16475</v>
      </c>
      <c r="O582" s="35" t="s">
        <v>6249</v>
      </c>
      <c r="P582" s="35" t="s">
        <v>16394</v>
      </c>
      <c r="Q582" s="35" t="s">
        <v>16393</v>
      </c>
      <c r="R582" s="35" t="s">
        <v>16304</v>
      </c>
      <c r="S582" s="35">
        <v>2363952</v>
      </c>
      <c r="T582" s="35">
        <v>33996956</v>
      </c>
      <c r="U582" s="35"/>
      <c r="V582" s="30">
        <v>1805</v>
      </c>
      <c r="W582" s="35" t="s">
        <v>246</v>
      </c>
      <c r="X582" s="35" t="s">
        <v>194</v>
      </c>
      <c r="Y582" s="30">
        <v>1</v>
      </c>
      <c r="Z582" s="35"/>
      <c r="AA582" s="35"/>
      <c r="AB582" s="35"/>
      <c r="AC582" s="35"/>
      <c r="AD582" s="35"/>
      <c r="AE582" s="35"/>
      <c r="AF582" s="35"/>
      <c r="AG582" s="35"/>
      <c r="AH582" s="30" t="s">
        <v>4714</v>
      </c>
      <c r="AI582" s="35" t="s">
        <v>2935</v>
      </c>
      <c r="AJ582" s="62" t="str">
        <f>MID('I kw.22'!W582,8,6)</f>
        <v>142004</v>
      </c>
      <c r="AK582" s="62">
        <v>1</v>
      </c>
      <c r="AL582" s="62">
        <f t="shared" si="9"/>
        <v>1</v>
      </c>
      <c r="AM582" s="62">
        <v>1</v>
      </c>
    </row>
    <row r="583" spans="1:39" x14ac:dyDescent="0.25">
      <c r="A583" s="35" t="s">
        <v>8187</v>
      </c>
      <c r="B583" s="35" t="s">
        <v>2935</v>
      </c>
      <c r="C583" s="35" t="s">
        <v>74</v>
      </c>
      <c r="D583" s="35" t="s">
        <v>16307</v>
      </c>
      <c r="E583" s="35" t="s">
        <v>192</v>
      </c>
      <c r="F583" s="62">
        <v>1</v>
      </c>
      <c r="G583" s="30" t="s">
        <v>193</v>
      </c>
      <c r="H583" s="30" t="s">
        <v>194</v>
      </c>
      <c r="I583" s="30" t="s">
        <v>16052</v>
      </c>
      <c r="J583" s="35" t="s">
        <v>385</v>
      </c>
      <c r="K583" s="35">
        <v>18</v>
      </c>
      <c r="L583" s="35" t="s">
        <v>6955</v>
      </c>
      <c r="M583" s="35"/>
      <c r="N583" s="35" t="s">
        <v>16474</v>
      </c>
      <c r="O583" s="35" t="s">
        <v>6249</v>
      </c>
      <c r="P583" s="35" t="s">
        <v>16394</v>
      </c>
      <c r="Q583" s="35" t="s">
        <v>16393</v>
      </c>
      <c r="R583" s="35" t="s">
        <v>16304</v>
      </c>
      <c r="S583" s="35">
        <v>2363954</v>
      </c>
      <c r="T583" s="35">
        <v>33996958</v>
      </c>
      <c r="U583" s="35"/>
      <c r="V583" s="30">
        <v>1861</v>
      </c>
      <c r="W583" s="35" t="s">
        <v>246</v>
      </c>
      <c r="X583" s="35" t="s">
        <v>194</v>
      </c>
      <c r="Y583" s="30">
        <v>1</v>
      </c>
      <c r="Z583" s="35"/>
      <c r="AA583" s="35"/>
      <c r="AB583" s="35"/>
      <c r="AC583" s="35"/>
      <c r="AD583" s="35"/>
      <c r="AE583" s="35"/>
      <c r="AF583" s="35"/>
      <c r="AG583" s="35"/>
      <c r="AH583" s="30" t="s">
        <v>4714</v>
      </c>
      <c r="AI583" s="35" t="s">
        <v>2935</v>
      </c>
      <c r="AJ583" s="62" t="str">
        <f>MID('I kw.22'!W583,8,6)</f>
        <v>142004</v>
      </c>
      <c r="AK583" s="62">
        <v>1</v>
      </c>
      <c r="AL583" s="62">
        <f t="shared" si="9"/>
        <v>1</v>
      </c>
      <c r="AM583" s="62">
        <v>1</v>
      </c>
    </row>
    <row r="584" spans="1:39" x14ac:dyDescent="0.25">
      <c r="A584" s="35" t="s">
        <v>16473</v>
      </c>
      <c r="B584" s="35" t="s">
        <v>5926</v>
      </c>
      <c r="C584" s="35" t="s">
        <v>86</v>
      </c>
      <c r="D584" s="35" t="s">
        <v>16307</v>
      </c>
      <c r="E584" s="35" t="s">
        <v>192</v>
      </c>
      <c r="F584" s="62">
        <v>1</v>
      </c>
      <c r="G584" s="30" t="s">
        <v>193</v>
      </c>
      <c r="H584" s="30" t="s">
        <v>194</v>
      </c>
      <c r="I584" s="30" t="s">
        <v>16121</v>
      </c>
      <c r="J584" s="35" t="s">
        <v>210</v>
      </c>
      <c r="K584" s="35">
        <v>18</v>
      </c>
      <c r="L584" s="35" t="s">
        <v>6955</v>
      </c>
      <c r="M584" s="35"/>
      <c r="N584" s="35" t="s">
        <v>16472</v>
      </c>
      <c r="O584" s="35" t="s">
        <v>6254</v>
      </c>
      <c r="P584" s="35" t="s">
        <v>16394</v>
      </c>
      <c r="Q584" s="35" t="s">
        <v>16393</v>
      </c>
      <c r="R584" s="35" t="s">
        <v>16397</v>
      </c>
      <c r="S584" s="35">
        <v>2364004</v>
      </c>
      <c r="T584" s="35">
        <v>33997008</v>
      </c>
      <c r="U584" s="35"/>
      <c r="V584" s="30">
        <v>1863</v>
      </c>
      <c r="W584" s="35" t="s">
        <v>1107</v>
      </c>
      <c r="X584" s="35" t="s">
        <v>194</v>
      </c>
      <c r="Y584" s="30">
        <v>1</v>
      </c>
      <c r="Z584" s="35"/>
      <c r="AA584" s="35"/>
      <c r="AB584" s="35"/>
      <c r="AC584" s="35"/>
      <c r="AD584" s="35"/>
      <c r="AE584" s="35"/>
      <c r="AF584" s="35"/>
      <c r="AG584" s="35"/>
      <c r="AH584" s="30" t="s">
        <v>4714</v>
      </c>
      <c r="AI584" s="35" t="s">
        <v>5926</v>
      </c>
      <c r="AJ584" s="62" t="str">
        <f>MID('I kw.22'!W584,8,6)</f>
        <v>121101</v>
      </c>
      <c r="AK584" s="62">
        <v>1</v>
      </c>
      <c r="AL584" s="62">
        <f t="shared" si="9"/>
        <v>1</v>
      </c>
      <c r="AM584" s="62">
        <v>1</v>
      </c>
    </row>
    <row r="585" spans="1:39" x14ac:dyDescent="0.25">
      <c r="A585" s="35" t="s">
        <v>16467</v>
      </c>
      <c r="B585" s="35" t="s">
        <v>16465</v>
      </c>
      <c r="C585" s="35" t="s">
        <v>829</v>
      </c>
      <c r="D585" s="35" t="s">
        <v>16307</v>
      </c>
      <c r="E585" s="35" t="s">
        <v>192</v>
      </c>
      <c r="F585" s="62">
        <v>1</v>
      </c>
      <c r="G585" s="30" t="s">
        <v>193</v>
      </c>
      <c r="H585" s="30" t="s">
        <v>194</v>
      </c>
      <c r="I585" s="30" t="s">
        <v>16073</v>
      </c>
      <c r="J585" s="35" t="s">
        <v>210</v>
      </c>
      <c r="K585" s="35">
        <v>18</v>
      </c>
      <c r="L585" s="35" t="s">
        <v>6955</v>
      </c>
      <c r="M585" s="35"/>
      <c r="N585" s="35" t="s">
        <v>16471</v>
      </c>
      <c r="O585" s="35" t="s">
        <v>6245</v>
      </c>
      <c r="P585" s="35" t="s">
        <v>16394</v>
      </c>
      <c r="Q585" s="35" t="s">
        <v>16393</v>
      </c>
      <c r="R585" s="35" t="s">
        <v>16397</v>
      </c>
      <c r="S585" s="35">
        <v>2364104</v>
      </c>
      <c r="T585" s="35">
        <v>33997108</v>
      </c>
      <c r="U585" s="35"/>
      <c r="V585" s="30">
        <v>1863</v>
      </c>
      <c r="W585" s="35" t="s">
        <v>830</v>
      </c>
      <c r="X585" s="35" t="s">
        <v>194</v>
      </c>
      <c r="Y585" s="30">
        <v>1</v>
      </c>
      <c r="Z585" s="35"/>
      <c r="AA585" s="35"/>
      <c r="AB585" s="35"/>
      <c r="AC585" s="35"/>
      <c r="AD585" s="35"/>
      <c r="AE585" s="35"/>
      <c r="AF585" s="35"/>
      <c r="AG585" s="35"/>
      <c r="AH585" s="30" t="s">
        <v>4714</v>
      </c>
      <c r="AI585" s="35" t="s">
        <v>16465</v>
      </c>
      <c r="AJ585" s="62" t="str">
        <f>MID('I kw.22'!W585,8,6)</f>
        <v>741201</v>
      </c>
      <c r="AK585" s="62">
        <v>1</v>
      </c>
      <c r="AL585" s="62">
        <f t="shared" si="9"/>
        <v>1</v>
      </c>
      <c r="AM585" s="62">
        <v>1</v>
      </c>
    </row>
    <row r="586" spans="1:39" x14ac:dyDescent="0.25">
      <c r="A586" s="35" t="s">
        <v>16467</v>
      </c>
      <c r="B586" s="35" t="s">
        <v>16465</v>
      </c>
      <c r="C586" s="35" t="s">
        <v>829</v>
      </c>
      <c r="D586" s="35" t="s">
        <v>16307</v>
      </c>
      <c r="E586" s="35" t="s">
        <v>192</v>
      </c>
      <c r="F586" s="62">
        <v>1</v>
      </c>
      <c r="G586" s="30" t="s">
        <v>193</v>
      </c>
      <c r="H586" s="30" t="s">
        <v>194</v>
      </c>
      <c r="I586" s="30" t="s">
        <v>16073</v>
      </c>
      <c r="J586" s="35" t="s">
        <v>962</v>
      </c>
      <c r="K586" s="35">
        <v>18</v>
      </c>
      <c r="L586" s="35" t="s">
        <v>6955</v>
      </c>
      <c r="M586" s="35"/>
      <c r="N586" s="35" t="s">
        <v>16470</v>
      </c>
      <c r="O586" s="35" t="s">
        <v>6245</v>
      </c>
      <c r="P586" s="35" t="s">
        <v>16394</v>
      </c>
      <c r="Q586" s="35" t="s">
        <v>16393</v>
      </c>
      <c r="R586" s="35" t="s">
        <v>16397</v>
      </c>
      <c r="S586" s="35">
        <v>2364105</v>
      </c>
      <c r="T586" s="35">
        <v>33997109</v>
      </c>
      <c r="U586" s="35"/>
      <c r="V586" s="30">
        <v>1806</v>
      </c>
      <c r="W586" s="35" t="s">
        <v>830</v>
      </c>
      <c r="X586" s="35" t="s">
        <v>194</v>
      </c>
      <c r="Y586" s="30">
        <v>1</v>
      </c>
      <c r="Z586" s="35"/>
      <c r="AA586" s="35"/>
      <c r="AB586" s="35"/>
      <c r="AC586" s="35"/>
      <c r="AD586" s="35"/>
      <c r="AE586" s="35"/>
      <c r="AF586" s="35"/>
      <c r="AG586" s="35"/>
      <c r="AH586" s="30" t="s">
        <v>4714</v>
      </c>
      <c r="AI586" s="35" t="s">
        <v>16465</v>
      </c>
      <c r="AJ586" s="62" t="str">
        <f>MID('I kw.22'!W586,8,6)</f>
        <v>741201</v>
      </c>
      <c r="AK586" s="62">
        <v>1</v>
      </c>
      <c r="AL586" s="62">
        <f t="shared" si="9"/>
        <v>1</v>
      </c>
      <c r="AM586" s="62">
        <v>1</v>
      </c>
    </row>
    <row r="587" spans="1:39" x14ac:dyDescent="0.25">
      <c r="A587" s="35" t="s">
        <v>16467</v>
      </c>
      <c r="B587" s="35" t="s">
        <v>16465</v>
      </c>
      <c r="C587" s="35" t="s">
        <v>829</v>
      </c>
      <c r="D587" s="35" t="s">
        <v>16307</v>
      </c>
      <c r="E587" s="35" t="s">
        <v>192</v>
      </c>
      <c r="F587" s="62">
        <v>1</v>
      </c>
      <c r="G587" s="30" t="s">
        <v>193</v>
      </c>
      <c r="H587" s="30" t="s">
        <v>194</v>
      </c>
      <c r="I587" s="30" t="s">
        <v>16073</v>
      </c>
      <c r="J587" s="35" t="s">
        <v>301</v>
      </c>
      <c r="K587" s="35">
        <v>18</v>
      </c>
      <c r="L587" s="35" t="s">
        <v>6955</v>
      </c>
      <c r="M587" s="35"/>
      <c r="N587" s="35" t="s">
        <v>16469</v>
      </c>
      <c r="O587" s="35" t="s">
        <v>6245</v>
      </c>
      <c r="P587" s="35" t="s">
        <v>16394</v>
      </c>
      <c r="Q587" s="35" t="s">
        <v>16393</v>
      </c>
      <c r="R587" s="35" t="s">
        <v>16397</v>
      </c>
      <c r="S587" s="35">
        <v>2364106</v>
      </c>
      <c r="T587" s="35">
        <v>33997110</v>
      </c>
      <c r="U587" s="35"/>
      <c r="V587" s="30">
        <v>1810</v>
      </c>
      <c r="W587" s="35" t="s">
        <v>830</v>
      </c>
      <c r="X587" s="35" t="s">
        <v>194</v>
      </c>
      <c r="Y587" s="30">
        <v>1</v>
      </c>
      <c r="Z587" s="35"/>
      <c r="AA587" s="35"/>
      <c r="AB587" s="35"/>
      <c r="AC587" s="35"/>
      <c r="AD587" s="35"/>
      <c r="AE587" s="35"/>
      <c r="AF587" s="35"/>
      <c r="AG587" s="35"/>
      <c r="AH587" s="30" t="s">
        <v>4714</v>
      </c>
      <c r="AI587" s="35" t="s">
        <v>16465</v>
      </c>
      <c r="AJ587" s="62" t="str">
        <f>MID('I kw.22'!W587,8,6)</f>
        <v>741201</v>
      </c>
      <c r="AK587" s="62">
        <v>1</v>
      </c>
      <c r="AL587" s="62">
        <f t="shared" si="9"/>
        <v>1</v>
      </c>
      <c r="AM587" s="62">
        <v>1</v>
      </c>
    </row>
    <row r="588" spans="1:39" x14ac:dyDescent="0.25">
      <c r="A588" s="35" t="s">
        <v>16467</v>
      </c>
      <c r="B588" s="35" t="s">
        <v>16465</v>
      </c>
      <c r="C588" s="35" t="s">
        <v>829</v>
      </c>
      <c r="D588" s="35" t="s">
        <v>16307</v>
      </c>
      <c r="E588" s="35" t="s">
        <v>192</v>
      </c>
      <c r="F588" s="62">
        <v>1</v>
      </c>
      <c r="G588" s="30" t="s">
        <v>193</v>
      </c>
      <c r="H588" s="30" t="s">
        <v>194</v>
      </c>
      <c r="I588" s="30" t="s">
        <v>16073</v>
      </c>
      <c r="J588" s="35" t="s">
        <v>309</v>
      </c>
      <c r="K588" s="35">
        <v>18</v>
      </c>
      <c r="L588" s="35" t="s">
        <v>6955</v>
      </c>
      <c r="M588" s="35"/>
      <c r="N588" s="35" t="s">
        <v>16468</v>
      </c>
      <c r="O588" s="35" t="s">
        <v>6245</v>
      </c>
      <c r="P588" s="35" t="s">
        <v>16394</v>
      </c>
      <c r="Q588" s="35" t="s">
        <v>16393</v>
      </c>
      <c r="R588" s="35" t="s">
        <v>16397</v>
      </c>
      <c r="S588" s="35">
        <v>2364107</v>
      </c>
      <c r="T588" s="35">
        <v>33997111</v>
      </c>
      <c r="U588" s="35"/>
      <c r="V588" s="30">
        <v>1815</v>
      </c>
      <c r="W588" s="35" t="s">
        <v>830</v>
      </c>
      <c r="X588" s="35" t="s">
        <v>194</v>
      </c>
      <c r="Y588" s="30">
        <v>1</v>
      </c>
      <c r="Z588" s="35"/>
      <c r="AA588" s="35"/>
      <c r="AB588" s="35"/>
      <c r="AC588" s="35"/>
      <c r="AD588" s="35"/>
      <c r="AE588" s="35"/>
      <c r="AF588" s="35"/>
      <c r="AG588" s="35"/>
      <c r="AH588" s="30" t="s">
        <v>4714</v>
      </c>
      <c r="AI588" s="35" t="s">
        <v>16465</v>
      </c>
      <c r="AJ588" s="62" t="str">
        <f>MID('I kw.22'!W588,8,6)</f>
        <v>741201</v>
      </c>
      <c r="AK588" s="62">
        <v>1</v>
      </c>
      <c r="AL588" s="62">
        <f t="shared" si="9"/>
        <v>1</v>
      </c>
      <c r="AM588" s="62">
        <v>1</v>
      </c>
    </row>
    <row r="589" spans="1:39" x14ac:dyDescent="0.25">
      <c r="A589" s="35" t="s">
        <v>16467</v>
      </c>
      <c r="B589" s="35" t="s">
        <v>16465</v>
      </c>
      <c r="C589" s="35" t="s">
        <v>829</v>
      </c>
      <c r="D589" s="35" t="s">
        <v>16307</v>
      </c>
      <c r="E589" s="35" t="s">
        <v>192</v>
      </c>
      <c r="F589" s="62">
        <v>1</v>
      </c>
      <c r="G589" s="30" t="s">
        <v>193</v>
      </c>
      <c r="H589" s="30" t="s">
        <v>194</v>
      </c>
      <c r="I589" s="30" t="s">
        <v>16073</v>
      </c>
      <c r="J589" s="35" t="s">
        <v>672</v>
      </c>
      <c r="K589" s="35">
        <v>18</v>
      </c>
      <c r="L589" s="35" t="s">
        <v>6955</v>
      </c>
      <c r="M589" s="35"/>
      <c r="N589" s="35" t="s">
        <v>16466</v>
      </c>
      <c r="O589" s="35" t="s">
        <v>6245</v>
      </c>
      <c r="P589" s="35" t="s">
        <v>16394</v>
      </c>
      <c r="Q589" s="35" t="s">
        <v>16393</v>
      </c>
      <c r="R589" s="35" t="s">
        <v>16397</v>
      </c>
      <c r="S589" s="35">
        <v>2364108</v>
      </c>
      <c r="T589" s="35">
        <v>33997112</v>
      </c>
      <c r="U589" s="35"/>
      <c r="V589" s="30">
        <v>1816</v>
      </c>
      <c r="W589" s="35" t="s">
        <v>830</v>
      </c>
      <c r="X589" s="35" t="s">
        <v>194</v>
      </c>
      <c r="Y589" s="30">
        <v>1</v>
      </c>
      <c r="Z589" s="35"/>
      <c r="AA589" s="35"/>
      <c r="AB589" s="35"/>
      <c r="AC589" s="35"/>
      <c r="AD589" s="35"/>
      <c r="AE589" s="35"/>
      <c r="AF589" s="35"/>
      <c r="AG589" s="35"/>
      <c r="AH589" s="30" t="s">
        <v>4714</v>
      </c>
      <c r="AI589" s="35" t="s">
        <v>16465</v>
      </c>
      <c r="AJ589" s="62" t="str">
        <f>MID('I kw.22'!W589,8,6)</f>
        <v>741201</v>
      </c>
      <c r="AK589" s="62">
        <v>1</v>
      </c>
      <c r="AL589" s="62">
        <f t="shared" si="9"/>
        <v>1</v>
      </c>
      <c r="AM589" s="62">
        <v>1</v>
      </c>
    </row>
    <row r="590" spans="1:39" x14ac:dyDescent="0.25">
      <c r="A590" s="35" t="s">
        <v>719</v>
      </c>
      <c r="B590" s="35" t="s">
        <v>16463</v>
      </c>
      <c r="C590" s="35" t="s">
        <v>232</v>
      </c>
      <c r="D590" s="35" t="s">
        <v>16307</v>
      </c>
      <c r="E590" s="35" t="s">
        <v>192</v>
      </c>
      <c r="F590" s="62">
        <v>1</v>
      </c>
      <c r="G590" s="30" t="s">
        <v>193</v>
      </c>
      <c r="H590" s="30" t="s">
        <v>194</v>
      </c>
      <c r="I590" s="30" t="s">
        <v>16073</v>
      </c>
      <c r="J590" s="35" t="s">
        <v>755</v>
      </c>
      <c r="K590" s="35">
        <v>18</v>
      </c>
      <c r="L590" s="35" t="s">
        <v>6955</v>
      </c>
      <c r="M590" s="35"/>
      <c r="N590" s="35" t="s">
        <v>16464</v>
      </c>
      <c r="O590" s="35" t="s">
        <v>6286</v>
      </c>
      <c r="P590" s="35" t="s">
        <v>16394</v>
      </c>
      <c r="Q590" s="35" t="s">
        <v>16393</v>
      </c>
      <c r="R590" s="35" t="s">
        <v>16397</v>
      </c>
      <c r="S590" s="35">
        <v>2364111</v>
      </c>
      <c r="T590" s="35">
        <v>33997115</v>
      </c>
      <c r="U590" s="35"/>
      <c r="V590" s="30">
        <v>1816</v>
      </c>
      <c r="W590" s="35" t="s">
        <v>234</v>
      </c>
      <c r="X590" s="35" t="s">
        <v>194</v>
      </c>
      <c r="Y590" s="30">
        <v>1</v>
      </c>
      <c r="Z590" s="35"/>
      <c r="AA590" s="35"/>
      <c r="AB590" s="35"/>
      <c r="AC590" s="35"/>
      <c r="AD590" s="35"/>
      <c r="AE590" s="35"/>
      <c r="AF590" s="35"/>
      <c r="AG590" s="35"/>
      <c r="AH590" s="30" t="s">
        <v>4714</v>
      </c>
      <c r="AI590" s="35" t="s">
        <v>16463</v>
      </c>
      <c r="AJ590" s="62" t="str">
        <f>MID('I kw.22'!W590,8,6)</f>
        <v>132403</v>
      </c>
      <c r="AK590" s="62">
        <v>1</v>
      </c>
      <c r="AL590" s="62">
        <f t="shared" si="9"/>
        <v>1</v>
      </c>
      <c r="AM590" s="62">
        <v>1</v>
      </c>
    </row>
    <row r="591" spans="1:39" x14ac:dyDescent="0.25">
      <c r="A591" s="35" t="s">
        <v>562</v>
      </c>
      <c r="B591" s="35" t="s">
        <v>16461</v>
      </c>
      <c r="C591" s="35" t="s">
        <v>366</v>
      </c>
      <c r="D591" s="35" t="s">
        <v>16307</v>
      </c>
      <c r="E591" s="35" t="s">
        <v>192</v>
      </c>
      <c r="F591" s="62">
        <v>1</v>
      </c>
      <c r="G591" s="30" t="s">
        <v>193</v>
      </c>
      <c r="H591" s="30" t="s">
        <v>194</v>
      </c>
      <c r="I591" s="30" t="s">
        <v>16078</v>
      </c>
      <c r="J591" s="35" t="s">
        <v>253</v>
      </c>
      <c r="K591" s="35">
        <v>18</v>
      </c>
      <c r="L591" s="35" t="s">
        <v>6955</v>
      </c>
      <c r="M591" s="35"/>
      <c r="N591" s="35" t="s">
        <v>16462</v>
      </c>
      <c r="O591" s="35" t="s">
        <v>6374</v>
      </c>
      <c r="P591" s="35" t="s">
        <v>16394</v>
      </c>
      <c r="Q591" s="35" t="s">
        <v>16393</v>
      </c>
      <c r="R591" s="35" t="s">
        <v>16397</v>
      </c>
      <c r="S591" s="35">
        <v>2364131</v>
      </c>
      <c r="T591" s="35">
        <v>33997135</v>
      </c>
      <c r="U591" s="35"/>
      <c r="V591" s="30">
        <v>1811</v>
      </c>
      <c r="W591" s="35" t="s">
        <v>368</v>
      </c>
      <c r="X591" s="35" t="s">
        <v>194</v>
      </c>
      <c r="Y591" s="30">
        <v>1</v>
      </c>
      <c r="Z591" s="35"/>
      <c r="AA591" s="35"/>
      <c r="AB591" s="35"/>
      <c r="AC591" s="35"/>
      <c r="AD591" s="35"/>
      <c r="AE591" s="35"/>
      <c r="AF591" s="35"/>
      <c r="AG591" s="35"/>
      <c r="AH591" s="30" t="s">
        <v>4714</v>
      </c>
      <c r="AI591" s="35" t="s">
        <v>16461</v>
      </c>
      <c r="AJ591" s="62" t="str">
        <f>MID('I kw.22'!W591,8,6)</f>
        <v>215201</v>
      </c>
      <c r="AK591" s="62">
        <v>1</v>
      </c>
      <c r="AL591" s="62">
        <f t="shared" si="9"/>
        <v>1</v>
      </c>
      <c r="AM591" s="62">
        <v>1</v>
      </c>
    </row>
    <row r="592" spans="1:39" x14ac:dyDescent="0.25">
      <c r="A592" s="35" t="s">
        <v>7451</v>
      </c>
      <c r="B592" s="35" t="s">
        <v>1411</v>
      </c>
      <c r="C592" s="35" t="s">
        <v>35</v>
      </c>
      <c r="D592" s="35" t="s">
        <v>16307</v>
      </c>
      <c r="E592" s="35" t="s">
        <v>192</v>
      </c>
      <c r="F592" s="62">
        <v>1</v>
      </c>
      <c r="G592" s="30" t="s">
        <v>193</v>
      </c>
      <c r="H592" s="30" t="s">
        <v>194</v>
      </c>
      <c r="I592" s="30" t="s">
        <v>16121</v>
      </c>
      <c r="J592" s="35" t="s">
        <v>747</v>
      </c>
      <c r="K592" s="35">
        <v>18</v>
      </c>
      <c r="L592" s="35" t="s">
        <v>6955</v>
      </c>
      <c r="M592" s="35"/>
      <c r="N592" s="35" t="s">
        <v>16460</v>
      </c>
      <c r="O592" s="35" t="s">
        <v>6254</v>
      </c>
      <c r="P592" s="35" t="s">
        <v>16394</v>
      </c>
      <c r="Q592" s="35" t="s">
        <v>16393</v>
      </c>
      <c r="R592" s="35" t="s">
        <v>16397</v>
      </c>
      <c r="S592" s="35">
        <v>2364265</v>
      </c>
      <c r="T592" s="35">
        <v>33997269</v>
      </c>
      <c r="U592" s="35"/>
      <c r="V592" s="30">
        <v>1817</v>
      </c>
      <c r="W592" s="35" t="s">
        <v>207</v>
      </c>
      <c r="X592" s="35" t="s">
        <v>194</v>
      </c>
      <c r="Y592" s="30">
        <v>1</v>
      </c>
      <c r="Z592" s="35"/>
      <c r="AA592" s="35"/>
      <c r="AB592" s="35"/>
      <c r="AC592" s="35"/>
      <c r="AD592" s="35"/>
      <c r="AE592" s="35"/>
      <c r="AF592" s="35"/>
      <c r="AG592" s="35"/>
      <c r="AH592" s="30" t="s">
        <v>4714</v>
      </c>
      <c r="AI592" s="35" t="s">
        <v>1411</v>
      </c>
      <c r="AJ592" s="62" t="str">
        <f>MID('I kw.22'!W592,8,6)</f>
        <v>122106</v>
      </c>
      <c r="AK592" s="62">
        <v>1</v>
      </c>
      <c r="AL592" s="62">
        <f t="shared" si="9"/>
        <v>1</v>
      </c>
      <c r="AM592" s="62">
        <v>1</v>
      </c>
    </row>
    <row r="593" spans="1:39" x14ac:dyDescent="0.25">
      <c r="A593" s="35" t="s">
        <v>7451</v>
      </c>
      <c r="B593" s="35" t="s">
        <v>1411</v>
      </c>
      <c r="C593" s="35" t="s">
        <v>35</v>
      </c>
      <c r="D593" s="35" t="s">
        <v>16307</v>
      </c>
      <c r="E593" s="35" t="s">
        <v>192</v>
      </c>
      <c r="F593" s="62">
        <v>1</v>
      </c>
      <c r="G593" s="30" t="s">
        <v>193</v>
      </c>
      <c r="H593" s="30" t="s">
        <v>194</v>
      </c>
      <c r="I593" s="30" t="s">
        <v>16121</v>
      </c>
      <c r="J593" s="35" t="s">
        <v>210</v>
      </c>
      <c r="K593" s="35">
        <v>18</v>
      </c>
      <c r="L593" s="35" t="s">
        <v>6955</v>
      </c>
      <c r="M593" s="35"/>
      <c r="N593" s="35" t="s">
        <v>16459</v>
      </c>
      <c r="O593" s="35" t="s">
        <v>6254</v>
      </c>
      <c r="P593" s="35" t="s">
        <v>16394</v>
      </c>
      <c r="Q593" s="35" t="s">
        <v>16393</v>
      </c>
      <c r="R593" s="35" t="s">
        <v>16397</v>
      </c>
      <c r="S593" s="35">
        <v>2364266</v>
      </c>
      <c r="T593" s="35">
        <v>33997270</v>
      </c>
      <c r="U593" s="35"/>
      <c r="V593" s="30">
        <v>1863</v>
      </c>
      <c r="W593" s="35" t="s">
        <v>207</v>
      </c>
      <c r="X593" s="35" t="s">
        <v>194</v>
      </c>
      <c r="Y593" s="30">
        <v>1</v>
      </c>
      <c r="Z593" s="35"/>
      <c r="AA593" s="35"/>
      <c r="AB593" s="35"/>
      <c r="AC593" s="35"/>
      <c r="AD593" s="35"/>
      <c r="AE593" s="35"/>
      <c r="AF593" s="35"/>
      <c r="AG593" s="35"/>
      <c r="AH593" s="30" t="s">
        <v>4714</v>
      </c>
      <c r="AI593" s="35" t="s">
        <v>1411</v>
      </c>
      <c r="AJ593" s="62" t="str">
        <f>MID('I kw.22'!W593,8,6)</f>
        <v>122106</v>
      </c>
      <c r="AK593" s="62">
        <v>1</v>
      </c>
      <c r="AL593" s="62">
        <f t="shared" si="9"/>
        <v>1</v>
      </c>
      <c r="AM593" s="62">
        <v>1</v>
      </c>
    </row>
    <row r="594" spans="1:39" x14ac:dyDescent="0.25">
      <c r="A594" s="35" t="s">
        <v>16458</v>
      </c>
      <c r="B594" s="35" t="s">
        <v>16456</v>
      </c>
      <c r="C594" s="35" t="s">
        <v>2861</v>
      </c>
      <c r="D594" s="35" t="s">
        <v>16307</v>
      </c>
      <c r="E594" s="35" t="s">
        <v>192</v>
      </c>
      <c r="F594" s="62">
        <v>1</v>
      </c>
      <c r="G594" s="30" t="s">
        <v>193</v>
      </c>
      <c r="H594" s="30" t="s">
        <v>194</v>
      </c>
      <c r="I594" s="30" t="s">
        <v>16073</v>
      </c>
      <c r="J594" s="35" t="s">
        <v>210</v>
      </c>
      <c r="K594" s="35">
        <v>18</v>
      </c>
      <c r="L594" s="35" t="s">
        <v>6955</v>
      </c>
      <c r="M594" s="35"/>
      <c r="N594" s="35" t="s">
        <v>16457</v>
      </c>
      <c r="O594" s="35" t="s">
        <v>6261</v>
      </c>
      <c r="P594" s="35" t="s">
        <v>16394</v>
      </c>
      <c r="Q594" s="35" t="s">
        <v>16393</v>
      </c>
      <c r="R594" s="35" t="s">
        <v>16397</v>
      </c>
      <c r="S594" s="35">
        <v>2364307</v>
      </c>
      <c r="T594" s="35">
        <v>33997311</v>
      </c>
      <c r="U594" s="35"/>
      <c r="V594" s="30">
        <v>1863</v>
      </c>
      <c r="W594" s="35" t="s">
        <v>3629</v>
      </c>
      <c r="X594" s="35" t="s">
        <v>194</v>
      </c>
      <c r="Y594" s="30">
        <v>1</v>
      </c>
      <c r="Z594" s="35"/>
      <c r="AA594" s="35"/>
      <c r="AB594" s="35"/>
      <c r="AC594" s="35"/>
      <c r="AD594" s="35"/>
      <c r="AE594" s="35"/>
      <c r="AF594" s="35"/>
      <c r="AG594" s="35"/>
      <c r="AH594" s="30" t="s">
        <v>4714</v>
      </c>
      <c r="AI594" s="35" t="s">
        <v>16456</v>
      </c>
      <c r="AJ594" s="62" t="str">
        <f>MID('I kw.22'!W594,8,6)</f>
        <v>251903</v>
      </c>
      <c r="AK594" s="62">
        <v>1</v>
      </c>
      <c r="AL594" s="62">
        <f t="shared" si="9"/>
        <v>1</v>
      </c>
      <c r="AM594" s="62">
        <v>1</v>
      </c>
    </row>
    <row r="595" spans="1:39" x14ac:dyDescent="0.25">
      <c r="A595" s="35" t="s">
        <v>562</v>
      </c>
      <c r="B595" s="35" t="s">
        <v>16454</v>
      </c>
      <c r="C595" s="35" t="s">
        <v>129</v>
      </c>
      <c r="D595" s="35" t="s">
        <v>16307</v>
      </c>
      <c r="E595" s="35" t="s">
        <v>192</v>
      </c>
      <c r="F595" s="62">
        <v>1</v>
      </c>
      <c r="G595" s="30" t="s">
        <v>193</v>
      </c>
      <c r="H595" s="30" t="s">
        <v>194</v>
      </c>
      <c r="I595" s="30" t="s">
        <v>16121</v>
      </c>
      <c r="J595" s="35" t="s">
        <v>253</v>
      </c>
      <c r="K595" s="35">
        <v>18</v>
      </c>
      <c r="L595" s="35" t="s">
        <v>6955</v>
      </c>
      <c r="M595" s="35"/>
      <c r="N595" s="35" t="s">
        <v>16455</v>
      </c>
      <c r="O595" s="35" t="s">
        <v>6245</v>
      </c>
      <c r="P595" s="35" t="s">
        <v>16394</v>
      </c>
      <c r="Q595" s="35" t="s">
        <v>16393</v>
      </c>
      <c r="R595" s="35" t="s">
        <v>16397</v>
      </c>
      <c r="S595" s="35">
        <v>2364353</v>
      </c>
      <c r="T595" s="35">
        <v>33997357</v>
      </c>
      <c r="U595" s="35"/>
      <c r="V595" s="30">
        <v>1811</v>
      </c>
      <c r="W595" s="35" t="s">
        <v>203</v>
      </c>
      <c r="X595" s="35" t="s">
        <v>194</v>
      </c>
      <c r="Y595" s="30">
        <v>1</v>
      </c>
      <c r="Z595" s="35"/>
      <c r="AA595" s="35"/>
      <c r="AB595" s="35"/>
      <c r="AC595" s="35"/>
      <c r="AD595" s="35"/>
      <c r="AE595" s="35"/>
      <c r="AF595" s="35"/>
      <c r="AG595" s="35"/>
      <c r="AH595" s="30" t="s">
        <v>4714</v>
      </c>
      <c r="AI595" s="35" t="s">
        <v>16454</v>
      </c>
      <c r="AJ595" s="62" t="str">
        <f>MID('I kw.22'!W595,8,6)</f>
        <v>121904</v>
      </c>
      <c r="AK595" s="62">
        <v>1</v>
      </c>
      <c r="AL595" s="62">
        <f t="shared" si="9"/>
        <v>1</v>
      </c>
      <c r="AM595" s="62">
        <v>1</v>
      </c>
    </row>
    <row r="596" spans="1:39" x14ac:dyDescent="0.25">
      <c r="A596" s="35" t="s">
        <v>562</v>
      </c>
      <c r="B596" s="35" t="s">
        <v>16452</v>
      </c>
      <c r="C596" s="35" t="s">
        <v>366</v>
      </c>
      <c r="D596" s="35" t="s">
        <v>16307</v>
      </c>
      <c r="E596" s="35" t="s">
        <v>192</v>
      </c>
      <c r="F596" s="62">
        <v>1</v>
      </c>
      <c r="G596" s="30" t="s">
        <v>193</v>
      </c>
      <c r="H596" s="30" t="s">
        <v>194</v>
      </c>
      <c r="I596" s="30" t="s">
        <v>16078</v>
      </c>
      <c r="J596" s="35" t="s">
        <v>253</v>
      </c>
      <c r="K596" s="35">
        <v>18</v>
      </c>
      <c r="L596" s="35" t="s">
        <v>6955</v>
      </c>
      <c r="M596" s="35"/>
      <c r="N596" s="35" t="s">
        <v>16453</v>
      </c>
      <c r="O596" s="35" t="s">
        <v>6245</v>
      </c>
      <c r="P596" s="35" t="s">
        <v>16394</v>
      </c>
      <c r="Q596" s="35" t="s">
        <v>16393</v>
      </c>
      <c r="R596" s="35" t="s">
        <v>16397</v>
      </c>
      <c r="S596" s="35">
        <v>2364371</v>
      </c>
      <c r="T596" s="35">
        <v>33997375</v>
      </c>
      <c r="U596" s="35"/>
      <c r="V596" s="30">
        <v>1811</v>
      </c>
      <c r="W596" s="35" t="s">
        <v>368</v>
      </c>
      <c r="X596" s="35" t="s">
        <v>194</v>
      </c>
      <c r="Y596" s="30">
        <v>1</v>
      </c>
      <c r="Z596" s="35"/>
      <c r="AA596" s="35"/>
      <c r="AB596" s="35"/>
      <c r="AC596" s="35"/>
      <c r="AD596" s="35"/>
      <c r="AE596" s="35"/>
      <c r="AF596" s="35"/>
      <c r="AG596" s="35"/>
      <c r="AH596" s="30" t="s">
        <v>4714</v>
      </c>
      <c r="AI596" s="35" t="s">
        <v>16452</v>
      </c>
      <c r="AJ596" s="62" t="str">
        <f>MID('I kw.22'!W596,8,6)</f>
        <v>215201</v>
      </c>
      <c r="AK596" s="62">
        <v>1</v>
      </c>
      <c r="AL596" s="62">
        <f t="shared" si="9"/>
        <v>1</v>
      </c>
      <c r="AM596" s="62">
        <v>1</v>
      </c>
    </row>
    <row r="597" spans="1:39" x14ac:dyDescent="0.25">
      <c r="A597" s="35" t="s">
        <v>9858</v>
      </c>
      <c r="B597" s="35" t="s">
        <v>2992</v>
      </c>
      <c r="C597" s="35" t="s">
        <v>19</v>
      </c>
      <c r="D597" s="35" t="s">
        <v>16307</v>
      </c>
      <c r="E597" s="35" t="s">
        <v>192</v>
      </c>
      <c r="F597" s="62">
        <v>1</v>
      </c>
      <c r="G597" s="30" t="s">
        <v>193</v>
      </c>
      <c r="H597" s="30" t="s">
        <v>194</v>
      </c>
      <c r="I597" s="30" t="s">
        <v>16068</v>
      </c>
      <c r="J597" s="35" t="s">
        <v>210</v>
      </c>
      <c r="K597" s="35">
        <v>18</v>
      </c>
      <c r="L597" s="35" t="s">
        <v>6955</v>
      </c>
      <c r="M597" s="35"/>
      <c r="N597" s="35" t="s">
        <v>16451</v>
      </c>
      <c r="O597" s="35" t="s">
        <v>6921</v>
      </c>
      <c r="P597" s="35" t="s">
        <v>16394</v>
      </c>
      <c r="Q597" s="35" t="s">
        <v>16393</v>
      </c>
      <c r="R597" s="35" t="s">
        <v>16397</v>
      </c>
      <c r="S597" s="35">
        <v>2364376</v>
      </c>
      <c r="T597" s="35">
        <v>33997380</v>
      </c>
      <c r="U597" s="35"/>
      <c r="V597" s="30">
        <v>1863</v>
      </c>
      <c r="W597" s="35" t="s">
        <v>337</v>
      </c>
      <c r="X597" s="35" t="s">
        <v>194</v>
      </c>
      <c r="Y597" s="30">
        <v>1</v>
      </c>
      <c r="Z597" s="35"/>
      <c r="AA597" s="35"/>
      <c r="AB597" s="35"/>
      <c r="AC597" s="35"/>
      <c r="AD597" s="35"/>
      <c r="AE597" s="35"/>
      <c r="AF597" s="35"/>
      <c r="AG597" s="35"/>
      <c r="AH597" s="30" t="s">
        <v>4714</v>
      </c>
      <c r="AI597" s="35" t="s">
        <v>2992</v>
      </c>
      <c r="AJ597" s="62" t="str">
        <f>MID('I kw.22'!W597,8,6)</f>
        <v>214903</v>
      </c>
      <c r="AK597" s="62">
        <v>1</v>
      </c>
      <c r="AL597" s="62">
        <f t="shared" si="9"/>
        <v>1</v>
      </c>
      <c r="AM597" s="62">
        <v>1</v>
      </c>
    </row>
    <row r="598" spans="1:39" x14ac:dyDescent="0.25">
      <c r="A598" s="35" t="s">
        <v>16450</v>
      </c>
      <c r="B598" s="35" t="s">
        <v>16447</v>
      </c>
      <c r="C598" s="35" t="s">
        <v>554</v>
      </c>
      <c r="D598" s="35" t="s">
        <v>16307</v>
      </c>
      <c r="E598" s="35" t="s">
        <v>192</v>
      </c>
      <c r="F598" s="62">
        <v>1</v>
      </c>
      <c r="G598" s="30" t="s">
        <v>193</v>
      </c>
      <c r="H598" s="30" t="s">
        <v>194</v>
      </c>
      <c r="I598" s="30" t="s">
        <v>16073</v>
      </c>
      <c r="J598" s="35" t="s">
        <v>210</v>
      </c>
      <c r="K598" s="35">
        <v>18</v>
      </c>
      <c r="L598" s="35" t="s">
        <v>6955</v>
      </c>
      <c r="M598" s="35"/>
      <c r="N598" s="35" t="s">
        <v>16449</v>
      </c>
      <c r="O598" s="35" t="s">
        <v>6245</v>
      </c>
      <c r="P598" s="35" t="s">
        <v>16394</v>
      </c>
      <c r="Q598" s="35" t="s">
        <v>16393</v>
      </c>
      <c r="R598" s="35" t="s">
        <v>16448</v>
      </c>
      <c r="S598" s="35">
        <v>2364388</v>
      </c>
      <c r="T598" s="35">
        <v>33997392</v>
      </c>
      <c r="U598" s="35"/>
      <c r="V598" s="30">
        <v>1863</v>
      </c>
      <c r="W598" s="35" t="s">
        <v>555</v>
      </c>
      <c r="X598" s="35" t="s">
        <v>194</v>
      </c>
      <c r="Y598" s="30">
        <v>1</v>
      </c>
      <c r="Z598" s="35"/>
      <c r="AA598" s="35"/>
      <c r="AB598" s="35"/>
      <c r="AC598" s="35"/>
      <c r="AD598" s="35"/>
      <c r="AE598" s="35"/>
      <c r="AF598" s="35"/>
      <c r="AG598" s="35"/>
      <c r="AH598" s="30" t="s">
        <v>4714</v>
      </c>
      <c r="AI598" s="35" t="s">
        <v>16447</v>
      </c>
      <c r="AJ598" s="62" t="str">
        <f>MID('I kw.22'!W598,8,6)</f>
        <v>311303</v>
      </c>
      <c r="AK598" s="62">
        <v>1</v>
      </c>
      <c r="AL598" s="62">
        <f t="shared" si="9"/>
        <v>1</v>
      </c>
      <c r="AM598" s="62">
        <v>1</v>
      </c>
    </row>
    <row r="599" spans="1:39" x14ac:dyDescent="0.25">
      <c r="A599" s="35" t="s">
        <v>800</v>
      </c>
      <c r="B599" s="35" t="s">
        <v>4226</v>
      </c>
      <c r="C599" s="35" t="s">
        <v>36</v>
      </c>
      <c r="D599" s="35" t="s">
        <v>16307</v>
      </c>
      <c r="E599" s="35" t="s">
        <v>192</v>
      </c>
      <c r="F599" s="62">
        <v>1</v>
      </c>
      <c r="G599" s="30" t="s">
        <v>193</v>
      </c>
      <c r="H599" s="30" t="s">
        <v>194</v>
      </c>
      <c r="I599" s="30" t="s">
        <v>16078</v>
      </c>
      <c r="J599" s="35" t="s">
        <v>7558</v>
      </c>
      <c r="K599" s="35">
        <v>18</v>
      </c>
      <c r="L599" s="35" t="s">
        <v>6955</v>
      </c>
      <c r="M599" s="35"/>
      <c r="N599" s="35" t="s">
        <v>16446</v>
      </c>
      <c r="O599" s="35" t="s">
        <v>7531</v>
      </c>
      <c r="P599" s="35" t="s">
        <v>16394</v>
      </c>
      <c r="Q599" s="35" t="s">
        <v>16393</v>
      </c>
      <c r="R599" s="35" t="s">
        <v>16397</v>
      </c>
      <c r="S599" s="35">
        <v>2364398</v>
      </c>
      <c r="T599" s="35">
        <v>33997402</v>
      </c>
      <c r="U599" s="35"/>
      <c r="V599" s="30">
        <v>1803</v>
      </c>
      <c r="W599" s="35" t="s">
        <v>609</v>
      </c>
      <c r="X599" s="35" t="s">
        <v>194</v>
      </c>
      <c r="Y599" s="30">
        <v>1</v>
      </c>
      <c r="Z599" s="35"/>
      <c r="AA599" s="35"/>
      <c r="AB599" s="35"/>
      <c r="AC599" s="35"/>
      <c r="AD599" s="35"/>
      <c r="AE599" s="35"/>
      <c r="AF599" s="35"/>
      <c r="AG599" s="35"/>
      <c r="AH599" s="30" t="s">
        <v>4714</v>
      </c>
      <c r="AI599" s="35" t="s">
        <v>4226</v>
      </c>
      <c r="AJ599" s="62" t="str">
        <f>MID('I kw.22'!W599,8,6)</f>
        <v>331301</v>
      </c>
      <c r="AK599" s="62">
        <v>1</v>
      </c>
      <c r="AL599" s="62">
        <f t="shared" si="9"/>
        <v>1</v>
      </c>
      <c r="AM599" s="62">
        <v>1</v>
      </c>
    </row>
    <row r="600" spans="1:39" x14ac:dyDescent="0.25">
      <c r="A600" s="35" t="s">
        <v>16445</v>
      </c>
      <c r="B600" s="35" t="s">
        <v>16443</v>
      </c>
      <c r="C600" s="35" t="s">
        <v>35</v>
      </c>
      <c r="D600" s="35" t="s">
        <v>16307</v>
      </c>
      <c r="E600" s="35" t="s">
        <v>192</v>
      </c>
      <c r="F600" s="62">
        <v>1</v>
      </c>
      <c r="G600" s="30" t="s">
        <v>193</v>
      </c>
      <c r="H600" s="30" t="s">
        <v>194</v>
      </c>
      <c r="I600" s="30" t="s">
        <v>16073</v>
      </c>
      <c r="J600" s="35" t="s">
        <v>210</v>
      </c>
      <c r="K600" s="35">
        <v>18</v>
      </c>
      <c r="L600" s="35" t="s">
        <v>6955</v>
      </c>
      <c r="M600" s="35"/>
      <c r="N600" s="35" t="s">
        <v>16444</v>
      </c>
      <c r="O600" s="35" t="s">
        <v>6249</v>
      </c>
      <c r="P600" s="35" t="s">
        <v>16394</v>
      </c>
      <c r="Q600" s="35" t="s">
        <v>16393</v>
      </c>
      <c r="R600" s="35" t="s">
        <v>16397</v>
      </c>
      <c r="S600" s="35">
        <v>2364451</v>
      </c>
      <c r="T600" s="35">
        <v>33997455</v>
      </c>
      <c r="U600" s="35"/>
      <c r="V600" s="30">
        <v>1863</v>
      </c>
      <c r="W600" s="35" t="s">
        <v>207</v>
      </c>
      <c r="X600" s="35" t="s">
        <v>194</v>
      </c>
      <c r="Y600" s="30">
        <v>1</v>
      </c>
      <c r="Z600" s="35"/>
      <c r="AA600" s="35"/>
      <c r="AB600" s="35"/>
      <c r="AC600" s="35"/>
      <c r="AD600" s="35"/>
      <c r="AE600" s="35"/>
      <c r="AF600" s="35"/>
      <c r="AG600" s="35"/>
      <c r="AH600" s="30" t="s">
        <v>4714</v>
      </c>
      <c r="AI600" s="35" t="s">
        <v>16443</v>
      </c>
      <c r="AJ600" s="62" t="str">
        <f>MID('I kw.22'!W600,8,6)</f>
        <v>122106</v>
      </c>
      <c r="AK600" s="62">
        <v>1</v>
      </c>
      <c r="AL600" s="62">
        <f t="shared" si="9"/>
        <v>1</v>
      </c>
      <c r="AM600" s="62">
        <v>1</v>
      </c>
    </row>
    <row r="601" spans="1:39" x14ac:dyDescent="0.25">
      <c r="A601" s="35" t="s">
        <v>8187</v>
      </c>
      <c r="B601" s="35" t="s">
        <v>9975</v>
      </c>
      <c r="C601" s="35" t="s">
        <v>740</v>
      </c>
      <c r="D601" s="35" t="s">
        <v>16307</v>
      </c>
      <c r="E601" s="35" t="s">
        <v>192</v>
      </c>
      <c r="F601" s="62">
        <v>1</v>
      </c>
      <c r="G601" s="30" t="s">
        <v>193</v>
      </c>
      <c r="H601" s="30" t="s">
        <v>194</v>
      </c>
      <c r="I601" s="30" t="s">
        <v>16068</v>
      </c>
      <c r="J601" s="35" t="s">
        <v>210</v>
      </c>
      <c r="K601" s="35">
        <v>18</v>
      </c>
      <c r="L601" s="35" t="s">
        <v>6955</v>
      </c>
      <c r="M601" s="35"/>
      <c r="N601" s="35" t="s">
        <v>16442</v>
      </c>
      <c r="O601" s="35" t="s">
        <v>6251</v>
      </c>
      <c r="P601" s="35" t="s">
        <v>16394</v>
      </c>
      <c r="Q601" s="35" t="s">
        <v>16393</v>
      </c>
      <c r="R601" s="35" t="s">
        <v>16304</v>
      </c>
      <c r="S601" s="35">
        <v>2364494</v>
      </c>
      <c r="T601" s="35">
        <v>33997498</v>
      </c>
      <c r="U601" s="35"/>
      <c r="V601" s="30">
        <v>1863</v>
      </c>
      <c r="W601" s="35" t="s">
        <v>741</v>
      </c>
      <c r="X601" s="35" t="s">
        <v>194</v>
      </c>
      <c r="Y601" s="30">
        <v>1</v>
      </c>
      <c r="Z601" s="35"/>
      <c r="AA601" s="35"/>
      <c r="AB601" s="35"/>
      <c r="AC601" s="35"/>
      <c r="AD601" s="35"/>
      <c r="AE601" s="35"/>
      <c r="AF601" s="35"/>
      <c r="AG601" s="35"/>
      <c r="AH601" s="30" t="s">
        <v>4714</v>
      </c>
      <c r="AI601" s="35" t="s">
        <v>9975</v>
      </c>
      <c r="AJ601" s="62" t="str">
        <f>MID('I kw.22'!W601,8,6)</f>
        <v>522301</v>
      </c>
      <c r="AK601" s="62">
        <v>1</v>
      </c>
      <c r="AL601" s="62">
        <f t="shared" si="9"/>
        <v>1</v>
      </c>
      <c r="AM601" s="62">
        <v>1</v>
      </c>
    </row>
    <row r="602" spans="1:39" x14ac:dyDescent="0.25">
      <c r="A602" s="35" t="s">
        <v>8187</v>
      </c>
      <c r="B602" s="35" t="s">
        <v>14486</v>
      </c>
      <c r="C602" s="35" t="s">
        <v>740</v>
      </c>
      <c r="D602" s="35" t="s">
        <v>16307</v>
      </c>
      <c r="E602" s="35" t="s">
        <v>192</v>
      </c>
      <c r="F602" s="62">
        <v>1</v>
      </c>
      <c r="G602" s="30" t="s">
        <v>193</v>
      </c>
      <c r="H602" s="30" t="s">
        <v>194</v>
      </c>
      <c r="I602" s="30" t="s">
        <v>16068</v>
      </c>
      <c r="J602" s="35" t="s">
        <v>210</v>
      </c>
      <c r="K602" s="35">
        <v>18</v>
      </c>
      <c r="L602" s="35" t="s">
        <v>6955</v>
      </c>
      <c r="M602" s="35"/>
      <c r="N602" s="35" t="s">
        <v>16441</v>
      </c>
      <c r="O602" s="35" t="s">
        <v>6251</v>
      </c>
      <c r="P602" s="35" t="s">
        <v>16394</v>
      </c>
      <c r="Q602" s="35" t="s">
        <v>16393</v>
      </c>
      <c r="R602" s="35" t="s">
        <v>16304</v>
      </c>
      <c r="S602" s="35">
        <v>2364587</v>
      </c>
      <c r="T602" s="35">
        <v>33997591</v>
      </c>
      <c r="U602" s="35"/>
      <c r="V602" s="30">
        <v>1863</v>
      </c>
      <c r="W602" s="35" t="s">
        <v>741</v>
      </c>
      <c r="X602" s="35" t="s">
        <v>194</v>
      </c>
      <c r="Y602" s="30">
        <v>1</v>
      </c>
      <c r="Z602" s="35"/>
      <c r="AA602" s="35"/>
      <c r="AB602" s="35"/>
      <c r="AC602" s="35"/>
      <c r="AD602" s="35"/>
      <c r="AE602" s="35"/>
      <c r="AF602" s="35"/>
      <c r="AG602" s="35"/>
      <c r="AH602" s="30" t="s">
        <v>4714</v>
      </c>
      <c r="AI602" s="35" t="s">
        <v>14486</v>
      </c>
      <c r="AJ602" s="62" t="str">
        <f>MID('I kw.22'!W602,8,6)</f>
        <v>522301</v>
      </c>
      <c r="AK602" s="62">
        <v>1</v>
      </c>
      <c r="AL602" s="62">
        <f t="shared" si="9"/>
        <v>1</v>
      </c>
      <c r="AM602" s="62">
        <v>1</v>
      </c>
    </row>
    <row r="603" spans="1:39" x14ac:dyDescent="0.25">
      <c r="A603" s="35" t="s">
        <v>16431</v>
      </c>
      <c r="B603" s="35" t="s">
        <v>16439</v>
      </c>
      <c r="C603" s="35" t="s">
        <v>85</v>
      </c>
      <c r="D603" s="35" t="s">
        <v>16307</v>
      </c>
      <c r="E603" s="35" t="s">
        <v>192</v>
      </c>
      <c r="F603" s="62">
        <v>1</v>
      </c>
      <c r="G603" s="30" t="s">
        <v>193</v>
      </c>
      <c r="H603" s="30" t="s">
        <v>194</v>
      </c>
      <c r="I603" s="30" t="s">
        <v>16052</v>
      </c>
      <c r="J603" s="35" t="s">
        <v>367</v>
      </c>
      <c r="K603" s="35">
        <v>18</v>
      </c>
      <c r="L603" s="35" t="s">
        <v>6955</v>
      </c>
      <c r="M603" s="35"/>
      <c r="N603" s="35" t="s">
        <v>16440</v>
      </c>
      <c r="O603" s="35" t="s">
        <v>6251</v>
      </c>
      <c r="P603" s="35" t="s">
        <v>16394</v>
      </c>
      <c r="Q603" s="35" t="s">
        <v>16393</v>
      </c>
      <c r="R603" s="35" t="s">
        <v>16397</v>
      </c>
      <c r="S603" s="35">
        <v>2364725</v>
      </c>
      <c r="T603" s="35">
        <v>33997729</v>
      </c>
      <c r="U603" s="35"/>
      <c r="V603" s="30">
        <v>1805</v>
      </c>
      <c r="W603" s="35" t="s">
        <v>477</v>
      </c>
      <c r="X603" s="35" t="s">
        <v>194</v>
      </c>
      <c r="Y603" s="30">
        <v>1</v>
      </c>
      <c r="Z603" s="35"/>
      <c r="AA603" s="35"/>
      <c r="AB603" s="35"/>
      <c r="AC603" s="35"/>
      <c r="AD603" s="35"/>
      <c r="AE603" s="35"/>
      <c r="AF603" s="35"/>
      <c r="AG603" s="35"/>
      <c r="AH603" s="30" t="s">
        <v>4714</v>
      </c>
      <c r="AI603" s="35" t="s">
        <v>16439</v>
      </c>
      <c r="AJ603" s="62" t="str">
        <f>MID('I kw.22'!W603,8,6)</f>
        <v>243305</v>
      </c>
      <c r="AK603" s="62">
        <v>1</v>
      </c>
      <c r="AL603" s="62">
        <f t="shared" si="9"/>
        <v>1</v>
      </c>
      <c r="AM603" s="62">
        <v>1</v>
      </c>
    </row>
    <row r="604" spans="1:39" x14ac:dyDescent="0.25">
      <c r="A604" s="35" t="s">
        <v>1523</v>
      </c>
      <c r="B604" s="35" t="s">
        <v>16437</v>
      </c>
      <c r="C604" s="35" t="s">
        <v>43</v>
      </c>
      <c r="D604" s="35" t="s">
        <v>16307</v>
      </c>
      <c r="E604" s="35" t="s">
        <v>192</v>
      </c>
      <c r="F604" s="62">
        <v>1</v>
      </c>
      <c r="G604" s="30" t="s">
        <v>193</v>
      </c>
      <c r="H604" s="30" t="s">
        <v>194</v>
      </c>
      <c r="I604" s="30" t="s">
        <v>16068</v>
      </c>
      <c r="J604" s="35" t="s">
        <v>210</v>
      </c>
      <c r="K604" s="35">
        <v>18</v>
      </c>
      <c r="L604" s="35" t="s">
        <v>6955</v>
      </c>
      <c r="M604" s="35"/>
      <c r="N604" s="35" t="s">
        <v>16438</v>
      </c>
      <c r="O604" s="35" t="s">
        <v>6327</v>
      </c>
      <c r="P604" s="35" t="s">
        <v>16394</v>
      </c>
      <c r="Q604" s="35" t="s">
        <v>16393</v>
      </c>
      <c r="R604" s="35" t="s">
        <v>16397</v>
      </c>
      <c r="S604" s="35">
        <v>2364738</v>
      </c>
      <c r="T604" s="35">
        <v>33997742</v>
      </c>
      <c r="U604" s="35"/>
      <c r="V604" s="30">
        <v>1863</v>
      </c>
      <c r="W604" s="35" t="s">
        <v>452</v>
      </c>
      <c r="X604" s="35" t="s">
        <v>194</v>
      </c>
      <c r="Y604" s="30">
        <v>1</v>
      </c>
      <c r="Z604" s="35"/>
      <c r="AA604" s="35"/>
      <c r="AB604" s="35"/>
      <c r="AC604" s="35"/>
      <c r="AD604" s="35"/>
      <c r="AE604" s="35"/>
      <c r="AF604" s="35"/>
      <c r="AG604" s="35"/>
      <c r="AH604" s="30" t="s">
        <v>4714</v>
      </c>
      <c r="AI604" s="35" t="s">
        <v>16437</v>
      </c>
      <c r="AJ604" s="62" t="str">
        <f>MID('I kw.22'!W604,8,6)</f>
        <v>243106</v>
      </c>
      <c r="AK604" s="62">
        <v>1</v>
      </c>
      <c r="AL604" s="62">
        <f t="shared" si="9"/>
        <v>1</v>
      </c>
      <c r="AM604" s="62">
        <v>1</v>
      </c>
    </row>
    <row r="605" spans="1:39" x14ac:dyDescent="0.25">
      <c r="A605" s="35" t="s">
        <v>16436</v>
      </c>
      <c r="B605" s="35" t="s">
        <v>16432</v>
      </c>
      <c r="C605" s="35" t="s">
        <v>16435</v>
      </c>
      <c r="D605" s="35" t="s">
        <v>16307</v>
      </c>
      <c r="E605" s="35" t="s">
        <v>192</v>
      </c>
      <c r="F605" s="62">
        <v>1</v>
      </c>
      <c r="G605" s="30" t="s">
        <v>193</v>
      </c>
      <c r="H605" s="30" t="s">
        <v>194</v>
      </c>
      <c r="I605" s="30" t="s">
        <v>16078</v>
      </c>
      <c r="J605" s="35" t="s">
        <v>210</v>
      </c>
      <c r="K605" s="35">
        <v>18</v>
      </c>
      <c r="L605" s="35" t="s">
        <v>6955</v>
      </c>
      <c r="M605" s="35"/>
      <c r="N605" s="35" t="s">
        <v>16434</v>
      </c>
      <c r="O605" s="35" t="s">
        <v>6290</v>
      </c>
      <c r="P605" s="35" t="s">
        <v>16394</v>
      </c>
      <c r="Q605" s="35" t="s">
        <v>16393</v>
      </c>
      <c r="R605" s="35" t="s">
        <v>16397</v>
      </c>
      <c r="S605" s="35">
        <v>2364789</v>
      </c>
      <c r="T605" s="35">
        <v>33997793</v>
      </c>
      <c r="U605" s="35"/>
      <c r="V605" s="30">
        <v>1863</v>
      </c>
      <c r="W605" s="35" t="s">
        <v>16433</v>
      </c>
      <c r="X605" s="35" t="s">
        <v>194</v>
      </c>
      <c r="Y605" s="30">
        <v>1</v>
      </c>
      <c r="Z605" s="35"/>
      <c r="AA605" s="35"/>
      <c r="AB605" s="35"/>
      <c r="AC605" s="35"/>
      <c r="AD605" s="35"/>
      <c r="AE605" s="35"/>
      <c r="AF605" s="35"/>
      <c r="AG605" s="35"/>
      <c r="AH605" s="30" t="s">
        <v>4714</v>
      </c>
      <c r="AI605" s="35" t="s">
        <v>16432</v>
      </c>
      <c r="AJ605" s="62" t="str">
        <f>MID('I kw.22'!W605,8,6)</f>
        <v>215105</v>
      </c>
      <c r="AK605" s="62">
        <v>1</v>
      </c>
      <c r="AL605" s="62">
        <f t="shared" si="9"/>
        <v>1</v>
      </c>
      <c r="AM605" s="62">
        <v>1</v>
      </c>
    </row>
    <row r="606" spans="1:39" x14ac:dyDescent="0.25">
      <c r="A606" s="35" t="s">
        <v>16431</v>
      </c>
      <c r="B606" s="35" t="s">
        <v>16429</v>
      </c>
      <c r="C606" s="35" t="s">
        <v>113</v>
      </c>
      <c r="D606" s="35" t="s">
        <v>16307</v>
      </c>
      <c r="E606" s="35" t="s">
        <v>192</v>
      </c>
      <c r="F606" s="62">
        <v>1</v>
      </c>
      <c r="G606" s="30" t="s">
        <v>193</v>
      </c>
      <c r="H606" s="30" t="s">
        <v>194</v>
      </c>
      <c r="I606" s="30" t="s">
        <v>16066</v>
      </c>
      <c r="J606" s="35" t="s">
        <v>367</v>
      </c>
      <c r="K606" s="35">
        <v>18</v>
      </c>
      <c r="L606" s="35" t="s">
        <v>6955</v>
      </c>
      <c r="M606" s="35"/>
      <c r="N606" s="35" t="s">
        <v>16430</v>
      </c>
      <c r="O606" s="35" t="s">
        <v>6251</v>
      </c>
      <c r="P606" s="35" t="s">
        <v>16394</v>
      </c>
      <c r="Q606" s="35" t="s">
        <v>16393</v>
      </c>
      <c r="R606" s="35" t="s">
        <v>16397</v>
      </c>
      <c r="S606" s="35">
        <v>2364796</v>
      </c>
      <c r="T606" s="35">
        <v>33997800</v>
      </c>
      <c r="U606" s="35"/>
      <c r="V606" s="30">
        <v>1805</v>
      </c>
      <c r="W606" s="35" t="s">
        <v>465</v>
      </c>
      <c r="X606" s="35" t="s">
        <v>194</v>
      </c>
      <c r="Y606" s="30">
        <v>1</v>
      </c>
      <c r="Z606" s="35"/>
      <c r="AA606" s="35"/>
      <c r="AB606" s="35"/>
      <c r="AC606" s="35"/>
      <c r="AD606" s="35"/>
      <c r="AE606" s="35"/>
      <c r="AF606" s="35"/>
      <c r="AG606" s="35"/>
      <c r="AH606" s="30" t="s">
        <v>4714</v>
      </c>
      <c r="AI606" s="35" t="s">
        <v>16429</v>
      </c>
      <c r="AJ606" s="62" t="str">
        <f>MID('I kw.22'!W606,8,6)</f>
        <v>243302</v>
      </c>
      <c r="AK606" s="62">
        <v>1</v>
      </c>
      <c r="AL606" s="62">
        <f t="shared" si="9"/>
        <v>1</v>
      </c>
      <c r="AM606" s="62">
        <v>1</v>
      </c>
    </row>
    <row r="607" spans="1:39" x14ac:dyDescent="0.25">
      <c r="A607" s="35" t="s">
        <v>10644</v>
      </c>
      <c r="B607" s="35" t="s">
        <v>16427</v>
      </c>
      <c r="C607" s="35" t="s">
        <v>19</v>
      </c>
      <c r="D607" s="35" t="s">
        <v>16307</v>
      </c>
      <c r="E607" s="35" t="s">
        <v>192</v>
      </c>
      <c r="F607" s="62">
        <v>1</v>
      </c>
      <c r="G607" s="30" t="s">
        <v>193</v>
      </c>
      <c r="H607" s="30" t="s">
        <v>194</v>
      </c>
      <c r="I607" s="30" t="s">
        <v>16048</v>
      </c>
      <c r="J607" s="35" t="s">
        <v>575</v>
      </c>
      <c r="K607" s="35">
        <v>18</v>
      </c>
      <c r="L607" s="35" t="s">
        <v>6955</v>
      </c>
      <c r="M607" s="35"/>
      <c r="N607" s="35" t="s">
        <v>16428</v>
      </c>
      <c r="O607" s="35" t="s">
        <v>6286</v>
      </c>
      <c r="P607" s="35" t="s">
        <v>16394</v>
      </c>
      <c r="Q607" s="35" t="s">
        <v>16393</v>
      </c>
      <c r="R607" s="35" t="s">
        <v>16397</v>
      </c>
      <c r="S607" s="35">
        <v>2364872</v>
      </c>
      <c r="T607" s="35">
        <v>33997876</v>
      </c>
      <c r="U607" s="35"/>
      <c r="V607" s="30">
        <v>1816</v>
      </c>
      <c r="W607" s="35" t="s">
        <v>337</v>
      </c>
      <c r="X607" s="35" t="s">
        <v>194</v>
      </c>
      <c r="Y607" s="30">
        <v>1</v>
      </c>
      <c r="Z607" s="35"/>
      <c r="AA607" s="35"/>
      <c r="AB607" s="35"/>
      <c r="AC607" s="35"/>
      <c r="AD607" s="35"/>
      <c r="AE607" s="35"/>
      <c r="AF607" s="35"/>
      <c r="AG607" s="35"/>
      <c r="AH607" s="30" t="s">
        <v>4714</v>
      </c>
      <c r="AI607" s="35" t="s">
        <v>16427</v>
      </c>
      <c r="AJ607" s="62" t="str">
        <f>MID('I kw.22'!W607,8,6)</f>
        <v>214903</v>
      </c>
      <c r="AK607" s="62">
        <v>1</v>
      </c>
      <c r="AL607" s="62">
        <f t="shared" si="9"/>
        <v>1</v>
      </c>
      <c r="AM607" s="62">
        <v>1</v>
      </c>
    </row>
    <row r="608" spans="1:39" x14ac:dyDescent="0.25">
      <c r="A608" s="35" t="s">
        <v>247</v>
      </c>
      <c r="B608" s="35" t="s">
        <v>16425</v>
      </c>
      <c r="C608" s="35" t="s">
        <v>8953</v>
      </c>
      <c r="D608" s="35" t="s">
        <v>16307</v>
      </c>
      <c r="E608" s="35" t="s">
        <v>192</v>
      </c>
      <c r="F608" s="62">
        <v>1</v>
      </c>
      <c r="G608" s="30" t="s">
        <v>193</v>
      </c>
      <c r="H608" s="30" t="s">
        <v>194</v>
      </c>
      <c r="I608" s="30" t="s">
        <v>16078</v>
      </c>
      <c r="J608" s="35" t="s">
        <v>210</v>
      </c>
      <c r="K608" s="35">
        <v>18</v>
      </c>
      <c r="L608" s="35" t="s">
        <v>6955</v>
      </c>
      <c r="M608" s="35"/>
      <c r="N608" s="35" t="s">
        <v>16426</v>
      </c>
      <c r="O608" s="35" t="s">
        <v>6295</v>
      </c>
      <c r="P608" s="35" t="s">
        <v>16394</v>
      </c>
      <c r="Q608" s="35" t="s">
        <v>16393</v>
      </c>
      <c r="R608" s="35" t="s">
        <v>16397</v>
      </c>
      <c r="S608" s="35">
        <v>2364881</v>
      </c>
      <c r="T608" s="35">
        <v>33997885</v>
      </c>
      <c r="U608" s="35"/>
      <c r="V608" s="30">
        <v>1863</v>
      </c>
      <c r="W608" s="35" t="s">
        <v>8955</v>
      </c>
      <c r="X608" s="35" t="s">
        <v>194</v>
      </c>
      <c r="Y608" s="30">
        <v>1</v>
      </c>
      <c r="Z608" s="35"/>
      <c r="AA608" s="35"/>
      <c r="AB608" s="35"/>
      <c r="AC608" s="35"/>
      <c r="AD608" s="35"/>
      <c r="AE608" s="35"/>
      <c r="AF608" s="35"/>
      <c r="AG608" s="35"/>
      <c r="AH608" s="30" t="s">
        <v>4714</v>
      </c>
      <c r="AI608" s="35" t="s">
        <v>16425</v>
      </c>
      <c r="AJ608" s="62" t="str">
        <f>MID('I kw.22'!W608,8,6)</f>
        <v>252103</v>
      </c>
      <c r="AK608" s="62">
        <v>1</v>
      </c>
      <c r="AL608" s="62">
        <f t="shared" si="9"/>
        <v>1</v>
      </c>
      <c r="AM608" s="62">
        <v>1</v>
      </c>
    </row>
    <row r="609" spans="1:39" x14ac:dyDescent="0.25">
      <c r="A609" s="35" t="s">
        <v>5860</v>
      </c>
      <c r="B609" s="35" t="s">
        <v>1688</v>
      </c>
      <c r="C609" s="35" t="s">
        <v>1497</v>
      </c>
      <c r="D609" s="35" t="s">
        <v>16307</v>
      </c>
      <c r="E609" s="35" t="s">
        <v>192</v>
      </c>
      <c r="F609" s="77">
        <v>1</v>
      </c>
      <c r="G609" s="30" t="s">
        <v>193</v>
      </c>
      <c r="H609" s="30" t="s">
        <v>194</v>
      </c>
      <c r="I609" s="30" t="s">
        <v>16066</v>
      </c>
      <c r="J609" s="35" t="s">
        <v>385</v>
      </c>
      <c r="K609" s="35">
        <v>18</v>
      </c>
      <c r="L609" s="35" t="s">
        <v>6955</v>
      </c>
      <c r="M609" s="35"/>
      <c r="N609" s="35" t="s">
        <v>16424</v>
      </c>
      <c r="O609" s="35" t="s">
        <v>6254</v>
      </c>
      <c r="P609" s="35" t="s">
        <v>16394</v>
      </c>
      <c r="Q609" s="35" t="s">
        <v>16393</v>
      </c>
      <c r="R609" s="35" t="s">
        <v>16397</v>
      </c>
      <c r="S609" s="35">
        <v>2364903</v>
      </c>
      <c r="T609" s="35">
        <v>33997907</v>
      </c>
      <c r="U609" s="35"/>
      <c r="V609" s="30">
        <v>1861</v>
      </c>
      <c r="W609" s="35" t="s">
        <v>1498</v>
      </c>
      <c r="X609" s="35" t="s">
        <v>194</v>
      </c>
      <c r="Y609" s="30">
        <v>1</v>
      </c>
      <c r="Z609" s="35"/>
      <c r="AA609" s="35"/>
      <c r="AB609" s="35"/>
      <c r="AC609" s="35"/>
      <c r="AD609" s="35"/>
      <c r="AE609" s="35"/>
      <c r="AF609" s="35"/>
      <c r="AG609" s="35"/>
      <c r="AH609" s="30" t="s">
        <v>4714</v>
      </c>
      <c r="AI609" s="35" t="s">
        <v>1688</v>
      </c>
      <c r="AJ609" s="62" t="str">
        <f>MID('I kw.22'!W609,8,6)</f>
        <v>134605</v>
      </c>
      <c r="AK609" s="62">
        <v>1</v>
      </c>
      <c r="AL609" s="497">
        <f t="shared" si="9"/>
        <v>1</v>
      </c>
      <c r="AM609" s="62">
        <v>1</v>
      </c>
    </row>
    <row r="610" spans="1:39" x14ac:dyDescent="0.25">
      <c r="A610" s="35" t="s">
        <v>16423</v>
      </c>
      <c r="B610" s="35" t="s">
        <v>16421</v>
      </c>
      <c r="C610" s="35" t="s">
        <v>37</v>
      </c>
      <c r="D610" s="35" t="s">
        <v>16307</v>
      </c>
      <c r="E610" s="35" t="s">
        <v>192</v>
      </c>
      <c r="F610" s="62">
        <v>1</v>
      </c>
      <c r="G610" s="30" t="s">
        <v>193</v>
      </c>
      <c r="H610" s="30" t="s">
        <v>194</v>
      </c>
      <c r="I610" s="30" t="s">
        <v>16183</v>
      </c>
      <c r="J610" s="35" t="s">
        <v>210</v>
      </c>
      <c r="K610" s="35">
        <v>18</v>
      </c>
      <c r="L610" s="35" t="s">
        <v>6955</v>
      </c>
      <c r="M610" s="35"/>
      <c r="N610" s="35" t="s">
        <v>16422</v>
      </c>
      <c r="O610" s="35" t="s">
        <v>6286</v>
      </c>
      <c r="P610" s="35" t="s">
        <v>16394</v>
      </c>
      <c r="Q610" s="35" t="s">
        <v>16393</v>
      </c>
      <c r="R610" s="35" t="s">
        <v>16397</v>
      </c>
      <c r="S610" s="35">
        <v>2364914</v>
      </c>
      <c r="T610" s="35">
        <v>33997918</v>
      </c>
      <c r="U610" s="35"/>
      <c r="V610" s="30">
        <v>1863</v>
      </c>
      <c r="W610" s="35" t="s">
        <v>516</v>
      </c>
      <c r="X610" s="35" t="s">
        <v>194</v>
      </c>
      <c r="Y610" s="30">
        <v>1</v>
      </c>
      <c r="Z610" s="35"/>
      <c r="AA610" s="35"/>
      <c r="AB610" s="35"/>
      <c r="AC610" s="35"/>
      <c r="AD610" s="35"/>
      <c r="AE610" s="35"/>
      <c r="AF610" s="35"/>
      <c r="AG610" s="35"/>
      <c r="AH610" s="30" t="s">
        <v>4714</v>
      </c>
      <c r="AI610" s="35" t="s">
        <v>16421</v>
      </c>
      <c r="AJ610" s="62" t="str">
        <f>MID('I kw.22'!W610,8,6)</f>
        <v>252302</v>
      </c>
      <c r="AK610" s="62">
        <v>1</v>
      </c>
      <c r="AL610" s="62">
        <f t="shared" si="9"/>
        <v>1</v>
      </c>
      <c r="AM610" s="62">
        <v>1</v>
      </c>
    </row>
    <row r="611" spans="1:39" x14ac:dyDescent="0.25">
      <c r="A611" s="35" t="s">
        <v>13788</v>
      </c>
      <c r="B611" s="35" t="s">
        <v>13795</v>
      </c>
      <c r="C611" s="35" t="s">
        <v>62</v>
      </c>
      <c r="D611" s="35" t="s">
        <v>16307</v>
      </c>
      <c r="E611" s="35" t="s">
        <v>192</v>
      </c>
      <c r="F611" s="62">
        <v>1</v>
      </c>
      <c r="G611" s="30" t="s">
        <v>193</v>
      </c>
      <c r="H611" s="30" t="s">
        <v>194</v>
      </c>
      <c r="I611" s="30" t="s">
        <v>16083</v>
      </c>
      <c r="J611" s="35" t="s">
        <v>2183</v>
      </c>
      <c r="K611" s="35">
        <v>18</v>
      </c>
      <c r="L611" s="35" t="s">
        <v>6955</v>
      </c>
      <c r="M611" s="35"/>
      <c r="N611" s="35" t="s">
        <v>16420</v>
      </c>
      <c r="O611" s="35" t="s">
        <v>6275</v>
      </c>
      <c r="P611" s="35" t="s">
        <v>16394</v>
      </c>
      <c r="Q611" s="35" t="s">
        <v>16393</v>
      </c>
      <c r="R611" s="35" t="s">
        <v>16397</v>
      </c>
      <c r="S611" s="35">
        <v>2364980</v>
      </c>
      <c r="T611" s="35">
        <v>33997984</v>
      </c>
      <c r="U611" s="35"/>
      <c r="V611" s="30">
        <v>1820</v>
      </c>
      <c r="W611" s="35" t="s">
        <v>601</v>
      </c>
      <c r="X611" s="35" t="s">
        <v>194</v>
      </c>
      <c r="Y611" s="30">
        <v>1</v>
      </c>
      <c r="Z611" s="35"/>
      <c r="AA611" s="35"/>
      <c r="AB611" s="35"/>
      <c r="AC611" s="35"/>
      <c r="AD611" s="35"/>
      <c r="AE611" s="35"/>
      <c r="AF611" s="35"/>
      <c r="AG611" s="35"/>
      <c r="AH611" s="30" t="s">
        <v>4714</v>
      </c>
      <c r="AI611" s="35" t="s">
        <v>13795</v>
      </c>
      <c r="AJ611" s="62" t="str">
        <f>MID('I kw.22'!W611,8,6)</f>
        <v>313904</v>
      </c>
      <c r="AK611" s="62">
        <v>1</v>
      </c>
      <c r="AL611" s="62">
        <f t="shared" si="9"/>
        <v>1</v>
      </c>
      <c r="AM611" s="62">
        <v>1</v>
      </c>
    </row>
    <row r="612" spans="1:39" x14ac:dyDescent="0.25">
      <c r="A612" s="35" t="s">
        <v>16419</v>
      </c>
      <c r="B612" s="35" t="s">
        <v>16417</v>
      </c>
      <c r="C612" s="35" t="s">
        <v>1402</v>
      </c>
      <c r="D612" s="35" t="s">
        <v>16307</v>
      </c>
      <c r="E612" s="35" t="s">
        <v>192</v>
      </c>
      <c r="F612" s="62">
        <v>1</v>
      </c>
      <c r="G612" s="30" t="s">
        <v>193</v>
      </c>
      <c r="H612" s="30" t="s">
        <v>194</v>
      </c>
      <c r="I612" s="30" t="s">
        <v>16048</v>
      </c>
      <c r="J612" s="35" t="s">
        <v>210</v>
      </c>
      <c r="K612" s="35">
        <v>18</v>
      </c>
      <c r="L612" s="35" t="s">
        <v>6955</v>
      </c>
      <c r="M612" s="35"/>
      <c r="N612" s="35" t="s">
        <v>16418</v>
      </c>
      <c r="O612" s="35" t="s">
        <v>6251</v>
      </c>
      <c r="P612" s="35" t="s">
        <v>16394</v>
      </c>
      <c r="Q612" s="35" t="s">
        <v>16393</v>
      </c>
      <c r="R612" s="35" t="s">
        <v>16397</v>
      </c>
      <c r="S612" s="35">
        <v>2365046</v>
      </c>
      <c r="T612" s="35">
        <v>33998050</v>
      </c>
      <c r="U612" s="35"/>
      <c r="V612" s="30">
        <v>1863</v>
      </c>
      <c r="W612" s="35" t="s">
        <v>1403</v>
      </c>
      <c r="X612" s="35" t="s">
        <v>194</v>
      </c>
      <c r="Y612" s="30">
        <v>1</v>
      </c>
      <c r="Z612" s="35"/>
      <c r="AA612" s="35"/>
      <c r="AB612" s="35"/>
      <c r="AC612" s="35"/>
      <c r="AD612" s="35"/>
      <c r="AE612" s="35"/>
      <c r="AF612" s="35"/>
      <c r="AG612" s="35"/>
      <c r="AH612" s="30" t="s">
        <v>4714</v>
      </c>
      <c r="AI612" s="35" t="s">
        <v>16417</v>
      </c>
      <c r="AJ612" s="62" t="str">
        <f>MID('I kw.22'!W612,8,6)</f>
        <v>242228</v>
      </c>
      <c r="AK612" s="62">
        <v>1</v>
      </c>
      <c r="AL612" s="62">
        <f t="shared" si="9"/>
        <v>1</v>
      </c>
      <c r="AM612" s="62">
        <v>1</v>
      </c>
    </row>
    <row r="613" spans="1:39" x14ac:dyDescent="0.25">
      <c r="A613" s="35" t="s">
        <v>1568</v>
      </c>
      <c r="B613" s="35" t="s">
        <v>16415</v>
      </c>
      <c r="C613" s="35" t="s">
        <v>5445</v>
      </c>
      <c r="D613" s="35" t="s">
        <v>16307</v>
      </c>
      <c r="E613" s="35" t="s">
        <v>192</v>
      </c>
      <c r="F613" s="62">
        <v>1</v>
      </c>
      <c r="G613" s="30" t="s">
        <v>193</v>
      </c>
      <c r="H613" s="30" t="s">
        <v>194</v>
      </c>
      <c r="I613" s="30" t="s">
        <v>16073</v>
      </c>
      <c r="J613" s="35" t="s">
        <v>276</v>
      </c>
      <c r="K613" s="35">
        <v>18</v>
      </c>
      <c r="L613" s="35" t="s">
        <v>6955</v>
      </c>
      <c r="M613" s="35"/>
      <c r="N613" s="35" t="s">
        <v>16416</v>
      </c>
      <c r="O613" s="35" t="s">
        <v>6258</v>
      </c>
      <c r="P613" s="35" t="s">
        <v>16394</v>
      </c>
      <c r="Q613" s="35" t="s">
        <v>16393</v>
      </c>
      <c r="R613" s="35" t="s">
        <v>16397</v>
      </c>
      <c r="S613" s="35">
        <v>2365098</v>
      </c>
      <c r="T613" s="35">
        <v>33998102</v>
      </c>
      <c r="U613" s="35"/>
      <c r="V613" s="30">
        <v>1803</v>
      </c>
      <c r="W613" s="35" t="s">
        <v>1571</v>
      </c>
      <c r="X613" s="35" t="s">
        <v>194</v>
      </c>
      <c r="Y613" s="30">
        <v>1</v>
      </c>
      <c r="Z613" s="35"/>
      <c r="AA613" s="35"/>
      <c r="AB613" s="35"/>
      <c r="AC613" s="35"/>
      <c r="AD613" s="35"/>
      <c r="AE613" s="35"/>
      <c r="AF613" s="35"/>
      <c r="AG613" s="35"/>
      <c r="AH613" s="30" t="s">
        <v>4714</v>
      </c>
      <c r="AI613" s="35" t="s">
        <v>16415</v>
      </c>
      <c r="AJ613" s="62" t="str">
        <f>MID('I kw.22'!W613,8,6)</f>
        <v>214303</v>
      </c>
      <c r="AK613" s="62">
        <v>1</v>
      </c>
      <c r="AL613" s="62">
        <f t="shared" si="9"/>
        <v>1</v>
      </c>
      <c r="AM613" s="62">
        <v>1</v>
      </c>
    </row>
    <row r="614" spans="1:39" x14ac:dyDescent="0.25">
      <c r="A614" s="35" t="s">
        <v>16414</v>
      </c>
      <c r="B614" s="35" t="s">
        <v>14860</v>
      </c>
      <c r="C614" s="35" t="s">
        <v>19</v>
      </c>
      <c r="D614" s="35" t="s">
        <v>16307</v>
      </c>
      <c r="E614" s="35" t="s">
        <v>192</v>
      </c>
      <c r="F614" s="62">
        <v>1</v>
      </c>
      <c r="G614" s="30" t="s">
        <v>193</v>
      </c>
      <c r="H614" s="30" t="s">
        <v>194</v>
      </c>
      <c r="I614" s="30" t="s">
        <v>16078</v>
      </c>
      <c r="J614" s="35" t="s">
        <v>210</v>
      </c>
      <c r="K614" s="35">
        <v>18</v>
      </c>
      <c r="L614" s="35" t="s">
        <v>6955</v>
      </c>
      <c r="M614" s="35"/>
      <c r="N614" s="35" t="s">
        <v>16413</v>
      </c>
      <c r="O614" s="35" t="s">
        <v>6258</v>
      </c>
      <c r="P614" s="35" t="s">
        <v>16394</v>
      </c>
      <c r="Q614" s="35" t="s">
        <v>16393</v>
      </c>
      <c r="R614" s="35" t="s">
        <v>16397</v>
      </c>
      <c r="S614" s="35">
        <v>2365187</v>
      </c>
      <c r="T614" s="35">
        <v>33998191</v>
      </c>
      <c r="U614" s="35"/>
      <c r="V614" s="30">
        <v>1863</v>
      </c>
      <c r="W614" s="35" t="s">
        <v>337</v>
      </c>
      <c r="X614" s="35" t="s">
        <v>194</v>
      </c>
      <c r="Y614" s="30">
        <v>1</v>
      </c>
      <c r="Z614" s="35"/>
      <c r="AA614" s="35"/>
      <c r="AB614" s="35"/>
      <c r="AC614" s="35"/>
      <c r="AD614" s="35"/>
      <c r="AE614" s="35"/>
      <c r="AF614" s="35"/>
      <c r="AG614" s="35"/>
      <c r="AH614" s="30" t="s">
        <v>4714</v>
      </c>
      <c r="AI614" s="35" t="s">
        <v>14860</v>
      </c>
      <c r="AJ614" s="62" t="str">
        <f>MID('I kw.22'!W614,8,6)</f>
        <v>214903</v>
      </c>
      <c r="AK614" s="62">
        <v>1</v>
      </c>
      <c r="AL614" s="62">
        <f t="shared" si="9"/>
        <v>1</v>
      </c>
      <c r="AM614" s="62">
        <v>1</v>
      </c>
    </row>
    <row r="615" spans="1:39" x14ac:dyDescent="0.25">
      <c r="A615" s="35" t="s">
        <v>16412</v>
      </c>
      <c r="B615" s="35" t="s">
        <v>16408</v>
      </c>
      <c r="C615" s="35" t="s">
        <v>16411</v>
      </c>
      <c r="D615" s="35" t="s">
        <v>16307</v>
      </c>
      <c r="E615" s="35" t="s">
        <v>192</v>
      </c>
      <c r="F615" s="62">
        <v>1</v>
      </c>
      <c r="G615" s="30" t="s">
        <v>193</v>
      </c>
      <c r="H615" s="30" t="s">
        <v>194</v>
      </c>
      <c r="I615" s="30" t="s">
        <v>16078</v>
      </c>
      <c r="J615" s="35" t="s">
        <v>210</v>
      </c>
      <c r="K615" s="35">
        <v>18</v>
      </c>
      <c r="L615" s="35" t="s">
        <v>6955</v>
      </c>
      <c r="M615" s="35"/>
      <c r="N615" s="35" t="s">
        <v>16410</v>
      </c>
      <c r="O615" s="35" t="s">
        <v>6343</v>
      </c>
      <c r="P615" s="35" t="s">
        <v>16394</v>
      </c>
      <c r="Q615" s="35" t="s">
        <v>16393</v>
      </c>
      <c r="R615" s="35" t="s">
        <v>16397</v>
      </c>
      <c r="S615" s="35">
        <v>2365209</v>
      </c>
      <c r="T615" s="35">
        <v>33998213</v>
      </c>
      <c r="U615" s="35"/>
      <c r="V615" s="30">
        <v>1863</v>
      </c>
      <c r="W615" s="35" t="s">
        <v>16409</v>
      </c>
      <c r="X615" s="35" t="s">
        <v>194</v>
      </c>
      <c r="Y615" s="30">
        <v>1</v>
      </c>
      <c r="Z615" s="35"/>
      <c r="AA615" s="35"/>
      <c r="AB615" s="35"/>
      <c r="AC615" s="35"/>
      <c r="AD615" s="35"/>
      <c r="AE615" s="35"/>
      <c r="AF615" s="35"/>
      <c r="AG615" s="35"/>
      <c r="AH615" s="30" t="s">
        <v>4714</v>
      </c>
      <c r="AI615" s="35" t="s">
        <v>16408</v>
      </c>
      <c r="AJ615" s="62" t="str">
        <f>MID('I kw.22'!W615,8,6)</f>
        <v>143110</v>
      </c>
      <c r="AK615" s="62">
        <v>1</v>
      </c>
      <c r="AL615" s="62">
        <f t="shared" si="9"/>
        <v>1</v>
      </c>
      <c r="AM615" s="62">
        <v>1</v>
      </c>
    </row>
    <row r="616" spans="1:39" x14ac:dyDescent="0.25">
      <c r="A616" s="35" t="s">
        <v>16407</v>
      </c>
      <c r="B616" s="35" t="s">
        <v>8</v>
      </c>
      <c r="C616" s="35" t="s">
        <v>740</v>
      </c>
      <c r="D616" s="35" t="s">
        <v>16307</v>
      </c>
      <c r="E616" s="35" t="s">
        <v>192</v>
      </c>
      <c r="F616" s="62">
        <v>1</v>
      </c>
      <c r="G616" s="30" t="s">
        <v>193</v>
      </c>
      <c r="H616" s="30" t="s">
        <v>194</v>
      </c>
      <c r="I616" s="30" t="s">
        <v>16052</v>
      </c>
      <c r="J616" s="35" t="s">
        <v>253</v>
      </c>
      <c r="K616" s="35">
        <v>18</v>
      </c>
      <c r="L616" s="35" t="s">
        <v>6955</v>
      </c>
      <c r="M616" s="35"/>
      <c r="N616" s="35" t="s">
        <v>16406</v>
      </c>
      <c r="O616" s="35" t="s">
        <v>6275</v>
      </c>
      <c r="P616" s="35" t="s">
        <v>16394</v>
      </c>
      <c r="Q616" s="35" t="s">
        <v>16393</v>
      </c>
      <c r="R616" s="35" t="s">
        <v>16397</v>
      </c>
      <c r="S616" s="35">
        <v>2365411</v>
      </c>
      <c r="T616" s="35">
        <v>33998415</v>
      </c>
      <c r="U616" s="35"/>
      <c r="V616" s="30">
        <v>1811</v>
      </c>
      <c r="W616" s="35" t="s">
        <v>741</v>
      </c>
      <c r="X616" s="35" t="s">
        <v>194</v>
      </c>
      <c r="Y616" s="30">
        <v>1</v>
      </c>
      <c r="Z616" s="35"/>
      <c r="AA616" s="35"/>
      <c r="AB616" s="35"/>
      <c r="AC616" s="35"/>
      <c r="AD616" s="35"/>
      <c r="AE616" s="35"/>
      <c r="AF616" s="35"/>
      <c r="AG616" s="35"/>
      <c r="AH616" s="30" t="s">
        <v>4714</v>
      </c>
      <c r="AI616" s="35" t="s">
        <v>8</v>
      </c>
      <c r="AJ616" s="62" t="str">
        <f>MID('I kw.22'!W616,8,6)</f>
        <v>522301</v>
      </c>
      <c r="AK616" s="62">
        <v>1</v>
      </c>
      <c r="AL616" s="62">
        <f t="shared" si="9"/>
        <v>1</v>
      </c>
      <c r="AM616" s="62">
        <v>1</v>
      </c>
    </row>
    <row r="617" spans="1:39" x14ac:dyDescent="0.25">
      <c r="A617" s="35" t="s">
        <v>16405</v>
      </c>
      <c r="B617" s="35" t="s">
        <v>2378</v>
      </c>
      <c r="C617" s="35" t="s">
        <v>85</v>
      </c>
      <c r="D617" s="35" t="s">
        <v>16307</v>
      </c>
      <c r="E617" s="35" t="s">
        <v>192</v>
      </c>
      <c r="F617" s="62">
        <v>1</v>
      </c>
      <c r="G617" s="30" t="s">
        <v>193</v>
      </c>
      <c r="H617" s="30" t="s">
        <v>194</v>
      </c>
      <c r="I617" s="30" t="s">
        <v>16048</v>
      </c>
      <c r="J617" s="35" t="s">
        <v>253</v>
      </c>
      <c r="K617" s="35">
        <v>18</v>
      </c>
      <c r="L617" s="35" t="s">
        <v>6955</v>
      </c>
      <c r="M617" s="35"/>
      <c r="N617" s="35" t="s">
        <v>16404</v>
      </c>
      <c r="O617" s="35" t="s">
        <v>6266</v>
      </c>
      <c r="P617" s="35" t="s">
        <v>16394</v>
      </c>
      <c r="Q617" s="35" t="s">
        <v>16393</v>
      </c>
      <c r="R617" s="35" t="s">
        <v>16397</v>
      </c>
      <c r="S617" s="35">
        <v>2365426</v>
      </c>
      <c r="T617" s="35">
        <v>33998430</v>
      </c>
      <c r="U617" s="35"/>
      <c r="V617" s="30">
        <v>1811</v>
      </c>
      <c r="W617" s="35" t="s">
        <v>477</v>
      </c>
      <c r="X617" s="35" t="s">
        <v>194</v>
      </c>
      <c r="Y617" s="30">
        <v>1</v>
      </c>
      <c r="Z617" s="35"/>
      <c r="AA617" s="35"/>
      <c r="AB617" s="35"/>
      <c r="AC617" s="35"/>
      <c r="AD617" s="35"/>
      <c r="AE617" s="35"/>
      <c r="AF617" s="35"/>
      <c r="AG617" s="35"/>
      <c r="AH617" s="30" t="s">
        <v>4714</v>
      </c>
      <c r="AI617" s="35" t="s">
        <v>2378</v>
      </c>
      <c r="AJ617" s="62" t="str">
        <f>MID('I kw.22'!W617,8,6)</f>
        <v>243305</v>
      </c>
      <c r="AK617" s="62">
        <v>1</v>
      </c>
      <c r="AL617" s="62">
        <f t="shared" si="9"/>
        <v>1</v>
      </c>
      <c r="AM617" s="62">
        <v>1</v>
      </c>
    </row>
    <row r="618" spans="1:39" x14ac:dyDescent="0.25">
      <c r="A618" s="35" t="s">
        <v>493</v>
      </c>
      <c r="B618" s="35" t="s">
        <v>13954</v>
      </c>
      <c r="C618" s="35" t="s">
        <v>378</v>
      </c>
      <c r="D618" s="35" t="s">
        <v>16307</v>
      </c>
      <c r="E618" s="35" t="s">
        <v>192</v>
      </c>
      <c r="F618" s="62">
        <v>1</v>
      </c>
      <c r="G618" s="30" t="s">
        <v>193</v>
      </c>
      <c r="H618" s="30" t="s">
        <v>194</v>
      </c>
      <c r="I618" s="30" t="s">
        <v>16068</v>
      </c>
      <c r="J618" s="35" t="s">
        <v>210</v>
      </c>
      <c r="K618" s="35">
        <v>18</v>
      </c>
      <c r="L618" s="35" t="s">
        <v>6955</v>
      </c>
      <c r="M618" s="35"/>
      <c r="N618" s="35" t="s">
        <v>16403</v>
      </c>
      <c r="O618" s="35" t="s">
        <v>6921</v>
      </c>
      <c r="P618" s="35" t="s">
        <v>16394</v>
      </c>
      <c r="Q618" s="35" t="s">
        <v>16393</v>
      </c>
      <c r="R618" s="35" t="s">
        <v>16397</v>
      </c>
      <c r="S618" s="35">
        <v>2365474</v>
      </c>
      <c r="T618" s="35">
        <v>33998478</v>
      </c>
      <c r="U618" s="35"/>
      <c r="V618" s="30">
        <v>1863</v>
      </c>
      <c r="W618" s="35" t="s">
        <v>379</v>
      </c>
      <c r="X618" s="35" t="s">
        <v>194</v>
      </c>
      <c r="Y618" s="30">
        <v>1</v>
      </c>
      <c r="Z618" s="35"/>
      <c r="AA618" s="35"/>
      <c r="AB618" s="35"/>
      <c r="AC618" s="35"/>
      <c r="AD618" s="35"/>
      <c r="AE618" s="35"/>
      <c r="AF618" s="35"/>
      <c r="AG618" s="35"/>
      <c r="AH618" s="30" t="s">
        <v>4714</v>
      </c>
      <c r="AI618" s="35" t="s">
        <v>13954</v>
      </c>
      <c r="AJ618" s="62" t="str">
        <f>MID('I kw.22'!W618,8,6)</f>
        <v>215303</v>
      </c>
      <c r="AK618" s="62">
        <v>1</v>
      </c>
      <c r="AL618" s="62">
        <f t="shared" si="9"/>
        <v>1</v>
      </c>
      <c r="AM618" s="62">
        <v>1</v>
      </c>
    </row>
    <row r="619" spans="1:39" x14ac:dyDescent="0.25">
      <c r="A619" s="35" t="s">
        <v>16402</v>
      </c>
      <c r="B619" s="35" t="s">
        <v>16400</v>
      </c>
      <c r="C619" s="35" t="s">
        <v>15861</v>
      </c>
      <c r="D619" s="35" t="s">
        <v>16307</v>
      </c>
      <c r="E619" s="35" t="s">
        <v>192</v>
      </c>
      <c r="F619" s="62">
        <v>1</v>
      </c>
      <c r="G619" s="30" t="s">
        <v>193</v>
      </c>
      <c r="H619" s="30" t="s">
        <v>194</v>
      </c>
      <c r="I619" s="30" t="s">
        <v>16183</v>
      </c>
      <c r="J619" s="35" t="s">
        <v>210</v>
      </c>
      <c r="K619" s="35">
        <v>18</v>
      </c>
      <c r="L619" s="35" t="s">
        <v>6955</v>
      </c>
      <c r="M619" s="35"/>
      <c r="N619" s="35" t="s">
        <v>16401</v>
      </c>
      <c r="O619" s="35" t="s">
        <v>6286</v>
      </c>
      <c r="P619" s="35" t="s">
        <v>16394</v>
      </c>
      <c r="Q619" s="35" t="s">
        <v>16393</v>
      </c>
      <c r="R619" s="35" t="s">
        <v>16397</v>
      </c>
      <c r="S619" s="35">
        <v>2365522</v>
      </c>
      <c r="T619" s="35">
        <v>33998526</v>
      </c>
      <c r="U619" s="35"/>
      <c r="V619" s="30">
        <v>1863</v>
      </c>
      <c r="W619" s="35" t="s">
        <v>1790</v>
      </c>
      <c r="X619" s="35" t="s">
        <v>194</v>
      </c>
      <c r="Y619" s="30">
        <v>1</v>
      </c>
      <c r="Z619" s="35"/>
      <c r="AA619" s="35"/>
      <c r="AB619" s="35"/>
      <c r="AC619" s="35"/>
      <c r="AD619" s="35"/>
      <c r="AE619" s="35"/>
      <c r="AF619" s="35"/>
      <c r="AG619" s="35"/>
      <c r="AH619" s="30" t="s">
        <v>4714</v>
      </c>
      <c r="AI619" s="35" t="s">
        <v>16400</v>
      </c>
      <c r="AJ619" s="62" t="str">
        <f>MID('I kw.22'!W619,8,6)</f>
        <v>334304</v>
      </c>
      <c r="AK619" s="62">
        <v>1</v>
      </c>
      <c r="AL619" s="62">
        <f t="shared" si="9"/>
        <v>1</v>
      </c>
      <c r="AM619" s="62">
        <v>1</v>
      </c>
    </row>
    <row r="620" spans="1:39" x14ac:dyDescent="0.25">
      <c r="A620" s="35" t="s">
        <v>13788</v>
      </c>
      <c r="B620" s="35" t="s">
        <v>467</v>
      </c>
      <c r="C620" s="35" t="s">
        <v>468</v>
      </c>
      <c r="D620" s="35" t="s">
        <v>16307</v>
      </c>
      <c r="E620" s="35" t="s">
        <v>192</v>
      </c>
      <c r="F620" s="62">
        <v>1</v>
      </c>
      <c r="G620" s="30" t="s">
        <v>193</v>
      </c>
      <c r="H620" s="30" t="s">
        <v>194</v>
      </c>
      <c r="I620" s="30" t="s">
        <v>16052</v>
      </c>
      <c r="J620" s="35" t="s">
        <v>305</v>
      </c>
      <c r="K620" s="35">
        <v>18</v>
      </c>
      <c r="L620" s="35" t="s">
        <v>6955</v>
      </c>
      <c r="M620" s="35"/>
      <c r="N620" s="35" t="s">
        <v>16399</v>
      </c>
      <c r="O620" s="35" t="s">
        <v>6288</v>
      </c>
      <c r="P620" s="35" t="s">
        <v>16394</v>
      </c>
      <c r="Q620" s="35" t="s">
        <v>16393</v>
      </c>
      <c r="R620" s="35" t="s">
        <v>16397</v>
      </c>
      <c r="S620" s="35">
        <v>2365579</v>
      </c>
      <c r="T620" s="35">
        <v>33998583</v>
      </c>
      <c r="U620" s="35"/>
      <c r="V620" s="30">
        <v>1814</v>
      </c>
      <c r="W620" s="35" t="s">
        <v>469</v>
      </c>
      <c r="X620" s="35" t="s">
        <v>194</v>
      </c>
      <c r="Y620" s="30">
        <v>1</v>
      </c>
      <c r="Z620" s="35"/>
      <c r="AA620" s="35"/>
      <c r="AB620" s="35"/>
      <c r="AC620" s="35"/>
      <c r="AD620" s="35"/>
      <c r="AE620" s="35"/>
      <c r="AF620" s="35"/>
      <c r="AG620" s="35"/>
      <c r="AH620" s="30" t="s">
        <v>4714</v>
      </c>
      <c r="AI620" s="35" t="s">
        <v>467</v>
      </c>
      <c r="AJ620" s="62" t="str">
        <f>MID('I kw.22'!W620,8,6)</f>
        <v>243303</v>
      </c>
      <c r="AK620" s="62">
        <v>1</v>
      </c>
      <c r="AL620" s="62">
        <f t="shared" si="9"/>
        <v>1</v>
      </c>
      <c r="AM620" s="62">
        <v>1</v>
      </c>
    </row>
    <row r="621" spans="1:39" x14ac:dyDescent="0.25">
      <c r="A621" s="35" t="s">
        <v>13788</v>
      </c>
      <c r="B621" s="35" t="s">
        <v>467</v>
      </c>
      <c r="C621" s="35" t="s">
        <v>468</v>
      </c>
      <c r="D621" s="35" t="s">
        <v>16307</v>
      </c>
      <c r="E621" s="35" t="s">
        <v>192</v>
      </c>
      <c r="F621" s="62">
        <v>1</v>
      </c>
      <c r="G621" s="30" t="s">
        <v>193</v>
      </c>
      <c r="H621" s="30" t="s">
        <v>194</v>
      </c>
      <c r="I621" s="30" t="s">
        <v>16052</v>
      </c>
      <c r="J621" s="35" t="s">
        <v>223</v>
      </c>
      <c r="K621" s="35">
        <v>18</v>
      </c>
      <c r="L621" s="35" t="s">
        <v>6955</v>
      </c>
      <c r="M621" s="35"/>
      <c r="N621" s="35" t="s">
        <v>16398</v>
      </c>
      <c r="O621" s="35" t="s">
        <v>6288</v>
      </c>
      <c r="P621" s="35" t="s">
        <v>16394</v>
      </c>
      <c r="Q621" s="35" t="s">
        <v>16393</v>
      </c>
      <c r="R621" s="35" t="s">
        <v>16397</v>
      </c>
      <c r="S621" s="35">
        <v>2365580</v>
      </c>
      <c r="T621" s="35">
        <v>33998584</v>
      </c>
      <c r="U621" s="35"/>
      <c r="V621" s="30">
        <v>1804</v>
      </c>
      <c r="W621" s="35" t="s">
        <v>469</v>
      </c>
      <c r="X621" s="35" t="s">
        <v>194</v>
      </c>
      <c r="Y621" s="30">
        <v>1</v>
      </c>
      <c r="Z621" s="35"/>
      <c r="AA621" s="35"/>
      <c r="AB621" s="35"/>
      <c r="AC621" s="35"/>
      <c r="AD621" s="35"/>
      <c r="AE621" s="35"/>
      <c r="AF621" s="35"/>
      <c r="AG621" s="35"/>
      <c r="AH621" s="30" t="s">
        <v>4714</v>
      </c>
      <c r="AI621" s="35" t="s">
        <v>467</v>
      </c>
      <c r="AJ621" s="62" t="str">
        <f>MID('I kw.22'!W621,8,6)</f>
        <v>243303</v>
      </c>
      <c r="AK621" s="62">
        <v>1</v>
      </c>
      <c r="AL621" s="62">
        <f t="shared" si="9"/>
        <v>1</v>
      </c>
      <c r="AM621" s="62">
        <v>1</v>
      </c>
    </row>
    <row r="622" spans="1:39" x14ac:dyDescent="0.25">
      <c r="A622" s="35" t="s">
        <v>16396</v>
      </c>
      <c r="B622" s="35" t="s">
        <v>8136</v>
      </c>
      <c r="C622" s="35" t="s">
        <v>8136</v>
      </c>
      <c r="D622" s="35" t="s">
        <v>16307</v>
      </c>
      <c r="E622" s="35" t="s">
        <v>192</v>
      </c>
      <c r="F622" s="62">
        <v>1</v>
      </c>
      <c r="G622" s="30" t="s">
        <v>193</v>
      </c>
      <c r="H622" s="30" t="s">
        <v>194</v>
      </c>
      <c r="I622" s="30" t="s">
        <v>16052</v>
      </c>
      <c r="J622" s="35" t="s">
        <v>253</v>
      </c>
      <c r="K622" s="35">
        <v>18</v>
      </c>
      <c r="L622" s="35" t="s">
        <v>6955</v>
      </c>
      <c r="M622" s="35"/>
      <c r="N622" s="35" t="s">
        <v>16395</v>
      </c>
      <c r="O622" s="35" t="s">
        <v>6258</v>
      </c>
      <c r="P622" s="35" t="s">
        <v>16394</v>
      </c>
      <c r="Q622" s="35" t="s">
        <v>16393</v>
      </c>
      <c r="R622" s="35" t="s">
        <v>16392</v>
      </c>
      <c r="S622" s="35">
        <v>2365619</v>
      </c>
      <c r="T622" s="35">
        <v>33998623</v>
      </c>
      <c r="U622" s="35"/>
      <c r="V622" s="30">
        <v>1811</v>
      </c>
      <c r="W622" s="35" t="s">
        <v>8138</v>
      </c>
      <c r="X622" s="35" t="s">
        <v>194</v>
      </c>
      <c r="Y622" s="30">
        <v>1</v>
      </c>
      <c r="Z622" s="35"/>
      <c r="AA622" s="35"/>
      <c r="AB622" s="35"/>
      <c r="AC622" s="35"/>
      <c r="AD622" s="35"/>
      <c r="AE622" s="35"/>
      <c r="AF622" s="35"/>
      <c r="AG622" s="35"/>
      <c r="AH622" s="30" t="s">
        <v>4714</v>
      </c>
      <c r="AI622" s="35" t="s">
        <v>8136</v>
      </c>
      <c r="AJ622" s="62" t="str">
        <f>MID('I kw.22'!W622,8,6)</f>
        <v>821905</v>
      </c>
      <c r="AK622" s="62">
        <v>1</v>
      </c>
      <c r="AL622" s="62">
        <f t="shared" si="9"/>
        <v>1</v>
      </c>
      <c r="AM622" s="62">
        <v>1</v>
      </c>
    </row>
    <row r="623" spans="1:39" x14ac:dyDescent="0.25">
      <c r="A623" s="35" t="s">
        <v>540</v>
      </c>
      <c r="B623" s="35" t="s">
        <v>14269</v>
      </c>
      <c r="C623" s="35" t="s">
        <v>5703</v>
      </c>
      <c r="D623" s="35" t="s">
        <v>16053</v>
      </c>
      <c r="E623" s="35" t="s">
        <v>252</v>
      </c>
      <c r="F623" s="62">
        <v>1</v>
      </c>
      <c r="G623" s="30" t="s">
        <v>193</v>
      </c>
      <c r="H623" s="30" t="s">
        <v>194</v>
      </c>
      <c r="I623" s="30" t="s">
        <v>16068</v>
      </c>
      <c r="J623" s="35" t="s">
        <v>755</v>
      </c>
      <c r="K623" s="35">
        <v>18</v>
      </c>
      <c r="L623" s="35" t="s">
        <v>6955</v>
      </c>
      <c r="M623" s="35"/>
      <c r="N623" s="35" t="s">
        <v>16391</v>
      </c>
      <c r="O623" s="35" t="s">
        <v>8003</v>
      </c>
      <c r="P623" s="35" t="s">
        <v>16336</v>
      </c>
      <c r="Q623" s="35" t="s">
        <v>16053</v>
      </c>
      <c r="R623" s="35" t="s">
        <v>16390</v>
      </c>
      <c r="S623" s="35">
        <v>2345870</v>
      </c>
      <c r="T623" s="35">
        <v>32466954</v>
      </c>
      <c r="U623" s="35"/>
      <c r="V623" s="30">
        <v>1816</v>
      </c>
      <c r="W623" s="35" t="s">
        <v>983</v>
      </c>
      <c r="X623" s="35" t="s">
        <v>194</v>
      </c>
      <c r="Y623" s="30">
        <v>1</v>
      </c>
      <c r="Z623" s="35"/>
      <c r="AA623" s="35"/>
      <c r="AB623" s="35"/>
      <c r="AC623" s="35"/>
      <c r="AD623" s="35"/>
      <c r="AE623" s="35"/>
      <c r="AF623" s="35"/>
      <c r="AG623" s="35"/>
      <c r="AH623" s="30" t="s">
        <v>4714</v>
      </c>
      <c r="AI623" s="35" t="s">
        <v>9433</v>
      </c>
      <c r="AJ623" s="62" t="str">
        <f>MID('I kw.22'!W623,8,6)</f>
        <v>213303</v>
      </c>
      <c r="AK623" s="62">
        <v>1</v>
      </c>
      <c r="AL623" s="62">
        <f t="shared" si="9"/>
        <v>1</v>
      </c>
      <c r="AM623" s="62">
        <v>1</v>
      </c>
    </row>
    <row r="624" spans="1:39" x14ac:dyDescent="0.25">
      <c r="A624" s="35" t="s">
        <v>15773</v>
      </c>
      <c r="B624" s="35" t="s">
        <v>16387</v>
      </c>
      <c r="C624" s="35" t="s">
        <v>9377</v>
      </c>
      <c r="D624" s="35" t="s">
        <v>16053</v>
      </c>
      <c r="E624" s="35" t="s">
        <v>233</v>
      </c>
      <c r="F624" s="62">
        <v>1</v>
      </c>
      <c r="G624" s="30" t="s">
        <v>193</v>
      </c>
      <c r="H624" s="30" t="s">
        <v>194</v>
      </c>
      <c r="I624" s="30" t="s">
        <v>16068</v>
      </c>
      <c r="J624" s="35" t="s">
        <v>9302</v>
      </c>
      <c r="K624" s="35">
        <v>18</v>
      </c>
      <c r="L624" s="35" t="s">
        <v>6955</v>
      </c>
      <c r="M624" s="35"/>
      <c r="N624" s="35" t="s">
        <v>16389</v>
      </c>
      <c r="O624" s="35" t="s">
        <v>6302</v>
      </c>
      <c r="P624" s="35" t="s">
        <v>16388</v>
      </c>
      <c r="Q624" s="35" t="s">
        <v>16308</v>
      </c>
      <c r="R624" s="35" t="s">
        <v>16383</v>
      </c>
      <c r="S624" s="35">
        <v>2345902</v>
      </c>
      <c r="T624" s="35">
        <v>33147631</v>
      </c>
      <c r="U624" s="35"/>
      <c r="V624" s="30"/>
      <c r="W624" s="505" t="s">
        <v>9381</v>
      </c>
      <c r="X624" s="35" t="s">
        <v>193</v>
      </c>
      <c r="Y624" s="30">
        <v>25</v>
      </c>
      <c r="Z624" s="35"/>
      <c r="AA624" s="35"/>
      <c r="AB624" s="35"/>
      <c r="AC624" s="35"/>
      <c r="AD624" s="35"/>
      <c r="AE624" s="35"/>
      <c r="AF624" s="35"/>
      <c r="AG624" s="35"/>
      <c r="AH624" s="30" t="s">
        <v>4714</v>
      </c>
      <c r="AI624" s="35" t="s">
        <v>16387</v>
      </c>
      <c r="AJ624" s="62" t="str">
        <f>MID('I kw.22'!W624,8,6)</f>
        <v>264302</v>
      </c>
      <c r="AK624" s="62">
        <v>1</v>
      </c>
      <c r="AL624" s="62">
        <f t="shared" si="9"/>
        <v>1</v>
      </c>
      <c r="AM624" s="62">
        <v>1</v>
      </c>
    </row>
    <row r="625" spans="1:39" x14ac:dyDescent="0.25">
      <c r="A625" s="35" t="s">
        <v>16386</v>
      </c>
      <c r="B625" s="35" t="s">
        <v>16385</v>
      </c>
      <c r="C625" s="35" t="s">
        <v>2805</v>
      </c>
      <c r="D625" s="35" t="s">
        <v>16053</v>
      </c>
      <c r="E625" s="35" t="s">
        <v>233</v>
      </c>
      <c r="F625" s="62">
        <v>1</v>
      </c>
      <c r="G625" s="30" t="s">
        <v>193</v>
      </c>
      <c r="H625" s="30" t="s">
        <v>194</v>
      </c>
      <c r="I625" s="30" t="s">
        <v>16052</v>
      </c>
      <c r="J625" s="35" t="s">
        <v>9302</v>
      </c>
      <c r="K625" s="35">
        <v>18</v>
      </c>
      <c r="L625" s="35" t="s">
        <v>6955</v>
      </c>
      <c r="M625" s="35"/>
      <c r="N625" s="35" t="s">
        <v>16384</v>
      </c>
      <c r="O625" s="35" t="s">
        <v>6245</v>
      </c>
      <c r="P625" s="35" t="s">
        <v>16092</v>
      </c>
      <c r="Q625" s="35" t="s">
        <v>16308</v>
      </c>
      <c r="R625" s="35" t="s">
        <v>16383</v>
      </c>
      <c r="S625" s="35">
        <v>2345921</v>
      </c>
      <c r="T625" s="35">
        <v>33147689</v>
      </c>
      <c r="U625" s="35"/>
      <c r="V625" s="30"/>
      <c r="W625" s="505" t="s">
        <v>3659</v>
      </c>
      <c r="X625" s="35" t="s">
        <v>193</v>
      </c>
      <c r="Y625" s="30">
        <v>25</v>
      </c>
      <c r="Z625" s="35"/>
      <c r="AA625" s="35"/>
      <c r="AB625" s="35"/>
      <c r="AC625" s="35"/>
      <c r="AD625" s="35"/>
      <c r="AE625" s="35"/>
      <c r="AF625" s="35"/>
      <c r="AG625" s="35"/>
      <c r="AH625" s="30" t="s">
        <v>4714</v>
      </c>
      <c r="AI625" s="35" t="s">
        <v>2805</v>
      </c>
      <c r="AJ625" s="62" t="str">
        <f>MID('I kw.22'!W625,8,6)</f>
        <v>214410</v>
      </c>
      <c r="AK625" s="62">
        <v>1</v>
      </c>
      <c r="AL625" s="62">
        <f t="shared" si="9"/>
        <v>1</v>
      </c>
      <c r="AM625" s="62">
        <v>1</v>
      </c>
    </row>
    <row r="626" spans="1:39" x14ac:dyDescent="0.25">
      <c r="A626" s="35" t="s">
        <v>5287</v>
      </c>
      <c r="B626" s="35" t="s">
        <v>16381</v>
      </c>
      <c r="C626" s="35" t="s">
        <v>525</v>
      </c>
      <c r="D626" s="35" t="s">
        <v>16053</v>
      </c>
      <c r="E626" s="35" t="s">
        <v>233</v>
      </c>
      <c r="F626" s="62">
        <v>1</v>
      </c>
      <c r="G626" s="30" t="s">
        <v>193</v>
      </c>
      <c r="H626" s="30" t="s">
        <v>194</v>
      </c>
      <c r="I626" s="30" t="s">
        <v>16183</v>
      </c>
      <c r="J626" s="35" t="s">
        <v>385</v>
      </c>
      <c r="K626" s="35">
        <v>18</v>
      </c>
      <c r="L626" s="35" t="s">
        <v>6955</v>
      </c>
      <c r="M626" s="35"/>
      <c r="N626" s="35" t="s">
        <v>16382</v>
      </c>
      <c r="O626" s="35" t="s">
        <v>6254</v>
      </c>
      <c r="P626" s="35" t="s">
        <v>16341</v>
      </c>
      <c r="Q626" s="35" t="s">
        <v>16335</v>
      </c>
      <c r="R626" s="35" t="s">
        <v>16304</v>
      </c>
      <c r="S626" s="35">
        <v>2345972</v>
      </c>
      <c r="T626" s="35">
        <v>33284382</v>
      </c>
      <c r="U626" s="35"/>
      <c r="V626" s="30">
        <v>1861</v>
      </c>
      <c r="W626" s="35" t="s">
        <v>526</v>
      </c>
      <c r="X626" s="35" t="s">
        <v>194</v>
      </c>
      <c r="Y626" s="30">
        <v>1</v>
      </c>
      <c r="Z626" s="35"/>
      <c r="AA626" s="35"/>
      <c r="AB626" s="35"/>
      <c r="AC626" s="35"/>
      <c r="AD626" s="35"/>
      <c r="AE626" s="35"/>
      <c r="AF626" s="35"/>
      <c r="AG626" s="35"/>
      <c r="AH626" s="30" t="s">
        <v>4714</v>
      </c>
      <c r="AI626" s="35" t="s">
        <v>16381</v>
      </c>
      <c r="AJ626" s="62" t="str">
        <f>MID('I kw.22'!W626,8,6)</f>
        <v>263102</v>
      </c>
      <c r="AK626" s="62">
        <v>1</v>
      </c>
      <c r="AL626" s="62">
        <f t="shared" si="9"/>
        <v>1</v>
      </c>
      <c r="AM626" s="62">
        <v>1</v>
      </c>
    </row>
    <row r="627" spans="1:39" x14ac:dyDescent="0.25">
      <c r="A627" s="35" t="s">
        <v>16380</v>
      </c>
      <c r="B627" s="35" t="s">
        <v>16379</v>
      </c>
      <c r="C627" s="35" t="s">
        <v>16375</v>
      </c>
      <c r="D627" s="35" t="s">
        <v>16053</v>
      </c>
      <c r="E627" s="35" t="s">
        <v>233</v>
      </c>
      <c r="F627" s="62">
        <v>1</v>
      </c>
      <c r="G627" s="30" t="s">
        <v>193</v>
      </c>
      <c r="H627" s="30" t="s">
        <v>194</v>
      </c>
      <c r="I627" s="30" t="s">
        <v>16052</v>
      </c>
      <c r="J627" s="35" t="s">
        <v>9302</v>
      </c>
      <c r="K627" s="35">
        <v>18</v>
      </c>
      <c r="L627" s="35" t="s">
        <v>6955</v>
      </c>
      <c r="M627" s="35"/>
      <c r="N627" s="35" t="s">
        <v>16378</v>
      </c>
      <c r="O627" s="35" t="s">
        <v>6343</v>
      </c>
      <c r="P627" s="35" t="s">
        <v>16092</v>
      </c>
      <c r="Q627" s="35" t="s">
        <v>16377</v>
      </c>
      <c r="R627" s="35" t="s">
        <v>16053</v>
      </c>
      <c r="S627" s="35">
        <v>2345990</v>
      </c>
      <c r="T627" s="35">
        <v>33363468</v>
      </c>
      <c r="U627" s="35"/>
      <c r="V627" s="30"/>
      <c r="W627" s="505" t="s">
        <v>16376</v>
      </c>
      <c r="X627" s="35" t="s">
        <v>193</v>
      </c>
      <c r="Y627" s="30">
        <v>25</v>
      </c>
      <c r="Z627" s="35"/>
      <c r="AA627" s="35"/>
      <c r="AB627" s="35"/>
      <c r="AC627" s="35"/>
      <c r="AD627" s="35"/>
      <c r="AE627" s="35"/>
      <c r="AF627" s="35"/>
      <c r="AG627" s="35"/>
      <c r="AH627" s="30" t="s">
        <v>4714</v>
      </c>
      <c r="AI627" s="35" t="s">
        <v>16375</v>
      </c>
      <c r="AJ627" s="62" t="str">
        <f>MID('I kw.22'!W627,8,6)</f>
        <v>511301</v>
      </c>
      <c r="AK627" s="62">
        <v>1</v>
      </c>
      <c r="AL627" s="62">
        <f t="shared" si="9"/>
        <v>1</v>
      </c>
      <c r="AM627" s="62">
        <v>1</v>
      </c>
    </row>
    <row r="628" spans="1:39" x14ac:dyDescent="0.25">
      <c r="A628" s="35" t="s">
        <v>581</v>
      </c>
      <c r="B628" s="35" t="s">
        <v>16373</v>
      </c>
      <c r="C628" s="35" t="s">
        <v>62</v>
      </c>
      <c r="D628" s="35" t="s">
        <v>16053</v>
      </c>
      <c r="E628" s="35" t="s">
        <v>233</v>
      </c>
      <c r="F628" s="62">
        <v>1</v>
      </c>
      <c r="G628" s="30" t="s">
        <v>193</v>
      </c>
      <c r="H628" s="30" t="s">
        <v>194</v>
      </c>
      <c r="I628" s="30" t="s">
        <v>16083</v>
      </c>
      <c r="J628" s="35" t="s">
        <v>253</v>
      </c>
      <c r="K628" s="35">
        <v>18</v>
      </c>
      <c r="L628" s="35" t="s">
        <v>6955</v>
      </c>
      <c r="M628" s="35"/>
      <c r="N628" s="35" t="s">
        <v>16374</v>
      </c>
      <c r="O628" s="35" t="s">
        <v>6275</v>
      </c>
      <c r="P628" s="35" t="s">
        <v>16341</v>
      </c>
      <c r="Q628" s="35" t="s">
        <v>16335</v>
      </c>
      <c r="R628" s="35" t="s">
        <v>16068</v>
      </c>
      <c r="S628" s="35">
        <v>2346092</v>
      </c>
      <c r="T628" s="35">
        <v>33401028</v>
      </c>
      <c r="U628" s="35"/>
      <c r="V628" s="30">
        <v>1811</v>
      </c>
      <c r="W628" s="35" t="s">
        <v>601</v>
      </c>
      <c r="X628" s="35" t="s">
        <v>194</v>
      </c>
      <c r="Y628" s="30">
        <v>1</v>
      </c>
      <c r="Z628" s="35"/>
      <c r="AA628" s="35"/>
      <c r="AB628" s="35"/>
      <c r="AC628" s="35"/>
      <c r="AD628" s="35"/>
      <c r="AE628" s="35"/>
      <c r="AF628" s="35"/>
      <c r="AG628" s="35"/>
      <c r="AH628" s="30" t="s">
        <v>4714</v>
      </c>
      <c r="AI628" s="35" t="s">
        <v>16373</v>
      </c>
      <c r="AJ628" s="62" t="str">
        <f>MID('I kw.22'!W628,8,6)</f>
        <v>313904</v>
      </c>
      <c r="AK628" s="62">
        <v>1</v>
      </c>
      <c r="AL628" s="62">
        <f t="shared" si="9"/>
        <v>1</v>
      </c>
      <c r="AM628" s="62">
        <v>1</v>
      </c>
    </row>
    <row r="629" spans="1:39" x14ac:dyDescent="0.25">
      <c r="A629" s="35" t="s">
        <v>11035</v>
      </c>
      <c r="B629" s="35" t="s">
        <v>16369</v>
      </c>
      <c r="C629" s="35" t="s">
        <v>16372</v>
      </c>
      <c r="D629" s="35" t="s">
        <v>16053</v>
      </c>
      <c r="E629" s="35" t="s">
        <v>233</v>
      </c>
      <c r="F629" s="62">
        <v>1</v>
      </c>
      <c r="G629" s="30" t="s">
        <v>194</v>
      </c>
      <c r="H629" s="30" t="s">
        <v>193</v>
      </c>
      <c r="I629" s="30" t="s">
        <v>16183</v>
      </c>
      <c r="J629" s="35" t="s">
        <v>9302</v>
      </c>
      <c r="K629" s="35">
        <v>18</v>
      </c>
      <c r="L629" s="35" t="s">
        <v>6955</v>
      </c>
      <c r="M629" s="35"/>
      <c r="N629" s="35" t="s">
        <v>16371</v>
      </c>
      <c r="O629" s="35" t="s">
        <v>6269</v>
      </c>
      <c r="P629" s="35" t="s">
        <v>16341</v>
      </c>
      <c r="Q629" s="35" t="s">
        <v>16335</v>
      </c>
      <c r="R629" s="35" t="s">
        <v>16068</v>
      </c>
      <c r="S629" s="35">
        <v>2346106</v>
      </c>
      <c r="T629" s="35">
        <v>33401107</v>
      </c>
      <c r="U629" s="35"/>
      <c r="V629" s="30"/>
      <c r="W629" s="505" t="s">
        <v>16370</v>
      </c>
      <c r="X629" s="35" t="s">
        <v>194</v>
      </c>
      <c r="Y629" s="30">
        <v>0</v>
      </c>
      <c r="Z629" s="35"/>
      <c r="AA629" s="35"/>
      <c r="AB629" s="35"/>
      <c r="AC629" s="35"/>
      <c r="AD629" s="35"/>
      <c r="AE629" s="35"/>
      <c r="AF629" s="35"/>
      <c r="AG629" s="35"/>
      <c r="AH629" s="30" t="s">
        <v>4714</v>
      </c>
      <c r="AI629" s="35" t="s">
        <v>16369</v>
      </c>
      <c r="AJ629" s="62" t="str">
        <f>MID('I kw.22'!W629,8,6)</f>
        <v>325402</v>
      </c>
      <c r="AK629" s="62">
        <v>1</v>
      </c>
      <c r="AL629" s="62">
        <f t="shared" si="9"/>
        <v>1</v>
      </c>
      <c r="AM629" s="62">
        <v>1</v>
      </c>
    </row>
    <row r="630" spans="1:39" x14ac:dyDescent="0.25">
      <c r="A630" s="35" t="s">
        <v>16368</v>
      </c>
      <c r="B630" s="35" t="s">
        <v>16366</v>
      </c>
      <c r="C630" s="35" t="s">
        <v>10369</v>
      </c>
      <c r="D630" s="35" t="s">
        <v>16053</v>
      </c>
      <c r="E630" s="35" t="s">
        <v>233</v>
      </c>
      <c r="F630" s="62">
        <v>1</v>
      </c>
      <c r="G630" s="30" t="s">
        <v>194</v>
      </c>
      <c r="H630" s="30" t="s">
        <v>193</v>
      </c>
      <c r="I630" s="30" t="s">
        <v>16083</v>
      </c>
      <c r="J630" s="35" t="s">
        <v>9302</v>
      </c>
      <c r="K630" s="35">
        <v>18</v>
      </c>
      <c r="L630" s="35" t="s">
        <v>6955</v>
      </c>
      <c r="M630" s="35"/>
      <c r="N630" s="35" t="s">
        <v>16367</v>
      </c>
      <c r="O630" s="35" t="s">
        <v>6269</v>
      </c>
      <c r="P630" s="35" t="s">
        <v>16341</v>
      </c>
      <c r="Q630" s="35" t="s">
        <v>16335</v>
      </c>
      <c r="R630" s="35" t="s">
        <v>16068</v>
      </c>
      <c r="S630" s="35">
        <v>2346117</v>
      </c>
      <c r="T630" s="35">
        <v>33401144</v>
      </c>
      <c r="U630" s="35"/>
      <c r="V630" s="30"/>
      <c r="W630" s="505" t="s">
        <v>10373</v>
      </c>
      <c r="X630" s="35" t="s">
        <v>193</v>
      </c>
      <c r="Y630" s="30">
        <v>25</v>
      </c>
      <c r="Z630" s="35"/>
      <c r="AA630" s="35"/>
      <c r="AB630" s="35"/>
      <c r="AC630" s="35"/>
      <c r="AD630" s="35"/>
      <c r="AE630" s="35"/>
      <c r="AF630" s="35"/>
      <c r="AG630" s="35"/>
      <c r="AH630" s="30" t="s">
        <v>4714</v>
      </c>
      <c r="AI630" s="35" t="s">
        <v>16366</v>
      </c>
      <c r="AJ630" s="62" t="str">
        <f>MID('I kw.22'!W630,8,6)</f>
        <v>912202</v>
      </c>
      <c r="AK630" s="62">
        <v>1</v>
      </c>
      <c r="AL630" s="62">
        <f t="shared" si="9"/>
        <v>1</v>
      </c>
      <c r="AM630" s="62">
        <v>1</v>
      </c>
    </row>
    <row r="631" spans="1:39" x14ac:dyDescent="0.25">
      <c r="A631" s="35" t="s">
        <v>9037</v>
      </c>
      <c r="B631" s="35" t="s">
        <v>16362</v>
      </c>
      <c r="C631" s="35" t="s">
        <v>16365</v>
      </c>
      <c r="D631" s="35" t="s">
        <v>16053</v>
      </c>
      <c r="E631" s="35" t="s">
        <v>233</v>
      </c>
      <c r="F631" s="62">
        <v>1</v>
      </c>
      <c r="G631" s="30" t="s">
        <v>193</v>
      </c>
      <c r="H631" s="30" t="s">
        <v>194</v>
      </c>
      <c r="I631" s="30" t="s">
        <v>16183</v>
      </c>
      <c r="J631" s="35" t="s">
        <v>9302</v>
      </c>
      <c r="K631" s="35">
        <v>18</v>
      </c>
      <c r="L631" s="35" t="s">
        <v>6955</v>
      </c>
      <c r="M631" s="35"/>
      <c r="N631" s="35" t="s">
        <v>16364</v>
      </c>
      <c r="O631" s="35" t="s">
        <v>6256</v>
      </c>
      <c r="P631" s="35" t="s">
        <v>16341</v>
      </c>
      <c r="Q631" s="35" t="s">
        <v>16335</v>
      </c>
      <c r="R631" s="35" t="s">
        <v>16068</v>
      </c>
      <c r="S631" s="35">
        <v>2346141</v>
      </c>
      <c r="T631" s="35">
        <v>33401185</v>
      </c>
      <c r="U631" s="35"/>
      <c r="V631" s="30"/>
      <c r="W631" s="505" t="s">
        <v>16363</v>
      </c>
      <c r="X631" s="35" t="s">
        <v>193</v>
      </c>
      <c r="Y631" s="30">
        <v>25</v>
      </c>
      <c r="Z631" s="35"/>
      <c r="AA631" s="35"/>
      <c r="AB631" s="35"/>
      <c r="AC631" s="35"/>
      <c r="AD631" s="35"/>
      <c r="AE631" s="35"/>
      <c r="AF631" s="35"/>
      <c r="AG631" s="35"/>
      <c r="AH631" s="30" t="s">
        <v>4714</v>
      </c>
      <c r="AI631" s="35" t="s">
        <v>16362</v>
      </c>
      <c r="AJ631" s="62" t="str">
        <f>MID('I kw.22'!W631,8,6)</f>
        <v>712610</v>
      </c>
      <c r="AK631" s="62">
        <v>1</v>
      </c>
      <c r="AL631" s="62">
        <f t="shared" si="9"/>
        <v>1</v>
      </c>
      <c r="AM631" s="62">
        <v>1</v>
      </c>
    </row>
    <row r="632" spans="1:39" x14ac:dyDescent="0.25">
      <c r="A632" s="35" t="s">
        <v>16361</v>
      </c>
      <c r="B632" s="35" t="s">
        <v>16359</v>
      </c>
      <c r="C632" s="35" t="s">
        <v>1133</v>
      </c>
      <c r="D632" s="35" t="s">
        <v>16053</v>
      </c>
      <c r="E632" s="35" t="s">
        <v>233</v>
      </c>
      <c r="F632" s="62">
        <v>1</v>
      </c>
      <c r="G632" s="30" t="s">
        <v>193</v>
      </c>
      <c r="H632" s="30" t="s">
        <v>194</v>
      </c>
      <c r="I632" s="30" t="s">
        <v>16183</v>
      </c>
      <c r="J632" s="35" t="s">
        <v>9302</v>
      </c>
      <c r="K632" s="35">
        <v>18</v>
      </c>
      <c r="L632" s="35" t="s">
        <v>6955</v>
      </c>
      <c r="M632" s="35"/>
      <c r="N632" s="35" t="s">
        <v>16360</v>
      </c>
      <c r="O632" s="35" t="s">
        <v>6277</v>
      </c>
      <c r="P632" s="35" t="s">
        <v>16341</v>
      </c>
      <c r="Q632" s="35" t="s">
        <v>16335</v>
      </c>
      <c r="R632" s="35" t="s">
        <v>16068</v>
      </c>
      <c r="S632" s="35">
        <v>2346198</v>
      </c>
      <c r="T632" s="35">
        <v>33401380</v>
      </c>
      <c r="U632" s="35"/>
      <c r="V632" s="30"/>
      <c r="W632" s="505" t="s">
        <v>1134</v>
      </c>
      <c r="X632" s="35" t="s">
        <v>193</v>
      </c>
      <c r="Y632" s="30">
        <v>25</v>
      </c>
      <c r="Z632" s="35"/>
      <c r="AA632" s="35"/>
      <c r="AB632" s="35"/>
      <c r="AC632" s="35"/>
      <c r="AD632" s="35"/>
      <c r="AE632" s="35"/>
      <c r="AF632" s="35"/>
      <c r="AG632" s="35"/>
      <c r="AH632" s="30" t="s">
        <v>4714</v>
      </c>
      <c r="AI632" s="35" t="s">
        <v>16359</v>
      </c>
      <c r="AJ632" s="62" t="str">
        <f>MID('I kw.22'!W632,8,6)</f>
        <v>112008</v>
      </c>
      <c r="AK632" s="62">
        <v>1</v>
      </c>
      <c r="AL632" s="62">
        <f t="shared" si="9"/>
        <v>1</v>
      </c>
      <c r="AM632" s="62">
        <v>1</v>
      </c>
    </row>
    <row r="633" spans="1:39" x14ac:dyDescent="0.25">
      <c r="A633" s="35" t="s">
        <v>12884</v>
      </c>
      <c r="B633" s="35" t="s">
        <v>16357</v>
      </c>
      <c r="C633" s="35" t="s">
        <v>12</v>
      </c>
      <c r="D633" s="35" t="s">
        <v>16053</v>
      </c>
      <c r="E633" s="35" t="s">
        <v>233</v>
      </c>
      <c r="F633" s="62">
        <v>1</v>
      </c>
      <c r="G633" s="30" t="s">
        <v>193</v>
      </c>
      <c r="H633" s="30" t="s">
        <v>194</v>
      </c>
      <c r="I633" s="30" t="s">
        <v>16052</v>
      </c>
      <c r="J633" s="35" t="s">
        <v>210</v>
      </c>
      <c r="K633" s="35">
        <v>18</v>
      </c>
      <c r="L633" s="35" t="s">
        <v>6955</v>
      </c>
      <c r="M633" s="35"/>
      <c r="N633" s="35" t="s">
        <v>16358</v>
      </c>
      <c r="O633" s="35" t="s">
        <v>6256</v>
      </c>
      <c r="P633" s="35" t="s">
        <v>16341</v>
      </c>
      <c r="Q633" s="35" t="s">
        <v>16335</v>
      </c>
      <c r="R633" s="35" t="s">
        <v>16328</v>
      </c>
      <c r="S633" s="35">
        <v>2346254</v>
      </c>
      <c r="T633" s="35">
        <v>33484812</v>
      </c>
      <c r="U633" s="35"/>
      <c r="V633" s="30">
        <v>1863</v>
      </c>
      <c r="W633" s="35" t="s">
        <v>220</v>
      </c>
      <c r="X633" s="35" t="s">
        <v>194</v>
      </c>
      <c r="Y633" s="30">
        <v>1</v>
      </c>
      <c r="Z633" s="35"/>
      <c r="AA633" s="35"/>
      <c r="AB633" s="35"/>
      <c r="AC633" s="35"/>
      <c r="AD633" s="35"/>
      <c r="AE633" s="35"/>
      <c r="AF633" s="35"/>
      <c r="AG633" s="35"/>
      <c r="AH633" s="30" t="s">
        <v>4714</v>
      </c>
      <c r="AI633" s="35" t="s">
        <v>16357</v>
      </c>
      <c r="AJ633" s="62" t="str">
        <f>MID('I kw.22'!W633,8,6)</f>
        <v>132301</v>
      </c>
      <c r="AK633" s="62">
        <v>1</v>
      </c>
      <c r="AL633" s="62">
        <f t="shared" si="9"/>
        <v>1</v>
      </c>
      <c r="AM633" s="62">
        <v>1</v>
      </c>
    </row>
    <row r="634" spans="1:39" x14ac:dyDescent="0.25">
      <c r="A634" s="35" t="s">
        <v>12884</v>
      </c>
      <c r="B634" s="35" t="s">
        <v>569</v>
      </c>
      <c r="C634" s="35" t="s">
        <v>366</v>
      </c>
      <c r="D634" s="35" t="s">
        <v>16053</v>
      </c>
      <c r="E634" s="35" t="s">
        <v>233</v>
      </c>
      <c r="F634" s="62">
        <v>1</v>
      </c>
      <c r="G634" s="30" t="s">
        <v>193</v>
      </c>
      <c r="H634" s="30" t="s">
        <v>194</v>
      </c>
      <c r="I634" s="30" t="s">
        <v>16183</v>
      </c>
      <c r="J634" s="35" t="s">
        <v>210</v>
      </c>
      <c r="K634" s="35">
        <v>18</v>
      </c>
      <c r="L634" s="35" t="s">
        <v>6955</v>
      </c>
      <c r="M634" s="35"/>
      <c r="N634" s="35" t="s">
        <v>16356</v>
      </c>
      <c r="O634" s="35" t="s">
        <v>6374</v>
      </c>
      <c r="P634" s="35" t="s">
        <v>16341</v>
      </c>
      <c r="Q634" s="35" t="s">
        <v>16335</v>
      </c>
      <c r="R634" s="35" t="s">
        <v>16328</v>
      </c>
      <c r="S634" s="35">
        <v>2346255</v>
      </c>
      <c r="T634" s="35">
        <v>33484852</v>
      </c>
      <c r="U634" s="35"/>
      <c r="V634" s="30">
        <v>1863</v>
      </c>
      <c r="W634" s="35" t="s">
        <v>368</v>
      </c>
      <c r="X634" s="35" t="s">
        <v>194</v>
      </c>
      <c r="Y634" s="30">
        <v>1</v>
      </c>
      <c r="Z634" s="35"/>
      <c r="AA634" s="35"/>
      <c r="AB634" s="35"/>
      <c r="AC634" s="35"/>
      <c r="AD634" s="35"/>
      <c r="AE634" s="35"/>
      <c r="AF634" s="35"/>
      <c r="AG634" s="35"/>
      <c r="AH634" s="30" t="s">
        <v>4714</v>
      </c>
      <c r="AI634" s="35" t="s">
        <v>569</v>
      </c>
      <c r="AJ634" s="62" t="str">
        <f>MID('I kw.22'!W634,8,6)</f>
        <v>215201</v>
      </c>
      <c r="AK634" s="62">
        <v>1</v>
      </c>
      <c r="AL634" s="62">
        <f t="shared" si="9"/>
        <v>1</v>
      </c>
      <c r="AM634" s="62">
        <v>1</v>
      </c>
    </row>
    <row r="635" spans="1:39" x14ac:dyDescent="0.25">
      <c r="A635" s="35" t="s">
        <v>5287</v>
      </c>
      <c r="B635" s="35" t="s">
        <v>16353</v>
      </c>
      <c r="C635" s="35" t="s">
        <v>16355</v>
      </c>
      <c r="D635" s="35" t="s">
        <v>16053</v>
      </c>
      <c r="E635" s="35" t="s">
        <v>233</v>
      </c>
      <c r="F635" s="62">
        <v>1</v>
      </c>
      <c r="G635" s="30" t="s">
        <v>193</v>
      </c>
      <c r="H635" s="30" t="s">
        <v>194</v>
      </c>
      <c r="I635" s="30" t="s">
        <v>16048</v>
      </c>
      <c r="J635" s="35" t="s">
        <v>367</v>
      </c>
      <c r="K635" s="35">
        <v>18</v>
      </c>
      <c r="L635" s="35" t="s">
        <v>6955</v>
      </c>
      <c r="M635" s="35"/>
      <c r="N635" s="35" t="s">
        <v>16354</v>
      </c>
      <c r="O635" s="35" t="s">
        <v>6254</v>
      </c>
      <c r="P635" s="35" t="s">
        <v>16341</v>
      </c>
      <c r="Q635" s="35" t="s">
        <v>16335</v>
      </c>
      <c r="R635" s="35" t="s">
        <v>16328</v>
      </c>
      <c r="S635" s="35">
        <v>2346256</v>
      </c>
      <c r="T635" s="35">
        <v>33484854</v>
      </c>
      <c r="U635" s="35"/>
      <c r="V635" s="30">
        <v>1805</v>
      </c>
      <c r="W635" s="35" t="s">
        <v>508</v>
      </c>
      <c r="X635" s="35" t="s">
        <v>194</v>
      </c>
      <c r="Y635" s="30">
        <v>1</v>
      </c>
      <c r="Z635" s="35"/>
      <c r="AA635" s="35"/>
      <c r="AB635" s="35"/>
      <c r="AC635" s="35"/>
      <c r="AD635" s="35"/>
      <c r="AE635" s="35"/>
      <c r="AF635" s="35"/>
      <c r="AG635" s="35"/>
      <c r="AH635" s="30" t="s">
        <v>4714</v>
      </c>
      <c r="AI635" s="35" t="s">
        <v>16353</v>
      </c>
      <c r="AJ635" s="62" t="str">
        <f>MID('I kw.22'!W635,8,6)</f>
        <v>252102</v>
      </c>
      <c r="AK635" s="62">
        <v>1</v>
      </c>
      <c r="AL635" s="62">
        <f t="shared" si="9"/>
        <v>1</v>
      </c>
      <c r="AM635" s="62">
        <v>1</v>
      </c>
    </row>
    <row r="636" spans="1:39" x14ac:dyDescent="0.25">
      <c r="A636" s="35" t="s">
        <v>16352</v>
      </c>
      <c r="B636" s="35" t="s">
        <v>16350</v>
      </c>
      <c r="C636" s="35" t="s">
        <v>21</v>
      </c>
      <c r="D636" s="35" t="s">
        <v>16053</v>
      </c>
      <c r="E636" s="35" t="s">
        <v>233</v>
      </c>
      <c r="F636" s="62">
        <v>1</v>
      </c>
      <c r="G636" s="30" t="s">
        <v>193</v>
      </c>
      <c r="H636" s="30" t="s">
        <v>194</v>
      </c>
      <c r="I636" s="30" t="s">
        <v>16052</v>
      </c>
      <c r="J636" s="35" t="s">
        <v>9302</v>
      </c>
      <c r="K636" s="35">
        <v>18</v>
      </c>
      <c r="L636" s="35" t="s">
        <v>6955</v>
      </c>
      <c r="M636" s="35"/>
      <c r="N636" s="35" t="s">
        <v>16351</v>
      </c>
      <c r="O636" s="35" t="s">
        <v>6256</v>
      </c>
      <c r="P636" s="35" t="s">
        <v>16341</v>
      </c>
      <c r="Q636" s="35" t="s">
        <v>16335</v>
      </c>
      <c r="R636" s="35" t="s">
        <v>16048</v>
      </c>
      <c r="S636" s="35">
        <v>2346275</v>
      </c>
      <c r="T636" s="35">
        <v>33680997</v>
      </c>
      <c r="U636" s="35"/>
      <c r="V636" s="30"/>
      <c r="W636" s="505" t="s">
        <v>293</v>
      </c>
      <c r="X636" s="35" t="s">
        <v>193</v>
      </c>
      <c r="Y636" s="30">
        <v>25</v>
      </c>
      <c r="Z636" s="35"/>
      <c r="AA636" s="35"/>
      <c r="AB636" s="35"/>
      <c r="AC636" s="35"/>
      <c r="AD636" s="35"/>
      <c r="AE636" s="35"/>
      <c r="AF636" s="35"/>
      <c r="AG636" s="35"/>
      <c r="AH636" s="30" t="s">
        <v>4714</v>
      </c>
      <c r="AI636" s="35" t="s">
        <v>16350</v>
      </c>
      <c r="AJ636" s="62" t="str">
        <f>MID('I kw.22'!W636,8,6)</f>
        <v>214202</v>
      </c>
      <c r="AK636" s="62">
        <v>1</v>
      </c>
      <c r="AL636" s="62">
        <f t="shared" si="9"/>
        <v>1</v>
      </c>
      <c r="AM636" s="62">
        <v>1</v>
      </c>
    </row>
    <row r="637" spans="1:39" x14ac:dyDescent="0.25">
      <c r="A637" s="35" t="s">
        <v>16349</v>
      </c>
      <c r="B637" s="35" t="s">
        <v>16347</v>
      </c>
      <c r="C637" s="35" t="s">
        <v>83</v>
      </c>
      <c r="D637" s="35" t="s">
        <v>16053</v>
      </c>
      <c r="E637" s="35" t="s">
        <v>233</v>
      </c>
      <c r="F637" s="62">
        <v>1</v>
      </c>
      <c r="G637" s="30" t="s">
        <v>193</v>
      </c>
      <c r="H637" s="30" t="s">
        <v>194</v>
      </c>
      <c r="I637" s="30" t="s">
        <v>16073</v>
      </c>
      <c r="J637" s="35" t="s">
        <v>9302</v>
      </c>
      <c r="K637" s="35">
        <v>18</v>
      </c>
      <c r="L637" s="35" t="s">
        <v>6955</v>
      </c>
      <c r="M637" s="35"/>
      <c r="N637" s="35" t="s">
        <v>16348</v>
      </c>
      <c r="O637" s="35" t="s">
        <v>6275</v>
      </c>
      <c r="P637" s="35" t="s">
        <v>16341</v>
      </c>
      <c r="Q637" s="35" t="s">
        <v>16335</v>
      </c>
      <c r="R637" s="35" t="s">
        <v>16048</v>
      </c>
      <c r="S637" s="35">
        <v>2346348</v>
      </c>
      <c r="T637" s="35">
        <v>33681139</v>
      </c>
      <c r="U637" s="35"/>
      <c r="V637" s="30"/>
      <c r="W637" s="505" t="s">
        <v>791</v>
      </c>
      <c r="X637" s="35" t="s">
        <v>193</v>
      </c>
      <c r="Y637" s="30">
        <v>25</v>
      </c>
      <c r="Z637" s="35"/>
      <c r="AA637" s="35"/>
      <c r="AB637" s="35"/>
      <c r="AC637" s="35"/>
      <c r="AD637" s="35"/>
      <c r="AE637" s="35"/>
      <c r="AF637" s="35"/>
      <c r="AG637" s="35"/>
      <c r="AH637" s="30" t="s">
        <v>4714</v>
      </c>
      <c r="AI637" s="35" t="s">
        <v>16347</v>
      </c>
      <c r="AJ637" s="62" t="str">
        <f>MID('I kw.22'!W637,8,6)</f>
        <v>721204</v>
      </c>
      <c r="AK637" s="62">
        <v>1</v>
      </c>
      <c r="AL637" s="62">
        <f t="shared" si="9"/>
        <v>1</v>
      </c>
      <c r="AM637" s="62">
        <v>1</v>
      </c>
    </row>
    <row r="638" spans="1:39" x14ac:dyDescent="0.25">
      <c r="A638" s="35" t="s">
        <v>10141</v>
      </c>
      <c r="B638" s="35" t="s">
        <v>2124</v>
      </c>
      <c r="C638" s="35" t="s">
        <v>13</v>
      </c>
      <c r="D638" s="35" t="s">
        <v>16053</v>
      </c>
      <c r="E638" s="35" t="s">
        <v>233</v>
      </c>
      <c r="F638" s="62">
        <v>1</v>
      </c>
      <c r="G638" s="30" t="s">
        <v>193</v>
      </c>
      <c r="H638" s="30" t="s">
        <v>194</v>
      </c>
      <c r="I638" s="30" t="s">
        <v>16078</v>
      </c>
      <c r="J638" s="35" t="s">
        <v>327</v>
      </c>
      <c r="K638" s="35">
        <v>18</v>
      </c>
      <c r="L638" s="35" t="s">
        <v>6955</v>
      </c>
      <c r="M638" s="35"/>
      <c r="N638" s="35" t="s">
        <v>16346</v>
      </c>
      <c r="O638" s="35" t="s">
        <v>6306</v>
      </c>
      <c r="P638" s="35" t="s">
        <v>16341</v>
      </c>
      <c r="Q638" s="35" t="s">
        <v>16335</v>
      </c>
      <c r="R638" s="35" t="s">
        <v>16113</v>
      </c>
      <c r="S638" s="35">
        <v>2346524</v>
      </c>
      <c r="T638" s="35">
        <v>33681635</v>
      </c>
      <c r="U638" s="35"/>
      <c r="V638" s="30">
        <v>1808</v>
      </c>
      <c r="W638" s="35" t="s">
        <v>2125</v>
      </c>
      <c r="X638" s="35" t="s">
        <v>194</v>
      </c>
      <c r="Y638" s="30">
        <v>1</v>
      </c>
      <c r="Z638" s="35"/>
      <c r="AA638" s="35"/>
      <c r="AB638" s="35"/>
      <c r="AC638" s="35"/>
      <c r="AD638" s="35"/>
      <c r="AE638" s="35"/>
      <c r="AF638" s="35"/>
      <c r="AG638" s="35"/>
      <c r="AH638" s="30" t="s">
        <v>4714</v>
      </c>
      <c r="AI638" s="35" t="s">
        <v>2124</v>
      </c>
      <c r="AJ638" s="62" t="str">
        <f>MID('I kw.22'!W638,8,6)</f>
        <v>225101</v>
      </c>
      <c r="AK638" s="62">
        <v>1</v>
      </c>
      <c r="AL638" s="62">
        <f t="shared" si="9"/>
        <v>1</v>
      </c>
      <c r="AM638" s="62">
        <v>1</v>
      </c>
    </row>
    <row r="639" spans="1:39" x14ac:dyDescent="0.25">
      <c r="A639" s="35" t="s">
        <v>5302</v>
      </c>
      <c r="B639" s="35" t="s">
        <v>16343</v>
      </c>
      <c r="C639" s="35" t="s">
        <v>13</v>
      </c>
      <c r="D639" s="35" t="s">
        <v>16053</v>
      </c>
      <c r="E639" s="35" t="s">
        <v>233</v>
      </c>
      <c r="F639" s="62">
        <v>1</v>
      </c>
      <c r="G639" s="30" t="s">
        <v>193</v>
      </c>
      <c r="H639" s="30" t="s">
        <v>194</v>
      </c>
      <c r="I639" s="30" t="s">
        <v>16048</v>
      </c>
      <c r="J639" s="35" t="s">
        <v>305</v>
      </c>
      <c r="K639" s="35">
        <v>18</v>
      </c>
      <c r="L639" s="35" t="s">
        <v>6955</v>
      </c>
      <c r="M639" s="35"/>
      <c r="N639" s="35" t="s">
        <v>16345</v>
      </c>
      <c r="O639" s="35" t="s">
        <v>6306</v>
      </c>
      <c r="P639" s="35" t="s">
        <v>16341</v>
      </c>
      <c r="Q639" s="35" t="s">
        <v>16335</v>
      </c>
      <c r="R639" s="35" t="s">
        <v>16344</v>
      </c>
      <c r="S639" s="35">
        <v>2346555</v>
      </c>
      <c r="T639" s="35">
        <v>33681666</v>
      </c>
      <c r="U639" s="35"/>
      <c r="V639" s="30">
        <v>1814</v>
      </c>
      <c r="W639" s="35" t="s">
        <v>2125</v>
      </c>
      <c r="X639" s="35" t="s">
        <v>194</v>
      </c>
      <c r="Y639" s="30">
        <v>1</v>
      </c>
      <c r="Z639" s="35"/>
      <c r="AA639" s="35"/>
      <c r="AB639" s="35"/>
      <c r="AC639" s="35"/>
      <c r="AD639" s="35"/>
      <c r="AE639" s="35"/>
      <c r="AF639" s="35"/>
      <c r="AG639" s="35"/>
      <c r="AH639" s="30" t="s">
        <v>4714</v>
      </c>
      <c r="AI639" s="35" t="s">
        <v>16343</v>
      </c>
      <c r="AJ639" s="62" t="str">
        <f>MID('I kw.22'!W639,8,6)</f>
        <v>225101</v>
      </c>
      <c r="AK639" s="62">
        <v>1</v>
      </c>
      <c r="AL639" s="62">
        <f t="shared" si="9"/>
        <v>1</v>
      </c>
      <c r="AM639" s="62">
        <v>1</v>
      </c>
    </row>
    <row r="640" spans="1:39" x14ac:dyDescent="0.25">
      <c r="A640" s="35" t="s">
        <v>14465</v>
      </c>
      <c r="B640" s="35" t="s">
        <v>16340</v>
      </c>
      <c r="C640" s="35" t="s">
        <v>8953</v>
      </c>
      <c r="D640" s="35" t="s">
        <v>16053</v>
      </c>
      <c r="E640" s="35" t="s">
        <v>233</v>
      </c>
      <c r="F640" s="62">
        <v>1</v>
      </c>
      <c r="G640" s="30" t="s">
        <v>193</v>
      </c>
      <c r="H640" s="30" t="s">
        <v>194</v>
      </c>
      <c r="I640" s="30" t="s">
        <v>16121</v>
      </c>
      <c r="J640" s="35" t="s">
        <v>9302</v>
      </c>
      <c r="K640" s="35">
        <v>18</v>
      </c>
      <c r="L640" s="35" t="s">
        <v>6955</v>
      </c>
      <c r="M640" s="35"/>
      <c r="N640" s="35" t="s">
        <v>16342</v>
      </c>
      <c r="O640" s="35" t="s">
        <v>6921</v>
      </c>
      <c r="P640" s="35" t="s">
        <v>16341</v>
      </c>
      <c r="Q640" s="35" t="s">
        <v>16335</v>
      </c>
      <c r="R640" s="35" t="s">
        <v>16066</v>
      </c>
      <c r="S640" s="35">
        <v>2346610</v>
      </c>
      <c r="T640" s="35">
        <v>33681732</v>
      </c>
      <c r="U640" s="35"/>
      <c r="V640" s="30"/>
      <c r="W640" s="505" t="s">
        <v>8955</v>
      </c>
      <c r="X640" s="35" t="s">
        <v>193</v>
      </c>
      <c r="Y640" s="30">
        <v>25</v>
      </c>
      <c r="Z640" s="35"/>
      <c r="AA640" s="35"/>
      <c r="AB640" s="35"/>
      <c r="AC640" s="35"/>
      <c r="AD640" s="35"/>
      <c r="AE640" s="35"/>
      <c r="AF640" s="35"/>
      <c r="AG640" s="35"/>
      <c r="AH640" s="30" t="s">
        <v>4714</v>
      </c>
      <c r="AI640" s="35" t="s">
        <v>16340</v>
      </c>
      <c r="AJ640" s="62" t="str">
        <f>MID('I kw.22'!W640,8,6)</f>
        <v>252103</v>
      </c>
      <c r="AK640" s="62">
        <v>1</v>
      </c>
      <c r="AL640" s="62">
        <f t="shared" si="9"/>
        <v>1</v>
      </c>
      <c r="AM640" s="62">
        <v>1</v>
      </c>
    </row>
    <row r="641" spans="1:39" x14ac:dyDescent="0.25">
      <c r="A641" s="35" t="s">
        <v>16339</v>
      </c>
      <c r="B641" s="35" t="s">
        <v>16338</v>
      </c>
      <c r="C641" s="35" t="s">
        <v>237</v>
      </c>
      <c r="D641" s="35" t="s">
        <v>16053</v>
      </c>
      <c r="E641" s="35" t="s">
        <v>252</v>
      </c>
      <c r="F641" s="62">
        <v>1</v>
      </c>
      <c r="G641" s="30" t="s">
        <v>194</v>
      </c>
      <c r="H641" s="30" t="s">
        <v>193</v>
      </c>
      <c r="I641" s="30" t="s">
        <v>16083</v>
      </c>
      <c r="J641" s="35" t="s">
        <v>210</v>
      </c>
      <c r="K641" s="35">
        <v>18</v>
      </c>
      <c r="L641" s="35" t="s">
        <v>6955</v>
      </c>
      <c r="M641" s="35"/>
      <c r="N641" s="35" t="s">
        <v>16337</v>
      </c>
      <c r="O641" s="35" t="s">
        <v>6269</v>
      </c>
      <c r="P641" s="35" t="s">
        <v>16336</v>
      </c>
      <c r="Q641" s="35" t="s">
        <v>16335</v>
      </c>
      <c r="R641" s="35" t="s">
        <v>16061</v>
      </c>
      <c r="S641" s="35">
        <v>2346631</v>
      </c>
      <c r="T641" s="35">
        <v>33709286</v>
      </c>
      <c r="U641" s="35"/>
      <c r="V641" s="30">
        <v>1863</v>
      </c>
      <c r="W641" s="35" t="s">
        <v>239</v>
      </c>
      <c r="X641" s="35" t="s">
        <v>194</v>
      </c>
      <c r="Y641" s="30">
        <v>1</v>
      </c>
      <c r="Z641" s="35"/>
      <c r="AA641" s="35"/>
      <c r="AB641" s="35"/>
      <c r="AC641" s="35"/>
      <c r="AD641" s="35"/>
      <c r="AE641" s="35"/>
      <c r="AF641" s="35"/>
      <c r="AG641" s="35"/>
      <c r="AH641" s="30" t="s">
        <v>4714</v>
      </c>
      <c r="AI641" s="35" t="s">
        <v>9433</v>
      </c>
      <c r="AJ641" s="62" t="str">
        <f>MID('I kw.22'!W641,8,6)</f>
        <v>132404</v>
      </c>
      <c r="AK641" s="62">
        <v>1</v>
      </c>
      <c r="AL641" s="62">
        <f t="shared" si="9"/>
        <v>1</v>
      </c>
      <c r="AM641" s="62">
        <v>1</v>
      </c>
    </row>
    <row r="642" spans="1:39" x14ac:dyDescent="0.25">
      <c r="A642" s="35" t="s">
        <v>16325</v>
      </c>
      <c r="B642" s="35" t="s">
        <v>16334</v>
      </c>
      <c r="C642" s="35" t="s">
        <v>2861</v>
      </c>
      <c r="D642" s="35" t="s">
        <v>16053</v>
      </c>
      <c r="E642" s="35" t="s">
        <v>217</v>
      </c>
      <c r="F642" s="77">
        <v>1</v>
      </c>
      <c r="G642" s="30" t="s">
        <v>194</v>
      </c>
      <c r="H642" s="30" t="s">
        <v>193</v>
      </c>
      <c r="I642" s="30" t="s">
        <v>16073</v>
      </c>
      <c r="J642" s="506" t="s">
        <v>13289</v>
      </c>
      <c r="K642" s="35">
        <v>18</v>
      </c>
      <c r="L642" s="35" t="s">
        <v>6955</v>
      </c>
      <c r="M642" s="35"/>
      <c r="N642" s="35" t="s">
        <v>16333</v>
      </c>
      <c r="O642" s="35" t="s">
        <v>6261</v>
      </c>
      <c r="P642" s="35" t="s">
        <v>16305</v>
      </c>
      <c r="Q642" s="35" t="s">
        <v>16049</v>
      </c>
      <c r="R642" s="35" t="s">
        <v>16078</v>
      </c>
      <c r="S642" s="35">
        <v>2346673</v>
      </c>
      <c r="T642" s="35">
        <v>33715181</v>
      </c>
      <c r="U642" s="35"/>
      <c r="V642" s="30"/>
      <c r="W642" s="378" t="s">
        <v>3629</v>
      </c>
      <c r="X642" s="35" t="s">
        <v>194</v>
      </c>
      <c r="Y642" s="30">
        <v>0</v>
      </c>
      <c r="Z642" s="35"/>
      <c r="AA642" s="35"/>
      <c r="AB642" s="35"/>
      <c r="AC642" s="35"/>
      <c r="AD642" s="35"/>
      <c r="AE642" s="35"/>
      <c r="AF642" s="35"/>
      <c r="AG642" s="35"/>
      <c r="AH642" s="30" t="s">
        <v>4714</v>
      </c>
      <c r="AI642" s="35" t="s">
        <v>9433</v>
      </c>
      <c r="AJ642" s="77" t="str">
        <f>MID('I kw.22'!W642,8,6)</f>
        <v>251903</v>
      </c>
      <c r="AK642" s="62">
        <v>1</v>
      </c>
      <c r="AL642" s="497">
        <f t="shared" si="9"/>
        <v>1</v>
      </c>
      <c r="AM642" s="62">
        <v>1</v>
      </c>
    </row>
    <row r="643" spans="1:39" x14ac:dyDescent="0.25">
      <c r="A643" s="35" t="s">
        <v>16325</v>
      </c>
      <c r="B643" s="35" t="s">
        <v>16332</v>
      </c>
      <c r="C643" s="35" t="s">
        <v>1384</v>
      </c>
      <c r="D643" s="35" t="s">
        <v>16053</v>
      </c>
      <c r="E643" s="35" t="s">
        <v>217</v>
      </c>
      <c r="F643" s="77">
        <v>1</v>
      </c>
      <c r="G643" s="30" t="s">
        <v>194</v>
      </c>
      <c r="H643" s="30" t="s">
        <v>193</v>
      </c>
      <c r="I643" s="30" t="s">
        <v>16183</v>
      </c>
      <c r="J643" s="35" t="s">
        <v>16331</v>
      </c>
      <c r="K643" s="35">
        <v>18</v>
      </c>
      <c r="L643" s="35" t="s">
        <v>6955</v>
      </c>
      <c r="M643" s="35"/>
      <c r="N643" s="35" t="s">
        <v>16330</v>
      </c>
      <c r="O643" s="35" t="s">
        <v>6921</v>
      </c>
      <c r="P643" s="35" t="s">
        <v>16305</v>
      </c>
      <c r="Q643" s="35" t="s">
        <v>16329</v>
      </c>
      <c r="R643" s="35" t="s">
        <v>16328</v>
      </c>
      <c r="S643" s="35">
        <v>2346688</v>
      </c>
      <c r="T643" s="35">
        <v>33715196</v>
      </c>
      <c r="U643" s="35"/>
      <c r="V643" s="30"/>
      <c r="W643" s="505" t="s">
        <v>1385</v>
      </c>
      <c r="X643" s="35" t="s">
        <v>194</v>
      </c>
      <c r="Y643" s="30">
        <v>0</v>
      </c>
      <c r="Z643" s="35"/>
      <c r="AA643" s="35"/>
      <c r="AB643" s="35"/>
      <c r="AC643" s="35"/>
      <c r="AD643" s="35"/>
      <c r="AE643" s="35"/>
      <c r="AF643" s="35"/>
      <c r="AG643" s="35"/>
      <c r="AH643" s="30" t="s">
        <v>4714</v>
      </c>
      <c r="AI643" s="35" t="s">
        <v>9433</v>
      </c>
      <c r="AJ643" s="62" t="str">
        <f>MID('I kw.22'!W643,8,6)</f>
        <v>235915</v>
      </c>
      <c r="AK643" s="62">
        <v>1</v>
      </c>
      <c r="AL643" s="62">
        <f t="shared" ref="AL643:AL706" si="10">SUM(F643)</f>
        <v>1</v>
      </c>
      <c r="AM643" s="62">
        <v>1</v>
      </c>
    </row>
    <row r="644" spans="1:39" x14ac:dyDescent="0.25">
      <c r="A644" s="35" t="s">
        <v>4022</v>
      </c>
      <c r="B644" s="35" t="s">
        <v>16327</v>
      </c>
      <c r="C644" s="35" t="s">
        <v>542</v>
      </c>
      <c r="D644" s="35" t="s">
        <v>16053</v>
      </c>
      <c r="E644" s="35" t="s">
        <v>217</v>
      </c>
      <c r="F644" s="62">
        <v>1</v>
      </c>
      <c r="G644" s="30" t="s">
        <v>193</v>
      </c>
      <c r="H644" s="30" t="s">
        <v>194</v>
      </c>
      <c r="I644" s="30" t="s">
        <v>16052</v>
      </c>
      <c r="J644" s="35" t="s">
        <v>15466</v>
      </c>
      <c r="K644" s="35">
        <v>18</v>
      </c>
      <c r="L644" s="35" t="s">
        <v>6955</v>
      </c>
      <c r="M644" s="35"/>
      <c r="N644" s="35" t="s">
        <v>16326</v>
      </c>
      <c r="O644" s="35" t="s">
        <v>6286</v>
      </c>
      <c r="P644" s="35" t="s">
        <v>16305</v>
      </c>
      <c r="Q644" s="35" t="s">
        <v>16049</v>
      </c>
      <c r="R644" s="35" t="s">
        <v>16121</v>
      </c>
      <c r="S644" s="35">
        <v>2346716</v>
      </c>
      <c r="T644" s="35">
        <v>33715224</v>
      </c>
      <c r="U644" s="35"/>
      <c r="V644" s="30"/>
      <c r="W644" s="505" t="s">
        <v>543</v>
      </c>
      <c r="X644" s="35" t="s">
        <v>193</v>
      </c>
      <c r="Y644" s="30">
        <v>25</v>
      </c>
      <c r="Z644" s="35"/>
      <c r="AA644" s="35"/>
      <c r="AB644" s="35"/>
      <c r="AC644" s="35"/>
      <c r="AD644" s="35"/>
      <c r="AE644" s="35"/>
      <c r="AF644" s="35"/>
      <c r="AG644" s="35"/>
      <c r="AH644" s="30" t="s">
        <v>4714</v>
      </c>
      <c r="AI644" s="35" t="s">
        <v>9433</v>
      </c>
      <c r="AJ644" s="62" t="str">
        <f>MID('I kw.22'!W644,8,6)</f>
        <v>264304</v>
      </c>
      <c r="AK644" s="62">
        <v>1</v>
      </c>
      <c r="AL644" s="62">
        <f t="shared" si="10"/>
        <v>1</v>
      </c>
      <c r="AM644" s="62">
        <v>1</v>
      </c>
    </row>
    <row r="645" spans="1:39" x14ac:dyDescent="0.25">
      <c r="A645" s="35" t="s">
        <v>16325</v>
      </c>
      <c r="B645" s="35" t="s">
        <v>16324</v>
      </c>
      <c r="C645" s="35" t="s">
        <v>10</v>
      </c>
      <c r="D645" s="35" t="s">
        <v>16053</v>
      </c>
      <c r="E645" s="35" t="s">
        <v>217</v>
      </c>
      <c r="F645" s="62">
        <v>1</v>
      </c>
      <c r="G645" s="30" t="s">
        <v>194</v>
      </c>
      <c r="H645" s="30" t="s">
        <v>193</v>
      </c>
      <c r="I645" s="30" t="s">
        <v>16068</v>
      </c>
      <c r="J645" s="506" t="s">
        <v>13289</v>
      </c>
      <c r="K645" s="35">
        <v>18</v>
      </c>
      <c r="L645" s="35" t="s">
        <v>6955</v>
      </c>
      <c r="M645" s="35"/>
      <c r="N645" s="35" t="s">
        <v>16323</v>
      </c>
      <c r="O645" s="35" t="s">
        <v>6261</v>
      </c>
      <c r="P645" s="35" t="s">
        <v>16305</v>
      </c>
      <c r="Q645" s="35" t="s">
        <v>16049</v>
      </c>
      <c r="R645" s="35" t="s">
        <v>16078</v>
      </c>
      <c r="S645" s="35">
        <v>2346742</v>
      </c>
      <c r="T645" s="35">
        <v>33715250</v>
      </c>
      <c r="U645" s="35"/>
      <c r="V645" s="30"/>
      <c r="W645" s="505" t="s">
        <v>484</v>
      </c>
      <c r="X645" s="35" t="s">
        <v>194</v>
      </c>
      <c r="Y645" s="30">
        <v>0</v>
      </c>
      <c r="Z645" s="35"/>
      <c r="AA645" s="35"/>
      <c r="AB645" s="35"/>
      <c r="AC645" s="35"/>
      <c r="AD645" s="35"/>
      <c r="AE645" s="35"/>
      <c r="AF645" s="35"/>
      <c r="AG645" s="35"/>
      <c r="AH645" s="30" t="s">
        <v>4714</v>
      </c>
      <c r="AI645" s="35" t="s">
        <v>9433</v>
      </c>
      <c r="AJ645" s="62" t="str">
        <f>MID('I kw.22'!W645,8,6)</f>
        <v>251401</v>
      </c>
      <c r="AK645" s="62">
        <v>1</v>
      </c>
      <c r="AL645" s="62">
        <f t="shared" si="10"/>
        <v>1</v>
      </c>
      <c r="AM645" s="62">
        <v>1</v>
      </c>
    </row>
    <row r="646" spans="1:39" x14ac:dyDescent="0.25">
      <c r="A646" s="35" t="s">
        <v>581</v>
      </c>
      <c r="B646" s="35" t="s">
        <v>16322</v>
      </c>
      <c r="C646" s="35" t="s">
        <v>156</v>
      </c>
      <c r="D646" s="35" t="s">
        <v>16053</v>
      </c>
      <c r="E646" s="35" t="s">
        <v>217</v>
      </c>
      <c r="F646" s="62">
        <v>1</v>
      </c>
      <c r="G646" s="30" t="s">
        <v>193</v>
      </c>
      <c r="H646" s="30" t="s">
        <v>194</v>
      </c>
      <c r="I646" s="30" t="s">
        <v>16068</v>
      </c>
      <c r="J646" s="35" t="s">
        <v>210</v>
      </c>
      <c r="K646" s="35">
        <v>18</v>
      </c>
      <c r="L646" s="35" t="s">
        <v>6955</v>
      </c>
      <c r="M646" s="35"/>
      <c r="N646" s="35" t="s">
        <v>16321</v>
      </c>
      <c r="O646" s="35" t="s">
        <v>6269</v>
      </c>
      <c r="P646" s="35" t="s">
        <v>16305</v>
      </c>
      <c r="Q646" s="35" t="s">
        <v>16049</v>
      </c>
      <c r="R646" s="35" t="s">
        <v>16304</v>
      </c>
      <c r="S646" s="35">
        <v>2346764</v>
      </c>
      <c r="T646" s="35">
        <v>33715272</v>
      </c>
      <c r="U646" s="35"/>
      <c r="V646" s="30">
        <v>1863</v>
      </c>
      <c r="W646" s="35" t="s">
        <v>659</v>
      </c>
      <c r="X646" s="35" t="s">
        <v>194</v>
      </c>
      <c r="Y646" s="30">
        <v>1</v>
      </c>
      <c r="Z646" s="35"/>
      <c r="AA646" s="35"/>
      <c r="AB646" s="35"/>
      <c r="AC646" s="35"/>
      <c r="AD646" s="35"/>
      <c r="AE646" s="35"/>
      <c r="AF646" s="35"/>
      <c r="AG646" s="35"/>
      <c r="AH646" s="30" t="s">
        <v>4714</v>
      </c>
      <c r="AI646" s="35" t="s">
        <v>9433</v>
      </c>
      <c r="AJ646" s="62" t="str">
        <f>MID('I kw.22'!W646,8,6)</f>
        <v>332302</v>
      </c>
      <c r="AK646" s="62">
        <v>1</v>
      </c>
      <c r="AL646" s="62">
        <f t="shared" si="10"/>
        <v>1</v>
      </c>
      <c r="AM646" s="62">
        <v>1</v>
      </c>
    </row>
    <row r="647" spans="1:39" x14ac:dyDescent="0.25">
      <c r="A647" s="35" t="s">
        <v>11415</v>
      </c>
      <c r="B647" s="35" t="s">
        <v>8016</v>
      </c>
      <c r="C647" s="35" t="s">
        <v>99</v>
      </c>
      <c r="D647" s="35" t="s">
        <v>16053</v>
      </c>
      <c r="E647" s="35" t="s">
        <v>217</v>
      </c>
      <c r="F647" s="62">
        <v>1</v>
      </c>
      <c r="G647" s="30" t="s">
        <v>193</v>
      </c>
      <c r="H647" s="30" t="s">
        <v>194</v>
      </c>
      <c r="I647" s="30" t="s">
        <v>16073</v>
      </c>
      <c r="J647" s="35" t="s">
        <v>210</v>
      </c>
      <c r="K647" s="35">
        <v>18</v>
      </c>
      <c r="L647" s="35" t="s">
        <v>6955</v>
      </c>
      <c r="M647" s="35"/>
      <c r="N647" s="35" t="s">
        <v>16320</v>
      </c>
      <c r="O647" s="35" t="s">
        <v>6286</v>
      </c>
      <c r="P647" s="35" t="s">
        <v>16305</v>
      </c>
      <c r="Q647" s="35" t="s">
        <v>16049</v>
      </c>
      <c r="R647" s="35" t="s">
        <v>16121</v>
      </c>
      <c r="S647" s="35">
        <v>2346840</v>
      </c>
      <c r="T647" s="35">
        <v>33715348</v>
      </c>
      <c r="U647" s="35"/>
      <c r="V647" s="30">
        <v>1863</v>
      </c>
      <c r="W647" s="35" t="s">
        <v>2421</v>
      </c>
      <c r="X647" s="35" t="s">
        <v>194</v>
      </c>
      <c r="Y647" s="30">
        <v>1</v>
      </c>
      <c r="Z647" s="35"/>
      <c r="AA647" s="35"/>
      <c r="AB647" s="35"/>
      <c r="AC647" s="35"/>
      <c r="AD647" s="35"/>
      <c r="AE647" s="35"/>
      <c r="AF647" s="35"/>
      <c r="AG647" s="35"/>
      <c r="AH647" s="30" t="s">
        <v>4714</v>
      </c>
      <c r="AI647" s="35" t="s">
        <v>9433</v>
      </c>
      <c r="AJ647" s="62" t="str">
        <f>MID('I kw.22'!W647,8,6)</f>
        <v>412001</v>
      </c>
      <c r="AK647" s="62">
        <v>1</v>
      </c>
      <c r="AL647" s="62">
        <f t="shared" si="10"/>
        <v>1</v>
      </c>
      <c r="AM647" s="62">
        <v>1</v>
      </c>
    </row>
    <row r="648" spans="1:39" x14ac:dyDescent="0.25">
      <c r="A648" s="35" t="s">
        <v>15464</v>
      </c>
      <c r="B648" s="35" t="s">
        <v>16319</v>
      </c>
      <c r="C648" s="35" t="s">
        <v>17</v>
      </c>
      <c r="D648" s="35" t="s">
        <v>16053</v>
      </c>
      <c r="E648" s="35" t="s">
        <v>217</v>
      </c>
      <c r="F648" s="62">
        <v>1</v>
      </c>
      <c r="G648" s="30" t="s">
        <v>193</v>
      </c>
      <c r="H648" s="30" t="s">
        <v>194</v>
      </c>
      <c r="I648" s="30" t="s">
        <v>16052</v>
      </c>
      <c r="J648" s="35" t="s">
        <v>210</v>
      </c>
      <c r="K648" s="35">
        <v>18</v>
      </c>
      <c r="L648" s="35" t="s">
        <v>6955</v>
      </c>
      <c r="M648" s="35"/>
      <c r="N648" s="35" t="s">
        <v>16318</v>
      </c>
      <c r="O648" s="35" t="s">
        <v>6269</v>
      </c>
      <c r="P648" s="35" t="s">
        <v>16305</v>
      </c>
      <c r="Q648" s="35" t="s">
        <v>16317</v>
      </c>
      <c r="R648" s="35" t="s">
        <v>16316</v>
      </c>
      <c r="S648" s="35">
        <v>2346896</v>
      </c>
      <c r="T648" s="35">
        <v>33715404</v>
      </c>
      <c r="U648" s="35"/>
      <c r="V648" s="30">
        <v>1863</v>
      </c>
      <c r="W648" s="35" t="s">
        <v>624</v>
      </c>
      <c r="X648" s="35" t="s">
        <v>194</v>
      </c>
      <c r="Y648" s="30">
        <v>1</v>
      </c>
      <c r="Z648" s="35"/>
      <c r="AA648" s="35"/>
      <c r="AB648" s="35"/>
      <c r="AC648" s="35"/>
      <c r="AD648" s="35"/>
      <c r="AE648" s="35"/>
      <c r="AF648" s="35"/>
      <c r="AG648" s="35"/>
      <c r="AH648" s="30" t="s">
        <v>4714</v>
      </c>
      <c r="AI648" s="35" t="s">
        <v>9433</v>
      </c>
      <c r="AJ648" s="62" t="str">
        <f>MID('I kw.22'!W648,8,6)</f>
        <v>332203</v>
      </c>
      <c r="AK648" s="62">
        <v>1</v>
      </c>
      <c r="AL648" s="62">
        <f t="shared" si="10"/>
        <v>1</v>
      </c>
      <c r="AM648" s="62">
        <v>1</v>
      </c>
    </row>
    <row r="649" spans="1:39" x14ac:dyDescent="0.25">
      <c r="A649" s="35" t="s">
        <v>581</v>
      </c>
      <c r="B649" s="35" t="s">
        <v>16315</v>
      </c>
      <c r="C649" s="35" t="s">
        <v>886</v>
      </c>
      <c r="D649" s="35" t="s">
        <v>16053</v>
      </c>
      <c r="E649" s="35" t="s">
        <v>217</v>
      </c>
      <c r="F649" s="62">
        <v>1</v>
      </c>
      <c r="G649" s="30" t="s">
        <v>193</v>
      </c>
      <c r="H649" s="30" t="s">
        <v>194</v>
      </c>
      <c r="I649" s="30" t="s">
        <v>16052</v>
      </c>
      <c r="J649" s="35" t="s">
        <v>976</v>
      </c>
      <c r="K649" s="35">
        <v>18</v>
      </c>
      <c r="L649" s="35" t="s">
        <v>6955</v>
      </c>
      <c r="M649" s="35"/>
      <c r="N649" s="35" t="s">
        <v>16314</v>
      </c>
      <c r="O649" s="35" t="s">
        <v>6269</v>
      </c>
      <c r="P649" s="35" t="s">
        <v>16305</v>
      </c>
      <c r="Q649" s="35" t="s">
        <v>16049</v>
      </c>
      <c r="R649" s="35" t="s">
        <v>16304</v>
      </c>
      <c r="S649" s="35">
        <v>2346897</v>
      </c>
      <c r="T649" s="35">
        <v>33715405</v>
      </c>
      <c r="U649" s="35"/>
      <c r="V649" s="30">
        <v>1816</v>
      </c>
      <c r="W649" s="35" t="s">
        <v>887</v>
      </c>
      <c r="X649" s="35" t="s">
        <v>194</v>
      </c>
      <c r="Y649" s="30">
        <v>1</v>
      </c>
      <c r="Z649" s="35"/>
      <c r="AA649" s="35"/>
      <c r="AB649" s="35"/>
      <c r="AC649" s="35"/>
      <c r="AD649" s="35"/>
      <c r="AE649" s="35"/>
      <c r="AF649" s="35"/>
      <c r="AG649" s="35"/>
      <c r="AH649" s="30" t="s">
        <v>4714</v>
      </c>
      <c r="AI649" s="35" t="s">
        <v>9433</v>
      </c>
      <c r="AJ649" s="62" t="str">
        <f>MID('I kw.22'!W649,8,6)</f>
        <v>834401</v>
      </c>
      <c r="AK649" s="62">
        <v>1</v>
      </c>
      <c r="AL649" s="62">
        <f t="shared" si="10"/>
        <v>1</v>
      </c>
      <c r="AM649" s="62">
        <v>1</v>
      </c>
    </row>
    <row r="650" spans="1:39" x14ac:dyDescent="0.25">
      <c r="A650" s="35" t="s">
        <v>4022</v>
      </c>
      <c r="B650" s="35" t="s">
        <v>8022</v>
      </c>
      <c r="C650" s="35" t="s">
        <v>16313</v>
      </c>
      <c r="D650" s="35" t="s">
        <v>16053</v>
      </c>
      <c r="E650" s="35" t="s">
        <v>217</v>
      </c>
      <c r="F650" s="62">
        <v>1</v>
      </c>
      <c r="G650" s="30" t="s">
        <v>193</v>
      </c>
      <c r="H650" s="30" t="s">
        <v>194</v>
      </c>
      <c r="I650" s="30" t="s">
        <v>16052</v>
      </c>
      <c r="J650" s="35" t="s">
        <v>210</v>
      </c>
      <c r="K650" s="35">
        <v>18</v>
      </c>
      <c r="L650" s="35" t="s">
        <v>6955</v>
      </c>
      <c r="M650" s="35"/>
      <c r="N650" s="35" t="s">
        <v>16312</v>
      </c>
      <c r="O650" s="35" t="s">
        <v>6290</v>
      </c>
      <c r="P650" s="35" t="s">
        <v>16305</v>
      </c>
      <c r="Q650" s="35" t="s">
        <v>16049</v>
      </c>
      <c r="R650" s="35" t="s">
        <v>16121</v>
      </c>
      <c r="S650" s="35">
        <v>2347099</v>
      </c>
      <c r="T650" s="35">
        <v>33715607</v>
      </c>
      <c r="U650" s="35"/>
      <c r="V650" s="30">
        <v>1863</v>
      </c>
      <c r="W650" s="35" t="s">
        <v>16311</v>
      </c>
      <c r="X650" s="35" t="s">
        <v>194</v>
      </c>
      <c r="Y650" s="30">
        <v>1</v>
      </c>
      <c r="Z650" s="35"/>
      <c r="AA650" s="35"/>
      <c r="AB650" s="35"/>
      <c r="AC650" s="35"/>
      <c r="AD650" s="35"/>
      <c r="AE650" s="35"/>
      <c r="AF650" s="35"/>
      <c r="AG650" s="35"/>
      <c r="AH650" s="30" t="s">
        <v>4714</v>
      </c>
      <c r="AI650" s="35" t="s">
        <v>9433</v>
      </c>
      <c r="AJ650" s="62" t="str">
        <f>MID('I kw.22'!W650,8,6)</f>
        <v>524101</v>
      </c>
      <c r="AK650" s="62">
        <v>1</v>
      </c>
      <c r="AL650" s="62">
        <f t="shared" si="10"/>
        <v>1</v>
      </c>
      <c r="AM650" s="62">
        <v>1</v>
      </c>
    </row>
    <row r="651" spans="1:39" x14ac:dyDescent="0.25">
      <c r="A651" s="35" t="s">
        <v>581</v>
      </c>
      <c r="B651" s="35" t="s">
        <v>16310</v>
      </c>
      <c r="C651" s="35" t="s">
        <v>27</v>
      </c>
      <c r="D651" s="35" t="s">
        <v>16053</v>
      </c>
      <c r="E651" s="35" t="s">
        <v>217</v>
      </c>
      <c r="F651" s="62">
        <v>1</v>
      </c>
      <c r="G651" s="30" t="s">
        <v>193</v>
      </c>
      <c r="H651" s="30" t="s">
        <v>194</v>
      </c>
      <c r="I651" s="30" t="s">
        <v>16121</v>
      </c>
      <c r="J651" s="35" t="s">
        <v>253</v>
      </c>
      <c r="K651" s="35">
        <v>18</v>
      </c>
      <c r="L651" s="35" t="s">
        <v>6955</v>
      </c>
      <c r="M651" s="35"/>
      <c r="N651" s="35" t="s">
        <v>16309</v>
      </c>
      <c r="O651" s="35" t="s">
        <v>6286</v>
      </c>
      <c r="P651" s="35" t="s">
        <v>16305</v>
      </c>
      <c r="Q651" s="35" t="s">
        <v>16308</v>
      </c>
      <c r="R651" s="35" t="s">
        <v>16307</v>
      </c>
      <c r="S651" s="35">
        <v>2347125</v>
      </c>
      <c r="T651" s="35">
        <v>33715633</v>
      </c>
      <c r="U651" s="35"/>
      <c r="V651" s="30">
        <v>1811</v>
      </c>
      <c r="W651" s="35" t="s">
        <v>440</v>
      </c>
      <c r="X651" s="35" t="s">
        <v>194</v>
      </c>
      <c r="Y651" s="30">
        <v>1</v>
      </c>
      <c r="Z651" s="35"/>
      <c r="AA651" s="35"/>
      <c r="AB651" s="35"/>
      <c r="AC651" s="35"/>
      <c r="AD651" s="35"/>
      <c r="AE651" s="35"/>
      <c r="AF651" s="35"/>
      <c r="AG651" s="35"/>
      <c r="AH651" s="30" t="s">
        <v>4714</v>
      </c>
      <c r="AI651" s="35" t="s">
        <v>9433</v>
      </c>
      <c r="AJ651" s="62" t="str">
        <f>MID('I kw.22'!W651,8,6)</f>
        <v>242307</v>
      </c>
      <c r="AK651" s="62">
        <v>1</v>
      </c>
      <c r="AL651" s="62">
        <f t="shared" si="10"/>
        <v>1</v>
      </c>
      <c r="AM651" s="62">
        <v>1</v>
      </c>
    </row>
    <row r="652" spans="1:39" x14ac:dyDescent="0.25">
      <c r="A652" s="35" t="s">
        <v>581</v>
      </c>
      <c r="B652" s="35" t="s">
        <v>3873</v>
      </c>
      <c r="C652" s="35" t="s">
        <v>62</v>
      </c>
      <c r="D652" s="35" t="s">
        <v>16053</v>
      </c>
      <c r="E652" s="35" t="s">
        <v>217</v>
      </c>
      <c r="F652" s="62">
        <v>1</v>
      </c>
      <c r="G652" s="30" t="s">
        <v>193</v>
      </c>
      <c r="H652" s="30" t="s">
        <v>194</v>
      </c>
      <c r="I652" s="30" t="s">
        <v>16083</v>
      </c>
      <c r="J652" s="35" t="s">
        <v>976</v>
      </c>
      <c r="K652" s="35">
        <v>18</v>
      </c>
      <c r="L652" s="35" t="s">
        <v>6955</v>
      </c>
      <c r="M652" s="35"/>
      <c r="N652" s="35" t="s">
        <v>16306</v>
      </c>
      <c r="O652" s="35" t="s">
        <v>6275</v>
      </c>
      <c r="P652" s="35" t="s">
        <v>16305</v>
      </c>
      <c r="Q652" s="35" t="s">
        <v>16049</v>
      </c>
      <c r="R652" s="35" t="s">
        <v>16304</v>
      </c>
      <c r="S652" s="35">
        <v>2347161</v>
      </c>
      <c r="T652" s="35">
        <v>33715669</v>
      </c>
      <c r="U652" s="35"/>
      <c r="V652" s="30">
        <v>1816</v>
      </c>
      <c r="W652" s="35" t="s">
        <v>601</v>
      </c>
      <c r="X652" s="35" t="s">
        <v>194</v>
      </c>
      <c r="Y652" s="30">
        <v>1</v>
      </c>
      <c r="Z652" s="35"/>
      <c r="AA652" s="35"/>
      <c r="AB652" s="35"/>
      <c r="AC652" s="35"/>
      <c r="AD652" s="35"/>
      <c r="AE652" s="35"/>
      <c r="AF652" s="35"/>
      <c r="AG652" s="35"/>
      <c r="AH652" s="30" t="s">
        <v>4714</v>
      </c>
      <c r="AI652" s="35" t="s">
        <v>9433</v>
      </c>
      <c r="AJ652" s="62" t="str">
        <f>MID('I kw.22'!W652,8,6)</f>
        <v>313904</v>
      </c>
      <c r="AK652" s="62">
        <v>1</v>
      </c>
      <c r="AL652" s="62">
        <f t="shared" si="10"/>
        <v>1</v>
      </c>
      <c r="AM652" s="62">
        <v>1</v>
      </c>
    </row>
    <row r="653" spans="1:39" x14ac:dyDescent="0.25">
      <c r="A653" s="35" t="s">
        <v>1748</v>
      </c>
      <c r="B653" s="35" t="s">
        <v>16302</v>
      </c>
      <c r="C653" s="35" t="s">
        <v>1384</v>
      </c>
      <c r="D653" s="35" t="s">
        <v>16053</v>
      </c>
      <c r="E653" s="35" t="s">
        <v>192</v>
      </c>
      <c r="F653" s="62">
        <v>1</v>
      </c>
      <c r="G653" s="30" t="s">
        <v>193</v>
      </c>
      <c r="H653" s="30" t="s">
        <v>194</v>
      </c>
      <c r="I653" s="30" t="s">
        <v>16078</v>
      </c>
      <c r="J653" s="35" t="s">
        <v>9302</v>
      </c>
      <c r="K653" s="35">
        <v>18</v>
      </c>
      <c r="L653" s="35" t="s">
        <v>6955</v>
      </c>
      <c r="M653" s="35"/>
      <c r="N653" s="35" t="s">
        <v>16303</v>
      </c>
      <c r="O653" s="35" t="s">
        <v>6340</v>
      </c>
      <c r="P653" s="35" t="s">
        <v>16050</v>
      </c>
      <c r="Q653" s="35" t="s">
        <v>16049</v>
      </c>
      <c r="R653" s="35" t="s">
        <v>16066</v>
      </c>
      <c r="S653" s="35">
        <v>2347213</v>
      </c>
      <c r="T653" s="35">
        <v>33715813</v>
      </c>
      <c r="U653" s="35"/>
      <c r="V653" s="30"/>
      <c r="W653" s="505" t="s">
        <v>1385</v>
      </c>
      <c r="X653" s="35" t="s">
        <v>193</v>
      </c>
      <c r="Y653" s="30">
        <v>25</v>
      </c>
      <c r="Z653" s="35"/>
      <c r="AA653" s="35"/>
      <c r="AB653" s="35"/>
      <c r="AC653" s="35"/>
      <c r="AD653" s="35"/>
      <c r="AE653" s="35"/>
      <c r="AF653" s="35"/>
      <c r="AG653" s="35"/>
      <c r="AH653" s="30" t="s">
        <v>4714</v>
      </c>
      <c r="AI653" s="35" t="s">
        <v>16302</v>
      </c>
      <c r="AJ653" s="62" t="str">
        <f>MID('I kw.22'!W653,8,6)</f>
        <v>235915</v>
      </c>
      <c r="AK653" s="62">
        <v>1</v>
      </c>
      <c r="AL653" s="62">
        <f t="shared" si="10"/>
        <v>1</v>
      </c>
      <c r="AM653" s="62">
        <v>1</v>
      </c>
    </row>
    <row r="654" spans="1:39" x14ac:dyDescent="0.25">
      <c r="A654" s="35" t="s">
        <v>16301</v>
      </c>
      <c r="B654" s="35" t="s">
        <v>16299</v>
      </c>
      <c r="C654" s="35" t="s">
        <v>3219</v>
      </c>
      <c r="D654" s="35" t="s">
        <v>16053</v>
      </c>
      <c r="E654" s="35" t="s">
        <v>192</v>
      </c>
      <c r="F654" s="62">
        <v>1</v>
      </c>
      <c r="G654" s="30" t="s">
        <v>193</v>
      </c>
      <c r="H654" s="30" t="s">
        <v>194</v>
      </c>
      <c r="I654" s="30" t="s">
        <v>16048</v>
      </c>
      <c r="J654" s="35" t="s">
        <v>9302</v>
      </c>
      <c r="K654" s="35">
        <v>18</v>
      </c>
      <c r="L654" s="35" t="s">
        <v>6955</v>
      </c>
      <c r="M654" s="35"/>
      <c r="N654" s="35" t="s">
        <v>16300</v>
      </c>
      <c r="O654" s="35" t="s">
        <v>6261</v>
      </c>
      <c r="P654" s="35" t="s">
        <v>16050</v>
      </c>
      <c r="Q654" s="35" t="s">
        <v>16049</v>
      </c>
      <c r="R654" s="35" t="s">
        <v>16066</v>
      </c>
      <c r="S654" s="35">
        <v>2347225</v>
      </c>
      <c r="T654" s="35">
        <v>33715825</v>
      </c>
      <c r="U654" s="35"/>
      <c r="V654" s="30"/>
      <c r="W654" s="505" t="s">
        <v>3620</v>
      </c>
      <c r="X654" s="35" t="s">
        <v>193</v>
      </c>
      <c r="Y654" s="30">
        <v>25</v>
      </c>
      <c r="Z654" s="35"/>
      <c r="AA654" s="35"/>
      <c r="AB654" s="35"/>
      <c r="AC654" s="35"/>
      <c r="AD654" s="35"/>
      <c r="AE654" s="35"/>
      <c r="AF654" s="35"/>
      <c r="AG654" s="35"/>
      <c r="AH654" s="30" t="s">
        <v>4714</v>
      </c>
      <c r="AI654" s="35" t="s">
        <v>16299</v>
      </c>
      <c r="AJ654" s="62" t="str">
        <f>MID('I kw.22'!W654,8,6)</f>
        <v>243109</v>
      </c>
      <c r="AK654" s="62">
        <v>1</v>
      </c>
      <c r="AL654" s="62">
        <f t="shared" si="10"/>
        <v>1</v>
      </c>
      <c r="AM654" s="62">
        <v>1</v>
      </c>
    </row>
    <row r="655" spans="1:39" x14ac:dyDescent="0.25">
      <c r="A655" s="35" t="s">
        <v>16298</v>
      </c>
      <c r="B655" s="35" t="s">
        <v>16296</v>
      </c>
      <c r="C655" s="35" t="s">
        <v>1435</v>
      </c>
      <c r="D655" s="35" t="s">
        <v>16053</v>
      </c>
      <c r="E655" s="35" t="s">
        <v>192</v>
      </c>
      <c r="F655" s="62">
        <v>1</v>
      </c>
      <c r="G655" s="30" t="s">
        <v>193</v>
      </c>
      <c r="H655" s="30" t="s">
        <v>194</v>
      </c>
      <c r="I655" s="30" t="s">
        <v>16068</v>
      </c>
      <c r="J655" s="35" t="s">
        <v>9302</v>
      </c>
      <c r="K655" s="35">
        <v>18</v>
      </c>
      <c r="L655" s="35" t="s">
        <v>6955</v>
      </c>
      <c r="M655" s="35"/>
      <c r="N655" s="35" t="s">
        <v>16297</v>
      </c>
      <c r="O655" s="35" t="s">
        <v>6245</v>
      </c>
      <c r="P655" s="35" t="s">
        <v>16050</v>
      </c>
      <c r="Q655" s="35" t="s">
        <v>16049</v>
      </c>
      <c r="R655" s="35" t="s">
        <v>16066</v>
      </c>
      <c r="S655" s="35">
        <v>2347241</v>
      </c>
      <c r="T655" s="35">
        <v>33715841</v>
      </c>
      <c r="U655" s="35"/>
      <c r="V655" s="30"/>
      <c r="W655" s="505" t="s">
        <v>1436</v>
      </c>
      <c r="X655" s="35" t="s">
        <v>193</v>
      </c>
      <c r="Y655" s="30">
        <v>25</v>
      </c>
      <c r="Z655" s="35"/>
      <c r="AA655" s="35"/>
      <c r="AB655" s="35"/>
      <c r="AC655" s="35"/>
      <c r="AD655" s="35"/>
      <c r="AE655" s="35"/>
      <c r="AF655" s="35"/>
      <c r="AG655" s="35"/>
      <c r="AH655" s="30" t="s">
        <v>4714</v>
      </c>
      <c r="AI655" s="35" t="s">
        <v>16296</v>
      </c>
      <c r="AJ655" s="62" t="str">
        <f>MID('I kw.22'!W655,8,6)</f>
        <v>216304</v>
      </c>
      <c r="AK655" s="62">
        <v>1</v>
      </c>
      <c r="AL655" s="62">
        <f t="shared" si="10"/>
        <v>1</v>
      </c>
      <c r="AM655" s="62">
        <v>1</v>
      </c>
    </row>
    <row r="656" spans="1:39" x14ac:dyDescent="0.25">
      <c r="A656" s="35" t="s">
        <v>4969</v>
      </c>
      <c r="B656" s="35" t="s">
        <v>16294</v>
      </c>
      <c r="C656" s="35" t="s">
        <v>10</v>
      </c>
      <c r="D656" s="35" t="s">
        <v>16053</v>
      </c>
      <c r="E656" s="35" t="s">
        <v>192</v>
      </c>
      <c r="F656" s="62">
        <v>1</v>
      </c>
      <c r="G656" s="30" t="s">
        <v>193</v>
      </c>
      <c r="H656" s="30" t="s">
        <v>194</v>
      </c>
      <c r="I656" s="30" t="s">
        <v>16052</v>
      </c>
      <c r="J656" s="35" t="s">
        <v>9302</v>
      </c>
      <c r="K656" s="35">
        <v>18</v>
      </c>
      <c r="L656" s="35" t="s">
        <v>6955</v>
      </c>
      <c r="M656" s="35"/>
      <c r="N656" s="35" t="s">
        <v>16295</v>
      </c>
      <c r="O656" s="35" t="s">
        <v>6261</v>
      </c>
      <c r="P656" s="35" t="s">
        <v>16050</v>
      </c>
      <c r="Q656" s="35" t="s">
        <v>16049</v>
      </c>
      <c r="R656" s="35" t="s">
        <v>16066</v>
      </c>
      <c r="S656" s="35">
        <v>2347257</v>
      </c>
      <c r="T656" s="35">
        <v>33715857</v>
      </c>
      <c r="U656" s="35"/>
      <c r="V656" s="30"/>
      <c r="W656" s="505" t="s">
        <v>484</v>
      </c>
      <c r="X656" s="35" t="s">
        <v>193</v>
      </c>
      <c r="Y656" s="30">
        <v>25</v>
      </c>
      <c r="Z656" s="35"/>
      <c r="AA656" s="35"/>
      <c r="AB656" s="35"/>
      <c r="AC656" s="35"/>
      <c r="AD656" s="35"/>
      <c r="AE656" s="35"/>
      <c r="AF656" s="35"/>
      <c r="AG656" s="35"/>
      <c r="AH656" s="30" t="s">
        <v>4714</v>
      </c>
      <c r="AI656" s="35" t="s">
        <v>16294</v>
      </c>
      <c r="AJ656" s="62" t="str">
        <f>MID('I kw.22'!W656,8,6)</f>
        <v>251401</v>
      </c>
      <c r="AK656" s="62">
        <v>1</v>
      </c>
      <c r="AL656" s="62">
        <f t="shared" si="10"/>
        <v>1</v>
      </c>
      <c r="AM656" s="62">
        <v>1</v>
      </c>
    </row>
    <row r="657" spans="1:39" x14ac:dyDescent="0.25">
      <c r="A657" s="35" t="s">
        <v>4969</v>
      </c>
      <c r="B657" s="35" t="s">
        <v>5826</v>
      </c>
      <c r="C657" s="35" t="s">
        <v>1766</v>
      </c>
      <c r="D657" s="35" t="s">
        <v>16053</v>
      </c>
      <c r="E657" s="35" t="s">
        <v>192</v>
      </c>
      <c r="F657" s="62">
        <v>1</v>
      </c>
      <c r="G657" s="30" t="s">
        <v>193</v>
      </c>
      <c r="H657" s="30" t="s">
        <v>194</v>
      </c>
      <c r="I657" s="30" t="s">
        <v>16183</v>
      </c>
      <c r="J657" s="35" t="s">
        <v>9302</v>
      </c>
      <c r="K657" s="35">
        <v>18</v>
      </c>
      <c r="L657" s="35" t="s">
        <v>6955</v>
      </c>
      <c r="M657" s="35"/>
      <c r="N657" s="35" t="s">
        <v>16293</v>
      </c>
      <c r="O657" s="35" t="s">
        <v>6261</v>
      </c>
      <c r="P657" s="35" t="s">
        <v>16050</v>
      </c>
      <c r="Q657" s="35" t="s">
        <v>16049</v>
      </c>
      <c r="R657" s="35" t="s">
        <v>16066</v>
      </c>
      <c r="S657" s="35">
        <v>2347272</v>
      </c>
      <c r="T657" s="35">
        <v>33715872</v>
      </c>
      <c r="U657" s="35"/>
      <c r="V657" s="30"/>
      <c r="W657" s="505" t="s">
        <v>1767</v>
      </c>
      <c r="X657" s="35" t="s">
        <v>193</v>
      </c>
      <c r="Y657" s="30">
        <v>25</v>
      </c>
      <c r="Z657" s="35"/>
      <c r="AA657" s="35"/>
      <c r="AB657" s="35"/>
      <c r="AC657" s="35"/>
      <c r="AD657" s="35"/>
      <c r="AE657" s="35"/>
      <c r="AF657" s="35"/>
      <c r="AG657" s="35"/>
      <c r="AH657" s="30" t="s">
        <v>4714</v>
      </c>
      <c r="AI657" s="35" t="s">
        <v>5826</v>
      </c>
      <c r="AJ657" s="62" t="str">
        <f>MID('I kw.22'!W657,8,6)</f>
        <v>242112</v>
      </c>
      <c r="AK657" s="62">
        <v>1</v>
      </c>
      <c r="AL657" s="62">
        <f t="shared" si="10"/>
        <v>1</v>
      </c>
      <c r="AM657" s="62">
        <v>1</v>
      </c>
    </row>
    <row r="658" spans="1:39" x14ac:dyDescent="0.25">
      <c r="A658" s="35" t="s">
        <v>4969</v>
      </c>
      <c r="B658" s="35" t="s">
        <v>16291</v>
      </c>
      <c r="C658" s="35" t="s">
        <v>1766</v>
      </c>
      <c r="D658" s="35" t="s">
        <v>16053</v>
      </c>
      <c r="E658" s="35" t="s">
        <v>192</v>
      </c>
      <c r="F658" s="62">
        <v>1</v>
      </c>
      <c r="G658" s="30" t="s">
        <v>193</v>
      </c>
      <c r="H658" s="30" t="s">
        <v>194</v>
      </c>
      <c r="I658" s="30" t="s">
        <v>16048</v>
      </c>
      <c r="J658" s="35" t="s">
        <v>9302</v>
      </c>
      <c r="K658" s="35">
        <v>18</v>
      </c>
      <c r="L658" s="35" t="s">
        <v>6955</v>
      </c>
      <c r="M658" s="35"/>
      <c r="N658" s="35" t="s">
        <v>16292</v>
      </c>
      <c r="O658" s="35" t="s">
        <v>6261</v>
      </c>
      <c r="P658" s="35" t="s">
        <v>16050</v>
      </c>
      <c r="Q658" s="35" t="s">
        <v>16049</v>
      </c>
      <c r="R658" s="35" t="s">
        <v>16066</v>
      </c>
      <c r="S658" s="35">
        <v>2347287</v>
      </c>
      <c r="T658" s="35">
        <v>33715887</v>
      </c>
      <c r="U658" s="35"/>
      <c r="V658" s="30"/>
      <c r="W658" s="505" t="s">
        <v>1767</v>
      </c>
      <c r="X658" s="35" t="s">
        <v>193</v>
      </c>
      <c r="Y658" s="30">
        <v>25</v>
      </c>
      <c r="Z658" s="35"/>
      <c r="AA658" s="35"/>
      <c r="AB658" s="35"/>
      <c r="AC658" s="35"/>
      <c r="AD658" s="35"/>
      <c r="AE658" s="35"/>
      <c r="AF658" s="35"/>
      <c r="AG658" s="35"/>
      <c r="AH658" s="30" t="s">
        <v>4714</v>
      </c>
      <c r="AI658" s="35" t="s">
        <v>16291</v>
      </c>
      <c r="AJ658" s="62" t="str">
        <f>MID('I kw.22'!W658,8,6)</f>
        <v>242112</v>
      </c>
      <c r="AK658" s="62">
        <v>1</v>
      </c>
      <c r="AL658" s="62">
        <f t="shared" si="10"/>
        <v>1</v>
      </c>
      <c r="AM658" s="62">
        <v>1</v>
      </c>
    </row>
    <row r="659" spans="1:39" x14ac:dyDescent="0.25">
      <c r="A659" s="35" t="s">
        <v>4969</v>
      </c>
      <c r="B659" s="35" t="s">
        <v>2849</v>
      </c>
      <c r="C659" s="35" t="s">
        <v>10</v>
      </c>
      <c r="D659" s="35" t="s">
        <v>16053</v>
      </c>
      <c r="E659" s="35" t="s">
        <v>192</v>
      </c>
      <c r="F659" s="62">
        <v>1</v>
      </c>
      <c r="G659" s="30" t="s">
        <v>193</v>
      </c>
      <c r="H659" s="30" t="s">
        <v>194</v>
      </c>
      <c r="I659" s="30" t="s">
        <v>16083</v>
      </c>
      <c r="J659" s="35" t="s">
        <v>9302</v>
      </c>
      <c r="K659" s="35">
        <v>18</v>
      </c>
      <c r="L659" s="35" t="s">
        <v>6955</v>
      </c>
      <c r="M659" s="35"/>
      <c r="N659" s="35" t="s">
        <v>16290</v>
      </c>
      <c r="O659" s="35" t="s">
        <v>6921</v>
      </c>
      <c r="P659" s="35" t="s">
        <v>16050</v>
      </c>
      <c r="Q659" s="35" t="s">
        <v>16049</v>
      </c>
      <c r="R659" s="35" t="s">
        <v>16066</v>
      </c>
      <c r="S659" s="35">
        <v>2347302</v>
      </c>
      <c r="T659" s="35">
        <v>33715902</v>
      </c>
      <c r="U659" s="35"/>
      <c r="V659" s="30"/>
      <c r="W659" s="505" t="s">
        <v>484</v>
      </c>
      <c r="X659" s="35" t="s">
        <v>193</v>
      </c>
      <c r="Y659" s="30">
        <v>25</v>
      </c>
      <c r="Z659" s="35"/>
      <c r="AA659" s="35"/>
      <c r="AB659" s="35"/>
      <c r="AC659" s="35"/>
      <c r="AD659" s="35"/>
      <c r="AE659" s="35"/>
      <c r="AF659" s="35"/>
      <c r="AG659" s="35"/>
      <c r="AH659" s="30" t="s">
        <v>4714</v>
      </c>
      <c r="AI659" s="35" t="s">
        <v>2849</v>
      </c>
      <c r="AJ659" s="62" t="str">
        <f>MID('I kw.22'!W659,8,6)</f>
        <v>251401</v>
      </c>
      <c r="AK659" s="62">
        <v>1</v>
      </c>
      <c r="AL659" s="62">
        <f t="shared" si="10"/>
        <v>1</v>
      </c>
      <c r="AM659" s="62">
        <v>1</v>
      </c>
    </row>
    <row r="660" spans="1:39" x14ac:dyDescent="0.25">
      <c r="A660" s="35" t="s">
        <v>4969</v>
      </c>
      <c r="B660" s="35" t="s">
        <v>9523</v>
      </c>
      <c r="C660" s="35" t="s">
        <v>1408</v>
      </c>
      <c r="D660" s="35" t="s">
        <v>16053</v>
      </c>
      <c r="E660" s="35" t="s">
        <v>192</v>
      </c>
      <c r="F660" s="62">
        <v>1</v>
      </c>
      <c r="G660" s="30" t="s">
        <v>193</v>
      </c>
      <c r="H660" s="30" t="s">
        <v>194</v>
      </c>
      <c r="I660" s="30" t="s">
        <v>16073</v>
      </c>
      <c r="J660" s="35" t="s">
        <v>9302</v>
      </c>
      <c r="K660" s="35">
        <v>18</v>
      </c>
      <c r="L660" s="35" t="s">
        <v>6955</v>
      </c>
      <c r="M660" s="35"/>
      <c r="N660" s="35" t="s">
        <v>16289</v>
      </c>
      <c r="O660" s="35" t="s">
        <v>6261</v>
      </c>
      <c r="P660" s="35" t="s">
        <v>16050</v>
      </c>
      <c r="Q660" s="35" t="s">
        <v>16049</v>
      </c>
      <c r="R660" s="35" t="s">
        <v>16066</v>
      </c>
      <c r="S660" s="35">
        <v>2347317</v>
      </c>
      <c r="T660" s="35">
        <v>33715917</v>
      </c>
      <c r="U660" s="35"/>
      <c r="V660" s="30"/>
      <c r="W660" s="505" t="s">
        <v>1409</v>
      </c>
      <c r="X660" s="35" t="s">
        <v>193</v>
      </c>
      <c r="Y660" s="30">
        <v>25</v>
      </c>
      <c r="Z660" s="35"/>
      <c r="AA660" s="35"/>
      <c r="AB660" s="35"/>
      <c r="AC660" s="35"/>
      <c r="AD660" s="35"/>
      <c r="AE660" s="35"/>
      <c r="AF660" s="35"/>
      <c r="AG660" s="35"/>
      <c r="AH660" s="30" t="s">
        <v>4714</v>
      </c>
      <c r="AI660" s="35" t="s">
        <v>9523</v>
      </c>
      <c r="AJ660" s="62" t="str">
        <f>MID('I kw.22'!W660,8,6)</f>
        <v>251402</v>
      </c>
      <c r="AK660" s="62">
        <v>1</v>
      </c>
      <c r="AL660" s="496">
        <f t="shared" si="10"/>
        <v>1</v>
      </c>
      <c r="AM660" s="62">
        <v>1</v>
      </c>
    </row>
    <row r="661" spans="1:39" x14ac:dyDescent="0.25">
      <c r="A661" s="35" t="s">
        <v>4969</v>
      </c>
      <c r="B661" s="35" t="s">
        <v>16287</v>
      </c>
      <c r="C661" s="35" t="s">
        <v>10</v>
      </c>
      <c r="D661" s="35" t="s">
        <v>16053</v>
      </c>
      <c r="E661" s="35" t="s">
        <v>192</v>
      </c>
      <c r="F661" s="62">
        <v>1</v>
      </c>
      <c r="G661" s="30" t="s">
        <v>193</v>
      </c>
      <c r="H661" s="30" t="s">
        <v>194</v>
      </c>
      <c r="I661" s="30" t="s">
        <v>16073</v>
      </c>
      <c r="J661" s="35" t="s">
        <v>9302</v>
      </c>
      <c r="K661" s="35">
        <v>18</v>
      </c>
      <c r="L661" s="35" t="s">
        <v>6955</v>
      </c>
      <c r="M661" s="35"/>
      <c r="N661" s="35" t="s">
        <v>16288</v>
      </c>
      <c r="O661" s="35" t="s">
        <v>6921</v>
      </c>
      <c r="P661" s="35" t="s">
        <v>16050</v>
      </c>
      <c r="Q661" s="35" t="s">
        <v>16049</v>
      </c>
      <c r="R661" s="35" t="s">
        <v>16066</v>
      </c>
      <c r="S661" s="35">
        <v>2347333</v>
      </c>
      <c r="T661" s="35">
        <v>33715933</v>
      </c>
      <c r="U661" s="35"/>
      <c r="V661" s="30"/>
      <c r="W661" s="505" t="s">
        <v>484</v>
      </c>
      <c r="X661" s="35" t="s">
        <v>193</v>
      </c>
      <c r="Y661" s="30">
        <v>25</v>
      </c>
      <c r="Z661" s="35"/>
      <c r="AA661" s="35"/>
      <c r="AB661" s="35"/>
      <c r="AC661" s="35"/>
      <c r="AD661" s="35"/>
      <c r="AE661" s="35"/>
      <c r="AF661" s="35"/>
      <c r="AG661" s="35"/>
      <c r="AH661" s="30" t="s">
        <v>4714</v>
      </c>
      <c r="AI661" s="35" t="s">
        <v>16287</v>
      </c>
      <c r="AJ661" s="62" t="str">
        <f>MID('I kw.22'!W661,8,6)</f>
        <v>251401</v>
      </c>
      <c r="AK661" s="62">
        <v>1</v>
      </c>
      <c r="AL661" s="62">
        <f t="shared" si="10"/>
        <v>1</v>
      </c>
      <c r="AM661" s="62">
        <v>1</v>
      </c>
    </row>
    <row r="662" spans="1:39" x14ac:dyDescent="0.25">
      <c r="A662" s="35" t="s">
        <v>4969</v>
      </c>
      <c r="B662" s="35" t="s">
        <v>9523</v>
      </c>
      <c r="C662" s="35" t="s">
        <v>1408</v>
      </c>
      <c r="D662" s="35" t="s">
        <v>16053</v>
      </c>
      <c r="E662" s="35" t="s">
        <v>192</v>
      </c>
      <c r="F662" s="62">
        <v>1</v>
      </c>
      <c r="G662" s="30" t="s">
        <v>193</v>
      </c>
      <c r="H662" s="30" t="s">
        <v>194</v>
      </c>
      <c r="I662" s="30" t="s">
        <v>16073</v>
      </c>
      <c r="J662" s="35" t="s">
        <v>9302</v>
      </c>
      <c r="K662" s="35">
        <v>18</v>
      </c>
      <c r="L662" s="35" t="s">
        <v>6955</v>
      </c>
      <c r="M662" s="35"/>
      <c r="N662" s="35" t="s">
        <v>16286</v>
      </c>
      <c r="O662" s="35" t="s">
        <v>6261</v>
      </c>
      <c r="P662" s="35" t="s">
        <v>16050</v>
      </c>
      <c r="Q662" s="35" t="s">
        <v>16049</v>
      </c>
      <c r="R662" s="35" t="s">
        <v>16066</v>
      </c>
      <c r="S662" s="35">
        <v>2347349</v>
      </c>
      <c r="T662" s="35">
        <v>33715949</v>
      </c>
      <c r="U662" s="35"/>
      <c r="V662" s="30"/>
      <c r="W662" s="505" t="s">
        <v>1409</v>
      </c>
      <c r="X662" s="35" t="s">
        <v>193</v>
      </c>
      <c r="Y662" s="30">
        <v>25</v>
      </c>
      <c r="Z662" s="35"/>
      <c r="AA662" s="35"/>
      <c r="AB662" s="35"/>
      <c r="AC662" s="35"/>
      <c r="AD662" s="35"/>
      <c r="AE662" s="35"/>
      <c r="AF662" s="35"/>
      <c r="AG662" s="35"/>
      <c r="AH662" s="30" t="s">
        <v>4714</v>
      </c>
      <c r="AI662" s="35" t="s">
        <v>9523</v>
      </c>
      <c r="AJ662" s="62" t="str">
        <f>MID('I kw.22'!W662,8,6)</f>
        <v>251402</v>
      </c>
      <c r="AK662" s="62">
        <v>1</v>
      </c>
      <c r="AL662" s="62">
        <f t="shared" si="10"/>
        <v>1</v>
      </c>
      <c r="AM662" s="62">
        <v>1</v>
      </c>
    </row>
    <row r="663" spans="1:39" x14ac:dyDescent="0.25">
      <c r="A663" s="35" t="s">
        <v>16285</v>
      </c>
      <c r="B663" s="35" t="s">
        <v>1549</v>
      </c>
      <c r="C663" s="35" t="s">
        <v>17</v>
      </c>
      <c r="D663" s="35" t="s">
        <v>16053</v>
      </c>
      <c r="E663" s="35" t="s">
        <v>192</v>
      </c>
      <c r="F663" s="62">
        <v>1</v>
      </c>
      <c r="G663" s="30" t="s">
        <v>193</v>
      </c>
      <c r="H663" s="30" t="s">
        <v>194</v>
      </c>
      <c r="I663" s="30" t="s">
        <v>16052</v>
      </c>
      <c r="J663" s="35" t="s">
        <v>9302</v>
      </c>
      <c r="K663" s="35">
        <v>18</v>
      </c>
      <c r="L663" s="35" t="s">
        <v>6955</v>
      </c>
      <c r="M663" s="35"/>
      <c r="N663" s="35" t="s">
        <v>16284</v>
      </c>
      <c r="O663" s="35" t="s">
        <v>6245</v>
      </c>
      <c r="P663" s="35" t="s">
        <v>16050</v>
      </c>
      <c r="Q663" s="35" t="s">
        <v>16049</v>
      </c>
      <c r="R663" s="35" t="s">
        <v>16066</v>
      </c>
      <c r="S663" s="35">
        <v>2347357</v>
      </c>
      <c r="T663" s="35">
        <v>33715957</v>
      </c>
      <c r="U663" s="35"/>
      <c r="V663" s="30"/>
      <c r="W663" s="505" t="s">
        <v>624</v>
      </c>
      <c r="X663" s="35" t="s">
        <v>193</v>
      </c>
      <c r="Y663" s="30">
        <v>25</v>
      </c>
      <c r="Z663" s="35"/>
      <c r="AA663" s="35"/>
      <c r="AB663" s="35"/>
      <c r="AC663" s="35"/>
      <c r="AD663" s="35"/>
      <c r="AE663" s="35"/>
      <c r="AF663" s="35"/>
      <c r="AG663" s="35"/>
      <c r="AH663" s="30" t="s">
        <v>4714</v>
      </c>
      <c r="AI663" s="35" t="s">
        <v>1549</v>
      </c>
      <c r="AJ663" s="62" t="str">
        <f>MID('I kw.22'!W663,8,6)</f>
        <v>332203</v>
      </c>
      <c r="AK663" s="62">
        <v>1</v>
      </c>
      <c r="AL663" s="62">
        <f t="shared" si="10"/>
        <v>1</v>
      </c>
      <c r="AM663" s="62">
        <v>1</v>
      </c>
    </row>
    <row r="664" spans="1:39" x14ac:dyDescent="0.25">
      <c r="A664" s="35" t="s">
        <v>12758</v>
      </c>
      <c r="B664" s="35" t="s">
        <v>16282</v>
      </c>
      <c r="C664" s="35" t="s">
        <v>10</v>
      </c>
      <c r="D664" s="35" t="s">
        <v>16053</v>
      </c>
      <c r="E664" s="35" t="s">
        <v>192</v>
      </c>
      <c r="F664" s="62">
        <v>1</v>
      </c>
      <c r="G664" s="30" t="s">
        <v>193</v>
      </c>
      <c r="H664" s="30" t="s">
        <v>194</v>
      </c>
      <c r="I664" s="30" t="s">
        <v>16073</v>
      </c>
      <c r="J664" s="35" t="s">
        <v>9302</v>
      </c>
      <c r="K664" s="35">
        <v>18</v>
      </c>
      <c r="L664" s="35" t="s">
        <v>6955</v>
      </c>
      <c r="M664" s="35"/>
      <c r="N664" s="35" t="s">
        <v>16283</v>
      </c>
      <c r="O664" s="35" t="s">
        <v>6295</v>
      </c>
      <c r="P664" s="35" t="s">
        <v>16050</v>
      </c>
      <c r="Q664" s="35" t="s">
        <v>16049</v>
      </c>
      <c r="R664" s="35" t="s">
        <v>16066</v>
      </c>
      <c r="S664" s="35">
        <v>2347377</v>
      </c>
      <c r="T664" s="35">
        <v>33715977</v>
      </c>
      <c r="U664" s="35"/>
      <c r="V664" s="30"/>
      <c r="W664" s="505" t="s">
        <v>484</v>
      </c>
      <c r="X664" s="35" t="s">
        <v>193</v>
      </c>
      <c r="Y664" s="30">
        <v>25</v>
      </c>
      <c r="Z664" s="35"/>
      <c r="AA664" s="35"/>
      <c r="AB664" s="35"/>
      <c r="AC664" s="35"/>
      <c r="AD664" s="35"/>
      <c r="AE664" s="35"/>
      <c r="AF664" s="35"/>
      <c r="AG664" s="35"/>
      <c r="AH664" s="30" t="s">
        <v>4714</v>
      </c>
      <c r="AI664" s="35" t="s">
        <v>16282</v>
      </c>
      <c r="AJ664" s="62" t="str">
        <f>MID('I kw.22'!W664,8,6)</f>
        <v>251401</v>
      </c>
      <c r="AK664" s="62">
        <v>1</v>
      </c>
      <c r="AL664" s="62">
        <f t="shared" si="10"/>
        <v>1</v>
      </c>
      <c r="AM664" s="62">
        <v>1</v>
      </c>
    </row>
    <row r="665" spans="1:39" x14ac:dyDescent="0.25">
      <c r="A665" s="35" t="s">
        <v>9346</v>
      </c>
      <c r="B665" s="35" t="s">
        <v>16279</v>
      </c>
      <c r="C665" s="35" t="s">
        <v>16281</v>
      </c>
      <c r="D665" s="35" t="s">
        <v>16053</v>
      </c>
      <c r="E665" s="35" t="s">
        <v>192</v>
      </c>
      <c r="F665" s="62">
        <v>1</v>
      </c>
      <c r="G665" s="30" t="s">
        <v>193</v>
      </c>
      <c r="H665" s="30" t="s">
        <v>194</v>
      </c>
      <c r="I665" s="30" t="s">
        <v>16061</v>
      </c>
      <c r="J665" s="35" t="s">
        <v>9302</v>
      </c>
      <c r="K665" s="35">
        <v>18</v>
      </c>
      <c r="L665" s="35" t="s">
        <v>6955</v>
      </c>
      <c r="M665" s="35"/>
      <c r="N665" s="35" t="s">
        <v>16280</v>
      </c>
      <c r="O665" s="35" t="s">
        <v>6921</v>
      </c>
      <c r="P665" s="35" t="s">
        <v>16050</v>
      </c>
      <c r="Q665" s="35" t="s">
        <v>16049</v>
      </c>
      <c r="R665" s="35" t="s">
        <v>16066</v>
      </c>
      <c r="S665" s="35">
        <v>2347402</v>
      </c>
      <c r="T665" s="35">
        <v>33716002</v>
      </c>
      <c r="U665" s="35"/>
      <c r="V665" s="30"/>
      <c r="W665" s="505" t="s">
        <v>9002</v>
      </c>
      <c r="X665" s="35" t="s">
        <v>193</v>
      </c>
      <c r="Y665" s="30">
        <v>25</v>
      </c>
      <c r="Z665" s="35"/>
      <c r="AA665" s="35"/>
      <c r="AB665" s="35"/>
      <c r="AC665" s="35"/>
      <c r="AD665" s="35"/>
      <c r="AE665" s="35"/>
      <c r="AF665" s="35"/>
      <c r="AG665" s="35"/>
      <c r="AH665" s="30" t="s">
        <v>4714</v>
      </c>
      <c r="AI665" s="35" t="s">
        <v>16279</v>
      </c>
      <c r="AJ665" s="62" t="str">
        <f>MID('I kw.22'!W665,8,6)</f>
        <v>252902</v>
      </c>
      <c r="AK665" s="62">
        <v>1</v>
      </c>
      <c r="AL665" s="62">
        <f t="shared" si="10"/>
        <v>1</v>
      </c>
      <c r="AM665" s="62">
        <v>1</v>
      </c>
    </row>
    <row r="666" spans="1:39" x14ac:dyDescent="0.25">
      <c r="A666" s="35" t="s">
        <v>16278</v>
      </c>
      <c r="B666" s="35" t="s">
        <v>16276</v>
      </c>
      <c r="C666" s="35" t="s">
        <v>420</v>
      </c>
      <c r="D666" s="35" t="s">
        <v>16053</v>
      </c>
      <c r="E666" s="35" t="s">
        <v>192</v>
      </c>
      <c r="F666" s="62">
        <v>1</v>
      </c>
      <c r="G666" s="30" t="s">
        <v>193</v>
      </c>
      <c r="H666" s="30" t="s">
        <v>194</v>
      </c>
      <c r="I666" s="30" t="s">
        <v>16048</v>
      </c>
      <c r="J666" s="35" t="s">
        <v>9302</v>
      </c>
      <c r="K666" s="35">
        <v>18</v>
      </c>
      <c r="L666" s="35" t="s">
        <v>6955</v>
      </c>
      <c r="M666" s="35"/>
      <c r="N666" s="35" t="s">
        <v>16277</v>
      </c>
      <c r="O666" s="35" t="s">
        <v>7531</v>
      </c>
      <c r="P666" s="35" t="s">
        <v>16050</v>
      </c>
      <c r="Q666" s="35" t="s">
        <v>16049</v>
      </c>
      <c r="R666" s="35" t="s">
        <v>16066</v>
      </c>
      <c r="S666" s="35">
        <v>2347422</v>
      </c>
      <c r="T666" s="35">
        <v>33716022</v>
      </c>
      <c r="U666" s="35"/>
      <c r="V666" s="30"/>
      <c r="W666" s="505" t="s">
        <v>421</v>
      </c>
      <c r="X666" s="35" t="s">
        <v>193</v>
      </c>
      <c r="Y666" s="30">
        <v>25</v>
      </c>
      <c r="Z666" s="35"/>
      <c r="AA666" s="35"/>
      <c r="AB666" s="35"/>
      <c r="AC666" s="35"/>
      <c r="AD666" s="35"/>
      <c r="AE666" s="35"/>
      <c r="AF666" s="35"/>
      <c r="AG666" s="35"/>
      <c r="AH666" s="30" t="s">
        <v>4714</v>
      </c>
      <c r="AI666" s="35" t="s">
        <v>16276</v>
      </c>
      <c r="AJ666" s="62" t="str">
        <f>MID('I kw.22'!W666,8,6)</f>
        <v>241306</v>
      </c>
      <c r="AK666" s="62">
        <v>1</v>
      </c>
      <c r="AL666" s="62">
        <f t="shared" si="10"/>
        <v>1</v>
      </c>
      <c r="AM666" s="62">
        <v>1</v>
      </c>
    </row>
    <row r="667" spans="1:39" x14ac:dyDescent="0.25">
      <c r="A667" s="35" t="s">
        <v>16273</v>
      </c>
      <c r="B667" s="35" t="s">
        <v>16274</v>
      </c>
      <c r="C667" s="35" t="s">
        <v>12</v>
      </c>
      <c r="D667" s="35" t="s">
        <v>16053</v>
      </c>
      <c r="E667" s="35" t="s">
        <v>192</v>
      </c>
      <c r="F667" s="62">
        <v>1</v>
      </c>
      <c r="G667" s="30" t="s">
        <v>193</v>
      </c>
      <c r="H667" s="30" t="s">
        <v>194</v>
      </c>
      <c r="I667" s="30" t="s">
        <v>16052</v>
      </c>
      <c r="J667" s="35" t="s">
        <v>9302</v>
      </c>
      <c r="K667" s="35">
        <v>18</v>
      </c>
      <c r="L667" s="35" t="s">
        <v>6955</v>
      </c>
      <c r="M667" s="35"/>
      <c r="N667" s="35" t="s">
        <v>16275</v>
      </c>
      <c r="O667" s="35" t="s">
        <v>6324</v>
      </c>
      <c r="P667" s="35" t="s">
        <v>16050</v>
      </c>
      <c r="Q667" s="35" t="s">
        <v>16049</v>
      </c>
      <c r="R667" s="35" t="s">
        <v>16066</v>
      </c>
      <c r="S667" s="35">
        <v>2347447</v>
      </c>
      <c r="T667" s="35">
        <v>33716047</v>
      </c>
      <c r="U667" s="35"/>
      <c r="V667" s="30"/>
      <c r="W667" s="505" t="s">
        <v>220</v>
      </c>
      <c r="X667" s="35" t="s">
        <v>193</v>
      </c>
      <c r="Y667" s="30">
        <v>25</v>
      </c>
      <c r="Z667" s="35"/>
      <c r="AA667" s="35"/>
      <c r="AB667" s="35"/>
      <c r="AC667" s="35"/>
      <c r="AD667" s="35"/>
      <c r="AE667" s="35"/>
      <c r="AF667" s="35"/>
      <c r="AG667" s="35"/>
      <c r="AH667" s="30" t="s">
        <v>4714</v>
      </c>
      <c r="AI667" s="35" t="s">
        <v>16274</v>
      </c>
      <c r="AJ667" s="62" t="str">
        <f>MID('I kw.22'!W667,8,6)</f>
        <v>132301</v>
      </c>
      <c r="AK667" s="62">
        <v>1</v>
      </c>
      <c r="AL667" s="62">
        <f t="shared" si="10"/>
        <v>1</v>
      </c>
      <c r="AM667" s="62">
        <v>1</v>
      </c>
    </row>
    <row r="668" spans="1:39" x14ac:dyDescent="0.25">
      <c r="A668" s="35" t="s">
        <v>16273</v>
      </c>
      <c r="B668" s="35" t="s">
        <v>6194</v>
      </c>
      <c r="C668" s="35" t="s">
        <v>21</v>
      </c>
      <c r="D668" s="35" t="s">
        <v>16053</v>
      </c>
      <c r="E668" s="35" t="s">
        <v>192</v>
      </c>
      <c r="F668" s="62">
        <v>1</v>
      </c>
      <c r="G668" s="30" t="s">
        <v>193</v>
      </c>
      <c r="H668" s="30" t="s">
        <v>194</v>
      </c>
      <c r="I668" s="30" t="s">
        <v>16052</v>
      </c>
      <c r="J668" s="35" t="s">
        <v>9302</v>
      </c>
      <c r="K668" s="35">
        <v>18</v>
      </c>
      <c r="L668" s="35" t="s">
        <v>6955</v>
      </c>
      <c r="M668" s="35"/>
      <c r="N668" s="35" t="s">
        <v>16272</v>
      </c>
      <c r="O668" s="35" t="s">
        <v>6324</v>
      </c>
      <c r="P668" s="35" t="s">
        <v>16050</v>
      </c>
      <c r="Q668" s="35" t="s">
        <v>16049</v>
      </c>
      <c r="R668" s="35" t="s">
        <v>16066</v>
      </c>
      <c r="S668" s="35">
        <v>2347450</v>
      </c>
      <c r="T668" s="35">
        <v>33716050</v>
      </c>
      <c r="U668" s="35"/>
      <c r="V668" s="30"/>
      <c r="W668" s="505" t="s">
        <v>293</v>
      </c>
      <c r="X668" s="35" t="s">
        <v>193</v>
      </c>
      <c r="Y668" s="30">
        <v>25</v>
      </c>
      <c r="Z668" s="35"/>
      <c r="AA668" s="35"/>
      <c r="AB668" s="35"/>
      <c r="AC668" s="35"/>
      <c r="AD668" s="35"/>
      <c r="AE668" s="35"/>
      <c r="AF668" s="35"/>
      <c r="AG668" s="35"/>
      <c r="AH668" s="30" t="s">
        <v>4714</v>
      </c>
      <c r="AI668" s="35" t="s">
        <v>6194</v>
      </c>
      <c r="AJ668" s="62" t="str">
        <f>MID('I kw.22'!W668,8,6)</f>
        <v>214202</v>
      </c>
      <c r="AK668" s="62">
        <v>1</v>
      </c>
      <c r="AL668" s="62">
        <f t="shared" si="10"/>
        <v>1</v>
      </c>
      <c r="AM668" s="62">
        <v>1</v>
      </c>
    </row>
    <row r="669" spans="1:39" x14ac:dyDescent="0.25">
      <c r="A669" s="35" t="s">
        <v>16204</v>
      </c>
      <c r="B669" s="35" t="s">
        <v>16268</v>
      </c>
      <c r="C669" s="35" t="s">
        <v>16271</v>
      </c>
      <c r="D669" s="35" t="s">
        <v>16053</v>
      </c>
      <c r="E669" s="35" t="s">
        <v>192</v>
      </c>
      <c r="F669" s="62">
        <v>1</v>
      </c>
      <c r="G669" s="30" t="s">
        <v>193</v>
      </c>
      <c r="H669" s="30" t="s">
        <v>194</v>
      </c>
      <c r="I669" s="30" t="s">
        <v>16048</v>
      </c>
      <c r="J669" s="35" t="s">
        <v>9302</v>
      </c>
      <c r="K669" s="35">
        <v>18</v>
      </c>
      <c r="L669" s="35" t="s">
        <v>6955</v>
      </c>
      <c r="M669" s="35"/>
      <c r="N669" s="35" t="s">
        <v>16270</v>
      </c>
      <c r="O669" s="35" t="s">
        <v>6258</v>
      </c>
      <c r="P669" s="35" t="s">
        <v>16050</v>
      </c>
      <c r="Q669" s="35" t="s">
        <v>16049</v>
      </c>
      <c r="R669" s="35" t="s">
        <v>16066</v>
      </c>
      <c r="S669" s="35">
        <v>2347456</v>
      </c>
      <c r="T669" s="35">
        <v>33716056</v>
      </c>
      <c r="U669" s="35"/>
      <c r="V669" s="30"/>
      <c r="W669" s="505" t="s">
        <v>16269</v>
      </c>
      <c r="X669" s="35" t="s">
        <v>193</v>
      </c>
      <c r="Y669" s="30">
        <v>25</v>
      </c>
      <c r="Z669" s="35"/>
      <c r="AA669" s="35"/>
      <c r="AB669" s="35"/>
      <c r="AC669" s="35"/>
      <c r="AD669" s="35"/>
      <c r="AE669" s="35"/>
      <c r="AF669" s="35"/>
      <c r="AG669" s="35"/>
      <c r="AH669" s="30" t="s">
        <v>4714</v>
      </c>
      <c r="AI669" s="35" t="s">
        <v>16268</v>
      </c>
      <c r="AJ669" s="62" t="str">
        <f>MID('I kw.22'!W669,8,6)</f>
        <v>712608</v>
      </c>
      <c r="AK669" s="62">
        <v>1</v>
      </c>
      <c r="AL669" s="62">
        <f t="shared" si="10"/>
        <v>1</v>
      </c>
      <c r="AM669" s="62">
        <v>1</v>
      </c>
    </row>
    <row r="670" spans="1:39" x14ac:dyDescent="0.25">
      <c r="A670" s="35" t="s">
        <v>16267</v>
      </c>
      <c r="B670" s="35" t="s">
        <v>16265</v>
      </c>
      <c r="C670" s="35" t="s">
        <v>5173</v>
      </c>
      <c r="D670" s="35" t="s">
        <v>16053</v>
      </c>
      <c r="E670" s="35" t="s">
        <v>192</v>
      </c>
      <c r="F670" s="62">
        <v>1</v>
      </c>
      <c r="G670" s="30" t="s">
        <v>193</v>
      </c>
      <c r="H670" s="30" t="s">
        <v>194</v>
      </c>
      <c r="I670" s="30" t="s">
        <v>16068</v>
      </c>
      <c r="J670" s="35" t="s">
        <v>9302</v>
      </c>
      <c r="K670" s="35">
        <v>18</v>
      </c>
      <c r="L670" s="35" t="s">
        <v>6955</v>
      </c>
      <c r="M670" s="35"/>
      <c r="N670" s="35" t="s">
        <v>16266</v>
      </c>
      <c r="O670" s="35" t="s">
        <v>6324</v>
      </c>
      <c r="P670" s="35" t="s">
        <v>16050</v>
      </c>
      <c r="Q670" s="35" t="s">
        <v>16049</v>
      </c>
      <c r="R670" s="35" t="s">
        <v>16066</v>
      </c>
      <c r="S670" s="35">
        <v>2347463</v>
      </c>
      <c r="T670" s="35">
        <v>33716063</v>
      </c>
      <c r="U670" s="35"/>
      <c r="V670" s="30"/>
      <c r="W670" s="505" t="s">
        <v>1150</v>
      </c>
      <c r="X670" s="35" t="s">
        <v>193</v>
      </c>
      <c r="Y670" s="30">
        <v>25</v>
      </c>
      <c r="Z670" s="35"/>
      <c r="AA670" s="35"/>
      <c r="AB670" s="35"/>
      <c r="AC670" s="35"/>
      <c r="AD670" s="35"/>
      <c r="AE670" s="35"/>
      <c r="AF670" s="35"/>
      <c r="AG670" s="35"/>
      <c r="AH670" s="30" t="s">
        <v>4714</v>
      </c>
      <c r="AI670" s="35" t="s">
        <v>16265</v>
      </c>
      <c r="AJ670" s="62" t="str">
        <f>MID('I kw.22'!W670,8,6)</f>
        <v>244001</v>
      </c>
      <c r="AK670" s="62">
        <v>1</v>
      </c>
      <c r="AL670" s="62">
        <f t="shared" si="10"/>
        <v>1</v>
      </c>
      <c r="AM670" s="62">
        <v>1</v>
      </c>
    </row>
    <row r="671" spans="1:39" x14ac:dyDescent="0.25">
      <c r="A671" s="35" t="s">
        <v>9297</v>
      </c>
      <c r="B671" s="35" t="s">
        <v>496</v>
      </c>
      <c r="C671" s="35" t="s">
        <v>10</v>
      </c>
      <c r="D671" s="35" t="s">
        <v>16053</v>
      </c>
      <c r="E671" s="35" t="s">
        <v>192</v>
      </c>
      <c r="F671" s="62">
        <v>1</v>
      </c>
      <c r="G671" s="30" t="s">
        <v>193</v>
      </c>
      <c r="H671" s="30" t="s">
        <v>194</v>
      </c>
      <c r="I671" s="30" t="s">
        <v>16073</v>
      </c>
      <c r="J671" s="35" t="s">
        <v>9302</v>
      </c>
      <c r="K671" s="35">
        <v>18</v>
      </c>
      <c r="L671" s="35" t="s">
        <v>6955</v>
      </c>
      <c r="M671" s="35"/>
      <c r="N671" s="35" t="s">
        <v>16264</v>
      </c>
      <c r="O671" s="35" t="s">
        <v>6261</v>
      </c>
      <c r="P671" s="35" t="s">
        <v>16050</v>
      </c>
      <c r="Q671" s="35" t="s">
        <v>16049</v>
      </c>
      <c r="R671" s="35" t="s">
        <v>16066</v>
      </c>
      <c r="S671" s="35">
        <v>2347484</v>
      </c>
      <c r="T671" s="35">
        <v>33716084</v>
      </c>
      <c r="U671" s="35"/>
      <c r="V671" s="30"/>
      <c r="W671" s="505" t="s">
        <v>484</v>
      </c>
      <c r="X671" s="35" t="s">
        <v>193</v>
      </c>
      <c r="Y671" s="30">
        <v>25</v>
      </c>
      <c r="Z671" s="35"/>
      <c r="AA671" s="35"/>
      <c r="AB671" s="35"/>
      <c r="AC671" s="35"/>
      <c r="AD671" s="35"/>
      <c r="AE671" s="35"/>
      <c r="AF671" s="35"/>
      <c r="AG671" s="35"/>
      <c r="AH671" s="30" t="s">
        <v>4714</v>
      </c>
      <c r="AI671" s="35" t="s">
        <v>496</v>
      </c>
      <c r="AJ671" s="62" t="str">
        <f>MID('I kw.22'!W671,8,6)</f>
        <v>251401</v>
      </c>
      <c r="AK671" s="62">
        <v>1</v>
      </c>
      <c r="AL671" s="62">
        <f t="shared" si="10"/>
        <v>1</v>
      </c>
      <c r="AM671" s="62">
        <v>1</v>
      </c>
    </row>
    <row r="672" spans="1:39" x14ac:dyDescent="0.25">
      <c r="A672" s="35" t="s">
        <v>16204</v>
      </c>
      <c r="B672" s="35" t="s">
        <v>16260</v>
      </c>
      <c r="C672" s="35" t="s">
        <v>16263</v>
      </c>
      <c r="D672" s="35" t="s">
        <v>16053</v>
      </c>
      <c r="E672" s="35" t="s">
        <v>192</v>
      </c>
      <c r="F672" s="62">
        <v>1</v>
      </c>
      <c r="G672" s="30" t="s">
        <v>193</v>
      </c>
      <c r="H672" s="30" t="s">
        <v>194</v>
      </c>
      <c r="I672" s="30" t="s">
        <v>16066</v>
      </c>
      <c r="J672" s="35" t="s">
        <v>9302</v>
      </c>
      <c r="K672" s="35">
        <v>18</v>
      </c>
      <c r="L672" s="35" t="s">
        <v>6955</v>
      </c>
      <c r="M672" s="35"/>
      <c r="N672" s="35" t="s">
        <v>16262</v>
      </c>
      <c r="O672" s="35" t="s">
        <v>6258</v>
      </c>
      <c r="P672" s="35" t="s">
        <v>16050</v>
      </c>
      <c r="Q672" s="35" t="s">
        <v>16049</v>
      </c>
      <c r="R672" s="35" t="s">
        <v>16066</v>
      </c>
      <c r="S672" s="35">
        <v>2347495</v>
      </c>
      <c r="T672" s="35">
        <v>33716095</v>
      </c>
      <c r="U672" s="35"/>
      <c r="V672" s="30"/>
      <c r="W672" s="505" t="s">
        <v>16261</v>
      </c>
      <c r="X672" s="35" t="s">
        <v>193</v>
      </c>
      <c r="Y672" s="30">
        <v>25</v>
      </c>
      <c r="Z672" s="35"/>
      <c r="AA672" s="35"/>
      <c r="AB672" s="35"/>
      <c r="AC672" s="35"/>
      <c r="AD672" s="35"/>
      <c r="AE672" s="35"/>
      <c r="AF672" s="35"/>
      <c r="AG672" s="35"/>
      <c r="AH672" s="30" t="s">
        <v>4714</v>
      </c>
      <c r="AI672" s="35" t="s">
        <v>16260</v>
      </c>
      <c r="AJ672" s="62" t="str">
        <f>MID('I kw.22'!W672,8,6)</f>
        <v>821190</v>
      </c>
      <c r="AK672" s="62">
        <v>1</v>
      </c>
      <c r="AL672" s="62">
        <f t="shared" si="10"/>
        <v>1</v>
      </c>
      <c r="AM672" s="62">
        <v>1</v>
      </c>
    </row>
    <row r="673" spans="1:39" x14ac:dyDescent="0.25">
      <c r="A673" s="35" t="s">
        <v>16204</v>
      </c>
      <c r="B673" s="35" t="s">
        <v>1236</v>
      </c>
      <c r="C673" s="35" t="s">
        <v>1236</v>
      </c>
      <c r="D673" s="35" t="s">
        <v>16053</v>
      </c>
      <c r="E673" s="35" t="s">
        <v>192</v>
      </c>
      <c r="F673" s="62">
        <v>1</v>
      </c>
      <c r="G673" s="30" t="s">
        <v>193</v>
      </c>
      <c r="H673" s="30" t="s">
        <v>194</v>
      </c>
      <c r="I673" s="30" t="s">
        <v>16052</v>
      </c>
      <c r="J673" s="35" t="s">
        <v>9302</v>
      </c>
      <c r="K673" s="35">
        <v>18</v>
      </c>
      <c r="L673" s="35" t="s">
        <v>6955</v>
      </c>
      <c r="M673" s="35"/>
      <c r="N673" s="35" t="s">
        <v>16259</v>
      </c>
      <c r="O673" s="35" t="s">
        <v>6258</v>
      </c>
      <c r="P673" s="35" t="s">
        <v>16050</v>
      </c>
      <c r="Q673" s="35" t="s">
        <v>16049</v>
      </c>
      <c r="R673" s="35" t="s">
        <v>16066</v>
      </c>
      <c r="S673" s="35">
        <v>2347499</v>
      </c>
      <c r="T673" s="35">
        <v>33716099</v>
      </c>
      <c r="U673" s="35"/>
      <c r="V673" s="30"/>
      <c r="W673" s="505" t="s">
        <v>1237</v>
      </c>
      <c r="X673" s="35" t="s">
        <v>193</v>
      </c>
      <c r="Y673" s="30">
        <v>25</v>
      </c>
      <c r="Z673" s="35"/>
      <c r="AA673" s="35"/>
      <c r="AB673" s="35"/>
      <c r="AC673" s="35"/>
      <c r="AD673" s="35"/>
      <c r="AE673" s="35"/>
      <c r="AF673" s="35"/>
      <c r="AG673" s="35"/>
      <c r="AH673" s="30" t="s">
        <v>4714</v>
      </c>
      <c r="AI673" s="35" t="s">
        <v>1236</v>
      </c>
      <c r="AJ673" s="62" t="str">
        <f>MID('I kw.22'!W673,8,6)</f>
        <v>712601</v>
      </c>
      <c r="AK673" s="62">
        <v>1</v>
      </c>
      <c r="AL673" s="62">
        <f t="shared" si="10"/>
        <v>1</v>
      </c>
      <c r="AM673" s="62">
        <v>1</v>
      </c>
    </row>
    <row r="674" spans="1:39" x14ac:dyDescent="0.25">
      <c r="A674" s="35" t="s">
        <v>16258</v>
      </c>
      <c r="B674" s="35" t="s">
        <v>16256</v>
      </c>
      <c r="C674" s="35" t="s">
        <v>15861</v>
      </c>
      <c r="D674" s="35" t="s">
        <v>16053</v>
      </c>
      <c r="E674" s="35" t="s">
        <v>192</v>
      </c>
      <c r="F674" s="62">
        <v>1</v>
      </c>
      <c r="G674" s="30" t="s">
        <v>193</v>
      </c>
      <c r="H674" s="30" t="s">
        <v>194</v>
      </c>
      <c r="I674" s="30" t="s">
        <v>16078</v>
      </c>
      <c r="J674" s="35" t="s">
        <v>9302</v>
      </c>
      <c r="K674" s="35">
        <v>18</v>
      </c>
      <c r="L674" s="35" t="s">
        <v>6955</v>
      </c>
      <c r="M674" s="35"/>
      <c r="N674" s="35" t="s">
        <v>16257</v>
      </c>
      <c r="O674" s="35" t="s">
        <v>6286</v>
      </c>
      <c r="P674" s="35" t="s">
        <v>16050</v>
      </c>
      <c r="Q674" s="35" t="s">
        <v>16049</v>
      </c>
      <c r="R674" s="35" t="s">
        <v>16066</v>
      </c>
      <c r="S674" s="35">
        <v>2347533</v>
      </c>
      <c r="T674" s="35">
        <v>33716133</v>
      </c>
      <c r="U674" s="35"/>
      <c r="V674" s="30"/>
      <c r="W674" s="505" t="s">
        <v>1790</v>
      </c>
      <c r="X674" s="35" t="s">
        <v>193</v>
      </c>
      <c r="Y674" s="30">
        <v>25</v>
      </c>
      <c r="Z674" s="35"/>
      <c r="AA674" s="35"/>
      <c r="AB674" s="35"/>
      <c r="AC674" s="35"/>
      <c r="AD674" s="35"/>
      <c r="AE674" s="35"/>
      <c r="AF674" s="35"/>
      <c r="AG674" s="35"/>
      <c r="AH674" s="30" t="s">
        <v>4714</v>
      </c>
      <c r="AI674" s="35" t="s">
        <v>16256</v>
      </c>
      <c r="AJ674" s="62" t="str">
        <f>MID('I kw.22'!W674,8,6)</f>
        <v>334304</v>
      </c>
      <c r="AK674" s="62">
        <v>1</v>
      </c>
      <c r="AL674" s="62">
        <f t="shared" si="10"/>
        <v>1</v>
      </c>
      <c r="AM674" s="62">
        <v>1</v>
      </c>
    </row>
    <row r="675" spans="1:39" x14ac:dyDescent="0.25">
      <c r="A675" s="35" t="s">
        <v>16255</v>
      </c>
      <c r="B675" s="35" t="s">
        <v>16252</v>
      </c>
      <c r="C675" s="35" t="s">
        <v>1133</v>
      </c>
      <c r="D675" s="35" t="s">
        <v>16053</v>
      </c>
      <c r="E675" s="35" t="s">
        <v>192</v>
      </c>
      <c r="F675" s="62">
        <v>1</v>
      </c>
      <c r="G675" s="30" t="s">
        <v>193</v>
      </c>
      <c r="H675" s="30" t="s">
        <v>194</v>
      </c>
      <c r="I675" s="30" t="s">
        <v>16061</v>
      </c>
      <c r="J675" s="35" t="s">
        <v>9302</v>
      </c>
      <c r="K675" s="35">
        <v>18</v>
      </c>
      <c r="L675" s="35" t="s">
        <v>6955</v>
      </c>
      <c r="M675" s="35"/>
      <c r="N675" s="35" t="s">
        <v>16254</v>
      </c>
      <c r="O675" s="35" t="s">
        <v>6245</v>
      </c>
      <c r="P675" s="35" t="s">
        <v>16050</v>
      </c>
      <c r="Q675" s="35" t="s">
        <v>16049</v>
      </c>
      <c r="R675" s="35" t="s">
        <v>16253</v>
      </c>
      <c r="S675" s="35">
        <v>2347558</v>
      </c>
      <c r="T675" s="35">
        <v>33716158</v>
      </c>
      <c r="U675" s="35"/>
      <c r="V675" s="30"/>
      <c r="W675" s="505" t="s">
        <v>1134</v>
      </c>
      <c r="X675" s="35" t="s">
        <v>193</v>
      </c>
      <c r="Y675" s="30">
        <v>25</v>
      </c>
      <c r="Z675" s="35"/>
      <c r="AA675" s="35"/>
      <c r="AB675" s="35"/>
      <c r="AC675" s="35"/>
      <c r="AD675" s="35"/>
      <c r="AE675" s="35"/>
      <c r="AF675" s="35"/>
      <c r="AG675" s="35"/>
      <c r="AH675" s="30" t="s">
        <v>4714</v>
      </c>
      <c r="AI675" s="35" t="s">
        <v>16252</v>
      </c>
      <c r="AJ675" s="62" t="str">
        <f>MID('I kw.22'!W675,8,6)</f>
        <v>112008</v>
      </c>
      <c r="AK675" s="62">
        <v>1</v>
      </c>
      <c r="AL675" s="62">
        <f t="shared" si="10"/>
        <v>1</v>
      </c>
      <c r="AM675" s="62">
        <v>1</v>
      </c>
    </row>
    <row r="676" spans="1:39" x14ac:dyDescent="0.25">
      <c r="A676" s="35" t="s">
        <v>10493</v>
      </c>
      <c r="B676" s="35" t="s">
        <v>16250</v>
      </c>
      <c r="C676" s="35" t="s">
        <v>3170</v>
      </c>
      <c r="D676" s="35" t="s">
        <v>16053</v>
      </c>
      <c r="E676" s="35" t="s">
        <v>192</v>
      </c>
      <c r="F676" s="62">
        <v>1</v>
      </c>
      <c r="G676" s="30" t="s">
        <v>193</v>
      </c>
      <c r="H676" s="30" t="s">
        <v>194</v>
      </c>
      <c r="I676" s="30" t="s">
        <v>16068</v>
      </c>
      <c r="J676" s="35" t="s">
        <v>9302</v>
      </c>
      <c r="K676" s="35">
        <v>18</v>
      </c>
      <c r="L676" s="35" t="s">
        <v>6955</v>
      </c>
      <c r="M676" s="35"/>
      <c r="N676" s="35" t="s">
        <v>16251</v>
      </c>
      <c r="O676" s="35" t="s">
        <v>6261</v>
      </c>
      <c r="P676" s="35" t="s">
        <v>16050</v>
      </c>
      <c r="Q676" s="35" t="s">
        <v>16049</v>
      </c>
      <c r="R676" s="35" t="s">
        <v>16066</v>
      </c>
      <c r="S676" s="35">
        <v>2347583</v>
      </c>
      <c r="T676" s="35">
        <v>33716183</v>
      </c>
      <c r="U676" s="35"/>
      <c r="V676" s="30"/>
      <c r="W676" s="505" t="s">
        <v>11236</v>
      </c>
      <c r="X676" s="35" t="s">
        <v>193</v>
      </c>
      <c r="Y676" s="30">
        <v>25</v>
      </c>
      <c r="Z676" s="35"/>
      <c r="AA676" s="35"/>
      <c r="AB676" s="35"/>
      <c r="AC676" s="35"/>
      <c r="AD676" s="35"/>
      <c r="AE676" s="35"/>
      <c r="AF676" s="35"/>
      <c r="AG676" s="35"/>
      <c r="AH676" s="30" t="s">
        <v>4714</v>
      </c>
      <c r="AI676" s="35" t="s">
        <v>16250</v>
      </c>
      <c r="AJ676" s="62" t="str">
        <f>MID('I kw.22'!W676,8,6)</f>
        <v>351404</v>
      </c>
      <c r="AK676" s="62">
        <v>1</v>
      </c>
      <c r="AL676" s="62">
        <f t="shared" si="10"/>
        <v>1</v>
      </c>
      <c r="AM676" s="62">
        <v>1</v>
      </c>
    </row>
    <row r="677" spans="1:39" x14ac:dyDescent="0.25">
      <c r="A677" s="35" t="s">
        <v>16249</v>
      </c>
      <c r="B677" s="35" t="s">
        <v>16245</v>
      </c>
      <c r="C677" s="35" t="s">
        <v>16248</v>
      </c>
      <c r="D677" s="35" t="s">
        <v>16053</v>
      </c>
      <c r="E677" s="35" t="s">
        <v>192</v>
      </c>
      <c r="F677" s="62">
        <v>1</v>
      </c>
      <c r="G677" s="30" t="s">
        <v>193</v>
      </c>
      <c r="H677" s="30" t="s">
        <v>194</v>
      </c>
      <c r="I677" s="30" t="s">
        <v>16048</v>
      </c>
      <c r="J677" s="35" t="s">
        <v>9302</v>
      </c>
      <c r="K677" s="35">
        <v>18</v>
      </c>
      <c r="L677" s="35" t="s">
        <v>6955</v>
      </c>
      <c r="M677" s="35"/>
      <c r="N677" s="35" t="s">
        <v>16247</v>
      </c>
      <c r="O677" s="35" t="s">
        <v>6286</v>
      </c>
      <c r="P677" s="35" t="s">
        <v>16050</v>
      </c>
      <c r="Q677" s="35" t="s">
        <v>16049</v>
      </c>
      <c r="R677" s="35" t="s">
        <v>16066</v>
      </c>
      <c r="S677" s="35">
        <v>2347603</v>
      </c>
      <c r="T677" s="35">
        <v>33716203</v>
      </c>
      <c r="U677" s="35"/>
      <c r="V677" s="30"/>
      <c r="W677" s="505" t="s">
        <v>16246</v>
      </c>
      <c r="X677" s="35" t="s">
        <v>193</v>
      </c>
      <c r="Y677" s="30">
        <v>25</v>
      </c>
      <c r="Z677" s="35"/>
      <c r="AA677" s="35"/>
      <c r="AB677" s="35"/>
      <c r="AC677" s="35"/>
      <c r="AD677" s="35"/>
      <c r="AE677" s="35"/>
      <c r="AF677" s="35"/>
      <c r="AG677" s="35"/>
      <c r="AH677" s="30" t="s">
        <v>4714</v>
      </c>
      <c r="AI677" s="35" t="s">
        <v>16245</v>
      </c>
      <c r="AJ677" s="62" t="str">
        <f>MID('I kw.22'!W677,8,6)</f>
        <v>263510</v>
      </c>
      <c r="AK677" s="62">
        <v>1</v>
      </c>
      <c r="AL677" s="62">
        <f t="shared" si="10"/>
        <v>1</v>
      </c>
      <c r="AM677" s="62">
        <v>1</v>
      </c>
    </row>
    <row r="678" spans="1:39" x14ac:dyDescent="0.25">
      <c r="A678" s="35" t="s">
        <v>9373</v>
      </c>
      <c r="B678" s="35" t="s">
        <v>16243</v>
      </c>
      <c r="C678" s="35" t="s">
        <v>706</v>
      </c>
      <c r="D678" s="35" t="s">
        <v>16053</v>
      </c>
      <c r="E678" s="35" t="s">
        <v>192</v>
      </c>
      <c r="F678" s="62">
        <v>1</v>
      </c>
      <c r="G678" s="30" t="s">
        <v>193</v>
      </c>
      <c r="H678" s="30" t="s">
        <v>194</v>
      </c>
      <c r="I678" s="30" t="s">
        <v>16068</v>
      </c>
      <c r="J678" s="35" t="s">
        <v>9302</v>
      </c>
      <c r="K678" s="35">
        <v>18</v>
      </c>
      <c r="L678" s="35" t="s">
        <v>6955</v>
      </c>
      <c r="M678" s="35"/>
      <c r="N678" s="35" t="s">
        <v>16244</v>
      </c>
      <c r="O678" s="35" t="s">
        <v>6921</v>
      </c>
      <c r="P678" s="35" t="s">
        <v>16050</v>
      </c>
      <c r="Q678" s="35" t="s">
        <v>16049</v>
      </c>
      <c r="R678" s="35" t="s">
        <v>16066</v>
      </c>
      <c r="S678" s="35">
        <v>2347619</v>
      </c>
      <c r="T678" s="35">
        <v>33716219</v>
      </c>
      <c r="U678" s="35"/>
      <c r="V678" s="30"/>
      <c r="W678" s="505" t="s">
        <v>707</v>
      </c>
      <c r="X678" s="35" t="s">
        <v>193</v>
      </c>
      <c r="Y678" s="30">
        <v>25</v>
      </c>
      <c r="Z678" s="35"/>
      <c r="AA678" s="35"/>
      <c r="AB678" s="35"/>
      <c r="AC678" s="35"/>
      <c r="AD678" s="35"/>
      <c r="AE678" s="35"/>
      <c r="AF678" s="35"/>
      <c r="AG678" s="35"/>
      <c r="AH678" s="30" t="s">
        <v>4714</v>
      </c>
      <c r="AI678" s="35" t="s">
        <v>16243</v>
      </c>
      <c r="AJ678" s="62" t="str">
        <f>MID('I kw.22'!W678,8,6)</f>
        <v>422201</v>
      </c>
      <c r="AK678" s="62">
        <v>1</v>
      </c>
      <c r="AL678" s="62">
        <f t="shared" si="10"/>
        <v>1</v>
      </c>
      <c r="AM678" s="62">
        <v>1</v>
      </c>
    </row>
    <row r="679" spans="1:39" x14ac:dyDescent="0.25">
      <c r="A679" s="35" t="s">
        <v>9373</v>
      </c>
      <c r="B679" s="35" t="s">
        <v>16241</v>
      </c>
      <c r="C679" s="35" t="s">
        <v>706</v>
      </c>
      <c r="D679" s="35" t="s">
        <v>16053</v>
      </c>
      <c r="E679" s="35" t="s">
        <v>192</v>
      </c>
      <c r="F679" s="62">
        <v>1</v>
      </c>
      <c r="G679" s="30" t="s">
        <v>193</v>
      </c>
      <c r="H679" s="30" t="s">
        <v>194</v>
      </c>
      <c r="I679" s="30" t="s">
        <v>16068</v>
      </c>
      <c r="J679" s="35" t="s">
        <v>9302</v>
      </c>
      <c r="K679" s="35">
        <v>18</v>
      </c>
      <c r="L679" s="35" t="s">
        <v>6955</v>
      </c>
      <c r="M679" s="35"/>
      <c r="N679" s="35" t="s">
        <v>16242</v>
      </c>
      <c r="O679" s="35" t="s">
        <v>6921</v>
      </c>
      <c r="P679" s="35" t="s">
        <v>16050</v>
      </c>
      <c r="Q679" s="35" t="s">
        <v>16049</v>
      </c>
      <c r="R679" s="35" t="s">
        <v>16066</v>
      </c>
      <c r="S679" s="35">
        <v>2347635</v>
      </c>
      <c r="T679" s="35">
        <v>33716235</v>
      </c>
      <c r="U679" s="35"/>
      <c r="V679" s="30"/>
      <c r="W679" s="505" t="s">
        <v>707</v>
      </c>
      <c r="X679" s="35" t="s">
        <v>193</v>
      </c>
      <c r="Y679" s="30">
        <v>25</v>
      </c>
      <c r="Z679" s="35"/>
      <c r="AA679" s="35"/>
      <c r="AB679" s="35"/>
      <c r="AC679" s="35"/>
      <c r="AD679" s="35"/>
      <c r="AE679" s="35"/>
      <c r="AF679" s="35"/>
      <c r="AG679" s="35"/>
      <c r="AH679" s="30" t="s">
        <v>4714</v>
      </c>
      <c r="AI679" s="35" t="s">
        <v>16241</v>
      </c>
      <c r="AJ679" s="62" t="str">
        <f>MID('I kw.22'!W679,8,6)</f>
        <v>422201</v>
      </c>
      <c r="AK679" s="62">
        <v>1</v>
      </c>
      <c r="AL679" s="62">
        <f t="shared" si="10"/>
        <v>1</v>
      </c>
      <c r="AM679" s="62">
        <v>1</v>
      </c>
    </row>
    <row r="680" spans="1:39" x14ac:dyDescent="0.25">
      <c r="A680" s="35" t="s">
        <v>16240</v>
      </c>
      <c r="B680" s="35" t="s">
        <v>16238</v>
      </c>
      <c r="C680" s="35" t="s">
        <v>468</v>
      </c>
      <c r="D680" s="35" t="s">
        <v>16053</v>
      </c>
      <c r="E680" s="35" t="s">
        <v>192</v>
      </c>
      <c r="F680" s="62">
        <v>1</v>
      </c>
      <c r="G680" s="30" t="s">
        <v>193</v>
      </c>
      <c r="H680" s="30" t="s">
        <v>194</v>
      </c>
      <c r="I680" s="30" t="s">
        <v>16052</v>
      </c>
      <c r="J680" s="35" t="s">
        <v>9302</v>
      </c>
      <c r="K680" s="35">
        <v>18</v>
      </c>
      <c r="L680" s="35" t="s">
        <v>6955</v>
      </c>
      <c r="M680" s="35"/>
      <c r="N680" s="35" t="s">
        <v>16239</v>
      </c>
      <c r="O680" s="35" t="s">
        <v>6288</v>
      </c>
      <c r="P680" s="35" t="s">
        <v>16050</v>
      </c>
      <c r="Q680" s="35" t="s">
        <v>16049</v>
      </c>
      <c r="R680" s="35" t="s">
        <v>16066</v>
      </c>
      <c r="S680" s="35">
        <v>2347655</v>
      </c>
      <c r="T680" s="35">
        <v>33716255</v>
      </c>
      <c r="U680" s="35"/>
      <c r="V680" s="30"/>
      <c r="W680" s="505" t="s">
        <v>469</v>
      </c>
      <c r="X680" s="35" t="s">
        <v>193</v>
      </c>
      <c r="Y680" s="30">
        <v>25</v>
      </c>
      <c r="Z680" s="35"/>
      <c r="AA680" s="35"/>
      <c r="AB680" s="35"/>
      <c r="AC680" s="35"/>
      <c r="AD680" s="35"/>
      <c r="AE680" s="35"/>
      <c r="AF680" s="35"/>
      <c r="AG680" s="35"/>
      <c r="AH680" s="30" t="s">
        <v>4714</v>
      </c>
      <c r="AI680" s="35" t="s">
        <v>16238</v>
      </c>
      <c r="AJ680" s="62" t="str">
        <f>MID('I kw.22'!W680,8,6)</f>
        <v>243303</v>
      </c>
      <c r="AK680" s="62">
        <v>1</v>
      </c>
      <c r="AL680" s="62">
        <f t="shared" si="10"/>
        <v>1</v>
      </c>
      <c r="AM680" s="62">
        <v>1</v>
      </c>
    </row>
    <row r="681" spans="1:39" x14ac:dyDescent="0.25">
      <c r="A681" s="35" t="s">
        <v>15361</v>
      </c>
      <c r="B681" s="35" t="s">
        <v>2333</v>
      </c>
      <c r="C681" s="35" t="s">
        <v>468</v>
      </c>
      <c r="D681" s="35" t="s">
        <v>16053</v>
      </c>
      <c r="E681" s="35" t="s">
        <v>192</v>
      </c>
      <c r="F681" s="62">
        <v>1</v>
      </c>
      <c r="G681" s="30" t="s">
        <v>193</v>
      </c>
      <c r="H681" s="30" t="s">
        <v>194</v>
      </c>
      <c r="I681" s="30" t="s">
        <v>16052</v>
      </c>
      <c r="J681" s="35" t="s">
        <v>9302</v>
      </c>
      <c r="K681" s="35">
        <v>18</v>
      </c>
      <c r="L681" s="35" t="s">
        <v>6955</v>
      </c>
      <c r="M681" s="35"/>
      <c r="N681" s="35" t="s">
        <v>16237</v>
      </c>
      <c r="O681" s="35" t="s">
        <v>6288</v>
      </c>
      <c r="P681" s="35" t="s">
        <v>16050</v>
      </c>
      <c r="Q681" s="35" t="s">
        <v>16049</v>
      </c>
      <c r="R681" s="35" t="s">
        <v>16066</v>
      </c>
      <c r="S681" s="35">
        <v>2347686</v>
      </c>
      <c r="T681" s="35">
        <v>33716286</v>
      </c>
      <c r="U681" s="35"/>
      <c r="V681" s="30"/>
      <c r="W681" s="505" t="s">
        <v>469</v>
      </c>
      <c r="X681" s="35" t="s">
        <v>193</v>
      </c>
      <c r="Y681" s="30">
        <v>25</v>
      </c>
      <c r="Z681" s="35"/>
      <c r="AA681" s="35"/>
      <c r="AB681" s="35"/>
      <c r="AC681" s="35"/>
      <c r="AD681" s="35"/>
      <c r="AE681" s="35"/>
      <c r="AF681" s="35"/>
      <c r="AG681" s="35"/>
      <c r="AH681" s="30" t="s">
        <v>4714</v>
      </c>
      <c r="AI681" s="35" t="s">
        <v>2333</v>
      </c>
      <c r="AJ681" s="62" t="str">
        <f>MID('I kw.22'!W681,8,6)</f>
        <v>243303</v>
      </c>
      <c r="AK681" s="62">
        <v>1</v>
      </c>
      <c r="AL681" s="62">
        <f t="shared" si="10"/>
        <v>1</v>
      </c>
      <c r="AM681" s="62">
        <v>1</v>
      </c>
    </row>
    <row r="682" spans="1:39" x14ac:dyDescent="0.25">
      <c r="A682" s="35" t="s">
        <v>10467</v>
      </c>
      <c r="B682" s="35" t="s">
        <v>16235</v>
      </c>
      <c r="C682" s="35" t="s">
        <v>8953</v>
      </c>
      <c r="D682" s="35" t="s">
        <v>16053</v>
      </c>
      <c r="E682" s="35" t="s">
        <v>192</v>
      </c>
      <c r="F682" s="62">
        <v>1</v>
      </c>
      <c r="G682" s="30" t="s">
        <v>193</v>
      </c>
      <c r="H682" s="30" t="s">
        <v>194</v>
      </c>
      <c r="I682" s="30" t="s">
        <v>16121</v>
      </c>
      <c r="J682" s="35" t="s">
        <v>9302</v>
      </c>
      <c r="K682" s="35">
        <v>18</v>
      </c>
      <c r="L682" s="35" t="s">
        <v>6955</v>
      </c>
      <c r="M682" s="35"/>
      <c r="N682" s="35" t="s">
        <v>16236</v>
      </c>
      <c r="O682" s="35" t="s">
        <v>6295</v>
      </c>
      <c r="P682" s="35" t="s">
        <v>16050</v>
      </c>
      <c r="Q682" s="35" t="s">
        <v>16049</v>
      </c>
      <c r="R682" s="35" t="s">
        <v>16066</v>
      </c>
      <c r="S682" s="35">
        <v>2347702</v>
      </c>
      <c r="T682" s="35">
        <v>33716302</v>
      </c>
      <c r="U682" s="35"/>
      <c r="V682" s="30"/>
      <c r="W682" s="505" t="s">
        <v>8955</v>
      </c>
      <c r="X682" s="35" t="s">
        <v>193</v>
      </c>
      <c r="Y682" s="30">
        <v>25</v>
      </c>
      <c r="Z682" s="35"/>
      <c r="AA682" s="35"/>
      <c r="AB682" s="35"/>
      <c r="AC682" s="35"/>
      <c r="AD682" s="35"/>
      <c r="AE682" s="35"/>
      <c r="AF682" s="35"/>
      <c r="AG682" s="35"/>
      <c r="AH682" s="30" t="s">
        <v>4714</v>
      </c>
      <c r="AI682" s="35" t="s">
        <v>16235</v>
      </c>
      <c r="AJ682" s="62" t="str">
        <f>MID('I kw.22'!W682,8,6)</f>
        <v>252103</v>
      </c>
      <c r="AK682" s="62">
        <v>1</v>
      </c>
      <c r="AL682" s="62">
        <f t="shared" si="10"/>
        <v>1</v>
      </c>
      <c r="AM682" s="62">
        <v>1</v>
      </c>
    </row>
    <row r="683" spans="1:39" x14ac:dyDescent="0.25">
      <c r="A683" s="35" t="s">
        <v>10467</v>
      </c>
      <c r="B683" s="35" t="s">
        <v>16233</v>
      </c>
      <c r="C683" s="35" t="s">
        <v>37</v>
      </c>
      <c r="D683" s="35" t="s">
        <v>16053</v>
      </c>
      <c r="E683" s="35" t="s">
        <v>192</v>
      </c>
      <c r="F683" s="62">
        <v>1</v>
      </c>
      <c r="G683" s="30" t="s">
        <v>193</v>
      </c>
      <c r="H683" s="30" t="s">
        <v>194</v>
      </c>
      <c r="I683" s="30" t="s">
        <v>16048</v>
      </c>
      <c r="J683" s="35" t="s">
        <v>9302</v>
      </c>
      <c r="K683" s="35">
        <v>18</v>
      </c>
      <c r="L683" s="35" t="s">
        <v>6955</v>
      </c>
      <c r="M683" s="35"/>
      <c r="N683" s="35" t="s">
        <v>16234</v>
      </c>
      <c r="O683" s="35" t="s">
        <v>6290</v>
      </c>
      <c r="P683" s="35" t="s">
        <v>16050</v>
      </c>
      <c r="Q683" s="35" t="s">
        <v>16049</v>
      </c>
      <c r="R683" s="35" t="s">
        <v>16066</v>
      </c>
      <c r="S683" s="35">
        <v>2347717</v>
      </c>
      <c r="T683" s="35">
        <v>33716317</v>
      </c>
      <c r="U683" s="35"/>
      <c r="V683" s="30"/>
      <c r="W683" s="505" t="s">
        <v>516</v>
      </c>
      <c r="X683" s="35" t="s">
        <v>193</v>
      </c>
      <c r="Y683" s="30">
        <v>25</v>
      </c>
      <c r="Z683" s="35"/>
      <c r="AA683" s="35"/>
      <c r="AB683" s="35"/>
      <c r="AC683" s="35"/>
      <c r="AD683" s="35"/>
      <c r="AE683" s="35"/>
      <c r="AF683" s="35"/>
      <c r="AG683" s="35"/>
      <c r="AH683" s="30" t="s">
        <v>4714</v>
      </c>
      <c r="AI683" s="35" t="s">
        <v>16233</v>
      </c>
      <c r="AJ683" s="62" t="str">
        <f>MID('I kw.22'!W683,8,6)</f>
        <v>252302</v>
      </c>
      <c r="AK683" s="62">
        <v>1</v>
      </c>
      <c r="AL683" s="62">
        <f t="shared" si="10"/>
        <v>1</v>
      </c>
      <c r="AM683" s="62">
        <v>1</v>
      </c>
    </row>
    <row r="684" spans="1:39" x14ac:dyDescent="0.25">
      <c r="A684" s="35" t="s">
        <v>690</v>
      </c>
      <c r="B684" s="35" t="s">
        <v>16231</v>
      </c>
      <c r="C684" s="35" t="s">
        <v>8953</v>
      </c>
      <c r="D684" s="35" t="s">
        <v>16053</v>
      </c>
      <c r="E684" s="35" t="s">
        <v>192</v>
      </c>
      <c r="F684" s="62">
        <v>1</v>
      </c>
      <c r="G684" s="30" t="s">
        <v>193</v>
      </c>
      <c r="H684" s="30" t="s">
        <v>194</v>
      </c>
      <c r="I684" s="30" t="s">
        <v>16121</v>
      </c>
      <c r="J684" s="35" t="s">
        <v>9302</v>
      </c>
      <c r="K684" s="35">
        <v>18</v>
      </c>
      <c r="L684" s="35" t="s">
        <v>6955</v>
      </c>
      <c r="M684" s="35"/>
      <c r="N684" s="35" t="s">
        <v>16232</v>
      </c>
      <c r="O684" s="35" t="s">
        <v>6295</v>
      </c>
      <c r="P684" s="35" t="s">
        <v>16050</v>
      </c>
      <c r="Q684" s="35" t="s">
        <v>16049</v>
      </c>
      <c r="R684" s="35" t="s">
        <v>16066</v>
      </c>
      <c r="S684" s="35">
        <v>2347766</v>
      </c>
      <c r="T684" s="35">
        <v>33716366</v>
      </c>
      <c r="U684" s="35"/>
      <c r="V684" s="30"/>
      <c r="W684" s="505" t="s">
        <v>8955</v>
      </c>
      <c r="X684" s="35" t="s">
        <v>193</v>
      </c>
      <c r="Y684" s="30">
        <v>25</v>
      </c>
      <c r="Z684" s="35"/>
      <c r="AA684" s="35"/>
      <c r="AB684" s="35"/>
      <c r="AC684" s="35"/>
      <c r="AD684" s="35"/>
      <c r="AE684" s="35"/>
      <c r="AF684" s="35"/>
      <c r="AG684" s="35"/>
      <c r="AH684" s="30" t="s">
        <v>4714</v>
      </c>
      <c r="AI684" s="35" t="s">
        <v>16231</v>
      </c>
      <c r="AJ684" s="62" t="str">
        <f>MID('I kw.22'!W684,8,6)</f>
        <v>252103</v>
      </c>
      <c r="AK684" s="62">
        <v>1</v>
      </c>
      <c r="AL684" s="62">
        <f t="shared" si="10"/>
        <v>1</v>
      </c>
      <c r="AM684" s="62">
        <v>1</v>
      </c>
    </row>
    <row r="685" spans="1:39" x14ac:dyDescent="0.25">
      <c r="A685" s="35" t="s">
        <v>16230</v>
      </c>
      <c r="B685" s="35" t="s">
        <v>17</v>
      </c>
      <c r="C685" s="35" t="s">
        <v>17</v>
      </c>
      <c r="D685" s="35" t="s">
        <v>16053</v>
      </c>
      <c r="E685" s="35" t="s">
        <v>192</v>
      </c>
      <c r="F685" s="62">
        <v>1</v>
      </c>
      <c r="G685" s="30" t="s">
        <v>193</v>
      </c>
      <c r="H685" s="30" t="s">
        <v>194</v>
      </c>
      <c r="I685" s="30" t="s">
        <v>16052</v>
      </c>
      <c r="J685" s="35" t="s">
        <v>9302</v>
      </c>
      <c r="K685" s="35">
        <v>18</v>
      </c>
      <c r="L685" s="35" t="s">
        <v>6955</v>
      </c>
      <c r="M685" s="35"/>
      <c r="N685" s="35" t="s">
        <v>16229</v>
      </c>
      <c r="O685" s="35" t="s">
        <v>6288</v>
      </c>
      <c r="P685" s="35" t="s">
        <v>16050</v>
      </c>
      <c r="Q685" s="35" t="s">
        <v>16049</v>
      </c>
      <c r="R685" s="35" t="s">
        <v>16066</v>
      </c>
      <c r="S685" s="35">
        <v>2347806</v>
      </c>
      <c r="T685" s="35">
        <v>33716406</v>
      </c>
      <c r="U685" s="35"/>
      <c r="V685" s="30"/>
      <c r="W685" s="505" t="s">
        <v>624</v>
      </c>
      <c r="X685" s="35" t="s">
        <v>193</v>
      </c>
      <c r="Y685" s="30">
        <v>25</v>
      </c>
      <c r="Z685" s="35"/>
      <c r="AA685" s="35"/>
      <c r="AB685" s="35"/>
      <c r="AC685" s="35"/>
      <c r="AD685" s="35"/>
      <c r="AE685" s="35"/>
      <c r="AF685" s="35"/>
      <c r="AG685" s="35"/>
      <c r="AH685" s="30" t="s">
        <v>4714</v>
      </c>
      <c r="AI685" s="35" t="s">
        <v>17</v>
      </c>
      <c r="AJ685" s="62" t="str">
        <f>MID('I kw.22'!W685,8,6)</f>
        <v>332203</v>
      </c>
      <c r="AK685" s="62">
        <v>1</v>
      </c>
      <c r="AL685" s="62">
        <f t="shared" si="10"/>
        <v>1</v>
      </c>
      <c r="AM685" s="62">
        <v>1</v>
      </c>
    </row>
    <row r="686" spans="1:39" x14ac:dyDescent="0.25">
      <c r="A686" s="35" t="s">
        <v>10076</v>
      </c>
      <c r="B686" s="35" t="s">
        <v>16227</v>
      </c>
      <c r="C686" s="35" t="s">
        <v>10</v>
      </c>
      <c r="D686" s="35" t="s">
        <v>16053</v>
      </c>
      <c r="E686" s="35" t="s">
        <v>192</v>
      </c>
      <c r="F686" s="62">
        <v>1</v>
      </c>
      <c r="G686" s="30" t="s">
        <v>193</v>
      </c>
      <c r="H686" s="30" t="s">
        <v>194</v>
      </c>
      <c r="I686" s="30" t="s">
        <v>16121</v>
      </c>
      <c r="J686" s="35" t="s">
        <v>9302</v>
      </c>
      <c r="K686" s="35">
        <v>18</v>
      </c>
      <c r="L686" s="35" t="s">
        <v>6955</v>
      </c>
      <c r="M686" s="35"/>
      <c r="N686" s="35" t="s">
        <v>16228</v>
      </c>
      <c r="O686" s="35" t="s">
        <v>6295</v>
      </c>
      <c r="P686" s="35" t="s">
        <v>16050</v>
      </c>
      <c r="Q686" s="35" t="s">
        <v>16049</v>
      </c>
      <c r="R686" s="35" t="s">
        <v>16066</v>
      </c>
      <c r="S686" s="35">
        <v>2347826</v>
      </c>
      <c r="T686" s="35">
        <v>33716426</v>
      </c>
      <c r="U686" s="35"/>
      <c r="V686" s="30"/>
      <c r="W686" s="505" t="s">
        <v>484</v>
      </c>
      <c r="X686" s="35" t="s">
        <v>193</v>
      </c>
      <c r="Y686" s="30">
        <v>25</v>
      </c>
      <c r="Z686" s="35"/>
      <c r="AA686" s="35"/>
      <c r="AB686" s="35"/>
      <c r="AC686" s="35"/>
      <c r="AD686" s="35"/>
      <c r="AE686" s="35"/>
      <c r="AF686" s="35"/>
      <c r="AG686" s="35"/>
      <c r="AH686" s="30" t="s">
        <v>4714</v>
      </c>
      <c r="AI686" s="35" t="s">
        <v>16227</v>
      </c>
      <c r="AJ686" s="62" t="str">
        <f>MID('I kw.22'!W686,8,6)</f>
        <v>251401</v>
      </c>
      <c r="AK686" s="62">
        <v>1</v>
      </c>
      <c r="AL686" s="62">
        <f t="shared" si="10"/>
        <v>1</v>
      </c>
      <c r="AM686" s="62">
        <v>1</v>
      </c>
    </row>
    <row r="687" spans="1:39" x14ac:dyDescent="0.25">
      <c r="A687" s="35" t="s">
        <v>7608</v>
      </c>
      <c r="B687" s="35" t="s">
        <v>16225</v>
      </c>
      <c r="C687" s="35" t="s">
        <v>18</v>
      </c>
      <c r="D687" s="35" t="s">
        <v>16053</v>
      </c>
      <c r="E687" s="35" t="s">
        <v>192</v>
      </c>
      <c r="F687" s="62">
        <v>1</v>
      </c>
      <c r="G687" s="30" t="s">
        <v>194</v>
      </c>
      <c r="H687" s="30" t="s">
        <v>193</v>
      </c>
      <c r="I687" s="30" t="s">
        <v>16068</v>
      </c>
      <c r="J687" s="35" t="s">
        <v>276</v>
      </c>
      <c r="K687" s="35">
        <v>18</v>
      </c>
      <c r="L687" s="35" t="s">
        <v>6955</v>
      </c>
      <c r="M687" s="35"/>
      <c r="N687" s="35" t="s">
        <v>16226</v>
      </c>
      <c r="O687" s="35" t="s">
        <v>6286</v>
      </c>
      <c r="P687" s="35" t="s">
        <v>16050</v>
      </c>
      <c r="Q687" s="35" t="s">
        <v>16049</v>
      </c>
      <c r="R687" s="35" t="s">
        <v>16066</v>
      </c>
      <c r="S687" s="35">
        <v>2347844</v>
      </c>
      <c r="T687" s="35">
        <v>33716444</v>
      </c>
      <c r="U687" s="35"/>
      <c r="V687" s="30">
        <v>1803</v>
      </c>
      <c r="W687" s="35" t="s">
        <v>1476</v>
      </c>
      <c r="X687" s="35" t="s">
        <v>194</v>
      </c>
      <c r="Y687" s="30">
        <v>1</v>
      </c>
      <c r="Z687" s="35"/>
      <c r="AA687" s="35"/>
      <c r="AB687" s="35"/>
      <c r="AC687" s="35"/>
      <c r="AD687" s="35"/>
      <c r="AE687" s="35"/>
      <c r="AF687" s="35"/>
      <c r="AG687" s="35"/>
      <c r="AH687" s="30" t="s">
        <v>4714</v>
      </c>
      <c r="AI687" s="35" t="s">
        <v>16225</v>
      </c>
      <c r="AJ687" s="62" t="str">
        <f>MID('I kw.22'!W687,8,6)</f>
        <v>242309</v>
      </c>
      <c r="AK687" s="62">
        <v>1</v>
      </c>
      <c r="AL687" s="62">
        <f t="shared" si="10"/>
        <v>1</v>
      </c>
      <c r="AM687" s="62">
        <v>1</v>
      </c>
    </row>
    <row r="688" spans="1:39" x14ac:dyDescent="0.25">
      <c r="A688" s="35" t="s">
        <v>13552</v>
      </c>
      <c r="B688" s="35" t="s">
        <v>4258</v>
      </c>
      <c r="C688" s="35" t="s">
        <v>1325</v>
      </c>
      <c r="D688" s="35" t="s">
        <v>16053</v>
      </c>
      <c r="E688" s="35" t="s">
        <v>192</v>
      </c>
      <c r="F688" s="62">
        <v>1</v>
      </c>
      <c r="G688" s="30" t="s">
        <v>193</v>
      </c>
      <c r="H688" s="30" t="s">
        <v>194</v>
      </c>
      <c r="I688" s="30" t="s">
        <v>16048</v>
      </c>
      <c r="J688" s="35" t="s">
        <v>9302</v>
      </c>
      <c r="K688" s="35">
        <v>18</v>
      </c>
      <c r="L688" s="35" t="s">
        <v>6955</v>
      </c>
      <c r="M688" s="35"/>
      <c r="N688" s="35" t="s">
        <v>16224</v>
      </c>
      <c r="O688" s="35" t="s">
        <v>6258</v>
      </c>
      <c r="P688" s="35" t="s">
        <v>16050</v>
      </c>
      <c r="Q688" s="35" t="s">
        <v>16049</v>
      </c>
      <c r="R688" s="35" t="s">
        <v>16066</v>
      </c>
      <c r="S688" s="35">
        <v>2347859</v>
      </c>
      <c r="T688" s="35">
        <v>33716459</v>
      </c>
      <c r="U688" s="35"/>
      <c r="V688" s="30"/>
      <c r="W688" s="505" t="s">
        <v>1327</v>
      </c>
      <c r="X688" s="35" t="s">
        <v>193</v>
      </c>
      <c r="Y688" s="30">
        <v>25</v>
      </c>
      <c r="Z688" s="35"/>
      <c r="AA688" s="35"/>
      <c r="AB688" s="35"/>
      <c r="AC688" s="35"/>
      <c r="AD688" s="35"/>
      <c r="AE688" s="35"/>
      <c r="AF688" s="35"/>
      <c r="AG688" s="35"/>
      <c r="AH688" s="30" t="s">
        <v>4714</v>
      </c>
      <c r="AI688" s="35" t="s">
        <v>4258</v>
      </c>
      <c r="AJ688" s="62" t="str">
        <f>MID('I kw.22'!W688,8,6)</f>
        <v>931301</v>
      </c>
      <c r="AK688" s="62">
        <v>1</v>
      </c>
      <c r="AL688" s="62">
        <f t="shared" si="10"/>
        <v>1</v>
      </c>
      <c r="AM688" s="62">
        <v>1</v>
      </c>
    </row>
    <row r="689" spans="1:39" x14ac:dyDescent="0.25">
      <c r="A689" s="35" t="s">
        <v>16223</v>
      </c>
      <c r="B689" s="35" t="s">
        <v>16221</v>
      </c>
      <c r="C689" s="35" t="s">
        <v>136</v>
      </c>
      <c r="D689" s="35" t="s">
        <v>16053</v>
      </c>
      <c r="E689" s="35" t="s">
        <v>192</v>
      </c>
      <c r="F689" s="62">
        <v>1</v>
      </c>
      <c r="G689" s="30" t="s">
        <v>193</v>
      </c>
      <c r="H689" s="30" t="s">
        <v>194</v>
      </c>
      <c r="I689" s="30" t="s">
        <v>16078</v>
      </c>
      <c r="J689" s="35" t="s">
        <v>9302</v>
      </c>
      <c r="K689" s="35">
        <v>18</v>
      </c>
      <c r="L689" s="35" t="s">
        <v>6955</v>
      </c>
      <c r="M689" s="35"/>
      <c r="N689" s="35" t="s">
        <v>16222</v>
      </c>
      <c r="O689" s="35" t="s">
        <v>6245</v>
      </c>
      <c r="P689" s="35" t="s">
        <v>16050</v>
      </c>
      <c r="Q689" s="35" t="s">
        <v>16049</v>
      </c>
      <c r="R689" s="35" t="s">
        <v>16066</v>
      </c>
      <c r="S689" s="35">
        <v>2347869</v>
      </c>
      <c r="T689" s="35">
        <v>33716469</v>
      </c>
      <c r="U689" s="35"/>
      <c r="V689" s="30"/>
      <c r="W689" s="505" t="s">
        <v>461</v>
      </c>
      <c r="X689" s="35" t="s">
        <v>193</v>
      </c>
      <c r="Y689" s="30">
        <v>25</v>
      </c>
      <c r="Z689" s="35"/>
      <c r="AA689" s="35"/>
      <c r="AB689" s="35"/>
      <c r="AC689" s="35"/>
      <c r="AD689" s="35"/>
      <c r="AE689" s="35"/>
      <c r="AF689" s="35"/>
      <c r="AG689" s="35"/>
      <c r="AH689" s="30" t="s">
        <v>4714</v>
      </c>
      <c r="AI689" s="35" t="s">
        <v>16221</v>
      </c>
      <c r="AJ689" s="62" t="str">
        <f>MID('I kw.22'!W689,8,6)</f>
        <v>243301</v>
      </c>
      <c r="AK689" s="62">
        <v>1</v>
      </c>
      <c r="AL689" s="62">
        <f t="shared" si="10"/>
        <v>1</v>
      </c>
      <c r="AM689" s="62">
        <v>1</v>
      </c>
    </row>
    <row r="690" spans="1:39" x14ac:dyDescent="0.25">
      <c r="A690" s="35" t="s">
        <v>10278</v>
      </c>
      <c r="B690" s="35" t="s">
        <v>16219</v>
      </c>
      <c r="C690" s="35" t="s">
        <v>3219</v>
      </c>
      <c r="D690" s="35" t="s">
        <v>16053</v>
      </c>
      <c r="E690" s="35" t="s">
        <v>192</v>
      </c>
      <c r="F690" s="62">
        <v>1</v>
      </c>
      <c r="G690" s="30" t="s">
        <v>193</v>
      </c>
      <c r="H690" s="30" t="s">
        <v>194</v>
      </c>
      <c r="I690" s="30" t="s">
        <v>16061</v>
      </c>
      <c r="J690" s="35" t="s">
        <v>9302</v>
      </c>
      <c r="K690" s="35">
        <v>18</v>
      </c>
      <c r="L690" s="35" t="s">
        <v>6955</v>
      </c>
      <c r="M690" s="35"/>
      <c r="N690" s="35" t="s">
        <v>16220</v>
      </c>
      <c r="O690" s="35" t="s">
        <v>6302</v>
      </c>
      <c r="P690" s="35" t="s">
        <v>16050</v>
      </c>
      <c r="Q690" s="35" t="s">
        <v>16049</v>
      </c>
      <c r="R690" s="35" t="s">
        <v>16066</v>
      </c>
      <c r="S690" s="35">
        <v>2347884</v>
      </c>
      <c r="T690" s="35">
        <v>33716484</v>
      </c>
      <c r="U690" s="35"/>
      <c r="V690" s="30"/>
      <c r="W690" s="505" t="s">
        <v>3620</v>
      </c>
      <c r="X690" s="35" t="s">
        <v>193</v>
      </c>
      <c r="Y690" s="30">
        <v>25</v>
      </c>
      <c r="Z690" s="35"/>
      <c r="AA690" s="35"/>
      <c r="AB690" s="35"/>
      <c r="AC690" s="35"/>
      <c r="AD690" s="35"/>
      <c r="AE690" s="35"/>
      <c r="AF690" s="35"/>
      <c r="AG690" s="35"/>
      <c r="AH690" s="30" t="s">
        <v>4714</v>
      </c>
      <c r="AI690" s="35" t="s">
        <v>16219</v>
      </c>
      <c r="AJ690" s="62" t="str">
        <f>MID('I kw.22'!W690,8,6)</f>
        <v>243109</v>
      </c>
      <c r="AK690" s="62">
        <v>1</v>
      </c>
      <c r="AL690" s="62">
        <f t="shared" si="10"/>
        <v>1</v>
      </c>
      <c r="AM690" s="62">
        <v>1</v>
      </c>
    </row>
    <row r="691" spans="1:39" x14ac:dyDescent="0.25">
      <c r="A691" s="35" t="s">
        <v>16218</v>
      </c>
      <c r="B691" s="35" t="s">
        <v>16216</v>
      </c>
      <c r="C691" s="35" t="s">
        <v>115</v>
      </c>
      <c r="D691" s="35" t="s">
        <v>16053</v>
      </c>
      <c r="E691" s="35" t="s">
        <v>192</v>
      </c>
      <c r="F691" s="62">
        <v>1</v>
      </c>
      <c r="G691" s="30" t="s">
        <v>193</v>
      </c>
      <c r="H691" s="30" t="s">
        <v>194</v>
      </c>
      <c r="I691" s="30" t="s">
        <v>16073</v>
      </c>
      <c r="J691" s="35" t="s">
        <v>9302</v>
      </c>
      <c r="K691" s="35">
        <v>18</v>
      </c>
      <c r="L691" s="35" t="s">
        <v>6955</v>
      </c>
      <c r="M691" s="35"/>
      <c r="N691" s="35" t="s">
        <v>16217</v>
      </c>
      <c r="O691" s="35" t="s">
        <v>6245</v>
      </c>
      <c r="P691" s="35" t="s">
        <v>16050</v>
      </c>
      <c r="Q691" s="35" t="s">
        <v>16049</v>
      </c>
      <c r="R691" s="35" t="s">
        <v>16066</v>
      </c>
      <c r="S691" s="35">
        <v>2347905</v>
      </c>
      <c r="T691" s="35">
        <v>33716505</v>
      </c>
      <c r="U691" s="35"/>
      <c r="V691" s="30"/>
      <c r="W691" s="505" t="s">
        <v>1183</v>
      </c>
      <c r="X691" s="35" t="s">
        <v>193</v>
      </c>
      <c r="Y691" s="30">
        <v>25</v>
      </c>
      <c r="Z691" s="35"/>
      <c r="AA691" s="35"/>
      <c r="AB691" s="35"/>
      <c r="AC691" s="35"/>
      <c r="AD691" s="35"/>
      <c r="AE691" s="35"/>
      <c r="AF691" s="35"/>
      <c r="AG691" s="35"/>
      <c r="AH691" s="30" t="s">
        <v>4714</v>
      </c>
      <c r="AI691" s="35" t="s">
        <v>16216</v>
      </c>
      <c r="AJ691" s="62" t="str">
        <f>MID('I kw.22'!W691,8,6)</f>
        <v>311909</v>
      </c>
      <c r="AK691" s="62">
        <v>1</v>
      </c>
      <c r="AL691" s="62">
        <f t="shared" si="10"/>
        <v>1</v>
      </c>
      <c r="AM691" s="62">
        <v>1</v>
      </c>
    </row>
    <row r="692" spans="1:39" x14ac:dyDescent="0.25">
      <c r="A692" s="35" t="s">
        <v>9387</v>
      </c>
      <c r="B692" s="35" t="s">
        <v>1765</v>
      </c>
      <c r="C692" s="35" t="s">
        <v>1766</v>
      </c>
      <c r="D692" s="35" t="s">
        <v>16053</v>
      </c>
      <c r="E692" s="35" t="s">
        <v>192</v>
      </c>
      <c r="F692" s="62">
        <v>1</v>
      </c>
      <c r="G692" s="30" t="s">
        <v>193</v>
      </c>
      <c r="H692" s="30" t="s">
        <v>194</v>
      </c>
      <c r="I692" s="30" t="s">
        <v>16052</v>
      </c>
      <c r="J692" s="35" t="s">
        <v>9302</v>
      </c>
      <c r="K692" s="35">
        <v>18</v>
      </c>
      <c r="L692" s="35" t="s">
        <v>6955</v>
      </c>
      <c r="M692" s="35"/>
      <c r="N692" s="35" t="s">
        <v>16215</v>
      </c>
      <c r="O692" s="35" t="s">
        <v>6327</v>
      </c>
      <c r="P692" s="35" t="s">
        <v>16050</v>
      </c>
      <c r="Q692" s="35" t="s">
        <v>16049</v>
      </c>
      <c r="R692" s="35" t="s">
        <v>16066</v>
      </c>
      <c r="S692" s="35">
        <v>2347922</v>
      </c>
      <c r="T692" s="35">
        <v>33716522</v>
      </c>
      <c r="U692" s="35"/>
      <c r="V692" s="30"/>
      <c r="W692" s="505" t="s">
        <v>1767</v>
      </c>
      <c r="X692" s="35" t="s">
        <v>193</v>
      </c>
      <c r="Y692" s="30">
        <v>25</v>
      </c>
      <c r="Z692" s="35"/>
      <c r="AA692" s="35"/>
      <c r="AB692" s="35"/>
      <c r="AC692" s="35"/>
      <c r="AD692" s="35"/>
      <c r="AE692" s="35"/>
      <c r="AF692" s="35"/>
      <c r="AG692" s="35"/>
      <c r="AH692" s="30" t="s">
        <v>4714</v>
      </c>
      <c r="AI692" s="35" t="s">
        <v>1765</v>
      </c>
      <c r="AJ692" s="62" t="str">
        <f>MID('I kw.22'!W692,8,6)</f>
        <v>242112</v>
      </c>
      <c r="AK692" s="62">
        <v>1</v>
      </c>
      <c r="AL692" s="62">
        <f t="shared" si="10"/>
        <v>1</v>
      </c>
      <c r="AM692" s="62">
        <v>1</v>
      </c>
    </row>
    <row r="693" spans="1:39" x14ac:dyDescent="0.25">
      <c r="A693" s="35" t="s">
        <v>9387</v>
      </c>
      <c r="B693" s="35" t="s">
        <v>16213</v>
      </c>
      <c r="C693" s="35" t="s">
        <v>37</v>
      </c>
      <c r="D693" s="35" t="s">
        <v>16053</v>
      </c>
      <c r="E693" s="35" t="s">
        <v>192</v>
      </c>
      <c r="F693" s="62">
        <v>1</v>
      </c>
      <c r="G693" s="30" t="s">
        <v>193</v>
      </c>
      <c r="H693" s="30" t="s">
        <v>194</v>
      </c>
      <c r="I693" s="30" t="s">
        <v>16183</v>
      </c>
      <c r="J693" s="35" t="s">
        <v>9302</v>
      </c>
      <c r="K693" s="35">
        <v>18</v>
      </c>
      <c r="L693" s="35" t="s">
        <v>6955</v>
      </c>
      <c r="M693" s="35"/>
      <c r="N693" s="35" t="s">
        <v>16214</v>
      </c>
      <c r="O693" s="35" t="s">
        <v>6921</v>
      </c>
      <c r="P693" s="35" t="s">
        <v>16050</v>
      </c>
      <c r="Q693" s="35" t="s">
        <v>16049</v>
      </c>
      <c r="R693" s="35" t="s">
        <v>16066</v>
      </c>
      <c r="S693" s="35">
        <v>2347937</v>
      </c>
      <c r="T693" s="35">
        <v>33716537</v>
      </c>
      <c r="U693" s="35"/>
      <c r="V693" s="30"/>
      <c r="W693" s="505" t="s">
        <v>516</v>
      </c>
      <c r="X693" s="35" t="s">
        <v>193</v>
      </c>
      <c r="Y693" s="30">
        <v>25</v>
      </c>
      <c r="Z693" s="35"/>
      <c r="AA693" s="35"/>
      <c r="AB693" s="35"/>
      <c r="AC693" s="35"/>
      <c r="AD693" s="35"/>
      <c r="AE693" s="35"/>
      <c r="AF693" s="35"/>
      <c r="AG693" s="35"/>
      <c r="AH693" s="30" t="s">
        <v>4714</v>
      </c>
      <c r="AI693" s="35" t="s">
        <v>16213</v>
      </c>
      <c r="AJ693" s="62" t="str">
        <f>MID('I kw.22'!W693,8,6)</f>
        <v>252302</v>
      </c>
      <c r="AK693" s="62">
        <v>1</v>
      </c>
      <c r="AL693" s="62">
        <f t="shared" si="10"/>
        <v>1</v>
      </c>
      <c r="AM693" s="62">
        <v>1</v>
      </c>
    </row>
    <row r="694" spans="1:39" x14ac:dyDescent="0.25">
      <c r="A694" s="35" t="s">
        <v>16212</v>
      </c>
      <c r="B694" s="35" t="s">
        <v>16210</v>
      </c>
      <c r="C694" s="35" t="s">
        <v>120</v>
      </c>
      <c r="D694" s="35" t="s">
        <v>16053</v>
      </c>
      <c r="E694" s="35" t="s">
        <v>192</v>
      </c>
      <c r="F694" s="62">
        <v>1</v>
      </c>
      <c r="G694" s="30" t="s">
        <v>193</v>
      </c>
      <c r="H694" s="30" t="s">
        <v>194</v>
      </c>
      <c r="I694" s="30" t="s">
        <v>16078</v>
      </c>
      <c r="J694" s="35" t="s">
        <v>9302</v>
      </c>
      <c r="K694" s="35">
        <v>18</v>
      </c>
      <c r="L694" s="35" t="s">
        <v>6955</v>
      </c>
      <c r="M694" s="35"/>
      <c r="N694" s="35" t="s">
        <v>16211</v>
      </c>
      <c r="O694" s="35" t="s">
        <v>6254</v>
      </c>
      <c r="P694" s="35" t="s">
        <v>16050</v>
      </c>
      <c r="Q694" s="35" t="s">
        <v>16049</v>
      </c>
      <c r="R694" s="35" t="s">
        <v>16066</v>
      </c>
      <c r="S694" s="35">
        <v>2347952</v>
      </c>
      <c r="T694" s="35">
        <v>33716552</v>
      </c>
      <c r="U694" s="35"/>
      <c r="V694" s="30"/>
      <c r="W694" s="505" t="s">
        <v>424</v>
      </c>
      <c r="X694" s="35" t="s">
        <v>193</v>
      </c>
      <c r="Y694" s="30">
        <v>25</v>
      </c>
      <c r="Z694" s="35"/>
      <c r="AA694" s="35"/>
      <c r="AB694" s="35"/>
      <c r="AC694" s="35"/>
      <c r="AD694" s="35"/>
      <c r="AE694" s="35"/>
      <c r="AF694" s="35"/>
      <c r="AG694" s="35"/>
      <c r="AH694" s="30" t="s">
        <v>4714</v>
      </c>
      <c r="AI694" s="35" t="s">
        <v>16210</v>
      </c>
      <c r="AJ694" s="62" t="str">
        <f>MID('I kw.22'!W694,8,6)</f>
        <v>241307</v>
      </c>
      <c r="AK694" s="62">
        <v>1</v>
      </c>
      <c r="AL694" s="62">
        <f t="shared" si="10"/>
        <v>1</v>
      </c>
      <c r="AM694" s="62">
        <v>1</v>
      </c>
    </row>
    <row r="695" spans="1:39" x14ac:dyDescent="0.25">
      <c r="A695" s="35" t="s">
        <v>889</v>
      </c>
      <c r="B695" s="35" t="s">
        <v>304</v>
      </c>
      <c r="C695" s="35" t="s">
        <v>319</v>
      </c>
      <c r="D695" s="35" t="s">
        <v>16053</v>
      </c>
      <c r="E695" s="35" t="s">
        <v>192</v>
      </c>
      <c r="F695" s="62">
        <v>1</v>
      </c>
      <c r="G695" s="30" t="s">
        <v>193</v>
      </c>
      <c r="H695" s="30" t="s">
        <v>194</v>
      </c>
      <c r="I695" s="30" t="s">
        <v>16068</v>
      </c>
      <c r="J695" s="35" t="s">
        <v>9302</v>
      </c>
      <c r="K695" s="35">
        <v>18</v>
      </c>
      <c r="L695" s="35" t="s">
        <v>6955</v>
      </c>
      <c r="M695" s="35"/>
      <c r="N695" s="35" t="s">
        <v>16209</v>
      </c>
      <c r="O695" s="35" t="s">
        <v>6245</v>
      </c>
      <c r="P695" s="35" t="s">
        <v>16050</v>
      </c>
      <c r="Q695" s="35" t="s">
        <v>16049</v>
      </c>
      <c r="R695" s="35" t="s">
        <v>16066</v>
      </c>
      <c r="S695" s="35">
        <v>2347959</v>
      </c>
      <c r="T695" s="35">
        <v>33716559</v>
      </c>
      <c r="U695" s="35"/>
      <c r="V695" s="30"/>
      <c r="W695" s="505" t="s">
        <v>320</v>
      </c>
      <c r="X695" s="35" t="s">
        <v>193</v>
      </c>
      <c r="Y695" s="30">
        <v>25</v>
      </c>
      <c r="Z695" s="35"/>
      <c r="AA695" s="35"/>
      <c r="AB695" s="35"/>
      <c r="AC695" s="35"/>
      <c r="AD695" s="35"/>
      <c r="AE695" s="35"/>
      <c r="AF695" s="35"/>
      <c r="AG695" s="35"/>
      <c r="AH695" s="30" t="s">
        <v>4714</v>
      </c>
      <c r="AI695" s="35" t="s">
        <v>304</v>
      </c>
      <c r="AJ695" s="62" t="str">
        <f>MID('I kw.22'!W695,8,6)</f>
        <v>214407</v>
      </c>
      <c r="AK695" s="62">
        <v>1</v>
      </c>
      <c r="AL695" s="62">
        <f t="shared" si="10"/>
        <v>1</v>
      </c>
      <c r="AM695" s="62">
        <v>1</v>
      </c>
    </row>
    <row r="696" spans="1:39" x14ac:dyDescent="0.25">
      <c r="A696" s="35" t="s">
        <v>1959</v>
      </c>
      <c r="B696" s="35" t="s">
        <v>16207</v>
      </c>
      <c r="C696" s="35" t="s">
        <v>122</v>
      </c>
      <c r="D696" s="35" t="s">
        <v>16053</v>
      </c>
      <c r="E696" s="35" t="s">
        <v>192</v>
      </c>
      <c r="F696" s="62">
        <v>1</v>
      </c>
      <c r="G696" s="30" t="s">
        <v>193</v>
      </c>
      <c r="H696" s="30" t="s">
        <v>194</v>
      </c>
      <c r="I696" s="30" t="s">
        <v>16121</v>
      </c>
      <c r="J696" s="35" t="s">
        <v>9302</v>
      </c>
      <c r="K696" s="35">
        <v>18</v>
      </c>
      <c r="L696" s="35" t="s">
        <v>6955</v>
      </c>
      <c r="M696" s="35"/>
      <c r="N696" s="35" t="s">
        <v>16208</v>
      </c>
      <c r="O696" s="35" t="s">
        <v>7489</v>
      </c>
      <c r="P696" s="35" t="s">
        <v>16050</v>
      </c>
      <c r="Q696" s="35" t="s">
        <v>16049</v>
      </c>
      <c r="R696" s="35" t="s">
        <v>16066</v>
      </c>
      <c r="S696" s="35">
        <v>2347962</v>
      </c>
      <c r="T696" s="35">
        <v>33716562</v>
      </c>
      <c r="U696" s="35"/>
      <c r="V696" s="30"/>
      <c r="W696" s="505" t="s">
        <v>655</v>
      </c>
      <c r="X696" s="35" t="s">
        <v>193</v>
      </c>
      <c r="Y696" s="30">
        <v>25</v>
      </c>
      <c r="Z696" s="35"/>
      <c r="AA696" s="35"/>
      <c r="AB696" s="35"/>
      <c r="AC696" s="35"/>
      <c r="AD696" s="35"/>
      <c r="AE696" s="35"/>
      <c r="AF696" s="35"/>
      <c r="AG696" s="35"/>
      <c r="AH696" s="30" t="s">
        <v>4714</v>
      </c>
      <c r="AI696" s="35" t="s">
        <v>16207</v>
      </c>
      <c r="AJ696" s="62" t="str">
        <f>MID('I kw.22'!W696,8,6)</f>
        <v>332301</v>
      </c>
      <c r="AK696" s="62">
        <v>1</v>
      </c>
      <c r="AL696" s="62">
        <f t="shared" si="10"/>
        <v>1</v>
      </c>
      <c r="AM696" s="62">
        <v>1</v>
      </c>
    </row>
    <row r="697" spans="1:39" x14ac:dyDescent="0.25">
      <c r="A697" s="35" t="s">
        <v>14637</v>
      </c>
      <c r="B697" s="35" t="s">
        <v>16205</v>
      </c>
      <c r="C697" s="35" t="s">
        <v>17</v>
      </c>
      <c r="D697" s="35" t="s">
        <v>16053</v>
      </c>
      <c r="E697" s="35" t="s">
        <v>192</v>
      </c>
      <c r="F697" s="62">
        <v>1</v>
      </c>
      <c r="G697" s="30" t="s">
        <v>193</v>
      </c>
      <c r="H697" s="30" t="s">
        <v>194</v>
      </c>
      <c r="I697" s="30" t="s">
        <v>16052</v>
      </c>
      <c r="J697" s="35" t="s">
        <v>9302</v>
      </c>
      <c r="K697" s="35">
        <v>18</v>
      </c>
      <c r="L697" s="35" t="s">
        <v>6955</v>
      </c>
      <c r="M697" s="35"/>
      <c r="N697" s="35" t="s">
        <v>16206</v>
      </c>
      <c r="O697" s="35" t="s">
        <v>6245</v>
      </c>
      <c r="P697" s="35" t="s">
        <v>16050</v>
      </c>
      <c r="Q697" s="35" t="s">
        <v>16049</v>
      </c>
      <c r="R697" s="35" t="s">
        <v>16066</v>
      </c>
      <c r="S697" s="35">
        <v>2347966</v>
      </c>
      <c r="T697" s="35">
        <v>33716566</v>
      </c>
      <c r="U697" s="35"/>
      <c r="V697" s="30"/>
      <c r="W697" s="505" t="s">
        <v>624</v>
      </c>
      <c r="X697" s="35" t="s">
        <v>193</v>
      </c>
      <c r="Y697" s="30">
        <v>25</v>
      </c>
      <c r="Z697" s="35"/>
      <c r="AA697" s="35"/>
      <c r="AB697" s="35"/>
      <c r="AC697" s="35"/>
      <c r="AD697" s="35"/>
      <c r="AE697" s="35"/>
      <c r="AF697" s="35"/>
      <c r="AG697" s="35"/>
      <c r="AH697" s="30" t="s">
        <v>4714</v>
      </c>
      <c r="AI697" s="35" t="s">
        <v>16205</v>
      </c>
      <c r="AJ697" s="62" t="str">
        <f>MID('I kw.22'!W697,8,6)</f>
        <v>332203</v>
      </c>
      <c r="AK697" s="62">
        <v>1</v>
      </c>
      <c r="AL697" s="62">
        <f t="shared" si="10"/>
        <v>1</v>
      </c>
      <c r="AM697" s="62">
        <v>1</v>
      </c>
    </row>
    <row r="698" spans="1:39" x14ac:dyDescent="0.25">
      <c r="A698" s="35" t="s">
        <v>16204</v>
      </c>
      <c r="B698" s="35" t="s">
        <v>16202</v>
      </c>
      <c r="C698" s="35" t="s">
        <v>13328</v>
      </c>
      <c r="D698" s="35" t="s">
        <v>16053</v>
      </c>
      <c r="E698" s="35" t="s">
        <v>192</v>
      </c>
      <c r="F698" s="62">
        <v>1</v>
      </c>
      <c r="G698" s="30" t="s">
        <v>193</v>
      </c>
      <c r="H698" s="30" t="s">
        <v>194</v>
      </c>
      <c r="I698" s="30" t="s">
        <v>16068</v>
      </c>
      <c r="J698" s="35" t="s">
        <v>9302</v>
      </c>
      <c r="K698" s="35">
        <v>18</v>
      </c>
      <c r="L698" s="35" t="s">
        <v>6955</v>
      </c>
      <c r="M698" s="35"/>
      <c r="N698" s="35" t="s">
        <v>16203</v>
      </c>
      <c r="O698" s="35" t="s">
        <v>6258</v>
      </c>
      <c r="P698" s="35" t="s">
        <v>16050</v>
      </c>
      <c r="Q698" s="35" t="s">
        <v>16049</v>
      </c>
      <c r="R698" s="35" t="s">
        <v>16066</v>
      </c>
      <c r="S698" s="35">
        <v>2347976</v>
      </c>
      <c r="T698" s="35">
        <v>33716576</v>
      </c>
      <c r="U698" s="35"/>
      <c r="V698" s="30"/>
      <c r="W698" s="505" t="s">
        <v>1930</v>
      </c>
      <c r="X698" s="35" t="s">
        <v>193</v>
      </c>
      <c r="Y698" s="30">
        <v>25</v>
      </c>
      <c r="Z698" s="35"/>
      <c r="AA698" s="35"/>
      <c r="AB698" s="35"/>
      <c r="AC698" s="35"/>
      <c r="AD698" s="35"/>
      <c r="AE698" s="35"/>
      <c r="AF698" s="35"/>
      <c r="AG698" s="35"/>
      <c r="AH698" s="30" t="s">
        <v>4714</v>
      </c>
      <c r="AI698" s="35" t="s">
        <v>16202</v>
      </c>
      <c r="AJ698" s="62" t="str">
        <f>MID('I kw.22'!W698,8,6)</f>
        <v>214302</v>
      </c>
      <c r="AK698" s="62">
        <v>1</v>
      </c>
      <c r="AL698" s="62">
        <f t="shared" si="10"/>
        <v>1</v>
      </c>
      <c r="AM698" s="62">
        <v>1</v>
      </c>
    </row>
    <row r="699" spans="1:39" x14ac:dyDescent="0.25">
      <c r="A699" s="35" t="s">
        <v>16201</v>
      </c>
      <c r="B699" s="35" t="s">
        <v>1644</v>
      </c>
      <c r="C699" s="35" t="s">
        <v>80</v>
      </c>
      <c r="D699" s="35" t="s">
        <v>16053</v>
      </c>
      <c r="E699" s="35" t="s">
        <v>192</v>
      </c>
      <c r="F699" s="62">
        <v>1</v>
      </c>
      <c r="G699" s="30" t="s">
        <v>193</v>
      </c>
      <c r="H699" s="30" t="s">
        <v>194</v>
      </c>
      <c r="I699" s="30" t="s">
        <v>16121</v>
      </c>
      <c r="J699" s="35" t="s">
        <v>9302</v>
      </c>
      <c r="K699" s="35">
        <v>18</v>
      </c>
      <c r="L699" s="35" t="s">
        <v>6955</v>
      </c>
      <c r="M699" s="35"/>
      <c r="N699" s="35" t="s">
        <v>16200</v>
      </c>
      <c r="O699" s="35" t="s">
        <v>6245</v>
      </c>
      <c r="P699" s="35" t="s">
        <v>16050</v>
      </c>
      <c r="Q699" s="35" t="s">
        <v>16049</v>
      </c>
      <c r="R699" s="35" t="s">
        <v>16066</v>
      </c>
      <c r="S699" s="35">
        <v>2347988</v>
      </c>
      <c r="T699" s="35">
        <v>33716588</v>
      </c>
      <c r="U699" s="35"/>
      <c r="V699" s="30"/>
      <c r="W699" s="505" t="s">
        <v>474</v>
      </c>
      <c r="X699" s="35" t="s">
        <v>193</v>
      </c>
      <c r="Y699" s="30">
        <v>25</v>
      </c>
      <c r="Z699" s="35"/>
      <c r="AA699" s="35"/>
      <c r="AB699" s="35"/>
      <c r="AC699" s="35"/>
      <c r="AD699" s="35"/>
      <c r="AE699" s="35"/>
      <c r="AF699" s="35"/>
      <c r="AG699" s="35"/>
      <c r="AH699" s="30" t="s">
        <v>4714</v>
      </c>
      <c r="AI699" s="35" t="s">
        <v>1644</v>
      </c>
      <c r="AJ699" s="62" t="str">
        <f>MID('I kw.22'!W699,8,6)</f>
        <v>243304</v>
      </c>
      <c r="AK699" s="62">
        <v>1</v>
      </c>
      <c r="AL699" s="62">
        <f t="shared" si="10"/>
        <v>1</v>
      </c>
      <c r="AM699" s="62">
        <v>1</v>
      </c>
    </row>
    <row r="700" spans="1:39" x14ac:dyDescent="0.25">
      <c r="A700" s="35" t="s">
        <v>16199</v>
      </c>
      <c r="B700" s="35" t="s">
        <v>16197</v>
      </c>
      <c r="C700" s="35" t="s">
        <v>92</v>
      </c>
      <c r="D700" s="35" t="s">
        <v>16053</v>
      </c>
      <c r="E700" s="35" t="s">
        <v>192</v>
      </c>
      <c r="F700" s="62">
        <v>1</v>
      </c>
      <c r="G700" s="30" t="s">
        <v>193</v>
      </c>
      <c r="H700" s="30" t="s">
        <v>194</v>
      </c>
      <c r="I700" s="30" t="s">
        <v>16121</v>
      </c>
      <c r="J700" s="35" t="s">
        <v>9302</v>
      </c>
      <c r="K700" s="35">
        <v>18</v>
      </c>
      <c r="L700" s="35" t="s">
        <v>6955</v>
      </c>
      <c r="M700" s="35"/>
      <c r="N700" s="35" t="s">
        <v>16198</v>
      </c>
      <c r="O700" s="35" t="s">
        <v>6261</v>
      </c>
      <c r="P700" s="35" t="s">
        <v>16050</v>
      </c>
      <c r="Q700" s="35" t="s">
        <v>16049</v>
      </c>
      <c r="R700" s="35" t="s">
        <v>16066</v>
      </c>
      <c r="S700" s="35">
        <v>2348008</v>
      </c>
      <c r="T700" s="35">
        <v>33716608</v>
      </c>
      <c r="U700" s="35"/>
      <c r="V700" s="30"/>
      <c r="W700" s="505" t="s">
        <v>2078</v>
      </c>
      <c r="X700" s="35" t="s">
        <v>193</v>
      </c>
      <c r="Y700" s="30">
        <v>25</v>
      </c>
      <c r="Z700" s="35"/>
      <c r="AA700" s="35"/>
      <c r="AB700" s="35"/>
      <c r="AC700" s="35"/>
      <c r="AD700" s="35"/>
      <c r="AE700" s="35"/>
      <c r="AF700" s="35"/>
      <c r="AG700" s="35"/>
      <c r="AH700" s="30" t="s">
        <v>4714</v>
      </c>
      <c r="AI700" s="35" t="s">
        <v>16197</v>
      </c>
      <c r="AJ700" s="62" t="str">
        <f>MID('I kw.22'!W700,8,6)</f>
        <v>351201</v>
      </c>
      <c r="AK700" s="62">
        <v>1</v>
      </c>
      <c r="AL700" s="62">
        <f t="shared" si="10"/>
        <v>1</v>
      </c>
      <c r="AM700" s="62">
        <v>1</v>
      </c>
    </row>
    <row r="701" spans="1:39" x14ac:dyDescent="0.25">
      <c r="A701" s="35" t="s">
        <v>712</v>
      </c>
      <c r="B701" s="35" t="s">
        <v>16195</v>
      </c>
      <c r="C701" s="35" t="s">
        <v>2771</v>
      </c>
      <c r="D701" s="35" t="s">
        <v>16053</v>
      </c>
      <c r="E701" s="35" t="s">
        <v>192</v>
      </c>
      <c r="F701" s="62">
        <v>1</v>
      </c>
      <c r="G701" s="30" t="s">
        <v>193</v>
      </c>
      <c r="H701" s="30" t="s">
        <v>194</v>
      </c>
      <c r="I701" s="30" t="s">
        <v>16068</v>
      </c>
      <c r="J701" s="35" t="s">
        <v>9302</v>
      </c>
      <c r="K701" s="35">
        <v>18</v>
      </c>
      <c r="L701" s="35" t="s">
        <v>6955</v>
      </c>
      <c r="M701" s="35"/>
      <c r="N701" s="35" t="s">
        <v>16196</v>
      </c>
      <c r="O701" s="35" t="s">
        <v>6254</v>
      </c>
      <c r="P701" s="35" t="s">
        <v>16050</v>
      </c>
      <c r="Q701" s="35" t="s">
        <v>16049</v>
      </c>
      <c r="R701" s="35" t="s">
        <v>16066</v>
      </c>
      <c r="S701" s="35">
        <v>2348021</v>
      </c>
      <c r="T701" s="35">
        <v>33716621</v>
      </c>
      <c r="U701" s="35"/>
      <c r="V701" s="30"/>
      <c r="W701" s="505" t="s">
        <v>4816</v>
      </c>
      <c r="X701" s="35" t="s">
        <v>193</v>
      </c>
      <c r="Y701" s="30">
        <v>25</v>
      </c>
      <c r="Z701" s="35"/>
      <c r="AA701" s="35"/>
      <c r="AB701" s="35"/>
      <c r="AC701" s="35"/>
      <c r="AD701" s="35"/>
      <c r="AE701" s="35"/>
      <c r="AF701" s="35"/>
      <c r="AG701" s="35"/>
      <c r="AH701" s="30" t="s">
        <v>4714</v>
      </c>
      <c r="AI701" s="35" t="s">
        <v>16195</v>
      </c>
      <c r="AJ701" s="62" t="str">
        <f>MID('I kw.22'!W701,8,6)</f>
        <v>331403</v>
      </c>
      <c r="AK701" s="62">
        <v>1</v>
      </c>
      <c r="AL701" s="62">
        <f t="shared" si="10"/>
        <v>1</v>
      </c>
      <c r="AM701" s="62">
        <v>1</v>
      </c>
    </row>
    <row r="702" spans="1:39" x14ac:dyDescent="0.25">
      <c r="A702" s="35" t="s">
        <v>13860</v>
      </c>
      <c r="B702" s="35" t="s">
        <v>16193</v>
      </c>
      <c r="C702" s="35" t="s">
        <v>1136</v>
      </c>
      <c r="D702" s="35" t="s">
        <v>16053</v>
      </c>
      <c r="E702" s="35" t="s">
        <v>192</v>
      </c>
      <c r="F702" s="62">
        <v>1</v>
      </c>
      <c r="G702" s="30" t="s">
        <v>193</v>
      </c>
      <c r="H702" s="30" t="s">
        <v>194</v>
      </c>
      <c r="I702" s="30" t="s">
        <v>16078</v>
      </c>
      <c r="J702" s="35" t="s">
        <v>9302</v>
      </c>
      <c r="K702" s="35">
        <v>18</v>
      </c>
      <c r="L702" s="35" t="s">
        <v>6955</v>
      </c>
      <c r="M702" s="35"/>
      <c r="N702" s="35" t="s">
        <v>16194</v>
      </c>
      <c r="O702" s="35" t="s">
        <v>6340</v>
      </c>
      <c r="P702" s="35" t="s">
        <v>16050</v>
      </c>
      <c r="Q702" s="35" t="s">
        <v>16049</v>
      </c>
      <c r="R702" s="35" t="s">
        <v>16066</v>
      </c>
      <c r="S702" s="35">
        <v>2348059</v>
      </c>
      <c r="T702" s="35">
        <v>33716659</v>
      </c>
      <c r="U702" s="35"/>
      <c r="V702" s="30"/>
      <c r="W702" s="505" t="s">
        <v>1137</v>
      </c>
      <c r="X702" s="35" t="s">
        <v>193</v>
      </c>
      <c r="Y702" s="30">
        <v>25</v>
      </c>
      <c r="Z702" s="35"/>
      <c r="AA702" s="35"/>
      <c r="AB702" s="35"/>
      <c r="AC702" s="35"/>
      <c r="AD702" s="35"/>
      <c r="AE702" s="35"/>
      <c r="AF702" s="35"/>
      <c r="AG702" s="35"/>
      <c r="AH702" s="30" t="s">
        <v>4714</v>
      </c>
      <c r="AI702" s="35" t="s">
        <v>16193</v>
      </c>
      <c r="AJ702" s="62" t="str">
        <f>MID('I kw.22'!W702,8,6)</f>
        <v>121201</v>
      </c>
      <c r="AK702" s="62">
        <v>1</v>
      </c>
      <c r="AL702" s="62">
        <f t="shared" si="10"/>
        <v>1</v>
      </c>
      <c r="AM702" s="62">
        <v>1</v>
      </c>
    </row>
    <row r="703" spans="1:39" x14ac:dyDescent="0.25">
      <c r="A703" s="35" t="s">
        <v>16189</v>
      </c>
      <c r="B703" s="35" t="s">
        <v>1553</v>
      </c>
      <c r="C703" s="35" t="s">
        <v>1402</v>
      </c>
      <c r="D703" s="35" t="s">
        <v>16053</v>
      </c>
      <c r="E703" s="35" t="s">
        <v>192</v>
      </c>
      <c r="F703" s="62">
        <v>1</v>
      </c>
      <c r="G703" s="30" t="s">
        <v>193</v>
      </c>
      <c r="H703" s="30" t="s">
        <v>194</v>
      </c>
      <c r="I703" s="30" t="s">
        <v>16083</v>
      </c>
      <c r="J703" s="35" t="s">
        <v>9302</v>
      </c>
      <c r="K703" s="35">
        <v>18</v>
      </c>
      <c r="L703" s="35" t="s">
        <v>6955</v>
      </c>
      <c r="M703" s="35"/>
      <c r="N703" s="35" t="s">
        <v>16192</v>
      </c>
      <c r="O703" s="35" t="s">
        <v>6245</v>
      </c>
      <c r="P703" s="35" t="s">
        <v>16050</v>
      </c>
      <c r="Q703" s="35" t="s">
        <v>16049</v>
      </c>
      <c r="R703" s="35" t="s">
        <v>16066</v>
      </c>
      <c r="S703" s="35">
        <v>2348077</v>
      </c>
      <c r="T703" s="35">
        <v>33716677</v>
      </c>
      <c r="U703" s="35"/>
      <c r="V703" s="30"/>
      <c r="W703" s="505" t="s">
        <v>1403</v>
      </c>
      <c r="X703" s="35" t="s">
        <v>193</v>
      </c>
      <c r="Y703" s="30">
        <v>25</v>
      </c>
      <c r="Z703" s="35"/>
      <c r="AA703" s="35"/>
      <c r="AB703" s="35"/>
      <c r="AC703" s="35"/>
      <c r="AD703" s="35"/>
      <c r="AE703" s="35"/>
      <c r="AF703" s="35"/>
      <c r="AG703" s="35"/>
      <c r="AH703" s="30" t="s">
        <v>4714</v>
      </c>
      <c r="AI703" s="35" t="s">
        <v>1553</v>
      </c>
      <c r="AJ703" s="62" t="str">
        <f>MID('I kw.22'!W703,8,6)</f>
        <v>242228</v>
      </c>
      <c r="AK703" s="62">
        <v>1</v>
      </c>
      <c r="AL703" s="62">
        <f t="shared" si="10"/>
        <v>1</v>
      </c>
      <c r="AM703" s="62">
        <v>1</v>
      </c>
    </row>
    <row r="704" spans="1:39" x14ac:dyDescent="0.25">
      <c r="A704" s="35" t="s">
        <v>16189</v>
      </c>
      <c r="B704" s="35" t="s">
        <v>16190</v>
      </c>
      <c r="C704" s="35" t="s">
        <v>37</v>
      </c>
      <c r="D704" s="35" t="s">
        <v>16053</v>
      </c>
      <c r="E704" s="35" t="s">
        <v>192</v>
      </c>
      <c r="F704" s="62">
        <v>1</v>
      </c>
      <c r="G704" s="30" t="s">
        <v>193</v>
      </c>
      <c r="H704" s="30" t="s">
        <v>194</v>
      </c>
      <c r="I704" s="30" t="s">
        <v>16048</v>
      </c>
      <c r="J704" s="35" t="s">
        <v>9302</v>
      </c>
      <c r="K704" s="35">
        <v>18</v>
      </c>
      <c r="L704" s="35" t="s">
        <v>6955</v>
      </c>
      <c r="M704" s="35"/>
      <c r="N704" s="35" t="s">
        <v>16191</v>
      </c>
      <c r="O704" s="35" t="s">
        <v>6921</v>
      </c>
      <c r="P704" s="35" t="s">
        <v>16050</v>
      </c>
      <c r="Q704" s="35" t="s">
        <v>16049</v>
      </c>
      <c r="R704" s="35" t="s">
        <v>16066</v>
      </c>
      <c r="S704" s="35">
        <v>2348094</v>
      </c>
      <c r="T704" s="35">
        <v>33716694</v>
      </c>
      <c r="U704" s="35"/>
      <c r="V704" s="30"/>
      <c r="W704" s="505" t="s">
        <v>516</v>
      </c>
      <c r="X704" s="35" t="s">
        <v>193</v>
      </c>
      <c r="Y704" s="30">
        <v>25</v>
      </c>
      <c r="Z704" s="35"/>
      <c r="AA704" s="35"/>
      <c r="AB704" s="35"/>
      <c r="AC704" s="35"/>
      <c r="AD704" s="35"/>
      <c r="AE704" s="35"/>
      <c r="AF704" s="35"/>
      <c r="AG704" s="35"/>
      <c r="AH704" s="30" t="s">
        <v>4714</v>
      </c>
      <c r="AI704" s="35" t="s">
        <v>16190</v>
      </c>
      <c r="AJ704" s="62" t="str">
        <f>MID('I kw.22'!W704,8,6)</f>
        <v>252302</v>
      </c>
      <c r="AK704" s="62">
        <v>1</v>
      </c>
      <c r="AL704" s="62">
        <f t="shared" si="10"/>
        <v>1</v>
      </c>
      <c r="AM704" s="62">
        <v>1</v>
      </c>
    </row>
    <row r="705" spans="1:39" x14ac:dyDescent="0.25">
      <c r="A705" s="35" t="s">
        <v>16189</v>
      </c>
      <c r="B705" s="35" t="s">
        <v>16187</v>
      </c>
      <c r="C705" s="35" t="s">
        <v>1554</v>
      </c>
      <c r="D705" s="35" t="s">
        <v>16053</v>
      </c>
      <c r="E705" s="35" t="s">
        <v>192</v>
      </c>
      <c r="F705" s="62">
        <v>1</v>
      </c>
      <c r="G705" s="30" t="s">
        <v>193</v>
      </c>
      <c r="H705" s="30" t="s">
        <v>194</v>
      </c>
      <c r="I705" s="30" t="s">
        <v>16083</v>
      </c>
      <c r="J705" s="35" t="s">
        <v>9302</v>
      </c>
      <c r="K705" s="35">
        <v>18</v>
      </c>
      <c r="L705" s="35" t="s">
        <v>6955</v>
      </c>
      <c r="M705" s="35"/>
      <c r="N705" s="35" t="s">
        <v>16188</v>
      </c>
      <c r="O705" s="35" t="s">
        <v>6921</v>
      </c>
      <c r="P705" s="35" t="s">
        <v>16050</v>
      </c>
      <c r="Q705" s="35" t="s">
        <v>16049</v>
      </c>
      <c r="R705" s="35" t="s">
        <v>16066</v>
      </c>
      <c r="S705" s="35">
        <v>2348110</v>
      </c>
      <c r="T705" s="35">
        <v>33716710</v>
      </c>
      <c r="U705" s="35"/>
      <c r="V705" s="30"/>
      <c r="W705" s="505" t="s">
        <v>1555</v>
      </c>
      <c r="X705" s="35" t="s">
        <v>193</v>
      </c>
      <c r="Y705" s="30">
        <v>25</v>
      </c>
      <c r="Z705" s="35"/>
      <c r="AA705" s="35"/>
      <c r="AB705" s="35"/>
      <c r="AC705" s="35"/>
      <c r="AD705" s="35"/>
      <c r="AE705" s="35"/>
      <c r="AF705" s="35"/>
      <c r="AG705" s="35"/>
      <c r="AH705" s="30" t="s">
        <v>4714</v>
      </c>
      <c r="AI705" s="35" t="s">
        <v>16187</v>
      </c>
      <c r="AJ705" s="62" t="str">
        <f>MID('I kw.22'!W705,8,6)</f>
        <v>112013</v>
      </c>
      <c r="AK705" s="62">
        <v>1</v>
      </c>
      <c r="AL705" s="62">
        <f t="shared" si="10"/>
        <v>1</v>
      </c>
      <c r="AM705" s="62">
        <v>1</v>
      </c>
    </row>
    <row r="706" spans="1:39" x14ac:dyDescent="0.25">
      <c r="A706" s="35" t="s">
        <v>16186</v>
      </c>
      <c r="B706" s="35" t="s">
        <v>2674</v>
      </c>
      <c r="C706" s="35" t="s">
        <v>85</v>
      </c>
      <c r="D706" s="35" t="s">
        <v>16053</v>
      </c>
      <c r="E706" s="35" t="s">
        <v>192</v>
      </c>
      <c r="F706" s="62">
        <v>1</v>
      </c>
      <c r="G706" s="30" t="s">
        <v>193</v>
      </c>
      <c r="H706" s="30" t="s">
        <v>194</v>
      </c>
      <c r="I706" s="30" t="s">
        <v>16068</v>
      </c>
      <c r="J706" s="35" t="s">
        <v>9302</v>
      </c>
      <c r="K706" s="35">
        <v>18</v>
      </c>
      <c r="L706" s="35" t="s">
        <v>6955</v>
      </c>
      <c r="M706" s="35"/>
      <c r="N706" s="35" t="s">
        <v>16185</v>
      </c>
      <c r="O706" s="35" t="s">
        <v>6251</v>
      </c>
      <c r="P706" s="35" t="s">
        <v>16050</v>
      </c>
      <c r="Q706" s="35" t="s">
        <v>16049</v>
      </c>
      <c r="R706" s="35" t="s">
        <v>16066</v>
      </c>
      <c r="S706" s="35">
        <v>2348119</v>
      </c>
      <c r="T706" s="35">
        <v>33716719</v>
      </c>
      <c r="U706" s="35"/>
      <c r="V706" s="30"/>
      <c r="W706" s="505" t="s">
        <v>477</v>
      </c>
      <c r="X706" s="35" t="s">
        <v>193</v>
      </c>
      <c r="Y706" s="30">
        <v>25</v>
      </c>
      <c r="Z706" s="35"/>
      <c r="AA706" s="35"/>
      <c r="AB706" s="35"/>
      <c r="AC706" s="35"/>
      <c r="AD706" s="35"/>
      <c r="AE706" s="35"/>
      <c r="AF706" s="35"/>
      <c r="AG706" s="35"/>
      <c r="AH706" s="30" t="s">
        <v>4714</v>
      </c>
      <c r="AI706" s="35" t="s">
        <v>2674</v>
      </c>
      <c r="AJ706" s="62" t="str">
        <f>MID('I kw.22'!W706,8,6)</f>
        <v>243305</v>
      </c>
      <c r="AK706" s="62">
        <v>1</v>
      </c>
      <c r="AL706" s="62">
        <f t="shared" si="10"/>
        <v>1</v>
      </c>
      <c r="AM706" s="62">
        <v>1</v>
      </c>
    </row>
    <row r="707" spans="1:39" x14ac:dyDescent="0.25">
      <c r="A707" s="35" t="s">
        <v>10266</v>
      </c>
      <c r="B707" s="35" t="s">
        <v>1396</v>
      </c>
      <c r="C707" s="35" t="s">
        <v>85</v>
      </c>
      <c r="D707" s="35" t="s">
        <v>16053</v>
      </c>
      <c r="E707" s="35" t="s">
        <v>192</v>
      </c>
      <c r="F707" s="62">
        <v>1</v>
      </c>
      <c r="G707" s="30" t="s">
        <v>193</v>
      </c>
      <c r="H707" s="30" t="s">
        <v>194</v>
      </c>
      <c r="I707" s="30" t="s">
        <v>16052</v>
      </c>
      <c r="J707" s="35" t="s">
        <v>399</v>
      </c>
      <c r="K707" s="35">
        <v>18</v>
      </c>
      <c r="L707" s="35" t="s">
        <v>6955</v>
      </c>
      <c r="M707" s="35"/>
      <c r="N707" s="35" t="s">
        <v>16184</v>
      </c>
      <c r="O707" s="35" t="s">
        <v>6254</v>
      </c>
      <c r="P707" s="35" t="s">
        <v>16050</v>
      </c>
      <c r="Q707" s="35" t="s">
        <v>16049</v>
      </c>
      <c r="R707" s="35" t="s">
        <v>16183</v>
      </c>
      <c r="S707" s="35">
        <v>2348133</v>
      </c>
      <c r="T707" s="35">
        <v>33716733</v>
      </c>
      <c r="U707" s="35"/>
      <c r="V707" s="30">
        <v>1802</v>
      </c>
      <c r="W707" s="35" t="s">
        <v>477</v>
      </c>
      <c r="X707" s="35" t="s">
        <v>194</v>
      </c>
      <c r="Y707" s="30">
        <v>1</v>
      </c>
      <c r="Z707" s="35"/>
      <c r="AA707" s="35"/>
      <c r="AB707" s="35"/>
      <c r="AC707" s="35"/>
      <c r="AD707" s="35"/>
      <c r="AE707" s="35"/>
      <c r="AF707" s="35"/>
      <c r="AG707" s="35"/>
      <c r="AH707" s="30" t="s">
        <v>4714</v>
      </c>
      <c r="AI707" s="35" t="s">
        <v>1396</v>
      </c>
      <c r="AJ707" s="62" t="str">
        <f>MID('I kw.22'!W707,8,6)</f>
        <v>243305</v>
      </c>
      <c r="AK707" s="62">
        <v>1</v>
      </c>
      <c r="AL707" s="62">
        <f t="shared" ref="AL707:AL770" si="11">SUM(F707)</f>
        <v>1</v>
      </c>
      <c r="AM707" s="62">
        <v>1</v>
      </c>
    </row>
    <row r="708" spans="1:39" x14ac:dyDescent="0.25">
      <c r="A708" s="35" t="s">
        <v>16182</v>
      </c>
      <c r="B708" s="35" t="s">
        <v>632</v>
      </c>
      <c r="C708" s="35" t="s">
        <v>17</v>
      </c>
      <c r="D708" s="35" t="s">
        <v>16053</v>
      </c>
      <c r="E708" s="35" t="s">
        <v>192</v>
      </c>
      <c r="F708" s="62">
        <v>1</v>
      </c>
      <c r="G708" s="30" t="s">
        <v>193</v>
      </c>
      <c r="H708" s="30" t="s">
        <v>194</v>
      </c>
      <c r="I708" s="30" t="s">
        <v>16052</v>
      </c>
      <c r="J708" s="35" t="s">
        <v>9302</v>
      </c>
      <c r="K708" s="35">
        <v>18</v>
      </c>
      <c r="L708" s="35" t="s">
        <v>6955</v>
      </c>
      <c r="M708" s="35"/>
      <c r="N708" s="35" t="s">
        <v>16181</v>
      </c>
      <c r="O708" s="35" t="s">
        <v>6343</v>
      </c>
      <c r="P708" s="35" t="s">
        <v>16092</v>
      </c>
      <c r="Q708" s="35" t="s">
        <v>16049</v>
      </c>
      <c r="R708" s="35" t="s">
        <v>16048</v>
      </c>
      <c r="S708" s="35">
        <v>2348151</v>
      </c>
      <c r="T708" s="35">
        <v>33716751</v>
      </c>
      <c r="U708" s="35"/>
      <c r="V708" s="30"/>
      <c r="W708" s="505" t="s">
        <v>624</v>
      </c>
      <c r="X708" s="35" t="s">
        <v>193</v>
      </c>
      <c r="Y708" s="30">
        <v>25</v>
      </c>
      <c r="Z708" s="35"/>
      <c r="AA708" s="35"/>
      <c r="AB708" s="35"/>
      <c r="AC708" s="35"/>
      <c r="AD708" s="35"/>
      <c r="AE708" s="35"/>
      <c r="AF708" s="35"/>
      <c r="AG708" s="35"/>
      <c r="AH708" s="30" t="s">
        <v>4714</v>
      </c>
      <c r="AI708" s="35" t="s">
        <v>17</v>
      </c>
      <c r="AJ708" s="62" t="str">
        <f>MID('I kw.22'!W708,8,6)</f>
        <v>332203</v>
      </c>
      <c r="AK708" s="62">
        <v>1</v>
      </c>
      <c r="AL708" s="62">
        <f t="shared" si="11"/>
        <v>1</v>
      </c>
      <c r="AM708" s="62">
        <v>1</v>
      </c>
    </row>
    <row r="709" spans="1:39" x14ac:dyDescent="0.25">
      <c r="A709" s="35" t="s">
        <v>3885</v>
      </c>
      <c r="B709" s="35" t="s">
        <v>16179</v>
      </c>
      <c r="C709" s="35" t="s">
        <v>778</v>
      </c>
      <c r="D709" s="35" t="s">
        <v>16053</v>
      </c>
      <c r="E709" s="35" t="s">
        <v>192</v>
      </c>
      <c r="F709" s="62">
        <v>1</v>
      </c>
      <c r="G709" s="30" t="s">
        <v>193</v>
      </c>
      <c r="H709" s="30" t="s">
        <v>194</v>
      </c>
      <c r="I709" s="30" t="s">
        <v>16073</v>
      </c>
      <c r="J709" s="35" t="s">
        <v>276</v>
      </c>
      <c r="K709" s="35">
        <v>18</v>
      </c>
      <c r="L709" s="35" t="s">
        <v>6955</v>
      </c>
      <c r="M709" s="35"/>
      <c r="N709" s="35" t="s">
        <v>16180</v>
      </c>
      <c r="O709" s="35" t="s">
        <v>6245</v>
      </c>
      <c r="P709" s="35" t="s">
        <v>16050</v>
      </c>
      <c r="Q709" s="35" t="s">
        <v>16049</v>
      </c>
      <c r="R709" s="35" t="s">
        <v>16066</v>
      </c>
      <c r="S709" s="35">
        <v>2348175</v>
      </c>
      <c r="T709" s="35">
        <v>33716775</v>
      </c>
      <c r="U709" s="35"/>
      <c r="V709" s="30">
        <v>1803</v>
      </c>
      <c r="W709" s="35" t="s">
        <v>779</v>
      </c>
      <c r="X709" s="35" t="s">
        <v>194</v>
      </c>
      <c r="Y709" s="30">
        <v>1</v>
      </c>
      <c r="Z709" s="35"/>
      <c r="AA709" s="35"/>
      <c r="AB709" s="35"/>
      <c r="AC709" s="35"/>
      <c r="AD709" s="35"/>
      <c r="AE709" s="35"/>
      <c r="AF709" s="35"/>
      <c r="AG709" s="35"/>
      <c r="AH709" s="30" t="s">
        <v>4714</v>
      </c>
      <c r="AI709" s="35" t="s">
        <v>16179</v>
      </c>
      <c r="AJ709" s="62" t="str">
        <f>MID('I kw.22'!W709,8,6)</f>
        <v>524902</v>
      </c>
      <c r="AK709" s="62">
        <v>1</v>
      </c>
      <c r="AL709" s="62">
        <f t="shared" si="11"/>
        <v>1</v>
      </c>
      <c r="AM709" s="62">
        <v>1</v>
      </c>
    </row>
    <row r="710" spans="1:39" x14ac:dyDescent="0.25">
      <c r="A710" s="35" t="s">
        <v>16175</v>
      </c>
      <c r="B710" s="35" t="s">
        <v>16177</v>
      </c>
      <c r="C710" s="35" t="s">
        <v>103</v>
      </c>
      <c r="D710" s="35" t="s">
        <v>16053</v>
      </c>
      <c r="E710" s="35" t="s">
        <v>192</v>
      </c>
      <c r="F710" s="62">
        <v>1</v>
      </c>
      <c r="G710" s="30" t="s">
        <v>193</v>
      </c>
      <c r="H710" s="30" t="s">
        <v>194</v>
      </c>
      <c r="I710" s="30" t="s">
        <v>16073</v>
      </c>
      <c r="J710" s="35" t="s">
        <v>253</v>
      </c>
      <c r="K710" s="35">
        <v>18</v>
      </c>
      <c r="L710" s="35" t="s">
        <v>6955</v>
      </c>
      <c r="M710" s="35"/>
      <c r="N710" s="35" t="s">
        <v>16178</v>
      </c>
      <c r="O710" s="35" t="s">
        <v>6363</v>
      </c>
      <c r="P710" s="35" t="s">
        <v>16050</v>
      </c>
      <c r="Q710" s="35" t="s">
        <v>16049</v>
      </c>
      <c r="R710" s="35" t="s">
        <v>16066</v>
      </c>
      <c r="S710" s="35">
        <v>2348274</v>
      </c>
      <c r="T710" s="35">
        <v>33716874</v>
      </c>
      <c r="U710" s="35"/>
      <c r="V710" s="30">
        <v>1811</v>
      </c>
      <c r="W710" s="35" t="s">
        <v>1443</v>
      </c>
      <c r="X710" s="35" t="s">
        <v>194</v>
      </c>
      <c r="Y710" s="30">
        <v>1</v>
      </c>
      <c r="Z710" s="35"/>
      <c r="AA710" s="35"/>
      <c r="AB710" s="35"/>
      <c r="AC710" s="35"/>
      <c r="AD710" s="35"/>
      <c r="AE710" s="35"/>
      <c r="AF710" s="35"/>
      <c r="AG710" s="35"/>
      <c r="AH710" s="30" t="s">
        <v>4714</v>
      </c>
      <c r="AI710" s="35" t="s">
        <v>16177</v>
      </c>
      <c r="AJ710" s="62" t="str">
        <f>MID('I kw.22'!W710,8,6)</f>
        <v>132103</v>
      </c>
      <c r="AK710" s="62">
        <v>1</v>
      </c>
      <c r="AL710" s="62">
        <f t="shared" si="11"/>
        <v>1</v>
      </c>
      <c r="AM710" s="62">
        <v>1</v>
      </c>
    </row>
    <row r="711" spans="1:39" x14ac:dyDescent="0.25">
      <c r="A711" s="35" t="s">
        <v>16175</v>
      </c>
      <c r="B711" s="35" t="s">
        <v>67</v>
      </c>
      <c r="C711" s="35" t="s">
        <v>67</v>
      </c>
      <c r="D711" s="35" t="s">
        <v>16053</v>
      </c>
      <c r="E711" s="35" t="s">
        <v>192</v>
      </c>
      <c r="F711" s="62">
        <v>1</v>
      </c>
      <c r="G711" s="30" t="s">
        <v>193</v>
      </c>
      <c r="H711" s="30" t="s">
        <v>194</v>
      </c>
      <c r="I711" s="30" t="s">
        <v>16052</v>
      </c>
      <c r="J711" s="35" t="s">
        <v>253</v>
      </c>
      <c r="K711" s="35">
        <v>18</v>
      </c>
      <c r="L711" s="35" t="s">
        <v>6955</v>
      </c>
      <c r="M711" s="35"/>
      <c r="N711" s="35" t="s">
        <v>16176</v>
      </c>
      <c r="O711" s="35" t="s">
        <v>6275</v>
      </c>
      <c r="P711" s="35" t="s">
        <v>16050</v>
      </c>
      <c r="Q711" s="35" t="s">
        <v>16049</v>
      </c>
      <c r="R711" s="35" t="s">
        <v>16066</v>
      </c>
      <c r="S711" s="35">
        <v>2348276</v>
      </c>
      <c r="T711" s="35">
        <v>33716876</v>
      </c>
      <c r="U711" s="35"/>
      <c r="V711" s="30">
        <v>1811</v>
      </c>
      <c r="W711" s="35" t="s">
        <v>709</v>
      </c>
      <c r="X711" s="35" t="s">
        <v>194</v>
      </c>
      <c r="Y711" s="30">
        <v>1</v>
      </c>
      <c r="Z711" s="35"/>
      <c r="AA711" s="35"/>
      <c r="AB711" s="35"/>
      <c r="AC711" s="35"/>
      <c r="AD711" s="35"/>
      <c r="AE711" s="35"/>
      <c r="AF711" s="35"/>
      <c r="AG711" s="35"/>
      <c r="AH711" s="30" t="s">
        <v>4714</v>
      </c>
      <c r="AI711" s="35" t="s">
        <v>67</v>
      </c>
      <c r="AJ711" s="62" t="str">
        <f>MID('I kw.22'!W711,8,6)</f>
        <v>432103</v>
      </c>
      <c r="AK711" s="62">
        <v>1</v>
      </c>
      <c r="AL711" s="62">
        <f t="shared" si="11"/>
        <v>1</v>
      </c>
      <c r="AM711" s="62">
        <v>1</v>
      </c>
    </row>
    <row r="712" spans="1:39" x14ac:dyDescent="0.25">
      <c r="A712" s="35" t="s">
        <v>16175</v>
      </c>
      <c r="B712" s="35" t="s">
        <v>4309</v>
      </c>
      <c r="C712" s="35" t="s">
        <v>115</v>
      </c>
      <c r="D712" s="35" t="s">
        <v>16053</v>
      </c>
      <c r="E712" s="35" t="s">
        <v>192</v>
      </c>
      <c r="F712" s="62">
        <v>1</v>
      </c>
      <c r="G712" s="30" t="s">
        <v>193</v>
      </c>
      <c r="H712" s="30" t="s">
        <v>194</v>
      </c>
      <c r="I712" s="30" t="s">
        <v>16073</v>
      </c>
      <c r="J712" s="35" t="s">
        <v>253</v>
      </c>
      <c r="K712" s="35">
        <v>18</v>
      </c>
      <c r="L712" s="35" t="s">
        <v>6955</v>
      </c>
      <c r="M712" s="35"/>
      <c r="N712" s="35" t="s">
        <v>16174</v>
      </c>
      <c r="O712" s="35" t="s">
        <v>6275</v>
      </c>
      <c r="P712" s="35" t="s">
        <v>16050</v>
      </c>
      <c r="Q712" s="35" t="s">
        <v>16049</v>
      </c>
      <c r="R712" s="35" t="s">
        <v>16066</v>
      </c>
      <c r="S712" s="35">
        <v>2348278</v>
      </c>
      <c r="T712" s="35">
        <v>33716878</v>
      </c>
      <c r="U712" s="35"/>
      <c r="V712" s="30">
        <v>1811</v>
      </c>
      <c r="W712" s="35" t="s">
        <v>1183</v>
      </c>
      <c r="X712" s="35" t="s">
        <v>194</v>
      </c>
      <c r="Y712" s="30">
        <v>1</v>
      </c>
      <c r="Z712" s="35"/>
      <c r="AA712" s="35"/>
      <c r="AB712" s="35"/>
      <c r="AC712" s="35"/>
      <c r="AD712" s="35"/>
      <c r="AE712" s="35"/>
      <c r="AF712" s="35"/>
      <c r="AG712" s="35"/>
      <c r="AH712" s="30" t="s">
        <v>4714</v>
      </c>
      <c r="AI712" s="35" t="s">
        <v>4309</v>
      </c>
      <c r="AJ712" s="62" t="str">
        <f>MID('I kw.22'!W712,8,6)</f>
        <v>311909</v>
      </c>
      <c r="AK712" s="62">
        <v>1</v>
      </c>
      <c r="AL712" s="62">
        <f t="shared" si="11"/>
        <v>1</v>
      </c>
      <c r="AM712" s="62">
        <v>1</v>
      </c>
    </row>
    <row r="713" spans="1:39" x14ac:dyDescent="0.25">
      <c r="A713" s="35" t="s">
        <v>16173</v>
      </c>
      <c r="B713" s="35" t="s">
        <v>16169</v>
      </c>
      <c r="C713" s="35" t="s">
        <v>16172</v>
      </c>
      <c r="D713" s="35" t="s">
        <v>16053</v>
      </c>
      <c r="E713" s="35" t="s">
        <v>192</v>
      </c>
      <c r="F713" s="62">
        <v>1</v>
      </c>
      <c r="G713" s="30" t="s">
        <v>193</v>
      </c>
      <c r="H713" s="30" t="s">
        <v>194</v>
      </c>
      <c r="I713" s="30" t="s">
        <v>16083</v>
      </c>
      <c r="J713" s="35" t="s">
        <v>309</v>
      </c>
      <c r="K713" s="35">
        <v>18</v>
      </c>
      <c r="L713" s="35" t="s">
        <v>6955</v>
      </c>
      <c r="M713" s="35"/>
      <c r="N713" s="35" t="s">
        <v>16171</v>
      </c>
      <c r="O713" s="35" t="s">
        <v>12529</v>
      </c>
      <c r="P713" s="35" t="s">
        <v>16050</v>
      </c>
      <c r="Q713" s="35" t="s">
        <v>16049</v>
      </c>
      <c r="R713" s="35" t="s">
        <v>16066</v>
      </c>
      <c r="S713" s="35">
        <v>2348373</v>
      </c>
      <c r="T713" s="35">
        <v>33716973</v>
      </c>
      <c r="U713" s="35"/>
      <c r="V713" s="30">
        <v>1815</v>
      </c>
      <c r="W713" s="35" t="s">
        <v>16170</v>
      </c>
      <c r="X713" s="35" t="s">
        <v>194</v>
      </c>
      <c r="Y713" s="30">
        <v>1</v>
      </c>
      <c r="Z713" s="35"/>
      <c r="AA713" s="35"/>
      <c r="AB713" s="35"/>
      <c r="AC713" s="35"/>
      <c r="AD713" s="35"/>
      <c r="AE713" s="35"/>
      <c r="AF713" s="35"/>
      <c r="AG713" s="35"/>
      <c r="AH713" s="30" t="s">
        <v>4714</v>
      </c>
      <c r="AI713" s="35" t="s">
        <v>16169</v>
      </c>
      <c r="AJ713" s="62" t="str">
        <f>MID('I kw.22'!W713,8,6)</f>
        <v>321402</v>
      </c>
      <c r="AK713" s="62">
        <v>1</v>
      </c>
      <c r="AL713" s="62">
        <f t="shared" si="11"/>
        <v>1</v>
      </c>
      <c r="AM713" s="62">
        <v>1</v>
      </c>
    </row>
    <row r="714" spans="1:39" x14ac:dyDescent="0.25">
      <c r="A714" s="35" t="s">
        <v>369</v>
      </c>
      <c r="B714" s="35" t="s">
        <v>16165</v>
      </c>
      <c r="C714" s="35" t="s">
        <v>16168</v>
      </c>
      <c r="D714" s="35" t="s">
        <v>16053</v>
      </c>
      <c r="E714" s="35" t="s">
        <v>192</v>
      </c>
      <c r="F714" s="62">
        <v>1</v>
      </c>
      <c r="G714" s="30" t="s">
        <v>193</v>
      </c>
      <c r="H714" s="30" t="s">
        <v>194</v>
      </c>
      <c r="I714" s="30" t="s">
        <v>16048</v>
      </c>
      <c r="J714" s="35" t="s">
        <v>210</v>
      </c>
      <c r="K714" s="35">
        <v>18</v>
      </c>
      <c r="L714" s="35" t="s">
        <v>6955</v>
      </c>
      <c r="M714" s="35"/>
      <c r="N714" s="35" t="s">
        <v>16167</v>
      </c>
      <c r="O714" s="35" t="s">
        <v>6275</v>
      </c>
      <c r="P714" s="35" t="s">
        <v>16050</v>
      </c>
      <c r="Q714" s="35" t="s">
        <v>16049</v>
      </c>
      <c r="R714" s="35" t="s">
        <v>16066</v>
      </c>
      <c r="S714" s="35">
        <v>2348396</v>
      </c>
      <c r="T714" s="35">
        <v>33716996</v>
      </c>
      <c r="U714" s="35"/>
      <c r="V714" s="30">
        <v>1863</v>
      </c>
      <c r="W714" s="35" t="s">
        <v>16166</v>
      </c>
      <c r="X714" s="35" t="s">
        <v>194</v>
      </c>
      <c r="Y714" s="30">
        <v>1</v>
      </c>
      <c r="Z714" s="35"/>
      <c r="AA714" s="35"/>
      <c r="AB714" s="35"/>
      <c r="AC714" s="35"/>
      <c r="AD714" s="35"/>
      <c r="AE714" s="35"/>
      <c r="AF714" s="35"/>
      <c r="AG714" s="35"/>
      <c r="AH714" s="30" t="s">
        <v>4714</v>
      </c>
      <c r="AI714" s="35" t="s">
        <v>16165</v>
      </c>
      <c r="AJ714" s="62" t="str">
        <f>MID('I kw.22'!W714,8,6)</f>
        <v>722310</v>
      </c>
      <c r="AK714" s="62">
        <v>1</v>
      </c>
      <c r="AL714" s="62">
        <f t="shared" si="11"/>
        <v>1</v>
      </c>
      <c r="AM714" s="62">
        <v>1</v>
      </c>
    </row>
    <row r="715" spans="1:39" x14ac:dyDescent="0.25">
      <c r="A715" s="35" t="s">
        <v>1537</v>
      </c>
      <c r="B715" s="35" t="s">
        <v>16162</v>
      </c>
      <c r="C715" s="35" t="s">
        <v>122</v>
      </c>
      <c r="D715" s="35" t="s">
        <v>16053</v>
      </c>
      <c r="E715" s="35" t="s">
        <v>192</v>
      </c>
      <c r="F715" s="62">
        <v>1</v>
      </c>
      <c r="G715" s="30" t="s">
        <v>193</v>
      </c>
      <c r="H715" s="30" t="s">
        <v>194</v>
      </c>
      <c r="I715" s="30" t="s">
        <v>16068</v>
      </c>
      <c r="J715" s="35" t="s">
        <v>301</v>
      </c>
      <c r="K715" s="35">
        <v>18</v>
      </c>
      <c r="L715" s="35" t="s">
        <v>6955</v>
      </c>
      <c r="M715" s="35"/>
      <c r="N715" s="35" t="s">
        <v>16164</v>
      </c>
      <c r="O715" s="35" t="s">
        <v>7489</v>
      </c>
      <c r="P715" s="35" t="s">
        <v>16050</v>
      </c>
      <c r="Q715" s="35" t="s">
        <v>16049</v>
      </c>
      <c r="R715" s="35" t="s">
        <v>16066</v>
      </c>
      <c r="S715" s="35">
        <v>2348400</v>
      </c>
      <c r="T715" s="35">
        <v>33717000</v>
      </c>
      <c r="U715" s="35"/>
      <c r="V715" s="30">
        <v>1810</v>
      </c>
      <c r="W715" s="35" t="s">
        <v>655</v>
      </c>
      <c r="X715" s="35" t="s">
        <v>194</v>
      </c>
      <c r="Y715" s="30">
        <v>1</v>
      </c>
      <c r="Z715" s="35"/>
      <c r="AA715" s="35"/>
      <c r="AB715" s="35"/>
      <c r="AC715" s="35"/>
      <c r="AD715" s="35"/>
      <c r="AE715" s="35"/>
      <c r="AF715" s="35"/>
      <c r="AG715" s="35"/>
      <c r="AH715" s="30" t="s">
        <v>4714</v>
      </c>
      <c r="AI715" s="35" t="s">
        <v>16162</v>
      </c>
      <c r="AJ715" s="62" t="str">
        <f>MID('I kw.22'!W715,8,6)</f>
        <v>332301</v>
      </c>
      <c r="AK715" s="62">
        <v>1</v>
      </c>
      <c r="AL715" s="62">
        <f t="shared" si="11"/>
        <v>1</v>
      </c>
      <c r="AM715" s="62">
        <v>1</v>
      </c>
    </row>
    <row r="716" spans="1:39" x14ac:dyDescent="0.25">
      <c r="A716" s="35" t="s">
        <v>1537</v>
      </c>
      <c r="B716" s="35" t="s">
        <v>16162</v>
      </c>
      <c r="C716" s="35" t="s">
        <v>122</v>
      </c>
      <c r="D716" s="35" t="s">
        <v>16053</v>
      </c>
      <c r="E716" s="35" t="s">
        <v>192</v>
      </c>
      <c r="F716" s="62">
        <v>1</v>
      </c>
      <c r="G716" s="30" t="s">
        <v>193</v>
      </c>
      <c r="H716" s="30" t="s">
        <v>194</v>
      </c>
      <c r="I716" s="30" t="s">
        <v>16068</v>
      </c>
      <c r="J716" s="35" t="s">
        <v>210</v>
      </c>
      <c r="K716" s="35">
        <v>18</v>
      </c>
      <c r="L716" s="35" t="s">
        <v>6955</v>
      </c>
      <c r="M716" s="35"/>
      <c r="N716" s="35" t="s">
        <v>16163</v>
      </c>
      <c r="O716" s="35" t="s">
        <v>7489</v>
      </c>
      <c r="P716" s="35" t="s">
        <v>16050</v>
      </c>
      <c r="Q716" s="35" t="s">
        <v>16049</v>
      </c>
      <c r="R716" s="35" t="s">
        <v>16066</v>
      </c>
      <c r="S716" s="35">
        <v>2348401</v>
      </c>
      <c r="T716" s="35">
        <v>33717001</v>
      </c>
      <c r="U716" s="35"/>
      <c r="V716" s="30">
        <v>1863</v>
      </c>
      <c r="W716" s="35" t="s">
        <v>655</v>
      </c>
      <c r="X716" s="35" t="s">
        <v>194</v>
      </c>
      <c r="Y716" s="30">
        <v>1</v>
      </c>
      <c r="Z716" s="35"/>
      <c r="AA716" s="35"/>
      <c r="AB716" s="35"/>
      <c r="AC716" s="35"/>
      <c r="AD716" s="35"/>
      <c r="AE716" s="35"/>
      <c r="AF716" s="35"/>
      <c r="AG716" s="35"/>
      <c r="AH716" s="30" t="s">
        <v>4714</v>
      </c>
      <c r="AI716" s="35" t="s">
        <v>16162</v>
      </c>
      <c r="AJ716" s="62" t="str">
        <f>MID('I kw.22'!W716,8,6)</f>
        <v>332301</v>
      </c>
      <c r="AK716" s="62">
        <v>1</v>
      </c>
      <c r="AL716" s="62">
        <f t="shared" si="11"/>
        <v>1</v>
      </c>
      <c r="AM716" s="62">
        <v>1</v>
      </c>
    </row>
    <row r="717" spans="1:39" x14ac:dyDescent="0.25">
      <c r="A717" s="35" t="s">
        <v>198</v>
      </c>
      <c r="B717" s="35" t="s">
        <v>5911</v>
      </c>
      <c r="C717" s="35" t="s">
        <v>45</v>
      </c>
      <c r="D717" s="35" t="s">
        <v>16053</v>
      </c>
      <c r="E717" s="35" t="s">
        <v>192</v>
      </c>
      <c r="F717" s="62">
        <v>1</v>
      </c>
      <c r="G717" s="30" t="s">
        <v>193</v>
      </c>
      <c r="H717" s="30" t="s">
        <v>194</v>
      </c>
      <c r="I717" s="30" t="s">
        <v>16068</v>
      </c>
      <c r="J717" s="35" t="s">
        <v>202</v>
      </c>
      <c r="K717" s="35">
        <v>18</v>
      </c>
      <c r="L717" s="35" t="s">
        <v>6955</v>
      </c>
      <c r="M717" s="35"/>
      <c r="N717" s="35" t="s">
        <v>16161</v>
      </c>
      <c r="O717" s="35" t="s">
        <v>6245</v>
      </c>
      <c r="P717" s="35" t="s">
        <v>16050</v>
      </c>
      <c r="Q717" s="35" t="s">
        <v>16049</v>
      </c>
      <c r="R717" s="35" t="s">
        <v>16066</v>
      </c>
      <c r="S717" s="35">
        <v>2348411</v>
      </c>
      <c r="T717" s="35">
        <v>33717011</v>
      </c>
      <c r="U717" s="35"/>
      <c r="V717" s="30">
        <v>1807</v>
      </c>
      <c r="W717" s="35" t="s">
        <v>351</v>
      </c>
      <c r="X717" s="35" t="s">
        <v>194</v>
      </c>
      <c r="Y717" s="30">
        <v>1</v>
      </c>
      <c r="Z717" s="35"/>
      <c r="AA717" s="35"/>
      <c r="AB717" s="35"/>
      <c r="AC717" s="35"/>
      <c r="AD717" s="35"/>
      <c r="AE717" s="35"/>
      <c r="AF717" s="35"/>
      <c r="AG717" s="35"/>
      <c r="AH717" s="30" t="s">
        <v>4714</v>
      </c>
      <c r="AI717" s="35" t="s">
        <v>5911</v>
      </c>
      <c r="AJ717" s="62" t="str">
        <f>MID('I kw.22'!W717,8,6)</f>
        <v>214932</v>
      </c>
      <c r="AK717" s="62">
        <v>1</v>
      </c>
      <c r="AL717" s="62">
        <f t="shared" si="11"/>
        <v>1</v>
      </c>
      <c r="AM717" s="62">
        <v>1</v>
      </c>
    </row>
    <row r="718" spans="1:39" x14ac:dyDescent="0.25">
      <c r="A718" s="35" t="s">
        <v>278</v>
      </c>
      <c r="B718" s="35" t="s">
        <v>16159</v>
      </c>
      <c r="C718" s="35" t="s">
        <v>27</v>
      </c>
      <c r="D718" s="35" t="s">
        <v>16053</v>
      </c>
      <c r="E718" s="35" t="s">
        <v>192</v>
      </c>
      <c r="F718" s="62">
        <v>1</v>
      </c>
      <c r="G718" s="30" t="s">
        <v>193</v>
      </c>
      <c r="H718" s="30" t="s">
        <v>194</v>
      </c>
      <c r="I718" s="30" t="s">
        <v>16068</v>
      </c>
      <c r="J718" s="35" t="s">
        <v>210</v>
      </c>
      <c r="K718" s="35">
        <v>18</v>
      </c>
      <c r="L718" s="35" t="s">
        <v>6955</v>
      </c>
      <c r="M718" s="35"/>
      <c r="N718" s="35" t="s">
        <v>16160</v>
      </c>
      <c r="O718" s="35" t="s">
        <v>6286</v>
      </c>
      <c r="P718" s="35" t="s">
        <v>16050</v>
      </c>
      <c r="Q718" s="35" t="s">
        <v>16049</v>
      </c>
      <c r="R718" s="35" t="s">
        <v>16066</v>
      </c>
      <c r="S718" s="35">
        <v>2348421</v>
      </c>
      <c r="T718" s="35">
        <v>33717021</v>
      </c>
      <c r="U718" s="35"/>
      <c r="V718" s="30">
        <v>1863</v>
      </c>
      <c r="W718" s="35" t="s">
        <v>440</v>
      </c>
      <c r="X718" s="35" t="s">
        <v>194</v>
      </c>
      <c r="Y718" s="30">
        <v>1</v>
      </c>
      <c r="Z718" s="35"/>
      <c r="AA718" s="35"/>
      <c r="AB718" s="35"/>
      <c r="AC718" s="35"/>
      <c r="AD718" s="35"/>
      <c r="AE718" s="35"/>
      <c r="AF718" s="35"/>
      <c r="AG718" s="35"/>
      <c r="AH718" s="30" t="s">
        <v>4714</v>
      </c>
      <c r="AI718" s="35" t="s">
        <v>16159</v>
      </c>
      <c r="AJ718" s="62" t="str">
        <f>MID('I kw.22'!W718,8,6)</f>
        <v>242307</v>
      </c>
      <c r="AK718" s="62">
        <v>1</v>
      </c>
      <c r="AL718" s="62">
        <f t="shared" si="11"/>
        <v>1</v>
      </c>
      <c r="AM718" s="62">
        <v>1</v>
      </c>
    </row>
    <row r="719" spans="1:39" x14ac:dyDescent="0.25">
      <c r="A719" s="35" t="s">
        <v>14602</v>
      </c>
      <c r="B719" s="35" t="s">
        <v>1768</v>
      </c>
      <c r="C719" s="35" t="s">
        <v>420</v>
      </c>
      <c r="D719" s="35" t="s">
        <v>16053</v>
      </c>
      <c r="E719" s="35" t="s">
        <v>192</v>
      </c>
      <c r="F719" s="62">
        <v>1</v>
      </c>
      <c r="G719" s="30" t="s">
        <v>193</v>
      </c>
      <c r="H719" s="30" t="s">
        <v>194</v>
      </c>
      <c r="I719" s="30" t="s">
        <v>16052</v>
      </c>
      <c r="J719" s="35" t="s">
        <v>253</v>
      </c>
      <c r="K719" s="35">
        <v>18</v>
      </c>
      <c r="L719" s="35" t="s">
        <v>6955</v>
      </c>
      <c r="M719" s="35"/>
      <c r="N719" s="35" t="s">
        <v>16158</v>
      </c>
      <c r="O719" s="35" t="s">
        <v>7531</v>
      </c>
      <c r="P719" s="35" t="s">
        <v>16050</v>
      </c>
      <c r="Q719" s="35" t="s">
        <v>16049</v>
      </c>
      <c r="R719" s="35" t="s">
        <v>16066</v>
      </c>
      <c r="S719" s="35">
        <v>2348480</v>
      </c>
      <c r="T719" s="35">
        <v>33717080</v>
      </c>
      <c r="U719" s="35"/>
      <c r="V719" s="30">
        <v>1811</v>
      </c>
      <c r="W719" s="35" t="s">
        <v>421</v>
      </c>
      <c r="X719" s="35" t="s">
        <v>194</v>
      </c>
      <c r="Y719" s="30">
        <v>1</v>
      </c>
      <c r="Z719" s="35"/>
      <c r="AA719" s="35"/>
      <c r="AB719" s="35"/>
      <c r="AC719" s="35"/>
      <c r="AD719" s="35"/>
      <c r="AE719" s="35"/>
      <c r="AF719" s="35"/>
      <c r="AG719" s="35"/>
      <c r="AH719" s="30" t="s">
        <v>4714</v>
      </c>
      <c r="AI719" s="35" t="s">
        <v>1768</v>
      </c>
      <c r="AJ719" s="62" t="str">
        <f>MID('I kw.22'!W719,8,6)</f>
        <v>241306</v>
      </c>
      <c r="AK719" s="62">
        <v>1</v>
      </c>
      <c r="AL719" s="62">
        <f t="shared" si="11"/>
        <v>1</v>
      </c>
      <c r="AM719" s="62">
        <v>1</v>
      </c>
    </row>
    <row r="720" spans="1:39" x14ac:dyDescent="0.25">
      <c r="A720" s="35" t="s">
        <v>14602</v>
      </c>
      <c r="B720" s="35" t="s">
        <v>304</v>
      </c>
      <c r="C720" s="35" t="s">
        <v>1957</v>
      </c>
      <c r="D720" s="35" t="s">
        <v>16053</v>
      </c>
      <c r="E720" s="35" t="s">
        <v>192</v>
      </c>
      <c r="F720" s="62">
        <v>1</v>
      </c>
      <c r="G720" s="30" t="s">
        <v>193</v>
      </c>
      <c r="H720" s="30" t="s">
        <v>194</v>
      </c>
      <c r="I720" s="30" t="s">
        <v>16068</v>
      </c>
      <c r="J720" s="35" t="s">
        <v>253</v>
      </c>
      <c r="K720" s="35">
        <v>18</v>
      </c>
      <c r="L720" s="35" t="s">
        <v>6955</v>
      </c>
      <c r="M720" s="35"/>
      <c r="N720" s="35" t="s">
        <v>16157</v>
      </c>
      <c r="O720" s="35" t="s">
        <v>6245</v>
      </c>
      <c r="P720" s="35" t="s">
        <v>16050</v>
      </c>
      <c r="Q720" s="35" t="s">
        <v>16049</v>
      </c>
      <c r="R720" s="35" t="s">
        <v>16066</v>
      </c>
      <c r="S720" s="35">
        <v>2348485</v>
      </c>
      <c r="T720" s="35">
        <v>33717085</v>
      </c>
      <c r="U720" s="35"/>
      <c r="V720" s="30">
        <v>1811</v>
      </c>
      <c r="W720" s="35" t="s">
        <v>1958</v>
      </c>
      <c r="X720" s="35" t="s">
        <v>194</v>
      </c>
      <c r="Y720" s="30">
        <v>1</v>
      </c>
      <c r="Z720" s="35"/>
      <c r="AA720" s="35"/>
      <c r="AB720" s="35"/>
      <c r="AC720" s="35"/>
      <c r="AD720" s="35"/>
      <c r="AE720" s="35"/>
      <c r="AF720" s="35"/>
      <c r="AG720" s="35"/>
      <c r="AH720" s="30" t="s">
        <v>4714</v>
      </c>
      <c r="AI720" s="35" t="s">
        <v>304</v>
      </c>
      <c r="AJ720" s="62" t="str">
        <f>MID('I kw.22'!W720,8,6)</f>
        <v>214408</v>
      </c>
      <c r="AK720" s="62">
        <v>1</v>
      </c>
      <c r="AL720" s="62">
        <f t="shared" si="11"/>
        <v>1</v>
      </c>
      <c r="AM720" s="62">
        <v>1</v>
      </c>
    </row>
    <row r="721" spans="1:39" x14ac:dyDescent="0.25">
      <c r="A721" s="35" t="s">
        <v>10606</v>
      </c>
      <c r="B721" s="35" t="s">
        <v>14269</v>
      </c>
      <c r="C721" s="35" t="s">
        <v>5703</v>
      </c>
      <c r="D721" s="35" t="s">
        <v>16053</v>
      </c>
      <c r="E721" s="35" t="s">
        <v>192</v>
      </c>
      <c r="F721" s="62">
        <v>1</v>
      </c>
      <c r="G721" s="30" t="s">
        <v>193</v>
      </c>
      <c r="H721" s="30" t="s">
        <v>194</v>
      </c>
      <c r="I721" s="30" t="s">
        <v>16068</v>
      </c>
      <c r="J721" s="35" t="s">
        <v>755</v>
      </c>
      <c r="K721" s="35">
        <v>18</v>
      </c>
      <c r="L721" s="35" t="s">
        <v>6955</v>
      </c>
      <c r="M721" s="35"/>
      <c r="N721" s="35" t="s">
        <v>16156</v>
      </c>
      <c r="O721" s="35" t="s">
        <v>6327</v>
      </c>
      <c r="P721" s="35" t="s">
        <v>16050</v>
      </c>
      <c r="Q721" s="35" t="s">
        <v>16049</v>
      </c>
      <c r="R721" s="35" t="s">
        <v>16066</v>
      </c>
      <c r="S721" s="35">
        <v>2348543</v>
      </c>
      <c r="T721" s="35">
        <v>33717143</v>
      </c>
      <c r="U721" s="35"/>
      <c r="V721" s="30">
        <v>1816</v>
      </c>
      <c r="W721" s="35" t="s">
        <v>983</v>
      </c>
      <c r="X721" s="35" t="s">
        <v>194</v>
      </c>
      <c r="Y721" s="30">
        <v>1</v>
      </c>
      <c r="Z721" s="35"/>
      <c r="AA721" s="35"/>
      <c r="AB721" s="35"/>
      <c r="AC721" s="35"/>
      <c r="AD721" s="35"/>
      <c r="AE721" s="35"/>
      <c r="AF721" s="35"/>
      <c r="AG721" s="35"/>
      <c r="AH721" s="30" t="s">
        <v>4714</v>
      </c>
      <c r="AI721" s="35" t="s">
        <v>14269</v>
      </c>
      <c r="AJ721" s="62" t="str">
        <f>MID('I kw.22'!W721,8,6)</f>
        <v>213303</v>
      </c>
      <c r="AK721" s="62">
        <v>1</v>
      </c>
      <c r="AL721" s="62">
        <f t="shared" si="11"/>
        <v>1</v>
      </c>
      <c r="AM721" s="62">
        <v>1</v>
      </c>
    </row>
    <row r="722" spans="1:39" x14ac:dyDescent="0.25">
      <c r="A722" s="35" t="s">
        <v>16155</v>
      </c>
      <c r="B722" s="35" t="s">
        <v>16150</v>
      </c>
      <c r="C722" s="35" t="s">
        <v>16154</v>
      </c>
      <c r="D722" s="35" t="s">
        <v>16053</v>
      </c>
      <c r="E722" s="35" t="s">
        <v>192</v>
      </c>
      <c r="F722" s="62">
        <v>1</v>
      </c>
      <c r="G722" s="30" t="s">
        <v>193</v>
      </c>
      <c r="H722" s="30" t="s">
        <v>194</v>
      </c>
      <c r="I722" s="30" t="s">
        <v>16068</v>
      </c>
      <c r="J722" s="35" t="s">
        <v>16153</v>
      </c>
      <c r="K722" s="35">
        <v>18</v>
      </c>
      <c r="L722" s="35" t="s">
        <v>6955</v>
      </c>
      <c r="M722" s="35"/>
      <c r="N722" s="35" t="s">
        <v>16152</v>
      </c>
      <c r="O722" s="35" t="s">
        <v>12529</v>
      </c>
      <c r="P722" s="35" t="s">
        <v>16050</v>
      </c>
      <c r="Q722" s="35" t="s">
        <v>16049</v>
      </c>
      <c r="R722" s="35" t="s">
        <v>16066</v>
      </c>
      <c r="S722" s="35">
        <v>2348578</v>
      </c>
      <c r="T722" s="35">
        <v>33717178</v>
      </c>
      <c r="U722" s="35"/>
      <c r="V722" s="30">
        <v>1807</v>
      </c>
      <c r="W722" s="35" t="s">
        <v>16151</v>
      </c>
      <c r="X722" s="35" t="s">
        <v>194</v>
      </c>
      <c r="Y722" s="30">
        <v>1</v>
      </c>
      <c r="Z722" s="35"/>
      <c r="AA722" s="35"/>
      <c r="AB722" s="35"/>
      <c r="AC722" s="35"/>
      <c r="AD722" s="35"/>
      <c r="AE722" s="35"/>
      <c r="AF722" s="35"/>
      <c r="AG722" s="35"/>
      <c r="AH722" s="30" t="s">
        <v>4714</v>
      </c>
      <c r="AI722" s="35" t="s">
        <v>16150</v>
      </c>
      <c r="AJ722" s="62" t="str">
        <f>MID('I kw.22'!W722,8,6)</f>
        <v>221230</v>
      </c>
      <c r="AK722" s="62">
        <v>1</v>
      </c>
      <c r="AL722" s="62">
        <f t="shared" si="11"/>
        <v>1</v>
      </c>
      <c r="AM722" s="62">
        <v>1</v>
      </c>
    </row>
    <row r="723" spans="1:39" x14ac:dyDescent="0.25">
      <c r="A723" s="35" t="s">
        <v>1902</v>
      </c>
      <c r="B723" s="35" t="s">
        <v>1940</v>
      </c>
      <c r="C723" s="35" t="s">
        <v>19</v>
      </c>
      <c r="D723" s="35" t="s">
        <v>16053</v>
      </c>
      <c r="E723" s="35" t="s">
        <v>192</v>
      </c>
      <c r="F723" s="62">
        <v>1</v>
      </c>
      <c r="G723" s="30" t="s">
        <v>193</v>
      </c>
      <c r="H723" s="30" t="s">
        <v>194</v>
      </c>
      <c r="I723" s="30" t="s">
        <v>16068</v>
      </c>
      <c r="J723" s="35" t="s">
        <v>962</v>
      </c>
      <c r="K723" s="35">
        <v>18</v>
      </c>
      <c r="L723" s="35" t="s">
        <v>6955</v>
      </c>
      <c r="M723" s="35"/>
      <c r="N723" s="35" t="s">
        <v>16149</v>
      </c>
      <c r="O723" s="35" t="s">
        <v>6245</v>
      </c>
      <c r="P723" s="35" t="s">
        <v>16050</v>
      </c>
      <c r="Q723" s="35" t="s">
        <v>16049</v>
      </c>
      <c r="R723" s="35" t="s">
        <v>16066</v>
      </c>
      <c r="S723" s="35">
        <v>2348609</v>
      </c>
      <c r="T723" s="35">
        <v>33717209</v>
      </c>
      <c r="U723" s="35"/>
      <c r="V723" s="30">
        <v>1806</v>
      </c>
      <c r="W723" s="35" t="s">
        <v>337</v>
      </c>
      <c r="X723" s="35" t="s">
        <v>194</v>
      </c>
      <c r="Y723" s="30">
        <v>1</v>
      </c>
      <c r="Z723" s="35"/>
      <c r="AA723" s="35"/>
      <c r="AB723" s="35"/>
      <c r="AC723" s="35"/>
      <c r="AD723" s="35"/>
      <c r="AE723" s="35"/>
      <c r="AF723" s="35"/>
      <c r="AG723" s="35"/>
      <c r="AH723" s="30" t="s">
        <v>4714</v>
      </c>
      <c r="AI723" s="35" t="s">
        <v>1940</v>
      </c>
      <c r="AJ723" s="62" t="str">
        <f>MID('I kw.22'!W723,8,6)</f>
        <v>214903</v>
      </c>
      <c r="AK723" s="62">
        <v>1</v>
      </c>
      <c r="AL723" s="62">
        <f t="shared" si="11"/>
        <v>1</v>
      </c>
      <c r="AM723" s="62">
        <v>1</v>
      </c>
    </row>
    <row r="724" spans="1:39" x14ac:dyDescent="0.25">
      <c r="A724" s="35" t="s">
        <v>16148</v>
      </c>
      <c r="B724" s="35" t="s">
        <v>1396</v>
      </c>
      <c r="C724" s="35" t="s">
        <v>85</v>
      </c>
      <c r="D724" s="35" t="s">
        <v>16053</v>
      </c>
      <c r="E724" s="35" t="s">
        <v>192</v>
      </c>
      <c r="F724" s="62">
        <v>1</v>
      </c>
      <c r="G724" s="30" t="s">
        <v>193</v>
      </c>
      <c r="H724" s="30" t="s">
        <v>194</v>
      </c>
      <c r="I724" s="30" t="s">
        <v>16052</v>
      </c>
      <c r="J724" s="35" t="s">
        <v>316</v>
      </c>
      <c r="K724" s="35">
        <v>18</v>
      </c>
      <c r="L724" s="35" t="s">
        <v>6955</v>
      </c>
      <c r="M724" s="35"/>
      <c r="N724" s="35" t="s">
        <v>16147</v>
      </c>
      <c r="O724" s="35" t="s">
        <v>6302</v>
      </c>
      <c r="P724" s="35" t="s">
        <v>16050</v>
      </c>
      <c r="Q724" s="35" t="s">
        <v>16049</v>
      </c>
      <c r="R724" s="35" t="s">
        <v>16066</v>
      </c>
      <c r="S724" s="35">
        <v>2348612</v>
      </c>
      <c r="T724" s="35">
        <v>33717212</v>
      </c>
      <c r="U724" s="35"/>
      <c r="V724" s="30">
        <v>1818</v>
      </c>
      <c r="W724" s="35" t="s">
        <v>477</v>
      </c>
      <c r="X724" s="35" t="s">
        <v>194</v>
      </c>
      <c r="Y724" s="30">
        <v>1</v>
      </c>
      <c r="Z724" s="35"/>
      <c r="AA724" s="35"/>
      <c r="AB724" s="35"/>
      <c r="AC724" s="35"/>
      <c r="AD724" s="35"/>
      <c r="AE724" s="35"/>
      <c r="AF724" s="35"/>
      <c r="AG724" s="35"/>
      <c r="AH724" s="30" t="s">
        <v>4714</v>
      </c>
      <c r="AI724" s="35" t="s">
        <v>1396</v>
      </c>
      <c r="AJ724" s="62" t="str">
        <f>MID('I kw.22'!W724,8,6)</f>
        <v>243305</v>
      </c>
      <c r="AK724" s="62">
        <v>1</v>
      </c>
      <c r="AL724" s="62">
        <f t="shared" si="11"/>
        <v>1</v>
      </c>
      <c r="AM724" s="62">
        <v>1</v>
      </c>
    </row>
    <row r="725" spans="1:39" x14ac:dyDescent="0.25">
      <c r="A725" s="35" t="s">
        <v>16146</v>
      </c>
      <c r="B725" s="35" t="s">
        <v>16144</v>
      </c>
      <c r="C725" s="35" t="s">
        <v>5440</v>
      </c>
      <c r="D725" s="35" t="s">
        <v>16053</v>
      </c>
      <c r="E725" s="35" t="s">
        <v>192</v>
      </c>
      <c r="F725" s="62">
        <v>1</v>
      </c>
      <c r="G725" s="30" t="s">
        <v>193</v>
      </c>
      <c r="H725" s="30" t="s">
        <v>194</v>
      </c>
      <c r="I725" s="30" t="s">
        <v>16068</v>
      </c>
      <c r="J725" s="35" t="s">
        <v>5098</v>
      </c>
      <c r="K725" s="35">
        <v>18</v>
      </c>
      <c r="L725" s="35" t="s">
        <v>6955</v>
      </c>
      <c r="M725" s="35"/>
      <c r="N725" s="35" t="s">
        <v>16145</v>
      </c>
      <c r="O725" s="35" t="s">
        <v>6245</v>
      </c>
      <c r="P725" s="35" t="s">
        <v>16050</v>
      </c>
      <c r="Q725" s="35" t="s">
        <v>16049</v>
      </c>
      <c r="R725" s="35" t="s">
        <v>16066</v>
      </c>
      <c r="S725" s="35">
        <v>2348709</v>
      </c>
      <c r="T725" s="35">
        <v>33717309</v>
      </c>
      <c r="U725" s="35"/>
      <c r="V725" s="30">
        <v>1803</v>
      </c>
      <c r="W725" s="35" t="s">
        <v>310</v>
      </c>
      <c r="X725" s="35" t="s">
        <v>194</v>
      </c>
      <c r="Y725" s="30">
        <v>1</v>
      </c>
      <c r="Z725" s="35"/>
      <c r="AA725" s="35"/>
      <c r="AB725" s="35"/>
      <c r="AC725" s="35"/>
      <c r="AD725" s="35"/>
      <c r="AE725" s="35"/>
      <c r="AF725" s="35"/>
      <c r="AG725" s="35"/>
      <c r="AH725" s="30" t="s">
        <v>4714</v>
      </c>
      <c r="AI725" s="35" t="s">
        <v>16144</v>
      </c>
      <c r="AJ725" s="62" t="str">
        <f>MID('I kw.22'!W725,8,6)</f>
        <v>214404</v>
      </c>
      <c r="AK725" s="62">
        <v>1</v>
      </c>
      <c r="AL725" s="62">
        <f t="shared" si="11"/>
        <v>1</v>
      </c>
      <c r="AM725" s="62">
        <v>1</v>
      </c>
    </row>
    <row r="726" spans="1:39" x14ac:dyDescent="0.25">
      <c r="A726" s="35" t="s">
        <v>1386</v>
      </c>
      <c r="B726" s="35" t="s">
        <v>313</v>
      </c>
      <c r="C726" s="35" t="s">
        <v>319</v>
      </c>
      <c r="D726" s="35" t="s">
        <v>16053</v>
      </c>
      <c r="E726" s="35" t="s">
        <v>192</v>
      </c>
      <c r="F726" s="62">
        <v>1</v>
      </c>
      <c r="G726" s="30" t="s">
        <v>193</v>
      </c>
      <c r="H726" s="30" t="s">
        <v>194</v>
      </c>
      <c r="I726" s="30" t="s">
        <v>16052</v>
      </c>
      <c r="J726" s="35" t="s">
        <v>253</v>
      </c>
      <c r="K726" s="35">
        <v>18</v>
      </c>
      <c r="L726" s="35" t="s">
        <v>6955</v>
      </c>
      <c r="M726" s="35"/>
      <c r="N726" s="35" t="s">
        <v>16143</v>
      </c>
      <c r="O726" s="35" t="s">
        <v>6245</v>
      </c>
      <c r="P726" s="35" t="s">
        <v>16050</v>
      </c>
      <c r="Q726" s="35" t="s">
        <v>16049</v>
      </c>
      <c r="R726" s="35" t="s">
        <v>16066</v>
      </c>
      <c r="S726" s="35">
        <v>2348740</v>
      </c>
      <c r="T726" s="35">
        <v>33717340</v>
      </c>
      <c r="U726" s="35"/>
      <c r="V726" s="30">
        <v>1811</v>
      </c>
      <c r="W726" s="35" t="s">
        <v>320</v>
      </c>
      <c r="X726" s="35" t="s">
        <v>194</v>
      </c>
      <c r="Y726" s="30">
        <v>1</v>
      </c>
      <c r="Z726" s="35"/>
      <c r="AA726" s="35"/>
      <c r="AB726" s="35"/>
      <c r="AC726" s="35"/>
      <c r="AD726" s="35"/>
      <c r="AE726" s="35"/>
      <c r="AF726" s="35"/>
      <c r="AG726" s="35"/>
      <c r="AH726" s="30" t="s">
        <v>4714</v>
      </c>
      <c r="AI726" s="35" t="s">
        <v>313</v>
      </c>
      <c r="AJ726" s="62" t="str">
        <f>MID('I kw.22'!W726,8,6)</f>
        <v>214407</v>
      </c>
      <c r="AK726" s="62">
        <v>1</v>
      </c>
      <c r="AL726" s="62">
        <f t="shared" si="11"/>
        <v>1</v>
      </c>
      <c r="AM726" s="62">
        <v>1</v>
      </c>
    </row>
    <row r="727" spans="1:39" x14ac:dyDescent="0.25">
      <c r="A727" s="35" t="s">
        <v>1386</v>
      </c>
      <c r="B727" s="35" t="s">
        <v>1984</v>
      </c>
      <c r="C727" s="35" t="s">
        <v>5440</v>
      </c>
      <c r="D727" s="35" t="s">
        <v>16053</v>
      </c>
      <c r="E727" s="35" t="s">
        <v>192</v>
      </c>
      <c r="F727" s="62">
        <v>1</v>
      </c>
      <c r="G727" s="30" t="s">
        <v>193</v>
      </c>
      <c r="H727" s="30" t="s">
        <v>194</v>
      </c>
      <c r="I727" s="30" t="s">
        <v>16078</v>
      </c>
      <c r="J727" s="35" t="s">
        <v>253</v>
      </c>
      <c r="K727" s="35">
        <v>18</v>
      </c>
      <c r="L727" s="35" t="s">
        <v>6955</v>
      </c>
      <c r="M727" s="35"/>
      <c r="N727" s="35" t="s">
        <v>16142</v>
      </c>
      <c r="O727" s="35" t="s">
        <v>6245</v>
      </c>
      <c r="P727" s="35" t="s">
        <v>16050</v>
      </c>
      <c r="Q727" s="35" t="s">
        <v>16049</v>
      </c>
      <c r="R727" s="35" t="s">
        <v>16066</v>
      </c>
      <c r="S727" s="35">
        <v>2348744</v>
      </c>
      <c r="T727" s="35">
        <v>33717344</v>
      </c>
      <c r="U727" s="35"/>
      <c r="V727" s="30">
        <v>1811</v>
      </c>
      <c r="W727" s="35" t="s">
        <v>310</v>
      </c>
      <c r="X727" s="35" t="s">
        <v>194</v>
      </c>
      <c r="Y727" s="30">
        <v>1</v>
      </c>
      <c r="Z727" s="35"/>
      <c r="AA727" s="35"/>
      <c r="AB727" s="35"/>
      <c r="AC727" s="35"/>
      <c r="AD727" s="35"/>
      <c r="AE727" s="35"/>
      <c r="AF727" s="35"/>
      <c r="AG727" s="35"/>
      <c r="AH727" s="30" t="s">
        <v>4714</v>
      </c>
      <c r="AI727" s="35" t="s">
        <v>1984</v>
      </c>
      <c r="AJ727" s="62" t="str">
        <f>MID('I kw.22'!W727,8,6)</f>
        <v>214404</v>
      </c>
      <c r="AK727" s="62">
        <v>1</v>
      </c>
      <c r="AL727" s="62">
        <f t="shared" si="11"/>
        <v>1</v>
      </c>
      <c r="AM727" s="62">
        <v>1</v>
      </c>
    </row>
    <row r="728" spans="1:39" x14ac:dyDescent="0.25">
      <c r="A728" s="35" t="s">
        <v>16141</v>
      </c>
      <c r="B728" s="35" t="s">
        <v>2837</v>
      </c>
      <c r="C728" s="35" t="s">
        <v>162</v>
      </c>
      <c r="D728" s="35" t="s">
        <v>16053</v>
      </c>
      <c r="E728" s="35" t="s">
        <v>192</v>
      </c>
      <c r="F728" s="62">
        <v>1</v>
      </c>
      <c r="G728" s="30" t="s">
        <v>193</v>
      </c>
      <c r="H728" s="30" t="s">
        <v>194</v>
      </c>
      <c r="I728" s="30" t="s">
        <v>16078</v>
      </c>
      <c r="J728" s="35" t="s">
        <v>1977</v>
      </c>
      <c r="K728" s="35">
        <v>18</v>
      </c>
      <c r="L728" s="35" t="s">
        <v>6955</v>
      </c>
      <c r="M728" s="35"/>
      <c r="N728" s="35" t="s">
        <v>16140</v>
      </c>
      <c r="O728" s="35" t="s">
        <v>6295</v>
      </c>
      <c r="P728" s="35" t="s">
        <v>16050</v>
      </c>
      <c r="Q728" s="35" t="s">
        <v>16049</v>
      </c>
      <c r="R728" s="35" t="s">
        <v>16066</v>
      </c>
      <c r="S728" s="35">
        <v>2348770</v>
      </c>
      <c r="T728" s="35">
        <v>33717370</v>
      </c>
      <c r="U728" s="35"/>
      <c r="V728" s="30">
        <v>1808</v>
      </c>
      <c r="W728" s="35" t="s">
        <v>2115</v>
      </c>
      <c r="X728" s="35" t="s">
        <v>194</v>
      </c>
      <c r="Y728" s="30">
        <v>1</v>
      </c>
      <c r="Z728" s="35"/>
      <c r="AA728" s="35"/>
      <c r="AB728" s="35"/>
      <c r="AC728" s="35"/>
      <c r="AD728" s="35"/>
      <c r="AE728" s="35"/>
      <c r="AF728" s="35"/>
      <c r="AG728" s="35"/>
      <c r="AH728" s="30" t="s">
        <v>4714</v>
      </c>
      <c r="AI728" s="35" t="s">
        <v>2837</v>
      </c>
      <c r="AJ728" s="62" t="str">
        <f>MID('I kw.22'!W728,8,6)</f>
        <v>311101</v>
      </c>
      <c r="AK728" s="62">
        <v>1</v>
      </c>
      <c r="AL728" s="62">
        <f t="shared" si="11"/>
        <v>1</v>
      </c>
      <c r="AM728" s="62">
        <v>1</v>
      </c>
    </row>
    <row r="729" spans="1:39" x14ac:dyDescent="0.25">
      <c r="A729" s="35" t="s">
        <v>16139</v>
      </c>
      <c r="B729" s="35" t="s">
        <v>336</v>
      </c>
      <c r="C729" s="35" t="s">
        <v>1408</v>
      </c>
      <c r="D729" s="35" t="s">
        <v>16053</v>
      </c>
      <c r="E729" s="35" t="s">
        <v>192</v>
      </c>
      <c r="F729" s="62">
        <v>1</v>
      </c>
      <c r="G729" s="30" t="s">
        <v>193</v>
      </c>
      <c r="H729" s="30" t="s">
        <v>194</v>
      </c>
      <c r="I729" s="30" t="s">
        <v>16073</v>
      </c>
      <c r="J729" s="35" t="s">
        <v>210</v>
      </c>
      <c r="K729" s="35">
        <v>18</v>
      </c>
      <c r="L729" s="35" t="s">
        <v>6955</v>
      </c>
      <c r="M729" s="35"/>
      <c r="N729" s="35" t="s">
        <v>16138</v>
      </c>
      <c r="O729" s="35" t="s">
        <v>6261</v>
      </c>
      <c r="P729" s="35" t="s">
        <v>16050</v>
      </c>
      <c r="Q729" s="35" t="s">
        <v>16049</v>
      </c>
      <c r="R729" s="35" t="s">
        <v>16066</v>
      </c>
      <c r="S729" s="35">
        <v>2348881</v>
      </c>
      <c r="T729" s="35">
        <v>33717481</v>
      </c>
      <c r="U729" s="35"/>
      <c r="V729" s="30">
        <v>1863</v>
      </c>
      <c r="W729" s="35" t="s">
        <v>1409</v>
      </c>
      <c r="X729" s="35" t="s">
        <v>194</v>
      </c>
      <c r="Y729" s="30">
        <v>1</v>
      </c>
      <c r="Z729" s="35"/>
      <c r="AA729" s="35"/>
      <c r="AB729" s="35"/>
      <c r="AC729" s="35"/>
      <c r="AD729" s="35"/>
      <c r="AE729" s="35"/>
      <c r="AF729" s="35"/>
      <c r="AG729" s="35"/>
      <c r="AH729" s="30" t="s">
        <v>4714</v>
      </c>
      <c r="AI729" s="35" t="s">
        <v>336</v>
      </c>
      <c r="AJ729" s="62" t="str">
        <f>MID('I kw.22'!W729,8,6)</f>
        <v>251402</v>
      </c>
      <c r="AK729" s="62">
        <v>1</v>
      </c>
      <c r="AL729" s="62">
        <f t="shared" si="11"/>
        <v>1</v>
      </c>
      <c r="AM729" s="62">
        <v>1</v>
      </c>
    </row>
    <row r="730" spans="1:39" x14ac:dyDescent="0.25">
      <c r="A730" s="35" t="s">
        <v>15696</v>
      </c>
      <c r="B730" s="35" t="s">
        <v>16136</v>
      </c>
      <c r="C730" s="35" t="s">
        <v>43</v>
      </c>
      <c r="D730" s="35" t="s">
        <v>16053</v>
      </c>
      <c r="E730" s="35" t="s">
        <v>192</v>
      </c>
      <c r="F730" s="62">
        <v>1</v>
      </c>
      <c r="G730" s="30" t="s">
        <v>193</v>
      </c>
      <c r="H730" s="30" t="s">
        <v>194</v>
      </c>
      <c r="I730" s="30" t="s">
        <v>16083</v>
      </c>
      <c r="J730" s="35" t="s">
        <v>210</v>
      </c>
      <c r="K730" s="35">
        <v>18</v>
      </c>
      <c r="L730" s="35" t="s">
        <v>6955</v>
      </c>
      <c r="M730" s="35"/>
      <c r="N730" s="35" t="s">
        <v>16137</v>
      </c>
      <c r="O730" s="35" t="s">
        <v>6290</v>
      </c>
      <c r="P730" s="35" t="s">
        <v>16050</v>
      </c>
      <c r="Q730" s="35" t="s">
        <v>16049</v>
      </c>
      <c r="R730" s="35" t="s">
        <v>16066</v>
      </c>
      <c r="S730" s="35">
        <v>2348945</v>
      </c>
      <c r="T730" s="35">
        <v>33717545</v>
      </c>
      <c r="U730" s="35"/>
      <c r="V730" s="30">
        <v>1863</v>
      </c>
      <c r="W730" s="35" t="s">
        <v>452</v>
      </c>
      <c r="X730" s="35" t="s">
        <v>194</v>
      </c>
      <c r="Y730" s="30">
        <v>1</v>
      </c>
      <c r="Z730" s="35"/>
      <c r="AA730" s="35"/>
      <c r="AB730" s="35"/>
      <c r="AC730" s="35"/>
      <c r="AD730" s="35"/>
      <c r="AE730" s="35"/>
      <c r="AF730" s="35"/>
      <c r="AG730" s="35"/>
      <c r="AH730" s="30" t="s">
        <v>4714</v>
      </c>
      <c r="AI730" s="35" t="s">
        <v>16136</v>
      </c>
      <c r="AJ730" s="62" t="str">
        <f>MID('I kw.22'!W730,8,6)</f>
        <v>243106</v>
      </c>
      <c r="AK730" s="62">
        <v>1</v>
      </c>
      <c r="AL730" s="62">
        <f t="shared" si="11"/>
        <v>1</v>
      </c>
      <c r="AM730" s="62">
        <v>1</v>
      </c>
    </row>
    <row r="731" spans="1:39" x14ac:dyDescent="0.25">
      <c r="A731" s="35" t="s">
        <v>14051</v>
      </c>
      <c r="B731" s="35" t="s">
        <v>16133</v>
      </c>
      <c r="C731" s="35" t="s">
        <v>1046</v>
      </c>
      <c r="D731" s="35" t="s">
        <v>16053</v>
      </c>
      <c r="E731" s="35" t="s">
        <v>192</v>
      </c>
      <c r="F731" s="62">
        <v>1</v>
      </c>
      <c r="G731" s="30" t="s">
        <v>193</v>
      </c>
      <c r="H731" s="30" t="s">
        <v>194</v>
      </c>
      <c r="I731" s="30" t="s">
        <v>16068</v>
      </c>
      <c r="J731" s="35" t="s">
        <v>253</v>
      </c>
      <c r="K731" s="35">
        <v>18</v>
      </c>
      <c r="L731" s="35" t="s">
        <v>6955</v>
      </c>
      <c r="M731" s="35"/>
      <c r="N731" s="35" t="s">
        <v>16135</v>
      </c>
      <c r="O731" s="35" t="s">
        <v>6245</v>
      </c>
      <c r="P731" s="35" t="s">
        <v>16050</v>
      </c>
      <c r="Q731" s="35" t="s">
        <v>16049</v>
      </c>
      <c r="R731" s="35" t="s">
        <v>16066</v>
      </c>
      <c r="S731" s="35">
        <v>2348971</v>
      </c>
      <c r="T731" s="35">
        <v>33717571</v>
      </c>
      <c r="U731" s="35"/>
      <c r="V731" s="30">
        <v>1811</v>
      </c>
      <c r="W731" s="35" t="s">
        <v>1047</v>
      </c>
      <c r="X731" s="35" t="s">
        <v>194</v>
      </c>
      <c r="Y731" s="30">
        <v>1</v>
      </c>
      <c r="Z731" s="35"/>
      <c r="AA731" s="35"/>
      <c r="AB731" s="35"/>
      <c r="AC731" s="35"/>
      <c r="AD731" s="35"/>
      <c r="AE731" s="35"/>
      <c r="AF731" s="35"/>
      <c r="AG731" s="35"/>
      <c r="AH731" s="30" t="s">
        <v>4714</v>
      </c>
      <c r="AI731" s="35" t="s">
        <v>16133</v>
      </c>
      <c r="AJ731" s="62" t="str">
        <f>MID('I kw.22'!W731,8,6)</f>
        <v>352203</v>
      </c>
      <c r="AK731" s="62">
        <v>1</v>
      </c>
      <c r="AL731" s="62">
        <f t="shared" si="11"/>
        <v>1</v>
      </c>
      <c r="AM731" s="62">
        <v>1</v>
      </c>
    </row>
    <row r="732" spans="1:39" x14ac:dyDescent="0.25">
      <c r="A732" s="35" t="s">
        <v>14051</v>
      </c>
      <c r="B732" s="35" t="s">
        <v>16133</v>
      </c>
      <c r="C732" s="35" t="s">
        <v>1046</v>
      </c>
      <c r="D732" s="35" t="s">
        <v>16053</v>
      </c>
      <c r="E732" s="35" t="s">
        <v>192</v>
      </c>
      <c r="F732" s="62">
        <v>1</v>
      </c>
      <c r="G732" s="30" t="s">
        <v>193</v>
      </c>
      <c r="H732" s="30" t="s">
        <v>194</v>
      </c>
      <c r="I732" s="30" t="s">
        <v>16068</v>
      </c>
      <c r="J732" s="35" t="s">
        <v>210</v>
      </c>
      <c r="K732" s="35">
        <v>18</v>
      </c>
      <c r="L732" s="35" t="s">
        <v>6955</v>
      </c>
      <c r="M732" s="35"/>
      <c r="N732" s="35" t="s">
        <v>16134</v>
      </c>
      <c r="O732" s="35" t="s">
        <v>6245</v>
      </c>
      <c r="P732" s="35" t="s">
        <v>16050</v>
      </c>
      <c r="Q732" s="35" t="s">
        <v>16049</v>
      </c>
      <c r="R732" s="35" t="s">
        <v>16066</v>
      </c>
      <c r="S732" s="35">
        <v>2348977</v>
      </c>
      <c r="T732" s="35">
        <v>33717577</v>
      </c>
      <c r="U732" s="35"/>
      <c r="V732" s="30">
        <v>1863</v>
      </c>
      <c r="W732" s="35" t="s">
        <v>1047</v>
      </c>
      <c r="X732" s="35" t="s">
        <v>194</v>
      </c>
      <c r="Y732" s="30">
        <v>1</v>
      </c>
      <c r="Z732" s="35"/>
      <c r="AA732" s="35"/>
      <c r="AB732" s="35"/>
      <c r="AC732" s="35"/>
      <c r="AD732" s="35"/>
      <c r="AE732" s="35"/>
      <c r="AF732" s="35"/>
      <c r="AG732" s="35"/>
      <c r="AH732" s="30" t="s">
        <v>4714</v>
      </c>
      <c r="AI732" s="35" t="s">
        <v>16133</v>
      </c>
      <c r="AJ732" s="62" t="str">
        <f>MID('I kw.22'!W732,8,6)</f>
        <v>352203</v>
      </c>
      <c r="AK732" s="62">
        <v>1</v>
      </c>
      <c r="AL732" s="62">
        <f t="shared" si="11"/>
        <v>1</v>
      </c>
      <c r="AM732" s="62">
        <v>1</v>
      </c>
    </row>
    <row r="733" spans="1:39" x14ac:dyDescent="0.25">
      <c r="A733" s="35" t="s">
        <v>8169</v>
      </c>
      <c r="B733" s="35" t="s">
        <v>16131</v>
      </c>
      <c r="C733" s="35" t="s">
        <v>7663</v>
      </c>
      <c r="D733" s="35" t="s">
        <v>16053</v>
      </c>
      <c r="E733" s="35" t="s">
        <v>192</v>
      </c>
      <c r="F733" s="62">
        <v>1</v>
      </c>
      <c r="G733" s="30" t="s">
        <v>193</v>
      </c>
      <c r="H733" s="30" t="s">
        <v>194</v>
      </c>
      <c r="I733" s="30" t="s">
        <v>16066</v>
      </c>
      <c r="J733" s="35" t="s">
        <v>210</v>
      </c>
      <c r="K733" s="35">
        <v>18</v>
      </c>
      <c r="L733" s="35" t="s">
        <v>6955</v>
      </c>
      <c r="M733" s="35"/>
      <c r="N733" s="35" t="s">
        <v>16132</v>
      </c>
      <c r="O733" s="35" t="s">
        <v>6286</v>
      </c>
      <c r="P733" s="35" t="s">
        <v>16050</v>
      </c>
      <c r="Q733" s="35" t="s">
        <v>16049</v>
      </c>
      <c r="R733" s="35" t="s">
        <v>16066</v>
      </c>
      <c r="S733" s="35">
        <v>2349037</v>
      </c>
      <c r="T733" s="35">
        <v>33717637</v>
      </c>
      <c r="U733" s="35"/>
      <c r="V733" s="30">
        <v>1863</v>
      </c>
      <c r="W733" s="35" t="s">
        <v>679</v>
      </c>
      <c r="X733" s="35" t="s">
        <v>194</v>
      </c>
      <c r="Y733" s="30">
        <v>1</v>
      </c>
      <c r="Z733" s="35"/>
      <c r="AA733" s="35"/>
      <c r="AB733" s="35"/>
      <c r="AC733" s="35"/>
      <c r="AD733" s="35"/>
      <c r="AE733" s="35"/>
      <c r="AF733" s="35"/>
      <c r="AG733" s="35"/>
      <c r="AH733" s="30" t="s">
        <v>4714</v>
      </c>
      <c r="AI733" s="35" t="s">
        <v>16131</v>
      </c>
      <c r="AJ733" s="62" t="str">
        <f>MID('I kw.22'!W733,8,6)</f>
        <v>333404</v>
      </c>
      <c r="AK733" s="62">
        <v>1</v>
      </c>
      <c r="AL733" s="62">
        <f t="shared" si="11"/>
        <v>1</v>
      </c>
      <c r="AM733" s="62">
        <v>1</v>
      </c>
    </row>
    <row r="734" spans="1:39" x14ac:dyDescent="0.25">
      <c r="A734" s="35" t="s">
        <v>3046</v>
      </c>
      <c r="B734" s="35" t="s">
        <v>16129</v>
      </c>
      <c r="C734" s="35" t="s">
        <v>81</v>
      </c>
      <c r="D734" s="35" t="s">
        <v>16053</v>
      </c>
      <c r="E734" s="35" t="s">
        <v>192</v>
      </c>
      <c r="F734" s="62">
        <v>1</v>
      </c>
      <c r="G734" s="30" t="s">
        <v>193</v>
      </c>
      <c r="H734" s="30" t="s">
        <v>194</v>
      </c>
      <c r="I734" s="30" t="s">
        <v>16073</v>
      </c>
      <c r="J734" s="35" t="s">
        <v>210</v>
      </c>
      <c r="K734" s="35">
        <v>18</v>
      </c>
      <c r="L734" s="35" t="s">
        <v>6955</v>
      </c>
      <c r="M734" s="35"/>
      <c r="N734" s="35" t="s">
        <v>16130</v>
      </c>
      <c r="O734" s="35" t="s">
        <v>6254</v>
      </c>
      <c r="P734" s="35" t="s">
        <v>16050</v>
      </c>
      <c r="Q734" s="35" t="s">
        <v>16049</v>
      </c>
      <c r="R734" s="35" t="s">
        <v>16066</v>
      </c>
      <c r="S734" s="35">
        <v>2349152</v>
      </c>
      <c r="T734" s="35">
        <v>33717752</v>
      </c>
      <c r="U734" s="35"/>
      <c r="V734" s="30">
        <v>1863</v>
      </c>
      <c r="W734" s="35" t="s">
        <v>402</v>
      </c>
      <c r="X734" s="35" t="s">
        <v>194</v>
      </c>
      <c r="Y734" s="30">
        <v>1</v>
      </c>
      <c r="Z734" s="35"/>
      <c r="AA734" s="35"/>
      <c r="AB734" s="35"/>
      <c r="AC734" s="35"/>
      <c r="AD734" s="35"/>
      <c r="AE734" s="35"/>
      <c r="AF734" s="35"/>
      <c r="AG734" s="35"/>
      <c r="AH734" s="30" t="s">
        <v>4714</v>
      </c>
      <c r="AI734" s="35" t="s">
        <v>16129</v>
      </c>
      <c r="AJ734" s="62" t="str">
        <f>MID('I kw.22'!W734,8,6)</f>
        <v>241205</v>
      </c>
      <c r="AK734" s="62">
        <v>1</v>
      </c>
      <c r="AL734" s="62">
        <f t="shared" si="11"/>
        <v>1</v>
      </c>
      <c r="AM734" s="62">
        <v>1</v>
      </c>
    </row>
    <row r="735" spans="1:39" x14ac:dyDescent="0.25">
      <c r="A735" s="35" t="s">
        <v>662</v>
      </c>
      <c r="B735" s="35" t="s">
        <v>3624</v>
      </c>
      <c r="C735" s="35" t="s">
        <v>43</v>
      </c>
      <c r="D735" s="35" t="s">
        <v>16053</v>
      </c>
      <c r="E735" s="35" t="s">
        <v>192</v>
      </c>
      <c r="F735" s="62">
        <v>1</v>
      </c>
      <c r="G735" s="30" t="s">
        <v>193</v>
      </c>
      <c r="H735" s="30" t="s">
        <v>194</v>
      </c>
      <c r="I735" s="30" t="s">
        <v>16068</v>
      </c>
      <c r="J735" s="35" t="s">
        <v>305</v>
      </c>
      <c r="K735" s="35">
        <v>18</v>
      </c>
      <c r="L735" s="35" t="s">
        <v>6955</v>
      </c>
      <c r="M735" s="35"/>
      <c r="N735" s="35" t="s">
        <v>16128</v>
      </c>
      <c r="O735" s="35" t="s">
        <v>6245</v>
      </c>
      <c r="P735" s="35" t="s">
        <v>16050</v>
      </c>
      <c r="Q735" s="35" t="s">
        <v>16049</v>
      </c>
      <c r="R735" s="35" t="s">
        <v>16066</v>
      </c>
      <c r="S735" s="35">
        <v>2349317</v>
      </c>
      <c r="T735" s="35">
        <v>33717917</v>
      </c>
      <c r="U735" s="35"/>
      <c r="V735" s="30">
        <v>1814</v>
      </c>
      <c r="W735" s="35" t="s">
        <v>452</v>
      </c>
      <c r="X735" s="35" t="s">
        <v>194</v>
      </c>
      <c r="Y735" s="30">
        <v>1</v>
      </c>
      <c r="Z735" s="35"/>
      <c r="AA735" s="35"/>
      <c r="AB735" s="35"/>
      <c r="AC735" s="35"/>
      <c r="AD735" s="35"/>
      <c r="AE735" s="35"/>
      <c r="AF735" s="35"/>
      <c r="AG735" s="35"/>
      <c r="AH735" s="30" t="s">
        <v>4714</v>
      </c>
      <c r="AI735" s="35" t="s">
        <v>3624</v>
      </c>
      <c r="AJ735" s="62" t="str">
        <f>MID('I kw.22'!W735,8,6)</f>
        <v>243106</v>
      </c>
      <c r="AK735" s="62">
        <v>1</v>
      </c>
      <c r="AL735" s="62">
        <f t="shared" si="11"/>
        <v>1</v>
      </c>
      <c r="AM735" s="62">
        <v>1</v>
      </c>
    </row>
    <row r="736" spans="1:39" x14ac:dyDescent="0.25">
      <c r="A736" s="35" t="s">
        <v>8187</v>
      </c>
      <c r="B736" s="35" t="s">
        <v>9975</v>
      </c>
      <c r="C736" s="35" t="s">
        <v>740</v>
      </c>
      <c r="D736" s="35" t="s">
        <v>16053</v>
      </c>
      <c r="E736" s="35" t="s">
        <v>192</v>
      </c>
      <c r="F736" s="62">
        <v>1</v>
      </c>
      <c r="G736" s="30" t="s">
        <v>193</v>
      </c>
      <c r="H736" s="30" t="s">
        <v>194</v>
      </c>
      <c r="I736" s="30" t="s">
        <v>16068</v>
      </c>
      <c r="J736" s="35" t="s">
        <v>747</v>
      </c>
      <c r="K736" s="35">
        <v>18</v>
      </c>
      <c r="L736" s="35" t="s">
        <v>6955</v>
      </c>
      <c r="M736" s="35"/>
      <c r="N736" s="35" t="s">
        <v>16127</v>
      </c>
      <c r="O736" s="35" t="s">
        <v>6251</v>
      </c>
      <c r="P736" s="35" t="s">
        <v>16050</v>
      </c>
      <c r="Q736" s="35" t="s">
        <v>16049</v>
      </c>
      <c r="R736" s="35" t="s">
        <v>16113</v>
      </c>
      <c r="S736" s="35">
        <v>2349500</v>
      </c>
      <c r="T736" s="35">
        <v>33718100</v>
      </c>
      <c r="U736" s="35"/>
      <c r="V736" s="30">
        <v>1817</v>
      </c>
      <c r="W736" s="35" t="s">
        <v>741</v>
      </c>
      <c r="X736" s="35" t="s">
        <v>194</v>
      </c>
      <c r="Y736" s="30">
        <v>1</v>
      </c>
      <c r="Z736" s="35"/>
      <c r="AA736" s="35"/>
      <c r="AB736" s="35"/>
      <c r="AC736" s="35"/>
      <c r="AD736" s="35"/>
      <c r="AE736" s="35"/>
      <c r="AF736" s="35"/>
      <c r="AG736" s="35"/>
      <c r="AH736" s="30" t="s">
        <v>4714</v>
      </c>
      <c r="AI736" s="35" t="s">
        <v>9975</v>
      </c>
      <c r="AJ736" s="62" t="str">
        <f>MID('I kw.22'!W736,8,6)</f>
        <v>522301</v>
      </c>
      <c r="AK736" s="62">
        <v>1</v>
      </c>
      <c r="AL736" s="62">
        <f t="shared" si="11"/>
        <v>1</v>
      </c>
      <c r="AM736" s="62">
        <v>1</v>
      </c>
    </row>
    <row r="737" spans="1:39" x14ac:dyDescent="0.25">
      <c r="A737" s="35" t="s">
        <v>16126</v>
      </c>
      <c r="B737" s="35" t="s">
        <v>16124</v>
      </c>
      <c r="C737" s="35" t="s">
        <v>17</v>
      </c>
      <c r="D737" s="35" t="s">
        <v>16053</v>
      </c>
      <c r="E737" s="35" t="s">
        <v>192</v>
      </c>
      <c r="F737" s="62">
        <v>1</v>
      </c>
      <c r="G737" s="30" t="s">
        <v>193</v>
      </c>
      <c r="H737" s="30" t="s">
        <v>194</v>
      </c>
      <c r="I737" s="30" t="s">
        <v>16078</v>
      </c>
      <c r="J737" s="35" t="s">
        <v>210</v>
      </c>
      <c r="K737" s="35">
        <v>18</v>
      </c>
      <c r="L737" s="35" t="s">
        <v>6955</v>
      </c>
      <c r="M737" s="35"/>
      <c r="N737" s="35" t="s">
        <v>16125</v>
      </c>
      <c r="O737" s="35" t="s">
        <v>6254</v>
      </c>
      <c r="P737" s="35" t="s">
        <v>16050</v>
      </c>
      <c r="Q737" s="35" t="s">
        <v>16049</v>
      </c>
      <c r="R737" s="35" t="s">
        <v>16066</v>
      </c>
      <c r="S737" s="35">
        <v>2349528</v>
      </c>
      <c r="T737" s="35">
        <v>33718128</v>
      </c>
      <c r="U737" s="35"/>
      <c r="V737" s="30">
        <v>1863</v>
      </c>
      <c r="W737" s="35" t="s">
        <v>624</v>
      </c>
      <c r="X737" s="35" t="s">
        <v>194</v>
      </c>
      <c r="Y737" s="30">
        <v>1</v>
      </c>
      <c r="Z737" s="35"/>
      <c r="AA737" s="35"/>
      <c r="AB737" s="35"/>
      <c r="AC737" s="35"/>
      <c r="AD737" s="35"/>
      <c r="AE737" s="35"/>
      <c r="AF737" s="35"/>
      <c r="AG737" s="35"/>
      <c r="AH737" s="30" t="s">
        <v>4714</v>
      </c>
      <c r="AI737" s="35" t="s">
        <v>16124</v>
      </c>
      <c r="AJ737" s="62" t="str">
        <f>MID('I kw.22'!W737,8,6)</f>
        <v>332203</v>
      </c>
      <c r="AK737" s="62">
        <v>1</v>
      </c>
      <c r="AL737" s="62">
        <f t="shared" si="11"/>
        <v>1</v>
      </c>
      <c r="AM737" s="62">
        <v>1</v>
      </c>
    </row>
    <row r="738" spans="1:39" x14ac:dyDescent="0.25">
      <c r="A738" s="35" t="s">
        <v>2200</v>
      </c>
      <c r="B738" s="35" t="s">
        <v>16122</v>
      </c>
      <c r="C738" s="35" t="s">
        <v>5703</v>
      </c>
      <c r="D738" s="35" t="s">
        <v>16053</v>
      </c>
      <c r="E738" s="35" t="s">
        <v>192</v>
      </c>
      <c r="F738" s="62">
        <v>1</v>
      </c>
      <c r="G738" s="30" t="s">
        <v>193</v>
      </c>
      <c r="H738" s="30" t="s">
        <v>194</v>
      </c>
      <c r="I738" s="30" t="s">
        <v>16068</v>
      </c>
      <c r="J738" s="35" t="s">
        <v>2201</v>
      </c>
      <c r="K738" s="35">
        <v>18</v>
      </c>
      <c r="L738" s="35" t="s">
        <v>6955</v>
      </c>
      <c r="M738" s="35"/>
      <c r="N738" s="35" t="s">
        <v>16123</v>
      </c>
      <c r="O738" s="35" t="s">
        <v>6327</v>
      </c>
      <c r="P738" s="35" t="s">
        <v>16050</v>
      </c>
      <c r="Q738" s="35" t="s">
        <v>16049</v>
      </c>
      <c r="R738" s="35" t="s">
        <v>16066</v>
      </c>
      <c r="S738" s="35">
        <v>2349592</v>
      </c>
      <c r="T738" s="35">
        <v>33718192</v>
      </c>
      <c r="U738" s="35"/>
      <c r="V738" s="30">
        <v>1820</v>
      </c>
      <c r="W738" s="35" t="s">
        <v>983</v>
      </c>
      <c r="X738" s="35" t="s">
        <v>194</v>
      </c>
      <c r="Y738" s="30">
        <v>1</v>
      </c>
      <c r="Z738" s="35"/>
      <c r="AA738" s="35"/>
      <c r="AB738" s="35"/>
      <c r="AC738" s="35"/>
      <c r="AD738" s="35"/>
      <c r="AE738" s="35"/>
      <c r="AF738" s="35"/>
      <c r="AG738" s="35"/>
      <c r="AH738" s="30" t="s">
        <v>4714</v>
      </c>
      <c r="AI738" s="35" t="s">
        <v>16122</v>
      </c>
      <c r="AJ738" s="62" t="str">
        <f>MID('I kw.22'!W738,8,6)</f>
        <v>213303</v>
      </c>
      <c r="AK738" s="62">
        <v>1</v>
      </c>
      <c r="AL738" s="62">
        <f t="shared" si="11"/>
        <v>1</v>
      </c>
      <c r="AM738" s="62">
        <v>1</v>
      </c>
    </row>
    <row r="739" spans="1:39" x14ac:dyDescent="0.25">
      <c r="A739" s="35" t="s">
        <v>8178</v>
      </c>
      <c r="B739" s="35" t="s">
        <v>16119</v>
      </c>
      <c r="C739" s="35" t="s">
        <v>133</v>
      </c>
      <c r="D739" s="35" t="s">
        <v>16053</v>
      </c>
      <c r="E739" s="35" t="s">
        <v>192</v>
      </c>
      <c r="F739" s="62">
        <v>1</v>
      </c>
      <c r="G739" s="30" t="s">
        <v>193</v>
      </c>
      <c r="H739" s="30" t="s">
        <v>194</v>
      </c>
      <c r="I739" s="30" t="s">
        <v>16121</v>
      </c>
      <c r="J739" s="35" t="s">
        <v>210</v>
      </c>
      <c r="K739" s="35">
        <v>18</v>
      </c>
      <c r="L739" s="35" t="s">
        <v>6955</v>
      </c>
      <c r="M739" s="35"/>
      <c r="N739" s="35" t="s">
        <v>16120</v>
      </c>
      <c r="O739" s="35" t="s">
        <v>6245</v>
      </c>
      <c r="P739" s="35" t="s">
        <v>16050</v>
      </c>
      <c r="Q739" s="35" t="s">
        <v>16049</v>
      </c>
      <c r="R739" s="35" t="s">
        <v>16066</v>
      </c>
      <c r="S739" s="35">
        <v>2349622</v>
      </c>
      <c r="T739" s="35">
        <v>33718222</v>
      </c>
      <c r="U739" s="35"/>
      <c r="V739" s="30">
        <v>1863</v>
      </c>
      <c r="W739" s="35" t="s">
        <v>673</v>
      </c>
      <c r="X739" s="35" t="s">
        <v>194</v>
      </c>
      <c r="Y739" s="30">
        <v>1</v>
      </c>
      <c r="Z739" s="35"/>
      <c r="AA739" s="35"/>
      <c r="AB739" s="35"/>
      <c r="AC739" s="35"/>
      <c r="AD739" s="35"/>
      <c r="AE739" s="35"/>
      <c r="AF739" s="35"/>
      <c r="AG739" s="35"/>
      <c r="AH739" s="30" t="s">
        <v>4714</v>
      </c>
      <c r="AI739" s="35" t="s">
        <v>16119</v>
      </c>
      <c r="AJ739" s="62" t="str">
        <f>MID('I kw.22'!W739,8,6)</f>
        <v>333107</v>
      </c>
      <c r="AK739" s="62">
        <v>1</v>
      </c>
      <c r="AL739" s="62">
        <f t="shared" si="11"/>
        <v>1</v>
      </c>
      <c r="AM739" s="62">
        <v>1</v>
      </c>
    </row>
    <row r="740" spans="1:39" x14ac:dyDescent="0.25">
      <c r="A740" s="35" t="s">
        <v>16118</v>
      </c>
      <c r="B740" s="35" t="s">
        <v>16116</v>
      </c>
      <c r="C740" s="35" t="s">
        <v>366</v>
      </c>
      <c r="D740" s="35" t="s">
        <v>16053</v>
      </c>
      <c r="E740" s="35" t="s">
        <v>192</v>
      </c>
      <c r="F740" s="62">
        <v>1</v>
      </c>
      <c r="G740" s="30" t="s">
        <v>193</v>
      </c>
      <c r="H740" s="30" t="s">
        <v>194</v>
      </c>
      <c r="I740" s="30" t="s">
        <v>16068</v>
      </c>
      <c r="J740" s="35" t="s">
        <v>253</v>
      </c>
      <c r="K740" s="35">
        <v>18</v>
      </c>
      <c r="L740" s="35" t="s">
        <v>6955</v>
      </c>
      <c r="M740" s="35"/>
      <c r="N740" s="35" t="s">
        <v>16117</v>
      </c>
      <c r="O740" s="35" t="s">
        <v>6245</v>
      </c>
      <c r="P740" s="35" t="s">
        <v>16050</v>
      </c>
      <c r="Q740" s="35" t="s">
        <v>16049</v>
      </c>
      <c r="R740" s="35" t="s">
        <v>16066</v>
      </c>
      <c r="S740" s="35">
        <v>2349632</v>
      </c>
      <c r="T740" s="35">
        <v>33718232</v>
      </c>
      <c r="U740" s="35"/>
      <c r="V740" s="30">
        <v>1811</v>
      </c>
      <c r="W740" s="35" t="s">
        <v>368</v>
      </c>
      <c r="X740" s="35" t="s">
        <v>194</v>
      </c>
      <c r="Y740" s="30">
        <v>1</v>
      </c>
      <c r="Z740" s="35"/>
      <c r="AA740" s="35"/>
      <c r="AB740" s="35"/>
      <c r="AC740" s="35"/>
      <c r="AD740" s="35"/>
      <c r="AE740" s="35"/>
      <c r="AF740" s="35"/>
      <c r="AG740" s="35"/>
      <c r="AH740" s="30" t="s">
        <v>4714</v>
      </c>
      <c r="AI740" s="35" t="s">
        <v>16116</v>
      </c>
      <c r="AJ740" s="62" t="str">
        <f>MID('I kw.22'!W740,8,6)</f>
        <v>215201</v>
      </c>
      <c r="AK740" s="62">
        <v>1</v>
      </c>
      <c r="AL740" s="62">
        <f t="shared" si="11"/>
        <v>1</v>
      </c>
      <c r="AM740" s="62">
        <v>1</v>
      </c>
    </row>
    <row r="741" spans="1:39" x14ac:dyDescent="0.25">
      <c r="A741" s="35" t="s">
        <v>1207</v>
      </c>
      <c r="B741" s="35" t="s">
        <v>8064</v>
      </c>
      <c r="C741" s="35" t="s">
        <v>4966</v>
      </c>
      <c r="D741" s="35" t="s">
        <v>16053</v>
      </c>
      <c r="E741" s="35" t="s">
        <v>192</v>
      </c>
      <c r="F741" s="62">
        <v>1</v>
      </c>
      <c r="G741" s="30" t="s">
        <v>193</v>
      </c>
      <c r="H741" s="30" t="s">
        <v>194</v>
      </c>
      <c r="I741" s="30" t="s">
        <v>16066</v>
      </c>
      <c r="J741" s="35" t="s">
        <v>4751</v>
      </c>
      <c r="K741" s="35">
        <v>18</v>
      </c>
      <c r="L741" s="35" t="s">
        <v>6955</v>
      </c>
      <c r="M741" s="35"/>
      <c r="N741" s="35" t="s">
        <v>16115</v>
      </c>
      <c r="O741" s="35" t="s">
        <v>6254</v>
      </c>
      <c r="P741" s="35" t="s">
        <v>16050</v>
      </c>
      <c r="Q741" s="35" t="s">
        <v>16049</v>
      </c>
      <c r="R741" s="35" t="s">
        <v>16113</v>
      </c>
      <c r="S741" s="35">
        <v>2349708</v>
      </c>
      <c r="T741" s="35">
        <v>33718308</v>
      </c>
      <c r="U741" s="35"/>
      <c r="V741" s="30">
        <v>1862</v>
      </c>
      <c r="W741" s="35" t="s">
        <v>405</v>
      </c>
      <c r="X741" s="35" t="s">
        <v>194</v>
      </c>
      <c r="Y741" s="30">
        <v>1</v>
      </c>
      <c r="Z741" s="35"/>
      <c r="AA741" s="35"/>
      <c r="AB741" s="35"/>
      <c r="AC741" s="35"/>
      <c r="AD741" s="35"/>
      <c r="AE741" s="35"/>
      <c r="AF741" s="35"/>
      <c r="AG741" s="35"/>
      <c r="AH741" s="30" t="s">
        <v>4714</v>
      </c>
      <c r="AI741" s="35" t="s">
        <v>8064</v>
      </c>
      <c r="AJ741" s="62" t="str">
        <f>MID('I kw.22'!W741,8,6)</f>
        <v>241304</v>
      </c>
      <c r="AK741" s="62">
        <v>1</v>
      </c>
      <c r="AL741" s="62">
        <f t="shared" si="11"/>
        <v>1</v>
      </c>
      <c r="AM741" s="62">
        <v>1</v>
      </c>
    </row>
    <row r="742" spans="1:39" x14ac:dyDescent="0.25">
      <c r="A742" s="35" t="s">
        <v>1207</v>
      </c>
      <c r="B742" s="35" t="s">
        <v>13294</v>
      </c>
      <c r="C742" s="35" t="s">
        <v>770</v>
      </c>
      <c r="D742" s="35" t="s">
        <v>16053</v>
      </c>
      <c r="E742" s="35" t="s">
        <v>192</v>
      </c>
      <c r="F742" s="62">
        <v>1</v>
      </c>
      <c r="G742" s="30" t="s">
        <v>193</v>
      </c>
      <c r="H742" s="30" t="s">
        <v>194</v>
      </c>
      <c r="I742" s="30" t="s">
        <v>16052</v>
      </c>
      <c r="J742" s="35" t="s">
        <v>210</v>
      </c>
      <c r="K742" s="35">
        <v>18</v>
      </c>
      <c r="L742" s="35" t="s">
        <v>6955</v>
      </c>
      <c r="M742" s="35"/>
      <c r="N742" s="35" t="s">
        <v>16114</v>
      </c>
      <c r="O742" s="35" t="s">
        <v>6254</v>
      </c>
      <c r="P742" s="35" t="s">
        <v>16050</v>
      </c>
      <c r="Q742" s="35" t="s">
        <v>16049</v>
      </c>
      <c r="R742" s="35" t="s">
        <v>16113</v>
      </c>
      <c r="S742" s="35">
        <v>2349735</v>
      </c>
      <c r="T742" s="35">
        <v>33718335</v>
      </c>
      <c r="U742" s="35"/>
      <c r="V742" s="30">
        <v>1863</v>
      </c>
      <c r="W742" s="35" t="s">
        <v>772</v>
      </c>
      <c r="X742" s="35" t="s">
        <v>194</v>
      </c>
      <c r="Y742" s="30">
        <v>1</v>
      </c>
      <c r="Z742" s="35"/>
      <c r="AA742" s="35"/>
      <c r="AB742" s="35"/>
      <c r="AC742" s="35"/>
      <c r="AD742" s="35"/>
      <c r="AE742" s="35"/>
      <c r="AF742" s="35"/>
      <c r="AG742" s="35"/>
      <c r="AH742" s="30" t="s">
        <v>4714</v>
      </c>
      <c r="AI742" s="35" t="s">
        <v>13294</v>
      </c>
      <c r="AJ742" s="62" t="str">
        <f>MID('I kw.22'!W742,8,6)</f>
        <v>522305</v>
      </c>
      <c r="AK742" s="62">
        <v>1</v>
      </c>
      <c r="AL742" s="62">
        <f t="shared" si="11"/>
        <v>1</v>
      </c>
      <c r="AM742" s="62">
        <v>1</v>
      </c>
    </row>
    <row r="743" spans="1:39" x14ac:dyDescent="0.25">
      <c r="A743" s="35" t="s">
        <v>4252</v>
      </c>
      <c r="B743" s="35" t="s">
        <v>4231</v>
      </c>
      <c r="C743" s="35" t="s">
        <v>10</v>
      </c>
      <c r="D743" s="35" t="s">
        <v>16053</v>
      </c>
      <c r="E743" s="35" t="s">
        <v>192</v>
      </c>
      <c r="F743" s="62">
        <v>1</v>
      </c>
      <c r="G743" s="30" t="s">
        <v>193</v>
      </c>
      <c r="H743" s="30" t="s">
        <v>194</v>
      </c>
      <c r="I743" s="30" t="s">
        <v>16073</v>
      </c>
      <c r="J743" s="35" t="s">
        <v>210</v>
      </c>
      <c r="K743" s="35">
        <v>18</v>
      </c>
      <c r="L743" s="35" t="s">
        <v>6955</v>
      </c>
      <c r="M743" s="35"/>
      <c r="N743" s="35" t="s">
        <v>16112</v>
      </c>
      <c r="O743" s="35" t="s">
        <v>6275</v>
      </c>
      <c r="P743" s="35" t="s">
        <v>16050</v>
      </c>
      <c r="Q743" s="35" t="s">
        <v>16049</v>
      </c>
      <c r="R743" s="35" t="s">
        <v>16066</v>
      </c>
      <c r="S743" s="35">
        <v>2349890</v>
      </c>
      <c r="T743" s="35">
        <v>33718490</v>
      </c>
      <c r="U743" s="35"/>
      <c r="V743" s="30">
        <v>1863</v>
      </c>
      <c r="W743" s="35" t="s">
        <v>484</v>
      </c>
      <c r="X743" s="35" t="s">
        <v>194</v>
      </c>
      <c r="Y743" s="30">
        <v>1</v>
      </c>
      <c r="Z743" s="35"/>
      <c r="AA743" s="35"/>
      <c r="AB743" s="35"/>
      <c r="AC743" s="35"/>
      <c r="AD743" s="35"/>
      <c r="AE743" s="35"/>
      <c r="AF743" s="35"/>
      <c r="AG743" s="35"/>
      <c r="AH743" s="30" t="s">
        <v>4714</v>
      </c>
      <c r="AI743" s="35" t="s">
        <v>4231</v>
      </c>
      <c r="AJ743" s="62" t="str">
        <f>MID('I kw.22'!W743,8,6)</f>
        <v>251401</v>
      </c>
      <c r="AK743" s="62">
        <v>1</v>
      </c>
      <c r="AL743" s="62">
        <f t="shared" si="11"/>
        <v>1</v>
      </c>
      <c r="AM743" s="62">
        <v>1</v>
      </c>
    </row>
    <row r="744" spans="1:39" x14ac:dyDescent="0.25">
      <c r="A744" s="35" t="s">
        <v>16111</v>
      </c>
      <c r="B744" s="35" t="s">
        <v>16109</v>
      </c>
      <c r="C744" s="35" t="s">
        <v>18</v>
      </c>
      <c r="D744" s="35" t="s">
        <v>16053</v>
      </c>
      <c r="E744" s="35" t="s">
        <v>192</v>
      </c>
      <c r="F744" s="62">
        <v>1</v>
      </c>
      <c r="G744" s="30" t="s">
        <v>193</v>
      </c>
      <c r="H744" s="30" t="s">
        <v>194</v>
      </c>
      <c r="I744" s="30" t="s">
        <v>16061</v>
      </c>
      <c r="J744" s="35" t="s">
        <v>285</v>
      </c>
      <c r="K744" s="35">
        <v>18</v>
      </c>
      <c r="L744" s="35" t="s">
        <v>6955</v>
      </c>
      <c r="M744" s="35"/>
      <c r="N744" s="35" t="s">
        <v>16110</v>
      </c>
      <c r="O744" s="35" t="s">
        <v>6340</v>
      </c>
      <c r="P744" s="35" t="s">
        <v>16050</v>
      </c>
      <c r="Q744" s="35" t="s">
        <v>16049</v>
      </c>
      <c r="R744" s="35" t="s">
        <v>16066</v>
      </c>
      <c r="S744" s="35">
        <v>2349898</v>
      </c>
      <c r="T744" s="35">
        <v>33718498</v>
      </c>
      <c r="U744" s="35"/>
      <c r="V744" s="30">
        <v>1815</v>
      </c>
      <c r="W744" s="35" t="s">
        <v>1476</v>
      </c>
      <c r="X744" s="35" t="s">
        <v>194</v>
      </c>
      <c r="Y744" s="30">
        <v>1</v>
      </c>
      <c r="Z744" s="35"/>
      <c r="AA744" s="35"/>
      <c r="AB744" s="35"/>
      <c r="AC744" s="35"/>
      <c r="AD744" s="35"/>
      <c r="AE744" s="35"/>
      <c r="AF744" s="35"/>
      <c r="AG744" s="35"/>
      <c r="AH744" s="30" t="s">
        <v>4714</v>
      </c>
      <c r="AI744" s="35" t="s">
        <v>16109</v>
      </c>
      <c r="AJ744" s="62" t="str">
        <f>MID('I kw.22'!W744,8,6)</f>
        <v>242309</v>
      </c>
      <c r="AK744" s="62">
        <v>1</v>
      </c>
      <c r="AL744" s="62">
        <f t="shared" si="11"/>
        <v>1</v>
      </c>
      <c r="AM744" s="62">
        <v>1</v>
      </c>
    </row>
    <row r="745" spans="1:39" x14ac:dyDescent="0.25">
      <c r="A745" s="35" t="s">
        <v>369</v>
      </c>
      <c r="B745" s="35" t="s">
        <v>16107</v>
      </c>
      <c r="C745" s="35" t="s">
        <v>1454</v>
      </c>
      <c r="D745" s="35" t="s">
        <v>16053</v>
      </c>
      <c r="E745" s="35" t="s">
        <v>192</v>
      </c>
      <c r="F745" s="62">
        <v>1</v>
      </c>
      <c r="G745" s="30" t="s">
        <v>193</v>
      </c>
      <c r="H745" s="30" t="s">
        <v>194</v>
      </c>
      <c r="I745" s="30" t="s">
        <v>16078</v>
      </c>
      <c r="J745" s="35" t="s">
        <v>210</v>
      </c>
      <c r="K745" s="35">
        <v>18</v>
      </c>
      <c r="L745" s="35" t="s">
        <v>6955</v>
      </c>
      <c r="M745" s="35"/>
      <c r="N745" s="35" t="s">
        <v>16108</v>
      </c>
      <c r="O745" s="35" t="s">
        <v>6275</v>
      </c>
      <c r="P745" s="35" t="s">
        <v>16050</v>
      </c>
      <c r="Q745" s="35" t="s">
        <v>16049</v>
      </c>
      <c r="R745" s="35" t="s">
        <v>16066</v>
      </c>
      <c r="S745" s="35">
        <v>2349978</v>
      </c>
      <c r="T745" s="35">
        <v>33718578</v>
      </c>
      <c r="U745" s="35"/>
      <c r="V745" s="30">
        <v>1863</v>
      </c>
      <c r="W745" s="35" t="s">
        <v>1455</v>
      </c>
      <c r="X745" s="35" t="s">
        <v>194</v>
      </c>
      <c r="Y745" s="30">
        <v>1</v>
      </c>
      <c r="Z745" s="35"/>
      <c r="AA745" s="35"/>
      <c r="AB745" s="35"/>
      <c r="AC745" s="35"/>
      <c r="AD745" s="35"/>
      <c r="AE745" s="35"/>
      <c r="AF745" s="35"/>
      <c r="AG745" s="35"/>
      <c r="AH745" s="30" t="s">
        <v>4714</v>
      </c>
      <c r="AI745" s="35" t="s">
        <v>16107</v>
      </c>
      <c r="AJ745" s="62" t="str">
        <f>MID('I kw.22'!W745,8,6)</f>
        <v>722301</v>
      </c>
      <c r="AK745" s="62">
        <v>1</v>
      </c>
      <c r="AL745" s="62">
        <f t="shared" si="11"/>
        <v>1</v>
      </c>
      <c r="AM745" s="62">
        <v>1</v>
      </c>
    </row>
    <row r="746" spans="1:39" x14ac:dyDescent="0.25">
      <c r="A746" s="35" t="s">
        <v>977</v>
      </c>
      <c r="B746" s="35" t="s">
        <v>2630</v>
      </c>
      <c r="C746" s="35" t="s">
        <v>42</v>
      </c>
      <c r="D746" s="35" t="s">
        <v>16053</v>
      </c>
      <c r="E746" s="35" t="s">
        <v>192</v>
      </c>
      <c r="F746" s="62">
        <v>1</v>
      </c>
      <c r="G746" s="30" t="s">
        <v>193</v>
      </c>
      <c r="H746" s="30" t="s">
        <v>194</v>
      </c>
      <c r="I746" s="30" t="s">
        <v>16068</v>
      </c>
      <c r="J746" s="35" t="s">
        <v>253</v>
      </c>
      <c r="K746" s="35">
        <v>18</v>
      </c>
      <c r="L746" s="35" t="s">
        <v>6955</v>
      </c>
      <c r="M746" s="35"/>
      <c r="N746" s="35" t="s">
        <v>16106</v>
      </c>
      <c r="O746" s="35" t="s">
        <v>6327</v>
      </c>
      <c r="P746" s="35" t="s">
        <v>16050</v>
      </c>
      <c r="Q746" s="35" t="s">
        <v>16049</v>
      </c>
      <c r="R746" s="35" t="s">
        <v>16066</v>
      </c>
      <c r="S746" s="35">
        <v>2349996</v>
      </c>
      <c r="T746" s="35">
        <v>33718596</v>
      </c>
      <c r="U746" s="35"/>
      <c r="V746" s="30">
        <v>1811</v>
      </c>
      <c r="W746" s="35" t="s">
        <v>2628</v>
      </c>
      <c r="X746" s="35" t="s">
        <v>194</v>
      </c>
      <c r="Y746" s="30">
        <v>1</v>
      </c>
      <c r="Z746" s="35"/>
      <c r="AA746" s="35"/>
      <c r="AB746" s="35"/>
      <c r="AC746" s="35"/>
      <c r="AD746" s="35"/>
      <c r="AE746" s="35"/>
      <c r="AF746" s="35"/>
      <c r="AG746" s="35"/>
      <c r="AH746" s="30" t="s">
        <v>4714</v>
      </c>
      <c r="AI746" s="35" t="s">
        <v>2630</v>
      </c>
      <c r="AJ746" s="62" t="str">
        <f>MID('I kw.22'!W746,8,6)</f>
        <v>325509</v>
      </c>
      <c r="AK746" s="62">
        <v>1</v>
      </c>
      <c r="AL746" s="62">
        <f t="shared" si="11"/>
        <v>1</v>
      </c>
      <c r="AM746" s="62">
        <v>1</v>
      </c>
    </row>
    <row r="747" spans="1:39" x14ac:dyDescent="0.25">
      <c r="A747" s="35" t="s">
        <v>9915</v>
      </c>
      <c r="B747" s="35" t="s">
        <v>16104</v>
      </c>
      <c r="C747" s="35" t="s">
        <v>886</v>
      </c>
      <c r="D747" s="35" t="s">
        <v>16053</v>
      </c>
      <c r="E747" s="35" t="s">
        <v>192</v>
      </c>
      <c r="F747" s="62">
        <v>1</v>
      </c>
      <c r="G747" s="30" t="s">
        <v>193</v>
      </c>
      <c r="H747" s="30" t="s">
        <v>194</v>
      </c>
      <c r="I747" s="30" t="s">
        <v>16083</v>
      </c>
      <c r="J747" s="35" t="s">
        <v>755</v>
      </c>
      <c r="K747" s="35">
        <v>18</v>
      </c>
      <c r="L747" s="35" t="s">
        <v>6955</v>
      </c>
      <c r="M747" s="35"/>
      <c r="N747" s="35" t="s">
        <v>16105</v>
      </c>
      <c r="O747" s="35" t="s">
        <v>6275</v>
      </c>
      <c r="P747" s="35" t="s">
        <v>16050</v>
      </c>
      <c r="Q747" s="35" t="s">
        <v>16049</v>
      </c>
      <c r="R747" s="35" t="s">
        <v>16066</v>
      </c>
      <c r="S747" s="35">
        <v>2350078</v>
      </c>
      <c r="T747" s="35">
        <v>33718678</v>
      </c>
      <c r="U747" s="35"/>
      <c r="V747" s="30">
        <v>1816</v>
      </c>
      <c r="W747" s="35" t="s">
        <v>887</v>
      </c>
      <c r="X747" s="35" t="s">
        <v>194</v>
      </c>
      <c r="Y747" s="30">
        <v>1</v>
      </c>
      <c r="Z747" s="35"/>
      <c r="AA747" s="35"/>
      <c r="AB747" s="35"/>
      <c r="AC747" s="35"/>
      <c r="AD747" s="35"/>
      <c r="AE747" s="35"/>
      <c r="AF747" s="35"/>
      <c r="AG747" s="35"/>
      <c r="AH747" s="30" t="s">
        <v>4714</v>
      </c>
      <c r="AI747" s="35" t="s">
        <v>16104</v>
      </c>
      <c r="AJ747" s="62" t="str">
        <f>MID('I kw.22'!W747,8,6)</f>
        <v>834401</v>
      </c>
      <c r="AK747" s="62">
        <v>1</v>
      </c>
      <c r="AL747" s="62">
        <f t="shared" si="11"/>
        <v>1</v>
      </c>
      <c r="AM747" s="62">
        <v>1</v>
      </c>
    </row>
    <row r="748" spans="1:39" x14ac:dyDescent="0.25">
      <c r="A748" s="35" t="s">
        <v>15315</v>
      </c>
      <c r="B748" s="35" t="s">
        <v>16102</v>
      </c>
      <c r="C748" s="35" t="s">
        <v>43</v>
      </c>
      <c r="D748" s="35" t="s">
        <v>16053</v>
      </c>
      <c r="E748" s="35" t="s">
        <v>192</v>
      </c>
      <c r="F748" s="62">
        <v>1</v>
      </c>
      <c r="G748" s="30" t="s">
        <v>193</v>
      </c>
      <c r="H748" s="30" t="s">
        <v>194</v>
      </c>
      <c r="I748" s="30" t="s">
        <v>16068</v>
      </c>
      <c r="J748" s="35" t="s">
        <v>826</v>
      </c>
      <c r="K748" s="35">
        <v>18</v>
      </c>
      <c r="L748" s="35" t="s">
        <v>6955</v>
      </c>
      <c r="M748" s="35"/>
      <c r="N748" s="35" t="s">
        <v>16103</v>
      </c>
      <c r="O748" s="35" t="s">
        <v>6302</v>
      </c>
      <c r="P748" s="35" t="s">
        <v>16050</v>
      </c>
      <c r="Q748" s="35" t="s">
        <v>16049</v>
      </c>
      <c r="R748" s="35" t="s">
        <v>16066</v>
      </c>
      <c r="S748" s="35">
        <v>2350135</v>
      </c>
      <c r="T748" s="35">
        <v>33718735</v>
      </c>
      <c r="U748" s="35"/>
      <c r="V748" s="30">
        <v>1816</v>
      </c>
      <c r="W748" s="35" t="s">
        <v>452</v>
      </c>
      <c r="X748" s="35" t="s">
        <v>194</v>
      </c>
      <c r="Y748" s="30">
        <v>1</v>
      </c>
      <c r="Z748" s="35"/>
      <c r="AA748" s="35"/>
      <c r="AB748" s="35"/>
      <c r="AC748" s="35"/>
      <c r="AD748" s="35"/>
      <c r="AE748" s="35"/>
      <c r="AF748" s="35"/>
      <c r="AG748" s="35"/>
      <c r="AH748" s="30" t="s">
        <v>4714</v>
      </c>
      <c r="AI748" s="35" t="s">
        <v>16102</v>
      </c>
      <c r="AJ748" s="62" t="str">
        <f>MID('I kw.22'!W748,8,6)</f>
        <v>243106</v>
      </c>
      <c r="AK748" s="62">
        <v>1</v>
      </c>
      <c r="AL748" s="62">
        <f t="shared" si="11"/>
        <v>1</v>
      </c>
      <c r="AM748" s="62">
        <v>1</v>
      </c>
    </row>
    <row r="749" spans="1:39" x14ac:dyDescent="0.25">
      <c r="A749" s="35" t="s">
        <v>15315</v>
      </c>
      <c r="B749" s="35" t="s">
        <v>16100</v>
      </c>
      <c r="C749" s="35" t="s">
        <v>362</v>
      </c>
      <c r="D749" s="35" t="s">
        <v>16053</v>
      </c>
      <c r="E749" s="35" t="s">
        <v>192</v>
      </c>
      <c r="F749" s="62">
        <v>1</v>
      </c>
      <c r="G749" s="30" t="s">
        <v>193</v>
      </c>
      <c r="H749" s="30" t="s">
        <v>194</v>
      </c>
      <c r="I749" s="30" t="s">
        <v>16073</v>
      </c>
      <c r="J749" s="35" t="s">
        <v>826</v>
      </c>
      <c r="K749" s="35">
        <v>18</v>
      </c>
      <c r="L749" s="35" t="s">
        <v>6955</v>
      </c>
      <c r="M749" s="35"/>
      <c r="N749" s="35" t="s">
        <v>16101</v>
      </c>
      <c r="O749" s="35" t="s">
        <v>6245</v>
      </c>
      <c r="P749" s="35" t="s">
        <v>16050</v>
      </c>
      <c r="Q749" s="35" t="s">
        <v>16049</v>
      </c>
      <c r="R749" s="35" t="s">
        <v>16066</v>
      </c>
      <c r="S749" s="35">
        <v>2350141</v>
      </c>
      <c r="T749" s="35">
        <v>33718741</v>
      </c>
      <c r="U749" s="35"/>
      <c r="V749" s="30">
        <v>1816</v>
      </c>
      <c r="W749" s="35" t="s">
        <v>363</v>
      </c>
      <c r="X749" s="35" t="s">
        <v>194</v>
      </c>
      <c r="Y749" s="30">
        <v>1</v>
      </c>
      <c r="Z749" s="35"/>
      <c r="AA749" s="35"/>
      <c r="AB749" s="35"/>
      <c r="AC749" s="35"/>
      <c r="AD749" s="35"/>
      <c r="AE749" s="35"/>
      <c r="AF749" s="35"/>
      <c r="AG749" s="35"/>
      <c r="AH749" s="30" t="s">
        <v>4714</v>
      </c>
      <c r="AI749" s="35" t="s">
        <v>16100</v>
      </c>
      <c r="AJ749" s="62" t="str">
        <f>MID('I kw.22'!W749,8,6)</f>
        <v>215104</v>
      </c>
      <c r="AK749" s="62">
        <v>1</v>
      </c>
      <c r="AL749" s="62">
        <f t="shared" si="11"/>
        <v>1</v>
      </c>
      <c r="AM749" s="62">
        <v>1</v>
      </c>
    </row>
    <row r="750" spans="1:39" x14ac:dyDescent="0.25">
      <c r="A750" s="35" t="s">
        <v>16097</v>
      </c>
      <c r="B750" s="35" t="s">
        <v>16095</v>
      </c>
      <c r="C750" s="35" t="s">
        <v>21</v>
      </c>
      <c r="D750" s="35" t="s">
        <v>16053</v>
      </c>
      <c r="E750" s="35" t="s">
        <v>192</v>
      </c>
      <c r="F750" s="62">
        <v>1</v>
      </c>
      <c r="G750" s="30" t="s">
        <v>193</v>
      </c>
      <c r="H750" s="30" t="s">
        <v>194</v>
      </c>
      <c r="I750" s="30" t="s">
        <v>16052</v>
      </c>
      <c r="J750" s="35" t="s">
        <v>385</v>
      </c>
      <c r="K750" s="35">
        <v>18</v>
      </c>
      <c r="L750" s="35" t="s">
        <v>6955</v>
      </c>
      <c r="M750" s="35"/>
      <c r="N750" s="35" t="s">
        <v>16099</v>
      </c>
      <c r="O750" s="35" t="s">
        <v>6324</v>
      </c>
      <c r="P750" s="35" t="s">
        <v>16050</v>
      </c>
      <c r="Q750" s="35" t="s">
        <v>16049</v>
      </c>
      <c r="R750" s="35" t="s">
        <v>16066</v>
      </c>
      <c r="S750" s="35">
        <v>2350188</v>
      </c>
      <c r="T750" s="35">
        <v>33718788</v>
      </c>
      <c r="U750" s="35"/>
      <c r="V750" s="30">
        <v>1861</v>
      </c>
      <c r="W750" s="35" t="s">
        <v>293</v>
      </c>
      <c r="X750" s="35" t="s">
        <v>194</v>
      </c>
      <c r="Y750" s="30">
        <v>1</v>
      </c>
      <c r="Z750" s="35"/>
      <c r="AA750" s="35"/>
      <c r="AB750" s="35"/>
      <c r="AC750" s="35"/>
      <c r="AD750" s="35"/>
      <c r="AE750" s="35"/>
      <c r="AF750" s="35"/>
      <c r="AG750" s="35"/>
      <c r="AH750" s="30" t="s">
        <v>4714</v>
      </c>
      <c r="AI750" s="35" t="s">
        <v>16095</v>
      </c>
      <c r="AJ750" s="62" t="str">
        <f>MID('I kw.22'!W750,8,6)</f>
        <v>214202</v>
      </c>
      <c r="AK750" s="62">
        <v>1</v>
      </c>
      <c r="AL750" s="62">
        <f t="shared" si="11"/>
        <v>1</v>
      </c>
      <c r="AM750" s="62">
        <v>1</v>
      </c>
    </row>
    <row r="751" spans="1:39" x14ac:dyDescent="0.25">
      <c r="A751" s="35" t="s">
        <v>16097</v>
      </c>
      <c r="B751" s="35" t="s">
        <v>16095</v>
      </c>
      <c r="C751" s="35" t="s">
        <v>21</v>
      </c>
      <c r="D751" s="35" t="s">
        <v>16053</v>
      </c>
      <c r="E751" s="35" t="s">
        <v>192</v>
      </c>
      <c r="F751" s="62">
        <v>1</v>
      </c>
      <c r="G751" s="30" t="s">
        <v>193</v>
      </c>
      <c r="H751" s="30" t="s">
        <v>194</v>
      </c>
      <c r="I751" s="30" t="s">
        <v>16052</v>
      </c>
      <c r="J751" s="35" t="s">
        <v>210</v>
      </c>
      <c r="K751" s="35">
        <v>18</v>
      </c>
      <c r="L751" s="35" t="s">
        <v>6955</v>
      </c>
      <c r="M751" s="35"/>
      <c r="N751" s="35" t="s">
        <v>16098</v>
      </c>
      <c r="O751" s="35" t="s">
        <v>6324</v>
      </c>
      <c r="P751" s="35" t="s">
        <v>16050</v>
      </c>
      <c r="Q751" s="35" t="s">
        <v>16049</v>
      </c>
      <c r="R751" s="35" t="s">
        <v>16066</v>
      </c>
      <c r="S751" s="35">
        <v>2350189</v>
      </c>
      <c r="T751" s="35">
        <v>33718789</v>
      </c>
      <c r="U751" s="35"/>
      <c r="V751" s="30">
        <v>1863</v>
      </c>
      <c r="W751" s="35" t="s">
        <v>293</v>
      </c>
      <c r="X751" s="35" t="s">
        <v>194</v>
      </c>
      <c r="Y751" s="30">
        <v>1</v>
      </c>
      <c r="Z751" s="35"/>
      <c r="AA751" s="35"/>
      <c r="AB751" s="35"/>
      <c r="AC751" s="35"/>
      <c r="AD751" s="35"/>
      <c r="AE751" s="35"/>
      <c r="AF751" s="35"/>
      <c r="AG751" s="35"/>
      <c r="AH751" s="30" t="s">
        <v>4714</v>
      </c>
      <c r="AI751" s="35" t="s">
        <v>16095</v>
      </c>
      <c r="AJ751" s="62" t="str">
        <f>MID('I kw.22'!W751,8,6)</f>
        <v>214202</v>
      </c>
      <c r="AK751" s="62">
        <v>1</v>
      </c>
      <c r="AL751" s="62">
        <f t="shared" si="11"/>
        <v>1</v>
      </c>
      <c r="AM751" s="62">
        <v>1</v>
      </c>
    </row>
    <row r="752" spans="1:39" x14ac:dyDescent="0.25">
      <c r="A752" s="35" t="s">
        <v>16097</v>
      </c>
      <c r="B752" s="35" t="s">
        <v>16095</v>
      </c>
      <c r="C752" s="35" t="s">
        <v>17</v>
      </c>
      <c r="D752" s="35" t="s">
        <v>16053</v>
      </c>
      <c r="E752" s="35" t="s">
        <v>192</v>
      </c>
      <c r="F752" s="62">
        <v>1</v>
      </c>
      <c r="G752" s="30" t="s">
        <v>193</v>
      </c>
      <c r="H752" s="30" t="s">
        <v>194</v>
      </c>
      <c r="I752" s="30" t="s">
        <v>16052</v>
      </c>
      <c r="J752" s="35" t="s">
        <v>747</v>
      </c>
      <c r="K752" s="35">
        <v>18</v>
      </c>
      <c r="L752" s="35" t="s">
        <v>6955</v>
      </c>
      <c r="M752" s="35"/>
      <c r="N752" s="35" t="s">
        <v>16096</v>
      </c>
      <c r="O752" s="35" t="s">
        <v>6324</v>
      </c>
      <c r="P752" s="35" t="s">
        <v>16050</v>
      </c>
      <c r="Q752" s="35" t="s">
        <v>16049</v>
      </c>
      <c r="R752" s="35" t="s">
        <v>16066</v>
      </c>
      <c r="S752" s="35">
        <v>2350190</v>
      </c>
      <c r="T752" s="35">
        <v>33718790</v>
      </c>
      <c r="U752" s="35"/>
      <c r="V752" s="30">
        <v>1817</v>
      </c>
      <c r="W752" s="35" t="s">
        <v>624</v>
      </c>
      <c r="X752" s="35" t="s">
        <v>194</v>
      </c>
      <c r="Y752" s="30">
        <v>1</v>
      </c>
      <c r="Z752" s="35"/>
      <c r="AA752" s="35"/>
      <c r="AB752" s="35"/>
      <c r="AC752" s="35"/>
      <c r="AD752" s="35"/>
      <c r="AE752" s="35"/>
      <c r="AF752" s="35"/>
      <c r="AG752" s="35"/>
      <c r="AH752" s="30" t="s">
        <v>4714</v>
      </c>
      <c r="AI752" s="35" t="s">
        <v>16095</v>
      </c>
      <c r="AJ752" s="62" t="str">
        <f>MID('I kw.22'!W752,8,6)</f>
        <v>332203</v>
      </c>
      <c r="AK752" s="62">
        <v>1</v>
      </c>
      <c r="AL752" s="62">
        <f t="shared" si="11"/>
        <v>1</v>
      </c>
      <c r="AM752" s="62">
        <v>1</v>
      </c>
    </row>
    <row r="753" spans="1:39" x14ac:dyDescent="0.25">
      <c r="A753" s="35" t="s">
        <v>16094</v>
      </c>
      <c r="B753" s="35" t="s">
        <v>632</v>
      </c>
      <c r="C753" s="35" t="s">
        <v>17</v>
      </c>
      <c r="D753" s="35" t="s">
        <v>16053</v>
      </c>
      <c r="E753" s="35" t="s">
        <v>192</v>
      </c>
      <c r="F753" s="62">
        <v>1</v>
      </c>
      <c r="G753" s="30" t="s">
        <v>193</v>
      </c>
      <c r="H753" s="30" t="s">
        <v>194</v>
      </c>
      <c r="I753" s="30" t="s">
        <v>16052</v>
      </c>
      <c r="J753" s="35" t="s">
        <v>276</v>
      </c>
      <c r="K753" s="35">
        <v>18</v>
      </c>
      <c r="L753" s="35" t="s">
        <v>6955</v>
      </c>
      <c r="M753" s="35"/>
      <c r="N753" s="35" t="s">
        <v>16093</v>
      </c>
      <c r="O753" s="35" t="s">
        <v>6245</v>
      </c>
      <c r="P753" s="35" t="s">
        <v>16092</v>
      </c>
      <c r="Q753" s="35" t="s">
        <v>16049</v>
      </c>
      <c r="R753" s="35" t="s">
        <v>16066</v>
      </c>
      <c r="S753" s="35">
        <v>2350193</v>
      </c>
      <c r="T753" s="35">
        <v>33718793</v>
      </c>
      <c r="U753" s="35"/>
      <c r="V753" s="30">
        <v>1803</v>
      </c>
      <c r="W753" s="35" t="s">
        <v>624</v>
      </c>
      <c r="X753" s="35" t="s">
        <v>194</v>
      </c>
      <c r="Y753" s="30">
        <v>1</v>
      </c>
      <c r="Z753" s="35"/>
      <c r="AA753" s="35"/>
      <c r="AB753" s="35"/>
      <c r="AC753" s="35"/>
      <c r="AD753" s="35"/>
      <c r="AE753" s="35"/>
      <c r="AF753" s="35"/>
      <c r="AG753" s="35"/>
      <c r="AH753" s="30" t="s">
        <v>4714</v>
      </c>
      <c r="AI753" s="35" t="s">
        <v>17</v>
      </c>
      <c r="AJ753" s="62" t="str">
        <f>MID('I kw.22'!W753,8,6)</f>
        <v>332203</v>
      </c>
      <c r="AK753" s="62">
        <v>1</v>
      </c>
      <c r="AL753" s="62">
        <f t="shared" si="11"/>
        <v>1</v>
      </c>
      <c r="AM753" s="62">
        <v>1</v>
      </c>
    </row>
    <row r="754" spans="1:39" x14ac:dyDescent="0.25">
      <c r="A754" s="35" t="s">
        <v>16091</v>
      </c>
      <c r="B754" s="35" t="s">
        <v>743</v>
      </c>
      <c r="C754" s="35" t="s">
        <v>5353</v>
      </c>
      <c r="D754" s="35" t="s">
        <v>16053</v>
      </c>
      <c r="E754" s="35" t="s">
        <v>192</v>
      </c>
      <c r="F754" s="62">
        <v>1</v>
      </c>
      <c r="G754" s="30" t="s">
        <v>193</v>
      </c>
      <c r="H754" s="30" t="s">
        <v>194</v>
      </c>
      <c r="I754" s="30" t="s">
        <v>16068</v>
      </c>
      <c r="J754" s="35" t="s">
        <v>210</v>
      </c>
      <c r="K754" s="35">
        <v>18</v>
      </c>
      <c r="L754" s="35" t="s">
        <v>6955</v>
      </c>
      <c r="M754" s="35"/>
      <c r="N754" s="35" t="s">
        <v>16090</v>
      </c>
      <c r="O754" s="35" t="s">
        <v>6275</v>
      </c>
      <c r="P754" s="35" t="s">
        <v>16050</v>
      </c>
      <c r="Q754" s="35" t="s">
        <v>16049</v>
      </c>
      <c r="R754" s="35" t="s">
        <v>16066</v>
      </c>
      <c r="S754" s="35">
        <v>2350269</v>
      </c>
      <c r="T754" s="35">
        <v>33718869</v>
      </c>
      <c r="U754" s="35"/>
      <c r="V754" s="30">
        <v>1863</v>
      </c>
      <c r="W754" s="35" t="s">
        <v>2084</v>
      </c>
      <c r="X754" s="35" t="s">
        <v>194</v>
      </c>
      <c r="Y754" s="30">
        <v>1</v>
      </c>
      <c r="Z754" s="35"/>
      <c r="AA754" s="35"/>
      <c r="AB754" s="35"/>
      <c r="AC754" s="35"/>
      <c r="AD754" s="35"/>
      <c r="AE754" s="35"/>
      <c r="AF754" s="35"/>
      <c r="AG754" s="35"/>
      <c r="AH754" s="30" t="s">
        <v>4714</v>
      </c>
      <c r="AI754" s="35" t="s">
        <v>743</v>
      </c>
      <c r="AJ754" s="62" t="str">
        <f>MID('I kw.22'!W754,8,6)</f>
        <v>524302</v>
      </c>
      <c r="AK754" s="62">
        <v>1</v>
      </c>
      <c r="AL754" s="62">
        <f t="shared" si="11"/>
        <v>1</v>
      </c>
      <c r="AM754" s="62">
        <v>1</v>
      </c>
    </row>
    <row r="755" spans="1:39" x14ac:dyDescent="0.25">
      <c r="A755" s="35" t="s">
        <v>16089</v>
      </c>
      <c r="B755" s="35" t="s">
        <v>16087</v>
      </c>
      <c r="C755" s="35" t="s">
        <v>17</v>
      </c>
      <c r="D755" s="35" t="s">
        <v>16053</v>
      </c>
      <c r="E755" s="35" t="s">
        <v>192</v>
      </c>
      <c r="F755" s="62">
        <v>1</v>
      </c>
      <c r="G755" s="30" t="s">
        <v>193</v>
      </c>
      <c r="H755" s="30" t="s">
        <v>194</v>
      </c>
      <c r="I755" s="30" t="s">
        <v>16078</v>
      </c>
      <c r="J755" s="35" t="s">
        <v>210</v>
      </c>
      <c r="K755" s="35">
        <v>18</v>
      </c>
      <c r="L755" s="35" t="s">
        <v>6955</v>
      </c>
      <c r="M755" s="35"/>
      <c r="N755" s="35" t="s">
        <v>16088</v>
      </c>
      <c r="O755" s="35" t="s">
        <v>6245</v>
      </c>
      <c r="P755" s="35" t="s">
        <v>16050</v>
      </c>
      <c r="Q755" s="35" t="s">
        <v>16049</v>
      </c>
      <c r="R755" s="35" t="s">
        <v>16066</v>
      </c>
      <c r="S755" s="35">
        <v>2350276</v>
      </c>
      <c r="T755" s="35">
        <v>33718876</v>
      </c>
      <c r="U755" s="35"/>
      <c r="V755" s="30">
        <v>1863</v>
      </c>
      <c r="W755" s="35" t="s">
        <v>624</v>
      </c>
      <c r="X755" s="35" t="s">
        <v>194</v>
      </c>
      <c r="Y755" s="30">
        <v>1</v>
      </c>
      <c r="Z755" s="35"/>
      <c r="AA755" s="35"/>
      <c r="AB755" s="35"/>
      <c r="AC755" s="35"/>
      <c r="AD755" s="35"/>
      <c r="AE755" s="35"/>
      <c r="AF755" s="35"/>
      <c r="AG755" s="35"/>
      <c r="AH755" s="30" t="s">
        <v>4714</v>
      </c>
      <c r="AI755" s="35" t="s">
        <v>16087</v>
      </c>
      <c r="AJ755" s="62" t="str">
        <f>MID('I kw.22'!W755,8,6)</f>
        <v>332203</v>
      </c>
      <c r="AK755" s="62">
        <v>1</v>
      </c>
      <c r="AL755" s="62">
        <f t="shared" si="11"/>
        <v>1</v>
      </c>
      <c r="AM755" s="62">
        <v>1</v>
      </c>
    </row>
    <row r="756" spans="1:39" x14ac:dyDescent="0.25">
      <c r="A756" s="35" t="s">
        <v>562</v>
      </c>
      <c r="B756" s="35" t="s">
        <v>16085</v>
      </c>
      <c r="C756" s="35" t="s">
        <v>319</v>
      </c>
      <c r="D756" s="35" t="s">
        <v>16053</v>
      </c>
      <c r="E756" s="35" t="s">
        <v>192</v>
      </c>
      <c r="F756" s="62">
        <v>1</v>
      </c>
      <c r="G756" s="30" t="s">
        <v>193</v>
      </c>
      <c r="H756" s="30" t="s">
        <v>194</v>
      </c>
      <c r="I756" s="30" t="s">
        <v>16068</v>
      </c>
      <c r="J756" s="35" t="s">
        <v>253</v>
      </c>
      <c r="K756" s="35">
        <v>18</v>
      </c>
      <c r="L756" s="35" t="s">
        <v>6955</v>
      </c>
      <c r="M756" s="35"/>
      <c r="N756" s="35" t="s">
        <v>16086</v>
      </c>
      <c r="O756" s="35" t="s">
        <v>6245</v>
      </c>
      <c r="P756" s="35" t="s">
        <v>16050</v>
      </c>
      <c r="Q756" s="35" t="s">
        <v>16049</v>
      </c>
      <c r="R756" s="35" t="s">
        <v>16066</v>
      </c>
      <c r="S756" s="35">
        <v>2350388</v>
      </c>
      <c r="T756" s="35">
        <v>33718988</v>
      </c>
      <c r="U756" s="35"/>
      <c r="V756" s="30">
        <v>1811</v>
      </c>
      <c r="W756" s="35" t="s">
        <v>320</v>
      </c>
      <c r="X756" s="35" t="s">
        <v>194</v>
      </c>
      <c r="Y756" s="30">
        <v>1</v>
      </c>
      <c r="Z756" s="35"/>
      <c r="AA756" s="35"/>
      <c r="AB756" s="35"/>
      <c r="AC756" s="35"/>
      <c r="AD756" s="35"/>
      <c r="AE756" s="35"/>
      <c r="AF756" s="35"/>
      <c r="AG756" s="35"/>
      <c r="AH756" s="30" t="s">
        <v>4714</v>
      </c>
      <c r="AI756" s="35" t="s">
        <v>16085</v>
      </c>
      <c r="AJ756" s="62" t="str">
        <f>MID('I kw.22'!W756,8,6)</f>
        <v>214407</v>
      </c>
      <c r="AK756" s="62">
        <v>1</v>
      </c>
      <c r="AL756" s="62">
        <f t="shared" si="11"/>
        <v>1</v>
      </c>
      <c r="AM756" s="62">
        <v>1</v>
      </c>
    </row>
    <row r="757" spans="1:39" x14ac:dyDescent="0.25">
      <c r="A757" s="35" t="s">
        <v>562</v>
      </c>
      <c r="B757" s="35" t="s">
        <v>67</v>
      </c>
      <c r="C757" s="35" t="s">
        <v>67</v>
      </c>
      <c r="D757" s="35" t="s">
        <v>16053</v>
      </c>
      <c r="E757" s="35" t="s">
        <v>192</v>
      </c>
      <c r="F757" s="62">
        <v>1</v>
      </c>
      <c r="G757" s="30" t="s">
        <v>193</v>
      </c>
      <c r="H757" s="30" t="s">
        <v>194</v>
      </c>
      <c r="I757" s="30" t="s">
        <v>16052</v>
      </c>
      <c r="J757" s="35" t="s">
        <v>253</v>
      </c>
      <c r="K757" s="35">
        <v>18</v>
      </c>
      <c r="L757" s="35" t="s">
        <v>6955</v>
      </c>
      <c r="M757" s="35"/>
      <c r="N757" s="35" t="s">
        <v>16084</v>
      </c>
      <c r="O757" s="35" t="s">
        <v>6266</v>
      </c>
      <c r="P757" s="35" t="s">
        <v>16050</v>
      </c>
      <c r="Q757" s="35" t="s">
        <v>16049</v>
      </c>
      <c r="R757" s="35" t="s">
        <v>16066</v>
      </c>
      <c r="S757" s="35">
        <v>2350395</v>
      </c>
      <c r="T757" s="35">
        <v>33718995</v>
      </c>
      <c r="U757" s="35"/>
      <c r="V757" s="30">
        <v>1811</v>
      </c>
      <c r="W757" s="35" t="s">
        <v>709</v>
      </c>
      <c r="X757" s="35" t="s">
        <v>194</v>
      </c>
      <c r="Y757" s="30">
        <v>1</v>
      </c>
      <c r="Z757" s="35"/>
      <c r="AA757" s="35"/>
      <c r="AB757" s="35"/>
      <c r="AC757" s="35"/>
      <c r="AD757" s="35"/>
      <c r="AE757" s="35"/>
      <c r="AF757" s="35"/>
      <c r="AG757" s="35"/>
      <c r="AH757" s="30" t="s">
        <v>4714</v>
      </c>
      <c r="AI757" s="35" t="s">
        <v>67</v>
      </c>
      <c r="AJ757" s="62" t="str">
        <f>MID('I kw.22'!W757,8,6)</f>
        <v>432103</v>
      </c>
      <c r="AK757" s="62">
        <v>1</v>
      </c>
      <c r="AL757" s="62">
        <f t="shared" si="11"/>
        <v>1</v>
      </c>
      <c r="AM757" s="62">
        <v>1</v>
      </c>
    </row>
    <row r="758" spans="1:39" x14ac:dyDescent="0.25">
      <c r="A758" s="35" t="s">
        <v>562</v>
      </c>
      <c r="B758" s="35" t="s">
        <v>856</v>
      </c>
      <c r="C758" s="35" t="s">
        <v>356</v>
      </c>
      <c r="D758" s="35" t="s">
        <v>16053</v>
      </c>
      <c r="E758" s="35" t="s">
        <v>192</v>
      </c>
      <c r="F758" s="62">
        <v>1</v>
      </c>
      <c r="G758" s="30" t="s">
        <v>193</v>
      </c>
      <c r="H758" s="30" t="s">
        <v>194</v>
      </c>
      <c r="I758" s="30" t="s">
        <v>16083</v>
      </c>
      <c r="J758" s="35" t="s">
        <v>253</v>
      </c>
      <c r="K758" s="35">
        <v>18</v>
      </c>
      <c r="L758" s="35" t="s">
        <v>6955</v>
      </c>
      <c r="M758" s="35"/>
      <c r="N758" s="35" t="s">
        <v>16082</v>
      </c>
      <c r="O758" s="35" t="s">
        <v>6275</v>
      </c>
      <c r="P758" s="35" t="s">
        <v>16050</v>
      </c>
      <c r="Q758" s="35" t="s">
        <v>16049</v>
      </c>
      <c r="R758" s="35" t="s">
        <v>16066</v>
      </c>
      <c r="S758" s="35">
        <v>2350399</v>
      </c>
      <c r="T758" s="35">
        <v>33718999</v>
      </c>
      <c r="U758" s="35"/>
      <c r="V758" s="30">
        <v>1811</v>
      </c>
      <c r="W758" s="35" t="s">
        <v>16081</v>
      </c>
      <c r="X758" s="35" t="s">
        <v>194</v>
      </c>
      <c r="Y758" s="30">
        <v>1</v>
      </c>
      <c r="Z758" s="35"/>
      <c r="AA758" s="35"/>
      <c r="AB758" s="35"/>
      <c r="AC758" s="35"/>
      <c r="AD758" s="35"/>
      <c r="AE758" s="35"/>
      <c r="AF758" s="35"/>
      <c r="AG758" s="35"/>
      <c r="AH758" s="30" t="s">
        <v>4714</v>
      </c>
      <c r="AI758" s="35" t="s">
        <v>856</v>
      </c>
      <c r="AJ758" s="62" t="str">
        <f>MID('I kw.22'!W758,8,6)</f>
        <v>754903</v>
      </c>
      <c r="AK758" s="62">
        <v>1</v>
      </c>
      <c r="AL758" s="62">
        <f t="shared" si="11"/>
        <v>1</v>
      </c>
      <c r="AM758" s="62">
        <v>1</v>
      </c>
    </row>
    <row r="759" spans="1:39" x14ac:dyDescent="0.25">
      <c r="A759" s="35" t="s">
        <v>13015</v>
      </c>
      <c r="B759" s="35" t="s">
        <v>16079</v>
      </c>
      <c r="C759" s="35" t="s">
        <v>1649</v>
      </c>
      <c r="D759" s="35" t="s">
        <v>16053</v>
      </c>
      <c r="E759" s="35" t="s">
        <v>192</v>
      </c>
      <c r="F759" s="62">
        <v>1</v>
      </c>
      <c r="G759" s="30" t="s">
        <v>193</v>
      </c>
      <c r="H759" s="30" t="s">
        <v>194</v>
      </c>
      <c r="I759" s="30" t="s">
        <v>16066</v>
      </c>
      <c r="J759" s="35" t="s">
        <v>210</v>
      </c>
      <c r="K759" s="35">
        <v>18</v>
      </c>
      <c r="L759" s="35" t="s">
        <v>6955</v>
      </c>
      <c r="M759" s="35"/>
      <c r="N759" s="35" t="s">
        <v>16080</v>
      </c>
      <c r="O759" s="35" t="s">
        <v>6254</v>
      </c>
      <c r="P759" s="35" t="s">
        <v>16050</v>
      </c>
      <c r="Q759" s="35" t="s">
        <v>16049</v>
      </c>
      <c r="R759" s="35" t="s">
        <v>16066</v>
      </c>
      <c r="S759" s="35">
        <v>2350436</v>
      </c>
      <c r="T759" s="35">
        <v>33719036</v>
      </c>
      <c r="U759" s="35"/>
      <c r="V759" s="30">
        <v>1863</v>
      </c>
      <c r="W759" s="35" t="s">
        <v>1650</v>
      </c>
      <c r="X759" s="35" t="s">
        <v>194</v>
      </c>
      <c r="Y759" s="30">
        <v>1</v>
      </c>
      <c r="Z759" s="35"/>
      <c r="AA759" s="35"/>
      <c r="AB759" s="35"/>
      <c r="AC759" s="35"/>
      <c r="AD759" s="35"/>
      <c r="AE759" s="35"/>
      <c r="AF759" s="35"/>
      <c r="AG759" s="35"/>
      <c r="AH759" s="30" t="s">
        <v>4714</v>
      </c>
      <c r="AI759" s="35" t="s">
        <v>16079</v>
      </c>
      <c r="AJ759" s="62" t="str">
        <f>MID('I kw.22'!W759,8,6)</f>
        <v>134603</v>
      </c>
      <c r="AK759" s="62">
        <v>1</v>
      </c>
      <c r="AL759" s="62">
        <f t="shared" si="11"/>
        <v>1</v>
      </c>
      <c r="AM759" s="62">
        <v>1</v>
      </c>
    </row>
    <row r="760" spans="1:39" x14ac:dyDescent="0.25">
      <c r="A760" s="35" t="s">
        <v>2897</v>
      </c>
      <c r="B760" s="35" t="s">
        <v>16076</v>
      </c>
      <c r="C760" s="35" t="s">
        <v>113</v>
      </c>
      <c r="D760" s="35" t="s">
        <v>16053</v>
      </c>
      <c r="E760" s="35" t="s">
        <v>192</v>
      </c>
      <c r="F760" s="62">
        <v>1</v>
      </c>
      <c r="G760" s="30" t="s">
        <v>193</v>
      </c>
      <c r="H760" s="30" t="s">
        <v>194</v>
      </c>
      <c r="I760" s="30" t="s">
        <v>16078</v>
      </c>
      <c r="J760" s="35" t="s">
        <v>755</v>
      </c>
      <c r="K760" s="35">
        <v>18</v>
      </c>
      <c r="L760" s="35" t="s">
        <v>6955</v>
      </c>
      <c r="M760" s="35"/>
      <c r="N760" s="35" t="s">
        <v>16077</v>
      </c>
      <c r="O760" s="35" t="s">
        <v>6327</v>
      </c>
      <c r="P760" s="35" t="s">
        <v>16050</v>
      </c>
      <c r="Q760" s="35" t="s">
        <v>16049</v>
      </c>
      <c r="R760" s="35" t="s">
        <v>16066</v>
      </c>
      <c r="S760" s="35">
        <v>2350501</v>
      </c>
      <c r="T760" s="35">
        <v>33719101</v>
      </c>
      <c r="U760" s="35"/>
      <c r="V760" s="30">
        <v>1816</v>
      </c>
      <c r="W760" s="35" t="s">
        <v>465</v>
      </c>
      <c r="X760" s="35" t="s">
        <v>194</v>
      </c>
      <c r="Y760" s="30">
        <v>1</v>
      </c>
      <c r="Z760" s="35"/>
      <c r="AA760" s="35"/>
      <c r="AB760" s="35"/>
      <c r="AC760" s="35"/>
      <c r="AD760" s="35"/>
      <c r="AE760" s="35"/>
      <c r="AF760" s="35"/>
      <c r="AG760" s="35"/>
      <c r="AH760" s="30" t="s">
        <v>4714</v>
      </c>
      <c r="AI760" s="35" t="s">
        <v>16076</v>
      </c>
      <c r="AJ760" s="62" t="str">
        <f>MID('I kw.22'!W760,8,6)</f>
        <v>243302</v>
      </c>
      <c r="AK760" s="62">
        <v>1</v>
      </c>
      <c r="AL760" s="62">
        <f t="shared" si="11"/>
        <v>1</v>
      </c>
      <c r="AM760" s="62">
        <v>1</v>
      </c>
    </row>
    <row r="761" spans="1:39" x14ac:dyDescent="0.25">
      <c r="A761" s="35" t="s">
        <v>16075</v>
      </c>
      <c r="B761" s="35" t="s">
        <v>1713</v>
      </c>
      <c r="C761" s="35" t="s">
        <v>17</v>
      </c>
      <c r="D761" s="35" t="s">
        <v>16053</v>
      </c>
      <c r="E761" s="35" t="s">
        <v>192</v>
      </c>
      <c r="F761" s="62">
        <v>1</v>
      </c>
      <c r="G761" s="30" t="s">
        <v>193</v>
      </c>
      <c r="H761" s="30" t="s">
        <v>194</v>
      </c>
      <c r="I761" s="30" t="s">
        <v>16052</v>
      </c>
      <c r="J761" s="35" t="s">
        <v>210</v>
      </c>
      <c r="K761" s="35">
        <v>18</v>
      </c>
      <c r="L761" s="35" t="s">
        <v>6955</v>
      </c>
      <c r="M761" s="35"/>
      <c r="N761" s="35" t="s">
        <v>16074</v>
      </c>
      <c r="O761" s="35" t="s">
        <v>6251</v>
      </c>
      <c r="P761" s="35" t="s">
        <v>16050</v>
      </c>
      <c r="Q761" s="35" t="s">
        <v>16049</v>
      </c>
      <c r="R761" s="35" t="s">
        <v>16066</v>
      </c>
      <c r="S761" s="35">
        <v>2350569</v>
      </c>
      <c r="T761" s="35">
        <v>33719169</v>
      </c>
      <c r="U761" s="35"/>
      <c r="V761" s="30">
        <v>1863</v>
      </c>
      <c r="W761" s="35" t="s">
        <v>624</v>
      </c>
      <c r="X761" s="35" t="s">
        <v>194</v>
      </c>
      <c r="Y761" s="30">
        <v>1</v>
      </c>
      <c r="Z761" s="35"/>
      <c r="AA761" s="35"/>
      <c r="AB761" s="35"/>
      <c r="AC761" s="35"/>
      <c r="AD761" s="35"/>
      <c r="AE761" s="35"/>
      <c r="AF761" s="35"/>
      <c r="AG761" s="35"/>
      <c r="AH761" s="30" t="s">
        <v>4714</v>
      </c>
      <c r="AI761" s="35" t="s">
        <v>1713</v>
      </c>
      <c r="AJ761" s="62" t="str">
        <f>MID('I kw.22'!W761,8,6)</f>
        <v>332203</v>
      </c>
      <c r="AK761" s="62">
        <v>1</v>
      </c>
      <c r="AL761" s="62">
        <f t="shared" si="11"/>
        <v>1</v>
      </c>
      <c r="AM761" s="62">
        <v>1</v>
      </c>
    </row>
    <row r="762" spans="1:39" x14ac:dyDescent="0.25">
      <c r="A762" s="35" t="s">
        <v>1707</v>
      </c>
      <c r="B762" s="35" t="s">
        <v>16071</v>
      </c>
      <c r="C762" s="35" t="s">
        <v>778</v>
      </c>
      <c r="D762" s="35" t="s">
        <v>16053</v>
      </c>
      <c r="E762" s="35" t="s">
        <v>192</v>
      </c>
      <c r="F762" s="62">
        <v>1</v>
      </c>
      <c r="G762" s="30" t="s">
        <v>193</v>
      </c>
      <c r="H762" s="30" t="s">
        <v>194</v>
      </c>
      <c r="I762" s="30" t="s">
        <v>16073</v>
      </c>
      <c r="J762" s="35" t="s">
        <v>210</v>
      </c>
      <c r="K762" s="35">
        <v>18</v>
      </c>
      <c r="L762" s="35" t="s">
        <v>6955</v>
      </c>
      <c r="M762" s="35"/>
      <c r="N762" s="35" t="s">
        <v>16072</v>
      </c>
      <c r="O762" s="35" t="s">
        <v>6249</v>
      </c>
      <c r="P762" s="35" t="s">
        <v>16050</v>
      </c>
      <c r="Q762" s="35" t="s">
        <v>16049</v>
      </c>
      <c r="R762" s="35" t="s">
        <v>16066</v>
      </c>
      <c r="S762" s="35">
        <v>2350674</v>
      </c>
      <c r="T762" s="35">
        <v>33719274</v>
      </c>
      <c r="U762" s="35"/>
      <c r="V762" s="30">
        <v>1863</v>
      </c>
      <c r="W762" s="35" t="s">
        <v>779</v>
      </c>
      <c r="X762" s="35" t="s">
        <v>194</v>
      </c>
      <c r="Y762" s="30">
        <v>1</v>
      </c>
      <c r="Z762" s="35"/>
      <c r="AA762" s="35"/>
      <c r="AB762" s="35"/>
      <c r="AC762" s="35"/>
      <c r="AD762" s="35"/>
      <c r="AE762" s="35"/>
      <c r="AF762" s="35"/>
      <c r="AG762" s="35"/>
      <c r="AH762" s="30" t="s">
        <v>4714</v>
      </c>
      <c r="AI762" s="35" t="s">
        <v>16071</v>
      </c>
      <c r="AJ762" s="62" t="str">
        <f>MID('I kw.22'!W762,8,6)</f>
        <v>524902</v>
      </c>
      <c r="AK762" s="62">
        <v>1</v>
      </c>
      <c r="AL762" s="62">
        <f t="shared" si="11"/>
        <v>1</v>
      </c>
      <c r="AM762" s="62">
        <v>1</v>
      </c>
    </row>
    <row r="763" spans="1:39" x14ac:dyDescent="0.25">
      <c r="A763" s="35" t="s">
        <v>14637</v>
      </c>
      <c r="B763" s="35" t="s">
        <v>2516</v>
      </c>
      <c r="C763" s="35" t="s">
        <v>85</v>
      </c>
      <c r="D763" s="35" t="s">
        <v>16053</v>
      </c>
      <c r="E763" s="35" t="s">
        <v>192</v>
      </c>
      <c r="F763" s="62">
        <v>1</v>
      </c>
      <c r="G763" s="30" t="s">
        <v>193</v>
      </c>
      <c r="H763" s="30" t="s">
        <v>194</v>
      </c>
      <c r="I763" s="30" t="s">
        <v>16052</v>
      </c>
      <c r="J763" s="35" t="s">
        <v>1889</v>
      </c>
      <c r="K763" s="35">
        <v>18</v>
      </c>
      <c r="L763" s="35" t="s">
        <v>6955</v>
      </c>
      <c r="M763" s="35"/>
      <c r="N763" s="35" t="s">
        <v>16070</v>
      </c>
      <c r="O763" s="35" t="s">
        <v>6245</v>
      </c>
      <c r="P763" s="35" t="s">
        <v>16050</v>
      </c>
      <c r="Q763" s="35" t="s">
        <v>16049</v>
      </c>
      <c r="R763" s="35" t="s">
        <v>16066</v>
      </c>
      <c r="S763" s="35">
        <v>2350689</v>
      </c>
      <c r="T763" s="35">
        <v>33719289</v>
      </c>
      <c r="U763" s="35"/>
      <c r="V763" s="30">
        <v>1803</v>
      </c>
      <c r="W763" s="35" t="s">
        <v>477</v>
      </c>
      <c r="X763" s="35" t="s">
        <v>194</v>
      </c>
      <c r="Y763" s="30">
        <v>1</v>
      </c>
      <c r="Z763" s="35"/>
      <c r="AA763" s="35"/>
      <c r="AB763" s="35"/>
      <c r="AC763" s="35"/>
      <c r="AD763" s="35"/>
      <c r="AE763" s="35"/>
      <c r="AF763" s="35"/>
      <c r="AG763" s="35"/>
      <c r="AH763" s="30" t="s">
        <v>4714</v>
      </c>
      <c r="AI763" s="35" t="s">
        <v>2516</v>
      </c>
      <c r="AJ763" s="62" t="str">
        <f>MID('I kw.22'!W763,8,6)</f>
        <v>243305</v>
      </c>
      <c r="AK763" s="62">
        <v>1</v>
      </c>
      <c r="AL763" s="62">
        <f t="shared" si="11"/>
        <v>1</v>
      </c>
      <c r="AM763" s="62">
        <v>1</v>
      </c>
    </row>
    <row r="764" spans="1:39" x14ac:dyDescent="0.25">
      <c r="A764" s="35" t="s">
        <v>16069</v>
      </c>
      <c r="B764" s="35" t="s">
        <v>2674</v>
      </c>
      <c r="C764" s="35" t="s">
        <v>1402</v>
      </c>
      <c r="D764" s="35" t="s">
        <v>16053</v>
      </c>
      <c r="E764" s="35" t="s">
        <v>192</v>
      </c>
      <c r="F764" s="62">
        <v>3</v>
      </c>
      <c r="G764" s="30" t="s">
        <v>193</v>
      </c>
      <c r="H764" s="30" t="s">
        <v>194</v>
      </c>
      <c r="I764" s="30" t="s">
        <v>16068</v>
      </c>
      <c r="J764" s="35" t="s">
        <v>210</v>
      </c>
      <c r="K764" s="35">
        <v>18</v>
      </c>
      <c r="L764" s="35" t="s">
        <v>6955</v>
      </c>
      <c r="M764" s="35"/>
      <c r="N764" s="35" t="s">
        <v>16067</v>
      </c>
      <c r="O764" s="35" t="s">
        <v>6251</v>
      </c>
      <c r="P764" s="35" t="s">
        <v>16050</v>
      </c>
      <c r="Q764" s="35" t="s">
        <v>16049</v>
      </c>
      <c r="R764" s="35" t="s">
        <v>16066</v>
      </c>
      <c r="S764" s="35">
        <v>2350717</v>
      </c>
      <c r="T764" s="35">
        <v>33719317</v>
      </c>
      <c r="U764" s="35"/>
      <c r="V764" s="30">
        <v>1863</v>
      </c>
      <c r="W764" s="35" t="s">
        <v>1403</v>
      </c>
      <c r="X764" s="35" t="s">
        <v>194</v>
      </c>
      <c r="Y764" s="30">
        <v>1</v>
      </c>
      <c r="Z764" s="35"/>
      <c r="AA764" s="35"/>
      <c r="AB764" s="35"/>
      <c r="AC764" s="35"/>
      <c r="AD764" s="35"/>
      <c r="AE764" s="35"/>
      <c r="AF764" s="35"/>
      <c r="AG764" s="35"/>
      <c r="AH764" s="30" t="s">
        <v>4714</v>
      </c>
      <c r="AI764" s="35" t="s">
        <v>2674</v>
      </c>
      <c r="AJ764" s="62" t="str">
        <f>MID('I kw.22'!W764,8,6)</f>
        <v>242228</v>
      </c>
      <c r="AK764" s="62">
        <v>1</v>
      </c>
      <c r="AL764" s="498">
        <f>SUM(F764)</f>
        <v>3</v>
      </c>
      <c r="AM764" s="62">
        <v>1</v>
      </c>
    </row>
    <row r="765" spans="1:39" x14ac:dyDescent="0.25">
      <c r="A765" s="35" t="s">
        <v>6239</v>
      </c>
      <c r="B765" s="35" t="s">
        <v>16064</v>
      </c>
      <c r="C765" s="35" t="s">
        <v>1384</v>
      </c>
      <c r="D765" s="35" t="s">
        <v>16053</v>
      </c>
      <c r="E765" s="35" t="s">
        <v>192</v>
      </c>
      <c r="F765" s="62">
        <v>1</v>
      </c>
      <c r="G765" s="30" t="s">
        <v>193</v>
      </c>
      <c r="H765" s="30" t="s">
        <v>194</v>
      </c>
      <c r="I765" s="30" t="s">
        <v>16048</v>
      </c>
      <c r="J765" s="35" t="s">
        <v>210</v>
      </c>
      <c r="K765" s="35">
        <v>18</v>
      </c>
      <c r="L765" s="35" t="s">
        <v>6955</v>
      </c>
      <c r="M765" s="35"/>
      <c r="N765" s="35" t="s">
        <v>16065</v>
      </c>
      <c r="O765" s="35" t="s">
        <v>6312</v>
      </c>
      <c r="P765" s="35" t="s">
        <v>16050</v>
      </c>
      <c r="Q765" s="35" t="s">
        <v>16049</v>
      </c>
      <c r="R765" s="35" t="s">
        <v>16048</v>
      </c>
      <c r="S765" s="35">
        <v>2350797</v>
      </c>
      <c r="T765" s="35">
        <v>33719397</v>
      </c>
      <c r="U765" s="35"/>
      <c r="V765" s="30">
        <v>1863</v>
      </c>
      <c r="W765" s="35" t="s">
        <v>1385</v>
      </c>
      <c r="X765" s="35" t="s">
        <v>194</v>
      </c>
      <c r="Y765" s="30">
        <v>1</v>
      </c>
      <c r="Z765" s="35"/>
      <c r="AA765" s="35"/>
      <c r="AB765" s="35"/>
      <c r="AC765" s="35"/>
      <c r="AD765" s="35"/>
      <c r="AE765" s="35"/>
      <c r="AF765" s="35"/>
      <c r="AG765" s="35"/>
      <c r="AH765" s="30" t="s">
        <v>4714</v>
      </c>
      <c r="AI765" s="35" t="s">
        <v>16064</v>
      </c>
      <c r="AJ765" s="62" t="str">
        <f>MID('I kw.22'!W765,8,6)</f>
        <v>235915</v>
      </c>
      <c r="AK765" s="62">
        <v>1</v>
      </c>
      <c r="AL765" s="62">
        <f t="shared" si="11"/>
        <v>1</v>
      </c>
      <c r="AM765" s="62">
        <v>1</v>
      </c>
    </row>
    <row r="766" spans="1:39" x14ac:dyDescent="0.25">
      <c r="A766" s="35" t="s">
        <v>16063</v>
      </c>
      <c r="B766" s="35" t="s">
        <v>16058</v>
      </c>
      <c r="C766" s="35" t="s">
        <v>16062</v>
      </c>
      <c r="D766" s="35" t="s">
        <v>16053</v>
      </c>
      <c r="E766" s="35" t="s">
        <v>192</v>
      </c>
      <c r="F766" s="62">
        <v>1</v>
      </c>
      <c r="G766" s="30" t="s">
        <v>193</v>
      </c>
      <c r="H766" s="30" t="s">
        <v>194</v>
      </c>
      <c r="I766" s="30" t="s">
        <v>16061</v>
      </c>
      <c r="J766" s="35" t="s">
        <v>672</v>
      </c>
      <c r="K766" s="35">
        <v>18</v>
      </c>
      <c r="L766" s="35" t="s">
        <v>6955</v>
      </c>
      <c r="M766" s="35"/>
      <c r="N766" s="35" t="s">
        <v>16060</v>
      </c>
      <c r="O766" s="35" t="s">
        <v>6275</v>
      </c>
      <c r="P766" s="35" t="s">
        <v>16050</v>
      </c>
      <c r="Q766" s="35" t="s">
        <v>16049</v>
      </c>
      <c r="R766" s="35" t="s">
        <v>16048</v>
      </c>
      <c r="S766" s="35">
        <v>2350831</v>
      </c>
      <c r="T766" s="35">
        <v>33719431</v>
      </c>
      <c r="U766" s="35"/>
      <c r="V766" s="30">
        <v>1816</v>
      </c>
      <c r="W766" s="35" t="s">
        <v>16059</v>
      </c>
      <c r="X766" s="35" t="s">
        <v>194</v>
      </c>
      <c r="Y766" s="30">
        <v>1</v>
      </c>
      <c r="Z766" s="35"/>
      <c r="AA766" s="35"/>
      <c r="AB766" s="35"/>
      <c r="AC766" s="35"/>
      <c r="AD766" s="35"/>
      <c r="AE766" s="35"/>
      <c r="AF766" s="35"/>
      <c r="AG766" s="35"/>
      <c r="AH766" s="30" t="s">
        <v>4714</v>
      </c>
      <c r="AI766" s="35" t="s">
        <v>16058</v>
      </c>
      <c r="AJ766" s="62" t="str">
        <f>MID('I kw.22'!W766,8,6)</f>
        <v>311304</v>
      </c>
      <c r="AK766" s="62">
        <v>1</v>
      </c>
      <c r="AL766" s="62">
        <f t="shared" si="11"/>
        <v>1</v>
      </c>
      <c r="AM766" s="62">
        <v>1</v>
      </c>
    </row>
    <row r="767" spans="1:39" x14ac:dyDescent="0.25">
      <c r="A767" s="35" t="s">
        <v>16054</v>
      </c>
      <c r="B767" s="35" t="s">
        <v>17</v>
      </c>
      <c r="C767" s="35" t="s">
        <v>17</v>
      </c>
      <c r="D767" s="35" t="s">
        <v>16053</v>
      </c>
      <c r="E767" s="35" t="s">
        <v>192</v>
      </c>
      <c r="F767" s="62">
        <v>1</v>
      </c>
      <c r="G767" s="30" t="s">
        <v>193</v>
      </c>
      <c r="H767" s="30" t="s">
        <v>194</v>
      </c>
      <c r="I767" s="30" t="s">
        <v>16052</v>
      </c>
      <c r="J767" s="35" t="s">
        <v>385</v>
      </c>
      <c r="K767" s="35">
        <v>18</v>
      </c>
      <c r="L767" s="35" t="s">
        <v>6955</v>
      </c>
      <c r="M767" s="35"/>
      <c r="N767" s="35" t="s">
        <v>16057</v>
      </c>
      <c r="O767" s="35" t="s">
        <v>6249</v>
      </c>
      <c r="P767" s="35" t="s">
        <v>16050</v>
      </c>
      <c r="Q767" s="35" t="s">
        <v>16049</v>
      </c>
      <c r="R767" s="35" t="s">
        <v>16048</v>
      </c>
      <c r="S767" s="35">
        <v>2350859</v>
      </c>
      <c r="T767" s="35">
        <v>33719459</v>
      </c>
      <c r="U767" s="35"/>
      <c r="V767" s="30">
        <v>1861</v>
      </c>
      <c r="W767" s="35" t="s">
        <v>624</v>
      </c>
      <c r="X767" s="35" t="s">
        <v>194</v>
      </c>
      <c r="Y767" s="30">
        <v>1</v>
      </c>
      <c r="Z767" s="35"/>
      <c r="AA767" s="35"/>
      <c r="AB767" s="35"/>
      <c r="AC767" s="35"/>
      <c r="AD767" s="35"/>
      <c r="AE767" s="35"/>
      <c r="AF767" s="35"/>
      <c r="AG767" s="35"/>
      <c r="AH767" s="30" t="s">
        <v>4714</v>
      </c>
      <c r="AI767" s="35" t="s">
        <v>17</v>
      </c>
      <c r="AJ767" s="62" t="str">
        <f>MID('I kw.22'!W767,8,6)</f>
        <v>332203</v>
      </c>
      <c r="AK767" s="62">
        <v>1</v>
      </c>
      <c r="AL767" s="62">
        <f t="shared" si="11"/>
        <v>1</v>
      </c>
      <c r="AM767" s="62">
        <v>1</v>
      </c>
    </row>
    <row r="768" spans="1:39" x14ac:dyDescent="0.25">
      <c r="A768" s="35" t="s">
        <v>16054</v>
      </c>
      <c r="B768" s="35" t="s">
        <v>17</v>
      </c>
      <c r="C768" s="35" t="s">
        <v>17</v>
      </c>
      <c r="D768" s="35" t="s">
        <v>16053</v>
      </c>
      <c r="E768" s="35" t="s">
        <v>192</v>
      </c>
      <c r="F768" s="62">
        <v>1</v>
      </c>
      <c r="G768" s="30" t="s">
        <v>193</v>
      </c>
      <c r="H768" s="30" t="s">
        <v>194</v>
      </c>
      <c r="I768" s="30" t="s">
        <v>16052</v>
      </c>
      <c r="J768" s="35" t="s">
        <v>253</v>
      </c>
      <c r="K768" s="35">
        <v>18</v>
      </c>
      <c r="L768" s="35" t="s">
        <v>6955</v>
      </c>
      <c r="M768" s="35"/>
      <c r="N768" s="35" t="s">
        <v>16056</v>
      </c>
      <c r="O768" s="35" t="s">
        <v>6249</v>
      </c>
      <c r="P768" s="35" t="s">
        <v>16050</v>
      </c>
      <c r="Q768" s="35" t="s">
        <v>16049</v>
      </c>
      <c r="R768" s="35" t="s">
        <v>16048</v>
      </c>
      <c r="S768" s="35">
        <v>2350864</v>
      </c>
      <c r="T768" s="35">
        <v>33719464</v>
      </c>
      <c r="U768" s="35"/>
      <c r="V768" s="30">
        <v>1811</v>
      </c>
      <c r="W768" s="35" t="s">
        <v>624</v>
      </c>
      <c r="X768" s="35" t="s">
        <v>194</v>
      </c>
      <c r="Y768" s="30">
        <v>1</v>
      </c>
      <c r="Z768" s="35"/>
      <c r="AA768" s="35"/>
      <c r="AB768" s="35"/>
      <c r="AC768" s="35"/>
      <c r="AD768" s="35"/>
      <c r="AE768" s="35"/>
      <c r="AF768" s="35"/>
      <c r="AG768" s="35"/>
      <c r="AH768" s="30" t="s">
        <v>4714</v>
      </c>
      <c r="AI768" s="35" t="s">
        <v>17</v>
      </c>
      <c r="AJ768" s="62" t="str">
        <f>MID('I kw.22'!W768,8,6)</f>
        <v>332203</v>
      </c>
      <c r="AK768" s="62">
        <v>1</v>
      </c>
      <c r="AL768" s="62">
        <f t="shared" si="11"/>
        <v>1</v>
      </c>
      <c r="AM768" s="62">
        <v>1</v>
      </c>
    </row>
    <row r="769" spans="1:39" x14ac:dyDescent="0.25">
      <c r="A769" s="35" t="s">
        <v>16054</v>
      </c>
      <c r="B769" s="35" t="s">
        <v>17</v>
      </c>
      <c r="C769" s="35" t="s">
        <v>17</v>
      </c>
      <c r="D769" s="35" t="s">
        <v>16053</v>
      </c>
      <c r="E769" s="35" t="s">
        <v>192</v>
      </c>
      <c r="F769" s="62">
        <v>1</v>
      </c>
      <c r="G769" s="30" t="s">
        <v>193</v>
      </c>
      <c r="H769" s="30" t="s">
        <v>194</v>
      </c>
      <c r="I769" s="30" t="s">
        <v>16052</v>
      </c>
      <c r="J769" s="35" t="s">
        <v>4751</v>
      </c>
      <c r="K769" s="35">
        <v>18</v>
      </c>
      <c r="L769" s="35" t="s">
        <v>6955</v>
      </c>
      <c r="M769" s="35"/>
      <c r="N769" s="35" t="s">
        <v>16055</v>
      </c>
      <c r="O769" s="35" t="s">
        <v>6249</v>
      </c>
      <c r="P769" s="35" t="s">
        <v>16050</v>
      </c>
      <c r="Q769" s="35" t="s">
        <v>16049</v>
      </c>
      <c r="R769" s="35" t="s">
        <v>16048</v>
      </c>
      <c r="S769" s="35">
        <v>2350868</v>
      </c>
      <c r="T769" s="35">
        <v>33719468</v>
      </c>
      <c r="U769" s="35"/>
      <c r="V769" s="30">
        <v>1862</v>
      </c>
      <c r="W769" s="35" t="s">
        <v>624</v>
      </c>
      <c r="X769" s="35" t="s">
        <v>194</v>
      </c>
      <c r="Y769" s="30">
        <v>1</v>
      </c>
      <c r="Z769" s="35"/>
      <c r="AA769" s="35"/>
      <c r="AB769" s="35"/>
      <c r="AC769" s="35"/>
      <c r="AD769" s="35"/>
      <c r="AE769" s="35"/>
      <c r="AF769" s="35"/>
      <c r="AG769" s="35"/>
      <c r="AH769" s="30" t="s">
        <v>4714</v>
      </c>
      <c r="AI769" s="35" t="s">
        <v>17</v>
      </c>
      <c r="AJ769" s="62" t="str">
        <f>MID('I kw.22'!W769,8,6)</f>
        <v>332203</v>
      </c>
      <c r="AK769" s="62">
        <v>1</v>
      </c>
      <c r="AL769" s="62">
        <f t="shared" si="11"/>
        <v>1</v>
      </c>
      <c r="AM769" s="62">
        <v>1</v>
      </c>
    </row>
    <row r="770" spans="1:39" x14ac:dyDescent="0.25">
      <c r="A770" s="35" t="s">
        <v>16054</v>
      </c>
      <c r="B770" s="35" t="s">
        <v>17</v>
      </c>
      <c r="C770" s="35" t="s">
        <v>17</v>
      </c>
      <c r="D770" s="35" t="s">
        <v>16053</v>
      </c>
      <c r="E770" s="35" t="s">
        <v>192</v>
      </c>
      <c r="F770" s="62">
        <v>1</v>
      </c>
      <c r="G770" s="30" t="s">
        <v>193</v>
      </c>
      <c r="H770" s="30" t="s">
        <v>194</v>
      </c>
      <c r="I770" s="30" t="s">
        <v>16052</v>
      </c>
      <c r="J770" s="35" t="s">
        <v>210</v>
      </c>
      <c r="K770" s="35">
        <v>18</v>
      </c>
      <c r="L770" s="35" t="s">
        <v>6955</v>
      </c>
      <c r="M770" s="35"/>
      <c r="N770" s="35" t="s">
        <v>16051</v>
      </c>
      <c r="O770" s="35" t="s">
        <v>6249</v>
      </c>
      <c r="P770" s="35" t="s">
        <v>16050</v>
      </c>
      <c r="Q770" s="35" t="s">
        <v>16049</v>
      </c>
      <c r="R770" s="35" t="s">
        <v>16048</v>
      </c>
      <c r="S770" s="35">
        <v>2350870</v>
      </c>
      <c r="T770" s="35">
        <v>33719470</v>
      </c>
      <c r="U770" s="35"/>
      <c r="V770" s="30">
        <v>1863</v>
      </c>
      <c r="W770" s="35" t="s">
        <v>624</v>
      </c>
      <c r="X770" s="35" t="s">
        <v>194</v>
      </c>
      <c r="Y770" s="30">
        <v>1</v>
      </c>
      <c r="Z770" s="35"/>
      <c r="AA770" s="35"/>
      <c r="AB770" s="35"/>
      <c r="AC770" s="35"/>
      <c r="AD770" s="35"/>
      <c r="AE770" s="35"/>
      <c r="AF770" s="35"/>
      <c r="AG770" s="35"/>
      <c r="AH770" s="30" t="s">
        <v>4714</v>
      </c>
      <c r="AI770" s="35" t="s">
        <v>17</v>
      </c>
      <c r="AJ770" s="62" t="str">
        <f>MID('I kw.22'!W770,8,6)</f>
        <v>332203</v>
      </c>
      <c r="AK770" s="62">
        <v>1</v>
      </c>
      <c r="AL770" s="62">
        <f t="shared" si="11"/>
        <v>1</v>
      </c>
      <c r="AM770" s="62">
        <v>1</v>
      </c>
    </row>
    <row r="771" spans="1:39" x14ac:dyDescent="0.25">
      <c r="A771" s="35"/>
      <c r="B771" s="35"/>
      <c r="C771" s="35"/>
      <c r="D771" s="35"/>
      <c r="E771" s="35"/>
      <c r="F771" s="62"/>
      <c r="G771" s="30"/>
      <c r="H771" s="30"/>
      <c r="I771" s="30"/>
      <c r="J771" s="35"/>
      <c r="K771" s="35"/>
      <c r="L771" s="35"/>
      <c r="M771" s="35"/>
      <c r="N771" s="35"/>
      <c r="O771" s="35"/>
      <c r="P771" s="35"/>
      <c r="Q771" s="35"/>
      <c r="R771" s="35"/>
      <c r="S771" s="35"/>
      <c r="T771" s="35"/>
      <c r="U771" s="35"/>
      <c r="V771" s="30"/>
      <c r="W771" s="505"/>
      <c r="X771" s="35"/>
      <c r="Y771" s="30"/>
      <c r="Z771" s="35"/>
      <c r="AA771" s="35"/>
      <c r="AB771" s="35"/>
      <c r="AC771" s="35"/>
      <c r="AD771" s="35"/>
      <c r="AE771" s="35"/>
      <c r="AF771" s="35"/>
      <c r="AG771" s="35"/>
      <c r="AH771" s="30"/>
      <c r="AI771" s="35"/>
      <c r="AJ771" s="298"/>
      <c r="AK771" s="62">
        <f>SUM(AK2:AK770)</f>
        <v>769</v>
      </c>
      <c r="AL771" s="496">
        <f>SUM(AL2:AL770)</f>
        <v>773</v>
      </c>
      <c r="AM771" s="496">
        <f>SUM(AM2:AM770)</f>
        <v>769</v>
      </c>
    </row>
    <row r="772" spans="1:39" x14ac:dyDescent="0.25">
      <c r="A772" s="35"/>
      <c r="B772" s="35"/>
      <c r="C772" s="35"/>
      <c r="D772" s="35"/>
      <c r="E772" s="35"/>
      <c r="F772" s="62"/>
      <c r="G772" s="30"/>
      <c r="H772" s="30"/>
      <c r="I772" s="30"/>
      <c r="J772" s="35"/>
      <c r="K772" s="35"/>
      <c r="L772" s="35"/>
      <c r="M772" s="35"/>
      <c r="N772" s="35"/>
      <c r="O772" s="35"/>
      <c r="P772" s="35"/>
      <c r="Q772" s="35"/>
      <c r="R772" s="35"/>
      <c r="S772" s="35"/>
      <c r="T772" s="35"/>
      <c r="U772" s="35"/>
      <c r="V772" s="30"/>
      <c r="W772" s="505"/>
      <c r="X772" s="35"/>
      <c r="Y772" s="30"/>
      <c r="Z772" s="35"/>
      <c r="AA772" s="35"/>
      <c r="AB772" s="35"/>
      <c r="AC772" s="35"/>
      <c r="AD772" s="35"/>
      <c r="AE772" s="35"/>
      <c r="AF772" s="35"/>
      <c r="AG772" s="35"/>
      <c r="AH772" s="30"/>
      <c r="AI772" s="35"/>
      <c r="AJ772" s="298"/>
      <c r="AK772" s="62">
        <f>SUBTOTAL(9,AK2:AK770)</f>
        <v>769</v>
      </c>
      <c r="AL772" s="62">
        <f>SUBTOTAL(9,AL2:AL770)</f>
        <v>773</v>
      </c>
      <c r="AM772" s="62">
        <f>SUBTOTAL(9,AM2:AM770)</f>
        <v>769</v>
      </c>
    </row>
  </sheetData>
  <autoFilter ref="A1:AM77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W773"/>
  <sheetViews>
    <sheetView zoomScale="80" zoomScaleNormal="80" workbookViewId="0"/>
  </sheetViews>
  <sheetFormatPr defaultRowHeight="15" x14ac:dyDescent="0.25"/>
  <cols>
    <col min="1" max="2" width="9.140625" style="28"/>
    <col min="3" max="3" width="19" style="28" customWidth="1"/>
    <col min="4" max="4" width="12.85546875" style="28" customWidth="1"/>
    <col min="5" max="14" width="9.140625" style="28"/>
    <col min="15" max="15" width="28.5703125" style="28" customWidth="1"/>
    <col min="16" max="19" width="9.140625" style="28"/>
    <col min="20" max="20" width="11.5703125" style="28" customWidth="1"/>
    <col min="21" max="22" width="6.140625" style="28" customWidth="1"/>
    <col min="23" max="24" width="9.140625" style="28"/>
    <col min="25" max="25" width="6.7109375" style="28" customWidth="1"/>
    <col min="26" max="33" width="9.140625" style="28"/>
    <col min="34" max="34" width="12.42578125" style="28" customWidth="1"/>
    <col min="35" max="35" width="32.5703125" style="138" customWidth="1"/>
    <col min="36" max="36" width="8.140625" style="28" customWidth="1"/>
    <col min="37" max="38" width="9.42578125" style="28" customWidth="1"/>
    <col min="39" max="39" width="8.85546875" style="28" customWidth="1"/>
    <col min="40" max="40" width="6.28515625" style="28" hidden="1" customWidth="1"/>
    <col min="41" max="41" width="5.5703125" style="28" hidden="1" customWidth="1"/>
    <col min="42" max="42" width="8.140625" style="28" hidden="1" customWidth="1"/>
    <col min="43" max="43" width="6.85546875" style="28" hidden="1" customWidth="1"/>
    <col min="44" max="44" width="15.140625" style="28" hidden="1" customWidth="1"/>
    <col min="45" max="45" width="3.5703125" style="28" customWidth="1"/>
    <col min="46" max="297" width="9.140625" style="28"/>
    <col min="298" max="298" width="14.140625" style="28" customWidth="1"/>
    <col min="299" max="299" width="18.140625" style="28" customWidth="1"/>
    <col min="300" max="553" width="9.140625" style="28"/>
    <col min="554" max="554" width="14.140625" style="28" customWidth="1"/>
    <col min="555" max="555" width="18.140625" style="28" customWidth="1"/>
    <col min="556" max="809" width="9.140625" style="28"/>
    <col min="810" max="810" width="14.140625" style="28" customWidth="1"/>
    <col min="811" max="811" width="18.140625" style="28" customWidth="1"/>
    <col min="812" max="1065" width="9.140625" style="28"/>
    <col min="1066" max="1066" width="14.140625" style="28" customWidth="1"/>
    <col min="1067" max="1067" width="18.140625" style="28" customWidth="1"/>
    <col min="1068" max="1321" width="9.140625" style="28"/>
    <col min="1322" max="1322" width="14.140625" style="28" customWidth="1"/>
    <col min="1323" max="1323" width="18.140625" style="28" customWidth="1"/>
    <col min="1324" max="1577" width="9.140625" style="28"/>
    <col min="1578" max="1578" width="14.140625" style="28" customWidth="1"/>
    <col min="1579" max="1579" width="18.140625" style="28" customWidth="1"/>
    <col min="1580" max="1833" width="9.140625" style="28"/>
    <col min="1834" max="1834" width="14.140625" style="28" customWidth="1"/>
    <col min="1835" max="1835" width="18.140625" style="28" customWidth="1"/>
    <col min="1836" max="2089" width="9.140625" style="28"/>
    <col min="2090" max="2090" width="14.140625" style="28" customWidth="1"/>
    <col min="2091" max="2091" width="18.140625" style="28" customWidth="1"/>
    <col min="2092" max="2345" width="9.140625" style="28"/>
    <col min="2346" max="2346" width="14.140625" style="28" customWidth="1"/>
    <col min="2347" max="2347" width="18.140625" style="28" customWidth="1"/>
    <col min="2348" max="2601" width="9.140625" style="28"/>
    <col min="2602" max="2602" width="14.140625" style="28" customWidth="1"/>
    <col min="2603" max="2603" width="18.140625" style="28" customWidth="1"/>
    <col min="2604" max="2857" width="9.140625" style="28"/>
    <col min="2858" max="2858" width="14.140625" style="28" customWidth="1"/>
    <col min="2859" max="2859" width="18.140625" style="28" customWidth="1"/>
    <col min="2860" max="3113" width="9.140625" style="28"/>
    <col min="3114" max="3114" width="14.140625" style="28" customWidth="1"/>
    <col min="3115" max="3115" width="18.140625" style="28" customWidth="1"/>
    <col min="3116" max="3369" width="9.140625" style="28"/>
    <col min="3370" max="3370" width="14.140625" style="28" customWidth="1"/>
    <col min="3371" max="3371" width="18.140625" style="28" customWidth="1"/>
    <col min="3372" max="3625" width="9.140625" style="28"/>
    <col min="3626" max="3626" width="14.140625" style="28" customWidth="1"/>
    <col min="3627" max="3627" width="18.140625" style="28" customWidth="1"/>
    <col min="3628" max="3881" width="9.140625" style="28"/>
    <col min="3882" max="3882" width="14.140625" style="28" customWidth="1"/>
    <col min="3883" max="3883" width="18.140625" style="28" customWidth="1"/>
    <col min="3884" max="4137" width="9.140625" style="28"/>
    <col min="4138" max="4138" width="14.140625" style="28" customWidth="1"/>
    <col min="4139" max="4139" width="18.140625" style="28" customWidth="1"/>
    <col min="4140" max="4393" width="9.140625" style="28"/>
    <col min="4394" max="4394" width="14.140625" style="28" customWidth="1"/>
    <col min="4395" max="4395" width="18.140625" style="28" customWidth="1"/>
    <col min="4396" max="4649" width="9.140625" style="28"/>
    <col min="4650" max="4650" width="14.140625" style="28" customWidth="1"/>
    <col min="4651" max="4651" width="18.140625" style="28" customWidth="1"/>
    <col min="4652" max="4905" width="9.140625" style="28"/>
    <col min="4906" max="4906" width="14.140625" style="28" customWidth="1"/>
    <col min="4907" max="4907" width="18.140625" style="28" customWidth="1"/>
    <col min="4908" max="5161" width="9.140625" style="28"/>
    <col min="5162" max="5162" width="14.140625" style="28" customWidth="1"/>
    <col min="5163" max="5163" width="18.140625" style="28" customWidth="1"/>
    <col min="5164" max="5417" width="9.140625" style="28"/>
    <col min="5418" max="5418" width="14.140625" style="28" customWidth="1"/>
    <col min="5419" max="5419" width="18.140625" style="28" customWidth="1"/>
    <col min="5420" max="5673" width="9.140625" style="28"/>
    <col min="5674" max="5674" width="14.140625" style="28" customWidth="1"/>
    <col min="5675" max="5675" width="18.140625" style="28" customWidth="1"/>
    <col min="5676" max="5929" width="9.140625" style="28"/>
    <col min="5930" max="5930" width="14.140625" style="28" customWidth="1"/>
    <col min="5931" max="5931" width="18.140625" style="28" customWidth="1"/>
    <col min="5932" max="6185" width="9.140625" style="28"/>
    <col min="6186" max="6186" width="14.140625" style="28" customWidth="1"/>
    <col min="6187" max="6187" width="18.140625" style="28" customWidth="1"/>
    <col min="6188" max="6441" width="9.140625" style="28"/>
    <col min="6442" max="6442" width="14.140625" style="28" customWidth="1"/>
    <col min="6443" max="6443" width="18.140625" style="28" customWidth="1"/>
    <col min="6444" max="6697" width="9.140625" style="28"/>
    <col min="6698" max="6698" width="14.140625" style="28" customWidth="1"/>
    <col min="6699" max="6699" width="18.140625" style="28" customWidth="1"/>
    <col min="6700" max="6953" width="9.140625" style="28"/>
    <col min="6954" max="6954" width="14.140625" style="28" customWidth="1"/>
    <col min="6955" max="6955" width="18.140625" style="28" customWidth="1"/>
    <col min="6956" max="7209" width="9.140625" style="28"/>
    <col min="7210" max="7210" width="14.140625" style="28" customWidth="1"/>
    <col min="7211" max="7211" width="18.140625" style="28" customWidth="1"/>
    <col min="7212" max="7465" width="9.140625" style="28"/>
    <col min="7466" max="7466" width="14.140625" style="28" customWidth="1"/>
    <col min="7467" max="7467" width="18.140625" style="28" customWidth="1"/>
    <col min="7468" max="7721" width="9.140625" style="28"/>
    <col min="7722" max="7722" width="14.140625" style="28" customWidth="1"/>
    <col min="7723" max="7723" width="18.140625" style="28" customWidth="1"/>
    <col min="7724" max="7977" width="9.140625" style="28"/>
    <col min="7978" max="7978" width="14.140625" style="28" customWidth="1"/>
    <col min="7979" max="7979" width="18.140625" style="28" customWidth="1"/>
    <col min="7980" max="8233" width="9.140625" style="28"/>
    <col min="8234" max="8234" width="14.140625" style="28" customWidth="1"/>
    <col min="8235" max="8235" width="18.140625" style="28" customWidth="1"/>
    <col min="8236" max="8489" width="9.140625" style="28"/>
    <col min="8490" max="8490" width="14.140625" style="28" customWidth="1"/>
    <col min="8491" max="8491" width="18.140625" style="28" customWidth="1"/>
    <col min="8492" max="8745" width="9.140625" style="28"/>
    <col min="8746" max="8746" width="14.140625" style="28" customWidth="1"/>
    <col min="8747" max="8747" width="18.140625" style="28" customWidth="1"/>
    <col min="8748" max="9001" width="9.140625" style="28"/>
    <col min="9002" max="9002" width="14.140625" style="28" customWidth="1"/>
    <col min="9003" max="9003" width="18.140625" style="28" customWidth="1"/>
    <col min="9004" max="9257" width="9.140625" style="28"/>
    <col min="9258" max="9258" width="14.140625" style="28" customWidth="1"/>
    <col min="9259" max="9259" width="18.140625" style="28" customWidth="1"/>
    <col min="9260" max="9513" width="9.140625" style="28"/>
    <col min="9514" max="9514" width="14.140625" style="28" customWidth="1"/>
    <col min="9515" max="9515" width="18.140625" style="28" customWidth="1"/>
    <col min="9516" max="9769" width="9.140625" style="28"/>
    <col min="9770" max="9770" width="14.140625" style="28" customWidth="1"/>
    <col min="9771" max="9771" width="18.140625" style="28" customWidth="1"/>
    <col min="9772" max="10025" width="9.140625" style="28"/>
    <col min="10026" max="10026" width="14.140625" style="28" customWidth="1"/>
    <col min="10027" max="10027" width="18.140625" style="28" customWidth="1"/>
    <col min="10028" max="10281" width="9.140625" style="28"/>
    <col min="10282" max="10282" width="14.140625" style="28" customWidth="1"/>
    <col min="10283" max="10283" width="18.140625" style="28" customWidth="1"/>
    <col min="10284" max="10537" width="9.140625" style="28"/>
    <col min="10538" max="10538" width="14.140625" style="28" customWidth="1"/>
    <col min="10539" max="10539" width="18.140625" style="28" customWidth="1"/>
    <col min="10540" max="10793" width="9.140625" style="28"/>
    <col min="10794" max="10794" width="14.140625" style="28" customWidth="1"/>
    <col min="10795" max="10795" width="18.140625" style="28" customWidth="1"/>
    <col min="10796" max="11049" width="9.140625" style="28"/>
    <col min="11050" max="11050" width="14.140625" style="28" customWidth="1"/>
    <col min="11051" max="11051" width="18.140625" style="28" customWidth="1"/>
    <col min="11052" max="11305" width="9.140625" style="28"/>
    <col min="11306" max="11306" width="14.140625" style="28" customWidth="1"/>
    <col min="11307" max="11307" width="18.140625" style="28" customWidth="1"/>
    <col min="11308" max="11561" width="9.140625" style="28"/>
    <col min="11562" max="11562" width="14.140625" style="28" customWidth="1"/>
    <col min="11563" max="11563" width="18.140625" style="28" customWidth="1"/>
    <col min="11564" max="11817" width="9.140625" style="28"/>
    <col min="11818" max="11818" width="14.140625" style="28" customWidth="1"/>
    <col min="11819" max="11819" width="18.140625" style="28" customWidth="1"/>
    <col min="11820" max="12073" width="9.140625" style="28"/>
    <col min="12074" max="12074" width="14.140625" style="28" customWidth="1"/>
    <col min="12075" max="12075" width="18.140625" style="28" customWidth="1"/>
    <col min="12076" max="12329" width="9.140625" style="28"/>
    <col min="12330" max="12330" width="14.140625" style="28" customWidth="1"/>
    <col min="12331" max="12331" width="18.140625" style="28" customWidth="1"/>
    <col min="12332" max="12585" width="9.140625" style="28"/>
    <col min="12586" max="12586" width="14.140625" style="28" customWidth="1"/>
    <col min="12587" max="12587" width="18.140625" style="28" customWidth="1"/>
    <col min="12588" max="12841" width="9.140625" style="28"/>
    <col min="12842" max="12842" width="14.140625" style="28" customWidth="1"/>
    <col min="12843" max="12843" width="18.140625" style="28" customWidth="1"/>
    <col min="12844" max="13097" width="9.140625" style="28"/>
    <col min="13098" max="13098" width="14.140625" style="28" customWidth="1"/>
    <col min="13099" max="13099" width="18.140625" style="28" customWidth="1"/>
    <col min="13100" max="13353" width="9.140625" style="28"/>
    <col min="13354" max="13354" width="14.140625" style="28" customWidth="1"/>
    <col min="13355" max="13355" width="18.140625" style="28" customWidth="1"/>
    <col min="13356" max="13609" width="9.140625" style="28"/>
    <col min="13610" max="13610" width="14.140625" style="28" customWidth="1"/>
    <col min="13611" max="13611" width="18.140625" style="28" customWidth="1"/>
    <col min="13612" max="13865" width="9.140625" style="28"/>
    <col min="13866" max="13866" width="14.140625" style="28" customWidth="1"/>
    <col min="13867" max="13867" width="18.140625" style="28" customWidth="1"/>
    <col min="13868" max="14121" width="9.140625" style="28"/>
    <col min="14122" max="14122" width="14.140625" style="28" customWidth="1"/>
    <col min="14123" max="14123" width="18.140625" style="28" customWidth="1"/>
    <col min="14124" max="14377" width="9.140625" style="28"/>
    <col min="14378" max="14378" width="14.140625" style="28" customWidth="1"/>
    <col min="14379" max="14379" width="18.140625" style="28" customWidth="1"/>
    <col min="14380" max="14633" width="9.140625" style="28"/>
    <col min="14634" max="14634" width="14.140625" style="28" customWidth="1"/>
    <col min="14635" max="14635" width="18.140625" style="28" customWidth="1"/>
    <col min="14636" max="14889" width="9.140625" style="28"/>
    <col min="14890" max="14890" width="14.140625" style="28" customWidth="1"/>
    <col min="14891" max="14891" width="18.140625" style="28" customWidth="1"/>
    <col min="14892" max="15145" width="9.140625" style="28"/>
    <col min="15146" max="15146" width="14.140625" style="28" customWidth="1"/>
    <col min="15147" max="15147" width="18.140625" style="28" customWidth="1"/>
    <col min="15148" max="15401" width="9.140625" style="28"/>
    <col min="15402" max="15402" width="14.140625" style="28" customWidth="1"/>
    <col min="15403" max="15403" width="18.140625" style="28" customWidth="1"/>
    <col min="15404" max="15657" width="9.140625" style="28"/>
    <col min="15658" max="15658" width="14.140625" style="28" customWidth="1"/>
    <col min="15659" max="15659" width="18.140625" style="28" customWidth="1"/>
    <col min="15660" max="15913" width="9.140625" style="28"/>
    <col min="15914" max="15914" width="14.140625" style="28" customWidth="1"/>
    <col min="15915" max="15915" width="18.140625" style="28" customWidth="1"/>
    <col min="15916" max="16169" width="9.140625" style="28"/>
    <col min="16170" max="16170" width="14.140625" style="28" customWidth="1"/>
    <col min="16171" max="16171" width="18.140625" style="28" customWidth="1"/>
    <col min="16172" max="16384" width="9.140625" style="28"/>
  </cols>
  <sheetData>
    <row r="1" spans="1:44" ht="15.75" thickTop="1" x14ac:dyDescent="0.25">
      <c r="A1" s="508" t="s">
        <v>176</v>
      </c>
      <c r="B1" s="508" t="s">
        <v>177</v>
      </c>
      <c r="C1" s="508" t="s">
        <v>178</v>
      </c>
      <c r="D1" s="521" t="s">
        <v>179</v>
      </c>
      <c r="E1" s="508" t="s">
        <v>900</v>
      </c>
      <c r="F1" s="508" t="s">
        <v>181</v>
      </c>
      <c r="G1" s="508" t="s">
        <v>182</v>
      </c>
      <c r="H1" s="508" t="s">
        <v>183</v>
      </c>
      <c r="I1" s="508" t="s">
        <v>184</v>
      </c>
      <c r="J1" s="508" t="s">
        <v>185</v>
      </c>
      <c r="K1" s="508" t="s">
        <v>186</v>
      </c>
      <c r="L1" s="508" t="s">
        <v>6943</v>
      </c>
      <c r="M1" s="508" t="s">
        <v>6942</v>
      </c>
      <c r="N1" s="508" t="s">
        <v>4700</v>
      </c>
      <c r="O1" s="508" t="s">
        <v>6391</v>
      </c>
      <c r="P1" s="508" t="s">
        <v>6930</v>
      </c>
      <c r="Q1" s="508" t="s">
        <v>6931</v>
      </c>
      <c r="R1" s="508" t="s">
        <v>4701</v>
      </c>
      <c r="S1" s="508" t="s">
        <v>6932</v>
      </c>
      <c r="T1" s="508" t="s">
        <v>6933</v>
      </c>
      <c r="U1" s="508" t="s">
        <v>1726</v>
      </c>
      <c r="V1" s="508" t="s">
        <v>4702</v>
      </c>
      <c r="W1" s="508" t="s">
        <v>187</v>
      </c>
      <c r="X1" s="508" t="s">
        <v>6934</v>
      </c>
      <c r="Y1" s="508" t="s">
        <v>4703</v>
      </c>
      <c r="Z1" s="508" t="s">
        <v>6935</v>
      </c>
      <c r="AA1" s="508" t="s">
        <v>4704</v>
      </c>
      <c r="AB1" s="508" t="s">
        <v>6936</v>
      </c>
      <c r="AC1" s="508" t="s">
        <v>6937</v>
      </c>
      <c r="AD1" s="508" t="s">
        <v>6938</v>
      </c>
      <c r="AE1" s="508" t="s">
        <v>6939</v>
      </c>
      <c r="AF1" s="508" t="s">
        <v>6940</v>
      </c>
      <c r="AG1" s="508" t="s">
        <v>4705</v>
      </c>
      <c r="AH1" s="508" t="s">
        <v>4706</v>
      </c>
      <c r="AI1" s="522" t="s">
        <v>6941</v>
      </c>
      <c r="AJ1" s="515" t="s">
        <v>13058</v>
      </c>
      <c r="AK1" s="516" t="s">
        <v>13055</v>
      </c>
      <c r="AL1" s="516" t="s">
        <v>13056</v>
      </c>
      <c r="AM1" s="516" t="s">
        <v>13057</v>
      </c>
      <c r="AN1" s="508" t="s">
        <v>17638</v>
      </c>
      <c r="AO1" s="508" t="s">
        <v>17639</v>
      </c>
      <c r="AP1" s="508" t="s">
        <v>17640</v>
      </c>
      <c r="AQ1" s="508" t="s">
        <v>17641</v>
      </c>
      <c r="AR1" s="508" t="s">
        <v>177</v>
      </c>
    </row>
    <row r="2" spans="1:44" x14ac:dyDescent="0.25">
      <c r="A2" s="28" t="s">
        <v>11919</v>
      </c>
      <c r="B2" s="28" t="s">
        <v>11920</v>
      </c>
      <c r="C2" s="28" t="s">
        <v>6617</v>
      </c>
      <c r="D2" s="28" t="s">
        <v>17642</v>
      </c>
      <c r="E2" s="28" t="s">
        <v>192</v>
      </c>
      <c r="F2" s="28">
        <v>1</v>
      </c>
      <c r="G2" s="28" t="s">
        <v>193</v>
      </c>
      <c r="H2" s="28" t="s">
        <v>194</v>
      </c>
      <c r="I2" s="28" t="s">
        <v>17643</v>
      </c>
      <c r="J2" s="28" t="s">
        <v>9302</v>
      </c>
      <c r="K2" s="28" t="s">
        <v>9309</v>
      </c>
      <c r="L2" s="28" t="s">
        <v>6955</v>
      </c>
      <c r="N2" s="28" t="s">
        <v>17644</v>
      </c>
      <c r="O2" s="28" t="s">
        <v>6266</v>
      </c>
      <c r="P2" s="28" t="s">
        <v>17645</v>
      </c>
      <c r="Q2" s="28" t="s">
        <v>17646</v>
      </c>
      <c r="R2" s="28" t="s">
        <v>17647</v>
      </c>
      <c r="S2" s="28" t="s">
        <v>17648</v>
      </c>
      <c r="T2" s="28" t="s">
        <v>17649</v>
      </c>
      <c r="V2" s="27"/>
      <c r="W2" s="28" t="s">
        <v>990</v>
      </c>
      <c r="X2" s="28" t="s">
        <v>193</v>
      </c>
      <c r="Y2" s="27" t="s">
        <v>9310</v>
      </c>
      <c r="AB2" s="28" t="s">
        <v>9311</v>
      </c>
      <c r="AH2" s="28" t="s">
        <v>4714</v>
      </c>
      <c r="AI2" s="28" t="s">
        <v>11920</v>
      </c>
      <c r="AJ2" s="516" t="str">
        <f>MID('II kw.22'!W2,8,6)</f>
        <v>833202</v>
      </c>
      <c r="AK2" s="516">
        <v>1</v>
      </c>
      <c r="AL2" s="517">
        <f>SUM(F2)</f>
        <v>1</v>
      </c>
      <c r="AM2" s="516">
        <v>1</v>
      </c>
      <c r="AN2" s="28" t="s">
        <v>17650</v>
      </c>
      <c r="AO2" s="28" t="s">
        <v>17651</v>
      </c>
      <c r="AP2" s="28" t="s">
        <v>17652</v>
      </c>
      <c r="AQ2" s="28" t="s">
        <v>17653</v>
      </c>
      <c r="AR2" s="28" t="s">
        <v>1024</v>
      </c>
    </row>
    <row r="3" spans="1:44" x14ac:dyDescent="0.25">
      <c r="A3" s="28" t="s">
        <v>17654</v>
      </c>
      <c r="B3" s="28" t="s">
        <v>17655</v>
      </c>
      <c r="C3" s="28" t="s">
        <v>5906</v>
      </c>
      <c r="D3" s="28" t="s">
        <v>17642</v>
      </c>
      <c r="E3" s="28" t="s">
        <v>192</v>
      </c>
      <c r="F3" s="28">
        <v>1</v>
      </c>
      <c r="G3" s="28" t="s">
        <v>193</v>
      </c>
      <c r="H3" s="28" t="s">
        <v>194</v>
      </c>
      <c r="I3" s="28" t="s">
        <v>17656</v>
      </c>
      <c r="J3" s="28" t="s">
        <v>9302</v>
      </c>
      <c r="K3" s="28" t="s">
        <v>9309</v>
      </c>
      <c r="L3" s="28" t="s">
        <v>6955</v>
      </c>
      <c r="N3" s="28" t="s">
        <v>17657</v>
      </c>
      <c r="O3" s="28" t="s">
        <v>6921</v>
      </c>
      <c r="P3" s="28" t="s">
        <v>17645</v>
      </c>
      <c r="Q3" s="28" t="s">
        <v>17646</v>
      </c>
      <c r="R3" s="28" t="s">
        <v>17647</v>
      </c>
      <c r="S3" s="28" t="s">
        <v>17658</v>
      </c>
      <c r="T3" s="28" t="s">
        <v>17659</v>
      </c>
      <c r="V3" s="27"/>
      <c r="W3" s="28" t="s">
        <v>5908</v>
      </c>
      <c r="X3" s="28" t="s">
        <v>193</v>
      </c>
      <c r="Y3" s="27" t="s">
        <v>9310</v>
      </c>
      <c r="AB3" s="28" t="s">
        <v>9311</v>
      </c>
      <c r="AH3" s="28" t="s">
        <v>4714</v>
      </c>
      <c r="AI3" s="138" t="s">
        <v>17655</v>
      </c>
      <c r="AJ3" s="516" t="str">
        <f>MID('II kw.22'!W3,8,6)</f>
        <v>133005</v>
      </c>
      <c r="AK3" s="516">
        <v>1</v>
      </c>
      <c r="AL3" s="516">
        <f t="shared" ref="AL3:AL66" si="0">SUM(F3)</f>
        <v>1</v>
      </c>
      <c r="AM3" s="516">
        <v>1</v>
      </c>
      <c r="AN3" s="28" t="s">
        <v>17650</v>
      </c>
      <c r="AO3" s="28" t="s">
        <v>17651</v>
      </c>
      <c r="AP3" s="28" t="s">
        <v>17652</v>
      </c>
      <c r="AQ3" s="28" t="s">
        <v>17653</v>
      </c>
      <c r="AR3" s="28" t="s">
        <v>1024</v>
      </c>
    </row>
    <row r="4" spans="1:44" x14ac:dyDescent="0.25">
      <c r="A4" s="28" t="s">
        <v>17654</v>
      </c>
      <c r="B4" s="28" t="s">
        <v>17247</v>
      </c>
      <c r="C4" s="28" t="s">
        <v>10</v>
      </c>
      <c r="D4" s="28" t="s">
        <v>17642</v>
      </c>
      <c r="E4" s="28" t="s">
        <v>192</v>
      </c>
      <c r="F4" s="28">
        <v>1</v>
      </c>
      <c r="G4" s="28" t="s">
        <v>193</v>
      </c>
      <c r="H4" s="28" t="s">
        <v>194</v>
      </c>
      <c r="I4" s="28" t="s">
        <v>17643</v>
      </c>
      <c r="J4" s="28" t="s">
        <v>9302</v>
      </c>
      <c r="K4" s="28" t="s">
        <v>9309</v>
      </c>
      <c r="L4" s="28" t="s">
        <v>6955</v>
      </c>
      <c r="N4" s="28" t="s">
        <v>17660</v>
      </c>
      <c r="O4" s="28" t="s">
        <v>6261</v>
      </c>
      <c r="P4" s="28" t="s">
        <v>17645</v>
      </c>
      <c r="Q4" s="28" t="s">
        <v>17646</v>
      </c>
      <c r="R4" s="28" t="s">
        <v>17647</v>
      </c>
      <c r="S4" s="28" t="s">
        <v>17661</v>
      </c>
      <c r="T4" s="28" t="s">
        <v>17662</v>
      </c>
      <c r="V4" s="27"/>
      <c r="W4" s="28" t="s">
        <v>484</v>
      </c>
      <c r="X4" s="28" t="s">
        <v>193</v>
      </c>
      <c r="Y4" s="27" t="s">
        <v>9310</v>
      </c>
      <c r="AB4" s="28" t="s">
        <v>9311</v>
      </c>
      <c r="AH4" s="28" t="s">
        <v>4714</v>
      </c>
      <c r="AI4" s="28" t="s">
        <v>17247</v>
      </c>
      <c r="AJ4" s="516" t="str">
        <f>MID('II kw.22'!W4,8,6)</f>
        <v>251401</v>
      </c>
      <c r="AK4" s="516">
        <v>1</v>
      </c>
      <c r="AL4" s="516">
        <f t="shared" si="0"/>
        <v>1</v>
      </c>
      <c r="AM4" s="516">
        <v>1</v>
      </c>
      <c r="AN4" s="28" t="s">
        <v>17650</v>
      </c>
      <c r="AO4" s="28" t="s">
        <v>17651</v>
      </c>
      <c r="AP4" s="28" t="s">
        <v>17652</v>
      </c>
      <c r="AQ4" s="28" t="s">
        <v>17653</v>
      </c>
      <c r="AR4" s="28" t="s">
        <v>1024</v>
      </c>
    </row>
    <row r="5" spans="1:44" x14ac:dyDescent="0.25">
      <c r="A5" s="28" t="s">
        <v>4969</v>
      </c>
      <c r="B5" s="28" t="s">
        <v>16294</v>
      </c>
      <c r="C5" s="28" t="s">
        <v>10</v>
      </c>
      <c r="D5" s="28" t="s">
        <v>17642</v>
      </c>
      <c r="E5" s="28" t="s">
        <v>192</v>
      </c>
      <c r="F5" s="28">
        <v>1</v>
      </c>
      <c r="G5" s="28" t="s">
        <v>193</v>
      </c>
      <c r="H5" s="28" t="s">
        <v>194</v>
      </c>
      <c r="I5" s="28" t="s">
        <v>17643</v>
      </c>
      <c r="J5" s="28" t="s">
        <v>9302</v>
      </c>
      <c r="K5" s="28" t="s">
        <v>9309</v>
      </c>
      <c r="L5" s="28" t="s">
        <v>6955</v>
      </c>
      <c r="N5" s="28" t="s">
        <v>17663</v>
      </c>
      <c r="O5" s="28" t="s">
        <v>6261</v>
      </c>
      <c r="P5" s="28" t="s">
        <v>17645</v>
      </c>
      <c r="Q5" s="28" t="s">
        <v>17646</v>
      </c>
      <c r="R5" s="28" t="s">
        <v>17647</v>
      </c>
      <c r="S5" s="28" t="s">
        <v>17664</v>
      </c>
      <c r="T5" s="28" t="s">
        <v>17665</v>
      </c>
      <c r="V5" s="27"/>
      <c r="W5" s="28" t="s">
        <v>484</v>
      </c>
      <c r="X5" s="28" t="s">
        <v>193</v>
      </c>
      <c r="Y5" s="27" t="s">
        <v>9310</v>
      </c>
      <c r="AB5" s="28" t="s">
        <v>9311</v>
      </c>
      <c r="AH5" s="28" t="s">
        <v>4714</v>
      </c>
      <c r="AI5" s="28" t="s">
        <v>16294</v>
      </c>
      <c r="AJ5" s="516" t="str">
        <f>MID('II kw.22'!W5,8,6)</f>
        <v>251401</v>
      </c>
      <c r="AK5" s="516">
        <v>1</v>
      </c>
      <c r="AL5" s="516">
        <f t="shared" si="0"/>
        <v>1</v>
      </c>
      <c r="AM5" s="516">
        <v>1</v>
      </c>
      <c r="AN5" s="28" t="s">
        <v>17650</v>
      </c>
      <c r="AO5" s="28" t="s">
        <v>17651</v>
      </c>
      <c r="AP5" s="28" t="s">
        <v>17652</v>
      </c>
      <c r="AQ5" s="28" t="s">
        <v>17653</v>
      </c>
      <c r="AR5" s="28" t="s">
        <v>1024</v>
      </c>
    </row>
    <row r="6" spans="1:44" x14ac:dyDescent="0.25">
      <c r="A6" s="28" t="s">
        <v>17666</v>
      </c>
      <c r="B6" s="28" t="s">
        <v>496</v>
      </c>
      <c r="C6" s="28" t="s">
        <v>10</v>
      </c>
      <c r="D6" s="28" t="s">
        <v>17642</v>
      </c>
      <c r="E6" s="28" t="s">
        <v>192</v>
      </c>
      <c r="F6" s="28">
        <v>1</v>
      </c>
      <c r="G6" s="28" t="s">
        <v>193</v>
      </c>
      <c r="H6" s="28" t="s">
        <v>194</v>
      </c>
      <c r="I6" s="28" t="s">
        <v>17667</v>
      </c>
      <c r="J6" s="28" t="s">
        <v>9302</v>
      </c>
      <c r="K6" s="28" t="s">
        <v>9309</v>
      </c>
      <c r="L6" s="28" t="s">
        <v>6955</v>
      </c>
      <c r="N6" s="28" t="s">
        <v>17668</v>
      </c>
      <c r="O6" s="28" t="s">
        <v>6261</v>
      </c>
      <c r="P6" s="28" t="s">
        <v>17645</v>
      </c>
      <c r="Q6" s="28" t="s">
        <v>17646</v>
      </c>
      <c r="R6" s="28" t="s">
        <v>17647</v>
      </c>
      <c r="S6" s="28" t="s">
        <v>17669</v>
      </c>
      <c r="T6" s="28" t="s">
        <v>17670</v>
      </c>
      <c r="V6" s="27"/>
      <c r="W6" s="28" t="s">
        <v>484</v>
      </c>
      <c r="X6" s="28" t="s">
        <v>193</v>
      </c>
      <c r="Y6" s="27" t="s">
        <v>9310</v>
      </c>
      <c r="AB6" s="28" t="s">
        <v>9311</v>
      </c>
      <c r="AH6" s="28" t="s">
        <v>4714</v>
      </c>
      <c r="AI6" s="28" t="s">
        <v>496</v>
      </c>
      <c r="AJ6" s="516" t="str">
        <f>MID('II kw.22'!W6,8,6)</f>
        <v>251401</v>
      </c>
      <c r="AK6" s="516">
        <v>1</v>
      </c>
      <c r="AL6" s="516">
        <f t="shared" si="0"/>
        <v>1</v>
      </c>
      <c r="AM6" s="516">
        <v>1</v>
      </c>
      <c r="AN6" s="28" t="s">
        <v>17650</v>
      </c>
      <c r="AO6" s="28" t="s">
        <v>17651</v>
      </c>
      <c r="AP6" s="28" t="s">
        <v>17652</v>
      </c>
      <c r="AQ6" s="28" t="s">
        <v>17653</v>
      </c>
      <c r="AR6" s="28" t="s">
        <v>1024</v>
      </c>
    </row>
    <row r="7" spans="1:44" x14ac:dyDescent="0.25">
      <c r="A7" s="28" t="s">
        <v>690</v>
      </c>
      <c r="B7" s="28" t="s">
        <v>17671</v>
      </c>
      <c r="C7" s="28" t="s">
        <v>43</v>
      </c>
      <c r="D7" s="28" t="s">
        <v>17642</v>
      </c>
      <c r="E7" s="28" t="s">
        <v>192</v>
      </c>
      <c r="F7" s="28">
        <v>1</v>
      </c>
      <c r="G7" s="28" t="s">
        <v>193</v>
      </c>
      <c r="H7" s="28" t="s">
        <v>194</v>
      </c>
      <c r="I7" s="28" t="s">
        <v>17672</v>
      </c>
      <c r="J7" s="28" t="s">
        <v>9302</v>
      </c>
      <c r="K7" s="28" t="s">
        <v>9309</v>
      </c>
      <c r="L7" s="28" t="s">
        <v>6955</v>
      </c>
      <c r="N7" s="28" t="s">
        <v>17673</v>
      </c>
      <c r="O7" s="28" t="s">
        <v>6295</v>
      </c>
      <c r="P7" s="28" t="s">
        <v>17645</v>
      </c>
      <c r="Q7" s="28" t="s">
        <v>17646</v>
      </c>
      <c r="R7" s="28" t="s">
        <v>17647</v>
      </c>
      <c r="S7" s="28" t="s">
        <v>17674</v>
      </c>
      <c r="T7" s="28" t="s">
        <v>17675</v>
      </c>
      <c r="V7" s="27"/>
      <c r="W7" s="28" t="s">
        <v>452</v>
      </c>
      <c r="X7" s="28" t="s">
        <v>193</v>
      </c>
      <c r="Y7" s="27" t="s">
        <v>9310</v>
      </c>
      <c r="AB7" s="28" t="s">
        <v>9311</v>
      </c>
      <c r="AH7" s="28" t="s">
        <v>4714</v>
      </c>
      <c r="AI7" s="28" t="s">
        <v>17671</v>
      </c>
      <c r="AJ7" s="516" t="str">
        <f>MID('II kw.22'!W7,8,6)</f>
        <v>243106</v>
      </c>
      <c r="AK7" s="516">
        <v>1</v>
      </c>
      <c r="AL7" s="517">
        <f t="shared" si="0"/>
        <v>1</v>
      </c>
      <c r="AM7" s="516">
        <v>1</v>
      </c>
      <c r="AN7" s="28" t="s">
        <v>17650</v>
      </c>
      <c r="AO7" s="28" t="s">
        <v>17651</v>
      </c>
      <c r="AP7" s="28" t="s">
        <v>17652</v>
      </c>
      <c r="AQ7" s="28" t="s">
        <v>17653</v>
      </c>
      <c r="AR7" s="28" t="s">
        <v>1024</v>
      </c>
    </row>
    <row r="8" spans="1:44" x14ac:dyDescent="0.25">
      <c r="A8" s="28" t="s">
        <v>690</v>
      </c>
      <c r="B8" s="28" t="s">
        <v>17676</v>
      </c>
      <c r="C8" s="28" t="s">
        <v>16355</v>
      </c>
      <c r="D8" s="28" t="s">
        <v>17642</v>
      </c>
      <c r="E8" s="28" t="s">
        <v>192</v>
      </c>
      <c r="F8" s="28">
        <v>1</v>
      </c>
      <c r="G8" s="28" t="s">
        <v>193</v>
      </c>
      <c r="H8" s="28" t="s">
        <v>194</v>
      </c>
      <c r="I8" s="28" t="s">
        <v>17672</v>
      </c>
      <c r="J8" s="28" t="s">
        <v>9302</v>
      </c>
      <c r="K8" s="28" t="s">
        <v>9309</v>
      </c>
      <c r="L8" s="28" t="s">
        <v>6955</v>
      </c>
      <c r="N8" s="28" t="s">
        <v>17677</v>
      </c>
      <c r="O8" s="28" t="s">
        <v>6921</v>
      </c>
      <c r="P8" s="28" t="s">
        <v>17645</v>
      </c>
      <c r="Q8" s="28" t="s">
        <v>17646</v>
      </c>
      <c r="R8" s="28" t="s">
        <v>17647</v>
      </c>
      <c r="S8" s="28" t="s">
        <v>17678</v>
      </c>
      <c r="T8" s="28" t="s">
        <v>17679</v>
      </c>
      <c r="V8" s="27"/>
      <c r="W8" s="28" t="s">
        <v>508</v>
      </c>
      <c r="X8" s="28" t="s">
        <v>193</v>
      </c>
      <c r="Y8" s="27" t="s">
        <v>9310</v>
      </c>
      <c r="AB8" s="28" t="s">
        <v>9311</v>
      </c>
      <c r="AH8" s="28" t="s">
        <v>4714</v>
      </c>
      <c r="AI8" s="28" t="s">
        <v>17676</v>
      </c>
      <c r="AJ8" s="516" t="str">
        <f>MID('II kw.22'!W8,8,6)</f>
        <v>252102</v>
      </c>
      <c r="AK8" s="516">
        <v>1</v>
      </c>
      <c r="AL8" s="516">
        <f t="shared" si="0"/>
        <v>1</v>
      </c>
      <c r="AM8" s="516">
        <v>1</v>
      </c>
      <c r="AN8" s="28" t="s">
        <v>17650</v>
      </c>
      <c r="AO8" s="28" t="s">
        <v>17651</v>
      </c>
      <c r="AP8" s="28" t="s">
        <v>17652</v>
      </c>
      <c r="AQ8" s="28" t="s">
        <v>17653</v>
      </c>
      <c r="AR8" s="28" t="s">
        <v>1024</v>
      </c>
    </row>
    <row r="9" spans="1:44" x14ac:dyDescent="0.25">
      <c r="A9" s="28" t="s">
        <v>690</v>
      </c>
      <c r="B9" s="28" t="s">
        <v>17680</v>
      </c>
      <c r="C9" s="28" t="s">
        <v>10</v>
      </c>
      <c r="D9" s="28" t="s">
        <v>17642</v>
      </c>
      <c r="E9" s="28" t="s">
        <v>192</v>
      </c>
      <c r="F9" s="28">
        <v>1</v>
      </c>
      <c r="G9" s="28" t="s">
        <v>193</v>
      </c>
      <c r="H9" s="28" t="s">
        <v>194</v>
      </c>
      <c r="I9" s="28" t="s">
        <v>17643</v>
      </c>
      <c r="J9" s="28" t="s">
        <v>9302</v>
      </c>
      <c r="K9" s="28" t="s">
        <v>9309</v>
      </c>
      <c r="L9" s="28" t="s">
        <v>6955</v>
      </c>
      <c r="N9" s="28" t="s">
        <v>17681</v>
      </c>
      <c r="O9" s="28" t="s">
        <v>6921</v>
      </c>
      <c r="P9" s="28" t="s">
        <v>17645</v>
      </c>
      <c r="Q9" s="28" t="s">
        <v>17646</v>
      </c>
      <c r="R9" s="28" t="s">
        <v>17647</v>
      </c>
      <c r="S9" s="28" t="s">
        <v>17682</v>
      </c>
      <c r="T9" s="28" t="s">
        <v>17683</v>
      </c>
      <c r="V9" s="27"/>
      <c r="W9" s="28" t="s">
        <v>484</v>
      </c>
      <c r="X9" s="28" t="s">
        <v>193</v>
      </c>
      <c r="Y9" s="27" t="s">
        <v>9310</v>
      </c>
      <c r="AB9" s="28" t="s">
        <v>9311</v>
      </c>
      <c r="AH9" s="28" t="s">
        <v>4714</v>
      </c>
      <c r="AI9" s="28" t="s">
        <v>17680</v>
      </c>
      <c r="AJ9" s="516" t="str">
        <f>MID('II kw.22'!W9,8,6)</f>
        <v>251401</v>
      </c>
      <c r="AK9" s="516">
        <v>1</v>
      </c>
      <c r="AL9" s="516">
        <f t="shared" si="0"/>
        <v>1</v>
      </c>
      <c r="AM9" s="516">
        <v>1</v>
      </c>
      <c r="AN9" s="28" t="s">
        <v>17650</v>
      </c>
      <c r="AO9" s="28" t="s">
        <v>17651</v>
      </c>
      <c r="AP9" s="28" t="s">
        <v>17652</v>
      </c>
      <c r="AQ9" s="28" t="s">
        <v>17653</v>
      </c>
      <c r="AR9" s="28" t="s">
        <v>1024</v>
      </c>
    </row>
    <row r="10" spans="1:44" x14ac:dyDescent="0.25">
      <c r="A10" s="28" t="s">
        <v>10076</v>
      </c>
      <c r="B10" s="28" t="s">
        <v>17684</v>
      </c>
      <c r="C10" s="28" t="s">
        <v>10</v>
      </c>
      <c r="D10" s="28" t="s">
        <v>17642</v>
      </c>
      <c r="E10" s="28" t="s">
        <v>192</v>
      </c>
      <c r="F10" s="28">
        <v>1</v>
      </c>
      <c r="G10" s="28" t="s">
        <v>193</v>
      </c>
      <c r="H10" s="28" t="s">
        <v>194</v>
      </c>
      <c r="I10" s="28" t="s">
        <v>17643</v>
      </c>
      <c r="J10" s="28" t="s">
        <v>9302</v>
      </c>
      <c r="K10" s="28" t="s">
        <v>9309</v>
      </c>
      <c r="L10" s="28" t="s">
        <v>6955</v>
      </c>
      <c r="N10" s="28" t="s">
        <v>17685</v>
      </c>
      <c r="O10" s="28" t="s">
        <v>6261</v>
      </c>
      <c r="P10" s="28" t="s">
        <v>17645</v>
      </c>
      <c r="Q10" s="28" t="s">
        <v>17646</v>
      </c>
      <c r="R10" s="28" t="s">
        <v>17647</v>
      </c>
      <c r="S10" s="28" t="s">
        <v>17686</v>
      </c>
      <c r="T10" s="28" t="s">
        <v>17687</v>
      </c>
      <c r="V10" s="27"/>
      <c r="W10" s="28" t="s">
        <v>484</v>
      </c>
      <c r="X10" s="28" t="s">
        <v>193</v>
      </c>
      <c r="Y10" s="27" t="s">
        <v>9310</v>
      </c>
      <c r="AB10" s="28" t="s">
        <v>9311</v>
      </c>
      <c r="AH10" s="28" t="s">
        <v>4714</v>
      </c>
      <c r="AI10" s="28" t="s">
        <v>17684</v>
      </c>
      <c r="AJ10" s="516" t="str">
        <f>MID('II kw.22'!W10,8,6)</f>
        <v>251401</v>
      </c>
      <c r="AK10" s="516">
        <v>1</v>
      </c>
      <c r="AL10" s="516">
        <f t="shared" si="0"/>
        <v>1</v>
      </c>
      <c r="AM10" s="516">
        <v>1</v>
      </c>
      <c r="AN10" s="28" t="s">
        <v>17650</v>
      </c>
      <c r="AO10" s="28" t="s">
        <v>17651</v>
      </c>
      <c r="AP10" s="28" t="s">
        <v>17652</v>
      </c>
      <c r="AQ10" s="28" t="s">
        <v>17653</v>
      </c>
      <c r="AR10" s="28" t="s">
        <v>1024</v>
      </c>
    </row>
    <row r="11" spans="1:44" x14ac:dyDescent="0.25">
      <c r="A11" s="28" t="s">
        <v>10076</v>
      </c>
      <c r="B11" s="28" t="s">
        <v>17688</v>
      </c>
      <c r="C11" s="28" t="s">
        <v>10</v>
      </c>
      <c r="D11" s="28" t="s">
        <v>17642</v>
      </c>
      <c r="E11" s="28" t="s">
        <v>192</v>
      </c>
      <c r="F11" s="28">
        <v>1</v>
      </c>
      <c r="G11" s="28" t="s">
        <v>193</v>
      </c>
      <c r="H11" s="28" t="s">
        <v>194</v>
      </c>
      <c r="I11" s="28" t="s">
        <v>17643</v>
      </c>
      <c r="J11" s="28" t="s">
        <v>9302</v>
      </c>
      <c r="K11" s="28" t="s">
        <v>9309</v>
      </c>
      <c r="L11" s="28" t="s">
        <v>6955</v>
      </c>
      <c r="N11" s="28" t="s">
        <v>17689</v>
      </c>
      <c r="O11" s="28" t="s">
        <v>6261</v>
      </c>
      <c r="P11" s="28" t="s">
        <v>17645</v>
      </c>
      <c r="Q11" s="28" t="s">
        <v>17646</v>
      </c>
      <c r="R11" s="28" t="s">
        <v>17647</v>
      </c>
      <c r="S11" s="28" t="s">
        <v>17690</v>
      </c>
      <c r="T11" s="28" t="s">
        <v>17691</v>
      </c>
      <c r="V11" s="27"/>
      <c r="W11" s="28" t="s">
        <v>484</v>
      </c>
      <c r="X11" s="28" t="s">
        <v>193</v>
      </c>
      <c r="Y11" s="27" t="s">
        <v>9310</v>
      </c>
      <c r="AB11" s="28" t="s">
        <v>9311</v>
      </c>
      <c r="AH11" s="28" t="s">
        <v>4714</v>
      </c>
      <c r="AI11" s="28" t="s">
        <v>17688</v>
      </c>
      <c r="AJ11" s="516" t="str">
        <f>MID('II kw.22'!W11,8,6)</f>
        <v>251401</v>
      </c>
      <c r="AK11" s="516">
        <v>1</v>
      </c>
      <c r="AL11" s="516">
        <f t="shared" si="0"/>
        <v>1</v>
      </c>
      <c r="AM11" s="516">
        <v>1</v>
      </c>
      <c r="AN11" s="28" t="s">
        <v>17650</v>
      </c>
      <c r="AO11" s="28" t="s">
        <v>17651</v>
      </c>
      <c r="AP11" s="28" t="s">
        <v>17652</v>
      </c>
      <c r="AQ11" s="28" t="s">
        <v>17653</v>
      </c>
      <c r="AR11" s="28" t="s">
        <v>1024</v>
      </c>
    </row>
    <row r="12" spans="1:44" x14ac:dyDescent="0.25">
      <c r="A12" s="28" t="s">
        <v>17692</v>
      </c>
      <c r="B12" s="28" t="s">
        <v>17693</v>
      </c>
      <c r="C12" s="28" t="s">
        <v>10</v>
      </c>
      <c r="D12" s="28" t="s">
        <v>17642</v>
      </c>
      <c r="E12" s="28" t="s">
        <v>192</v>
      </c>
      <c r="F12" s="28">
        <v>1</v>
      </c>
      <c r="G12" s="28" t="s">
        <v>193</v>
      </c>
      <c r="H12" s="28" t="s">
        <v>194</v>
      </c>
      <c r="I12" s="28" t="s">
        <v>17643</v>
      </c>
      <c r="J12" s="28" t="s">
        <v>9302</v>
      </c>
      <c r="K12" s="28" t="s">
        <v>9309</v>
      </c>
      <c r="L12" s="28" t="s">
        <v>6955</v>
      </c>
      <c r="N12" s="28" t="s">
        <v>17694</v>
      </c>
      <c r="O12" s="28" t="s">
        <v>6261</v>
      </c>
      <c r="P12" s="28" t="s">
        <v>17645</v>
      </c>
      <c r="Q12" s="28" t="s">
        <v>17646</v>
      </c>
      <c r="R12" s="28" t="s">
        <v>17647</v>
      </c>
      <c r="S12" s="28" t="s">
        <v>17695</v>
      </c>
      <c r="T12" s="28" t="s">
        <v>17696</v>
      </c>
      <c r="V12" s="27"/>
      <c r="W12" s="28" t="s">
        <v>484</v>
      </c>
      <c r="X12" s="28" t="s">
        <v>193</v>
      </c>
      <c r="Y12" s="27" t="s">
        <v>9310</v>
      </c>
      <c r="AB12" s="28" t="s">
        <v>9311</v>
      </c>
      <c r="AH12" s="28" t="s">
        <v>4714</v>
      </c>
      <c r="AI12" s="28" t="s">
        <v>17693</v>
      </c>
      <c r="AJ12" s="516" t="str">
        <f>MID('II kw.22'!W12,8,6)</f>
        <v>251401</v>
      </c>
      <c r="AK12" s="516">
        <v>1</v>
      </c>
      <c r="AL12" s="516">
        <f t="shared" si="0"/>
        <v>1</v>
      </c>
      <c r="AM12" s="516">
        <v>1</v>
      </c>
      <c r="AN12" s="28" t="s">
        <v>17650</v>
      </c>
      <c r="AO12" s="28" t="s">
        <v>17651</v>
      </c>
      <c r="AP12" s="28" t="s">
        <v>17652</v>
      </c>
      <c r="AQ12" s="28" t="s">
        <v>17653</v>
      </c>
      <c r="AR12" s="28" t="s">
        <v>1024</v>
      </c>
    </row>
    <row r="13" spans="1:44" x14ac:dyDescent="0.25">
      <c r="A13" s="28" t="s">
        <v>17692</v>
      </c>
      <c r="B13" s="28" t="s">
        <v>17697</v>
      </c>
      <c r="C13" s="28" t="s">
        <v>10</v>
      </c>
      <c r="D13" s="28" t="s">
        <v>17642</v>
      </c>
      <c r="E13" s="28" t="s">
        <v>192</v>
      </c>
      <c r="F13" s="28">
        <v>1</v>
      </c>
      <c r="G13" s="28" t="s">
        <v>193</v>
      </c>
      <c r="H13" s="28" t="s">
        <v>194</v>
      </c>
      <c r="I13" s="28" t="s">
        <v>17643</v>
      </c>
      <c r="J13" s="28" t="s">
        <v>9302</v>
      </c>
      <c r="K13" s="28" t="s">
        <v>9309</v>
      </c>
      <c r="L13" s="28" t="s">
        <v>6955</v>
      </c>
      <c r="N13" s="28" t="s">
        <v>17698</v>
      </c>
      <c r="O13" s="28" t="s">
        <v>6261</v>
      </c>
      <c r="P13" s="28" t="s">
        <v>17645</v>
      </c>
      <c r="Q13" s="28" t="s">
        <v>17646</v>
      </c>
      <c r="R13" s="28" t="s">
        <v>17647</v>
      </c>
      <c r="S13" s="28" t="s">
        <v>17699</v>
      </c>
      <c r="T13" s="28" t="s">
        <v>17700</v>
      </c>
      <c r="V13" s="27"/>
      <c r="W13" s="28" t="s">
        <v>484</v>
      </c>
      <c r="X13" s="28" t="s">
        <v>193</v>
      </c>
      <c r="Y13" s="27" t="s">
        <v>9310</v>
      </c>
      <c r="AB13" s="28" t="s">
        <v>9311</v>
      </c>
      <c r="AH13" s="28" t="s">
        <v>4714</v>
      </c>
      <c r="AI13" s="28" t="s">
        <v>17697</v>
      </c>
      <c r="AJ13" s="516" t="str">
        <f>MID('II kw.22'!W13,8,6)</f>
        <v>251401</v>
      </c>
      <c r="AK13" s="516">
        <v>1</v>
      </c>
      <c r="AL13" s="516">
        <f t="shared" si="0"/>
        <v>1</v>
      </c>
      <c r="AM13" s="516">
        <v>1</v>
      </c>
      <c r="AN13" s="28" t="s">
        <v>17650</v>
      </c>
      <c r="AO13" s="28" t="s">
        <v>17651</v>
      </c>
      <c r="AP13" s="28" t="s">
        <v>17652</v>
      </c>
      <c r="AQ13" s="28" t="s">
        <v>17653</v>
      </c>
      <c r="AR13" s="28" t="s">
        <v>1024</v>
      </c>
    </row>
    <row r="14" spans="1:44" x14ac:dyDescent="0.25">
      <c r="A14" s="28" t="s">
        <v>17692</v>
      </c>
      <c r="B14" s="28" t="s">
        <v>11401</v>
      </c>
      <c r="C14" s="28" t="s">
        <v>10</v>
      </c>
      <c r="D14" s="28" t="s">
        <v>17642</v>
      </c>
      <c r="E14" s="28" t="s">
        <v>192</v>
      </c>
      <c r="F14" s="28">
        <v>1</v>
      </c>
      <c r="G14" s="28" t="s">
        <v>193</v>
      </c>
      <c r="H14" s="28" t="s">
        <v>194</v>
      </c>
      <c r="I14" s="28" t="s">
        <v>17643</v>
      </c>
      <c r="J14" s="28" t="s">
        <v>9302</v>
      </c>
      <c r="K14" s="28" t="s">
        <v>9309</v>
      </c>
      <c r="L14" s="28" t="s">
        <v>6955</v>
      </c>
      <c r="N14" s="28" t="s">
        <v>17701</v>
      </c>
      <c r="O14" s="28" t="s">
        <v>6261</v>
      </c>
      <c r="P14" s="28" t="s">
        <v>17645</v>
      </c>
      <c r="Q14" s="28" t="s">
        <v>17646</v>
      </c>
      <c r="R14" s="28" t="s">
        <v>17647</v>
      </c>
      <c r="S14" s="28" t="s">
        <v>17702</v>
      </c>
      <c r="T14" s="28" t="s">
        <v>17703</v>
      </c>
      <c r="V14" s="27"/>
      <c r="W14" s="28" t="s">
        <v>484</v>
      </c>
      <c r="X14" s="28" t="s">
        <v>193</v>
      </c>
      <c r="Y14" s="27" t="s">
        <v>9310</v>
      </c>
      <c r="AB14" s="28" t="s">
        <v>9311</v>
      </c>
      <c r="AH14" s="28" t="s">
        <v>4714</v>
      </c>
      <c r="AI14" s="28" t="s">
        <v>11401</v>
      </c>
      <c r="AJ14" s="516" t="str">
        <f>MID('II kw.22'!W14,8,6)</f>
        <v>251401</v>
      </c>
      <c r="AK14" s="516">
        <v>1</v>
      </c>
      <c r="AL14" s="516">
        <f t="shared" si="0"/>
        <v>1</v>
      </c>
      <c r="AM14" s="516">
        <v>1</v>
      </c>
      <c r="AN14" s="28" t="s">
        <v>17650</v>
      </c>
      <c r="AO14" s="28" t="s">
        <v>17651</v>
      </c>
      <c r="AP14" s="28" t="s">
        <v>17652</v>
      </c>
      <c r="AQ14" s="28" t="s">
        <v>17653</v>
      </c>
      <c r="AR14" s="28" t="s">
        <v>1024</v>
      </c>
    </row>
    <row r="15" spans="1:44" x14ac:dyDescent="0.25">
      <c r="A15" s="28" t="s">
        <v>17704</v>
      </c>
      <c r="B15" s="28" t="s">
        <v>17705</v>
      </c>
      <c r="C15" s="28" t="s">
        <v>8707</v>
      </c>
      <c r="D15" s="28" t="s">
        <v>17642</v>
      </c>
      <c r="E15" s="28" t="s">
        <v>192</v>
      </c>
      <c r="F15" s="28">
        <v>1</v>
      </c>
      <c r="G15" s="28" t="s">
        <v>193</v>
      </c>
      <c r="H15" s="28" t="s">
        <v>194</v>
      </c>
      <c r="I15" s="28" t="s">
        <v>17706</v>
      </c>
      <c r="J15" s="28" t="s">
        <v>210</v>
      </c>
      <c r="K15" s="28" t="s">
        <v>9309</v>
      </c>
      <c r="L15" s="28" t="s">
        <v>6955</v>
      </c>
      <c r="N15" s="28" t="s">
        <v>17707</v>
      </c>
      <c r="O15" s="28" t="s">
        <v>6288</v>
      </c>
      <c r="P15" s="28" t="s">
        <v>17645</v>
      </c>
      <c r="Q15" s="28" t="s">
        <v>17646</v>
      </c>
      <c r="R15" s="28" t="s">
        <v>17647</v>
      </c>
      <c r="S15" s="28" t="s">
        <v>17708</v>
      </c>
      <c r="T15" s="28" t="s">
        <v>17709</v>
      </c>
      <c r="V15" s="28" t="s">
        <v>9334</v>
      </c>
      <c r="W15" s="28" t="s">
        <v>8709</v>
      </c>
      <c r="X15" s="28" t="s">
        <v>194</v>
      </c>
      <c r="Y15" s="28" t="s">
        <v>9300</v>
      </c>
      <c r="AB15" s="28" t="s">
        <v>9311</v>
      </c>
      <c r="AH15" s="28" t="s">
        <v>4714</v>
      </c>
      <c r="AI15" s="28" t="s">
        <v>17705</v>
      </c>
      <c r="AJ15" s="516" t="str">
        <f>MID('II kw.22'!W15,8,6)</f>
        <v>229501</v>
      </c>
      <c r="AK15" s="516">
        <v>1</v>
      </c>
      <c r="AL15" s="516">
        <f t="shared" si="0"/>
        <v>1</v>
      </c>
      <c r="AM15" s="516">
        <v>1</v>
      </c>
      <c r="AN15" s="28" t="s">
        <v>17710</v>
      </c>
      <c r="AO15" s="28" t="s">
        <v>17711</v>
      </c>
      <c r="AP15" s="28" t="s">
        <v>17712</v>
      </c>
      <c r="AQ15" s="28" t="s">
        <v>17713</v>
      </c>
      <c r="AR15" s="28" t="s">
        <v>2675</v>
      </c>
    </row>
    <row r="16" spans="1:44" x14ac:dyDescent="0.25">
      <c r="A16" s="28" t="s">
        <v>11602</v>
      </c>
      <c r="B16" s="28" t="s">
        <v>8665</v>
      </c>
      <c r="C16" s="28" t="s">
        <v>62</v>
      </c>
      <c r="D16" s="28" t="s">
        <v>17642</v>
      </c>
      <c r="E16" s="28" t="s">
        <v>192</v>
      </c>
      <c r="F16" s="28">
        <v>1</v>
      </c>
      <c r="G16" s="28" t="s">
        <v>193</v>
      </c>
      <c r="H16" s="28" t="s">
        <v>194</v>
      </c>
      <c r="I16" s="28" t="s">
        <v>17656</v>
      </c>
      <c r="J16" s="28" t="s">
        <v>316</v>
      </c>
      <c r="K16" s="28" t="s">
        <v>9309</v>
      </c>
      <c r="L16" s="28" t="s">
        <v>6955</v>
      </c>
      <c r="N16" s="28" t="s">
        <v>17714</v>
      </c>
      <c r="O16" s="28" t="s">
        <v>6275</v>
      </c>
      <c r="P16" s="28" t="s">
        <v>17645</v>
      </c>
      <c r="Q16" s="28" t="s">
        <v>17646</v>
      </c>
      <c r="R16" s="28" t="s">
        <v>17647</v>
      </c>
      <c r="S16" s="28" t="s">
        <v>17715</v>
      </c>
      <c r="T16" s="28" t="s">
        <v>17716</v>
      </c>
      <c r="V16" s="28" t="s">
        <v>10012</v>
      </c>
      <c r="W16" s="28" t="s">
        <v>601</v>
      </c>
      <c r="X16" s="28" t="s">
        <v>194</v>
      </c>
      <c r="Y16" s="28" t="s">
        <v>9300</v>
      </c>
      <c r="AB16" s="28" t="s">
        <v>9311</v>
      </c>
      <c r="AH16" s="28" t="s">
        <v>4714</v>
      </c>
      <c r="AI16" s="28" t="s">
        <v>8665</v>
      </c>
      <c r="AJ16" s="516" t="str">
        <f>MID('II kw.22'!W16,8,6)</f>
        <v>313904</v>
      </c>
      <c r="AK16" s="516">
        <v>1</v>
      </c>
      <c r="AL16" s="516">
        <f t="shared" si="0"/>
        <v>1</v>
      </c>
      <c r="AM16" s="516">
        <v>1</v>
      </c>
      <c r="AN16" s="28" t="s">
        <v>17650</v>
      </c>
      <c r="AO16" s="28" t="s">
        <v>17651</v>
      </c>
      <c r="AP16" s="28" t="s">
        <v>17652</v>
      </c>
      <c r="AQ16" s="28" t="s">
        <v>17653</v>
      </c>
      <c r="AR16" s="28" t="s">
        <v>1024</v>
      </c>
    </row>
    <row r="17" spans="1:44" x14ac:dyDescent="0.25">
      <c r="A17" s="28" t="s">
        <v>9136</v>
      </c>
      <c r="B17" s="28" t="s">
        <v>17717</v>
      </c>
      <c r="C17" s="28" t="s">
        <v>129</v>
      </c>
      <c r="D17" s="28" t="s">
        <v>17642</v>
      </c>
      <c r="E17" s="28" t="s">
        <v>192</v>
      </c>
      <c r="F17" s="28">
        <v>1</v>
      </c>
      <c r="G17" s="28" t="s">
        <v>193</v>
      </c>
      <c r="H17" s="28" t="s">
        <v>194</v>
      </c>
      <c r="I17" s="28" t="s">
        <v>17706</v>
      </c>
      <c r="J17" s="28" t="s">
        <v>210</v>
      </c>
      <c r="K17" s="28" t="s">
        <v>9309</v>
      </c>
      <c r="L17" s="28" t="s">
        <v>6955</v>
      </c>
      <c r="N17" s="28" t="s">
        <v>17718</v>
      </c>
      <c r="O17" s="28" t="s">
        <v>6302</v>
      </c>
      <c r="P17" s="28" t="s">
        <v>17645</v>
      </c>
      <c r="Q17" s="28" t="s">
        <v>17646</v>
      </c>
      <c r="R17" s="28" t="s">
        <v>17647</v>
      </c>
      <c r="S17" s="28" t="s">
        <v>17719</v>
      </c>
      <c r="T17" s="28" t="s">
        <v>17720</v>
      </c>
      <c r="V17" s="28" t="s">
        <v>9334</v>
      </c>
      <c r="W17" s="28" t="s">
        <v>203</v>
      </c>
      <c r="X17" s="28" t="s">
        <v>194</v>
      </c>
      <c r="Y17" s="28" t="s">
        <v>9300</v>
      </c>
      <c r="AB17" s="28" t="s">
        <v>9311</v>
      </c>
      <c r="AH17" s="28" t="s">
        <v>4714</v>
      </c>
      <c r="AI17" s="28" t="s">
        <v>17717</v>
      </c>
      <c r="AJ17" s="516" t="str">
        <f>MID('II kw.22'!W17,8,6)</f>
        <v>121904</v>
      </c>
      <c r="AK17" s="516">
        <v>1</v>
      </c>
      <c r="AL17" s="516">
        <f t="shared" si="0"/>
        <v>1</v>
      </c>
      <c r="AM17" s="516">
        <v>1</v>
      </c>
      <c r="AN17" s="28" t="s">
        <v>17650</v>
      </c>
      <c r="AO17" s="28" t="s">
        <v>17651</v>
      </c>
      <c r="AP17" s="28" t="s">
        <v>17652</v>
      </c>
      <c r="AQ17" s="28" t="s">
        <v>17653</v>
      </c>
      <c r="AR17" s="28" t="s">
        <v>1024</v>
      </c>
    </row>
    <row r="18" spans="1:44" x14ac:dyDescent="0.25">
      <c r="A18" s="28" t="s">
        <v>690</v>
      </c>
      <c r="B18" s="28" t="s">
        <v>17721</v>
      </c>
      <c r="C18" s="28" t="s">
        <v>17257</v>
      </c>
      <c r="D18" s="28" t="s">
        <v>17642</v>
      </c>
      <c r="E18" s="28" t="s">
        <v>233</v>
      </c>
      <c r="F18" s="28">
        <v>1</v>
      </c>
      <c r="G18" s="28" t="s">
        <v>193</v>
      </c>
      <c r="H18" s="28" t="s">
        <v>194</v>
      </c>
      <c r="I18" s="28" t="s">
        <v>17672</v>
      </c>
      <c r="J18" s="28" t="s">
        <v>9302</v>
      </c>
      <c r="K18" s="28" t="s">
        <v>9309</v>
      </c>
      <c r="L18" s="28" t="s">
        <v>6955</v>
      </c>
      <c r="N18" s="28" t="s">
        <v>17722</v>
      </c>
      <c r="O18" s="28" t="s">
        <v>6921</v>
      </c>
      <c r="P18" s="28" t="s">
        <v>17723</v>
      </c>
      <c r="Q18" s="28" t="s">
        <v>17724</v>
      </c>
      <c r="R18" s="28" t="s">
        <v>17725</v>
      </c>
      <c r="S18" s="28" t="s">
        <v>17726</v>
      </c>
      <c r="T18" s="28" t="s">
        <v>17727</v>
      </c>
      <c r="V18" s="27"/>
      <c r="W18" s="28" t="s">
        <v>17255</v>
      </c>
      <c r="X18" s="28" t="s">
        <v>193</v>
      </c>
      <c r="Y18" s="27" t="s">
        <v>9310</v>
      </c>
      <c r="AB18" s="28" t="s">
        <v>9311</v>
      </c>
      <c r="AH18" s="28" t="s">
        <v>4714</v>
      </c>
      <c r="AI18" s="28" t="s">
        <v>17721</v>
      </c>
      <c r="AJ18" s="516" t="str">
        <f>MID('II kw.22'!W18,8,6)</f>
        <v>122202</v>
      </c>
      <c r="AK18" s="516">
        <v>1</v>
      </c>
      <c r="AL18" s="516">
        <f t="shared" si="0"/>
        <v>1</v>
      </c>
      <c r="AM18" s="516">
        <v>1</v>
      </c>
      <c r="AN18" s="28" t="s">
        <v>17650</v>
      </c>
      <c r="AO18" s="28" t="s">
        <v>17651</v>
      </c>
      <c r="AP18" s="28" t="s">
        <v>17652</v>
      </c>
      <c r="AQ18" s="28" t="s">
        <v>17653</v>
      </c>
      <c r="AR18" s="28" t="s">
        <v>1024</v>
      </c>
    </row>
    <row r="19" spans="1:44" x14ac:dyDescent="0.25">
      <c r="A19" s="28" t="s">
        <v>690</v>
      </c>
      <c r="B19" s="28" t="s">
        <v>17728</v>
      </c>
      <c r="C19" s="28" t="s">
        <v>3367</v>
      </c>
      <c r="D19" s="28" t="s">
        <v>17642</v>
      </c>
      <c r="E19" s="28" t="s">
        <v>233</v>
      </c>
      <c r="F19" s="28">
        <v>1</v>
      </c>
      <c r="G19" s="28" t="s">
        <v>193</v>
      </c>
      <c r="H19" s="28" t="s">
        <v>194</v>
      </c>
      <c r="I19" s="28" t="s">
        <v>17672</v>
      </c>
      <c r="J19" s="28" t="s">
        <v>9302</v>
      </c>
      <c r="K19" s="28" t="s">
        <v>9309</v>
      </c>
      <c r="L19" s="28" t="s">
        <v>6955</v>
      </c>
      <c r="N19" s="28" t="s">
        <v>17729</v>
      </c>
      <c r="O19" s="28" t="s">
        <v>6921</v>
      </c>
      <c r="P19" s="28" t="s">
        <v>17723</v>
      </c>
      <c r="Q19" s="28" t="s">
        <v>17724</v>
      </c>
      <c r="R19" s="28" t="s">
        <v>17725</v>
      </c>
      <c r="S19" s="28" t="s">
        <v>17730</v>
      </c>
      <c r="T19" s="28" t="s">
        <v>17731</v>
      </c>
      <c r="V19" s="27"/>
      <c r="W19" s="28" t="s">
        <v>3368</v>
      </c>
      <c r="X19" s="28" t="s">
        <v>193</v>
      </c>
      <c r="Y19" s="27" t="s">
        <v>9310</v>
      </c>
      <c r="AB19" s="28" t="s">
        <v>9311</v>
      </c>
      <c r="AH19" s="28" t="s">
        <v>4714</v>
      </c>
      <c r="AI19" s="138" t="s">
        <v>17728</v>
      </c>
      <c r="AJ19" s="516" t="str">
        <f>MID('II kw.22'!W19,8,6)</f>
        <v>133001</v>
      </c>
      <c r="AK19" s="516">
        <v>1</v>
      </c>
      <c r="AL19" s="516">
        <f t="shared" si="0"/>
        <v>1</v>
      </c>
      <c r="AM19" s="516">
        <v>1</v>
      </c>
      <c r="AN19" s="28" t="s">
        <v>17650</v>
      </c>
      <c r="AO19" s="28" t="s">
        <v>17651</v>
      </c>
      <c r="AP19" s="28" t="s">
        <v>17652</v>
      </c>
      <c r="AQ19" s="28" t="s">
        <v>17653</v>
      </c>
      <c r="AR19" s="28" t="s">
        <v>1024</v>
      </c>
    </row>
    <row r="20" spans="1:44" x14ac:dyDescent="0.25">
      <c r="A20" s="28" t="s">
        <v>690</v>
      </c>
      <c r="B20" s="28" t="s">
        <v>17732</v>
      </c>
      <c r="C20" s="28" t="s">
        <v>17733</v>
      </c>
      <c r="D20" s="28" t="s">
        <v>17642</v>
      </c>
      <c r="E20" s="28" t="s">
        <v>233</v>
      </c>
      <c r="F20" s="28">
        <v>1</v>
      </c>
      <c r="G20" s="28" t="s">
        <v>193</v>
      </c>
      <c r="H20" s="28" t="s">
        <v>194</v>
      </c>
      <c r="I20" s="28" t="s">
        <v>17656</v>
      </c>
      <c r="J20" s="28" t="s">
        <v>9302</v>
      </c>
      <c r="K20" s="28" t="s">
        <v>9309</v>
      </c>
      <c r="L20" s="28" t="s">
        <v>6955</v>
      </c>
      <c r="N20" s="28" t="s">
        <v>17734</v>
      </c>
      <c r="O20" s="28" t="s">
        <v>6921</v>
      </c>
      <c r="P20" s="28" t="s">
        <v>17723</v>
      </c>
      <c r="Q20" s="28" t="s">
        <v>17724</v>
      </c>
      <c r="R20" s="28" t="s">
        <v>17725</v>
      </c>
      <c r="S20" s="28" t="s">
        <v>17735</v>
      </c>
      <c r="T20" s="28" t="s">
        <v>17736</v>
      </c>
      <c r="V20" s="27"/>
      <c r="W20" s="28" t="s">
        <v>17737</v>
      </c>
      <c r="X20" s="28" t="s">
        <v>193</v>
      </c>
      <c r="Y20" s="27" t="s">
        <v>9310</v>
      </c>
      <c r="AB20" s="28" t="s">
        <v>9311</v>
      </c>
      <c r="AH20" s="28" t="s">
        <v>4714</v>
      </c>
      <c r="AI20" s="138" t="s">
        <v>17732</v>
      </c>
      <c r="AJ20" s="516" t="str">
        <f>MID('II kw.22'!W20,8,6)</f>
        <v>133090</v>
      </c>
      <c r="AK20" s="516">
        <v>1</v>
      </c>
      <c r="AL20" s="516">
        <f t="shared" si="0"/>
        <v>1</v>
      </c>
      <c r="AM20" s="516">
        <v>1</v>
      </c>
      <c r="AN20" s="28" t="s">
        <v>17650</v>
      </c>
      <c r="AO20" s="28" t="s">
        <v>17651</v>
      </c>
      <c r="AP20" s="28" t="s">
        <v>17652</v>
      </c>
      <c r="AQ20" s="28" t="s">
        <v>17653</v>
      </c>
      <c r="AR20" s="28" t="s">
        <v>1024</v>
      </c>
    </row>
    <row r="21" spans="1:44" x14ac:dyDescent="0.25">
      <c r="A21" s="28" t="s">
        <v>690</v>
      </c>
      <c r="B21" s="28" t="s">
        <v>17738</v>
      </c>
      <c r="C21" s="28" t="s">
        <v>5906</v>
      </c>
      <c r="D21" s="28" t="s">
        <v>17642</v>
      </c>
      <c r="E21" s="28" t="s">
        <v>233</v>
      </c>
      <c r="F21" s="28">
        <v>1</v>
      </c>
      <c r="G21" s="28" t="s">
        <v>193</v>
      </c>
      <c r="H21" s="28" t="s">
        <v>194</v>
      </c>
      <c r="I21" s="28" t="s">
        <v>17656</v>
      </c>
      <c r="J21" s="28" t="s">
        <v>9302</v>
      </c>
      <c r="K21" s="28" t="s">
        <v>9309</v>
      </c>
      <c r="L21" s="28" t="s">
        <v>6955</v>
      </c>
      <c r="N21" s="28" t="s">
        <v>17739</v>
      </c>
      <c r="O21" s="28" t="s">
        <v>6921</v>
      </c>
      <c r="P21" s="28" t="s">
        <v>17723</v>
      </c>
      <c r="Q21" s="28" t="s">
        <v>17724</v>
      </c>
      <c r="R21" s="28" t="s">
        <v>17725</v>
      </c>
      <c r="S21" s="28" t="s">
        <v>17740</v>
      </c>
      <c r="T21" s="28" t="s">
        <v>17741</v>
      </c>
      <c r="V21" s="27"/>
      <c r="W21" s="28" t="s">
        <v>5908</v>
      </c>
      <c r="X21" s="28" t="s">
        <v>193</v>
      </c>
      <c r="Y21" s="27" t="s">
        <v>9310</v>
      </c>
      <c r="AB21" s="28" t="s">
        <v>9311</v>
      </c>
      <c r="AH21" s="28" t="s">
        <v>4714</v>
      </c>
      <c r="AI21" s="138" t="s">
        <v>17738</v>
      </c>
      <c r="AJ21" s="516" t="str">
        <f>MID('II kw.22'!W21,8,6)</f>
        <v>133005</v>
      </c>
      <c r="AK21" s="516">
        <v>1</v>
      </c>
      <c r="AL21" s="516">
        <f t="shared" si="0"/>
        <v>1</v>
      </c>
      <c r="AM21" s="516">
        <v>1</v>
      </c>
      <c r="AN21" s="28" t="s">
        <v>17650</v>
      </c>
      <c r="AO21" s="28" t="s">
        <v>17651</v>
      </c>
      <c r="AP21" s="28" t="s">
        <v>17652</v>
      </c>
      <c r="AQ21" s="28" t="s">
        <v>17653</v>
      </c>
      <c r="AR21" s="28" t="s">
        <v>1024</v>
      </c>
    </row>
    <row r="22" spans="1:44" x14ac:dyDescent="0.25">
      <c r="A22" s="28" t="s">
        <v>690</v>
      </c>
      <c r="B22" s="28" t="s">
        <v>17742</v>
      </c>
      <c r="C22" s="28" t="s">
        <v>19</v>
      </c>
      <c r="D22" s="28" t="s">
        <v>17642</v>
      </c>
      <c r="E22" s="28" t="s">
        <v>233</v>
      </c>
      <c r="F22" s="28">
        <v>1</v>
      </c>
      <c r="G22" s="28" t="s">
        <v>193</v>
      </c>
      <c r="H22" s="28" t="s">
        <v>194</v>
      </c>
      <c r="I22" s="28" t="s">
        <v>17656</v>
      </c>
      <c r="J22" s="28" t="s">
        <v>9302</v>
      </c>
      <c r="K22" s="28" t="s">
        <v>9309</v>
      </c>
      <c r="L22" s="28" t="s">
        <v>6955</v>
      </c>
      <c r="N22" s="28" t="s">
        <v>17743</v>
      </c>
      <c r="O22" s="28" t="s">
        <v>6921</v>
      </c>
      <c r="P22" s="28" t="s">
        <v>17723</v>
      </c>
      <c r="Q22" s="28" t="s">
        <v>17724</v>
      </c>
      <c r="R22" s="28" t="s">
        <v>17725</v>
      </c>
      <c r="S22" s="28" t="s">
        <v>17744</v>
      </c>
      <c r="T22" s="28" t="s">
        <v>17745</v>
      </c>
      <c r="V22" s="27"/>
      <c r="W22" s="28" t="s">
        <v>337</v>
      </c>
      <c r="X22" s="28" t="s">
        <v>193</v>
      </c>
      <c r="Y22" s="27" t="s">
        <v>9310</v>
      </c>
      <c r="AB22" s="28" t="s">
        <v>9311</v>
      </c>
      <c r="AH22" s="28" t="s">
        <v>4714</v>
      </c>
      <c r="AI22" s="28" t="s">
        <v>17742</v>
      </c>
      <c r="AJ22" s="516" t="str">
        <f>MID('II kw.22'!W22,8,6)</f>
        <v>214903</v>
      </c>
      <c r="AK22" s="516">
        <v>1</v>
      </c>
      <c r="AL22" s="516">
        <f t="shared" si="0"/>
        <v>1</v>
      </c>
      <c r="AM22" s="516">
        <v>1</v>
      </c>
      <c r="AN22" s="28" t="s">
        <v>17650</v>
      </c>
      <c r="AO22" s="28" t="s">
        <v>17651</v>
      </c>
      <c r="AP22" s="28" t="s">
        <v>17652</v>
      </c>
      <c r="AQ22" s="28" t="s">
        <v>17653</v>
      </c>
      <c r="AR22" s="28" t="s">
        <v>1024</v>
      </c>
    </row>
    <row r="23" spans="1:44" x14ac:dyDescent="0.25">
      <c r="A23" s="28" t="s">
        <v>690</v>
      </c>
      <c r="B23" s="28" t="s">
        <v>17746</v>
      </c>
      <c r="C23" s="28" t="s">
        <v>5906</v>
      </c>
      <c r="D23" s="28" t="s">
        <v>17642</v>
      </c>
      <c r="E23" s="28" t="s">
        <v>233</v>
      </c>
      <c r="F23" s="28">
        <v>1</v>
      </c>
      <c r="G23" s="28" t="s">
        <v>193</v>
      </c>
      <c r="H23" s="28" t="s">
        <v>194</v>
      </c>
      <c r="I23" s="28" t="s">
        <v>17656</v>
      </c>
      <c r="J23" s="28" t="s">
        <v>9302</v>
      </c>
      <c r="K23" s="28" t="s">
        <v>9309</v>
      </c>
      <c r="L23" s="28" t="s">
        <v>6955</v>
      </c>
      <c r="N23" s="28" t="s">
        <v>17747</v>
      </c>
      <c r="O23" s="28" t="s">
        <v>6921</v>
      </c>
      <c r="P23" s="28" t="s">
        <v>17723</v>
      </c>
      <c r="Q23" s="28" t="s">
        <v>17724</v>
      </c>
      <c r="R23" s="28" t="s">
        <v>17725</v>
      </c>
      <c r="S23" s="28" t="s">
        <v>17748</v>
      </c>
      <c r="T23" s="28" t="s">
        <v>17749</v>
      </c>
      <c r="V23" s="27"/>
      <c r="W23" s="28" t="s">
        <v>5908</v>
      </c>
      <c r="X23" s="28" t="s">
        <v>193</v>
      </c>
      <c r="Y23" s="27" t="s">
        <v>9310</v>
      </c>
      <c r="AB23" s="28" t="s">
        <v>9311</v>
      </c>
      <c r="AH23" s="28" t="s">
        <v>4714</v>
      </c>
      <c r="AI23" s="138" t="s">
        <v>17746</v>
      </c>
      <c r="AJ23" s="516" t="str">
        <f>MID('II kw.22'!W23,8,6)</f>
        <v>133005</v>
      </c>
      <c r="AK23" s="516">
        <v>1</v>
      </c>
      <c r="AL23" s="516">
        <f t="shared" si="0"/>
        <v>1</v>
      </c>
      <c r="AM23" s="516">
        <v>1</v>
      </c>
      <c r="AN23" s="28" t="s">
        <v>17650</v>
      </c>
      <c r="AO23" s="28" t="s">
        <v>17651</v>
      </c>
      <c r="AP23" s="28" t="s">
        <v>17652</v>
      </c>
      <c r="AQ23" s="28" t="s">
        <v>17653</v>
      </c>
      <c r="AR23" s="28" t="s">
        <v>1024</v>
      </c>
    </row>
    <row r="24" spans="1:44" x14ac:dyDescent="0.25">
      <c r="A24" s="28" t="s">
        <v>5828</v>
      </c>
      <c r="B24" s="28" t="s">
        <v>17750</v>
      </c>
      <c r="C24" s="28" t="s">
        <v>12</v>
      </c>
      <c r="D24" s="28" t="s">
        <v>17642</v>
      </c>
      <c r="E24" s="28" t="s">
        <v>233</v>
      </c>
      <c r="F24" s="28">
        <v>1</v>
      </c>
      <c r="G24" s="28" t="s">
        <v>193</v>
      </c>
      <c r="H24" s="28" t="s">
        <v>194</v>
      </c>
      <c r="I24" s="28" t="s">
        <v>17643</v>
      </c>
      <c r="J24" s="28" t="s">
        <v>9302</v>
      </c>
      <c r="K24" s="28" t="s">
        <v>9309</v>
      </c>
      <c r="L24" s="28" t="s">
        <v>6955</v>
      </c>
      <c r="N24" s="28" t="s">
        <v>17751</v>
      </c>
      <c r="O24" s="28" t="s">
        <v>6256</v>
      </c>
      <c r="P24" s="28" t="s">
        <v>17723</v>
      </c>
      <c r="Q24" s="28" t="s">
        <v>17724</v>
      </c>
      <c r="R24" s="28" t="s">
        <v>17752</v>
      </c>
      <c r="S24" s="28" t="s">
        <v>17753</v>
      </c>
      <c r="T24" s="28" t="s">
        <v>17754</v>
      </c>
      <c r="V24" s="27"/>
      <c r="W24" s="28" t="s">
        <v>220</v>
      </c>
      <c r="X24" s="28" t="s">
        <v>193</v>
      </c>
      <c r="Y24" s="27" t="s">
        <v>9310</v>
      </c>
      <c r="AB24" s="28" t="s">
        <v>9311</v>
      </c>
      <c r="AH24" s="28" t="s">
        <v>4714</v>
      </c>
      <c r="AI24" s="138" t="s">
        <v>17750</v>
      </c>
      <c r="AJ24" s="516" t="str">
        <f>MID('II kw.22'!W24,8,6)</f>
        <v>132301</v>
      </c>
      <c r="AK24" s="516">
        <v>1</v>
      </c>
      <c r="AL24" s="516">
        <f t="shared" si="0"/>
        <v>1</v>
      </c>
      <c r="AM24" s="516">
        <v>1</v>
      </c>
      <c r="AN24" s="28" t="s">
        <v>17650</v>
      </c>
      <c r="AO24" s="28" t="s">
        <v>17651</v>
      </c>
      <c r="AP24" s="28" t="s">
        <v>17652</v>
      </c>
      <c r="AQ24" s="28" t="s">
        <v>17653</v>
      </c>
      <c r="AR24" s="28" t="s">
        <v>1024</v>
      </c>
    </row>
    <row r="25" spans="1:44" x14ac:dyDescent="0.25">
      <c r="A25" s="28" t="s">
        <v>17184</v>
      </c>
      <c r="B25" s="28" t="s">
        <v>821</v>
      </c>
      <c r="C25" s="28" t="s">
        <v>822</v>
      </c>
      <c r="D25" s="28" t="s">
        <v>17642</v>
      </c>
      <c r="E25" s="28" t="s">
        <v>233</v>
      </c>
      <c r="F25" s="28">
        <v>1</v>
      </c>
      <c r="G25" s="28" t="s">
        <v>193</v>
      </c>
      <c r="H25" s="28" t="s">
        <v>194</v>
      </c>
      <c r="I25" s="28" t="s">
        <v>17667</v>
      </c>
      <c r="J25" s="28" t="s">
        <v>253</v>
      </c>
      <c r="K25" s="28" t="s">
        <v>9309</v>
      </c>
      <c r="L25" s="28" t="s">
        <v>6955</v>
      </c>
      <c r="N25" s="28" t="s">
        <v>17755</v>
      </c>
      <c r="O25" s="28" t="s">
        <v>6275</v>
      </c>
      <c r="P25" s="28" t="s">
        <v>17723</v>
      </c>
      <c r="Q25" s="28" t="s">
        <v>17724</v>
      </c>
      <c r="R25" s="28" t="s">
        <v>17756</v>
      </c>
      <c r="S25" s="28" t="s">
        <v>17757</v>
      </c>
      <c r="T25" s="28" t="s">
        <v>17758</v>
      </c>
      <c r="V25" s="28" t="s">
        <v>9468</v>
      </c>
      <c r="W25" s="28" t="s">
        <v>823</v>
      </c>
      <c r="X25" s="28" t="s">
        <v>194</v>
      </c>
      <c r="Y25" s="28" t="s">
        <v>9300</v>
      </c>
      <c r="AB25" s="28" t="s">
        <v>9311</v>
      </c>
      <c r="AH25" s="28" t="s">
        <v>4714</v>
      </c>
      <c r="AI25" s="28" t="s">
        <v>821</v>
      </c>
      <c r="AJ25" s="516" t="str">
        <f>MID('II kw.22'!W25,8,6)</f>
        <v>741103</v>
      </c>
      <c r="AK25" s="516">
        <v>1</v>
      </c>
      <c r="AL25" s="516">
        <f t="shared" si="0"/>
        <v>1</v>
      </c>
      <c r="AM25" s="516">
        <v>1</v>
      </c>
      <c r="AN25" s="28" t="s">
        <v>17650</v>
      </c>
      <c r="AO25" s="28" t="s">
        <v>17651</v>
      </c>
      <c r="AP25" s="28" t="s">
        <v>17652</v>
      </c>
      <c r="AQ25" s="28" t="s">
        <v>17653</v>
      </c>
      <c r="AR25" s="28" t="s">
        <v>1024</v>
      </c>
    </row>
    <row r="26" spans="1:44" x14ac:dyDescent="0.25">
      <c r="A26" s="28" t="s">
        <v>11035</v>
      </c>
      <c r="B26" s="28" t="s">
        <v>11036</v>
      </c>
      <c r="C26" s="28" t="s">
        <v>9377</v>
      </c>
      <c r="D26" s="28" t="s">
        <v>17642</v>
      </c>
      <c r="E26" s="28" t="s">
        <v>233</v>
      </c>
      <c r="F26" s="511">
        <v>1</v>
      </c>
      <c r="G26" s="227" t="s">
        <v>194</v>
      </c>
      <c r="H26" s="227" t="s">
        <v>193</v>
      </c>
      <c r="I26" s="28" t="s">
        <v>18207</v>
      </c>
      <c r="J26" s="28" t="s">
        <v>9302</v>
      </c>
      <c r="K26" s="28" t="s">
        <v>9309</v>
      </c>
      <c r="L26" s="28" t="s">
        <v>6955</v>
      </c>
      <c r="N26" s="28" t="s">
        <v>17760</v>
      </c>
      <c r="O26" s="28" t="s">
        <v>6286</v>
      </c>
      <c r="P26" s="28" t="s">
        <v>17723</v>
      </c>
      <c r="Q26" s="28" t="s">
        <v>17724</v>
      </c>
      <c r="R26" s="28" t="s">
        <v>17756</v>
      </c>
      <c r="S26" s="28" t="s">
        <v>17761</v>
      </c>
      <c r="T26" s="28" t="s">
        <v>17762</v>
      </c>
      <c r="V26" s="227"/>
      <c r="W26" s="28" t="s">
        <v>9381</v>
      </c>
      <c r="X26" s="28" t="s">
        <v>194</v>
      </c>
      <c r="Y26" s="509" t="s">
        <v>9946</v>
      </c>
      <c r="AB26" s="28" t="s">
        <v>9311</v>
      </c>
      <c r="AH26" s="28" t="s">
        <v>4714</v>
      </c>
      <c r="AI26" s="28" t="s">
        <v>11036</v>
      </c>
      <c r="AJ26" s="516" t="str">
        <f>MID('II kw.22'!W26,8,6)</f>
        <v>264302</v>
      </c>
      <c r="AK26" s="516">
        <v>1</v>
      </c>
      <c r="AL26" s="516">
        <f t="shared" si="0"/>
        <v>1</v>
      </c>
      <c r="AM26" s="516">
        <v>1</v>
      </c>
      <c r="AN26" s="28" t="s">
        <v>17650</v>
      </c>
      <c r="AO26" s="28" t="s">
        <v>17651</v>
      </c>
      <c r="AP26" s="28" t="s">
        <v>17652</v>
      </c>
      <c r="AQ26" s="28" t="s">
        <v>17653</v>
      </c>
      <c r="AR26" s="28" t="s">
        <v>1024</v>
      </c>
    </row>
    <row r="27" spans="1:44" x14ac:dyDescent="0.25">
      <c r="A27" s="28" t="s">
        <v>11035</v>
      </c>
      <c r="B27" s="28" t="s">
        <v>17763</v>
      </c>
      <c r="C27" s="28" t="s">
        <v>17764</v>
      </c>
      <c r="D27" s="28" t="s">
        <v>17642</v>
      </c>
      <c r="E27" s="28" t="s">
        <v>233</v>
      </c>
      <c r="F27" s="511">
        <v>1</v>
      </c>
      <c r="G27" s="227" t="s">
        <v>194</v>
      </c>
      <c r="H27" s="227" t="s">
        <v>193</v>
      </c>
      <c r="I27" s="28" t="s">
        <v>18207</v>
      </c>
      <c r="J27" s="28" t="s">
        <v>9302</v>
      </c>
      <c r="K27" s="28" t="s">
        <v>9309</v>
      </c>
      <c r="L27" s="28" t="s">
        <v>6955</v>
      </c>
      <c r="N27" s="28" t="s">
        <v>17765</v>
      </c>
      <c r="O27" s="28" t="s">
        <v>15923</v>
      </c>
      <c r="P27" s="28" t="s">
        <v>17723</v>
      </c>
      <c r="Q27" s="28" t="s">
        <v>4849</v>
      </c>
      <c r="R27" s="28" t="s">
        <v>7703</v>
      </c>
      <c r="S27" s="28" t="s">
        <v>17766</v>
      </c>
      <c r="T27" s="28" t="s">
        <v>17767</v>
      </c>
      <c r="V27" s="227"/>
      <c r="W27" s="28" t="s">
        <v>17768</v>
      </c>
      <c r="X27" s="28" t="s">
        <v>194</v>
      </c>
      <c r="Y27" s="509" t="s">
        <v>9946</v>
      </c>
      <c r="AB27" s="28" t="s">
        <v>9311</v>
      </c>
      <c r="AH27" s="28" t="s">
        <v>4714</v>
      </c>
      <c r="AI27" s="28" t="s">
        <v>17763</v>
      </c>
      <c r="AJ27" s="516" t="str">
        <f>MID('II kw.22'!W27,8,6)</f>
        <v>343901</v>
      </c>
      <c r="AK27" s="516">
        <v>1</v>
      </c>
      <c r="AL27" s="516">
        <f t="shared" si="0"/>
        <v>1</v>
      </c>
      <c r="AM27" s="516">
        <v>1</v>
      </c>
      <c r="AN27" s="28" t="s">
        <v>17650</v>
      </c>
      <c r="AO27" s="28" t="s">
        <v>17651</v>
      </c>
      <c r="AP27" s="28" t="s">
        <v>17652</v>
      </c>
      <c r="AQ27" s="28" t="s">
        <v>17653</v>
      </c>
      <c r="AR27" s="28" t="s">
        <v>1024</v>
      </c>
    </row>
    <row r="28" spans="1:44" x14ac:dyDescent="0.25">
      <c r="A28" s="28" t="s">
        <v>11035</v>
      </c>
      <c r="B28" s="28" t="s">
        <v>31</v>
      </c>
      <c r="C28" s="28" t="s">
        <v>31</v>
      </c>
      <c r="D28" s="28" t="s">
        <v>17642</v>
      </c>
      <c r="E28" s="28" t="s">
        <v>233</v>
      </c>
      <c r="F28" s="511">
        <v>1</v>
      </c>
      <c r="G28" s="227" t="s">
        <v>194</v>
      </c>
      <c r="H28" s="227" t="s">
        <v>193</v>
      </c>
      <c r="I28" s="28" t="s">
        <v>18207</v>
      </c>
      <c r="J28" s="28" t="s">
        <v>9302</v>
      </c>
      <c r="K28" s="28" t="s">
        <v>9309</v>
      </c>
      <c r="L28" s="28" t="s">
        <v>6955</v>
      </c>
      <c r="N28" s="28" t="s">
        <v>17769</v>
      </c>
      <c r="O28" s="28" t="s">
        <v>6288</v>
      </c>
      <c r="P28" s="28" t="s">
        <v>17723</v>
      </c>
      <c r="Q28" s="28" t="s">
        <v>17724</v>
      </c>
      <c r="R28" s="28" t="s">
        <v>17756</v>
      </c>
      <c r="S28" s="28" t="s">
        <v>17770</v>
      </c>
      <c r="T28" s="28" t="s">
        <v>17771</v>
      </c>
      <c r="V28" s="227"/>
      <c r="W28" s="28" t="s">
        <v>1884</v>
      </c>
      <c r="X28" s="28" t="s">
        <v>194</v>
      </c>
      <c r="Y28" s="509" t="s">
        <v>9946</v>
      </c>
      <c r="AB28" s="28" t="s">
        <v>9311</v>
      </c>
      <c r="AH28" s="28" t="s">
        <v>4714</v>
      </c>
      <c r="AI28" s="28" t="s">
        <v>31</v>
      </c>
      <c r="AJ28" s="516" t="str">
        <f>MID('II kw.22'!W28,8,6)</f>
        <v>229201</v>
      </c>
      <c r="AK28" s="516">
        <v>1</v>
      </c>
      <c r="AL28" s="516">
        <f t="shared" si="0"/>
        <v>1</v>
      </c>
      <c r="AM28" s="516">
        <v>1</v>
      </c>
      <c r="AN28" s="28" t="s">
        <v>17650</v>
      </c>
      <c r="AO28" s="28" t="s">
        <v>17651</v>
      </c>
      <c r="AP28" s="28" t="s">
        <v>17652</v>
      </c>
      <c r="AQ28" s="28" t="s">
        <v>17653</v>
      </c>
      <c r="AR28" s="28" t="s">
        <v>1024</v>
      </c>
    </row>
    <row r="29" spans="1:44" x14ac:dyDescent="0.25">
      <c r="A29" s="28" t="s">
        <v>5287</v>
      </c>
      <c r="B29" s="28" t="s">
        <v>14955</v>
      </c>
      <c r="C29" s="28" t="s">
        <v>17772</v>
      </c>
      <c r="D29" s="28" t="s">
        <v>17642</v>
      </c>
      <c r="E29" s="28" t="s">
        <v>233</v>
      </c>
      <c r="F29" s="28">
        <v>1</v>
      </c>
      <c r="G29" s="28" t="s">
        <v>193</v>
      </c>
      <c r="H29" s="28" t="s">
        <v>194</v>
      </c>
      <c r="I29" s="28" t="s">
        <v>17643</v>
      </c>
      <c r="J29" s="28" t="s">
        <v>7463</v>
      </c>
      <c r="K29" s="28" t="s">
        <v>9309</v>
      </c>
      <c r="L29" s="28" t="s">
        <v>6955</v>
      </c>
      <c r="N29" s="28" t="s">
        <v>17773</v>
      </c>
      <c r="O29" s="28" t="s">
        <v>6275</v>
      </c>
      <c r="P29" s="28" t="s">
        <v>17723</v>
      </c>
      <c r="Q29" s="28" t="s">
        <v>17724</v>
      </c>
      <c r="R29" s="28" t="s">
        <v>17774</v>
      </c>
      <c r="S29" s="28" t="s">
        <v>17775</v>
      </c>
      <c r="T29" s="28" t="s">
        <v>17776</v>
      </c>
      <c r="V29" s="28" t="s">
        <v>10397</v>
      </c>
      <c r="W29" s="28" t="s">
        <v>17777</v>
      </c>
      <c r="X29" s="28" t="s">
        <v>194</v>
      </c>
      <c r="Y29" s="28" t="s">
        <v>9300</v>
      </c>
      <c r="AB29" s="28" t="s">
        <v>9311</v>
      </c>
      <c r="AH29" s="28" t="s">
        <v>4714</v>
      </c>
      <c r="AI29" s="28" t="s">
        <v>14955</v>
      </c>
      <c r="AJ29" s="516" t="str">
        <f>MID('II kw.22'!W29,8,6)</f>
        <v>817203</v>
      </c>
      <c r="AK29" s="516">
        <v>1</v>
      </c>
      <c r="AL29" s="516">
        <f t="shared" si="0"/>
        <v>1</v>
      </c>
      <c r="AM29" s="516">
        <v>1</v>
      </c>
      <c r="AN29" s="28" t="s">
        <v>17650</v>
      </c>
      <c r="AO29" s="28" t="s">
        <v>17651</v>
      </c>
      <c r="AP29" s="28" t="s">
        <v>17652</v>
      </c>
      <c r="AQ29" s="28" t="s">
        <v>17653</v>
      </c>
      <c r="AR29" s="28" t="s">
        <v>1024</v>
      </c>
    </row>
    <row r="30" spans="1:44" x14ac:dyDescent="0.25">
      <c r="A30" s="28" t="s">
        <v>5287</v>
      </c>
      <c r="B30" s="28" t="s">
        <v>67</v>
      </c>
      <c r="C30" s="28" t="s">
        <v>67</v>
      </c>
      <c r="D30" s="28" t="s">
        <v>17642</v>
      </c>
      <c r="E30" s="28" t="s">
        <v>233</v>
      </c>
      <c r="F30" s="28">
        <v>1</v>
      </c>
      <c r="G30" s="28" t="s">
        <v>193</v>
      </c>
      <c r="H30" s="28" t="s">
        <v>194</v>
      </c>
      <c r="I30" s="28" t="s">
        <v>17667</v>
      </c>
      <c r="J30" s="28" t="s">
        <v>367</v>
      </c>
      <c r="K30" s="28" t="s">
        <v>9309</v>
      </c>
      <c r="L30" s="28" t="s">
        <v>6955</v>
      </c>
      <c r="N30" s="28" t="s">
        <v>17778</v>
      </c>
      <c r="O30" s="28" t="s">
        <v>6266</v>
      </c>
      <c r="P30" s="28" t="s">
        <v>17723</v>
      </c>
      <c r="Q30" s="28" t="s">
        <v>17724</v>
      </c>
      <c r="R30" s="28" t="s">
        <v>17774</v>
      </c>
      <c r="S30" s="28" t="s">
        <v>17779</v>
      </c>
      <c r="T30" s="28" t="s">
        <v>17780</v>
      </c>
      <c r="V30" s="28" t="s">
        <v>9974</v>
      </c>
      <c r="W30" s="28" t="s">
        <v>709</v>
      </c>
      <c r="X30" s="28" t="s">
        <v>194</v>
      </c>
      <c r="Y30" s="28" t="s">
        <v>9300</v>
      </c>
      <c r="AB30" s="28" t="s">
        <v>9311</v>
      </c>
      <c r="AH30" s="28" t="s">
        <v>4714</v>
      </c>
      <c r="AI30" s="28" t="s">
        <v>67</v>
      </c>
      <c r="AJ30" s="516" t="str">
        <f>MID('II kw.22'!W30,8,6)</f>
        <v>432103</v>
      </c>
      <c r="AK30" s="516">
        <v>1</v>
      </c>
      <c r="AL30" s="516">
        <f t="shared" si="0"/>
        <v>1</v>
      </c>
      <c r="AM30" s="516">
        <v>1</v>
      </c>
      <c r="AN30" s="28" t="s">
        <v>17650</v>
      </c>
      <c r="AO30" s="28" t="s">
        <v>17651</v>
      </c>
      <c r="AP30" s="28" t="s">
        <v>17652</v>
      </c>
      <c r="AQ30" s="28" t="s">
        <v>17653</v>
      </c>
      <c r="AR30" s="28" t="s">
        <v>1024</v>
      </c>
    </row>
    <row r="31" spans="1:44" x14ac:dyDescent="0.25">
      <c r="A31" s="28" t="s">
        <v>5287</v>
      </c>
      <c r="B31" s="28" t="s">
        <v>15939</v>
      </c>
      <c r="C31" s="28" t="s">
        <v>3837</v>
      </c>
      <c r="D31" s="28" t="s">
        <v>17642</v>
      </c>
      <c r="E31" s="28" t="s">
        <v>233</v>
      </c>
      <c r="F31" s="28">
        <v>1</v>
      </c>
      <c r="G31" s="28" t="s">
        <v>193</v>
      </c>
      <c r="H31" s="28" t="s">
        <v>194</v>
      </c>
      <c r="I31" s="28" t="s">
        <v>17643</v>
      </c>
      <c r="J31" s="28" t="s">
        <v>367</v>
      </c>
      <c r="K31" s="28" t="s">
        <v>9309</v>
      </c>
      <c r="L31" s="28" t="s">
        <v>6955</v>
      </c>
      <c r="N31" s="28" t="s">
        <v>17781</v>
      </c>
      <c r="O31" s="28" t="s">
        <v>6275</v>
      </c>
      <c r="P31" s="28" t="s">
        <v>17723</v>
      </c>
      <c r="Q31" s="28" t="s">
        <v>17724</v>
      </c>
      <c r="R31" s="28" t="s">
        <v>17774</v>
      </c>
      <c r="S31" s="28" t="s">
        <v>17782</v>
      </c>
      <c r="T31" s="28" t="s">
        <v>17783</v>
      </c>
      <c r="V31" s="28" t="s">
        <v>9974</v>
      </c>
      <c r="W31" s="28" t="s">
        <v>3839</v>
      </c>
      <c r="X31" s="28" t="s">
        <v>194</v>
      </c>
      <c r="Y31" s="28" t="s">
        <v>9300</v>
      </c>
      <c r="AB31" s="28" t="s">
        <v>9311</v>
      </c>
      <c r="AH31" s="28" t="s">
        <v>4714</v>
      </c>
      <c r="AI31" s="28" t="s">
        <v>15939</v>
      </c>
      <c r="AJ31" s="516" t="str">
        <f>MID('II kw.22'!W31,8,6)</f>
        <v>815301</v>
      </c>
      <c r="AK31" s="516">
        <v>1</v>
      </c>
      <c r="AL31" s="516">
        <f t="shared" si="0"/>
        <v>1</v>
      </c>
      <c r="AM31" s="516">
        <v>1</v>
      </c>
      <c r="AN31" s="28" t="s">
        <v>17650</v>
      </c>
      <c r="AO31" s="28" t="s">
        <v>17651</v>
      </c>
      <c r="AP31" s="28" t="s">
        <v>17652</v>
      </c>
      <c r="AQ31" s="28" t="s">
        <v>17653</v>
      </c>
      <c r="AR31" s="28" t="s">
        <v>1024</v>
      </c>
    </row>
    <row r="32" spans="1:44" x14ac:dyDescent="0.25">
      <c r="A32" s="28" t="s">
        <v>4959</v>
      </c>
      <c r="B32" s="28" t="s">
        <v>1520</v>
      </c>
      <c r="C32" s="28" t="s">
        <v>3315</v>
      </c>
      <c r="D32" s="28" t="s">
        <v>17642</v>
      </c>
      <c r="E32" s="28" t="s">
        <v>233</v>
      </c>
      <c r="F32" s="28">
        <v>1</v>
      </c>
      <c r="G32" s="28" t="s">
        <v>193</v>
      </c>
      <c r="H32" s="28" t="s">
        <v>194</v>
      </c>
      <c r="I32" s="28" t="s">
        <v>17784</v>
      </c>
      <c r="J32" s="28" t="s">
        <v>210</v>
      </c>
      <c r="K32" s="28" t="s">
        <v>9309</v>
      </c>
      <c r="L32" s="28" t="s">
        <v>6955</v>
      </c>
      <c r="N32" s="28" t="s">
        <v>17785</v>
      </c>
      <c r="O32" s="28" t="s">
        <v>6306</v>
      </c>
      <c r="P32" s="28" t="s">
        <v>17723</v>
      </c>
      <c r="Q32" s="28" t="s">
        <v>17724</v>
      </c>
      <c r="R32" s="28" t="s">
        <v>17643</v>
      </c>
      <c r="S32" s="28" t="s">
        <v>17786</v>
      </c>
      <c r="T32" s="28" t="s">
        <v>17787</v>
      </c>
      <c r="V32" s="28" t="s">
        <v>9334</v>
      </c>
      <c r="W32" s="28" t="s">
        <v>3317</v>
      </c>
      <c r="X32" s="28" t="s">
        <v>194</v>
      </c>
      <c r="Y32" s="28" t="s">
        <v>9300</v>
      </c>
      <c r="AB32" s="28" t="s">
        <v>9311</v>
      </c>
      <c r="AH32" s="28" t="s">
        <v>4714</v>
      </c>
      <c r="AI32" s="28" t="s">
        <v>1520</v>
      </c>
      <c r="AJ32" s="516" t="str">
        <f>MID('II kw.22'!W32,8,6)</f>
        <v>216101</v>
      </c>
      <c r="AK32" s="516">
        <v>1</v>
      </c>
      <c r="AL32" s="516">
        <f t="shared" si="0"/>
        <v>1</v>
      </c>
      <c r="AM32" s="516">
        <v>1</v>
      </c>
      <c r="AN32" s="28" t="s">
        <v>17650</v>
      </c>
      <c r="AO32" s="28" t="s">
        <v>17651</v>
      </c>
      <c r="AP32" s="28" t="s">
        <v>17652</v>
      </c>
      <c r="AQ32" s="28" t="s">
        <v>17653</v>
      </c>
      <c r="AR32" s="28" t="s">
        <v>1024</v>
      </c>
    </row>
    <row r="33" spans="1:44" x14ac:dyDescent="0.25">
      <c r="A33" s="28" t="s">
        <v>4146</v>
      </c>
      <c r="B33" s="28" t="s">
        <v>1000</v>
      </c>
      <c r="C33" s="28" t="s">
        <v>39</v>
      </c>
      <c r="D33" s="28" t="s">
        <v>17642</v>
      </c>
      <c r="E33" s="28" t="s">
        <v>233</v>
      </c>
      <c r="F33" s="28">
        <v>1</v>
      </c>
      <c r="G33" s="28" t="s">
        <v>193</v>
      </c>
      <c r="H33" s="28" t="s">
        <v>194</v>
      </c>
      <c r="I33" s="28" t="s">
        <v>17643</v>
      </c>
      <c r="J33" s="28" t="s">
        <v>210</v>
      </c>
      <c r="K33" s="28" t="s">
        <v>9309</v>
      </c>
      <c r="L33" s="28" t="s">
        <v>6955</v>
      </c>
      <c r="N33" s="28" t="s">
        <v>17788</v>
      </c>
      <c r="O33" s="28" t="s">
        <v>6306</v>
      </c>
      <c r="P33" s="28" t="s">
        <v>17723</v>
      </c>
      <c r="Q33" s="28" t="s">
        <v>17724</v>
      </c>
      <c r="R33" s="28" t="s">
        <v>17672</v>
      </c>
      <c r="S33" s="28" t="s">
        <v>17789</v>
      </c>
      <c r="T33" s="28" t="s">
        <v>17790</v>
      </c>
      <c r="V33" s="28" t="s">
        <v>9334</v>
      </c>
      <c r="W33" s="28" t="s">
        <v>551</v>
      </c>
      <c r="X33" s="28" t="s">
        <v>194</v>
      </c>
      <c r="Y33" s="28" t="s">
        <v>9300</v>
      </c>
      <c r="AB33" s="28" t="s">
        <v>9311</v>
      </c>
      <c r="AH33" s="28" t="s">
        <v>4714</v>
      </c>
      <c r="AI33" s="28" t="s">
        <v>1000</v>
      </c>
      <c r="AJ33" s="516" t="str">
        <f>MID('II kw.22'!W33,8,6)</f>
        <v>311204</v>
      </c>
      <c r="AK33" s="516">
        <v>1</v>
      </c>
      <c r="AL33" s="516">
        <f t="shared" si="0"/>
        <v>1</v>
      </c>
      <c r="AM33" s="516">
        <v>1</v>
      </c>
      <c r="AN33" s="28" t="s">
        <v>17650</v>
      </c>
      <c r="AO33" s="28" t="s">
        <v>17651</v>
      </c>
      <c r="AP33" s="28" t="s">
        <v>17652</v>
      </c>
      <c r="AQ33" s="28" t="s">
        <v>17653</v>
      </c>
      <c r="AR33" s="28" t="s">
        <v>1024</v>
      </c>
    </row>
    <row r="34" spans="1:44" x14ac:dyDescent="0.25">
      <c r="A34" s="28" t="s">
        <v>4959</v>
      </c>
      <c r="B34" s="28" t="s">
        <v>1520</v>
      </c>
      <c r="C34" s="28" t="s">
        <v>3315</v>
      </c>
      <c r="D34" s="28" t="s">
        <v>17642</v>
      </c>
      <c r="E34" s="28" t="s">
        <v>233</v>
      </c>
      <c r="F34" s="28">
        <v>1</v>
      </c>
      <c r="G34" s="28" t="s">
        <v>193</v>
      </c>
      <c r="H34" s="28" t="s">
        <v>194</v>
      </c>
      <c r="I34" s="28" t="s">
        <v>17784</v>
      </c>
      <c r="J34" s="28" t="s">
        <v>210</v>
      </c>
      <c r="K34" s="28" t="s">
        <v>9309</v>
      </c>
      <c r="L34" s="28" t="s">
        <v>6955</v>
      </c>
      <c r="N34" s="28" t="s">
        <v>17791</v>
      </c>
      <c r="O34" s="28" t="s">
        <v>6306</v>
      </c>
      <c r="P34" s="28" t="s">
        <v>17723</v>
      </c>
      <c r="Q34" s="28" t="s">
        <v>17724</v>
      </c>
      <c r="R34" s="28" t="s">
        <v>17643</v>
      </c>
      <c r="S34" s="28" t="s">
        <v>17792</v>
      </c>
      <c r="T34" s="28" t="s">
        <v>17793</v>
      </c>
      <c r="V34" s="28" t="s">
        <v>9334</v>
      </c>
      <c r="W34" s="28" t="s">
        <v>3317</v>
      </c>
      <c r="X34" s="28" t="s">
        <v>194</v>
      </c>
      <c r="Y34" s="28" t="s">
        <v>9300</v>
      </c>
      <c r="AB34" s="28" t="s">
        <v>9311</v>
      </c>
      <c r="AH34" s="28" t="s">
        <v>4714</v>
      </c>
      <c r="AI34" s="28" t="s">
        <v>1520</v>
      </c>
      <c r="AJ34" s="516" t="str">
        <f>MID('II kw.22'!W34,8,6)</f>
        <v>216101</v>
      </c>
      <c r="AK34" s="516">
        <v>1</v>
      </c>
      <c r="AL34" s="516">
        <f t="shared" si="0"/>
        <v>1</v>
      </c>
      <c r="AM34" s="516">
        <v>1</v>
      </c>
      <c r="AN34" s="28" t="s">
        <v>17650</v>
      </c>
      <c r="AO34" s="28" t="s">
        <v>17651</v>
      </c>
      <c r="AP34" s="28" t="s">
        <v>17652</v>
      </c>
      <c r="AQ34" s="28" t="s">
        <v>17653</v>
      </c>
      <c r="AR34" s="28" t="s">
        <v>1024</v>
      </c>
    </row>
    <row r="35" spans="1:44" x14ac:dyDescent="0.25">
      <c r="A35" s="28" t="s">
        <v>17794</v>
      </c>
      <c r="B35" s="28" t="s">
        <v>17795</v>
      </c>
      <c r="C35" s="28" t="s">
        <v>17</v>
      </c>
      <c r="D35" s="28" t="s">
        <v>17642</v>
      </c>
      <c r="E35" s="28" t="s">
        <v>217</v>
      </c>
      <c r="F35" s="28">
        <v>1</v>
      </c>
      <c r="G35" s="28" t="s">
        <v>193</v>
      </c>
      <c r="H35" s="28" t="s">
        <v>194</v>
      </c>
      <c r="I35" s="28" t="s">
        <v>17643</v>
      </c>
      <c r="J35" s="28" t="s">
        <v>17796</v>
      </c>
      <c r="K35" s="28" t="s">
        <v>9309</v>
      </c>
      <c r="L35" s="28" t="s">
        <v>6955</v>
      </c>
      <c r="N35" s="28" t="s">
        <v>17797</v>
      </c>
      <c r="O35" s="28" t="s">
        <v>6269</v>
      </c>
      <c r="P35" s="28" t="s">
        <v>17798</v>
      </c>
      <c r="Q35" s="28" t="s">
        <v>17799</v>
      </c>
      <c r="R35" s="28" t="s">
        <v>17800</v>
      </c>
      <c r="S35" s="28" t="s">
        <v>17801</v>
      </c>
      <c r="T35" s="28" t="s">
        <v>17802</v>
      </c>
      <c r="V35" s="27"/>
      <c r="W35" s="28" t="s">
        <v>624</v>
      </c>
      <c r="X35" s="28" t="s">
        <v>193</v>
      </c>
      <c r="Y35" s="27" t="s">
        <v>9310</v>
      </c>
      <c r="AB35" s="28" t="s">
        <v>9311</v>
      </c>
      <c r="AH35" s="28" t="s">
        <v>4714</v>
      </c>
      <c r="AI35" s="28" t="s">
        <v>9433</v>
      </c>
      <c r="AJ35" s="516" t="str">
        <f>MID('II kw.22'!W35,8,6)</f>
        <v>332203</v>
      </c>
      <c r="AK35" s="516">
        <v>1</v>
      </c>
      <c r="AL35" s="516">
        <f t="shared" si="0"/>
        <v>1</v>
      </c>
      <c r="AM35" s="516">
        <v>1</v>
      </c>
      <c r="AN35" s="28" t="s">
        <v>17650</v>
      </c>
      <c r="AO35" s="28" t="s">
        <v>17651</v>
      </c>
      <c r="AP35" s="28" t="s">
        <v>17652</v>
      </c>
      <c r="AQ35" s="28" t="s">
        <v>17653</v>
      </c>
      <c r="AR35" s="28" t="s">
        <v>1024</v>
      </c>
    </row>
    <row r="36" spans="1:44" x14ac:dyDescent="0.25">
      <c r="A36" s="28" t="s">
        <v>4022</v>
      </c>
      <c r="B36" s="28" t="s">
        <v>17803</v>
      </c>
      <c r="C36" s="28" t="s">
        <v>43</v>
      </c>
      <c r="D36" s="28" t="s">
        <v>17642</v>
      </c>
      <c r="E36" s="28" t="s">
        <v>217</v>
      </c>
      <c r="F36" s="28">
        <v>1</v>
      </c>
      <c r="G36" s="28" t="s">
        <v>193</v>
      </c>
      <c r="H36" s="28" t="s">
        <v>194</v>
      </c>
      <c r="I36" s="28" t="s">
        <v>17784</v>
      </c>
      <c r="J36" s="28" t="s">
        <v>15466</v>
      </c>
      <c r="K36" s="28" t="s">
        <v>9309</v>
      </c>
      <c r="L36" s="28" t="s">
        <v>6955</v>
      </c>
      <c r="N36" s="28" t="s">
        <v>17804</v>
      </c>
      <c r="O36" s="28" t="s">
        <v>6302</v>
      </c>
      <c r="P36" s="28" t="s">
        <v>17798</v>
      </c>
      <c r="Q36" s="28" t="s">
        <v>17805</v>
      </c>
      <c r="R36" s="28" t="s">
        <v>17806</v>
      </c>
      <c r="S36" s="28" t="s">
        <v>17807</v>
      </c>
      <c r="T36" s="28" t="s">
        <v>17808</v>
      </c>
      <c r="V36" s="27"/>
      <c r="W36" s="28" t="s">
        <v>452</v>
      </c>
      <c r="X36" s="28" t="s">
        <v>193</v>
      </c>
      <c r="Y36" s="27" t="s">
        <v>9310</v>
      </c>
      <c r="AB36" s="28" t="s">
        <v>9311</v>
      </c>
      <c r="AH36" s="28" t="s">
        <v>4714</v>
      </c>
      <c r="AI36" s="28" t="s">
        <v>9433</v>
      </c>
      <c r="AJ36" s="516" t="str">
        <f>MID('II kw.22'!W36,8,6)</f>
        <v>243106</v>
      </c>
      <c r="AK36" s="516">
        <v>1</v>
      </c>
      <c r="AL36" s="516">
        <f t="shared" si="0"/>
        <v>1</v>
      </c>
      <c r="AM36" s="516">
        <v>1</v>
      </c>
      <c r="AN36" s="28" t="s">
        <v>17650</v>
      </c>
      <c r="AO36" s="28" t="s">
        <v>17651</v>
      </c>
      <c r="AP36" s="28" t="s">
        <v>17652</v>
      </c>
      <c r="AQ36" s="28" t="s">
        <v>17653</v>
      </c>
      <c r="AR36" s="28" t="s">
        <v>1024</v>
      </c>
    </row>
    <row r="37" spans="1:44" x14ac:dyDescent="0.25">
      <c r="A37" s="28" t="s">
        <v>11415</v>
      </c>
      <c r="B37" s="28" t="s">
        <v>8016</v>
      </c>
      <c r="C37" s="28" t="s">
        <v>99</v>
      </c>
      <c r="D37" s="28" t="s">
        <v>17642</v>
      </c>
      <c r="E37" s="28" t="s">
        <v>217</v>
      </c>
      <c r="F37" s="28">
        <v>1</v>
      </c>
      <c r="G37" s="28" t="s">
        <v>193</v>
      </c>
      <c r="H37" s="28" t="s">
        <v>194</v>
      </c>
      <c r="I37" s="28" t="s">
        <v>17672</v>
      </c>
      <c r="J37" s="28" t="s">
        <v>210</v>
      </c>
      <c r="K37" s="28" t="s">
        <v>9309</v>
      </c>
      <c r="L37" s="28" t="s">
        <v>6955</v>
      </c>
      <c r="N37" s="28" t="s">
        <v>17809</v>
      </c>
      <c r="O37" s="28" t="s">
        <v>6286</v>
      </c>
      <c r="P37" s="28" t="s">
        <v>17798</v>
      </c>
      <c r="Q37" s="28" t="s">
        <v>17799</v>
      </c>
      <c r="R37" s="28" t="s">
        <v>17806</v>
      </c>
      <c r="S37" s="28" t="s">
        <v>17810</v>
      </c>
      <c r="T37" s="28" t="s">
        <v>17811</v>
      </c>
      <c r="V37" s="28" t="s">
        <v>9334</v>
      </c>
      <c r="W37" s="28" t="s">
        <v>2421</v>
      </c>
      <c r="X37" s="28" t="s">
        <v>194</v>
      </c>
      <c r="Y37" s="28" t="s">
        <v>9300</v>
      </c>
      <c r="AB37" s="28" t="s">
        <v>9311</v>
      </c>
      <c r="AH37" s="28" t="s">
        <v>4714</v>
      </c>
      <c r="AI37" s="28" t="s">
        <v>9433</v>
      </c>
      <c r="AJ37" s="516" t="str">
        <f>MID('II kw.22'!W37,8,6)</f>
        <v>412001</v>
      </c>
      <c r="AK37" s="516">
        <v>1</v>
      </c>
      <c r="AL37" s="516">
        <f t="shared" si="0"/>
        <v>1</v>
      </c>
      <c r="AM37" s="516">
        <v>1</v>
      </c>
      <c r="AN37" s="28" t="s">
        <v>17650</v>
      </c>
      <c r="AO37" s="28" t="s">
        <v>17651</v>
      </c>
      <c r="AP37" s="28" t="s">
        <v>17652</v>
      </c>
      <c r="AQ37" s="28" t="s">
        <v>17653</v>
      </c>
      <c r="AR37" s="28" t="s">
        <v>1024</v>
      </c>
    </row>
    <row r="38" spans="1:44" x14ac:dyDescent="0.25">
      <c r="A38" s="28" t="s">
        <v>581</v>
      </c>
      <c r="B38" s="28" t="s">
        <v>17153</v>
      </c>
      <c r="C38" s="28" t="s">
        <v>62</v>
      </c>
      <c r="D38" s="28" t="s">
        <v>17642</v>
      </c>
      <c r="E38" s="28" t="s">
        <v>217</v>
      </c>
      <c r="F38" s="28">
        <v>1</v>
      </c>
      <c r="G38" s="28" t="s">
        <v>193</v>
      </c>
      <c r="H38" s="28" t="s">
        <v>194</v>
      </c>
      <c r="I38" s="28" t="s">
        <v>17643</v>
      </c>
      <c r="J38" s="28" t="s">
        <v>253</v>
      </c>
      <c r="K38" s="28" t="s">
        <v>9309</v>
      </c>
      <c r="L38" s="28" t="s">
        <v>6955</v>
      </c>
      <c r="N38" s="28" t="s">
        <v>17812</v>
      </c>
      <c r="O38" s="28" t="s">
        <v>6275</v>
      </c>
      <c r="P38" s="28" t="s">
        <v>17798</v>
      </c>
      <c r="Q38" s="28" t="s">
        <v>17799</v>
      </c>
      <c r="R38" s="28" t="s">
        <v>17784</v>
      </c>
      <c r="S38" s="28" t="s">
        <v>17813</v>
      </c>
      <c r="T38" s="28" t="s">
        <v>17814</v>
      </c>
      <c r="V38" s="28" t="s">
        <v>9468</v>
      </c>
      <c r="W38" s="28" t="s">
        <v>601</v>
      </c>
      <c r="X38" s="28" t="s">
        <v>194</v>
      </c>
      <c r="Y38" s="28" t="s">
        <v>9300</v>
      </c>
      <c r="AB38" s="28" t="s">
        <v>9311</v>
      </c>
      <c r="AH38" s="28" t="s">
        <v>4714</v>
      </c>
      <c r="AI38" s="28" t="s">
        <v>9433</v>
      </c>
      <c r="AJ38" s="516" t="str">
        <f>MID('II kw.22'!W38,8,6)</f>
        <v>313904</v>
      </c>
      <c r="AK38" s="516">
        <v>1</v>
      </c>
      <c r="AL38" s="516">
        <f t="shared" si="0"/>
        <v>1</v>
      </c>
      <c r="AM38" s="516">
        <v>1</v>
      </c>
      <c r="AN38" s="28" t="s">
        <v>17650</v>
      </c>
      <c r="AO38" s="28" t="s">
        <v>17651</v>
      </c>
      <c r="AP38" s="28" t="s">
        <v>17652</v>
      </c>
      <c r="AQ38" s="28" t="s">
        <v>17653</v>
      </c>
      <c r="AR38" s="28" t="s">
        <v>1024</v>
      </c>
    </row>
    <row r="39" spans="1:44" x14ac:dyDescent="0.25">
      <c r="A39" s="28" t="s">
        <v>9886</v>
      </c>
      <c r="B39" s="28" t="s">
        <v>17</v>
      </c>
      <c r="C39" s="28" t="s">
        <v>17</v>
      </c>
      <c r="D39" s="28" t="s">
        <v>17642</v>
      </c>
      <c r="E39" s="28" t="s">
        <v>217</v>
      </c>
      <c r="F39" s="511">
        <v>1</v>
      </c>
      <c r="G39" s="227" t="s">
        <v>194</v>
      </c>
      <c r="H39" s="227" t="s">
        <v>193</v>
      </c>
      <c r="I39" s="28" t="s">
        <v>18207</v>
      </c>
      <c r="J39" s="28" t="s">
        <v>6080</v>
      </c>
      <c r="K39" s="28" t="s">
        <v>9309</v>
      </c>
      <c r="L39" s="28" t="s">
        <v>6955</v>
      </c>
      <c r="N39" s="28" t="s">
        <v>17815</v>
      </c>
      <c r="O39" s="28" t="s">
        <v>6249</v>
      </c>
      <c r="P39" s="28" t="s">
        <v>17816</v>
      </c>
      <c r="Q39" s="28" t="s">
        <v>17817</v>
      </c>
      <c r="R39" s="28" t="s">
        <v>17818</v>
      </c>
      <c r="S39" s="28" t="s">
        <v>17819</v>
      </c>
      <c r="T39" s="28" t="s">
        <v>17820</v>
      </c>
      <c r="V39" s="227"/>
      <c r="W39" s="28" t="s">
        <v>624</v>
      </c>
      <c r="X39" s="28" t="s">
        <v>194</v>
      </c>
      <c r="Y39" s="509" t="s">
        <v>9946</v>
      </c>
      <c r="AB39" s="28" t="s">
        <v>9311</v>
      </c>
      <c r="AH39" s="28" t="s">
        <v>4714</v>
      </c>
      <c r="AI39" s="28" t="s">
        <v>17</v>
      </c>
      <c r="AJ39" s="516" t="str">
        <f>MID('II kw.22'!W39,8,6)</f>
        <v>332203</v>
      </c>
      <c r="AK39" s="516">
        <v>1</v>
      </c>
      <c r="AL39" s="516">
        <f t="shared" si="0"/>
        <v>1</v>
      </c>
      <c r="AM39" s="516">
        <v>1</v>
      </c>
      <c r="AN39" s="28" t="s">
        <v>17650</v>
      </c>
      <c r="AO39" s="28" t="s">
        <v>17651</v>
      </c>
      <c r="AP39" s="28" t="s">
        <v>17652</v>
      </c>
      <c r="AQ39" s="28" t="s">
        <v>17653</v>
      </c>
      <c r="AR39" s="28" t="s">
        <v>1024</v>
      </c>
    </row>
    <row r="40" spans="1:44" x14ac:dyDescent="0.25">
      <c r="A40" s="28" t="s">
        <v>4022</v>
      </c>
      <c r="B40" s="28" t="s">
        <v>8022</v>
      </c>
      <c r="C40" s="28" t="s">
        <v>7617</v>
      </c>
      <c r="D40" s="28" t="s">
        <v>17642</v>
      </c>
      <c r="E40" s="28" t="s">
        <v>217</v>
      </c>
      <c r="F40" s="28">
        <v>1</v>
      </c>
      <c r="G40" s="28" t="s">
        <v>193</v>
      </c>
      <c r="H40" s="28" t="s">
        <v>194</v>
      </c>
      <c r="I40" s="28" t="s">
        <v>17643</v>
      </c>
      <c r="J40" s="28" t="s">
        <v>210</v>
      </c>
      <c r="K40" s="28" t="s">
        <v>9309</v>
      </c>
      <c r="L40" s="28" t="s">
        <v>6955</v>
      </c>
      <c r="N40" s="28" t="s">
        <v>17821</v>
      </c>
      <c r="O40" s="28" t="s">
        <v>6290</v>
      </c>
      <c r="P40" s="28" t="s">
        <v>17798</v>
      </c>
      <c r="Q40" s="28" t="s">
        <v>17799</v>
      </c>
      <c r="R40" s="28" t="s">
        <v>17806</v>
      </c>
      <c r="S40" s="28" t="s">
        <v>17822</v>
      </c>
      <c r="T40" s="28" t="s">
        <v>17823</v>
      </c>
      <c r="V40" s="28" t="s">
        <v>9334</v>
      </c>
      <c r="W40" s="28" t="s">
        <v>7620</v>
      </c>
      <c r="X40" s="28" t="s">
        <v>194</v>
      </c>
      <c r="Y40" s="28" t="s">
        <v>9300</v>
      </c>
      <c r="AB40" s="28" t="s">
        <v>9311</v>
      </c>
      <c r="AH40" s="28" t="s">
        <v>4714</v>
      </c>
      <c r="AI40" s="28" t="s">
        <v>9433</v>
      </c>
      <c r="AJ40" s="516" t="str">
        <f>MID('II kw.22'!W40,8,6)</f>
        <v>516903</v>
      </c>
      <c r="AK40" s="516">
        <v>1</v>
      </c>
      <c r="AL40" s="516">
        <f t="shared" si="0"/>
        <v>1</v>
      </c>
      <c r="AM40" s="516">
        <v>1</v>
      </c>
      <c r="AN40" s="28" t="s">
        <v>17650</v>
      </c>
      <c r="AO40" s="28" t="s">
        <v>17651</v>
      </c>
      <c r="AP40" s="28" t="s">
        <v>17652</v>
      </c>
      <c r="AQ40" s="28" t="s">
        <v>17653</v>
      </c>
      <c r="AR40" s="28" t="s">
        <v>1024</v>
      </c>
    </row>
    <row r="41" spans="1:44" x14ac:dyDescent="0.25">
      <c r="A41" s="28" t="s">
        <v>581</v>
      </c>
      <c r="B41" s="28" t="s">
        <v>17824</v>
      </c>
      <c r="C41" s="28" t="s">
        <v>67</v>
      </c>
      <c r="D41" s="28" t="s">
        <v>17642</v>
      </c>
      <c r="E41" s="28" t="s">
        <v>217</v>
      </c>
      <c r="F41" s="28">
        <v>1</v>
      </c>
      <c r="G41" s="28" t="s">
        <v>193</v>
      </c>
      <c r="H41" s="28" t="s">
        <v>194</v>
      </c>
      <c r="I41" s="28" t="s">
        <v>17643</v>
      </c>
      <c r="J41" s="28" t="s">
        <v>976</v>
      </c>
      <c r="K41" s="28" t="s">
        <v>9309</v>
      </c>
      <c r="L41" s="28" t="s">
        <v>6955</v>
      </c>
      <c r="N41" s="28" t="s">
        <v>17825</v>
      </c>
      <c r="O41" s="28" t="s">
        <v>6269</v>
      </c>
      <c r="P41" s="28" t="s">
        <v>17798</v>
      </c>
      <c r="Q41" s="28" t="s">
        <v>17799</v>
      </c>
      <c r="R41" s="28" t="s">
        <v>17800</v>
      </c>
      <c r="S41" s="28" t="s">
        <v>17826</v>
      </c>
      <c r="T41" s="28" t="s">
        <v>17827</v>
      </c>
      <c r="V41" s="28" t="s">
        <v>9726</v>
      </c>
      <c r="W41" s="28" t="s">
        <v>709</v>
      </c>
      <c r="X41" s="28" t="s">
        <v>194</v>
      </c>
      <c r="Y41" s="28" t="s">
        <v>9300</v>
      </c>
      <c r="AB41" s="28" t="s">
        <v>9311</v>
      </c>
      <c r="AH41" s="28" t="s">
        <v>4714</v>
      </c>
      <c r="AI41" s="28" t="s">
        <v>9433</v>
      </c>
      <c r="AJ41" s="516" t="str">
        <f>MID('II kw.22'!W41,8,6)</f>
        <v>432103</v>
      </c>
      <c r="AK41" s="516">
        <v>1</v>
      </c>
      <c r="AL41" s="516">
        <f t="shared" si="0"/>
        <v>1</v>
      </c>
      <c r="AM41" s="516">
        <v>1</v>
      </c>
      <c r="AN41" s="28" t="s">
        <v>17650</v>
      </c>
      <c r="AO41" s="28" t="s">
        <v>17651</v>
      </c>
      <c r="AP41" s="28" t="s">
        <v>17652</v>
      </c>
      <c r="AQ41" s="28" t="s">
        <v>17653</v>
      </c>
      <c r="AR41" s="28" t="s">
        <v>1024</v>
      </c>
    </row>
    <row r="42" spans="1:44" x14ac:dyDescent="0.25">
      <c r="A42" s="28" t="s">
        <v>12505</v>
      </c>
      <c r="B42" s="28" t="s">
        <v>17828</v>
      </c>
      <c r="C42" s="28" t="s">
        <v>354</v>
      </c>
      <c r="D42" s="28" t="s">
        <v>17642</v>
      </c>
      <c r="E42" s="28" t="s">
        <v>217</v>
      </c>
      <c r="F42" s="511">
        <v>1</v>
      </c>
      <c r="G42" s="227" t="s">
        <v>194</v>
      </c>
      <c r="H42" s="227" t="s">
        <v>193</v>
      </c>
      <c r="I42" s="28" t="s">
        <v>18207</v>
      </c>
      <c r="J42" s="28" t="s">
        <v>6080</v>
      </c>
      <c r="K42" s="28" t="s">
        <v>9309</v>
      </c>
      <c r="L42" s="28" t="s">
        <v>6955</v>
      </c>
      <c r="N42" s="28" t="s">
        <v>17829</v>
      </c>
      <c r="O42" s="28" t="s">
        <v>6363</v>
      </c>
      <c r="P42" s="28" t="s">
        <v>17798</v>
      </c>
      <c r="Q42" s="28" t="s">
        <v>17830</v>
      </c>
      <c r="R42" s="28" t="s">
        <v>17667</v>
      </c>
      <c r="S42" s="28" t="s">
        <v>17831</v>
      </c>
      <c r="T42" s="28" t="s">
        <v>17832</v>
      </c>
      <c r="V42" s="227"/>
      <c r="W42" s="28" t="s">
        <v>355</v>
      </c>
      <c r="X42" s="28" t="s">
        <v>194</v>
      </c>
      <c r="Y42" s="509" t="s">
        <v>9946</v>
      </c>
      <c r="AB42" s="28" t="s">
        <v>9311</v>
      </c>
      <c r="AH42" s="28" t="s">
        <v>4714</v>
      </c>
      <c r="AI42" s="28" t="s">
        <v>9433</v>
      </c>
      <c r="AJ42" s="516" t="str">
        <f>MID('II kw.22'!W42,8,6)</f>
        <v>215103</v>
      </c>
      <c r="AK42" s="516">
        <v>1</v>
      </c>
      <c r="AL42" s="516">
        <f t="shared" si="0"/>
        <v>1</v>
      </c>
      <c r="AM42" s="516">
        <v>1</v>
      </c>
      <c r="AN42" s="28" t="s">
        <v>17650</v>
      </c>
      <c r="AO42" s="28" t="s">
        <v>17651</v>
      </c>
      <c r="AP42" s="28" t="s">
        <v>17652</v>
      </c>
      <c r="AQ42" s="28" t="s">
        <v>17653</v>
      </c>
      <c r="AR42" s="28" t="s">
        <v>1024</v>
      </c>
    </row>
    <row r="43" spans="1:44" x14ac:dyDescent="0.25">
      <c r="A43" s="28" t="s">
        <v>15464</v>
      </c>
      <c r="B43" s="28" t="s">
        <v>16319</v>
      </c>
      <c r="C43" s="28" t="s">
        <v>17</v>
      </c>
      <c r="D43" s="28" t="s">
        <v>17642</v>
      </c>
      <c r="E43" s="28" t="s">
        <v>217</v>
      </c>
      <c r="F43" s="28">
        <v>1</v>
      </c>
      <c r="G43" s="28" t="s">
        <v>193</v>
      </c>
      <c r="H43" s="28" t="s">
        <v>194</v>
      </c>
      <c r="I43" s="28" t="s">
        <v>17706</v>
      </c>
      <c r="J43" s="28" t="s">
        <v>210</v>
      </c>
      <c r="K43" s="28" t="s">
        <v>9309</v>
      </c>
      <c r="L43" s="28" t="s">
        <v>6955</v>
      </c>
      <c r="N43" s="28" t="s">
        <v>17833</v>
      </c>
      <c r="O43" s="28" t="s">
        <v>6269</v>
      </c>
      <c r="P43" s="28" t="s">
        <v>17798</v>
      </c>
      <c r="Q43" s="28" t="s">
        <v>17805</v>
      </c>
      <c r="R43" s="28" t="s">
        <v>17806</v>
      </c>
      <c r="S43" s="28" t="s">
        <v>17834</v>
      </c>
      <c r="T43" s="28" t="s">
        <v>17835</v>
      </c>
      <c r="V43" s="28" t="s">
        <v>9334</v>
      </c>
      <c r="W43" s="28" t="s">
        <v>624</v>
      </c>
      <c r="X43" s="28" t="s">
        <v>194</v>
      </c>
      <c r="Y43" s="28" t="s">
        <v>9300</v>
      </c>
      <c r="AB43" s="28" t="s">
        <v>9311</v>
      </c>
      <c r="AH43" s="28" t="s">
        <v>4714</v>
      </c>
      <c r="AI43" s="28" t="s">
        <v>9433</v>
      </c>
      <c r="AJ43" s="516" t="str">
        <f>MID('II kw.22'!W43,8,6)</f>
        <v>332203</v>
      </c>
      <c r="AK43" s="516">
        <v>1</v>
      </c>
      <c r="AL43" s="516">
        <f t="shared" si="0"/>
        <v>1</v>
      </c>
      <c r="AM43" s="516">
        <v>1</v>
      </c>
      <c r="AN43" s="28" t="s">
        <v>17650</v>
      </c>
      <c r="AO43" s="28" t="s">
        <v>17651</v>
      </c>
      <c r="AP43" s="28" t="s">
        <v>17652</v>
      </c>
      <c r="AQ43" s="28" t="s">
        <v>17653</v>
      </c>
      <c r="AR43" s="28" t="s">
        <v>1024</v>
      </c>
    </row>
    <row r="44" spans="1:44" x14ac:dyDescent="0.25">
      <c r="A44" s="28" t="s">
        <v>17836</v>
      </c>
      <c r="B44" s="28" t="s">
        <v>17837</v>
      </c>
      <c r="C44" s="28" t="s">
        <v>17838</v>
      </c>
      <c r="D44" s="28" t="s">
        <v>17642</v>
      </c>
      <c r="E44" s="28" t="s">
        <v>217</v>
      </c>
      <c r="F44" s="511">
        <v>1</v>
      </c>
      <c r="G44" s="227" t="s">
        <v>194</v>
      </c>
      <c r="H44" s="227" t="s">
        <v>193</v>
      </c>
      <c r="I44" s="28" t="s">
        <v>18207</v>
      </c>
      <c r="J44" s="28" t="s">
        <v>6080</v>
      </c>
      <c r="K44" s="28" t="s">
        <v>9309</v>
      </c>
      <c r="L44" s="28" t="s">
        <v>6955</v>
      </c>
      <c r="N44" s="28" t="s">
        <v>17839</v>
      </c>
      <c r="O44" s="28" t="s">
        <v>6256</v>
      </c>
      <c r="P44" s="28" t="s">
        <v>17798</v>
      </c>
      <c r="Q44" s="28" t="s">
        <v>17840</v>
      </c>
      <c r="R44" s="28" t="s">
        <v>17672</v>
      </c>
      <c r="S44" s="28" t="s">
        <v>17841</v>
      </c>
      <c r="T44" s="28" t="s">
        <v>17842</v>
      </c>
      <c r="V44" s="227"/>
      <c r="W44" s="28" t="s">
        <v>17843</v>
      </c>
      <c r="X44" s="28" t="s">
        <v>194</v>
      </c>
      <c r="Y44" s="509" t="s">
        <v>9946</v>
      </c>
      <c r="AB44" s="28" t="s">
        <v>9311</v>
      </c>
      <c r="AH44" s="28" t="s">
        <v>4714</v>
      </c>
      <c r="AI44" s="28" t="s">
        <v>9433</v>
      </c>
      <c r="AJ44" s="516" t="str">
        <f>MID('II kw.22'!W44,8,6)</f>
        <v>712301</v>
      </c>
      <c r="AK44" s="516">
        <v>1</v>
      </c>
      <c r="AL44" s="516">
        <f t="shared" si="0"/>
        <v>1</v>
      </c>
      <c r="AM44" s="516">
        <v>1</v>
      </c>
      <c r="AN44" s="28" t="s">
        <v>17650</v>
      </c>
      <c r="AO44" s="28" t="s">
        <v>17651</v>
      </c>
      <c r="AP44" s="28" t="s">
        <v>17652</v>
      </c>
      <c r="AQ44" s="28" t="s">
        <v>17653</v>
      </c>
      <c r="AR44" s="28" t="s">
        <v>1024</v>
      </c>
    </row>
    <row r="45" spans="1:44" x14ac:dyDescent="0.25">
      <c r="A45" s="28" t="s">
        <v>17844</v>
      </c>
      <c r="B45" s="28" t="s">
        <v>10928</v>
      </c>
      <c r="C45" s="28" t="s">
        <v>3367</v>
      </c>
      <c r="D45" s="28" t="s">
        <v>17642</v>
      </c>
      <c r="E45" s="28" t="s">
        <v>192</v>
      </c>
      <c r="F45" s="28">
        <v>1</v>
      </c>
      <c r="G45" s="28" t="s">
        <v>193</v>
      </c>
      <c r="H45" s="28" t="s">
        <v>194</v>
      </c>
      <c r="I45" s="28" t="s">
        <v>17656</v>
      </c>
      <c r="J45" s="28" t="s">
        <v>9302</v>
      </c>
      <c r="K45" s="28" t="s">
        <v>9309</v>
      </c>
      <c r="L45" s="28" t="s">
        <v>6955</v>
      </c>
      <c r="N45" s="28" t="s">
        <v>17845</v>
      </c>
      <c r="O45" s="28" t="s">
        <v>6261</v>
      </c>
      <c r="P45" s="28" t="s">
        <v>17846</v>
      </c>
      <c r="Q45" s="28" t="s">
        <v>17805</v>
      </c>
      <c r="R45" s="28" t="s">
        <v>17847</v>
      </c>
      <c r="S45" s="28" t="s">
        <v>17848</v>
      </c>
      <c r="T45" s="28" t="s">
        <v>17849</v>
      </c>
      <c r="V45" s="27"/>
      <c r="W45" s="28" t="s">
        <v>3368</v>
      </c>
      <c r="X45" s="28" t="s">
        <v>193</v>
      </c>
      <c r="Y45" s="27" t="s">
        <v>9310</v>
      </c>
      <c r="AB45" s="28" t="s">
        <v>9311</v>
      </c>
      <c r="AH45" s="28" t="s">
        <v>4714</v>
      </c>
      <c r="AI45" s="138" t="s">
        <v>10928</v>
      </c>
      <c r="AJ45" s="516" t="str">
        <f>MID('II kw.22'!W45,8,6)</f>
        <v>133001</v>
      </c>
      <c r="AK45" s="516">
        <v>1</v>
      </c>
      <c r="AL45" s="516">
        <f t="shared" si="0"/>
        <v>1</v>
      </c>
      <c r="AM45" s="516">
        <v>1</v>
      </c>
      <c r="AN45" s="28" t="s">
        <v>17650</v>
      </c>
      <c r="AO45" s="28" t="s">
        <v>17651</v>
      </c>
      <c r="AP45" s="28" t="s">
        <v>17652</v>
      </c>
      <c r="AQ45" s="28" t="s">
        <v>17653</v>
      </c>
      <c r="AR45" s="28" t="s">
        <v>1024</v>
      </c>
    </row>
    <row r="46" spans="1:44" x14ac:dyDescent="0.25">
      <c r="A46" s="28" t="s">
        <v>17844</v>
      </c>
      <c r="B46" s="28" t="s">
        <v>15340</v>
      </c>
      <c r="C46" s="28" t="s">
        <v>15341</v>
      </c>
      <c r="D46" s="28" t="s">
        <v>17642</v>
      </c>
      <c r="E46" s="28" t="s">
        <v>192</v>
      </c>
      <c r="F46" s="28">
        <v>1</v>
      </c>
      <c r="G46" s="28" t="s">
        <v>193</v>
      </c>
      <c r="H46" s="28" t="s">
        <v>194</v>
      </c>
      <c r="I46" s="28" t="s">
        <v>17672</v>
      </c>
      <c r="J46" s="28" t="s">
        <v>9302</v>
      </c>
      <c r="K46" s="28" t="s">
        <v>9309</v>
      </c>
      <c r="L46" s="28" t="s">
        <v>6955</v>
      </c>
      <c r="N46" s="28" t="s">
        <v>17850</v>
      </c>
      <c r="O46" s="28" t="s">
        <v>6261</v>
      </c>
      <c r="P46" s="28" t="s">
        <v>17846</v>
      </c>
      <c r="Q46" s="28" t="s">
        <v>17805</v>
      </c>
      <c r="R46" s="28" t="s">
        <v>17847</v>
      </c>
      <c r="S46" s="28" t="s">
        <v>17851</v>
      </c>
      <c r="T46" s="28" t="s">
        <v>17852</v>
      </c>
      <c r="V46" s="27"/>
      <c r="W46" s="28" t="s">
        <v>15345</v>
      </c>
      <c r="X46" s="28" t="s">
        <v>193</v>
      </c>
      <c r="Y46" s="27" t="s">
        <v>9310</v>
      </c>
      <c r="AB46" s="28" t="s">
        <v>9311</v>
      </c>
      <c r="AH46" s="28" t="s">
        <v>4714</v>
      </c>
      <c r="AI46" s="28" t="s">
        <v>15340</v>
      </c>
      <c r="AJ46" s="516" t="str">
        <f>MID('II kw.22'!W46,8,6)</f>
        <v>243102</v>
      </c>
      <c r="AK46" s="516">
        <v>1</v>
      </c>
      <c r="AL46" s="516">
        <f t="shared" si="0"/>
        <v>1</v>
      </c>
      <c r="AM46" s="516">
        <v>1</v>
      </c>
      <c r="AN46" s="28" t="s">
        <v>17650</v>
      </c>
      <c r="AO46" s="28" t="s">
        <v>17651</v>
      </c>
      <c r="AP46" s="28" t="s">
        <v>17652</v>
      </c>
      <c r="AQ46" s="28" t="s">
        <v>17653</v>
      </c>
      <c r="AR46" s="28" t="s">
        <v>1024</v>
      </c>
    </row>
    <row r="47" spans="1:44" x14ac:dyDescent="0.25">
      <c r="A47" s="28" t="s">
        <v>5860</v>
      </c>
      <c r="B47" s="28" t="s">
        <v>17853</v>
      </c>
      <c r="C47" s="28" t="s">
        <v>3688</v>
      </c>
      <c r="D47" s="28" t="s">
        <v>17642</v>
      </c>
      <c r="E47" s="28" t="s">
        <v>192</v>
      </c>
      <c r="F47" s="28">
        <v>1</v>
      </c>
      <c r="G47" s="28" t="s">
        <v>193</v>
      </c>
      <c r="H47" s="28" t="s">
        <v>194</v>
      </c>
      <c r="I47" s="28" t="s">
        <v>17643</v>
      </c>
      <c r="J47" s="28" t="s">
        <v>9302</v>
      </c>
      <c r="K47" s="28" t="s">
        <v>9309</v>
      </c>
      <c r="L47" s="28" t="s">
        <v>6955</v>
      </c>
      <c r="N47" s="28" t="s">
        <v>17854</v>
      </c>
      <c r="O47" s="28" t="s">
        <v>6363</v>
      </c>
      <c r="P47" s="28" t="s">
        <v>17846</v>
      </c>
      <c r="Q47" s="28" t="s">
        <v>17805</v>
      </c>
      <c r="R47" s="28" t="s">
        <v>17847</v>
      </c>
      <c r="S47" s="28" t="s">
        <v>17855</v>
      </c>
      <c r="T47" s="28" t="s">
        <v>17856</v>
      </c>
      <c r="V47" s="27"/>
      <c r="W47" s="28" t="s">
        <v>3689</v>
      </c>
      <c r="X47" s="28" t="s">
        <v>193</v>
      </c>
      <c r="Y47" s="27" t="s">
        <v>9310</v>
      </c>
      <c r="AB47" s="28" t="s">
        <v>9311</v>
      </c>
      <c r="AH47" s="28" t="s">
        <v>4714</v>
      </c>
      <c r="AI47" s="28" t="s">
        <v>17853</v>
      </c>
      <c r="AJ47" s="516" t="str">
        <f>MID('II kw.22'!W47,8,6)</f>
        <v>112007</v>
      </c>
      <c r="AK47" s="516">
        <v>1</v>
      </c>
      <c r="AL47" s="516">
        <f t="shared" si="0"/>
        <v>1</v>
      </c>
      <c r="AM47" s="516">
        <v>1</v>
      </c>
      <c r="AN47" s="28" t="s">
        <v>17650</v>
      </c>
      <c r="AO47" s="28" t="s">
        <v>17651</v>
      </c>
      <c r="AP47" s="28" t="s">
        <v>17652</v>
      </c>
      <c r="AQ47" s="28" t="s">
        <v>17653</v>
      </c>
      <c r="AR47" s="28" t="s">
        <v>1024</v>
      </c>
    </row>
    <row r="48" spans="1:44" x14ac:dyDescent="0.25">
      <c r="A48" s="28" t="s">
        <v>4026</v>
      </c>
      <c r="B48" s="28" t="s">
        <v>17857</v>
      </c>
      <c r="C48" s="28" t="s">
        <v>43</v>
      </c>
      <c r="D48" s="28" t="s">
        <v>17642</v>
      </c>
      <c r="E48" s="28" t="s">
        <v>192</v>
      </c>
      <c r="F48" s="28">
        <v>1</v>
      </c>
      <c r="G48" s="28" t="s">
        <v>193</v>
      </c>
      <c r="H48" s="28" t="s">
        <v>194</v>
      </c>
      <c r="I48" s="28" t="s">
        <v>17656</v>
      </c>
      <c r="J48" s="28" t="s">
        <v>9302</v>
      </c>
      <c r="K48" s="28" t="s">
        <v>9309</v>
      </c>
      <c r="L48" s="28" t="s">
        <v>6955</v>
      </c>
      <c r="N48" s="28" t="s">
        <v>17858</v>
      </c>
      <c r="O48" s="28" t="s">
        <v>6254</v>
      </c>
      <c r="P48" s="28" t="s">
        <v>17846</v>
      </c>
      <c r="Q48" s="28" t="s">
        <v>17805</v>
      </c>
      <c r="R48" s="28" t="s">
        <v>17847</v>
      </c>
      <c r="S48" s="28" t="s">
        <v>17859</v>
      </c>
      <c r="T48" s="28" t="s">
        <v>17860</v>
      </c>
      <c r="V48" s="27"/>
      <c r="W48" s="28" t="s">
        <v>452</v>
      </c>
      <c r="X48" s="28" t="s">
        <v>193</v>
      </c>
      <c r="Y48" s="27" t="s">
        <v>9310</v>
      </c>
      <c r="AB48" s="28" t="s">
        <v>9311</v>
      </c>
      <c r="AH48" s="28" t="s">
        <v>4714</v>
      </c>
      <c r="AI48" s="28" t="s">
        <v>17857</v>
      </c>
      <c r="AJ48" s="516" t="str">
        <f>MID('II kw.22'!W48,8,6)</f>
        <v>243106</v>
      </c>
      <c r="AK48" s="516">
        <v>1</v>
      </c>
      <c r="AL48" s="516">
        <f t="shared" si="0"/>
        <v>1</v>
      </c>
      <c r="AM48" s="516">
        <v>1</v>
      </c>
      <c r="AN48" s="28" t="s">
        <v>17650</v>
      </c>
      <c r="AO48" s="28" t="s">
        <v>17651</v>
      </c>
      <c r="AP48" s="28" t="s">
        <v>17652</v>
      </c>
      <c r="AQ48" s="28" t="s">
        <v>17653</v>
      </c>
      <c r="AR48" s="28" t="s">
        <v>1024</v>
      </c>
    </row>
    <row r="49" spans="1:44" x14ac:dyDescent="0.25">
      <c r="A49" s="28" t="s">
        <v>17861</v>
      </c>
      <c r="B49" s="28" t="s">
        <v>17862</v>
      </c>
      <c r="C49" s="28" t="s">
        <v>10</v>
      </c>
      <c r="D49" s="28" t="s">
        <v>17642</v>
      </c>
      <c r="E49" s="28" t="s">
        <v>192</v>
      </c>
      <c r="F49" s="28">
        <v>1</v>
      </c>
      <c r="G49" s="28" t="s">
        <v>193</v>
      </c>
      <c r="H49" s="28" t="s">
        <v>194</v>
      </c>
      <c r="I49" s="28" t="s">
        <v>17759</v>
      </c>
      <c r="J49" s="28" t="s">
        <v>9302</v>
      </c>
      <c r="K49" s="28" t="s">
        <v>9309</v>
      </c>
      <c r="L49" s="28" t="s">
        <v>6955</v>
      </c>
      <c r="N49" s="28" t="s">
        <v>17863</v>
      </c>
      <c r="O49" s="28" t="s">
        <v>6261</v>
      </c>
      <c r="P49" s="28" t="s">
        <v>17846</v>
      </c>
      <c r="Q49" s="28" t="s">
        <v>17805</v>
      </c>
      <c r="R49" s="28" t="s">
        <v>17847</v>
      </c>
      <c r="S49" s="28" t="s">
        <v>17864</v>
      </c>
      <c r="T49" s="28" t="s">
        <v>17865</v>
      </c>
      <c r="V49" s="27"/>
      <c r="W49" s="28" t="s">
        <v>484</v>
      </c>
      <c r="X49" s="28" t="s">
        <v>193</v>
      </c>
      <c r="Y49" s="27" t="s">
        <v>9310</v>
      </c>
      <c r="AB49" s="28" t="s">
        <v>9311</v>
      </c>
      <c r="AH49" s="28" t="s">
        <v>4714</v>
      </c>
      <c r="AI49" s="28" t="s">
        <v>17862</v>
      </c>
      <c r="AJ49" s="516" t="str">
        <f>MID('II kw.22'!W49,8,6)</f>
        <v>251401</v>
      </c>
      <c r="AK49" s="516">
        <v>1</v>
      </c>
      <c r="AL49" s="516">
        <f t="shared" si="0"/>
        <v>1</v>
      </c>
      <c r="AM49" s="516">
        <v>1</v>
      </c>
      <c r="AN49" s="28" t="s">
        <v>17650</v>
      </c>
      <c r="AO49" s="28" t="s">
        <v>17651</v>
      </c>
      <c r="AP49" s="28" t="s">
        <v>17652</v>
      </c>
      <c r="AQ49" s="28" t="s">
        <v>17653</v>
      </c>
      <c r="AR49" s="28" t="s">
        <v>1024</v>
      </c>
    </row>
    <row r="50" spans="1:44" x14ac:dyDescent="0.25">
      <c r="A50" s="28" t="s">
        <v>17861</v>
      </c>
      <c r="B50" s="28" t="s">
        <v>17866</v>
      </c>
      <c r="C50" s="28" t="s">
        <v>10</v>
      </c>
      <c r="D50" s="28" t="s">
        <v>17642</v>
      </c>
      <c r="E50" s="28" t="s">
        <v>192</v>
      </c>
      <c r="F50" s="28">
        <v>1</v>
      </c>
      <c r="G50" s="28" t="s">
        <v>193</v>
      </c>
      <c r="H50" s="28" t="s">
        <v>194</v>
      </c>
      <c r="I50" s="28" t="s">
        <v>17784</v>
      </c>
      <c r="J50" s="28" t="s">
        <v>9302</v>
      </c>
      <c r="K50" s="28" t="s">
        <v>9309</v>
      </c>
      <c r="L50" s="28" t="s">
        <v>6955</v>
      </c>
      <c r="N50" s="28" t="s">
        <v>17867</v>
      </c>
      <c r="O50" s="28" t="s">
        <v>6261</v>
      </c>
      <c r="P50" s="28" t="s">
        <v>17846</v>
      </c>
      <c r="Q50" s="28" t="s">
        <v>17805</v>
      </c>
      <c r="R50" s="28" t="s">
        <v>17847</v>
      </c>
      <c r="S50" s="28" t="s">
        <v>17868</v>
      </c>
      <c r="T50" s="28" t="s">
        <v>17869</v>
      </c>
      <c r="V50" s="27"/>
      <c r="W50" s="28" t="s">
        <v>484</v>
      </c>
      <c r="X50" s="28" t="s">
        <v>193</v>
      </c>
      <c r="Y50" s="27" t="s">
        <v>9310</v>
      </c>
      <c r="AB50" s="28" t="s">
        <v>9311</v>
      </c>
      <c r="AH50" s="28" t="s">
        <v>4714</v>
      </c>
      <c r="AI50" s="28" t="s">
        <v>17866</v>
      </c>
      <c r="AJ50" s="516" t="str">
        <f>MID('II kw.22'!W50,8,6)</f>
        <v>251401</v>
      </c>
      <c r="AK50" s="516">
        <v>1</v>
      </c>
      <c r="AL50" s="516">
        <f t="shared" si="0"/>
        <v>1</v>
      </c>
      <c r="AM50" s="516">
        <v>1</v>
      </c>
      <c r="AN50" s="28" t="s">
        <v>17650</v>
      </c>
      <c r="AO50" s="28" t="s">
        <v>17651</v>
      </c>
      <c r="AP50" s="28" t="s">
        <v>17652</v>
      </c>
      <c r="AQ50" s="28" t="s">
        <v>17653</v>
      </c>
      <c r="AR50" s="28" t="s">
        <v>1024</v>
      </c>
    </row>
    <row r="51" spans="1:44" x14ac:dyDescent="0.25">
      <c r="A51" s="28" t="s">
        <v>17861</v>
      </c>
      <c r="B51" s="28" t="s">
        <v>17870</v>
      </c>
      <c r="C51" s="28" t="s">
        <v>10</v>
      </c>
      <c r="D51" s="28" t="s">
        <v>17642</v>
      </c>
      <c r="E51" s="28" t="s">
        <v>192</v>
      </c>
      <c r="F51" s="28">
        <v>1</v>
      </c>
      <c r="G51" s="28" t="s">
        <v>193</v>
      </c>
      <c r="H51" s="28" t="s">
        <v>194</v>
      </c>
      <c r="I51" s="28" t="s">
        <v>17656</v>
      </c>
      <c r="J51" s="28" t="s">
        <v>9302</v>
      </c>
      <c r="K51" s="28" t="s">
        <v>9309</v>
      </c>
      <c r="L51" s="28" t="s">
        <v>6955</v>
      </c>
      <c r="N51" s="28" t="s">
        <v>17871</v>
      </c>
      <c r="O51" s="28" t="s">
        <v>6261</v>
      </c>
      <c r="P51" s="28" t="s">
        <v>17846</v>
      </c>
      <c r="Q51" s="28" t="s">
        <v>17805</v>
      </c>
      <c r="R51" s="28" t="s">
        <v>17847</v>
      </c>
      <c r="S51" s="28" t="s">
        <v>17872</v>
      </c>
      <c r="T51" s="28" t="s">
        <v>17873</v>
      </c>
      <c r="V51" s="27"/>
      <c r="W51" s="28" t="s">
        <v>484</v>
      </c>
      <c r="X51" s="28" t="s">
        <v>193</v>
      </c>
      <c r="Y51" s="27" t="s">
        <v>9310</v>
      </c>
      <c r="AB51" s="28" t="s">
        <v>9311</v>
      </c>
      <c r="AH51" s="28" t="s">
        <v>4714</v>
      </c>
      <c r="AI51" s="28" t="s">
        <v>17870</v>
      </c>
      <c r="AJ51" s="516" t="str">
        <f>MID('II kw.22'!W51,8,6)</f>
        <v>251401</v>
      </c>
      <c r="AK51" s="516">
        <v>1</v>
      </c>
      <c r="AL51" s="516">
        <f t="shared" si="0"/>
        <v>1</v>
      </c>
      <c r="AM51" s="516">
        <v>1</v>
      </c>
      <c r="AN51" s="28" t="s">
        <v>17650</v>
      </c>
      <c r="AO51" s="28" t="s">
        <v>17651</v>
      </c>
      <c r="AP51" s="28" t="s">
        <v>17652</v>
      </c>
      <c r="AQ51" s="28" t="s">
        <v>17653</v>
      </c>
      <c r="AR51" s="28" t="s">
        <v>1024</v>
      </c>
    </row>
    <row r="52" spans="1:44" x14ac:dyDescent="0.25">
      <c r="A52" s="28" t="s">
        <v>10378</v>
      </c>
      <c r="B52" s="28" t="s">
        <v>10379</v>
      </c>
      <c r="C52" s="28" t="s">
        <v>870</v>
      </c>
      <c r="D52" s="28" t="s">
        <v>17642</v>
      </c>
      <c r="E52" s="28" t="s">
        <v>192</v>
      </c>
      <c r="F52" s="28">
        <v>1</v>
      </c>
      <c r="G52" s="28" t="s">
        <v>193</v>
      </c>
      <c r="H52" s="28" t="s">
        <v>194</v>
      </c>
      <c r="I52" s="28" t="s">
        <v>17643</v>
      </c>
      <c r="J52" s="28" t="s">
        <v>9302</v>
      </c>
      <c r="K52" s="28" t="s">
        <v>9309</v>
      </c>
      <c r="L52" s="28" t="s">
        <v>6955</v>
      </c>
      <c r="N52" s="28" t="s">
        <v>17874</v>
      </c>
      <c r="O52" s="28" t="s">
        <v>7001</v>
      </c>
      <c r="P52" s="28" t="s">
        <v>17846</v>
      </c>
      <c r="Q52" s="28" t="s">
        <v>17805</v>
      </c>
      <c r="R52" s="28" t="s">
        <v>17847</v>
      </c>
      <c r="S52" s="28" t="s">
        <v>17875</v>
      </c>
      <c r="T52" s="28" t="s">
        <v>17876</v>
      </c>
      <c r="V52" s="27"/>
      <c r="W52" s="28" t="s">
        <v>872</v>
      </c>
      <c r="X52" s="28" t="s">
        <v>193</v>
      </c>
      <c r="Y52" s="27" t="s">
        <v>9310</v>
      </c>
      <c r="AB52" s="28" t="s">
        <v>9311</v>
      </c>
      <c r="AH52" s="28" t="s">
        <v>4714</v>
      </c>
      <c r="AI52" s="28" t="s">
        <v>10379</v>
      </c>
      <c r="AJ52" s="516" t="str">
        <f>MID('II kw.22'!W52,8,6)</f>
        <v>832202</v>
      </c>
      <c r="AK52" s="516">
        <v>1</v>
      </c>
      <c r="AL52" s="516">
        <f t="shared" si="0"/>
        <v>1</v>
      </c>
      <c r="AM52" s="516">
        <v>1</v>
      </c>
      <c r="AN52" s="28" t="s">
        <v>17650</v>
      </c>
      <c r="AO52" s="28" t="s">
        <v>17651</v>
      </c>
      <c r="AP52" s="28" t="s">
        <v>17652</v>
      </c>
      <c r="AQ52" s="28" t="s">
        <v>17653</v>
      </c>
      <c r="AR52" s="28" t="s">
        <v>1024</v>
      </c>
    </row>
    <row r="53" spans="1:44" x14ac:dyDescent="0.25">
      <c r="A53" s="28" t="s">
        <v>17877</v>
      </c>
      <c r="B53" s="28" t="s">
        <v>17878</v>
      </c>
      <c r="C53" s="28" t="s">
        <v>119</v>
      </c>
      <c r="D53" s="28" t="s">
        <v>17642</v>
      </c>
      <c r="E53" s="28" t="s">
        <v>192</v>
      </c>
      <c r="F53" s="28">
        <v>1</v>
      </c>
      <c r="G53" s="28" t="s">
        <v>193</v>
      </c>
      <c r="H53" s="28" t="s">
        <v>194</v>
      </c>
      <c r="I53" s="28" t="s">
        <v>17656</v>
      </c>
      <c r="J53" s="28" t="s">
        <v>9302</v>
      </c>
      <c r="K53" s="28" t="s">
        <v>9309</v>
      </c>
      <c r="L53" s="28" t="s">
        <v>6955</v>
      </c>
      <c r="N53" s="28" t="s">
        <v>17879</v>
      </c>
      <c r="O53" s="28" t="s">
        <v>6266</v>
      </c>
      <c r="P53" s="28" t="s">
        <v>17846</v>
      </c>
      <c r="Q53" s="28" t="s">
        <v>17805</v>
      </c>
      <c r="R53" s="28" t="s">
        <v>17847</v>
      </c>
      <c r="S53" s="28" t="s">
        <v>17880</v>
      </c>
      <c r="T53" s="28" t="s">
        <v>17881</v>
      </c>
      <c r="V53" s="28" t="s">
        <v>17882</v>
      </c>
      <c r="W53" s="28" t="s">
        <v>666</v>
      </c>
      <c r="X53" s="28" t="s">
        <v>194</v>
      </c>
      <c r="Y53" s="28" t="s">
        <v>10592</v>
      </c>
      <c r="AB53" s="28" t="s">
        <v>9311</v>
      </c>
      <c r="AH53" s="28" t="s">
        <v>4714</v>
      </c>
      <c r="AI53" s="28" t="s">
        <v>17878</v>
      </c>
      <c r="AJ53" s="516" t="str">
        <f>MID('II kw.22'!W53,8,6)</f>
        <v>333105</v>
      </c>
      <c r="AK53" s="516">
        <v>1</v>
      </c>
      <c r="AL53" s="516">
        <f t="shared" si="0"/>
        <v>1</v>
      </c>
      <c r="AM53" s="516">
        <v>1</v>
      </c>
      <c r="AN53" s="28" t="s">
        <v>17650</v>
      </c>
      <c r="AO53" s="28" t="s">
        <v>17651</v>
      </c>
      <c r="AP53" s="28" t="s">
        <v>17652</v>
      </c>
      <c r="AQ53" s="28" t="s">
        <v>17653</v>
      </c>
      <c r="AR53" s="28" t="s">
        <v>1024</v>
      </c>
    </row>
    <row r="54" spans="1:44" x14ac:dyDescent="0.25">
      <c r="A54" s="28" t="s">
        <v>10467</v>
      </c>
      <c r="B54" s="28" t="s">
        <v>17883</v>
      </c>
      <c r="C54" s="28" t="s">
        <v>36</v>
      </c>
      <c r="D54" s="28" t="s">
        <v>17642</v>
      </c>
      <c r="E54" s="28" t="s">
        <v>192</v>
      </c>
      <c r="F54" s="28">
        <v>1</v>
      </c>
      <c r="G54" s="28" t="s">
        <v>193</v>
      </c>
      <c r="H54" s="28" t="s">
        <v>194</v>
      </c>
      <c r="I54" s="28" t="s">
        <v>17643</v>
      </c>
      <c r="J54" s="28" t="s">
        <v>9302</v>
      </c>
      <c r="K54" s="28" t="s">
        <v>9309</v>
      </c>
      <c r="L54" s="28" t="s">
        <v>6955</v>
      </c>
      <c r="N54" s="28" t="s">
        <v>17884</v>
      </c>
      <c r="O54" s="28" t="s">
        <v>6254</v>
      </c>
      <c r="P54" s="28" t="s">
        <v>17846</v>
      </c>
      <c r="Q54" s="28" t="s">
        <v>17805</v>
      </c>
      <c r="R54" s="28" t="s">
        <v>17847</v>
      </c>
      <c r="S54" s="28" t="s">
        <v>17885</v>
      </c>
      <c r="T54" s="28" t="s">
        <v>17886</v>
      </c>
      <c r="V54" s="27"/>
      <c r="W54" s="28" t="s">
        <v>609</v>
      </c>
      <c r="X54" s="28" t="s">
        <v>193</v>
      </c>
      <c r="Y54" s="27" t="s">
        <v>9310</v>
      </c>
      <c r="AB54" s="28" t="s">
        <v>9311</v>
      </c>
      <c r="AH54" s="28" t="s">
        <v>4714</v>
      </c>
      <c r="AI54" s="28" t="s">
        <v>17883</v>
      </c>
      <c r="AJ54" s="516" t="str">
        <f>MID('II kw.22'!W54,8,6)</f>
        <v>331301</v>
      </c>
      <c r="AK54" s="516">
        <v>1</v>
      </c>
      <c r="AL54" s="516">
        <f t="shared" si="0"/>
        <v>1</v>
      </c>
      <c r="AM54" s="516">
        <v>1</v>
      </c>
      <c r="AN54" s="28" t="s">
        <v>17650</v>
      </c>
      <c r="AO54" s="28" t="s">
        <v>17651</v>
      </c>
      <c r="AP54" s="28" t="s">
        <v>17652</v>
      </c>
      <c r="AQ54" s="28" t="s">
        <v>17653</v>
      </c>
      <c r="AR54" s="28" t="s">
        <v>1024</v>
      </c>
    </row>
    <row r="55" spans="1:44" x14ac:dyDescent="0.25">
      <c r="A55" s="28" t="s">
        <v>17887</v>
      </c>
      <c r="B55" s="28" t="s">
        <v>10970</v>
      </c>
      <c r="C55" s="28" t="s">
        <v>8953</v>
      </c>
      <c r="D55" s="28" t="s">
        <v>17642</v>
      </c>
      <c r="E55" s="28" t="s">
        <v>192</v>
      </c>
      <c r="F55" s="28">
        <v>1</v>
      </c>
      <c r="G55" s="28" t="s">
        <v>193</v>
      </c>
      <c r="H55" s="28" t="s">
        <v>194</v>
      </c>
      <c r="I55" s="28" t="s">
        <v>17672</v>
      </c>
      <c r="J55" s="28" t="s">
        <v>9302</v>
      </c>
      <c r="K55" s="28" t="s">
        <v>9309</v>
      </c>
      <c r="L55" s="28" t="s">
        <v>6955</v>
      </c>
      <c r="N55" s="28" t="s">
        <v>17888</v>
      </c>
      <c r="O55" s="28" t="s">
        <v>6921</v>
      </c>
      <c r="P55" s="28" t="s">
        <v>17846</v>
      </c>
      <c r="Q55" s="28" t="s">
        <v>17805</v>
      </c>
      <c r="R55" s="28" t="s">
        <v>17847</v>
      </c>
      <c r="S55" s="28" t="s">
        <v>17889</v>
      </c>
      <c r="T55" s="28" t="s">
        <v>17890</v>
      </c>
      <c r="V55" s="27"/>
      <c r="W55" s="28" t="s">
        <v>8955</v>
      </c>
      <c r="X55" s="28" t="s">
        <v>193</v>
      </c>
      <c r="Y55" s="27" t="s">
        <v>9310</v>
      </c>
      <c r="AB55" s="28" t="s">
        <v>9311</v>
      </c>
      <c r="AH55" s="28" t="s">
        <v>4714</v>
      </c>
      <c r="AI55" s="28" t="s">
        <v>10970</v>
      </c>
      <c r="AJ55" s="516" t="str">
        <f>MID('II kw.22'!W55,8,6)</f>
        <v>252103</v>
      </c>
      <c r="AK55" s="516">
        <v>1</v>
      </c>
      <c r="AL55" s="516">
        <f t="shared" si="0"/>
        <v>1</v>
      </c>
      <c r="AM55" s="516">
        <v>1</v>
      </c>
      <c r="AN55" s="28" t="s">
        <v>17650</v>
      </c>
      <c r="AO55" s="28" t="s">
        <v>17651</v>
      </c>
      <c r="AP55" s="28" t="s">
        <v>17652</v>
      </c>
      <c r="AQ55" s="28" t="s">
        <v>17653</v>
      </c>
      <c r="AR55" s="28" t="s">
        <v>1024</v>
      </c>
    </row>
    <row r="56" spans="1:44" x14ac:dyDescent="0.25">
      <c r="A56" s="28" t="s">
        <v>17036</v>
      </c>
      <c r="B56" s="28" t="s">
        <v>7706</v>
      </c>
      <c r="C56" s="28" t="s">
        <v>2861</v>
      </c>
      <c r="D56" s="28" t="s">
        <v>17642</v>
      </c>
      <c r="E56" s="28" t="s">
        <v>192</v>
      </c>
      <c r="F56" s="28">
        <v>1</v>
      </c>
      <c r="G56" s="28" t="s">
        <v>193</v>
      </c>
      <c r="H56" s="28" t="s">
        <v>194</v>
      </c>
      <c r="I56" s="28" t="s">
        <v>17656</v>
      </c>
      <c r="J56" s="28" t="s">
        <v>9302</v>
      </c>
      <c r="K56" s="28" t="s">
        <v>9309</v>
      </c>
      <c r="L56" s="28" t="s">
        <v>6955</v>
      </c>
      <c r="N56" s="28" t="s">
        <v>17891</v>
      </c>
      <c r="O56" s="28" t="s">
        <v>6261</v>
      </c>
      <c r="P56" s="28" t="s">
        <v>17846</v>
      </c>
      <c r="Q56" s="28" t="s">
        <v>17805</v>
      </c>
      <c r="R56" s="28" t="s">
        <v>17847</v>
      </c>
      <c r="S56" s="28" t="s">
        <v>17892</v>
      </c>
      <c r="T56" s="28" t="s">
        <v>17893</v>
      </c>
      <c r="V56" s="27"/>
      <c r="W56" s="28" t="s">
        <v>3629</v>
      </c>
      <c r="X56" s="28" t="s">
        <v>193</v>
      </c>
      <c r="Y56" s="27" t="s">
        <v>9310</v>
      </c>
      <c r="AB56" s="28" t="s">
        <v>9311</v>
      </c>
      <c r="AH56" s="28" t="s">
        <v>4714</v>
      </c>
      <c r="AI56" s="28" t="s">
        <v>7706</v>
      </c>
      <c r="AJ56" s="516" t="str">
        <f>MID('II kw.22'!W56,8,6)</f>
        <v>251903</v>
      </c>
      <c r="AK56" s="516">
        <v>1</v>
      </c>
      <c r="AL56" s="516">
        <f t="shared" si="0"/>
        <v>1</v>
      </c>
      <c r="AM56" s="516">
        <v>1</v>
      </c>
      <c r="AN56" s="28" t="s">
        <v>17650</v>
      </c>
      <c r="AO56" s="28" t="s">
        <v>17651</v>
      </c>
      <c r="AP56" s="28" t="s">
        <v>17652</v>
      </c>
      <c r="AQ56" s="28" t="s">
        <v>17653</v>
      </c>
      <c r="AR56" s="28" t="s">
        <v>1024</v>
      </c>
    </row>
    <row r="57" spans="1:44" x14ac:dyDescent="0.25">
      <c r="A57" s="28" t="s">
        <v>17894</v>
      </c>
      <c r="B57" s="28" t="s">
        <v>1322</v>
      </c>
      <c r="C57" s="28" t="s">
        <v>3367</v>
      </c>
      <c r="D57" s="28" t="s">
        <v>17642</v>
      </c>
      <c r="E57" s="28" t="s">
        <v>192</v>
      </c>
      <c r="F57" s="28">
        <v>1</v>
      </c>
      <c r="G57" s="28" t="s">
        <v>193</v>
      </c>
      <c r="H57" s="28" t="s">
        <v>194</v>
      </c>
      <c r="I57" s="28" t="s">
        <v>17784</v>
      </c>
      <c r="J57" s="28" t="s">
        <v>9302</v>
      </c>
      <c r="K57" s="28" t="s">
        <v>9309</v>
      </c>
      <c r="L57" s="28" t="s">
        <v>6955</v>
      </c>
      <c r="N57" s="28" t="s">
        <v>17895</v>
      </c>
      <c r="O57" s="28" t="s">
        <v>6261</v>
      </c>
      <c r="P57" s="28" t="s">
        <v>17846</v>
      </c>
      <c r="Q57" s="28" t="s">
        <v>17805</v>
      </c>
      <c r="R57" s="28" t="s">
        <v>17847</v>
      </c>
      <c r="S57" s="28" t="s">
        <v>17896</v>
      </c>
      <c r="T57" s="28" t="s">
        <v>17897</v>
      </c>
      <c r="V57" s="27"/>
      <c r="W57" s="28" t="s">
        <v>3368</v>
      </c>
      <c r="X57" s="28" t="s">
        <v>193</v>
      </c>
      <c r="Y57" s="27" t="s">
        <v>9310</v>
      </c>
      <c r="AB57" s="28" t="s">
        <v>9311</v>
      </c>
      <c r="AH57" s="28" t="s">
        <v>4714</v>
      </c>
      <c r="AI57" s="138" t="s">
        <v>1322</v>
      </c>
      <c r="AJ57" s="516" t="str">
        <f>MID('II kw.22'!W57,8,6)</f>
        <v>133001</v>
      </c>
      <c r="AK57" s="516">
        <v>1</v>
      </c>
      <c r="AL57" s="516">
        <f t="shared" si="0"/>
        <v>1</v>
      </c>
      <c r="AM57" s="516">
        <v>1</v>
      </c>
      <c r="AN57" s="28" t="s">
        <v>17650</v>
      </c>
      <c r="AO57" s="28" t="s">
        <v>17651</v>
      </c>
      <c r="AP57" s="28" t="s">
        <v>17652</v>
      </c>
      <c r="AQ57" s="28" t="s">
        <v>17653</v>
      </c>
      <c r="AR57" s="28" t="s">
        <v>1024</v>
      </c>
    </row>
    <row r="58" spans="1:44" x14ac:dyDescent="0.25">
      <c r="A58" s="28" t="s">
        <v>17898</v>
      </c>
      <c r="B58" s="28" t="s">
        <v>17899</v>
      </c>
      <c r="C58" s="28" t="s">
        <v>100</v>
      </c>
      <c r="D58" s="28" t="s">
        <v>17642</v>
      </c>
      <c r="E58" s="28" t="s">
        <v>192</v>
      </c>
      <c r="F58" s="28">
        <v>1</v>
      </c>
      <c r="G58" s="28" t="s">
        <v>193</v>
      </c>
      <c r="H58" s="28" t="s">
        <v>194</v>
      </c>
      <c r="I58" s="28" t="s">
        <v>17656</v>
      </c>
      <c r="J58" s="28" t="s">
        <v>9302</v>
      </c>
      <c r="K58" s="28" t="s">
        <v>9309</v>
      </c>
      <c r="L58" s="28" t="s">
        <v>6955</v>
      </c>
      <c r="N58" s="28" t="s">
        <v>17900</v>
      </c>
      <c r="O58" s="28" t="s">
        <v>6266</v>
      </c>
      <c r="P58" s="28" t="s">
        <v>17846</v>
      </c>
      <c r="Q58" s="28" t="s">
        <v>17805</v>
      </c>
      <c r="R58" s="28" t="s">
        <v>17847</v>
      </c>
      <c r="S58" s="28" t="s">
        <v>17901</v>
      </c>
      <c r="T58" s="28" t="s">
        <v>17902</v>
      </c>
      <c r="V58" s="27"/>
      <c r="W58" s="28" t="s">
        <v>429</v>
      </c>
      <c r="X58" s="28" t="s">
        <v>193</v>
      </c>
      <c r="Y58" s="27" t="s">
        <v>9310</v>
      </c>
      <c r="AB58" s="28" t="s">
        <v>9311</v>
      </c>
      <c r="AH58" s="28" t="s">
        <v>4714</v>
      </c>
      <c r="AI58" s="28" t="s">
        <v>17899</v>
      </c>
      <c r="AJ58" s="516" t="str">
        <f>MID('II kw.22'!W58,8,6)</f>
        <v>242108</v>
      </c>
      <c r="AK58" s="516">
        <v>1</v>
      </c>
      <c r="AL58" s="516">
        <f t="shared" si="0"/>
        <v>1</v>
      </c>
      <c r="AM58" s="516">
        <v>1</v>
      </c>
      <c r="AN58" s="28" t="s">
        <v>17650</v>
      </c>
      <c r="AO58" s="28" t="s">
        <v>17651</v>
      </c>
      <c r="AP58" s="28" t="s">
        <v>17652</v>
      </c>
      <c r="AQ58" s="28" t="s">
        <v>17653</v>
      </c>
      <c r="AR58" s="28" t="s">
        <v>1024</v>
      </c>
    </row>
    <row r="59" spans="1:44" x14ac:dyDescent="0.25">
      <c r="A59" s="28" t="s">
        <v>17903</v>
      </c>
      <c r="B59" s="28" t="s">
        <v>17904</v>
      </c>
      <c r="C59" s="28" t="s">
        <v>66</v>
      </c>
      <c r="D59" s="28" t="s">
        <v>17642</v>
      </c>
      <c r="E59" s="28" t="s">
        <v>192</v>
      </c>
      <c r="F59" s="519">
        <v>4</v>
      </c>
      <c r="G59" s="28" t="s">
        <v>193</v>
      </c>
      <c r="H59" s="28" t="s">
        <v>194</v>
      </c>
      <c r="I59" s="28" t="s">
        <v>17706</v>
      </c>
      <c r="J59" s="28" t="s">
        <v>9302</v>
      </c>
      <c r="K59" s="28" t="s">
        <v>9309</v>
      </c>
      <c r="L59" s="28" t="s">
        <v>6955</v>
      </c>
      <c r="N59" s="28" t="s">
        <v>17905</v>
      </c>
      <c r="O59" s="28" t="s">
        <v>7531</v>
      </c>
      <c r="P59" s="28" t="s">
        <v>17846</v>
      </c>
      <c r="Q59" s="28" t="s">
        <v>17805</v>
      </c>
      <c r="R59" s="28" t="s">
        <v>17847</v>
      </c>
      <c r="S59" s="28" t="s">
        <v>17906</v>
      </c>
      <c r="T59" s="28" t="s">
        <v>17907</v>
      </c>
      <c r="V59" s="27"/>
      <c r="W59" s="28" t="s">
        <v>1503</v>
      </c>
      <c r="X59" s="28" t="s">
        <v>193</v>
      </c>
      <c r="Y59" s="27" t="s">
        <v>9310</v>
      </c>
      <c r="AB59" s="28" t="s">
        <v>9311</v>
      </c>
      <c r="AH59" s="28" t="s">
        <v>4714</v>
      </c>
      <c r="AI59" s="28" t="s">
        <v>17904</v>
      </c>
      <c r="AJ59" s="516" t="str">
        <f>MID('II kw.22'!W59,8,6)</f>
        <v>241107</v>
      </c>
      <c r="AK59" s="516">
        <v>1</v>
      </c>
      <c r="AL59" s="516">
        <f t="shared" si="0"/>
        <v>4</v>
      </c>
      <c r="AM59" s="516">
        <v>1</v>
      </c>
      <c r="AN59" s="28" t="s">
        <v>17710</v>
      </c>
      <c r="AO59" s="365" t="s">
        <v>17711</v>
      </c>
      <c r="AP59" s="365" t="s">
        <v>17712</v>
      </c>
      <c r="AQ59" s="365" t="s">
        <v>17713</v>
      </c>
      <c r="AR59" s="365" t="s">
        <v>2675</v>
      </c>
    </row>
    <row r="60" spans="1:44" x14ac:dyDescent="0.25">
      <c r="A60" s="28" t="s">
        <v>17908</v>
      </c>
      <c r="B60" s="28" t="s">
        <v>17909</v>
      </c>
      <c r="C60" s="28" t="s">
        <v>778</v>
      </c>
      <c r="D60" s="28" t="s">
        <v>17642</v>
      </c>
      <c r="E60" s="28" t="s">
        <v>192</v>
      </c>
      <c r="F60" s="28">
        <v>1</v>
      </c>
      <c r="G60" s="28" t="s">
        <v>193</v>
      </c>
      <c r="H60" s="28" t="s">
        <v>194</v>
      </c>
      <c r="I60" s="28" t="s">
        <v>17784</v>
      </c>
      <c r="J60" s="28" t="s">
        <v>9302</v>
      </c>
      <c r="K60" s="28" t="s">
        <v>9309</v>
      </c>
      <c r="L60" s="28" t="s">
        <v>6955</v>
      </c>
      <c r="N60" s="28" t="s">
        <v>17910</v>
      </c>
      <c r="O60" s="28" t="s">
        <v>6251</v>
      </c>
      <c r="P60" s="28" t="s">
        <v>17846</v>
      </c>
      <c r="Q60" s="28" t="s">
        <v>17805</v>
      </c>
      <c r="R60" s="28" t="s">
        <v>17847</v>
      </c>
      <c r="S60" s="28" t="s">
        <v>17911</v>
      </c>
      <c r="T60" s="28" t="s">
        <v>17912</v>
      </c>
      <c r="V60" s="27"/>
      <c r="W60" s="28" t="s">
        <v>779</v>
      </c>
      <c r="X60" s="28" t="s">
        <v>193</v>
      </c>
      <c r="Y60" s="27" t="s">
        <v>9310</v>
      </c>
      <c r="AB60" s="28" t="s">
        <v>9311</v>
      </c>
      <c r="AH60" s="28" t="s">
        <v>4714</v>
      </c>
      <c r="AI60" s="28" t="s">
        <v>17909</v>
      </c>
      <c r="AJ60" s="516" t="str">
        <f>MID('II kw.22'!W60,8,6)</f>
        <v>524902</v>
      </c>
      <c r="AK60" s="516">
        <v>1</v>
      </c>
      <c r="AL60" s="516">
        <f t="shared" si="0"/>
        <v>1</v>
      </c>
      <c r="AM60" s="516">
        <v>1</v>
      </c>
      <c r="AN60" s="28" t="s">
        <v>17650</v>
      </c>
      <c r="AO60" s="28" t="s">
        <v>17651</v>
      </c>
      <c r="AP60" s="28" t="s">
        <v>17652</v>
      </c>
      <c r="AQ60" s="28" t="s">
        <v>17653</v>
      </c>
      <c r="AR60" s="28" t="s">
        <v>1024</v>
      </c>
    </row>
    <row r="61" spans="1:44" x14ac:dyDescent="0.25">
      <c r="A61" s="28" t="s">
        <v>17913</v>
      </c>
      <c r="B61" s="28" t="s">
        <v>1145</v>
      </c>
      <c r="C61" s="28" t="s">
        <v>80</v>
      </c>
      <c r="D61" s="28" t="s">
        <v>17642</v>
      </c>
      <c r="E61" s="28" t="s">
        <v>192</v>
      </c>
      <c r="F61" s="28">
        <v>1</v>
      </c>
      <c r="G61" s="28" t="s">
        <v>193</v>
      </c>
      <c r="H61" s="28" t="s">
        <v>194</v>
      </c>
      <c r="I61" s="28" t="s">
        <v>17672</v>
      </c>
      <c r="J61" s="28" t="s">
        <v>9302</v>
      </c>
      <c r="K61" s="28" t="s">
        <v>9309</v>
      </c>
      <c r="L61" s="28" t="s">
        <v>6955</v>
      </c>
      <c r="N61" s="28" t="s">
        <v>17914</v>
      </c>
      <c r="O61" s="28" t="s">
        <v>6343</v>
      </c>
      <c r="P61" s="28" t="s">
        <v>17846</v>
      </c>
      <c r="Q61" s="28" t="s">
        <v>17805</v>
      </c>
      <c r="R61" s="28" t="s">
        <v>17847</v>
      </c>
      <c r="S61" s="28" t="s">
        <v>17915</v>
      </c>
      <c r="T61" s="28" t="s">
        <v>17916</v>
      </c>
      <c r="V61" s="27"/>
      <c r="W61" s="28" t="s">
        <v>474</v>
      </c>
      <c r="X61" s="28" t="s">
        <v>193</v>
      </c>
      <c r="Y61" s="27" t="s">
        <v>9310</v>
      </c>
      <c r="AB61" s="28" t="s">
        <v>9311</v>
      </c>
      <c r="AH61" s="28" t="s">
        <v>4714</v>
      </c>
      <c r="AI61" s="28" t="s">
        <v>1145</v>
      </c>
      <c r="AJ61" s="516" t="str">
        <f>MID('II kw.22'!W61,8,6)</f>
        <v>243304</v>
      </c>
      <c r="AK61" s="516">
        <v>1</v>
      </c>
      <c r="AL61" s="516">
        <f t="shared" si="0"/>
        <v>1</v>
      </c>
      <c r="AM61" s="516">
        <v>1</v>
      </c>
      <c r="AN61" s="28" t="s">
        <v>17650</v>
      </c>
      <c r="AO61" s="28" t="s">
        <v>17651</v>
      </c>
      <c r="AP61" s="28" t="s">
        <v>17652</v>
      </c>
      <c r="AQ61" s="28" t="s">
        <v>17653</v>
      </c>
      <c r="AR61" s="28" t="s">
        <v>1024</v>
      </c>
    </row>
    <row r="62" spans="1:44" x14ac:dyDescent="0.25">
      <c r="A62" s="28" t="s">
        <v>690</v>
      </c>
      <c r="B62" s="28" t="s">
        <v>17917</v>
      </c>
      <c r="C62" s="28" t="s">
        <v>37</v>
      </c>
      <c r="D62" s="28" t="s">
        <v>17642</v>
      </c>
      <c r="E62" s="28" t="s">
        <v>192</v>
      </c>
      <c r="F62" s="28">
        <v>1</v>
      </c>
      <c r="G62" s="28" t="s">
        <v>193</v>
      </c>
      <c r="H62" s="28" t="s">
        <v>194</v>
      </c>
      <c r="I62" s="28" t="s">
        <v>17672</v>
      </c>
      <c r="J62" s="28" t="s">
        <v>9302</v>
      </c>
      <c r="K62" s="28" t="s">
        <v>9309</v>
      </c>
      <c r="L62" s="28" t="s">
        <v>6955</v>
      </c>
      <c r="N62" s="28" t="s">
        <v>17918</v>
      </c>
      <c r="O62" s="28" t="s">
        <v>6921</v>
      </c>
      <c r="P62" s="28" t="s">
        <v>17846</v>
      </c>
      <c r="Q62" s="28" t="s">
        <v>17805</v>
      </c>
      <c r="R62" s="28" t="s">
        <v>17847</v>
      </c>
      <c r="S62" s="28" t="s">
        <v>17919</v>
      </c>
      <c r="T62" s="28" t="s">
        <v>17920</v>
      </c>
      <c r="V62" s="27"/>
      <c r="W62" s="28" t="s">
        <v>516</v>
      </c>
      <c r="X62" s="28" t="s">
        <v>193</v>
      </c>
      <c r="Y62" s="27" t="s">
        <v>9310</v>
      </c>
      <c r="AB62" s="28" t="s">
        <v>9311</v>
      </c>
      <c r="AH62" s="28" t="s">
        <v>4714</v>
      </c>
      <c r="AI62" s="28" t="s">
        <v>17917</v>
      </c>
      <c r="AJ62" s="516" t="str">
        <f>MID('II kw.22'!W62,8,6)</f>
        <v>252302</v>
      </c>
      <c r="AK62" s="516">
        <v>1</v>
      </c>
      <c r="AL62" s="516">
        <f t="shared" si="0"/>
        <v>1</v>
      </c>
      <c r="AM62" s="516">
        <v>1</v>
      </c>
      <c r="AN62" s="28" t="s">
        <v>17650</v>
      </c>
      <c r="AO62" s="28" t="s">
        <v>17651</v>
      </c>
      <c r="AP62" s="28" t="s">
        <v>17652</v>
      </c>
      <c r="AQ62" s="28" t="s">
        <v>17653</v>
      </c>
      <c r="AR62" s="28" t="s">
        <v>1024</v>
      </c>
    </row>
    <row r="63" spans="1:44" x14ac:dyDescent="0.25">
      <c r="A63" s="28" t="s">
        <v>690</v>
      </c>
      <c r="B63" s="28" t="s">
        <v>17921</v>
      </c>
      <c r="C63" s="28" t="s">
        <v>37</v>
      </c>
      <c r="D63" s="28" t="s">
        <v>17642</v>
      </c>
      <c r="E63" s="28" t="s">
        <v>192</v>
      </c>
      <c r="F63" s="28">
        <v>1</v>
      </c>
      <c r="G63" s="28" t="s">
        <v>193</v>
      </c>
      <c r="H63" s="28" t="s">
        <v>194</v>
      </c>
      <c r="I63" s="28" t="s">
        <v>17672</v>
      </c>
      <c r="J63" s="28" t="s">
        <v>9302</v>
      </c>
      <c r="K63" s="28" t="s">
        <v>9309</v>
      </c>
      <c r="L63" s="28" t="s">
        <v>6955</v>
      </c>
      <c r="N63" s="28" t="s">
        <v>17922</v>
      </c>
      <c r="O63" s="28" t="s">
        <v>6921</v>
      </c>
      <c r="P63" s="28" t="s">
        <v>17846</v>
      </c>
      <c r="Q63" s="28" t="s">
        <v>17805</v>
      </c>
      <c r="R63" s="28" t="s">
        <v>17847</v>
      </c>
      <c r="S63" s="28" t="s">
        <v>17923</v>
      </c>
      <c r="T63" s="28" t="s">
        <v>17924</v>
      </c>
      <c r="V63" s="27"/>
      <c r="W63" s="28" t="s">
        <v>516</v>
      </c>
      <c r="X63" s="28" t="s">
        <v>193</v>
      </c>
      <c r="Y63" s="27" t="s">
        <v>9310</v>
      </c>
      <c r="AB63" s="28" t="s">
        <v>9311</v>
      </c>
      <c r="AH63" s="28" t="s">
        <v>4714</v>
      </c>
      <c r="AI63" s="28" t="s">
        <v>17921</v>
      </c>
      <c r="AJ63" s="516" t="str">
        <f>MID('II kw.22'!W63,8,6)</f>
        <v>252302</v>
      </c>
      <c r="AK63" s="516">
        <v>1</v>
      </c>
      <c r="AL63" s="516">
        <f t="shared" si="0"/>
        <v>1</v>
      </c>
      <c r="AM63" s="516">
        <v>1</v>
      </c>
      <c r="AN63" s="28" t="s">
        <v>17650</v>
      </c>
      <c r="AO63" s="28" t="s">
        <v>17651</v>
      </c>
      <c r="AP63" s="28" t="s">
        <v>17652</v>
      </c>
      <c r="AQ63" s="28" t="s">
        <v>17653</v>
      </c>
      <c r="AR63" s="28" t="s">
        <v>1024</v>
      </c>
    </row>
    <row r="64" spans="1:44" x14ac:dyDescent="0.25">
      <c r="A64" s="28" t="s">
        <v>17925</v>
      </c>
      <c r="B64" s="28" t="s">
        <v>467</v>
      </c>
      <c r="C64" s="28" t="s">
        <v>468</v>
      </c>
      <c r="D64" s="28" t="s">
        <v>17642</v>
      </c>
      <c r="E64" s="28" t="s">
        <v>192</v>
      </c>
      <c r="F64" s="28">
        <v>1</v>
      </c>
      <c r="G64" s="28" t="s">
        <v>193</v>
      </c>
      <c r="H64" s="28" t="s">
        <v>194</v>
      </c>
      <c r="I64" s="28" t="s">
        <v>17667</v>
      </c>
      <c r="J64" s="28" t="s">
        <v>9302</v>
      </c>
      <c r="K64" s="28" t="s">
        <v>9309</v>
      </c>
      <c r="L64" s="28" t="s">
        <v>6955</v>
      </c>
      <c r="N64" s="28" t="s">
        <v>17926</v>
      </c>
      <c r="O64" s="28" t="s">
        <v>6288</v>
      </c>
      <c r="P64" s="28" t="s">
        <v>17846</v>
      </c>
      <c r="Q64" s="28" t="s">
        <v>17805</v>
      </c>
      <c r="R64" s="28" t="s">
        <v>17847</v>
      </c>
      <c r="S64" s="28" t="s">
        <v>17927</v>
      </c>
      <c r="T64" s="28" t="s">
        <v>17928</v>
      </c>
      <c r="V64" s="27"/>
      <c r="W64" s="28" t="s">
        <v>469</v>
      </c>
      <c r="X64" s="28" t="s">
        <v>193</v>
      </c>
      <c r="Y64" s="27" t="s">
        <v>9310</v>
      </c>
      <c r="AB64" s="28" t="s">
        <v>9311</v>
      </c>
      <c r="AH64" s="28" t="s">
        <v>4714</v>
      </c>
      <c r="AI64" s="28" t="s">
        <v>467</v>
      </c>
      <c r="AJ64" s="516" t="str">
        <f>MID('II kw.22'!W64,8,6)</f>
        <v>243303</v>
      </c>
      <c r="AK64" s="516">
        <v>1</v>
      </c>
      <c r="AL64" s="516">
        <f t="shared" si="0"/>
        <v>1</v>
      </c>
      <c r="AM64" s="516">
        <v>1</v>
      </c>
      <c r="AN64" s="28" t="s">
        <v>17650</v>
      </c>
      <c r="AO64" s="28" t="s">
        <v>17651</v>
      </c>
      <c r="AP64" s="28" t="s">
        <v>17652</v>
      </c>
      <c r="AQ64" s="28" t="s">
        <v>17653</v>
      </c>
      <c r="AR64" s="28" t="s">
        <v>1024</v>
      </c>
    </row>
    <row r="65" spans="1:44" x14ac:dyDescent="0.25">
      <c r="A65" s="28" t="s">
        <v>690</v>
      </c>
      <c r="B65" s="28" t="s">
        <v>17929</v>
      </c>
      <c r="C65" s="28" t="s">
        <v>46</v>
      </c>
      <c r="D65" s="28" t="s">
        <v>17642</v>
      </c>
      <c r="E65" s="28" t="s">
        <v>192</v>
      </c>
      <c r="F65" s="28">
        <v>1</v>
      </c>
      <c r="G65" s="28" t="s">
        <v>193</v>
      </c>
      <c r="H65" s="28" t="s">
        <v>194</v>
      </c>
      <c r="I65" s="28" t="s">
        <v>17656</v>
      </c>
      <c r="J65" s="28" t="s">
        <v>9302</v>
      </c>
      <c r="K65" s="28" t="s">
        <v>9309</v>
      </c>
      <c r="L65" s="28" t="s">
        <v>6955</v>
      </c>
      <c r="N65" s="28" t="s">
        <v>17930</v>
      </c>
      <c r="O65" s="28" t="s">
        <v>6921</v>
      </c>
      <c r="P65" s="28" t="s">
        <v>17846</v>
      </c>
      <c r="Q65" s="28" t="s">
        <v>17805</v>
      </c>
      <c r="R65" s="28" t="s">
        <v>17847</v>
      </c>
      <c r="S65" s="28" t="s">
        <v>17931</v>
      </c>
      <c r="T65" s="28" t="s">
        <v>17932</v>
      </c>
      <c r="V65" s="27"/>
      <c r="W65" s="28" t="s">
        <v>510</v>
      </c>
      <c r="X65" s="28" t="s">
        <v>193</v>
      </c>
      <c r="Y65" s="27" t="s">
        <v>9310</v>
      </c>
      <c r="AB65" s="28" t="s">
        <v>9311</v>
      </c>
      <c r="AH65" s="28" t="s">
        <v>4714</v>
      </c>
      <c r="AI65" s="28" t="s">
        <v>17929</v>
      </c>
      <c r="AJ65" s="516" t="str">
        <f>MID('II kw.22'!W65,8,6)</f>
        <v>252201</v>
      </c>
      <c r="AK65" s="516">
        <v>1</v>
      </c>
      <c r="AL65" s="516">
        <f t="shared" si="0"/>
        <v>1</v>
      </c>
      <c r="AM65" s="516">
        <v>1</v>
      </c>
      <c r="AN65" s="28" t="s">
        <v>17650</v>
      </c>
      <c r="AO65" s="28" t="s">
        <v>17651</v>
      </c>
      <c r="AP65" s="28" t="s">
        <v>17652</v>
      </c>
      <c r="AQ65" s="28" t="s">
        <v>17653</v>
      </c>
      <c r="AR65" s="28" t="s">
        <v>1024</v>
      </c>
    </row>
    <row r="66" spans="1:44" x14ac:dyDescent="0.25">
      <c r="A66" s="28" t="s">
        <v>690</v>
      </c>
      <c r="B66" s="28" t="s">
        <v>17933</v>
      </c>
      <c r="C66" s="28" t="s">
        <v>82</v>
      </c>
      <c r="D66" s="28" t="s">
        <v>17642</v>
      </c>
      <c r="E66" s="28" t="s">
        <v>192</v>
      </c>
      <c r="F66" s="28">
        <v>1</v>
      </c>
      <c r="G66" s="28" t="s">
        <v>193</v>
      </c>
      <c r="H66" s="28" t="s">
        <v>194</v>
      </c>
      <c r="I66" s="28" t="s">
        <v>17656</v>
      </c>
      <c r="J66" s="28" t="s">
        <v>9302</v>
      </c>
      <c r="K66" s="28" t="s">
        <v>9309</v>
      </c>
      <c r="L66" s="28" t="s">
        <v>6955</v>
      </c>
      <c r="N66" s="28" t="s">
        <v>17934</v>
      </c>
      <c r="O66" s="28" t="s">
        <v>6921</v>
      </c>
      <c r="P66" s="28" t="s">
        <v>17846</v>
      </c>
      <c r="Q66" s="28" t="s">
        <v>17805</v>
      </c>
      <c r="R66" s="28" t="s">
        <v>17847</v>
      </c>
      <c r="S66" s="28" t="s">
        <v>17935</v>
      </c>
      <c r="T66" s="28" t="s">
        <v>17936</v>
      </c>
      <c r="V66" s="27"/>
      <c r="W66" s="28" t="s">
        <v>504</v>
      </c>
      <c r="X66" s="28" t="s">
        <v>193</v>
      </c>
      <c r="Y66" s="27" t="s">
        <v>9310</v>
      </c>
      <c r="AB66" s="28" t="s">
        <v>9311</v>
      </c>
      <c r="AH66" s="28" t="s">
        <v>4714</v>
      </c>
      <c r="AI66" s="28" t="s">
        <v>17933</v>
      </c>
      <c r="AJ66" s="516" t="str">
        <f>MID('II kw.22'!W66,8,6)</f>
        <v>252101</v>
      </c>
      <c r="AK66" s="516">
        <v>1</v>
      </c>
      <c r="AL66" s="516">
        <f t="shared" si="0"/>
        <v>1</v>
      </c>
      <c r="AM66" s="516">
        <v>1</v>
      </c>
      <c r="AN66" s="28" t="s">
        <v>17650</v>
      </c>
      <c r="AO66" s="28" t="s">
        <v>17651</v>
      </c>
      <c r="AP66" s="28" t="s">
        <v>17652</v>
      </c>
      <c r="AQ66" s="28" t="s">
        <v>17653</v>
      </c>
      <c r="AR66" s="28" t="s">
        <v>1024</v>
      </c>
    </row>
    <row r="67" spans="1:44" x14ac:dyDescent="0.25">
      <c r="A67" s="28" t="s">
        <v>690</v>
      </c>
      <c r="B67" s="28" t="s">
        <v>17937</v>
      </c>
      <c r="C67" s="28" t="s">
        <v>19</v>
      </c>
      <c r="D67" s="28" t="s">
        <v>17642</v>
      </c>
      <c r="E67" s="28" t="s">
        <v>192</v>
      </c>
      <c r="F67" s="28">
        <v>1</v>
      </c>
      <c r="G67" s="28" t="s">
        <v>193</v>
      </c>
      <c r="H67" s="28" t="s">
        <v>194</v>
      </c>
      <c r="I67" s="28" t="s">
        <v>17656</v>
      </c>
      <c r="J67" s="28" t="s">
        <v>9302</v>
      </c>
      <c r="K67" s="28" t="s">
        <v>9309</v>
      </c>
      <c r="L67" s="28" t="s">
        <v>6955</v>
      </c>
      <c r="N67" s="28" t="s">
        <v>17938</v>
      </c>
      <c r="O67" s="28" t="s">
        <v>6921</v>
      </c>
      <c r="P67" s="28" t="s">
        <v>17846</v>
      </c>
      <c r="Q67" s="28" t="s">
        <v>17805</v>
      </c>
      <c r="R67" s="28" t="s">
        <v>17847</v>
      </c>
      <c r="S67" s="28" t="s">
        <v>17939</v>
      </c>
      <c r="T67" s="28" t="s">
        <v>17940</v>
      </c>
      <c r="V67" s="27"/>
      <c r="W67" s="28" t="s">
        <v>337</v>
      </c>
      <c r="X67" s="28" t="s">
        <v>193</v>
      </c>
      <c r="Y67" s="27" t="s">
        <v>9310</v>
      </c>
      <c r="AB67" s="28" t="s">
        <v>9311</v>
      </c>
      <c r="AH67" s="28" t="s">
        <v>4714</v>
      </c>
      <c r="AI67" s="28" t="s">
        <v>17937</v>
      </c>
      <c r="AJ67" s="516" t="str">
        <f>MID('II kw.22'!W67,8,6)</f>
        <v>214903</v>
      </c>
      <c r="AK67" s="516">
        <v>1</v>
      </c>
      <c r="AL67" s="516">
        <f t="shared" ref="AL67:AL130" si="1">SUM(F67)</f>
        <v>1</v>
      </c>
      <c r="AM67" s="516">
        <v>1</v>
      </c>
      <c r="AN67" s="28" t="s">
        <v>17650</v>
      </c>
      <c r="AO67" s="28" t="s">
        <v>17651</v>
      </c>
      <c r="AP67" s="28" t="s">
        <v>17652</v>
      </c>
      <c r="AQ67" s="28" t="s">
        <v>17653</v>
      </c>
      <c r="AR67" s="28" t="s">
        <v>1024</v>
      </c>
    </row>
    <row r="68" spans="1:44" x14ac:dyDescent="0.25">
      <c r="A68" s="28" t="s">
        <v>690</v>
      </c>
      <c r="B68" s="28" t="s">
        <v>17941</v>
      </c>
      <c r="C68" s="28" t="s">
        <v>366</v>
      </c>
      <c r="D68" s="28" t="s">
        <v>17642</v>
      </c>
      <c r="E68" s="28" t="s">
        <v>192</v>
      </c>
      <c r="F68" s="28">
        <v>1</v>
      </c>
      <c r="G68" s="28" t="s">
        <v>193</v>
      </c>
      <c r="H68" s="28" t="s">
        <v>194</v>
      </c>
      <c r="I68" s="28" t="s">
        <v>17656</v>
      </c>
      <c r="J68" s="28" t="s">
        <v>9302</v>
      </c>
      <c r="K68" s="28" t="s">
        <v>9309</v>
      </c>
      <c r="L68" s="28" t="s">
        <v>6955</v>
      </c>
      <c r="N68" s="28" t="s">
        <v>17942</v>
      </c>
      <c r="O68" s="28" t="s">
        <v>6286</v>
      </c>
      <c r="P68" s="28" t="s">
        <v>17846</v>
      </c>
      <c r="Q68" s="28" t="s">
        <v>17805</v>
      </c>
      <c r="R68" s="28" t="s">
        <v>17847</v>
      </c>
      <c r="S68" s="28" t="s">
        <v>17943</v>
      </c>
      <c r="T68" s="28" t="s">
        <v>17944</v>
      </c>
      <c r="V68" s="27"/>
      <c r="W68" s="28" t="s">
        <v>368</v>
      </c>
      <c r="X68" s="28" t="s">
        <v>193</v>
      </c>
      <c r="Y68" s="27" t="s">
        <v>9310</v>
      </c>
      <c r="AB68" s="28" t="s">
        <v>9311</v>
      </c>
      <c r="AH68" s="28" t="s">
        <v>4714</v>
      </c>
      <c r="AI68" s="28" t="s">
        <v>17941</v>
      </c>
      <c r="AJ68" s="516" t="str">
        <f>MID('II kw.22'!W68,8,6)</f>
        <v>215201</v>
      </c>
      <c r="AK68" s="516">
        <v>1</v>
      </c>
      <c r="AL68" s="516">
        <f t="shared" si="1"/>
        <v>1</v>
      </c>
      <c r="AM68" s="516">
        <v>1</v>
      </c>
      <c r="AN68" s="28" t="s">
        <v>17650</v>
      </c>
      <c r="AO68" s="28" t="s">
        <v>17651</v>
      </c>
      <c r="AP68" s="28" t="s">
        <v>17652</v>
      </c>
      <c r="AQ68" s="28" t="s">
        <v>17653</v>
      </c>
      <c r="AR68" s="28" t="s">
        <v>1024</v>
      </c>
    </row>
    <row r="69" spans="1:44" x14ac:dyDescent="0.25">
      <c r="A69" s="28" t="s">
        <v>17945</v>
      </c>
      <c r="B69" s="28" t="s">
        <v>17946</v>
      </c>
      <c r="C69" s="28" t="s">
        <v>17</v>
      </c>
      <c r="D69" s="28" t="s">
        <v>17642</v>
      </c>
      <c r="E69" s="28" t="s">
        <v>192</v>
      </c>
      <c r="F69" s="28">
        <v>1</v>
      </c>
      <c r="G69" s="28" t="s">
        <v>193</v>
      </c>
      <c r="H69" s="28" t="s">
        <v>194</v>
      </c>
      <c r="I69" s="28" t="s">
        <v>17706</v>
      </c>
      <c r="J69" s="28" t="s">
        <v>9302</v>
      </c>
      <c r="K69" s="28" t="s">
        <v>9309</v>
      </c>
      <c r="L69" s="28" t="s">
        <v>6955</v>
      </c>
      <c r="N69" s="28" t="s">
        <v>17947</v>
      </c>
      <c r="O69" s="28" t="s">
        <v>6245</v>
      </c>
      <c r="P69" s="28" t="s">
        <v>17846</v>
      </c>
      <c r="Q69" s="28" t="s">
        <v>17805</v>
      </c>
      <c r="R69" s="28" t="s">
        <v>17847</v>
      </c>
      <c r="S69" s="28" t="s">
        <v>17948</v>
      </c>
      <c r="T69" s="28" t="s">
        <v>17949</v>
      </c>
      <c r="V69" s="27"/>
      <c r="W69" s="28" t="s">
        <v>624</v>
      </c>
      <c r="X69" s="28" t="s">
        <v>193</v>
      </c>
      <c r="Y69" s="27" t="s">
        <v>9310</v>
      </c>
      <c r="AB69" s="28" t="s">
        <v>9311</v>
      </c>
      <c r="AH69" s="28" t="s">
        <v>4714</v>
      </c>
      <c r="AI69" s="28" t="s">
        <v>17946</v>
      </c>
      <c r="AJ69" s="516" t="str">
        <f>MID('II kw.22'!W69,8,6)</f>
        <v>332203</v>
      </c>
      <c r="AK69" s="516">
        <v>1</v>
      </c>
      <c r="AL69" s="516">
        <f t="shared" si="1"/>
        <v>1</v>
      </c>
      <c r="AM69" s="516">
        <v>1</v>
      </c>
      <c r="AN69" s="28" t="s">
        <v>17650</v>
      </c>
      <c r="AO69" s="28" t="s">
        <v>17651</v>
      </c>
      <c r="AP69" s="28" t="s">
        <v>17652</v>
      </c>
      <c r="AQ69" s="28" t="s">
        <v>17653</v>
      </c>
      <c r="AR69" s="28" t="s">
        <v>1024</v>
      </c>
    </row>
    <row r="70" spans="1:44" x14ac:dyDescent="0.25">
      <c r="A70" s="28" t="s">
        <v>17950</v>
      </c>
      <c r="B70" s="28" t="s">
        <v>3708</v>
      </c>
      <c r="C70" s="28" t="s">
        <v>36</v>
      </c>
      <c r="D70" s="28" t="s">
        <v>17642</v>
      </c>
      <c r="E70" s="28" t="s">
        <v>192</v>
      </c>
      <c r="F70" s="28">
        <v>1</v>
      </c>
      <c r="G70" s="28" t="s">
        <v>193</v>
      </c>
      <c r="H70" s="28" t="s">
        <v>194</v>
      </c>
      <c r="I70" s="28" t="s">
        <v>17784</v>
      </c>
      <c r="J70" s="28" t="s">
        <v>9302</v>
      </c>
      <c r="K70" s="28" t="s">
        <v>9309</v>
      </c>
      <c r="L70" s="28" t="s">
        <v>6955</v>
      </c>
      <c r="N70" s="28" t="s">
        <v>17951</v>
      </c>
      <c r="O70" s="28" t="s">
        <v>7531</v>
      </c>
      <c r="P70" s="28" t="s">
        <v>17846</v>
      </c>
      <c r="Q70" s="28" t="s">
        <v>17805</v>
      </c>
      <c r="R70" s="28" t="s">
        <v>17847</v>
      </c>
      <c r="S70" s="28" t="s">
        <v>17952</v>
      </c>
      <c r="T70" s="28" t="s">
        <v>17953</v>
      </c>
      <c r="V70" s="27"/>
      <c r="W70" s="28" t="s">
        <v>609</v>
      </c>
      <c r="X70" s="28" t="s">
        <v>193</v>
      </c>
      <c r="Y70" s="27" t="s">
        <v>9310</v>
      </c>
      <c r="AB70" s="28" t="s">
        <v>9311</v>
      </c>
      <c r="AH70" s="28" t="s">
        <v>4714</v>
      </c>
      <c r="AI70" s="28" t="s">
        <v>3708</v>
      </c>
      <c r="AJ70" s="516" t="str">
        <f>MID('II kw.22'!W70,8,6)</f>
        <v>331301</v>
      </c>
      <c r="AK70" s="516">
        <v>1</v>
      </c>
      <c r="AL70" s="516">
        <f t="shared" si="1"/>
        <v>1</v>
      </c>
      <c r="AM70" s="516">
        <v>1</v>
      </c>
      <c r="AN70" s="28" t="s">
        <v>17650</v>
      </c>
      <c r="AO70" s="28" t="s">
        <v>17651</v>
      </c>
      <c r="AP70" s="28" t="s">
        <v>17652</v>
      </c>
      <c r="AQ70" s="28" t="s">
        <v>17653</v>
      </c>
      <c r="AR70" s="28" t="s">
        <v>1024</v>
      </c>
    </row>
    <row r="71" spans="1:44" x14ac:dyDescent="0.25">
      <c r="A71" s="28" t="s">
        <v>10266</v>
      </c>
      <c r="B71" s="28" t="s">
        <v>111</v>
      </c>
      <c r="C71" s="28" t="s">
        <v>111</v>
      </c>
      <c r="D71" s="28" t="s">
        <v>17642</v>
      </c>
      <c r="E71" s="28" t="s">
        <v>192</v>
      </c>
      <c r="F71" s="28">
        <v>1</v>
      </c>
      <c r="G71" s="28" t="s">
        <v>193</v>
      </c>
      <c r="H71" s="28" t="s">
        <v>194</v>
      </c>
      <c r="I71" s="28" t="s">
        <v>17667</v>
      </c>
      <c r="J71" s="28" t="s">
        <v>399</v>
      </c>
      <c r="K71" s="28" t="s">
        <v>9309</v>
      </c>
      <c r="L71" s="28" t="s">
        <v>6955</v>
      </c>
      <c r="N71" s="28" t="s">
        <v>17954</v>
      </c>
      <c r="O71" s="28" t="s">
        <v>6254</v>
      </c>
      <c r="P71" s="28" t="s">
        <v>17846</v>
      </c>
      <c r="Q71" s="28" t="s">
        <v>17805</v>
      </c>
      <c r="R71" s="28" t="s">
        <v>17955</v>
      </c>
      <c r="S71" s="28" t="s">
        <v>17956</v>
      </c>
      <c r="T71" s="28" t="s">
        <v>17957</v>
      </c>
      <c r="V71" s="27"/>
      <c r="W71" s="28" t="s">
        <v>612</v>
      </c>
      <c r="X71" s="28" t="s">
        <v>193</v>
      </c>
      <c r="Y71" s="27" t="s">
        <v>9310</v>
      </c>
      <c r="AB71" s="28" t="s">
        <v>9311</v>
      </c>
      <c r="AH71" s="28" t="s">
        <v>4714</v>
      </c>
      <c r="AI71" s="28" t="s">
        <v>111</v>
      </c>
      <c r="AJ71" s="516" t="str">
        <f>MID('II kw.22'!W71,8,6)</f>
        <v>332101</v>
      </c>
      <c r="AK71" s="516">
        <v>1</v>
      </c>
      <c r="AL71" s="516">
        <f t="shared" si="1"/>
        <v>1</v>
      </c>
      <c r="AM71" s="516">
        <v>1</v>
      </c>
      <c r="AN71" s="28" t="s">
        <v>17650</v>
      </c>
      <c r="AO71" s="28" t="s">
        <v>17651</v>
      </c>
      <c r="AP71" s="28" t="s">
        <v>17652</v>
      </c>
      <c r="AQ71" s="28" t="s">
        <v>17653</v>
      </c>
      <c r="AR71" s="28" t="s">
        <v>1024</v>
      </c>
    </row>
    <row r="72" spans="1:44" x14ac:dyDescent="0.25">
      <c r="A72" s="28" t="s">
        <v>10076</v>
      </c>
      <c r="B72" s="28" t="s">
        <v>17958</v>
      </c>
      <c r="C72" s="28" t="s">
        <v>16355</v>
      </c>
      <c r="D72" s="28" t="s">
        <v>17642</v>
      </c>
      <c r="E72" s="28" t="s">
        <v>192</v>
      </c>
      <c r="F72" s="28">
        <v>1</v>
      </c>
      <c r="G72" s="28" t="s">
        <v>193</v>
      </c>
      <c r="H72" s="28" t="s">
        <v>194</v>
      </c>
      <c r="I72" s="28" t="s">
        <v>17656</v>
      </c>
      <c r="J72" s="28" t="s">
        <v>9302</v>
      </c>
      <c r="K72" s="28" t="s">
        <v>9309</v>
      </c>
      <c r="L72" s="28" t="s">
        <v>6955</v>
      </c>
      <c r="N72" s="28" t="s">
        <v>17959</v>
      </c>
      <c r="O72" s="28" t="s">
        <v>6261</v>
      </c>
      <c r="P72" s="28" t="s">
        <v>17846</v>
      </c>
      <c r="Q72" s="28" t="s">
        <v>17805</v>
      </c>
      <c r="R72" s="28" t="s">
        <v>17955</v>
      </c>
      <c r="S72" s="28" t="s">
        <v>17960</v>
      </c>
      <c r="T72" s="28" t="s">
        <v>17961</v>
      </c>
      <c r="V72" s="27"/>
      <c r="W72" s="28" t="s">
        <v>508</v>
      </c>
      <c r="X72" s="28" t="s">
        <v>193</v>
      </c>
      <c r="Y72" s="27" t="s">
        <v>9310</v>
      </c>
      <c r="AB72" s="28" t="s">
        <v>9311</v>
      </c>
      <c r="AH72" s="28" t="s">
        <v>4714</v>
      </c>
      <c r="AI72" s="28" t="s">
        <v>17958</v>
      </c>
      <c r="AJ72" s="516" t="str">
        <f>MID('II kw.22'!W72,8,6)</f>
        <v>252102</v>
      </c>
      <c r="AK72" s="516">
        <v>1</v>
      </c>
      <c r="AL72" s="516">
        <f t="shared" si="1"/>
        <v>1</v>
      </c>
      <c r="AM72" s="516">
        <v>1</v>
      </c>
      <c r="AN72" s="28" t="s">
        <v>17650</v>
      </c>
      <c r="AO72" s="28" t="s">
        <v>17651</v>
      </c>
      <c r="AP72" s="28" t="s">
        <v>17652</v>
      </c>
      <c r="AQ72" s="28" t="s">
        <v>17653</v>
      </c>
      <c r="AR72" s="28" t="s">
        <v>1024</v>
      </c>
    </row>
    <row r="73" spans="1:44" x14ac:dyDescent="0.25">
      <c r="A73" s="28" t="s">
        <v>15339</v>
      </c>
      <c r="B73" s="28" t="s">
        <v>17962</v>
      </c>
      <c r="C73" s="28" t="s">
        <v>43</v>
      </c>
      <c r="D73" s="28" t="s">
        <v>17642</v>
      </c>
      <c r="E73" s="28" t="s">
        <v>192</v>
      </c>
      <c r="F73" s="28">
        <v>1</v>
      </c>
      <c r="G73" s="28" t="s">
        <v>193</v>
      </c>
      <c r="H73" s="28" t="s">
        <v>194</v>
      </c>
      <c r="I73" s="28" t="s">
        <v>17784</v>
      </c>
      <c r="J73" s="28" t="s">
        <v>196</v>
      </c>
      <c r="K73" s="28" t="s">
        <v>9309</v>
      </c>
      <c r="L73" s="28" t="s">
        <v>6955</v>
      </c>
      <c r="N73" s="28" t="s">
        <v>17963</v>
      </c>
      <c r="O73" s="28" t="s">
        <v>6251</v>
      </c>
      <c r="P73" s="28" t="s">
        <v>17846</v>
      </c>
      <c r="Q73" s="28" t="s">
        <v>17805</v>
      </c>
      <c r="R73" s="28" t="s">
        <v>17955</v>
      </c>
      <c r="S73" s="28" t="s">
        <v>17964</v>
      </c>
      <c r="T73" s="28" t="s">
        <v>17965</v>
      </c>
      <c r="V73" s="27"/>
      <c r="W73" s="28" t="s">
        <v>452</v>
      </c>
      <c r="X73" s="28" t="s">
        <v>193</v>
      </c>
      <c r="Y73" s="27" t="s">
        <v>9310</v>
      </c>
      <c r="AB73" s="28" t="s">
        <v>9311</v>
      </c>
      <c r="AH73" s="28" t="s">
        <v>4714</v>
      </c>
      <c r="AI73" s="28" t="s">
        <v>17962</v>
      </c>
      <c r="AJ73" s="516" t="str">
        <f>MID('II kw.22'!W73,8,6)</f>
        <v>243106</v>
      </c>
      <c r="AK73" s="516">
        <v>1</v>
      </c>
      <c r="AL73" s="516">
        <f t="shared" si="1"/>
        <v>1</v>
      </c>
      <c r="AM73" s="516">
        <v>1</v>
      </c>
      <c r="AN73" s="28" t="s">
        <v>17650</v>
      </c>
      <c r="AO73" s="28" t="s">
        <v>17651</v>
      </c>
      <c r="AP73" s="28" t="s">
        <v>17652</v>
      </c>
      <c r="AQ73" s="28" t="s">
        <v>17653</v>
      </c>
      <c r="AR73" s="28" t="s">
        <v>1024</v>
      </c>
    </row>
    <row r="74" spans="1:44" x14ac:dyDescent="0.25">
      <c r="A74" s="28" t="s">
        <v>17966</v>
      </c>
      <c r="B74" s="28" t="s">
        <v>17967</v>
      </c>
      <c r="C74" s="28" t="s">
        <v>100</v>
      </c>
      <c r="D74" s="28" t="s">
        <v>17642</v>
      </c>
      <c r="E74" s="28" t="s">
        <v>192</v>
      </c>
      <c r="F74" s="28">
        <v>1</v>
      </c>
      <c r="G74" s="28" t="s">
        <v>193</v>
      </c>
      <c r="H74" s="28" t="s">
        <v>194</v>
      </c>
      <c r="I74" s="28" t="s">
        <v>17706</v>
      </c>
      <c r="J74" s="28" t="s">
        <v>210</v>
      </c>
      <c r="K74" s="28" t="s">
        <v>9309</v>
      </c>
      <c r="L74" s="28" t="s">
        <v>6955</v>
      </c>
      <c r="N74" s="28" t="s">
        <v>17968</v>
      </c>
      <c r="O74" s="28" t="s">
        <v>6266</v>
      </c>
      <c r="P74" s="28" t="s">
        <v>17846</v>
      </c>
      <c r="Q74" s="28" t="s">
        <v>17805</v>
      </c>
      <c r="R74" s="28" t="s">
        <v>17847</v>
      </c>
      <c r="S74" s="28" t="s">
        <v>17969</v>
      </c>
      <c r="T74" s="28" t="s">
        <v>17970</v>
      </c>
      <c r="V74" s="28" t="s">
        <v>9334</v>
      </c>
      <c r="W74" s="28" t="s">
        <v>429</v>
      </c>
      <c r="X74" s="28" t="s">
        <v>194</v>
      </c>
      <c r="Y74" s="28" t="s">
        <v>9300</v>
      </c>
      <c r="AB74" s="28" t="s">
        <v>9311</v>
      </c>
      <c r="AH74" s="28" t="s">
        <v>4714</v>
      </c>
      <c r="AI74" s="28" t="s">
        <v>17967</v>
      </c>
      <c r="AJ74" s="516" t="str">
        <f>MID('II kw.22'!W74,8,6)</f>
        <v>242108</v>
      </c>
      <c r="AK74" s="516">
        <v>1</v>
      </c>
      <c r="AL74" s="516">
        <f t="shared" si="1"/>
        <v>1</v>
      </c>
      <c r="AM74" s="516">
        <v>1</v>
      </c>
      <c r="AN74" s="28" t="s">
        <v>17650</v>
      </c>
      <c r="AO74" s="28" t="s">
        <v>17651</v>
      </c>
      <c r="AP74" s="28" t="s">
        <v>17652</v>
      </c>
      <c r="AQ74" s="28" t="s">
        <v>17653</v>
      </c>
      <c r="AR74" s="28" t="s">
        <v>1024</v>
      </c>
    </row>
    <row r="75" spans="1:44" x14ac:dyDescent="0.25">
      <c r="A75" s="28" t="s">
        <v>17966</v>
      </c>
      <c r="B75" s="28" t="s">
        <v>17971</v>
      </c>
      <c r="C75" s="28" t="s">
        <v>133</v>
      </c>
      <c r="D75" s="28" t="s">
        <v>17642</v>
      </c>
      <c r="E75" s="28" t="s">
        <v>192</v>
      </c>
      <c r="F75" s="28">
        <v>1</v>
      </c>
      <c r="G75" s="28" t="s">
        <v>193</v>
      </c>
      <c r="H75" s="28" t="s">
        <v>194</v>
      </c>
      <c r="I75" s="28" t="s">
        <v>17706</v>
      </c>
      <c r="J75" s="28" t="s">
        <v>210</v>
      </c>
      <c r="K75" s="28" t="s">
        <v>9309</v>
      </c>
      <c r="L75" s="28" t="s">
        <v>6955</v>
      </c>
      <c r="N75" s="28" t="s">
        <v>17972</v>
      </c>
      <c r="O75" s="28" t="s">
        <v>6266</v>
      </c>
      <c r="P75" s="28" t="s">
        <v>17846</v>
      </c>
      <c r="Q75" s="28" t="s">
        <v>17805</v>
      </c>
      <c r="R75" s="28" t="s">
        <v>17847</v>
      </c>
      <c r="S75" s="28" t="s">
        <v>17973</v>
      </c>
      <c r="T75" s="28" t="s">
        <v>17974</v>
      </c>
      <c r="V75" s="28" t="s">
        <v>9334</v>
      </c>
      <c r="W75" s="28" t="s">
        <v>673</v>
      </c>
      <c r="X75" s="28" t="s">
        <v>194</v>
      </c>
      <c r="Y75" s="28" t="s">
        <v>9300</v>
      </c>
      <c r="AB75" s="28" t="s">
        <v>9311</v>
      </c>
      <c r="AH75" s="28" t="s">
        <v>4714</v>
      </c>
      <c r="AI75" s="28" t="s">
        <v>17971</v>
      </c>
      <c r="AJ75" s="516" t="str">
        <f>MID('II kw.22'!W75,8,6)</f>
        <v>333107</v>
      </c>
      <c r="AK75" s="516">
        <v>1</v>
      </c>
      <c r="AL75" s="516">
        <f t="shared" si="1"/>
        <v>1</v>
      </c>
      <c r="AM75" s="516">
        <v>1</v>
      </c>
      <c r="AN75" s="28" t="s">
        <v>17650</v>
      </c>
      <c r="AO75" s="28" t="s">
        <v>17651</v>
      </c>
      <c r="AP75" s="28" t="s">
        <v>17652</v>
      </c>
      <c r="AQ75" s="28" t="s">
        <v>17653</v>
      </c>
      <c r="AR75" s="28" t="s">
        <v>1024</v>
      </c>
    </row>
    <row r="76" spans="1:44" x14ac:dyDescent="0.25">
      <c r="A76" s="28" t="s">
        <v>17975</v>
      </c>
      <c r="B76" s="28" t="s">
        <v>17976</v>
      </c>
      <c r="C76" s="28" t="s">
        <v>27</v>
      </c>
      <c r="D76" s="28" t="s">
        <v>17642</v>
      </c>
      <c r="E76" s="28" t="s">
        <v>192</v>
      </c>
      <c r="F76" s="28">
        <v>1</v>
      </c>
      <c r="G76" s="28" t="s">
        <v>193</v>
      </c>
      <c r="H76" s="28" t="s">
        <v>194</v>
      </c>
      <c r="I76" s="28" t="s">
        <v>17784</v>
      </c>
      <c r="J76" s="28" t="s">
        <v>316</v>
      </c>
      <c r="K76" s="28" t="s">
        <v>9309</v>
      </c>
      <c r="L76" s="28" t="s">
        <v>6955</v>
      </c>
      <c r="N76" s="28" t="s">
        <v>17977</v>
      </c>
      <c r="O76" s="28" t="s">
        <v>6340</v>
      </c>
      <c r="P76" s="28" t="s">
        <v>17846</v>
      </c>
      <c r="Q76" s="28" t="s">
        <v>17805</v>
      </c>
      <c r="R76" s="28" t="s">
        <v>17847</v>
      </c>
      <c r="S76" s="28" t="s">
        <v>17978</v>
      </c>
      <c r="T76" s="28" t="s">
        <v>17979</v>
      </c>
      <c r="V76" s="28" t="s">
        <v>10012</v>
      </c>
      <c r="W76" s="28" t="s">
        <v>440</v>
      </c>
      <c r="X76" s="28" t="s">
        <v>194</v>
      </c>
      <c r="Y76" s="28" t="s">
        <v>9300</v>
      </c>
      <c r="AB76" s="28" t="s">
        <v>9311</v>
      </c>
      <c r="AH76" s="28" t="s">
        <v>4714</v>
      </c>
      <c r="AI76" s="28" t="s">
        <v>17976</v>
      </c>
      <c r="AJ76" s="516" t="str">
        <f>MID('II kw.22'!W76,8,6)</f>
        <v>242307</v>
      </c>
      <c r="AK76" s="516">
        <v>1</v>
      </c>
      <c r="AL76" s="516">
        <f t="shared" si="1"/>
        <v>1</v>
      </c>
      <c r="AM76" s="516">
        <v>1</v>
      </c>
      <c r="AN76" s="28" t="s">
        <v>17650</v>
      </c>
      <c r="AO76" s="28" t="s">
        <v>17651</v>
      </c>
      <c r="AP76" s="28" t="s">
        <v>17652</v>
      </c>
      <c r="AQ76" s="28" t="s">
        <v>17653</v>
      </c>
      <c r="AR76" s="28" t="s">
        <v>1024</v>
      </c>
    </row>
    <row r="77" spans="1:44" x14ac:dyDescent="0.25">
      <c r="A77" s="28" t="s">
        <v>17975</v>
      </c>
      <c r="B77" s="28" t="s">
        <v>17980</v>
      </c>
      <c r="C77" s="28" t="s">
        <v>9798</v>
      </c>
      <c r="D77" s="28" t="s">
        <v>17642</v>
      </c>
      <c r="E77" s="28" t="s">
        <v>192</v>
      </c>
      <c r="F77" s="28">
        <v>1</v>
      </c>
      <c r="G77" s="28" t="s">
        <v>193</v>
      </c>
      <c r="H77" s="28" t="s">
        <v>194</v>
      </c>
      <c r="I77" s="28" t="s">
        <v>17784</v>
      </c>
      <c r="J77" s="28" t="s">
        <v>316</v>
      </c>
      <c r="K77" s="28" t="s">
        <v>9309</v>
      </c>
      <c r="L77" s="28" t="s">
        <v>6955</v>
      </c>
      <c r="N77" s="28" t="s">
        <v>17981</v>
      </c>
      <c r="O77" s="28" t="s">
        <v>7531</v>
      </c>
      <c r="P77" s="28" t="s">
        <v>17846</v>
      </c>
      <c r="Q77" s="28" t="s">
        <v>17805</v>
      </c>
      <c r="R77" s="28" t="s">
        <v>17847</v>
      </c>
      <c r="S77" s="28" t="s">
        <v>17982</v>
      </c>
      <c r="T77" s="28" t="s">
        <v>17983</v>
      </c>
      <c r="V77" s="28" t="s">
        <v>10012</v>
      </c>
      <c r="W77" s="28" t="s">
        <v>1592</v>
      </c>
      <c r="X77" s="28" t="s">
        <v>194</v>
      </c>
      <c r="Y77" s="28" t="s">
        <v>9300</v>
      </c>
      <c r="AB77" s="28" t="s">
        <v>9311</v>
      </c>
      <c r="AH77" s="28" t="s">
        <v>4714</v>
      </c>
      <c r="AI77" s="28" t="s">
        <v>17980</v>
      </c>
      <c r="AJ77" s="516" t="str">
        <f>MID('II kw.22'!W77,8,6)</f>
        <v>241103</v>
      </c>
      <c r="AK77" s="516">
        <v>1</v>
      </c>
      <c r="AL77" s="516">
        <f t="shared" si="1"/>
        <v>1</v>
      </c>
      <c r="AM77" s="516">
        <v>1</v>
      </c>
      <c r="AN77" s="28" t="s">
        <v>17650</v>
      </c>
      <c r="AO77" s="28" t="s">
        <v>17651</v>
      </c>
      <c r="AP77" s="28" t="s">
        <v>17652</v>
      </c>
      <c r="AQ77" s="28" t="s">
        <v>17653</v>
      </c>
      <c r="AR77" s="28" t="s">
        <v>1024</v>
      </c>
    </row>
    <row r="78" spans="1:44" x14ac:dyDescent="0.25">
      <c r="A78" s="28" t="s">
        <v>17975</v>
      </c>
      <c r="B78" s="28" t="s">
        <v>17984</v>
      </c>
      <c r="C78" s="28" t="s">
        <v>3315</v>
      </c>
      <c r="D78" s="28" t="s">
        <v>17642</v>
      </c>
      <c r="E78" s="28" t="s">
        <v>192</v>
      </c>
      <c r="F78" s="28">
        <v>1</v>
      </c>
      <c r="G78" s="28" t="s">
        <v>193</v>
      </c>
      <c r="H78" s="28" t="s">
        <v>194</v>
      </c>
      <c r="I78" s="28" t="s">
        <v>17656</v>
      </c>
      <c r="J78" s="28" t="s">
        <v>316</v>
      </c>
      <c r="K78" s="28" t="s">
        <v>9309</v>
      </c>
      <c r="L78" s="28" t="s">
        <v>6955</v>
      </c>
      <c r="N78" s="28" t="s">
        <v>17985</v>
      </c>
      <c r="O78" s="28" t="s">
        <v>6245</v>
      </c>
      <c r="P78" s="28" t="s">
        <v>17846</v>
      </c>
      <c r="Q78" s="28" t="s">
        <v>17805</v>
      </c>
      <c r="R78" s="28" t="s">
        <v>17847</v>
      </c>
      <c r="S78" s="28" t="s">
        <v>17986</v>
      </c>
      <c r="T78" s="28" t="s">
        <v>17987</v>
      </c>
      <c r="V78" s="28" t="s">
        <v>10012</v>
      </c>
      <c r="W78" s="28" t="s">
        <v>3317</v>
      </c>
      <c r="X78" s="28" t="s">
        <v>194</v>
      </c>
      <c r="Y78" s="28" t="s">
        <v>9300</v>
      </c>
      <c r="AB78" s="28" t="s">
        <v>9311</v>
      </c>
      <c r="AH78" s="28" t="s">
        <v>4714</v>
      </c>
      <c r="AI78" s="28" t="s">
        <v>17984</v>
      </c>
      <c r="AJ78" s="516" t="str">
        <f>MID('II kw.22'!W78,8,6)</f>
        <v>216101</v>
      </c>
      <c r="AK78" s="516">
        <v>1</v>
      </c>
      <c r="AL78" s="516">
        <f t="shared" si="1"/>
        <v>1</v>
      </c>
      <c r="AM78" s="516">
        <v>1</v>
      </c>
      <c r="AN78" s="28" t="s">
        <v>17650</v>
      </c>
      <c r="AO78" s="28" t="s">
        <v>17651</v>
      </c>
      <c r="AP78" s="28" t="s">
        <v>17652</v>
      </c>
      <c r="AQ78" s="28" t="s">
        <v>17653</v>
      </c>
      <c r="AR78" s="28" t="s">
        <v>1024</v>
      </c>
    </row>
    <row r="79" spans="1:44" x14ac:dyDescent="0.25">
      <c r="A79" s="28" t="s">
        <v>17975</v>
      </c>
      <c r="B79" s="28" t="s">
        <v>17988</v>
      </c>
      <c r="C79" s="28" t="s">
        <v>17519</v>
      </c>
      <c r="D79" s="28" t="s">
        <v>17642</v>
      </c>
      <c r="E79" s="28" t="s">
        <v>192</v>
      </c>
      <c r="F79" s="28">
        <v>1</v>
      </c>
      <c r="G79" s="28" t="s">
        <v>193</v>
      </c>
      <c r="H79" s="28" t="s">
        <v>194</v>
      </c>
      <c r="I79" s="28" t="s">
        <v>17784</v>
      </c>
      <c r="J79" s="28" t="s">
        <v>316</v>
      </c>
      <c r="K79" s="28" t="s">
        <v>9309</v>
      </c>
      <c r="L79" s="28" t="s">
        <v>6955</v>
      </c>
      <c r="N79" s="28" t="s">
        <v>17989</v>
      </c>
      <c r="O79" s="28" t="s">
        <v>6286</v>
      </c>
      <c r="P79" s="28" t="s">
        <v>17846</v>
      </c>
      <c r="Q79" s="28" t="s">
        <v>17805</v>
      </c>
      <c r="R79" s="28" t="s">
        <v>17847</v>
      </c>
      <c r="S79" s="28" t="s">
        <v>17990</v>
      </c>
      <c r="T79" s="28" t="s">
        <v>17991</v>
      </c>
      <c r="V79" s="28" t="s">
        <v>10012</v>
      </c>
      <c r="W79" s="28" t="s">
        <v>17517</v>
      </c>
      <c r="X79" s="28" t="s">
        <v>194</v>
      </c>
      <c r="Y79" s="28" t="s">
        <v>9300</v>
      </c>
      <c r="AB79" s="28" t="s">
        <v>9311</v>
      </c>
      <c r="AH79" s="28" t="s">
        <v>4714</v>
      </c>
      <c r="AI79" s="28" t="s">
        <v>17988</v>
      </c>
      <c r="AJ79" s="516" t="str">
        <f>MID('II kw.22'!W79,8,6)</f>
        <v>242104</v>
      </c>
      <c r="AK79" s="516">
        <v>1</v>
      </c>
      <c r="AL79" s="516">
        <f t="shared" si="1"/>
        <v>1</v>
      </c>
      <c r="AM79" s="516">
        <v>1</v>
      </c>
      <c r="AN79" s="28" t="s">
        <v>17650</v>
      </c>
      <c r="AO79" s="28" t="s">
        <v>17651</v>
      </c>
      <c r="AP79" s="28" t="s">
        <v>17652</v>
      </c>
      <c r="AQ79" s="28" t="s">
        <v>17653</v>
      </c>
      <c r="AR79" s="28" t="s">
        <v>1024</v>
      </c>
    </row>
    <row r="80" spans="1:44" x14ac:dyDescent="0.25">
      <c r="A80" s="28" t="s">
        <v>17992</v>
      </c>
      <c r="B80" s="28" t="s">
        <v>1638</v>
      </c>
      <c r="C80" s="28" t="s">
        <v>56</v>
      </c>
      <c r="D80" s="28" t="s">
        <v>17642</v>
      </c>
      <c r="E80" s="28" t="s">
        <v>192</v>
      </c>
      <c r="F80" s="513">
        <v>1</v>
      </c>
      <c r="G80" s="28" t="s">
        <v>193</v>
      </c>
      <c r="H80" s="28" t="s">
        <v>194</v>
      </c>
      <c r="I80" s="28" t="s">
        <v>17643</v>
      </c>
      <c r="J80" s="28" t="s">
        <v>399</v>
      </c>
      <c r="K80" s="28" t="s">
        <v>9309</v>
      </c>
      <c r="L80" s="28" t="s">
        <v>6955</v>
      </c>
      <c r="N80" s="28" t="s">
        <v>17993</v>
      </c>
      <c r="O80" s="28" t="s">
        <v>6288</v>
      </c>
      <c r="P80" s="28" t="s">
        <v>17846</v>
      </c>
      <c r="Q80" s="28" t="s">
        <v>17805</v>
      </c>
      <c r="R80" s="28" t="s">
        <v>17847</v>
      </c>
      <c r="S80" s="28" t="s">
        <v>17994</v>
      </c>
      <c r="T80" s="28" t="s">
        <v>17995</v>
      </c>
      <c r="V80" s="28" t="s">
        <v>11135</v>
      </c>
      <c r="W80" s="28" t="s">
        <v>2668</v>
      </c>
      <c r="X80" s="28" t="s">
        <v>194</v>
      </c>
      <c r="Y80" s="28" t="s">
        <v>9300</v>
      </c>
      <c r="AB80" s="28" t="s">
        <v>9311</v>
      </c>
      <c r="AH80" s="28" t="s">
        <v>4714</v>
      </c>
      <c r="AI80" s="28" t="s">
        <v>1638</v>
      </c>
      <c r="AJ80" s="516" t="str">
        <f>MID('II kw.22'!W80,8,6)</f>
        <v>321403</v>
      </c>
      <c r="AK80" s="516">
        <v>1</v>
      </c>
      <c r="AL80" s="516">
        <f t="shared" si="1"/>
        <v>1</v>
      </c>
      <c r="AM80" s="516">
        <v>1</v>
      </c>
      <c r="AN80" s="28" t="s">
        <v>17650</v>
      </c>
      <c r="AO80" s="365" t="s">
        <v>17651</v>
      </c>
      <c r="AP80" s="365" t="s">
        <v>17652</v>
      </c>
      <c r="AQ80" s="365" t="s">
        <v>17653</v>
      </c>
      <c r="AR80" s="365" t="s">
        <v>1024</v>
      </c>
    </row>
    <row r="81" spans="1:44" x14ac:dyDescent="0.25">
      <c r="A81" s="28" t="s">
        <v>17992</v>
      </c>
      <c r="B81" s="28" t="s">
        <v>1638</v>
      </c>
      <c r="C81" s="28" t="s">
        <v>56</v>
      </c>
      <c r="D81" s="28" t="s">
        <v>17642</v>
      </c>
      <c r="E81" s="28" t="s">
        <v>192</v>
      </c>
      <c r="F81" s="28">
        <v>1</v>
      </c>
      <c r="G81" s="28" t="s">
        <v>193</v>
      </c>
      <c r="H81" s="28" t="s">
        <v>194</v>
      </c>
      <c r="I81" s="28" t="s">
        <v>17643</v>
      </c>
      <c r="J81" s="28" t="s">
        <v>385</v>
      </c>
      <c r="K81" s="28" t="s">
        <v>9309</v>
      </c>
      <c r="L81" s="28" t="s">
        <v>6955</v>
      </c>
      <c r="N81" s="28" t="s">
        <v>17996</v>
      </c>
      <c r="O81" s="28" t="s">
        <v>6288</v>
      </c>
      <c r="P81" s="28" t="s">
        <v>17846</v>
      </c>
      <c r="Q81" s="28" t="s">
        <v>17805</v>
      </c>
      <c r="R81" s="28" t="s">
        <v>17847</v>
      </c>
      <c r="S81" s="28" t="s">
        <v>17997</v>
      </c>
      <c r="T81" s="28" t="s">
        <v>17998</v>
      </c>
      <c r="V81" s="28" t="s">
        <v>9410</v>
      </c>
      <c r="W81" s="28" t="s">
        <v>2668</v>
      </c>
      <c r="X81" s="28" t="s">
        <v>194</v>
      </c>
      <c r="Y81" s="28" t="s">
        <v>9300</v>
      </c>
      <c r="AB81" s="28" t="s">
        <v>9311</v>
      </c>
      <c r="AH81" s="28" t="s">
        <v>4714</v>
      </c>
      <c r="AI81" s="28" t="s">
        <v>1638</v>
      </c>
      <c r="AJ81" s="516" t="str">
        <f>MID('II kw.22'!W81,8,6)</f>
        <v>321403</v>
      </c>
      <c r="AK81" s="516">
        <v>1</v>
      </c>
      <c r="AL81" s="516">
        <f t="shared" si="1"/>
        <v>1</v>
      </c>
      <c r="AM81" s="516">
        <v>1</v>
      </c>
      <c r="AN81" s="28" t="s">
        <v>17650</v>
      </c>
      <c r="AO81" s="28" t="s">
        <v>17651</v>
      </c>
      <c r="AP81" s="28" t="s">
        <v>17652</v>
      </c>
      <c r="AQ81" s="28" t="s">
        <v>17653</v>
      </c>
      <c r="AR81" s="28" t="s">
        <v>1024</v>
      </c>
    </row>
    <row r="82" spans="1:44" x14ac:dyDescent="0.25">
      <c r="A82" s="28" t="s">
        <v>1748</v>
      </c>
      <c r="B82" s="28" t="s">
        <v>16256</v>
      </c>
      <c r="C82" s="28" t="s">
        <v>15861</v>
      </c>
      <c r="D82" s="28" t="s">
        <v>17642</v>
      </c>
      <c r="E82" s="28" t="s">
        <v>192</v>
      </c>
      <c r="F82" s="28">
        <v>1</v>
      </c>
      <c r="G82" s="28" t="s">
        <v>193</v>
      </c>
      <c r="H82" s="28" t="s">
        <v>194</v>
      </c>
      <c r="I82" s="28" t="s">
        <v>17759</v>
      </c>
      <c r="J82" s="28" t="s">
        <v>210</v>
      </c>
      <c r="K82" s="28" t="s">
        <v>9309</v>
      </c>
      <c r="L82" s="28" t="s">
        <v>6955</v>
      </c>
      <c r="N82" s="28" t="s">
        <v>17999</v>
      </c>
      <c r="O82" s="28" t="s">
        <v>6286</v>
      </c>
      <c r="P82" s="28" t="s">
        <v>17846</v>
      </c>
      <c r="Q82" s="28" t="s">
        <v>17805</v>
      </c>
      <c r="R82" s="28" t="s">
        <v>17847</v>
      </c>
      <c r="S82" s="28" t="s">
        <v>18000</v>
      </c>
      <c r="T82" s="28" t="s">
        <v>18001</v>
      </c>
      <c r="V82" s="28" t="s">
        <v>9334</v>
      </c>
      <c r="W82" s="28" t="s">
        <v>1790</v>
      </c>
      <c r="X82" s="28" t="s">
        <v>194</v>
      </c>
      <c r="Y82" s="28" t="s">
        <v>9300</v>
      </c>
      <c r="AB82" s="28" t="s">
        <v>9311</v>
      </c>
      <c r="AH82" s="28" t="s">
        <v>4714</v>
      </c>
      <c r="AI82" s="28" t="s">
        <v>16256</v>
      </c>
      <c r="AJ82" s="516" t="str">
        <f>MID('II kw.22'!W82,8,6)</f>
        <v>334304</v>
      </c>
      <c r="AK82" s="516">
        <v>1</v>
      </c>
      <c r="AL82" s="516">
        <f t="shared" si="1"/>
        <v>1</v>
      </c>
      <c r="AM82" s="516">
        <v>1</v>
      </c>
      <c r="AN82" s="28" t="s">
        <v>17650</v>
      </c>
      <c r="AO82" s="28" t="s">
        <v>17651</v>
      </c>
      <c r="AP82" s="28" t="s">
        <v>17652</v>
      </c>
      <c r="AQ82" s="28" t="s">
        <v>17653</v>
      </c>
      <c r="AR82" s="28" t="s">
        <v>1024</v>
      </c>
    </row>
    <row r="83" spans="1:44" x14ac:dyDescent="0.25">
      <c r="A83" s="28" t="s">
        <v>18002</v>
      </c>
      <c r="B83" s="28" t="s">
        <v>18003</v>
      </c>
      <c r="C83" s="28" t="s">
        <v>727</v>
      </c>
      <c r="D83" s="28" t="s">
        <v>17642</v>
      </c>
      <c r="E83" s="28" t="s">
        <v>192</v>
      </c>
      <c r="F83" s="28">
        <v>1</v>
      </c>
      <c r="G83" s="28" t="s">
        <v>193</v>
      </c>
      <c r="H83" s="28" t="s">
        <v>194</v>
      </c>
      <c r="I83" s="28" t="s">
        <v>17672</v>
      </c>
      <c r="J83" s="28" t="s">
        <v>210</v>
      </c>
      <c r="K83" s="28" t="s">
        <v>9309</v>
      </c>
      <c r="L83" s="28" t="s">
        <v>6955</v>
      </c>
      <c r="N83" s="28" t="s">
        <v>18004</v>
      </c>
      <c r="O83" s="28" t="s">
        <v>6343</v>
      </c>
      <c r="P83" s="28" t="s">
        <v>17846</v>
      </c>
      <c r="Q83" s="28" t="s">
        <v>17805</v>
      </c>
      <c r="R83" s="28" t="s">
        <v>17847</v>
      </c>
      <c r="S83" s="28" t="s">
        <v>18005</v>
      </c>
      <c r="T83" s="28" t="s">
        <v>18006</v>
      </c>
      <c r="V83" s="28" t="s">
        <v>9334</v>
      </c>
      <c r="W83" s="28" t="s">
        <v>728</v>
      </c>
      <c r="X83" s="28" t="s">
        <v>194</v>
      </c>
      <c r="Y83" s="28" t="s">
        <v>9300</v>
      </c>
      <c r="AB83" s="28" t="s">
        <v>9311</v>
      </c>
      <c r="AH83" s="28" t="s">
        <v>4714</v>
      </c>
      <c r="AI83" s="28" t="s">
        <v>18003</v>
      </c>
      <c r="AJ83" s="516" t="str">
        <f>MID('II kw.22'!W83,8,6)</f>
        <v>512001</v>
      </c>
      <c r="AK83" s="516">
        <v>1</v>
      </c>
      <c r="AL83" s="516">
        <f t="shared" si="1"/>
        <v>1</v>
      </c>
      <c r="AM83" s="516">
        <v>1</v>
      </c>
      <c r="AN83" s="28" t="s">
        <v>17650</v>
      </c>
      <c r="AO83" s="28" t="s">
        <v>17651</v>
      </c>
      <c r="AP83" s="28" t="s">
        <v>17652</v>
      </c>
      <c r="AQ83" s="28" t="s">
        <v>17653</v>
      </c>
      <c r="AR83" s="28" t="s">
        <v>1024</v>
      </c>
    </row>
    <row r="84" spans="1:44" x14ac:dyDescent="0.25">
      <c r="A84" s="28" t="s">
        <v>782</v>
      </c>
      <c r="B84" s="28" t="s">
        <v>18007</v>
      </c>
      <c r="C84" s="28" t="s">
        <v>4966</v>
      </c>
      <c r="D84" s="28" t="s">
        <v>17642</v>
      </c>
      <c r="E84" s="28" t="s">
        <v>192</v>
      </c>
      <c r="F84" s="28">
        <v>1</v>
      </c>
      <c r="G84" s="28" t="s">
        <v>193</v>
      </c>
      <c r="H84" s="28" t="s">
        <v>194</v>
      </c>
      <c r="I84" s="28" t="s">
        <v>17643</v>
      </c>
      <c r="J84" s="28" t="s">
        <v>399</v>
      </c>
      <c r="K84" s="28" t="s">
        <v>9309</v>
      </c>
      <c r="L84" s="28" t="s">
        <v>6955</v>
      </c>
      <c r="N84" s="28" t="s">
        <v>18008</v>
      </c>
      <c r="O84" s="28" t="s">
        <v>6254</v>
      </c>
      <c r="P84" s="28" t="s">
        <v>17846</v>
      </c>
      <c r="Q84" s="28" t="s">
        <v>17805</v>
      </c>
      <c r="R84" s="28" t="s">
        <v>17847</v>
      </c>
      <c r="S84" s="28" t="s">
        <v>18009</v>
      </c>
      <c r="T84" s="28" t="s">
        <v>18010</v>
      </c>
      <c r="V84" s="28" t="s">
        <v>11135</v>
      </c>
      <c r="W84" s="28" t="s">
        <v>405</v>
      </c>
      <c r="X84" s="28" t="s">
        <v>194</v>
      </c>
      <c r="Y84" s="28" t="s">
        <v>9300</v>
      </c>
      <c r="AB84" s="28" t="s">
        <v>9311</v>
      </c>
      <c r="AH84" s="28" t="s">
        <v>4714</v>
      </c>
      <c r="AI84" s="28" t="s">
        <v>18007</v>
      </c>
      <c r="AJ84" s="516" t="str">
        <f>MID('II kw.22'!W84,8,6)</f>
        <v>241304</v>
      </c>
      <c r="AK84" s="516">
        <v>1</v>
      </c>
      <c r="AL84" s="516">
        <f t="shared" si="1"/>
        <v>1</v>
      </c>
      <c r="AM84" s="516">
        <v>1</v>
      </c>
      <c r="AN84" s="28" t="s">
        <v>17650</v>
      </c>
      <c r="AO84" s="28" t="s">
        <v>17651</v>
      </c>
      <c r="AP84" s="28" t="s">
        <v>17652</v>
      </c>
      <c r="AQ84" s="28" t="s">
        <v>17653</v>
      </c>
      <c r="AR84" s="28" t="s">
        <v>1024</v>
      </c>
    </row>
    <row r="85" spans="1:44" x14ac:dyDescent="0.25">
      <c r="A85" s="28" t="s">
        <v>782</v>
      </c>
      <c r="B85" s="28" t="s">
        <v>18007</v>
      </c>
      <c r="C85" s="28" t="s">
        <v>4966</v>
      </c>
      <c r="D85" s="28" t="s">
        <v>17642</v>
      </c>
      <c r="E85" s="28" t="s">
        <v>192</v>
      </c>
      <c r="F85" s="28">
        <v>1</v>
      </c>
      <c r="G85" s="28" t="s">
        <v>193</v>
      </c>
      <c r="H85" s="28" t="s">
        <v>194</v>
      </c>
      <c r="I85" s="28" t="s">
        <v>17643</v>
      </c>
      <c r="J85" s="28" t="s">
        <v>276</v>
      </c>
      <c r="K85" s="28" t="s">
        <v>9309</v>
      </c>
      <c r="L85" s="28" t="s">
        <v>6955</v>
      </c>
      <c r="N85" s="28" t="s">
        <v>18011</v>
      </c>
      <c r="O85" s="28" t="s">
        <v>6254</v>
      </c>
      <c r="P85" s="28" t="s">
        <v>17846</v>
      </c>
      <c r="Q85" s="28" t="s">
        <v>17805</v>
      </c>
      <c r="R85" s="28" t="s">
        <v>17847</v>
      </c>
      <c r="S85" s="28" t="s">
        <v>18012</v>
      </c>
      <c r="T85" s="28" t="s">
        <v>18013</v>
      </c>
      <c r="V85" s="28" t="s">
        <v>9786</v>
      </c>
      <c r="W85" s="28" t="s">
        <v>405</v>
      </c>
      <c r="X85" s="28" t="s">
        <v>194</v>
      </c>
      <c r="Y85" s="28" t="s">
        <v>9300</v>
      </c>
      <c r="AB85" s="28" t="s">
        <v>9311</v>
      </c>
      <c r="AH85" s="28" t="s">
        <v>4714</v>
      </c>
      <c r="AI85" s="28" t="s">
        <v>18007</v>
      </c>
      <c r="AJ85" s="516" t="str">
        <f>MID('II kw.22'!W85,8,6)</f>
        <v>241304</v>
      </c>
      <c r="AK85" s="516">
        <v>1</v>
      </c>
      <c r="AL85" s="516">
        <f t="shared" si="1"/>
        <v>1</v>
      </c>
      <c r="AM85" s="516">
        <v>1</v>
      </c>
      <c r="AN85" s="28" t="s">
        <v>17650</v>
      </c>
      <c r="AO85" s="28" t="s">
        <v>17651</v>
      </c>
      <c r="AP85" s="28" t="s">
        <v>17652</v>
      </c>
      <c r="AQ85" s="28" t="s">
        <v>17653</v>
      </c>
      <c r="AR85" s="28" t="s">
        <v>1024</v>
      </c>
    </row>
    <row r="86" spans="1:44" x14ac:dyDescent="0.25">
      <c r="A86" s="28" t="s">
        <v>782</v>
      </c>
      <c r="B86" s="28" t="s">
        <v>18007</v>
      </c>
      <c r="C86" s="28" t="s">
        <v>4966</v>
      </c>
      <c r="D86" s="28" t="s">
        <v>17642</v>
      </c>
      <c r="E86" s="28" t="s">
        <v>192</v>
      </c>
      <c r="F86" s="28">
        <v>1</v>
      </c>
      <c r="G86" s="28" t="s">
        <v>193</v>
      </c>
      <c r="H86" s="28" t="s">
        <v>194</v>
      </c>
      <c r="I86" s="28" t="s">
        <v>17643</v>
      </c>
      <c r="J86" s="28" t="s">
        <v>223</v>
      </c>
      <c r="K86" s="28" t="s">
        <v>9309</v>
      </c>
      <c r="L86" s="28" t="s">
        <v>6955</v>
      </c>
      <c r="N86" s="28" t="s">
        <v>18014</v>
      </c>
      <c r="O86" s="28" t="s">
        <v>6254</v>
      </c>
      <c r="P86" s="28" t="s">
        <v>17846</v>
      </c>
      <c r="Q86" s="28" t="s">
        <v>17805</v>
      </c>
      <c r="R86" s="28" t="s">
        <v>17847</v>
      </c>
      <c r="S86" s="28" t="s">
        <v>18015</v>
      </c>
      <c r="T86" s="28" t="s">
        <v>18016</v>
      </c>
      <c r="V86" s="28" t="s">
        <v>11163</v>
      </c>
      <c r="W86" s="28" t="s">
        <v>405</v>
      </c>
      <c r="X86" s="28" t="s">
        <v>194</v>
      </c>
      <c r="Y86" s="28" t="s">
        <v>9300</v>
      </c>
      <c r="AB86" s="28" t="s">
        <v>9311</v>
      </c>
      <c r="AH86" s="28" t="s">
        <v>4714</v>
      </c>
      <c r="AI86" s="28" t="s">
        <v>18007</v>
      </c>
      <c r="AJ86" s="516" t="str">
        <f>MID('II kw.22'!W86,8,6)</f>
        <v>241304</v>
      </c>
      <c r="AK86" s="516">
        <v>1</v>
      </c>
      <c r="AL86" s="516">
        <f t="shared" si="1"/>
        <v>1</v>
      </c>
      <c r="AM86" s="516">
        <v>1</v>
      </c>
      <c r="AN86" s="28" t="s">
        <v>17650</v>
      </c>
      <c r="AO86" s="28" t="s">
        <v>17651</v>
      </c>
      <c r="AP86" s="28" t="s">
        <v>17652</v>
      </c>
      <c r="AQ86" s="28" t="s">
        <v>17653</v>
      </c>
      <c r="AR86" s="28" t="s">
        <v>1024</v>
      </c>
    </row>
    <row r="87" spans="1:44" x14ac:dyDescent="0.25">
      <c r="A87" s="28" t="s">
        <v>782</v>
      </c>
      <c r="B87" s="28" t="s">
        <v>18007</v>
      </c>
      <c r="C87" s="28" t="s">
        <v>4966</v>
      </c>
      <c r="D87" s="28" t="s">
        <v>17642</v>
      </c>
      <c r="E87" s="28" t="s">
        <v>192</v>
      </c>
      <c r="F87" s="28">
        <v>1</v>
      </c>
      <c r="G87" s="28" t="s">
        <v>193</v>
      </c>
      <c r="H87" s="28" t="s">
        <v>194</v>
      </c>
      <c r="I87" s="28" t="s">
        <v>17643</v>
      </c>
      <c r="J87" s="28" t="s">
        <v>367</v>
      </c>
      <c r="K87" s="28" t="s">
        <v>9309</v>
      </c>
      <c r="L87" s="28" t="s">
        <v>6955</v>
      </c>
      <c r="N87" s="28" t="s">
        <v>18017</v>
      </c>
      <c r="O87" s="28" t="s">
        <v>6254</v>
      </c>
      <c r="P87" s="28" t="s">
        <v>17846</v>
      </c>
      <c r="Q87" s="28" t="s">
        <v>17805</v>
      </c>
      <c r="R87" s="28" t="s">
        <v>17847</v>
      </c>
      <c r="S87" s="28" t="s">
        <v>18018</v>
      </c>
      <c r="T87" s="28" t="s">
        <v>18019</v>
      </c>
      <c r="V87" s="28" t="s">
        <v>9974</v>
      </c>
      <c r="W87" s="28" t="s">
        <v>405</v>
      </c>
      <c r="X87" s="28" t="s">
        <v>194</v>
      </c>
      <c r="Y87" s="28" t="s">
        <v>9300</v>
      </c>
      <c r="AB87" s="28" t="s">
        <v>9311</v>
      </c>
      <c r="AH87" s="28" t="s">
        <v>4714</v>
      </c>
      <c r="AI87" s="28" t="s">
        <v>18007</v>
      </c>
      <c r="AJ87" s="516" t="str">
        <f>MID('II kw.22'!W87,8,6)</f>
        <v>241304</v>
      </c>
      <c r="AK87" s="516">
        <v>1</v>
      </c>
      <c r="AL87" s="516">
        <f t="shared" si="1"/>
        <v>1</v>
      </c>
      <c r="AM87" s="516">
        <v>1</v>
      </c>
      <c r="AN87" s="28" t="s">
        <v>17650</v>
      </c>
      <c r="AO87" s="28" t="s">
        <v>17651</v>
      </c>
      <c r="AP87" s="28" t="s">
        <v>17652</v>
      </c>
      <c r="AQ87" s="28" t="s">
        <v>17653</v>
      </c>
      <c r="AR87" s="28" t="s">
        <v>1024</v>
      </c>
    </row>
    <row r="88" spans="1:44" x14ac:dyDescent="0.25">
      <c r="A88" s="28" t="s">
        <v>782</v>
      </c>
      <c r="B88" s="28" t="s">
        <v>18007</v>
      </c>
      <c r="C88" s="28" t="s">
        <v>4966</v>
      </c>
      <c r="D88" s="28" t="s">
        <v>17642</v>
      </c>
      <c r="E88" s="28" t="s">
        <v>192</v>
      </c>
      <c r="F88" s="28">
        <v>1</v>
      </c>
      <c r="G88" s="28" t="s">
        <v>193</v>
      </c>
      <c r="H88" s="28" t="s">
        <v>194</v>
      </c>
      <c r="I88" s="28" t="s">
        <v>17643</v>
      </c>
      <c r="J88" s="28" t="s">
        <v>962</v>
      </c>
      <c r="K88" s="28" t="s">
        <v>9309</v>
      </c>
      <c r="L88" s="28" t="s">
        <v>6955</v>
      </c>
      <c r="N88" s="28" t="s">
        <v>18020</v>
      </c>
      <c r="O88" s="28" t="s">
        <v>6254</v>
      </c>
      <c r="P88" s="28" t="s">
        <v>17846</v>
      </c>
      <c r="Q88" s="28" t="s">
        <v>17805</v>
      </c>
      <c r="R88" s="28" t="s">
        <v>17847</v>
      </c>
      <c r="S88" s="28" t="s">
        <v>18021</v>
      </c>
      <c r="T88" s="28" t="s">
        <v>18022</v>
      </c>
      <c r="V88" s="28" t="s">
        <v>11394</v>
      </c>
      <c r="W88" s="28" t="s">
        <v>405</v>
      </c>
      <c r="X88" s="28" t="s">
        <v>194</v>
      </c>
      <c r="Y88" s="28" t="s">
        <v>9300</v>
      </c>
      <c r="AB88" s="28" t="s">
        <v>9311</v>
      </c>
      <c r="AH88" s="28" t="s">
        <v>4714</v>
      </c>
      <c r="AI88" s="28" t="s">
        <v>18007</v>
      </c>
      <c r="AJ88" s="516" t="str">
        <f>MID('II kw.22'!W88,8,6)</f>
        <v>241304</v>
      </c>
      <c r="AK88" s="516">
        <v>1</v>
      </c>
      <c r="AL88" s="516">
        <f t="shared" si="1"/>
        <v>1</v>
      </c>
      <c r="AM88" s="516">
        <v>1</v>
      </c>
      <c r="AN88" s="28" t="s">
        <v>17650</v>
      </c>
      <c r="AO88" s="28" t="s">
        <v>17651</v>
      </c>
      <c r="AP88" s="28" t="s">
        <v>17652</v>
      </c>
      <c r="AQ88" s="28" t="s">
        <v>17653</v>
      </c>
      <c r="AR88" s="28" t="s">
        <v>1024</v>
      </c>
    </row>
    <row r="89" spans="1:44" x14ac:dyDescent="0.25">
      <c r="A89" s="28" t="s">
        <v>782</v>
      </c>
      <c r="B89" s="28" t="s">
        <v>18007</v>
      </c>
      <c r="C89" s="28" t="s">
        <v>4966</v>
      </c>
      <c r="D89" s="28" t="s">
        <v>17642</v>
      </c>
      <c r="E89" s="28" t="s">
        <v>192</v>
      </c>
      <c r="F89" s="28">
        <v>1</v>
      </c>
      <c r="G89" s="28" t="s">
        <v>193</v>
      </c>
      <c r="H89" s="28" t="s">
        <v>194</v>
      </c>
      <c r="I89" s="28" t="s">
        <v>17643</v>
      </c>
      <c r="J89" s="28" t="s">
        <v>385</v>
      </c>
      <c r="K89" s="28" t="s">
        <v>9309</v>
      </c>
      <c r="L89" s="28" t="s">
        <v>6955</v>
      </c>
      <c r="N89" s="28" t="s">
        <v>18023</v>
      </c>
      <c r="O89" s="28" t="s">
        <v>6254</v>
      </c>
      <c r="P89" s="28" t="s">
        <v>17846</v>
      </c>
      <c r="Q89" s="28" t="s">
        <v>17805</v>
      </c>
      <c r="R89" s="28" t="s">
        <v>17847</v>
      </c>
      <c r="S89" s="28" t="s">
        <v>18024</v>
      </c>
      <c r="T89" s="28" t="s">
        <v>18025</v>
      </c>
      <c r="V89" s="28" t="s">
        <v>9410</v>
      </c>
      <c r="W89" s="28" t="s">
        <v>405</v>
      </c>
      <c r="X89" s="28" t="s">
        <v>194</v>
      </c>
      <c r="Y89" s="28" t="s">
        <v>9300</v>
      </c>
      <c r="AB89" s="28" t="s">
        <v>9311</v>
      </c>
      <c r="AH89" s="28" t="s">
        <v>4714</v>
      </c>
      <c r="AI89" s="28" t="s">
        <v>18007</v>
      </c>
      <c r="AJ89" s="516" t="str">
        <f>MID('II kw.22'!W89,8,6)</f>
        <v>241304</v>
      </c>
      <c r="AK89" s="516">
        <v>1</v>
      </c>
      <c r="AL89" s="516">
        <f t="shared" si="1"/>
        <v>1</v>
      </c>
      <c r="AM89" s="516">
        <v>1</v>
      </c>
      <c r="AN89" s="28" t="s">
        <v>17650</v>
      </c>
      <c r="AO89" s="28" t="s">
        <v>17651</v>
      </c>
      <c r="AP89" s="28" t="s">
        <v>17652</v>
      </c>
      <c r="AQ89" s="28" t="s">
        <v>17653</v>
      </c>
      <c r="AR89" s="28" t="s">
        <v>1024</v>
      </c>
    </row>
    <row r="90" spans="1:44" x14ac:dyDescent="0.25">
      <c r="A90" s="28" t="s">
        <v>782</v>
      </c>
      <c r="B90" s="28" t="s">
        <v>18007</v>
      </c>
      <c r="C90" s="28" t="s">
        <v>4966</v>
      </c>
      <c r="D90" s="28" t="s">
        <v>17642</v>
      </c>
      <c r="E90" s="28" t="s">
        <v>192</v>
      </c>
      <c r="F90" s="28">
        <v>1</v>
      </c>
      <c r="G90" s="28" t="s">
        <v>193</v>
      </c>
      <c r="H90" s="28" t="s">
        <v>194</v>
      </c>
      <c r="I90" s="28" t="s">
        <v>17643</v>
      </c>
      <c r="J90" s="28" t="s">
        <v>1995</v>
      </c>
      <c r="K90" s="28" t="s">
        <v>9309</v>
      </c>
      <c r="L90" s="28" t="s">
        <v>6955</v>
      </c>
      <c r="N90" s="28" t="s">
        <v>18026</v>
      </c>
      <c r="O90" s="28" t="s">
        <v>6254</v>
      </c>
      <c r="P90" s="28" t="s">
        <v>17846</v>
      </c>
      <c r="Q90" s="28" t="s">
        <v>17805</v>
      </c>
      <c r="R90" s="28" t="s">
        <v>17847</v>
      </c>
      <c r="S90" s="28" t="s">
        <v>18027</v>
      </c>
      <c r="T90" s="28" t="s">
        <v>18028</v>
      </c>
      <c r="V90" s="28" t="s">
        <v>9440</v>
      </c>
      <c r="W90" s="28" t="s">
        <v>405</v>
      </c>
      <c r="X90" s="28" t="s">
        <v>194</v>
      </c>
      <c r="Y90" s="28" t="s">
        <v>9300</v>
      </c>
      <c r="AB90" s="28" t="s">
        <v>9311</v>
      </c>
      <c r="AH90" s="28" t="s">
        <v>4714</v>
      </c>
      <c r="AI90" s="28" t="s">
        <v>18007</v>
      </c>
      <c r="AJ90" s="516" t="str">
        <f>MID('II kw.22'!W90,8,6)</f>
        <v>241304</v>
      </c>
      <c r="AK90" s="516">
        <v>1</v>
      </c>
      <c r="AL90" s="516">
        <f t="shared" si="1"/>
        <v>1</v>
      </c>
      <c r="AM90" s="516">
        <v>1</v>
      </c>
      <c r="AN90" s="28" t="s">
        <v>17650</v>
      </c>
      <c r="AO90" s="28" t="s">
        <v>17651</v>
      </c>
      <c r="AP90" s="28" t="s">
        <v>17652</v>
      </c>
      <c r="AQ90" s="28" t="s">
        <v>17653</v>
      </c>
      <c r="AR90" s="28" t="s">
        <v>1024</v>
      </c>
    </row>
    <row r="91" spans="1:44" x14ac:dyDescent="0.25">
      <c r="A91" s="28" t="s">
        <v>782</v>
      </c>
      <c r="B91" s="28" t="s">
        <v>18007</v>
      </c>
      <c r="C91" s="28" t="s">
        <v>4966</v>
      </c>
      <c r="D91" s="28" t="s">
        <v>17642</v>
      </c>
      <c r="E91" s="28" t="s">
        <v>192</v>
      </c>
      <c r="F91" s="28">
        <v>1</v>
      </c>
      <c r="G91" s="28" t="s">
        <v>193</v>
      </c>
      <c r="H91" s="28" t="s">
        <v>194</v>
      </c>
      <c r="I91" s="28" t="s">
        <v>17643</v>
      </c>
      <c r="J91" s="28" t="s">
        <v>327</v>
      </c>
      <c r="K91" s="28" t="s">
        <v>9309</v>
      </c>
      <c r="L91" s="28" t="s">
        <v>6955</v>
      </c>
      <c r="N91" s="28" t="s">
        <v>18029</v>
      </c>
      <c r="O91" s="28" t="s">
        <v>6254</v>
      </c>
      <c r="P91" s="28" t="s">
        <v>17846</v>
      </c>
      <c r="Q91" s="28" t="s">
        <v>17805</v>
      </c>
      <c r="R91" s="28" t="s">
        <v>17847</v>
      </c>
      <c r="S91" s="28" t="s">
        <v>18030</v>
      </c>
      <c r="T91" s="28" t="s">
        <v>18031</v>
      </c>
      <c r="V91" s="28" t="s">
        <v>9506</v>
      </c>
      <c r="W91" s="28" t="s">
        <v>405</v>
      </c>
      <c r="X91" s="28" t="s">
        <v>194</v>
      </c>
      <c r="Y91" s="28" t="s">
        <v>9300</v>
      </c>
      <c r="AB91" s="28" t="s">
        <v>9311</v>
      </c>
      <c r="AH91" s="28" t="s">
        <v>4714</v>
      </c>
      <c r="AI91" s="28" t="s">
        <v>18007</v>
      </c>
      <c r="AJ91" s="516" t="str">
        <f>MID('II kw.22'!W91,8,6)</f>
        <v>241304</v>
      </c>
      <c r="AK91" s="516">
        <v>1</v>
      </c>
      <c r="AL91" s="516">
        <f t="shared" si="1"/>
        <v>1</v>
      </c>
      <c r="AM91" s="516">
        <v>1</v>
      </c>
      <c r="AN91" s="28" t="s">
        <v>17650</v>
      </c>
      <c r="AO91" s="28" t="s">
        <v>17651</v>
      </c>
      <c r="AP91" s="28" t="s">
        <v>17652</v>
      </c>
      <c r="AQ91" s="28" t="s">
        <v>17653</v>
      </c>
      <c r="AR91" s="28" t="s">
        <v>1024</v>
      </c>
    </row>
    <row r="92" spans="1:44" x14ac:dyDescent="0.25">
      <c r="A92" s="28" t="s">
        <v>782</v>
      </c>
      <c r="B92" s="28" t="s">
        <v>18007</v>
      </c>
      <c r="C92" s="28" t="s">
        <v>4966</v>
      </c>
      <c r="D92" s="28" t="s">
        <v>17642</v>
      </c>
      <c r="E92" s="28" t="s">
        <v>192</v>
      </c>
      <c r="F92" s="28">
        <v>1</v>
      </c>
      <c r="G92" s="28" t="s">
        <v>193</v>
      </c>
      <c r="H92" s="28" t="s">
        <v>194</v>
      </c>
      <c r="I92" s="28" t="s">
        <v>17643</v>
      </c>
      <c r="J92" s="28" t="s">
        <v>253</v>
      </c>
      <c r="K92" s="28" t="s">
        <v>9309</v>
      </c>
      <c r="L92" s="28" t="s">
        <v>6955</v>
      </c>
      <c r="N92" s="28" t="s">
        <v>18032</v>
      </c>
      <c r="O92" s="28" t="s">
        <v>6254</v>
      </c>
      <c r="P92" s="28" t="s">
        <v>17846</v>
      </c>
      <c r="Q92" s="28" t="s">
        <v>17805</v>
      </c>
      <c r="R92" s="28" t="s">
        <v>17847</v>
      </c>
      <c r="S92" s="28" t="s">
        <v>18033</v>
      </c>
      <c r="T92" s="28" t="s">
        <v>18034</v>
      </c>
      <c r="V92" s="28" t="s">
        <v>9468</v>
      </c>
      <c r="W92" s="28" t="s">
        <v>405</v>
      </c>
      <c r="X92" s="28" t="s">
        <v>194</v>
      </c>
      <c r="Y92" s="28" t="s">
        <v>9300</v>
      </c>
      <c r="AB92" s="28" t="s">
        <v>9311</v>
      </c>
      <c r="AH92" s="28" t="s">
        <v>4714</v>
      </c>
      <c r="AI92" s="28" t="s">
        <v>18007</v>
      </c>
      <c r="AJ92" s="516" t="str">
        <f>MID('II kw.22'!W92,8,6)</f>
        <v>241304</v>
      </c>
      <c r="AK92" s="516">
        <v>1</v>
      </c>
      <c r="AL92" s="516">
        <f t="shared" si="1"/>
        <v>1</v>
      </c>
      <c r="AM92" s="516">
        <v>1</v>
      </c>
      <c r="AN92" s="28" t="s">
        <v>17650</v>
      </c>
      <c r="AO92" s="28" t="s">
        <v>17651</v>
      </c>
      <c r="AP92" s="28" t="s">
        <v>17652</v>
      </c>
      <c r="AQ92" s="28" t="s">
        <v>17653</v>
      </c>
      <c r="AR92" s="28" t="s">
        <v>1024</v>
      </c>
    </row>
    <row r="93" spans="1:44" x14ac:dyDescent="0.25">
      <c r="A93" s="28" t="s">
        <v>782</v>
      </c>
      <c r="B93" s="28" t="s">
        <v>18007</v>
      </c>
      <c r="C93" s="28" t="s">
        <v>4966</v>
      </c>
      <c r="D93" s="28" t="s">
        <v>17642</v>
      </c>
      <c r="E93" s="28" t="s">
        <v>192</v>
      </c>
      <c r="F93" s="28">
        <v>1</v>
      </c>
      <c r="G93" s="28" t="s">
        <v>193</v>
      </c>
      <c r="H93" s="28" t="s">
        <v>194</v>
      </c>
      <c r="I93" s="28" t="s">
        <v>17643</v>
      </c>
      <c r="J93" s="28" t="s">
        <v>301</v>
      </c>
      <c r="K93" s="28" t="s">
        <v>9309</v>
      </c>
      <c r="L93" s="28" t="s">
        <v>6955</v>
      </c>
      <c r="N93" s="28" t="s">
        <v>18035</v>
      </c>
      <c r="O93" s="28" t="s">
        <v>6254</v>
      </c>
      <c r="P93" s="28" t="s">
        <v>17846</v>
      </c>
      <c r="Q93" s="28" t="s">
        <v>17805</v>
      </c>
      <c r="R93" s="28" t="s">
        <v>17847</v>
      </c>
      <c r="S93" s="28" t="s">
        <v>18036</v>
      </c>
      <c r="T93" s="28" t="s">
        <v>18037</v>
      </c>
      <c r="V93" s="28" t="s">
        <v>9367</v>
      </c>
      <c r="W93" s="28" t="s">
        <v>405</v>
      </c>
      <c r="X93" s="28" t="s">
        <v>194</v>
      </c>
      <c r="Y93" s="28" t="s">
        <v>9300</v>
      </c>
      <c r="AB93" s="28" t="s">
        <v>9311</v>
      </c>
      <c r="AH93" s="28" t="s">
        <v>4714</v>
      </c>
      <c r="AI93" s="28" t="s">
        <v>18007</v>
      </c>
      <c r="AJ93" s="516" t="str">
        <f>MID('II kw.22'!W93,8,6)</f>
        <v>241304</v>
      </c>
      <c r="AK93" s="516">
        <v>1</v>
      </c>
      <c r="AL93" s="517">
        <f t="shared" si="1"/>
        <v>1</v>
      </c>
      <c r="AM93" s="516">
        <v>1</v>
      </c>
      <c r="AN93" s="28" t="s">
        <v>17650</v>
      </c>
      <c r="AO93" s="28" t="s">
        <v>17651</v>
      </c>
      <c r="AP93" s="28" t="s">
        <v>17652</v>
      </c>
      <c r="AQ93" s="28" t="s">
        <v>17653</v>
      </c>
      <c r="AR93" s="28" t="s">
        <v>1024</v>
      </c>
    </row>
    <row r="94" spans="1:44" x14ac:dyDescent="0.25">
      <c r="A94" s="28" t="s">
        <v>782</v>
      </c>
      <c r="B94" s="28" t="s">
        <v>18007</v>
      </c>
      <c r="C94" s="28" t="s">
        <v>4966</v>
      </c>
      <c r="D94" s="28" t="s">
        <v>17642</v>
      </c>
      <c r="E94" s="28" t="s">
        <v>192</v>
      </c>
      <c r="F94" s="28">
        <v>1</v>
      </c>
      <c r="G94" s="28" t="s">
        <v>193</v>
      </c>
      <c r="H94" s="28" t="s">
        <v>194</v>
      </c>
      <c r="I94" s="28" t="s">
        <v>17643</v>
      </c>
      <c r="J94" s="28" t="s">
        <v>323</v>
      </c>
      <c r="K94" s="28" t="s">
        <v>9309</v>
      </c>
      <c r="L94" s="28" t="s">
        <v>6955</v>
      </c>
      <c r="N94" s="28" t="s">
        <v>18038</v>
      </c>
      <c r="O94" s="28" t="s">
        <v>6254</v>
      </c>
      <c r="P94" s="28" t="s">
        <v>17846</v>
      </c>
      <c r="Q94" s="28" t="s">
        <v>17805</v>
      </c>
      <c r="R94" s="28" t="s">
        <v>17847</v>
      </c>
      <c r="S94" s="28" t="s">
        <v>18039</v>
      </c>
      <c r="T94" s="28" t="s">
        <v>18040</v>
      </c>
      <c r="V94" s="28" t="s">
        <v>9514</v>
      </c>
      <c r="W94" s="28" t="s">
        <v>405</v>
      </c>
      <c r="X94" s="28" t="s">
        <v>194</v>
      </c>
      <c r="Y94" s="28" t="s">
        <v>9300</v>
      </c>
      <c r="AB94" s="28" t="s">
        <v>9311</v>
      </c>
      <c r="AH94" s="28" t="s">
        <v>4714</v>
      </c>
      <c r="AI94" s="28" t="s">
        <v>18007</v>
      </c>
      <c r="AJ94" s="516" t="str">
        <f>MID('II kw.22'!W94,8,6)</f>
        <v>241304</v>
      </c>
      <c r="AK94" s="516">
        <v>1</v>
      </c>
      <c r="AL94" s="517">
        <f t="shared" si="1"/>
        <v>1</v>
      </c>
      <c r="AM94" s="516">
        <v>1</v>
      </c>
      <c r="AN94" s="28" t="s">
        <v>17650</v>
      </c>
      <c r="AO94" s="28" t="s">
        <v>17651</v>
      </c>
      <c r="AP94" s="28" t="s">
        <v>17652</v>
      </c>
      <c r="AQ94" s="28" t="s">
        <v>17653</v>
      </c>
      <c r="AR94" s="28" t="s">
        <v>1024</v>
      </c>
    </row>
    <row r="95" spans="1:44" x14ac:dyDescent="0.25">
      <c r="A95" s="28" t="s">
        <v>782</v>
      </c>
      <c r="B95" s="28" t="s">
        <v>18007</v>
      </c>
      <c r="C95" s="28" t="s">
        <v>4966</v>
      </c>
      <c r="D95" s="28" t="s">
        <v>17642</v>
      </c>
      <c r="E95" s="28" t="s">
        <v>192</v>
      </c>
      <c r="F95" s="28">
        <v>1</v>
      </c>
      <c r="G95" s="28" t="s">
        <v>193</v>
      </c>
      <c r="H95" s="28" t="s">
        <v>194</v>
      </c>
      <c r="I95" s="28" t="s">
        <v>17643</v>
      </c>
      <c r="J95" s="28" t="s">
        <v>4751</v>
      </c>
      <c r="K95" s="28" t="s">
        <v>9309</v>
      </c>
      <c r="L95" s="28" t="s">
        <v>6955</v>
      </c>
      <c r="N95" s="28" t="s">
        <v>18041</v>
      </c>
      <c r="O95" s="28" t="s">
        <v>6254</v>
      </c>
      <c r="P95" s="28" t="s">
        <v>17846</v>
      </c>
      <c r="Q95" s="28" t="s">
        <v>17805</v>
      </c>
      <c r="R95" s="28" t="s">
        <v>17847</v>
      </c>
      <c r="S95" s="28" t="s">
        <v>18042</v>
      </c>
      <c r="T95" s="28" t="s">
        <v>18043</v>
      </c>
      <c r="V95" s="28" t="s">
        <v>9472</v>
      </c>
      <c r="W95" s="28" t="s">
        <v>405</v>
      </c>
      <c r="X95" s="28" t="s">
        <v>194</v>
      </c>
      <c r="Y95" s="28" t="s">
        <v>9300</v>
      </c>
      <c r="AB95" s="28" t="s">
        <v>9311</v>
      </c>
      <c r="AH95" s="28" t="s">
        <v>4714</v>
      </c>
      <c r="AI95" s="28" t="s">
        <v>18007</v>
      </c>
      <c r="AJ95" s="516" t="str">
        <f>MID('II kw.22'!W95,8,6)</f>
        <v>241304</v>
      </c>
      <c r="AK95" s="516">
        <v>1</v>
      </c>
      <c r="AL95" s="516">
        <f t="shared" si="1"/>
        <v>1</v>
      </c>
      <c r="AM95" s="516">
        <v>1</v>
      </c>
      <c r="AN95" s="28" t="s">
        <v>17650</v>
      </c>
      <c r="AO95" s="28" t="s">
        <v>17651</v>
      </c>
      <c r="AP95" s="28" t="s">
        <v>17652</v>
      </c>
      <c r="AQ95" s="28" t="s">
        <v>17653</v>
      </c>
      <c r="AR95" s="28" t="s">
        <v>1024</v>
      </c>
    </row>
    <row r="96" spans="1:44" x14ac:dyDescent="0.25">
      <c r="A96" s="28" t="s">
        <v>782</v>
      </c>
      <c r="B96" s="28" t="s">
        <v>18007</v>
      </c>
      <c r="C96" s="28" t="s">
        <v>4966</v>
      </c>
      <c r="D96" s="28" t="s">
        <v>17642</v>
      </c>
      <c r="E96" s="28" t="s">
        <v>192</v>
      </c>
      <c r="F96" s="28">
        <v>1</v>
      </c>
      <c r="G96" s="28" t="s">
        <v>193</v>
      </c>
      <c r="H96" s="28" t="s">
        <v>194</v>
      </c>
      <c r="I96" s="28" t="s">
        <v>17643</v>
      </c>
      <c r="J96" s="28" t="s">
        <v>6692</v>
      </c>
      <c r="K96" s="28" t="s">
        <v>9309</v>
      </c>
      <c r="L96" s="28" t="s">
        <v>6955</v>
      </c>
      <c r="N96" s="28" t="s">
        <v>18044</v>
      </c>
      <c r="O96" s="28" t="s">
        <v>6254</v>
      </c>
      <c r="P96" s="28" t="s">
        <v>17846</v>
      </c>
      <c r="Q96" s="28" t="s">
        <v>17805</v>
      </c>
      <c r="R96" s="28" t="s">
        <v>17847</v>
      </c>
      <c r="S96" s="28" t="s">
        <v>18045</v>
      </c>
      <c r="T96" s="28" t="s">
        <v>18046</v>
      </c>
      <c r="V96" s="28" t="s">
        <v>9440</v>
      </c>
      <c r="W96" s="28" t="s">
        <v>405</v>
      </c>
      <c r="X96" s="28" t="s">
        <v>194</v>
      </c>
      <c r="Y96" s="28" t="s">
        <v>9300</v>
      </c>
      <c r="AB96" s="28" t="s">
        <v>9311</v>
      </c>
      <c r="AH96" s="28" t="s">
        <v>4714</v>
      </c>
      <c r="AI96" s="28" t="s">
        <v>18007</v>
      </c>
      <c r="AJ96" s="516" t="str">
        <f>MID('II kw.22'!W96,8,6)</f>
        <v>241304</v>
      </c>
      <c r="AK96" s="516">
        <v>1</v>
      </c>
      <c r="AL96" s="516">
        <f t="shared" si="1"/>
        <v>1</v>
      </c>
      <c r="AM96" s="516">
        <v>1</v>
      </c>
      <c r="AN96" s="28" t="s">
        <v>17650</v>
      </c>
      <c r="AO96" s="28" t="s">
        <v>17651</v>
      </c>
      <c r="AP96" s="28" t="s">
        <v>17652</v>
      </c>
      <c r="AQ96" s="28" t="s">
        <v>17653</v>
      </c>
      <c r="AR96" s="28" t="s">
        <v>1024</v>
      </c>
    </row>
    <row r="97" spans="1:44" x14ac:dyDescent="0.25">
      <c r="A97" s="28" t="s">
        <v>782</v>
      </c>
      <c r="B97" s="28" t="s">
        <v>18007</v>
      </c>
      <c r="C97" s="28" t="s">
        <v>4966</v>
      </c>
      <c r="D97" s="28" t="s">
        <v>17642</v>
      </c>
      <c r="E97" s="28" t="s">
        <v>192</v>
      </c>
      <c r="F97" s="28">
        <v>1</v>
      </c>
      <c r="G97" s="28" t="s">
        <v>193</v>
      </c>
      <c r="H97" s="28" t="s">
        <v>194</v>
      </c>
      <c r="I97" s="28" t="s">
        <v>17643</v>
      </c>
      <c r="J97" s="28" t="s">
        <v>210</v>
      </c>
      <c r="K97" s="28" t="s">
        <v>9309</v>
      </c>
      <c r="L97" s="28" t="s">
        <v>6955</v>
      </c>
      <c r="N97" s="28" t="s">
        <v>18047</v>
      </c>
      <c r="O97" s="28" t="s">
        <v>6254</v>
      </c>
      <c r="P97" s="28" t="s">
        <v>17846</v>
      </c>
      <c r="Q97" s="28" t="s">
        <v>17805</v>
      </c>
      <c r="R97" s="28" t="s">
        <v>17847</v>
      </c>
      <c r="S97" s="28" t="s">
        <v>18048</v>
      </c>
      <c r="T97" s="28" t="s">
        <v>18049</v>
      </c>
      <c r="V97" s="28" t="s">
        <v>9334</v>
      </c>
      <c r="W97" s="28" t="s">
        <v>405</v>
      </c>
      <c r="X97" s="28" t="s">
        <v>194</v>
      </c>
      <c r="Y97" s="28" t="s">
        <v>9300</v>
      </c>
      <c r="AB97" s="28" t="s">
        <v>9311</v>
      </c>
      <c r="AH97" s="28" t="s">
        <v>4714</v>
      </c>
      <c r="AI97" s="28" t="s">
        <v>18007</v>
      </c>
      <c r="AJ97" s="516" t="str">
        <f>MID('II kw.22'!W97,8,6)</f>
        <v>241304</v>
      </c>
      <c r="AK97" s="516">
        <v>1</v>
      </c>
      <c r="AL97" s="516">
        <f t="shared" si="1"/>
        <v>1</v>
      </c>
      <c r="AM97" s="516">
        <v>1</v>
      </c>
      <c r="AN97" s="28" t="s">
        <v>17650</v>
      </c>
      <c r="AO97" s="28" t="s">
        <v>17651</v>
      </c>
      <c r="AP97" s="28" t="s">
        <v>17652</v>
      </c>
      <c r="AQ97" s="28" t="s">
        <v>17653</v>
      </c>
      <c r="AR97" s="28" t="s">
        <v>1024</v>
      </c>
    </row>
    <row r="98" spans="1:44" x14ac:dyDescent="0.25">
      <c r="A98" s="28" t="s">
        <v>782</v>
      </c>
      <c r="B98" s="28" t="s">
        <v>18007</v>
      </c>
      <c r="C98" s="28" t="s">
        <v>4966</v>
      </c>
      <c r="D98" s="28" t="s">
        <v>17642</v>
      </c>
      <c r="E98" s="28" t="s">
        <v>192</v>
      </c>
      <c r="F98" s="28">
        <v>1</v>
      </c>
      <c r="G98" s="28" t="s">
        <v>193</v>
      </c>
      <c r="H98" s="28" t="s">
        <v>194</v>
      </c>
      <c r="I98" s="28" t="s">
        <v>17643</v>
      </c>
      <c r="J98" s="28" t="s">
        <v>747</v>
      </c>
      <c r="K98" s="28" t="s">
        <v>9309</v>
      </c>
      <c r="L98" s="28" t="s">
        <v>6955</v>
      </c>
      <c r="N98" s="28" t="s">
        <v>18050</v>
      </c>
      <c r="O98" s="28" t="s">
        <v>6254</v>
      </c>
      <c r="P98" s="28" t="s">
        <v>17846</v>
      </c>
      <c r="Q98" s="28" t="s">
        <v>17805</v>
      </c>
      <c r="R98" s="28" t="s">
        <v>17847</v>
      </c>
      <c r="S98" s="28" t="s">
        <v>18051</v>
      </c>
      <c r="T98" s="28" t="s">
        <v>18052</v>
      </c>
      <c r="V98" s="28" t="s">
        <v>10397</v>
      </c>
      <c r="W98" s="28" t="s">
        <v>405</v>
      </c>
      <c r="X98" s="28" t="s">
        <v>194</v>
      </c>
      <c r="Y98" s="28" t="s">
        <v>9300</v>
      </c>
      <c r="AB98" s="28" t="s">
        <v>9311</v>
      </c>
      <c r="AH98" s="28" t="s">
        <v>4714</v>
      </c>
      <c r="AI98" s="28" t="s">
        <v>18007</v>
      </c>
      <c r="AJ98" s="516" t="str">
        <f>MID('II kw.22'!W98,8,6)</f>
        <v>241304</v>
      </c>
      <c r="AK98" s="516">
        <v>1</v>
      </c>
      <c r="AL98" s="516">
        <f t="shared" si="1"/>
        <v>1</v>
      </c>
      <c r="AM98" s="516">
        <v>1</v>
      </c>
      <c r="AN98" s="28" t="s">
        <v>17650</v>
      </c>
      <c r="AO98" s="28" t="s">
        <v>17651</v>
      </c>
      <c r="AP98" s="28" t="s">
        <v>17652</v>
      </c>
      <c r="AQ98" s="28" t="s">
        <v>17653</v>
      </c>
      <c r="AR98" s="28" t="s">
        <v>1024</v>
      </c>
    </row>
    <row r="99" spans="1:44" x14ac:dyDescent="0.25">
      <c r="A99" s="28" t="s">
        <v>782</v>
      </c>
      <c r="B99" s="28" t="s">
        <v>18007</v>
      </c>
      <c r="C99" s="28" t="s">
        <v>4966</v>
      </c>
      <c r="D99" s="28" t="s">
        <v>17642</v>
      </c>
      <c r="E99" s="28" t="s">
        <v>192</v>
      </c>
      <c r="F99" s="28">
        <v>1</v>
      </c>
      <c r="G99" s="28" t="s">
        <v>193</v>
      </c>
      <c r="H99" s="28" t="s">
        <v>194</v>
      </c>
      <c r="I99" s="28" t="s">
        <v>17643</v>
      </c>
      <c r="J99" s="28" t="s">
        <v>408</v>
      </c>
      <c r="K99" s="28" t="s">
        <v>9309</v>
      </c>
      <c r="L99" s="28" t="s">
        <v>6955</v>
      </c>
      <c r="N99" s="28" t="s">
        <v>18053</v>
      </c>
      <c r="O99" s="28" t="s">
        <v>6254</v>
      </c>
      <c r="P99" s="28" t="s">
        <v>17846</v>
      </c>
      <c r="Q99" s="28" t="s">
        <v>17805</v>
      </c>
      <c r="R99" s="28" t="s">
        <v>17847</v>
      </c>
      <c r="S99" s="28" t="s">
        <v>18054</v>
      </c>
      <c r="T99" s="28" t="s">
        <v>18055</v>
      </c>
      <c r="V99" s="28" t="s">
        <v>9479</v>
      </c>
      <c r="W99" s="28" t="s">
        <v>405</v>
      </c>
      <c r="X99" s="28" t="s">
        <v>194</v>
      </c>
      <c r="Y99" s="28" t="s">
        <v>9300</v>
      </c>
      <c r="AB99" s="28" t="s">
        <v>9311</v>
      </c>
      <c r="AH99" s="28" t="s">
        <v>4714</v>
      </c>
      <c r="AI99" s="28" t="s">
        <v>18007</v>
      </c>
      <c r="AJ99" s="516" t="str">
        <f>MID('II kw.22'!W99,8,6)</f>
        <v>241304</v>
      </c>
      <c r="AK99" s="516">
        <v>1</v>
      </c>
      <c r="AL99" s="516">
        <f t="shared" si="1"/>
        <v>1</v>
      </c>
      <c r="AM99" s="516">
        <v>1</v>
      </c>
      <c r="AN99" s="28" t="s">
        <v>17650</v>
      </c>
      <c r="AO99" s="28" t="s">
        <v>17651</v>
      </c>
      <c r="AP99" s="28" t="s">
        <v>17652</v>
      </c>
      <c r="AQ99" s="28" t="s">
        <v>17653</v>
      </c>
      <c r="AR99" s="28" t="s">
        <v>1024</v>
      </c>
    </row>
    <row r="100" spans="1:44" x14ac:dyDescent="0.25">
      <c r="A100" s="28" t="s">
        <v>782</v>
      </c>
      <c r="B100" s="28" t="s">
        <v>18007</v>
      </c>
      <c r="C100" s="28" t="s">
        <v>4966</v>
      </c>
      <c r="D100" s="28" t="s">
        <v>17642</v>
      </c>
      <c r="E100" s="28" t="s">
        <v>192</v>
      </c>
      <c r="F100" s="28">
        <v>1</v>
      </c>
      <c r="G100" s="28" t="s">
        <v>193</v>
      </c>
      <c r="H100" s="28" t="s">
        <v>194</v>
      </c>
      <c r="I100" s="28" t="s">
        <v>17643</v>
      </c>
      <c r="J100" s="28" t="s">
        <v>259</v>
      </c>
      <c r="K100" s="28" t="s">
        <v>9309</v>
      </c>
      <c r="L100" s="28" t="s">
        <v>6955</v>
      </c>
      <c r="N100" s="28" t="s">
        <v>18056</v>
      </c>
      <c r="O100" s="28" t="s">
        <v>6254</v>
      </c>
      <c r="P100" s="28" t="s">
        <v>17846</v>
      </c>
      <c r="Q100" s="28" t="s">
        <v>17805</v>
      </c>
      <c r="R100" s="28" t="s">
        <v>17847</v>
      </c>
      <c r="S100" s="28" t="s">
        <v>18057</v>
      </c>
      <c r="T100" s="28" t="s">
        <v>18058</v>
      </c>
      <c r="V100" s="28" t="s">
        <v>10136</v>
      </c>
      <c r="W100" s="28" t="s">
        <v>405</v>
      </c>
      <c r="X100" s="28" t="s">
        <v>194</v>
      </c>
      <c r="Y100" s="28" t="s">
        <v>9300</v>
      </c>
      <c r="AB100" s="28" t="s">
        <v>9311</v>
      </c>
      <c r="AH100" s="28" t="s">
        <v>4714</v>
      </c>
      <c r="AI100" s="28" t="s">
        <v>18007</v>
      </c>
      <c r="AJ100" s="516" t="str">
        <f>MID('II kw.22'!W100,8,6)</f>
        <v>241304</v>
      </c>
      <c r="AK100" s="516">
        <v>1</v>
      </c>
      <c r="AL100" s="516">
        <f t="shared" si="1"/>
        <v>1</v>
      </c>
      <c r="AM100" s="516">
        <v>1</v>
      </c>
      <c r="AN100" s="28" t="s">
        <v>17650</v>
      </c>
      <c r="AO100" s="28" t="s">
        <v>17651</v>
      </c>
      <c r="AP100" s="28" t="s">
        <v>17652</v>
      </c>
      <c r="AQ100" s="28" t="s">
        <v>17653</v>
      </c>
      <c r="AR100" s="28" t="s">
        <v>1024</v>
      </c>
    </row>
    <row r="101" spans="1:44" x14ac:dyDescent="0.25">
      <c r="A101" s="28" t="s">
        <v>782</v>
      </c>
      <c r="B101" s="28" t="s">
        <v>18007</v>
      </c>
      <c r="C101" s="28" t="s">
        <v>4966</v>
      </c>
      <c r="D101" s="28" t="s">
        <v>17642</v>
      </c>
      <c r="E101" s="28" t="s">
        <v>192</v>
      </c>
      <c r="F101" s="28">
        <v>1</v>
      </c>
      <c r="G101" s="28" t="s">
        <v>193</v>
      </c>
      <c r="H101" s="28" t="s">
        <v>194</v>
      </c>
      <c r="I101" s="28" t="s">
        <v>17643</v>
      </c>
      <c r="J101" s="28" t="s">
        <v>316</v>
      </c>
      <c r="K101" s="28" t="s">
        <v>9309</v>
      </c>
      <c r="L101" s="28" t="s">
        <v>6955</v>
      </c>
      <c r="N101" s="28" t="s">
        <v>18059</v>
      </c>
      <c r="O101" s="28" t="s">
        <v>6254</v>
      </c>
      <c r="P101" s="28" t="s">
        <v>17846</v>
      </c>
      <c r="Q101" s="28" t="s">
        <v>17805</v>
      </c>
      <c r="R101" s="28" t="s">
        <v>17847</v>
      </c>
      <c r="S101" s="28" t="s">
        <v>18060</v>
      </c>
      <c r="T101" s="28" t="s">
        <v>18061</v>
      </c>
      <c r="V101" s="28" t="s">
        <v>10012</v>
      </c>
      <c r="W101" s="28" t="s">
        <v>405</v>
      </c>
      <c r="X101" s="28" t="s">
        <v>194</v>
      </c>
      <c r="Y101" s="28" t="s">
        <v>9300</v>
      </c>
      <c r="AB101" s="28" t="s">
        <v>9311</v>
      </c>
      <c r="AH101" s="28" t="s">
        <v>4714</v>
      </c>
      <c r="AI101" s="28" t="s">
        <v>18007</v>
      </c>
      <c r="AJ101" s="516" t="str">
        <f>MID('II kw.22'!W101,8,6)</f>
        <v>241304</v>
      </c>
      <c r="AK101" s="516">
        <v>1</v>
      </c>
      <c r="AL101" s="516">
        <f t="shared" si="1"/>
        <v>1</v>
      </c>
      <c r="AM101" s="516">
        <v>1</v>
      </c>
      <c r="AN101" s="28" t="s">
        <v>17650</v>
      </c>
      <c r="AO101" s="28" t="s">
        <v>17651</v>
      </c>
      <c r="AP101" s="28" t="s">
        <v>17652</v>
      </c>
      <c r="AQ101" s="28" t="s">
        <v>17653</v>
      </c>
      <c r="AR101" s="28" t="s">
        <v>1024</v>
      </c>
    </row>
    <row r="102" spans="1:44" x14ac:dyDescent="0.25">
      <c r="A102" s="28" t="s">
        <v>1568</v>
      </c>
      <c r="B102" s="28" t="s">
        <v>18062</v>
      </c>
      <c r="C102" s="28" t="s">
        <v>525</v>
      </c>
      <c r="D102" s="28" t="s">
        <v>17642</v>
      </c>
      <c r="E102" s="28" t="s">
        <v>192</v>
      </c>
      <c r="F102" s="28">
        <v>1</v>
      </c>
      <c r="G102" s="28" t="s">
        <v>193</v>
      </c>
      <c r="H102" s="28" t="s">
        <v>194</v>
      </c>
      <c r="I102" s="28" t="s">
        <v>17784</v>
      </c>
      <c r="J102" s="28" t="s">
        <v>276</v>
      </c>
      <c r="K102" s="28" t="s">
        <v>9309</v>
      </c>
      <c r="L102" s="28" t="s">
        <v>6955</v>
      </c>
      <c r="N102" s="28" t="s">
        <v>18063</v>
      </c>
      <c r="O102" s="28" t="s">
        <v>6254</v>
      </c>
      <c r="P102" s="28" t="s">
        <v>17846</v>
      </c>
      <c r="Q102" s="28" t="s">
        <v>17805</v>
      </c>
      <c r="R102" s="28" t="s">
        <v>17847</v>
      </c>
      <c r="S102" s="28" t="s">
        <v>18064</v>
      </c>
      <c r="T102" s="28" t="s">
        <v>18065</v>
      </c>
      <c r="V102" s="28" t="s">
        <v>9786</v>
      </c>
      <c r="W102" s="28" t="s">
        <v>526</v>
      </c>
      <c r="X102" s="28" t="s">
        <v>194</v>
      </c>
      <c r="Y102" s="28" t="s">
        <v>9300</v>
      </c>
      <c r="AB102" s="28" t="s">
        <v>9311</v>
      </c>
      <c r="AH102" s="28" t="s">
        <v>4714</v>
      </c>
      <c r="AI102" s="28" t="s">
        <v>18062</v>
      </c>
      <c r="AJ102" s="516" t="str">
        <f>MID('II kw.22'!W102,8,6)</f>
        <v>263102</v>
      </c>
      <c r="AK102" s="516">
        <v>1</v>
      </c>
      <c r="AL102" s="516">
        <f t="shared" si="1"/>
        <v>1</v>
      </c>
      <c r="AM102" s="516">
        <v>1</v>
      </c>
      <c r="AN102" s="28" t="s">
        <v>17650</v>
      </c>
      <c r="AO102" s="28" t="s">
        <v>17651</v>
      </c>
      <c r="AP102" s="28" t="s">
        <v>17652</v>
      </c>
      <c r="AQ102" s="28" t="s">
        <v>17653</v>
      </c>
      <c r="AR102" s="28" t="s">
        <v>1024</v>
      </c>
    </row>
    <row r="103" spans="1:44" x14ac:dyDescent="0.25">
      <c r="A103" s="28" t="s">
        <v>491</v>
      </c>
      <c r="B103" s="28" t="s">
        <v>4055</v>
      </c>
      <c r="C103" s="28" t="s">
        <v>10</v>
      </c>
      <c r="D103" s="28" t="s">
        <v>17642</v>
      </c>
      <c r="E103" s="28" t="s">
        <v>192</v>
      </c>
      <c r="F103" s="28">
        <v>1</v>
      </c>
      <c r="G103" s="28" t="s">
        <v>193</v>
      </c>
      <c r="H103" s="28" t="s">
        <v>194</v>
      </c>
      <c r="I103" s="28" t="s">
        <v>17643</v>
      </c>
      <c r="J103" s="28" t="s">
        <v>210</v>
      </c>
      <c r="K103" s="28" t="s">
        <v>9309</v>
      </c>
      <c r="L103" s="28" t="s">
        <v>6955</v>
      </c>
      <c r="N103" s="28" t="s">
        <v>18066</v>
      </c>
      <c r="O103" s="28" t="s">
        <v>6261</v>
      </c>
      <c r="P103" s="28" t="s">
        <v>17846</v>
      </c>
      <c r="Q103" s="28" t="s">
        <v>17805</v>
      </c>
      <c r="R103" s="28" t="s">
        <v>17847</v>
      </c>
      <c r="S103" s="28" t="s">
        <v>18067</v>
      </c>
      <c r="T103" s="28" t="s">
        <v>18068</v>
      </c>
      <c r="V103" s="28" t="s">
        <v>9334</v>
      </c>
      <c r="W103" s="28" t="s">
        <v>484</v>
      </c>
      <c r="X103" s="28" t="s">
        <v>194</v>
      </c>
      <c r="Y103" s="28" t="s">
        <v>9300</v>
      </c>
      <c r="AB103" s="28" t="s">
        <v>9311</v>
      </c>
      <c r="AH103" s="28" t="s">
        <v>4714</v>
      </c>
      <c r="AI103" s="28" t="s">
        <v>4055</v>
      </c>
      <c r="AJ103" s="516" t="str">
        <f>MID('II kw.22'!W103,8,6)</f>
        <v>251401</v>
      </c>
      <c r="AK103" s="516">
        <v>1</v>
      </c>
      <c r="AL103" s="516">
        <f t="shared" si="1"/>
        <v>1</v>
      </c>
      <c r="AM103" s="516">
        <v>1</v>
      </c>
      <c r="AN103" s="28" t="s">
        <v>17650</v>
      </c>
      <c r="AO103" s="28" t="s">
        <v>17651</v>
      </c>
      <c r="AP103" s="28" t="s">
        <v>17652</v>
      </c>
      <c r="AQ103" s="28" t="s">
        <v>17653</v>
      </c>
      <c r="AR103" s="28" t="s">
        <v>1024</v>
      </c>
    </row>
    <row r="104" spans="1:44" x14ac:dyDescent="0.25">
      <c r="A104" s="28" t="s">
        <v>491</v>
      </c>
      <c r="B104" s="28" t="s">
        <v>18069</v>
      </c>
      <c r="C104" s="28" t="s">
        <v>10</v>
      </c>
      <c r="D104" s="28" t="s">
        <v>17642</v>
      </c>
      <c r="E104" s="28" t="s">
        <v>192</v>
      </c>
      <c r="F104" s="28">
        <v>1</v>
      </c>
      <c r="G104" s="28" t="s">
        <v>193</v>
      </c>
      <c r="H104" s="28" t="s">
        <v>194</v>
      </c>
      <c r="I104" s="28" t="s">
        <v>17643</v>
      </c>
      <c r="J104" s="28" t="s">
        <v>210</v>
      </c>
      <c r="K104" s="28" t="s">
        <v>9309</v>
      </c>
      <c r="L104" s="28" t="s">
        <v>6955</v>
      </c>
      <c r="N104" s="28" t="s">
        <v>18070</v>
      </c>
      <c r="O104" s="28" t="s">
        <v>6261</v>
      </c>
      <c r="P104" s="28" t="s">
        <v>17846</v>
      </c>
      <c r="Q104" s="28" t="s">
        <v>17805</v>
      </c>
      <c r="R104" s="28" t="s">
        <v>17847</v>
      </c>
      <c r="S104" s="28" t="s">
        <v>18071</v>
      </c>
      <c r="T104" s="28" t="s">
        <v>18072</v>
      </c>
      <c r="V104" s="28" t="s">
        <v>9334</v>
      </c>
      <c r="W104" s="28" t="s">
        <v>484</v>
      </c>
      <c r="X104" s="28" t="s">
        <v>194</v>
      </c>
      <c r="Y104" s="28" t="s">
        <v>9300</v>
      </c>
      <c r="AB104" s="28" t="s">
        <v>9311</v>
      </c>
      <c r="AH104" s="28" t="s">
        <v>4714</v>
      </c>
      <c r="AI104" s="28" t="s">
        <v>18069</v>
      </c>
      <c r="AJ104" s="516" t="str">
        <f>MID('II kw.22'!W104,8,6)</f>
        <v>251401</v>
      </c>
      <c r="AK104" s="516">
        <v>1</v>
      </c>
      <c r="AL104" s="516">
        <f t="shared" si="1"/>
        <v>1</v>
      </c>
      <c r="AM104" s="516">
        <v>1</v>
      </c>
      <c r="AN104" s="28" t="s">
        <v>17650</v>
      </c>
      <c r="AO104" s="28" t="s">
        <v>17651</v>
      </c>
      <c r="AP104" s="28" t="s">
        <v>17652</v>
      </c>
      <c r="AQ104" s="28" t="s">
        <v>17653</v>
      </c>
      <c r="AR104" s="28" t="s">
        <v>1024</v>
      </c>
    </row>
    <row r="105" spans="1:44" x14ac:dyDescent="0.25">
      <c r="A105" s="28" t="s">
        <v>491</v>
      </c>
      <c r="B105" s="28" t="s">
        <v>8075</v>
      </c>
      <c r="C105" s="28" t="s">
        <v>10</v>
      </c>
      <c r="D105" s="28" t="s">
        <v>17642</v>
      </c>
      <c r="E105" s="28" t="s">
        <v>192</v>
      </c>
      <c r="F105" s="28">
        <v>1</v>
      </c>
      <c r="G105" s="28" t="s">
        <v>193</v>
      </c>
      <c r="H105" s="28" t="s">
        <v>194</v>
      </c>
      <c r="I105" s="28" t="s">
        <v>17643</v>
      </c>
      <c r="J105" s="28" t="s">
        <v>210</v>
      </c>
      <c r="K105" s="28" t="s">
        <v>9309</v>
      </c>
      <c r="L105" s="28" t="s">
        <v>6955</v>
      </c>
      <c r="N105" s="28" t="s">
        <v>18073</v>
      </c>
      <c r="O105" s="28" t="s">
        <v>6261</v>
      </c>
      <c r="P105" s="28" t="s">
        <v>17846</v>
      </c>
      <c r="Q105" s="28" t="s">
        <v>17805</v>
      </c>
      <c r="R105" s="28" t="s">
        <v>17847</v>
      </c>
      <c r="S105" s="28" t="s">
        <v>18074</v>
      </c>
      <c r="T105" s="28" t="s">
        <v>18075</v>
      </c>
      <c r="V105" s="28" t="s">
        <v>9334</v>
      </c>
      <c r="W105" s="28" t="s">
        <v>484</v>
      </c>
      <c r="X105" s="28" t="s">
        <v>194</v>
      </c>
      <c r="Y105" s="28" t="s">
        <v>9300</v>
      </c>
      <c r="AB105" s="28" t="s">
        <v>9311</v>
      </c>
      <c r="AH105" s="28" t="s">
        <v>4714</v>
      </c>
      <c r="AI105" s="28" t="s">
        <v>8075</v>
      </c>
      <c r="AJ105" s="516" t="str">
        <f>MID('II kw.22'!W105,8,6)</f>
        <v>251401</v>
      </c>
      <c r="AK105" s="516">
        <v>1</v>
      </c>
      <c r="AL105" s="516">
        <f t="shared" si="1"/>
        <v>1</v>
      </c>
      <c r="AM105" s="516">
        <v>1</v>
      </c>
      <c r="AN105" s="28" t="s">
        <v>17650</v>
      </c>
      <c r="AO105" s="28" t="s">
        <v>17651</v>
      </c>
      <c r="AP105" s="28" t="s">
        <v>17652</v>
      </c>
      <c r="AQ105" s="28" t="s">
        <v>17653</v>
      </c>
      <c r="AR105" s="28" t="s">
        <v>1024</v>
      </c>
    </row>
    <row r="106" spans="1:44" x14ac:dyDescent="0.25">
      <c r="A106" s="28" t="s">
        <v>491</v>
      </c>
      <c r="B106" s="28" t="s">
        <v>1765</v>
      </c>
      <c r="C106" s="28" t="s">
        <v>1766</v>
      </c>
      <c r="D106" s="28" t="s">
        <v>17642</v>
      </c>
      <c r="E106" s="28" t="s">
        <v>192</v>
      </c>
      <c r="F106" s="28">
        <v>1</v>
      </c>
      <c r="G106" s="28" t="s">
        <v>193</v>
      </c>
      <c r="H106" s="28" t="s">
        <v>194</v>
      </c>
      <c r="I106" s="28" t="s">
        <v>17667</v>
      </c>
      <c r="J106" s="28" t="s">
        <v>210</v>
      </c>
      <c r="K106" s="28" t="s">
        <v>9309</v>
      </c>
      <c r="L106" s="28" t="s">
        <v>6955</v>
      </c>
      <c r="N106" s="28" t="s">
        <v>18076</v>
      </c>
      <c r="O106" s="28" t="s">
        <v>6261</v>
      </c>
      <c r="P106" s="28" t="s">
        <v>17846</v>
      </c>
      <c r="Q106" s="28" t="s">
        <v>17805</v>
      </c>
      <c r="R106" s="28" t="s">
        <v>17847</v>
      </c>
      <c r="S106" s="28" t="s">
        <v>18077</v>
      </c>
      <c r="T106" s="28" t="s">
        <v>18078</v>
      </c>
      <c r="V106" s="28" t="s">
        <v>9334</v>
      </c>
      <c r="W106" s="28" t="s">
        <v>1767</v>
      </c>
      <c r="X106" s="28" t="s">
        <v>194</v>
      </c>
      <c r="Y106" s="28" t="s">
        <v>9300</v>
      </c>
      <c r="AB106" s="28" t="s">
        <v>9311</v>
      </c>
      <c r="AH106" s="28" t="s">
        <v>4714</v>
      </c>
      <c r="AI106" s="28" t="s">
        <v>1765</v>
      </c>
      <c r="AJ106" s="516" t="str">
        <f>MID('II kw.22'!W106,8,6)</f>
        <v>242112</v>
      </c>
      <c r="AK106" s="516">
        <v>1</v>
      </c>
      <c r="AL106" s="516">
        <f t="shared" si="1"/>
        <v>1</v>
      </c>
      <c r="AM106" s="516">
        <v>1</v>
      </c>
      <c r="AN106" s="28" t="s">
        <v>17650</v>
      </c>
      <c r="AO106" s="28" t="s">
        <v>17651</v>
      </c>
      <c r="AP106" s="28" t="s">
        <v>17652</v>
      </c>
      <c r="AQ106" s="28" t="s">
        <v>17653</v>
      </c>
      <c r="AR106" s="28" t="s">
        <v>1024</v>
      </c>
    </row>
    <row r="107" spans="1:44" x14ac:dyDescent="0.25">
      <c r="A107" s="28" t="s">
        <v>4336</v>
      </c>
      <c r="B107" s="28" t="s">
        <v>18079</v>
      </c>
      <c r="C107" s="28" t="s">
        <v>43</v>
      </c>
      <c r="D107" s="28" t="s">
        <v>17642</v>
      </c>
      <c r="E107" s="28" t="s">
        <v>192</v>
      </c>
      <c r="F107" s="28">
        <v>1</v>
      </c>
      <c r="G107" s="28" t="s">
        <v>193</v>
      </c>
      <c r="H107" s="28" t="s">
        <v>194</v>
      </c>
      <c r="I107" s="28" t="s">
        <v>17706</v>
      </c>
      <c r="J107" s="28" t="s">
        <v>367</v>
      </c>
      <c r="K107" s="28" t="s">
        <v>9309</v>
      </c>
      <c r="L107" s="28" t="s">
        <v>6955</v>
      </c>
      <c r="N107" s="28" t="s">
        <v>18080</v>
      </c>
      <c r="O107" s="28" t="s">
        <v>6245</v>
      </c>
      <c r="P107" s="28" t="s">
        <v>17846</v>
      </c>
      <c r="Q107" s="28" t="s">
        <v>17805</v>
      </c>
      <c r="R107" s="28" t="s">
        <v>17847</v>
      </c>
      <c r="S107" s="28" t="s">
        <v>18081</v>
      </c>
      <c r="T107" s="28" t="s">
        <v>18082</v>
      </c>
      <c r="V107" s="28" t="s">
        <v>9974</v>
      </c>
      <c r="W107" s="28" t="s">
        <v>452</v>
      </c>
      <c r="X107" s="28" t="s">
        <v>194</v>
      </c>
      <c r="Y107" s="28" t="s">
        <v>9300</v>
      </c>
      <c r="AB107" s="28" t="s">
        <v>9311</v>
      </c>
      <c r="AH107" s="28" t="s">
        <v>4714</v>
      </c>
      <c r="AI107" s="28" t="s">
        <v>18079</v>
      </c>
      <c r="AJ107" s="516" t="str">
        <f>MID('II kw.22'!W107,8,6)</f>
        <v>243106</v>
      </c>
      <c r="AK107" s="516">
        <v>1</v>
      </c>
      <c r="AL107" s="516">
        <f t="shared" si="1"/>
        <v>1</v>
      </c>
      <c r="AM107" s="516">
        <v>1</v>
      </c>
      <c r="AN107" s="28" t="s">
        <v>17650</v>
      </c>
      <c r="AO107" s="28" t="s">
        <v>17651</v>
      </c>
      <c r="AP107" s="28" t="s">
        <v>17652</v>
      </c>
      <c r="AQ107" s="28" t="s">
        <v>17653</v>
      </c>
      <c r="AR107" s="28" t="s">
        <v>1024</v>
      </c>
    </row>
    <row r="108" spans="1:44" x14ac:dyDescent="0.25">
      <c r="A108" s="28" t="s">
        <v>491</v>
      </c>
      <c r="B108" s="28" t="s">
        <v>18083</v>
      </c>
      <c r="C108" s="28" t="s">
        <v>18084</v>
      </c>
      <c r="D108" s="28" t="s">
        <v>17642</v>
      </c>
      <c r="E108" s="28" t="s">
        <v>192</v>
      </c>
      <c r="F108" s="28">
        <v>1</v>
      </c>
      <c r="G108" s="28" t="s">
        <v>193</v>
      </c>
      <c r="H108" s="28" t="s">
        <v>194</v>
      </c>
      <c r="I108" s="28" t="s">
        <v>17759</v>
      </c>
      <c r="J108" s="28" t="s">
        <v>210</v>
      </c>
      <c r="K108" s="28" t="s">
        <v>9309</v>
      </c>
      <c r="L108" s="28" t="s">
        <v>6955</v>
      </c>
      <c r="N108" s="28" t="s">
        <v>18085</v>
      </c>
      <c r="O108" s="28" t="s">
        <v>6261</v>
      </c>
      <c r="P108" s="28" t="s">
        <v>17846</v>
      </c>
      <c r="Q108" s="28" t="s">
        <v>17805</v>
      </c>
      <c r="R108" s="28" t="s">
        <v>17847</v>
      </c>
      <c r="S108" s="28" t="s">
        <v>18086</v>
      </c>
      <c r="T108" s="28" t="s">
        <v>18087</v>
      </c>
      <c r="V108" s="28" t="s">
        <v>9334</v>
      </c>
      <c r="W108" s="28" t="s">
        <v>18088</v>
      </c>
      <c r="X108" s="28" t="s">
        <v>194</v>
      </c>
      <c r="Y108" s="28" t="s">
        <v>9300</v>
      </c>
      <c r="AB108" s="28" t="s">
        <v>9311</v>
      </c>
      <c r="AH108" s="28" t="s">
        <v>4714</v>
      </c>
      <c r="AI108" s="28" t="s">
        <v>18083</v>
      </c>
      <c r="AJ108" s="516" t="str">
        <f>MID('II kw.22'!W108,8,6)</f>
        <v>243190</v>
      </c>
      <c r="AK108" s="516">
        <v>1</v>
      </c>
      <c r="AL108" s="516">
        <f t="shared" si="1"/>
        <v>1</v>
      </c>
      <c r="AM108" s="516">
        <v>1</v>
      </c>
      <c r="AN108" s="28" t="s">
        <v>17650</v>
      </c>
      <c r="AO108" s="28" t="s">
        <v>17651</v>
      </c>
      <c r="AP108" s="28" t="s">
        <v>17652</v>
      </c>
      <c r="AQ108" s="28" t="s">
        <v>17653</v>
      </c>
      <c r="AR108" s="28" t="s">
        <v>1024</v>
      </c>
    </row>
    <row r="109" spans="1:44" x14ac:dyDescent="0.25">
      <c r="A109" s="28" t="s">
        <v>16840</v>
      </c>
      <c r="B109" s="28" t="s">
        <v>1616</v>
      </c>
      <c r="C109" s="28" t="s">
        <v>740</v>
      </c>
      <c r="D109" s="28" t="s">
        <v>17642</v>
      </c>
      <c r="E109" s="28" t="s">
        <v>192</v>
      </c>
      <c r="F109" s="28">
        <v>1</v>
      </c>
      <c r="G109" s="28" t="s">
        <v>193</v>
      </c>
      <c r="H109" s="28" t="s">
        <v>194</v>
      </c>
      <c r="I109" s="28" t="s">
        <v>17643</v>
      </c>
      <c r="J109" s="28" t="s">
        <v>323</v>
      </c>
      <c r="K109" s="28" t="s">
        <v>9309</v>
      </c>
      <c r="L109" s="28" t="s">
        <v>6955</v>
      </c>
      <c r="N109" s="28" t="s">
        <v>18089</v>
      </c>
      <c r="O109" s="28" t="s">
        <v>6251</v>
      </c>
      <c r="P109" s="28" t="s">
        <v>17846</v>
      </c>
      <c r="Q109" s="28" t="s">
        <v>17805</v>
      </c>
      <c r="R109" s="28" t="s">
        <v>17847</v>
      </c>
      <c r="S109" s="28" t="s">
        <v>18090</v>
      </c>
      <c r="T109" s="28" t="s">
        <v>18091</v>
      </c>
      <c r="V109" s="28" t="s">
        <v>9514</v>
      </c>
      <c r="W109" s="28" t="s">
        <v>741</v>
      </c>
      <c r="X109" s="28" t="s">
        <v>194</v>
      </c>
      <c r="Y109" s="28" t="s">
        <v>9300</v>
      </c>
      <c r="AB109" s="28" t="s">
        <v>9311</v>
      </c>
      <c r="AH109" s="28" t="s">
        <v>4714</v>
      </c>
      <c r="AI109" s="28" t="s">
        <v>1616</v>
      </c>
      <c r="AJ109" s="516" t="str">
        <f>MID('II kw.22'!W109,8,6)</f>
        <v>522301</v>
      </c>
      <c r="AK109" s="516">
        <v>1</v>
      </c>
      <c r="AL109" s="516">
        <f t="shared" si="1"/>
        <v>1</v>
      </c>
      <c r="AM109" s="516">
        <v>1</v>
      </c>
      <c r="AN109" s="28" t="s">
        <v>17650</v>
      </c>
      <c r="AO109" s="28" t="s">
        <v>17651</v>
      </c>
      <c r="AP109" s="28" t="s">
        <v>17652</v>
      </c>
      <c r="AQ109" s="28" t="s">
        <v>17653</v>
      </c>
      <c r="AR109" s="28" t="s">
        <v>1024</v>
      </c>
    </row>
    <row r="110" spans="1:44" x14ac:dyDescent="0.25">
      <c r="A110" s="28" t="s">
        <v>16840</v>
      </c>
      <c r="B110" s="28" t="s">
        <v>1057</v>
      </c>
      <c r="C110" s="28" t="s">
        <v>74</v>
      </c>
      <c r="D110" s="28" t="s">
        <v>17642</v>
      </c>
      <c r="E110" s="28" t="s">
        <v>192</v>
      </c>
      <c r="F110" s="28">
        <v>1</v>
      </c>
      <c r="G110" s="28" t="s">
        <v>193</v>
      </c>
      <c r="H110" s="28" t="s">
        <v>194</v>
      </c>
      <c r="I110" s="28" t="s">
        <v>17643</v>
      </c>
      <c r="J110" s="28" t="s">
        <v>223</v>
      </c>
      <c r="K110" s="28" t="s">
        <v>9309</v>
      </c>
      <c r="L110" s="28" t="s">
        <v>6955</v>
      </c>
      <c r="N110" s="28" t="s">
        <v>18092</v>
      </c>
      <c r="O110" s="28" t="s">
        <v>6251</v>
      </c>
      <c r="P110" s="28" t="s">
        <v>17846</v>
      </c>
      <c r="Q110" s="28" t="s">
        <v>17805</v>
      </c>
      <c r="R110" s="28" t="s">
        <v>17847</v>
      </c>
      <c r="S110" s="28" t="s">
        <v>18093</v>
      </c>
      <c r="T110" s="28" t="s">
        <v>18094</v>
      </c>
      <c r="V110" s="28" t="s">
        <v>11163</v>
      </c>
      <c r="W110" s="28" t="s">
        <v>246</v>
      </c>
      <c r="X110" s="28" t="s">
        <v>194</v>
      </c>
      <c r="Y110" s="28" t="s">
        <v>9300</v>
      </c>
      <c r="AB110" s="28" t="s">
        <v>9311</v>
      </c>
      <c r="AH110" s="28" t="s">
        <v>4714</v>
      </c>
      <c r="AI110" s="28" t="s">
        <v>1057</v>
      </c>
      <c r="AJ110" s="516" t="str">
        <f>MID('II kw.22'!W110,8,6)</f>
        <v>142004</v>
      </c>
      <c r="AK110" s="516">
        <v>1</v>
      </c>
      <c r="AL110" s="516">
        <f t="shared" si="1"/>
        <v>1</v>
      </c>
      <c r="AM110" s="516">
        <v>1</v>
      </c>
      <c r="AN110" s="28" t="s">
        <v>17650</v>
      </c>
      <c r="AO110" s="28" t="s">
        <v>17651</v>
      </c>
      <c r="AP110" s="28" t="s">
        <v>17652</v>
      </c>
      <c r="AQ110" s="28" t="s">
        <v>17653</v>
      </c>
      <c r="AR110" s="28" t="s">
        <v>1024</v>
      </c>
    </row>
    <row r="111" spans="1:44" x14ac:dyDescent="0.25">
      <c r="A111" s="28" t="s">
        <v>18095</v>
      </c>
      <c r="B111" s="28" t="s">
        <v>632</v>
      </c>
      <c r="C111" s="28" t="s">
        <v>17</v>
      </c>
      <c r="D111" s="28" t="s">
        <v>17642</v>
      </c>
      <c r="E111" s="28" t="s">
        <v>192</v>
      </c>
      <c r="F111" s="28">
        <v>1</v>
      </c>
      <c r="G111" s="28" t="s">
        <v>193</v>
      </c>
      <c r="H111" s="28" t="s">
        <v>194</v>
      </c>
      <c r="I111" s="28" t="s">
        <v>17667</v>
      </c>
      <c r="J111" s="28" t="s">
        <v>316</v>
      </c>
      <c r="K111" s="28" t="s">
        <v>9309</v>
      </c>
      <c r="L111" s="28" t="s">
        <v>6955</v>
      </c>
      <c r="N111" s="28" t="s">
        <v>18096</v>
      </c>
      <c r="O111" s="28" t="s">
        <v>6245</v>
      </c>
      <c r="P111" s="28" t="s">
        <v>17816</v>
      </c>
      <c r="Q111" s="28" t="s">
        <v>17805</v>
      </c>
      <c r="R111" s="28" t="s">
        <v>17847</v>
      </c>
      <c r="S111" s="28" t="s">
        <v>18097</v>
      </c>
      <c r="T111" s="28" t="s">
        <v>18098</v>
      </c>
      <c r="V111" s="28" t="s">
        <v>10012</v>
      </c>
      <c r="W111" s="28" t="s">
        <v>624</v>
      </c>
      <c r="X111" s="28" t="s">
        <v>194</v>
      </c>
      <c r="Y111" s="28" t="s">
        <v>9300</v>
      </c>
      <c r="AB111" s="28" t="s">
        <v>9311</v>
      </c>
      <c r="AH111" s="28" t="s">
        <v>4714</v>
      </c>
      <c r="AI111" s="28" t="s">
        <v>17</v>
      </c>
      <c r="AJ111" s="516" t="str">
        <f>MID('II kw.22'!W111,8,6)</f>
        <v>332203</v>
      </c>
      <c r="AK111" s="516">
        <v>1</v>
      </c>
      <c r="AL111" s="516">
        <f t="shared" si="1"/>
        <v>1</v>
      </c>
      <c r="AM111" s="516">
        <v>1</v>
      </c>
      <c r="AN111" s="28" t="s">
        <v>17650</v>
      </c>
      <c r="AO111" s="28" t="s">
        <v>17651</v>
      </c>
      <c r="AP111" s="28" t="s">
        <v>17652</v>
      </c>
      <c r="AQ111" s="28" t="s">
        <v>17653</v>
      </c>
      <c r="AR111" s="28" t="s">
        <v>1024</v>
      </c>
    </row>
    <row r="112" spans="1:44" x14ac:dyDescent="0.25">
      <c r="A112" s="28" t="s">
        <v>10533</v>
      </c>
      <c r="B112" s="28" t="s">
        <v>18099</v>
      </c>
      <c r="C112" s="28" t="s">
        <v>43</v>
      </c>
      <c r="D112" s="28" t="s">
        <v>17642</v>
      </c>
      <c r="E112" s="28" t="s">
        <v>192</v>
      </c>
      <c r="F112" s="28">
        <v>1</v>
      </c>
      <c r="G112" s="28" t="s">
        <v>193</v>
      </c>
      <c r="H112" s="28" t="s">
        <v>194</v>
      </c>
      <c r="I112" s="28" t="s">
        <v>17784</v>
      </c>
      <c r="J112" s="28" t="s">
        <v>210</v>
      </c>
      <c r="K112" s="28" t="s">
        <v>9309</v>
      </c>
      <c r="L112" s="28" t="s">
        <v>6955</v>
      </c>
      <c r="N112" s="28" t="s">
        <v>18100</v>
      </c>
      <c r="O112" s="28" t="s">
        <v>7531</v>
      </c>
      <c r="P112" s="28" t="s">
        <v>17846</v>
      </c>
      <c r="Q112" s="28" t="s">
        <v>17805</v>
      </c>
      <c r="R112" s="28" t="s">
        <v>17847</v>
      </c>
      <c r="S112" s="28" t="s">
        <v>18101</v>
      </c>
      <c r="T112" s="28" t="s">
        <v>18102</v>
      </c>
      <c r="V112" s="28" t="s">
        <v>9334</v>
      </c>
      <c r="W112" s="28" t="s">
        <v>452</v>
      </c>
      <c r="X112" s="28" t="s">
        <v>194</v>
      </c>
      <c r="Y112" s="28" t="s">
        <v>9300</v>
      </c>
      <c r="AB112" s="28" t="s">
        <v>9311</v>
      </c>
      <c r="AH112" s="28" t="s">
        <v>4714</v>
      </c>
      <c r="AI112" s="28" t="s">
        <v>18099</v>
      </c>
      <c r="AJ112" s="516" t="str">
        <f>MID('II kw.22'!W112,8,6)</f>
        <v>243106</v>
      </c>
      <c r="AK112" s="516">
        <v>1</v>
      </c>
      <c r="AL112" s="516">
        <f t="shared" si="1"/>
        <v>1</v>
      </c>
      <c r="AM112" s="516">
        <v>1</v>
      </c>
      <c r="AN112" s="28" t="s">
        <v>17650</v>
      </c>
      <c r="AO112" s="28" t="s">
        <v>17651</v>
      </c>
      <c r="AP112" s="28" t="s">
        <v>17652</v>
      </c>
      <c r="AQ112" s="28" t="s">
        <v>17653</v>
      </c>
      <c r="AR112" s="28" t="s">
        <v>1024</v>
      </c>
    </row>
    <row r="113" spans="1:44" x14ac:dyDescent="0.25">
      <c r="A113" s="28" t="s">
        <v>8187</v>
      </c>
      <c r="B113" s="28" t="s">
        <v>18103</v>
      </c>
      <c r="C113" s="28" t="s">
        <v>740</v>
      </c>
      <c r="D113" s="28" t="s">
        <v>17642</v>
      </c>
      <c r="E113" s="28" t="s">
        <v>192</v>
      </c>
      <c r="F113" s="28">
        <v>1</v>
      </c>
      <c r="G113" s="28" t="s">
        <v>193</v>
      </c>
      <c r="H113" s="28" t="s">
        <v>194</v>
      </c>
      <c r="I113" s="28" t="s">
        <v>17643</v>
      </c>
      <c r="J113" s="28" t="s">
        <v>962</v>
      </c>
      <c r="K113" s="28" t="s">
        <v>9309</v>
      </c>
      <c r="L113" s="28" t="s">
        <v>6955</v>
      </c>
      <c r="N113" s="28" t="s">
        <v>18104</v>
      </c>
      <c r="O113" s="28" t="s">
        <v>6251</v>
      </c>
      <c r="P113" s="28" t="s">
        <v>17846</v>
      </c>
      <c r="Q113" s="28" t="s">
        <v>17805</v>
      </c>
      <c r="R113" s="28" t="s">
        <v>17706</v>
      </c>
      <c r="S113" s="28" t="s">
        <v>18105</v>
      </c>
      <c r="T113" s="28" t="s">
        <v>18106</v>
      </c>
      <c r="V113" s="28" t="s">
        <v>11394</v>
      </c>
      <c r="W113" s="28" t="s">
        <v>741</v>
      </c>
      <c r="X113" s="28" t="s">
        <v>194</v>
      </c>
      <c r="Y113" s="28" t="s">
        <v>9300</v>
      </c>
      <c r="AB113" s="28" t="s">
        <v>9311</v>
      </c>
      <c r="AH113" s="28" t="s">
        <v>4714</v>
      </c>
      <c r="AI113" s="28" t="s">
        <v>18103</v>
      </c>
      <c r="AJ113" s="516" t="str">
        <f>MID('II kw.22'!W113,8,6)</f>
        <v>522301</v>
      </c>
      <c r="AK113" s="516">
        <v>1</v>
      </c>
      <c r="AL113" s="516">
        <f t="shared" si="1"/>
        <v>1</v>
      </c>
      <c r="AM113" s="516">
        <v>1</v>
      </c>
      <c r="AN113" s="28" t="s">
        <v>17650</v>
      </c>
      <c r="AO113" s="28" t="s">
        <v>17651</v>
      </c>
      <c r="AP113" s="28" t="s">
        <v>17652</v>
      </c>
      <c r="AQ113" s="28" t="s">
        <v>17653</v>
      </c>
      <c r="AR113" s="28" t="s">
        <v>1024</v>
      </c>
    </row>
    <row r="114" spans="1:44" x14ac:dyDescent="0.25">
      <c r="A114" s="28" t="s">
        <v>8187</v>
      </c>
      <c r="B114" s="28" t="s">
        <v>18103</v>
      </c>
      <c r="C114" s="28" t="s">
        <v>740</v>
      </c>
      <c r="D114" s="28" t="s">
        <v>17642</v>
      </c>
      <c r="E114" s="28" t="s">
        <v>192</v>
      </c>
      <c r="F114" s="28">
        <v>1</v>
      </c>
      <c r="G114" s="28" t="s">
        <v>193</v>
      </c>
      <c r="H114" s="28" t="s">
        <v>194</v>
      </c>
      <c r="I114" s="28" t="s">
        <v>17643</v>
      </c>
      <c r="J114" s="28" t="s">
        <v>301</v>
      </c>
      <c r="K114" s="28" t="s">
        <v>9309</v>
      </c>
      <c r="L114" s="28" t="s">
        <v>6955</v>
      </c>
      <c r="N114" s="28" t="s">
        <v>18107</v>
      </c>
      <c r="O114" s="28" t="s">
        <v>6251</v>
      </c>
      <c r="P114" s="28" t="s">
        <v>17846</v>
      </c>
      <c r="Q114" s="28" t="s">
        <v>17805</v>
      </c>
      <c r="R114" s="28" t="s">
        <v>17706</v>
      </c>
      <c r="S114" s="28" t="s">
        <v>18108</v>
      </c>
      <c r="T114" s="28" t="s">
        <v>18109</v>
      </c>
      <c r="V114" s="28" t="s">
        <v>9367</v>
      </c>
      <c r="W114" s="28" t="s">
        <v>741</v>
      </c>
      <c r="X114" s="28" t="s">
        <v>194</v>
      </c>
      <c r="Y114" s="28" t="s">
        <v>9300</v>
      </c>
      <c r="AB114" s="28" t="s">
        <v>9311</v>
      </c>
      <c r="AH114" s="28" t="s">
        <v>4714</v>
      </c>
      <c r="AI114" s="28" t="s">
        <v>18103</v>
      </c>
      <c r="AJ114" s="516" t="str">
        <f>MID('II kw.22'!W114,8,6)</f>
        <v>522301</v>
      </c>
      <c r="AK114" s="516">
        <v>1</v>
      </c>
      <c r="AL114" s="516">
        <f t="shared" si="1"/>
        <v>1</v>
      </c>
      <c r="AM114" s="516">
        <v>1</v>
      </c>
      <c r="AN114" s="28" t="s">
        <v>17650</v>
      </c>
      <c r="AO114" s="28" t="s">
        <v>17651</v>
      </c>
      <c r="AP114" s="28" t="s">
        <v>17652</v>
      </c>
      <c r="AQ114" s="28" t="s">
        <v>17653</v>
      </c>
      <c r="AR114" s="28" t="s">
        <v>1024</v>
      </c>
    </row>
    <row r="115" spans="1:44" x14ac:dyDescent="0.25">
      <c r="A115" s="28" t="s">
        <v>18110</v>
      </c>
      <c r="B115" s="28" t="s">
        <v>18111</v>
      </c>
      <c r="C115" s="28" t="s">
        <v>727</v>
      </c>
      <c r="D115" s="28" t="s">
        <v>17642</v>
      </c>
      <c r="E115" s="28" t="s">
        <v>192</v>
      </c>
      <c r="F115" s="28">
        <v>1</v>
      </c>
      <c r="G115" s="28" t="s">
        <v>193</v>
      </c>
      <c r="H115" s="28" t="s">
        <v>194</v>
      </c>
      <c r="I115" s="28" t="s">
        <v>17672</v>
      </c>
      <c r="J115" s="28" t="s">
        <v>276</v>
      </c>
      <c r="K115" s="28" t="s">
        <v>9309</v>
      </c>
      <c r="L115" s="28" t="s">
        <v>6955</v>
      </c>
      <c r="N115" s="28" t="s">
        <v>18112</v>
      </c>
      <c r="O115" s="28" t="s">
        <v>6343</v>
      </c>
      <c r="P115" s="28" t="s">
        <v>17846</v>
      </c>
      <c r="Q115" s="28" t="s">
        <v>17805</v>
      </c>
      <c r="R115" s="28" t="s">
        <v>17847</v>
      </c>
      <c r="S115" s="28" t="s">
        <v>18113</v>
      </c>
      <c r="T115" s="28" t="s">
        <v>18114</v>
      </c>
      <c r="V115" s="28" t="s">
        <v>9786</v>
      </c>
      <c r="W115" s="28" t="s">
        <v>728</v>
      </c>
      <c r="X115" s="28" t="s">
        <v>194</v>
      </c>
      <c r="Y115" s="28" t="s">
        <v>9300</v>
      </c>
      <c r="AB115" s="28" t="s">
        <v>9311</v>
      </c>
      <c r="AH115" s="28" t="s">
        <v>4714</v>
      </c>
      <c r="AI115" s="28" t="s">
        <v>18111</v>
      </c>
      <c r="AJ115" s="516" t="str">
        <f>MID('II kw.22'!W115,8,6)</f>
        <v>512001</v>
      </c>
      <c r="AK115" s="516">
        <v>1</v>
      </c>
      <c r="AL115" s="516">
        <f t="shared" si="1"/>
        <v>1</v>
      </c>
      <c r="AM115" s="516">
        <v>1</v>
      </c>
      <c r="AN115" s="28" t="s">
        <v>17650</v>
      </c>
      <c r="AO115" s="28" t="s">
        <v>17651</v>
      </c>
      <c r="AP115" s="28" t="s">
        <v>17652</v>
      </c>
      <c r="AQ115" s="28" t="s">
        <v>17653</v>
      </c>
      <c r="AR115" s="28" t="s">
        <v>1024</v>
      </c>
    </row>
    <row r="116" spans="1:44" x14ac:dyDescent="0.25">
      <c r="A116" s="28" t="s">
        <v>2322</v>
      </c>
      <c r="B116" s="28" t="s">
        <v>18115</v>
      </c>
      <c r="C116" s="28" t="s">
        <v>74</v>
      </c>
      <c r="D116" s="28" t="s">
        <v>17642</v>
      </c>
      <c r="E116" s="28" t="s">
        <v>192</v>
      </c>
      <c r="F116" s="28">
        <v>1</v>
      </c>
      <c r="G116" s="28" t="s">
        <v>193</v>
      </c>
      <c r="H116" s="28" t="s">
        <v>194</v>
      </c>
      <c r="I116" s="28" t="s">
        <v>17643</v>
      </c>
      <c r="J116" s="28" t="s">
        <v>210</v>
      </c>
      <c r="K116" s="28" t="s">
        <v>9309</v>
      </c>
      <c r="L116" s="28" t="s">
        <v>6955</v>
      </c>
      <c r="N116" s="28" t="s">
        <v>18116</v>
      </c>
      <c r="O116" s="28" t="s">
        <v>6302</v>
      </c>
      <c r="P116" s="28" t="s">
        <v>17846</v>
      </c>
      <c r="Q116" s="28" t="s">
        <v>17805</v>
      </c>
      <c r="R116" s="28" t="s">
        <v>17847</v>
      </c>
      <c r="S116" s="28" t="s">
        <v>18117</v>
      </c>
      <c r="T116" s="28" t="s">
        <v>18118</v>
      </c>
      <c r="V116" s="28" t="s">
        <v>9334</v>
      </c>
      <c r="W116" s="28" t="s">
        <v>246</v>
      </c>
      <c r="X116" s="28" t="s">
        <v>194</v>
      </c>
      <c r="Y116" s="28" t="s">
        <v>9300</v>
      </c>
      <c r="AB116" s="28" t="s">
        <v>9311</v>
      </c>
      <c r="AH116" s="28" t="s">
        <v>4714</v>
      </c>
      <c r="AI116" s="28" t="s">
        <v>18115</v>
      </c>
      <c r="AJ116" s="516" t="str">
        <f>MID('II kw.22'!W116,8,6)</f>
        <v>142004</v>
      </c>
      <c r="AK116" s="516">
        <v>1</v>
      </c>
      <c r="AL116" s="516">
        <f t="shared" si="1"/>
        <v>1</v>
      </c>
      <c r="AM116" s="516">
        <v>1</v>
      </c>
      <c r="AN116" s="28" t="s">
        <v>17650</v>
      </c>
      <c r="AO116" s="28" t="s">
        <v>17651</v>
      </c>
      <c r="AP116" s="28" t="s">
        <v>17652</v>
      </c>
      <c r="AQ116" s="28" t="s">
        <v>17653</v>
      </c>
      <c r="AR116" s="28" t="s">
        <v>1024</v>
      </c>
    </row>
    <row r="117" spans="1:44" x14ac:dyDescent="0.25">
      <c r="A117" s="28" t="s">
        <v>2200</v>
      </c>
      <c r="B117" s="28" t="s">
        <v>18119</v>
      </c>
      <c r="C117" s="28" t="s">
        <v>121</v>
      </c>
      <c r="D117" s="28" t="s">
        <v>17642</v>
      </c>
      <c r="E117" s="28" t="s">
        <v>192</v>
      </c>
      <c r="F117" s="28">
        <v>1</v>
      </c>
      <c r="G117" s="28" t="s">
        <v>193</v>
      </c>
      <c r="H117" s="28" t="s">
        <v>194</v>
      </c>
      <c r="I117" s="28" t="s">
        <v>17784</v>
      </c>
      <c r="J117" s="28" t="s">
        <v>2201</v>
      </c>
      <c r="K117" s="28" t="s">
        <v>9309</v>
      </c>
      <c r="L117" s="28" t="s">
        <v>6955</v>
      </c>
      <c r="N117" s="28" t="s">
        <v>18120</v>
      </c>
      <c r="O117" s="28" t="s">
        <v>6245</v>
      </c>
      <c r="P117" s="28" t="s">
        <v>17846</v>
      </c>
      <c r="Q117" s="28" t="s">
        <v>17805</v>
      </c>
      <c r="R117" s="28" t="s">
        <v>17847</v>
      </c>
      <c r="S117" s="28" t="s">
        <v>18121</v>
      </c>
      <c r="T117" s="28" t="s">
        <v>18122</v>
      </c>
      <c r="V117" s="28" t="s">
        <v>9892</v>
      </c>
      <c r="W117" s="28" t="s">
        <v>994</v>
      </c>
      <c r="X117" s="28" t="s">
        <v>194</v>
      </c>
      <c r="Y117" s="28" t="s">
        <v>9300</v>
      </c>
      <c r="AB117" s="28" t="s">
        <v>9311</v>
      </c>
      <c r="AH117" s="28" t="s">
        <v>4714</v>
      </c>
      <c r="AI117" s="28" t="s">
        <v>18119</v>
      </c>
      <c r="AJ117" s="516" t="str">
        <f>MID('II kw.22'!W117,8,6)</f>
        <v>214102</v>
      </c>
      <c r="AK117" s="516">
        <v>1</v>
      </c>
      <c r="AL117" s="516">
        <f t="shared" si="1"/>
        <v>1</v>
      </c>
      <c r="AM117" s="516">
        <v>1</v>
      </c>
      <c r="AN117" s="28" t="s">
        <v>17650</v>
      </c>
      <c r="AO117" s="28" t="s">
        <v>17651</v>
      </c>
      <c r="AP117" s="28" t="s">
        <v>17652</v>
      </c>
      <c r="AQ117" s="28" t="s">
        <v>17653</v>
      </c>
      <c r="AR117" s="28" t="s">
        <v>1024</v>
      </c>
    </row>
    <row r="118" spans="1:44" x14ac:dyDescent="0.25">
      <c r="A118" s="28" t="s">
        <v>8187</v>
      </c>
      <c r="B118" s="28" t="s">
        <v>2935</v>
      </c>
      <c r="C118" s="28" t="s">
        <v>74</v>
      </c>
      <c r="D118" s="28" t="s">
        <v>17642</v>
      </c>
      <c r="E118" s="28" t="s">
        <v>192</v>
      </c>
      <c r="F118" s="28">
        <v>1</v>
      </c>
      <c r="G118" s="28" t="s">
        <v>193</v>
      </c>
      <c r="H118" s="28" t="s">
        <v>194</v>
      </c>
      <c r="I118" s="28" t="s">
        <v>17643</v>
      </c>
      <c r="J118" s="28" t="s">
        <v>285</v>
      </c>
      <c r="K118" s="28" t="s">
        <v>9309</v>
      </c>
      <c r="L118" s="28" t="s">
        <v>6955</v>
      </c>
      <c r="N118" s="28" t="s">
        <v>18123</v>
      </c>
      <c r="O118" s="28" t="s">
        <v>6249</v>
      </c>
      <c r="P118" s="28" t="s">
        <v>17846</v>
      </c>
      <c r="Q118" s="28" t="s">
        <v>17805</v>
      </c>
      <c r="R118" s="28" t="s">
        <v>17706</v>
      </c>
      <c r="S118" s="28" t="s">
        <v>18124</v>
      </c>
      <c r="T118" s="28" t="s">
        <v>18125</v>
      </c>
      <c r="V118" s="28" t="s">
        <v>9518</v>
      </c>
      <c r="W118" s="28" t="s">
        <v>246</v>
      </c>
      <c r="X118" s="28" t="s">
        <v>194</v>
      </c>
      <c r="Y118" s="28" t="s">
        <v>9300</v>
      </c>
      <c r="AB118" s="28" t="s">
        <v>9311</v>
      </c>
      <c r="AH118" s="28" t="s">
        <v>4714</v>
      </c>
      <c r="AI118" s="28" t="s">
        <v>2935</v>
      </c>
      <c r="AJ118" s="516" t="str">
        <f>MID('II kw.22'!W118,8,6)</f>
        <v>142004</v>
      </c>
      <c r="AK118" s="516">
        <v>1</v>
      </c>
      <c r="AL118" s="516">
        <f t="shared" si="1"/>
        <v>1</v>
      </c>
      <c r="AM118" s="516">
        <v>1</v>
      </c>
      <c r="AN118" s="28" t="s">
        <v>17650</v>
      </c>
      <c r="AO118" s="28" t="s">
        <v>17651</v>
      </c>
      <c r="AP118" s="28" t="s">
        <v>17652</v>
      </c>
      <c r="AQ118" s="28" t="s">
        <v>17653</v>
      </c>
      <c r="AR118" s="28" t="s">
        <v>1024</v>
      </c>
    </row>
    <row r="119" spans="1:44" x14ac:dyDescent="0.25">
      <c r="A119" s="28" t="s">
        <v>18126</v>
      </c>
      <c r="B119" s="28" t="s">
        <v>18127</v>
      </c>
      <c r="C119" s="28" t="s">
        <v>4001</v>
      </c>
      <c r="D119" s="28" t="s">
        <v>17642</v>
      </c>
      <c r="E119" s="28" t="s">
        <v>192</v>
      </c>
      <c r="F119" s="28">
        <v>1</v>
      </c>
      <c r="G119" s="28" t="s">
        <v>193</v>
      </c>
      <c r="H119" s="28" t="s">
        <v>194</v>
      </c>
      <c r="I119" s="28" t="s">
        <v>17784</v>
      </c>
      <c r="J119" s="28" t="s">
        <v>210</v>
      </c>
      <c r="K119" s="28" t="s">
        <v>9309</v>
      </c>
      <c r="L119" s="28" t="s">
        <v>6955</v>
      </c>
      <c r="N119" s="28" t="s">
        <v>18128</v>
      </c>
      <c r="O119" s="28" t="s">
        <v>6302</v>
      </c>
      <c r="P119" s="28" t="s">
        <v>17846</v>
      </c>
      <c r="Q119" s="28" t="s">
        <v>17805</v>
      </c>
      <c r="R119" s="28" t="s">
        <v>17847</v>
      </c>
      <c r="S119" s="28" t="s">
        <v>18129</v>
      </c>
      <c r="T119" s="28" t="s">
        <v>18130</v>
      </c>
      <c r="V119" s="28" t="s">
        <v>9334</v>
      </c>
      <c r="W119" s="28" t="s">
        <v>4002</v>
      </c>
      <c r="X119" s="28" t="s">
        <v>194</v>
      </c>
      <c r="Y119" s="28" t="s">
        <v>9300</v>
      </c>
      <c r="AB119" s="28" t="s">
        <v>9311</v>
      </c>
      <c r="AH119" s="28" t="s">
        <v>4714</v>
      </c>
      <c r="AI119" s="28" t="s">
        <v>18127</v>
      </c>
      <c r="AJ119" s="516" t="str">
        <f>MID('II kw.22'!W119,8,6)</f>
        <v>263409</v>
      </c>
      <c r="AK119" s="516">
        <v>1</v>
      </c>
      <c r="AL119" s="516">
        <f t="shared" si="1"/>
        <v>1</v>
      </c>
      <c r="AM119" s="516">
        <v>1</v>
      </c>
      <c r="AN119" s="28" t="s">
        <v>17650</v>
      </c>
      <c r="AO119" s="28" t="s">
        <v>17651</v>
      </c>
      <c r="AP119" s="28" t="s">
        <v>17652</v>
      </c>
      <c r="AQ119" s="28" t="s">
        <v>17653</v>
      </c>
      <c r="AR119" s="28" t="s">
        <v>1024</v>
      </c>
    </row>
    <row r="120" spans="1:44" x14ac:dyDescent="0.25">
      <c r="A120" s="28" t="s">
        <v>18131</v>
      </c>
      <c r="B120" s="28" t="s">
        <v>1969</v>
      </c>
      <c r="C120" s="28" t="s">
        <v>18132</v>
      </c>
      <c r="D120" s="28" t="s">
        <v>17642</v>
      </c>
      <c r="E120" s="28" t="s">
        <v>192</v>
      </c>
      <c r="F120" s="28">
        <v>1</v>
      </c>
      <c r="G120" s="28" t="s">
        <v>193</v>
      </c>
      <c r="H120" s="28" t="s">
        <v>194</v>
      </c>
      <c r="I120" s="28" t="s">
        <v>17784</v>
      </c>
      <c r="J120" s="28" t="s">
        <v>962</v>
      </c>
      <c r="K120" s="28" t="s">
        <v>9309</v>
      </c>
      <c r="L120" s="28" t="s">
        <v>6955</v>
      </c>
      <c r="N120" s="28" t="s">
        <v>18133</v>
      </c>
      <c r="O120" s="28" t="s">
        <v>6286</v>
      </c>
      <c r="P120" s="28" t="s">
        <v>17846</v>
      </c>
      <c r="Q120" s="28" t="s">
        <v>17805</v>
      </c>
      <c r="R120" s="28" t="s">
        <v>17847</v>
      </c>
      <c r="S120" s="28" t="s">
        <v>18134</v>
      </c>
      <c r="T120" s="28" t="s">
        <v>18135</v>
      </c>
      <c r="V120" s="28" t="s">
        <v>11394</v>
      </c>
      <c r="W120" s="28" t="s">
        <v>14240</v>
      </c>
      <c r="X120" s="28" t="s">
        <v>194</v>
      </c>
      <c r="Y120" s="28" t="s">
        <v>9300</v>
      </c>
      <c r="AB120" s="28" t="s">
        <v>9311</v>
      </c>
      <c r="AH120" s="28" t="s">
        <v>4714</v>
      </c>
      <c r="AI120" s="28" t="s">
        <v>1969</v>
      </c>
      <c r="AJ120" s="516" t="str">
        <f>MID('II kw.22'!W120,8,6)</f>
        <v>242111</v>
      </c>
      <c r="AK120" s="516">
        <v>1</v>
      </c>
      <c r="AL120" s="516">
        <f t="shared" si="1"/>
        <v>1</v>
      </c>
      <c r="AM120" s="516">
        <v>1</v>
      </c>
      <c r="AN120" s="28" t="s">
        <v>17650</v>
      </c>
      <c r="AO120" s="28" t="s">
        <v>17651</v>
      </c>
      <c r="AP120" s="28" t="s">
        <v>17652</v>
      </c>
      <c r="AQ120" s="28" t="s">
        <v>17653</v>
      </c>
      <c r="AR120" s="28" t="s">
        <v>1024</v>
      </c>
    </row>
    <row r="121" spans="1:44" x14ac:dyDescent="0.25">
      <c r="A121" s="28" t="s">
        <v>18136</v>
      </c>
      <c r="B121" s="28" t="s">
        <v>2113</v>
      </c>
      <c r="C121" s="28" t="s">
        <v>727</v>
      </c>
      <c r="D121" s="28" t="s">
        <v>17642</v>
      </c>
      <c r="E121" s="28" t="s">
        <v>192</v>
      </c>
      <c r="F121" s="28">
        <v>1</v>
      </c>
      <c r="G121" s="28" t="s">
        <v>193</v>
      </c>
      <c r="H121" s="28" t="s">
        <v>194</v>
      </c>
      <c r="I121" s="28" t="s">
        <v>17643</v>
      </c>
      <c r="J121" s="28" t="s">
        <v>18137</v>
      </c>
      <c r="K121" s="28" t="s">
        <v>9309</v>
      </c>
      <c r="L121" s="28" t="s">
        <v>6955</v>
      </c>
      <c r="N121" s="28" t="s">
        <v>18138</v>
      </c>
      <c r="O121" s="28" t="s">
        <v>6343</v>
      </c>
      <c r="P121" s="28" t="s">
        <v>17846</v>
      </c>
      <c r="Q121" s="28" t="s">
        <v>17805</v>
      </c>
      <c r="R121" s="28" t="s">
        <v>17847</v>
      </c>
      <c r="S121" s="28" t="s">
        <v>18139</v>
      </c>
      <c r="T121" s="28" t="s">
        <v>18140</v>
      </c>
      <c r="V121" s="28" t="s">
        <v>11154</v>
      </c>
      <c r="W121" s="28" t="s">
        <v>728</v>
      </c>
      <c r="X121" s="28" t="s">
        <v>194</v>
      </c>
      <c r="Y121" s="28" t="s">
        <v>9300</v>
      </c>
      <c r="AB121" s="28" t="s">
        <v>9311</v>
      </c>
      <c r="AH121" s="28" t="s">
        <v>4714</v>
      </c>
      <c r="AI121" s="28" t="s">
        <v>2113</v>
      </c>
      <c r="AJ121" s="516" t="str">
        <f>MID('II kw.22'!W121,8,6)</f>
        <v>512001</v>
      </c>
      <c r="AK121" s="516">
        <v>1</v>
      </c>
      <c r="AL121" s="516">
        <f t="shared" si="1"/>
        <v>1</v>
      </c>
      <c r="AM121" s="516">
        <v>1</v>
      </c>
      <c r="AN121" s="28" t="s">
        <v>17650</v>
      </c>
      <c r="AO121" s="28" t="s">
        <v>17651</v>
      </c>
      <c r="AP121" s="28" t="s">
        <v>17652</v>
      </c>
      <c r="AQ121" s="28" t="s">
        <v>17653</v>
      </c>
      <c r="AR121" s="28" t="s">
        <v>1024</v>
      </c>
    </row>
    <row r="122" spans="1:44" x14ac:dyDescent="0.25">
      <c r="A122" s="28" t="s">
        <v>2599</v>
      </c>
      <c r="B122" s="28" t="s">
        <v>18141</v>
      </c>
      <c r="C122" s="28" t="s">
        <v>74</v>
      </c>
      <c r="D122" s="28" t="s">
        <v>17642</v>
      </c>
      <c r="E122" s="28" t="s">
        <v>192</v>
      </c>
      <c r="F122" s="28">
        <v>1</v>
      </c>
      <c r="G122" s="28" t="s">
        <v>193</v>
      </c>
      <c r="H122" s="28" t="s">
        <v>194</v>
      </c>
      <c r="I122" s="28" t="s">
        <v>17643</v>
      </c>
      <c r="J122" s="28" t="s">
        <v>210</v>
      </c>
      <c r="K122" s="28" t="s">
        <v>9309</v>
      </c>
      <c r="L122" s="28" t="s">
        <v>6955</v>
      </c>
      <c r="N122" s="28" t="s">
        <v>18142</v>
      </c>
      <c r="O122" s="28" t="s">
        <v>6249</v>
      </c>
      <c r="P122" s="28" t="s">
        <v>17846</v>
      </c>
      <c r="Q122" s="28" t="s">
        <v>17805</v>
      </c>
      <c r="R122" s="28" t="s">
        <v>17955</v>
      </c>
      <c r="S122" s="28" t="s">
        <v>18143</v>
      </c>
      <c r="T122" s="28" t="s">
        <v>18144</v>
      </c>
      <c r="V122" s="28" t="s">
        <v>9334</v>
      </c>
      <c r="W122" s="28" t="s">
        <v>246</v>
      </c>
      <c r="X122" s="28" t="s">
        <v>194</v>
      </c>
      <c r="Y122" s="28" t="s">
        <v>9300</v>
      </c>
      <c r="AB122" s="28" t="s">
        <v>9311</v>
      </c>
      <c r="AH122" s="28" t="s">
        <v>4714</v>
      </c>
      <c r="AI122" s="28" t="s">
        <v>18141</v>
      </c>
      <c r="AJ122" s="516" t="str">
        <f>MID('II kw.22'!W122,8,6)</f>
        <v>142004</v>
      </c>
      <c r="AK122" s="516">
        <v>1</v>
      </c>
      <c r="AL122" s="516">
        <f t="shared" si="1"/>
        <v>1</v>
      </c>
      <c r="AM122" s="516">
        <v>1</v>
      </c>
      <c r="AN122" s="28" t="s">
        <v>17650</v>
      </c>
      <c r="AO122" s="28" t="s">
        <v>17651</v>
      </c>
      <c r="AP122" s="28" t="s">
        <v>17652</v>
      </c>
      <c r="AQ122" s="28" t="s">
        <v>17653</v>
      </c>
      <c r="AR122" s="28" t="s">
        <v>1024</v>
      </c>
    </row>
    <row r="123" spans="1:44" x14ac:dyDescent="0.25">
      <c r="A123" s="28" t="s">
        <v>13967</v>
      </c>
      <c r="B123" s="28" t="s">
        <v>13968</v>
      </c>
      <c r="C123" s="28" t="s">
        <v>17</v>
      </c>
      <c r="D123" s="28" t="s">
        <v>17642</v>
      </c>
      <c r="E123" s="28" t="s">
        <v>192</v>
      </c>
      <c r="F123" s="28">
        <v>1</v>
      </c>
      <c r="G123" s="28" t="s">
        <v>193</v>
      </c>
      <c r="H123" s="28" t="s">
        <v>194</v>
      </c>
      <c r="I123" s="28" t="s">
        <v>17643</v>
      </c>
      <c r="J123" s="28" t="s">
        <v>223</v>
      </c>
      <c r="K123" s="28" t="s">
        <v>9309</v>
      </c>
      <c r="L123" s="28" t="s">
        <v>6955</v>
      </c>
      <c r="N123" s="28" t="s">
        <v>18145</v>
      </c>
      <c r="O123" s="28" t="s">
        <v>6245</v>
      </c>
      <c r="P123" s="28" t="s">
        <v>17846</v>
      </c>
      <c r="Q123" s="28" t="s">
        <v>17805</v>
      </c>
      <c r="R123" s="28" t="s">
        <v>17955</v>
      </c>
      <c r="S123" s="28" t="s">
        <v>18146</v>
      </c>
      <c r="T123" s="28" t="s">
        <v>18147</v>
      </c>
      <c r="V123" s="28" t="s">
        <v>11163</v>
      </c>
      <c r="W123" s="28" t="s">
        <v>624</v>
      </c>
      <c r="X123" s="28" t="s">
        <v>194</v>
      </c>
      <c r="Y123" s="28" t="s">
        <v>9300</v>
      </c>
      <c r="AB123" s="28" t="s">
        <v>9311</v>
      </c>
      <c r="AH123" s="28" t="s">
        <v>4714</v>
      </c>
      <c r="AI123" s="28" t="s">
        <v>13968</v>
      </c>
      <c r="AJ123" s="516" t="str">
        <f>MID('II kw.22'!W123,8,6)</f>
        <v>332203</v>
      </c>
      <c r="AK123" s="516">
        <v>1</v>
      </c>
      <c r="AL123" s="516">
        <f t="shared" si="1"/>
        <v>1</v>
      </c>
      <c r="AM123" s="516">
        <v>1</v>
      </c>
      <c r="AN123" s="28" t="s">
        <v>17650</v>
      </c>
      <c r="AO123" s="28" t="s">
        <v>17651</v>
      </c>
      <c r="AP123" s="28" t="s">
        <v>17652</v>
      </c>
      <c r="AQ123" s="28" t="s">
        <v>17653</v>
      </c>
      <c r="AR123" s="28" t="s">
        <v>1024</v>
      </c>
    </row>
    <row r="124" spans="1:44" x14ac:dyDescent="0.25">
      <c r="A124" s="28" t="s">
        <v>13967</v>
      </c>
      <c r="B124" s="28" t="s">
        <v>13968</v>
      </c>
      <c r="C124" s="28" t="s">
        <v>35</v>
      </c>
      <c r="D124" s="28" t="s">
        <v>17642</v>
      </c>
      <c r="E124" s="28" t="s">
        <v>192</v>
      </c>
      <c r="F124" s="28">
        <v>1</v>
      </c>
      <c r="G124" s="28" t="s">
        <v>193</v>
      </c>
      <c r="H124" s="28" t="s">
        <v>194</v>
      </c>
      <c r="I124" s="28" t="s">
        <v>17643</v>
      </c>
      <c r="J124" s="28" t="s">
        <v>276</v>
      </c>
      <c r="K124" s="28" t="s">
        <v>9309</v>
      </c>
      <c r="L124" s="28" t="s">
        <v>6955</v>
      </c>
      <c r="N124" s="28" t="s">
        <v>18148</v>
      </c>
      <c r="O124" s="28" t="s">
        <v>6245</v>
      </c>
      <c r="P124" s="28" t="s">
        <v>17846</v>
      </c>
      <c r="Q124" s="28" t="s">
        <v>17805</v>
      </c>
      <c r="R124" s="28" t="s">
        <v>17955</v>
      </c>
      <c r="S124" s="28" t="s">
        <v>18149</v>
      </c>
      <c r="T124" s="28" t="s">
        <v>18150</v>
      </c>
      <c r="V124" s="28" t="s">
        <v>9786</v>
      </c>
      <c r="W124" s="28" t="s">
        <v>207</v>
      </c>
      <c r="X124" s="28" t="s">
        <v>194</v>
      </c>
      <c r="Y124" s="28" t="s">
        <v>9300</v>
      </c>
      <c r="AB124" s="28" t="s">
        <v>9311</v>
      </c>
      <c r="AH124" s="28" t="s">
        <v>4714</v>
      </c>
      <c r="AI124" s="28" t="s">
        <v>13968</v>
      </c>
      <c r="AJ124" s="516" t="str">
        <f>MID('II kw.22'!W124,8,6)</f>
        <v>122106</v>
      </c>
      <c r="AK124" s="516">
        <v>1</v>
      </c>
      <c r="AL124" s="516">
        <f t="shared" si="1"/>
        <v>1</v>
      </c>
      <c r="AM124" s="516">
        <v>1</v>
      </c>
      <c r="AN124" s="28" t="s">
        <v>17650</v>
      </c>
      <c r="AO124" s="28" t="s">
        <v>17651</v>
      </c>
      <c r="AP124" s="28" t="s">
        <v>17652</v>
      </c>
      <c r="AQ124" s="28" t="s">
        <v>17653</v>
      </c>
      <c r="AR124" s="28" t="s">
        <v>1024</v>
      </c>
    </row>
    <row r="125" spans="1:44" x14ac:dyDescent="0.25">
      <c r="A125" s="28" t="s">
        <v>13967</v>
      </c>
      <c r="B125" s="28" t="s">
        <v>13968</v>
      </c>
      <c r="C125" s="28" t="s">
        <v>35</v>
      </c>
      <c r="D125" s="28" t="s">
        <v>17642</v>
      </c>
      <c r="E125" s="28" t="s">
        <v>192</v>
      </c>
      <c r="F125" s="28">
        <v>1</v>
      </c>
      <c r="G125" s="28" t="s">
        <v>193</v>
      </c>
      <c r="H125" s="28" t="s">
        <v>194</v>
      </c>
      <c r="I125" s="28" t="s">
        <v>17643</v>
      </c>
      <c r="J125" s="28" t="s">
        <v>210</v>
      </c>
      <c r="K125" s="28" t="s">
        <v>9309</v>
      </c>
      <c r="L125" s="28" t="s">
        <v>6955</v>
      </c>
      <c r="N125" s="28" t="s">
        <v>18151</v>
      </c>
      <c r="O125" s="28" t="s">
        <v>6245</v>
      </c>
      <c r="P125" s="28" t="s">
        <v>17846</v>
      </c>
      <c r="Q125" s="28" t="s">
        <v>17805</v>
      </c>
      <c r="R125" s="28" t="s">
        <v>17955</v>
      </c>
      <c r="S125" s="28" t="s">
        <v>18152</v>
      </c>
      <c r="T125" s="28" t="s">
        <v>18153</v>
      </c>
      <c r="V125" s="28" t="s">
        <v>9334</v>
      </c>
      <c r="W125" s="28" t="s">
        <v>207</v>
      </c>
      <c r="X125" s="28" t="s">
        <v>194</v>
      </c>
      <c r="Y125" s="28" t="s">
        <v>9300</v>
      </c>
      <c r="AB125" s="28" t="s">
        <v>9311</v>
      </c>
      <c r="AH125" s="28" t="s">
        <v>4714</v>
      </c>
      <c r="AI125" s="28" t="s">
        <v>13968</v>
      </c>
      <c r="AJ125" s="516" t="str">
        <f>MID('II kw.22'!W125,8,6)</f>
        <v>122106</v>
      </c>
      <c r="AK125" s="516">
        <v>1</v>
      </c>
      <c r="AL125" s="516">
        <f t="shared" si="1"/>
        <v>1</v>
      </c>
      <c r="AM125" s="516">
        <v>1</v>
      </c>
      <c r="AN125" s="28" t="s">
        <v>17650</v>
      </c>
      <c r="AO125" s="28" t="s">
        <v>17651</v>
      </c>
      <c r="AP125" s="28" t="s">
        <v>17652</v>
      </c>
      <c r="AQ125" s="28" t="s">
        <v>17653</v>
      </c>
      <c r="AR125" s="28" t="s">
        <v>1024</v>
      </c>
    </row>
    <row r="126" spans="1:44" x14ac:dyDescent="0.25">
      <c r="A126" s="28" t="s">
        <v>13967</v>
      </c>
      <c r="B126" s="28" t="s">
        <v>13968</v>
      </c>
      <c r="C126" s="28" t="s">
        <v>35</v>
      </c>
      <c r="D126" s="28" t="s">
        <v>17642</v>
      </c>
      <c r="E126" s="28" t="s">
        <v>192</v>
      </c>
      <c r="F126" s="28">
        <v>1</v>
      </c>
      <c r="G126" s="28" t="s">
        <v>193</v>
      </c>
      <c r="H126" s="28" t="s">
        <v>194</v>
      </c>
      <c r="I126" s="28" t="s">
        <v>17643</v>
      </c>
      <c r="J126" s="28" t="s">
        <v>747</v>
      </c>
      <c r="K126" s="28" t="s">
        <v>9309</v>
      </c>
      <c r="L126" s="28" t="s">
        <v>6955</v>
      </c>
      <c r="N126" s="28" t="s">
        <v>18154</v>
      </c>
      <c r="O126" s="28" t="s">
        <v>6245</v>
      </c>
      <c r="P126" s="28" t="s">
        <v>17846</v>
      </c>
      <c r="Q126" s="28" t="s">
        <v>17805</v>
      </c>
      <c r="R126" s="28" t="s">
        <v>17955</v>
      </c>
      <c r="S126" s="28" t="s">
        <v>18155</v>
      </c>
      <c r="T126" s="28" t="s">
        <v>18156</v>
      </c>
      <c r="V126" s="28" t="s">
        <v>10397</v>
      </c>
      <c r="W126" s="28" t="s">
        <v>207</v>
      </c>
      <c r="X126" s="28" t="s">
        <v>194</v>
      </c>
      <c r="Y126" s="28" t="s">
        <v>9300</v>
      </c>
      <c r="AB126" s="28" t="s">
        <v>9311</v>
      </c>
      <c r="AH126" s="28" t="s">
        <v>4714</v>
      </c>
      <c r="AI126" s="28" t="s">
        <v>13968</v>
      </c>
      <c r="AJ126" s="516" t="str">
        <f>MID('II kw.22'!W126,8,6)</f>
        <v>122106</v>
      </c>
      <c r="AK126" s="516">
        <v>1</v>
      </c>
      <c r="AL126" s="516">
        <f t="shared" si="1"/>
        <v>1</v>
      </c>
      <c r="AM126" s="516">
        <v>1</v>
      </c>
      <c r="AN126" s="28" t="s">
        <v>17650</v>
      </c>
      <c r="AO126" s="28" t="s">
        <v>17651</v>
      </c>
      <c r="AP126" s="28" t="s">
        <v>17652</v>
      </c>
      <c r="AQ126" s="28" t="s">
        <v>17653</v>
      </c>
      <c r="AR126" s="28" t="s">
        <v>1024</v>
      </c>
    </row>
    <row r="127" spans="1:44" x14ac:dyDescent="0.25">
      <c r="A127" s="28" t="s">
        <v>13967</v>
      </c>
      <c r="B127" s="28" t="s">
        <v>13968</v>
      </c>
      <c r="C127" s="28" t="s">
        <v>35</v>
      </c>
      <c r="D127" s="28" t="s">
        <v>17642</v>
      </c>
      <c r="E127" s="28" t="s">
        <v>192</v>
      </c>
      <c r="F127" s="28">
        <v>1</v>
      </c>
      <c r="G127" s="28" t="s">
        <v>193</v>
      </c>
      <c r="H127" s="28" t="s">
        <v>194</v>
      </c>
      <c r="I127" s="28" t="s">
        <v>17643</v>
      </c>
      <c r="J127" s="28" t="s">
        <v>316</v>
      </c>
      <c r="K127" s="28" t="s">
        <v>9309</v>
      </c>
      <c r="L127" s="28" t="s">
        <v>6955</v>
      </c>
      <c r="N127" s="28" t="s">
        <v>18157</v>
      </c>
      <c r="O127" s="28" t="s">
        <v>6245</v>
      </c>
      <c r="P127" s="28" t="s">
        <v>17846</v>
      </c>
      <c r="Q127" s="28" t="s">
        <v>17805</v>
      </c>
      <c r="R127" s="28" t="s">
        <v>17955</v>
      </c>
      <c r="S127" s="28" t="s">
        <v>18158</v>
      </c>
      <c r="T127" s="28" t="s">
        <v>18159</v>
      </c>
      <c r="V127" s="28" t="s">
        <v>10012</v>
      </c>
      <c r="W127" s="28" t="s">
        <v>207</v>
      </c>
      <c r="X127" s="28" t="s">
        <v>194</v>
      </c>
      <c r="Y127" s="28" t="s">
        <v>9300</v>
      </c>
      <c r="AB127" s="28" t="s">
        <v>9311</v>
      </c>
      <c r="AH127" s="28" t="s">
        <v>4714</v>
      </c>
      <c r="AI127" s="28" t="s">
        <v>13968</v>
      </c>
      <c r="AJ127" s="516" t="str">
        <f>MID('II kw.22'!W127,8,6)</f>
        <v>122106</v>
      </c>
      <c r="AK127" s="516">
        <v>1</v>
      </c>
      <c r="AL127" s="516">
        <f t="shared" si="1"/>
        <v>1</v>
      </c>
      <c r="AM127" s="516">
        <v>1</v>
      </c>
      <c r="AN127" s="28" t="s">
        <v>17650</v>
      </c>
      <c r="AO127" s="28" t="s">
        <v>17651</v>
      </c>
      <c r="AP127" s="28" t="s">
        <v>17652</v>
      </c>
      <c r="AQ127" s="28" t="s">
        <v>17653</v>
      </c>
      <c r="AR127" s="28" t="s">
        <v>1024</v>
      </c>
    </row>
    <row r="128" spans="1:44" x14ac:dyDescent="0.25">
      <c r="A128" s="28" t="s">
        <v>13967</v>
      </c>
      <c r="B128" s="28" t="s">
        <v>13968</v>
      </c>
      <c r="C128" s="28" t="s">
        <v>35</v>
      </c>
      <c r="D128" s="28" t="s">
        <v>17642</v>
      </c>
      <c r="E128" s="28" t="s">
        <v>192</v>
      </c>
      <c r="F128" s="28">
        <v>1</v>
      </c>
      <c r="G128" s="28" t="s">
        <v>193</v>
      </c>
      <c r="H128" s="28" t="s">
        <v>194</v>
      </c>
      <c r="I128" s="28" t="s">
        <v>17643</v>
      </c>
      <c r="J128" s="28" t="s">
        <v>408</v>
      </c>
      <c r="K128" s="28" t="s">
        <v>9309</v>
      </c>
      <c r="L128" s="28" t="s">
        <v>6955</v>
      </c>
      <c r="N128" s="28" t="s">
        <v>18160</v>
      </c>
      <c r="O128" s="28" t="s">
        <v>6245</v>
      </c>
      <c r="P128" s="28" t="s">
        <v>17846</v>
      </c>
      <c r="Q128" s="28" t="s">
        <v>17805</v>
      </c>
      <c r="R128" s="28" t="s">
        <v>17955</v>
      </c>
      <c r="S128" s="28" t="s">
        <v>18161</v>
      </c>
      <c r="T128" s="28" t="s">
        <v>18162</v>
      </c>
      <c r="V128" s="28" t="s">
        <v>9479</v>
      </c>
      <c r="W128" s="28" t="s">
        <v>207</v>
      </c>
      <c r="X128" s="28" t="s">
        <v>194</v>
      </c>
      <c r="Y128" s="28" t="s">
        <v>9300</v>
      </c>
      <c r="AB128" s="28" t="s">
        <v>9311</v>
      </c>
      <c r="AH128" s="28" t="s">
        <v>4714</v>
      </c>
      <c r="AI128" s="28" t="s">
        <v>13968</v>
      </c>
      <c r="AJ128" s="516" t="str">
        <f>MID('II kw.22'!W128,8,6)</f>
        <v>122106</v>
      </c>
      <c r="AK128" s="516">
        <v>1</v>
      </c>
      <c r="AL128" s="516">
        <f t="shared" si="1"/>
        <v>1</v>
      </c>
      <c r="AM128" s="516">
        <v>1</v>
      </c>
      <c r="AN128" s="28" t="s">
        <v>17650</v>
      </c>
      <c r="AO128" s="28" t="s">
        <v>17651</v>
      </c>
      <c r="AP128" s="28" t="s">
        <v>17652</v>
      </c>
      <c r="AQ128" s="28" t="s">
        <v>17653</v>
      </c>
      <c r="AR128" s="28" t="s">
        <v>1024</v>
      </c>
    </row>
    <row r="129" spans="1:44" x14ac:dyDescent="0.25">
      <c r="A129" s="28" t="s">
        <v>13967</v>
      </c>
      <c r="B129" s="28" t="s">
        <v>13968</v>
      </c>
      <c r="C129" s="28" t="s">
        <v>35</v>
      </c>
      <c r="D129" s="28" t="s">
        <v>17642</v>
      </c>
      <c r="E129" s="28" t="s">
        <v>192</v>
      </c>
      <c r="F129" s="28">
        <v>1</v>
      </c>
      <c r="G129" s="28" t="s">
        <v>193</v>
      </c>
      <c r="H129" s="28" t="s">
        <v>194</v>
      </c>
      <c r="I129" s="28" t="s">
        <v>17643</v>
      </c>
      <c r="J129" s="28" t="s">
        <v>253</v>
      </c>
      <c r="K129" s="28" t="s">
        <v>9309</v>
      </c>
      <c r="L129" s="28" t="s">
        <v>6955</v>
      </c>
      <c r="N129" s="28" t="s">
        <v>18163</v>
      </c>
      <c r="O129" s="28" t="s">
        <v>6245</v>
      </c>
      <c r="P129" s="28" t="s">
        <v>17846</v>
      </c>
      <c r="Q129" s="28" t="s">
        <v>17805</v>
      </c>
      <c r="R129" s="28" t="s">
        <v>17955</v>
      </c>
      <c r="S129" s="28" t="s">
        <v>18164</v>
      </c>
      <c r="T129" s="28" t="s">
        <v>18165</v>
      </c>
      <c r="V129" s="28" t="s">
        <v>9468</v>
      </c>
      <c r="W129" s="28" t="s">
        <v>207</v>
      </c>
      <c r="X129" s="28" t="s">
        <v>194</v>
      </c>
      <c r="Y129" s="28" t="s">
        <v>9300</v>
      </c>
      <c r="AB129" s="28" t="s">
        <v>9311</v>
      </c>
      <c r="AH129" s="28" t="s">
        <v>4714</v>
      </c>
      <c r="AI129" s="28" t="s">
        <v>13968</v>
      </c>
      <c r="AJ129" s="516" t="str">
        <f>MID('II kw.22'!W129,8,6)</f>
        <v>122106</v>
      </c>
      <c r="AK129" s="516">
        <v>1</v>
      </c>
      <c r="AL129" s="516">
        <f t="shared" si="1"/>
        <v>1</v>
      </c>
      <c r="AM129" s="516">
        <v>1</v>
      </c>
      <c r="AN129" s="28" t="s">
        <v>17650</v>
      </c>
      <c r="AO129" s="28" t="s">
        <v>17651</v>
      </c>
      <c r="AP129" s="28" t="s">
        <v>17652</v>
      </c>
      <c r="AQ129" s="28" t="s">
        <v>17653</v>
      </c>
      <c r="AR129" s="28" t="s">
        <v>1024</v>
      </c>
    </row>
    <row r="130" spans="1:44" x14ac:dyDescent="0.25">
      <c r="A130" s="28" t="s">
        <v>13967</v>
      </c>
      <c r="B130" s="28" t="s">
        <v>13968</v>
      </c>
      <c r="C130" s="28" t="s">
        <v>35</v>
      </c>
      <c r="D130" s="28" t="s">
        <v>17642</v>
      </c>
      <c r="E130" s="28" t="s">
        <v>192</v>
      </c>
      <c r="F130" s="28">
        <v>1</v>
      </c>
      <c r="G130" s="28" t="s">
        <v>193</v>
      </c>
      <c r="H130" s="28" t="s">
        <v>194</v>
      </c>
      <c r="I130" s="28" t="s">
        <v>17643</v>
      </c>
      <c r="J130" s="28" t="s">
        <v>4751</v>
      </c>
      <c r="K130" s="28" t="s">
        <v>9309</v>
      </c>
      <c r="L130" s="28" t="s">
        <v>6955</v>
      </c>
      <c r="N130" s="28" t="s">
        <v>18166</v>
      </c>
      <c r="O130" s="28" t="s">
        <v>6245</v>
      </c>
      <c r="P130" s="28" t="s">
        <v>17846</v>
      </c>
      <c r="Q130" s="28" t="s">
        <v>17805</v>
      </c>
      <c r="R130" s="28" t="s">
        <v>17955</v>
      </c>
      <c r="S130" s="28" t="s">
        <v>18167</v>
      </c>
      <c r="T130" s="28" t="s">
        <v>18168</v>
      </c>
      <c r="V130" s="28" t="s">
        <v>9472</v>
      </c>
      <c r="W130" s="28" t="s">
        <v>207</v>
      </c>
      <c r="X130" s="28" t="s">
        <v>194</v>
      </c>
      <c r="Y130" s="28" t="s">
        <v>9300</v>
      </c>
      <c r="AB130" s="28" t="s">
        <v>9311</v>
      </c>
      <c r="AH130" s="28" t="s">
        <v>4714</v>
      </c>
      <c r="AI130" s="28" t="s">
        <v>13968</v>
      </c>
      <c r="AJ130" s="516" t="str">
        <f>MID('II kw.22'!W130,8,6)</f>
        <v>122106</v>
      </c>
      <c r="AK130" s="516">
        <v>1</v>
      </c>
      <c r="AL130" s="516">
        <f t="shared" si="1"/>
        <v>1</v>
      </c>
      <c r="AM130" s="516">
        <v>1</v>
      </c>
      <c r="AN130" s="28" t="s">
        <v>17650</v>
      </c>
      <c r="AO130" s="28" t="s">
        <v>17651</v>
      </c>
      <c r="AP130" s="28" t="s">
        <v>17652</v>
      </c>
      <c r="AQ130" s="28" t="s">
        <v>17653</v>
      </c>
      <c r="AR130" s="28" t="s">
        <v>1024</v>
      </c>
    </row>
    <row r="131" spans="1:44" x14ac:dyDescent="0.25">
      <c r="A131" s="28" t="s">
        <v>13967</v>
      </c>
      <c r="B131" s="28" t="s">
        <v>13968</v>
      </c>
      <c r="C131" s="28" t="s">
        <v>35</v>
      </c>
      <c r="D131" s="28" t="s">
        <v>17642</v>
      </c>
      <c r="E131" s="28" t="s">
        <v>192</v>
      </c>
      <c r="F131" s="28">
        <v>1</v>
      </c>
      <c r="G131" s="28" t="s">
        <v>193</v>
      </c>
      <c r="H131" s="28" t="s">
        <v>194</v>
      </c>
      <c r="I131" s="28" t="s">
        <v>17643</v>
      </c>
      <c r="J131" s="28" t="s">
        <v>305</v>
      </c>
      <c r="K131" s="28" t="s">
        <v>9309</v>
      </c>
      <c r="L131" s="28" t="s">
        <v>6955</v>
      </c>
      <c r="N131" s="28" t="s">
        <v>18169</v>
      </c>
      <c r="O131" s="28" t="s">
        <v>6245</v>
      </c>
      <c r="P131" s="28" t="s">
        <v>17846</v>
      </c>
      <c r="Q131" s="28" t="s">
        <v>17805</v>
      </c>
      <c r="R131" s="28" t="s">
        <v>17955</v>
      </c>
      <c r="S131" s="28" t="s">
        <v>18170</v>
      </c>
      <c r="T131" s="28" t="s">
        <v>18171</v>
      </c>
      <c r="V131" s="28" t="s">
        <v>9753</v>
      </c>
      <c r="W131" s="28" t="s">
        <v>207</v>
      </c>
      <c r="X131" s="28" t="s">
        <v>194</v>
      </c>
      <c r="Y131" s="28" t="s">
        <v>9300</v>
      </c>
      <c r="AB131" s="28" t="s">
        <v>9311</v>
      </c>
      <c r="AH131" s="28" t="s">
        <v>4714</v>
      </c>
      <c r="AI131" s="28" t="s">
        <v>13968</v>
      </c>
      <c r="AJ131" s="516" t="str">
        <f>MID('II kw.22'!W131,8,6)</f>
        <v>122106</v>
      </c>
      <c r="AK131" s="516">
        <v>1</v>
      </c>
      <c r="AL131" s="516">
        <f t="shared" ref="AL131:AL194" si="2">SUM(F131)</f>
        <v>1</v>
      </c>
      <c r="AM131" s="516">
        <v>1</v>
      </c>
      <c r="AN131" s="28" t="s">
        <v>17650</v>
      </c>
      <c r="AO131" s="28" t="s">
        <v>17651</v>
      </c>
      <c r="AP131" s="28" t="s">
        <v>17652</v>
      </c>
      <c r="AQ131" s="28" t="s">
        <v>17653</v>
      </c>
      <c r="AR131" s="28" t="s">
        <v>1024</v>
      </c>
    </row>
    <row r="132" spans="1:44" x14ac:dyDescent="0.25">
      <c r="A132" s="28" t="s">
        <v>18172</v>
      </c>
      <c r="B132" s="28" t="s">
        <v>18173</v>
      </c>
      <c r="C132" s="28" t="s">
        <v>18174</v>
      </c>
      <c r="D132" s="28" t="s">
        <v>18175</v>
      </c>
      <c r="E132" s="28" t="s">
        <v>252</v>
      </c>
      <c r="F132" s="28">
        <v>1</v>
      </c>
      <c r="G132" s="28" t="s">
        <v>193</v>
      </c>
      <c r="H132" s="28" t="s">
        <v>194</v>
      </c>
      <c r="I132" s="28" t="s">
        <v>17672</v>
      </c>
      <c r="J132" s="28" t="s">
        <v>408</v>
      </c>
      <c r="K132" s="28" t="s">
        <v>9309</v>
      </c>
      <c r="L132" s="28" t="s">
        <v>6955</v>
      </c>
      <c r="N132" s="28" t="s">
        <v>18176</v>
      </c>
      <c r="O132" s="28" t="s">
        <v>6275</v>
      </c>
      <c r="P132" s="28" t="s">
        <v>18177</v>
      </c>
      <c r="Q132" s="28" t="s">
        <v>18178</v>
      </c>
      <c r="R132" s="28" t="s">
        <v>17752</v>
      </c>
      <c r="S132" s="28" t="s">
        <v>18179</v>
      </c>
      <c r="T132" s="28" t="s">
        <v>18180</v>
      </c>
      <c r="V132" s="28" t="s">
        <v>9479</v>
      </c>
      <c r="W132" s="28" t="s">
        <v>18181</v>
      </c>
      <c r="X132" s="28" t="s">
        <v>194</v>
      </c>
      <c r="Y132" s="28" t="s">
        <v>9300</v>
      </c>
      <c r="AB132" s="28" t="s">
        <v>9311</v>
      </c>
      <c r="AH132" s="28" t="s">
        <v>4714</v>
      </c>
      <c r="AI132" s="28" t="s">
        <v>9433</v>
      </c>
      <c r="AJ132" s="516" t="str">
        <f>MID('II kw.22'!W132,8,6)</f>
        <v>751204</v>
      </c>
      <c r="AK132" s="516">
        <v>1</v>
      </c>
      <c r="AL132" s="516">
        <f t="shared" si="2"/>
        <v>1</v>
      </c>
      <c r="AM132" s="516">
        <v>1</v>
      </c>
      <c r="AN132" s="28" t="s">
        <v>17650</v>
      </c>
      <c r="AO132" s="28" t="s">
        <v>17651</v>
      </c>
      <c r="AP132" s="28" t="s">
        <v>17652</v>
      </c>
      <c r="AQ132" s="28" t="s">
        <v>17653</v>
      </c>
      <c r="AR132" s="28" t="s">
        <v>1024</v>
      </c>
    </row>
    <row r="133" spans="1:44" x14ac:dyDescent="0.25">
      <c r="A133" s="28" t="s">
        <v>18182</v>
      </c>
      <c r="B133" s="28" t="s">
        <v>18183</v>
      </c>
      <c r="C133" s="28" t="s">
        <v>2999</v>
      </c>
      <c r="D133" s="28" t="s">
        <v>18175</v>
      </c>
      <c r="E133" s="28" t="s">
        <v>192</v>
      </c>
      <c r="F133" s="28">
        <v>1</v>
      </c>
      <c r="G133" s="28" t="s">
        <v>193</v>
      </c>
      <c r="H133" s="28" t="s">
        <v>194</v>
      </c>
      <c r="I133" s="28" t="s">
        <v>17784</v>
      </c>
      <c r="J133" s="28" t="s">
        <v>9302</v>
      </c>
      <c r="K133" s="28" t="s">
        <v>9309</v>
      </c>
      <c r="L133" s="28" t="s">
        <v>6955</v>
      </c>
      <c r="N133" s="28" t="s">
        <v>18184</v>
      </c>
      <c r="O133" s="28" t="s">
        <v>6302</v>
      </c>
      <c r="P133" s="28" t="s">
        <v>18177</v>
      </c>
      <c r="Q133" s="28" t="s">
        <v>18178</v>
      </c>
      <c r="R133" s="28" t="s">
        <v>17752</v>
      </c>
      <c r="S133" s="28" t="s">
        <v>18185</v>
      </c>
      <c r="T133" s="28" t="s">
        <v>18186</v>
      </c>
      <c r="V133" s="27"/>
      <c r="W133" s="28" t="s">
        <v>18187</v>
      </c>
      <c r="X133" s="28" t="s">
        <v>193</v>
      </c>
      <c r="Y133" s="27" t="s">
        <v>9310</v>
      </c>
      <c r="AB133" s="28" t="s">
        <v>9311</v>
      </c>
      <c r="AH133" s="28" t="s">
        <v>4714</v>
      </c>
      <c r="AI133" s="28" t="s">
        <v>18183</v>
      </c>
      <c r="AJ133" s="516" t="str">
        <f>MID('II kw.22'!W133,8,6)</f>
        <v>351403</v>
      </c>
      <c r="AK133" s="516">
        <v>1</v>
      </c>
      <c r="AL133" s="516">
        <f t="shared" si="2"/>
        <v>1</v>
      </c>
      <c r="AM133" s="516">
        <v>1</v>
      </c>
      <c r="AN133" s="28" t="s">
        <v>17650</v>
      </c>
      <c r="AO133" s="28" t="s">
        <v>17651</v>
      </c>
      <c r="AP133" s="28" t="s">
        <v>17652</v>
      </c>
      <c r="AQ133" s="28" t="s">
        <v>17653</v>
      </c>
      <c r="AR133" s="28" t="s">
        <v>1024</v>
      </c>
    </row>
    <row r="134" spans="1:44" x14ac:dyDescent="0.25">
      <c r="A134" s="28" t="s">
        <v>690</v>
      </c>
      <c r="B134" s="28" t="s">
        <v>18188</v>
      </c>
      <c r="C134" s="28" t="s">
        <v>16281</v>
      </c>
      <c r="D134" s="28" t="s">
        <v>18175</v>
      </c>
      <c r="E134" s="28" t="s">
        <v>192</v>
      </c>
      <c r="F134" s="28">
        <v>1</v>
      </c>
      <c r="G134" s="28" t="s">
        <v>193</v>
      </c>
      <c r="H134" s="28" t="s">
        <v>194</v>
      </c>
      <c r="I134" s="28" t="s">
        <v>17656</v>
      </c>
      <c r="J134" s="28" t="s">
        <v>9302</v>
      </c>
      <c r="K134" s="28" t="s">
        <v>9309</v>
      </c>
      <c r="L134" s="28" t="s">
        <v>6955</v>
      </c>
      <c r="N134" s="28" t="s">
        <v>18189</v>
      </c>
      <c r="O134" s="28" t="s">
        <v>6921</v>
      </c>
      <c r="P134" s="28" t="s">
        <v>18177</v>
      </c>
      <c r="Q134" s="28" t="s">
        <v>18178</v>
      </c>
      <c r="R134" s="28" t="s">
        <v>17752</v>
      </c>
      <c r="S134" s="28" t="s">
        <v>18190</v>
      </c>
      <c r="T134" s="28" t="s">
        <v>18191</v>
      </c>
      <c r="V134" s="27"/>
      <c r="W134" s="28" t="s">
        <v>9002</v>
      </c>
      <c r="X134" s="28" t="s">
        <v>193</v>
      </c>
      <c r="Y134" s="27" t="s">
        <v>9310</v>
      </c>
      <c r="AB134" s="28" t="s">
        <v>9311</v>
      </c>
      <c r="AH134" s="28" t="s">
        <v>4714</v>
      </c>
      <c r="AI134" s="28" t="s">
        <v>18188</v>
      </c>
      <c r="AJ134" s="516" t="str">
        <f>MID('II kw.22'!W134,8,6)</f>
        <v>252902</v>
      </c>
      <c r="AK134" s="516">
        <v>1</v>
      </c>
      <c r="AL134" s="516">
        <f t="shared" si="2"/>
        <v>1</v>
      </c>
      <c r="AM134" s="516">
        <v>1</v>
      </c>
      <c r="AN134" s="28" t="s">
        <v>17650</v>
      </c>
      <c r="AO134" s="28" t="s">
        <v>17651</v>
      </c>
      <c r="AP134" s="28" t="s">
        <v>17652</v>
      </c>
      <c r="AQ134" s="28" t="s">
        <v>17653</v>
      </c>
      <c r="AR134" s="28" t="s">
        <v>1024</v>
      </c>
    </row>
    <row r="135" spans="1:44" x14ac:dyDescent="0.25">
      <c r="A135" s="28" t="s">
        <v>16396</v>
      </c>
      <c r="B135" s="28" t="s">
        <v>8136</v>
      </c>
      <c r="C135" s="28" t="s">
        <v>8136</v>
      </c>
      <c r="D135" s="28" t="s">
        <v>18175</v>
      </c>
      <c r="E135" s="28" t="s">
        <v>192</v>
      </c>
      <c r="F135" s="28">
        <v>1</v>
      </c>
      <c r="G135" s="28" t="s">
        <v>193</v>
      </c>
      <c r="H135" s="28" t="s">
        <v>194</v>
      </c>
      <c r="I135" s="28" t="s">
        <v>17706</v>
      </c>
      <c r="J135" s="28" t="s">
        <v>253</v>
      </c>
      <c r="K135" s="28" t="s">
        <v>9309</v>
      </c>
      <c r="L135" s="28" t="s">
        <v>6955</v>
      </c>
      <c r="N135" s="28" t="s">
        <v>18192</v>
      </c>
      <c r="O135" s="28" t="s">
        <v>6258</v>
      </c>
      <c r="P135" s="28" t="s">
        <v>18177</v>
      </c>
      <c r="Q135" s="28" t="s">
        <v>18178</v>
      </c>
      <c r="R135" s="28" t="s">
        <v>17752</v>
      </c>
      <c r="S135" s="28" t="s">
        <v>18193</v>
      </c>
      <c r="T135" s="28" t="s">
        <v>18194</v>
      </c>
      <c r="V135" s="28" t="s">
        <v>9468</v>
      </c>
      <c r="W135" s="28" t="s">
        <v>8138</v>
      </c>
      <c r="X135" s="28" t="s">
        <v>194</v>
      </c>
      <c r="Y135" s="28" t="s">
        <v>9300</v>
      </c>
      <c r="AB135" s="28" t="s">
        <v>9311</v>
      </c>
      <c r="AH135" s="28" t="s">
        <v>4714</v>
      </c>
      <c r="AI135" s="28" t="s">
        <v>8136</v>
      </c>
      <c r="AJ135" s="516" t="str">
        <f>MID('II kw.22'!W135,8,6)</f>
        <v>821905</v>
      </c>
      <c r="AK135" s="516">
        <v>1</v>
      </c>
      <c r="AL135" s="516">
        <f t="shared" si="2"/>
        <v>1</v>
      </c>
      <c r="AM135" s="516">
        <v>1</v>
      </c>
      <c r="AN135" s="28" t="s">
        <v>17650</v>
      </c>
      <c r="AO135" s="28" t="s">
        <v>17651</v>
      </c>
      <c r="AP135" s="28" t="s">
        <v>17652</v>
      </c>
      <c r="AQ135" s="28" t="s">
        <v>17653</v>
      </c>
      <c r="AR135" s="28" t="s">
        <v>1024</v>
      </c>
    </row>
    <row r="136" spans="1:44" x14ac:dyDescent="0.25">
      <c r="A136" s="28" t="s">
        <v>18195</v>
      </c>
      <c r="B136" s="28" t="s">
        <v>18196</v>
      </c>
      <c r="C136" s="28" t="s">
        <v>118</v>
      </c>
      <c r="D136" s="28" t="s">
        <v>18175</v>
      </c>
      <c r="E136" s="28" t="s">
        <v>192</v>
      </c>
      <c r="F136" s="28">
        <v>1</v>
      </c>
      <c r="G136" s="28" t="s">
        <v>193</v>
      </c>
      <c r="H136" s="28" t="s">
        <v>194</v>
      </c>
      <c r="I136" s="28" t="s">
        <v>17672</v>
      </c>
      <c r="J136" s="28" t="s">
        <v>4786</v>
      </c>
      <c r="K136" s="28" t="s">
        <v>9309</v>
      </c>
      <c r="L136" s="28" t="s">
        <v>6955</v>
      </c>
      <c r="N136" s="28" t="s">
        <v>18197</v>
      </c>
      <c r="O136" s="28" t="s">
        <v>6295</v>
      </c>
      <c r="P136" s="28" t="s">
        <v>18177</v>
      </c>
      <c r="Q136" s="28" t="s">
        <v>18178</v>
      </c>
      <c r="R136" s="28" t="s">
        <v>17752</v>
      </c>
      <c r="S136" s="28" t="s">
        <v>18198</v>
      </c>
      <c r="T136" s="28" t="s">
        <v>18199</v>
      </c>
      <c r="V136" s="28" t="s">
        <v>9726</v>
      </c>
      <c r="W136" s="28" t="s">
        <v>277</v>
      </c>
      <c r="X136" s="28" t="s">
        <v>194</v>
      </c>
      <c r="Y136" s="28" t="s">
        <v>9300</v>
      </c>
      <c r="AB136" s="28" t="s">
        <v>9311</v>
      </c>
      <c r="AH136" s="28" t="s">
        <v>4714</v>
      </c>
      <c r="AI136" s="28" t="s">
        <v>18196</v>
      </c>
      <c r="AJ136" s="516" t="str">
        <f>MID('II kw.22'!W136,8,6)</f>
        <v>211302</v>
      </c>
      <c r="AK136" s="516">
        <v>1</v>
      </c>
      <c r="AL136" s="516">
        <f t="shared" si="2"/>
        <v>1</v>
      </c>
      <c r="AM136" s="516">
        <v>1</v>
      </c>
      <c r="AN136" s="28" t="s">
        <v>17650</v>
      </c>
      <c r="AO136" s="28" t="s">
        <v>17651</v>
      </c>
      <c r="AP136" s="28" t="s">
        <v>17652</v>
      </c>
      <c r="AQ136" s="28" t="s">
        <v>17653</v>
      </c>
      <c r="AR136" s="28" t="s">
        <v>1024</v>
      </c>
    </row>
    <row r="137" spans="1:44" x14ac:dyDescent="0.25">
      <c r="A137" s="28" t="s">
        <v>10533</v>
      </c>
      <c r="B137" s="28" t="s">
        <v>18200</v>
      </c>
      <c r="C137" s="28" t="s">
        <v>6156</v>
      </c>
      <c r="D137" s="28" t="s">
        <v>18175</v>
      </c>
      <c r="E137" s="28" t="s">
        <v>192</v>
      </c>
      <c r="F137" s="28">
        <v>1</v>
      </c>
      <c r="G137" s="28" t="s">
        <v>193</v>
      </c>
      <c r="H137" s="28" t="s">
        <v>194</v>
      </c>
      <c r="I137" s="28" t="s">
        <v>17656</v>
      </c>
      <c r="J137" s="28" t="s">
        <v>210</v>
      </c>
      <c r="K137" s="28" t="s">
        <v>9309</v>
      </c>
      <c r="L137" s="28" t="s">
        <v>6955</v>
      </c>
      <c r="N137" s="28" t="s">
        <v>18201</v>
      </c>
      <c r="O137" s="28" t="s">
        <v>7531</v>
      </c>
      <c r="P137" s="28" t="s">
        <v>18177</v>
      </c>
      <c r="Q137" s="28" t="s">
        <v>18178</v>
      </c>
      <c r="R137" s="28" t="s">
        <v>17752</v>
      </c>
      <c r="S137" s="28" t="s">
        <v>18202</v>
      </c>
      <c r="T137" s="28" t="s">
        <v>18203</v>
      </c>
      <c r="V137" s="28" t="s">
        <v>9334</v>
      </c>
      <c r="W137" s="28" t="s">
        <v>6158</v>
      </c>
      <c r="X137" s="28" t="s">
        <v>194</v>
      </c>
      <c r="Y137" s="28" t="s">
        <v>9300</v>
      </c>
      <c r="AB137" s="28" t="s">
        <v>9311</v>
      </c>
      <c r="AH137" s="28" t="s">
        <v>4714</v>
      </c>
      <c r="AI137" s="28" t="s">
        <v>18200</v>
      </c>
      <c r="AJ137" s="516" t="str">
        <f>MID('II kw.22'!W137,8,6)</f>
        <v>241204</v>
      </c>
      <c r="AK137" s="516">
        <v>1</v>
      </c>
      <c r="AL137" s="516">
        <f t="shared" si="2"/>
        <v>1</v>
      </c>
      <c r="AM137" s="516">
        <v>1</v>
      </c>
      <c r="AN137" s="28" t="s">
        <v>17650</v>
      </c>
      <c r="AO137" s="28" t="s">
        <v>17651</v>
      </c>
      <c r="AP137" s="28" t="s">
        <v>17652</v>
      </c>
      <c r="AQ137" s="28" t="s">
        <v>17653</v>
      </c>
      <c r="AR137" s="28" t="s">
        <v>1024</v>
      </c>
    </row>
    <row r="138" spans="1:44" x14ac:dyDescent="0.25">
      <c r="A138" s="28" t="s">
        <v>712</v>
      </c>
      <c r="B138" s="28" t="s">
        <v>537</v>
      </c>
      <c r="C138" s="28" t="s">
        <v>778</v>
      </c>
      <c r="D138" s="28" t="s">
        <v>18175</v>
      </c>
      <c r="E138" s="28" t="s">
        <v>233</v>
      </c>
      <c r="F138" s="28">
        <v>1</v>
      </c>
      <c r="G138" s="28" t="s">
        <v>193</v>
      </c>
      <c r="H138" s="28" t="s">
        <v>194</v>
      </c>
      <c r="I138" s="28" t="s">
        <v>17706</v>
      </c>
      <c r="J138" s="28" t="s">
        <v>316</v>
      </c>
      <c r="K138" s="28" t="s">
        <v>9309</v>
      </c>
      <c r="L138" s="28" t="s">
        <v>6955</v>
      </c>
      <c r="N138" s="28" t="s">
        <v>18204</v>
      </c>
      <c r="O138" s="28" t="s">
        <v>6249</v>
      </c>
      <c r="P138" s="28" t="s">
        <v>18205</v>
      </c>
      <c r="Q138" s="28" t="s">
        <v>18206</v>
      </c>
      <c r="R138" s="28" t="s">
        <v>18207</v>
      </c>
      <c r="S138" s="28" t="s">
        <v>18208</v>
      </c>
      <c r="T138" s="28" t="s">
        <v>18209</v>
      </c>
      <c r="V138" s="28" t="s">
        <v>10012</v>
      </c>
      <c r="W138" s="28" t="s">
        <v>779</v>
      </c>
      <c r="X138" s="28" t="s">
        <v>194</v>
      </c>
      <c r="Y138" s="28" t="s">
        <v>9300</v>
      </c>
      <c r="AB138" s="28" t="s">
        <v>9311</v>
      </c>
      <c r="AH138" s="28" t="s">
        <v>4714</v>
      </c>
      <c r="AI138" s="28" t="s">
        <v>778</v>
      </c>
      <c r="AJ138" s="516" t="str">
        <f>MID('II kw.22'!W138,8,6)</f>
        <v>524902</v>
      </c>
      <c r="AK138" s="516">
        <v>1</v>
      </c>
      <c r="AL138" s="516">
        <f t="shared" si="2"/>
        <v>1</v>
      </c>
      <c r="AM138" s="516">
        <v>1</v>
      </c>
      <c r="AN138" s="28" t="s">
        <v>17650</v>
      </c>
      <c r="AO138" s="28" t="s">
        <v>17651</v>
      </c>
      <c r="AP138" s="28" t="s">
        <v>17652</v>
      </c>
      <c r="AQ138" s="28" t="s">
        <v>17653</v>
      </c>
      <c r="AR138" s="28" t="s">
        <v>1024</v>
      </c>
    </row>
    <row r="139" spans="1:44" x14ac:dyDescent="0.25">
      <c r="A139" s="28" t="s">
        <v>690</v>
      </c>
      <c r="B139" s="28" t="s">
        <v>18210</v>
      </c>
      <c r="C139" s="28" t="s">
        <v>17733</v>
      </c>
      <c r="D139" s="28" t="s">
        <v>18175</v>
      </c>
      <c r="E139" s="28" t="s">
        <v>233</v>
      </c>
      <c r="F139" s="28">
        <v>1</v>
      </c>
      <c r="G139" s="28" t="s">
        <v>193</v>
      </c>
      <c r="H139" s="28" t="s">
        <v>194</v>
      </c>
      <c r="I139" s="28" t="s">
        <v>17656</v>
      </c>
      <c r="J139" s="28" t="s">
        <v>9302</v>
      </c>
      <c r="K139" s="28" t="s">
        <v>9309</v>
      </c>
      <c r="L139" s="28" t="s">
        <v>6955</v>
      </c>
      <c r="N139" s="28" t="s">
        <v>18211</v>
      </c>
      <c r="O139" s="28" t="s">
        <v>6921</v>
      </c>
      <c r="P139" s="28" t="s">
        <v>18212</v>
      </c>
      <c r="Q139" s="28" t="s">
        <v>17818</v>
      </c>
      <c r="R139" s="28" t="s">
        <v>17774</v>
      </c>
      <c r="S139" s="28" t="s">
        <v>18213</v>
      </c>
      <c r="T139" s="28" t="s">
        <v>18214</v>
      </c>
      <c r="V139" s="27"/>
      <c r="W139" s="28" t="s">
        <v>17737</v>
      </c>
      <c r="X139" s="28" t="s">
        <v>193</v>
      </c>
      <c r="Y139" s="27" t="s">
        <v>9310</v>
      </c>
      <c r="AB139" s="28" t="s">
        <v>9311</v>
      </c>
      <c r="AH139" s="28" t="s">
        <v>4714</v>
      </c>
      <c r="AI139" s="138" t="s">
        <v>18210</v>
      </c>
      <c r="AJ139" s="516" t="str">
        <f>MID('II kw.22'!W139,8,6)</f>
        <v>133090</v>
      </c>
      <c r="AK139" s="516">
        <v>1</v>
      </c>
      <c r="AL139" s="516">
        <f t="shared" si="2"/>
        <v>1</v>
      </c>
      <c r="AM139" s="516">
        <v>1</v>
      </c>
      <c r="AN139" s="28" t="s">
        <v>17650</v>
      </c>
      <c r="AO139" s="28" t="s">
        <v>17651</v>
      </c>
      <c r="AP139" s="28" t="s">
        <v>17652</v>
      </c>
      <c r="AQ139" s="28" t="s">
        <v>17653</v>
      </c>
      <c r="AR139" s="28" t="s">
        <v>1024</v>
      </c>
    </row>
    <row r="140" spans="1:44" x14ac:dyDescent="0.25">
      <c r="A140" s="28" t="s">
        <v>690</v>
      </c>
      <c r="B140" s="28" t="s">
        <v>17746</v>
      </c>
      <c r="C140" s="28" t="s">
        <v>5906</v>
      </c>
      <c r="D140" s="28" t="s">
        <v>18175</v>
      </c>
      <c r="E140" s="28" t="s">
        <v>233</v>
      </c>
      <c r="F140" s="28">
        <v>1</v>
      </c>
      <c r="G140" s="28" t="s">
        <v>193</v>
      </c>
      <c r="H140" s="28" t="s">
        <v>194</v>
      </c>
      <c r="I140" s="28" t="s">
        <v>17656</v>
      </c>
      <c r="J140" s="28" t="s">
        <v>9302</v>
      </c>
      <c r="K140" s="28" t="s">
        <v>9309</v>
      </c>
      <c r="L140" s="28" t="s">
        <v>6955</v>
      </c>
      <c r="N140" s="28" t="s">
        <v>18215</v>
      </c>
      <c r="O140" s="28" t="s">
        <v>6261</v>
      </c>
      <c r="P140" s="28" t="s">
        <v>18212</v>
      </c>
      <c r="Q140" s="28" t="s">
        <v>17818</v>
      </c>
      <c r="R140" s="28" t="s">
        <v>17774</v>
      </c>
      <c r="S140" s="28" t="s">
        <v>18216</v>
      </c>
      <c r="T140" s="28" t="s">
        <v>18217</v>
      </c>
      <c r="V140" s="27"/>
      <c r="W140" s="28" t="s">
        <v>5908</v>
      </c>
      <c r="X140" s="28" t="s">
        <v>193</v>
      </c>
      <c r="Y140" s="27" t="s">
        <v>9310</v>
      </c>
      <c r="AB140" s="28" t="s">
        <v>9311</v>
      </c>
      <c r="AH140" s="28" t="s">
        <v>4714</v>
      </c>
      <c r="AI140" s="138" t="s">
        <v>17746</v>
      </c>
      <c r="AJ140" s="516" t="str">
        <f>MID('II kw.22'!W140,8,6)</f>
        <v>133005</v>
      </c>
      <c r="AK140" s="516">
        <v>1</v>
      </c>
      <c r="AL140" s="516">
        <f t="shared" si="2"/>
        <v>1</v>
      </c>
      <c r="AM140" s="516">
        <v>1</v>
      </c>
      <c r="AN140" s="28" t="s">
        <v>17650</v>
      </c>
      <c r="AO140" s="28" t="s">
        <v>17651</v>
      </c>
      <c r="AP140" s="28" t="s">
        <v>17652</v>
      </c>
      <c r="AQ140" s="28" t="s">
        <v>17653</v>
      </c>
      <c r="AR140" s="28" t="s">
        <v>1024</v>
      </c>
    </row>
    <row r="141" spans="1:44" x14ac:dyDescent="0.25">
      <c r="A141" s="28" t="s">
        <v>15919</v>
      </c>
      <c r="B141" s="28" t="s">
        <v>18218</v>
      </c>
      <c r="C141" s="28" t="s">
        <v>18219</v>
      </c>
      <c r="D141" s="28" t="s">
        <v>18175</v>
      </c>
      <c r="E141" s="28" t="s">
        <v>233</v>
      </c>
      <c r="F141" s="28">
        <v>1</v>
      </c>
      <c r="G141" s="28" t="s">
        <v>193</v>
      </c>
      <c r="H141" s="28" t="s">
        <v>194</v>
      </c>
      <c r="I141" s="28" t="s">
        <v>17656</v>
      </c>
      <c r="J141" s="28" t="s">
        <v>9302</v>
      </c>
      <c r="K141" s="28" t="s">
        <v>9309</v>
      </c>
      <c r="L141" s="28" t="s">
        <v>6955</v>
      </c>
      <c r="N141" s="28" t="s">
        <v>18220</v>
      </c>
      <c r="O141" s="28" t="s">
        <v>6249</v>
      </c>
      <c r="P141" s="28" t="s">
        <v>18212</v>
      </c>
      <c r="Q141" s="28" t="s">
        <v>17818</v>
      </c>
      <c r="R141" s="28" t="s">
        <v>18221</v>
      </c>
      <c r="S141" s="28" t="s">
        <v>18222</v>
      </c>
      <c r="T141" s="28" t="s">
        <v>18223</v>
      </c>
      <c r="V141" s="27"/>
      <c r="W141" s="28" t="s">
        <v>18224</v>
      </c>
      <c r="X141" s="28" t="s">
        <v>193</v>
      </c>
      <c r="Y141" s="27" t="s">
        <v>9310</v>
      </c>
      <c r="AB141" s="28" t="s">
        <v>9311</v>
      </c>
      <c r="AH141" s="28" t="s">
        <v>4714</v>
      </c>
      <c r="AI141" s="28" t="s">
        <v>18218</v>
      </c>
      <c r="AJ141" s="516" t="str">
        <f>MID('II kw.22'!W141,8,6)</f>
        <v>422102</v>
      </c>
      <c r="AK141" s="516">
        <v>1</v>
      </c>
      <c r="AL141" s="516">
        <f t="shared" si="2"/>
        <v>1</v>
      </c>
      <c r="AM141" s="516">
        <v>1</v>
      </c>
      <c r="AN141" s="28" t="s">
        <v>17650</v>
      </c>
      <c r="AO141" s="28" t="s">
        <v>17651</v>
      </c>
      <c r="AP141" s="28" t="s">
        <v>17652</v>
      </c>
      <c r="AQ141" s="28" t="s">
        <v>17653</v>
      </c>
      <c r="AR141" s="28" t="s">
        <v>1024</v>
      </c>
    </row>
    <row r="142" spans="1:44" x14ac:dyDescent="0.25">
      <c r="A142" s="511" t="s">
        <v>15733</v>
      </c>
      <c r="B142" s="28" t="s">
        <v>18225</v>
      </c>
      <c r="C142" s="28" t="s">
        <v>10</v>
      </c>
      <c r="D142" s="28" t="s">
        <v>18175</v>
      </c>
      <c r="E142" s="28" t="s">
        <v>233</v>
      </c>
      <c r="F142" s="511">
        <v>1</v>
      </c>
      <c r="G142" s="241" t="s">
        <v>193</v>
      </c>
      <c r="H142" s="241" t="s">
        <v>194</v>
      </c>
      <c r="I142" s="28" t="s">
        <v>17672</v>
      </c>
      <c r="J142" s="28" t="s">
        <v>9302</v>
      </c>
      <c r="K142" s="28" t="s">
        <v>9309</v>
      </c>
      <c r="L142" s="28" t="s">
        <v>6955</v>
      </c>
      <c r="N142" s="28" t="s">
        <v>18226</v>
      </c>
      <c r="O142" s="28" t="s">
        <v>6261</v>
      </c>
      <c r="P142" s="28" t="s">
        <v>18212</v>
      </c>
      <c r="Q142" s="28" t="s">
        <v>17818</v>
      </c>
      <c r="R142" s="28" t="s">
        <v>18221</v>
      </c>
      <c r="S142" s="28" t="s">
        <v>18227</v>
      </c>
      <c r="T142" s="28" t="s">
        <v>18228</v>
      </c>
      <c r="V142" s="27"/>
      <c r="W142" s="28" t="s">
        <v>484</v>
      </c>
      <c r="X142" s="28" t="s">
        <v>194</v>
      </c>
      <c r="Y142" s="512">
        <v>25</v>
      </c>
      <c r="AB142" s="28" t="s">
        <v>9311</v>
      </c>
      <c r="AH142" s="28" t="s">
        <v>4714</v>
      </c>
      <c r="AI142" s="28" t="s">
        <v>18225</v>
      </c>
      <c r="AJ142" s="516" t="str">
        <f>MID('II kw.22'!W142,8,6)</f>
        <v>251401</v>
      </c>
      <c r="AK142" s="516">
        <v>1</v>
      </c>
      <c r="AL142" s="516">
        <f t="shared" si="2"/>
        <v>1</v>
      </c>
      <c r="AM142" s="516">
        <v>1</v>
      </c>
      <c r="AN142" s="28" t="s">
        <v>17650</v>
      </c>
      <c r="AO142" s="28" t="s">
        <v>17651</v>
      </c>
      <c r="AP142" s="28" t="s">
        <v>17652</v>
      </c>
      <c r="AQ142" s="28" t="s">
        <v>17653</v>
      </c>
      <c r="AR142" s="28" t="s">
        <v>1024</v>
      </c>
    </row>
    <row r="143" spans="1:44" x14ac:dyDescent="0.25">
      <c r="A143" s="28" t="s">
        <v>18229</v>
      </c>
      <c r="B143" s="28" t="s">
        <v>8</v>
      </c>
      <c r="C143" s="28" t="s">
        <v>740</v>
      </c>
      <c r="D143" s="28" t="s">
        <v>18175</v>
      </c>
      <c r="E143" s="28" t="s">
        <v>233</v>
      </c>
      <c r="F143" s="28">
        <v>1</v>
      </c>
      <c r="G143" s="28" t="s">
        <v>193</v>
      </c>
      <c r="H143" s="28" t="s">
        <v>194</v>
      </c>
      <c r="I143" s="28" t="s">
        <v>17706</v>
      </c>
      <c r="J143" s="28" t="s">
        <v>18230</v>
      </c>
      <c r="K143" s="28" t="s">
        <v>9309</v>
      </c>
      <c r="L143" s="28" t="s">
        <v>6955</v>
      </c>
      <c r="N143" s="28" t="s">
        <v>18231</v>
      </c>
      <c r="O143" s="28" t="s">
        <v>6275</v>
      </c>
      <c r="P143" s="28" t="s">
        <v>18212</v>
      </c>
      <c r="Q143" s="28" t="s">
        <v>17818</v>
      </c>
      <c r="R143" s="28" t="s">
        <v>18221</v>
      </c>
      <c r="S143" s="28" t="s">
        <v>18232</v>
      </c>
      <c r="T143" s="28" t="s">
        <v>18233</v>
      </c>
      <c r="V143" s="28" t="s">
        <v>9440</v>
      </c>
      <c r="W143" s="28" t="s">
        <v>741</v>
      </c>
      <c r="X143" s="28" t="s">
        <v>194</v>
      </c>
      <c r="Y143" s="28" t="s">
        <v>9300</v>
      </c>
      <c r="AB143" s="28" t="s">
        <v>9311</v>
      </c>
      <c r="AH143" s="28" t="s">
        <v>4714</v>
      </c>
      <c r="AI143" s="28" t="s">
        <v>8</v>
      </c>
      <c r="AJ143" s="516" t="str">
        <f>MID('II kw.22'!W143,8,6)</f>
        <v>522301</v>
      </c>
      <c r="AK143" s="516">
        <v>1</v>
      </c>
      <c r="AL143" s="516">
        <f t="shared" si="2"/>
        <v>1</v>
      </c>
      <c r="AM143" s="516">
        <v>1</v>
      </c>
      <c r="AN143" s="28" t="s">
        <v>17650</v>
      </c>
      <c r="AO143" s="28" t="s">
        <v>17651</v>
      </c>
      <c r="AP143" s="28" t="s">
        <v>17652</v>
      </c>
      <c r="AQ143" s="28" t="s">
        <v>17653</v>
      </c>
      <c r="AR143" s="28" t="s">
        <v>1024</v>
      </c>
    </row>
    <row r="144" spans="1:44" x14ac:dyDescent="0.25">
      <c r="A144" s="28" t="s">
        <v>11035</v>
      </c>
      <c r="B144" s="28" t="s">
        <v>18234</v>
      </c>
      <c r="C144" s="28" t="s">
        <v>5445</v>
      </c>
      <c r="D144" s="28" t="s">
        <v>18175</v>
      </c>
      <c r="E144" s="28" t="s">
        <v>233</v>
      </c>
      <c r="F144" s="511">
        <v>1</v>
      </c>
      <c r="G144" s="227" t="s">
        <v>194</v>
      </c>
      <c r="H144" s="227" t="s">
        <v>193</v>
      </c>
      <c r="I144" s="28" t="s">
        <v>18207</v>
      </c>
      <c r="J144" s="28" t="s">
        <v>9302</v>
      </c>
      <c r="K144" s="28" t="s">
        <v>9309</v>
      </c>
      <c r="L144" s="28" t="s">
        <v>6955</v>
      </c>
      <c r="N144" s="28" t="s">
        <v>18235</v>
      </c>
      <c r="O144" s="28" t="s">
        <v>6256</v>
      </c>
      <c r="P144" s="28" t="s">
        <v>18212</v>
      </c>
      <c r="Q144" s="28" t="s">
        <v>17818</v>
      </c>
      <c r="R144" s="28" t="s">
        <v>18221</v>
      </c>
      <c r="S144" s="28" t="s">
        <v>18236</v>
      </c>
      <c r="T144" s="28" t="s">
        <v>18237</v>
      </c>
      <c r="V144" s="227"/>
      <c r="W144" s="28" t="s">
        <v>1571</v>
      </c>
      <c r="X144" s="28" t="s">
        <v>193</v>
      </c>
      <c r="Y144" s="509" t="s">
        <v>9946</v>
      </c>
      <c r="AB144" s="28" t="s">
        <v>9311</v>
      </c>
      <c r="AH144" s="28" t="s">
        <v>4714</v>
      </c>
      <c r="AI144" s="28" t="s">
        <v>18234</v>
      </c>
      <c r="AJ144" s="516" t="str">
        <f>MID('II kw.22'!W144,8,6)</f>
        <v>214303</v>
      </c>
      <c r="AK144" s="516">
        <v>1</v>
      </c>
      <c r="AL144" s="516">
        <f t="shared" si="2"/>
        <v>1</v>
      </c>
      <c r="AM144" s="516">
        <v>1</v>
      </c>
      <c r="AN144" s="28" t="s">
        <v>17650</v>
      </c>
      <c r="AO144" s="28" t="s">
        <v>17651</v>
      </c>
      <c r="AP144" s="28" t="s">
        <v>17652</v>
      </c>
      <c r="AQ144" s="28" t="s">
        <v>17653</v>
      </c>
      <c r="AR144" s="28" t="s">
        <v>1024</v>
      </c>
    </row>
    <row r="145" spans="1:44" x14ac:dyDescent="0.25">
      <c r="A145" s="28" t="s">
        <v>16775</v>
      </c>
      <c r="B145" s="28" t="s">
        <v>18238</v>
      </c>
      <c r="C145" s="28" t="s">
        <v>21</v>
      </c>
      <c r="D145" s="28" t="s">
        <v>18175</v>
      </c>
      <c r="E145" s="28" t="s">
        <v>233</v>
      </c>
      <c r="F145" s="28">
        <v>1</v>
      </c>
      <c r="G145" s="28" t="s">
        <v>193</v>
      </c>
      <c r="H145" s="28" t="s">
        <v>194</v>
      </c>
      <c r="I145" s="28" t="s">
        <v>17656</v>
      </c>
      <c r="J145" s="28" t="s">
        <v>9302</v>
      </c>
      <c r="K145" s="28" t="s">
        <v>9309</v>
      </c>
      <c r="L145" s="28" t="s">
        <v>6955</v>
      </c>
      <c r="N145" s="28" t="s">
        <v>18239</v>
      </c>
      <c r="O145" s="28" t="s">
        <v>6256</v>
      </c>
      <c r="P145" s="28" t="s">
        <v>18212</v>
      </c>
      <c r="Q145" s="28" t="s">
        <v>17818</v>
      </c>
      <c r="R145" s="28" t="s">
        <v>18221</v>
      </c>
      <c r="S145" s="28" t="s">
        <v>18240</v>
      </c>
      <c r="T145" s="28" t="s">
        <v>18241</v>
      </c>
      <c r="V145" s="27"/>
      <c r="W145" s="28" t="s">
        <v>293</v>
      </c>
      <c r="X145" s="28" t="s">
        <v>193</v>
      </c>
      <c r="Y145" s="27" t="s">
        <v>9310</v>
      </c>
      <c r="AB145" s="28" t="s">
        <v>9311</v>
      </c>
      <c r="AH145" s="28" t="s">
        <v>4714</v>
      </c>
      <c r="AI145" s="28" t="s">
        <v>18238</v>
      </c>
      <c r="AJ145" s="516" t="str">
        <f>MID('II kw.22'!W145,8,6)</f>
        <v>214202</v>
      </c>
      <c r="AK145" s="516">
        <v>1</v>
      </c>
      <c r="AL145" s="516">
        <f t="shared" si="2"/>
        <v>1</v>
      </c>
      <c r="AM145" s="516">
        <v>1</v>
      </c>
      <c r="AN145" s="28" t="s">
        <v>17650</v>
      </c>
      <c r="AO145" s="28" t="s">
        <v>17651</v>
      </c>
      <c r="AP145" s="28" t="s">
        <v>17652</v>
      </c>
      <c r="AQ145" s="28" t="s">
        <v>17653</v>
      </c>
      <c r="AR145" s="28" t="s">
        <v>1024</v>
      </c>
    </row>
    <row r="146" spans="1:44" x14ac:dyDescent="0.25">
      <c r="A146" s="28" t="s">
        <v>16775</v>
      </c>
      <c r="B146" s="28" t="s">
        <v>18242</v>
      </c>
      <c r="C146" s="28" t="s">
        <v>296</v>
      </c>
      <c r="D146" s="28" t="s">
        <v>18175</v>
      </c>
      <c r="E146" s="28" t="s">
        <v>233</v>
      </c>
      <c r="F146" s="28">
        <v>1</v>
      </c>
      <c r="G146" s="28" t="s">
        <v>193</v>
      </c>
      <c r="H146" s="28" t="s">
        <v>194</v>
      </c>
      <c r="I146" s="28" t="s">
        <v>17656</v>
      </c>
      <c r="J146" s="28" t="s">
        <v>9302</v>
      </c>
      <c r="K146" s="28" t="s">
        <v>9309</v>
      </c>
      <c r="L146" s="28" t="s">
        <v>6955</v>
      </c>
      <c r="N146" s="28" t="s">
        <v>18243</v>
      </c>
      <c r="O146" s="28" t="s">
        <v>6256</v>
      </c>
      <c r="P146" s="28" t="s">
        <v>18212</v>
      </c>
      <c r="Q146" s="28" t="s">
        <v>17818</v>
      </c>
      <c r="R146" s="28" t="s">
        <v>18221</v>
      </c>
      <c r="S146" s="28" t="s">
        <v>18244</v>
      </c>
      <c r="T146" s="28" t="s">
        <v>18245</v>
      </c>
      <c r="V146" s="27"/>
      <c r="W146" s="28" t="s">
        <v>297</v>
      </c>
      <c r="X146" s="28" t="s">
        <v>193</v>
      </c>
      <c r="Y146" s="27" t="s">
        <v>9310</v>
      </c>
      <c r="AB146" s="28" t="s">
        <v>9311</v>
      </c>
      <c r="AH146" s="28" t="s">
        <v>4714</v>
      </c>
      <c r="AI146" s="28" t="s">
        <v>18242</v>
      </c>
      <c r="AJ146" s="516" t="str">
        <f>MID('II kw.22'!W146,8,6)</f>
        <v>214204</v>
      </c>
      <c r="AK146" s="516">
        <v>1</v>
      </c>
      <c r="AL146" s="516">
        <f t="shared" si="2"/>
        <v>1</v>
      </c>
      <c r="AM146" s="516">
        <v>1</v>
      </c>
      <c r="AN146" s="28" t="s">
        <v>17650</v>
      </c>
      <c r="AO146" s="28" t="s">
        <v>17651</v>
      </c>
      <c r="AP146" s="28" t="s">
        <v>17652</v>
      </c>
      <c r="AQ146" s="28" t="s">
        <v>17653</v>
      </c>
      <c r="AR146" s="28" t="s">
        <v>1024</v>
      </c>
    </row>
    <row r="147" spans="1:44" x14ac:dyDescent="0.25">
      <c r="A147" s="28" t="s">
        <v>16775</v>
      </c>
      <c r="B147" s="28" t="s">
        <v>18246</v>
      </c>
      <c r="C147" s="28" t="s">
        <v>296</v>
      </c>
      <c r="D147" s="28" t="s">
        <v>18175</v>
      </c>
      <c r="E147" s="28" t="s">
        <v>233</v>
      </c>
      <c r="F147" s="28">
        <v>1</v>
      </c>
      <c r="G147" s="28" t="s">
        <v>193</v>
      </c>
      <c r="H147" s="28" t="s">
        <v>194</v>
      </c>
      <c r="I147" s="28" t="s">
        <v>17784</v>
      </c>
      <c r="J147" s="28" t="s">
        <v>9302</v>
      </c>
      <c r="K147" s="28" t="s">
        <v>9309</v>
      </c>
      <c r="L147" s="28" t="s">
        <v>6955</v>
      </c>
      <c r="N147" s="28" t="s">
        <v>18247</v>
      </c>
      <c r="O147" s="28" t="s">
        <v>6256</v>
      </c>
      <c r="P147" s="28" t="s">
        <v>18212</v>
      </c>
      <c r="Q147" s="28" t="s">
        <v>17818</v>
      </c>
      <c r="R147" s="28" t="s">
        <v>18221</v>
      </c>
      <c r="S147" s="28" t="s">
        <v>18248</v>
      </c>
      <c r="T147" s="28" t="s">
        <v>18249</v>
      </c>
      <c r="V147" s="27"/>
      <c r="W147" s="28" t="s">
        <v>297</v>
      </c>
      <c r="X147" s="28" t="s">
        <v>193</v>
      </c>
      <c r="Y147" s="27" t="s">
        <v>9310</v>
      </c>
      <c r="AB147" s="28" t="s">
        <v>9311</v>
      </c>
      <c r="AH147" s="28" t="s">
        <v>4714</v>
      </c>
      <c r="AI147" s="28" t="s">
        <v>18246</v>
      </c>
      <c r="AJ147" s="516" t="str">
        <f>MID('II kw.22'!W147,8,6)</f>
        <v>214204</v>
      </c>
      <c r="AK147" s="516">
        <v>1</v>
      </c>
      <c r="AL147" s="516">
        <f t="shared" si="2"/>
        <v>1</v>
      </c>
      <c r="AM147" s="516">
        <v>1</v>
      </c>
      <c r="AN147" s="28" t="s">
        <v>17650</v>
      </c>
      <c r="AO147" s="28" t="s">
        <v>17651</v>
      </c>
      <c r="AP147" s="28" t="s">
        <v>17652</v>
      </c>
      <c r="AQ147" s="28" t="s">
        <v>17653</v>
      </c>
      <c r="AR147" s="28" t="s">
        <v>1024</v>
      </c>
    </row>
    <row r="148" spans="1:44" x14ac:dyDescent="0.25">
      <c r="A148" s="28" t="s">
        <v>16775</v>
      </c>
      <c r="B148" s="28" t="s">
        <v>18250</v>
      </c>
      <c r="C148" s="28" t="s">
        <v>296</v>
      </c>
      <c r="D148" s="28" t="s">
        <v>18175</v>
      </c>
      <c r="E148" s="28" t="s">
        <v>233</v>
      </c>
      <c r="F148" s="28">
        <v>1</v>
      </c>
      <c r="G148" s="28" t="s">
        <v>193</v>
      </c>
      <c r="H148" s="28" t="s">
        <v>194</v>
      </c>
      <c r="I148" s="28" t="s">
        <v>17784</v>
      </c>
      <c r="J148" s="28" t="s">
        <v>9302</v>
      </c>
      <c r="K148" s="28" t="s">
        <v>9309</v>
      </c>
      <c r="L148" s="28" t="s">
        <v>6955</v>
      </c>
      <c r="N148" s="28" t="s">
        <v>18251</v>
      </c>
      <c r="O148" s="28" t="s">
        <v>6256</v>
      </c>
      <c r="P148" s="28" t="s">
        <v>18212</v>
      </c>
      <c r="Q148" s="28" t="s">
        <v>17818</v>
      </c>
      <c r="R148" s="28" t="s">
        <v>18221</v>
      </c>
      <c r="S148" s="28" t="s">
        <v>18252</v>
      </c>
      <c r="T148" s="28" t="s">
        <v>18253</v>
      </c>
      <c r="V148" s="27"/>
      <c r="W148" s="28" t="s">
        <v>297</v>
      </c>
      <c r="X148" s="28" t="s">
        <v>193</v>
      </c>
      <c r="Y148" s="27" t="s">
        <v>9310</v>
      </c>
      <c r="AB148" s="28" t="s">
        <v>9311</v>
      </c>
      <c r="AH148" s="28" t="s">
        <v>4714</v>
      </c>
      <c r="AI148" s="28" t="s">
        <v>18250</v>
      </c>
      <c r="AJ148" s="516" t="str">
        <f>MID('II kw.22'!W148,8,6)</f>
        <v>214204</v>
      </c>
      <c r="AK148" s="516">
        <v>1</v>
      </c>
      <c r="AL148" s="516">
        <f t="shared" si="2"/>
        <v>1</v>
      </c>
      <c r="AM148" s="516">
        <v>1</v>
      </c>
      <c r="AN148" s="28" t="s">
        <v>17650</v>
      </c>
      <c r="AO148" s="28" t="s">
        <v>17651</v>
      </c>
      <c r="AP148" s="28" t="s">
        <v>17652</v>
      </c>
      <c r="AQ148" s="28" t="s">
        <v>17653</v>
      </c>
      <c r="AR148" s="28" t="s">
        <v>1024</v>
      </c>
    </row>
    <row r="149" spans="1:44" x14ac:dyDescent="0.25">
      <c r="A149" s="28" t="s">
        <v>1020</v>
      </c>
      <c r="B149" s="28" t="s">
        <v>18254</v>
      </c>
      <c r="C149" s="28" t="s">
        <v>18255</v>
      </c>
      <c r="D149" s="28" t="s">
        <v>18175</v>
      </c>
      <c r="E149" s="28" t="s">
        <v>233</v>
      </c>
      <c r="F149" s="28">
        <v>1</v>
      </c>
      <c r="G149" s="28" t="s">
        <v>193</v>
      </c>
      <c r="H149" s="28" t="s">
        <v>194</v>
      </c>
      <c r="I149" s="28" t="s">
        <v>17656</v>
      </c>
      <c r="J149" s="28" t="s">
        <v>9302</v>
      </c>
      <c r="K149" s="28" t="s">
        <v>9309</v>
      </c>
      <c r="L149" s="28" t="s">
        <v>6955</v>
      </c>
      <c r="N149" s="28" t="s">
        <v>18256</v>
      </c>
      <c r="O149" s="28" t="s">
        <v>6256</v>
      </c>
      <c r="P149" s="28" t="s">
        <v>18212</v>
      </c>
      <c r="Q149" s="28" t="s">
        <v>17818</v>
      </c>
      <c r="R149" s="28" t="s">
        <v>18221</v>
      </c>
      <c r="S149" s="28" t="s">
        <v>18257</v>
      </c>
      <c r="T149" s="28" t="s">
        <v>18258</v>
      </c>
      <c r="V149" s="27"/>
      <c r="W149" s="28" t="s">
        <v>18259</v>
      </c>
      <c r="X149" s="28" t="s">
        <v>193</v>
      </c>
      <c r="Y149" s="27" t="s">
        <v>9310</v>
      </c>
      <c r="AB149" s="28" t="s">
        <v>9311</v>
      </c>
      <c r="AH149" s="28" t="s">
        <v>4714</v>
      </c>
      <c r="AI149" s="28" t="s">
        <v>18254</v>
      </c>
      <c r="AJ149" s="516" t="str">
        <f>MID('II kw.22'!W149,8,6)</f>
        <v>311923</v>
      </c>
      <c r="AK149" s="516">
        <v>1</v>
      </c>
      <c r="AL149" s="516">
        <f t="shared" si="2"/>
        <v>1</v>
      </c>
      <c r="AM149" s="516">
        <v>1</v>
      </c>
      <c r="AN149" s="28" t="s">
        <v>17650</v>
      </c>
      <c r="AO149" s="28" t="s">
        <v>17651</v>
      </c>
      <c r="AP149" s="28" t="s">
        <v>17652</v>
      </c>
      <c r="AQ149" s="28" t="s">
        <v>17653</v>
      </c>
      <c r="AR149" s="28" t="s">
        <v>1024</v>
      </c>
    </row>
    <row r="150" spans="1:44" x14ac:dyDescent="0.25">
      <c r="A150" s="28" t="s">
        <v>5180</v>
      </c>
      <c r="B150" s="28" t="s">
        <v>18260</v>
      </c>
      <c r="C150" s="28" t="s">
        <v>27</v>
      </c>
      <c r="D150" s="28" t="s">
        <v>18175</v>
      </c>
      <c r="E150" s="28" t="s">
        <v>233</v>
      </c>
      <c r="F150" s="28">
        <v>1</v>
      </c>
      <c r="G150" s="28" t="s">
        <v>193</v>
      </c>
      <c r="H150" s="28" t="s">
        <v>194</v>
      </c>
      <c r="I150" s="28" t="s">
        <v>17706</v>
      </c>
      <c r="J150" s="28" t="s">
        <v>9302</v>
      </c>
      <c r="K150" s="28" t="s">
        <v>9309</v>
      </c>
      <c r="L150" s="28" t="s">
        <v>6955</v>
      </c>
      <c r="N150" s="28" t="s">
        <v>18261</v>
      </c>
      <c r="O150" s="28" t="s">
        <v>6340</v>
      </c>
      <c r="P150" s="28" t="s">
        <v>18212</v>
      </c>
      <c r="Q150" s="28" t="s">
        <v>17818</v>
      </c>
      <c r="R150" s="28" t="s">
        <v>18221</v>
      </c>
      <c r="S150" s="28" t="s">
        <v>18262</v>
      </c>
      <c r="T150" s="28" t="s">
        <v>18263</v>
      </c>
      <c r="V150" s="27"/>
      <c r="W150" s="28" t="s">
        <v>440</v>
      </c>
      <c r="X150" s="28" t="s">
        <v>193</v>
      </c>
      <c r="Y150" s="27" t="s">
        <v>9310</v>
      </c>
      <c r="AB150" s="28" t="s">
        <v>9311</v>
      </c>
      <c r="AH150" s="28" t="s">
        <v>4714</v>
      </c>
      <c r="AI150" s="28" t="s">
        <v>18260</v>
      </c>
      <c r="AJ150" s="516" t="str">
        <f>MID('II kw.22'!W150,8,6)</f>
        <v>242307</v>
      </c>
      <c r="AK150" s="516">
        <v>1</v>
      </c>
      <c r="AL150" s="516">
        <f t="shared" si="2"/>
        <v>1</v>
      </c>
      <c r="AM150" s="516">
        <v>1</v>
      </c>
      <c r="AN150" s="28" t="s">
        <v>17650</v>
      </c>
      <c r="AO150" s="28" t="s">
        <v>17651</v>
      </c>
      <c r="AP150" s="28" t="s">
        <v>17652</v>
      </c>
      <c r="AQ150" s="28" t="s">
        <v>17653</v>
      </c>
      <c r="AR150" s="28" t="s">
        <v>1024</v>
      </c>
    </row>
    <row r="151" spans="1:44" x14ac:dyDescent="0.25">
      <c r="A151" s="28" t="s">
        <v>5372</v>
      </c>
      <c r="B151" s="28" t="s">
        <v>18264</v>
      </c>
      <c r="C151" s="28" t="s">
        <v>12</v>
      </c>
      <c r="D151" s="28" t="s">
        <v>18175</v>
      </c>
      <c r="E151" s="28" t="s">
        <v>233</v>
      </c>
      <c r="F151" s="28">
        <v>1</v>
      </c>
      <c r="G151" s="28" t="s">
        <v>193</v>
      </c>
      <c r="H151" s="28" t="s">
        <v>194</v>
      </c>
      <c r="I151" s="28" t="s">
        <v>17706</v>
      </c>
      <c r="J151" s="28" t="s">
        <v>9302</v>
      </c>
      <c r="K151" s="28" t="s">
        <v>9309</v>
      </c>
      <c r="L151" s="28" t="s">
        <v>6955</v>
      </c>
      <c r="N151" s="28" t="s">
        <v>18265</v>
      </c>
      <c r="O151" s="28" t="s">
        <v>6256</v>
      </c>
      <c r="P151" s="28" t="s">
        <v>18212</v>
      </c>
      <c r="Q151" s="28" t="s">
        <v>17818</v>
      </c>
      <c r="R151" s="28" t="s">
        <v>18221</v>
      </c>
      <c r="S151" s="28" t="s">
        <v>18266</v>
      </c>
      <c r="T151" s="28" t="s">
        <v>18267</v>
      </c>
      <c r="V151" s="27"/>
      <c r="W151" s="28" t="s">
        <v>220</v>
      </c>
      <c r="X151" s="28" t="s">
        <v>193</v>
      </c>
      <c r="Y151" s="27" t="s">
        <v>9310</v>
      </c>
      <c r="AB151" s="28" t="s">
        <v>9311</v>
      </c>
      <c r="AH151" s="28" t="s">
        <v>4714</v>
      </c>
      <c r="AI151" s="138" t="s">
        <v>18264</v>
      </c>
      <c r="AJ151" s="516" t="str">
        <f>MID('II kw.22'!W151,8,6)</f>
        <v>132301</v>
      </c>
      <c r="AK151" s="516">
        <v>1</v>
      </c>
      <c r="AL151" s="516">
        <f t="shared" si="2"/>
        <v>1</v>
      </c>
      <c r="AM151" s="516">
        <v>1</v>
      </c>
      <c r="AN151" s="28" t="s">
        <v>17650</v>
      </c>
      <c r="AO151" s="28" t="s">
        <v>17651</v>
      </c>
      <c r="AP151" s="28" t="s">
        <v>17652</v>
      </c>
      <c r="AQ151" s="28" t="s">
        <v>17653</v>
      </c>
      <c r="AR151" s="28" t="s">
        <v>1024</v>
      </c>
    </row>
    <row r="152" spans="1:44" x14ac:dyDescent="0.25">
      <c r="A152" s="28" t="s">
        <v>5287</v>
      </c>
      <c r="B152" s="28" t="s">
        <v>18268</v>
      </c>
      <c r="C152" s="28" t="s">
        <v>384</v>
      </c>
      <c r="D152" s="28" t="s">
        <v>18175</v>
      </c>
      <c r="E152" s="28" t="s">
        <v>233</v>
      </c>
      <c r="F152" s="28">
        <v>1</v>
      </c>
      <c r="G152" s="28" t="s">
        <v>193</v>
      </c>
      <c r="H152" s="28" t="s">
        <v>194</v>
      </c>
      <c r="I152" s="28" t="s">
        <v>17706</v>
      </c>
      <c r="J152" s="28" t="s">
        <v>367</v>
      </c>
      <c r="K152" s="28" t="s">
        <v>9309</v>
      </c>
      <c r="L152" s="28" t="s">
        <v>6955</v>
      </c>
      <c r="N152" s="28" t="s">
        <v>18269</v>
      </c>
      <c r="O152" s="28" t="s">
        <v>6389</v>
      </c>
      <c r="P152" s="28" t="s">
        <v>18212</v>
      </c>
      <c r="Q152" s="28" t="s">
        <v>17818</v>
      </c>
      <c r="R152" s="28" t="s">
        <v>18221</v>
      </c>
      <c r="S152" s="28" t="s">
        <v>18270</v>
      </c>
      <c r="T152" s="28" t="s">
        <v>18271</v>
      </c>
      <c r="V152" s="28" t="s">
        <v>9974</v>
      </c>
      <c r="W152" s="28" t="s">
        <v>386</v>
      </c>
      <c r="X152" s="28" t="s">
        <v>194</v>
      </c>
      <c r="Y152" s="28" t="s">
        <v>9300</v>
      </c>
      <c r="AB152" s="28" t="s">
        <v>9311</v>
      </c>
      <c r="AH152" s="28" t="s">
        <v>4714</v>
      </c>
      <c r="AI152" s="28" t="s">
        <v>18268</v>
      </c>
      <c r="AJ152" s="516" t="str">
        <f>MID('II kw.22'!W152,8,6)</f>
        <v>216102</v>
      </c>
      <c r="AK152" s="516">
        <v>1</v>
      </c>
      <c r="AL152" s="516">
        <f t="shared" si="2"/>
        <v>1</v>
      </c>
      <c r="AM152" s="516">
        <v>1</v>
      </c>
      <c r="AN152" s="28" t="s">
        <v>17650</v>
      </c>
      <c r="AO152" s="28" t="s">
        <v>17651</v>
      </c>
      <c r="AP152" s="28" t="s">
        <v>17652</v>
      </c>
      <c r="AQ152" s="28" t="s">
        <v>17653</v>
      </c>
      <c r="AR152" s="28" t="s">
        <v>1024</v>
      </c>
    </row>
    <row r="153" spans="1:44" x14ac:dyDescent="0.25">
      <c r="A153" s="28" t="s">
        <v>581</v>
      </c>
      <c r="B153" s="28" t="s">
        <v>16315</v>
      </c>
      <c r="C153" s="28" t="s">
        <v>67</v>
      </c>
      <c r="D153" s="28" t="s">
        <v>18175</v>
      </c>
      <c r="E153" s="28" t="s">
        <v>233</v>
      </c>
      <c r="F153" s="28">
        <v>1</v>
      </c>
      <c r="G153" s="28" t="s">
        <v>193</v>
      </c>
      <c r="H153" s="28" t="s">
        <v>194</v>
      </c>
      <c r="I153" s="28" t="s">
        <v>17706</v>
      </c>
      <c r="J153" s="28" t="s">
        <v>976</v>
      </c>
      <c r="K153" s="28" t="s">
        <v>9309</v>
      </c>
      <c r="L153" s="28" t="s">
        <v>6955</v>
      </c>
      <c r="N153" s="28" t="s">
        <v>18272</v>
      </c>
      <c r="O153" s="28" t="s">
        <v>6266</v>
      </c>
      <c r="P153" s="28" t="s">
        <v>18212</v>
      </c>
      <c r="Q153" s="28" t="s">
        <v>17818</v>
      </c>
      <c r="R153" s="28" t="s">
        <v>18221</v>
      </c>
      <c r="S153" s="28" t="s">
        <v>18273</v>
      </c>
      <c r="T153" s="28" t="s">
        <v>18274</v>
      </c>
      <c r="V153" s="28" t="s">
        <v>9726</v>
      </c>
      <c r="W153" s="28" t="s">
        <v>709</v>
      </c>
      <c r="X153" s="28" t="s">
        <v>194</v>
      </c>
      <c r="Y153" s="28" t="s">
        <v>9300</v>
      </c>
      <c r="AB153" s="28" t="s">
        <v>9311</v>
      </c>
      <c r="AH153" s="28" t="s">
        <v>4714</v>
      </c>
      <c r="AI153" s="28" t="s">
        <v>16315</v>
      </c>
      <c r="AJ153" s="516" t="str">
        <f>MID('II kw.22'!W153,8,6)</f>
        <v>432103</v>
      </c>
      <c r="AK153" s="516">
        <v>1</v>
      </c>
      <c r="AL153" s="516">
        <f t="shared" si="2"/>
        <v>1</v>
      </c>
      <c r="AM153" s="516">
        <v>1</v>
      </c>
      <c r="AN153" s="28" t="s">
        <v>17650</v>
      </c>
      <c r="AO153" s="28" t="s">
        <v>17651</v>
      </c>
      <c r="AP153" s="28" t="s">
        <v>17652</v>
      </c>
      <c r="AQ153" s="28" t="s">
        <v>17653</v>
      </c>
      <c r="AR153" s="28" t="s">
        <v>1024</v>
      </c>
    </row>
    <row r="154" spans="1:44" x14ac:dyDescent="0.25">
      <c r="A154" s="28" t="s">
        <v>581</v>
      </c>
      <c r="B154" s="28" t="s">
        <v>16315</v>
      </c>
      <c r="C154" s="28" t="s">
        <v>67</v>
      </c>
      <c r="D154" s="28" t="s">
        <v>18175</v>
      </c>
      <c r="E154" s="28" t="s">
        <v>233</v>
      </c>
      <c r="F154" s="28">
        <v>1</v>
      </c>
      <c r="G154" s="28" t="s">
        <v>193</v>
      </c>
      <c r="H154" s="28" t="s">
        <v>194</v>
      </c>
      <c r="I154" s="28" t="s">
        <v>17706</v>
      </c>
      <c r="J154" s="28" t="s">
        <v>210</v>
      </c>
      <c r="K154" s="28" t="s">
        <v>9309</v>
      </c>
      <c r="L154" s="28" t="s">
        <v>6955</v>
      </c>
      <c r="N154" s="28" t="s">
        <v>18275</v>
      </c>
      <c r="O154" s="28" t="s">
        <v>6266</v>
      </c>
      <c r="P154" s="28" t="s">
        <v>18212</v>
      </c>
      <c r="Q154" s="28" t="s">
        <v>17818</v>
      </c>
      <c r="R154" s="28" t="s">
        <v>18221</v>
      </c>
      <c r="S154" s="28" t="s">
        <v>18276</v>
      </c>
      <c r="T154" s="28" t="s">
        <v>18277</v>
      </c>
      <c r="V154" s="28" t="s">
        <v>9334</v>
      </c>
      <c r="W154" s="28" t="s">
        <v>709</v>
      </c>
      <c r="X154" s="28" t="s">
        <v>194</v>
      </c>
      <c r="Y154" s="28" t="s">
        <v>9300</v>
      </c>
      <c r="AB154" s="28" t="s">
        <v>9311</v>
      </c>
      <c r="AH154" s="28" t="s">
        <v>4714</v>
      </c>
      <c r="AI154" s="28" t="s">
        <v>16315</v>
      </c>
      <c r="AJ154" s="516" t="str">
        <f>MID('II kw.22'!W154,8,6)</f>
        <v>432103</v>
      </c>
      <c r="AK154" s="516">
        <v>1</v>
      </c>
      <c r="AL154" s="516">
        <f t="shared" si="2"/>
        <v>1</v>
      </c>
      <c r="AM154" s="516">
        <v>1</v>
      </c>
      <c r="AN154" s="28" t="s">
        <v>17650</v>
      </c>
      <c r="AO154" s="28" t="s">
        <v>17651</v>
      </c>
      <c r="AP154" s="28" t="s">
        <v>17652</v>
      </c>
      <c r="AQ154" s="28" t="s">
        <v>17653</v>
      </c>
      <c r="AR154" s="28" t="s">
        <v>1024</v>
      </c>
    </row>
    <row r="155" spans="1:44" x14ac:dyDescent="0.25">
      <c r="A155" s="28" t="s">
        <v>581</v>
      </c>
      <c r="B155" s="28" t="s">
        <v>16315</v>
      </c>
      <c r="C155" s="28" t="s">
        <v>67</v>
      </c>
      <c r="D155" s="28" t="s">
        <v>18175</v>
      </c>
      <c r="E155" s="28" t="s">
        <v>233</v>
      </c>
      <c r="F155" s="28">
        <v>1</v>
      </c>
      <c r="G155" s="28" t="s">
        <v>193</v>
      </c>
      <c r="H155" s="28" t="s">
        <v>194</v>
      </c>
      <c r="I155" s="28" t="s">
        <v>17706</v>
      </c>
      <c r="J155" s="28" t="s">
        <v>2252</v>
      </c>
      <c r="K155" s="28" t="s">
        <v>9309</v>
      </c>
      <c r="L155" s="28" t="s">
        <v>6955</v>
      </c>
      <c r="N155" s="28" t="s">
        <v>18278</v>
      </c>
      <c r="O155" s="28" t="s">
        <v>6266</v>
      </c>
      <c r="P155" s="28" t="s">
        <v>18212</v>
      </c>
      <c r="Q155" s="28" t="s">
        <v>17818</v>
      </c>
      <c r="R155" s="28" t="s">
        <v>18221</v>
      </c>
      <c r="S155" s="28" t="s">
        <v>18279</v>
      </c>
      <c r="T155" s="28" t="s">
        <v>18280</v>
      </c>
      <c r="V155" s="28" t="s">
        <v>9726</v>
      </c>
      <c r="W155" s="28" t="s">
        <v>709</v>
      </c>
      <c r="X155" s="28" t="s">
        <v>194</v>
      </c>
      <c r="Y155" s="28" t="s">
        <v>9300</v>
      </c>
      <c r="AB155" s="28" t="s">
        <v>9311</v>
      </c>
      <c r="AH155" s="28" t="s">
        <v>4714</v>
      </c>
      <c r="AI155" s="28" t="s">
        <v>16315</v>
      </c>
      <c r="AJ155" s="516" t="str">
        <f>MID('II kw.22'!W155,8,6)</f>
        <v>432103</v>
      </c>
      <c r="AK155" s="516">
        <v>1</v>
      </c>
      <c r="AL155" s="516">
        <f t="shared" si="2"/>
        <v>1</v>
      </c>
      <c r="AM155" s="516">
        <v>1</v>
      </c>
      <c r="AN155" s="28" t="s">
        <v>17650</v>
      </c>
      <c r="AO155" s="28" t="s">
        <v>17651</v>
      </c>
      <c r="AP155" s="28" t="s">
        <v>17652</v>
      </c>
      <c r="AQ155" s="28" t="s">
        <v>17653</v>
      </c>
      <c r="AR155" s="28" t="s">
        <v>1024</v>
      </c>
    </row>
    <row r="156" spans="1:44" x14ac:dyDescent="0.25">
      <c r="A156" s="28" t="s">
        <v>18281</v>
      </c>
      <c r="B156" s="28" t="s">
        <v>18282</v>
      </c>
      <c r="C156" s="28" t="s">
        <v>922</v>
      </c>
      <c r="D156" s="28" t="s">
        <v>18175</v>
      </c>
      <c r="E156" s="28" t="s">
        <v>233</v>
      </c>
      <c r="F156" s="28">
        <v>1</v>
      </c>
      <c r="G156" s="28" t="s">
        <v>193</v>
      </c>
      <c r="H156" s="28" t="s">
        <v>194</v>
      </c>
      <c r="I156" s="28" t="s">
        <v>17656</v>
      </c>
      <c r="J156" s="28" t="s">
        <v>253</v>
      </c>
      <c r="K156" s="28" t="s">
        <v>9309</v>
      </c>
      <c r="L156" s="28" t="s">
        <v>6955</v>
      </c>
      <c r="N156" s="28" t="s">
        <v>18283</v>
      </c>
      <c r="O156" s="28" t="s">
        <v>6277</v>
      </c>
      <c r="P156" s="28" t="s">
        <v>18212</v>
      </c>
      <c r="Q156" s="28" t="s">
        <v>17818</v>
      </c>
      <c r="R156" s="28" t="s">
        <v>18221</v>
      </c>
      <c r="S156" s="28" t="s">
        <v>18284</v>
      </c>
      <c r="T156" s="28" t="s">
        <v>18285</v>
      </c>
      <c r="V156" s="28" t="s">
        <v>9468</v>
      </c>
      <c r="W156" s="28" t="s">
        <v>923</v>
      </c>
      <c r="X156" s="28" t="s">
        <v>194</v>
      </c>
      <c r="Y156" s="28" t="s">
        <v>9300</v>
      </c>
      <c r="AB156" s="28" t="s">
        <v>9311</v>
      </c>
      <c r="AH156" s="28" t="s">
        <v>4714</v>
      </c>
      <c r="AI156" s="28" t="s">
        <v>18282</v>
      </c>
      <c r="AJ156" s="516" t="str">
        <f>MID('II kw.22'!W156,8,6)</f>
        <v>112006</v>
      </c>
      <c r="AK156" s="516">
        <v>1</v>
      </c>
      <c r="AL156" s="516">
        <f t="shared" si="2"/>
        <v>1</v>
      </c>
      <c r="AM156" s="516">
        <v>1</v>
      </c>
      <c r="AN156" s="28" t="s">
        <v>17650</v>
      </c>
      <c r="AO156" s="28" t="s">
        <v>17651</v>
      </c>
      <c r="AP156" s="28" t="s">
        <v>17652</v>
      </c>
      <c r="AQ156" s="28" t="s">
        <v>17653</v>
      </c>
      <c r="AR156" s="28" t="s">
        <v>1024</v>
      </c>
    </row>
    <row r="157" spans="1:44" x14ac:dyDescent="0.25">
      <c r="A157" s="28" t="s">
        <v>18281</v>
      </c>
      <c r="B157" s="28" t="s">
        <v>18286</v>
      </c>
      <c r="C157" s="28" t="s">
        <v>118</v>
      </c>
      <c r="D157" s="28" t="s">
        <v>18175</v>
      </c>
      <c r="E157" s="28" t="s">
        <v>233</v>
      </c>
      <c r="F157" s="28">
        <v>1</v>
      </c>
      <c r="G157" s="28" t="s">
        <v>193</v>
      </c>
      <c r="H157" s="28" t="s">
        <v>194</v>
      </c>
      <c r="I157" s="28" t="s">
        <v>17784</v>
      </c>
      <c r="J157" s="28" t="s">
        <v>253</v>
      </c>
      <c r="K157" s="28" t="s">
        <v>9309</v>
      </c>
      <c r="L157" s="28" t="s">
        <v>6955</v>
      </c>
      <c r="N157" s="28" t="s">
        <v>18287</v>
      </c>
      <c r="O157" s="28" t="s">
        <v>6295</v>
      </c>
      <c r="P157" s="28" t="s">
        <v>18212</v>
      </c>
      <c r="Q157" s="28" t="s">
        <v>17818</v>
      </c>
      <c r="R157" s="28" t="s">
        <v>18221</v>
      </c>
      <c r="S157" s="28" t="s">
        <v>18288</v>
      </c>
      <c r="T157" s="28" t="s">
        <v>18289</v>
      </c>
      <c r="V157" s="28" t="s">
        <v>9468</v>
      </c>
      <c r="W157" s="28" t="s">
        <v>277</v>
      </c>
      <c r="X157" s="28" t="s">
        <v>194</v>
      </c>
      <c r="Y157" s="28" t="s">
        <v>9300</v>
      </c>
      <c r="AB157" s="28" t="s">
        <v>9311</v>
      </c>
      <c r="AH157" s="28" t="s">
        <v>4714</v>
      </c>
      <c r="AI157" s="28" t="s">
        <v>18286</v>
      </c>
      <c r="AJ157" s="516" t="str">
        <f>MID('II kw.22'!W157,8,6)</f>
        <v>211302</v>
      </c>
      <c r="AK157" s="516">
        <v>1</v>
      </c>
      <c r="AL157" s="516">
        <f t="shared" si="2"/>
        <v>1</v>
      </c>
      <c r="AM157" s="516">
        <v>1</v>
      </c>
      <c r="AN157" s="28" t="s">
        <v>17650</v>
      </c>
      <c r="AO157" s="28" t="s">
        <v>17651</v>
      </c>
      <c r="AP157" s="28" t="s">
        <v>17652</v>
      </c>
      <c r="AQ157" s="28" t="s">
        <v>17653</v>
      </c>
      <c r="AR157" s="28" t="s">
        <v>1024</v>
      </c>
    </row>
    <row r="158" spans="1:44" x14ac:dyDescent="0.25">
      <c r="A158" s="28" t="s">
        <v>2497</v>
      </c>
      <c r="B158" s="28" t="s">
        <v>9075</v>
      </c>
      <c r="C158" s="28" t="s">
        <v>9076</v>
      </c>
      <c r="D158" s="28" t="s">
        <v>18175</v>
      </c>
      <c r="E158" s="28" t="s">
        <v>233</v>
      </c>
      <c r="F158" s="28">
        <v>1</v>
      </c>
      <c r="G158" s="28" t="s">
        <v>193</v>
      </c>
      <c r="H158" s="28" t="s">
        <v>194</v>
      </c>
      <c r="I158" s="28" t="s">
        <v>17656</v>
      </c>
      <c r="J158" s="28" t="s">
        <v>253</v>
      </c>
      <c r="K158" s="28" t="s">
        <v>9309</v>
      </c>
      <c r="L158" s="28" t="s">
        <v>6955</v>
      </c>
      <c r="N158" s="28" t="s">
        <v>18290</v>
      </c>
      <c r="O158" s="28" t="s">
        <v>6275</v>
      </c>
      <c r="P158" s="28" t="s">
        <v>18212</v>
      </c>
      <c r="Q158" s="28" t="s">
        <v>17818</v>
      </c>
      <c r="R158" s="28" t="s">
        <v>18221</v>
      </c>
      <c r="S158" s="28" t="s">
        <v>18291</v>
      </c>
      <c r="T158" s="28" t="s">
        <v>18292</v>
      </c>
      <c r="V158" s="28" t="s">
        <v>9468</v>
      </c>
      <c r="W158" s="28" t="s">
        <v>9078</v>
      </c>
      <c r="X158" s="28" t="s">
        <v>194</v>
      </c>
      <c r="Y158" s="28" t="s">
        <v>9300</v>
      </c>
      <c r="AB158" s="28" t="s">
        <v>9311</v>
      </c>
      <c r="AH158" s="28" t="s">
        <v>4714</v>
      </c>
      <c r="AI158" s="28" t="s">
        <v>9075</v>
      </c>
      <c r="AJ158" s="516" t="str">
        <f>MID('II kw.22'!W158,8,6)</f>
        <v>722311</v>
      </c>
      <c r="AK158" s="516">
        <v>1</v>
      </c>
      <c r="AL158" s="516">
        <f t="shared" si="2"/>
        <v>1</v>
      </c>
      <c r="AM158" s="516">
        <v>1</v>
      </c>
      <c r="AN158" s="28" t="s">
        <v>17650</v>
      </c>
      <c r="AO158" s="28" t="s">
        <v>17651</v>
      </c>
      <c r="AP158" s="28" t="s">
        <v>17652</v>
      </c>
      <c r="AQ158" s="28" t="s">
        <v>17653</v>
      </c>
      <c r="AR158" s="28" t="s">
        <v>1024</v>
      </c>
    </row>
    <row r="159" spans="1:44" x14ac:dyDescent="0.25">
      <c r="A159" s="28" t="s">
        <v>13870</v>
      </c>
      <c r="B159" s="28" t="s">
        <v>15953</v>
      </c>
      <c r="C159" s="28" t="s">
        <v>12</v>
      </c>
      <c r="D159" s="28" t="s">
        <v>18175</v>
      </c>
      <c r="E159" s="28" t="s">
        <v>233</v>
      </c>
      <c r="F159" s="28">
        <v>1</v>
      </c>
      <c r="G159" s="28" t="s">
        <v>193</v>
      </c>
      <c r="H159" s="28" t="s">
        <v>194</v>
      </c>
      <c r="I159" s="28" t="s">
        <v>17706</v>
      </c>
      <c r="J159" s="28" t="s">
        <v>9302</v>
      </c>
      <c r="K159" s="28" t="s">
        <v>9309</v>
      </c>
      <c r="L159" s="28" t="s">
        <v>6955</v>
      </c>
      <c r="N159" s="28" t="s">
        <v>18293</v>
      </c>
      <c r="O159" s="28" t="s">
        <v>6256</v>
      </c>
      <c r="P159" s="28" t="s">
        <v>18212</v>
      </c>
      <c r="Q159" s="28" t="s">
        <v>17818</v>
      </c>
      <c r="R159" s="28" t="s">
        <v>18221</v>
      </c>
      <c r="S159" s="28" t="s">
        <v>18294</v>
      </c>
      <c r="T159" s="28" t="s">
        <v>18295</v>
      </c>
      <c r="V159" s="27"/>
      <c r="W159" s="28" t="s">
        <v>220</v>
      </c>
      <c r="X159" s="28" t="s">
        <v>193</v>
      </c>
      <c r="Y159" s="27" t="s">
        <v>9310</v>
      </c>
      <c r="AB159" s="28" t="s">
        <v>9311</v>
      </c>
      <c r="AH159" s="28" t="s">
        <v>4714</v>
      </c>
      <c r="AI159" s="138" t="s">
        <v>15953</v>
      </c>
      <c r="AJ159" s="516" t="str">
        <f>MID('II kw.22'!W159,8,6)</f>
        <v>132301</v>
      </c>
      <c r="AK159" s="516">
        <v>1</v>
      </c>
      <c r="AL159" s="516">
        <f t="shared" si="2"/>
        <v>1</v>
      </c>
      <c r="AM159" s="516">
        <v>1</v>
      </c>
      <c r="AN159" s="28" t="s">
        <v>17650</v>
      </c>
      <c r="AO159" s="28" t="s">
        <v>17651</v>
      </c>
      <c r="AP159" s="28" t="s">
        <v>17652</v>
      </c>
      <c r="AQ159" s="28" t="s">
        <v>17653</v>
      </c>
      <c r="AR159" s="28" t="s">
        <v>1024</v>
      </c>
    </row>
    <row r="160" spans="1:44" x14ac:dyDescent="0.25">
      <c r="A160" s="28" t="s">
        <v>13870</v>
      </c>
      <c r="B160" s="28" t="s">
        <v>7275</v>
      </c>
      <c r="C160" s="28" t="s">
        <v>12</v>
      </c>
      <c r="D160" s="28" t="s">
        <v>18175</v>
      </c>
      <c r="E160" s="28" t="s">
        <v>233</v>
      </c>
      <c r="F160" s="28">
        <v>1</v>
      </c>
      <c r="G160" s="28" t="s">
        <v>193</v>
      </c>
      <c r="H160" s="28" t="s">
        <v>194</v>
      </c>
      <c r="I160" s="28" t="s">
        <v>17706</v>
      </c>
      <c r="J160" s="28" t="s">
        <v>9302</v>
      </c>
      <c r="K160" s="28" t="s">
        <v>9309</v>
      </c>
      <c r="L160" s="28" t="s">
        <v>6955</v>
      </c>
      <c r="N160" s="28" t="s">
        <v>18296</v>
      </c>
      <c r="O160" s="28" t="s">
        <v>6256</v>
      </c>
      <c r="P160" s="28" t="s">
        <v>18212</v>
      </c>
      <c r="Q160" s="28" t="s">
        <v>17818</v>
      </c>
      <c r="R160" s="28" t="s">
        <v>18221</v>
      </c>
      <c r="S160" s="28" t="s">
        <v>18297</v>
      </c>
      <c r="T160" s="28" t="s">
        <v>18298</v>
      </c>
      <c r="V160" s="27"/>
      <c r="W160" s="28" t="s">
        <v>220</v>
      </c>
      <c r="X160" s="28" t="s">
        <v>193</v>
      </c>
      <c r="Y160" s="27" t="s">
        <v>9310</v>
      </c>
      <c r="AB160" s="28" t="s">
        <v>9311</v>
      </c>
      <c r="AH160" s="28" t="s">
        <v>4714</v>
      </c>
      <c r="AI160" s="138" t="s">
        <v>7275</v>
      </c>
      <c r="AJ160" s="516" t="str">
        <f>MID('II kw.22'!W160,8,6)</f>
        <v>132301</v>
      </c>
      <c r="AK160" s="516">
        <v>1</v>
      </c>
      <c r="AL160" s="516">
        <f t="shared" si="2"/>
        <v>1</v>
      </c>
      <c r="AM160" s="516">
        <v>1</v>
      </c>
      <c r="AN160" s="28" t="s">
        <v>17650</v>
      </c>
      <c r="AO160" s="28" t="s">
        <v>17651</v>
      </c>
      <c r="AP160" s="28" t="s">
        <v>17652</v>
      </c>
      <c r="AQ160" s="28" t="s">
        <v>17653</v>
      </c>
      <c r="AR160" s="28" t="s">
        <v>1024</v>
      </c>
    </row>
    <row r="161" spans="1:44" x14ac:dyDescent="0.25">
      <c r="A161" s="28" t="s">
        <v>18299</v>
      </c>
      <c r="B161" s="28" t="s">
        <v>18300</v>
      </c>
      <c r="C161" s="28" t="s">
        <v>18301</v>
      </c>
      <c r="D161" s="28" t="s">
        <v>18175</v>
      </c>
      <c r="E161" s="28" t="s">
        <v>233</v>
      </c>
      <c r="F161" s="511">
        <v>1</v>
      </c>
      <c r="G161" s="227" t="s">
        <v>194</v>
      </c>
      <c r="H161" s="227" t="s">
        <v>193</v>
      </c>
      <c r="I161" s="28" t="s">
        <v>18207</v>
      </c>
      <c r="J161" s="28" t="s">
        <v>210</v>
      </c>
      <c r="K161" s="28" t="s">
        <v>9309</v>
      </c>
      <c r="L161" s="28" t="s">
        <v>6955</v>
      </c>
      <c r="N161" s="28" t="s">
        <v>18302</v>
      </c>
      <c r="O161" s="28" t="s">
        <v>18303</v>
      </c>
      <c r="P161" s="28" t="s">
        <v>18304</v>
      </c>
      <c r="Q161" s="28" t="s">
        <v>4849</v>
      </c>
      <c r="R161" s="28" t="s">
        <v>7703</v>
      </c>
      <c r="S161" s="28" t="s">
        <v>18305</v>
      </c>
      <c r="T161" s="28" t="s">
        <v>18306</v>
      </c>
      <c r="V161" s="227"/>
      <c r="W161" s="28" t="s">
        <v>18307</v>
      </c>
      <c r="X161" s="28" t="s">
        <v>194</v>
      </c>
      <c r="Y161" s="509" t="s">
        <v>9946</v>
      </c>
      <c r="AB161" s="28" t="s">
        <v>9311</v>
      </c>
      <c r="AI161" s="28" t="s">
        <v>18300</v>
      </c>
      <c r="AJ161" s="516" t="str">
        <f>MID('II kw.22'!W161,8,6)</f>
        <v>531190</v>
      </c>
      <c r="AK161" s="516">
        <v>1</v>
      </c>
      <c r="AL161" s="516">
        <f t="shared" si="2"/>
        <v>1</v>
      </c>
      <c r="AM161" s="516">
        <v>1</v>
      </c>
      <c r="AN161" s="28" t="s">
        <v>17650</v>
      </c>
      <c r="AO161" s="28" t="s">
        <v>17651</v>
      </c>
      <c r="AP161" s="28" t="s">
        <v>17652</v>
      </c>
      <c r="AQ161" s="28" t="s">
        <v>17653</v>
      </c>
      <c r="AR161" s="28" t="s">
        <v>1024</v>
      </c>
    </row>
    <row r="162" spans="1:44" x14ac:dyDescent="0.25">
      <c r="A162" s="28" t="s">
        <v>16775</v>
      </c>
      <c r="B162" s="28" t="s">
        <v>18308</v>
      </c>
      <c r="C162" s="28" t="s">
        <v>168</v>
      </c>
      <c r="D162" s="28" t="s">
        <v>18175</v>
      </c>
      <c r="E162" s="28" t="s">
        <v>233</v>
      </c>
      <c r="F162" s="28">
        <v>1</v>
      </c>
      <c r="G162" s="28" t="s">
        <v>193</v>
      </c>
      <c r="H162" s="28" t="s">
        <v>194</v>
      </c>
      <c r="I162" s="28" t="s">
        <v>17784</v>
      </c>
      <c r="J162" s="28" t="s">
        <v>9302</v>
      </c>
      <c r="K162" s="28" t="s">
        <v>9309</v>
      </c>
      <c r="L162" s="28" t="s">
        <v>6955</v>
      </c>
      <c r="N162" s="28" t="s">
        <v>18309</v>
      </c>
      <c r="O162" s="28" t="s">
        <v>6256</v>
      </c>
      <c r="P162" s="28" t="s">
        <v>18212</v>
      </c>
      <c r="Q162" s="28" t="s">
        <v>17818</v>
      </c>
      <c r="R162" s="28" t="s">
        <v>18221</v>
      </c>
      <c r="S162" s="28" t="s">
        <v>18310</v>
      </c>
      <c r="T162" s="28" t="s">
        <v>18311</v>
      </c>
      <c r="V162" s="27"/>
      <c r="W162" s="28" t="s">
        <v>1895</v>
      </c>
      <c r="X162" s="28" t="s">
        <v>193</v>
      </c>
      <c r="Y162" s="27" t="s">
        <v>9310</v>
      </c>
      <c r="AB162" s="28" t="s">
        <v>9311</v>
      </c>
      <c r="AH162" s="28" t="s">
        <v>4714</v>
      </c>
      <c r="AI162" s="28" t="s">
        <v>18308</v>
      </c>
      <c r="AJ162" s="516" t="str">
        <f>MID('II kw.22'!W162,8,6)</f>
        <v>214927</v>
      </c>
      <c r="AK162" s="516">
        <v>1</v>
      </c>
      <c r="AL162" s="516">
        <f t="shared" si="2"/>
        <v>1</v>
      </c>
      <c r="AM162" s="516">
        <v>1</v>
      </c>
      <c r="AN162" s="28" t="s">
        <v>17650</v>
      </c>
      <c r="AO162" s="28" t="s">
        <v>17651</v>
      </c>
      <c r="AP162" s="28" t="s">
        <v>17652</v>
      </c>
      <c r="AQ162" s="28" t="s">
        <v>17653</v>
      </c>
      <c r="AR162" s="28" t="s">
        <v>1024</v>
      </c>
    </row>
    <row r="163" spans="1:44" x14ac:dyDescent="0.25">
      <c r="A163" s="28" t="s">
        <v>5372</v>
      </c>
      <c r="B163" s="28" t="s">
        <v>2630</v>
      </c>
      <c r="C163" s="28" t="s">
        <v>42</v>
      </c>
      <c r="D163" s="28" t="s">
        <v>18175</v>
      </c>
      <c r="E163" s="28" t="s">
        <v>233</v>
      </c>
      <c r="F163" s="28">
        <v>1</v>
      </c>
      <c r="G163" s="28" t="s">
        <v>193</v>
      </c>
      <c r="H163" s="28" t="s">
        <v>194</v>
      </c>
      <c r="I163" s="28" t="s">
        <v>17784</v>
      </c>
      <c r="J163" s="28" t="s">
        <v>9302</v>
      </c>
      <c r="K163" s="28" t="s">
        <v>9309</v>
      </c>
      <c r="L163" s="28" t="s">
        <v>6955</v>
      </c>
      <c r="N163" s="28" t="s">
        <v>18312</v>
      </c>
      <c r="O163" s="28" t="s">
        <v>6327</v>
      </c>
      <c r="P163" s="28" t="s">
        <v>18212</v>
      </c>
      <c r="Q163" s="28" t="s">
        <v>17818</v>
      </c>
      <c r="R163" s="28" t="s">
        <v>18221</v>
      </c>
      <c r="S163" s="28" t="s">
        <v>18313</v>
      </c>
      <c r="T163" s="28" t="s">
        <v>18314</v>
      </c>
      <c r="V163" s="27"/>
      <c r="W163" s="28" t="s">
        <v>2628</v>
      </c>
      <c r="X163" s="28" t="s">
        <v>193</v>
      </c>
      <c r="Y163" s="27" t="s">
        <v>9310</v>
      </c>
      <c r="AB163" s="28" t="s">
        <v>9311</v>
      </c>
      <c r="AH163" s="28" t="s">
        <v>4714</v>
      </c>
      <c r="AI163" s="28" t="s">
        <v>2630</v>
      </c>
      <c r="AJ163" s="516" t="str">
        <f>MID('II kw.22'!W163,8,6)</f>
        <v>325509</v>
      </c>
      <c r="AK163" s="516">
        <v>1</v>
      </c>
      <c r="AL163" s="516">
        <f t="shared" si="2"/>
        <v>1</v>
      </c>
      <c r="AM163" s="516">
        <v>1</v>
      </c>
      <c r="AN163" s="28" t="s">
        <v>17650</v>
      </c>
      <c r="AO163" s="28" t="s">
        <v>17651</v>
      </c>
      <c r="AP163" s="28" t="s">
        <v>17652</v>
      </c>
      <c r="AQ163" s="28" t="s">
        <v>17653</v>
      </c>
      <c r="AR163" s="28" t="s">
        <v>1024</v>
      </c>
    </row>
    <row r="164" spans="1:44" x14ac:dyDescent="0.25">
      <c r="A164" s="28" t="s">
        <v>18315</v>
      </c>
      <c r="B164" s="28" t="s">
        <v>18316</v>
      </c>
      <c r="C164" s="28" t="s">
        <v>27</v>
      </c>
      <c r="D164" s="28" t="s">
        <v>18175</v>
      </c>
      <c r="E164" s="28" t="s">
        <v>252</v>
      </c>
      <c r="F164" s="28">
        <v>1</v>
      </c>
      <c r="G164" s="28" t="s">
        <v>193</v>
      </c>
      <c r="H164" s="28" t="s">
        <v>194</v>
      </c>
      <c r="I164" s="28" t="s">
        <v>17706</v>
      </c>
      <c r="J164" s="28" t="s">
        <v>210</v>
      </c>
      <c r="K164" s="28" t="s">
        <v>9309</v>
      </c>
      <c r="L164" s="28" t="s">
        <v>6955</v>
      </c>
      <c r="N164" s="28" t="s">
        <v>18317</v>
      </c>
      <c r="O164" s="28" t="s">
        <v>6340</v>
      </c>
      <c r="P164" s="28" t="s">
        <v>18318</v>
      </c>
      <c r="Q164" s="28" t="s">
        <v>17818</v>
      </c>
      <c r="R164" s="28" t="s">
        <v>18319</v>
      </c>
      <c r="S164" s="28" t="s">
        <v>18320</v>
      </c>
      <c r="T164" s="28" t="s">
        <v>18321</v>
      </c>
      <c r="V164" s="28" t="s">
        <v>9334</v>
      </c>
      <c r="W164" s="28" t="s">
        <v>440</v>
      </c>
      <c r="X164" s="28" t="s">
        <v>194</v>
      </c>
      <c r="Y164" s="28" t="s">
        <v>9300</v>
      </c>
      <c r="AB164" s="28" t="s">
        <v>9311</v>
      </c>
      <c r="AH164" s="28" t="s">
        <v>4714</v>
      </c>
      <c r="AI164" s="28" t="s">
        <v>9433</v>
      </c>
      <c r="AJ164" s="516" t="str">
        <f>MID('II kw.22'!W164,8,6)</f>
        <v>242307</v>
      </c>
      <c r="AK164" s="516">
        <v>1</v>
      </c>
      <c r="AL164" s="516">
        <f t="shared" si="2"/>
        <v>1</v>
      </c>
      <c r="AM164" s="516">
        <v>1</v>
      </c>
      <c r="AN164" s="28" t="s">
        <v>17650</v>
      </c>
      <c r="AO164" s="28" t="s">
        <v>17651</v>
      </c>
      <c r="AP164" s="28" t="s">
        <v>17652</v>
      </c>
      <c r="AQ164" s="28" t="s">
        <v>17653</v>
      </c>
      <c r="AR164" s="28" t="s">
        <v>1024</v>
      </c>
    </row>
    <row r="165" spans="1:44" x14ac:dyDescent="0.25">
      <c r="A165" s="28" t="s">
        <v>18315</v>
      </c>
      <c r="B165" s="28" t="s">
        <v>18322</v>
      </c>
      <c r="C165" s="28" t="s">
        <v>27</v>
      </c>
      <c r="D165" s="28" t="s">
        <v>18175</v>
      </c>
      <c r="E165" s="28" t="s">
        <v>252</v>
      </c>
      <c r="F165" s="28">
        <v>1</v>
      </c>
      <c r="G165" s="28" t="s">
        <v>193</v>
      </c>
      <c r="H165" s="28" t="s">
        <v>194</v>
      </c>
      <c r="I165" s="28" t="s">
        <v>17656</v>
      </c>
      <c r="J165" s="28" t="s">
        <v>210</v>
      </c>
      <c r="K165" s="28" t="s">
        <v>9309</v>
      </c>
      <c r="L165" s="28" t="s">
        <v>6955</v>
      </c>
      <c r="N165" s="28" t="s">
        <v>18323</v>
      </c>
      <c r="O165" s="28" t="s">
        <v>6266</v>
      </c>
      <c r="P165" s="28" t="s">
        <v>18318</v>
      </c>
      <c r="Q165" s="28" t="s">
        <v>17818</v>
      </c>
      <c r="R165" s="28" t="s">
        <v>18319</v>
      </c>
      <c r="S165" s="28" t="s">
        <v>18324</v>
      </c>
      <c r="T165" s="28" t="s">
        <v>18325</v>
      </c>
      <c r="V165" s="28" t="s">
        <v>9334</v>
      </c>
      <c r="W165" s="28" t="s">
        <v>440</v>
      </c>
      <c r="X165" s="28" t="s">
        <v>194</v>
      </c>
      <c r="Y165" s="28" t="s">
        <v>9300</v>
      </c>
      <c r="AB165" s="28" t="s">
        <v>9311</v>
      </c>
      <c r="AH165" s="28" t="s">
        <v>4714</v>
      </c>
      <c r="AI165" s="28" t="s">
        <v>9433</v>
      </c>
      <c r="AJ165" s="516" t="str">
        <f>MID('II kw.22'!W165,8,6)</f>
        <v>242307</v>
      </c>
      <c r="AK165" s="516">
        <v>1</v>
      </c>
      <c r="AL165" s="516">
        <f t="shared" si="2"/>
        <v>1</v>
      </c>
      <c r="AM165" s="516">
        <v>1</v>
      </c>
      <c r="AN165" s="28" t="s">
        <v>17650</v>
      </c>
      <c r="AO165" s="28" t="s">
        <v>17651</v>
      </c>
      <c r="AP165" s="28" t="s">
        <v>17652</v>
      </c>
      <c r="AQ165" s="28" t="s">
        <v>17653</v>
      </c>
      <c r="AR165" s="28" t="s">
        <v>1024</v>
      </c>
    </row>
    <row r="166" spans="1:44" x14ac:dyDescent="0.25">
      <c r="A166" s="28" t="s">
        <v>17794</v>
      </c>
      <c r="B166" s="28" t="s">
        <v>17795</v>
      </c>
      <c r="C166" s="28" t="s">
        <v>85</v>
      </c>
      <c r="D166" s="28" t="s">
        <v>18175</v>
      </c>
      <c r="E166" s="28" t="s">
        <v>217</v>
      </c>
      <c r="F166" s="28">
        <v>1</v>
      </c>
      <c r="G166" s="28" t="s">
        <v>193</v>
      </c>
      <c r="H166" s="28" t="s">
        <v>194</v>
      </c>
      <c r="I166" s="28" t="s">
        <v>17706</v>
      </c>
      <c r="J166" s="28" t="s">
        <v>17796</v>
      </c>
      <c r="K166" s="28" t="s">
        <v>9309</v>
      </c>
      <c r="L166" s="28" t="s">
        <v>6955</v>
      </c>
      <c r="N166" s="28" t="s">
        <v>17797</v>
      </c>
      <c r="O166" s="28" t="s">
        <v>6269</v>
      </c>
      <c r="P166" s="28" t="s">
        <v>18326</v>
      </c>
      <c r="Q166" s="28" t="s">
        <v>17642</v>
      </c>
      <c r="R166" s="28" t="s">
        <v>17800</v>
      </c>
      <c r="S166" s="28" t="s">
        <v>18327</v>
      </c>
      <c r="T166" s="28" t="s">
        <v>18328</v>
      </c>
      <c r="V166" s="27"/>
      <c r="W166" s="28" t="s">
        <v>477</v>
      </c>
      <c r="X166" s="28" t="s">
        <v>193</v>
      </c>
      <c r="Y166" s="27" t="s">
        <v>9310</v>
      </c>
      <c r="AB166" s="28" t="s">
        <v>9311</v>
      </c>
      <c r="AH166" s="28" t="s">
        <v>4714</v>
      </c>
      <c r="AI166" s="28" t="s">
        <v>9433</v>
      </c>
      <c r="AJ166" s="516" t="str">
        <f>MID('II kw.22'!W166,8,6)</f>
        <v>243305</v>
      </c>
      <c r="AK166" s="516">
        <v>1</v>
      </c>
      <c r="AL166" s="516">
        <f t="shared" si="2"/>
        <v>1</v>
      </c>
      <c r="AM166" s="516">
        <v>1</v>
      </c>
      <c r="AN166" s="28" t="s">
        <v>17650</v>
      </c>
      <c r="AO166" s="28" t="s">
        <v>17651</v>
      </c>
      <c r="AP166" s="28" t="s">
        <v>17652</v>
      </c>
      <c r="AQ166" s="28" t="s">
        <v>17653</v>
      </c>
      <c r="AR166" s="28" t="s">
        <v>1024</v>
      </c>
    </row>
    <row r="167" spans="1:44" x14ac:dyDescent="0.25">
      <c r="A167" s="28" t="s">
        <v>4022</v>
      </c>
      <c r="B167" s="28" t="s">
        <v>17803</v>
      </c>
      <c r="C167" s="28" t="s">
        <v>43</v>
      </c>
      <c r="D167" s="28" t="s">
        <v>18175</v>
      </c>
      <c r="E167" s="28" t="s">
        <v>217</v>
      </c>
      <c r="F167" s="28">
        <v>1</v>
      </c>
      <c r="G167" s="28" t="s">
        <v>193</v>
      </c>
      <c r="H167" s="28" t="s">
        <v>194</v>
      </c>
      <c r="I167" s="28" t="s">
        <v>17784</v>
      </c>
      <c r="J167" s="28" t="s">
        <v>15466</v>
      </c>
      <c r="K167" s="28" t="s">
        <v>9309</v>
      </c>
      <c r="L167" s="28" t="s">
        <v>6955</v>
      </c>
      <c r="N167" s="28" t="s">
        <v>17804</v>
      </c>
      <c r="O167" s="28" t="s">
        <v>6302</v>
      </c>
      <c r="P167" s="28" t="s">
        <v>18326</v>
      </c>
      <c r="Q167" s="28" t="s">
        <v>18329</v>
      </c>
      <c r="R167" s="28" t="s">
        <v>17806</v>
      </c>
      <c r="S167" s="28" t="s">
        <v>18330</v>
      </c>
      <c r="T167" s="28" t="s">
        <v>18331</v>
      </c>
      <c r="V167" s="27"/>
      <c r="W167" s="28" t="s">
        <v>452</v>
      </c>
      <c r="X167" s="28" t="s">
        <v>193</v>
      </c>
      <c r="Y167" s="27" t="s">
        <v>9310</v>
      </c>
      <c r="AB167" s="28" t="s">
        <v>9311</v>
      </c>
      <c r="AH167" s="28" t="s">
        <v>4714</v>
      </c>
      <c r="AI167" s="28" t="s">
        <v>9433</v>
      </c>
      <c r="AJ167" s="516" t="str">
        <f>MID('II kw.22'!W167,8,6)</f>
        <v>243106</v>
      </c>
      <c r="AK167" s="516">
        <v>1</v>
      </c>
      <c r="AL167" s="516">
        <f t="shared" si="2"/>
        <v>1</v>
      </c>
      <c r="AM167" s="516">
        <v>1</v>
      </c>
      <c r="AN167" s="28" t="s">
        <v>17650</v>
      </c>
      <c r="AO167" s="28" t="s">
        <v>17651</v>
      </c>
      <c r="AP167" s="28" t="s">
        <v>17652</v>
      </c>
      <c r="AQ167" s="28" t="s">
        <v>17653</v>
      </c>
      <c r="AR167" s="28" t="s">
        <v>1024</v>
      </c>
    </row>
    <row r="168" spans="1:44" x14ac:dyDescent="0.25">
      <c r="A168" s="28" t="s">
        <v>581</v>
      </c>
      <c r="B168" s="28" t="s">
        <v>18332</v>
      </c>
      <c r="C168" s="28" t="s">
        <v>62</v>
      </c>
      <c r="D168" s="28" t="s">
        <v>18175</v>
      </c>
      <c r="E168" s="28" t="s">
        <v>217</v>
      </c>
      <c r="F168" s="28">
        <v>1</v>
      </c>
      <c r="G168" s="28" t="s">
        <v>193</v>
      </c>
      <c r="H168" s="28" t="s">
        <v>194</v>
      </c>
      <c r="I168" s="28" t="s">
        <v>17784</v>
      </c>
      <c r="J168" s="28" t="s">
        <v>253</v>
      </c>
      <c r="K168" s="28" t="s">
        <v>9309</v>
      </c>
      <c r="L168" s="28" t="s">
        <v>6955</v>
      </c>
      <c r="N168" s="28" t="s">
        <v>18333</v>
      </c>
      <c r="O168" s="28" t="s">
        <v>6275</v>
      </c>
      <c r="P168" s="28" t="s">
        <v>18326</v>
      </c>
      <c r="Q168" s="28" t="s">
        <v>18334</v>
      </c>
      <c r="R168" s="28" t="s">
        <v>18335</v>
      </c>
      <c r="S168" s="28" t="s">
        <v>18336</v>
      </c>
      <c r="T168" s="28" t="s">
        <v>18337</v>
      </c>
      <c r="V168" s="28" t="s">
        <v>9468</v>
      </c>
      <c r="W168" s="28" t="s">
        <v>601</v>
      </c>
      <c r="X168" s="28" t="s">
        <v>194</v>
      </c>
      <c r="Y168" s="28" t="s">
        <v>9300</v>
      </c>
      <c r="AB168" s="28" t="s">
        <v>9311</v>
      </c>
      <c r="AH168" s="28" t="s">
        <v>4714</v>
      </c>
      <c r="AI168" s="28" t="s">
        <v>9433</v>
      </c>
      <c r="AJ168" s="516" t="str">
        <f>MID('II kw.22'!W168,8,6)</f>
        <v>313904</v>
      </c>
      <c r="AK168" s="516">
        <v>1</v>
      </c>
      <c r="AL168" s="516">
        <f t="shared" si="2"/>
        <v>1</v>
      </c>
      <c r="AM168" s="516">
        <v>1</v>
      </c>
      <c r="AN168" s="28" t="s">
        <v>17650</v>
      </c>
      <c r="AO168" s="28" t="s">
        <v>17651</v>
      </c>
      <c r="AP168" s="28" t="s">
        <v>17652</v>
      </c>
      <c r="AQ168" s="28" t="s">
        <v>17653</v>
      </c>
      <c r="AR168" s="28" t="s">
        <v>1024</v>
      </c>
    </row>
    <row r="169" spans="1:44" x14ac:dyDescent="0.25">
      <c r="A169" s="28" t="s">
        <v>11415</v>
      </c>
      <c r="B169" s="28" t="s">
        <v>8016</v>
      </c>
      <c r="C169" s="28" t="s">
        <v>99</v>
      </c>
      <c r="D169" s="28" t="s">
        <v>18175</v>
      </c>
      <c r="E169" s="28" t="s">
        <v>217</v>
      </c>
      <c r="F169" s="28">
        <v>1</v>
      </c>
      <c r="G169" s="28" t="s">
        <v>193</v>
      </c>
      <c r="H169" s="28" t="s">
        <v>194</v>
      </c>
      <c r="I169" s="28" t="s">
        <v>17672</v>
      </c>
      <c r="J169" s="28" t="s">
        <v>210</v>
      </c>
      <c r="K169" s="28" t="s">
        <v>9309</v>
      </c>
      <c r="L169" s="28" t="s">
        <v>6955</v>
      </c>
      <c r="N169" s="28" t="s">
        <v>17809</v>
      </c>
      <c r="O169" s="28" t="s">
        <v>6286</v>
      </c>
      <c r="P169" s="28" t="s">
        <v>18326</v>
      </c>
      <c r="Q169" s="28" t="s">
        <v>17642</v>
      </c>
      <c r="R169" s="28" t="s">
        <v>17806</v>
      </c>
      <c r="S169" s="28" t="s">
        <v>18338</v>
      </c>
      <c r="T169" s="28" t="s">
        <v>18339</v>
      </c>
      <c r="V169" s="28" t="s">
        <v>9334</v>
      </c>
      <c r="W169" s="28" t="s">
        <v>2421</v>
      </c>
      <c r="X169" s="28" t="s">
        <v>194</v>
      </c>
      <c r="Y169" s="28" t="s">
        <v>9300</v>
      </c>
      <c r="AB169" s="28" t="s">
        <v>9311</v>
      </c>
      <c r="AH169" s="28" t="s">
        <v>4714</v>
      </c>
      <c r="AI169" s="28" t="s">
        <v>9433</v>
      </c>
      <c r="AJ169" s="516" t="str">
        <f>MID('II kw.22'!W169,8,6)</f>
        <v>412001</v>
      </c>
      <c r="AK169" s="516">
        <v>1</v>
      </c>
      <c r="AL169" s="517">
        <f t="shared" si="2"/>
        <v>1</v>
      </c>
      <c r="AM169" s="516">
        <v>1</v>
      </c>
      <c r="AN169" s="28" t="s">
        <v>17650</v>
      </c>
      <c r="AO169" s="28" t="s">
        <v>17651</v>
      </c>
      <c r="AP169" s="28" t="s">
        <v>17652</v>
      </c>
      <c r="AQ169" s="28" t="s">
        <v>17653</v>
      </c>
      <c r="AR169" s="28" t="s">
        <v>1024</v>
      </c>
    </row>
    <row r="170" spans="1:44" x14ac:dyDescent="0.25">
      <c r="A170" s="28" t="s">
        <v>581</v>
      </c>
      <c r="B170" s="28" t="s">
        <v>17153</v>
      </c>
      <c r="C170" s="28" t="s">
        <v>62</v>
      </c>
      <c r="D170" s="28" t="s">
        <v>18175</v>
      </c>
      <c r="E170" s="28" t="s">
        <v>217</v>
      </c>
      <c r="F170" s="28">
        <v>1</v>
      </c>
      <c r="G170" s="28" t="s">
        <v>193</v>
      </c>
      <c r="H170" s="28" t="s">
        <v>194</v>
      </c>
      <c r="I170" s="28" t="s">
        <v>17656</v>
      </c>
      <c r="J170" s="28" t="s">
        <v>253</v>
      </c>
      <c r="K170" s="28" t="s">
        <v>9309</v>
      </c>
      <c r="L170" s="28" t="s">
        <v>6955</v>
      </c>
      <c r="N170" s="28" t="s">
        <v>17812</v>
      </c>
      <c r="O170" s="28" t="s">
        <v>6275</v>
      </c>
      <c r="P170" s="28" t="s">
        <v>18326</v>
      </c>
      <c r="Q170" s="28" t="s">
        <v>17642</v>
      </c>
      <c r="R170" s="28" t="s">
        <v>17784</v>
      </c>
      <c r="S170" s="28" t="s">
        <v>18340</v>
      </c>
      <c r="T170" s="28" t="s">
        <v>18341</v>
      </c>
      <c r="V170" s="28" t="s">
        <v>9468</v>
      </c>
      <c r="W170" s="28" t="s">
        <v>601</v>
      </c>
      <c r="X170" s="28" t="s">
        <v>194</v>
      </c>
      <c r="Y170" s="28" t="s">
        <v>9300</v>
      </c>
      <c r="AB170" s="28" t="s">
        <v>9311</v>
      </c>
      <c r="AH170" s="28" t="s">
        <v>4714</v>
      </c>
      <c r="AI170" s="28" t="s">
        <v>9433</v>
      </c>
      <c r="AJ170" s="516" t="str">
        <f>MID('II kw.22'!W170,8,6)</f>
        <v>313904</v>
      </c>
      <c r="AK170" s="516">
        <v>1</v>
      </c>
      <c r="AL170" s="516">
        <f t="shared" si="2"/>
        <v>1</v>
      </c>
      <c r="AM170" s="516">
        <v>1</v>
      </c>
      <c r="AN170" s="28" t="s">
        <v>17650</v>
      </c>
      <c r="AO170" s="28" t="s">
        <v>17651</v>
      </c>
      <c r="AP170" s="28" t="s">
        <v>17652</v>
      </c>
      <c r="AQ170" s="28" t="s">
        <v>17653</v>
      </c>
      <c r="AR170" s="28" t="s">
        <v>1024</v>
      </c>
    </row>
    <row r="171" spans="1:44" x14ac:dyDescent="0.25">
      <c r="A171" s="28" t="s">
        <v>4022</v>
      </c>
      <c r="B171" s="28" t="s">
        <v>8022</v>
      </c>
      <c r="C171" s="28" t="s">
        <v>7617</v>
      </c>
      <c r="D171" s="28" t="s">
        <v>18175</v>
      </c>
      <c r="E171" s="28" t="s">
        <v>217</v>
      </c>
      <c r="F171" s="28">
        <v>1</v>
      </c>
      <c r="G171" s="28" t="s">
        <v>193</v>
      </c>
      <c r="H171" s="28" t="s">
        <v>194</v>
      </c>
      <c r="I171" s="28" t="s">
        <v>17672</v>
      </c>
      <c r="J171" s="28" t="s">
        <v>210</v>
      </c>
      <c r="K171" s="28" t="s">
        <v>9309</v>
      </c>
      <c r="L171" s="28" t="s">
        <v>6955</v>
      </c>
      <c r="N171" s="28" t="s">
        <v>17821</v>
      </c>
      <c r="O171" s="28" t="s">
        <v>6290</v>
      </c>
      <c r="P171" s="28" t="s">
        <v>18326</v>
      </c>
      <c r="Q171" s="28" t="s">
        <v>17642</v>
      </c>
      <c r="R171" s="28" t="s">
        <v>17806</v>
      </c>
      <c r="S171" s="28" t="s">
        <v>18342</v>
      </c>
      <c r="T171" s="28" t="s">
        <v>18343</v>
      </c>
      <c r="V171" s="28" t="s">
        <v>9334</v>
      </c>
      <c r="W171" s="28" t="s">
        <v>7620</v>
      </c>
      <c r="X171" s="28" t="s">
        <v>194</v>
      </c>
      <c r="Y171" s="28" t="s">
        <v>9300</v>
      </c>
      <c r="AB171" s="28" t="s">
        <v>9311</v>
      </c>
      <c r="AH171" s="28" t="s">
        <v>4714</v>
      </c>
      <c r="AI171" s="28" t="s">
        <v>9433</v>
      </c>
      <c r="AJ171" s="516" t="str">
        <f>MID('II kw.22'!W171,8,6)</f>
        <v>516903</v>
      </c>
      <c r="AK171" s="516">
        <v>1</v>
      </c>
      <c r="AL171" s="516">
        <f t="shared" si="2"/>
        <v>1</v>
      </c>
      <c r="AM171" s="516">
        <v>1</v>
      </c>
      <c r="AN171" s="28" t="s">
        <v>17650</v>
      </c>
      <c r="AO171" s="28" t="s">
        <v>17651</v>
      </c>
      <c r="AP171" s="28" t="s">
        <v>17652</v>
      </c>
      <c r="AQ171" s="28" t="s">
        <v>17653</v>
      </c>
      <c r="AR171" s="28" t="s">
        <v>1024</v>
      </c>
    </row>
    <row r="172" spans="1:44" x14ac:dyDescent="0.25">
      <c r="A172" s="29" t="s">
        <v>258</v>
      </c>
      <c r="B172" s="28" t="s">
        <v>7677</v>
      </c>
      <c r="C172" s="28" t="s">
        <v>778</v>
      </c>
      <c r="D172" s="28" t="s">
        <v>18175</v>
      </c>
      <c r="E172" s="28" t="s">
        <v>217</v>
      </c>
      <c r="F172" s="513">
        <v>1</v>
      </c>
      <c r="G172" s="227" t="s">
        <v>194</v>
      </c>
      <c r="H172" s="227" t="s">
        <v>193</v>
      </c>
      <c r="I172" s="28" t="s">
        <v>17706</v>
      </c>
      <c r="J172" s="28" t="s">
        <v>18344</v>
      </c>
      <c r="K172" s="28" t="s">
        <v>9309</v>
      </c>
      <c r="L172" s="28" t="s">
        <v>6955</v>
      </c>
      <c r="N172" s="28" t="s">
        <v>18345</v>
      </c>
      <c r="O172" s="28" t="s">
        <v>6251</v>
      </c>
      <c r="P172" s="28" t="s">
        <v>18205</v>
      </c>
      <c r="Q172" s="28" t="s">
        <v>18334</v>
      </c>
      <c r="R172" s="28" t="s">
        <v>18335</v>
      </c>
      <c r="S172" s="28" t="s">
        <v>18346</v>
      </c>
      <c r="T172" s="28" t="s">
        <v>18347</v>
      </c>
      <c r="V172" s="227"/>
      <c r="W172" s="28" t="s">
        <v>779</v>
      </c>
      <c r="X172" s="28" t="s">
        <v>194</v>
      </c>
      <c r="Y172" s="509" t="s">
        <v>9946</v>
      </c>
      <c r="AB172" s="28" t="s">
        <v>9311</v>
      </c>
      <c r="AH172" s="28" t="s">
        <v>4714</v>
      </c>
      <c r="AI172" s="28" t="s">
        <v>778</v>
      </c>
      <c r="AJ172" s="516" t="str">
        <f>MID('II kw.22'!W172,8,6)</f>
        <v>524902</v>
      </c>
      <c r="AK172" s="516">
        <v>1</v>
      </c>
      <c r="AL172" s="516">
        <f t="shared" si="2"/>
        <v>1</v>
      </c>
      <c r="AM172" s="516">
        <v>1</v>
      </c>
      <c r="AN172" s="28" t="s">
        <v>18348</v>
      </c>
      <c r="AO172" s="29"/>
      <c r="AP172" s="29"/>
      <c r="AQ172" s="29"/>
      <c r="AR172" s="29"/>
    </row>
    <row r="173" spans="1:44" x14ac:dyDescent="0.25">
      <c r="A173" s="28" t="s">
        <v>581</v>
      </c>
      <c r="B173" s="28" t="s">
        <v>17824</v>
      </c>
      <c r="C173" s="28" t="s">
        <v>67</v>
      </c>
      <c r="D173" s="28" t="s">
        <v>18175</v>
      </c>
      <c r="E173" s="28" t="s">
        <v>217</v>
      </c>
      <c r="F173" s="28">
        <v>1</v>
      </c>
      <c r="G173" s="28" t="s">
        <v>193</v>
      </c>
      <c r="H173" s="28" t="s">
        <v>194</v>
      </c>
      <c r="I173" s="28" t="s">
        <v>17706</v>
      </c>
      <c r="J173" s="28" t="s">
        <v>976</v>
      </c>
      <c r="K173" s="28" t="s">
        <v>9309</v>
      </c>
      <c r="L173" s="28" t="s">
        <v>6955</v>
      </c>
      <c r="N173" s="28" t="s">
        <v>17825</v>
      </c>
      <c r="O173" s="28" t="s">
        <v>6269</v>
      </c>
      <c r="P173" s="28" t="s">
        <v>18326</v>
      </c>
      <c r="Q173" s="28" t="s">
        <v>17642</v>
      </c>
      <c r="R173" s="28" t="s">
        <v>17800</v>
      </c>
      <c r="S173" s="28" t="s">
        <v>18349</v>
      </c>
      <c r="T173" s="28" t="s">
        <v>18350</v>
      </c>
      <c r="V173" s="28" t="s">
        <v>9726</v>
      </c>
      <c r="W173" s="28" t="s">
        <v>709</v>
      </c>
      <c r="X173" s="28" t="s">
        <v>194</v>
      </c>
      <c r="Y173" s="28" t="s">
        <v>9300</v>
      </c>
      <c r="AB173" s="28" t="s">
        <v>9311</v>
      </c>
      <c r="AH173" s="28" t="s">
        <v>4714</v>
      </c>
      <c r="AI173" s="28" t="s">
        <v>9433</v>
      </c>
      <c r="AJ173" s="516" t="str">
        <f>MID('II kw.22'!W173,8,6)</f>
        <v>432103</v>
      </c>
      <c r="AK173" s="516">
        <v>1</v>
      </c>
      <c r="AL173" s="516">
        <f t="shared" si="2"/>
        <v>1</v>
      </c>
      <c r="AM173" s="516">
        <v>1</v>
      </c>
      <c r="AN173" s="28" t="s">
        <v>17650</v>
      </c>
      <c r="AO173" s="28" t="s">
        <v>17651</v>
      </c>
      <c r="AP173" s="28" t="s">
        <v>17652</v>
      </c>
      <c r="AQ173" s="28" t="s">
        <v>17653</v>
      </c>
      <c r="AR173" s="28" t="s">
        <v>1024</v>
      </c>
    </row>
    <row r="174" spans="1:44" x14ac:dyDescent="0.25">
      <c r="A174" s="28" t="s">
        <v>581</v>
      </c>
      <c r="B174" s="28" t="s">
        <v>17568</v>
      </c>
      <c r="C174" s="28" t="s">
        <v>62</v>
      </c>
      <c r="D174" s="28" t="s">
        <v>18175</v>
      </c>
      <c r="E174" s="28" t="s">
        <v>217</v>
      </c>
      <c r="F174" s="28">
        <v>1</v>
      </c>
      <c r="G174" s="28" t="s">
        <v>193</v>
      </c>
      <c r="H174" s="28" t="s">
        <v>194</v>
      </c>
      <c r="I174" s="28" t="s">
        <v>17656</v>
      </c>
      <c r="J174" s="28" t="s">
        <v>253</v>
      </c>
      <c r="K174" s="28" t="s">
        <v>9309</v>
      </c>
      <c r="L174" s="28" t="s">
        <v>6955</v>
      </c>
      <c r="N174" s="28" t="s">
        <v>18351</v>
      </c>
      <c r="O174" s="28" t="s">
        <v>6269</v>
      </c>
      <c r="P174" s="28" t="s">
        <v>18326</v>
      </c>
      <c r="Q174" s="28" t="s">
        <v>18334</v>
      </c>
      <c r="R174" s="28" t="s">
        <v>18335</v>
      </c>
      <c r="S174" s="28" t="s">
        <v>18352</v>
      </c>
      <c r="T174" s="28" t="s">
        <v>18353</v>
      </c>
      <c r="V174" s="28" t="s">
        <v>9468</v>
      </c>
      <c r="W174" s="28" t="s">
        <v>601</v>
      </c>
      <c r="X174" s="28" t="s">
        <v>194</v>
      </c>
      <c r="Y174" s="28" t="s">
        <v>9300</v>
      </c>
      <c r="AB174" s="28" t="s">
        <v>9311</v>
      </c>
      <c r="AH174" s="28" t="s">
        <v>4714</v>
      </c>
      <c r="AI174" s="28" t="s">
        <v>9433</v>
      </c>
      <c r="AJ174" s="516" t="str">
        <f>MID('II kw.22'!W174,8,6)</f>
        <v>313904</v>
      </c>
      <c r="AK174" s="516">
        <v>1</v>
      </c>
      <c r="AL174" s="516">
        <f t="shared" si="2"/>
        <v>1</v>
      </c>
      <c r="AM174" s="516">
        <v>1</v>
      </c>
      <c r="AN174" s="28" t="s">
        <v>17650</v>
      </c>
      <c r="AO174" s="28" t="s">
        <v>17651</v>
      </c>
      <c r="AP174" s="28" t="s">
        <v>17652</v>
      </c>
      <c r="AQ174" s="28" t="s">
        <v>17653</v>
      </c>
      <c r="AR174" s="28" t="s">
        <v>1024</v>
      </c>
    </row>
    <row r="175" spans="1:44" x14ac:dyDescent="0.25">
      <c r="A175" s="28" t="s">
        <v>15464</v>
      </c>
      <c r="B175" s="28" t="s">
        <v>16319</v>
      </c>
      <c r="C175" s="28" t="s">
        <v>17</v>
      </c>
      <c r="D175" s="28" t="s">
        <v>18175</v>
      </c>
      <c r="E175" s="28" t="s">
        <v>217</v>
      </c>
      <c r="F175" s="28">
        <v>1</v>
      </c>
      <c r="G175" s="28" t="s">
        <v>193</v>
      </c>
      <c r="H175" s="28" t="s">
        <v>194</v>
      </c>
      <c r="I175" s="28" t="s">
        <v>17706</v>
      </c>
      <c r="J175" s="28" t="s">
        <v>210</v>
      </c>
      <c r="K175" s="28" t="s">
        <v>9309</v>
      </c>
      <c r="L175" s="28" t="s">
        <v>6955</v>
      </c>
      <c r="N175" s="28" t="s">
        <v>17833</v>
      </c>
      <c r="O175" s="28" t="s">
        <v>6269</v>
      </c>
      <c r="P175" s="28" t="s">
        <v>18326</v>
      </c>
      <c r="Q175" s="28" t="s">
        <v>18329</v>
      </c>
      <c r="R175" s="28" t="s">
        <v>17806</v>
      </c>
      <c r="S175" s="28" t="s">
        <v>18354</v>
      </c>
      <c r="T175" s="28" t="s">
        <v>18355</v>
      </c>
      <c r="V175" s="28" t="s">
        <v>9334</v>
      </c>
      <c r="W175" s="28" t="s">
        <v>624</v>
      </c>
      <c r="X175" s="28" t="s">
        <v>194</v>
      </c>
      <c r="Y175" s="28" t="s">
        <v>9300</v>
      </c>
      <c r="AB175" s="28" t="s">
        <v>9311</v>
      </c>
      <c r="AH175" s="28" t="s">
        <v>4714</v>
      </c>
      <c r="AI175" s="28" t="s">
        <v>9433</v>
      </c>
      <c r="AJ175" s="516" t="str">
        <f>MID('II kw.22'!W175,8,6)</f>
        <v>332203</v>
      </c>
      <c r="AK175" s="516">
        <v>1</v>
      </c>
      <c r="AL175" s="516">
        <f t="shared" si="2"/>
        <v>1</v>
      </c>
      <c r="AM175" s="516">
        <v>1</v>
      </c>
      <c r="AN175" s="28" t="s">
        <v>17650</v>
      </c>
      <c r="AO175" s="28" t="s">
        <v>17651</v>
      </c>
      <c r="AP175" s="28" t="s">
        <v>17652</v>
      </c>
      <c r="AQ175" s="28" t="s">
        <v>17653</v>
      </c>
      <c r="AR175" s="28" t="s">
        <v>1024</v>
      </c>
    </row>
    <row r="176" spans="1:44" x14ac:dyDescent="0.25">
      <c r="A176" s="28" t="s">
        <v>581</v>
      </c>
      <c r="B176" s="28" t="s">
        <v>16315</v>
      </c>
      <c r="C176" s="28" t="s">
        <v>67</v>
      </c>
      <c r="D176" s="28" t="s">
        <v>18175</v>
      </c>
      <c r="E176" s="28" t="s">
        <v>217</v>
      </c>
      <c r="F176" s="28">
        <v>1</v>
      </c>
      <c r="G176" s="28" t="s">
        <v>193</v>
      </c>
      <c r="H176" s="28" t="s">
        <v>194</v>
      </c>
      <c r="I176" s="28" t="s">
        <v>17706</v>
      </c>
      <c r="J176" s="28" t="s">
        <v>976</v>
      </c>
      <c r="K176" s="28" t="s">
        <v>9309</v>
      </c>
      <c r="L176" s="28" t="s">
        <v>6955</v>
      </c>
      <c r="N176" s="28" t="s">
        <v>18356</v>
      </c>
      <c r="O176" s="28" t="s">
        <v>6275</v>
      </c>
      <c r="P176" s="28" t="s">
        <v>18326</v>
      </c>
      <c r="Q176" s="28" t="s">
        <v>17818</v>
      </c>
      <c r="R176" s="28" t="s">
        <v>18357</v>
      </c>
      <c r="S176" s="28" t="s">
        <v>18358</v>
      </c>
      <c r="T176" s="28" t="s">
        <v>18359</v>
      </c>
      <c r="V176" s="28" t="s">
        <v>9726</v>
      </c>
      <c r="W176" s="28" t="s">
        <v>709</v>
      </c>
      <c r="X176" s="28" t="s">
        <v>194</v>
      </c>
      <c r="Y176" s="28" t="s">
        <v>9300</v>
      </c>
      <c r="AB176" s="28" t="s">
        <v>9311</v>
      </c>
      <c r="AH176" s="28" t="s">
        <v>4714</v>
      </c>
      <c r="AI176" s="28" t="s">
        <v>9433</v>
      </c>
      <c r="AJ176" s="516" t="str">
        <f>MID('II kw.22'!W176,8,6)</f>
        <v>432103</v>
      </c>
      <c r="AK176" s="516">
        <v>1</v>
      </c>
      <c r="AL176" s="516">
        <f t="shared" si="2"/>
        <v>1</v>
      </c>
      <c r="AM176" s="516">
        <v>1</v>
      </c>
      <c r="AN176" s="28" t="s">
        <v>17650</v>
      </c>
      <c r="AO176" s="28" t="s">
        <v>17651</v>
      </c>
      <c r="AP176" s="28" t="s">
        <v>17652</v>
      </c>
      <c r="AQ176" s="28" t="s">
        <v>17653</v>
      </c>
      <c r="AR176" s="28" t="s">
        <v>1024</v>
      </c>
    </row>
    <row r="177" spans="1:44" x14ac:dyDescent="0.25">
      <c r="A177" s="28" t="s">
        <v>17836</v>
      </c>
      <c r="B177" s="28" t="s">
        <v>17837</v>
      </c>
      <c r="C177" s="28" t="s">
        <v>158</v>
      </c>
      <c r="D177" s="28" t="s">
        <v>18175</v>
      </c>
      <c r="E177" s="28" t="s">
        <v>217</v>
      </c>
      <c r="F177" s="511">
        <v>1</v>
      </c>
      <c r="G177" s="227" t="s">
        <v>194</v>
      </c>
      <c r="H177" s="227" t="s">
        <v>193</v>
      </c>
      <c r="I177" s="28" t="s">
        <v>18207</v>
      </c>
      <c r="J177" s="28" t="s">
        <v>6080</v>
      </c>
      <c r="K177" s="28" t="s">
        <v>9309</v>
      </c>
      <c r="L177" s="28" t="s">
        <v>6955</v>
      </c>
      <c r="N177" s="28" t="s">
        <v>17839</v>
      </c>
      <c r="O177" s="28" t="s">
        <v>6256</v>
      </c>
      <c r="P177" s="28" t="s">
        <v>18326</v>
      </c>
      <c r="Q177" s="28" t="s">
        <v>17840</v>
      </c>
      <c r="R177" s="28" t="s">
        <v>17672</v>
      </c>
      <c r="S177" s="28" t="s">
        <v>18360</v>
      </c>
      <c r="T177" s="28" t="s">
        <v>18361</v>
      </c>
      <c r="V177" s="227"/>
      <c r="W177" s="28" t="s">
        <v>2147</v>
      </c>
      <c r="X177" s="28" t="s">
        <v>194</v>
      </c>
      <c r="Y177" s="509" t="s">
        <v>9946</v>
      </c>
      <c r="AB177" s="28" t="s">
        <v>9311</v>
      </c>
      <c r="AH177" s="28" t="s">
        <v>4714</v>
      </c>
      <c r="AI177" s="28" t="s">
        <v>9433</v>
      </c>
      <c r="AJ177" s="516" t="str">
        <f>MID('II kw.22'!W177,8,6)</f>
        <v>712403</v>
      </c>
      <c r="AK177" s="516">
        <v>1</v>
      </c>
      <c r="AL177" s="516">
        <f t="shared" si="2"/>
        <v>1</v>
      </c>
      <c r="AM177" s="516">
        <v>1</v>
      </c>
      <c r="AN177" s="28" t="s">
        <v>17650</v>
      </c>
      <c r="AO177" s="28" t="s">
        <v>17651</v>
      </c>
      <c r="AP177" s="28" t="s">
        <v>17652</v>
      </c>
      <c r="AQ177" s="28" t="s">
        <v>17653</v>
      </c>
      <c r="AR177" s="28" t="s">
        <v>1024</v>
      </c>
    </row>
    <row r="178" spans="1:44" x14ac:dyDescent="0.25">
      <c r="A178" s="28" t="s">
        <v>15140</v>
      </c>
      <c r="B178" s="28" t="s">
        <v>18362</v>
      </c>
      <c r="C178" s="28" t="s">
        <v>61</v>
      </c>
      <c r="D178" s="28" t="s">
        <v>18175</v>
      </c>
      <c r="E178" s="28" t="s">
        <v>192</v>
      </c>
      <c r="F178" s="28">
        <v>1</v>
      </c>
      <c r="G178" s="28" t="s">
        <v>193</v>
      </c>
      <c r="H178" s="28" t="s">
        <v>194</v>
      </c>
      <c r="I178" s="28" t="s">
        <v>17759</v>
      </c>
      <c r="J178" s="28" t="s">
        <v>9302</v>
      </c>
      <c r="K178" s="28" t="s">
        <v>9309</v>
      </c>
      <c r="L178" s="28" t="s">
        <v>6955</v>
      </c>
      <c r="N178" s="28" t="s">
        <v>18363</v>
      </c>
      <c r="O178" s="28" t="s">
        <v>6921</v>
      </c>
      <c r="P178" s="28" t="s">
        <v>18364</v>
      </c>
      <c r="Q178" s="28" t="s">
        <v>18329</v>
      </c>
      <c r="R178" s="28" t="s">
        <v>18365</v>
      </c>
      <c r="S178" s="28" t="s">
        <v>18366</v>
      </c>
      <c r="T178" s="28" t="s">
        <v>18367</v>
      </c>
      <c r="V178" s="27"/>
      <c r="W178" s="28" t="s">
        <v>2282</v>
      </c>
      <c r="X178" s="28" t="s">
        <v>193</v>
      </c>
      <c r="Y178" s="27" t="s">
        <v>9310</v>
      </c>
      <c r="AB178" s="28" t="s">
        <v>9311</v>
      </c>
      <c r="AH178" s="28" t="s">
        <v>4714</v>
      </c>
      <c r="AI178" s="28" t="s">
        <v>18362</v>
      </c>
      <c r="AJ178" s="516" t="str">
        <f>MID('II kw.22'!W178,8,6)</f>
        <v>251103</v>
      </c>
      <c r="AK178" s="516">
        <v>1</v>
      </c>
      <c r="AL178" s="516">
        <f t="shared" si="2"/>
        <v>1</v>
      </c>
      <c r="AM178" s="516">
        <v>1</v>
      </c>
      <c r="AN178" s="28" t="s">
        <v>17650</v>
      </c>
      <c r="AO178" s="28" t="s">
        <v>17651</v>
      </c>
      <c r="AP178" s="28" t="s">
        <v>17652</v>
      </c>
      <c r="AQ178" s="28" t="s">
        <v>17653</v>
      </c>
      <c r="AR178" s="28" t="s">
        <v>1024</v>
      </c>
    </row>
    <row r="179" spans="1:44" x14ac:dyDescent="0.25">
      <c r="A179" s="28" t="s">
        <v>2677</v>
      </c>
      <c r="B179" s="28" t="s">
        <v>67</v>
      </c>
      <c r="C179" s="28" t="s">
        <v>67</v>
      </c>
      <c r="D179" s="28" t="s">
        <v>18175</v>
      </c>
      <c r="E179" s="28" t="s">
        <v>192</v>
      </c>
      <c r="F179" s="28">
        <v>1</v>
      </c>
      <c r="G179" s="28" t="s">
        <v>193</v>
      </c>
      <c r="H179" s="28" t="s">
        <v>194</v>
      </c>
      <c r="I179" s="28" t="s">
        <v>17706</v>
      </c>
      <c r="J179" s="28" t="s">
        <v>9302</v>
      </c>
      <c r="K179" s="28" t="s">
        <v>9309</v>
      </c>
      <c r="L179" s="28" t="s">
        <v>6955</v>
      </c>
      <c r="N179" s="28" t="s">
        <v>18368</v>
      </c>
      <c r="O179" s="28" t="s">
        <v>6266</v>
      </c>
      <c r="P179" s="28" t="s">
        <v>18364</v>
      </c>
      <c r="Q179" s="28" t="s">
        <v>18329</v>
      </c>
      <c r="R179" s="28" t="s">
        <v>18365</v>
      </c>
      <c r="S179" s="28" t="s">
        <v>18369</v>
      </c>
      <c r="T179" s="28" t="s">
        <v>18370</v>
      </c>
      <c r="V179" s="27"/>
      <c r="W179" s="28" t="s">
        <v>709</v>
      </c>
      <c r="X179" s="28" t="s">
        <v>193</v>
      </c>
      <c r="Y179" s="27" t="s">
        <v>9310</v>
      </c>
      <c r="AB179" s="28" t="s">
        <v>9311</v>
      </c>
      <c r="AH179" s="28" t="s">
        <v>4714</v>
      </c>
      <c r="AI179" s="28" t="s">
        <v>67</v>
      </c>
      <c r="AJ179" s="516" t="str">
        <f>MID('II kw.22'!W179,8,6)</f>
        <v>432103</v>
      </c>
      <c r="AK179" s="516">
        <v>1</v>
      </c>
      <c r="AL179" s="516">
        <f t="shared" si="2"/>
        <v>1</v>
      </c>
      <c r="AM179" s="516">
        <v>1</v>
      </c>
      <c r="AN179" s="28" t="s">
        <v>17650</v>
      </c>
      <c r="AO179" s="28" t="s">
        <v>17651</v>
      </c>
      <c r="AP179" s="28" t="s">
        <v>17652</v>
      </c>
      <c r="AQ179" s="28" t="s">
        <v>17653</v>
      </c>
      <c r="AR179" s="28" t="s">
        <v>1024</v>
      </c>
    </row>
    <row r="180" spans="1:44" x14ac:dyDescent="0.25">
      <c r="A180" s="28" t="s">
        <v>18371</v>
      </c>
      <c r="B180" s="28" t="s">
        <v>18372</v>
      </c>
      <c r="C180" s="28" t="s">
        <v>778</v>
      </c>
      <c r="D180" s="28" t="s">
        <v>18175</v>
      </c>
      <c r="E180" s="28" t="s">
        <v>192</v>
      </c>
      <c r="F180" s="28">
        <v>1</v>
      </c>
      <c r="G180" s="28" t="s">
        <v>193</v>
      </c>
      <c r="H180" s="28" t="s">
        <v>194</v>
      </c>
      <c r="I180" s="28" t="s">
        <v>17759</v>
      </c>
      <c r="J180" s="28" t="s">
        <v>9302</v>
      </c>
      <c r="K180" s="28" t="s">
        <v>9309</v>
      </c>
      <c r="L180" s="28" t="s">
        <v>6955</v>
      </c>
      <c r="N180" s="28" t="s">
        <v>18373</v>
      </c>
      <c r="O180" s="28" t="s">
        <v>6343</v>
      </c>
      <c r="P180" s="28" t="s">
        <v>18364</v>
      </c>
      <c r="Q180" s="28" t="s">
        <v>18329</v>
      </c>
      <c r="R180" s="28" t="s">
        <v>18365</v>
      </c>
      <c r="S180" s="28" t="s">
        <v>18374</v>
      </c>
      <c r="T180" s="28" t="s">
        <v>18375</v>
      </c>
      <c r="V180" s="27"/>
      <c r="W180" s="28" t="s">
        <v>779</v>
      </c>
      <c r="X180" s="28" t="s">
        <v>193</v>
      </c>
      <c r="Y180" s="27" t="s">
        <v>9310</v>
      </c>
      <c r="AB180" s="28" t="s">
        <v>9311</v>
      </c>
      <c r="AH180" s="28" t="s">
        <v>4714</v>
      </c>
      <c r="AI180" s="28" t="s">
        <v>18372</v>
      </c>
      <c r="AJ180" s="516" t="str">
        <f>MID('II kw.22'!W180,8,6)</f>
        <v>524902</v>
      </c>
      <c r="AK180" s="516">
        <v>1</v>
      </c>
      <c r="AL180" s="516">
        <f t="shared" si="2"/>
        <v>1</v>
      </c>
      <c r="AM180" s="516">
        <v>1</v>
      </c>
      <c r="AN180" s="28" t="s">
        <v>17650</v>
      </c>
      <c r="AO180" s="28" t="s">
        <v>17651</v>
      </c>
      <c r="AP180" s="28" t="s">
        <v>17652</v>
      </c>
      <c r="AQ180" s="28" t="s">
        <v>17653</v>
      </c>
      <c r="AR180" s="28" t="s">
        <v>1024</v>
      </c>
    </row>
    <row r="181" spans="1:44" x14ac:dyDescent="0.25">
      <c r="A181" s="28" t="s">
        <v>18376</v>
      </c>
      <c r="B181" s="28" t="s">
        <v>18377</v>
      </c>
      <c r="C181" s="28" t="s">
        <v>115</v>
      </c>
      <c r="D181" s="28" t="s">
        <v>18175</v>
      </c>
      <c r="E181" s="28" t="s">
        <v>192</v>
      </c>
      <c r="F181" s="28">
        <v>1</v>
      </c>
      <c r="G181" s="28" t="s">
        <v>193</v>
      </c>
      <c r="H181" s="28" t="s">
        <v>194</v>
      </c>
      <c r="I181" s="28" t="s">
        <v>17672</v>
      </c>
      <c r="J181" s="28" t="s">
        <v>9302</v>
      </c>
      <c r="K181" s="28" t="s">
        <v>9309</v>
      </c>
      <c r="L181" s="28" t="s">
        <v>6955</v>
      </c>
      <c r="N181" s="28" t="s">
        <v>18378</v>
      </c>
      <c r="O181" s="28" t="s">
        <v>6245</v>
      </c>
      <c r="P181" s="28" t="s">
        <v>18364</v>
      </c>
      <c r="Q181" s="28" t="s">
        <v>18329</v>
      </c>
      <c r="R181" s="28" t="s">
        <v>18379</v>
      </c>
      <c r="S181" s="28" t="s">
        <v>18380</v>
      </c>
      <c r="T181" s="28" t="s">
        <v>18381</v>
      </c>
      <c r="V181" s="27"/>
      <c r="W181" s="28" t="s">
        <v>1183</v>
      </c>
      <c r="X181" s="28" t="s">
        <v>193</v>
      </c>
      <c r="Y181" s="27" t="s">
        <v>9310</v>
      </c>
      <c r="AB181" s="28" t="s">
        <v>9311</v>
      </c>
      <c r="AH181" s="28" t="s">
        <v>4714</v>
      </c>
      <c r="AI181" s="28" t="s">
        <v>18377</v>
      </c>
      <c r="AJ181" s="516" t="str">
        <f>MID('II kw.22'!W181,8,6)</f>
        <v>311909</v>
      </c>
      <c r="AK181" s="516">
        <v>1</v>
      </c>
      <c r="AL181" s="518">
        <f t="shared" si="2"/>
        <v>1</v>
      </c>
      <c r="AM181" s="516">
        <v>1</v>
      </c>
      <c r="AN181" s="28" t="s">
        <v>17650</v>
      </c>
      <c r="AO181" s="28" t="s">
        <v>17651</v>
      </c>
      <c r="AP181" s="28" t="s">
        <v>17652</v>
      </c>
      <c r="AQ181" s="28" t="s">
        <v>17653</v>
      </c>
      <c r="AR181" s="28" t="s">
        <v>1024</v>
      </c>
    </row>
    <row r="182" spans="1:44" x14ac:dyDescent="0.25">
      <c r="A182" s="28" t="s">
        <v>18376</v>
      </c>
      <c r="B182" s="28" t="s">
        <v>2635</v>
      </c>
      <c r="C182" s="28" t="s">
        <v>560</v>
      </c>
      <c r="D182" s="28" t="s">
        <v>18175</v>
      </c>
      <c r="E182" s="28" t="s">
        <v>192</v>
      </c>
      <c r="F182" s="28">
        <v>1</v>
      </c>
      <c r="G182" s="28" t="s">
        <v>193</v>
      </c>
      <c r="H182" s="28" t="s">
        <v>194</v>
      </c>
      <c r="I182" s="28" t="s">
        <v>17672</v>
      </c>
      <c r="J182" s="28" t="s">
        <v>9302</v>
      </c>
      <c r="K182" s="28" t="s">
        <v>9309</v>
      </c>
      <c r="L182" s="28" t="s">
        <v>6955</v>
      </c>
      <c r="N182" s="28" t="s">
        <v>18382</v>
      </c>
      <c r="O182" s="28" t="s">
        <v>6258</v>
      </c>
      <c r="P182" s="28" t="s">
        <v>18364</v>
      </c>
      <c r="Q182" s="28" t="s">
        <v>18329</v>
      </c>
      <c r="R182" s="28" t="s">
        <v>18379</v>
      </c>
      <c r="S182" s="28" t="s">
        <v>18383</v>
      </c>
      <c r="T182" s="28" t="s">
        <v>18384</v>
      </c>
      <c r="V182" s="27"/>
      <c r="W182" s="28" t="s">
        <v>561</v>
      </c>
      <c r="X182" s="28" t="s">
        <v>193</v>
      </c>
      <c r="Y182" s="27" t="s">
        <v>9310</v>
      </c>
      <c r="AB182" s="28" t="s">
        <v>9311</v>
      </c>
      <c r="AH182" s="28" t="s">
        <v>4714</v>
      </c>
      <c r="AI182" s="28" t="s">
        <v>2635</v>
      </c>
      <c r="AJ182" s="516" t="str">
        <f>MID('II kw.22'!W182,8,6)</f>
        <v>311408</v>
      </c>
      <c r="AK182" s="516">
        <v>1</v>
      </c>
      <c r="AL182" s="516">
        <f t="shared" si="2"/>
        <v>1</v>
      </c>
      <c r="AM182" s="516">
        <v>1</v>
      </c>
      <c r="AN182" s="28" t="s">
        <v>17650</v>
      </c>
      <c r="AO182" s="28" t="s">
        <v>17651</v>
      </c>
      <c r="AP182" s="28" t="s">
        <v>17652</v>
      </c>
      <c r="AQ182" s="28" t="s">
        <v>17653</v>
      </c>
      <c r="AR182" s="28" t="s">
        <v>1024</v>
      </c>
    </row>
    <row r="183" spans="1:44" x14ac:dyDescent="0.25">
      <c r="A183" s="28" t="s">
        <v>18385</v>
      </c>
      <c r="B183" s="28" t="s">
        <v>18386</v>
      </c>
      <c r="C183" s="28" t="s">
        <v>16248</v>
      </c>
      <c r="D183" s="28" t="s">
        <v>18175</v>
      </c>
      <c r="E183" s="28" t="s">
        <v>192</v>
      </c>
      <c r="F183" s="28">
        <v>1</v>
      </c>
      <c r="G183" s="28" t="s">
        <v>193</v>
      </c>
      <c r="H183" s="28" t="s">
        <v>194</v>
      </c>
      <c r="I183" s="28" t="s">
        <v>17784</v>
      </c>
      <c r="J183" s="28" t="s">
        <v>9302</v>
      </c>
      <c r="K183" s="28" t="s">
        <v>9309</v>
      </c>
      <c r="L183" s="28" t="s">
        <v>6955</v>
      </c>
      <c r="N183" s="28" t="s">
        <v>18387</v>
      </c>
      <c r="O183" s="28" t="s">
        <v>6302</v>
      </c>
      <c r="P183" s="28" t="s">
        <v>18364</v>
      </c>
      <c r="Q183" s="28" t="s">
        <v>18329</v>
      </c>
      <c r="R183" s="28" t="s">
        <v>18365</v>
      </c>
      <c r="S183" s="28" t="s">
        <v>18388</v>
      </c>
      <c r="T183" s="28" t="s">
        <v>18389</v>
      </c>
      <c r="V183" s="27"/>
      <c r="W183" s="28" t="s">
        <v>16246</v>
      </c>
      <c r="X183" s="28" t="s">
        <v>193</v>
      </c>
      <c r="Y183" s="27" t="s">
        <v>9310</v>
      </c>
      <c r="AB183" s="28" t="s">
        <v>9311</v>
      </c>
      <c r="AH183" s="28" t="s">
        <v>4714</v>
      </c>
      <c r="AI183" s="28" t="s">
        <v>18386</v>
      </c>
      <c r="AJ183" s="516" t="str">
        <f>MID('II kw.22'!W183,8,6)</f>
        <v>263510</v>
      </c>
      <c r="AK183" s="516">
        <v>1</v>
      </c>
      <c r="AL183" s="516">
        <f t="shared" si="2"/>
        <v>1</v>
      </c>
      <c r="AM183" s="516">
        <v>1</v>
      </c>
      <c r="AN183" s="28" t="s">
        <v>17650</v>
      </c>
      <c r="AO183" s="28" t="s">
        <v>17651</v>
      </c>
      <c r="AP183" s="28" t="s">
        <v>17652</v>
      </c>
      <c r="AQ183" s="28" t="s">
        <v>17653</v>
      </c>
      <c r="AR183" s="28" t="s">
        <v>1024</v>
      </c>
    </row>
    <row r="184" spans="1:44" x14ac:dyDescent="0.25">
      <c r="A184" s="28" t="s">
        <v>18390</v>
      </c>
      <c r="B184" s="28" t="s">
        <v>18391</v>
      </c>
      <c r="C184" s="28" t="s">
        <v>27</v>
      </c>
      <c r="D184" s="28" t="s">
        <v>18175</v>
      </c>
      <c r="E184" s="28" t="s">
        <v>192</v>
      </c>
      <c r="F184" s="28">
        <v>1</v>
      </c>
      <c r="G184" s="28" t="s">
        <v>193</v>
      </c>
      <c r="H184" s="28" t="s">
        <v>194</v>
      </c>
      <c r="I184" s="28" t="s">
        <v>17759</v>
      </c>
      <c r="J184" s="28" t="s">
        <v>9302</v>
      </c>
      <c r="K184" s="28" t="s">
        <v>9309</v>
      </c>
      <c r="L184" s="28" t="s">
        <v>6955</v>
      </c>
      <c r="N184" s="28" t="s">
        <v>18392</v>
      </c>
      <c r="O184" s="28" t="s">
        <v>6286</v>
      </c>
      <c r="P184" s="28" t="s">
        <v>18364</v>
      </c>
      <c r="Q184" s="28" t="s">
        <v>18329</v>
      </c>
      <c r="R184" s="28" t="s">
        <v>18365</v>
      </c>
      <c r="S184" s="28" t="s">
        <v>18393</v>
      </c>
      <c r="T184" s="28" t="s">
        <v>18394</v>
      </c>
      <c r="V184" s="27"/>
      <c r="W184" s="28" t="s">
        <v>440</v>
      </c>
      <c r="X184" s="28" t="s">
        <v>193</v>
      </c>
      <c r="Y184" s="27" t="s">
        <v>9310</v>
      </c>
      <c r="AB184" s="28" t="s">
        <v>9311</v>
      </c>
      <c r="AH184" s="28" t="s">
        <v>4714</v>
      </c>
      <c r="AI184" s="28" t="s">
        <v>18391</v>
      </c>
      <c r="AJ184" s="516" t="str">
        <f>MID('II kw.22'!W184,8,6)</f>
        <v>242307</v>
      </c>
      <c r="AK184" s="516">
        <v>1</v>
      </c>
      <c r="AL184" s="516">
        <f t="shared" si="2"/>
        <v>1</v>
      </c>
      <c r="AM184" s="516">
        <v>1</v>
      </c>
      <c r="AN184" s="28" t="s">
        <v>17650</v>
      </c>
      <c r="AO184" s="28" t="s">
        <v>17651</v>
      </c>
      <c r="AP184" s="28" t="s">
        <v>17652</v>
      </c>
      <c r="AQ184" s="28" t="s">
        <v>17653</v>
      </c>
      <c r="AR184" s="28" t="s">
        <v>1024</v>
      </c>
    </row>
    <row r="185" spans="1:44" x14ac:dyDescent="0.25">
      <c r="A185" s="28" t="s">
        <v>18395</v>
      </c>
      <c r="B185" s="28" t="s">
        <v>18396</v>
      </c>
      <c r="C185" s="28" t="s">
        <v>10</v>
      </c>
      <c r="D185" s="28" t="s">
        <v>18175</v>
      </c>
      <c r="E185" s="28" t="s">
        <v>192</v>
      </c>
      <c r="F185" s="28">
        <v>1</v>
      </c>
      <c r="G185" s="28" t="s">
        <v>193</v>
      </c>
      <c r="H185" s="28" t="s">
        <v>194</v>
      </c>
      <c r="I185" s="28" t="s">
        <v>17672</v>
      </c>
      <c r="J185" s="28" t="s">
        <v>9302</v>
      </c>
      <c r="K185" s="28" t="s">
        <v>9309</v>
      </c>
      <c r="L185" s="28" t="s">
        <v>6955</v>
      </c>
      <c r="N185" s="28" t="s">
        <v>18397</v>
      </c>
      <c r="O185" s="28" t="s">
        <v>6261</v>
      </c>
      <c r="P185" s="28" t="s">
        <v>18364</v>
      </c>
      <c r="Q185" s="28" t="s">
        <v>18329</v>
      </c>
      <c r="R185" s="28" t="s">
        <v>18365</v>
      </c>
      <c r="S185" s="28" t="s">
        <v>18398</v>
      </c>
      <c r="T185" s="28" t="s">
        <v>18399</v>
      </c>
      <c r="V185" s="27"/>
      <c r="W185" s="28" t="s">
        <v>484</v>
      </c>
      <c r="X185" s="28" t="s">
        <v>193</v>
      </c>
      <c r="Y185" s="27" t="s">
        <v>9310</v>
      </c>
      <c r="AB185" s="28" t="s">
        <v>9311</v>
      </c>
      <c r="AH185" s="28" t="s">
        <v>4714</v>
      </c>
      <c r="AI185" s="28" t="s">
        <v>18396</v>
      </c>
      <c r="AJ185" s="516" t="str">
        <f>MID('II kw.22'!W185,8,6)</f>
        <v>251401</v>
      </c>
      <c r="AK185" s="516">
        <v>1</v>
      </c>
      <c r="AL185" s="516">
        <f t="shared" si="2"/>
        <v>1</v>
      </c>
      <c r="AM185" s="516">
        <v>1</v>
      </c>
      <c r="AN185" s="28" t="s">
        <v>17650</v>
      </c>
      <c r="AO185" s="28" t="s">
        <v>17651</v>
      </c>
      <c r="AP185" s="28" t="s">
        <v>17652</v>
      </c>
      <c r="AQ185" s="28" t="s">
        <v>17653</v>
      </c>
      <c r="AR185" s="28" t="s">
        <v>1024</v>
      </c>
    </row>
    <row r="186" spans="1:44" x14ac:dyDescent="0.25">
      <c r="A186" s="28" t="s">
        <v>18400</v>
      </c>
      <c r="B186" s="28" t="s">
        <v>18401</v>
      </c>
      <c r="C186" s="28" t="s">
        <v>776</v>
      </c>
      <c r="D186" s="28" t="s">
        <v>18175</v>
      </c>
      <c r="E186" s="28" t="s">
        <v>192</v>
      </c>
      <c r="F186" s="28">
        <v>1</v>
      </c>
      <c r="G186" s="28" t="s">
        <v>193</v>
      </c>
      <c r="H186" s="28" t="s">
        <v>194</v>
      </c>
      <c r="I186" s="28" t="s">
        <v>17784</v>
      </c>
      <c r="J186" s="28" t="s">
        <v>9302</v>
      </c>
      <c r="K186" s="28" t="s">
        <v>9309</v>
      </c>
      <c r="L186" s="28" t="s">
        <v>6955</v>
      </c>
      <c r="N186" s="28" t="s">
        <v>18402</v>
      </c>
      <c r="O186" s="28" t="s">
        <v>6302</v>
      </c>
      <c r="P186" s="28" t="s">
        <v>18364</v>
      </c>
      <c r="Q186" s="28" t="s">
        <v>18329</v>
      </c>
      <c r="R186" s="28" t="s">
        <v>18365</v>
      </c>
      <c r="S186" s="28" t="s">
        <v>18403</v>
      </c>
      <c r="T186" s="28" t="s">
        <v>18404</v>
      </c>
      <c r="V186" s="27"/>
      <c r="W186" s="28" t="s">
        <v>777</v>
      </c>
      <c r="X186" s="28" t="s">
        <v>193</v>
      </c>
      <c r="Y186" s="27" t="s">
        <v>9310</v>
      </c>
      <c r="AB186" s="28" t="s">
        <v>9311</v>
      </c>
      <c r="AH186" s="28" t="s">
        <v>4714</v>
      </c>
      <c r="AI186" s="28" t="s">
        <v>18401</v>
      </c>
      <c r="AJ186" s="516" t="str">
        <f>MID('II kw.22'!W186,8,6)</f>
        <v>524403</v>
      </c>
      <c r="AK186" s="516">
        <v>1</v>
      </c>
      <c r="AL186" s="516">
        <f t="shared" si="2"/>
        <v>1</v>
      </c>
      <c r="AM186" s="516">
        <v>1</v>
      </c>
      <c r="AN186" s="28" t="s">
        <v>17650</v>
      </c>
      <c r="AO186" s="28" t="s">
        <v>17651</v>
      </c>
      <c r="AP186" s="28" t="s">
        <v>17652</v>
      </c>
      <c r="AQ186" s="28" t="s">
        <v>17653</v>
      </c>
      <c r="AR186" s="28" t="s">
        <v>1024</v>
      </c>
    </row>
    <row r="187" spans="1:44" x14ac:dyDescent="0.25">
      <c r="A187" s="28" t="s">
        <v>18405</v>
      </c>
      <c r="B187" s="28" t="s">
        <v>18406</v>
      </c>
      <c r="C187" s="28" t="s">
        <v>115</v>
      </c>
      <c r="D187" s="28" t="s">
        <v>18175</v>
      </c>
      <c r="E187" s="28" t="s">
        <v>192</v>
      </c>
      <c r="F187" s="28">
        <v>1</v>
      </c>
      <c r="G187" s="28" t="s">
        <v>193</v>
      </c>
      <c r="H187" s="28" t="s">
        <v>194</v>
      </c>
      <c r="I187" s="28" t="s">
        <v>17656</v>
      </c>
      <c r="J187" s="28" t="s">
        <v>9302</v>
      </c>
      <c r="K187" s="28" t="s">
        <v>9309</v>
      </c>
      <c r="L187" s="28" t="s">
        <v>6955</v>
      </c>
      <c r="N187" s="28" t="s">
        <v>18407</v>
      </c>
      <c r="O187" s="28" t="s">
        <v>6254</v>
      </c>
      <c r="P187" s="28" t="s">
        <v>18364</v>
      </c>
      <c r="Q187" s="28" t="s">
        <v>18329</v>
      </c>
      <c r="R187" s="28" t="s">
        <v>18365</v>
      </c>
      <c r="S187" s="28" t="s">
        <v>18408</v>
      </c>
      <c r="T187" s="28" t="s">
        <v>18409</v>
      </c>
      <c r="V187" s="27"/>
      <c r="W187" s="28" t="s">
        <v>1183</v>
      </c>
      <c r="X187" s="28" t="s">
        <v>193</v>
      </c>
      <c r="Y187" s="27" t="s">
        <v>9310</v>
      </c>
      <c r="AB187" s="28" t="s">
        <v>9311</v>
      </c>
      <c r="AH187" s="28" t="s">
        <v>4714</v>
      </c>
      <c r="AI187" s="28" t="s">
        <v>18406</v>
      </c>
      <c r="AJ187" s="516" t="str">
        <f>MID('II kw.22'!W187,8,6)</f>
        <v>311909</v>
      </c>
      <c r="AK187" s="516">
        <v>1</v>
      </c>
      <c r="AL187" s="516">
        <f t="shared" si="2"/>
        <v>1</v>
      </c>
      <c r="AM187" s="516">
        <v>1</v>
      </c>
      <c r="AN187" s="28" t="s">
        <v>17650</v>
      </c>
      <c r="AO187" s="28" t="s">
        <v>17651</v>
      </c>
      <c r="AP187" s="28" t="s">
        <v>17652</v>
      </c>
      <c r="AQ187" s="28" t="s">
        <v>17653</v>
      </c>
      <c r="AR187" s="28" t="s">
        <v>1024</v>
      </c>
    </row>
    <row r="188" spans="1:44" x14ac:dyDescent="0.25">
      <c r="A188" s="28" t="s">
        <v>7674</v>
      </c>
      <c r="B188" s="28" t="s">
        <v>18410</v>
      </c>
      <c r="C188" s="28" t="s">
        <v>36</v>
      </c>
      <c r="D188" s="28" t="s">
        <v>18175</v>
      </c>
      <c r="E188" s="28" t="s">
        <v>192</v>
      </c>
      <c r="F188" s="28">
        <v>1</v>
      </c>
      <c r="G188" s="28" t="s">
        <v>193</v>
      </c>
      <c r="H188" s="28" t="s">
        <v>194</v>
      </c>
      <c r="I188" s="28" t="s">
        <v>17656</v>
      </c>
      <c r="J188" s="28" t="s">
        <v>210</v>
      </c>
      <c r="K188" s="28" t="s">
        <v>9309</v>
      </c>
      <c r="L188" s="28" t="s">
        <v>6955</v>
      </c>
      <c r="N188" s="28" t="s">
        <v>18411</v>
      </c>
      <c r="O188" s="28" t="s">
        <v>6254</v>
      </c>
      <c r="P188" s="28" t="s">
        <v>18364</v>
      </c>
      <c r="Q188" s="28" t="s">
        <v>18329</v>
      </c>
      <c r="R188" s="28" t="s">
        <v>18365</v>
      </c>
      <c r="S188" s="28" t="s">
        <v>18412</v>
      </c>
      <c r="T188" s="28" t="s">
        <v>18413</v>
      </c>
      <c r="V188" s="28" t="s">
        <v>9334</v>
      </c>
      <c r="W188" s="28" t="s">
        <v>609</v>
      </c>
      <c r="X188" s="28" t="s">
        <v>194</v>
      </c>
      <c r="Y188" s="28" t="s">
        <v>9300</v>
      </c>
      <c r="AB188" s="28" t="s">
        <v>9311</v>
      </c>
      <c r="AH188" s="28" t="s">
        <v>4714</v>
      </c>
      <c r="AI188" s="28" t="s">
        <v>18410</v>
      </c>
      <c r="AJ188" s="516" t="str">
        <f>MID('II kw.22'!W188,8,6)</f>
        <v>331301</v>
      </c>
      <c r="AK188" s="516">
        <v>1</v>
      </c>
      <c r="AL188" s="516">
        <f t="shared" si="2"/>
        <v>1</v>
      </c>
      <c r="AM188" s="516">
        <v>1</v>
      </c>
      <c r="AN188" s="28" t="s">
        <v>17650</v>
      </c>
      <c r="AO188" s="28" t="s">
        <v>17651</v>
      </c>
      <c r="AP188" s="28" t="s">
        <v>17652</v>
      </c>
      <c r="AQ188" s="28" t="s">
        <v>17653</v>
      </c>
      <c r="AR188" s="28" t="s">
        <v>1024</v>
      </c>
    </row>
    <row r="189" spans="1:44" x14ac:dyDescent="0.25">
      <c r="A189" s="28" t="s">
        <v>14637</v>
      </c>
      <c r="B189" s="28" t="s">
        <v>18414</v>
      </c>
      <c r="C189" s="28" t="s">
        <v>6472</v>
      </c>
      <c r="D189" s="28" t="s">
        <v>18175</v>
      </c>
      <c r="E189" s="28" t="s">
        <v>192</v>
      </c>
      <c r="F189" s="28">
        <v>1</v>
      </c>
      <c r="G189" s="28" t="s">
        <v>193</v>
      </c>
      <c r="H189" s="28" t="s">
        <v>194</v>
      </c>
      <c r="I189" s="28" t="s">
        <v>17656</v>
      </c>
      <c r="J189" s="28" t="s">
        <v>1889</v>
      </c>
      <c r="K189" s="28" t="s">
        <v>9309</v>
      </c>
      <c r="L189" s="28" t="s">
        <v>6955</v>
      </c>
      <c r="N189" s="28" t="s">
        <v>18415</v>
      </c>
      <c r="O189" s="28" t="s">
        <v>6245</v>
      </c>
      <c r="P189" s="28" t="s">
        <v>18364</v>
      </c>
      <c r="Q189" s="28" t="s">
        <v>18329</v>
      </c>
      <c r="R189" s="28" t="s">
        <v>18365</v>
      </c>
      <c r="S189" s="28" t="s">
        <v>18416</v>
      </c>
      <c r="T189" s="28" t="s">
        <v>18417</v>
      </c>
      <c r="V189" s="28" t="s">
        <v>9786</v>
      </c>
      <c r="W189" s="28" t="s">
        <v>1938</v>
      </c>
      <c r="X189" s="28" t="s">
        <v>194</v>
      </c>
      <c r="Y189" s="28" t="s">
        <v>9300</v>
      </c>
      <c r="AB189" s="28" t="s">
        <v>9311</v>
      </c>
      <c r="AH189" s="28" t="s">
        <v>4714</v>
      </c>
      <c r="AI189" s="28" t="s">
        <v>18414</v>
      </c>
      <c r="AJ189" s="516" t="str">
        <f>MID('II kw.22'!W189,8,6)</f>
        <v>214406</v>
      </c>
      <c r="AK189" s="516">
        <v>1</v>
      </c>
      <c r="AL189" s="516">
        <f t="shared" si="2"/>
        <v>1</v>
      </c>
      <c r="AM189" s="516">
        <v>1</v>
      </c>
      <c r="AN189" s="28" t="s">
        <v>17650</v>
      </c>
      <c r="AO189" s="28" t="s">
        <v>17651</v>
      </c>
      <c r="AP189" s="28" t="s">
        <v>17652</v>
      </c>
      <c r="AQ189" s="28" t="s">
        <v>17653</v>
      </c>
      <c r="AR189" s="28" t="s">
        <v>1024</v>
      </c>
    </row>
    <row r="190" spans="1:44" x14ac:dyDescent="0.25">
      <c r="A190" s="28" t="s">
        <v>14864</v>
      </c>
      <c r="B190" s="28" t="s">
        <v>18418</v>
      </c>
      <c r="C190" s="28" t="s">
        <v>10</v>
      </c>
      <c r="D190" s="28" t="s">
        <v>18175</v>
      </c>
      <c r="E190" s="28" t="s">
        <v>192</v>
      </c>
      <c r="F190" s="28">
        <v>1</v>
      </c>
      <c r="G190" s="28" t="s">
        <v>193</v>
      </c>
      <c r="H190" s="28" t="s">
        <v>194</v>
      </c>
      <c r="I190" s="28" t="s">
        <v>17672</v>
      </c>
      <c r="J190" s="28" t="s">
        <v>9302</v>
      </c>
      <c r="K190" s="28" t="s">
        <v>9309</v>
      </c>
      <c r="L190" s="28" t="s">
        <v>6955</v>
      </c>
      <c r="N190" s="28" t="s">
        <v>18419</v>
      </c>
      <c r="O190" s="28" t="s">
        <v>6921</v>
      </c>
      <c r="P190" s="28" t="s">
        <v>18364</v>
      </c>
      <c r="Q190" s="28" t="s">
        <v>18329</v>
      </c>
      <c r="R190" s="28" t="s">
        <v>18365</v>
      </c>
      <c r="S190" s="28" t="s">
        <v>18420</v>
      </c>
      <c r="T190" s="28" t="s">
        <v>18421</v>
      </c>
      <c r="V190" s="27"/>
      <c r="W190" s="28" t="s">
        <v>484</v>
      </c>
      <c r="X190" s="28" t="s">
        <v>193</v>
      </c>
      <c r="Y190" s="27" t="s">
        <v>9310</v>
      </c>
      <c r="AB190" s="28" t="s">
        <v>9311</v>
      </c>
      <c r="AH190" s="28" t="s">
        <v>4714</v>
      </c>
      <c r="AI190" s="28" t="s">
        <v>18418</v>
      </c>
      <c r="AJ190" s="516" t="str">
        <f>MID('II kw.22'!W190,8,6)</f>
        <v>251401</v>
      </c>
      <c r="AK190" s="516">
        <v>1</v>
      </c>
      <c r="AL190" s="516">
        <f t="shared" si="2"/>
        <v>1</v>
      </c>
      <c r="AM190" s="516">
        <v>1</v>
      </c>
      <c r="AN190" s="28" t="s">
        <v>17650</v>
      </c>
      <c r="AO190" s="28" t="s">
        <v>17651</v>
      </c>
      <c r="AP190" s="28" t="s">
        <v>17652</v>
      </c>
      <c r="AQ190" s="28" t="s">
        <v>17653</v>
      </c>
      <c r="AR190" s="28" t="s">
        <v>1024</v>
      </c>
    </row>
    <row r="191" spans="1:44" x14ac:dyDescent="0.25">
      <c r="A191" s="28" t="s">
        <v>16186</v>
      </c>
      <c r="B191" s="28" t="s">
        <v>18422</v>
      </c>
      <c r="C191" s="28" t="s">
        <v>43</v>
      </c>
      <c r="D191" s="28" t="s">
        <v>18175</v>
      </c>
      <c r="E191" s="28" t="s">
        <v>192</v>
      </c>
      <c r="F191" s="28">
        <v>1</v>
      </c>
      <c r="G191" s="28" t="s">
        <v>193</v>
      </c>
      <c r="H191" s="28" t="s">
        <v>194</v>
      </c>
      <c r="I191" s="28" t="s">
        <v>17784</v>
      </c>
      <c r="J191" s="28" t="s">
        <v>9302</v>
      </c>
      <c r="K191" s="28" t="s">
        <v>9309</v>
      </c>
      <c r="L191" s="28" t="s">
        <v>6955</v>
      </c>
      <c r="N191" s="28" t="s">
        <v>18423</v>
      </c>
      <c r="O191" s="28" t="s">
        <v>6302</v>
      </c>
      <c r="P191" s="28" t="s">
        <v>18364</v>
      </c>
      <c r="Q191" s="28" t="s">
        <v>18329</v>
      </c>
      <c r="R191" s="28" t="s">
        <v>18365</v>
      </c>
      <c r="S191" s="28" t="s">
        <v>18424</v>
      </c>
      <c r="T191" s="28" t="s">
        <v>18425</v>
      </c>
      <c r="V191" s="27"/>
      <c r="W191" s="28" t="s">
        <v>452</v>
      </c>
      <c r="X191" s="28" t="s">
        <v>193</v>
      </c>
      <c r="Y191" s="27" t="s">
        <v>9310</v>
      </c>
      <c r="AB191" s="28" t="s">
        <v>9311</v>
      </c>
      <c r="AH191" s="28" t="s">
        <v>4714</v>
      </c>
      <c r="AI191" s="28" t="s">
        <v>18422</v>
      </c>
      <c r="AJ191" s="516" t="str">
        <f>MID('II kw.22'!W191,8,6)</f>
        <v>243106</v>
      </c>
      <c r="AK191" s="516">
        <v>1</v>
      </c>
      <c r="AL191" s="516">
        <f t="shared" si="2"/>
        <v>1</v>
      </c>
      <c r="AM191" s="516">
        <v>1</v>
      </c>
      <c r="AN191" s="28" t="s">
        <v>17650</v>
      </c>
      <c r="AO191" s="28" t="s">
        <v>17651</v>
      </c>
      <c r="AP191" s="28" t="s">
        <v>17652</v>
      </c>
      <c r="AQ191" s="28" t="s">
        <v>17653</v>
      </c>
      <c r="AR191" s="28" t="s">
        <v>1024</v>
      </c>
    </row>
    <row r="192" spans="1:44" x14ac:dyDescent="0.25">
      <c r="A192" s="28" t="s">
        <v>18426</v>
      </c>
      <c r="B192" s="28" t="s">
        <v>921</v>
      </c>
      <c r="C192" s="28" t="s">
        <v>922</v>
      </c>
      <c r="D192" s="28" t="s">
        <v>18175</v>
      </c>
      <c r="E192" s="28" t="s">
        <v>192</v>
      </c>
      <c r="F192" s="28">
        <v>1</v>
      </c>
      <c r="G192" s="28" t="s">
        <v>193</v>
      </c>
      <c r="H192" s="28" t="s">
        <v>194</v>
      </c>
      <c r="I192" s="28" t="s">
        <v>17706</v>
      </c>
      <c r="J192" s="28" t="s">
        <v>9302</v>
      </c>
      <c r="K192" s="28" t="s">
        <v>9309</v>
      </c>
      <c r="L192" s="28" t="s">
        <v>6955</v>
      </c>
      <c r="N192" s="28" t="s">
        <v>18427</v>
      </c>
      <c r="O192" s="28" t="s">
        <v>7531</v>
      </c>
      <c r="P192" s="28" t="s">
        <v>18205</v>
      </c>
      <c r="Q192" s="28" t="s">
        <v>18329</v>
      </c>
      <c r="R192" s="28" t="s">
        <v>18365</v>
      </c>
      <c r="S192" s="28" t="s">
        <v>18428</v>
      </c>
      <c r="T192" s="28" t="s">
        <v>18429</v>
      </c>
      <c r="V192" s="27"/>
      <c r="W192" s="28" t="s">
        <v>923</v>
      </c>
      <c r="X192" s="28" t="s">
        <v>193</v>
      </c>
      <c r="Y192" s="27" t="s">
        <v>9310</v>
      </c>
      <c r="AB192" s="28" t="s">
        <v>9311</v>
      </c>
      <c r="AH192" s="28" t="s">
        <v>4714</v>
      </c>
      <c r="AI192" s="28" t="s">
        <v>922</v>
      </c>
      <c r="AJ192" s="516" t="str">
        <f>MID('II kw.22'!W192,8,6)</f>
        <v>112006</v>
      </c>
      <c r="AK192" s="516">
        <v>1</v>
      </c>
      <c r="AL192" s="516">
        <f t="shared" si="2"/>
        <v>1</v>
      </c>
      <c r="AM192" s="516">
        <v>1</v>
      </c>
      <c r="AN192" s="28" t="s">
        <v>17650</v>
      </c>
      <c r="AO192" s="28" t="s">
        <v>17651</v>
      </c>
      <c r="AP192" s="28" t="s">
        <v>17652</v>
      </c>
      <c r="AQ192" s="28" t="s">
        <v>17653</v>
      </c>
      <c r="AR192" s="28" t="s">
        <v>1024</v>
      </c>
    </row>
    <row r="193" spans="1:44" x14ac:dyDescent="0.25">
      <c r="A193" s="28" t="s">
        <v>14121</v>
      </c>
      <c r="B193" s="28" t="s">
        <v>18430</v>
      </c>
      <c r="C193" s="28" t="s">
        <v>18431</v>
      </c>
      <c r="D193" s="28" t="s">
        <v>18175</v>
      </c>
      <c r="E193" s="28" t="s">
        <v>192</v>
      </c>
      <c r="F193" s="28">
        <v>1</v>
      </c>
      <c r="G193" s="28" t="s">
        <v>193</v>
      </c>
      <c r="H193" s="28" t="s">
        <v>194</v>
      </c>
      <c r="I193" s="28" t="s">
        <v>17759</v>
      </c>
      <c r="J193" s="28" t="s">
        <v>9302</v>
      </c>
      <c r="K193" s="28" t="s">
        <v>9309</v>
      </c>
      <c r="L193" s="28" t="s">
        <v>6955</v>
      </c>
      <c r="N193" s="28" t="s">
        <v>18432</v>
      </c>
      <c r="O193" s="28" t="s">
        <v>6327</v>
      </c>
      <c r="P193" s="28" t="s">
        <v>18364</v>
      </c>
      <c r="Q193" s="28" t="s">
        <v>18329</v>
      </c>
      <c r="R193" s="28" t="s">
        <v>18365</v>
      </c>
      <c r="S193" s="28" t="s">
        <v>18433</v>
      </c>
      <c r="T193" s="28" t="s">
        <v>18434</v>
      </c>
      <c r="V193" s="27"/>
      <c r="W193" s="28" t="s">
        <v>18435</v>
      </c>
      <c r="X193" s="28" t="s">
        <v>193</v>
      </c>
      <c r="Y193" s="27" t="s">
        <v>9310</v>
      </c>
      <c r="AB193" s="28" t="s">
        <v>9311</v>
      </c>
      <c r="AH193" s="28" t="s">
        <v>4714</v>
      </c>
      <c r="AI193" s="28" t="s">
        <v>18430</v>
      </c>
      <c r="AJ193" s="516" t="str">
        <f>MID('II kw.22'!W193,8,6)</f>
        <v>524502</v>
      </c>
      <c r="AK193" s="516">
        <v>1</v>
      </c>
      <c r="AL193" s="516">
        <f t="shared" si="2"/>
        <v>1</v>
      </c>
      <c r="AM193" s="516">
        <v>1</v>
      </c>
      <c r="AN193" s="28" t="s">
        <v>17650</v>
      </c>
      <c r="AO193" s="28" t="s">
        <v>17651</v>
      </c>
      <c r="AP193" s="28" t="s">
        <v>17652</v>
      </c>
      <c r="AQ193" s="28" t="s">
        <v>17653</v>
      </c>
      <c r="AR193" s="28" t="s">
        <v>1024</v>
      </c>
    </row>
    <row r="194" spans="1:44" x14ac:dyDescent="0.25">
      <c r="A194" s="28" t="s">
        <v>18436</v>
      </c>
      <c r="B194" s="28" t="s">
        <v>18437</v>
      </c>
      <c r="C194" s="28" t="s">
        <v>57</v>
      </c>
      <c r="D194" s="28" t="s">
        <v>18175</v>
      </c>
      <c r="E194" s="28" t="s">
        <v>192</v>
      </c>
      <c r="F194" s="28">
        <v>1</v>
      </c>
      <c r="G194" s="28" t="s">
        <v>193</v>
      </c>
      <c r="H194" s="28" t="s">
        <v>194</v>
      </c>
      <c r="I194" s="28" t="s">
        <v>17672</v>
      </c>
      <c r="J194" s="28" t="s">
        <v>9302</v>
      </c>
      <c r="K194" s="28" t="s">
        <v>9309</v>
      </c>
      <c r="L194" s="28" t="s">
        <v>6955</v>
      </c>
      <c r="N194" s="28" t="s">
        <v>18438</v>
      </c>
      <c r="O194" s="28" t="s">
        <v>6288</v>
      </c>
      <c r="P194" s="28" t="s">
        <v>18364</v>
      </c>
      <c r="Q194" s="28" t="s">
        <v>18329</v>
      </c>
      <c r="R194" s="28" t="s">
        <v>18365</v>
      </c>
      <c r="S194" s="28" t="s">
        <v>18439</v>
      </c>
      <c r="T194" s="28" t="s">
        <v>18440</v>
      </c>
      <c r="V194" s="27"/>
      <c r="W194" s="28" t="s">
        <v>2693</v>
      </c>
      <c r="X194" s="28" t="s">
        <v>193</v>
      </c>
      <c r="Y194" s="27" t="s">
        <v>9310</v>
      </c>
      <c r="AB194" s="28" t="s">
        <v>9311</v>
      </c>
      <c r="AH194" s="28" t="s">
        <v>4714</v>
      </c>
      <c r="AI194" s="28" t="s">
        <v>18437</v>
      </c>
      <c r="AJ194" s="516" t="str">
        <f>MID('II kw.22'!W194,8,6)</f>
        <v>524404</v>
      </c>
      <c r="AK194" s="516">
        <v>1</v>
      </c>
      <c r="AL194" s="516">
        <f t="shared" si="2"/>
        <v>1</v>
      </c>
      <c r="AM194" s="516">
        <v>1</v>
      </c>
      <c r="AN194" s="28" t="s">
        <v>17650</v>
      </c>
      <c r="AO194" s="28" t="s">
        <v>17651</v>
      </c>
      <c r="AP194" s="28" t="s">
        <v>17652</v>
      </c>
      <c r="AQ194" s="28" t="s">
        <v>17653</v>
      </c>
      <c r="AR194" s="28" t="s">
        <v>1024</v>
      </c>
    </row>
    <row r="195" spans="1:44" x14ac:dyDescent="0.25">
      <c r="A195" s="28" t="s">
        <v>17093</v>
      </c>
      <c r="B195" s="28" t="s">
        <v>18441</v>
      </c>
      <c r="C195" s="28" t="s">
        <v>46</v>
      </c>
      <c r="D195" s="28" t="s">
        <v>18175</v>
      </c>
      <c r="E195" s="28" t="s">
        <v>192</v>
      </c>
      <c r="F195" s="28">
        <v>1</v>
      </c>
      <c r="G195" s="28" t="s">
        <v>193</v>
      </c>
      <c r="H195" s="28" t="s">
        <v>194</v>
      </c>
      <c r="I195" s="28" t="s">
        <v>17656</v>
      </c>
      <c r="J195" s="28" t="s">
        <v>9302</v>
      </c>
      <c r="K195" s="28" t="s">
        <v>9309</v>
      </c>
      <c r="L195" s="28" t="s">
        <v>6955</v>
      </c>
      <c r="N195" s="28" t="s">
        <v>18442</v>
      </c>
      <c r="O195" s="28" t="s">
        <v>6921</v>
      </c>
      <c r="P195" s="28" t="s">
        <v>18364</v>
      </c>
      <c r="Q195" s="28" t="s">
        <v>18329</v>
      </c>
      <c r="R195" s="28" t="s">
        <v>18365</v>
      </c>
      <c r="S195" s="28" t="s">
        <v>18443</v>
      </c>
      <c r="T195" s="28" t="s">
        <v>18444</v>
      </c>
      <c r="V195" s="27"/>
      <c r="W195" s="28" t="s">
        <v>510</v>
      </c>
      <c r="X195" s="28" t="s">
        <v>193</v>
      </c>
      <c r="Y195" s="27" t="s">
        <v>9310</v>
      </c>
      <c r="AB195" s="28" t="s">
        <v>9311</v>
      </c>
      <c r="AH195" s="28" t="s">
        <v>4714</v>
      </c>
      <c r="AI195" s="28" t="s">
        <v>18441</v>
      </c>
      <c r="AJ195" s="516" t="str">
        <f>MID('II kw.22'!W195,8,6)</f>
        <v>252201</v>
      </c>
      <c r="AK195" s="516">
        <v>1</v>
      </c>
      <c r="AL195" s="516">
        <f t="shared" ref="AL195:AL258" si="3">SUM(F195)</f>
        <v>1</v>
      </c>
      <c r="AM195" s="516">
        <v>1</v>
      </c>
      <c r="AN195" s="28" t="s">
        <v>17650</v>
      </c>
      <c r="AO195" s="28" t="s">
        <v>17651</v>
      </c>
      <c r="AP195" s="28" t="s">
        <v>17652</v>
      </c>
      <c r="AQ195" s="28" t="s">
        <v>17653</v>
      </c>
      <c r="AR195" s="28" t="s">
        <v>1024</v>
      </c>
    </row>
    <row r="196" spans="1:44" x14ac:dyDescent="0.25">
      <c r="A196" s="28" t="s">
        <v>1020</v>
      </c>
      <c r="B196" s="28" t="s">
        <v>18445</v>
      </c>
      <c r="C196" s="28" t="s">
        <v>4459</v>
      </c>
      <c r="D196" s="28" t="s">
        <v>18175</v>
      </c>
      <c r="E196" s="28" t="s">
        <v>192</v>
      </c>
      <c r="F196" s="28">
        <v>1</v>
      </c>
      <c r="G196" s="28" t="s">
        <v>193</v>
      </c>
      <c r="H196" s="28" t="s">
        <v>194</v>
      </c>
      <c r="I196" s="28" t="s">
        <v>17672</v>
      </c>
      <c r="J196" s="28" t="s">
        <v>9302</v>
      </c>
      <c r="K196" s="28" t="s">
        <v>9309</v>
      </c>
      <c r="L196" s="28" t="s">
        <v>6955</v>
      </c>
      <c r="N196" s="28" t="s">
        <v>18446</v>
      </c>
      <c r="O196" s="28" t="s">
        <v>6245</v>
      </c>
      <c r="P196" s="28" t="s">
        <v>18364</v>
      </c>
      <c r="Q196" s="28" t="s">
        <v>18329</v>
      </c>
      <c r="R196" s="28" t="s">
        <v>18365</v>
      </c>
      <c r="S196" s="28" t="s">
        <v>18447</v>
      </c>
      <c r="T196" s="28" t="s">
        <v>18448</v>
      </c>
      <c r="V196" s="27"/>
      <c r="W196" s="28" t="s">
        <v>4460</v>
      </c>
      <c r="X196" s="28" t="s">
        <v>193</v>
      </c>
      <c r="Y196" s="27" t="s">
        <v>9310</v>
      </c>
      <c r="AB196" s="28" t="s">
        <v>9311</v>
      </c>
      <c r="AH196" s="28" t="s">
        <v>4714</v>
      </c>
      <c r="AI196" s="28" t="s">
        <v>18445</v>
      </c>
      <c r="AJ196" s="516" t="str">
        <f>MID('II kw.22'!W196,8,6)</f>
        <v>214912</v>
      </c>
      <c r="AK196" s="516">
        <v>1</v>
      </c>
      <c r="AL196" s="516">
        <f t="shared" si="3"/>
        <v>1</v>
      </c>
      <c r="AM196" s="516">
        <v>1</v>
      </c>
      <c r="AN196" s="28" t="s">
        <v>17650</v>
      </c>
      <c r="AO196" s="28" t="s">
        <v>17651</v>
      </c>
      <c r="AP196" s="28" t="s">
        <v>17652</v>
      </c>
      <c r="AQ196" s="28" t="s">
        <v>17653</v>
      </c>
      <c r="AR196" s="28" t="s">
        <v>1024</v>
      </c>
    </row>
    <row r="197" spans="1:44" x14ac:dyDescent="0.25">
      <c r="A197" s="28" t="s">
        <v>18390</v>
      </c>
      <c r="B197" s="28" t="s">
        <v>492</v>
      </c>
      <c r="C197" s="28" t="s">
        <v>19</v>
      </c>
      <c r="D197" s="28" t="s">
        <v>18175</v>
      </c>
      <c r="E197" s="28" t="s">
        <v>192</v>
      </c>
      <c r="F197" s="28">
        <v>1</v>
      </c>
      <c r="G197" s="28" t="s">
        <v>193</v>
      </c>
      <c r="H197" s="28" t="s">
        <v>194</v>
      </c>
      <c r="I197" s="28" t="s">
        <v>17656</v>
      </c>
      <c r="J197" s="28" t="s">
        <v>9302</v>
      </c>
      <c r="K197" s="28" t="s">
        <v>9309</v>
      </c>
      <c r="L197" s="28" t="s">
        <v>6955</v>
      </c>
      <c r="N197" s="28" t="s">
        <v>18449</v>
      </c>
      <c r="O197" s="28" t="s">
        <v>6261</v>
      </c>
      <c r="P197" s="28" t="s">
        <v>18364</v>
      </c>
      <c r="Q197" s="28" t="s">
        <v>18329</v>
      </c>
      <c r="R197" s="28" t="s">
        <v>18365</v>
      </c>
      <c r="S197" s="28" t="s">
        <v>18450</v>
      </c>
      <c r="T197" s="28" t="s">
        <v>18451</v>
      </c>
      <c r="V197" s="27"/>
      <c r="W197" s="28" t="s">
        <v>337</v>
      </c>
      <c r="X197" s="28" t="s">
        <v>193</v>
      </c>
      <c r="Y197" s="27" t="s">
        <v>9310</v>
      </c>
      <c r="AB197" s="28" t="s">
        <v>9311</v>
      </c>
      <c r="AH197" s="28" t="s">
        <v>4714</v>
      </c>
      <c r="AI197" s="28" t="s">
        <v>492</v>
      </c>
      <c r="AJ197" s="516" t="str">
        <f>MID('II kw.22'!W197,8,6)</f>
        <v>214903</v>
      </c>
      <c r="AK197" s="516">
        <v>1</v>
      </c>
      <c r="AL197" s="516">
        <f t="shared" si="3"/>
        <v>1</v>
      </c>
      <c r="AM197" s="516">
        <v>1</v>
      </c>
      <c r="AN197" s="28" t="s">
        <v>17650</v>
      </c>
      <c r="AO197" s="28" t="s">
        <v>17651</v>
      </c>
      <c r="AP197" s="28" t="s">
        <v>17652</v>
      </c>
      <c r="AQ197" s="28" t="s">
        <v>17653</v>
      </c>
      <c r="AR197" s="28" t="s">
        <v>1024</v>
      </c>
    </row>
    <row r="198" spans="1:44" x14ac:dyDescent="0.25">
      <c r="A198" s="28" t="s">
        <v>18452</v>
      </c>
      <c r="B198" s="28" t="s">
        <v>18453</v>
      </c>
      <c r="C198" s="28" t="s">
        <v>17</v>
      </c>
      <c r="D198" s="28" t="s">
        <v>18175</v>
      </c>
      <c r="E198" s="28" t="s">
        <v>192</v>
      </c>
      <c r="F198" s="28">
        <v>1</v>
      </c>
      <c r="G198" s="28" t="s">
        <v>193</v>
      </c>
      <c r="H198" s="28" t="s">
        <v>194</v>
      </c>
      <c r="I198" s="28" t="s">
        <v>17706</v>
      </c>
      <c r="J198" s="28" t="s">
        <v>9302</v>
      </c>
      <c r="K198" s="28" t="s">
        <v>9309</v>
      </c>
      <c r="L198" s="28" t="s">
        <v>6955</v>
      </c>
      <c r="N198" s="28" t="s">
        <v>18454</v>
      </c>
      <c r="O198" s="28" t="s">
        <v>6245</v>
      </c>
      <c r="P198" s="28" t="s">
        <v>18364</v>
      </c>
      <c r="Q198" s="28" t="s">
        <v>18329</v>
      </c>
      <c r="R198" s="28" t="s">
        <v>18365</v>
      </c>
      <c r="S198" s="28" t="s">
        <v>18455</v>
      </c>
      <c r="T198" s="28" t="s">
        <v>18456</v>
      </c>
      <c r="V198" s="27"/>
      <c r="W198" s="28" t="s">
        <v>624</v>
      </c>
      <c r="X198" s="28" t="s">
        <v>193</v>
      </c>
      <c r="Y198" s="27" t="s">
        <v>9310</v>
      </c>
      <c r="AB198" s="28" t="s">
        <v>9311</v>
      </c>
      <c r="AH198" s="28" t="s">
        <v>4714</v>
      </c>
      <c r="AI198" s="28" t="s">
        <v>18453</v>
      </c>
      <c r="AJ198" s="516" t="str">
        <f>MID('II kw.22'!W198,8,6)</f>
        <v>332203</v>
      </c>
      <c r="AK198" s="516">
        <v>1</v>
      </c>
      <c r="AL198" s="516">
        <f t="shared" si="3"/>
        <v>1</v>
      </c>
      <c r="AM198" s="516">
        <v>1</v>
      </c>
      <c r="AN198" s="28" t="s">
        <v>17650</v>
      </c>
      <c r="AO198" s="28" t="s">
        <v>17651</v>
      </c>
      <c r="AP198" s="28" t="s">
        <v>17652</v>
      </c>
      <c r="AQ198" s="28" t="s">
        <v>17653</v>
      </c>
      <c r="AR198" s="28" t="s">
        <v>1024</v>
      </c>
    </row>
    <row r="199" spans="1:44" x14ac:dyDescent="0.25">
      <c r="A199" s="28" t="s">
        <v>10307</v>
      </c>
      <c r="B199" s="28" t="s">
        <v>18457</v>
      </c>
      <c r="C199" s="28" t="s">
        <v>7501</v>
      </c>
      <c r="D199" s="28" t="s">
        <v>18175</v>
      </c>
      <c r="E199" s="28" t="s">
        <v>192</v>
      </c>
      <c r="F199" s="28">
        <v>1</v>
      </c>
      <c r="G199" s="28" t="s">
        <v>193</v>
      </c>
      <c r="H199" s="28" t="s">
        <v>194</v>
      </c>
      <c r="I199" s="28" t="s">
        <v>17706</v>
      </c>
      <c r="J199" s="28" t="s">
        <v>9302</v>
      </c>
      <c r="K199" s="28" t="s">
        <v>9309</v>
      </c>
      <c r="L199" s="28" t="s">
        <v>6955</v>
      </c>
      <c r="N199" s="28" t="s">
        <v>18458</v>
      </c>
      <c r="O199" s="28" t="s">
        <v>6286</v>
      </c>
      <c r="P199" s="28" t="s">
        <v>18364</v>
      </c>
      <c r="Q199" s="28" t="s">
        <v>18329</v>
      </c>
      <c r="R199" s="28" t="s">
        <v>18365</v>
      </c>
      <c r="S199" s="28" t="s">
        <v>18459</v>
      </c>
      <c r="T199" s="28" t="s">
        <v>18460</v>
      </c>
      <c r="V199" s="27"/>
      <c r="W199" s="28" t="s">
        <v>4039</v>
      </c>
      <c r="X199" s="28" t="s">
        <v>193</v>
      </c>
      <c r="Y199" s="27" t="s">
        <v>9310</v>
      </c>
      <c r="AB199" s="28" t="s">
        <v>9311</v>
      </c>
      <c r="AH199" s="28" t="s">
        <v>4714</v>
      </c>
      <c r="AI199" s="28" t="s">
        <v>18457</v>
      </c>
      <c r="AJ199" s="516" t="str">
        <f>MID('II kw.22'!W199,8,6)</f>
        <v>431101</v>
      </c>
      <c r="AK199" s="516">
        <v>1</v>
      </c>
      <c r="AL199" s="516">
        <f t="shared" si="3"/>
        <v>1</v>
      </c>
      <c r="AM199" s="516">
        <v>1</v>
      </c>
      <c r="AN199" s="28" t="s">
        <v>17650</v>
      </c>
      <c r="AO199" s="28" t="s">
        <v>17651</v>
      </c>
      <c r="AP199" s="28" t="s">
        <v>17652</v>
      </c>
      <c r="AQ199" s="28" t="s">
        <v>17653</v>
      </c>
      <c r="AR199" s="28" t="s">
        <v>1024</v>
      </c>
    </row>
    <row r="200" spans="1:44" x14ac:dyDescent="0.25">
      <c r="A200" s="28" t="s">
        <v>14121</v>
      </c>
      <c r="B200" s="28" t="s">
        <v>18461</v>
      </c>
      <c r="C200" s="28" t="s">
        <v>18462</v>
      </c>
      <c r="D200" s="28" t="s">
        <v>18175</v>
      </c>
      <c r="E200" s="28" t="s">
        <v>192</v>
      </c>
      <c r="F200" s="28">
        <v>1</v>
      </c>
      <c r="G200" s="28" t="s">
        <v>193</v>
      </c>
      <c r="H200" s="28" t="s">
        <v>194</v>
      </c>
      <c r="I200" s="28" t="s">
        <v>17759</v>
      </c>
      <c r="J200" s="28" t="s">
        <v>9302</v>
      </c>
      <c r="K200" s="28" t="s">
        <v>9309</v>
      </c>
      <c r="L200" s="28" t="s">
        <v>6955</v>
      </c>
      <c r="N200" s="28" t="s">
        <v>18463</v>
      </c>
      <c r="O200" s="28" t="s">
        <v>6286</v>
      </c>
      <c r="P200" s="28" t="s">
        <v>18364</v>
      </c>
      <c r="Q200" s="28" t="s">
        <v>18329</v>
      </c>
      <c r="R200" s="28" t="s">
        <v>18365</v>
      </c>
      <c r="S200" s="28" t="s">
        <v>18464</v>
      </c>
      <c r="T200" s="28" t="s">
        <v>18465</v>
      </c>
      <c r="V200" s="27"/>
      <c r="W200" s="28" t="s">
        <v>18466</v>
      </c>
      <c r="X200" s="28" t="s">
        <v>193</v>
      </c>
      <c r="Y200" s="27" t="s">
        <v>9310</v>
      </c>
      <c r="AB200" s="28" t="s">
        <v>9311</v>
      </c>
      <c r="AH200" s="28" t="s">
        <v>4714</v>
      </c>
      <c r="AI200" s="28" t="s">
        <v>18461</v>
      </c>
      <c r="AJ200" s="516" t="str">
        <f>MID('II kw.22'!W200,8,6)</f>
        <v>214933</v>
      </c>
      <c r="AK200" s="516">
        <v>1</v>
      </c>
      <c r="AL200" s="516">
        <f t="shared" si="3"/>
        <v>1</v>
      </c>
      <c r="AM200" s="516">
        <v>1</v>
      </c>
      <c r="AN200" s="28" t="s">
        <v>17650</v>
      </c>
      <c r="AO200" s="28" t="s">
        <v>17651</v>
      </c>
      <c r="AP200" s="28" t="s">
        <v>17652</v>
      </c>
      <c r="AQ200" s="28" t="s">
        <v>17653</v>
      </c>
      <c r="AR200" s="28" t="s">
        <v>1024</v>
      </c>
    </row>
    <row r="201" spans="1:44" x14ac:dyDescent="0.25">
      <c r="A201" s="28" t="s">
        <v>18385</v>
      </c>
      <c r="B201" s="28" t="s">
        <v>18467</v>
      </c>
      <c r="C201" s="28" t="s">
        <v>36</v>
      </c>
      <c r="D201" s="28" t="s">
        <v>18175</v>
      </c>
      <c r="E201" s="28" t="s">
        <v>192</v>
      </c>
      <c r="F201" s="28">
        <v>1</v>
      </c>
      <c r="G201" s="28" t="s">
        <v>193</v>
      </c>
      <c r="H201" s="28" t="s">
        <v>194</v>
      </c>
      <c r="I201" s="28" t="s">
        <v>17672</v>
      </c>
      <c r="J201" s="28" t="s">
        <v>249</v>
      </c>
      <c r="K201" s="28" t="s">
        <v>9309</v>
      </c>
      <c r="L201" s="28" t="s">
        <v>6955</v>
      </c>
      <c r="N201" s="28" t="s">
        <v>18468</v>
      </c>
      <c r="O201" s="28" t="s">
        <v>7531</v>
      </c>
      <c r="P201" s="28" t="s">
        <v>18364</v>
      </c>
      <c r="Q201" s="28" t="s">
        <v>18329</v>
      </c>
      <c r="R201" s="28" t="s">
        <v>18469</v>
      </c>
      <c r="S201" s="28" t="s">
        <v>18470</v>
      </c>
      <c r="T201" s="28" t="s">
        <v>18471</v>
      </c>
      <c r="V201" s="28" t="s">
        <v>9726</v>
      </c>
      <c r="W201" s="28" t="s">
        <v>609</v>
      </c>
      <c r="X201" s="28" t="s">
        <v>194</v>
      </c>
      <c r="Y201" s="28" t="s">
        <v>9300</v>
      </c>
      <c r="AB201" s="28" t="s">
        <v>9311</v>
      </c>
      <c r="AH201" s="28" t="s">
        <v>4714</v>
      </c>
      <c r="AI201" s="28" t="s">
        <v>18467</v>
      </c>
      <c r="AJ201" s="516" t="str">
        <f>MID('II kw.22'!W201,8,6)</f>
        <v>331301</v>
      </c>
      <c r="AK201" s="516">
        <v>1</v>
      </c>
      <c r="AL201" s="516">
        <f t="shared" si="3"/>
        <v>1</v>
      </c>
      <c r="AM201" s="516">
        <v>1</v>
      </c>
      <c r="AN201" s="28" t="s">
        <v>17650</v>
      </c>
      <c r="AO201" s="28" t="s">
        <v>17651</v>
      </c>
      <c r="AP201" s="28" t="s">
        <v>17652</v>
      </c>
      <c r="AQ201" s="28" t="s">
        <v>17653</v>
      </c>
      <c r="AR201" s="28" t="s">
        <v>1024</v>
      </c>
    </row>
    <row r="202" spans="1:44" x14ac:dyDescent="0.25">
      <c r="A202" s="28" t="s">
        <v>13620</v>
      </c>
      <c r="B202" s="28" t="s">
        <v>18472</v>
      </c>
      <c r="C202" s="28" t="s">
        <v>480</v>
      </c>
      <c r="D202" s="28" t="s">
        <v>18175</v>
      </c>
      <c r="E202" s="28" t="s">
        <v>192</v>
      </c>
      <c r="F202" s="28">
        <v>1</v>
      </c>
      <c r="G202" s="28" t="s">
        <v>193</v>
      </c>
      <c r="H202" s="28" t="s">
        <v>194</v>
      </c>
      <c r="I202" s="28" t="s">
        <v>17656</v>
      </c>
      <c r="J202" s="28" t="s">
        <v>9302</v>
      </c>
      <c r="K202" s="28" t="s">
        <v>9309</v>
      </c>
      <c r="L202" s="28" t="s">
        <v>6955</v>
      </c>
      <c r="N202" s="28" t="s">
        <v>18473</v>
      </c>
      <c r="O202" s="28" t="s">
        <v>6261</v>
      </c>
      <c r="P202" s="28" t="s">
        <v>18364</v>
      </c>
      <c r="Q202" s="28" t="s">
        <v>18329</v>
      </c>
      <c r="R202" s="28" t="s">
        <v>18365</v>
      </c>
      <c r="S202" s="28" t="s">
        <v>18474</v>
      </c>
      <c r="T202" s="28" t="s">
        <v>18475</v>
      </c>
      <c r="V202" s="27"/>
      <c r="W202" s="28" t="s">
        <v>481</v>
      </c>
      <c r="X202" s="28" t="s">
        <v>193</v>
      </c>
      <c r="Y202" s="27" t="s">
        <v>9310</v>
      </c>
      <c r="AB202" s="28" t="s">
        <v>9311</v>
      </c>
      <c r="AH202" s="28" t="s">
        <v>4714</v>
      </c>
      <c r="AI202" s="28" t="s">
        <v>18472</v>
      </c>
      <c r="AJ202" s="516" t="str">
        <f>MID('II kw.22'!W202,8,6)</f>
        <v>251201</v>
      </c>
      <c r="AK202" s="516">
        <v>1</v>
      </c>
      <c r="AL202" s="516">
        <f t="shared" si="3"/>
        <v>1</v>
      </c>
      <c r="AM202" s="516">
        <v>1</v>
      </c>
      <c r="AN202" s="28" t="s">
        <v>17650</v>
      </c>
      <c r="AO202" s="28" t="s">
        <v>17651</v>
      </c>
      <c r="AP202" s="28" t="s">
        <v>17652</v>
      </c>
      <c r="AQ202" s="28" t="s">
        <v>17653</v>
      </c>
      <c r="AR202" s="28" t="s">
        <v>1024</v>
      </c>
    </row>
    <row r="203" spans="1:44" x14ac:dyDescent="0.25">
      <c r="A203" s="28" t="s">
        <v>10606</v>
      </c>
      <c r="B203" s="28" t="s">
        <v>18476</v>
      </c>
      <c r="C203" s="28" t="s">
        <v>100</v>
      </c>
      <c r="D203" s="28" t="s">
        <v>18175</v>
      </c>
      <c r="E203" s="28" t="s">
        <v>192</v>
      </c>
      <c r="F203" s="28">
        <v>1</v>
      </c>
      <c r="G203" s="28" t="s">
        <v>193</v>
      </c>
      <c r="H203" s="28" t="s">
        <v>194</v>
      </c>
      <c r="I203" s="28" t="s">
        <v>17656</v>
      </c>
      <c r="J203" s="28" t="s">
        <v>210</v>
      </c>
      <c r="K203" s="28" t="s">
        <v>9309</v>
      </c>
      <c r="L203" s="28" t="s">
        <v>6955</v>
      </c>
      <c r="N203" s="28" t="s">
        <v>18477</v>
      </c>
      <c r="O203" s="28" t="s">
        <v>6295</v>
      </c>
      <c r="P203" s="28" t="s">
        <v>18364</v>
      </c>
      <c r="Q203" s="28" t="s">
        <v>18329</v>
      </c>
      <c r="R203" s="28" t="s">
        <v>18365</v>
      </c>
      <c r="S203" s="28" t="s">
        <v>18478</v>
      </c>
      <c r="T203" s="28" t="s">
        <v>18479</v>
      </c>
      <c r="V203" s="28" t="s">
        <v>9334</v>
      </c>
      <c r="W203" s="28" t="s">
        <v>429</v>
      </c>
      <c r="X203" s="28" t="s">
        <v>194</v>
      </c>
      <c r="Y203" s="28" t="s">
        <v>9300</v>
      </c>
      <c r="AB203" s="28" t="s">
        <v>9311</v>
      </c>
      <c r="AH203" s="28" t="s">
        <v>4714</v>
      </c>
      <c r="AI203" s="28" t="s">
        <v>18476</v>
      </c>
      <c r="AJ203" s="516" t="str">
        <f>MID('II kw.22'!W203,8,6)</f>
        <v>242108</v>
      </c>
      <c r="AK203" s="516">
        <v>1</v>
      </c>
      <c r="AL203" s="516">
        <f t="shared" si="3"/>
        <v>1</v>
      </c>
      <c r="AM203" s="516">
        <v>1</v>
      </c>
      <c r="AN203" s="28" t="s">
        <v>17650</v>
      </c>
      <c r="AO203" s="28" t="s">
        <v>17651</v>
      </c>
      <c r="AP203" s="28" t="s">
        <v>17652</v>
      </c>
      <c r="AQ203" s="28" t="s">
        <v>17653</v>
      </c>
      <c r="AR203" s="28" t="s">
        <v>1024</v>
      </c>
    </row>
    <row r="204" spans="1:44" x14ac:dyDescent="0.25">
      <c r="A204" s="28" t="s">
        <v>18480</v>
      </c>
      <c r="B204" s="28" t="s">
        <v>18481</v>
      </c>
      <c r="C204" s="28" t="s">
        <v>10</v>
      </c>
      <c r="D204" s="28" t="s">
        <v>18175</v>
      </c>
      <c r="E204" s="28" t="s">
        <v>192</v>
      </c>
      <c r="F204" s="28">
        <v>1</v>
      </c>
      <c r="G204" s="28" t="s">
        <v>193</v>
      </c>
      <c r="H204" s="28" t="s">
        <v>194</v>
      </c>
      <c r="I204" s="28" t="s">
        <v>17672</v>
      </c>
      <c r="J204" s="28" t="s">
        <v>9302</v>
      </c>
      <c r="K204" s="28" t="s">
        <v>9309</v>
      </c>
      <c r="L204" s="28" t="s">
        <v>6955</v>
      </c>
      <c r="N204" s="28" t="s">
        <v>18482</v>
      </c>
      <c r="O204" s="28" t="s">
        <v>6327</v>
      </c>
      <c r="P204" s="28" t="s">
        <v>18364</v>
      </c>
      <c r="Q204" s="28" t="s">
        <v>18329</v>
      </c>
      <c r="R204" s="28" t="s">
        <v>18365</v>
      </c>
      <c r="S204" s="28" t="s">
        <v>18483</v>
      </c>
      <c r="T204" s="28" t="s">
        <v>18484</v>
      </c>
      <c r="V204" s="27"/>
      <c r="W204" s="28" t="s">
        <v>484</v>
      </c>
      <c r="X204" s="28" t="s">
        <v>193</v>
      </c>
      <c r="Y204" s="27" t="s">
        <v>9310</v>
      </c>
      <c r="AB204" s="28" t="s">
        <v>9311</v>
      </c>
      <c r="AH204" s="28" t="s">
        <v>4714</v>
      </c>
      <c r="AI204" s="28" t="s">
        <v>18481</v>
      </c>
      <c r="AJ204" s="516" t="str">
        <f>MID('II kw.22'!W204,8,6)</f>
        <v>251401</v>
      </c>
      <c r="AK204" s="516">
        <v>1</v>
      </c>
      <c r="AL204" s="516">
        <f t="shared" si="3"/>
        <v>1</v>
      </c>
      <c r="AM204" s="516">
        <v>1</v>
      </c>
      <c r="AN204" s="28" t="s">
        <v>17650</v>
      </c>
      <c r="AO204" s="28" t="s">
        <v>17651</v>
      </c>
      <c r="AP204" s="28" t="s">
        <v>17652</v>
      </c>
      <c r="AQ204" s="28" t="s">
        <v>17653</v>
      </c>
      <c r="AR204" s="28" t="s">
        <v>1024</v>
      </c>
    </row>
    <row r="205" spans="1:44" x14ac:dyDescent="0.25">
      <c r="A205" s="28" t="s">
        <v>364</v>
      </c>
      <c r="B205" s="28" t="s">
        <v>18485</v>
      </c>
      <c r="C205" s="28" t="s">
        <v>822</v>
      </c>
      <c r="D205" s="28" t="s">
        <v>18175</v>
      </c>
      <c r="E205" s="28" t="s">
        <v>192</v>
      </c>
      <c r="F205" s="28">
        <v>1</v>
      </c>
      <c r="G205" s="28" t="s">
        <v>193</v>
      </c>
      <c r="H205" s="28" t="s">
        <v>194</v>
      </c>
      <c r="I205" s="28" t="s">
        <v>17656</v>
      </c>
      <c r="J205" s="28" t="s">
        <v>9302</v>
      </c>
      <c r="K205" s="28" t="s">
        <v>9309</v>
      </c>
      <c r="L205" s="28" t="s">
        <v>6955</v>
      </c>
      <c r="N205" s="28" t="s">
        <v>18486</v>
      </c>
      <c r="O205" s="28" t="s">
        <v>6275</v>
      </c>
      <c r="P205" s="28" t="s">
        <v>18364</v>
      </c>
      <c r="Q205" s="28" t="s">
        <v>18329</v>
      </c>
      <c r="R205" s="28" t="s">
        <v>18365</v>
      </c>
      <c r="S205" s="28" t="s">
        <v>18487</v>
      </c>
      <c r="T205" s="28" t="s">
        <v>18488</v>
      </c>
      <c r="V205" s="27"/>
      <c r="W205" s="28" t="s">
        <v>823</v>
      </c>
      <c r="X205" s="28" t="s">
        <v>193</v>
      </c>
      <c r="Y205" s="27" t="s">
        <v>9310</v>
      </c>
      <c r="AB205" s="28" t="s">
        <v>9311</v>
      </c>
      <c r="AH205" s="28" t="s">
        <v>4714</v>
      </c>
      <c r="AI205" s="28" t="s">
        <v>18485</v>
      </c>
      <c r="AJ205" s="516" t="str">
        <f>MID('II kw.22'!W205,8,6)</f>
        <v>741103</v>
      </c>
      <c r="AK205" s="516">
        <v>1</v>
      </c>
      <c r="AL205" s="516">
        <f t="shared" si="3"/>
        <v>1</v>
      </c>
      <c r="AM205" s="516">
        <v>1</v>
      </c>
      <c r="AN205" s="28" t="s">
        <v>17650</v>
      </c>
      <c r="AO205" s="28" t="s">
        <v>17651</v>
      </c>
      <c r="AP205" s="28" t="s">
        <v>17652</v>
      </c>
      <c r="AQ205" s="28" t="s">
        <v>17653</v>
      </c>
      <c r="AR205" s="28" t="s">
        <v>1024</v>
      </c>
    </row>
    <row r="206" spans="1:44" x14ac:dyDescent="0.25">
      <c r="A206" s="28" t="s">
        <v>14121</v>
      </c>
      <c r="B206" s="28" t="s">
        <v>18489</v>
      </c>
      <c r="C206" s="28" t="s">
        <v>378</v>
      </c>
      <c r="D206" s="28" t="s">
        <v>18175</v>
      </c>
      <c r="E206" s="28" t="s">
        <v>192</v>
      </c>
      <c r="F206" s="28">
        <v>1</v>
      </c>
      <c r="G206" s="28" t="s">
        <v>193</v>
      </c>
      <c r="H206" s="28" t="s">
        <v>194</v>
      </c>
      <c r="I206" s="28" t="s">
        <v>17656</v>
      </c>
      <c r="J206" s="28" t="s">
        <v>9302</v>
      </c>
      <c r="K206" s="28" t="s">
        <v>9309</v>
      </c>
      <c r="L206" s="28" t="s">
        <v>6955</v>
      </c>
      <c r="N206" s="28" t="s">
        <v>18490</v>
      </c>
      <c r="O206" s="28" t="s">
        <v>7531</v>
      </c>
      <c r="P206" s="28" t="s">
        <v>18364</v>
      </c>
      <c r="Q206" s="28" t="s">
        <v>18329</v>
      </c>
      <c r="R206" s="28" t="s">
        <v>18365</v>
      </c>
      <c r="S206" s="28" t="s">
        <v>18491</v>
      </c>
      <c r="T206" s="28" t="s">
        <v>18492</v>
      </c>
      <c r="V206" s="27"/>
      <c r="W206" s="28" t="s">
        <v>379</v>
      </c>
      <c r="X206" s="28" t="s">
        <v>193</v>
      </c>
      <c r="Y206" s="27" t="s">
        <v>9310</v>
      </c>
      <c r="AB206" s="28" t="s">
        <v>9311</v>
      </c>
      <c r="AH206" s="28" t="s">
        <v>4714</v>
      </c>
      <c r="AI206" s="28" t="s">
        <v>18489</v>
      </c>
      <c r="AJ206" s="516" t="str">
        <f>MID('II kw.22'!W206,8,6)</f>
        <v>215303</v>
      </c>
      <c r="AK206" s="516">
        <v>1</v>
      </c>
      <c r="AL206" s="516">
        <f t="shared" si="3"/>
        <v>1</v>
      </c>
      <c r="AM206" s="516">
        <v>1</v>
      </c>
      <c r="AN206" s="28" t="s">
        <v>17650</v>
      </c>
      <c r="AO206" s="28" t="s">
        <v>17651</v>
      </c>
      <c r="AP206" s="28" t="s">
        <v>17652</v>
      </c>
      <c r="AQ206" s="28" t="s">
        <v>17653</v>
      </c>
      <c r="AR206" s="28" t="s">
        <v>1024</v>
      </c>
    </row>
    <row r="207" spans="1:44" x14ac:dyDescent="0.25">
      <c r="A207" s="28" t="s">
        <v>18493</v>
      </c>
      <c r="B207" s="28" t="s">
        <v>18494</v>
      </c>
      <c r="C207" s="28" t="s">
        <v>366</v>
      </c>
      <c r="D207" s="28" t="s">
        <v>18175</v>
      </c>
      <c r="E207" s="28" t="s">
        <v>192</v>
      </c>
      <c r="F207" s="28">
        <v>1</v>
      </c>
      <c r="G207" s="28" t="s">
        <v>193</v>
      </c>
      <c r="H207" s="28" t="s">
        <v>194</v>
      </c>
      <c r="I207" s="28" t="s">
        <v>17656</v>
      </c>
      <c r="J207" s="28" t="s">
        <v>276</v>
      </c>
      <c r="K207" s="28" t="s">
        <v>9309</v>
      </c>
      <c r="L207" s="28" t="s">
        <v>6955</v>
      </c>
      <c r="N207" s="28" t="s">
        <v>18495</v>
      </c>
      <c r="O207" s="28" t="s">
        <v>6921</v>
      </c>
      <c r="P207" s="28" t="s">
        <v>18364</v>
      </c>
      <c r="Q207" s="28" t="s">
        <v>18329</v>
      </c>
      <c r="R207" s="28" t="s">
        <v>18365</v>
      </c>
      <c r="S207" s="28" t="s">
        <v>18496</v>
      </c>
      <c r="T207" s="28" t="s">
        <v>18497</v>
      </c>
      <c r="V207" s="28" t="s">
        <v>9786</v>
      </c>
      <c r="W207" s="28" t="s">
        <v>368</v>
      </c>
      <c r="X207" s="28" t="s">
        <v>194</v>
      </c>
      <c r="Y207" s="28" t="s">
        <v>9300</v>
      </c>
      <c r="AB207" s="28" t="s">
        <v>9311</v>
      </c>
      <c r="AH207" s="28" t="s">
        <v>4714</v>
      </c>
      <c r="AI207" s="28" t="s">
        <v>18494</v>
      </c>
      <c r="AJ207" s="516" t="str">
        <f>MID('II kw.22'!W207,8,6)</f>
        <v>215201</v>
      </c>
      <c r="AK207" s="516">
        <v>1</v>
      </c>
      <c r="AL207" s="516">
        <f t="shared" si="3"/>
        <v>1</v>
      </c>
      <c r="AM207" s="516">
        <v>1</v>
      </c>
      <c r="AN207" s="28" t="s">
        <v>17650</v>
      </c>
      <c r="AO207" s="28" t="s">
        <v>17651</v>
      </c>
      <c r="AP207" s="28" t="s">
        <v>17652</v>
      </c>
      <c r="AQ207" s="28" t="s">
        <v>17653</v>
      </c>
      <c r="AR207" s="28" t="s">
        <v>1024</v>
      </c>
    </row>
    <row r="208" spans="1:44" x14ac:dyDescent="0.25">
      <c r="A208" s="28" t="s">
        <v>888</v>
      </c>
      <c r="B208" s="28" t="s">
        <v>18498</v>
      </c>
      <c r="C208" s="28" t="s">
        <v>778</v>
      </c>
      <c r="D208" s="28" t="s">
        <v>18175</v>
      </c>
      <c r="E208" s="28" t="s">
        <v>192</v>
      </c>
      <c r="F208" s="28">
        <v>1</v>
      </c>
      <c r="G208" s="241" t="s">
        <v>193</v>
      </c>
      <c r="H208" s="241" t="s">
        <v>194</v>
      </c>
      <c r="I208" s="28" t="s">
        <v>18207</v>
      </c>
      <c r="J208" s="28" t="s">
        <v>9302</v>
      </c>
      <c r="K208" s="28" t="s">
        <v>9309</v>
      </c>
      <c r="L208" s="28" t="s">
        <v>6955</v>
      </c>
      <c r="N208" s="28" t="s">
        <v>18499</v>
      </c>
      <c r="O208" s="28" t="s">
        <v>7531</v>
      </c>
      <c r="P208" s="28" t="s">
        <v>18364</v>
      </c>
      <c r="Q208" s="28" t="s">
        <v>18329</v>
      </c>
      <c r="R208" s="28" t="s">
        <v>18365</v>
      </c>
      <c r="S208" s="28" t="s">
        <v>18500</v>
      </c>
      <c r="T208" s="28" t="s">
        <v>18501</v>
      </c>
      <c r="V208" s="27"/>
      <c r="W208" s="28" t="s">
        <v>779</v>
      </c>
      <c r="X208" s="28" t="s">
        <v>193</v>
      </c>
      <c r="Y208" s="27" t="s">
        <v>9310</v>
      </c>
      <c r="AB208" s="28" t="s">
        <v>9311</v>
      </c>
      <c r="AH208" s="28" t="s">
        <v>4714</v>
      </c>
      <c r="AI208" s="28" t="s">
        <v>18498</v>
      </c>
      <c r="AJ208" s="516" t="str">
        <f>MID('II kw.22'!W208,8,6)</f>
        <v>524902</v>
      </c>
      <c r="AK208" s="516">
        <v>1</v>
      </c>
      <c r="AL208" s="516">
        <f t="shared" si="3"/>
        <v>1</v>
      </c>
      <c r="AM208" s="516">
        <v>1</v>
      </c>
      <c r="AN208" s="28" t="s">
        <v>17650</v>
      </c>
      <c r="AO208" s="28" t="s">
        <v>17651</v>
      </c>
      <c r="AP208" s="28" t="s">
        <v>17652</v>
      </c>
      <c r="AQ208" s="28" t="s">
        <v>17653</v>
      </c>
      <c r="AR208" s="28" t="s">
        <v>1024</v>
      </c>
    </row>
    <row r="209" spans="1:44" x14ac:dyDescent="0.25">
      <c r="A209" s="28" t="s">
        <v>18502</v>
      </c>
      <c r="B209" s="28" t="s">
        <v>6666</v>
      </c>
      <c r="C209" s="28" t="s">
        <v>4065</v>
      </c>
      <c r="D209" s="28" t="s">
        <v>18175</v>
      </c>
      <c r="E209" s="28" t="s">
        <v>192</v>
      </c>
      <c r="F209" s="28">
        <v>1</v>
      </c>
      <c r="G209" s="28" t="s">
        <v>193</v>
      </c>
      <c r="H209" s="28" t="s">
        <v>194</v>
      </c>
      <c r="I209" s="28" t="s">
        <v>17672</v>
      </c>
      <c r="J209" s="28" t="s">
        <v>9302</v>
      </c>
      <c r="K209" s="28" t="s">
        <v>9309</v>
      </c>
      <c r="L209" s="28" t="s">
        <v>6955</v>
      </c>
      <c r="N209" s="28" t="s">
        <v>18503</v>
      </c>
      <c r="O209" s="28" t="s">
        <v>6266</v>
      </c>
      <c r="P209" s="28" t="s">
        <v>18364</v>
      </c>
      <c r="Q209" s="28" t="s">
        <v>18329</v>
      </c>
      <c r="R209" s="28" t="s">
        <v>18365</v>
      </c>
      <c r="S209" s="28" t="s">
        <v>18504</v>
      </c>
      <c r="T209" s="28" t="s">
        <v>18505</v>
      </c>
      <c r="V209" s="27"/>
      <c r="W209" s="28" t="s">
        <v>4066</v>
      </c>
      <c r="X209" s="28" t="s">
        <v>193</v>
      </c>
      <c r="Y209" s="27" t="s">
        <v>9310</v>
      </c>
      <c r="AB209" s="28" t="s">
        <v>9311</v>
      </c>
      <c r="AH209" s="28" t="s">
        <v>4714</v>
      </c>
      <c r="AI209" s="28" t="s">
        <v>6666</v>
      </c>
      <c r="AJ209" s="516" t="str">
        <f>MID('II kw.22'!W209,8,6)</f>
        <v>832203</v>
      </c>
      <c r="AK209" s="516">
        <v>1</v>
      </c>
      <c r="AL209" s="516">
        <f t="shared" si="3"/>
        <v>1</v>
      </c>
      <c r="AM209" s="516">
        <v>1</v>
      </c>
      <c r="AN209" s="28" t="s">
        <v>17650</v>
      </c>
      <c r="AO209" s="28" t="s">
        <v>17651</v>
      </c>
      <c r="AP209" s="28" t="s">
        <v>17652</v>
      </c>
      <c r="AQ209" s="28" t="s">
        <v>17653</v>
      </c>
      <c r="AR209" s="28" t="s">
        <v>1024</v>
      </c>
    </row>
    <row r="210" spans="1:44" x14ac:dyDescent="0.25">
      <c r="A210" s="28" t="s">
        <v>18506</v>
      </c>
      <c r="B210" s="28" t="s">
        <v>18507</v>
      </c>
      <c r="C210" s="28" t="s">
        <v>17</v>
      </c>
      <c r="D210" s="28" t="s">
        <v>18175</v>
      </c>
      <c r="E210" s="28" t="s">
        <v>192</v>
      </c>
      <c r="F210" s="28">
        <v>1</v>
      </c>
      <c r="G210" s="28" t="s">
        <v>193</v>
      </c>
      <c r="H210" s="28" t="s">
        <v>194</v>
      </c>
      <c r="I210" s="28" t="s">
        <v>17784</v>
      </c>
      <c r="J210" s="28" t="s">
        <v>9302</v>
      </c>
      <c r="K210" s="28" t="s">
        <v>9309</v>
      </c>
      <c r="L210" s="28" t="s">
        <v>6955</v>
      </c>
      <c r="N210" s="28" t="s">
        <v>18508</v>
      </c>
      <c r="O210" s="28" t="s">
        <v>6374</v>
      </c>
      <c r="P210" s="28" t="s">
        <v>18364</v>
      </c>
      <c r="Q210" s="28" t="s">
        <v>18329</v>
      </c>
      <c r="R210" s="28" t="s">
        <v>18365</v>
      </c>
      <c r="S210" s="28" t="s">
        <v>18509</v>
      </c>
      <c r="T210" s="28" t="s">
        <v>18510</v>
      </c>
      <c r="V210" s="27"/>
      <c r="W210" s="28" t="s">
        <v>624</v>
      </c>
      <c r="X210" s="28" t="s">
        <v>193</v>
      </c>
      <c r="Y210" s="27" t="s">
        <v>9310</v>
      </c>
      <c r="AB210" s="28" t="s">
        <v>9311</v>
      </c>
      <c r="AH210" s="28" t="s">
        <v>4714</v>
      </c>
      <c r="AI210" s="28" t="s">
        <v>18507</v>
      </c>
      <c r="AJ210" s="516" t="str">
        <f>MID('II kw.22'!W210,8,6)</f>
        <v>332203</v>
      </c>
      <c r="AK210" s="516">
        <v>1</v>
      </c>
      <c r="AL210" s="516">
        <f t="shared" si="3"/>
        <v>1</v>
      </c>
      <c r="AM210" s="516">
        <v>1</v>
      </c>
      <c r="AN210" s="28" t="s">
        <v>17650</v>
      </c>
      <c r="AO210" s="28" t="s">
        <v>17651</v>
      </c>
      <c r="AP210" s="28" t="s">
        <v>17652</v>
      </c>
      <c r="AQ210" s="28" t="s">
        <v>17653</v>
      </c>
      <c r="AR210" s="28" t="s">
        <v>1024</v>
      </c>
    </row>
    <row r="211" spans="1:44" x14ac:dyDescent="0.25">
      <c r="A211" s="28" t="s">
        <v>18511</v>
      </c>
      <c r="B211" s="28" t="s">
        <v>1419</v>
      </c>
      <c r="C211" s="28" t="s">
        <v>10</v>
      </c>
      <c r="D211" s="28" t="s">
        <v>18175</v>
      </c>
      <c r="E211" s="28" t="s">
        <v>192</v>
      </c>
      <c r="F211" s="28">
        <v>1</v>
      </c>
      <c r="G211" s="28" t="s">
        <v>193</v>
      </c>
      <c r="H211" s="28" t="s">
        <v>194</v>
      </c>
      <c r="I211" s="28" t="s">
        <v>17672</v>
      </c>
      <c r="J211" s="28" t="s">
        <v>9302</v>
      </c>
      <c r="K211" s="28" t="s">
        <v>9309</v>
      </c>
      <c r="L211" s="28" t="s">
        <v>6955</v>
      </c>
      <c r="N211" s="28" t="s">
        <v>18512</v>
      </c>
      <c r="O211" s="28" t="s">
        <v>6261</v>
      </c>
      <c r="P211" s="28" t="s">
        <v>18364</v>
      </c>
      <c r="Q211" s="28" t="s">
        <v>18329</v>
      </c>
      <c r="R211" s="28" t="s">
        <v>18365</v>
      </c>
      <c r="S211" s="28" t="s">
        <v>18513</v>
      </c>
      <c r="T211" s="28" t="s">
        <v>18514</v>
      </c>
      <c r="V211" s="27"/>
      <c r="W211" s="28" t="s">
        <v>484</v>
      </c>
      <c r="X211" s="28" t="s">
        <v>193</v>
      </c>
      <c r="Y211" s="27" t="s">
        <v>9310</v>
      </c>
      <c r="AB211" s="28" t="s">
        <v>9311</v>
      </c>
      <c r="AH211" s="28" t="s">
        <v>4714</v>
      </c>
      <c r="AI211" s="28" t="s">
        <v>1419</v>
      </c>
      <c r="AJ211" s="516" t="str">
        <f>MID('II kw.22'!W211,8,6)</f>
        <v>251401</v>
      </c>
      <c r="AK211" s="516">
        <v>1</v>
      </c>
      <c r="AL211" s="516">
        <f t="shared" si="3"/>
        <v>1</v>
      </c>
      <c r="AM211" s="516">
        <v>1</v>
      </c>
      <c r="AN211" s="28" t="s">
        <v>17650</v>
      </c>
      <c r="AO211" s="28" t="s">
        <v>17651</v>
      </c>
      <c r="AP211" s="28" t="s">
        <v>17652</v>
      </c>
      <c r="AQ211" s="28" t="s">
        <v>17653</v>
      </c>
      <c r="AR211" s="28" t="s">
        <v>1024</v>
      </c>
    </row>
    <row r="212" spans="1:44" x14ac:dyDescent="0.25">
      <c r="A212" s="28" t="s">
        <v>18515</v>
      </c>
      <c r="B212" s="28" t="s">
        <v>18516</v>
      </c>
      <c r="C212" s="28" t="s">
        <v>21</v>
      </c>
      <c r="D212" s="28" t="s">
        <v>18175</v>
      </c>
      <c r="E212" s="28" t="s">
        <v>192</v>
      </c>
      <c r="F212" s="28">
        <v>1</v>
      </c>
      <c r="G212" s="28" t="s">
        <v>193</v>
      </c>
      <c r="H212" s="28" t="s">
        <v>194</v>
      </c>
      <c r="I212" s="28" t="s">
        <v>17784</v>
      </c>
      <c r="J212" s="28" t="s">
        <v>9302</v>
      </c>
      <c r="K212" s="28" t="s">
        <v>9309</v>
      </c>
      <c r="L212" s="28" t="s">
        <v>6955</v>
      </c>
      <c r="N212" s="28" t="s">
        <v>18517</v>
      </c>
      <c r="O212" s="28" t="s">
        <v>6279</v>
      </c>
      <c r="P212" s="28" t="s">
        <v>18364</v>
      </c>
      <c r="Q212" s="28" t="s">
        <v>18329</v>
      </c>
      <c r="R212" s="28" t="s">
        <v>18365</v>
      </c>
      <c r="S212" s="28" t="s">
        <v>18518</v>
      </c>
      <c r="T212" s="28" t="s">
        <v>18519</v>
      </c>
      <c r="V212" s="27"/>
      <c r="W212" s="28" t="s">
        <v>293</v>
      </c>
      <c r="X212" s="28" t="s">
        <v>193</v>
      </c>
      <c r="Y212" s="27" t="s">
        <v>9310</v>
      </c>
      <c r="AB212" s="28" t="s">
        <v>9311</v>
      </c>
      <c r="AH212" s="28" t="s">
        <v>4714</v>
      </c>
      <c r="AI212" s="28" t="s">
        <v>18516</v>
      </c>
      <c r="AJ212" s="516" t="str">
        <f>MID('II kw.22'!W212,8,6)</f>
        <v>214202</v>
      </c>
      <c r="AK212" s="516">
        <v>1</v>
      </c>
      <c r="AL212" s="516">
        <f t="shared" si="3"/>
        <v>1</v>
      </c>
      <c r="AM212" s="516">
        <v>1</v>
      </c>
      <c r="AN212" s="28" t="s">
        <v>17650</v>
      </c>
      <c r="AO212" s="28" t="s">
        <v>17651</v>
      </c>
      <c r="AP212" s="28" t="s">
        <v>17652</v>
      </c>
      <c r="AQ212" s="28" t="s">
        <v>17653</v>
      </c>
      <c r="AR212" s="28" t="s">
        <v>1024</v>
      </c>
    </row>
    <row r="213" spans="1:44" x14ac:dyDescent="0.25">
      <c r="A213" s="28" t="s">
        <v>915</v>
      </c>
      <c r="B213" s="28" t="s">
        <v>18520</v>
      </c>
      <c r="C213" s="28" t="s">
        <v>10</v>
      </c>
      <c r="D213" s="28" t="s">
        <v>18175</v>
      </c>
      <c r="E213" s="28" t="s">
        <v>192</v>
      </c>
      <c r="F213" s="28">
        <v>1</v>
      </c>
      <c r="G213" s="28" t="s">
        <v>193</v>
      </c>
      <c r="H213" s="28" t="s">
        <v>194</v>
      </c>
      <c r="I213" s="28" t="s">
        <v>17672</v>
      </c>
      <c r="J213" s="28" t="s">
        <v>9302</v>
      </c>
      <c r="K213" s="28" t="s">
        <v>9309</v>
      </c>
      <c r="L213" s="28" t="s">
        <v>6955</v>
      </c>
      <c r="N213" s="28" t="s">
        <v>18521</v>
      </c>
      <c r="O213" s="28" t="s">
        <v>6261</v>
      </c>
      <c r="P213" s="28" t="s">
        <v>18364</v>
      </c>
      <c r="Q213" s="28" t="s">
        <v>18329</v>
      </c>
      <c r="R213" s="28" t="s">
        <v>18365</v>
      </c>
      <c r="S213" s="28" t="s">
        <v>18522</v>
      </c>
      <c r="T213" s="28" t="s">
        <v>18523</v>
      </c>
      <c r="V213" s="27"/>
      <c r="W213" s="28" t="s">
        <v>484</v>
      </c>
      <c r="X213" s="28" t="s">
        <v>193</v>
      </c>
      <c r="Y213" s="27" t="s">
        <v>9310</v>
      </c>
      <c r="AB213" s="28" t="s">
        <v>9311</v>
      </c>
      <c r="AH213" s="28" t="s">
        <v>4714</v>
      </c>
      <c r="AI213" s="28" t="s">
        <v>18520</v>
      </c>
      <c r="AJ213" s="516" t="str">
        <f>MID('II kw.22'!W213,8,6)</f>
        <v>251401</v>
      </c>
      <c r="AK213" s="516">
        <v>1</v>
      </c>
      <c r="AL213" s="516">
        <f t="shared" si="3"/>
        <v>1</v>
      </c>
      <c r="AM213" s="516">
        <v>1</v>
      </c>
      <c r="AN213" s="28" t="s">
        <v>17650</v>
      </c>
      <c r="AO213" s="28" t="s">
        <v>17651</v>
      </c>
      <c r="AP213" s="28" t="s">
        <v>17652</v>
      </c>
      <c r="AQ213" s="28" t="s">
        <v>17653</v>
      </c>
      <c r="AR213" s="28" t="s">
        <v>1024</v>
      </c>
    </row>
    <row r="214" spans="1:44" x14ac:dyDescent="0.25">
      <c r="A214" s="28" t="s">
        <v>18524</v>
      </c>
      <c r="B214" s="28" t="s">
        <v>18525</v>
      </c>
      <c r="C214" s="28" t="s">
        <v>706</v>
      </c>
      <c r="D214" s="28" t="s">
        <v>18175</v>
      </c>
      <c r="E214" s="28" t="s">
        <v>192</v>
      </c>
      <c r="F214" s="28">
        <v>1</v>
      </c>
      <c r="G214" s="28" t="s">
        <v>193</v>
      </c>
      <c r="H214" s="28" t="s">
        <v>194</v>
      </c>
      <c r="I214" s="28" t="s">
        <v>17784</v>
      </c>
      <c r="J214" s="28" t="s">
        <v>9302</v>
      </c>
      <c r="K214" s="28" t="s">
        <v>9309</v>
      </c>
      <c r="L214" s="28" t="s">
        <v>6955</v>
      </c>
      <c r="N214" s="28" t="s">
        <v>18526</v>
      </c>
      <c r="O214" s="28" t="s">
        <v>6251</v>
      </c>
      <c r="P214" s="28" t="s">
        <v>18364</v>
      </c>
      <c r="Q214" s="28" t="s">
        <v>18329</v>
      </c>
      <c r="R214" s="28" t="s">
        <v>18365</v>
      </c>
      <c r="S214" s="28" t="s">
        <v>18527</v>
      </c>
      <c r="T214" s="28" t="s">
        <v>18528</v>
      </c>
      <c r="V214" s="27"/>
      <c r="W214" s="28" t="s">
        <v>707</v>
      </c>
      <c r="X214" s="28" t="s">
        <v>193</v>
      </c>
      <c r="Y214" s="27" t="s">
        <v>9310</v>
      </c>
      <c r="AB214" s="28" t="s">
        <v>9311</v>
      </c>
      <c r="AH214" s="28" t="s">
        <v>4714</v>
      </c>
      <c r="AI214" s="28" t="s">
        <v>18525</v>
      </c>
      <c r="AJ214" s="516" t="str">
        <f>MID('II kw.22'!W214,8,6)</f>
        <v>422201</v>
      </c>
      <c r="AK214" s="516">
        <v>1</v>
      </c>
      <c r="AL214" s="516">
        <f t="shared" si="3"/>
        <v>1</v>
      </c>
      <c r="AM214" s="516">
        <v>1</v>
      </c>
      <c r="AN214" s="28" t="s">
        <v>17650</v>
      </c>
      <c r="AO214" s="28" t="s">
        <v>17651</v>
      </c>
      <c r="AP214" s="28" t="s">
        <v>17652</v>
      </c>
      <c r="AQ214" s="28" t="s">
        <v>17653</v>
      </c>
      <c r="AR214" s="28" t="s">
        <v>1024</v>
      </c>
    </row>
    <row r="215" spans="1:44" x14ac:dyDescent="0.25">
      <c r="A215" s="28" t="s">
        <v>18529</v>
      </c>
      <c r="B215" s="28" t="s">
        <v>18530</v>
      </c>
      <c r="C215" s="28" t="s">
        <v>16281</v>
      </c>
      <c r="D215" s="28" t="s">
        <v>18175</v>
      </c>
      <c r="E215" s="28" t="s">
        <v>192</v>
      </c>
      <c r="F215" s="28">
        <v>1</v>
      </c>
      <c r="G215" s="28" t="s">
        <v>193</v>
      </c>
      <c r="H215" s="28" t="s">
        <v>194</v>
      </c>
      <c r="I215" s="28" t="s">
        <v>17672</v>
      </c>
      <c r="J215" s="28" t="s">
        <v>9302</v>
      </c>
      <c r="K215" s="28" t="s">
        <v>9309</v>
      </c>
      <c r="L215" s="28" t="s">
        <v>6955</v>
      </c>
      <c r="N215" s="28" t="s">
        <v>18531</v>
      </c>
      <c r="O215" s="28" t="s">
        <v>6295</v>
      </c>
      <c r="P215" s="28" t="s">
        <v>18364</v>
      </c>
      <c r="Q215" s="28" t="s">
        <v>18329</v>
      </c>
      <c r="R215" s="28" t="s">
        <v>18365</v>
      </c>
      <c r="S215" s="28" t="s">
        <v>18532</v>
      </c>
      <c r="T215" s="28" t="s">
        <v>18533</v>
      </c>
      <c r="V215" s="27"/>
      <c r="W215" s="28" t="s">
        <v>9002</v>
      </c>
      <c r="X215" s="28" t="s">
        <v>193</v>
      </c>
      <c r="Y215" s="27" t="s">
        <v>9310</v>
      </c>
      <c r="AB215" s="28" t="s">
        <v>9311</v>
      </c>
      <c r="AH215" s="28" t="s">
        <v>4714</v>
      </c>
      <c r="AI215" s="28" t="s">
        <v>18530</v>
      </c>
      <c r="AJ215" s="516" t="str">
        <f>MID('II kw.22'!W215,8,6)</f>
        <v>252902</v>
      </c>
      <c r="AK215" s="516">
        <v>1</v>
      </c>
      <c r="AL215" s="516">
        <f t="shared" si="3"/>
        <v>1</v>
      </c>
      <c r="AM215" s="516">
        <v>1</v>
      </c>
      <c r="AN215" s="28" t="s">
        <v>17650</v>
      </c>
      <c r="AO215" s="28" t="s">
        <v>17651</v>
      </c>
      <c r="AP215" s="28" t="s">
        <v>17652</v>
      </c>
      <c r="AQ215" s="28" t="s">
        <v>17653</v>
      </c>
      <c r="AR215" s="28" t="s">
        <v>1024</v>
      </c>
    </row>
    <row r="216" spans="1:44" x14ac:dyDescent="0.25">
      <c r="A216" s="28" t="s">
        <v>18534</v>
      </c>
      <c r="B216" s="28" t="s">
        <v>18535</v>
      </c>
      <c r="C216" s="28" t="s">
        <v>18536</v>
      </c>
      <c r="D216" s="28" t="s">
        <v>18175</v>
      </c>
      <c r="E216" s="28" t="s">
        <v>192</v>
      </c>
      <c r="F216" s="28">
        <v>1</v>
      </c>
      <c r="G216" s="28" t="s">
        <v>193</v>
      </c>
      <c r="H216" s="28" t="s">
        <v>194</v>
      </c>
      <c r="I216" s="28" t="s">
        <v>17656</v>
      </c>
      <c r="J216" s="28" t="s">
        <v>9302</v>
      </c>
      <c r="K216" s="28" t="s">
        <v>9309</v>
      </c>
      <c r="L216" s="28" t="s">
        <v>6955</v>
      </c>
      <c r="N216" s="28" t="s">
        <v>18537</v>
      </c>
      <c r="O216" s="28" t="s">
        <v>6327</v>
      </c>
      <c r="P216" s="28" t="s">
        <v>18364</v>
      </c>
      <c r="Q216" s="28" t="s">
        <v>18329</v>
      </c>
      <c r="R216" s="28" t="s">
        <v>18365</v>
      </c>
      <c r="S216" s="28" t="s">
        <v>18538</v>
      </c>
      <c r="T216" s="28" t="s">
        <v>18539</v>
      </c>
      <c r="V216" s="27"/>
      <c r="W216" s="28" t="s">
        <v>18540</v>
      </c>
      <c r="X216" s="28" t="s">
        <v>193</v>
      </c>
      <c r="Y216" s="27" t="s">
        <v>9310</v>
      </c>
      <c r="AB216" s="28" t="s">
        <v>9311</v>
      </c>
      <c r="AH216" s="28" t="s">
        <v>4714</v>
      </c>
      <c r="AI216" s="28" t="s">
        <v>18535</v>
      </c>
      <c r="AJ216" s="516" t="str">
        <f>MID('II kw.22'!W216,8,6)</f>
        <v>241201</v>
      </c>
      <c r="AK216" s="516">
        <v>1</v>
      </c>
      <c r="AL216" s="516">
        <f t="shared" si="3"/>
        <v>1</v>
      </c>
      <c r="AM216" s="516">
        <v>1</v>
      </c>
      <c r="AN216" s="28" t="s">
        <v>17650</v>
      </c>
      <c r="AO216" s="28" t="s">
        <v>17651</v>
      </c>
      <c r="AP216" s="28" t="s">
        <v>17652</v>
      </c>
      <c r="AQ216" s="28" t="s">
        <v>17653</v>
      </c>
      <c r="AR216" s="28" t="s">
        <v>1024</v>
      </c>
    </row>
    <row r="217" spans="1:44" x14ac:dyDescent="0.25">
      <c r="A217" s="28" t="s">
        <v>18541</v>
      </c>
      <c r="B217" s="28" t="s">
        <v>5101</v>
      </c>
      <c r="C217" s="28" t="s">
        <v>10</v>
      </c>
      <c r="D217" s="28" t="s">
        <v>18175</v>
      </c>
      <c r="E217" s="28" t="s">
        <v>192</v>
      </c>
      <c r="F217" s="28">
        <v>1</v>
      </c>
      <c r="G217" s="28" t="s">
        <v>193</v>
      </c>
      <c r="H217" s="28" t="s">
        <v>194</v>
      </c>
      <c r="I217" s="28" t="s">
        <v>17672</v>
      </c>
      <c r="J217" s="28" t="s">
        <v>9302</v>
      </c>
      <c r="K217" s="28" t="s">
        <v>9309</v>
      </c>
      <c r="L217" s="28" t="s">
        <v>6955</v>
      </c>
      <c r="N217" s="28" t="s">
        <v>18542</v>
      </c>
      <c r="O217" s="28" t="s">
        <v>6261</v>
      </c>
      <c r="P217" s="28" t="s">
        <v>18364</v>
      </c>
      <c r="Q217" s="28" t="s">
        <v>18329</v>
      </c>
      <c r="R217" s="28" t="s">
        <v>18365</v>
      </c>
      <c r="S217" s="28" t="s">
        <v>18543</v>
      </c>
      <c r="T217" s="28" t="s">
        <v>18544</v>
      </c>
      <c r="V217" s="27"/>
      <c r="W217" s="28" t="s">
        <v>484</v>
      </c>
      <c r="X217" s="28" t="s">
        <v>193</v>
      </c>
      <c r="Y217" s="27" t="s">
        <v>9310</v>
      </c>
      <c r="AB217" s="28" t="s">
        <v>9311</v>
      </c>
      <c r="AH217" s="28" t="s">
        <v>4714</v>
      </c>
      <c r="AI217" s="28" t="s">
        <v>5101</v>
      </c>
      <c r="AJ217" s="516" t="str">
        <f>MID('II kw.22'!W217,8,6)</f>
        <v>251401</v>
      </c>
      <c r="AK217" s="516">
        <v>1</v>
      </c>
      <c r="AL217" s="516">
        <f t="shared" si="3"/>
        <v>1</v>
      </c>
      <c r="AM217" s="516">
        <v>1</v>
      </c>
      <c r="AN217" s="28" t="s">
        <v>17650</v>
      </c>
      <c r="AO217" s="28" t="s">
        <v>17651</v>
      </c>
      <c r="AP217" s="28" t="s">
        <v>17652</v>
      </c>
      <c r="AQ217" s="28" t="s">
        <v>17653</v>
      </c>
      <c r="AR217" s="28" t="s">
        <v>1024</v>
      </c>
    </row>
    <row r="218" spans="1:44" x14ac:dyDescent="0.25">
      <c r="A218" s="28" t="s">
        <v>18545</v>
      </c>
      <c r="B218" s="28" t="s">
        <v>647</v>
      </c>
      <c r="C218" s="28" t="s">
        <v>17</v>
      </c>
      <c r="D218" s="28" t="s">
        <v>18175</v>
      </c>
      <c r="E218" s="28" t="s">
        <v>192</v>
      </c>
      <c r="F218" s="28">
        <v>1</v>
      </c>
      <c r="G218" s="28" t="s">
        <v>193</v>
      </c>
      <c r="H218" s="28" t="s">
        <v>194</v>
      </c>
      <c r="I218" s="28" t="s">
        <v>17706</v>
      </c>
      <c r="J218" s="28" t="s">
        <v>9302</v>
      </c>
      <c r="K218" s="28" t="s">
        <v>9309</v>
      </c>
      <c r="L218" s="28" t="s">
        <v>6955</v>
      </c>
      <c r="N218" s="28" t="s">
        <v>18546</v>
      </c>
      <c r="O218" s="28" t="s">
        <v>6249</v>
      </c>
      <c r="P218" s="28" t="s">
        <v>18364</v>
      </c>
      <c r="Q218" s="28" t="s">
        <v>18329</v>
      </c>
      <c r="R218" s="28" t="s">
        <v>18365</v>
      </c>
      <c r="S218" s="28" t="s">
        <v>18547</v>
      </c>
      <c r="T218" s="28" t="s">
        <v>18548</v>
      </c>
      <c r="V218" s="27"/>
      <c r="W218" s="28" t="s">
        <v>624</v>
      </c>
      <c r="X218" s="28" t="s">
        <v>193</v>
      </c>
      <c r="Y218" s="27" t="s">
        <v>9310</v>
      </c>
      <c r="AB218" s="28" t="s">
        <v>9311</v>
      </c>
      <c r="AH218" s="28" t="s">
        <v>4714</v>
      </c>
      <c r="AI218" s="28" t="s">
        <v>647</v>
      </c>
      <c r="AJ218" s="516" t="str">
        <f>MID('II kw.22'!W218,8,6)</f>
        <v>332203</v>
      </c>
      <c r="AK218" s="516">
        <v>1</v>
      </c>
      <c r="AL218" s="516">
        <f t="shared" si="3"/>
        <v>1</v>
      </c>
      <c r="AM218" s="516">
        <v>1</v>
      </c>
      <c r="AN218" s="28" t="s">
        <v>17650</v>
      </c>
      <c r="AO218" s="28" t="s">
        <v>17651</v>
      </c>
      <c r="AP218" s="28" t="s">
        <v>17652</v>
      </c>
      <c r="AQ218" s="28" t="s">
        <v>17653</v>
      </c>
      <c r="AR218" s="28" t="s">
        <v>1024</v>
      </c>
    </row>
    <row r="219" spans="1:44" x14ac:dyDescent="0.25">
      <c r="A219" s="28" t="s">
        <v>18549</v>
      </c>
      <c r="B219" s="28" t="s">
        <v>18550</v>
      </c>
      <c r="C219" s="28" t="s">
        <v>3315</v>
      </c>
      <c r="D219" s="28" t="s">
        <v>18175</v>
      </c>
      <c r="E219" s="28" t="s">
        <v>192</v>
      </c>
      <c r="F219" s="28">
        <v>1</v>
      </c>
      <c r="G219" s="28" t="s">
        <v>193</v>
      </c>
      <c r="H219" s="28" t="s">
        <v>194</v>
      </c>
      <c r="I219" s="28" t="s">
        <v>17672</v>
      </c>
      <c r="J219" s="28" t="s">
        <v>210</v>
      </c>
      <c r="K219" s="28" t="s">
        <v>9309</v>
      </c>
      <c r="L219" s="28" t="s">
        <v>6955</v>
      </c>
      <c r="N219" s="28" t="s">
        <v>18551</v>
      </c>
      <c r="O219" s="28" t="s">
        <v>6245</v>
      </c>
      <c r="P219" s="28" t="s">
        <v>18364</v>
      </c>
      <c r="Q219" s="28" t="s">
        <v>18329</v>
      </c>
      <c r="R219" s="28" t="s">
        <v>18365</v>
      </c>
      <c r="S219" s="28" t="s">
        <v>18552</v>
      </c>
      <c r="T219" s="28" t="s">
        <v>18553</v>
      </c>
      <c r="V219" s="28" t="s">
        <v>9334</v>
      </c>
      <c r="W219" s="28" t="s">
        <v>3317</v>
      </c>
      <c r="X219" s="28" t="s">
        <v>194</v>
      </c>
      <c r="Y219" s="28" t="s">
        <v>9300</v>
      </c>
      <c r="AB219" s="28" t="s">
        <v>9311</v>
      </c>
      <c r="AH219" s="28" t="s">
        <v>4714</v>
      </c>
      <c r="AI219" s="28" t="s">
        <v>18550</v>
      </c>
      <c r="AJ219" s="516" t="str">
        <f>MID('II kw.22'!W219,8,6)</f>
        <v>216101</v>
      </c>
      <c r="AK219" s="516">
        <v>1</v>
      </c>
      <c r="AL219" s="516">
        <f t="shared" si="3"/>
        <v>1</v>
      </c>
      <c r="AM219" s="516">
        <v>1</v>
      </c>
      <c r="AN219" s="28" t="s">
        <v>17650</v>
      </c>
      <c r="AO219" s="28" t="s">
        <v>17651</v>
      </c>
      <c r="AP219" s="28" t="s">
        <v>17652</v>
      </c>
      <c r="AQ219" s="28" t="s">
        <v>17653</v>
      </c>
      <c r="AR219" s="28" t="s">
        <v>1024</v>
      </c>
    </row>
    <row r="220" spans="1:44" x14ac:dyDescent="0.25">
      <c r="A220" s="28" t="s">
        <v>18554</v>
      </c>
      <c r="B220" s="28" t="s">
        <v>18555</v>
      </c>
      <c r="C220" s="28" t="s">
        <v>10</v>
      </c>
      <c r="D220" s="28" t="s">
        <v>18175</v>
      </c>
      <c r="E220" s="28" t="s">
        <v>192</v>
      </c>
      <c r="F220" s="28">
        <v>1</v>
      </c>
      <c r="G220" s="28" t="s">
        <v>193</v>
      </c>
      <c r="H220" s="28" t="s">
        <v>194</v>
      </c>
      <c r="I220" s="28" t="s">
        <v>17672</v>
      </c>
      <c r="J220" s="28" t="s">
        <v>9302</v>
      </c>
      <c r="K220" s="28" t="s">
        <v>9309</v>
      </c>
      <c r="L220" s="28" t="s">
        <v>6955</v>
      </c>
      <c r="N220" s="28" t="s">
        <v>18556</v>
      </c>
      <c r="O220" s="28" t="s">
        <v>6921</v>
      </c>
      <c r="P220" s="28" t="s">
        <v>18364</v>
      </c>
      <c r="Q220" s="28" t="s">
        <v>18329</v>
      </c>
      <c r="R220" s="28" t="s">
        <v>18365</v>
      </c>
      <c r="S220" s="28" t="s">
        <v>18557</v>
      </c>
      <c r="T220" s="28" t="s">
        <v>18558</v>
      </c>
      <c r="V220" s="27"/>
      <c r="W220" s="28" t="s">
        <v>484</v>
      </c>
      <c r="X220" s="28" t="s">
        <v>193</v>
      </c>
      <c r="Y220" s="27" t="s">
        <v>9310</v>
      </c>
      <c r="AB220" s="28" t="s">
        <v>9311</v>
      </c>
      <c r="AH220" s="28" t="s">
        <v>4714</v>
      </c>
      <c r="AI220" s="28" t="s">
        <v>18555</v>
      </c>
      <c r="AJ220" s="516" t="str">
        <f>MID('II kw.22'!W220,8,6)</f>
        <v>251401</v>
      </c>
      <c r="AK220" s="516">
        <v>1</v>
      </c>
      <c r="AL220" s="516">
        <f t="shared" si="3"/>
        <v>1</v>
      </c>
      <c r="AM220" s="516">
        <v>1</v>
      </c>
      <c r="AN220" s="28" t="s">
        <v>17650</v>
      </c>
      <c r="AO220" s="28" t="s">
        <v>17651</v>
      </c>
      <c r="AP220" s="28" t="s">
        <v>17652</v>
      </c>
      <c r="AQ220" s="28" t="s">
        <v>17653</v>
      </c>
      <c r="AR220" s="28" t="s">
        <v>1024</v>
      </c>
    </row>
    <row r="221" spans="1:44" x14ac:dyDescent="0.25">
      <c r="A221" s="28" t="s">
        <v>18559</v>
      </c>
      <c r="B221" s="28" t="s">
        <v>18560</v>
      </c>
      <c r="C221" s="28" t="s">
        <v>67</v>
      </c>
      <c r="D221" s="28" t="s">
        <v>18175</v>
      </c>
      <c r="E221" s="28" t="s">
        <v>192</v>
      </c>
      <c r="F221" s="28">
        <v>1</v>
      </c>
      <c r="G221" s="28" t="s">
        <v>193</v>
      </c>
      <c r="H221" s="28" t="s">
        <v>194</v>
      </c>
      <c r="I221" s="28" t="s">
        <v>17706</v>
      </c>
      <c r="J221" s="28" t="s">
        <v>210</v>
      </c>
      <c r="K221" s="28" t="s">
        <v>9309</v>
      </c>
      <c r="L221" s="28" t="s">
        <v>6955</v>
      </c>
      <c r="N221" s="28" t="s">
        <v>18561</v>
      </c>
      <c r="O221" s="28" t="s">
        <v>6266</v>
      </c>
      <c r="P221" s="28" t="s">
        <v>18364</v>
      </c>
      <c r="Q221" s="28" t="s">
        <v>18329</v>
      </c>
      <c r="R221" s="28" t="s">
        <v>18365</v>
      </c>
      <c r="S221" s="28" t="s">
        <v>18562</v>
      </c>
      <c r="T221" s="28" t="s">
        <v>18563</v>
      </c>
      <c r="V221" s="28" t="s">
        <v>9334</v>
      </c>
      <c r="W221" s="28" t="s">
        <v>709</v>
      </c>
      <c r="X221" s="28" t="s">
        <v>194</v>
      </c>
      <c r="Y221" s="28" t="s">
        <v>9300</v>
      </c>
      <c r="AB221" s="28" t="s">
        <v>9311</v>
      </c>
      <c r="AH221" s="28" t="s">
        <v>4714</v>
      </c>
      <c r="AI221" s="28" t="s">
        <v>18560</v>
      </c>
      <c r="AJ221" s="516" t="str">
        <f>MID('II kw.22'!W221,8,6)</f>
        <v>432103</v>
      </c>
      <c r="AK221" s="516">
        <v>1</v>
      </c>
      <c r="AL221" s="516">
        <f t="shared" si="3"/>
        <v>1</v>
      </c>
      <c r="AM221" s="516">
        <v>1</v>
      </c>
      <c r="AN221" s="28" t="s">
        <v>17650</v>
      </c>
      <c r="AO221" s="28" t="s">
        <v>17651</v>
      </c>
      <c r="AP221" s="28" t="s">
        <v>17652</v>
      </c>
      <c r="AQ221" s="28" t="s">
        <v>17653</v>
      </c>
      <c r="AR221" s="28" t="s">
        <v>1024</v>
      </c>
    </row>
    <row r="222" spans="1:44" x14ac:dyDescent="0.25">
      <c r="A222" s="28" t="s">
        <v>12918</v>
      </c>
      <c r="B222" s="28" t="s">
        <v>18564</v>
      </c>
      <c r="C222" s="28" t="s">
        <v>100</v>
      </c>
      <c r="D222" s="28" t="s">
        <v>18175</v>
      </c>
      <c r="E222" s="28" t="s">
        <v>192</v>
      </c>
      <c r="F222" s="28">
        <v>1</v>
      </c>
      <c r="G222" s="28" t="s">
        <v>193</v>
      </c>
      <c r="H222" s="28" t="s">
        <v>194</v>
      </c>
      <c r="I222" s="28" t="s">
        <v>17706</v>
      </c>
      <c r="J222" s="28" t="s">
        <v>9302</v>
      </c>
      <c r="K222" s="28" t="s">
        <v>9309</v>
      </c>
      <c r="L222" s="28" t="s">
        <v>6955</v>
      </c>
      <c r="N222" s="28" t="s">
        <v>18565</v>
      </c>
      <c r="O222" s="28" t="s">
        <v>6266</v>
      </c>
      <c r="P222" s="28" t="s">
        <v>18364</v>
      </c>
      <c r="Q222" s="28" t="s">
        <v>18329</v>
      </c>
      <c r="R222" s="28" t="s">
        <v>18365</v>
      </c>
      <c r="S222" s="28" t="s">
        <v>18566</v>
      </c>
      <c r="T222" s="28" t="s">
        <v>18567</v>
      </c>
      <c r="V222" s="27"/>
      <c r="W222" s="28" t="s">
        <v>429</v>
      </c>
      <c r="X222" s="28" t="s">
        <v>193</v>
      </c>
      <c r="Y222" s="27" t="s">
        <v>9310</v>
      </c>
      <c r="AB222" s="28" t="s">
        <v>9311</v>
      </c>
      <c r="AH222" s="28" t="s">
        <v>4714</v>
      </c>
      <c r="AI222" s="28" t="s">
        <v>18564</v>
      </c>
      <c r="AJ222" s="516" t="str">
        <f>MID('II kw.22'!W222,8,6)</f>
        <v>242108</v>
      </c>
      <c r="AK222" s="516">
        <v>1</v>
      </c>
      <c r="AL222" s="516">
        <f t="shared" si="3"/>
        <v>1</v>
      </c>
      <c r="AM222" s="516">
        <v>1</v>
      </c>
      <c r="AN222" s="28" t="s">
        <v>17650</v>
      </c>
      <c r="AO222" s="28" t="s">
        <v>17651</v>
      </c>
      <c r="AP222" s="28" t="s">
        <v>17652</v>
      </c>
      <c r="AQ222" s="28" t="s">
        <v>17653</v>
      </c>
      <c r="AR222" s="28" t="s">
        <v>1024</v>
      </c>
    </row>
    <row r="223" spans="1:44" x14ac:dyDescent="0.25">
      <c r="A223" s="28" t="s">
        <v>18568</v>
      </c>
      <c r="B223" s="28" t="s">
        <v>8075</v>
      </c>
      <c r="C223" s="28" t="s">
        <v>10</v>
      </c>
      <c r="D223" s="28" t="s">
        <v>18175</v>
      </c>
      <c r="E223" s="28" t="s">
        <v>192</v>
      </c>
      <c r="F223" s="28">
        <v>1</v>
      </c>
      <c r="G223" s="28" t="s">
        <v>193</v>
      </c>
      <c r="H223" s="28" t="s">
        <v>194</v>
      </c>
      <c r="I223" s="28" t="s">
        <v>17672</v>
      </c>
      <c r="J223" s="28" t="s">
        <v>9302</v>
      </c>
      <c r="K223" s="28" t="s">
        <v>9309</v>
      </c>
      <c r="L223" s="28" t="s">
        <v>6955</v>
      </c>
      <c r="N223" s="28" t="s">
        <v>18569</v>
      </c>
      <c r="O223" s="28" t="s">
        <v>6261</v>
      </c>
      <c r="P223" s="28" t="s">
        <v>18364</v>
      </c>
      <c r="Q223" s="28" t="s">
        <v>18329</v>
      </c>
      <c r="R223" s="28" t="s">
        <v>18469</v>
      </c>
      <c r="S223" s="28" t="s">
        <v>18570</v>
      </c>
      <c r="T223" s="28" t="s">
        <v>18571</v>
      </c>
      <c r="V223" s="27"/>
      <c r="W223" s="28" t="s">
        <v>484</v>
      </c>
      <c r="X223" s="28" t="s">
        <v>193</v>
      </c>
      <c r="Y223" s="27" t="s">
        <v>9310</v>
      </c>
      <c r="AB223" s="28" t="s">
        <v>9311</v>
      </c>
      <c r="AH223" s="28" t="s">
        <v>4714</v>
      </c>
      <c r="AI223" s="28" t="s">
        <v>8075</v>
      </c>
      <c r="AJ223" s="516" t="str">
        <f>MID('II kw.22'!W223,8,6)</f>
        <v>251401</v>
      </c>
      <c r="AK223" s="516">
        <v>1</v>
      </c>
      <c r="AL223" s="516">
        <f t="shared" si="3"/>
        <v>1</v>
      </c>
      <c r="AM223" s="516">
        <v>1</v>
      </c>
      <c r="AN223" s="28" t="s">
        <v>17650</v>
      </c>
      <c r="AO223" s="28" t="s">
        <v>17651</v>
      </c>
      <c r="AP223" s="28" t="s">
        <v>17652</v>
      </c>
      <c r="AQ223" s="28" t="s">
        <v>17653</v>
      </c>
      <c r="AR223" s="28" t="s">
        <v>1024</v>
      </c>
    </row>
    <row r="224" spans="1:44" x14ac:dyDescent="0.25">
      <c r="A224" s="28" t="s">
        <v>10467</v>
      </c>
      <c r="B224" s="28" t="s">
        <v>18572</v>
      </c>
      <c r="C224" s="28" t="s">
        <v>16355</v>
      </c>
      <c r="D224" s="28" t="s">
        <v>18175</v>
      </c>
      <c r="E224" s="28" t="s">
        <v>192</v>
      </c>
      <c r="F224" s="28">
        <v>1</v>
      </c>
      <c r="G224" s="28" t="s">
        <v>193</v>
      </c>
      <c r="H224" s="28" t="s">
        <v>194</v>
      </c>
      <c r="I224" s="28" t="s">
        <v>17784</v>
      </c>
      <c r="J224" s="28" t="s">
        <v>9302</v>
      </c>
      <c r="K224" s="28" t="s">
        <v>9309</v>
      </c>
      <c r="L224" s="28" t="s">
        <v>6955</v>
      </c>
      <c r="N224" s="28" t="s">
        <v>18573</v>
      </c>
      <c r="O224" s="28" t="s">
        <v>6921</v>
      </c>
      <c r="P224" s="28" t="s">
        <v>18364</v>
      </c>
      <c r="Q224" s="28" t="s">
        <v>18329</v>
      </c>
      <c r="R224" s="28" t="s">
        <v>18365</v>
      </c>
      <c r="S224" s="28" t="s">
        <v>18574</v>
      </c>
      <c r="T224" s="28" t="s">
        <v>18575</v>
      </c>
      <c r="V224" s="27"/>
      <c r="W224" s="28" t="s">
        <v>508</v>
      </c>
      <c r="X224" s="28" t="s">
        <v>193</v>
      </c>
      <c r="Y224" s="27" t="s">
        <v>9310</v>
      </c>
      <c r="AB224" s="28" t="s">
        <v>9311</v>
      </c>
      <c r="AH224" s="28" t="s">
        <v>4714</v>
      </c>
      <c r="AI224" s="28" t="s">
        <v>18572</v>
      </c>
      <c r="AJ224" s="516" t="str">
        <f>MID('II kw.22'!W224,8,6)</f>
        <v>252102</v>
      </c>
      <c r="AK224" s="516">
        <v>1</v>
      </c>
      <c r="AL224" s="516">
        <f t="shared" si="3"/>
        <v>1</v>
      </c>
      <c r="AM224" s="516">
        <v>1</v>
      </c>
      <c r="AN224" s="28" t="s">
        <v>17650</v>
      </c>
      <c r="AO224" s="28" t="s">
        <v>17651</v>
      </c>
      <c r="AP224" s="28" t="s">
        <v>17652</v>
      </c>
      <c r="AQ224" s="28" t="s">
        <v>17653</v>
      </c>
      <c r="AR224" s="28" t="s">
        <v>1024</v>
      </c>
    </row>
    <row r="225" spans="1:44" x14ac:dyDescent="0.25">
      <c r="A225" s="28" t="s">
        <v>18576</v>
      </c>
      <c r="B225" s="28" t="s">
        <v>6194</v>
      </c>
      <c r="C225" s="28" t="s">
        <v>12</v>
      </c>
      <c r="D225" s="28" t="s">
        <v>18175</v>
      </c>
      <c r="E225" s="28" t="s">
        <v>192</v>
      </c>
      <c r="F225" s="28">
        <v>1</v>
      </c>
      <c r="G225" s="28" t="s">
        <v>193</v>
      </c>
      <c r="H225" s="28" t="s">
        <v>194</v>
      </c>
      <c r="I225" s="28" t="s">
        <v>17672</v>
      </c>
      <c r="J225" s="28" t="s">
        <v>9302</v>
      </c>
      <c r="K225" s="28" t="s">
        <v>9309</v>
      </c>
      <c r="L225" s="28" t="s">
        <v>6955</v>
      </c>
      <c r="N225" s="28" t="s">
        <v>18577</v>
      </c>
      <c r="O225" s="28" t="s">
        <v>6324</v>
      </c>
      <c r="P225" s="28" t="s">
        <v>18364</v>
      </c>
      <c r="Q225" s="28" t="s">
        <v>18329</v>
      </c>
      <c r="R225" s="28" t="s">
        <v>18365</v>
      </c>
      <c r="S225" s="28" t="s">
        <v>18578</v>
      </c>
      <c r="T225" s="28" t="s">
        <v>18579</v>
      </c>
      <c r="V225" s="27"/>
      <c r="W225" s="28" t="s">
        <v>220</v>
      </c>
      <c r="X225" s="28" t="s">
        <v>193</v>
      </c>
      <c r="Y225" s="27" t="s">
        <v>9310</v>
      </c>
      <c r="AB225" s="28" t="s">
        <v>9311</v>
      </c>
      <c r="AH225" s="28" t="s">
        <v>4714</v>
      </c>
      <c r="AI225" s="138" t="s">
        <v>6194</v>
      </c>
      <c r="AJ225" s="516" t="str">
        <f>MID('II kw.22'!W225,8,6)</f>
        <v>132301</v>
      </c>
      <c r="AK225" s="516">
        <v>1</v>
      </c>
      <c r="AL225" s="516">
        <f t="shared" si="3"/>
        <v>1</v>
      </c>
      <c r="AM225" s="516">
        <v>1</v>
      </c>
      <c r="AN225" s="28" t="s">
        <v>17650</v>
      </c>
      <c r="AO225" s="28" t="s">
        <v>17651</v>
      </c>
      <c r="AP225" s="28" t="s">
        <v>17652</v>
      </c>
      <c r="AQ225" s="28" t="s">
        <v>17653</v>
      </c>
      <c r="AR225" s="28" t="s">
        <v>1024</v>
      </c>
    </row>
    <row r="226" spans="1:44" x14ac:dyDescent="0.25">
      <c r="A226" s="28" t="s">
        <v>17096</v>
      </c>
      <c r="B226" s="28" t="s">
        <v>17094</v>
      </c>
      <c r="C226" s="28" t="s">
        <v>6241</v>
      </c>
      <c r="D226" s="28" t="s">
        <v>18175</v>
      </c>
      <c r="E226" s="28" t="s">
        <v>192</v>
      </c>
      <c r="F226" s="28">
        <v>1</v>
      </c>
      <c r="G226" s="28" t="s">
        <v>193</v>
      </c>
      <c r="H226" s="28" t="s">
        <v>194</v>
      </c>
      <c r="I226" s="28" t="s">
        <v>17656</v>
      </c>
      <c r="J226" s="28" t="s">
        <v>9302</v>
      </c>
      <c r="K226" s="28" t="s">
        <v>9309</v>
      </c>
      <c r="L226" s="28" t="s">
        <v>6955</v>
      </c>
      <c r="N226" s="28" t="s">
        <v>18580</v>
      </c>
      <c r="O226" s="28" t="s">
        <v>6286</v>
      </c>
      <c r="P226" s="28" t="s">
        <v>18364</v>
      </c>
      <c r="Q226" s="28" t="s">
        <v>18329</v>
      </c>
      <c r="R226" s="28" t="s">
        <v>18365</v>
      </c>
      <c r="S226" s="28" t="s">
        <v>18581</v>
      </c>
      <c r="T226" s="28" t="s">
        <v>18582</v>
      </c>
      <c r="V226" s="27"/>
      <c r="W226" s="28" t="s">
        <v>6243</v>
      </c>
      <c r="X226" s="28" t="s">
        <v>193</v>
      </c>
      <c r="Y226" s="27" t="s">
        <v>9310</v>
      </c>
      <c r="AB226" s="28" t="s">
        <v>9311</v>
      </c>
      <c r="AH226" s="28" t="s">
        <v>4714</v>
      </c>
      <c r="AI226" s="28" t="s">
        <v>17094</v>
      </c>
      <c r="AJ226" s="516" t="str">
        <f>MID('II kw.22'!W226,8,6)</f>
        <v>264104</v>
      </c>
      <c r="AK226" s="516">
        <v>1</v>
      </c>
      <c r="AL226" s="516">
        <f t="shared" si="3"/>
        <v>1</v>
      </c>
      <c r="AM226" s="516">
        <v>1</v>
      </c>
      <c r="AN226" s="28" t="s">
        <v>17650</v>
      </c>
      <c r="AO226" s="28" t="s">
        <v>17651</v>
      </c>
      <c r="AP226" s="28" t="s">
        <v>17652</v>
      </c>
      <c r="AQ226" s="28" t="s">
        <v>17653</v>
      </c>
      <c r="AR226" s="28" t="s">
        <v>1024</v>
      </c>
    </row>
    <row r="227" spans="1:44" x14ac:dyDescent="0.25">
      <c r="A227" s="28" t="s">
        <v>10076</v>
      </c>
      <c r="B227" s="28" t="s">
        <v>8355</v>
      </c>
      <c r="C227" s="28" t="s">
        <v>1766</v>
      </c>
      <c r="D227" s="28" t="s">
        <v>18175</v>
      </c>
      <c r="E227" s="28" t="s">
        <v>192</v>
      </c>
      <c r="F227" s="28">
        <v>1</v>
      </c>
      <c r="G227" s="28" t="s">
        <v>193</v>
      </c>
      <c r="H227" s="28" t="s">
        <v>194</v>
      </c>
      <c r="I227" s="28" t="s">
        <v>17656</v>
      </c>
      <c r="J227" s="28" t="s">
        <v>9302</v>
      </c>
      <c r="K227" s="28" t="s">
        <v>9309</v>
      </c>
      <c r="L227" s="28" t="s">
        <v>6955</v>
      </c>
      <c r="N227" s="28" t="s">
        <v>18583</v>
      </c>
      <c r="O227" s="28" t="s">
        <v>6295</v>
      </c>
      <c r="P227" s="28" t="s">
        <v>18364</v>
      </c>
      <c r="Q227" s="28" t="s">
        <v>18329</v>
      </c>
      <c r="R227" s="28" t="s">
        <v>18365</v>
      </c>
      <c r="S227" s="28" t="s">
        <v>18584</v>
      </c>
      <c r="T227" s="28" t="s">
        <v>18585</v>
      </c>
      <c r="V227" s="27"/>
      <c r="W227" s="28" t="s">
        <v>1767</v>
      </c>
      <c r="X227" s="28" t="s">
        <v>193</v>
      </c>
      <c r="Y227" s="27" t="s">
        <v>9310</v>
      </c>
      <c r="AB227" s="28" t="s">
        <v>9311</v>
      </c>
      <c r="AH227" s="28" t="s">
        <v>4714</v>
      </c>
      <c r="AI227" s="28" t="s">
        <v>8355</v>
      </c>
      <c r="AJ227" s="516" t="str">
        <f>MID('II kw.22'!W227,8,6)</f>
        <v>242112</v>
      </c>
      <c r="AK227" s="516">
        <v>1</v>
      </c>
      <c r="AL227" s="516">
        <f t="shared" si="3"/>
        <v>1</v>
      </c>
      <c r="AM227" s="516">
        <v>1</v>
      </c>
      <c r="AN227" s="28" t="s">
        <v>17650</v>
      </c>
      <c r="AO227" s="28" t="s">
        <v>17651</v>
      </c>
      <c r="AP227" s="28" t="s">
        <v>17652</v>
      </c>
      <c r="AQ227" s="28" t="s">
        <v>17653</v>
      </c>
      <c r="AR227" s="28" t="s">
        <v>1024</v>
      </c>
    </row>
    <row r="228" spans="1:44" x14ac:dyDescent="0.25">
      <c r="A228" s="28" t="s">
        <v>13415</v>
      </c>
      <c r="B228" s="28" t="s">
        <v>18586</v>
      </c>
      <c r="C228" s="28" t="s">
        <v>37</v>
      </c>
      <c r="D228" s="28" t="s">
        <v>18175</v>
      </c>
      <c r="E228" s="28" t="s">
        <v>192</v>
      </c>
      <c r="F228" s="28">
        <v>1</v>
      </c>
      <c r="G228" s="28" t="s">
        <v>193</v>
      </c>
      <c r="H228" s="28" t="s">
        <v>194</v>
      </c>
      <c r="I228" s="28" t="s">
        <v>17784</v>
      </c>
      <c r="J228" s="28" t="s">
        <v>826</v>
      </c>
      <c r="K228" s="28" t="s">
        <v>9309</v>
      </c>
      <c r="L228" s="28" t="s">
        <v>6955</v>
      </c>
      <c r="N228" s="28" t="s">
        <v>18587</v>
      </c>
      <c r="O228" s="28" t="s">
        <v>6258</v>
      </c>
      <c r="P228" s="28" t="s">
        <v>18364</v>
      </c>
      <c r="Q228" s="28" t="s">
        <v>18329</v>
      </c>
      <c r="R228" s="28" t="s">
        <v>18365</v>
      </c>
      <c r="S228" s="28" t="s">
        <v>18588</v>
      </c>
      <c r="T228" s="28" t="s">
        <v>18589</v>
      </c>
      <c r="V228" s="28" t="s">
        <v>9726</v>
      </c>
      <c r="W228" s="28" t="s">
        <v>516</v>
      </c>
      <c r="X228" s="28" t="s">
        <v>194</v>
      </c>
      <c r="Y228" s="28" t="s">
        <v>9300</v>
      </c>
      <c r="AB228" s="28" t="s">
        <v>9311</v>
      </c>
      <c r="AH228" s="28" t="s">
        <v>4714</v>
      </c>
      <c r="AI228" s="28" t="s">
        <v>18586</v>
      </c>
      <c r="AJ228" s="516" t="str">
        <f>MID('II kw.22'!W228,8,6)</f>
        <v>252302</v>
      </c>
      <c r="AK228" s="516">
        <v>1</v>
      </c>
      <c r="AL228" s="516">
        <f t="shared" si="3"/>
        <v>1</v>
      </c>
      <c r="AM228" s="516">
        <v>1</v>
      </c>
      <c r="AN228" s="28" t="s">
        <v>17650</v>
      </c>
      <c r="AO228" s="28" t="s">
        <v>17651</v>
      </c>
      <c r="AP228" s="28" t="s">
        <v>17652</v>
      </c>
      <c r="AQ228" s="28" t="s">
        <v>17653</v>
      </c>
      <c r="AR228" s="28" t="s">
        <v>1024</v>
      </c>
    </row>
    <row r="229" spans="1:44" x14ac:dyDescent="0.25">
      <c r="A229" s="28" t="s">
        <v>18534</v>
      </c>
      <c r="B229" s="28" t="s">
        <v>18590</v>
      </c>
      <c r="C229" s="28" t="s">
        <v>27</v>
      </c>
      <c r="D229" s="28" t="s">
        <v>18175</v>
      </c>
      <c r="E229" s="28" t="s">
        <v>192</v>
      </c>
      <c r="F229" s="28">
        <v>1</v>
      </c>
      <c r="G229" s="28" t="s">
        <v>193</v>
      </c>
      <c r="H229" s="28" t="s">
        <v>194</v>
      </c>
      <c r="I229" s="28" t="s">
        <v>17784</v>
      </c>
      <c r="J229" s="28" t="s">
        <v>9302</v>
      </c>
      <c r="K229" s="28" t="s">
        <v>9309</v>
      </c>
      <c r="L229" s="28" t="s">
        <v>6955</v>
      </c>
      <c r="N229" s="28" t="s">
        <v>18591</v>
      </c>
      <c r="O229" s="28" t="s">
        <v>6286</v>
      </c>
      <c r="P229" s="28" t="s">
        <v>18364</v>
      </c>
      <c r="Q229" s="28" t="s">
        <v>18329</v>
      </c>
      <c r="R229" s="28" t="s">
        <v>18365</v>
      </c>
      <c r="S229" s="28" t="s">
        <v>18592</v>
      </c>
      <c r="T229" s="28" t="s">
        <v>18593</v>
      </c>
      <c r="V229" s="27"/>
      <c r="W229" s="28" t="s">
        <v>440</v>
      </c>
      <c r="X229" s="28" t="s">
        <v>193</v>
      </c>
      <c r="Y229" s="27" t="s">
        <v>9310</v>
      </c>
      <c r="AB229" s="28" t="s">
        <v>9311</v>
      </c>
      <c r="AH229" s="28" t="s">
        <v>4714</v>
      </c>
      <c r="AI229" s="28" t="s">
        <v>18590</v>
      </c>
      <c r="AJ229" s="516" t="str">
        <f>MID('II kw.22'!W229,8,6)</f>
        <v>242307</v>
      </c>
      <c r="AK229" s="516">
        <v>1</v>
      </c>
      <c r="AL229" s="516">
        <f t="shared" si="3"/>
        <v>1</v>
      </c>
      <c r="AM229" s="516">
        <v>1</v>
      </c>
      <c r="AN229" s="28" t="s">
        <v>17650</v>
      </c>
      <c r="AO229" s="28" t="s">
        <v>17651</v>
      </c>
      <c r="AP229" s="28" t="s">
        <v>17652</v>
      </c>
      <c r="AQ229" s="28" t="s">
        <v>17653</v>
      </c>
      <c r="AR229" s="28" t="s">
        <v>1024</v>
      </c>
    </row>
    <row r="230" spans="1:44" x14ac:dyDescent="0.25">
      <c r="A230" s="28" t="s">
        <v>18594</v>
      </c>
      <c r="B230" s="28" t="s">
        <v>18595</v>
      </c>
      <c r="C230" s="28" t="s">
        <v>17</v>
      </c>
      <c r="D230" s="28" t="s">
        <v>18175</v>
      </c>
      <c r="E230" s="28" t="s">
        <v>192</v>
      </c>
      <c r="F230" s="28">
        <v>1</v>
      </c>
      <c r="G230" s="28" t="s">
        <v>193</v>
      </c>
      <c r="H230" s="28" t="s">
        <v>194</v>
      </c>
      <c r="I230" s="28" t="s">
        <v>17706</v>
      </c>
      <c r="J230" s="28" t="s">
        <v>210</v>
      </c>
      <c r="K230" s="28" t="s">
        <v>9309</v>
      </c>
      <c r="L230" s="28" t="s">
        <v>6955</v>
      </c>
      <c r="N230" s="28" t="s">
        <v>18596</v>
      </c>
      <c r="O230" s="28" t="s">
        <v>7001</v>
      </c>
      <c r="P230" s="28" t="s">
        <v>18364</v>
      </c>
      <c r="Q230" s="28" t="s">
        <v>18329</v>
      </c>
      <c r="R230" s="28" t="s">
        <v>18365</v>
      </c>
      <c r="S230" s="28" t="s">
        <v>18597</v>
      </c>
      <c r="T230" s="28" t="s">
        <v>18598</v>
      </c>
      <c r="V230" s="28" t="s">
        <v>9334</v>
      </c>
      <c r="W230" s="28" t="s">
        <v>624</v>
      </c>
      <c r="X230" s="28" t="s">
        <v>194</v>
      </c>
      <c r="Y230" s="28" t="s">
        <v>9300</v>
      </c>
      <c r="AB230" s="28" t="s">
        <v>9311</v>
      </c>
      <c r="AH230" s="28" t="s">
        <v>4714</v>
      </c>
      <c r="AI230" s="28" t="s">
        <v>18595</v>
      </c>
      <c r="AJ230" s="516" t="str">
        <f>MID('II kw.22'!W230,8,6)</f>
        <v>332203</v>
      </c>
      <c r="AK230" s="516">
        <v>1</v>
      </c>
      <c r="AL230" s="516">
        <f t="shared" si="3"/>
        <v>1</v>
      </c>
      <c r="AM230" s="516">
        <v>1</v>
      </c>
      <c r="AN230" s="28" t="s">
        <v>17650</v>
      </c>
      <c r="AO230" s="28" t="s">
        <v>17651</v>
      </c>
      <c r="AP230" s="28" t="s">
        <v>17652</v>
      </c>
      <c r="AQ230" s="28" t="s">
        <v>17653</v>
      </c>
      <c r="AR230" s="28" t="s">
        <v>1024</v>
      </c>
    </row>
    <row r="231" spans="1:44" x14ac:dyDescent="0.25">
      <c r="A231" s="28" t="s">
        <v>7451</v>
      </c>
      <c r="B231" s="28" t="s">
        <v>500</v>
      </c>
      <c r="C231" s="28" t="s">
        <v>10</v>
      </c>
      <c r="D231" s="28" t="s">
        <v>18175</v>
      </c>
      <c r="E231" s="28" t="s">
        <v>192</v>
      </c>
      <c r="F231" s="28">
        <v>1</v>
      </c>
      <c r="G231" s="28" t="s">
        <v>193</v>
      </c>
      <c r="H231" s="28" t="s">
        <v>194</v>
      </c>
      <c r="I231" s="28" t="s">
        <v>17672</v>
      </c>
      <c r="J231" s="28" t="s">
        <v>9302</v>
      </c>
      <c r="K231" s="28" t="s">
        <v>9309</v>
      </c>
      <c r="L231" s="28" t="s">
        <v>6955</v>
      </c>
      <c r="N231" s="28" t="s">
        <v>18599</v>
      </c>
      <c r="O231" s="28" t="s">
        <v>6261</v>
      </c>
      <c r="P231" s="28" t="s">
        <v>18364</v>
      </c>
      <c r="Q231" s="28" t="s">
        <v>18329</v>
      </c>
      <c r="R231" s="28" t="s">
        <v>18365</v>
      </c>
      <c r="S231" s="28" t="s">
        <v>18600</v>
      </c>
      <c r="T231" s="28" t="s">
        <v>18601</v>
      </c>
      <c r="V231" s="27"/>
      <c r="W231" s="28" t="s">
        <v>484</v>
      </c>
      <c r="X231" s="28" t="s">
        <v>193</v>
      </c>
      <c r="Y231" s="27" t="s">
        <v>9310</v>
      </c>
      <c r="AB231" s="28" t="s">
        <v>9311</v>
      </c>
      <c r="AH231" s="28" t="s">
        <v>4714</v>
      </c>
      <c r="AI231" s="28" t="s">
        <v>500</v>
      </c>
      <c r="AJ231" s="516" t="str">
        <f>MID('II kw.22'!W231,8,6)</f>
        <v>251401</v>
      </c>
      <c r="AK231" s="516">
        <v>1</v>
      </c>
      <c r="AL231" s="516">
        <f t="shared" si="3"/>
        <v>1</v>
      </c>
      <c r="AM231" s="516">
        <v>1</v>
      </c>
      <c r="AN231" s="28" t="s">
        <v>17650</v>
      </c>
      <c r="AO231" s="28" t="s">
        <v>17651</v>
      </c>
      <c r="AP231" s="28" t="s">
        <v>17652</v>
      </c>
      <c r="AQ231" s="28" t="s">
        <v>17653</v>
      </c>
      <c r="AR231" s="28" t="s">
        <v>1024</v>
      </c>
    </row>
    <row r="232" spans="1:44" x14ac:dyDescent="0.25">
      <c r="A232" s="28" t="s">
        <v>15330</v>
      </c>
      <c r="B232" s="28" t="s">
        <v>18602</v>
      </c>
      <c r="C232" s="28" t="s">
        <v>10</v>
      </c>
      <c r="D232" s="28" t="s">
        <v>18175</v>
      </c>
      <c r="E232" s="28" t="s">
        <v>192</v>
      </c>
      <c r="F232" s="28">
        <v>1</v>
      </c>
      <c r="G232" s="28" t="s">
        <v>193</v>
      </c>
      <c r="H232" s="28" t="s">
        <v>194</v>
      </c>
      <c r="I232" s="28" t="s">
        <v>17672</v>
      </c>
      <c r="J232" s="28" t="s">
        <v>9302</v>
      </c>
      <c r="K232" s="28" t="s">
        <v>9309</v>
      </c>
      <c r="L232" s="28" t="s">
        <v>6955</v>
      </c>
      <c r="N232" s="28" t="s">
        <v>18603</v>
      </c>
      <c r="O232" s="28" t="s">
        <v>6261</v>
      </c>
      <c r="P232" s="28" t="s">
        <v>18364</v>
      </c>
      <c r="Q232" s="28" t="s">
        <v>18329</v>
      </c>
      <c r="R232" s="28" t="s">
        <v>18365</v>
      </c>
      <c r="S232" s="28" t="s">
        <v>18604</v>
      </c>
      <c r="T232" s="28" t="s">
        <v>18605</v>
      </c>
      <c r="V232" s="27"/>
      <c r="W232" s="28" t="s">
        <v>484</v>
      </c>
      <c r="X232" s="28" t="s">
        <v>193</v>
      </c>
      <c r="Y232" s="27" t="s">
        <v>9310</v>
      </c>
      <c r="AB232" s="28" t="s">
        <v>9311</v>
      </c>
      <c r="AH232" s="28" t="s">
        <v>4714</v>
      </c>
      <c r="AI232" s="28" t="s">
        <v>18602</v>
      </c>
      <c r="AJ232" s="516" t="str">
        <f>MID('II kw.22'!W232,8,6)</f>
        <v>251401</v>
      </c>
      <c r="AK232" s="516">
        <v>1</v>
      </c>
      <c r="AL232" s="516">
        <f t="shared" si="3"/>
        <v>1</v>
      </c>
      <c r="AM232" s="516">
        <v>1</v>
      </c>
      <c r="AN232" s="28" t="s">
        <v>17650</v>
      </c>
      <c r="AO232" s="28" t="s">
        <v>17651</v>
      </c>
      <c r="AP232" s="28" t="s">
        <v>17652</v>
      </c>
      <c r="AQ232" s="28" t="s">
        <v>17653</v>
      </c>
      <c r="AR232" s="28" t="s">
        <v>1024</v>
      </c>
    </row>
    <row r="233" spans="1:44" x14ac:dyDescent="0.25">
      <c r="A233" s="28" t="s">
        <v>18606</v>
      </c>
      <c r="B233" s="28" t="s">
        <v>18607</v>
      </c>
      <c r="C233" s="28" t="s">
        <v>3608</v>
      </c>
      <c r="D233" s="28" t="s">
        <v>18175</v>
      </c>
      <c r="E233" s="28" t="s">
        <v>192</v>
      </c>
      <c r="F233" s="28">
        <v>1</v>
      </c>
      <c r="G233" s="28" t="s">
        <v>193</v>
      </c>
      <c r="H233" s="28" t="s">
        <v>194</v>
      </c>
      <c r="I233" s="28" t="s">
        <v>17672</v>
      </c>
      <c r="J233" s="28" t="s">
        <v>9302</v>
      </c>
      <c r="K233" s="28" t="s">
        <v>9309</v>
      </c>
      <c r="L233" s="28" t="s">
        <v>6955</v>
      </c>
      <c r="N233" s="28" t="s">
        <v>18608</v>
      </c>
      <c r="O233" s="28" t="s">
        <v>6266</v>
      </c>
      <c r="P233" s="28" t="s">
        <v>18364</v>
      </c>
      <c r="Q233" s="28" t="s">
        <v>18329</v>
      </c>
      <c r="R233" s="28" t="s">
        <v>18365</v>
      </c>
      <c r="S233" s="28" t="s">
        <v>18609</v>
      </c>
      <c r="T233" s="28" t="s">
        <v>18610</v>
      </c>
      <c r="V233" s="27"/>
      <c r="W233" s="28" t="s">
        <v>3610</v>
      </c>
      <c r="X233" s="28" t="s">
        <v>193</v>
      </c>
      <c r="Y233" s="27" t="s">
        <v>9310</v>
      </c>
      <c r="AB233" s="28" t="s">
        <v>9311</v>
      </c>
      <c r="AH233" s="28" t="s">
        <v>4714</v>
      </c>
      <c r="AI233" s="28" t="s">
        <v>18607</v>
      </c>
      <c r="AJ233" s="516" t="str">
        <f>MID('II kw.22'!W233,8,6)</f>
        <v>833101</v>
      </c>
      <c r="AK233" s="516">
        <v>1</v>
      </c>
      <c r="AL233" s="518">
        <f t="shared" si="3"/>
        <v>1</v>
      </c>
      <c r="AM233" s="516">
        <v>1</v>
      </c>
      <c r="AN233" s="28" t="s">
        <v>17650</v>
      </c>
      <c r="AO233" s="28" t="s">
        <v>17651</v>
      </c>
      <c r="AP233" s="28" t="s">
        <v>17652</v>
      </c>
      <c r="AQ233" s="28" t="s">
        <v>17653</v>
      </c>
      <c r="AR233" s="28" t="s">
        <v>1024</v>
      </c>
    </row>
    <row r="234" spans="1:44" x14ac:dyDescent="0.25">
      <c r="A234" s="28" t="s">
        <v>18611</v>
      </c>
      <c r="B234" s="28" t="s">
        <v>18612</v>
      </c>
      <c r="C234" s="28" t="s">
        <v>100</v>
      </c>
      <c r="D234" s="28" t="s">
        <v>18175</v>
      </c>
      <c r="E234" s="28" t="s">
        <v>192</v>
      </c>
      <c r="F234" s="28">
        <v>1</v>
      </c>
      <c r="G234" s="28" t="s">
        <v>193</v>
      </c>
      <c r="H234" s="28" t="s">
        <v>194</v>
      </c>
      <c r="I234" s="28" t="s">
        <v>17656</v>
      </c>
      <c r="J234" s="28" t="s">
        <v>253</v>
      </c>
      <c r="K234" s="28" t="s">
        <v>9309</v>
      </c>
      <c r="L234" s="28" t="s">
        <v>6955</v>
      </c>
      <c r="N234" s="28" t="s">
        <v>18613</v>
      </c>
      <c r="O234" s="28" t="s">
        <v>6266</v>
      </c>
      <c r="P234" s="28" t="s">
        <v>18364</v>
      </c>
      <c r="Q234" s="28" t="s">
        <v>18329</v>
      </c>
      <c r="R234" s="28" t="s">
        <v>18365</v>
      </c>
      <c r="S234" s="28" t="s">
        <v>18614</v>
      </c>
      <c r="T234" s="28" t="s">
        <v>18615</v>
      </c>
      <c r="V234" s="28" t="s">
        <v>9468</v>
      </c>
      <c r="W234" s="28" t="s">
        <v>429</v>
      </c>
      <c r="X234" s="28" t="s">
        <v>194</v>
      </c>
      <c r="Y234" s="28" t="s">
        <v>9300</v>
      </c>
      <c r="AB234" s="28" t="s">
        <v>9311</v>
      </c>
      <c r="AH234" s="28" t="s">
        <v>4714</v>
      </c>
      <c r="AI234" s="28" t="s">
        <v>18612</v>
      </c>
      <c r="AJ234" s="516" t="str">
        <f>MID('II kw.22'!W234,8,6)</f>
        <v>242108</v>
      </c>
      <c r="AK234" s="516">
        <v>1</v>
      </c>
      <c r="AL234" s="516">
        <f t="shared" si="3"/>
        <v>1</v>
      </c>
      <c r="AM234" s="516">
        <v>1</v>
      </c>
      <c r="AN234" s="28" t="s">
        <v>17650</v>
      </c>
      <c r="AO234" s="28" t="s">
        <v>17651</v>
      </c>
      <c r="AP234" s="28" t="s">
        <v>17652</v>
      </c>
      <c r="AQ234" s="28" t="s">
        <v>17653</v>
      </c>
      <c r="AR234" s="28" t="s">
        <v>1024</v>
      </c>
    </row>
    <row r="235" spans="1:44" x14ac:dyDescent="0.25">
      <c r="A235" s="28" t="s">
        <v>974</v>
      </c>
      <c r="B235" s="28" t="s">
        <v>18616</v>
      </c>
      <c r="C235" s="28" t="s">
        <v>27</v>
      </c>
      <c r="D235" s="28" t="s">
        <v>18175</v>
      </c>
      <c r="E235" s="28" t="s">
        <v>192</v>
      </c>
      <c r="F235" s="28">
        <v>1</v>
      </c>
      <c r="G235" s="28" t="s">
        <v>193</v>
      </c>
      <c r="H235" s="28" t="s">
        <v>194</v>
      </c>
      <c r="I235" s="28" t="s">
        <v>17656</v>
      </c>
      <c r="J235" s="28" t="s">
        <v>210</v>
      </c>
      <c r="K235" s="28" t="s">
        <v>9309</v>
      </c>
      <c r="L235" s="28" t="s">
        <v>6955</v>
      </c>
      <c r="N235" s="28" t="s">
        <v>18617</v>
      </c>
      <c r="O235" s="28" t="s">
        <v>6340</v>
      </c>
      <c r="P235" s="28" t="s">
        <v>18364</v>
      </c>
      <c r="Q235" s="28" t="s">
        <v>18329</v>
      </c>
      <c r="R235" s="28" t="s">
        <v>18365</v>
      </c>
      <c r="S235" s="28" t="s">
        <v>18618</v>
      </c>
      <c r="T235" s="28" t="s">
        <v>18619</v>
      </c>
      <c r="V235" s="28" t="s">
        <v>9334</v>
      </c>
      <c r="W235" s="28" t="s">
        <v>440</v>
      </c>
      <c r="X235" s="28" t="s">
        <v>194</v>
      </c>
      <c r="Y235" s="28" t="s">
        <v>9300</v>
      </c>
      <c r="AB235" s="28" t="s">
        <v>9311</v>
      </c>
      <c r="AH235" s="28" t="s">
        <v>4714</v>
      </c>
      <c r="AI235" s="28" t="s">
        <v>18616</v>
      </c>
      <c r="AJ235" s="516" t="str">
        <f>MID('II kw.22'!W235,8,6)</f>
        <v>242307</v>
      </c>
      <c r="AK235" s="516">
        <v>1</v>
      </c>
      <c r="AL235" s="516">
        <f t="shared" si="3"/>
        <v>1</v>
      </c>
      <c r="AM235" s="516">
        <v>1</v>
      </c>
      <c r="AN235" s="28" t="s">
        <v>17650</v>
      </c>
      <c r="AO235" s="28" t="s">
        <v>17651</v>
      </c>
      <c r="AP235" s="28" t="s">
        <v>17652</v>
      </c>
      <c r="AQ235" s="28" t="s">
        <v>17653</v>
      </c>
      <c r="AR235" s="28" t="s">
        <v>1024</v>
      </c>
    </row>
    <row r="236" spans="1:44" x14ac:dyDescent="0.25">
      <c r="A236" s="28" t="s">
        <v>18594</v>
      </c>
      <c r="B236" s="28" t="s">
        <v>18620</v>
      </c>
      <c r="C236" s="28" t="s">
        <v>17</v>
      </c>
      <c r="D236" s="28" t="s">
        <v>18175</v>
      </c>
      <c r="E236" s="28" t="s">
        <v>192</v>
      </c>
      <c r="F236" s="28">
        <v>1</v>
      </c>
      <c r="G236" s="28" t="s">
        <v>193</v>
      </c>
      <c r="H236" s="28" t="s">
        <v>194</v>
      </c>
      <c r="I236" s="28" t="s">
        <v>17672</v>
      </c>
      <c r="J236" s="28" t="s">
        <v>253</v>
      </c>
      <c r="K236" s="28" t="s">
        <v>9309</v>
      </c>
      <c r="L236" s="28" t="s">
        <v>6955</v>
      </c>
      <c r="N236" s="28" t="s">
        <v>18621</v>
      </c>
      <c r="O236" s="28" t="s">
        <v>7001</v>
      </c>
      <c r="P236" s="28" t="s">
        <v>18364</v>
      </c>
      <c r="Q236" s="28" t="s">
        <v>18329</v>
      </c>
      <c r="R236" s="28" t="s">
        <v>18365</v>
      </c>
      <c r="S236" s="28" t="s">
        <v>18622</v>
      </c>
      <c r="T236" s="28" t="s">
        <v>18623</v>
      </c>
      <c r="V236" s="28" t="s">
        <v>9468</v>
      </c>
      <c r="W236" s="28" t="s">
        <v>624</v>
      </c>
      <c r="X236" s="28" t="s">
        <v>194</v>
      </c>
      <c r="Y236" s="28" t="s">
        <v>9300</v>
      </c>
      <c r="AB236" s="28" t="s">
        <v>9311</v>
      </c>
      <c r="AH236" s="28" t="s">
        <v>4714</v>
      </c>
      <c r="AI236" s="28" t="s">
        <v>18620</v>
      </c>
      <c r="AJ236" s="516" t="str">
        <f>MID('II kw.22'!W236,8,6)</f>
        <v>332203</v>
      </c>
      <c r="AK236" s="516">
        <v>1</v>
      </c>
      <c r="AL236" s="516">
        <f t="shared" si="3"/>
        <v>1</v>
      </c>
      <c r="AM236" s="516">
        <v>1</v>
      </c>
      <c r="AN236" s="28" t="s">
        <v>17650</v>
      </c>
      <c r="AO236" s="28" t="s">
        <v>17651</v>
      </c>
      <c r="AP236" s="28" t="s">
        <v>17652</v>
      </c>
      <c r="AQ236" s="28" t="s">
        <v>17653</v>
      </c>
      <c r="AR236" s="28" t="s">
        <v>1024</v>
      </c>
    </row>
    <row r="237" spans="1:44" x14ac:dyDescent="0.25">
      <c r="A237" s="28" t="s">
        <v>915</v>
      </c>
      <c r="B237" s="28" t="s">
        <v>18624</v>
      </c>
      <c r="C237" s="28" t="s">
        <v>10</v>
      </c>
      <c r="D237" s="28" t="s">
        <v>18175</v>
      </c>
      <c r="E237" s="28" t="s">
        <v>192</v>
      </c>
      <c r="F237" s="28">
        <v>1</v>
      </c>
      <c r="G237" s="28" t="s">
        <v>193</v>
      </c>
      <c r="H237" s="28" t="s">
        <v>194</v>
      </c>
      <c r="I237" s="28" t="s">
        <v>17672</v>
      </c>
      <c r="J237" s="28" t="s">
        <v>9302</v>
      </c>
      <c r="K237" s="28" t="s">
        <v>9309</v>
      </c>
      <c r="L237" s="28" t="s">
        <v>6955</v>
      </c>
      <c r="N237" s="28" t="s">
        <v>18625</v>
      </c>
      <c r="O237" s="28" t="s">
        <v>6921</v>
      </c>
      <c r="P237" s="28" t="s">
        <v>18364</v>
      </c>
      <c r="Q237" s="28" t="s">
        <v>18329</v>
      </c>
      <c r="R237" s="28" t="s">
        <v>18365</v>
      </c>
      <c r="S237" s="28" t="s">
        <v>18626</v>
      </c>
      <c r="T237" s="28" t="s">
        <v>18627</v>
      </c>
      <c r="V237" s="27"/>
      <c r="W237" s="28" t="s">
        <v>484</v>
      </c>
      <c r="X237" s="28" t="s">
        <v>193</v>
      </c>
      <c r="Y237" s="27" t="s">
        <v>9310</v>
      </c>
      <c r="AB237" s="28" t="s">
        <v>9311</v>
      </c>
      <c r="AH237" s="28" t="s">
        <v>4714</v>
      </c>
      <c r="AI237" s="28" t="s">
        <v>18624</v>
      </c>
      <c r="AJ237" s="516" t="str">
        <f>MID('II kw.22'!W237,8,6)</f>
        <v>251401</v>
      </c>
      <c r="AK237" s="516">
        <v>1</v>
      </c>
      <c r="AL237" s="516">
        <f t="shared" si="3"/>
        <v>1</v>
      </c>
      <c r="AM237" s="516">
        <v>1</v>
      </c>
      <c r="AN237" s="28" t="s">
        <v>17650</v>
      </c>
      <c r="AO237" s="28" t="s">
        <v>17651</v>
      </c>
      <c r="AP237" s="28" t="s">
        <v>17652</v>
      </c>
      <c r="AQ237" s="28" t="s">
        <v>17653</v>
      </c>
      <c r="AR237" s="28" t="s">
        <v>1024</v>
      </c>
    </row>
    <row r="238" spans="1:44" x14ac:dyDescent="0.25">
      <c r="A238" s="28" t="s">
        <v>8231</v>
      </c>
      <c r="B238" s="28" t="s">
        <v>18628</v>
      </c>
      <c r="C238" s="28" t="s">
        <v>66</v>
      </c>
      <c r="D238" s="28" t="s">
        <v>18175</v>
      </c>
      <c r="E238" s="28" t="s">
        <v>192</v>
      </c>
      <c r="F238" s="28">
        <v>1</v>
      </c>
      <c r="G238" s="28" t="s">
        <v>193</v>
      </c>
      <c r="H238" s="28" t="s">
        <v>194</v>
      </c>
      <c r="I238" s="28" t="s">
        <v>17784</v>
      </c>
      <c r="J238" s="28" t="s">
        <v>223</v>
      </c>
      <c r="K238" s="28" t="s">
        <v>9309</v>
      </c>
      <c r="L238" s="28" t="s">
        <v>6955</v>
      </c>
      <c r="N238" s="28" t="s">
        <v>18629</v>
      </c>
      <c r="O238" s="28" t="s">
        <v>7531</v>
      </c>
      <c r="P238" s="28" t="s">
        <v>18364</v>
      </c>
      <c r="Q238" s="28" t="s">
        <v>18329</v>
      </c>
      <c r="R238" s="28" t="s">
        <v>18365</v>
      </c>
      <c r="S238" s="28" t="s">
        <v>18630</v>
      </c>
      <c r="T238" s="28" t="s">
        <v>18631</v>
      </c>
      <c r="V238" s="28" t="s">
        <v>11163</v>
      </c>
      <c r="W238" s="28" t="s">
        <v>1503</v>
      </c>
      <c r="X238" s="28" t="s">
        <v>194</v>
      </c>
      <c r="Y238" s="28" t="s">
        <v>9300</v>
      </c>
      <c r="AB238" s="28" t="s">
        <v>9311</v>
      </c>
      <c r="AH238" s="28" t="s">
        <v>4714</v>
      </c>
      <c r="AI238" s="28" t="s">
        <v>18628</v>
      </c>
      <c r="AJ238" s="516" t="str">
        <f>MID('II kw.22'!W238,8,6)</f>
        <v>241107</v>
      </c>
      <c r="AK238" s="516">
        <v>1</v>
      </c>
      <c r="AL238" s="516">
        <f t="shared" si="3"/>
        <v>1</v>
      </c>
      <c r="AM238" s="516">
        <v>1</v>
      </c>
      <c r="AN238" s="28" t="s">
        <v>17650</v>
      </c>
      <c r="AO238" s="28" t="s">
        <v>17651</v>
      </c>
      <c r="AP238" s="28" t="s">
        <v>17652</v>
      </c>
      <c r="AQ238" s="28" t="s">
        <v>17653</v>
      </c>
      <c r="AR238" s="28" t="s">
        <v>1024</v>
      </c>
    </row>
    <row r="239" spans="1:44" x14ac:dyDescent="0.25">
      <c r="A239" s="28" t="s">
        <v>18594</v>
      </c>
      <c r="B239" s="28" t="s">
        <v>18620</v>
      </c>
      <c r="C239" s="28" t="s">
        <v>17</v>
      </c>
      <c r="D239" s="28" t="s">
        <v>18175</v>
      </c>
      <c r="E239" s="28" t="s">
        <v>192</v>
      </c>
      <c r="F239" s="28">
        <v>1</v>
      </c>
      <c r="G239" s="28" t="s">
        <v>193</v>
      </c>
      <c r="H239" s="28" t="s">
        <v>194</v>
      </c>
      <c r="I239" s="28" t="s">
        <v>17672</v>
      </c>
      <c r="J239" s="28" t="s">
        <v>316</v>
      </c>
      <c r="K239" s="28" t="s">
        <v>9309</v>
      </c>
      <c r="L239" s="28" t="s">
        <v>6955</v>
      </c>
      <c r="N239" s="28" t="s">
        <v>18632</v>
      </c>
      <c r="O239" s="28" t="s">
        <v>7001</v>
      </c>
      <c r="P239" s="28" t="s">
        <v>18364</v>
      </c>
      <c r="Q239" s="28" t="s">
        <v>18329</v>
      </c>
      <c r="R239" s="28" t="s">
        <v>18365</v>
      </c>
      <c r="S239" s="28" t="s">
        <v>18633</v>
      </c>
      <c r="T239" s="28" t="s">
        <v>18634</v>
      </c>
      <c r="V239" s="28" t="s">
        <v>10012</v>
      </c>
      <c r="W239" s="28" t="s">
        <v>624</v>
      </c>
      <c r="X239" s="28" t="s">
        <v>194</v>
      </c>
      <c r="Y239" s="28" t="s">
        <v>9300</v>
      </c>
      <c r="AB239" s="28" t="s">
        <v>9311</v>
      </c>
      <c r="AH239" s="28" t="s">
        <v>4714</v>
      </c>
      <c r="AI239" s="28" t="s">
        <v>18620</v>
      </c>
      <c r="AJ239" s="516" t="str">
        <f>MID('II kw.22'!W239,8,6)</f>
        <v>332203</v>
      </c>
      <c r="AK239" s="516">
        <v>1</v>
      </c>
      <c r="AL239" s="516">
        <f t="shared" si="3"/>
        <v>1</v>
      </c>
      <c r="AM239" s="516">
        <v>1</v>
      </c>
      <c r="AN239" s="28" t="s">
        <v>17650</v>
      </c>
      <c r="AO239" s="28" t="s">
        <v>17651</v>
      </c>
      <c r="AP239" s="28" t="s">
        <v>17652</v>
      </c>
      <c r="AQ239" s="28" t="s">
        <v>17653</v>
      </c>
      <c r="AR239" s="28" t="s">
        <v>1024</v>
      </c>
    </row>
    <row r="240" spans="1:44" x14ac:dyDescent="0.25">
      <c r="A240" s="28" t="s">
        <v>640</v>
      </c>
      <c r="B240" s="28" t="s">
        <v>641</v>
      </c>
      <c r="C240" s="28" t="s">
        <v>17</v>
      </c>
      <c r="D240" s="28" t="s">
        <v>18175</v>
      </c>
      <c r="E240" s="28" t="s">
        <v>192</v>
      </c>
      <c r="F240" s="28">
        <v>1</v>
      </c>
      <c r="G240" s="28" t="s">
        <v>193</v>
      </c>
      <c r="H240" s="28" t="s">
        <v>194</v>
      </c>
      <c r="I240" s="28" t="s">
        <v>17706</v>
      </c>
      <c r="J240" s="28" t="s">
        <v>1059</v>
      </c>
      <c r="K240" s="28" t="s">
        <v>9309</v>
      </c>
      <c r="L240" s="28" t="s">
        <v>6955</v>
      </c>
      <c r="N240" s="28" t="s">
        <v>18635</v>
      </c>
      <c r="O240" s="28" t="s">
        <v>6249</v>
      </c>
      <c r="P240" s="28" t="s">
        <v>18364</v>
      </c>
      <c r="Q240" s="28" t="s">
        <v>18329</v>
      </c>
      <c r="R240" s="28" t="s">
        <v>18365</v>
      </c>
      <c r="S240" s="28" t="s">
        <v>18636</v>
      </c>
      <c r="T240" s="28" t="s">
        <v>18637</v>
      </c>
      <c r="V240" s="28" t="s">
        <v>9510</v>
      </c>
      <c r="W240" s="28" t="s">
        <v>624</v>
      </c>
      <c r="X240" s="28" t="s">
        <v>194</v>
      </c>
      <c r="Y240" s="28" t="s">
        <v>9300</v>
      </c>
      <c r="AB240" s="28" t="s">
        <v>9311</v>
      </c>
      <c r="AH240" s="28" t="s">
        <v>4714</v>
      </c>
      <c r="AI240" s="28" t="s">
        <v>641</v>
      </c>
      <c r="AJ240" s="516" t="str">
        <f>MID('II kw.22'!W240,8,6)</f>
        <v>332203</v>
      </c>
      <c r="AK240" s="516">
        <v>1</v>
      </c>
      <c r="AL240" s="516">
        <f t="shared" si="3"/>
        <v>1</v>
      </c>
      <c r="AM240" s="516">
        <v>1</v>
      </c>
      <c r="AN240" s="28" t="s">
        <v>17650</v>
      </c>
      <c r="AO240" s="28" t="s">
        <v>17651</v>
      </c>
      <c r="AP240" s="28" t="s">
        <v>17652</v>
      </c>
      <c r="AQ240" s="28" t="s">
        <v>17653</v>
      </c>
      <c r="AR240" s="28" t="s">
        <v>1024</v>
      </c>
    </row>
    <row r="241" spans="1:44" x14ac:dyDescent="0.25">
      <c r="A241" s="28" t="s">
        <v>18594</v>
      </c>
      <c r="B241" s="28" t="s">
        <v>18620</v>
      </c>
      <c r="C241" s="28" t="s">
        <v>17</v>
      </c>
      <c r="D241" s="28" t="s">
        <v>18175</v>
      </c>
      <c r="E241" s="28" t="s">
        <v>192</v>
      </c>
      <c r="F241" s="28">
        <v>1</v>
      </c>
      <c r="G241" s="28" t="s">
        <v>193</v>
      </c>
      <c r="H241" s="28" t="s">
        <v>194</v>
      </c>
      <c r="I241" s="28" t="s">
        <v>17672</v>
      </c>
      <c r="J241" s="28" t="s">
        <v>4751</v>
      </c>
      <c r="K241" s="28" t="s">
        <v>9309</v>
      </c>
      <c r="L241" s="28" t="s">
        <v>6955</v>
      </c>
      <c r="N241" s="28" t="s">
        <v>18638</v>
      </c>
      <c r="O241" s="28" t="s">
        <v>7001</v>
      </c>
      <c r="P241" s="28" t="s">
        <v>18364</v>
      </c>
      <c r="Q241" s="28" t="s">
        <v>18329</v>
      </c>
      <c r="R241" s="28" t="s">
        <v>18365</v>
      </c>
      <c r="S241" s="28" t="s">
        <v>18639</v>
      </c>
      <c r="T241" s="28" t="s">
        <v>18640</v>
      </c>
      <c r="V241" s="28" t="s">
        <v>9472</v>
      </c>
      <c r="W241" s="28" t="s">
        <v>624</v>
      </c>
      <c r="X241" s="28" t="s">
        <v>194</v>
      </c>
      <c r="Y241" s="28" t="s">
        <v>9300</v>
      </c>
      <c r="AB241" s="28" t="s">
        <v>9311</v>
      </c>
      <c r="AH241" s="28" t="s">
        <v>4714</v>
      </c>
      <c r="AI241" s="28" t="s">
        <v>18620</v>
      </c>
      <c r="AJ241" s="516" t="str">
        <f>MID('II kw.22'!W241,8,6)</f>
        <v>332203</v>
      </c>
      <c r="AK241" s="516">
        <v>1</v>
      </c>
      <c r="AL241" s="516">
        <f t="shared" si="3"/>
        <v>1</v>
      </c>
      <c r="AM241" s="516">
        <v>1</v>
      </c>
      <c r="AN241" s="28" t="s">
        <v>17650</v>
      </c>
      <c r="AO241" s="28" t="s">
        <v>17651</v>
      </c>
      <c r="AP241" s="28" t="s">
        <v>17652</v>
      </c>
      <c r="AQ241" s="28" t="s">
        <v>17653</v>
      </c>
      <c r="AR241" s="28" t="s">
        <v>1024</v>
      </c>
    </row>
    <row r="242" spans="1:44" x14ac:dyDescent="0.25">
      <c r="A242" s="28" t="s">
        <v>18541</v>
      </c>
      <c r="B242" s="28" t="s">
        <v>18641</v>
      </c>
      <c r="C242" s="28" t="s">
        <v>10</v>
      </c>
      <c r="D242" s="28" t="s">
        <v>18175</v>
      </c>
      <c r="E242" s="28" t="s">
        <v>192</v>
      </c>
      <c r="F242" s="28">
        <v>1</v>
      </c>
      <c r="G242" s="28" t="s">
        <v>193</v>
      </c>
      <c r="H242" s="28" t="s">
        <v>194</v>
      </c>
      <c r="I242" s="28" t="s">
        <v>17672</v>
      </c>
      <c r="J242" s="28" t="s">
        <v>210</v>
      </c>
      <c r="K242" s="28" t="s">
        <v>9309</v>
      </c>
      <c r="L242" s="28" t="s">
        <v>6955</v>
      </c>
      <c r="N242" s="28" t="s">
        <v>18642</v>
      </c>
      <c r="O242" s="28" t="s">
        <v>6921</v>
      </c>
      <c r="P242" s="28" t="s">
        <v>18364</v>
      </c>
      <c r="Q242" s="28" t="s">
        <v>18329</v>
      </c>
      <c r="R242" s="28" t="s">
        <v>18365</v>
      </c>
      <c r="S242" s="28" t="s">
        <v>18643</v>
      </c>
      <c r="T242" s="28" t="s">
        <v>18644</v>
      </c>
      <c r="V242" s="28" t="s">
        <v>9334</v>
      </c>
      <c r="W242" s="28" t="s">
        <v>484</v>
      </c>
      <c r="X242" s="28" t="s">
        <v>194</v>
      </c>
      <c r="Y242" s="28" t="s">
        <v>9300</v>
      </c>
      <c r="AB242" s="28" t="s">
        <v>9311</v>
      </c>
      <c r="AH242" s="28" t="s">
        <v>4714</v>
      </c>
      <c r="AI242" s="28" t="s">
        <v>18641</v>
      </c>
      <c r="AJ242" s="516" t="str">
        <f>MID('II kw.22'!W242,8,6)</f>
        <v>251401</v>
      </c>
      <c r="AK242" s="516">
        <v>1</v>
      </c>
      <c r="AL242" s="516">
        <f t="shared" si="3"/>
        <v>1</v>
      </c>
      <c r="AM242" s="516">
        <v>1</v>
      </c>
      <c r="AN242" s="28" t="s">
        <v>17650</v>
      </c>
      <c r="AO242" s="28" t="s">
        <v>17651</v>
      </c>
      <c r="AP242" s="28" t="s">
        <v>17652</v>
      </c>
      <c r="AQ242" s="28" t="s">
        <v>17653</v>
      </c>
      <c r="AR242" s="28" t="s">
        <v>1024</v>
      </c>
    </row>
    <row r="243" spans="1:44" x14ac:dyDescent="0.25">
      <c r="A243" s="28" t="s">
        <v>18645</v>
      </c>
      <c r="B243" s="28" t="s">
        <v>2793</v>
      </c>
      <c r="C243" s="28" t="s">
        <v>19</v>
      </c>
      <c r="D243" s="28" t="s">
        <v>18175</v>
      </c>
      <c r="E243" s="28" t="s">
        <v>192</v>
      </c>
      <c r="F243" s="28">
        <v>1</v>
      </c>
      <c r="G243" s="28" t="s">
        <v>193</v>
      </c>
      <c r="H243" s="28" t="s">
        <v>194</v>
      </c>
      <c r="I243" s="28" t="s">
        <v>17672</v>
      </c>
      <c r="J243" s="28" t="s">
        <v>253</v>
      </c>
      <c r="K243" s="28" t="s">
        <v>9309</v>
      </c>
      <c r="L243" s="28" t="s">
        <v>6955</v>
      </c>
      <c r="N243" s="28" t="s">
        <v>18646</v>
      </c>
      <c r="O243" s="28" t="s">
        <v>6245</v>
      </c>
      <c r="P243" s="28" t="s">
        <v>18364</v>
      </c>
      <c r="Q243" s="28" t="s">
        <v>18329</v>
      </c>
      <c r="R243" s="28" t="s">
        <v>18365</v>
      </c>
      <c r="S243" s="28" t="s">
        <v>18647</v>
      </c>
      <c r="T243" s="28" t="s">
        <v>18648</v>
      </c>
      <c r="V243" s="28" t="s">
        <v>9468</v>
      </c>
      <c r="W243" s="28" t="s">
        <v>337</v>
      </c>
      <c r="X243" s="28" t="s">
        <v>194</v>
      </c>
      <c r="Y243" s="28" t="s">
        <v>9300</v>
      </c>
      <c r="AB243" s="28" t="s">
        <v>9311</v>
      </c>
      <c r="AH243" s="28" t="s">
        <v>4714</v>
      </c>
      <c r="AI243" s="28" t="s">
        <v>2793</v>
      </c>
      <c r="AJ243" s="516" t="str">
        <f>MID('II kw.22'!W243,8,6)</f>
        <v>214903</v>
      </c>
      <c r="AK243" s="516">
        <v>1</v>
      </c>
      <c r="AL243" s="516">
        <f t="shared" si="3"/>
        <v>1</v>
      </c>
      <c r="AM243" s="516">
        <v>1</v>
      </c>
      <c r="AN243" s="28" t="s">
        <v>17650</v>
      </c>
      <c r="AO243" s="28" t="s">
        <v>17651</v>
      </c>
      <c r="AP243" s="28" t="s">
        <v>17652</v>
      </c>
      <c r="AQ243" s="28" t="s">
        <v>17653</v>
      </c>
      <c r="AR243" s="28" t="s">
        <v>1024</v>
      </c>
    </row>
    <row r="244" spans="1:44" x14ac:dyDescent="0.25">
      <c r="A244" s="28" t="s">
        <v>16968</v>
      </c>
      <c r="B244" s="28" t="s">
        <v>7743</v>
      </c>
      <c r="C244" s="28" t="s">
        <v>119</v>
      </c>
      <c r="D244" s="28" t="s">
        <v>18175</v>
      </c>
      <c r="E244" s="28" t="s">
        <v>192</v>
      </c>
      <c r="F244" s="28">
        <v>1</v>
      </c>
      <c r="G244" s="28" t="s">
        <v>193</v>
      </c>
      <c r="H244" s="28" t="s">
        <v>194</v>
      </c>
      <c r="I244" s="28" t="s">
        <v>17656</v>
      </c>
      <c r="J244" s="28" t="s">
        <v>210</v>
      </c>
      <c r="K244" s="28" t="s">
        <v>9309</v>
      </c>
      <c r="L244" s="28" t="s">
        <v>6955</v>
      </c>
      <c r="N244" s="28" t="s">
        <v>18649</v>
      </c>
      <c r="O244" s="28" t="s">
        <v>6266</v>
      </c>
      <c r="P244" s="28" t="s">
        <v>18364</v>
      </c>
      <c r="Q244" s="28" t="s">
        <v>18329</v>
      </c>
      <c r="R244" s="28" t="s">
        <v>18365</v>
      </c>
      <c r="S244" s="28" t="s">
        <v>18650</v>
      </c>
      <c r="T244" s="28" t="s">
        <v>18651</v>
      </c>
      <c r="V244" s="28" t="s">
        <v>9334</v>
      </c>
      <c r="W244" s="28" t="s">
        <v>666</v>
      </c>
      <c r="X244" s="28" t="s">
        <v>194</v>
      </c>
      <c r="Y244" s="28" t="s">
        <v>9300</v>
      </c>
      <c r="AB244" s="28" t="s">
        <v>9311</v>
      </c>
      <c r="AH244" s="28" t="s">
        <v>4714</v>
      </c>
      <c r="AI244" s="28" t="s">
        <v>7743</v>
      </c>
      <c r="AJ244" s="516" t="str">
        <f>MID('II kw.22'!W244,8,6)</f>
        <v>333105</v>
      </c>
      <c r="AK244" s="516">
        <v>1</v>
      </c>
      <c r="AL244" s="516">
        <f t="shared" si="3"/>
        <v>1</v>
      </c>
      <c r="AM244" s="516">
        <v>1</v>
      </c>
      <c r="AN244" s="28" t="s">
        <v>17650</v>
      </c>
      <c r="AO244" s="28" t="s">
        <v>17651</v>
      </c>
      <c r="AP244" s="28" t="s">
        <v>17652</v>
      </c>
      <c r="AQ244" s="28" t="s">
        <v>17653</v>
      </c>
      <c r="AR244" s="28" t="s">
        <v>1024</v>
      </c>
    </row>
    <row r="245" spans="1:44" x14ac:dyDescent="0.25">
      <c r="A245" s="28" t="s">
        <v>18568</v>
      </c>
      <c r="B245" s="28" t="s">
        <v>1419</v>
      </c>
      <c r="C245" s="28" t="s">
        <v>10</v>
      </c>
      <c r="D245" s="28" t="s">
        <v>18175</v>
      </c>
      <c r="E245" s="28" t="s">
        <v>192</v>
      </c>
      <c r="F245" s="28">
        <v>1</v>
      </c>
      <c r="G245" s="28" t="s">
        <v>193</v>
      </c>
      <c r="H245" s="28" t="s">
        <v>194</v>
      </c>
      <c r="I245" s="28" t="s">
        <v>17672</v>
      </c>
      <c r="J245" s="28" t="s">
        <v>9302</v>
      </c>
      <c r="K245" s="28" t="s">
        <v>9309</v>
      </c>
      <c r="L245" s="28" t="s">
        <v>6955</v>
      </c>
      <c r="N245" s="28" t="s">
        <v>18652</v>
      </c>
      <c r="O245" s="28" t="s">
        <v>6261</v>
      </c>
      <c r="P245" s="28" t="s">
        <v>18364</v>
      </c>
      <c r="Q245" s="28" t="s">
        <v>18329</v>
      </c>
      <c r="R245" s="28" t="s">
        <v>18365</v>
      </c>
      <c r="S245" s="28" t="s">
        <v>18653</v>
      </c>
      <c r="T245" s="28" t="s">
        <v>18654</v>
      </c>
      <c r="V245" s="27"/>
      <c r="W245" s="28" t="s">
        <v>484</v>
      </c>
      <c r="X245" s="28" t="s">
        <v>193</v>
      </c>
      <c r="Y245" s="27" t="s">
        <v>9310</v>
      </c>
      <c r="AB245" s="28" t="s">
        <v>9311</v>
      </c>
      <c r="AH245" s="28" t="s">
        <v>4714</v>
      </c>
      <c r="AI245" s="28" t="s">
        <v>1419</v>
      </c>
      <c r="AJ245" s="516" t="str">
        <f>MID('II kw.22'!W245,8,6)</f>
        <v>251401</v>
      </c>
      <c r="AK245" s="516">
        <v>1</v>
      </c>
      <c r="AL245" s="516">
        <f t="shared" si="3"/>
        <v>1</v>
      </c>
      <c r="AM245" s="516">
        <v>1</v>
      </c>
      <c r="AN245" s="28" t="s">
        <v>17650</v>
      </c>
      <c r="AO245" s="28" t="s">
        <v>17651</v>
      </c>
      <c r="AP245" s="28" t="s">
        <v>17652</v>
      </c>
      <c r="AQ245" s="28" t="s">
        <v>17653</v>
      </c>
      <c r="AR245" s="28" t="s">
        <v>1024</v>
      </c>
    </row>
    <row r="246" spans="1:44" x14ac:dyDescent="0.25">
      <c r="A246" s="28" t="s">
        <v>18534</v>
      </c>
      <c r="B246" s="28" t="s">
        <v>18655</v>
      </c>
      <c r="C246" s="28" t="s">
        <v>117</v>
      </c>
      <c r="D246" s="28" t="s">
        <v>18175</v>
      </c>
      <c r="E246" s="28" t="s">
        <v>192</v>
      </c>
      <c r="F246" s="28">
        <v>1</v>
      </c>
      <c r="G246" s="28" t="s">
        <v>193</v>
      </c>
      <c r="H246" s="28" t="s">
        <v>194</v>
      </c>
      <c r="I246" s="28" t="s">
        <v>17656</v>
      </c>
      <c r="J246" s="28" t="s">
        <v>9302</v>
      </c>
      <c r="K246" s="28" t="s">
        <v>9309</v>
      </c>
      <c r="L246" s="28" t="s">
        <v>6955</v>
      </c>
      <c r="N246" s="28" t="s">
        <v>18656</v>
      </c>
      <c r="O246" s="28" t="s">
        <v>6254</v>
      </c>
      <c r="P246" s="28" t="s">
        <v>18364</v>
      </c>
      <c r="Q246" s="28" t="s">
        <v>18329</v>
      </c>
      <c r="R246" s="28" t="s">
        <v>18365</v>
      </c>
      <c r="S246" s="28" t="s">
        <v>18657</v>
      </c>
      <c r="T246" s="28" t="s">
        <v>18658</v>
      </c>
      <c r="V246" s="27"/>
      <c r="W246" s="28" t="s">
        <v>2242</v>
      </c>
      <c r="X246" s="28" t="s">
        <v>193</v>
      </c>
      <c r="Y246" s="27" t="s">
        <v>9310</v>
      </c>
      <c r="AB246" s="28" t="s">
        <v>9311</v>
      </c>
      <c r="AH246" s="28" t="s">
        <v>4714</v>
      </c>
      <c r="AI246" s="28" t="s">
        <v>18655</v>
      </c>
      <c r="AJ246" s="516" t="str">
        <f>MID('II kw.22'!W246,8,6)</f>
        <v>431301</v>
      </c>
      <c r="AK246" s="516">
        <v>1</v>
      </c>
      <c r="AL246" s="516">
        <f t="shared" si="3"/>
        <v>1</v>
      </c>
      <c r="AM246" s="516">
        <v>1</v>
      </c>
      <c r="AN246" s="28" t="s">
        <v>17650</v>
      </c>
      <c r="AO246" s="28" t="s">
        <v>17651</v>
      </c>
      <c r="AP246" s="28" t="s">
        <v>17652</v>
      </c>
      <c r="AQ246" s="28" t="s">
        <v>17653</v>
      </c>
      <c r="AR246" s="28" t="s">
        <v>1024</v>
      </c>
    </row>
    <row r="247" spans="1:44" x14ac:dyDescent="0.25">
      <c r="A247" s="28" t="s">
        <v>369</v>
      </c>
      <c r="B247" s="28" t="s">
        <v>13815</v>
      </c>
      <c r="C247" s="28" t="s">
        <v>566</v>
      </c>
      <c r="D247" s="28" t="s">
        <v>18175</v>
      </c>
      <c r="E247" s="28" t="s">
        <v>192</v>
      </c>
      <c r="F247" s="28">
        <v>1</v>
      </c>
      <c r="G247" s="28" t="s">
        <v>193</v>
      </c>
      <c r="H247" s="28" t="s">
        <v>194</v>
      </c>
      <c r="I247" s="28" t="s">
        <v>17672</v>
      </c>
      <c r="J247" s="28" t="s">
        <v>210</v>
      </c>
      <c r="K247" s="28" t="s">
        <v>9309</v>
      </c>
      <c r="L247" s="28" t="s">
        <v>6955</v>
      </c>
      <c r="N247" s="28" t="s">
        <v>18659</v>
      </c>
      <c r="O247" s="28" t="s">
        <v>6258</v>
      </c>
      <c r="P247" s="28" t="s">
        <v>18364</v>
      </c>
      <c r="Q247" s="28" t="s">
        <v>18329</v>
      </c>
      <c r="R247" s="28" t="s">
        <v>18365</v>
      </c>
      <c r="S247" s="28" t="s">
        <v>18660</v>
      </c>
      <c r="T247" s="28" t="s">
        <v>18661</v>
      </c>
      <c r="V247" s="28" t="s">
        <v>9334</v>
      </c>
      <c r="W247" s="28" t="s">
        <v>567</v>
      </c>
      <c r="X247" s="28" t="s">
        <v>194</v>
      </c>
      <c r="Y247" s="28" t="s">
        <v>9300</v>
      </c>
      <c r="AB247" s="28" t="s">
        <v>9311</v>
      </c>
      <c r="AH247" s="28" t="s">
        <v>4714</v>
      </c>
      <c r="AI247" s="28" t="s">
        <v>13815</v>
      </c>
      <c r="AJ247" s="516" t="str">
        <f>MID('II kw.22'!W247,8,6)</f>
        <v>311504</v>
      </c>
      <c r="AK247" s="516">
        <v>1</v>
      </c>
      <c r="AL247" s="516">
        <f t="shared" si="3"/>
        <v>1</v>
      </c>
      <c r="AM247" s="516">
        <v>1</v>
      </c>
      <c r="AN247" s="28" t="s">
        <v>17650</v>
      </c>
      <c r="AO247" s="28" t="s">
        <v>17651</v>
      </c>
      <c r="AP247" s="28" t="s">
        <v>17652</v>
      </c>
      <c r="AQ247" s="28" t="s">
        <v>17653</v>
      </c>
      <c r="AR247" s="28" t="s">
        <v>1024</v>
      </c>
    </row>
    <row r="248" spans="1:44" x14ac:dyDescent="0.25">
      <c r="A248" s="28" t="s">
        <v>1479</v>
      </c>
      <c r="B248" s="28" t="s">
        <v>10421</v>
      </c>
      <c r="C248" s="28" t="s">
        <v>74</v>
      </c>
      <c r="D248" s="28" t="s">
        <v>18175</v>
      </c>
      <c r="E248" s="28" t="s">
        <v>192</v>
      </c>
      <c r="F248" s="28">
        <v>1</v>
      </c>
      <c r="G248" s="28" t="s">
        <v>193</v>
      </c>
      <c r="H248" s="28" t="s">
        <v>194</v>
      </c>
      <c r="I248" s="28" t="s">
        <v>17706</v>
      </c>
      <c r="J248" s="28" t="s">
        <v>385</v>
      </c>
      <c r="K248" s="28" t="s">
        <v>9309</v>
      </c>
      <c r="L248" s="28" t="s">
        <v>6955</v>
      </c>
      <c r="N248" s="28" t="s">
        <v>18662</v>
      </c>
      <c r="O248" s="28" t="s">
        <v>6249</v>
      </c>
      <c r="P248" s="28" t="s">
        <v>18364</v>
      </c>
      <c r="Q248" s="28" t="s">
        <v>18329</v>
      </c>
      <c r="R248" s="28" t="s">
        <v>18365</v>
      </c>
      <c r="S248" s="28" t="s">
        <v>18663</v>
      </c>
      <c r="T248" s="28" t="s">
        <v>18664</v>
      </c>
      <c r="V248" s="28" t="s">
        <v>9410</v>
      </c>
      <c r="W248" s="28" t="s">
        <v>246</v>
      </c>
      <c r="X248" s="28" t="s">
        <v>194</v>
      </c>
      <c r="Y248" s="28" t="s">
        <v>9300</v>
      </c>
      <c r="AB248" s="28" t="s">
        <v>9311</v>
      </c>
      <c r="AH248" s="28" t="s">
        <v>4714</v>
      </c>
      <c r="AI248" s="28" t="s">
        <v>10421</v>
      </c>
      <c r="AJ248" s="516" t="str">
        <f>MID('II kw.22'!W248,8,6)</f>
        <v>142004</v>
      </c>
      <c r="AK248" s="516">
        <v>1</v>
      </c>
      <c r="AL248" s="516">
        <f t="shared" si="3"/>
        <v>1</v>
      </c>
      <c r="AM248" s="516">
        <v>1</v>
      </c>
      <c r="AN248" s="28" t="s">
        <v>17650</v>
      </c>
      <c r="AO248" s="28" t="s">
        <v>17651</v>
      </c>
      <c r="AP248" s="28" t="s">
        <v>17652</v>
      </c>
      <c r="AQ248" s="28" t="s">
        <v>17653</v>
      </c>
      <c r="AR248" s="28" t="s">
        <v>1024</v>
      </c>
    </row>
    <row r="249" spans="1:44" x14ac:dyDescent="0.25">
      <c r="A249" s="28" t="s">
        <v>1479</v>
      </c>
      <c r="B249" s="28" t="s">
        <v>10421</v>
      </c>
      <c r="C249" s="28" t="s">
        <v>74</v>
      </c>
      <c r="D249" s="28" t="s">
        <v>18175</v>
      </c>
      <c r="E249" s="28" t="s">
        <v>192</v>
      </c>
      <c r="F249" s="28">
        <v>1</v>
      </c>
      <c r="G249" s="28" t="s">
        <v>193</v>
      </c>
      <c r="H249" s="28" t="s">
        <v>194</v>
      </c>
      <c r="I249" s="28" t="s">
        <v>17706</v>
      </c>
      <c r="J249" s="28" t="s">
        <v>327</v>
      </c>
      <c r="K249" s="28" t="s">
        <v>9309</v>
      </c>
      <c r="L249" s="28" t="s">
        <v>6955</v>
      </c>
      <c r="N249" s="28" t="s">
        <v>18665</v>
      </c>
      <c r="O249" s="28" t="s">
        <v>6249</v>
      </c>
      <c r="P249" s="28" t="s">
        <v>18364</v>
      </c>
      <c r="Q249" s="28" t="s">
        <v>18329</v>
      </c>
      <c r="R249" s="28" t="s">
        <v>18365</v>
      </c>
      <c r="S249" s="28" t="s">
        <v>18666</v>
      </c>
      <c r="T249" s="28" t="s">
        <v>18667</v>
      </c>
      <c r="V249" s="28" t="s">
        <v>9506</v>
      </c>
      <c r="W249" s="28" t="s">
        <v>246</v>
      </c>
      <c r="X249" s="28" t="s">
        <v>194</v>
      </c>
      <c r="Y249" s="28" t="s">
        <v>9300</v>
      </c>
      <c r="AB249" s="28" t="s">
        <v>9311</v>
      </c>
      <c r="AH249" s="28" t="s">
        <v>4714</v>
      </c>
      <c r="AI249" s="28" t="s">
        <v>10421</v>
      </c>
      <c r="AJ249" s="516" t="str">
        <f>MID('II kw.22'!W249,8,6)</f>
        <v>142004</v>
      </c>
      <c r="AK249" s="516">
        <v>1</v>
      </c>
      <c r="AL249" s="516">
        <f t="shared" si="3"/>
        <v>1</v>
      </c>
      <c r="AM249" s="516">
        <v>1</v>
      </c>
      <c r="AN249" s="28" t="s">
        <v>17650</v>
      </c>
      <c r="AO249" s="28" t="s">
        <v>17651</v>
      </c>
      <c r="AP249" s="28" t="s">
        <v>17652</v>
      </c>
      <c r="AQ249" s="28" t="s">
        <v>17653</v>
      </c>
      <c r="AR249" s="28" t="s">
        <v>1024</v>
      </c>
    </row>
    <row r="250" spans="1:44" x14ac:dyDescent="0.25">
      <c r="A250" s="28" t="s">
        <v>1479</v>
      </c>
      <c r="B250" s="28" t="s">
        <v>10421</v>
      </c>
      <c r="C250" s="28" t="s">
        <v>74</v>
      </c>
      <c r="D250" s="28" t="s">
        <v>18175</v>
      </c>
      <c r="E250" s="28" t="s">
        <v>192</v>
      </c>
      <c r="F250" s="28">
        <v>1</v>
      </c>
      <c r="G250" s="28" t="s">
        <v>193</v>
      </c>
      <c r="H250" s="28" t="s">
        <v>194</v>
      </c>
      <c r="I250" s="28" t="s">
        <v>17706</v>
      </c>
      <c r="J250" s="28" t="s">
        <v>747</v>
      </c>
      <c r="K250" s="28" t="s">
        <v>9309</v>
      </c>
      <c r="L250" s="28" t="s">
        <v>6955</v>
      </c>
      <c r="N250" s="28" t="s">
        <v>18668</v>
      </c>
      <c r="O250" s="28" t="s">
        <v>6249</v>
      </c>
      <c r="P250" s="28" t="s">
        <v>18364</v>
      </c>
      <c r="Q250" s="28" t="s">
        <v>18329</v>
      </c>
      <c r="R250" s="28" t="s">
        <v>18365</v>
      </c>
      <c r="S250" s="28" t="s">
        <v>18669</v>
      </c>
      <c r="T250" s="28" t="s">
        <v>18670</v>
      </c>
      <c r="V250" s="28" t="s">
        <v>10397</v>
      </c>
      <c r="W250" s="28" t="s">
        <v>246</v>
      </c>
      <c r="X250" s="28" t="s">
        <v>194</v>
      </c>
      <c r="Y250" s="28" t="s">
        <v>9300</v>
      </c>
      <c r="AB250" s="28" t="s">
        <v>9311</v>
      </c>
      <c r="AH250" s="28" t="s">
        <v>4714</v>
      </c>
      <c r="AI250" s="28" t="s">
        <v>10421</v>
      </c>
      <c r="AJ250" s="516" t="str">
        <f>MID('II kw.22'!W250,8,6)</f>
        <v>142004</v>
      </c>
      <c r="AK250" s="516">
        <v>1</v>
      </c>
      <c r="AL250" s="516">
        <f t="shared" si="3"/>
        <v>1</v>
      </c>
      <c r="AM250" s="516">
        <v>1</v>
      </c>
      <c r="AN250" s="28" t="s">
        <v>17650</v>
      </c>
      <c r="AO250" s="28" t="s">
        <v>17651</v>
      </c>
      <c r="AP250" s="28" t="s">
        <v>17652</v>
      </c>
      <c r="AQ250" s="28" t="s">
        <v>17653</v>
      </c>
      <c r="AR250" s="28" t="s">
        <v>1024</v>
      </c>
    </row>
    <row r="251" spans="1:44" x14ac:dyDescent="0.25">
      <c r="A251" s="28" t="s">
        <v>18671</v>
      </c>
      <c r="B251" s="28" t="s">
        <v>18672</v>
      </c>
      <c r="C251" s="28" t="s">
        <v>67</v>
      </c>
      <c r="D251" s="28" t="s">
        <v>18175</v>
      </c>
      <c r="E251" s="28" t="s">
        <v>192</v>
      </c>
      <c r="F251" s="28">
        <v>1</v>
      </c>
      <c r="G251" s="28" t="s">
        <v>193</v>
      </c>
      <c r="H251" s="28" t="s">
        <v>194</v>
      </c>
      <c r="I251" s="28" t="s">
        <v>17706</v>
      </c>
      <c r="J251" s="28" t="s">
        <v>253</v>
      </c>
      <c r="K251" s="28" t="s">
        <v>9309</v>
      </c>
      <c r="L251" s="28" t="s">
        <v>6955</v>
      </c>
      <c r="N251" s="28" t="s">
        <v>18673</v>
      </c>
      <c r="O251" s="28" t="s">
        <v>6275</v>
      </c>
      <c r="P251" s="28" t="s">
        <v>18364</v>
      </c>
      <c r="Q251" s="28" t="s">
        <v>18329</v>
      </c>
      <c r="R251" s="28" t="s">
        <v>18365</v>
      </c>
      <c r="S251" s="28" t="s">
        <v>18674</v>
      </c>
      <c r="T251" s="28" t="s">
        <v>18675</v>
      </c>
      <c r="V251" s="28" t="s">
        <v>9468</v>
      </c>
      <c r="W251" s="28" t="s">
        <v>709</v>
      </c>
      <c r="X251" s="28" t="s">
        <v>194</v>
      </c>
      <c r="Y251" s="28" t="s">
        <v>9300</v>
      </c>
      <c r="AB251" s="28" t="s">
        <v>9311</v>
      </c>
      <c r="AH251" s="28" t="s">
        <v>4714</v>
      </c>
      <c r="AI251" s="28" t="s">
        <v>18672</v>
      </c>
      <c r="AJ251" s="516" t="str">
        <f>MID('II kw.22'!W251,8,6)</f>
        <v>432103</v>
      </c>
      <c r="AK251" s="516">
        <v>1</v>
      </c>
      <c r="AL251" s="516">
        <f t="shared" si="3"/>
        <v>1</v>
      </c>
      <c r="AM251" s="516">
        <v>1</v>
      </c>
      <c r="AN251" s="28" t="s">
        <v>17650</v>
      </c>
      <c r="AO251" s="28" t="s">
        <v>17651</v>
      </c>
      <c r="AP251" s="28" t="s">
        <v>17652</v>
      </c>
      <c r="AQ251" s="28" t="s">
        <v>17653</v>
      </c>
      <c r="AR251" s="28" t="s">
        <v>1024</v>
      </c>
    </row>
    <row r="252" spans="1:44" x14ac:dyDescent="0.25">
      <c r="A252" s="28" t="s">
        <v>1479</v>
      </c>
      <c r="B252" s="28" t="s">
        <v>10421</v>
      </c>
      <c r="C252" s="28" t="s">
        <v>74</v>
      </c>
      <c r="D252" s="28" t="s">
        <v>18175</v>
      </c>
      <c r="E252" s="28" t="s">
        <v>192</v>
      </c>
      <c r="F252" s="28">
        <v>1</v>
      </c>
      <c r="G252" s="28" t="s">
        <v>193</v>
      </c>
      <c r="H252" s="28" t="s">
        <v>194</v>
      </c>
      <c r="I252" s="28" t="s">
        <v>17706</v>
      </c>
      <c r="J252" s="28" t="s">
        <v>367</v>
      </c>
      <c r="K252" s="28" t="s">
        <v>9309</v>
      </c>
      <c r="L252" s="28" t="s">
        <v>6955</v>
      </c>
      <c r="N252" s="28" t="s">
        <v>18676</v>
      </c>
      <c r="O252" s="28" t="s">
        <v>6249</v>
      </c>
      <c r="P252" s="28" t="s">
        <v>18364</v>
      </c>
      <c r="Q252" s="28" t="s">
        <v>18329</v>
      </c>
      <c r="R252" s="28" t="s">
        <v>18365</v>
      </c>
      <c r="S252" s="28" t="s">
        <v>18677</v>
      </c>
      <c r="T252" s="28" t="s">
        <v>18678</v>
      </c>
      <c r="V252" s="28" t="s">
        <v>9974</v>
      </c>
      <c r="W252" s="28" t="s">
        <v>246</v>
      </c>
      <c r="X252" s="28" t="s">
        <v>194</v>
      </c>
      <c r="Y252" s="28" t="s">
        <v>9300</v>
      </c>
      <c r="AB252" s="28" t="s">
        <v>9311</v>
      </c>
      <c r="AH252" s="28" t="s">
        <v>4714</v>
      </c>
      <c r="AI252" s="28" t="s">
        <v>10421</v>
      </c>
      <c r="AJ252" s="516" t="str">
        <f>MID('II kw.22'!W252,8,6)</f>
        <v>142004</v>
      </c>
      <c r="AK252" s="516">
        <v>1</v>
      </c>
      <c r="AL252" s="516">
        <f t="shared" si="3"/>
        <v>1</v>
      </c>
      <c r="AM252" s="516">
        <v>1</v>
      </c>
      <c r="AN252" s="28" t="s">
        <v>17650</v>
      </c>
      <c r="AO252" s="28" t="s">
        <v>17651</v>
      </c>
      <c r="AP252" s="28" t="s">
        <v>17652</v>
      </c>
      <c r="AQ252" s="28" t="s">
        <v>17653</v>
      </c>
      <c r="AR252" s="28" t="s">
        <v>1024</v>
      </c>
    </row>
    <row r="253" spans="1:44" x14ac:dyDescent="0.25">
      <c r="A253" s="28" t="s">
        <v>1479</v>
      </c>
      <c r="B253" s="28" t="s">
        <v>10421</v>
      </c>
      <c r="C253" s="28" t="s">
        <v>74</v>
      </c>
      <c r="D253" s="28" t="s">
        <v>18175</v>
      </c>
      <c r="E253" s="28" t="s">
        <v>192</v>
      </c>
      <c r="F253" s="28">
        <v>1</v>
      </c>
      <c r="G253" s="28" t="s">
        <v>193</v>
      </c>
      <c r="H253" s="28" t="s">
        <v>194</v>
      </c>
      <c r="I253" s="28" t="s">
        <v>17706</v>
      </c>
      <c r="J253" s="28" t="s">
        <v>301</v>
      </c>
      <c r="K253" s="28" t="s">
        <v>9309</v>
      </c>
      <c r="L253" s="28" t="s">
        <v>6955</v>
      </c>
      <c r="N253" s="28" t="s">
        <v>18679</v>
      </c>
      <c r="O253" s="28" t="s">
        <v>6249</v>
      </c>
      <c r="P253" s="28" t="s">
        <v>18364</v>
      </c>
      <c r="Q253" s="28" t="s">
        <v>18329</v>
      </c>
      <c r="R253" s="28" t="s">
        <v>18365</v>
      </c>
      <c r="S253" s="28" t="s">
        <v>18680</v>
      </c>
      <c r="T253" s="28" t="s">
        <v>18681</v>
      </c>
      <c r="V253" s="28" t="s">
        <v>9367</v>
      </c>
      <c r="W253" s="28" t="s">
        <v>246</v>
      </c>
      <c r="X253" s="28" t="s">
        <v>194</v>
      </c>
      <c r="Y253" s="28" t="s">
        <v>9300</v>
      </c>
      <c r="AB253" s="28" t="s">
        <v>9311</v>
      </c>
      <c r="AH253" s="28" t="s">
        <v>4714</v>
      </c>
      <c r="AI253" s="28" t="s">
        <v>10421</v>
      </c>
      <c r="AJ253" s="516" t="str">
        <f>MID('II kw.22'!W253,8,6)</f>
        <v>142004</v>
      </c>
      <c r="AK253" s="516">
        <v>1</v>
      </c>
      <c r="AL253" s="516">
        <f t="shared" si="3"/>
        <v>1</v>
      </c>
      <c r="AM253" s="516">
        <v>1</v>
      </c>
      <c r="AN253" s="28" t="s">
        <v>17650</v>
      </c>
      <c r="AO253" s="28" t="s">
        <v>17651</v>
      </c>
      <c r="AP253" s="28" t="s">
        <v>17652</v>
      </c>
      <c r="AQ253" s="28" t="s">
        <v>17653</v>
      </c>
      <c r="AR253" s="28" t="s">
        <v>1024</v>
      </c>
    </row>
    <row r="254" spans="1:44" x14ac:dyDescent="0.25">
      <c r="A254" s="28" t="s">
        <v>1479</v>
      </c>
      <c r="B254" s="28" t="s">
        <v>10421</v>
      </c>
      <c r="C254" s="28" t="s">
        <v>74</v>
      </c>
      <c r="D254" s="28" t="s">
        <v>18175</v>
      </c>
      <c r="E254" s="28" t="s">
        <v>192</v>
      </c>
      <c r="F254" s="28">
        <v>1</v>
      </c>
      <c r="G254" s="28" t="s">
        <v>193</v>
      </c>
      <c r="H254" s="28" t="s">
        <v>194</v>
      </c>
      <c r="I254" s="28" t="s">
        <v>17706</v>
      </c>
      <c r="J254" s="28" t="s">
        <v>305</v>
      </c>
      <c r="K254" s="28" t="s">
        <v>9309</v>
      </c>
      <c r="L254" s="28" t="s">
        <v>6955</v>
      </c>
      <c r="N254" s="28" t="s">
        <v>18682</v>
      </c>
      <c r="O254" s="28" t="s">
        <v>6249</v>
      </c>
      <c r="P254" s="28" t="s">
        <v>18364</v>
      </c>
      <c r="Q254" s="28" t="s">
        <v>18329</v>
      </c>
      <c r="R254" s="28" t="s">
        <v>18365</v>
      </c>
      <c r="S254" s="28" t="s">
        <v>18683</v>
      </c>
      <c r="T254" s="28" t="s">
        <v>18684</v>
      </c>
      <c r="V254" s="28" t="s">
        <v>9753</v>
      </c>
      <c r="W254" s="28" t="s">
        <v>246</v>
      </c>
      <c r="X254" s="28" t="s">
        <v>194</v>
      </c>
      <c r="Y254" s="28" t="s">
        <v>9300</v>
      </c>
      <c r="AB254" s="28" t="s">
        <v>9311</v>
      </c>
      <c r="AH254" s="28" t="s">
        <v>4714</v>
      </c>
      <c r="AI254" s="28" t="s">
        <v>10421</v>
      </c>
      <c r="AJ254" s="516" t="str">
        <f>MID('II kw.22'!W254,8,6)</f>
        <v>142004</v>
      </c>
      <c r="AK254" s="516">
        <v>1</v>
      </c>
      <c r="AL254" s="516">
        <f t="shared" si="3"/>
        <v>1</v>
      </c>
      <c r="AM254" s="516">
        <v>1</v>
      </c>
      <c r="AN254" s="28" t="s">
        <v>17650</v>
      </c>
      <c r="AO254" s="28" t="s">
        <v>17651</v>
      </c>
      <c r="AP254" s="28" t="s">
        <v>17652</v>
      </c>
      <c r="AQ254" s="28" t="s">
        <v>17653</v>
      </c>
      <c r="AR254" s="28" t="s">
        <v>1024</v>
      </c>
    </row>
    <row r="255" spans="1:44" x14ac:dyDescent="0.25">
      <c r="A255" s="28" t="s">
        <v>1479</v>
      </c>
      <c r="B255" s="28" t="s">
        <v>10421</v>
      </c>
      <c r="C255" s="28" t="s">
        <v>74</v>
      </c>
      <c r="D255" s="28" t="s">
        <v>18175</v>
      </c>
      <c r="E255" s="28" t="s">
        <v>192</v>
      </c>
      <c r="F255" s="28">
        <v>1</v>
      </c>
      <c r="G255" s="28" t="s">
        <v>193</v>
      </c>
      <c r="H255" s="28" t="s">
        <v>194</v>
      </c>
      <c r="I255" s="28" t="s">
        <v>17706</v>
      </c>
      <c r="J255" s="28" t="s">
        <v>253</v>
      </c>
      <c r="K255" s="28" t="s">
        <v>9309</v>
      </c>
      <c r="L255" s="28" t="s">
        <v>6955</v>
      </c>
      <c r="N255" s="28" t="s">
        <v>18685</v>
      </c>
      <c r="O255" s="28" t="s">
        <v>6249</v>
      </c>
      <c r="P255" s="28" t="s">
        <v>18364</v>
      </c>
      <c r="Q255" s="28" t="s">
        <v>18329</v>
      </c>
      <c r="R255" s="28" t="s">
        <v>18365</v>
      </c>
      <c r="S255" s="28" t="s">
        <v>18686</v>
      </c>
      <c r="T255" s="28" t="s">
        <v>18687</v>
      </c>
      <c r="V255" s="28" t="s">
        <v>9468</v>
      </c>
      <c r="W255" s="28" t="s">
        <v>246</v>
      </c>
      <c r="X255" s="28" t="s">
        <v>194</v>
      </c>
      <c r="Y255" s="28" t="s">
        <v>9300</v>
      </c>
      <c r="AB255" s="28" t="s">
        <v>9311</v>
      </c>
      <c r="AH255" s="28" t="s">
        <v>4714</v>
      </c>
      <c r="AI255" s="28" t="s">
        <v>10421</v>
      </c>
      <c r="AJ255" s="516" t="str">
        <f>MID('II kw.22'!W255,8,6)</f>
        <v>142004</v>
      </c>
      <c r="AK255" s="516">
        <v>1</v>
      </c>
      <c r="AL255" s="516">
        <f t="shared" si="3"/>
        <v>1</v>
      </c>
      <c r="AM255" s="516">
        <v>1</v>
      </c>
      <c r="AN255" s="28" t="s">
        <v>17650</v>
      </c>
      <c r="AO255" s="28" t="s">
        <v>17651</v>
      </c>
      <c r="AP255" s="28" t="s">
        <v>17652</v>
      </c>
      <c r="AQ255" s="28" t="s">
        <v>17653</v>
      </c>
      <c r="AR255" s="28" t="s">
        <v>1024</v>
      </c>
    </row>
    <row r="256" spans="1:44" x14ac:dyDescent="0.25">
      <c r="A256" s="28" t="s">
        <v>1479</v>
      </c>
      <c r="B256" s="28" t="s">
        <v>10421</v>
      </c>
      <c r="C256" s="28" t="s">
        <v>74</v>
      </c>
      <c r="D256" s="28" t="s">
        <v>18175</v>
      </c>
      <c r="E256" s="28" t="s">
        <v>192</v>
      </c>
      <c r="F256" s="28">
        <v>1</v>
      </c>
      <c r="G256" s="28" t="s">
        <v>193</v>
      </c>
      <c r="H256" s="28" t="s">
        <v>194</v>
      </c>
      <c r="I256" s="28" t="s">
        <v>17706</v>
      </c>
      <c r="J256" s="28" t="s">
        <v>408</v>
      </c>
      <c r="K256" s="28" t="s">
        <v>9309</v>
      </c>
      <c r="L256" s="28" t="s">
        <v>6955</v>
      </c>
      <c r="N256" s="28" t="s">
        <v>18688</v>
      </c>
      <c r="O256" s="28" t="s">
        <v>6249</v>
      </c>
      <c r="P256" s="28" t="s">
        <v>18364</v>
      </c>
      <c r="Q256" s="28" t="s">
        <v>18329</v>
      </c>
      <c r="R256" s="28" t="s">
        <v>18365</v>
      </c>
      <c r="S256" s="28" t="s">
        <v>18689</v>
      </c>
      <c r="T256" s="28" t="s">
        <v>18690</v>
      </c>
      <c r="V256" s="28" t="s">
        <v>9479</v>
      </c>
      <c r="W256" s="28" t="s">
        <v>246</v>
      </c>
      <c r="X256" s="28" t="s">
        <v>194</v>
      </c>
      <c r="Y256" s="28" t="s">
        <v>9300</v>
      </c>
      <c r="AB256" s="28" t="s">
        <v>9311</v>
      </c>
      <c r="AH256" s="28" t="s">
        <v>4714</v>
      </c>
      <c r="AI256" s="28" t="s">
        <v>10421</v>
      </c>
      <c r="AJ256" s="516" t="str">
        <f>MID('II kw.22'!W256,8,6)</f>
        <v>142004</v>
      </c>
      <c r="AK256" s="516">
        <v>1</v>
      </c>
      <c r="AL256" s="516">
        <f t="shared" si="3"/>
        <v>1</v>
      </c>
      <c r="AM256" s="516">
        <v>1</v>
      </c>
      <c r="AN256" s="28" t="s">
        <v>17650</v>
      </c>
      <c r="AO256" s="28" t="s">
        <v>17651</v>
      </c>
      <c r="AP256" s="28" t="s">
        <v>17652</v>
      </c>
      <c r="AQ256" s="28" t="s">
        <v>17653</v>
      </c>
      <c r="AR256" s="28" t="s">
        <v>1024</v>
      </c>
    </row>
    <row r="257" spans="1:44" x14ac:dyDescent="0.25">
      <c r="A257" s="28" t="s">
        <v>18529</v>
      </c>
      <c r="B257" s="28" t="s">
        <v>18691</v>
      </c>
      <c r="C257" s="28" t="s">
        <v>100</v>
      </c>
      <c r="D257" s="28" t="s">
        <v>18175</v>
      </c>
      <c r="E257" s="28" t="s">
        <v>192</v>
      </c>
      <c r="F257" s="28">
        <v>1</v>
      </c>
      <c r="G257" s="28" t="s">
        <v>193</v>
      </c>
      <c r="H257" s="28" t="s">
        <v>194</v>
      </c>
      <c r="I257" s="28" t="s">
        <v>17706</v>
      </c>
      <c r="J257" s="28" t="s">
        <v>9302</v>
      </c>
      <c r="K257" s="28" t="s">
        <v>9309</v>
      </c>
      <c r="L257" s="28" t="s">
        <v>6955</v>
      </c>
      <c r="N257" s="28" t="s">
        <v>18692</v>
      </c>
      <c r="O257" s="28" t="s">
        <v>7531</v>
      </c>
      <c r="P257" s="28" t="s">
        <v>18364</v>
      </c>
      <c r="Q257" s="28" t="s">
        <v>18329</v>
      </c>
      <c r="R257" s="28" t="s">
        <v>18365</v>
      </c>
      <c r="S257" s="28" t="s">
        <v>18693</v>
      </c>
      <c r="T257" s="28" t="s">
        <v>18694</v>
      </c>
      <c r="V257" s="27"/>
      <c r="W257" s="28" t="s">
        <v>429</v>
      </c>
      <c r="X257" s="28" t="s">
        <v>193</v>
      </c>
      <c r="Y257" s="27" t="s">
        <v>9310</v>
      </c>
      <c r="AB257" s="28" t="s">
        <v>9311</v>
      </c>
      <c r="AH257" s="509" t="s">
        <v>5109</v>
      </c>
      <c r="AI257" s="28" t="s">
        <v>18691</v>
      </c>
      <c r="AJ257" s="516" t="str">
        <f>MID('II kw.22'!W257,8,6)</f>
        <v>242108</v>
      </c>
      <c r="AK257" s="516">
        <v>1</v>
      </c>
      <c r="AL257" s="516">
        <f t="shared" si="3"/>
        <v>1</v>
      </c>
      <c r="AM257" s="516">
        <v>1</v>
      </c>
      <c r="AN257" s="28" t="s">
        <v>17650</v>
      </c>
      <c r="AO257" s="28" t="s">
        <v>17651</v>
      </c>
      <c r="AP257" s="28" t="s">
        <v>17652</v>
      </c>
      <c r="AQ257" s="28" t="s">
        <v>17653</v>
      </c>
      <c r="AR257" s="28" t="s">
        <v>1024</v>
      </c>
    </row>
    <row r="258" spans="1:44" x14ac:dyDescent="0.25">
      <c r="A258" s="28" t="s">
        <v>10076</v>
      </c>
      <c r="B258" s="28" t="s">
        <v>18695</v>
      </c>
      <c r="C258" s="28" t="s">
        <v>1766</v>
      </c>
      <c r="D258" s="28" t="s">
        <v>18175</v>
      </c>
      <c r="E258" s="28" t="s">
        <v>192</v>
      </c>
      <c r="F258" s="28">
        <v>1</v>
      </c>
      <c r="G258" s="28" t="s">
        <v>193</v>
      </c>
      <c r="H258" s="28" t="s">
        <v>194</v>
      </c>
      <c r="I258" s="28" t="s">
        <v>17784</v>
      </c>
      <c r="J258" s="28" t="s">
        <v>9302</v>
      </c>
      <c r="K258" s="28" t="s">
        <v>9309</v>
      </c>
      <c r="L258" s="28" t="s">
        <v>6955</v>
      </c>
      <c r="N258" s="28" t="s">
        <v>18696</v>
      </c>
      <c r="O258" s="28" t="s">
        <v>6921</v>
      </c>
      <c r="P258" s="28" t="s">
        <v>18364</v>
      </c>
      <c r="Q258" s="28" t="s">
        <v>18329</v>
      </c>
      <c r="R258" s="28" t="s">
        <v>18365</v>
      </c>
      <c r="S258" s="28" t="s">
        <v>18697</v>
      </c>
      <c r="T258" s="28" t="s">
        <v>18698</v>
      </c>
      <c r="V258" s="27"/>
      <c r="W258" s="28" t="s">
        <v>1767</v>
      </c>
      <c r="X258" s="28" t="s">
        <v>193</v>
      </c>
      <c r="Y258" s="27" t="s">
        <v>9310</v>
      </c>
      <c r="AB258" s="28" t="s">
        <v>9311</v>
      </c>
      <c r="AH258" s="28" t="s">
        <v>4714</v>
      </c>
      <c r="AI258" s="28" t="s">
        <v>18695</v>
      </c>
      <c r="AJ258" s="516" t="str">
        <f>MID('II kw.22'!W258,8,6)</f>
        <v>242112</v>
      </c>
      <c r="AK258" s="516">
        <v>1</v>
      </c>
      <c r="AL258" s="516">
        <f t="shared" si="3"/>
        <v>1</v>
      </c>
      <c r="AM258" s="516">
        <v>1</v>
      </c>
      <c r="AN258" s="28" t="s">
        <v>17650</v>
      </c>
      <c r="AO258" s="28" t="s">
        <v>17651</v>
      </c>
      <c r="AP258" s="28" t="s">
        <v>17652</v>
      </c>
      <c r="AQ258" s="28" t="s">
        <v>17653</v>
      </c>
      <c r="AR258" s="28" t="s">
        <v>1024</v>
      </c>
    </row>
    <row r="259" spans="1:44" x14ac:dyDescent="0.25">
      <c r="A259" s="28" t="s">
        <v>18699</v>
      </c>
      <c r="B259" s="28" t="s">
        <v>1561</v>
      </c>
      <c r="C259" s="28" t="s">
        <v>18700</v>
      </c>
      <c r="D259" s="28" t="s">
        <v>18175</v>
      </c>
      <c r="E259" s="28" t="s">
        <v>192</v>
      </c>
      <c r="F259" s="28">
        <v>1</v>
      </c>
      <c r="G259" s="28" t="s">
        <v>193</v>
      </c>
      <c r="H259" s="28" t="s">
        <v>194</v>
      </c>
      <c r="I259" s="28" t="s">
        <v>17784</v>
      </c>
      <c r="J259" s="28" t="s">
        <v>276</v>
      </c>
      <c r="K259" s="28" t="s">
        <v>9309</v>
      </c>
      <c r="L259" s="28" t="s">
        <v>6955</v>
      </c>
      <c r="N259" s="28" t="s">
        <v>18701</v>
      </c>
      <c r="O259" s="28" t="s">
        <v>6251</v>
      </c>
      <c r="P259" s="28" t="s">
        <v>18364</v>
      </c>
      <c r="Q259" s="28" t="s">
        <v>18329</v>
      </c>
      <c r="R259" s="28" t="s">
        <v>18365</v>
      </c>
      <c r="S259" s="28" t="s">
        <v>18702</v>
      </c>
      <c r="T259" s="28" t="s">
        <v>18703</v>
      </c>
      <c r="V259" s="28" t="s">
        <v>18704</v>
      </c>
      <c r="W259" s="28" t="s">
        <v>18705</v>
      </c>
      <c r="X259" s="28" t="s">
        <v>194</v>
      </c>
      <c r="Y259" s="28" t="s">
        <v>18706</v>
      </c>
      <c r="AB259" s="28" t="s">
        <v>9311</v>
      </c>
      <c r="AH259" s="28" t="s">
        <v>4714</v>
      </c>
      <c r="AI259" s="28" t="s">
        <v>1561</v>
      </c>
      <c r="AJ259" s="516" t="str">
        <f>MID('II kw.22'!W259,8,6)</f>
        <v>332202</v>
      </c>
      <c r="AK259" s="516">
        <v>1</v>
      </c>
      <c r="AL259" s="516">
        <f t="shared" ref="AL259:AL322" si="4">SUM(F259)</f>
        <v>1</v>
      </c>
      <c r="AM259" s="516">
        <v>1</v>
      </c>
      <c r="AN259" s="28" t="s">
        <v>17650</v>
      </c>
      <c r="AO259" s="28" t="s">
        <v>17651</v>
      </c>
      <c r="AP259" s="28" t="s">
        <v>17652</v>
      </c>
      <c r="AQ259" s="28" t="s">
        <v>17653</v>
      </c>
      <c r="AR259" s="28" t="s">
        <v>1024</v>
      </c>
    </row>
    <row r="260" spans="1:44" x14ac:dyDescent="0.25">
      <c r="A260" s="28" t="s">
        <v>4969</v>
      </c>
      <c r="B260" s="28" t="s">
        <v>18707</v>
      </c>
      <c r="C260" s="28" t="s">
        <v>3865</v>
      </c>
      <c r="D260" s="28" t="s">
        <v>18175</v>
      </c>
      <c r="E260" s="28" t="s">
        <v>192</v>
      </c>
      <c r="F260" s="28">
        <v>1</v>
      </c>
      <c r="G260" s="28" t="s">
        <v>193</v>
      </c>
      <c r="H260" s="28" t="s">
        <v>194</v>
      </c>
      <c r="I260" s="28" t="s">
        <v>17784</v>
      </c>
      <c r="J260" s="28" t="s">
        <v>9302</v>
      </c>
      <c r="K260" s="28" t="s">
        <v>9309</v>
      </c>
      <c r="L260" s="28" t="s">
        <v>6955</v>
      </c>
      <c r="N260" s="28" t="s">
        <v>18708</v>
      </c>
      <c r="O260" s="28" t="s">
        <v>7531</v>
      </c>
      <c r="P260" s="28" t="s">
        <v>18364</v>
      </c>
      <c r="Q260" s="28" t="s">
        <v>18329</v>
      </c>
      <c r="R260" s="28" t="s">
        <v>18365</v>
      </c>
      <c r="S260" s="28" t="s">
        <v>18709</v>
      </c>
      <c r="T260" s="28" t="s">
        <v>18710</v>
      </c>
      <c r="V260" s="27"/>
      <c r="W260" s="28" t="s">
        <v>3866</v>
      </c>
      <c r="X260" s="28" t="s">
        <v>193</v>
      </c>
      <c r="Y260" s="27" t="s">
        <v>9310</v>
      </c>
      <c r="AB260" s="28" t="s">
        <v>9311</v>
      </c>
      <c r="AH260" s="28" t="s">
        <v>4714</v>
      </c>
      <c r="AI260" s="28" t="s">
        <v>18707</v>
      </c>
      <c r="AJ260" s="516" t="str">
        <f>MID('II kw.22'!W260,8,6)</f>
        <v>212004</v>
      </c>
      <c r="AK260" s="516">
        <v>1</v>
      </c>
      <c r="AL260" s="516">
        <f t="shared" si="4"/>
        <v>1</v>
      </c>
      <c r="AM260" s="516">
        <v>1</v>
      </c>
      <c r="AN260" s="28" t="s">
        <v>17650</v>
      </c>
      <c r="AO260" s="28" t="s">
        <v>17651</v>
      </c>
      <c r="AP260" s="28" t="s">
        <v>17652</v>
      </c>
      <c r="AQ260" s="28" t="s">
        <v>17653</v>
      </c>
      <c r="AR260" s="28" t="s">
        <v>1024</v>
      </c>
    </row>
    <row r="261" spans="1:44" x14ac:dyDescent="0.25">
      <c r="A261" s="28" t="s">
        <v>640</v>
      </c>
      <c r="B261" s="28" t="s">
        <v>641</v>
      </c>
      <c r="C261" s="28" t="s">
        <v>17</v>
      </c>
      <c r="D261" s="28" t="s">
        <v>18175</v>
      </c>
      <c r="E261" s="28" t="s">
        <v>192</v>
      </c>
      <c r="F261" s="28">
        <v>1</v>
      </c>
      <c r="G261" s="28" t="s">
        <v>193</v>
      </c>
      <c r="H261" s="28" t="s">
        <v>194</v>
      </c>
      <c r="I261" s="28" t="s">
        <v>17706</v>
      </c>
      <c r="J261" s="28" t="s">
        <v>4751</v>
      </c>
      <c r="K261" s="28" t="s">
        <v>9309</v>
      </c>
      <c r="L261" s="28" t="s">
        <v>6955</v>
      </c>
      <c r="N261" s="28" t="s">
        <v>18711</v>
      </c>
      <c r="O261" s="28" t="s">
        <v>6249</v>
      </c>
      <c r="P261" s="28" t="s">
        <v>18364</v>
      </c>
      <c r="Q261" s="28" t="s">
        <v>18329</v>
      </c>
      <c r="R261" s="28" t="s">
        <v>18365</v>
      </c>
      <c r="S261" s="28" t="s">
        <v>18712</v>
      </c>
      <c r="T261" s="28" t="s">
        <v>18713</v>
      </c>
      <c r="V261" s="28" t="s">
        <v>9472</v>
      </c>
      <c r="W261" s="28" t="s">
        <v>624</v>
      </c>
      <c r="X261" s="28" t="s">
        <v>194</v>
      </c>
      <c r="Y261" s="28" t="s">
        <v>9300</v>
      </c>
      <c r="AB261" s="28" t="s">
        <v>9311</v>
      </c>
      <c r="AH261" s="28" t="s">
        <v>4714</v>
      </c>
      <c r="AI261" s="28" t="s">
        <v>641</v>
      </c>
      <c r="AJ261" s="516" t="str">
        <f>MID('II kw.22'!W261,8,6)</f>
        <v>332203</v>
      </c>
      <c r="AK261" s="516">
        <v>1</v>
      </c>
      <c r="AL261" s="516">
        <f t="shared" si="4"/>
        <v>1</v>
      </c>
      <c r="AM261" s="516">
        <v>1</v>
      </c>
      <c r="AN261" s="28" t="s">
        <v>17650</v>
      </c>
      <c r="AO261" s="28" t="s">
        <v>17651</v>
      </c>
      <c r="AP261" s="28" t="s">
        <v>17652</v>
      </c>
      <c r="AQ261" s="28" t="s">
        <v>17653</v>
      </c>
      <c r="AR261" s="28" t="s">
        <v>1024</v>
      </c>
    </row>
    <row r="262" spans="1:44" x14ac:dyDescent="0.25">
      <c r="A262" s="28" t="s">
        <v>18714</v>
      </c>
      <c r="B262" s="28" t="s">
        <v>18715</v>
      </c>
      <c r="C262" s="28" t="s">
        <v>156</v>
      </c>
      <c r="D262" s="28" t="s">
        <v>18175</v>
      </c>
      <c r="E262" s="28" t="s">
        <v>192</v>
      </c>
      <c r="F262" s="28">
        <v>1</v>
      </c>
      <c r="G262" s="28" t="s">
        <v>193</v>
      </c>
      <c r="H262" s="28" t="s">
        <v>194</v>
      </c>
      <c r="I262" s="28" t="s">
        <v>17759</v>
      </c>
      <c r="J262" s="28" t="s">
        <v>276</v>
      </c>
      <c r="K262" s="28" t="s">
        <v>9309</v>
      </c>
      <c r="L262" s="28" t="s">
        <v>6955</v>
      </c>
      <c r="N262" s="28" t="s">
        <v>18716</v>
      </c>
      <c r="O262" s="28" t="s">
        <v>6266</v>
      </c>
      <c r="P262" s="28" t="s">
        <v>18364</v>
      </c>
      <c r="Q262" s="28" t="s">
        <v>18329</v>
      </c>
      <c r="R262" s="28" t="s">
        <v>18365</v>
      </c>
      <c r="S262" s="28" t="s">
        <v>18717</v>
      </c>
      <c r="T262" s="28" t="s">
        <v>18718</v>
      </c>
      <c r="V262" s="28" t="s">
        <v>9786</v>
      </c>
      <c r="W262" s="28" t="s">
        <v>659</v>
      </c>
      <c r="X262" s="28" t="s">
        <v>194</v>
      </c>
      <c r="Y262" s="28" t="s">
        <v>9300</v>
      </c>
      <c r="AB262" s="28" t="s">
        <v>9311</v>
      </c>
      <c r="AH262" s="28" t="s">
        <v>4714</v>
      </c>
      <c r="AI262" s="28" t="s">
        <v>18715</v>
      </c>
      <c r="AJ262" s="516" t="str">
        <f>MID('II kw.22'!W262,8,6)</f>
        <v>332302</v>
      </c>
      <c r="AK262" s="516">
        <v>1</v>
      </c>
      <c r="AL262" s="516">
        <f t="shared" si="4"/>
        <v>1</v>
      </c>
      <c r="AM262" s="516">
        <v>1</v>
      </c>
      <c r="AN262" s="28" t="s">
        <v>17650</v>
      </c>
      <c r="AO262" s="28" t="s">
        <v>17651</v>
      </c>
      <c r="AP262" s="28" t="s">
        <v>17652</v>
      </c>
      <c r="AQ262" s="28" t="s">
        <v>17653</v>
      </c>
      <c r="AR262" s="28" t="s">
        <v>1024</v>
      </c>
    </row>
    <row r="263" spans="1:44" x14ac:dyDescent="0.25">
      <c r="A263" s="28" t="s">
        <v>14121</v>
      </c>
      <c r="B263" s="28" t="s">
        <v>18719</v>
      </c>
      <c r="C263" s="28" t="s">
        <v>43</v>
      </c>
      <c r="D263" s="28" t="s">
        <v>18175</v>
      </c>
      <c r="E263" s="28" t="s">
        <v>192</v>
      </c>
      <c r="F263" s="28">
        <v>1</v>
      </c>
      <c r="G263" s="28" t="s">
        <v>193</v>
      </c>
      <c r="H263" s="28" t="s">
        <v>194</v>
      </c>
      <c r="I263" s="28" t="s">
        <v>17784</v>
      </c>
      <c r="J263" s="28" t="s">
        <v>9302</v>
      </c>
      <c r="K263" s="28" t="s">
        <v>9309</v>
      </c>
      <c r="L263" s="28" t="s">
        <v>6955</v>
      </c>
      <c r="N263" s="28" t="s">
        <v>18720</v>
      </c>
      <c r="O263" s="28" t="s">
        <v>7531</v>
      </c>
      <c r="P263" s="28" t="s">
        <v>18364</v>
      </c>
      <c r="Q263" s="28" t="s">
        <v>18329</v>
      </c>
      <c r="R263" s="28" t="s">
        <v>18365</v>
      </c>
      <c r="S263" s="28" t="s">
        <v>18721</v>
      </c>
      <c r="T263" s="28" t="s">
        <v>18722</v>
      </c>
      <c r="V263" s="27"/>
      <c r="W263" s="28" t="s">
        <v>452</v>
      </c>
      <c r="X263" s="28" t="s">
        <v>193</v>
      </c>
      <c r="Y263" s="27" t="s">
        <v>9310</v>
      </c>
      <c r="AB263" s="28" t="s">
        <v>9311</v>
      </c>
      <c r="AH263" s="28" t="s">
        <v>4714</v>
      </c>
      <c r="AI263" s="28" t="s">
        <v>18719</v>
      </c>
      <c r="AJ263" s="516" t="str">
        <f>MID('II kw.22'!W263,8,6)</f>
        <v>243106</v>
      </c>
      <c r="AK263" s="516">
        <v>1</v>
      </c>
      <c r="AL263" s="516">
        <f t="shared" si="4"/>
        <v>1</v>
      </c>
      <c r="AM263" s="516">
        <v>1</v>
      </c>
      <c r="AN263" s="28" t="s">
        <v>17650</v>
      </c>
      <c r="AO263" s="28" t="s">
        <v>17651</v>
      </c>
      <c r="AP263" s="28" t="s">
        <v>17652</v>
      </c>
      <c r="AQ263" s="28" t="s">
        <v>17653</v>
      </c>
      <c r="AR263" s="28" t="s">
        <v>1024</v>
      </c>
    </row>
    <row r="264" spans="1:44" x14ac:dyDescent="0.25">
      <c r="A264" s="28" t="s">
        <v>10533</v>
      </c>
      <c r="B264" s="28" t="s">
        <v>18723</v>
      </c>
      <c r="C264" s="28" t="s">
        <v>16567</v>
      </c>
      <c r="D264" s="28" t="s">
        <v>18175</v>
      </c>
      <c r="E264" s="28" t="s">
        <v>192</v>
      </c>
      <c r="F264" s="28">
        <v>1</v>
      </c>
      <c r="G264" s="28" t="s">
        <v>193</v>
      </c>
      <c r="H264" s="28" t="s">
        <v>194</v>
      </c>
      <c r="I264" s="28" t="s">
        <v>17656</v>
      </c>
      <c r="J264" s="28" t="s">
        <v>210</v>
      </c>
      <c r="K264" s="28" t="s">
        <v>9309</v>
      </c>
      <c r="L264" s="28" t="s">
        <v>6955</v>
      </c>
      <c r="N264" s="28" t="s">
        <v>18724</v>
      </c>
      <c r="O264" s="28" t="s">
        <v>7531</v>
      </c>
      <c r="P264" s="28" t="s">
        <v>18364</v>
      </c>
      <c r="Q264" s="28" t="s">
        <v>18329</v>
      </c>
      <c r="R264" s="28" t="s">
        <v>18365</v>
      </c>
      <c r="S264" s="28" t="s">
        <v>18725</v>
      </c>
      <c r="T264" s="28" t="s">
        <v>18726</v>
      </c>
      <c r="V264" s="28" t="s">
        <v>9334</v>
      </c>
      <c r="W264" s="28" t="s">
        <v>16565</v>
      </c>
      <c r="X264" s="28" t="s">
        <v>194</v>
      </c>
      <c r="Y264" s="28" t="s">
        <v>9300</v>
      </c>
      <c r="AB264" s="28" t="s">
        <v>9311</v>
      </c>
      <c r="AH264" s="28" t="s">
        <v>4714</v>
      </c>
      <c r="AI264" s="28" t="s">
        <v>18723</v>
      </c>
      <c r="AJ264" s="516" t="str">
        <f>MID('II kw.22'!W264,8,6)</f>
        <v>121103</v>
      </c>
      <c r="AK264" s="516">
        <v>1</v>
      </c>
      <c r="AL264" s="516">
        <f t="shared" si="4"/>
        <v>1</v>
      </c>
      <c r="AM264" s="516">
        <v>1</v>
      </c>
      <c r="AN264" s="28" t="s">
        <v>17650</v>
      </c>
      <c r="AO264" s="28" t="s">
        <v>17651</v>
      </c>
      <c r="AP264" s="28" t="s">
        <v>17652</v>
      </c>
      <c r="AQ264" s="28" t="s">
        <v>17653</v>
      </c>
      <c r="AR264" s="28" t="s">
        <v>1024</v>
      </c>
    </row>
    <row r="265" spans="1:44" x14ac:dyDescent="0.25">
      <c r="A265" s="28" t="s">
        <v>10606</v>
      </c>
      <c r="B265" s="28" t="s">
        <v>18727</v>
      </c>
      <c r="C265" s="28" t="s">
        <v>525</v>
      </c>
      <c r="D265" s="28" t="s">
        <v>18175</v>
      </c>
      <c r="E265" s="28" t="s">
        <v>192</v>
      </c>
      <c r="F265" s="28">
        <v>1</v>
      </c>
      <c r="G265" s="28" t="s">
        <v>193</v>
      </c>
      <c r="H265" s="28" t="s">
        <v>194</v>
      </c>
      <c r="I265" s="28" t="s">
        <v>17784</v>
      </c>
      <c r="J265" s="28" t="s">
        <v>210</v>
      </c>
      <c r="K265" s="28" t="s">
        <v>9309</v>
      </c>
      <c r="L265" s="28" t="s">
        <v>6955</v>
      </c>
      <c r="N265" s="28" t="s">
        <v>18728</v>
      </c>
      <c r="O265" s="28" t="s">
        <v>6254</v>
      </c>
      <c r="P265" s="28" t="s">
        <v>18364</v>
      </c>
      <c r="Q265" s="28" t="s">
        <v>18329</v>
      </c>
      <c r="R265" s="28" t="s">
        <v>18365</v>
      </c>
      <c r="S265" s="28" t="s">
        <v>18729</v>
      </c>
      <c r="T265" s="28" t="s">
        <v>18730</v>
      </c>
      <c r="V265" s="28" t="s">
        <v>9334</v>
      </c>
      <c r="W265" s="28" t="s">
        <v>526</v>
      </c>
      <c r="X265" s="28" t="s">
        <v>194</v>
      </c>
      <c r="Y265" s="28" t="s">
        <v>9300</v>
      </c>
      <c r="AB265" s="28" t="s">
        <v>9311</v>
      </c>
      <c r="AH265" s="509" t="s">
        <v>5109</v>
      </c>
      <c r="AI265" s="28" t="s">
        <v>18727</v>
      </c>
      <c r="AJ265" s="516" t="str">
        <f>MID('II kw.22'!W265,8,6)</f>
        <v>263102</v>
      </c>
      <c r="AK265" s="516">
        <v>1</v>
      </c>
      <c r="AL265" s="516">
        <f t="shared" si="4"/>
        <v>1</v>
      </c>
      <c r="AM265" s="516">
        <v>1</v>
      </c>
      <c r="AN265" s="28" t="s">
        <v>17650</v>
      </c>
      <c r="AO265" s="28" t="s">
        <v>17651</v>
      </c>
      <c r="AP265" s="28" t="s">
        <v>17652</v>
      </c>
      <c r="AQ265" s="28" t="s">
        <v>17653</v>
      </c>
      <c r="AR265" s="28" t="s">
        <v>1024</v>
      </c>
    </row>
    <row r="266" spans="1:44" x14ac:dyDescent="0.25">
      <c r="A266" s="28" t="s">
        <v>1479</v>
      </c>
      <c r="B266" s="28" t="s">
        <v>10421</v>
      </c>
      <c r="C266" s="28" t="s">
        <v>74</v>
      </c>
      <c r="D266" s="28" t="s">
        <v>18175</v>
      </c>
      <c r="E266" s="28" t="s">
        <v>192</v>
      </c>
      <c r="F266" s="28">
        <v>1</v>
      </c>
      <c r="G266" s="28" t="s">
        <v>193</v>
      </c>
      <c r="H266" s="28" t="s">
        <v>194</v>
      </c>
      <c r="I266" s="28" t="s">
        <v>17706</v>
      </c>
      <c r="J266" s="28" t="s">
        <v>276</v>
      </c>
      <c r="K266" s="28" t="s">
        <v>9309</v>
      </c>
      <c r="L266" s="28" t="s">
        <v>6955</v>
      </c>
      <c r="N266" s="28" t="s">
        <v>18731</v>
      </c>
      <c r="O266" s="28" t="s">
        <v>6249</v>
      </c>
      <c r="P266" s="28" t="s">
        <v>18364</v>
      </c>
      <c r="Q266" s="28" t="s">
        <v>18329</v>
      </c>
      <c r="R266" s="28" t="s">
        <v>18365</v>
      </c>
      <c r="S266" s="28" t="s">
        <v>18732</v>
      </c>
      <c r="T266" s="28" t="s">
        <v>18733</v>
      </c>
      <c r="V266" s="28" t="s">
        <v>9786</v>
      </c>
      <c r="W266" s="28" t="s">
        <v>246</v>
      </c>
      <c r="X266" s="28" t="s">
        <v>194</v>
      </c>
      <c r="Y266" s="28" t="s">
        <v>9300</v>
      </c>
      <c r="AB266" s="28" t="s">
        <v>9311</v>
      </c>
      <c r="AH266" s="28" t="s">
        <v>4714</v>
      </c>
      <c r="AI266" s="28" t="s">
        <v>10421</v>
      </c>
      <c r="AJ266" s="516" t="str">
        <f>MID('II kw.22'!W266,8,6)</f>
        <v>142004</v>
      </c>
      <c r="AK266" s="516">
        <v>1</v>
      </c>
      <c r="AL266" s="516">
        <f t="shared" si="4"/>
        <v>1</v>
      </c>
      <c r="AM266" s="516">
        <v>1</v>
      </c>
      <c r="AN266" s="28" t="s">
        <v>17650</v>
      </c>
      <c r="AO266" s="28" t="s">
        <v>17651</v>
      </c>
      <c r="AP266" s="28" t="s">
        <v>17652</v>
      </c>
      <c r="AQ266" s="28" t="s">
        <v>17653</v>
      </c>
      <c r="AR266" s="28" t="s">
        <v>1024</v>
      </c>
    </row>
    <row r="267" spans="1:44" x14ac:dyDescent="0.25">
      <c r="A267" s="28" t="s">
        <v>1479</v>
      </c>
      <c r="B267" s="28" t="s">
        <v>10421</v>
      </c>
      <c r="C267" s="28" t="s">
        <v>74</v>
      </c>
      <c r="D267" s="28" t="s">
        <v>18175</v>
      </c>
      <c r="E267" s="28" t="s">
        <v>192</v>
      </c>
      <c r="F267" s="28">
        <v>1</v>
      </c>
      <c r="G267" s="28" t="s">
        <v>193</v>
      </c>
      <c r="H267" s="28" t="s">
        <v>194</v>
      </c>
      <c r="I267" s="28" t="s">
        <v>17706</v>
      </c>
      <c r="J267" s="28" t="s">
        <v>223</v>
      </c>
      <c r="K267" s="28" t="s">
        <v>9309</v>
      </c>
      <c r="L267" s="28" t="s">
        <v>6955</v>
      </c>
      <c r="N267" s="28" t="s">
        <v>18734</v>
      </c>
      <c r="O267" s="28" t="s">
        <v>6249</v>
      </c>
      <c r="P267" s="28" t="s">
        <v>18364</v>
      </c>
      <c r="Q267" s="28" t="s">
        <v>18329</v>
      </c>
      <c r="R267" s="28" t="s">
        <v>18365</v>
      </c>
      <c r="S267" s="28" t="s">
        <v>18735</v>
      </c>
      <c r="T267" s="28" t="s">
        <v>18736</v>
      </c>
      <c r="V267" s="28" t="s">
        <v>11163</v>
      </c>
      <c r="W267" s="28" t="s">
        <v>246</v>
      </c>
      <c r="X267" s="28" t="s">
        <v>194</v>
      </c>
      <c r="Y267" s="28" t="s">
        <v>9300</v>
      </c>
      <c r="AB267" s="28" t="s">
        <v>9311</v>
      </c>
      <c r="AH267" s="28" t="s">
        <v>4714</v>
      </c>
      <c r="AI267" s="28" t="s">
        <v>10421</v>
      </c>
      <c r="AJ267" s="516" t="str">
        <f>MID('II kw.22'!W267,8,6)</f>
        <v>142004</v>
      </c>
      <c r="AK267" s="516">
        <v>1</v>
      </c>
      <c r="AL267" s="516">
        <f t="shared" si="4"/>
        <v>1</v>
      </c>
      <c r="AM267" s="516">
        <v>1</v>
      </c>
      <c r="AN267" s="28" t="s">
        <v>17650</v>
      </c>
      <c r="AO267" s="28" t="s">
        <v>17651</v>
      </c>
      <c r="AP267" s="28" t="s">
        <v>17652</v>
      </c>
      <c r="AQ267" s="28" t="s">
        <v>17653</v>
      </c>
      <c r="AR267" s="28" t="s">
        <v>1024</v>
      </c>
    </row>
    <row r="268" spans="1:44" x14ac:dyDescent="0.25">
      <c r="A268" s="28" t="s">
        <v>1479</v>
      </c>
      <c r="B268" s="28" t="s">
        <v>10421</v>
      </c>
      <c r="C268" s="28" t="s">
        <v>74</v>
      </c>
      <c r="D268" s="28" t="s">
        <v>18175</v>
      </c>
      <c r="E268" s="28" t="s">
        <v>192</v>
      </c>
      <c r="F268" s="28">
        <v>1</v>
      </c>
      <c r="G268" s="28" t="s">
        <v>193</v>
      </c>
      <c r="H268" s="28" t="s">
        <v>194</v>
      </c>
      <c r="I268" s="28" t="s">
        <v>17706</v>
      </c>
      <c r="J268" s="28" t="s">
        <v>2183</v>
      </c>
      <c r="K268" s="28" t="s">
        <v>9309</v>
      </c>
      <c r="L268" s="28" t="s">
        <v>6955</v>
      </c>
      <c r="N268" s="28" t="s">
        <v>18737</v>
      </c>
      <c r="O268" s="28" t="s">
        <v>6249</v>
      </c>
      <c r="P268" s="28" t="s">
        <v>18364</v>
      </c>
      <c r="Q268" s="28" t="s">
        <v>18329</v>
      </c>
      <c r="R268" s="28" t="s">
        <v>18365</v>
      </c>
      <c r="S268" s="28" t="s">
        <v>18738</v>
      </c>
      <c r="T268" s="28" t="s">
        <v>18739</v>
      </c>
      <c r="V268" s="28" t="s">
        <v>9892</v>
      </c>
      <c r="W268" s="28" t="s">
        <v>246</v>
      </c>
      <c r="X268" s="28" t="s">
        <v>194</v>
      </c>
      <c r="Y268" s="28" t="s">
        <v>9300</v>
      </c>
      <c r="AB268" s="28" t="s">
        <v>9311</v>
      </c>
      <c r="AH268" s="28" t="s">
        <v>4714</v>
      </c>
      <c r="AI268" s="28" t="s">
        <v>10421</v>
      </c>
      <c r="AJ268" s="516" t="str">
        <f>MID('II kw.22'!W268,8,6)</f>
        <v>142004</v>
      </c>
      <c r="AK268" s="516">
        <v>1</v>
      </c>
      <c r="AL268" s="516">
        <f t="shared" si="4"/>
        <v>1</v>
      </c>
      <c r="AM268" s="516">
        <v>1</v>
      </c>
      <c r="AN268" s="28" t="s">
        <v>17650</v>
      </c>
      <c r="AO268" s="28" t="s">
        <v>17651</v>
      </c>
      <c r="AP268" s="28" t="s">
        <v>17652</v>
      </c>
      <c r="AQ268" s="28" t="s">
        <v>17653</v>
      </c>
      <c r="AR268" s="28" t="s">
        <v>1024</v>
      </c>
    </row>
    <row r="269" spans="1:44" x14ac:dyDescent="0.25">
      <c r="A269" s="28" t="s">
        <v>17898</v>
      </c>
      <c r="B269" s="28" t="s">
        <v>18740</v>
      </c>
      <c r="C269" s="28" t="s">
        <v>100</v>
      </c>
      <c r="D269" s="28" t="s">
        <v>18175</v>
      </c>
      <c r="E269" s="28" t="s">
        <v>192</v>
      </c>
      <c r="F269" s="28">
        <v>1</v>
      </c>
      <c r="G269" s="28" t="s">
        <v>193</v>
      </c>
      <c r="H269" s="28" t="s">
        <v>194</v>
      </c>
      <c r="I269" s="28" t="s">
        <v>17656</v>
      </c>
      <c r="J269" s="28" t="s">
        <v>210</v>
      </c>
      <c r="K269" s="28" t="s">
        <v>9309</v>
      </c>
      <c r="L269" s="28" t="s">
        <v>6955</v>
      </c>
      <c r="N269" s="28" t="s">
        <v>18741</v>
      </c>
      <c r="O269" s="28" t="s">
        <v>6266</v>
      </c>
      <c r="P269" s="28" t="s">
        <v>18364</v>
      </c>
      <c r="Q269" s="28" t="s">
        <v>18329</v>
      </c>
      <c r="R269" s="28" t="s">
        <v>18365</v>
      </c>
      <c r="S269" s="28" t="s">
        <v>18742</v>
      </c>
      <c r="T269" s="28" t="s">
        <v>18743</v>
      </c>
      <c r="V269" s="28" t="s">
        <v>9334</v>
      </c>
      <c r="W269" s="28" t="s">
        <v>429</v>
      </c>
      <c r="X269" s="28" t="s">
        <v>194</v>
      </c>
      <c r="Y269" s="28" t="s">
        <v>9300</v>
      </c>
      <c r="AB269" s="28" t="s">
        <v>9311</v>
      </c>
      <c r="AH269" s="28" t="s">
        <v>4714</v>
      </c>
      <c r="AI269" s="28" t="s">
        <v>18740</v>
      </c>
      <c r="AJ269" s="516" t="str">
        <f>MID('II kw.22'!W269,8,6)</f>
        <v>242108</v>
      </c>
      <c r="AK269" s="516">
        <v>1</v>
      </c>
      <c r="AL269" s="516">
        <f t="shared" si="4"/>
        <v>1</v>
      </c>
      <c r="AM269" s="516">
        <v>1</v>
      </c>
      <c r="AN269" s="28" t="s">
        <v>17650</v>
      </c>
      <c r="AO269" s="28" t="s">
        <v>17651</v>
      </c>
      <c r="AP269" s="28" t="s">
        <v>17652</v>
      </c>
      <c r="AQ269" s="28" t="s">
        <v>17653</v>
      </c>
      <c r="AR269" s="28" t="s">
        <v>1024</v>
      </c>
    </row>
    <row r="270" spans="1:44" x14ac:dyDescent="0.25">
      <c r="A270" s="28" t="s">
        <v>10606</v>
      </c>
      <c r="B270" s="28" t="s">
        <v>18744</v>
      </c>
      <c r="C270" s="28" t="s">
        <v>319</v>
      </c>
      <c r="D270" s="28" t="s">
        <v>18175</v>
      </c>
      <c r="E270" s="28" t="s">
        <v>192</v>
      </c>
      <c r="F270" s="28">
        <v>1</v>
      </c>
      <c r="G270" s="28" t="s">
        <v>193</v>
      </c>
      <c r="H270" s="28" t="s">
        <v>194</v>
      </c>
      <c r="I270" s="28" t="s">
        <v>17759</v>
      </c>
      <c r="J270" s="28" t="s">
        <v>755</v>
      </c>
      <c r="K270" s="28" t="s">
        <v>9309</v>
      </c>
      <c r="L270" s="28" t="s">
        <v>6955</v>
      </c>
      <c r="N270" s="28" t="s">
        <v>18745</v>
      </c>
      <c r="O270" s="28" t="s">
        <v>6295</v>
      </c>
      <c r="P270" s="28" t="s">
        <v>18364</v>
      </c>
      <c r="Q270" s="28" t="s">
        <v>18329</v>
      </c>
      <c r="R270" s="28" t="s">
        <v>18365</v>
      </c>
      <c r="S270" s="28" t="s">
        <v>18746</v>
      </c>
      <c r="T270" s="28" t="s">
        <v>18747</v>
      </c>
      <c r="V270" s="28" t="s">
        <v>9726</v>
      </c>
      <c r="W270" s="28" t="s">
        <v>320</v>
      </c>
      <c r="X270" s="28" t="s">
        <v>194</v>
      </c>
      <c r="Y270" s="28" t="s">
        <v>9300</v>
      </c>
      <c r="AB270" s="28" t="s">
        <v>9311</v>
      </c>
      <c r="AH270" s="28" t="s">
        <v>4714</v>
      </c>
      <c r="AI270" s="28" t="s">
        <v>18744</v>
      </c>
      <c r="AJ270" s="516" t="str">
        <f>MID('II kw.22'!W270,8,6)</f>
        <v>214407</v>
      </c>
      <c r="AK270" s="516">
        <v>1</v>
      </c>
      <c r="AL270" s="516">
        <f t="shared" si="4"/>
        <v>1</v>
      </c>
      <c r="AM270" s="516">
        <v>1</v>
      </c>
      <c r="AN270" s="28" t="s">
        <v>17650</v>
      </c>
      <c r="AO270" s="28" t="s">
        <v>17651</v>
      </c>
      <c r="AP270" s="28" t="s">
        <v>17652</v>
      </c>
      <c r="AQ270" s="28" t="s">
        <v>17653</v>
      </c>
      <c r="AR270" s="28" t="s">
        <v>1024</v>
      </c>
    </row>
    <row r="271" spans="1:44" x14ac:dyDescent="0.25">
      <c r="A271" s="28" t="s">
        <v>18748</v>
      </c>
      <c r="B271" s="28" t="s">
        <v>18749</v>
      </c>
      <c r="C271" s="28" t="s">
        <v>883</v>
      </c>
      <c r="D271" s="28" t="s">
        <v>18175</v>
      </c>
      <c r="E271" s="28" t="s">
        <v>192</v>
      </c>
      <c r="F271" s="28">
        <v>1</v>
      </c>
      <c r="G271" s="28" t="s">
        <v>193</v>
      </c>
      <c r="H271" s="28" t="s">
        <v>194</v>
      </c>
      <c r="I271" s="28" t="s">
        <v>17706</v>
      </c>
      <c r="J271" s="28" t="s">
        <v>18750</v>
      </c>
      <c r="K271" s="28" t="s">
        <v>9309</v>
      </c>
      <c r="L271" s="28" t="s">
        <v>6955</v>
      </c>
      <c r="N271" s="28" t="s">
        <v>18751</v>
      </c>
      <c r="O271" s="28" t="s">
        <v>6275</v>
      </c>
      <c r="P271" s="28" t="s">
        <v>18205</v>
      </c>
      <c r="Q271" s="28" t="s">
        <v>18329</v>
      </c>
      <c r="R271" s="28" t="s">
        <v>18365</v>
      </c>
      <c r="S271" s="28" t="s">
        <v>18752</v>
      </c>
      <c r="T271" s="28" t="s">
        <v>18753</v>
      </c>
      <c r="V271" s="28" t="s">
        <v>9367</v>
      </c>
      <c r="W271" s="28" t="s">
        <v>884</v>
      </c>
      <c r="X271" s="28" t="s">
        <v>194</v>
      </c>
      <c r="Y271" s="28" t="s">
        <v>9300</v>
      </c>
      <c r="AB271" s="28" t="s">
        <v>9311</v>
      </c>
      <c r="AH271" s="28" t="s">
        <v>4714</v>
      </c>
      <c r="AI271" s="28" t="s">
        <v>883</v>
      </c>
      <c r="AJ271" s="516" t="str">
        <f>MID('II kw.22'!W271,8,6)</f>
        <v>834205</v>
      </c>
      <c r="AK271" s="516">
        <v>1</v>
      </c>
      <c r="AL271" s="516">
        <f t="shared" si="4"/>
        <v>1</v>
      </c>
      <c r="AM271" s="516">
        <v>1</v>
      </c>
      <c r="AN271" s="28" t="s">
        <v>17650</v>
      </c>
      <c r="AO271" s="28" t="s">
        <v>17651</v>
      </c>
      <c r="AP271" s="28" t="s">
        <v>17652</v>
      </c>
      <c r="AQ271" s="28" t="s">
        <v>17653</v>
      </c>
      <c r="AR271" s="28" t="s">
        <v>1024</v>
      </c>
    </row>
    <row r="272" spans="1:44" x14ac:dyDescent="0.25">
      <c r="A272" s="28" t="s">
        <v>18594</v>
      </c>
      <c r="B272" s="28" t="s">
        <v>18620</v>
      </c>
      <c r="C272" s="28" t="s">
        <v>17</v>
      </c>
      <c r="D272" s="28" t="s">
        <v>18175</v>
      </c>
      <c r="E272" s="28" t="s">
        <v>192</v>
      </c>
      <c r="F272" s="28">
        <v>1</v>
      </c>
      <c r="G272" s="28" t="s">
        <v>193</v>
      </c>
      <c r="H272" s="28" t="s">
        <v>194</v>
      </c>
      <c r="I272" s="28" t="s">
        <v>17672</v>
      </c>
      <c r="J272" s="28" t="s">
        <v>385</v>
      </c>
      <c r="K272" s="28" t="s">
        <v>9309</v>
      </c>
      <c r="L272" s="28" t="s">
        <v>6955</v>
      </c>
      <c r="N272" s="28" t="s">
        <v>18754</v>
      </c>
      <c r="O272" s="28" t="s">
        <v>7001</v>
      </c>
      <c r="P272" s="28" t="s">
        <v>18364</v>
      </c>
      <c r="Q272" s="28" t="s">
        <v>18329</v>
      </c>
      <c r="R272" s="28" t="s">
        <v>18365</v>
      </c>
      <c r="S272" s="28" t="s">
        <v>18755</v>
      </c>
      <c r="T272" s="28" t="s">
        <v>18756</v>
      </c>
      <c r="V272" s="28" t="s">
        <v>9410</v>
      </c>
      <c r="W272" s="28" t="s">
        <v>624</v>
      </c>
      <c r="X272" s="28" t="s">
        <v>194</v>
      </c>
      <c r="Y272" s="28" t="s">
        <v>9300</v>
      </c>
      <c r="AB272" s="28" t="s">
        <v>9311</v>
      </c>
      <c r="AH272" s="28" t="s">
        <v>4714</v>
      </c>
      <c r="AI272" s="28" t="s">
        <v>18620</v>
      </c>
      <c r="AJ272" s="516" t="str">
        <f>MID('II kw.22'!W272,8,6)</f>
        <v>332203</v>
      </c>
      <c r="AK272" s="516">
        <v>1</v>
      </c>
      <c r="AL272" s="516">
        <f t="shared" si="4"/>
        <v>1</v>
      </c>
      <c r="AM272" s="516">
        <v>1</v>
      </c>
      <c r="AN272" s="28" t="s">
        <v>17650</v>
      </c>
      <c r="AO272" s="28" t="s">
        <v>17651</v>
      </c>
      <c r="AP272" s="28" t="s">
        <v>17652</v>
      </c>
      <c r="AQ272" s="28" t="s">
        <v>17653</v>
      </c>
      <c r="AR272" s="28" t="s">
        <v>1024</v>
      </c>
    </row>
    <row r="273" spans="1:44" x14ac:dyDescent="0.25">
      <c r="A273" s="28" t="s">
        <v>18594</v>
      </c>
      <c r="B273" s="28" t="s">
        <v>18620</v>
      </c>
      <c r="C273" s="28" t="s">
        <v>17</v>
      </c>
      <c r="D273" s="28" t="s">
        <v>18175</v>
      </c>
      <c r="E273" s="28" t="s">
        <v>192</v>
      </c>
      <c r="F273" s="28">
        <v>1</v>
      </c>
      <c r="G273" s="28" t="s">
        <v>193</v>
      </c>
      <c r="H273" s="28" t="s">
        <v>194</v>
      </c>
      <c r="I273" s="28" t="s">
        <v>17672</v>
      </c>
      <c r="J273" s="28" t="s">
        <v>408</v>
      </c>
      <c r="K273" s="28" t="s">
        <v>9309</v>
      </c>
      <c r="L273" s="28" t="s">
        <v>6955</v>
      </c>
      <c r="N273" s="28" t="s">
        <v>18757</v>
      </c>
      <c r="O273" s="28" t="s">
        <v>7001</v>
      </c>
      <c r="P273" s="28" t="s">
        <v>18364</v>
      </c>
      <c r="Q273" s="28" t="s">
        <v>18329</v>
      </c>
      <c r="R273" s="28" t="s">
        <v>18365</v>
      </c>
      <c r="S273" s="28" t="s">
        <v>18758</v>
      </c>
      <c r="T273" s="28" t="s">
        <v>18759</v>
      </c>
      <c r="V273" s="28" t="s">
        <v>9479</v>
      </c>
      <c r="W273" s="28" t="s">
        <v>624</v>
      </c>
      <c r="X273" s="28" t="s">
        <v>194</v>
      </c>
      <c r="Y273" s="28" t="s">
        <v>9300</v>
      </c>
      <c r="AB273" s="28" t="s">
        <v>9311</v>
      </c>
      <c r="AH273" s="28" t="s">
        <v>4714</v>
      </c>
      <c r="AI273" s="28" t="s">
        <v>18620</v>
      </c>
      <c r="AJ273" s="516" t="str">
        <f>MID('II kw.22'!W273,8,6)</f>
        <v>332203</v>
      </c>
      <c r="AK273" s="516">
        <v>1</v>
      </c>
      <c r="AL273" s="516">
        <f t="shared" si="4"/>
        <v>1</v>
      </c>
      <c r="AM273" s="516">
        <v>1</v>
      </c>
      <c r="AN273" s="28" t="s">
        <v>17650</v>
      </c>
      <c r="AO273" s="28" t="s">
        <v>17651</v>
      </c>
      <c r="AP273" s="28" t="s">
        <v>17652</v>
      </c>
      <c r="AQ273" s="28" t="s">
        <v>17653</v>
      </c>
      <c r="AR273" s="28" t="s">
        <v>1024</v>
      </c>
    </row>
    <row r="274" spans="1:44" x14ac:dyDescent="0.25">
      <c r="A274" s="28" t="s">
        <v>10533</v>
      </c>
      <c r="B274" s="28" t="s">
        <v>18760</v>
      </c>
      <c r="C274" s="28" t="s">
        <v>6156</v>
      </c>
      <c r="D274" s="28" t="s">
        <v>18175</v>
      </c>
      <c r="E274" s="28" t="s">
        <v>192</v>
      </c>
      <c r="F274" s="28">
        <v>1</v>
      </c>
      <c r="G274" s="28" t="s">
        <v>193</v>
      </c>
      <c r="H274" s="28" t="s">
        <v>194</v>
      </c>
      <c r="I274" s="28" t="s">
        <v>17656</v>
      </c>
      <c r="J274" s="28" t="s">
        <v>210</v>
      </c>
      <c r="K274" s="28" t="s">
        <v>9309</v>
      </c>
      <c r="L274" s="28" t="s">
        <v>6955</v>
      </c>
      <c r="N274" s="28" t="s">
        <v>18761</v>
      </c>
      <c r="O274" s="28" t="s">
        <v>7531</v>
      </c>
      <c r="P274" s="28" t="s">
        <v>18364</v>
      </c>
      <c r="Q274" s="28" t="s">
        <v>18329</v>
      </c>
      <c r="R274" s="28" t="s">
        <v>18365</v>
      </c>
      <c r="S274" s="28" t="s">
        <v>18762</v>
      </c>
      <c r="T274" s="28" t="s">
        <v>18763</v>
      </c>
      <c r="V274" s="28" t="s">
        <v>9334</v>
      </c>
      <c r="W274" s="28" t="s">
        <v>6158</v>
      </c>
      <c r="X274" s="28" t="s">
        <v>194</v>
      </c>
      <c r="Y274" s="28" t="s">
        <v>9300</v>
      </c>
      <c r="AB274" s="28" t="s">
        <v>9311</v>
      </c>
      <c r="AH274" s="28" t="s">
        <v>4714</v>
      </c>
      <c r="AI274" s="28" t="s">
        <v>18760</v>
      </c>
      <c r="AJ274" s="516" t="str">
        <f>MID('II kw.22'!W274,8,6)</f>
        <v>241204</v>
      </c>
      <c r="AK274" s="516">
        <v>1</v>
      </c>
      <c r="AL274" s="516">
        <f t="shared" si="4"/>
        <v>1</v>
      </c>
      <c r="AM274" s="516">
        <v>1</v>
      </c>
      <c r="AN274" s="28" t="s">
        <v>17650</v>
      </c>
      <c r="AO274" s="28" t="s">
        <v>17651</v>
      </c>
      <c r="AP274" s="28" t="s">
        <v>17652</v>
      </c>
      <c r="AQ274" s="28" t="s">
        <v>17653</v>
      </c>
      <c r="AR274" s="28" t="s">
        <v>1024</v>
      </c>
    </row>
    <row r="275" spans="1:44" x14ac:dyDescent="0.25">
      <c r="A275" s="28" t="s">
        <v>18748</v>
      </c>
      <c r="B275" s="28" t="s">
        <v>8721</v>
      </c>
      <c r="C275" s="28" t="s">
        <v>1325</v>
      </c>
      <c r="D275" s="28" t="s">
        <v>18175</v>
      </c>
      <c r="E275" s="28" t="s">
        <v>192</v>
      </c>
      <c r="F275" s="28">
        <v>1</v>
      </c>
      <c r="G275" s="28" t="s">
        <v>193</v>
      </c>
      <c r="H275" s="28" t="s">
        <v>194</v>
      </c>
      <c r="I275" s="28" t="s">
        <v>17656</v>
      </c>
      <c r="J275" s="28" t="s">
        <v>18750</v>
      </c>
      <c r="K275" s="28" t="s">
        <v>9309</v>
      </c>
      <c r="L275" s="28" t="s">
        <v>6955</v>
      </c>
      <c r="N275" s="28" t="s">
        <v>18764</v>
      </c>
      <c r="O275" s="28" t="s">
        <v>6275</v>
      </c>
      <c r="P275" s="28" t="s">
        <v>18364</v>
      </c>
      <c r="Q275" s="28" t="s">
        <v>18329</v>
      </c>
      <c r="R275" s="28" t="s">
        <v>18365</v>
      </c>
      <c r="S275" s="28" t="s">
        <v>18765</v>
      </c>
      <c r="T275" s="28" t="s">
        <v>18766</v>
      </c>
      <c r="V275" s="28" t="s">
        <v>9367</v>
      </c>
      <c r="W275" s="28" t="s">
        <v>1327</v>
      </c>
      <c r="X275" s="28" t="s">
        <v>194</v>
      </c>
      <c r="Y275" s="28" t="s">
        <v>9300</v>
      </c>
      <c r="AB275" s="28" t="s">
        <v>9311</v>
      </c>
      <c r="AH275" s="28" t="s">
        <v>4714</v>
      </c>
      <c r="AI275" s="28" t="s">
        <v>8721</v>
      </c>
      <c r="AJ275" s="516" t="str">
        <f>MID('II kw.22'!W275,8,6)</f>
        <v>931301</v>
      </c>
      <c r="AK275" s="516">
        <v>1</v>
      </c>
      <c r="AL275" s="516">
        <f t="shared" si="4"/>
        <v>1</v>
      </c>
      <c r="AM275" s="516">
        <v>1</v>
      </c>
      <c r="AN275" s="28" t="s">
        <v>17650</v>
      </c>
      <c r="AO275" s="28" t="s">
        <v>17651</v>
      </c>
      <c r="AP275" s="28" t="s">
        <v>17652</v>
      </c>
      <c r="AQ275" s="28" t="s">
        <v>17653</v>
      </c>
      <c r="AR275" s="28" t="s">
        <v>1024</v>
      </c>
    </row>
    <row r="276" spans="1:44" x14ac:dyDescent="0.25">
      <c r="A276" s="28" t="s">
        <v>7380</v>
      </c>
      <c r="B276" s="28" t="s">
        <v>18767</v>
      </c>
      <c r="C276" s="28" t="s">
        <v>18768</v>
      </c>
      <c r="D276" s="28" t="s">
        <v>18175</v>
      </c>
      <c r="E276" s="28" t="s">
        <v>192</v>
      </c>
      <c r="F276" s="28">
        <v>1</v>
      </c>
      <c r="G276" s="28" t="s">
        <v>193</v>
      </c>
      <c r="H276" s="28" t="s">
        <v>194</v>
      </c>
      <c r="I276" s="28" t="s">
        <v>17656</v>
      </c>
      <c r="J276" s="28" t="s">
        <v>316</v>
      </c>
      <c r="K276" s="28" t="s">
        <v>9309</v>
      </c>
      <c r="L276" s="28" t="s">
        <v>6955</v>
      </c>
      <c r="N276" s="28" t="s">
        <v>18769</v>
      </c>
      <c r="O276" s="28" t="s">
        <v>6275</v>
      </c>
      <c r="P276" s="28" t="s">
        <v>18364</v>
      </c>
      <c r="Q276" s="28" t="s">
        <v>18329</v>
      </c>
      <c r="R276" s="28" t="s">
        <v>18365</v>
      </c>
      <c r="S276" s="28" t="s">
        <v>18770</v>
      </c>
      <c r="T276" s="28" t="s">
        <v>18771</v>
      </c>
      <c r="V276" s="28" t="s">
        <v>10012</v>
      </c>
      <c r="W276" s="28" t="s">
        <v>18772</v>
      </c>
      <c r="X276" s="28" t="s">
        <v>194</v>
      </c>
      <c r="Y276" s="28" t="s">
        <v>9300</v>
      </c>
      <c r="AB276" s="28" t="s">
        <v>9311</v>
      </c>
      <c r="AH276" s="28" t="s">
        <v>4714</v>
      </c>
      <c r="AI276" s="28" t="s">
        <v>18767</v>
      </c>
      <c r="AJ276" s="516" t="str">
        <f>MID('II kw.22'!W276,8,6)</f>
        <v>722103</v>
      </c>
      <c r="AK276" s="516">
        <v>1</v>
      </c>
      <c r="AL276" s="516">
        <f t="shared" si="4"/>
        <v>1</v>
      </c>
      <c r="AM276" s="516">
        <v>1</v>
      </c>
      <c r="AN276" s="28" t="s">
        <v>17650</v>
      </c>
      <c r="AO276" s="28" t="s">
        <v>17651</v>
      </c>
      <c r="AP276" s="28" t="s">
        <v>17652</v>
      </c>
      <c r="AQ276" s="28" t="s">
        <v>17653</v>
      </c>
      <c r="AR276" s="28" t="s">
        <v>1024</v>
      </c>
    </row>
    <row r="277" spans="1:44" x14ac:dyDescent="0.25">
      <c r="A277" s="28" t="s">
        <v>12807</v>
      </c>
      <c r="B277" s="28" t="s">
        <v>18773</v>
      </c>
      <c r="C277" s="28" t="s">
        <v>10</v>
      </c>
      <c r="D277" s="28" t="s">
        <v>18175</v>
      </c>
      <c r="E277" s="28" t="s">
        <v>192</v>
      </c>
      <c r="F277" s="28">
        <v>1</v>
      </c>
      <c r="G277" s="28" t="s">
        <v>193</v>
      </c>
      <c r="H277" s="28" t="s">
        <v>194</v>
      </c>
      <c r="I277" s="28" t="s">
        <v>17672</v>
      </c>
      <c r="J277" s="28" t="s">
        <v>210</v>
      </c>
      <c r="K277" s="28" t="s">
        <v>9309</v>
      </c>
      <c r="L277" s="28" t="s">
        <v>6955</v>
      </c>
      <c r="N277" s="28" t="s">
        <v>18774</v>
      </c>
      <c r="O277" s="28" t="s">
        <v>6295</v>
      </c>
      <c r="P277" s="28" t="s">
        <v>18364</v>
      </c>
      <c r="Q277" s="28" t="s">
        <v>18329</v>
      </c>
      <c r="R277" s="28" t="s">
        <v>18365</v>
      </c>
      <c r="S277" s="28" t="s">
        <v>18775</v>
      </c>
      <c r="T277" s="28" t="s">
        <v>18776</v>
      </c>
      <c r="V277" s="28" t="s">
        <v>9334</v>
      </c>
      <c r="W277" s="28" t="s">
        <v>484</v>
      </c>
      <c r="X277" s="28" t="s">
        <v>194</v>
      </c>
      <c r="Y277" s="28" t="s">
        <v>9300</v>
      </c>
      <c r="AB277" s="28" t="s">
        <v>9311</v>
      </c>
      <c r="AH277" s="28" t="s">
        <v>4714</v>
      </c>
      <c r="AI277" s="28" t="s">
        <v>18773</v>
      </c>
      <c r="AJ277" s="516" t="str">
        <f>MID('II kw.22'!W277,8,6)</f>
        <v>251401</v>
      </c>
      <c r="AK277" s="516">
        <v>1</v>
      </c>
      <c r="AL277" s="516">
        <f t="shared" si="4"/>
        <v>1</v>
      </c>
      <c r="AM277" s="516">
        <v>1</v>
      </c>
      <c r="AN277" s="28" t="s">
        <v>17650</v>
      </c>
      <c r="AO277" s="28" t="s">
        <v>17651</v>
      </c>
      <c r="AP277" s="28" t="s">
        <v>17652</v>
      </c>
      <c r="AQ277" s="28" t="s">
        <v>17653</v>
      </c>
      <c r="AR277" s="28" t="s">
        <v>1024</v>
      </c>
    </row>
    <row r="278" spans="1:44" x14ac:dyDescent="0.25">
      <c r="A278" s="28" t="s">
        <v>369</v>
      </c>
      <c r="B278" s="28" t="s">
        <v>18777</v>
      </c>
      <c r="C278" s="28" t="s">
        <v>19</v>
      </c>
      <c r="D278" s="28" t="s">
        <v>18175</v>
      </c>
      <c r="E278" s="28" t="s">
        <v>192</v>
      </c>
      <c r="F278" s="28">
        <v>1</v>
      </c>
      <c r="G278" s="28" t="s">
        <v>193</v>
      </c>
      <c r="H278" s="28" t="s">
        <v>194</v>
      </c>
      <c r="I278" s="28" t="s">
        <v>17672</v>
      </c>
      <c r="J278" s="28" t="s">
        <v>210</v>
      </c>
      <c r="K278" s="28" t="s">
        <v>9309</v>
      </c>
      <c r="L278" s="28" t="s">
        <v>6955</v>
      </c>
      <c r="N278" s="28" t="s">
        <v>18778</v>
      </c>
      <c r="O278" s="28" t="s">
        <v>6363</v>
      </c>
      <c r="P278" s="28" t="s">
        <v>18364</v>
      </c>
      <c r="Q278" s="28" t="s">
        <v>18329</v>
      </c>
      <c r="R278" s="28" t="s">
        <v>18365</v>
      </c>
      <c r="S278" s="28" t="s">
        <v>18779</v>
      </c>
      <c r="T278" s="28" t="s">
        <v>18780</v>
      </c>
      <c r="V278" s="28" t="s">
        <v>9334</v>
      </c>
      <c r="W278" s="28" t="s">
        <v>337</v>
      </c>
      <c r="X278" s="28" t="s">
        <v>194</v>
      </c>
      <c r="Y278" s="28" t="s">
        <v>9300</v>
      </c>
      <c r="AB278" s="28" t="s">
        <v>9311</v>
      </c>
      <c r="AH278" s="509" t="s">
        <v>5109</v>
      </c>
      <c r="AI278" s="28" t="s">
        <v>18777</v>
      </c>
      <c r="AJ278" s="516" t="str">
        <f>MID('II kw.22'!W278,8,6)</f>
        <v>214903</v>
      </c>
      <c r="AK278" s="516">
        <v>1</v>
      </c>
      <c r="AL278" s="516">
        <f t="shared" si="4"/>
        <v>1</v>
      </c>
      <c r="AM278" s="516">
        <v>1</v>
      </c>
      <c r="AN278" s="28" t="s">
        <v>17650</v>
      </c>
      <c r="AO278" s="28" t="s">
        <v>17651</v>
      </c>
      <c r="AP278" s="28" t="s">
        <v>17652</v>
      </c>
      <c r="AQ278" s="28" t="s">
        <v>17653</v>
      </c>
      <c r="AR278" s="28" t="s">
        <v>1024</v>
      </c>
    </row>
    <row r="279" spans="1:44" x14ac:dyDescent="0.25">
      <c r="A279" s="28" t="s">
        <v>18781</v>
      </c>
      <c r="B279" s="28" t="s">
        <v>18782</v>
      </c>
      <c r="C279" s="28" t="s">
        <v>18783</v>
      </c>
      <c r="D279" s="28" t="s">
        <v>18175</v>
      </c>
      <c r="E279" s="28" t="s">
        <v>192</v>
      </c>
      <c r="F279" s="28">
        <v>1</v>
      </c>
      <c r="G279" s="28" t="s">
        <v>193</v>
      </c>
      <c r="H279" s="28" t="s">
        <v>194</v>
      </c>
      <c r="I279" s="28" t="s">
        <v>17656</v>
      </c>
      <c r="J279" s="28" t="s">
        <v>18784</v>
      </c>
      <c r="K279" s="28" t="s">
        <v>9309</v>
      </c>
      <c r="L279" s="28" t="s">
        <v>6955</v>
      </c>
      <c r="N279" s="28" t="s">
        <v>18785</v>
      </c>
      <c r="O279" s="28" t="s">
        <v>6275</v>
      </c>
      <c r="P279" s="28" t="s">
        <v>18364</v>
      </c>
      <c r="Q279" s="28" t="s">
        <v>18329</v>
      </c>
      <c r="R279" s="28" t="s">
        <v>18365</v>
      </c>
      <c r="S279" s="28" t="s">
        <v>18786</v>
      </c>
      <c r="T279" s="28" t="s">
        <v>18787</v>
      </c>
      <c r="V279" s="28" t="s">
        <v>18788</v>
      </c>
      <c r="W279" s="28" t="s">
        <v>2538</v>
      </c>
      <c r="X279" s="28" t="s">
        <v>194</v>
      </c>
      <c r="Y279" s="28" t="s">
        <v>9300</v>
      </c>
      <c r="AB279" s="28" t="s">
        <v>9311</v>
      </c>
      <c r="AH279" s="28" t="s">
        <v>4714</v>
      </c>
      <c r="AI279" s="28" t="s">
        <v>18782</v>
      </c>
      <c r="AJ279" s="516" t="str">
        <f>MID('II kw.22'!W279,8,6)</f>
        <v>911207</v>
      </c>
      <c r="AK279" s="516">
        <v>1</v>
      </c>
      <c r="AL279" s="516">
        <f t="shared" si="4"/>
        <v>1</v>
      </c>
      <c r="AM279" s="516">
        <v>1</v>
      </c>
      <c r="AN279" s="28" t="s">
        <v>17650</v>
      </c>
      <c r="AO279" s="28" t="s">
        <v>17651</v>
      </c>
      <c r="AP279" s="28" t="s">
        <v>17652</v>
      </c>
      <c r="AQ279" s="28" t="s">
        <v>17653</v>
      </c>
      <c r="AR279" s="28" t="s">
        <v>1024</v>
      </c>
    </row>
    <row r="280" spans="1:44" x14ac:dyDescent="0.25">
      <c r="A280" s="28" t="s">
        <v>2401</v>
      </c>
      <c r="B280" s="28" t="s">
        <v>537</v>
      </c>
      <c r="C280" s="28" t="s">
        <v>778</v>
      </c>
      <c r="D280" s="28" t="s">
        <v>18175</v>
      </c>
      <c r="E280" s="28" t="s">
        <v>192</v>
      </c>
      <c r="F280" s="28">
        <v>1</v>
      </c>
      <c r="G280" s="28" t="s">
        <v>193</v>
      </c>
      <c r="H280" s="28" t="s">
        <v>194</v>
      </c>
      <c r="I280" s="28" t="s">
        <v>17706</v>
      </c>
      <c r="J280" s="28" t="s">
        <v>385</v>
      </c>
      <c r="K280" s="28" t="s">
        <v>9309</v>
      </c>
      <c r="L280" s="28" t="s">
        <v>6955</v>
      </c>
      <c r="N280" s="28" t="s">
        <v>18789</v>
      </c>
      <c r="O280" s="28" t="s">
        <v>6254</v>
      </c>
      <c r="P280" s="28" t="s">
        <v>18205</v>
      </c>
      <c r="Q280" s="28" t="s">
        <v>18329</v>
      </c>
      <c r="R280" s="28" t="s">
        <v>18365</v>
      </c>
      <c r="S280" s="28" t="s">
        <v>18790</v>
      </c>
      <c r="T280" s="28" t="s">
        <v>18791</v>
      </c>
      <c r="V280" s="28" t="s">
        <v>9410</v>
      </c>
      <c r="W280" s="28" t="s">
        <v>779</v>
      </c>
      <c r="X280" s="28" t="s">
        <v>194</v>
      </c>
      <c r="Y280" s="28" t="s">
        <v>9300</v>
      </c>
      <c r="AB280" s="28" t="s">
        <v>9311</v>
      </c>
      <c r="AH280" s="28" t="s">
        <v>4714</v>
      </c>
      <c r="AI280" s="28" t="s">
        <v>778</v>
      </c>
      <c r="AJ280" s="516" t="str">
        <f>MID('II kw.22'!W280,8,6)</f>
        <v>524902</v>
      </c>
      <c r="AK280" s="516">
        <v>1</v>
      </c>
      <c r="AL280" s="516">
        <f t="shared" si="4"/>
        <v>1</v>
      </c>
      <c r="AM280" s="516">
        <v>1</v>
      </c>
      <c r="AN280" s="28" t="s">
        <v>17650</v>
      </c>
      <c r="AO280" s="28" t="s">
        <v>17651</v>
      </c>
      <c r="AP280" s="28" t="s">
        <v>17652</v>
      </c>
      <c r="AQ280" s="28" t="s">
        <v>17653</v>
      </c>
      <c r="AR280" s="28" t="s">
        <v>1024</v>
      </c>
    </row>
    <row r="281" spans="1:44" x14ac:dyDescent="0.25">
      <c r="A281" s="28" t="s">
        <v>2401</v>
      </c>
      <c r="B281" s="28" t="s">
        <v>537</v>
      </c>
      <c r="C281" s="28" t="s">
        <v>778</v>
      </c>
      <c r="D281" s="28" t="s">
        <v>18175</v>
      </c>
      <c r="E281" s="28" t="s">
        <v>192</v>
      </c>
      <c r="F281" s="28">
        <v>1</v>
      </c>
      <c r="G281" s="28" t="s">
        <v>193</v>
      </c>
      <c r="H281" s="28" t="s">
        <v>194</v>
      </c>
      <c r="I281" s="28" t="s">
        <v>17706</v>
      </c>
      <c r="J281" s="28" t="s">
        <v>4751</v>
      </c>
      <c r="K281" s="28" t="s">
        <v>9309</v>
      </c>
      <c r="L281" s="28" t="s">
        <v>6955</v>
      </c>
      <c r="N281" s="28" t="s">
        <v>18792</v>
      </c>
      <c r="O281" s="28" t="s">
        <v>6254</v>
      </c>
      <c r="P281" s="28" t="s">
        <v>18205</v>
      </c>
      <c r="Q281" s="28" t="s">
        <v>18329</v>
      </c>
      <c r="R281" s="28" t="s">
        <v>18365</v>
      </c>
      <c r="S281" s="28" t="s">
        <v>18793</v>
      </c>
      <c r="T281" s="28" t="s">
        <v>18794</v>
      </c>
      <c r="V281" s="28" t="s">
        <v>9472</v>
      </c>
      <c r="W281" s="28" t="s">
        <v>779</v>
      </c>
      <c r="X281" s="28" t="s">
        <v>194</v>
      </c>
      <c r="Y281" s="28" t="s">
        <v>9300</v>
      </c>
      <c r="AB281" s="28" t="s">
        <v>9311</v>
      </c>
      <c r="AH281" s="28" t="s">
        <v>4714</v>
      </c>
      <c r="AI281" s="28" t="s">
        <v>778</v>
      </c>
      <c r="AJ281" s="516" t="str">
        <f>MID('II kw.22'!W281,8,6)</f>
        <v>524902</v>
      </c>
      <c r="AK281" s="516">
        <v>1</v>
      </c>
      <c r="AL281" s="516">
        <f t="shared" si="4"/>
        <v>1</v>
      </c>
      <c r="AM281" s="516">
        <v>1</v>
      </c>
      <c r="AN281" s="28" t="s">
        <v>17650</v>
      </c>
      <c r="AO281" s="28" t="s">
        <v>17651</v>
      </c>
      <c r="AP281" s="28" t="s">
        <v>17652</v>
      </c>
      <c r="AQ281" s="28" t="s">
        <v>17653</v>
      </c>
      <c r="AR281" s="28" t="s">
        <v>1024</v>
      </c>
    </row>
    <row r="282" spans="1:44" x14ac:dyDescent="0.25">
      <c r="A282" s="28" t="s">
        <v>2401</v>
      </c>
      <c r="B282" s="28" t="s">
        <v>537</v>
      </c>
      <c r="C282" s="28" t="s">
        <v>778</v>
      </c>
      <c r="D282" s="28" t="s">
        <v>18175</v>
      </c>
      <c r="E282" s="28" t="s">
        <v>192</v>
      </c>
      <c r="F282" s="28">
        <v>1</v>
      </c>
      <c r="G282" s="28" t="s">
        <v>193</v>
      </c>
      <c r="H282" s="28" t="s">
        <v>194</v>
      </c>
      <c r="I282" s="28" t="s">
        <v>17706</v>
      </c>
      <c r="J282" s="28" t="s">
        <v>210</v>
      </c>
      <c r="K282" s="28" t="s">
        <v>9309</v>
      </c>
      <c r="L282" s="28" t="s">
        <v>6955</v>
      </c>
      <c r="N282" s="28" t="s">
        <v>18795</v>
      </c>
      <c r="O282" s="28" t="s">
        <v>6254</v>
      </c>
      <c r="P282" s="28" t="s">
        <v>18205</v>
      </c>
      <c r="Q282" s="28" t="s">
        <v>18329</v>
      </c>
      <c r="R282" s="28" t="s">
        <v>18365</v>
      </c>
      <c r="S282" s="28" t="s">
        <v>18796</v>
      </c>
      <c r="T282" s="28" t="s">
        <v>18797</v>
      </c>
      <c r="V282" s="28" t="s">
        <v>9334</v>
      </c>
      <c r="W282" s="28" t="s">
        <v>779</v>
      </c>
      <c r="X282" s="28" t="s">
        <v>194</v>
      </c>
      <c r="Y282" s="28" t="s">
        <v>9300</v>
      </c>
      <c r="AB282" s="28" t="s">
        <v>9311</v>
      </c>
      <c r="AH282" s="28" t="s">
        <v>4714</v>
      </c>
      <c r="AI282" s="28" t="s">
        <v>778</v>
      </c>
      <c r="AJ282" s="516" t="str">
        <f>MID('II kw.22'!W282,8,6)</f>
        <v>524902</v>
      </c>
      <c r="AK282" s="516">
        <v>1</v>
      </c>
      <c r="AL282" s="516">
        <f t="shared" si="4"/>
        <v>1</v>
      </c>
      <c r="AM282" s="516">
        <v>1</v>
      </c>
      <c r="AN282" s="28" t="s">
        <v>17650</v>
      </c>
      <c r="AO282" s="28" t="s">
        <v>17651</v>
      </c>
      <c r="AP282" s="28" t="s">
        <v>17652</v>
      </c>
      <c r="AQ282" s="28" t="s">
        <v>17653</v>
      </c>
      <c r="AR282" s="28" t="s">
        <v>1024</v>
      </c>
    </row>
    <row r="283" spans="1:44" x14ac:dyDescent="0.25">
      <c r="A283" s="28" t="s">
        <v>17654</v>
      </c>
      <c r="B283" s="28" t="s">
        <v>1322</v>
      </c>
      <c r="C283" s="28" t="s">
        <v>3367</v>
      </c>
      <c r="D283" s="28" t="s">
        <v>18175</v>
      </c>
      <c r="E283" s="28" t="s">
        <v>192</v>
      </c>
      <c r="F283" s="28">
        <v>1</v>
      </c>
      <c r="G283" s="28" t="s">
        <v>193</v>
      </c>
      <c r="H283" s="28" t="s">
        <v>194</v>
      </c>
      <c r="I283" s="28" t="s">
        <v>17784</v>
      </c>
      <c r="J283" s="28" t="s">
        <v>9302</v>
      </c>
      <c r="K283" s="28" t="s">
        <v>9309</v>
      </c>
      <c r="L283" s="28" t="s">
        <v>6955</v>
      </c>
      <c r="N283" s="28" t="s">
        <v>18798</v>
      </c>
      <c r="O283" s="28" t="s">
        <v>6261</v>
      </c>
      <c r="P283" s="28" t="s">
        <v>18364</v>
      </c>
      <c r="Q283" s="28" t="s">
        <v>18329</v>
      </c>
      <c r="R283" s="28" t="s">
        <v>18365</v>
      </c>
      <c r="S283" s="28" t="s">
        <v>18799</v>
      </c>
      <c r="T283" s="28" t="s">
        <v>18800</v>
      </c>
      <c r="V283" s="27"/>
      <c r="W283" s="28" t="s">
        <v>3368</v>
      </c>
      <c r="X283" s="28" t="s">
        <v>193</v>
      </c>
      <c r="Y283" s="27" t="s">
        <v>9310</v>
      </c>
      <c r="AB283" s="28" t="s">
        <v>9311</v>
      </c>
      <c r="AH283" s="28" t="s">
        <v>4714</v>
      </c>
      <c r="AI283" s="138" t="s">
        <v>1322</v>
      </c>
      <c r="AJ283" s="516" t="str">
        <f>MID('II kw.22'!W283,8,6)</f>
        <v>133001</v>
      </c>
      <c r="AK283" s="516">
        <v>1</v>
      </c>
      <c r="AL283" s="516">
        <f t="shared" si="4"/>
        <v>1</v>
      </c>
      <c r="AM283" s="516">
        <v>1</v>
      </c>
      <c r="AN283" s="28" t="s">
        <v>17650</v>
      </c>
      <c r="AO283" s="28" t="s">
        <v>17651</v>
      </c>
      <c r="AP283" s="28" t="s">
        <v>17652</v>
      </c>
      <c r="AQ283" s="28" t="s">
        <v>17653</v>
      </c>
      <c r="AR283" s="28" t="s">
        <v>1024</v>
      </c>
    </row>
    <row r="284" spans="1:44" x14ac:dyDescent="0.25">
      <c r="A284" s="28" t="s">
        <v>18645</v>
      </c>
      <c r="B284" s="28" t="s">
        <v>18801</v>
      </c>
      <c r="C284" s="28" t="s">
        <v>566</v>
      </c>
      <c r="D284" s="28" t="s">
        <v>18175</v>
      </c>
      <c r="E284" s="28" t="s">
        <v>192</v>
      </c>
      <c r="F284" s="28">
        <v>1</v>
      </c>
      <c r="G284" s="28" t="s">
        <v>193</v>
      </c>
      <c r="H284" s="28" t="s">
        <v>194</v>
      </c>
      <c r="I284" s="28" t="s">
        <v>17656</v>
      </c>
      <c r="J284" s="28" t="s">
        <v>253</v>
      </c>
      <c r="K284" s="28" t="s">
        <v>9309</v>
      </c>
      <c r="L284" s="28" t="s">
        <v>6955</v>
      </c>
      <c r="N284" s="28" t="s">
        <v>18802</v>
      </c>
      <c r="O284" s="28" t="s">
        <v>6245</v>
      </c>
      <c r="P284" s="28" t="s">
        <v>18364</v>
      </c>
      <c r="Q284" s="28" t="s">
        <v>18329</v>
      </c>
      <c r="R284" s="28" t="s">
        <v>18365</v>
      </c>
      <c r="S284" s="28" t="s">
        <v>18803</v>
      </c>
      <c r="T284" s="28" t="s">
        <v>18804</v>
      </c>
      <c r="V284" s="28" t="s">
        <v>9468</v>
      </c>
      <c r="W284" s="28" t="s">
        <v>567</v>
      </c>
      <c r="X284" s="28" t="s">
        <v>194</v>
      </c>
      <c r="Y284" s="28" t="s">
        <v>9300</v>
      </c>
      <c r="AB284" s="28" t="s">
        <v>9311</v>
      </c>
      <c r="AH284" s="28" t="s">
        <v>4714</v>
      </c>
      <c r="AI284" s="28" t="s">
        <v>18801</v>
      </c>
      <c r="AJ284" s="516" t="str">
        <f>MID('II kw.22'!W284,8,6)</f>
        <v>311504</v>
      </c>
      <c r="AK284" s="516">
        <v>1</v>
      </c>
      <c r="AL284" s="516">
        <f t="shared" si="4"/>
        <v>1</v>
      </c>
      <c r="AM284" s="516">
        <v>1</v>
      </c>
      <c r="AN284" s="28" t="s">
        <v>17650</v>
      </c>
      <c r="AO284" s="28" t="s">
        <v>17651</v>
      </c>
      <c r="AP284" s="28" t="s">
        <v>17652</v>
      </c>
      <c r="AQ284" s="28" t="s">
        <v>17653</v>
      </c>
      <c r="AR284" s="28" t="s">
        <v>1024</v>
      </c>
    </row>
    <row r="285" spans="1:44" x14ac:dyDescent="0.25">
      <c r="A285" s="28" t="s">
        <v>17654</v>
      </c>
      <c r="B285" s="28" t="s">
        <v>17247</v>
      </c>
      <c r="C285" s="28" t="s">
        <v>10</v>
      </c>
      <c r="D285" s="28" t="s">
        <v>18175</v>
      </c>
      <c r="E285" s="28" t="s">
        <v>192</v>
      </c>
      <c r="F285" s="28">
        <v>1</v>
      </c>
      <c r="G285" s="28" t="s">
        <v>193</v>
      </c>
      <c r="H285" s="28" t="s">
        <v>194</v>
      </c>
      <c r="I285" s="28" t="s">
        <v>17672</v>
      </c>
      <c r="J285" s="28" t="s">
        <v>9302</v>
      </c>
      <c r="K285" s="28" t="s">
        <v>9309</v>
      </c>
      <c r="L285" s="28" t="s">
        <v>6955</v>
      </c>
      <c r="N285" s="28" t="s">
        <v>18805</v>
      </c>
      <c r="O285" s="28" t="s">
        <v>6261</v>
      </c>
      <c r="P285" s="28" t="s">
        <v>18364</v>
      </c>
      <c r="Q285" s="28" t="s">
        <v>18329</v>
      </c>
      <c r="R285" s="28" t="s">
        <v>18365</v>
      </c>
      <c r="S285" s="28" t="s">
        <v>18806</v>
      </c>
      <c r="T285" s="28" t="s">
        <v>18807</v>
      </c>
      <c r="V285" s="27"/>
      <c r="W285" s="28" t="s">
        <v>484</v>
      </c>
      <c r="X285" s="28" t="s">
        <v>193</v>
      </c>
      <c r="Y285" s="27" t="s">
        <v>9310</v>
      </c>
      <c r="AB285" s="28" t="s">
        <v>9311</v>
      </c>
      <c r="AH285" s="28" t="s">
        <v>4714</v>
      </c>
      <c r="AI285" s="28" t="s">
        <v>17247</v>
      </c>
      <c r="AJ285" s="516" t="str">
        <f>MID('II kw.22'!W285,8,6)</f>
        <v>251401</v>
      </c>
      <c r="AK285" s="516">
        <v>1</v>
      </c>
      <c r="AL285" s="516">
        <f t="shared" si="4"/>
        <v>1</v>
      </c>
      <c r="AM285" s="516">
        <v>1</v>
      </c>
      <c r="AN285" s="28" t="s">
        <v>17650</v>
      </c>
      <c r="AO285" s="28" t="s">
        <v>17651</v>
      </c>
      <c r="AP285" s="28" t="s">
        <v>17652</v>
      </c>
      <c r="AQ285" s="28" t="s">
        <v>17653</v>
      </c>
      <c r="AR285" s="28" t="s">
        <v>1024</v>
      </c>
    </row>
    <row r="286" spans="1:44" x14ac:dyDescent="0.25">
      <c r="A286" s="28" t="s">
        <v>18808</v>
      </c>
      <c r="B286" s="28" t="s">
        <v>18809</v>
      </c>
      <c r="C286" s="28" t="s">
        <v>273</v>
      </c>
      <c r="D286" s="28" t="s">
        <v>18175</v>
      </c>
      <c r="E286" s="28" t="s">
        <v>192</v>
      </c>
      <c r="F286" s="28">
        <v>1</v>
      </c>
      <c r="G286" s="28" t="s">
        <v>193</v>
      </c>
      <c r="H286" s="28" t="s">
        <v>194</v>
      </c>
      <c r="I286" s="28" t="s">
        <v>17672</v>
      </c>
      <c r="J286" s="28" t="s">
        <v>253</v>
      </c>
      <c r="K286" s="28" t="s">
        <v>9309</v>
      </c>
      <c r="L286" s="28" t="s">
        <v>6955</v>
      </c>
      <c r="N286" s="28" t="s">
        <v>18810</v>
      </c>
      <c r="O286" s="28" t="s">
        <v>6295</v>
      </c>
      <c r="P286" s="28" t="s">
        <v>18364</v>
      </c>
      <c r="Q286" s="28" t="s">
        <v>18329</v>
      </c>
      <c r="R286" s="28" t="s">
        <v>18365</v>
      </c>
      <c r="S286" s="28" t="s">
        <v>18811</v>
      </c>
      <c r="T286" s="28" t="s">
        <v>18812</v>
      </c>
      <c r="V286" s="28" t="s">
        <v>9468</v>
      </c>
      <c r="W286" s="28" t="s">
        <v>274</v>
      </c>
      <c r="X286" s="28" t="s">
        <v>194</v>
      </c>
      <c r="Y286" s="28" t="s">
        <v>9300</v>
      </c>
      <c r="AB286" s="28" t="s">
        <v>9311</v>
      </c>
      <c r="AH286" s="28" t="s">
        <v>4714</v>
      </c>
      <c r="AI286" s="28" t="s">
        <v>18809</v>
      </c>
      <c r="AJ286" s="516" t="str">
        <f>MID('II kw.22'!W286,8,6)</f>
        <v>211301</v>
      </c>
      <c r="AK286" s="516">
        <v>1</v>
      </c>
      <c r="AL286" s="516">
        <f t="shared" si="4"/>
        <v>1</v>
      </c>
      <c r="AM286" s="516">
        <v>1</v>
      </c>
      <c r="AN286" s="28" t="s">
        <v>17650</v>
      </c>
      <c r="AO286" s="28" t="s">
        <v>17651</v>
      </c>
      <c r="AP286" s="28" t="s">
        <v>17652</v>
      </c>
      <c r="AQ286" s="28" t="s">
        <v>17653</v>
      </c>
      <c r="AR286" s="28" t="s">
        <v>1024</v>
      </c>
    </row>
    <row r="287" spans="1:44" x14ac:dyDescent="0.25">
      <c r="A287" s="28" t="s">
        <v>18813</v>
      </c>
      <c r="B287" s="28" t="s">
        <v>18814</v>
      </c>
      <c r="C287" s="28" t="s">
        <v>80</v>
      </c>
      <c r="D287" s="28" t="s">
        <v>18175</v>
      </c>
      <c r="E287" s="28" t="s">
        <v>192</v>
      </c>
      <c r="F287" s="28">
        <v>1</v>
      </c>
      <c r="G287" s="28" t="s">
        <v>193</v>
      </c>
      <c r="H287" s="28" t="s">
        <v>194</v>
      </c>
      <c r="I287" s="28" t="s">
        <v>17656</v>
      </c>
      <c r="J287" s="28" t="s">
        <v>9302</v>
      </c>
      <c r="K287" s="28" t="s">
        <v>9309</v>
      </c>
      <c r="L287" s="28" t="s">
        <v>6955</v>
      </c>
      <c r="N287" s="28" t="s">
        <v>18815</v>
      </c>
      <c r="O287" s="28" t="s">
        <v>6245</v>
      </c>
      <c r="P287" s="28" t="s">
        <v>18364</v>
      </c>
      <c r="Q287" s="28" t="s">
        <v>18329</v>
      </c>
      <c r="R287" s="28" t="s">
        <v>18365</v>
      </c>
      <c r="S287" s="28" t="s">
        <v>18816</v>
      </c>
      <c r="T287" s="28" t="s">
        <v>18817</v>
      </c>
      <c r="V287" s="27"/>
      <c r="W287" s="28" t="s">
        <v>474</v>
      </c>
      <c r="X287" s="28" t="s">
        <v>193</v>
      </c>
      <c r="Y287" s="27" t="s">
        <v>9310</v>
      </c>
      <c r="AB287" s="28" t="s">
        <v>9311</v>
      </c>
      <c r="AH287" s="28" t="s">
        <v>4714</v>
      </c>
      <c r="AI287" s="28" t="s">
        <v>18814</v>
      </c>
      <c r="AJ287" s="516" t="str">
        <f>MID('II kw.22'!W287,8,6)</f>
        <v>243304</v>
      </c>
      <c r="AK287" s="516">
        <v>1</v>
      </c>
      <c r="AL287" s="516">
        <f t="shared" si="4"/>
        <v>1</v>
      </c>
      <c r="AM287" s="516">
        <v>1</v>
      </c>
      <c r="AN287" s="28" t="s">
        <v>17650</v>
      </c>
      <c r="AO287" s="28" t="s">
        <v>17651</v>
      </c>
      <c r="AP287" s="28" t="s">
        <v>17652</v>
      </c>
      <c r="AQ287" s="28" t="s">
        <v>17653</v>
      </c>
      <c r="AR287" s="28" t="s">
        <v>1024</v>
      </c>
    </row>
    <row r="288" spans="1:44" x14ac:dyDescent="0.25">
      <c r="A288" s="28" t="s">
        <v>8187</v>
      </c>
      <c r="B288" s="28" t="s">
        <v>18103</v>
      </c>
      <c r="C288" s="28" t="s">
        <v>740</v>
      </c>
      <c r="D288" s="28" t="s">
        <v>18175</v>
      </c>
      <c r="E288" s="28" t="s">
        <v>192</v>
      </c>
      <c r="F288" s="28">
        <v>1</v>
      </c>
      <c r="G288" s="28" t="s">
        <v>193</v>
      </c>
      <c r="H288" s="28" t="s">
        <v>194</v>
      </c>
      <c r="I288" s="28" t="s">
        <v>17706</v>
      </c>
      <c r="J288" s="28" t="s">
        <v>316</v>
      </c>
      <c r="K288" s="28" t="s">
        <v>9309</v>
      </c>
      <c r="L288" s="28" t="s">
        <v>6955</v>
      </c>
      <c r="N288" s="28" t="s">
        <v>18818</v>
      </c>
      <c r="O288" s="28" t="s">
        <v>6251</v>
      </c>
      <c r="P288" s="28" t="s">
        <v>18364</v>
      </c>
      <c r="Q288" s="28" t="s">
        <v>18329</v>
      </c>
      <c r="R288" s="28" t="s">
        <v>18819</v>
      </c>
      <c r="S288" s="28" t="s">
        <v>18820</v>
      </c>
      <c r="T288" s="28" t="s">
        <v>18821</v>
      </c>
      <c r="V288" s="28" t="s">
        <v>10012</v>
      </c>
      <c r="W288" s="28" t="s">
        <v>741</v>
      </c>
      <c r="X288" s="28" t="s">
        <v>194</v>
      </c>
      <c r="Y288" s="28" t="s">
        <v>9300</v>
      </c>
      <c r="AB288" s="28" t="s">
        <v>9311</v>
      </c>
      <c r="AH288" s="28" t="s">
        <v>4714</v>
      </c>
      <c r="AI288" s="28" t="s">
        <v>18103</v>
      </c>
      <c r="AJ288" s="516" t="str">
        <f>MID('II kw.22'!W288,8,6)</f>
        <v>522301</v>
      </c>
      <c r="AK288" s="516">
        <v>1</v>
      </c>
      <c r="AL288" s="516">
        <f t="shared" si="4"/>
        <v>1</v>
      </c>
      <c r="AM288" s="516">
        <v>1</v>
      </c>
      <c r="AN288" s="28" t="s">
        <v>17650</v>
      </c>
      <c r="AO288" s="28" t="s">
        <v>17651</v>
      </c>
      <c r="AP288" s="28" t="s">
        <v>17652</v>
      </c>
      <c r="AQ288" s="28" t="s">
        <v>17653</v>
      </c>
      <c r="AR288" s="28" t="s">
        <v>1024</v>
      </c>
    </row>
    <row r="289" spans="1:44" x14ac:dyDescent="0.25">
      <c r="A289" s="28" t="s">
        <v>16553</v>
      </c>
      <c r="B289" s="28" t="s">
        <v>18822</v>
      </c>
      <c r="C289" s="28" t="s">
        <v>17</v>
      </c>
      <c r="D289" s="28" t="s">
        <v>18175</v>
      </c>
      <c r="E289" s="28" t="s">
        <v>192</v>
      </c>
      <c r="F289" s="28">
        <v>1</v>
      </c>
      <c r="G289" s="28" t="s">
        <v>193</v>
      </c>
      <c r="H289" s="28" t="s">
        <v>194</v>
      </c>
      <c r="I289" s="28" t="s">
        <v>17784</v>
      </c>
      <c r="J289" s="28" t="s">
        <v>210</v>
      </c>
      <c r="K289" s="28" t="s">
        <v>9309</v>
      </c>
      <c r="L289" s="28" t="s">
        <v>6955</v>
      </c>
      <c r="N289" s="28" t="s">
        <v>18823</v>
      </c>
      <c r="O289" s="28" t="s">
        <v>6254</v>
      </c>
      <c r="P289" s="28" t="s">
        <v>18364</v>
      </c>
      <c r="Q289" s="28" t="s">
        <v>18329</v>
      </c>
      <c r="R289" s="28" t="s">
        <v>18365</v>
      </c>
      <c r="S289" s="28" t="s">
        <v>18824</v>
      </c>
      <c r="T289" s="28" t="s">
        <v>18825</v>
      </c>
      <c r="V289" s="28" t="s">
        <v>9334</v>
      </c>
      <c r="W289" s="28" t="s">
        <v>624</v>
      </c>
      <c r="X289" s="28" t="s">
        <v>194</v>
      </c>
      <c r="Y289" s="28" t="s">
        <v>9300</v>
      </c>
      <c r="AB289" s="28" t="s">
        <v>9311</v>
      </c>
      <c r="AH289" s="28" t="s">
        <v>4714</v>
      </c>
      <c r="AI289" s="28" t="s">
        <v>18822</v>
      </c>
      <c r="AJ289" s="516" t="str">
        <f>MID('II kw.22'!W289,8,6)</f>
        <v>332203</v>
      </c>
      <c r="AK289" s="516">
        <v>1</v>
      </c>
      <c r="AL289" s="516">
        <f t="shared" si="4"/>
        <v>1</v>
      </c>
      <c r="AM289" s="516">
        <v>1</v>
      </c>
      <c r="AN289" s="28" t="s">
        <v>17650</v>
      </c>
      <c r="AO289" s="28" t="s">
        <v>17651</v>
      </c>
      <c r="AP289" s="28" t="s">
        <v>17652</v>
      </c>
      <c r="AQ289" s="28" t="s">
        <v>17653</v>
      </c>
      <c r="AR289" s="28" t="s">
        <v>1024</v>
      </c>
    </row>
    <row r="290" spans="1:44" x14ac:dyDescent="0.25">
      <c r="A290" s="28" t="s">
        <v>1959</v>
      </c>
      <c r="B290" s="28" t="s">
        <v>17037</v>
      </c>
      <c r="C290" s="28" t="s">
        <v>163</v>
      </c>
      <c r="D290" s="28" t="s">
        <v>18175</v>
      </c>
      <c r="E290" s="28" t="s">
        <v>192</v>
      </c>
      <c r="F290" s="28">
        <v>1</v>
      </c>
      <c r="G290" s="28" t="s">
        <v>193</v>
      </c>
      <c r="H290" s="28" t="s">
        <v>194</v>
      </c>
      <c r="I290" s="28" t="s">
        <v>17759</v>
      </c>
      <c r="J290" s="28" t="s">
        <v>9302</v>
      </c>
      <c r="K290" s="28" t="s">
        <v>9309</v>
      </c>
      <c r="L290" s="28" t="s">
        <v>6955</v>
      </c>
      <c r="N290" s="28" t="s">
        <v>18826</v>
      </c>
      <c r="O290" s="28" t="s">
        <v>6921</v>
      </c>
      <c r="P290" s="28" t="s">
        <v>18364</v>
      </c>
      <c r="Q290" s="28" t="s">
        <v>18329</v>
      </c>
      <c r="R290" s="28" t="s">
        <v>18365</v>
      </c>
      <c r="S290" s="28" t="s">
        <v>18827</v>
      </c>
      <c r="T290" s="28" t="s">
        <v>18828</v>
      </c>
      <c r="V290" s="27"/>
      <c r="W290" s="28" t="s">
        <v>697</v>
      </c>
      <c r="X290" s="28" t="s">
        <v>193</v>
      </c>
      <c r="Y290" s="27" t="s">
        <v>9310</v>
      </c>
      <c r="AB290" s="28" t="s">
        <v>9311</v>
      </c>
      <c r="AH290" s="28" t="s">
        <v>4714</v>
      </c>
      <c r="AI290" s="28" t="s">
        <v>17037</v>
      </c>
      <c r="AJ290" s="516" t="str">
        <f>MID('II kw.22'!W290,8,6)</f>
        <v>351203</v>
      </c>
      <c r="AK290" s="516">
        <v>1</v>
      </c>
      <c r="AL290" s="516">
        <f t="shared" si="4"/>
        <v>1</v>
      </c>
      <c r="AM290" s="516">
        <v>1</v>
      </c>
      <c r="AN290" s="28" t="s">
        <v>17650</v>
      </c>
      <c r="AO290" s="28" t="s">
        <v>17651</v>
      </c>
      <c r="AP290" s="28" t="s">
        <v>17652</v>
      </c>
      <c r="AQ290" s="28" t="s">
        <v>17653</v>
      </c>
      <c r="AR290" s="28" t="s">
        <v>1024</v>
      </c>
    </row>
    <row r="291" spans="1:44" x14ac:dyDescent="0.25">
      <c r="A291" s="28" t="s">
        <v>13415</v>
      </c>
      <c r="B291" s="28" t="s">
        <v>18829</v>
      </c>
      <c r="C291" s="28" t="s">
        <v>18830</v>
      </c>
      <c r="D291" s="28" t="s">
        <v>18175</v>
      </c>
      <c r="E291" s="28" t="s">
        <v>192</v>
      </c>
      <c r="F291" s="28">
        <v>1</v>
      </c>
      <c r="G291" s="28" t="s">
        <v>193</v>
      </c>
      <c r="H291" s="28" t="s">
        <v>194</v>
      </c>
      <c r="I291" s="28" t="s">
        <v>17672</v>
      </c>
      <c r="J291" s="28" t="s">
        <v>826</v>
      </c>
      <c r="K291" s="28" t="s">
        <v>9309</v>
      </c>
      <c r="L291" s="28" t="s">
        <v>6955</v>
      </c>
      <c r="N291" s="28" t="s">
        <v>18831</v>
      </c>
      <c r="O291" s="28" t="s">
        <v>6258</v>
      </c>
      <c r="P291" s="28" t="s">
        <v>18364</v>
      </c>
      <c r="Q291" s="28" t="s">
        <v>18329</v>
      </c>
      <c r="R291" s="28" t="s">
        <v>18365</v>
      </c>
      <c r="S291" s="28" t="s">
        <v>18832</v>
      </c>
      <c r="T291" s="28" t="s">
        <v>18833</v>
      </c>
      <c r="V291" s="28" t="s">
        <v>9726</v>
      </c>
      <c r="W291" s="28" t="s">
        <v>18834</v>
      </c>
      <c r="X291" s="28" t="s">
        <v>194</v>
      </c>
      <c r="Y291" s="28" t="s">
        <v>9300</v>
      </c>
      <c r="AB291" s="28" t="s">
        <v>9311</v>
      </c>
      <c r="AH291" s="28" t="s">
        <v>4714</v>
      </c>
      <c r="AI291" s="28" t="s">
        <v>18829</v>
      </c>
      <c r="AJ291" s="516" t="str">
        <f>MID('II kw.22'!W291,8,6)</f>
        <v>215302</v>
      </c>
      <c r="AK291" s="516">
        <v>1</v>
      </c>
      <c r="AL291" s="516">
        <f t="shared" si="4"/>
        <v>1</v>
      </c>
      <c r="AM291" s="516">
        <v>1</v>
      </c>
      <c r="AN291" s="28" t="s">
        <v>17650</v>
      </c>
      <c r="AO291" s="28" t="s">
        <v>17651</v>
      </c>
      <c r="AP291" s="28" t="s">
        <v>17652</v>
      </c>
      <c r="AQ291" s="28" t="s">
        <v>17653</v>
      </c>
      <c r="AR291" s="28" t="s">
        <v>1024</v>
      </c>
    </row>
    <row r="292" spans="1:44" x14ac:dyDescent="0.25">
      <c r="A292" s="28" t="s">
        <v>16063</v>
      </c>
      <c r="B292" s="28" t="s">
        <v>18835</v>
      </c>
      <c r="C292" s="28" t="s">
        <v>227</v>
      </c>
      <c r="D292" s="28" t="s">
        <v>18175</v>
      </c>
      <c r="E292" s="28" t="s">
        <v>192</v>
      </c>
      <c r="F292" s="28">
        <v>1</v>
      </c>
      <c r="G292" s="28" t="s">
        <v>193</v>
      </c>
      <c r="H292" s="28" t="s">
        <v>194</v>
      </c>
      <c r="I292" s="28" t="s">
        <v>17672</v>
      </c>
      <c r="J292" s="28" t="s">
        <v>672</v>
      </c>
      <c r="K292" s="28" t="s">
        <v>9309</v>
      </c>
      <c r="L292" s="28" t="s">
        <v>6955</v>
      </c>
      <c r="N292" s="28" t="s">
        <v>18836</v>
      </c>
      <c r="O292" s="28" t="s">
        <v>6266</v>
      </c>
      <c r="P292" s="28" t="s">
        <v>18364</v>
      </c>
      <c r="Q292" s="28" t="s">
        <v>18329</v>
      </c>
      <c r="R292" s="28" t="s">
        <v>18365</v>
      </c>
      <c r="S292" s="28" t="s">
        <v>18837</v>
      </c>
      <c r="T292" s="28" t="s">
        <v>18838</v>
      </c>
      <c r="V292" s="28" t="s">
        <v>9726</v>
      </c>
      <c r="W292" s="28" t="s">
        <v>229</v>
      </c>
      <c r="X292" s="28" t="s">
        <v>194</v>
      </c>
      <c r="Y292" s="28" t="s">
        <v>9300</v>
      </c>
      <c r="AB292" s="28" t="s">
        <v>9311</v>
      </c>
      <c r="AH292" s="28" t="s">
        <v>4714</v>
      </c>
      <c r="AI292" s="138" t="s">
        <v>18835</v>
      </c>
      <c r="AJ292" s="516" t="str">
        <f>MID('II kw.22'!W292,8,6)</f>
        <v>132401</v>
      </c>
      <c r="AK292" s="516">
        <v>1</v>
      </c>
      <c r="AL292" s="516">
        <f t="shared" si="4"/>
        <v>1</v>
      </c>
      <c r="AM292" s="516">
        <v>1</v>
      </c>
      <c r="AN292" s="28" t="s">
        <v>17650</v>
      </c>
      <c r="AO292" s="28" t="s">
        <v>17651</v>
      </c>
      <c r="AP292" s="28" t="s">
        <v>17652</v>
      </c>
      <c r="AQ292" s="28" t="s">
        <v>17653</v>
      </c>
      <c r="AR292" s="28" t="s">
        <v>1024</v>
      </c>
    </row>
    <row r="293" spans="1:44" x14ac:dyDescent="0.25">
      <c r="A293" s="28" t="s">
        <v>2656</v>
      </c>
      <c r="B293" s="28" t="s">
        <v>18839</v>
      </c>
      <c r="C293" s="28" t="s">
        <v>5440</v>
      </c>
      <c r="D293" s="28" t="s">
        <v>18175</v>
      </c>
      <c r="E293" s="28" t="s">
        <v>192</v>
      </c>
      <c r="F293" s="28">
        <v>1</v>
      </c>
      <c r="G293" s="28" t="s">
        <v>193</v>
      </c>
      <c r="H293" s="28" t="s">
        <v>194</v>
      </c>
      <c r="I293" s="28" t="s">
        <v>17672</v>
      </c>
      <c r="J293" s="28" t="s">
        <v>210</v>
      </c>
      <c r="K293" s="28" t="s">
        <v>9309</v>
      </c>
      <c r="L293" s="28" t="s">
        <v>6955</v>
      </c>
      <c r="N293" s="28" t="s">
        <v>18840</v>
      </c>
      <c r="O293" s="28" t="s">
        <v>6245</v>
      </c>
      <c r="P293" s="28" t="s">
        <v>18364</v>
      </c>
      <c r="Q293" s="28" t="s">
        <v>18329</v>
      </c>
      <c r="R293" s="28" t="s">
        <v>18365</v>
      </c>
      <c r="S293" s="28" t="s">
        <v>18841</v>
      </c>
      <c r="T293" s="28" t="s">
        <v>18842</v>
      </c>
      <c r="V293" s="28" t="s">
        <v>9334</v>
      </c>
      <c r="W293" s="28" t="s">
        <v>310</v>
      </c>
      <c r="X293" s="28" t="s">
        <v>194</v>
      </c>
      <c r="Y293" s="28" t="s">
        <v>9300</v>
      </c>
      <c r="AB293" s="28" t="s">
        <v>9311</v>
      </c>
      <c r="AH293" s="509" t="s">
        <v>5109</v>
      </c>
      <c r="AI293" s="28" t="s">
        <v>18839</v>
      </c>
      <c r="AJ293" s="516" t="str">
        <f>MID('II kw.22'!W293,8,6)</f>
        <v>214404</v>
      </c>
      <c r="AK293" s="516">
        <v>1</v>
      </c>
      <c r="AL293" s="516">
        <f t="shared" si="4"/>
        <v>1</v>
      </c>
      <c r="AM293" s="516">
        <v>1</v>
      </c>
      <c r="AN293" s="28" t="s">
        <v>17650</v>
      </c>
      <c r="AO293" s="28" t="s">
        <v>17651</v>
      </c>
      <c r="AP293" s="28" t="s">
        <v>17652</v>
      </c>
      <c r="AQ293" s="28" t="s">
        <v>17653</v>
      </c>
      <c r="AR293" s="28" t="s">
        <v>1024</v>
      </c>
    </row>
    <row r="294" spans="1:44" x14ac:dyDescent="0.25">
      <c r="A294" s="28" t="s">
        <v>1544</v>
      </c>
      <c r="B294" s="28" t="s">
        <v>18843</v>
      </c>
      <c r="C294" s="28" t="s">
        <v>5326</v>
      </c>
      <c r="D294" s="28" t="s">
        <v>18175</v>
      </c>
      <c r="E294" s="28" t="s">
        <v>192</v>
      </c>
      <c r="F294" s="28">
        <v>1</v>
      </c>
      <c r="G294" s="28" t="s">
        <v>193</v>
      </c>
      <c r="H294" s="28" t="s">
        <v>194</v>
      </c>
      <c r="I294" s="28" t="s">
        <v>17672</v>
      </c>
      <c r="J294" s="28" t="s">
        <v>309</v>
      </c>
      <c r="K294" s="28" t="s">
        <v>9309</v>
      </c>
      <c r="L294" s="28" t="s">
        <v>6955</v>
      </c>
      <c r="N294" s="28" t="s">
        <v>18844</v>
      </c>
      <c r="O294" s="28" t="s">
        <v>6279</v>
      </c>
      <c r="P294" s="28" t="s">
        <v>18364</v>
      </c>
      <c r="Q294" s="28" t="s">
        <v>18329</v>
      </c>
      <c r="R294" s="28" t="s">
        <v>18365</v>
      </c>
      <c r="S294" s="28" t="s">
        <v>18845</v>
      </c>
      <c r="T294" s="28" t="s">
        <v>18846</v>
      </c>
      <c r="V294" s="28" t="s">
        <v>9518</v>
      </c>
      <c r="W294" s="28" t="s">
        <v>584</v>
      </c>
      <c r="X294" s="28" t="s">
        <v>194</v>
      </c>
      <c r="Y294" s="28" t="s">
        <v>9300</v>
      </c>
      <c r="AB294" s="28" t="s">
        <v>9311</v>
      </c>
      <c r="AH294" s="28" t="s">
        <v>4714</v>
      </c>
      <c r="AI294" s="28" t="s">
        <v>18843</v>
      </c>
      <c r="AJ294" s="516" t="str">
        <f>MID('II kw.22'!W294,8,6)</f>
        <v>311937</v>
      </c>
      <c r="AK294" s="516">
        <v>1</v>
      </c>
      <c r="AL294" s="516">
        <f t="shared" si="4"/>
        <v>1</v>
      </c>
      <c r="AM294" s="516">
        <v>1</v>
      </c>
      <c r="AN294" s="28" t="s">
        <v>17650</v>
      </c>
      <c r="AO294" s="28" t="s">
        <v>17651</v>
      </c>
      <c r="AP294" s="28" t="s">
        <v>17652</v>
      </c>
      <c r="AQ294" s="28" t="s">
        <v>17653</v>
      </c>
      <c r="AR294" s="28" t="s">
        <v>1024</v>
      </c>
    </row>
    <row r="295" spans="1:44" x14ac:dyDescent="0.25">
      <c r="A295" s="28" t="s">
        <v>1084</v>
      </c>
      <c r="B295" s="28" t="s">
        <v>8</v>
      </c>
      <c r="C295" s="28" t="s">
        <v>740</v>
      </c>
      <c r="D295" s="28" t="s">
        <v>18175</v>
      </c>
      <c r="E295" s="28" t="s">
        <v>192</v>
      </c>
      <c r="F295" s="28">
        <v>1</v>
      </c>
      <c r="G295" s="28" t="s">
        <v>193</v>
      </c>
      <c r="H295" s="28" t="s">
        <v>194</v>
      </c>
      <c r="I295" s="28" t="s">
        <v>17706</v>
      </c>
      <c r="J295" s="28" t="s">
        <v>210</v>
      </c>
      <c r="K295" s="28" t="s">
        <v>9309</v>
      </c>
      <c r="L295" s="28" t="s">
        <v>6955</v>
      </c>
      <c r="N295" s="28" t="s">
        <v>18847</v>
      </c>
      <c r="O295" s="28" t="s">
        <v>6251</v>
      </c>
      <c r="P295" s="28" t="s">
        <v>18364</v>
      </c>
      <c r="Q295" s="28" t="s">
        <v>18329</v>
      </c>
      <c r="R295" s="28" t="s">
        <v>18365</v>
      </c>
      <c r="S295" s="28" t="s">
        <v>18848</v>
      </c>
      <c r="T295" s="28" t="s">
        <v>18849</v>
      </c>
      <c r="V295" s="28" t="s">
        <v>9334</v>
      </c>
      <c r="W295" s="28" t="s">
        <v>741</v>
      </c>
      <c r="X295" s="28" t="s">
        <v>194</v>
      </c>
      <c r="Y295" s="28" t="s">
        <v>9300</v>
      </c>
      <c r="AB295" s="28" t="s">
        <v>9311</v>
      </c>
      <c r="AH295" s="28" t="s">
        <v>4714</v>
      </c>
      <c r="AI295" s="28" t="s">
        <v>8</v>
      </c>
      <c r="AJ295" s="516" t="str">
        <f>MID('II kw.22'!W295,8,6)</f>
        <v>522301</v>
      </c>
      <c r="AK295" s="516">
        <v>1</v>
      </c>
      <c r="AL295" s="518">
        <f>SUM(F295)</f>
        <v>1</v>
      </c>
      <c r="AM295" s="516">
        <v>1</v>
      </c>
      <c r="AN295" s="28" t="s">
        <v>17650</v>
      </c>
      <c r="AO295" s="28" t="s">
        <v>17651</v>
      </c>
      <c r="AP295" s="28" t="s">
        <v>17652</v>
      </c>
      <c r="AQ295" s="28" t="s">
        <v>17653</v>
      </c>
      <c r="AR295" s="28" t="s">
        <v>1024</v>
      </c>
    </row>
    <row r="296" spans="1:44" x14ac:dyDescent="0.25">
      <c r="A296" s="28" t="s">
        <v>10606</v>
      </c>
      <c r="B296" s="28" t="s">
        <v>18850</v>
      </c>
      <c r="C296" s="28" t="s">
        <v>18851</v>
      </c>
      <c r="D296" s="28" t="s">
        <v>18175</v>
      </c>
      <c r="E296" s="28" t="s">
        <v>192</v>
      </c>
      <c r="F296" s="28">
        <v>1</v>
      </c>
      <c r="G296" s="28" t="s">
        <v>193</v>
      </c>
      <c r="H296" s="28" t="s">
        <v>194</v>
      </c>
      <c r="I296" s="28" t="s">
        <v>17672</v>
      </c>
      <c r="J296" s="28" t="s">
        <v>755</v>
      </c>
      <c r="K296" s="28" t="s">
        <v>9309</v>
      </c>
      <c r="L296" s="28" t="s">
        <v>6955</v>
      </c>
      <c r="N296" s="28" t="s">
        <v>18852</v>
      </c>
      <c r="O296" s="28" t="s">
        <v>6295</v>
      </c>
      <c r="P296" s="28" t="s">
        <v>18364</v>
      </c>
      <c r="Q296" s="28" t="s">
        <v>18329</v>
      </c>
      <c r="R296" s="28" t="s">
        <v>18365</v>
      </c>
      <c r="S296" s="28" t="s">
        <v>18853</v>
      </c>
      <c r="T296" s="28" t="s">
        <v>18854</v>
      </c>
      <c r="V296" s="28" t="s">
        <v>9726</v>
      </c>
      <c r="W296" s="28" t="s">
        <v>18855</v>
      </c>
      <c r="X296" s="28" t="s">
        <v>194</v>
      </c>
      <c r="Y296" s="28" t="s">
        <v>9300</v>
      </c>
      <c r="AB296" s="28" t="s">
        <v>9311</v>
      </c>
      <c r="AH296" s="509" t="s">
        <v>5109</v>
      </c>
      <c r="AI296" s="28" t="s">
        <v>18850</v>
      </c>
      <c r="AJ296" s="516" t="str">
        <f>MID('II kw.22'!W296,8,6)</f>
        <v>311602</v>
      </c>
      <c r="AK296" s="516">
        <v>1</v>
      </c>
      <c r="AL296" s="516">
        <f t="shared" si="4"/>
        <v>1</v>
      </c>
      <c r="AM296" s="516">
        <v>1</v>
      </c>
      <c r="AN296" s="28" t="s">
        <v>17650</v>
      </c>
      <c r="AO296" s="28" t="s">
        <v>17651</v>
      </c>
      <c r="AP296" s="28" t="s">
        <v>17652</v>
      </c>
      <c r="AQ296" s="28" t="s">
        <v>17653</v>
      </c>
      <c r="AR296" s="28" t="s">
        <v>1024</v>
      </c>
    </row>
    <row r="297" spans="1:44" x14ac:dyDescent="0.25">
      <c r="A297" s="28" t="s">
        <v>13415</v>
      </c>
      <c r="B297" s="28" t="s">
        <v>18856</v>
      </c>
      <c r="C297" s="28" t="s">
        <v>163</v>
      </c>
      <c r="D297" s="28" t="s">
        <v>18175</v>
      </c>
      <c r="E297" s="28" t="s">
        <v>192</v>
      </c>
      <c r="F297" s="28">
        <v>1</v>
      </c>
      <c r="G297" s="28" t="s">
        <v>193</v>
      </c>
      <c r="H297" s="28" t="s">
        <v>194</v>
      </c>
      <c r="I297" s="28" t="s">
        <v>17672</v>
      </c>
      <c r="J297" s="28" t="s">
        <v>826</v>
      </c>
      <c r="K297" s="28" t="s">
        <v>9309</v>
      </c>
      <c r="L297" s="28" t="s">
        <v>6955</v>
      </c>
      <c r="N297" s="28" t="s">
        <v>18857</v>
      </c>
      <c r="O297" s="28" t="s">
        <v>6275</v>
      </c>
      <c r="P297" s="28" t="s">
        <v>18364</v>
      </c>
      <c r="Q297" s="28" t="s">
        <v>18329</v>
      </c>
      <c r="R297" s="28" t="s">
        <v>18365</v>
      </c>
      <c r="S297" s="28" t="s">
        <v>18858</v>
      </c>
      <c r="T297" s="28" t="s">
        <v>18859</v>
      </c>
      <c r="V297" s="28" t="s">
        <v>9726</v>
      </c>
      <c r="W297" s="28" t="s">
        <v>697</v>
      </c>
      <c r="X297" s="28" t="s">
        <v>194</v>
      </c>
      <c r="Y297" s="28" t="s">
        <v>9300</v>
      </c>
      <c r="AB297" s="28" t="s">
        <v>9311</v>
      </c>
      <c r="AH297" s="28" t="s">
        <v>4714</v>
      </c>
      <c r="AI297" s="28" t="s">
        <v>18856</v>
      </c>
      <c r="AJ297" s="516" t="str">
        <f>MID('II kw.22'!W297,8,6)</f>
        <v>351203</v>
      </c>
      <c r="AK297" s="516">
        <v>1</v>
      </c>
      <c r="AL297" s="516">
        <f t="shared" si="4"/>
        <v>1</v>
      </c>
      <c r="AM297" s="516">
        <v>1</v>
      </c>
      <c r="AN297" s="28" t="s">
        <v>17650</v>
      </c>
      <c r="AO297" s="28" t="s">
        <v>17651</v>
      </c>
      <c r="AP297" s="28" t="s">
        <v>17652</v>
      </c>
      <c r="AQ297" s="28" t="s">
        <v>17653</v>
      </c>
      <c r="AR297" s="28" t="s">
        <v>1024</v>
      </c>
    </row>
    <row r="298" spans="1:44" x14ac:dyDescent="0.25">
      <c r="A298" s="28" t="s">
        <v>8074</v>
      </c>
      <c r="B298" s="28" t="s">
        <v>16658</v>
      </c>
      <c r="C298" s="28" t="s">
        <v>10</v>
      </c>
      <c r="D298" s="28" t="s">
        <v>18175</v>
      </c>
      <c r="E298" s="28" t="s">
        <v>192</v>
      </c>
      <c r="F298" s="28">
        <v>1</v>
      </c>
      <c r="G298" s="28" t="s">
        <v>193</v>
      </c>
      <c r="H298" s="28" t="s">
        <v>194</v>
      </c>
      <c r="I298" s="28" t="s">
        <v>17672</v>
      </c>
      <c r="J298" s="28" t="s">
        <v>210</v>
      </c>
      <c r="K298" s="28" t="s">
        <v>9309</v>
      </c>
      <c r="L298" s="28" t="s">
        <v>6955</v>
      </c>
      <c r="N298" s="28" t="s">
        <v>18860</v>
      </c>
      <c r="O298" s="28" t="s">
        <v>6261</v>
      </c>
      <c r="P298" s="28" t="s">
        <v>18364</v>
      </c>
      <c r="Q298" s="28" t="s">
        <v>18329</v>
      </c>
      <c r="R298" s="28" t="s">
        <v>18365</v>
      </c>
      <c r="S298" s="28" t="s">
        <v>18861</v>
      </c>
      <c r="T298" s="28" t="s">
        <v>18862</v>
      </c>
      <c r="V298" s="28" t="s">
        <v>9334</v>
      </c>
      <c r="W298" s="28" t="s">
        <v>484</v>
      </c>
      <c r="X298" s="28" t="s">
        <v>194</v>
      </c>
      <c r="Y298" s="28" t="s">
        <v>9300</v>
      </c>
      <c r="AB298" s="28" t="s">
        <v>9311</v>
      </c>
      <c r="AH298" s="28" t="s">
        <v>4714</v>
      </c>
      <c r="AI298" s="28" t="s">
        <v>16658</v>
      </c>
      <c r="AJ298" s="516" t="str">
        <f>MID('II kw.22'!W298,8,6)</f>
        <v>251401</v>
      </c>
      <c r="AK298" s="516">
        <v>1</v>
      </c>
      <c r="AL298" s="516">
        <f t="shared" si="4"/>
        <v>1</v>
      </c>
      <c r="AM298" s="516">
        <v>1</v>
      </c>
      <c r="AN298" s="28" t="s">
        <v>17650</v>
      </c>
      <c r="AO298" s="28" t="s">
        <v>17651</v>
      </c>
      <c r="AP298" s="28" t="s">
        <v>17652</v>
      </c>
      <c r="AQ298" s="28" t="s">
        <v>17653</v>
      </c>
      <c r="AR298" s="28" t="s">
        <v>1024</v>
      </c>
    </row>
    <row r="299" spans="1:44" x14ac:dyDescent="0.25">
      <c r="A299" s="28" t="s">
        <v>18863</v>
      </c>
      <c r="B299" s="28" t="s">
        <v>18864</v>
      </c>
      <c r="C299" s="28" t="s">
        <v>16313</v>
      </c>
      <c r="D299" s="28" t="s">
        <v>18175</v>
      </c>
      <c r="E299" s="28" t="s">
        <v>192</v>
      </c>
      <c r="F299" s="28">
        <v>1</v>
      </c>
      <c r="G299" s="28" t="s">
        <v>193</v>
      </c>
      <c r="H299" s="28" t="s">
        <v>194</v>
      </c>
      <c r="I299" s="28" t="s">
        <v>17672</v>
      </c>
      <c r="J299" s="28" t="s">
        <v>210</v>
      </c>
      <c r="K299" s="28" t="s">
        <v>9309</v>
      </c>
      <c r="L299" s="28" t="s">
        <v>6955</v>
      </c>
      <c r="N299" s="28" t="s">
        <v>18865</v>
      </c>
      <c r="O299" s="28" t="s">
        <v>7531</v>
      </c>
      <c r="P299" s="28" t="s">
        <v>18364</v>
      </c>
      <c r="Q299" s="28" t="s">
        <v>18329</v>
      </c>
      <c r="R299" s="28" t="s">
        <v>18365</v>
      </c>
      <c r="S299" s="28" t="s">
        <v>18866</v>
      </c>
      <c r="T299" s="28" t="s">
        <v>18867</v>
      </c>
      <c r="V299" s="28" t="s">
        <v>9334</v>
      </c>
      <c r="W299" s="28" t="s">
        <v>16311</v>
      </c>
      <c r="X299" s="28" t="s">
        <v>194</v>
      </c>
      <c r="Y299" s="28" t="s">
        <v>9300</v>
      </c>
      <c r="AB299" s="28" t="s">
        <v>9311</v>
      </c>
      <c r="AH299" s="509" t="s">
        <v>5109</v>
      </c>
      <c r="AI299" s="28" t="s">
        <v>18864</v>
      </c>
      <c r="AJ299" s="516" t="str">
        <f>MID('II kw.22'!W299,8,6)</f>
        <v>524101</v>
      </c>
      <c r="AK299" s="516">
        <v>1</v>
      </c>
      <c r="AL299" s="516">
        <f t="shared" si="4"/>
        <v>1</v>
      </c>
      <c r="AM299" s="516">
        <v>1</v>
      </c>
      <c r="AN299" s="28" t="s">
        <v>17650</v>
      </c>
      <c r="AO299" s="28" t="s">
        <v>17651</v>
      </c>
      <c r="AP299" s="28" t="s">
        <v>17652</v>
      </c>
      <c r="AQ299" s="28" t="s">
        <v>17653</v>
      </c>
      <c r="AR299" s="28" t="s">
        <v>1024</v>
      </c>
    </row>
    <row r="300" spans="1:44" x14ac:dyDescent="0.25">
      <c r="A300" s="28" t="s">
        <v>14121</v>
      </c>
      <c r="B300" s="28" t="s">
        <v>18868</v>
      </c>
      <c r="C300" s="28" t="s">
        <v>1492</v>
      </c>
      <c r="D300" s="28" t="s">
        <v>18175</v>
      </c>
      <c r="E300" s="28" t="s">
        <v>192</v>
      </c>
      <c r="F300" s="28">
        <v>1</v>
      </c>
      <c r="G300" s="28" t="s">
        <v>193</v>
      </c>
      <c r="H300" s="28" t="s">
        <v>194</v>
      </c>
      <c r="I300" s="28" t="s">
        <v>17656</v>
      </c>
      <c r="J300" s="28" t="s">
        <v>9302</v>
      </c>
      <c r="K300" s="28" t="s">
        <v>9309</v>
      </c>
      <c r="L300" s="28" t="s">
        <v>6955</v>
      </c>
      <c r="N300" s="28" t="s">
        <v>18869</v>
      </c>
      <c r="O300" s="28" t="s">
        <v>7531</v>
      </c>
      <c r="P300" s="28" t="s">
        <v>18364</v>
      </c>
      <c r="Q300" s="28" t="s">
        <v>18329</v>
      </c>
      <c r="R300" s="28" t="s">
        <v>18365</v>
      </c>
      <c r="S300" s="28" t="s">
        <v>18870</v>
      </c>
      <c r="T300" s="28" t="s">
        <v>18871</v>
      </c>
      <c r="V300" s="27"/>
      <c r="W300" s="28" t="s">
        <v>1493</v>
      </c>
      <c r="X300" s="28" t="s">
        <v>193</v>
      </c>
      <c r="Y300" s="27" t="s">
        <v>9310</v>
      </c>
      <c r="AB300" s="28" t="s">
        <v>9311</v>
      </c>
      <c r="AH300" s="28" t="s">
        <v>4714</v>
      </c>
      <c r="AI300" s="28" t="s">
        <v>18868</v>
      </c>
      <c r="AJ300" s="516" t="str">
        <f>MID('II kw.22'!W300,8,6)</f>
        <v>214104</v>
      </c>
      <c r="AK300" s="516">
        <v>1</v>
      </c>
      <c r="AL300" s="516">
        <f t="shared" si="4"/>
        <v>1</v>
      </c>
      <c r="AM300" s="516">
        <v>1</v>
      </c>
      <c r="AN300" s="28" t="s">
        <v>17650</v>
      </c>
      <c r="AO300" s="28" t="s">
        <v>17651</v>
      </c>
      <c r="AP300" s="28" t="s">
        <v>17652</v>
      </c>
      <c r="AQ300" s="28" t="s">
        <v>17653</v>
      </c>
      <c r="AR300" s="28" t="s">
        <v>1024</v>
      </c>
    </row>
    <row r="301" spans="1:44" x14ac:dyDescent="0.25">
      <c r="A301" s="28" t="s">
        <v>18872</v>
      </c>
      <c r="B301" s="28" t="s">
        <v>18873</v>
      </c>
      <c r="C301" s="28" t="s">
        <v>12</v>
      </c>
      <c r="D301" s="28" t="s">
        <v>18175</v>
      </c>
      <c r="E301" s="28" t="s">
        <v>192</v>
      </c>
      <c r="F301" s="28">
        <v>1</v>
      </c>
      <c r="G301" s="28" t="s">
        <v>193</v>
      </c>
      <c r="H301" s="28" t="s">
        <v>194</v>
      </c>
      <c r="I301" s="28" t="s">
        <v>17784</v>
      </c>
      <c r="J301" s="28" t="s">
        <v>9302</v>
      </c>
      <c r="K301" s="28" t="s">
        <v>9309</v>
      </c>
      <c r="L301" s="28" t="s">
        <v>6955</v>
      </c>
      <c r="N301" s="28" t="s">
        <v>18874</v>
      </c>
      <c r="O301" s="28" t="s">
        <v>6324</v>
      </c>
      <c r="P301" s="28" t="s">
        <v>18364</v>
      </c>
      <c r="Q301" s="28" t="s">
        <v>18329</v>
      </c>
      <c r="R301" s="28" t="s">
        <v>18365</v>
      </c>
      <c r="S301" s="28" t="s">
        <v>18875</v>
      </c>
      <c r="T301" s="28" t="s">
        <v>18876</v>
      </c>
      <c r="V301" s="27"/>
      <c r="W301" s="28" t="s">
        <v>220</v>
      </c>
      <c r="X301" s="28" t="s">
        <v>193</v>
      </c>
      <c r="Y301" s="27" t="s">
        <v>9310</v>
      </c>
      <c r="AB301" s="28" t="s">
        <v>9311</v>
      </c>
      <c r="AH301" s="28" t="s">
        <v>4714</v>
      </c>
      <c r="AI301" s="138" t="s">
        <v>18873</v>
      </c>
      <c r="AJ301" s="516" t="str">
        <f>MID('II kw.22'!W301,8,6)</f>
        <v>132301</v>
      </c>
      <c r="AK301" s="516">
        <v>1</v>
      </c>
      <c r="AL301" s="516">
        <f t="shared" si="4"/>
        <v>1</v>
      </c>
      <c r="AM301" s="516">
        <v>1</v>
      </c>
      <c r="AN301" s="28" t="s">
        <v>17650</v>
      </c>
      <c r="AO301" s="28" t="s">
        <v>17651</v>
      </c>
      <c r="AP301" s="28" t="s">
        <v>17652</v>
      </c>
      <c r="AQ301" s="28" t="s">
        <v>17653</v>
      </c>
      <c r="AR301" s="28" t="s">
        <v>1024</v>
      </c>
    </row>
    <row r="302" spans="1:44" x14ac:dyDescent="0.25">
      <c r="A302" s="28" t="s">
        <v>10606</v>
      </c>
      <c r="B302" s="28" t="s">
        <v>1598</v>
      </c>
      <c r="C302" s="28" t="s">
        <v>444</v>
      </c>
      <c r="D302" s="28" t="s">
        <v>18175</v>
      </c>
      <c r="E302" s="28" t="s">
        <v>192</v>
      </c>
      <c r="F302" s="28">
        <v>1</v>
      </c>
      <c r="G302" s="28" t="s">
        <v>193</v>
      </c>
      <c r="H302" s="28" t="s">
        <v>194</v>
      </c>
      <c r="I302" s="28" t="s">
        <v>17656</v>
      </c>
      <c r="J302" s="28" t="s">
        <v>755</v>
      </c>
      <c r="K302" s="28" t="s">
        <v>9309</v>
      </c>
      <c r="L302" s="28" t="s">
        <v>6955</v>
      </c>
      <c r="N302" s="28" t="s">
        <v>18877</v>
      </c>
      <c r="O302" s="28" t="s">
        <v>6290</v>
      </c>
      <c r="P302" s="28" t="s">
        <v>18364</v>
      </c>
      <c r="Q302" s="28" t="s">
        <v>18329</v>
      </c>
      <c r="R302" s="28" t="s">
        <v>18365</v>
      </c>
      <c r="S302" s="28" t="s">
        <v>18878</v>
      </c>
      <c r="T302" s="28" t="s">
        <v>18879</v>
      </c>
      <c r="V302" s="28" t="s">
        <v>9726</v>
      </c>
      <c r="W302" s="28" t="s">
        <v>445</v>
      </c>
      <c r="X302" s="28" t="s">
        <v>194</v>
      </c>
      <c r="Y302" s="28" t="s">
        <v>9300</v>
      </c>
      <c r="AB302" s="28" t="s">
        <v>9311</v>
      </c>
      <c r="AH302" s="28" t="s">
        <v>4714</v>
      </c>
      <c r="AI302" s="28" t="s">
        <v>1598</v>
      </c>
      <c r="AJ302" s="516" t="str">
        <f>MID('II kw.22'!W302,8,6)</f>
        <v>243103</v>
      </c>
      <c r="AK302" s="516">
        <v>1</v>
      </c>
      <c r="AL302" s="516">
        <f t="shared" si="4"/>
        <v>1</v>
      </c>
      <c r="AM302" s="516">
        <v>1</v>
      </c>
      <c r="AN302" s="28" t="s">
        <v>17650</v>
      </c>
      <c r="AO302" s="28" t="s">
        <v>17651</v>
      </c>
      <c r="AP302" s="28" t="s">
        <v>17652</v>
      </c>
      <c r="AQ302" s="28" t="s">
        <v>17653</v>
      </c>
      <c r="AR302" s="28" t="s">
        <v>1024</v>
      </c>
    </row>
    <row r="303" spans="1:44" x14ac:dyDescent="0.25">
      <c r="A303" s="28" t="s">
        <v>16618</v>
      </c>
      <c r="B303" s="28" t="s">
        <v>1553</v>
      </c>
      <c r="C303" s="28" t="s">
        <v>80</v>
      </c>
      <c r="D303" s="28" t="s">
        <v>18175</v>
      </c>
      <c r="E303" s="28" t="s">
        <v>192</v>
      </c>
      <c r="F303" s="28">
        <v>1</v>
      </c>
      <c r="G303" s="28" t="s">
        <v>193</v>
      </c>
      <c r="H303" s="28" t="s">
        <v>194</v>
      </c>
      <c r="I303" s="28" t="s">
        <v>17672</v>
      </c>
      <c r="J303" s="28" t="s">
        <v>253</v>
      </c>
      <c r="K303" s="28" t="s">
        <v>9309</v>
      </c>
      <c r="L303" s="28" t="s">
        <v>6955</v>
      </c>
      <c r="N303" s="28" t="s">
        <v>18880</v>
      </c>
      <c r="O303" s="28" t="s">
        <v>6327</v>
      </c>
      <c r="P303" s="28" t="s">
        <v>18364</v>
      </c>
      <c r="Q303" s="28" t="s">
        <v>18329</v>
      </c>
      <c r="R303" s="28" t="s">
        <v>18365</v>
      </c>
      <c r="S303" s="28" t="s">
        <v>18881</v>
      </c>
      <c r="T303" s="28" t="s">
        <v>18882</v>
      </c>
      <c r="V303" s="28" t="s">
        <v>9468</v>
      </c>
      <c r="W303" s="28" t="s">
        <v>474</v>
      </c>
      <c r="X303" s="28" t="s">
        <v>194</v>
      </c>
      <c r="Y303" s="28" t="s">
        <v>9300</v>
      </c>
      <c r="AB303" s="28" t="s">
        <v>9311</v>
      </c>
      <c r="AH303" s="28" t="s">
        <v>4714</v>
      </c>
      <c r="AI303" s="28" t="s">
        <v>1553</v>
      </c>
      <c r="AJ303" s="516" t="str">
        <f>MID('II kw.22'!W303,8,6)</f>
        <v>243304</v>
      </c>
      <c r="AK303" s="516">
        <v>1</v>
      </c>
      <c r="AL303" s="516">
        <f t="shared" si="4"/>
        <v>1</v>
      </c>
      <c r="AM303" s="516">
        <v>1</v>
      </c>
      <c r="AN303" s="28" t="s">
        <v>17650</v>
      </c>
      <c r="AO303" s="28" t="s">
        <v>17651</v>
      </c>
      <c r="AP303" s="28" t="s">
        <v>17652</v>
      </c>
      <c r="AQ303" s="28" t="s">
        <v>17653</v>
      </c>
      <c r="AR303" s="28" t="s">
        <v>1024</v>
      </c>
    </row>
    <row r="304" spans="1:44" x14ac:dyDescent="0.25">
      <c r="A304" s="28" t="s">
        <v>16618</v>
      </c>
      <c r="B304" s="28" t="s">
        <v>1553</v>
      </c>
      <c r="C304" s="28" t="s">
        <v>80</v>
      </c>
      <c r="D304" s="28" t="s">
        <v>18175</v>
      </c>
      <c r="E304" s="28" t="s">
        <v>192</v>
      </c>
      <c r="F304" s="28">
        <v>1</v>
      </c>
      <c r="G304" s="28" t="s">
        <v>193</v>
      </c>
      <c r="H304" s="28" t="s">
        <v>194</v>
      </c>
      <c r="I304" s="28" t="s">
        <v>17672</v>
      </c>
      <c r="J304" s="28" t="s">
        <v>4751</v>
      </c>
      <c r="K304" s="28" t="s">
        <v>9309</v>
      </c>
      <c r="L304" s="28" t="s">
        <v>6955</v>
      </c>
      <c r="N304" s="28" t="s">
        <v>18883</v>
      </c>
      <c r="O304" s="28" t="s">
        <v>6327</v>
      </c>
      <c r="P304" s="28" t="s">
        <v>18364</v>
      </c>
      <c r="Q304" s="28" t="s">
        <v>18329</v>
      </c>
      <c r="R304" s="28" t="s">
        <v>18365</v>
      </c>
      <c r="S304" s="28" t="s">
        <v>18884</v>
      </c>
      <c r="T304" s="28" t="s">
        <v>18885</v>
      </c>
      <c r="V304" s="28" t="s">
        <v>9472</v>
      </c>
      <c r="W304" s="28" t="s">
        <v>474</v>
      </c>
      <c r="X304" s="28" t="s">
        <v>194</v>
      </c>
      <c r="Y304" s="28" t="s">
        <v>9300</v>
      </c>
      <c r="AB304" s="28" t="s">
        <v>9311</v>
      </c>
      <c r="AH304" s="28" t="s">
        <v>4714</v>
      </c>
      <c r="AI304" s="28" t="s">
        <v>1553</v>
      </c>
      <c r="AJ304" s="516" t="str">
        <f>MID('II kw.22'!W304,8,6)</f>
        <v>243304</v>
      </c>
      <c r="AK304" s="516">
        <v>1</v>
      </c>
      <c r="AL304" s="516">
        <f t="shared" si="4"/>
        <v>1</v>
      </c>
      <c r="AM304" s="516">
        <v>1</v>
      </c>
      <c r="AN304" s="28" t="s">
        <v>17650</v>
      </c>
      <c r="AO304" s="28" t="s">
        <v>17651</v>
      </c>
      <c r="AP304" s="28" t="s">
        <v>17652</v>
      </c>
      <c r="AQ304" s="28" t="s">
        <v>17653</v>
      </c>
      <c r="AR304" s="28" t="s">
        <v>1024</v>
      </c>
    </row>
    <row r="305" spans="1:44" x14ac:dyDescent="0.25">
      <c r="A305" s="28" t="s">
        <v>16618</v>
      </c>
      <c r="B305" s="28" t="s">
        <v>1553</v>
      </c>
      <c r="C305" s="28" t="s">
        <v>80</v>
      </c>
      <c r="D305" s="28" t="s">
        <v>18175</v>
      </c>
      <c r="E305" s="28" t="s">
        <v>192</v>
      </c>
      <c r="F305" s="28">
        <v>1</v>
      </c>
      <c r="G305" s="28" t="s">
        <v>193</v>
      </c>
      <c r="H305" s="28" t="s">
        <v>194</v>
      </c>
      <c r="I305" s="28" t="s">
        <v>17672</v>
      </c>
      <c r="J305" s="28" t="s">
        <v>210</v>
      </c>
      <c r="K305" s="28" t="s">
        <v>9309</v>
      </c>
      <c r="L305" s="28" t="s">
        <v>6955</v>
      </c>
      <c r="N305" s="28" t="s">
        <v>18886</v>
      </c>
      <c r="O305" s="28" t="s">
        <v>6327</v>
      </c>
      <c r="P305" s="28" t="s">
        <v>18364</v>
      </c>
      <c r="Q305" s="28" t="s">
        <v>18329</v>
      </c>
      <c r="R305" s="28" t="s">
        <v>18365</v>
      </c>
      <c r="S305" s="28" t="s">
        <v>18887</v>
      </c>
      <c r="T305" s="28" t="s">
        <v>18888</v>
      </c>
      <c r="V305" s="28" t="s">
        <v>9334</v>
      </c>
      <c r="W305" s="28" t="s">
        <v>474</v>
      </c>
      <c r="X305" s="28" t="s">
        <v>194</v>
      </c>
      <c r="Y305" s="28" t="s">
        <v>9300</v>
      </c>
      <c r="AB305" s="28" t="s">
        <v>9311</v>
      </c>
      <c r="AH305" s="28" t="s">
        <v>4714</v>
      </c>
      <c r="AI305" s="28" t="s">
        <v>1553</v>
      </c>
      <c r="AJ305" s="516" t="str">
        <f>MID('II kw.22'!W305,8,6)</f>
        <v>243304</v>
      </c>
      <c r="AK305" s="516">
        <v>1</v>
      </c>
      <c r="AL305" s="516">
        <f t="shared" si="4"/>
        <v>1</v>
      </c>
      <c r="AM305" s="516">
        <v>1</v>
      </c>
      <c r="AN305" s="28" t="s">
        <v>17650</v>
      </c>
      <c r="AO305" s="28" t="s">
        <v>17651</v>
      </c>
      <c r="AP305" s="28" t="s">
        <v>17652</v>
      </c>
      <c r="AQ305" s="28" t="s">
        <v>17653</v>
      </c>
      <c r="AR305" s="28" t="s">
        <v>1024</v>
      </c>
    </row>
    <row r="306" spans="1:44" x14ac:dyDescent="0.25">
      <c r="A306" s="28" t="s">
        <v>17654</v>
      </c>
      <c r="B306" s="28" t="s">
        <v>487</v>
      </c>
      <c r="C306" s="28" t="s">
        <v>10</v>
      </c>
      <c r="D306" s="28" t="s">
        <v>18175</v>
      </c>
      <c r="E306" s="28" t="s">
        <v>192</v>
      </c>
      <c r="F306" s="28">
        <v>1</v>
      </c>
      <c r="G306" s="28" t="s">
        <v>193</v>
      </c>
      <c r="H306" s="28" t="s">
        <v>194</v>
      </c>
      <c r="I306" s="28" t="s">
        <v>17672</v>
      </c>
      <c r="J306" s="28" t="s">
        <v>9302</v>
      </c>
      <c r="K306" s="28" t="s">
        <v>9309</v>
      </c>
      <c r="L306" s="28" t="s">
        <v>6955</v>
      </c>
      <c r="N306" s="28" t="s">
        <v>18889</v>
      </c>
      <c r="O306" s="28" t="s">
        <v>6261</v>
      </c>
      <c r="P306" s="28" t="s">
        <v>18364</v>
      </c>
      <c r="Q306" s="28" t="s">
        <v>18329</v>
      </c>
      <c r="R306" s="28" t="s">
        <v>18365</v>
      </c>
      <c r="S306" s="28" t="s">
        <v>18890</v>
      </c>
      <c r="T306" s="28" t="s">
        <v>18891</v>
      </c>
      <c r="V306" s="27"/>
      <c r="W306" s="28" t="s">
        <v>484</v>
      </c>
      <c r="X306" s="28" t="s">
        <v>193</v>
      </c>
      <c r="Y306" s="27" t="s">
        <v>9310</v>
      </c>
      <c r="AB306" s="28" t="s">
        <v>9311</v>
      </c>
      <c r="AH306" s="28" t="s">
        <v>4714</v>
      </c>
      <c r="AI306" s="28" t="s">
        <v>487</v>
      </c>
      <c r="AJ306" s="516" t="str">
        <f>MID('II kw.22'!W306,8,6)</f>
        <v>251401</v>
      </c>
      <c r="AK306" s="516">
        <v>1</v>
      </c>
      <c r="AL306" s="516">
        <f t="shared" si="4"/>
        <v>1</v>
      </c>
      <c r="AM306" s="516">
        <v>1</v>
      </c>
      <c r="AN306" s="28" t="s">
        <v>17650</v>
      </c>
      <c r="AO306" s="28" t="s">
        <v>17651</v>
      </c>
      <c r="AP306" s="28" t="s">
        <v>17652</v>
      </c>
      <c r="AQ306" s="28" t="s">
        <v>17653</v>
      </c>
      <c r="AR306" s="28" t="s">
        <v>1024</v>
      </c>
    </row>
    <row r="307" spans="1:44" x14ac:dyDescent="0.25">
      <c r="A307" s="28" t="s">
        <v>17654</v>
      </c>
      <c r="B307" s="28" t="s">
        <v>18892</v>
      </c>
      <c r="C307" s="28" t="s">
        <v>147</v>
      </c>
      <c r="D307" s="28" t="s">
        <v>18175</v>
      </c>
      <c r="E307" s="28" t="s">
        <v>192</v>
      </c>
      <c r="F307" s="28">
        <v>1</v>
      </c>
      <c r="G307" s="28" t="s">
        <v>193</v>
      </c>
      <c r="H307" s="28" t="s">
        <v>194</v>
      </c>
      <c r="I307" s="28" t="s">
        <v>17656</v>
      </c>
      <c r="J307" s="28" t="s">
        <v>9302</v>
      </c>
      <c r="K307" s="28" t="s">
        <v>9309</v>
      </c>
      <c r="L307" s="28" t="s">
        <v>6955</v>
      </c>
      <c r="N307" s="28" t="s">
        <v>18893</v>
      </c>
      <c r="O307" s="28" t="s">
        <v>6261</v>
      </c>
      <c r="P307" s="28" t="s">
        <v>18364</v>
      </c>
      <c r="Q307" s="28" t="s">
        <v>18329</v>
      </c>
      <c r="R307" s="28" t="s">
        <v>18365</v>
      </c>
      <c r="S307" s="28" t="s">
        <v>18894</v>
      </c>
      <c r="T307" s="28" t="s">
        <v>18895</v>
      </c>
      <c r="V307" s="27"/>
      <c r="W307" s="28" t="s">
        <v>2030</v>
      </c>
      <c r="X307" s="28" t="s">
        <v>193</v>
      </c>
      <c r="Y307" s="27" t="s">
        <v>9310</v>
      </c>
      <c r="AB307" s="28" t="s">
        <v>9311</v>
      </c>
      <c r="AH307" s="28" t="s">
        <v>4714</v>
      </c>
      <c r="AI307" s="138" t="s">
        <v>18892</v>
      </c>
      <c r="AJ307" s="516" t="str">
        <f>MID('II kw.22'!W307,8,6)</f>
        <v>132102</v>
      </c>
      <c r="AK307" s="516">
        <v>1</v>
      </c>
      <c r="AL307" s="516">
        <f t="shared" si="4"/>
        <v>1</v>
      </c>
      <c r="AM307" s="516">
        <v>1</v>
      </c>
      <c r="AN307" s="28" t="s">
        <v>17650</v>
      </c>
      <c r="AO307" s="28" t="s">
        <v>17651</v>
      </c>
      <c r="AP307" s="28" t="s">
        <v>17652</v>
      </c>
      <c r="AQ307" s="28" t="s">
        <v>17653</v>
      </c>
      <c r="AR307" s="28" t="s">
        <v>1024</v>
      </c>
    </row>
    <row r="308" spans="1:44" x14ac:dyDescent="0.25">
      <c r="A308" s="28" t="s">
        <v>17654</v>
      </c>
      <c r="B308" s="28" t="s">
        <v>17655</v>
      </c>
      <c r="C308" s="28" t="s">
        <v>5906</v>
      </c>
      <c r="D308" s="28" t="s">
        <v>18175</v>
      </c>
      <c r="E308" s="28" t="s">
        <v>192</v>
      </c>
      <c r="F308" s="28">
        <v>1</v>
      </c>
      <c r="G308" s="28" t="s">
        <v>193</v>
      </c>
      <c r="H308" s="28" t="s">
        <v>194</v>
      </c>
      <c r="I308" s="28" t="s">
        <v>17656</v>
      </c>
      <c r="J308" s="28" t="s">
        <v>9302</v>
      </c>
      <c r="K308" s="28" t="s">
        <v>9309</v>
      </c>
      <c r="L308" s="28" t="s">
        <v>6955</v>
      </c>
      <c r="N308" s="28" t="s">
        <v>18896</v>
      </c>
      <c r="O308" s="28" t="s">
        <v>6921</v>
      </c>
      <c r="P308" s="28" t="s">
        <v>18364</v>
      </c>
      <c r="Q308" s="28" t="s">
        <v>18329</v>
      </c>
      <c r="R308" s="28" t="s">
        <v>18365</v>
      </c>
      <c r="S308" s="28" t="s">
        <v>18897</v>
      </c>
      <c r="T308" s="28" t="s">
        <v>18898</v>
      </c>
      <c r="V308" s="27"/>
      <c r="W308" s="28" t="s">
        <v>5908</v>
      </c>
      <c r="X308" s="28" t="s">
        <v>193</v>
      </c>
      <c r="Y308" s="27" t="s">
        <v>9310</v>
      </c>
      <c r="AB308" s="28" t="s">
        <v>9311</v>
      </c>
      <c r="AH308" s="28" t="s">
        <v>4714</v>
      </c>
      <c r="AI308" s="138" t="s">
        <v>17655</v>
      </c>
      <c r="AJ308" s="516" t="str">
        <f>MID('II kw.22'!W308,8,6)</f>
        <v>133005</v>
      </c>
      <c r="AK308" s="516">
        <v>1</v>
      </c>
      <c r="AL308" s="516">
        <f t="shared" si="4"/>
        <v>1</v>
      </c>
      <c r="AM308" s="516">
        <v>1</v>
      </c>
      <c r="AN308" s="28" t="s">
        <v>17650</v>
      </c>
      <c r="AO308" s="28" t="s">
        <v>17651</v>
      </c>
      <c r="AP308" s="28" t="s">
        <v>17652</v>
      </c>
      <c r="AQ308" s="28" t="s">
        <v>17653</v>
      </c>
      <c r="AR308" s="28" t="s">
        <v>1024</v>
      </c>
    </row>
    <row r="309" spans="1:44" x14ac:dyDescent="0.25">
      <c r="A309" s="28" t="s">
        <v>1104</v>
      </c>
      <c r="B309" s="28" t="s">
        <v>1524</v>
      </c>
      <c r="C309" s="28" t="s">
        <v>86</v>
      </c>
      <c r="D309" s="28" t="s">
        <v>18175</v>
      </c>
      <c r="E309" s="28" t="s">
        <v>192</v>
      </c>
      <c r="F309" s="28">
        <v>1</v>
      </c>
      <c r="G309" s="28" t="s">
        <v>193</v>
      </c>
      <c r="H309" s="28" t="s">
        <v>194</v>
      </c>
      <c r="I309" s="28" t="s">
        <v>17706</v>
      </c>
      <c r="J309" s="28" t="s">
        <v>276</v>
      </c>
      <c r="K309" s="28" t="s">
        <v>9309</v>
      </c>
      <c r="L309" s="28" t="s">
        <v>6955</v>
      </c>
      <c r="N309" s="28" t="s">
        <v>18899</v>
      </c>
      <c r="O309" s="28" t="s">
        <v>7531</v>
      </c>
      <c r="P309" s="28" t="s">
        <v>18205</v>
      </c>
      <c r="Q309" s="28" t="s">
        <v>18329</v>
      </c>
      <c r="R309" s="28" t="s">
        <v>18365</v>
      </c>
      <c r="S309" s="28" t="s">
        <v>18900</v>
      </c>
      <c r="T309" s="28" t="s">
        <v>18901</v>
      </c>
      <c r="V309" s="28" t="s">
        <v>9786</v>
      </c>
      <c r="W309" s="28" t="s">
        <v>1107</v>
      </c>
      <c r="X309" s="28" t="s">
        <v>194</v>
      </c>
      <c r="Y309" s="28" t="s">
        <v>9300</v>
      </c>
      <c r="AB309" s="28" t="s">
        <v>9311</v>
      </c>
      <c r="AH309" s="28" t="s">
        <v>4714</v>
      </c>
      <c r="AI309" s="28" t="s">
        <v>86</v>
      </c>
      <c r="AJ309" s="516" t="str">
        <f>MID('II kw.22'!W309,8,6)</f>
        <v>121101</v>
      </c>
      <c r="AK309" s="516">
        <v>1</v>
      </c>
      <c r="AL309" s="516">
        <f t="shared" si="4"/>
        <v>1</v>
      </c>
      <c r="AM309" s="516">
        <v>1</v>
      </c>
      <c r="AN309" s="28" t="s">
        <v>17650</v>
      </c>
      <c r="AO309" s="28" t="s">
        <v>17651</v>
      </c>
      <c r="AP309" s="28" t="s">
        <v>17652</v>
      </c>
      <c r="AQ309" s="28" t="s">
        <v>17653</v>
      </c>
      <c r="AR309" s="28" t="s">
        <v>1024</v>
      </c>
    </row>
    <row r="310" spans="1:44" x14ac:dyDescent="0.25">
      <c r="A310" s="28" t="s">
        <v>1959</v>
      </c>
      <c r="B310" s="28" t="s">
        <v>18902</v>
      </c>
      <c r="C310" s="28" t="s">
        <v>16355</v>
      </c>
      <c r="D310" s="28" t="s">
        <v>18175</v>
      </c>
      <c r="E310" s="28" t="s">
        <v>192</v>
      </c>
      <c r="F310" s="28">
        <v>1</v>
      </c>
      <c r="G310" s="28" t="s">
        <v>193</v>
      </c>
      <c r="H310" s="28" t="s">
        <v>194</v>
      </c>
      <c r="I310" s="28" t="s">
        <v>17784</v>
      </c>
      <c r="J310" s="28" t="s">
        <v>9302</v>
      </c>
      <c r="K310" s="28" t="s">
        <v>9309</v>
      </c>
      <c r="L310" s="28" t="s">
        <v>6955</v>
      </c>
      <c r="N310" s="28" t="s">
        <v>18903</v>
      </c>
      <c r="O310" s="28" t="s">
        <v>7531</v>
      </c>
      <c r="P310" s="28" t="s">
        <v>18364</v>
      </c>
      <c r="Q310" s="28" t="s">
        <v>18329</v>
      </c>
      <c r="R310" s="28" t="s">
        <v>18365</v>
      </c>
      <c r="S310" s="28" t="s">
        <v>18904</v>
      </c>
      <c r="T310" s="28" t="s">
        <v>18905</v>
      </c>
      <c r="V310" s="27"/>
      <c r="W310" s="28" t="s">
        <v>508</v>
      </c>
      <c r="X310" s="28" t="s">
        <v>193</v>
      </c>
      <c r="Y310" s="27" t="s">
        <v>9310</v>
      </c>
      <c r="AB310" s="28" t="s">
        <v>9311</v>
      </c>
      <c r="AH310" s="28" t="s">
        <v>4714</v>
      </c>
      <c r="AI310" s="28" t="s">
        <v>18902</v>
      </c>
      <c r="AJ310" s="516" t="str">
        <f>MID('II kw.22'!W310,8,6)</f>
        <v>252102</v>
      </c>
      <c r="AK310" s="516">
        <v>1</v>
      </c>
      <c r="AL310" s="516">
        <f t="shared" si="4"/>
        <v>1</v>
      </c>
      <c r="AM310" s="516">
        <v>1</v>
      </c>
      <c r="AN310" s="28" t="s">
        <v>17650</v>
      </c>
      <c r="AO310" s="28" t="s">
        <v>17651</v>
      </c>
      <c r="AP310" s="28" t="s">
        <v>17652</v>
      </c>
      <c r="AQ310" s="28" t="s">
        <v>17653</v>
      </c>
      <c r="AR310" s="28" t="s">
        <v>1024</v>
      </c>
    </row>
    <row r="311" spans="1:44" x14ac:dyDescent="0.25">
      <c r="A311" s="28" t="s">
        <v>13590</v>
      </c>
      <c r="B311" s="28" t="s">
        <v>18906</v>
      </c>
      <c r="C311" s="28" t="s">
        <v>886</v>
      </c>
      <c r="D311" s="28" t="s">
        <v>18175</v>
      </c>
      <c r="E311" s="28" t="s">
        <v>192</v>
      </c>
      <c r="F311" s="28">
        <v>1</v>
      </c>
      <c r="G311" s="28" t="s">
        <v>193</v>
      </c>
      <c r="H311" s="28" t="s">
        <v>194</v>
      </c>
      <c r="I311" s="28" t="s">
        <v>17656</v>
      </c>
      <c r="J311" s="28" t="s">
        <v>9302</v>
      </c>
      <c r="K311" s="28" t="s">
        <v>9309</v>
      </c>
      <c r="L311" s="28" t="s">
        <v>6955</v>
      </c>
      <c r="N311" s="28" t="s">
        <v>18907</v>
      </c>
      <c r="O311" s="28" t="s">
        <v>6275</v>
      </c>
      <c r="P311" s="28" t="s">
        <v>18364</v>
      </c>
      <c r="Q311" s="28" t="s">
        <v>18329</v>
      </c>
      <c r="R311" s="28" t="s">
        <v>18365</v>
      </c>
      <c r="S311" s="28" t="s">
        <v>18908</v>
      </c>
      <c r="T311" s="28" t="s">
        <v>18909</v>
      </c>
      <c r="V311" s="27"/>
      <c r="W311" s="28" t="s">
        <v>887</v>
      </c>
      <c r="X311" s="28" t="s">
        <v>193</v>
      </c>
      <c r="Y311" s="27" t="s">
        <v>9310</v>
      </c>
      <c r="AB311" s="28" t="s">
        <v>9311</v>
      </c>
      <c r="AH311" s="28" t="s">
        <v>4714</v>
      </c>
      <c r="AI311" s="28" t="s">
        <v>18906</v>
      </c>
      <c r="AJ311" s="516" t="str">
        <f>MID('II kw.22'!W311,8,6)</f>
        <v>834401</v>
      </c>
      <c r="AK311" s="516">
        <v>1</v>
      </c>
      <c r="AL311" s="516">
        <f t="shared" si="4"/>
        <v>1</v>
      </c>
      <c r="AM311" s="516">
        <v>1</v>
      </c>
      <c r="AN311" s="28" t="s">
        <v>17650</v>
      </c>
      <c r="AO311" s="28" t="s">
        <v>17651</v>
      </c>
      <c r="AP311" s="28" t="s">
        <v>17652</v>
      </c>
      <c r="AQ311" s="28" t="s">
        <v>17653</v>
      </c>
      <c r="AR311" s="28" t="s">
        <v>1024</v>
      </c>
    </row>
    <row r="312" spans="1:44" x14ac:dyDescent="0.25">
      <c r="A312" s="28" t="s">
        <v>1959</v>
      </c>
      <c r="B312" s="28" t="s">
        <v>18910</v>
      </c>
      <c r="C312" s="28" t="s">
        <v>100</v>
      </c>
      <c r="D312" s="28" t="s">
        <v>18175</v>
      </c>
      <c r="E312" s="28" t="s">
        <v>192</v>
      </c>
      <c r="F312" s="28">
        <v>1</v>
      </c>
      <c r="G312" s="28" t="s">
        <v>193</v>
      </c>
      <c r="H312" s="28" t="s">
        <v>194</v>
      </c>
      <c r="I312" s="28" t="s">
        <v>17656</v>
      </c>
      <c r="J312" s="28" t="s">
        <v>9302</v>
      </c>
      <c r="K312" s="28" t="s">
        <v>9309</v>
      </c>
      <c r="L312" s="28" t="s">
        <v>6955</v>
      </c>
      <c r="N312" s="28" t="s">
        <v>18911</v>
      </c>
      <c r="O312" s="28" t="s">
        <v>6266</v>
      </c>
      <c r="P312" s="28" t="s">
        <v>18364</v>
      </c>
      <c r="Q312" s="28" t="s">
        <v>18329</v>
      </c>
      <c r="R312" s="28" t="s">
        <v>18365</v>
      </c>
      <c r="S312" s="28" t="s">
        <v>18912</v>
      </c>
      <c r="T312" s="28" t="s">
        <v>18913</v>
      </c>
      <c r="V312" s="27"/>
      <c r="W312" s="28" t="s">
        <v>429</v>
      </c>
      <c r="X312" s="28" t="s">
        <v>193</v>
      </c>
      <c r="Y312" s="27" t="s">
        <v>9310</v>
      </c>
      <c r="AB312" s="28" t="s">
        <v>9311</v>
      </c>
      <c r="AH312" s="28" t="s">
        <v>4714</v>
      </c>
      <c r="AI312" s="28" t="s">
        <v>18910</v>
      </c>
      <c r="AJ312" s="516" t="str">
        <f>MID('II kw.22'!W312,8,6)</f>
        <v>242108</v>
      </c>
      <c r="AK312" s="516">
        <v>1</v>
      </c>
      <c r="AL312" s="516">
        <f t="shared" si="4"/>
        <v>1</v>
      </c>
      <c r="AM312" s="516">
        <v>1</v>
      </c>
      <c r="AN312" s="28" t="s">
        <v>17650</v>
      </c>
      <c r="AO312" s="28" t="s">
        <v>17651</v>
      </c>
      <c r="AP312" s="28" t="s">
        <v>17652</v>
      </c>
      <c r="AQ312" s="28" t="s">
        <v>17653</v>
      </c>
      <c r="AR312" s="28" t="s">
        <v>1024</v>
      </c>
    </row>
    <row r="313" spans="1:44" x14ac:dyDescent="0.25">
      <c r="A313" s="28" t="s">
        <v>7519</v>
      </c>
      <c r="B313" s="28" t="s">
        <v>18914</v>
      </c>
      <c r="C313" s="28" t="s">
        <v>4825</v>
      </c>
      <c r="D313" s="28" t="s">
        <v>18175</v>
      </c>
      <c r="E313" s="28" t="s">
        <v>192</v>
      </c>
      <c r="F313" s="28">
        <v>1</v>
      </c>
      <c r="G313" s="28" t="s">
        <v>193</v>
      </c>
      <c r="H313" s="28" t="s">
        <v>194</v>
      </c>
      <c r="I313" s="28" t="s">
        <v>17784</v>
      </c>
      <c r="J313" s="28" t="s">
        <v>4751</v>
      </c>
      <c r="K313" s="28" t="s">
        <v>9309</v>
      </c>
      <c r="L313" s="28" t="s">
        <v>6955</v>
      </c>
      <c r="N313" s="28" t="s">
        <v>18915</v>
      </c>
      <c r="O313" s="28" t="s">
        <v>6245</v>
      </c>
      <c r="P313" s="28" t="s">
        <v>18364</v>
      </c>
      <c r="Q313" s="28" t="s">
        <v>18329</v>
      </c>
      <c r="R313" s="28" t="s">
        <v>18365</v>
      </c>
      <c r="S313" s="28" t="s">
        <v>18916</v>
      </c>
      <c r="T313" s="28" t="s">
        <v>18917</v>
      </c>
      <c r="V313" s="28" t="s">
        <v>9472</v>
      </c>
      <c r="W313" s="28" t="s">
        <v>4826</v>
      </c>
      <c r="X313" s="28" t="s">
        <v>194</v>
      </c>
      <c r="Y313" s="28" t="s">
        <v>9300</v>
      </c>
      <c r="AB313" s="28" t="s">
        <v>9311</v>
      </c>
      <c r="AH313" s="28" t="s">
        <v>4714</v>
      </c>
      <c r="AI313" s="28" t="s">
        <v>18914</v>
      </c>
      <c r="AJ313" s="516" t="str">
        <f>MID('II kw.22'!W313,8,6)</f>
        <v>311929</v>
      </c>
      <c r="AK313" s="516">
        <v>1</v>
      </c>
      <c r="AL313" s="516">
        <f t="shared" si="4"/>
        <v>1</v>
      </c>
      <c r="AM313" s="516">
        <v>1</v>
      </c>
      <c r="AN313" s="28" t="s">
        <v>17650</v>
      </c>
      <c r="AO313" s="28" t="s">
        <v>17651</v>
      </c>
      <c r="AP313" s="28" t="s">
        <v>17652</v>
      </c>
      <c r="AQ313" s="28" t="s">
        <v>17653</v>
      </c>
      <c r="AR313" s="28" t="s">
        <v>1024</v>
      </c>
    </row>
    <row r="314" spans="1:44" x14ac:dyDescent="0.25">
      <c r="A314" s="28" t="s">
        <v>13415</v>
      </c>
      <c r="B314" s="28" t="s">
        <v>18918</v>
      </c>
      <c r="C314" s="28" t="s">
        <v>62</v>
      </c>
      <c r="D314" s="28" t="s">
        <v>18175</v>
      </c>
      <c r="E314" s="28" t="s">
        <v>192</v>
      </c>
      <c r="F314" s="28">
        <v>1</v>
      </c>
      <c r="G314" s="28" t="s">
        <v>193</v>
      </c>
      <c r="H314" s="28" t="s">
        <v>194</v>
      </c>
      <c r="I314" s="28" t="s">
        <v>17656</v>
      </c>
      <c r="J314" s="28" t="s">
        <v>672</v>
      </c>
      <c r="K314" s="28" t="s">
        <v>9309</v>
      </c>
      <c r="L314" s="28" t="s">
        <v>6955</v>
      </c>
      <c r="N314" s="28" t="s">
        <v>18919</v>
      </c>
      <c r="O314" s="28" t="s">
        <v>6275</v>
      </c>
      <c r="P314" s="28" t="s">
        <v>18364</v>
      </c>
      <c r="Q314" s="28" t="s">
        <v>18329</v>
      </c>
      <c r="R314" s="28" t="s">
        <v>18365</v>
      </c>
      <c r="S314" s="28" t="s">
        <v>18920</v>
      </c>
      <c r="T314" s="28" t="s">
        <v>18921</v>
      </c>
      <c r="V314" s="28" t="s">
        <v>9726</v>
      </c>
      <c r="W314" s="28" t="s">
        <v>601</v>
      </c>
      <c r="X314" s="28" t="s">
        <v>194</v>
      </c>
      <c r="Y314" s="28" t="s">
        <v>9300</v>
      </c>
      <c r="AB314" s="28" t="s">
        <v>9311</v>
      </c>
      <c r="AH314" s="28" t="s">
        <v>4714</v>
      </c>
      <c r="AI314" s="28" t="s">
        <v>18918</v>
      </c>
      <c r="AJ314" s="516" t="str">
        <f>MID('II kw.22'!W314,8,6)</f>
        <v>313904</v>
      </c>
      <c r="AK314" s="516">
        <v>1</v>
      </c>
      <c r="AL314" s="516">
        <f t="shared" si="4"/>
        <v>1</v>
      </c>
      <c r="AM314" s="516">
        <v>1</v>
      </c>
      <c r="AN314" s="28" t="s">
        <v>17650</v>
      </c>
      <c r="AO314" s="28" t="s">
        <v>17651</v>
      </c>
      <c r="AP314" s="28" t="s">
        <v>17652</v>
      </c>
      <c r="AQ314" s="28" t="s">
        <v>17653</v>
      </c>
      <c r="AR314" s="28" t="s">
        <v>1024</v>
      </c>
    </row>
    <row r="315" spans="1:44" x14ac:dyDescent="0.25">
      <c r="A315" s="28" t="s">
        <v>4969</v>
      </c>
      <c r="B315" s="28" t="s">
        <v>18922</v>
      </c>
      <c r="C315" s="28" t="s">
        <v>18923</v>
      </c>
      <c r="D315" s="28" t="s">
        <v>18175</v>
      </c>
      <c r="E315" s="28" t="s">
        <v>192</v>
      </c>
      <c r="F315" s="28">
        <v>1</v>
      </c>
      <c r="G315" s="28" t="s">
        <v>193</v>
      </c>
      <c r="H315" s="28" t="s">
        <v>194</v>
      </c>
      <c r="I315" s="28" t="s">
        <v>17759</v>
      </c>
      <c r="J315" s="28" t="s">
        <v>9302</v>
      </c>
      <c r="K315" s="28" t="s">
        <v>9309</v>
      </c>
      <c r="L315" s="28" t="s">
        <v>6955</v>
      </c>
      <c r="N315" s="28" t="s">
        <v>18924</v>
      </c>
      <c r="O315" s="28" t="s">
        <v>7531</v>
      </c>
      <c r="P315" s="28" t="s">
        <v>18364</v>
      </c>
      <c r="Q315" s="28" t="s">
        <v>18329</v>
      </c>
      <c r="R315" s="28" t="s">
        <v>18365</v>
      </c>
      <c r="S315" s="28" t="s">
        <v>18925</v>
      </c>
      <c r="T315" s="28" t="s">
        <v>18926</v>
      </c>
      <c r="V315" s="27"/>
      <c r="W315" s="28" t="s">
        <v>18927</v>
      </c>
      <c r="X315" s="28" t="s">
        <v>193</v>
      </c>
      <c r="Y315" s="27" t="s">
        <v>9310</v>
      </c>
      <c r="AB315" s="28" t="s">
        <v>9311</v>
      </c>
      <c r="AH315" s="28" t="s">
        <v>4714</v>
      </c>
      <c r="AI315" s="28" t="s">
        <v>18922</v>
      </c>
      <c r="AJ315" s="516" t="str">
        <f>MID('II kw.22'!W315,8,6)</f>
        <v>263101</v>
      </c>
      <c r="AK315" s="516">
        <v>1</v>
      </c>
      <c r="AL315" s="516">
        <f t="shared" si="4"/>
        <v>1</v>
      </c>
      <c r="AM315" s="516">
        <v>1</v>
      </c>
      <c r="AN315" s="28" t="s">
        <v>17650</v>
      </c>
      <c r="AO315" s="28" t="s">
        <v>17651</v>
      </c>
      <c r="AP315" s="28" t="s">
        <v>17652</v>
      </c>
      <c r="AQ315" s="28" t="s">
        <v>17653</v>
      </c>
      <c r="AR315" s="28" t="s">
        <v>1024</v>
      </c>
    </row>
    <row r="316" spans="1:44" x14ac:dyDescent="0.25">
      <c r="A316" s="28" t="s">
        <v>640</v>
      </c>
      <c r="B316" s="28" t="s">
        <v>641</v>
      </c>
      <c r="C316" s="28" t="s">
        <v>17</v>
      </c>
      <c r="D316" s="28" t="s">
        <v>18175</v>
      </c>
      <c r="E316" s="28" t="s">
        <v>192</v>
      </c>
      <c r="F316" s="28">
        <v>1</v>
      </c>
      <c r="G316" s="28" t="s">
        <v>193</v>
      </c>
      <c r="H316" s="28" t="s">
        <v>194</v>
      </c>
      <c r="I316" s="28" t="s">
        <v>17706</v>
      </c>
      <c r="J316" s="28" t="s">
        <v>223</v>
      </c>
      <c r="K316" s="28" t="s">
        <v>9309</v>
      </c>
      <c r="L316" s="28" t="s">
        <v>6955</v>
      </c>
      <c r="N316" s="28" t="s">
        <v>18928</v>
      </c>
      <c r="O316" s="28" t="s">
        <v>6249</v>
      </c>
      <c r="P316" s="28" t="s">
        <v>18364</v>
      </c>
      <c r="Q316" s="28" t="s">
        <v>18329</v>
      </c>
      <c r="R316" s="28" t="s">
        <v>18365</v>
      </c>
      <c r="S316" s="28" t="s">
        <v>18929</v>
      </c>
      <c r="T316" s="28" t="s">
        <v>18930</v>
      </c>
      <c r="V316" s="28" t="s">
        <v>11163</v>
      </c>
      <c r="W316" s="28" t="s">
        <v>624</v>
      </c>
      <c r="X316" s="28" t="s">
        <v>194</v>
      </c>
      <c r="Y316" s="28" t="s">
        <v>9300</v>
      </c>
      <c r="AB316" s="28" t="s">
        <v>9311</v>
      </c>
      <c r="AH316" s="28" t="s">
        <v>4714</v>
      </c>
      <c r="AI316" s="28" t="s">
        <v>641</v>
      </c>
      <c r="AJ316" s="516" t="str">
        <f>MID('II kw.22'!W316,8,6)</f>
        <v>332203</v>
      </c>
      <c r="AK316" s="516">
        <v>1</v>
      </c>
      <c r="AL316" s="516">
        <f t="shared" si="4"/>
        <v>1</v>
      </c>
      <c r="AM316" s="516">
        <v>1</v>
      </c>
      <c r="AN316" s="28" t="s">
        <v>17650</v>
      </c>
      <c r="AO316" s="28" t="s">
        <v>17651</v>
      </c>
      <c r="AP316" s="28" t="s">
        <v>17652</v>
      </c>
      <c r="AQ316" s="28" t="s">
        <v>17653</v>
      </c>
      <c r="AR316" s="28" t="s">
        <v>1024</v>
      </c>
    </row>
    <row r="317" spans="1:44" x14ac:dyDescent="0.25">
      <c r="A317" s="28" t="s">
        <v>18931</v>
      </c>
      <c r="B317" s="28" t="s">
        <v>3273</v>
      </c>
      <c r="C317" s="28" t="s">
        <v>104</v>
      </c>
      <c r="D317" s="28" t="s">
        <v>18175</v>
      </c>
      <c r="E317" s="28" t="s">
        <v>192</v>
      </c>
      <c r="F317" s="514">
        <v>1</v>
      </c>
      <c r="G317" s="28" t="s">
        <v>193</v>
      </c>
      <c r="H317" s="28" t="s">
        <v>194</v>
      </c>
      <c r="I317" s="28" t="s">
        <v>17656</v>
      </c>
      <c r="J317" s="28" t="s">
        <v>210</v>
      </c>
      <c r="K317" s="28" t="s">
        <v>9309</v>
      </c>
      <c r="L317" s="28" t="s">
        <v>6955</v>
      </c>
      <c r="N317" s="28" t="s">
        <v>18932</v>
      </c>
      <c r="O317" s="28" t="s">
        <v>6286</v>
      </c>
      <c r="P317" s="28" t="s">
        <v>18364</v>
      </c>
      <c r="Q317" s="28" t="s">
        <v>18329</v>
      </c>
      <c r="R317" s="28" t="s">
        <v>18365</v>
      </c>
      <c r="S317" s="28" t="s">
        <v>18933</v>
      </c>
      <c r="T317" s="28" t="s">
        <v>18934</v>
      </c>
      <c r="V317" s="28" t="s">
        <v>9334</v>
      </c>
      <c r="W317" s="28" t="s">
        <v>703</v>
      </c>
      <c r="X317" s="28" t="s">
        <v>194</v>
      </c>
      <c r="Y317" s="28" t="s">
        <v>9300</v>
      </c>
      <c r="AB317" s="28" t="s">
        <v>9311</v>
      </c>
      <c r="AH317" s="28" t="s">
        <v>4714</v>
      </c>
      <c r="AI317" s="28" t="s">
        <v>3273</v>
      </c>
      <c r="AJ317" s="516" t="str">
        <f>MID('II kw.22'!W317,8,6)</f>
        <v>411004</v>
      </c>
      <c r="AK317" s="516">
        <v>1</v>
      </c>
      <c r="AL317" s="516">
        <f t="shared" si="4"/>
        <v>1</v>
      </c>
      <c r="AM317" s="516">
        <v>1</v>
      </c>
      <c r="AN317" s="28" t="s">
        <v>17650</v>
      </c>
      <c r="AO317" s="365" t="s">
        <v>17651</v>
      </c>
      <c r="AP317" s="365" t="s">
        <v>17652</v>
      </c>
      <c r="AQ317" s="365" t="s">
        <v>17653</v>
      </c>
      <c r="AR317" s="365" t="s">
        <v>1024</v>
      </c>
    </row>
    <row r="318" spans="1:44" x14ac:dyDescent="0.25">
      <c r="A318" s="28" t="s">
        <v>1479</v>
      </c>
      <c r="B318" s="28" t="s">
        <v>10421</v>
      </c>
      <c r="C318" s="28" t="s">
        <v>74</v>
      </c>
      <c r="D318" s="28" t="s">
        <v>18175</v>
      </c>
      <c r="E318" s="28" t="s">
        <v>192</v>
      </c>
      <c r="F318" s="28">
        <v>1</v>
      </c>
      <c r="G318" s="28" t="s">
        <v>193</v>
      </c>
      <c r="H318" s="28" t="s">
        <v>194</v>
      </c>
      <c r="I318" s="28" t="s">
        <v>17706</v>
      </c>
      <c r="J318" s="28" t="s">
        <v>316</v>
      </c>
      <c r="K318" s="28" t="s">
        <v>9309</v>
      </c>
      <c r="L318" s="28" t="s">
        <v>6955</v>
      </c>
      <c r="N318" s="28" t="s">
        <v>18935</v>
      </c>
      <c r="O318" s="28" t="s">
        <v>6249</v>
      </c>
      <c r="P318" s="28" t="s">
        <v>18364</v>
      </c>
      <c r="Q318" s="28" t="s">
        <v>18329</v>
      </c>
      <c r="R318" s="28" t="s">
        <v>18365</v>
      </c>
      <c r="S318" s="28" t="s">
        <v>18936</v>
      </c>
      <c r="T318" s="28" t="s">
        <v>18937</v>
      </c>
      <c r="V318" s="28" t="s">
        <v>10012</v>
      </c>
      <c r="W318" s="28" t="s">
        <v>246</v>
      </c>
      <c r="X318" s="28" t="s">
        <v>194</v>
      </c>
      <c r="Y318" s="28" t="s">
        <v>9300</v>
      </c>
      <c r="AB318" s="28" t="s">
        <v>9311</v>
      </c>
      <c r="AH318" s="28" t="s">
        <v>4714</v>
      </c>
      <c r="AI318" s="28" t="s">
        <v>10421</v>
      </c>
      <c r="AJ318" s="516" t="str">
        <f>MID('II kw.22'!W318,8,6)</f>
        <v>142004</v>
      </c>
      <c r="AK318" s="516">
        <v>1</v>
      </c>
      <c r="AL318" s="516">
        <f t="shared" si="4"/>
        <v>1</v>
      </c>
      <c r="AM318" s="516">
        <v>1</v>
      </c>
      <c r="AN318" s="28" t="s">
        <v>17650</v>
      </c>
      <c r="AO318" s="28" t="s">
        <v>17651</v>
      </c>
      <c r="AP318" s="28" t="s">
        <v>17652</v>
      </c>
      <c r="AQ318" s="28" t="s">
        <v>17653</v>
      </c>
      <c r="AR318" s="28" t="s">
        <v>1024</v>
      </c>
    </row>
    <row r="319" spans="1:44" x14ac:dyDescent="0.25">
      <c r="A319" s="28" t="s">
        <v>18938</v>
      </c>
      <c r="B319" s="28" t="s">
        <v>6659</v>
      </c>
      <c r="C319" s="28" t="s">
        <v>18939</v>
      </c>
      <c r="D319" s="28" t="s">
        <v>18175</v>
      </c>
      <c r="E319" s="28" t="s">
        <v>192</v>
      </c>
      <c r="F319" s="28">
        <v>1</v>
      </c>
      <c r="G319" s="28" t="s">
        <v>193</v>
      </c>
      <c r="H319" s="28" t="s">
        <v>194</v>
      </c>
      <c r="I319" s="28" t="s">
        <v>17672</v>
      </c>
      <c r="J319" s="28" t="s">
        <v>210</v>
      </c>
      <c r="K319" s="28" t="s">
        <v>9309</v>
      </c>
      <c r="L319" s="28" t="s">
        <v>6955</v>
      </c>
      <c r="N319" s="28" t="s">
        <v>18940</v>
      </c>
      <c r="O319" s="28" t="s">
        <v>6266</v>
      </c>
      <c r="P319" s="28" t="s">
        <v>18364</v>
      </c>
      <c r="Q319" s="28" t="s">
        <v>18329</v>
      </c>
      <c r="R319" s="28" t="s">
        <v>18365</v>
      </c>
      <c r="S319" s="28" t="s">
        <v>18941</v>
      </c>
      <c r="T319" s="28" t="s">
        <v>18942</v>
      </c>
      <c r="V319" s="28" t="s">
        <v>9334</v>
      </c>
      <c r="W319" s="28" t="s">
        <v>18943</v>
      </c>
      <c r="X319" s="28" t="s">
        <v>194</v>
      </c>
      <c r="Y319" s="28" t="s">
        <v>9300</v>
      </c>
      <c r="AB319" s="28" t="s">
        <v>9311</v>
      </c>
      <c r="AH319" s="28" t="s">
        <v>4714</v>
      </c>
      <c r="AI319" s="28" t="s">
        <v>6659</v>
      </c>
      <c r="AJ319" s="516" t="str">
        <f>MID('II kw.22'!W319,8,6)</f>
        <v>962103</v>
      </c>
      <c r="AK319" s="516">
        <v>1</v>
      </c>
      <c r="AL319" s="516">
        <f t="shared" si="4"/>
        <v>1</v>
      </c>
      <c r="AM319" s="516">
        <v>1</v>
      </c>
      <c r="AN319" s="28" t="s">
        <v>17650</v>
      </c>
      <c r="AO319" s="28" t="s">
        <v>17651</v>
      </c>
      <c r="AP319" s="28" t="s">
        <v>17652</v>
      </c>
      <c r="AQ319" s="28" t="s">
        <v>17653</v>
      </c>
      <c r="AR319" s="28" t="s">
        <v>1024</v>
      </c>
    </row>
    <row r="320" spans="1:44" x14ac:dyDescent="0.25">
      <c r="A320" s="28" t="s">
        <v>11327</v>
      </c>
      <c r="B320" s="28" t="s">
        <v>18944</v>
      </c>
      <c r="C320" s="28" t="s">
        <v>27</v>
      </c>
      <c r="D320" s="28" t="s">
        <v>18175</v>
      </c>
      <c r="E320" s="28" t="s">
        <v>192</v>
      </c>
      <c r="F320" s="28">
        <v>1</v>
      </c>
      <c r="G320" s="28" t="s">
        <v>193</v>
      </c>
      <c r="H320" s="28" t="s">
        <v>194</v>
      </c>
      <c r="I320" s="28" t="s">
        <v>17759</v>
      </c>
      <c r="J320" s="28" t="s">
        <v>210</v>
      </c>
      <c r="K320" s="28" t="s">
        <v>9309</v>
      </c>
      <c r="L320" s="28" t="s">
        <v>6955</v>
      </c>
      <c r="N320" s="28" t="s">
        <v>18945</v>
      </c>
      <c r="O320" s="28" t="s">
        <v>6340</v>
      </c>
      <c r="P320" s="28" t="s">
        <v>18364</v>
      </c>
      <c r="Q320" s="28" t="s">
        <v>18329</v>
      </c>
      <c r="R320" s="28" t="s">
        <v>18365</v>
      </c>
      <c r="S320" s="28" t="s">
        <v>18946</v>
      </c>
      <c r="T320" s="28" t="s">
        <v>18947</v>
      </c>
      <c r="V320" s="28" t="s">
        <v>9334</v>
      </c>
      <c r="W320" s="28" t="s">
        <v>440</v>
      </c>
      <c r="X320" s="28" t="s">
        <v>194</v>
      </c>
      <c r="Y320" s="28" t="s">
        <v>9300</v>
      </c>
      <c r="AB320" s="28" t="s">
        <v>9311</v>
      </c>
      <c r="AH320" s="28" t="s">
        <v>4714</v>
      </c>
      <c r="AI320" s="28" t="s">
        <v>18944</v>
      </c>
      <c r="AJ320" s="516" t="str">
        <f>MID('II kw.22'!W320,8,6)</f>
        <v>242307</v>
      </c>
      <c r="AK320" s="516">
        <v>1</v>
      </c>
      <c r="AL320" s="516">
        <f t="shared" si="4"/>
        <v>1</v>
      </c>
      <c r="AM320" s="516">
        <v>1</v>
      </c>
      <c r="AN320" s="28" t="s">
        <v>17650</v>
      </c>
      <c r="AO320" s="28" t="s">
        <v>17651</v>
      </c>
      <c r="AP320" s="28" t="s">
        <v>17652</v>
      </c>
      <c r="AQ320" s="28" t="s">
        <v>17653</v>
      </c>
      <c r="AR320" s="28" t="s">
        <v>1024</v>
      </c>
    </row>
    <row r="321" spans="1:44" x14ac:dyDescent="0.25">
      <c r="A321" s="28" t="s">
        <v>1639</v>
      </c>
      <c r="B321" s="28" t="s">
        <v>18948</v>
      </c>
      <c r="C321" s="28" t="s">
        <v>10</v>
      </c>
      <c r="D321" s="28" t="s">
        <v>18175</v>
      </c>
      <c r="E321" s="28" t="s">
        <v>192</v>
      </c>
      <c r="F321" s="28">
        <v>1</v>
      </c>
      <c r="G321" s="28" t="s">
        <v>193</v>
      </c>
      <c r="H321" s="28" t="s">
        <v>194</v>
      </c>
      <c r="I321" s="28" t="s">
        <v>17672</v>
      </c>
      <c r="J321" s="28" t="s">
        <v>210</v>
      </c>
      <c r="K321" s="28" t="s">
        <v>9309</v>
      </c>
      <c r="L321" s="28" t="s">
        <v>6955</v>
      </c>
      <c r="N321" s="28" t="s">
        <v>18949</v>
      </c>
      <c r="O321" s="28" t="s">
        <v>6261</v>
      </c>
      <c r="P321" s="28" t="s">
        <v>18364</v>
      </c>
      <c r="Q321" s="28" t="s">
        <v>18329</v>
      </c>
      <c r="R321" s="28" t="s">
        <v>18365</v>
      </c>
      <c r="S321" s="28" t="s">
        <v>18950</v>
      </c>
      <c r="T321" s="28" t="s">
        <v>18951</v>
      </c>
      <c r="V321" s="28" t="s">
        <v>9334</v>
      </c>
      <c r="W321" s="28" t="s">
        <v>484</v>
      </c>
      <c r="X321" s="28" t="s">
        <v>194</v>
      </c>
      <c r="Y321" s="28" t="s">
        <v>9300</v>
      </c>
      <c r="AB321" s="28" t="s">
        <v>9311</v>
      </c>
      <c r="AH321" s="28" t="s">
        <v>4714</v>
      </c>
      <c r="AI321" s="28" t="s">
        <v>18948</v>
      </c>
      <c r="AJ321" s="516" t="str">
        <f>MID('II kw.22'!W321,8,6)</f>
        <v>251401</v>
      </c>
      <c r="AK321" s="516">
        <v>1</v>
      </c>
      <c r="AL321" s="516">
        <f t="shared" si="4"/>
        <v>1</v>
      </c>
      <c r="AM321" s="516">
        <v>1</v>
      </c>
      <c r="AN321" s="28" t="s">
        <v>17650</v>
      </c>
      <c r="AO321" s="28" t="s">
        <v>17651</v>
      </c>
      <c r="AP321" s="28" t="s">
        <v>17652</v>
      </c>
      <c r="AQ321" s="28" t="s">
        <v>17653</v>
      </c>
      <c r="AR321" s="28" t="s">
        <v>1024</v>
      </c>
    </row>
    <row r="322" spans="1:44" x14ac:dyDescent="0.25">
      <c r="A322" s="28" t="s">
        <v>1490</v>
      </c>
      <c r="B322" s="28" t="s">
        <v>18952</v>
      </c>
      <c r="C322" s="28" t="s">
        <v>2993</v>
      </c>
      <c r="D322" s="28" t="s">
        <v>18175</v>
      </c>
      <c r="E322" s="28" t="s">
        <v>192</v>
      </c>
      <c r="F322" s="28">
        <v>1</v>
      </c>
      <c r="G322" s="28" t="s">
        <v>193</v>
      </c>
      <c r="H322" s="28" t="s">
        <v>194</v>
      </c>
      <c r="I322" s="28" t="s">
        <v>17784</v>
      </c>
      <c r="J322" s="28" t="s">
        <v>575</v>
      </c>
      <c r="K322" s="28" t="s">
        <v>9309</v>
      </c>
      <c r="L322" s="28" t="s">
        <v>6955</v>
      </c>
      <c r="N322" s="28" t="s">
        <v>18953</v>
      </c>
      <c r="O322" s="28" t="s">
        <v>6921</v>
      </c>
      <c r="P322" s="28" t="s">
        <v>18364</v>
      </c>
      <c r="Q322" s="28" t="s">
        <v>18329</v>
      </c>
      <c r="R322" s="28" t="s">
        <v>18221</v>
      </c>
      <c r="S322" s="28" t="s">
        <v>18954</v>
      </c>
      <c r="T322" s="28" t="s">
        <v>18955</v>
      </c>
      <c r="V322" s="28" t="s">
        <v>9726</v>
      </c>
      <c r="W322" s="28" t="s">
        <v>3793</v>
      </c>
      <c r="X322" s="28" t="s">
        <v>194</v>
      </c>
      <c r="Y322" s="28" t="s">
        <v>9300</v>
      </c>
      <c r="AB322" s="28" t="s">
        <v>9311</v>
      </c>
      <c r="AH322" s="28" t="s">
        <v>4714</v>
      </c>
      <c r="AI322" s="28" t="s">
        <v>18952</v>
      </c>
      <c r="AJ322" s="516" t="str">
        <f>MID('II kw.22'!W322,8,6)</f>
        <v>251904</v>
      </c>
      <c r="AK322" s="516">
        <v>1</v>
      </c>
      <c r="AL322" s="516">
        <f t="shared" si="4"/>
        <v>1</v>
      </c>
      <c r="AM322" s="516">
        <v>1</v>
      </c>
      <c r="AN322" s="28" t="s">
        <v>17650</v>
      </c>
      <c r="AO322" s="28" t="s">
        <v>17651</v>
      </c>
      <c r="AP322" s="28" t="s">
        <v>17652</v>
      </c>
      <c r="AQ322" s="28" t="s">
        <v>17653</v>
      </c>
      <c r="AR322" s="28" t="s">
        <v>1024</v>
      </c>
    </row>
    <row r="323" spans="1:44" x14ac:dyDescent="0.25">
      <c r="A323" s="28" t="s">
        <v>1479</v>
      </c>
      <c r="B323" s="28" t="s">
        <v>10421</v>
      </c>
      <c r="C323" s="28" t="s">
        <v>74</v>
      </c>
      <c r="D323" s="28" t="s">
        <v>18175</v>
      </c>
      <c r="E323" s="28" t="s">
        <v>192</v>
      </c>
      <c r="F323" s="28">
        <v>1</v>
      </c>
      <c r="G323" s="28" t="s">
        <v>193</v>
      </c>
      <c r="H323" s="28" t="s">
        <v>194</v>
      </c>
      <c r="I323" s="28" t="s">
        <v>17706</v>
      </c>
      <c r="J323" s="28" t="s">
        <v>399</v>
      </c>
      <c r="K323" s="28" t="s">
        <v>9309</v>
      </c>
      <c r="L323" s="28" t="s">
        <v>6955</v>
      </c>
      <c r="N323" s="28" t="s">
        <v>18956</v>
      </c>
      <c r="O323" s="28" t="s">
        <v>6249</v>
      </c>
      <c r="P323" s="28" t="s">
        <v>18364</v>
      </c>
      <c r="Q323" s="28" t="s">
        <v>18329</v>
      </c>
      <c r="R323" s="28" t="s">
        <v>18365</v>
      </c>
      <c r="S323" s="28" t="s">
        <v>18957</v>
      </c>
      <c r="T323" s="28" t="s">
        <v>18958</v>
      </c>
      <c r="V323" s="28" t="s">
        <v>11135</v>
      </c>
      <c r="W323" s="28" t="s">
        <v>246</v>
      </c>
      <c r="X323" s="28" t="s">
        <v>194</v>
      </c>
      <c r="Y323" s="28" t="s">
        <v>9300</v>
      </c>
      <c r="AB323" s="28" t="s">
        <v>9311</v>
      </c>
      <c r="AH323" s="28" t="s">
        <v>4714</v>
      </c>
      <c r="AI323" s="28" t="s">
        <v>10421</v>
      </c>
      <c r="AJ323" s="516" t="str">
        <f>MID('II kw.22'!W323,8,6)</f>
        <v>142004</v>
      </c>
      <c r="AK323" s="516">
        <v>1</v>
      </c>
      <c r="AL323" s="516">
        <f t="shared" ref="AL323:AL386" si="5">SUM(F323)</f>
        <v>1</v>
      </c>
      <c r="AM323" s="516">
        <v>1</v>
      </c>
      <c r="AN323" s="28" t="s">
        <v>17650</v>
      </c>
      <c r="AO323" s="28" t="s">
        <v>17651</v>
      </c>
      <c r="AP323" s="28" t="s">
        <v>17652</v>
      </c>
      <c r="AQ323" s="28" t="s">
        <v>17653</v>
      </c>
      <c r="AR323" s="28" t="s">
        <v>1024</v>
      </c>
    </row>
    <row r="324" spans="1:44" x14ac:dyDescent="0.25">
      <c r="A324" s="28" t="s">
        <v>1479</v>
      </c>
      <c r="B324" s="28" t="s">
        <v>10421</v>
      </c>
      <c r="C324" s="28" t="s">
        <v>74</v>
      </c>
      <c r="D324" s="28" t="s">
        <v>18175</v>
      </c>
      <c r="E324" s="28" t="s">
        <v>192</v>
      </c>
      <c r="F324" s="28">
        <v>1</v>
      </c>
      <c r="G324" s="28" t="s">
        <v>193</v>
      </c>
      <c r="H324" s="28" t="s">
        <v>194</v>
      </c>
      <c r="I324" s="28" t="s">
        <v>17706</v>
      </c>
      <c r="J324" s="28" t="s">
        <v>962</v>
      </c>
      <c r="K324" s="28" t="s">
        <v>9309</v>
      </c>
      <c r="L324" s="28" t="s">
        <v>6955</v>
      </c>
      <c r="N324" s="28" t="s">
        <v>18959</v>
      </c>
      <c r="O324" s="28" t="s">
        <v>6249</v>
      </c>
      <c r="P324" s="28" t="s">
        <v>18364</v>
      </c>
      <c r="Q324" s="28" t="s">
        <v>18329</v>
      </c>
      <c r="R324" s="28" t="s">
        <v>18365</v>
      </c>
      <c r="S324" s="28" t="s">
        <v>18960</v>
      </c>
      <c r="T324" s="28" t="s">
        <v>18961</v>
      </c>
      <c r="V324" s="28" t="s">
        <v>11394</v>
      </c>
      <c r="W324" s="28" t="s">
        <v>246</v>
      </c>
      <c r="X324" s="28" t="s">
        <v>194</v>
      </c>
      <c r="Y324" s="28" t="s">
        <v>9300</v>
      </c>
      <c r="AB324" s="28" t="s">
        <v>9311</v>
      </c>
      <c r="AH324" s="28" t="s">
        <v>4714</v>
      </c>
      <c r="AI324" s="28" t="s">
        <v>10421</v>
      </c>
      <c r="AJ324" s="516" t="str">
        <f>MID('II kw.22'!W324,8,6)</f>
        <v>142004</v>
      </c>
      <c r="AK324" s="516">
        <v>1</v>
      </c>
      <c r="AL324" s="516">
        <f t="shared" si="5"/>
        <v>1</v>
      </c>
      <c r="AM324" s="516">
        <v>1</v>
      </c>
      <c r="AN324" s="28" t="s">
        <v>17650</v>
      </c>
      <c r="AO324" s="28" t="s">
        <v>17651</v>
      </c>
      <c r="AP324" s="28" t="s">
        <v>17652</v>
      </c>
      <c r="AQ324" s="28" t="s">
        <v>17653</v>
      </c>
      <c r="AR324" s="28" t="s">
        <v>1024</v>
      </c>
    </row>
    <row r="325" spans="1:44" x14ac:dyDescent="0.25">
      <c r="A325" s="28" t="s">
        <v>1479</v>
      </c>
      <c r="B325" s="28" t="s">
        <v>10421</v>
      </c>
      <c r="C325" s="28" t="s">
        <v>74</v>
      </c>
      <c r="D325" s="28" t="s">
        <v>18175</v>
      </c>
      <c r="E325" s="28" t="s">
        <v>192</v>
      </c>
      <c r="F325" s="28">
        <v>1</v>
      </c>
      <c r="G325" s="28" t="s">
        <v>193</v>
      </c>
      <c r="H325" s="28" t="s">
        <v>194</v>
      </c>
      <c r="I325" s="28" t="s">
        <v>17706</v>
      </c>
      <c r="J325" s="28" t="s">
        <v>4751</v>
      </c>
      <c r="K325" s="28" t="s">
        <v>9309</v>
      </c>
      <c r="L325" s="28" t="s">
        <v>6955</v>
      </c>
      <c r="N325" s="28" t="s">
        <v>18962</v>
      </c>
      <c r="O325" s="28" t="s">
        <v>6249</v>
      </c>
      <c r="P325" s="28" t="s">
        <v>18364</v>
      </c>
      <c r="Q325" s="28" t="s">
        <v>18329</v>
      </c>
      <c r="R325" s="28" t="s">
        <v>18365</v>
      </c>
      <c r="S325" s="28" t="s">
        <v>18963</v>
      </c>
      <c r="T325" s="28" t="s">
        <v>18964</v>
      </c>
      <c r="V325" s="28" t="s">
        <v>9472</v>
      </c>
      <c r="W325" s="28" t="s">
        <v>246</v>
      </c>
      <c r="X325" s="28" t="s">
        <v>194</v>
      </c>
      <c r="Y325" s="28" t="s">
        <v>9300</v>
      </c>
      <c r="AB325" s="28" t="s">
        <v>9311</v>
      </c>
      <c r="AH325" s="28" t="s">
        <v>4714</v>
      </c>
      <c r="AI325" s="28" t="s">
        <v>10421</v>
      </c>
      <c r="AJ325" s="516" t="str">
        <f>MID('II kw.22'!W325,8,6)</f>
        <v>142004</v>
      </c>
      <c r="AK325" s="516">
        <v>1</v>
      </c>
      <c r="AL325" s="516">
        <f t="shared" si="5"/>
        <v>1</v>
      </c>
      <c r="AM325" s="516">
        <v>1</v>
      </c>
      <c r="AN325" s="28" t="s">
        <v>17650</v>
      </c>
      <c r="AO325" s="28" t="s">
        <v>17651</v>
      </c>
      <c r="AP325" s="28" t="s">
        <v>17652</v>
      </c>
      <c r="AQ325" s="28" t="s">
        <v>17653</v>
      </c>
      <c r="AR325" s="28" t="s">
        <v>1024</v>
      </c>
    </row>
    <row r="326" spans="1:44" x14ac:dyDescent="0.25">
      <c r="A326" s="28" t="s">
        <v>369</v>
      </c>
      <c r="B326" s="28" t="s">
        <v>18965</v>
      </c>
      <c r="C326" s="28" t="s">
        <v>525</v>
      </c>
      <c r="D326" s="28" t="s">
        <v>18175</v>
      </c>
      <c r="E326" s="28" t="s">
        <v>192</v>
      </c>
      <c r="F326" s="28">
        <v>1</v>
      </c>
      <c r="G326" s="28" t="s">
        <v>193</v>
      </c>
      <c r="H326" s="28" t="s">
        <v>194</v>
      </c>
      <c r="I326" s="28" t="s">
        <v>17672</v>
      </c>
      <c r="J326" s="28" t="s">
        <v>210</v>
      </c>
      <c r="K326" s="28" t="s">
        <v>9309</v>
      </c>
      <c r="L326" s="28" t="s">
        <v>6955</v>
      </c>
      <c r="N326" s="28" t="s">
        <v>18966</v>
      </c>
      <c r="O326" s="28" t="s">
        <v>7489</v>
      </c>
      <c r="P326" s="28" t="s">
        <v>18364</v>
      </c>
      <c r="Q326" s="28" t="s">
        <v>18329</v>
      </c>
      <c r="R326" s="28" t="s">
        <v>18365</v>
      </c>
      <c r="S326" s="28" t="s">
        <v>18967</v>
      </c>
      <c r="T326" s="28" t="s">
        <v>18968</v>
      </c>
      <c r="V326" s="28" t="s">
        <v>9334</v>
      </c>
      <c r="W326" s="28" t="s">
        <v>526</v>
      </c>
      <c r="X326" s="28" t="s">
        <v>194</v>
      </c>
      <c r="Y326" s="28" t="s">
        <v>9300</v>
      </c>
      <c r="AB326" s="28" t="s">
        <v>9311</v>
      </c>
      <c r="AH326" s="509" t="s">
        <v>5109</v>
      </c>
      <c r="AI326" s="28" t="s">
        <v>18965</v>
      </c>
      <c r="AJ326" s="516" t="str">
        <f>MID('II kw.22'!W326,8,6)</f>
        <v>263102</v>
      </c>
      <c r="AK326" s="516">
        <v>1</v>
      </c>
      <c r="AL326" s="516">
        <f t="shared" si="5"/>
        <v>1</v>
      </c>
      <c r="AM326" s="516">
        <v>1</v>
      </c>
      <c r="AN326" s="28" t="s">
        <v>17650</v>
      </c>
      <c r="AO326" s="28" t="s">
        <v>17651</v>
      </c>
      <c r="AP326" s="28" t="s">
        <v>17652</v>
      </c>
      <c r="AQ326" s="28" t="s">
        <v>17653</v>
      </c>
      <c r="AR326" s="28" t="s">
        <v>1024</v>
      </c>
    </row>
    <row r="327" spans="1:44" x14ac:dyDescent="0.25">
      <c r="A327" s="28" t="s">
        <v>1483</v>
      </c>
      <c r="B327" s="28" t="s">
        <v>18969</v>
      </c>
      <c r="C327" s="28" t="s">
        <v>12</v>
      </c>
      <c r="D327" s="28" t="s">
        <v>18175</v>
      </c>
      <c r="E327" s="28" t="s">
        <v>192</v>
      </c>
      <c r="F327" s="28">
        <v>1</v>
      </c>
      <c r="G327" s="28" t="s">
        <v>193</v>
      </c>
      <c r="H327" s="28" t="s">
        <v>194</v>
      </c>
      <c r="I327" s="28" t="s">
        <v>17672</v>
      </c>
      <c r="J327" s="28" t="s">
        <v>210</v>
      </c>
      <c r="K327" s="28" t="s">
        <v>9309</v>
      </c>
      <c r="L327" s="28" t="s">
        <v>6955</v>
      </c>
      <c r="N327" s="28" t="s">
        <v>18970</v>
      </c>
      <c r="O327" s="28" t="s">
        <v>6324</v>
      </c>
      <c r="P327" s="28" t="s">
        <v>18364</v>
      </c>
      <c r="Q327" s="28" t="s">
        <v>18329</v>
      </c>
      <c r="R327" s="28" t="s">
        <v>18365</v>
      </c>
      <c r="S327" s="28" t="s">
        <v>18971</v>
      </c>
      <c r="T327" s="28" t="s">
        <v>18972</v>
      </c>
      <c r="V327" s="28" t="s">
        <v>9334</v>
      </c>
      <c r="W327" s="28" t="s">
        <v>220</v>
      </c>
      <c r="X327" s="28" t="s">
        <v>194</v>
      </c>
      <c r="Y327" s="28" t="s">
        <v>9300</v>
      </c>
      <c r="AB327" s="28" t="s">
        <v>9311</v>
      </c>
      <c r="AH327" s="28" t="s">
        <v>4714</v>
      </c>
      <c r="AI327" s="138" t="s">
        <v>18969</v>
      </c>
      <c r="AJ327" s="516" t="str">
        <f>MID('II kw.22'!W327,8,6)</f>
        <v>132301</v>
      </c>
      <c r="AK327" s="516">
        <v>1</v>
      </c>
      <c r="AL327" s="516">
        <f t="shared" si="5"/>
        <v>1</v>
      </c>
      <c r="AM327" s="516">
        <v>1</v>
      </c>
      <c r="AN327" s="28" t="s">
        <v>17650</v>
      </c>
      <c r="AO327" s="28" t="s">
        <v>17651</v>
      </c>
      <c r="AP327" s="28" t="s">
        <v>17652</v>
      </c>
      <c r="AQ327" s="28" t="s">
        <v>17653</v>
      </c>
      <c r="AR327" s="28" t="s">
        <v>1024</v>
      </c>
    </row>
    <row r="328" spans="1:44" x14ac:dyDescent="0.25">
      <c r="A328" s="28" t="s">
        <v>369</v>
      </c>
      <c r="B328" s="28" t="s">
        <v>18973</v>
      </c>
      <c r="C328" s="28" t="s">
        <v>11493</v>
      </c>
      <c r="D328" s="28" t="s">
        <v>18175</v>
      </c>
      <c r="E328" s="28" t="s">
        <v>192</v>
      </c>
      <c r="F328" s="28">
        <v>1</v>
      </c>
      <c r="G328" s="28" t="s">
        <v>193</v>
      </c>
      <c r="H328" s="28" t="s">
        <v>194</v>
      </c>
      <c r="I328" s="28" t="s">
        <v>17672</v>
      </c>
      <c r="J328" s="28" t="s">
        <v>210</v>
      </c>
      <c r="K328" s="28" t="s">
        <v>9309</v>
      </c>
      <c r="L328" s="28" t="s">
        <v>6955</v>
      </c>
      <c r="N328" s="28" t="s">
        <v>18974</v>
      </c>
      <c r="O328" s="28" t="s">
        <v>6327</v>
      </c>
      <c r="P328" s="28" t="s">
        <v>18364</v>
      </c>
      <c r="Q328" s="28" t="s">
        <v>18329</v>
      </c>
      <c r="R328" s="28" t="s">
        <v>18365</v>
      </c>
      <c r="S328" s="28" t="s">
        <v>18975</v>
      </c>
      <c r="T328" s="28" t="s">
        <v>18976</v>
      </c>
      <c r="V328" s="28" t="s">
        <v>9334</v>
      </c>
      <c r="W328" s="28" t="s">
        <v>11497</v>
      </c>
      <c r="X328" s="28" t="s">
        <v>194</v>
      </c>
      <c r="Y328" s="28" t="s">
        <v>9300</v>
      </c>
      <c r="AB328" s="28" t="s">
        <v>9311</v>
      </c>
      <c r="AH328" s="509" t="s">
        <v>5109</v>
      </c>
      <c r="AI328" s="28" t="s">
        <v>18973</v>
      </c>
      <c r="AJ328" s="516" t="str">
        <f>MID('II kw.22'!W328,8,6)</f>
        <v>214306</v>
      </c>
      <c r="AK328" s="516">
        <v>1</v>
      </c>
      <c r="AL328" s="516">
        <f t="shared" si="5"/>
        <v>1</v>
      </c>
      <c r="AM328" s="516">
        <v>1</v>
      </c>
      <c r="AN328" s="28" t="s">
        <v>17650</v>
      </c>
      <c r="AO328" s="28" t="s">
        <v>17651</v>
      </c>
      <c r="AP328" s="28" t="s">
        <v>17652</v>
      </c>
      <c r="AQ328" s="28" t="s">
        <v>17653</v>
      </c>
      <c r="AR328" s="28" t="s">
        <v>1024</v>
      </c>
    </row>
    <row r="329" spans="1:44" x14ac:dyDescent="0.25">
      <c r="A329" s="28" t="s">
        <v>369</v>
      </c>
      <c r="B329" s="28" t="s">
        <v>18977</v>
      </c>
      <c r="C329" s="28" t="s">
        <v>45</v>
      </c>
      <c r="D329" s="28" t="s">
        <v>18175</v>
      </c>
      <c r="E329" s="28" t="s">
        <v>192</v>
      </c>
      <c r="F329" s="28">
        <v>1</v>
      </c>
      <c r="G329" s="28" t="s">
        <v>193</v>
      </c>
      <c r="H329" s="28" t="s">
        <v>194</v>
      </c>
      <c r="I329" s="28" t="s">
        <v>17672</v>
      </c>
      <c r="J329" s="28" t="s">
        <v>210</v>
      </c>
      <c r="K329" s="28" t="s">
        <v>9309</v>
      </c>
      <c r="L329" s="28" t="s">
        <v>6955</v>
      </c>
      <c r="N329" s="28" t="s">
        <v>18978</v>
      </c>
      <c r="O329" s="28" t="s">
        <v>6245</v>
      </c>
      <c r="P329" s="28" t="s">
        <v>18364</v>
      </c>
      <c r="Q329" s="28" t="s">
        <v>18329</v>
      </c>
      <c r="R329" s="28" t="s">
        <v>18365</v>
      </c>
      <c r="S329" s="28" t="s">
        <v>18979</v>
      </c>
      <c r="T329" s="28" t="s">
        <v>18980</v>
      </c>
      <c r="V329" s="28" t="s">
        <v>9334</v>
      </c>
      <c r="W329" s="28" t="s">
        <v>351</v>
      </c>
      <c r="X329" s="28" t="s">
        <v>194</v>
      </c>
      <c r="Y329" s="28" t="s">
        <v>9300</v>
      </c>
      <c r="AB329" s="28" t="s">
        <v>9311</v>
      </c>
      <c r="AH329" s="509" t="s">
        <v>5109</v>
      </c>
      <c r="AI329" s="28" t="s">
        <v>18977</v>
      </c>
      <c r="AJ329" s="516" t="str">
        <f>MID('II kw.22'!W329,8,6)</f>
        <v>214932</v>
      </c>
      <c r="AK329" s="516">
        <v>1</v>
      </c>
      <c r="AL329" s="516">
        <f t="shared" si="5"/>
        <v>1</v>
      </c>
      <c r="AM329" s="516">
        <v>1</v>
      </c>
      <c r="AN329" s="28" t="s">
        <v>17650</v>
      </c>
      <c r="AO329" s="28" t="s">
        <v>17651</v>
      </c>
      <c r="AP329" s="28" t="s">
        <v>17652</v>
      </c>
      <c r="AQ329" s="28" t="s">
        <v>17653</v>
      </c>
      <c r="AR329" s="28" t="s">
        <v>1024</v>
      </c>
    </row>
    <row r="330" spans="1:44" x14ac:dyDescent="0.25">
      <c r="A330" s="28" t="s">
        <v>1479</v>
      </c>
      <c r="B330" s="28" t="s">
        <v>10421</v>
      </c>
      <c r="C330" s="28" t="s">
        <v>74</v>
      </c>
      <c r="D330" s="28" t="s">
        <v>18175</v>
      </c>
      <c r="E330" s="28" t="s">
        <v>192</v>
      </c>
      <c r="F330" s="28">
        <v>1</v>
      </c>
      <c r="G330" s="28" t="s">
        <v>193</v>
      </c>
      <c r="H330" s="28" t="s">
        <v>194</v>
      </c>
      <c r="I330" s="28" t="s">
        <v>17706</v>
      </c>
      <c r="J330" s="28" t="s">
        <v>210</v>
      </c>
      <c r="K330" s="28" t="s">
        <v>9309</v>
      </c>
      <c r="L330" s="28" t="s">
        <v>6955</v>
      </c>
      <c r="N330" s="28" t="s">
        <v>18981</v>
      </c>
      <c r="O330" s="28" t="s">
        <v>6249</v>
      </c>
      <c r="P330" s="28" t="s">
        <v>18364</v>
      </c>
      <c r="Q330" s="28" t="s">
        <v>18329</v>
      </c>
      <c r="R330" s="28" t="s">
        <v>18365</v>
      </c>
      <c r="S330" s="28" t="s">
        <v>18982</v>
      </c>
      <c r="T330" s="28" t="s">
        <v>18983</v>
      </c>
      <c r="V330" s="28" t="s">
        <v>9334</v>
      </c>
      <c r="W330" s="28" t="s">
        <v>246</v>
      </c>
      <c r="X330" s="28" t="s">
        <v>194</v>
      </c>
      <c r="Y330" s="28" t="s">
        <v>9300</v>
      </c>
      <c r="AB330" s="28" t="s">
        <v>9311</v>
      </c>
      <c r="AH330" s="28" t="s">
        <v>4714</v>
      </c>
      <c r="AI330" s="28" t="s">
        <v>10421</v>
      </c>
      <c r="AJ330" s="516" t="str">
        <f>MID('II kw.22'!W330,8,6)</f>
        <v>142004</v>
      </c>
      <c r="AK330" s="516">
        <v>1</v>
      </c>
      <c r="AL330" s="516">
        <f t="shared" si="5"/>
        <v>1</v>
      </c>
      <c r="AM330" s="516">
        <v>1</v>
      </c>
      <c r="AN330" s="28" t="s">
        <v>17650</v>
      </c>
      <c r="AO330" s="28" t="s">
        <v>17651</v>
      </c>
      <c r="AP330" s="28" t="s">
        <v>17652</v>
      </c>
      <c r="AQ330" s="28" t="s">
        <v>17653</v>
      </c>
      <c r="AR330" s="28" t="s">
        <v>1024</v>
      </c>
    </row>
    <row r="331" spans="1:44" x14ac:dyDescent="0.25">
      <c r="A331" s="28" t="s">
        <v>9346</v>
      </c>
      <c r="B331" s="28" t="s">
        <v>18984</v>
      </c>
      <c r="C331" s="28" t="s">
        <v>3315</v>
      </c>
      <c r="D331" s="28" t="s">
        <v>18175</v>
      </c>
      <c r="E331" s="28" t="s">
        <v>192</v>
      </c>
      <c r="F331" s="28">
        <v>1</v>
      </c>
      <c r="G331" s="28" t="s">
        <v>193</v>
      </c>
      <c r="H331" s="28" t="s">
        <v>194</v>
      </c>
      <c r="I331" s="28" t="s">
        <v>17759</v>
      </c>
      <c r="J331" s="28" t="s">
        <v>210</v>
      </c>
      <c r="K331" s="28" t="s">
        <v>9309</v>
      </c>
      <c r="L331" s="28" t="s">
        <v>6955</v>
      </c>
      <c r="N331" s="28" t="s">
        <v>18985</v>
      </c>
      <c r="O331" s="28" t="s">
        <v>6261</v>
      </c>
      <c r="P331" s="28" t="s">
        <v>18364</v>
      </c>
      <c r="Q331" s="28" t="s">
        <v>18329</v>
      </c>
      <c r="R331" s="28" t="s">
        <v>18221</v>
      </c>
      <c r="S331" s="28" t="s">
        <v>18986</v>
      </c>
      <c r="T331" s="28" t="s">
        <v>18987</v>
      </c>
      <c r="V331" s="28" t="s">
        <v>9334</v>
      </c>
      <c r="W331" s="28" t="s">
        <v>3317</v>
      </c>
      <c r="X331" s="28" t="s">
        <v>194</v>
      </c>
      <c r="Y331" s="28" t="s">
        <v>9300</v>
      </c>
      <c r="AB331" s="28" t="s">
        <v>9311</v>
      </c>
      <c r="AH331" s="28" t="s">
        <v>4714</v>
      </c>
      <c r="AI331" s="28" t="s">
        <v>18984</v>
      </c>
      <c r="AJ331" s="516" t="str">
        <f>MID('II kw.22'!W331,8,6)</f>
        <v>216101</v>
      </c>
      <c r="AK331" s="516">
        <v>1</v>
      </c>
      <c r="AL331" s="516">
        <f t="shared" si="5"/>
        <v>1</v>
      </c>
      <c r="AM331" s="516">
        <v>1</v>
      </c>
      <c r="AN331" s="28" t="s">
        <v>17650</v>
      </c>
      <c r="AO331" s="28" t="s">
        <v>17651</v>
      </c>
      <c r="AP331" s="28" t="s">
        <v>17652</v>
      </c>
      <c r="AQ331" s="28" t="s">
        <v>17653</v>
      </c>
      <c r="AR331" s="28" t="s">
        <v>1024</v>
      </c>
    </row>
    <row r="332" spans="1:44" x14ac:dyDescent="0.25">
      <c r="A332" s="28" t="s">
        <v>2656</v>
      </c>
      <c r="B332" s="28" t="s">
        <v>18988</v>
      </c>
      <c r="C332" s="28" t="s">
        <v>378</v>
      </c>
      <c r="D332" s="28" t="s">
        <v>18175</v>
      </c>
      <c r="E332" s="28" t="s">
        <v>192</v>
      </c>
      <c r="F332" s="28">
        <v>1</v>
      </c>
      <c r="G332" s="28" t="s">
        <v>193</v>
      </c>
      <c r="H332" s="28" t="s">
        <v>194</v>
      </c>
      <c r="I332" s="28" t="s">
        <v>17672</v>
      </c>
      <c r="J332" s="28" t="s">
        <v>210</v>
      </c>
      <c r="K332" s="28" t="s">
        <v>9309</v>
      </c>
      <c r="L332" s="28" t="s">
        <v>6955</v>
      </c>
      <c r="N332" s="28" t="s">
        <v>18989</v>
      </c>
      <c r="O332" s="28" t="s">
        <v>6921</v>
      </c>
      <c r="P332" s="28" t="s">
        <v>18364</v>
      </c>
      <c r="Q332" s="28" t="s">
        <v>18329</v>
      </c>
      <c r="R332" s="28" t="s">
        <v>18365</v>
      </c>
      <c r="S332" s="28" t="s">
        <v>18990</v>
      </c>
      <c r="T332" s="28" t="s">
        <v>18991</v>
      </c>
      <c r="V332" s="28" t="s">
        <v>9334</v>
      </c>
      <c r="W332" s="28" t="s">
        <v>379</v>
      </c>
      <c r="X332" s="28" t="s">
        <v>194</v>
      </c>
      <c r="Y332" s="28" t="s">
        <v>9300</v>
      </c>
      <c r="AB332" s="28" t="s">
        <v>9311</v>
      </c>
      <c r="AH332" s="509" t="s">
        <v>5109</v>
      </c>
      <c r="AI332" s="28" t="s">
        <v>18988</v>
      </c>
      <c r="AJ332" s="516" t="str">
        <f>MID('II kw.22'!W332,8,6)</f>
        <v>215303</v>
      </c>
      <c r="AK332" s="516">
        <v>1</v>
      </c>
      <c r="AL332" s="516">
        <f t="shared" si="5"/>
        <v>1</v>
      </c>
      <c r="AM332" s="516">
        <v>1</v>
      </c>
      <c r="AN332" s="28" t="s">
        <v>17650</v>
      </c>
      <c r="AO332" s="28" t="s">
        <v>17651</v>
      </c>
      <c r="AP332" s="28" t="s">
        <v>17652</v>
      </c>
      <c r="AQ332" s="28" t="s">
        <v>17653</v>
      </c>
      <c r="AR332" s="28" t="s">
        <v>1024</v>
      </c>
    </row>
    <row r="333" spans="1:44" x14ac:dyDescent="0.25">
      <c r="A333" s="28" t="s">
        <v>974</v>
      </c>
      <c r="B333" s="28" t="s">
        <v>4610</v>
      </c>
      <c r="C333" s="28" t="s">
        <v>18992</v>
      </c>
      <c r="D333" s="28" t="s">
        <v>18175</v>
      </c>
      <c r="E333" s="28" t="s">
        <v>192</v>
      </c>
      <c r="F333" s="28">
        <v>1</v>
      </c>
      <c r="G333" s="28" t="s">
        <v>193</v>
      </c>
      <c r="H333" s="28" t="s">
        <v>194</v>
      </c>
      <c r="I333" s="28" t="s">
        <v>17656</v>
      </c>
      <c r="J333" s="28" t="s">
        <v>755</v>
      </c>
      <c r="K333" s="28" t="s">
        <v>9309</v>
      </c>
      <c r="L333" s="28" t="s">
        <v>6955</v>
      </c>
      <c r="N333" s="28" t="s">
        <v>18993</v>
      </c>
      <c r="O333" s="28" t="s">
        <v>6275</v>
      </c>
      <c r="P333" s="28" t="s">
        <v>18364</v>
      </c>
      <c r="Q333" s="28" t="s">
        <v>18329</v>
      </c>
      <c r="R333" s="28" t="s">
        <v>18365</v>
      </c>
      <c r="S333" s="28" t="s">
        <v>18994</v>
      </c>
      <c r="T333" s="28" t="s">
        <v>18995</v>
      </c>
      <c r="V333" s="28" t="s">
        <v>9726</v>
      </c>
      <c r="W333" s="28" t="s">
        <v>18996</v>
      </c>
      <c r="X333" s="28" t="s">
        <v>194</v>
      </c>
      <c r="Y333" s="28" t="s">
        <v>9300</v>
      </c>
      <c r="AB333" s="28" t="s">
        <v>9311</v>
      </c>
      <c r="AH333" s="28" t="s">
        <v>4714</v>
      </c>
      <c r="AI333" s="28" t="s">
        <v>4610</v>
      </c>
      <c r="AJ333" s="516" t="str">
        <f>MID('II kw.22'!W333,8,6)</f>
        <v>834390</v>
      </c>
      <c r="AK333" s="516">
        <v>1</v>
      </c>
      <c r="AL333" s="516">
        <f t="shared" si="5"/>
        <v>1</v>
      </c>
      <c r="AM333" s="516">
        <v>1</v>
      </c>
      <c r="AN333" s="28" t="s">
        <v>17650</v>
      </c>
      <c r="AO333" s="28" t="s">
        <v>17651</v>
      </c>
      <c r="AP333" s="28" t="s">
        <v>17652</v>
      </c>
      <c r="AQ333" s="28" t="s">
        <v>17653</v>
      </c>
      <c r="AR333" s="28" t="s">
        <v>1024</v>
      </c>
    </row>
    <row r="334" spans="1:44" x14ac:dyDescent="0.25">
      <c r="A334" s="28" t="s">
        <v>369</v>
      </c>
      <c r="B334" s="28" t="s">
        <v>18997</v>
      </c>
      <c r="C334" s="28" t="s">
        <v>9377</v>
      </c>
      <c r="D334" s="28" t="s">
        <v>18175</v>
      </c>
      <c r="E334" s="28" t="s">
        <v>192</v>
      </c>
      <c r="F334" s="28">
        <v>1</v>
      </c>
      <c r="G334" s="28" t="s">
        <v>193</v>
      </c>
      <c r="H334" s="28" t="s">
        <v>194</v>
      </c>
      <c r="I334" s="28" t="s">
        <v>17672</v>
      </c>
      <c r="J334" s="28" t="s">
        <v>210</v>
      </c>
      <c r="K334" s="28" t="s">
        <v>9309</v>
      </c>
      <c r="L334" s="28" t="s">
        <v>6955</v>
      </c>
      <c r="N334" s="28" t="s">
        <v>18998</v>
      </c>
      <c r="O334" s="28" t="s">
        <v>6286</v>
      </c>
      <c r="P334" s="28" t="s">
        <v>18364</v>
      </c>
      <c r="Q334" s="28" t="s">
        <v>18329</v>
      </c>
      <c r="R334" s="28" t="s">
        <v>18365</v>
      </c>
      <c r="S334" s="28" t="s">
        <v>18999</v>
      </c>
      <c r="T334" s="28" t="s">
        <v>19000</v>
      </c>
      <c r="V334" s="28" t="s">
        <v>9334</v>
      </c>
      <c r="W334" s="28" t="s">
        <v>9381</v>
      </c>
      <c r="X334" s="28" t="s">
        <v>194</v>
      </c>
      <c r="Y334" s="28" t="s">
        <v>9300</v>
      </c>
      <c r="AB334" s="28" t="s">
        <v>9311</v>
      </c>
      <c r="AH334" s="509" t="s">
        <v>5109</v>
      </c>
      <c r="AI334" s="28" t="s">
        <v>18997</v>
      </c>
      <c r="AJ334" s="516" t="str">
        <f>MID('II kw.22'!W334,8,6)</f>
        <v>264302</v>
      </c>
      <c r="AK334" s="516">
        <v>1</v>
      </c>
      <c r="AL334" s="516">
        <f t="shared" si="5"/>
        <v>1</v>
      </c>
      <c r="AM334" s="516">
        <v>1</v>
      </c>
      <c r="AN334" s="28" t="s">
        <v>17650</v>
      </c>
      <c r="AO334" s="28" t="s">
        <v>17651</v>
      </c>
      <c r="AP334" s="28" t="s">
        <v>17652</v>
      </c>
      <c r="AQ334" s="28" t="s">
        <v>17653</v>
      </c>
      <c r="AR334" s="28" t="s">
        <v>1024</v>
      </c>
    </row>
    <row r="335" spans="1:44" x14ac:dyDescent="0.25">
      <c r="A335" s="28" t="s">
        <v>8187</v>
      </c>
      <c r="B335" s="28" t="s">
        <v>19001</v>
      </c>
      <c r="C335" s="28" t="s">
        <v>740</v>
      </c>
      <c r="D335" s="28" t="s">
        <v>18175</v>
      </c>
      <c r="E335" s="28" t="s">
        <v>192</v>
      </c>
      <c r="F335" s="28">
        <v>1</v>
      </c>
      <c r="G335" s="28" t="s">
        <v>193</v>
      </c>
      <c r="H335" s="28" t="s">
        <v>194</v>
      </c>
      <c r="I335" s="28" t="s">
        <v>17706</v>
      </c>
      <c r="J335" s="28" t="s">
        <v>259</v>
      </c>
      <c r="K335" s="28" t="s">
        <v>9309</v>
      </c>
      <c r="L335" s="28" t="s">
        <v>6955</v>
      </c>
      <c r="N335" s="28" t="s">
        <v>19002</v>
      </c>
      <c r="O335" s="28" t="s">
        <v>6251</v>
      </c>
      <c r="P335" s="28" t="s">
        <v>18364</v>
      </c>
      <c r="Q335" s="28" t="s">
        <v>18329</v>
      </c>
      <c r="R335" s="28" t="s">
        <v>18819</v>
      </c>
      <c r="S335" s="28" t="s">
        <v>19003</v>
      </c>
      <c r="T335" s="28" t="s">
        <v>19004</v>
      </c>
      <c r="V335" s="28" t="s">
        <v>10136</v>
      </c>
      <c r="W335" s="28" t="s">
        <v>741</v>
      </c>
      <c r="X335" s="28" t="s">
        <v>194</v>
      </c>
      <c r="Y335" s="28" t="s">
        <v>9300</v>
      </c>
      <c r="AB335" s="28" t="s">
        <v>9311</v>
      </c>
      <c r="AH335" s="28" t="s">
        <v>4714</v>
      </c>
      <c r="AI335" s="28" t="s">
        <v>19001</v>
      </c>
      <c r="AJ335" s="516" t="str">
        <f>MID('II kw.22'!W335,8,6)</f>
        <v>522301</v>
      </c>
      <c r="AK335" s="516">
        <v>1</v>
      </c>
      <c r="AL335" s="516">
        <f t="shared" si="5"/>
        <v>1</v>
      </c>
      <c r="AM335" s="516">
        <v>1</v>
      </c>
      <c r="AN335" s="28" t="s">
        <v>17650</v>
      </c>
      <c r="AO335" s="28" t="s">
        <v>17651</v>
      </c>
      <c r="AP335" s="28" t="s">
        <v>17652</v>
      </c>
      <c r="AQ335" s="28" t="s">
        <v>17653</v>
      </c>
      <c r="AR335" s="28" t="s">
        <v>1024</v>
      </c>
    </row>
    <row r="336" spans="1:44" x14ac:dyDescent="0.25">
      <c r="A336" s="28" t="s">
        <v>8187</v>
      </c>
      <c r="B336" s="28" t="s">
        <v>18103</v>
      </c>
      <c r="C336" s="28" t="s">
        <v>740</v>
      </c>
      <c r="D336" s="28" t="s">
        <v>18175</v>
      </c>
      <c r="E336" s="28" t="s">
        <v>192</v>
      </c>
      <c r="F336" s="28">
        <v>1</v>
      </c>
      <c r="G336" s="28" t="s">
        <v>193</v>
      </c>
      <c r="H336" s="28" t="s">
        <v>194</v>
      </c>
      <c r="I336" s="28" t="s">
        <v>17706</v>
      </c>
      <c r="J336" s="28" t="s">
        <v>210</v>
      </c>
      <c r="K336" s="28" t="s">
        <v>9309</v>
      </c>
      <c r="L336" s="28" t="s">
        <v>6955</v>
      </c>
      <c r="N336" s="28" t="s">
        <v>19005</v>
      </c>
      <c r="O336" s="28" t="s">
        <v>6251</v>
      </c>
      <c r="P336" s="28" t="s">
        <v>18364</v>
      </c>
      <c r="Q336" s="28" t="s">
        <v>18329</v>
      </c>
      <c r="R336" s="28" t="s">
        <v>18819</v>
      </c>
      <c r="S336" s="28" t="s">
        <v>19006</v>
      </c>
      <c r="T336" s="28" t="s">
        <v>19007</v>
      </c>
      <c r="V336" s="28" t="s">
        <v>9334</v>
      </c>
      <c r="W336" s="28" t="s">
        <v>741</v>
      </c>
      <c r="X336" s="28" t="s">
        <v>194</v>
      </c>
      <c r="Y336" s="28" t="s">
        <v>9300</v>
      </c>
      <c r="AB336" s="28" t="s">
        <v>9311</v>
      </c>
      <c r="AH336" s="28" t="s">
        <v>4714</v>
      </c>
      <c r="AI336" s="28" t="s">
        <v>18103</v>
      </c>
      <c r="AJ336" s="516" t="str">
        <f>MID('II kw.22'!W336,8,6)</f>
        <v>522301</v>
      </c>
      <c r="AK336" s="516">
        <v>1</v>
      </c>
      <c r="AL336" s="516">
        <f t="shared" si="5"/>
        <v>1</v>
      </c>
      <c r="AM336" s="516">
        <v>1</v>
      </c>
      <c r="AN336" s="28" t="s">
        <v>17650</v>
      </c>
      <c r="AO336" s="28" t="s">
        <v>17651</v>
      </c>
      <c r="AP336" s="28" t="s">
        <v>17652</v>
      </c>
      <c r="AQ336" s="28" t="s">
        <v>17653</v>
      </c>
      <c r="AR336" s="28" t="s">
        <v>1024</v>
      </c>
    </row>
    <row r="337" spans="1:44" x14ac:dyDescent="0.25">
      <c r="A337" s="28" t="s">
        <v>2401</v>
      </c>
      <c r="B337" s="28" t="s">
        <v>537</v>
      </c>
      <c r="C337" s="28" t="s">
        <v>778</v>
      </c>
      <c r="D337" s="28" t="s">
        <v>18175</v>
      </c>
      <c r="E337" s="28" t="s">
        <v>192</v>
      </c>
      <c r="F337" s="28">
        <v>1</v>
      </c>
      <c r="G337" s="28" t="s">
        <v>193</v>
      </c>
      <c r="H337" s="28" t="s">
        <v>194</v>
      </c>
      <c r="I337" s="28" t="s">
        <v>17706</v>
      </c>
      <c r="J337" s="28" t="s">
        <v>408</v>
      </c>
      <c r="K337" s="28" t="s">
        <v>9309</v>
      </c>
      <c r="L337" s="28" t="s">
        <v>6955</v>
      </c>
      <c r="N337" s="28" t="s">
        <v>19008</v>
      </c>
      <c r="O337" s="28" t="s">
        <v>6254</v>
      </c>
      <c r="P337" s="28" t="s">
        <v>18205</v>
      </c>
      <c r="Q337" s="28" t="s">
        <v>18329</v>
      </c>
      <c r="R337" s="28" t="s">
        <v>18365</v>
      </c>
      <c r="S337" s="28" t="s">
        <v>19009</v>
      </c>
      <c r="T337" s="28" t="s">
        <v>19010</v>
      </c>
      <c r="V337" s="28" t="s">
        <v>9479</v>
      </c>
      <c r="W337" s="28" t="s">
        <v>779</v>
      </c>
      <c r="X337" s="28" t="s">
        <v>194</v>
      </c>
      <c r="Y337" s="28" t="s">
        <v>9300</v>
      </c>
      <c r="AB337" s="28" t="s">
        <v>9311</v>
      </c>
      <c r="AH337" s="28" t="s">
        <v>4714</v>
      </c>
      <c r="AI337" s="28" t="s">
        <v>778</v>
      </c>
      <c r="AJ337" s="516" t="str">
        <f>MID('II kw.22'!W337,8,6)</f>
        <v>524902</v>
      </c>
      <c r="AK337" s="516">
        <v>1</v>
      </c>
      <c r="AL337" s="516">
        <f t="shared" si="5"/>
        <v>1</v>
      </c>
      <c r="AM337" s="516">
        <v>1</v>
      </c>
      <c r="AN337" s="28" t="s">
        <v>17650</v>
      </c>
      <c r="AO337" s="28" t="s">
        <v>17651</v>
      </c>
      <c r="AP337" s="28" t="s">
        <v>17652</v>
      </c>
      <c r="AQ337" s="28" t="s">
        <v>17653</v>
      </c>
      <c r="AR337" s="28" t="s">
        <v>1024</v>
      </c>
    </row>
    <row r="338" spans="1:44" x14ac:dyDescent="0.25">
      <c r="A338" s="28" t="s">
        <v>8109</v>
      </c>
      <c r="B338" s="28" t="s">
        <v>16558</v>
      </c>
      <c r="C338" s="28" t="s">
        <v>54</v>
      </c>
      <c r="D338" s="28" t="s">
        <v>18175</v>
      </c>
      <c r="E338" s="28" t="s">
        <v>192</v>
      </c>
      <c r="F338" s="28">
        <v>1</v>
      </c>
      <c r="G338" s="28" t="s">
        <v>193</v>
      </c>
      <c r="H338" s="28" t="s">
        <v>194</v>
      </c>
      <c r="I338" s="28" t="s">
        <v>17784</v>
      </c>
      <c r="J338" s="28" t="s">
        <v>385</v>
      </c>
      <c r="K338" s="28" t="s">
        <v>9309</v>
      </c>
      <c r="L338" s="28" t="s">
        <v>6955</v>
      </c>
      <c r="N338" s="28" t="s">
        <v>19011</v>
      </c>
      <c r="O338" s="28" t="s">
        <v>6363</v>
      </c>
      <c r="P338" s="28" t="s">
        <v>18364</v>
      </c>
      <c r="Q338" s="28" t="s">
        <v>18329</v>
      </c>
      <c r="R338" s="28" t="s">
        <v>18365</v>
      </c>
      <c r="S338" s="28" t="s">
        <v>19012</v>
      </c>
      <c r="T338" s="28" t="s">
        <v>19013</v>
      </c>
      <c r="V338" s="28" t="s">
        <v>9410</v>
      </c>
      <c r="W338" s="28" t="s">
        <v>1982</v>
      </c>
      <c r="X338" s="28" t="s">
        <v>194</v>
      </c>
      <c r="Y338" s="28" t="s">
        <v>9300</v>
      </c>
      <c r="AB338" s="28" t="s">
        <v>9311</v>
      </c>
      <c r="AH338" s="28" t="s">
        <v>4714</v>
      </c>
      <c r="AI338" s="28" t="s">
        <v>16558</v>
      </c>
      <c r="AJ338" s="516" t="str">
        <f>MID('II kw.22'!W338,8,6)</f>
        <v>214103</v>
      </c>
      <c r="AK338" s="516">
        <v>1</v>
      </c>
      <c r="AL338" s="516">
        <f t="shared" si="5"/>
        <v>1</v>
      </c>
      <c r="AM338" s="516">
        <v>1</v>
      </c>
      <c r="AN338" s="28" t="s">
        <v>17650</v>
      </c>
      <c r="AO338" s="28" t="s">
        <v>17651</v>
      </c>
      <c r="AP338" s="28" t="s">
        <v>17652</v>
      </c>
      <c r="AQ338" s="28" t="s">
        <v>17653</v>
      </c>
      <c r="AR338" s="28" t="s">
        <v>1024</v>
      </c>
    </row>
    <row r="339" spans="1:44" x14ac:dyDescent="0.25">
      <c r="A339" s="28" t="s">
        <v>369</v>
      </c>
      <c r="B339" s="28" t="s">
        <v>19014</v>
      </c>
      <c r="C339" s="28" t="s">
        <v>371</v>
      </c>
      <c r="D339" s="28" t="s">
        <v>18175</v>
      </c>
      <c r="E339" s="28" t="s">
        <v>192</v>
      </c>
      <c r="F339" s="28">
        <v>1</v>
      </c>
      <c r="G339" s="28" t="s">
        <v>193</v>
      </c>
      <c r="H339" s="28" t="s">
        <v>194</v>
      </c>
      <c r="I339" s="28" t="s">
        <v>17672</v>
      </c>
      <c r="J339" s="28" t="s">
        <v>210</v>
      </c>
      <c r="K339" s="28" t="s">
        <v>9309</v>
      </c>
      <c r="L339" s="28" t="s">
        <v>6955</v>
      </c>
      <c r="N339" s="28" t="s">
        <v>19015</v>
      </c>
      <c r="O339" s="28" t="s">
        <v>6245</v>
      </c>
      <c r="P339" s="28" t="s">
        <v>18364</v>
      </c>
      <c r="Q339" s="28" t="s">
        <v>18329</v>
      </c>
      <c r="R339" s="28" t="s">
        <v>18365</v>
      </c>
      <c r="S339" s="28" t="s">
        <v>19016</v>
      </c>
      <c r="T339" s="28" t="s">
        <v>19017</v>
      </c>
      <c r="V339" s="28" t="s">
        <v>9334</v>
      </c>
      <c r="W339" s="28" t="s">
        <v>372</v>
      </c>
      <c r="X339" s="28" t="s">
        <v>194</v>
      </c>
      <c r="Y339" s="28" t="s">
        <v>9300</v>
      </c>
      <c r="AB339" s="28" t="s">
        <v>9311</v>
      </c>
      <c r="AH339" s="509" t="s">
        <v>5109</v>
      </c>
      <c r="AI339" s="28" t="s">
        <v>19014</v>
      </c>
      <c r="AJ339" s="516" t="str">
        <f>MID('II kw.22'!W339,8,6)</f>
        <v>215202</v>
      </c>
      <c r="AK339" s="516">
        <v>1</v>
      </c>
      <c r="AL339" s="516">
        <f t="shared" si="5"/>
        <v>1</v>
      </c>
      <c r="AM339" s="516">
        <v>1</v>
      </c>
      <c r="AN339" s="28" t="s">
        <v>17650</v>
      </c>
      <c r="AO339" s="28" t="s">
        <v>17651</v>
      </c>
      <c r="AP339" s="28" t="s">
        <v>17652</v>
      </c>
      <c r="AQ339" s="28" t="s">
        <v>17653</v>
      </c>
      <c r="AR339" s="28" t="s">
        <v>1024</v>
      </c>
    </row>
    <row r="340" spans="1:44" x14ac:dyDescent="0.25">
      <c r="A340" s="28" t="s">
        <v>409</v>
      </c>
      <c r="B340" s="28" t="s">
        <v>537</v>
      </c>
      <c r="C340" s="28" t="s">
        <v>778</v>
      </c>
      <c r="D340" s="28" t="s">
        <v>18175</v>
      </c>
      <c r="E340" s="28" t="s">
        <v>192</v>
      </c>
      <c r="F340" s="28">
        <v>1</v>
      </c>
      <c r="G340" s="28" t="s">
        <v>193</v>
      </c>
      <c r="H340" s="28" t="s">
        <v>194</v>
      </c>
      <c r="I340" s="28" t="s">
        <v>17706</v>
      </c>
      <c r="J340" s="28" t="s">
        <v>210</v>
      </c>
      <c r="K340" s="28" t="s">
        <v>9309</v>
      </c>
      <c r="L340" s="28" t="s">
        <v>6955</v>
      </c>
      <c r="N340" s="28" t="s">
        <v>19018</v>
      </c>
      <c r="O340" s="28" t="s">
        <v>6254</v>
      </c>
      <c r="P340" s="28" t="s">
        <v>18205</v>
      </c>
      <c r="Q340" s="28" t="s">
        <v>18329</v>
      </c>
      <c r="R340" s="28" t="s">
        <v>18365</v>
      </c>
      <c r="S340" s="28" t="s">
        <v>19019</v>
      </c>
      <c r="T340" s="28" t="s">
        <v>19020</v>
      </c>
      <c r="V340" s="28" t="s">
        <v>9334</v>
      </c>
      <c r="W340" s="28" t="s">
        <v>779</v>
      </c>
      <c r="X340" s="28" t="s">
        <v>194</v>
      </c>
      <c r="Y340" s="28" t="s">
        <v>9300</v>
      </c>
      <c r="AB340" s="28" t="s">
        <v>9311</v>
      </c>
      <c r="AH340" s="28" t="s">
        <v>4714</v>
      </c>
      <c r="AI340" s="28" t="s">
        <v>778</v>
      </c>
      <c r="AJ340" s="516" t="str">
        <f>MID('II kw.22'!W340,8,6)</f>
        <v>524902</v>
      </c>
      <c r="AK340" s="516">
        <v>1</v>
      </c>
      <c r="AL340" s="516">
        <f t="shared" si="5"/>
        <v>1</v>
      </c>
      <c r="AM340" s="516">
        <v>1</v>
      </c>
      <c r="AN340" s="28" t="s">
        <v>17650</v>
      </c>
      <c r="AO340" s="28" t="s">
        <v>17651</v>
      </c>
      <c r="AP340" s="28" t="s">
        <v>17652</v>
      </c>
      <c r="AQ340" s="28" t="s">
        <v>17653</v>
      </c>
      <c r="AR340" s="28" t="s">
        <v>1024</v>
      </c>
    </row>
    <row r="341" spans="1:44" x14ac:dyDescent="0.25">
      <c r="A341" s="28" t="s">
        <v>369</v>
      </c>
      <c r="B341" s="28" t="s">
        <v>19021</v>
      </c>
      <c r="C341" s="28" t="s">
        <v>5440</v>
      </c>
      <c r="D341" s="28" t="s">
        <v>18175</v>
      </c>
      <c r="E341" s="28" t="s">
        <v>192</v>
      </c>
      <c r="F341" s="28">
        <v>1</v>
      </c>
      <c r="G341" s="28" t="s">
        <v>193</v>
      </c>
      <c r="H341" s="28" t="s">
        <v>194</v>
      </c>
      <c r="I341" s="28" t="s">
        <v>17672</v>
      </c>
      <c r="J341" s="28" t="s">
        <v>210</v>
      </c>
      <c r="K341" s="28" t="s">
        <v>9309</v>
      </c>
      <c r="L341" s="28" t="s">
        <v>6955</v>
      </c>
      <c r="N341" s="28" t="s">
        <v>19022</v>
      </c>
      <c r="O341" s="28" t="s">
        <v>6266</v>
      </c>
      <c r="P341" s="28" t="s">
        <v>18364</v>
      </c>
      <c r="Q341" s="28" t="s">
        <v>18329</v>
      </c>
      <c r="R341" s="28" t="s">
        <v>18365</v>
      </c>
      <c r="S341" s="28" t="s">
        <v>19023</v>
      </c>
      <c r="T341" s="28" t="s">
        <v>19024</v>
      </c>
      <c r="V341" s="28" t="s">
        <v>9334</v>
      </c>
      <c r="W341" s="28" t="s">
        <v>310</v>
      </c>
      <c r="X341" s="28" t="s">
        <v>194</v>
      </c>
      <c r="Y341" s="28" t="s">
        <v>9300</v>
      </c>
      <c r="AB341" s="28" t="s">
        <v>9311</v>
      </c>
      <c r="AH341" s="509" t="s">
        <v>5109</v>
      </c>
      <c r="AI341" s="28" t="s">
        <v>19021</v>
      </c>
      <c r="AJ341" s="516" t="str">
        <f>MID('II kw.22'!W341,8,6)</f>
        <v>214404</v>
      </c>
      <c r="AK341" s="516">
        <v>1</v>
      </c>
      <c r="AL341" s="516">
        <f t="shared" si="5"/>
        <v>1</v>
      </c>
      <c r="AM341" s="516">
        <v>1</v>
      </c>
      <c r="AN341" s="28" t="s">
        <v>17650</v>
      </c>
      <c r="AO341" s="28" t="s">
        <v>17651</v>
      </c>
      <c r="AP341" s="28" t="s">
        <v>17652</v>
      </c>
      <c r="AQ341" s="28" t="s">
        <v>17653</v>
      </c>
      <c r="AR341" s="28" t="s">
        <v>1024</v>
      </c>
    </row>
    <row r="342" spans="1:44" x14ac:dyDescent="0.25">
      <c r="A342" s="28" t="s">
        <v>369</v>
      </c>
      <c r="B342" s="28" t="s">
        <v>19025</v>
      </c>
      <c r="C342" s="28" t="s">
        <v>4639</v>
      </c>
      <c r="D342" s="28" t="s">
        <v>18175</v>
      </c>
      <c r="E342" s="28" t="s">
        <v>192</v>
      </c>
      <c r="F342" s="28">
        <v>1</v>
      </c>
      <c r="G342" s="28" t="s">
        <v>193</v>
      </c>
      <c r="H342" s="28" t="s">
        <v>194</v>
      </c>
      <c r="I342" s="28" t="s">
        <v>17672</v>
      </c>
      <c r="J342" s="28" t="s">
        <v>210</v>
      </c>
      <c r="K342" s="28" t="s">
        <v>9309</v>
      </c>
      <c r="L342" s="28" t="s">
        <v>6955</v>
      </c>
      <c r="N342" s="28" t="s">
        <v>19026</v>
      </c>
      <c r="O342" s="28" t="s">
        <v>6290</v>
      </c>
      <c r="P342" s="28" t="s">
        <v>18364</v>
      </c>
      <c r="Q342" s="28" t="s">
        <v>18329</v>
      </c>
      <c r="R342" s="28" t="s">
        <v>18365</v>
      </c>
      <c r="S342" s="28" t="s">
        <v>19027</v>
      </c>
      <c r="T342" s="28" t="s">
        <v>19028</v>
      </c>
      <c r="V342" s="28" t="s">
        <v>9334</v>
      </c>
      <c r="W342" s="28" t="s">
        <v>4640</v>
      </c>
      <c r="X342" s="28" t="s">
        <v>194</v>
      </c>
      <c r="Y342" s="28" t="s">
        <v>9300</v>
      </c>
      <c r="AB342" s="28" t="s">
        <v>9311</v>
      </c>
      <c r="AH342" s="509" t="s">
        <v>5109</v>
      </c>
      <c r="AI342" s="28" t="s">
        <v>19025</v>
      </c>
      <c r="AJ342" s="516" t="str">
        <f>MID('II kw.22'!W342,8,6)</f>
        <v>243203</v>
      </c>
      <c r="AK342" s="516">
        <v>1</v>
      </c>
      <c r="AL342" s="516">
        <f t="shared" si="5"/>
        <v>1</v>
      </c>
      <c r="AM342" s="516">
        <v>1</v>
      </c>
      <c r="AN342" s="28" t="s">
        <v>17650</v>
      </c>
      <c r="AO342" s="28" t="s">
        <v>17651</v>
      </c>
      <c r="AP342" s="28" t="s">
        <v>17652</v>
      </c>
      <c r="AQ342" s="28" t="s">
        <v>17653</v>
      </c>
      <c r="AR342" s="28" t="s">
        <v>1024</v>
      </c>
    </row>
    <row r="343" spans="1:44" x14ac:dyDescent="0.25">
      <c r="A343" s="28" t="s">
        <v>369</v>
      </c>
      <c r="B343" s="28" t="s">
        <v>19029</v>
      </c>
      <c r="C343" s="28" t="s">
        <v>45</v>
      </c>
      <c r="D343" s="28" t="s">
        <v>18175</v>
      </c>
      <c r="E343" s="28" t="s">
        <v>192</v>
      </c>
      <c r="F343" s="28">
        <v>1</v>
      </c>
      <c r="G343" s="28" t="s">
        <v>193</v>
      </c>
      <c r="H343" s="28" t="s">
        <v>194</v>
      </c>
      <c r="I343" s="28" t="s">
        <v>17672</v>
      </c>
      <c r="J343" s="28" t="s">
        <v>210</v>
      </c>
      <c r="K343" s="28" t="s">
        <v>9309</v>
      </c>
      <c r="L343" s="28" t="s">
        <v>6955</v>
      </c>
      <c r="N343" s="28" t="s">
        <v>19030</v>
      </c>
      <c r="O343" s="28" t="s">
        <v>6245</v>
      </c>
      <c r="P343" s="28" t="s">
        <v>18364</v>
      </c>
      <c r="Q343" s="28" t="s">
        <v>18329</v>
      </c>
      <c r="R343" s="28" t="s">
        <v>18365</v>
      </c>
      <c r="S343" s="28" t="s">
        <v>19031</v>
      </c>
      <c r="T343" s="28" t="s">
        <v>19032</v>
      </c>
      <c r="V343" s="28" t="s">
        <v>9334</v>
      </c>
      <c r="W343" s="28" t="s">
        <v>351</v>
      </c>
      <c r="X343" s="28" t="s">
        <v>194</v>
      </c>
      <c r="Y343" s="28" t="s">
        <v>9300</v>
      </c>
      <c r="AB343" s="28" t="s">
        <v>9311</v>
      </c>
      <c r="AH343" s="509" t="s">
        <v>5109</v>
      </c>
      <c r="AI343" s="28" t="s">
        <v>19029</v>
      </c>
      <c r="AJ343" s="516" t="str">
        <f>MID('II kw.22'!W343,8,6)</f>
        <v>214932</v>
      </c>
      <c r="AK343" s="516">
        <v>1</v>
      </c>
      <c r="AL343" s="516">
        <f t="shared" si="5"/>
        <v>1</v>
      </c>
      <c r="AM343" s="516">
        <v>1</v>
      </c>
      <c r="AN343" s="28" t="s">
        <v>17650</v>
      </c>
      <c r="AO343" s="28" t="s">
        <v>17651</v>
      </c>
      <c r="AP343" s="28" t="s">
        <v>17652</v>
      </c>
      <c r="AQ343" s="28" t="s">
        <v>17653</v>
      </c>
      <c r="AR343" s="28" t="s">
        <v>1024</v>
      </c>
    </row>
    <row r="344" spans="1:44" x14ac:dyDescent="0.25">
      <c r="A344" s="28" t="s">
        <v>10606</v>
      </c>
      <c r="B344" s="28" t="s">
        <v>19033</v>
      </c>
      <c r="C344" s="28" t="s">
        <v>5326</v>
      </c>
      <c r="D344" s="28" t="s">
        <v>18175</v>
      </c>
      <c r="E344" s="28" t="s">
        <v>192</v>
      </c>
      <c r="F344" s="28">
        <v>1</v>
      </c>
      <c r="G344" s="28" t="s">
        <v>193</v>
      </c>
      <c r="H344" s="28" t="s">
        <v>194</v>
      </c>
      <c r="I344" s="28" t="s">
        <v>17672</v>
      </c>
      <c r="J344" s="28" t="s">
        <v>755</v>
      </c>
      <c r="K344" s="28" t="s">
        <v>9309</v>
      </c>
      <c r="L344" s="28" t="s">
        <v>6955</v>
      </c>
      <c r="N344" s="28" t="s">
        <v>19034</v>
      </c>
      <c r="O344" s="28" t="s">
        <v>6295</v>
      </c>
      <c r="P344" s="28" t="s">
        <v>18364</v>
      </c>
      <c r="Q344" s="28" t="s">
        <v>18329</v>
      </c>
      <c r="R344" s="28" t="s">
        <v>18365</v>
      </c>
      <c r="S344" s="28" t="s">
        <v>19035</v>
      </c>
      <c r="T344" s="28" t="s">
        <v>19036</v>
      </c>
      <c r="V344" s="28" t="s">
        <v>9726</v>
      </c>
      <c r="W344" s="28" t="s">
        <v>584</v>
      </c>
      <c r="X344" s="28" t="s">
        <v>194</v>
      </c>
      <c r="Y344" s="28" t="s">
        <v>9300</v>
      </c>
      <c r="AB344" s="28" t="s">
        <v>9311</v>
      </c>
      <c r="AH344" s="509" t="s">
        <v>5109</v>
      </c>
      <c r="AI344" s="28" t="s">
        <v>19033</v>
      </c>
      <c r="AJ344" s="516" t="str">
        <f>MID('II kw.22'!W344,8,6)</f>
        <v>311937</v>
      </c>
      <c r="AK344" s="516">
        <v>1</v>
      </c>
      <c r="AL344" s="516">
        <f t="shared" si="5"/>
        <v>1</v>
      </c>
      <c r="AM344" s="516">
        <v>1</v>
      </c>
      <c r="AN344" s="28" t="s">
        <v>17650</v>
      </c>
      <c r="AO344" s="28" t="s">
        <v>17651</v>
      </c>
      <c r="AP344" s="28" t="s">
        <v>17652</v>
      </c>
      <c r="AQ344" s="28" t="s">
        <v>17653</v>
      </c>
      <c r="AR344" s="28" t="s">
        <v>1024</v>
      </c>
    </row>
    <row r="345" spans="1:44" x14ac:dyDescent="0.25">
      <c r="A345" s="28" t="s">
        <v>2401</v>
      </c>
      <c r="B345" s="28" t="s">
        <v>19037</v>
      </c>
      <c r="C345" s="28" t="s">
        <v>1851</v>
      </c>
      <c r="D345" s="28" t="s">
        <v>18175</v>
      </c>
      <c r="E345" s="28" t="s">
        <v>192</v>
      </c>
      <c r="F345" s="28">
        <v>1</v>
      </c>
      <c r="G345" s="28" t="s">
        <v>193</v>
      </c>
      <c r="H345" s="28" t="s">
        <v>194</v>
      </c>
      <c r="I345" s="28" t="s">
        <v>17759</v>
      </c>
      <c r="J345" s="28" t="s">
        <v>210</v>
      </c>
      <c r="K345" s="28" t="s">
        <v>9309</v>
      </c>
      <c r="L345" s="28" t="s">
        <v>6955</v>
      </c>
      <c r="N345" s="28" t="s">
        <v>19038</v>
      </c>
      <c r="O345" s="28" t="s">
        <v>6254</v>
      </c>
      <c r="P345" s="28" t="s">
        <v>18364</v>
      </c>
      <c r="Q345" s="28" t="s">
        <v>18329</v>
      </c>
      <c r="R345" s="28" t="s">
        <v>18365</v>
      </c>
      <c r="S345" s="28" t="s">
        <v>19039</v>
      </c>
      <c r="T345" s="28" t="s">
        <v>19040</v>
      </c>
      <c r="V345" s="28" t="s">
        <v>9334</v>
      </c>
      <c r="W345" s="28" t="s">
        <v>1852</v>
      </c>
      <c r="X345" s="28" t="s">
        <v>194</v>
      </c>
      <c r="Y345" s="28" t="s">
        <v>9300</v>
      </c>
      <c r="AB345" s="28" t="s">
        <v>9311</v>
      </c>
      <c r="AH345" s="28" t="s">
        <v>4714</v>
      </c>
      <c r="AI345" s="28" t="s">
        <v>19037</v>
      </c>
      <c r="AJ345" s="516" t="str">
        <f>MID('II kw.22'!W345,8,6)</f>
        <v>112014</v>
      </c>
      <c r="AK345" s="516">
        <v>1</v>
      </c>
      <c r="AL345" s="516">
        <f t="shared" si="5"/>
        <v>1</v>
      </c>
      <c r="AM345" s="516">
        <v>1</v>
      </c>
      <c r="AN345" s="28" t="s">
        <v>17650</v>
      </c>
      <c r="AO345" s="28" t="s">
        <v>17651</v>
      </c>
      <c r="AP345" s="28" t="s">
        <v>17652</v>
      </c>
      <c r="AQ345" s="28" t="s">
        <v>17653</v>
      </c>
      <c r="AR345" s="28" t="s">
        <v>1024</v>
      </c>
    </row>
    <row r="346" spans="1:44" x14ac:dyDescent="0.25">
      <c r="A346" s="28" t="s">
        <v>4156</v>
      </c>
      <c r="B346" s="28" t="s">
        <v>19041</v>
      </c>
      <c r="C346" s="28" t="s">
        <v>84</v>
      </c>
      <c r="D346" s="28" t="s">
        <v>18175</v>
      </c>
      <c r="E346" s="28" t="s">
        <v>192</v>
      </c>
      <c r="F346" s="28">
        <v>1</v>
      </c>
      <c r="G346" s="28" t="s">
        <v>193</v>
      </c>
      <c r="H346" s="28" t="s">
        <v>194</v>
      </c>
      <c r="I346" s="28" t="s">
        <v>17656</v>
      </c>
      <c r="J346" s="28" t="s">
        <v>210</v>
      </c>
      <c r="K346" s="28" t="s">
        <v>9309</v>
      </c>
      <c r="L346" s="28" t="s">
        <v>6955</v>
      </c>
      <c r="N346" s="28" t="s">
        <v>19042</v>
      </c>
      <c r="O346" s="28" t="s">
        <v>6275</v>
      </c>
      <c r="P346" s="28" t="s">
        <v>18364</v>
      </c>
      <c r="Q346" s="28" t="s">
        <v>18329</v>
      </c>
      <c r="R346" s="28" t="s">
        <v>18365</v>
      </c>
      <c r="S346" s="28" t="s">
        <v>19043</v>
      </c>
      <c r="T346" s="28" t="s">
        <v>19044</v>
      </c>
      <c r="V346" s="28" t="s">
        <v>9334</v>
      </c>
      <c r="W346" s="28" t="s">
        <v>2665</v>
      </c>
      <c r="X346" s="28" t="s">
        <v>194</v>
      </c>
      <c r="Y346" s="28" t="s">
        <v>9300</v>
      </c>
      <c r="AB346" s="28" t="s">
        <v>9311</v>
      </c>
      <c r="AH346" s="28" t="s">
        <v>4714</v>
      </c>
      <c r="AI346" s="28" t="s">
        <v>19041</v>
      </c>
      <c r="AJ346" s="516" t="str">
        <f>MID('II kw.22'!W346,8,6)</f>
        <v>541315</v>
      </c>
      <c r="AK346" s="516">
        <v>1</v>
      </c>
      <c r="AL346" s="516">
        <f t="shared" si="5"/>
        <v>1</v>
      </c>
      <c r="AM346" s="516">
        <v>1</v>
      </c>
      <c r="AN346" s="28" t="s">
        <v>17650</v>
      </c>
      <c r="AO346" s="28" t="s">
        <v>17651</v>
      </c>
      <c r="AP346" s="28" t="s">
        <v>17652</v>
      </c>
      <c r="AQ346" s="28" t="s">
        <v>17653</v>
      </c>
      <c r="AR346" s="28" t="s">
        <v>1024</v>
      </c>
    </row>
    <row r="347" spans="1:44" x14ac:dyDescent="0.25">
      <c r="A347" s="28" t="s">
        <v>11871</v>
      </c>
      <c r="B347" s="28" t="s">
        <v>19045</v>
      </c>
      <c r="C347" s="28" t="s">
        <v>319</v>
      </c>
      <c r="D347" s="28" t="s">
        <v>18175</v>
      </c>
      <c r="E347" s="28" t="s">
        <v>192</v>
      </c>
      <c r="F347" s="28">
        <v>1</v>
      </c>
      <c r="G347" s="28" t="s">
        <v>193</v>
      </c>
      <c r="H347" s="28" t="s">
        <v>194</v>
      </c>
      <c r="I347" s="28" t="s">
        <v>17656</v>
      </c>
      <c r="J347" s="28" t="s">
        <v>672</v>
      </c>
      <c r="K347" s="28" t="s">
        <v>9309</v>
      </c>
      <c r="L347" s="28" t="s">
        <v>6955</v>
      </c>
      <c r="N347" s="28" t="s">
        <v>19046</v>
      </c>
      <c r="O347" s="28" t="s">
        <v>6258</v>
      </c>
      <c r="P347" s="28" t="s">
        <v>18364</v>
      </c>
      <c r="Q347" s="28" t="s">
        <v>18329</v>
      </c>
      <c r="R347" s="28" t="s">
        <v>18365</v>
      </c>
      <c r="S347" s="28" t="s">
        <v>19047</v>
      </c>
      <c r="T347" s="28" t="s">
        <v>19048</v>
      </c>
      <c r="V347" s="28" t="s">
        <v>9726</v>
      </c>
      <c r="W347" s="28" t="s">
        <v>320</v>
      </c>
      <c r="X347" s="28" t="s">
        <v>194</v>
      </c>
      <c r="Y347" s="28" t="s">
        <v>9300</v>
      </c>
      <c r="AB347" s="28" t="s">
        <v>9311</v>
      </c>
      <c r="AH347" s="28" t="s">
        <v>4714</v>
      </c>
      <c r="AI347" s="28" t="s">
        <v>19045</v>
      </c>
      <c r="AJ347" s="516" t="str">
        <f>MID('II kw.22'!W347,8,6)</f>
        <v>214407</v>
      </c>
      <c r="AK347" s="516">
        <v>1</v>
      </c>
      <c r="AL347" s="516">
        <f t="shared" si="5"/>
        <v>1</v>
      </c>
      <c r="AM347" s="516">
        <v>1</v>
      </c>
      <c r="AN347" s="28" t="s">
        <v>17650</v>
      </c>
      <c r="AO347" s="28" t="s">
        <v>17651</v>
      </c>
      <c r="AP347" s="28" t="s">
        <v>17652</v>
      </c>
      <c r="AQ347" s="28" t="s">
        <v>17653</v>
      </c>
      <c r="AR347" s="28" t="s">
        <v>1024</v>
      </c>
    </row>
    <row r="348" spans="1:44" x14ac:dyDescent="0.25">
      <c r="A348" s="28" t="s">
        <v>19049</v>
      </c>
      <c r="B348" s="28" t="s">
        <v>5122</v>
      </c>
      <c r="C348" s="28" t="s">
        <v>10</v>
      </c>
      <c r="D348" s="28" t="s">
        <v>18175</v>
      </c>
      <c r="E348" s="28" t="s">
        <v>192</v>
      </c>
      <c r="F348" s="28">
        <v>1</v>
      </c>
      <c r="G348" s="28" t="s">
        <v>193</v>
      </c>
      <c r="H348" s="28" t="s">
        <v>194</v>
      </c>
      <c r="I348" s="28" t="s">
        <v>17672</v>
      </c>
      <c r="J348" s="28" t="s">
        <v>747</v>
      </c>
      <c r="K348" s="28" t="s">
        <v>9309</v>
      </c>
      <c r="L348" s="28" t="s">
        <v>6955</v>
      </c>
      <c r="N348" s="28" t="s">
        <v>19050</v>
      </c>
      <c r="O348" s="28" t="s">
        <v>6261</v>
      </c>
      <c r="P348" s="28" t="s">
        <v>18364</v>
      </c>
      <c r="Q348" s="28" t="s">
        <v>18329</v>
      </c>
      <c r="R348" s="28" t="s">
        <v>18365</v>
      </c>
      <c r="S348" s="28" t="s">
        <v>19051</v>
      </c>
      <c r="T348" s="28" t="s">
        <v>19052</v>
      </c>
      <c r="V348" s="28" t="s">
        <v>10397</v>
      </c>
      <c r="W348" s="28" t="s">
        <v>484</v>
      </c>
      <c r="X348" s="28" t="s">
        <v>194</v>
      </c>
      <c r="Y348" s="28" t="s">
        <v>9300</v>
      </c>
      <c r="AB348" s="28" t="s">
        <v>9311</v>
      </c>
      <c r="AH348" s="28" t="s">
        <v>4714</v>
      </c>
      <c r="AI348" s="28" t="s">
        <v>5122</v>
      </c>
      <c r="AJ348" s="516" t="str">
        <f>MID('II kw.22'!W348,8,6)</f>
        <v>251401</v>
      </c>
      <c r="AK348" s="516">
        <v>1</v>
      </c>
      <c r="AL348" s="516">
        <f t="shared" si="5"/>
        <v>1</v>
      </c>
      <c r="AM348" s="516">
        <v>1</v>
      </c>
      <c r="AN348" s="28" t="s">
        <v>17650</v>
      </c>
      <c r="AO348" s="28" t="s">
        <v>17651</v>
      </c>
      <c r="AP348" s="28" t="s">
        <v>17652</v>
      </c>
      <c r="AQ348" s="28" t="s">
        <v>17653</v>
      </c>
      <c r="AR348" s="28" t="s">
        <v>1024</v>
      </c>
    </row>
    <row r="349" spans="1:44" x14ac:dyDescent="0.25">
      <c r="A349" s="28" t="s">
        <v>16063</v>
      </c>
      <c r="B349" s="28" t="s">
        <v>19053</v>
      </c>
      <c r="C349" s="28" t="s">
        <v>378</v>
      </c>
      <c r="D349" s="28" t="s">
        <v>18175</v>
      </c>
      <c r="E349" s="28" t="s">
        <v>192</v>
      </c>
      <c r="F349" s="28">
        <v>1</v>
      </c>
      <c r="G349" s="28" t="s">
        <v>193</v>
      </c>
      <c r="H349" s="28" t="s">
        <v>194</v>
      </c>
      <c r="I349" s="28" t="s">
        <v>17656</v>
      </c>
      <c r="J349" s="28" t="s">
        <v>672</v>
      </c>
      <c r="K349" s="28" t="s">
        <v>9309</v>
      </c>
      <c r="L349" s="28" t="s">
        <v>6955</v>
      </c>
      <c r="N349" s="28" t="s">
        <v>19054</v>
      </c>
      <c r="O349" s="28" t="s">
        <v>6921</v>
      </c>
      <c r="P349" s="28" t="s">
        <v>18364</v>
      </c>
      <c r="Q349" s="28" t="s">
        <v>18329</v>
      </c>
      <c r="R349" s="28" t="s">
        <v>18365</v>
      </c>
      <c r="S349" s="28" t="s">
        <v>19055</v>
      </c>
      <c r="T349" s="28" t="s">
        <v>19056</v>
      </c>
      <c r="V349" s="28" t="s">
        <v>9726</v>
      </c>
      <c r="W349" s="28" t="s">
        <v>379</v>
      </c>
      <c r="X349" s="28" t="s">
        <v>194</v>
      </c>
      <c r="Y349" s="28" t="s">
        <v>9300</v>
      </c>
      <c r="AB349" s="28" t="s">
        <v>9311</v>
      </c>
      <c r="AH349" s="28" t="s">
        <v>4714</v>
      </c>
      <c r="AI349" s="28" t="s">
        <v>19053</v>
      </c>
      <c r="AJ349" s="516" t="str">
        <f>MID('II kw.22'!W349,8,6)</f>
        <v>215303</v>
      </c>
      <c r="AK349" s="516">
        <v>1</v>
      </c>
      <c r="AL349" s="516">
        <f t="shared" si="5"/>
        <v>1</v>
      </c>
      <c r="AM349" s="516">
        <v>1</v>
      </c>
      <c r="AN349" s="28" t="s">
        <v>17650</v>
      </c>
      <c r="AO349" s="28" t="s">
        <v>17651</v>
      </c>
      <c r="AP349" s="28" t="s">
        <v>17652</v>
      </c>
      <c r="AQ349" s="28" t="s">
        <v>17653</v>
      </c>
      <c r="AR349" s="28" t="s">
        <v>1024</v>
      </c>
    </row>
    <row r="350" spans="1:44" x14ac:dyDescent="0.25">
      <c r="A350" s="28" t="s">
        <v>11871</v>
      </c>
      <c r="B350" s="28" t="s">
        <v>7651</v>
      </c>
      <c r="C350" s="28" t="s">
        <v>566</v>
      </c>
      <c r="D350" s="28" t="s">
        <v>18175</v>
      </c>
      <c r="E350" s="28" t="s">
        <v>192</v>
      </c>
      <c r="F350" s="28">
        <v>1</v>
      </c>
      <c r="G350" s="28" t="s">
        <v>193</v>
      </c>
      <c r="H350" s="28" t="s">
        <v>194</v>
      </c>
      <c r="I350" s="28" t="s">
        <v>17656</v>
      </c>
      <c r="J350" s="28" t="s">
        <v>672</v>
      </c>
      <c r="K350" s="28" t="s">
        <v>9309</v>
      </c>
      <c r="L350" s="28" t="s">
        <v>6955</v>
      </c>
      <c r="N350" s="28" t="s">
        <v>19057</v>
      </c>
      <c r="O350" s="28" t="s">
        <v>6258</v>
      </c>
      <c r="P350" s="28" t="s">
        <v>18364</v>
      </c>
      <c r="Q350" s="28" t="s">
        <v>18329</v>
      </c>
      <c r="R350" s="28" t="s">
        <v>18365</v>
      </c>
      <c r="S350" s="28" t="s">
        <v>19058</v>
      </c>
      <c r="T350" s="28" t="s">
        <v>19059</v>
      </c>
      <c r="V350" s="28" t="s">
        <v>9726</v>
      </c>
      <c r="W350" s="28" t="s">
        <v>567</v>
      </c>
      <c r="X350" s="28" t="s">
        <v>194</v>
      </c>
      <c r="Y350" s="28" t="s">
        <v>9300</v>
      </c>
      <c r="AB350" s="28" t="s">
        <v>9311</v>
      </c>
      <c r="AH350" s="28" t="s">
        <v>4714</v>
      </c>
      <c r="AI350" s="28" t="s">
        <v>7651</v>
      </c>
      <c r="AJ350" s="516" t="str">
        <f>MID('II kw.22'!W350,8,6)</f>
        <v>311504</v>
      </c>
      <c r="AK350" s="516">
        <v>1</v>
      </c>
      <c r="AL350" s="516">
        <f t="shared" si="5"/>
        <v>1</v>
      </c>
      <c r="AM350" s="516">
        <v>1</v>
      </c>
      <c r="AN350" s="28" t="s">
        <v>17650</v>
      </c>
      <c r="AO350" s="28" t="s">
        <v>17651</v>
      </c>
      <c r="AP350" s="28" t="s">
        <v>17652</v>
      </c>
      <c r="AQ350" s="28" t="s">
        <v>17653</v>
      </c>
      <c r="AR350" s="28" t="s">
        <v>1024</v>
      </c>
    </row>
    <row r="351" spans="1:44" x14ac:dyDescent="0.25">
      <c r="A351" s="28" t="s">
        <v>8187</v>
      </c>
      <c r="B351" s="28" t="s">
        <v>19001</v>
      </c>
      <c r="C351" s="28" t="s">
        <v>740</v>
      </c>
      <c r="D351" s="28" t="s">
        <v>18175</v>
      </c>
      <c r="E351" s="28" t="s">
        <v>192</v>
      </c>
      <c r="F351" s="28">
        <v>1</v>
      </c>
      <c r="G351" s="28" t="s">
        <v>193</v>
      </c>
      <c r="H351" s="28" t="s">
        <v>194</v>
      </c>
      <c r="I351" s="28" t="s">
        <v>17706</v>
      </c>
      <c r="J351" s="28" t="s">
        <v>1995</v>
      </c>
      <c r="K351" s="28" t="s">
        <v>9309</v>
      </c>
      <c r="L351" s="28" t="s">
        <v>6955</v>
      </c>
      <c r="N351" s="28" t="s">
        <v>19060</v>
      </c>
      <c r="O351" s="28" t="s">
        <v>6251</v>
      </c>
      <c r="P351" s="28" t="s">
        <v>18364</v>
      </c>
      <c r="Q351" s="28" t="s">
        <v>18329</v>
      </c>
      <c r="R351" s="28" t="s">
        <v>18819</v>
      </c>
      <c r="S351" s="28" t="s">
        <v>19061</v>
      </c>
      <c r="T351" s="28" t="s">
        <v>19062</v>
      </c>
      <c r="V351" s="28" t="s">
        <v>9440</v>
      </c>
      <c r="W351" s="28" t="s">
        <v>741</v>
      </c>
      <c r="X351" s="28" t="s">
        <v>194</v>
      </c>
      <c r="Y351" s="28" t="s">
        <v>9300</v>
      </c>
      <c r="AB351" s="28" t="s">
        <v>9311</v>
      </c>
      <c r="AH351" s="28" t="s">
        <v>4714</v>
      </c>
      <c r="AI351" s="28" t="s">
        <v>19001</v>
      </c>
      <c r="AJ351" s="516" t="str">
        <f>MID('II kw.22'!W351,8,6)</f>
        <v>522301</v>
      </c>
      <c r="AK351" s="516">
        <v>1</v>
      </c>
      <c r="AL351" s="516">
        <f t="shared" si="5"/>
        <v>1</v>
      </c>
      <c r="AM351" s="516">
        <v>1</v>
      </c>
      <c r="AN351" s="28" t="s">
        <v>17650</v>
      </c>
      <c r="AO351" s="28" t="s">
        <v>17651</v>
      </c>
      <c r="AP351" s="28" t="s">
        <v>17652</v>
      </c>
      <c r="AQ351" s="28" t="s">
        <v>17653</v>
      </c>
      <c r="AR351" s="28" t="s">
        <v>1024</v>
      </c>
    </row>
    <row r="352" spans="1:44" x14ac:dyDescent="0.25">
      <c r="A352" s="28" t="s">
        <v>1639</v>
      </c>
      <c r="B352" s="28" t="s">
        <v>1969</v>
      </c>
      <c r="C352" s="28" t="s">
        <v>16281</v>
      </c>
      <c r="D352" s="28" t="s">
        <v>18175</v>
      </c>
      <c r="E352" s="28" t="s">
        <v>192</v>
      </c>
      <c r="F352" s="28">
        <v>1</v>
      </c>
      <c r="G352" s="28" t="s">
        <v>193</v>
      </c>
      <c r="H352" s="28" t="s">
        <v>194</v>
      </c>
      <c r="I352" s="28" t="s">
        <v>17784</v>
      </c>
      <c r="J352" s="28" t="s">
        <v>210</v>
      </c>
      <c r="K352" s="28" t="s">
        <v>9309</v>
      </c>
      <c r="L352" s="28" t="s">
        <v>6955</v>
      </c>
      <c r="N352" s="28" t="s">
        <v>19063</v>
      </c>
      <c r="O352" s="28" t="s">
        <v>6327</v>
      </c>
      <c r="P352" s="28" t="s">
        <v>18364</v>
      </c>
      <c r="Q352" s="28" t="s">
        <v>18329</v>
      </c>
      <c r="R352" s="28" t="s">
        <v>18365</v>
      </c>
      <c r="S352" s="28" t="s">
        <v>19064</v>
      </c>
      <c r="T352" s="28" t="s">
        <v>19065</v>
      </c>
      <c r="V352" s="28" t="s">
        <v>9334</v>
      </c>
      <c r="W352" s="28" t="s">
        <v>9002</v>
      </c>
      <c r="X352" s="28" t="s">
        <v>194</v>
      </c>
      <c r="Y352" s="28" t="s">
        <v>9300</v>
      </c>
      <c r="AB352" s="28" t="s">
        <v>9311</v>
      </c>
      <c r="AH352" s="28" t="s">
        <v>4714</v>
      </c>
      <c r="AI352" s="28" t="s">
        <v>1969</v>
      </c>
      <c r="AJ352" s="516" t="str">
        <f>MID('II kw.22'!W352,8,6)</f>
        <v>252902</v>
      </c>
      <c r="AK352" s="516">
        <v>1</v>
      </c>
      <c r="AL352" s="516">
        <f t="shared" si="5"/>
        <v>1</v>
      </c>
      <c r="AM352" s="516">
        <v>1</v>
      </c>
      <c r="AN352" s="28" t="s">
        <v>17650</v>
      </c>
      <c r="AO352" s="28" t="s">
        <v>17651</v>
      </c>
      <c r="AP352" s="28" t="s">
        <v>17652</v>
      </c>
      <c r="AQ352" s="28" t="s">
        <v>17653</v>
      </c>
      <c r="AR352" s="28" t="s">
        <v>1024</v>
      </c>
    </row>
    <row r="353" spans="1:44" x14ac:dyDescent="0.25">
      <c r="A353" s="28" t="s">
        <v>2656</v>
      </c>
      <c r="B353" s="28" t="s">
        <v>19066</v>
      </c>
      <c r="C353" s="28" t="s">
        <v>45</v>
      </c>
      <c r="D353" s="28" t="s">
        <v>18175</v>
      </c>
      <c r="E353" s="28" t="s">
        <v>192</v>
      </c>
      <c r="F353" s="28">
        <v>1</v>
      </c>
      <c r="G353" s="28" t="s">
        <v>193</v>
      </c>
      <c r="H353" s="28" t="s">
        <v>194</v>
      </c>
      <c r="I353" s="28" t="s">
        <v>17672</v>
      </c>
      <c r="J353" s="28" t="s">
        <v>210</v>
      </c>
      <c r="K353" s="28" t="s">
        <v>9309</v>
      </c>
      <c r="L353" s="28" t="s">
        <v>6955</v>
      </c>
      <c r="N353" s="28" t="s">
        <v>19067</v>
      </c>
      <c r="O353" s="28" t="s">
        <v>6266</v>
      </c>
      <c r="P353" s="28" t="s">
        <v>18364</v>
      </c>
      <c r="Q353" s="28" t="s">
        <v>18329</v>
      </c>
      <c r="R353" s="28" t="s">
        <v>18365</v>
      </c>
      <c r="S353" s="28" t="s">
        <v>19068</v>
      </c>
      <c r="T353" s="28" t="s">
        <v>19069</v>
      </c>
      <c r="V353" s="28" t="s">
        <v>9334</v>
      </c>
      <c r="W353" s="28" t="s">
        <v>351</v>
      </c>
      <c r="X353" s="28" t="s">
        <v>194</v>
      </c>
      <c r="Y353" s="28" t="s">
        <v>9300</v>
      </c>
      <c r="AB353" s="28" t="s">
        <v>9311</v>
      </c>
      <c r="AH353" s="509" t="s">
        <v>5109</v>
      </c>
      <c r="AI353" s="28" t="s">
        <v>19066</v>
      </c>
      <c r="AJ353" s="516" t="str">
        <f>MID('II kw.22'!W353,8,6)</f>
        <v>214932</v>
      </c>
      <c r="AK353" s="516">
        <v>1</v>
      </c>
      <c r="AL353" s="516">
        <f t="shared" si="5"/>
        <v>1</v>
      </c>
      <c r="AM353" s="516">
        <v>1</v>
      </c>
      <c r="AN353" s="28" t="s">
        <v>17650</v>
      </c>
      <c r="AO353" s="28" t="s">
        <v>17651</v>
      </c>
      <c r="AP353" s="28" t="s">
        <v>17652</v>
      </c>
      <c r="AQ353" s="28" t="s">
        <v>17653</v>
      </c>
      <c r="AR353" s="28" t="s">
        <v>1024</v>
      </c>
    </row>
    <row r="354" spans="1:44" x14ac:dyDescent="0.25">
      <c r="A354" s="28" t="s">
        <v>19070</v>
      </c>
      <c r="B354" s="28" t="s">
        <v>5611</v>
      </c>
      <c r="C354" s="28" t="s">
        <v>16509</v>
      </c>
      <c r="D354" s="28" t="s">
        <v>18175</v>
      </c>
      <c r="E354" s="28" t="s">
        <v>192</v>
      </c>
      <c r="F354" s="28">
        <v>1</v>
      </c>
      <c r="G354" s="28" t="s">
        <v>193</v>
      </c>
      <c r="H354" s="28" t="s">
        <v>194</v>
      </c>
      <c r="I354" s="28" t="s">
        <v>17784</v>
      </c>
      <c r="J354" s="28" t="s">
        <v>210</v>
      </c>
      <c r="K354" s="28" t="s">
        <v>9309</v>
      </c>
      <c r="L354" s="28" t="s">
        <v>6955</v>
      </c>
      <c r="N354" s="28" t="s">
        <v>19071</v>
      </c>
      <c r="O354" s="28" t="s">
        <v>6275</v>
      </c>
      <c r="P354" s="28" t="s">
        <v>18364</v>
      </c>
      <c r="Q354" s="28" t="s">
        <v>18329</v>
      </c>
      <c r="R354" s="28" t="s">
        <v>18365</v>
      </c>
      <c r="S354" s="28" t="s">
        <v>19072</v>
      </c>
      <c r="T354" s="28" t="s">
        <v>19073</v>
      </c>
      <c r="V354" s="28" t="s">
        <v>9334</v>
      </c>
      <c r="W354" s="28" t="s">
        <v>1425</v>
      </c>
      <c r="X354" s="28" t="s">
        <v>194</v>
      </c>
      <c r="Y354" s="28" t="s">
        <v>9300</v>
      </c>
      <c r="AB354" s="28" t="s">
        <v>9311</v>
      </c>
      <c r="AH354" s="28" t="s">
        <v>4714</v>
      </c>
      <c r="AI354" s="28" t="s">
        <v>5611</v>
      </c>
      <c r="AJ354" s="516" t="str">
        <f>MID('II kw.22'!W354,8,6)</f>
        <v>723310</v>
      </c>
      <c r="AK354" s="516">
        <v>1</v>
      </c>
      <c r="AL354" s="516">
        <f t="shared" si="5"/>
        <v>1</v>
      </c>
      <c r="AM354" s="516">
        <v>1</v>
      </c>
      <c r="AN354" s="28" t="s">
        <v>17650</v>
      </c>
      <c r="AO354" s="28" t="s">
        <v>17651</v>
      </c>
      <c r="AP354" s="28" t="s">
        <v>17652</v>
      </c>
      <c r="AQ354" s="28" t="s">
        <v>17653</v>
      </c>
      <c r="AR354" s="28" t="s">
        <v>1024</v>
      </c>
    </row>
    <row r="355" spans="1:44" x14ac:dyDescent="0.25">
      <c r="A355" s="28" t="s">
        <v>10002</v>
      </c>
      <c r="B355" s="28" t="s">
        <v>19074</v>
      </c>
      <c r="C355" s="28" t="s">
        <v>133</v>
      </c>
      <c r="D355" s="28" t="s">
        <v>18175</v>
      </c>
      <c r="E355" s="28" t="s">
        <v>192</v>
      </c>
      <c r="F355" s="28">
        <v>1</v>
      </c>
      <c r="G355" s="28" t="s">
        <v>193</v>
      </c>
      <c r="H355" s="28" t="s">
        <v>194</v>
      </c>
      <c r="I355" s="28" t="s">
        <v>17672</v>
      </c>
      <c r="J355" s="28" t="s">
        <v>210</v>
      </c>
      <c r="K355" s="28" t="s">
        <v>9309</v>
      </c>
      <c r="L355" s="28" t="s">
        <v>6955</v>
      </c>
      <c r="N355" s="28" t="s">
        <v>19075</v>
      </c>
      <c r="O355" s="28" t="s">
        <v>6266</v>
      </c>
      <c r="P355" s="28" t="s">
        <v>18364</v>
      </c>
      <c r="Q355" s="28" t="s">
        <v>18329</v>
      </c>
      <c r="R355" s="28" t="s">
        <v>18365</v>
      </c>
      <c r="S355" s="28" t="s">
        <v>19076</v>
      </c>
      <c r="T355" s="28" t="s">
        <v>19077</v>
      </c>
      <c r="V355" s="28" t="s">
        <v>9334</v>
      </c>
      <c r="W355" s="28" t="s">
        <v>673</v>
      </c>
      <c r="X355" s="28" t="s">
        <v>194</v>
      </c>
      <c r="Y355" s="28" t="s">
        <v>9300</v>
      </c>
      <c r="AB355" s="28" t="s">
        <v>9311</v>
      </c>
      <c r="AH355" s="28" t="s">
        <v>4714</v>
      </c>
      <c r="AI355" s="28" t="s">
        <v>19074</v>
      </c>
      <c r="AJ355" s="516" t="str">
        <f>MID('II kw.22'!W355,8,6)</f>
        <v>333107</v>
      </c>
      <c r="AK355" s="516">
        <v>1</v>
      </c>
      <c r="AL355" s="516">
        <f t="shared" si="5"/>
        <v>1</v>
      </c>
      <c r="AM355" s="516">
        <v>1</v>
      </c>
      <c r="AN355" s="28" t="s">
        <v>17650</v>
      </c>
      <c r="AO355" s="28" t="s">
        <v>17651</v>
      </c>
      <c r="AP355" s="28" t="s">
        <v>17652</v>
      </c>
      <c r="AQ355" s="28" t="s">
        <v>17653</v>
      </c>
      <c r="AR355" s="28" t="s">
        <v>1024</v>
      </c>
    </row>
    <row r="356" spans="1:44" x14ac:dyDescent="0.25">
      <c r="A356" s="28" t="s">
        <v>19078</v>
      </c>
      <c r="B356" s="28" t="s">
        <v>13881</v>
      </c>
      <c r="C356" s="28" t="s">
        <v>19</v>
      </c>
      <c r="D356" s="28" t="s">
        <v>18175</v>
      </c>
      <c r="E356" s="28" t="s">
        <v>192</v>
      </c>
      <c r="F356" s="28">
        <v>1</v>
      </c>
      <c r="G356" s="28" t="s">
        <v>193</v>
      </c>
      <c r="H356" s="28" t="s">
        <v>194</v>
      </c>
      <c r="I356" s="28" t="s">
        <v>17656</v>
      </c>
      <c r="J356" s="28" t="s">
        <v>285</v>
      </c>
      <c r="K356" s="28" t="s">
        <v>9309</v>
      </c>
      <c r="L356" s="28" t="s">
        <v>6955</v>
      </c>
      <c r="N356" s="28" t="s">
        <v>19079</v>
      </c>
      <c r="O356" s="28" t="s">
        <v>6245</v>
      </c>
      <c r="P356" s="28" t="s">
        <v>18364</v>
      </c>
      <c r="Q356" s="28" t="s">
        <v>18329</v>
      </c>
      <c r="R356" s="28" t="s">
        <v>18365</v>
      </c>
      <c r="S356" s="28" t="s">
        <v>19080</v>
      </c>
      <c r="T356" s="28" t="s">
        <v>19081</v>
      </c>
      <c r="V356" s="28" t="s">
        <v>9518</v>
      </c>
      <c r="W356" s="28" t="s">
        <v>337</v>
      </c>
      <c r="X356" s="28" t="s">
        <v>194</v>
      </c>
      <c r="Y356" s="28" t="s">
        <v>9300</v>
      </c>
      <c r="AB356" s="28" t="s">
        <v>9311</v>
      </c>
      <c r="AH356" s="28" t="s">
        <v>4714</v>
      </c>
      <c r="AI356" s="28" t="s">
        <v>13881</v>
      </c>
      <c r="AJ356" s="516" t="str">
        <f>MID('II kw.22'!W356,8,6)</f>
        <v>214903</v>
      </c>
      <c r="AK356" s="516">
        <v>1</v>
      </c>
      <c r="AL356" s="516">
        <f t="shared" si="5"/>
        <v>1</v>
      </c>
      <c r="AM356" s="516">
        <v>1</v>
      </c>
      <c r="AN356" s="28" t="s">
        <v>17650</v>
      </c>
      <c r="AO356" s="28" t="s">
        <v>17651</v>
      </c>
      <c r="AP356" s="28" t="s">
        <v>17652</v>
      </c>
      <c r="AQ356" s="28" t="s">
        <v>17653</v>
      </c>
      <c r="AR356" s="28" t="s">
        <v>1024</v>
      </c>
    </row>
    <row r="357" spans="1:44" x14ac:dyDescent="0.25">
      <c r="A357" s="28" t="s">
        <v>18938</v>
      </c>
      <c r="B357" s="28" t="s">
        <v>19082</v>
      </c>
      <c r="C357" s="28" t="s">
        <v>19082</v>
      </c>
      <c r="D357" s="28" t="s">
        <v>18175</v>
      </c>
      <c r="E357" s="28" t="s">
        <v>192</v>
      </c>
      <c r="F357" s="28">
        <v>1</v>
      </c>
      <c r="G357" s="28" t="s">
        <v>193</v>
      </c>
      <c r="H357" s="28" t="s">
        <v>194</v>
      </c>
      <c r="I357" s="28" t="s">
        <v>17706</v>
      </c>
      <c r="J357" s="28" t="s">
        <v>210</v>
      </c>
      <c r="K357" s="28" t="s">
        <v>9309</v>
      </c>
      <c r="L357" s="28" t="s">
        <v>6955</v>
      </c>
      <c r="N357" s="28" t="s">
        <v>19083</v>
      </c>
      <c r="O357" s="28" t="s">
        <v>6266</v>
      </c>
      <c r="P357" s="28" t="s">
        <v>18364</v>
      </c>
      <c r="Q357" s="28" t="s">
        <v>18329</v>
      </c>
      <c r="R357" s="28" t="s">
        <v>18365</v>
      </c>
      <c r="S357" s="28" t="s">
        <v>19084</v>
      </c>
      <c r="T357" s="28" t="s">
        <v>19085</v>
      </c>
      <c r="V357" s="28" t="s">
        <v>9334</v>
      </c>
      <c r="W357" s="28" t="s">
        <v>19086</v>
      </c>
      <c r="X357" s="28" t="s">
        <v>194</v>
      </c>
      <c r="Y357" s="28" t="s">
        <v>9300</v>
      </c>
      <c r="AB357" s="28" t="s">
        <v>9311</v>
      </c>
      <c r="AH357" s="28" t="s">
        <v>4714</v>
      </c>
      <c r="AI357" s="28" t="s">
        <v>19082</v>
      </c>
      <c r="AJ357" s="516" t="str">
        <f>MID('II kw.22'!W357,8,6)</f>
        <v>832205</v>
      </c>
      <c r="AK357" s="516">
        <v>1</v>
      </c>
      <c r="AL357" s="516">
        <f t="shared" si="5"/>
        <v>1</v>
      </c>
      <c r="AM357" s="516">
        <v>1</v>
      </c>
      <c r="AN357" s="28" t="s">
        <v>17650</v>
      </c>
      <c r="AO357" s="28" t="s">
        <v>17651</v>
      </c>
      <c r="AP357" s="28" t="s">
        <v>17652</v>
      </c>
      <c r="AQ357" s="28" t="s">
        <v>17653</v>
      </c>
      <c r="AR357" s="28" t="s">
        <v>1024</v>
      </c>
    </row>
    <row r="358" spans="1:44" x14ac:dyDescent="0.25">
      <c r="A358" s="28" t="s">
        <v>19087</v>
      </c>
      <c r="B358" s="28" t="s">
        <v>8</v>
      </c>
      <c r="C358" s="28" t="s">
        <v>740</v>
      </c>
      <c r="D358" s="28" t="s">
        <v>18175</v>
      </c>
      <c r="E358" s="28" t="s">
        <v>192</v>
      </c>
      <c r="F358" s="28">
        <v>1</v>
      </c>
      <c r="G358" s="28" t="s">
        <v>193</v>
      </c>
      <c r="H358" s="28" t="s">
        <v>194</v>
      </c>
      <c r="I358" s="28" t="s">
        <v>17706</v>
      </c>
      <c r="J358" s="28" t="s">
        <v>210</v>
      </c>
      <c r="K358" s="28" t="s">
        <v>9309</v>
      </c>
      <c r="L358" s="28" t="s">
        <v>6955</v>
      </c>
      <c r="N358" s="28" t="s">
        <v>19088</v>
      </c>
      <c r="O358" s="28" t="s">
        <v>6251</v>
      </c>
      <c r="P358" s="28" t="s">
        <v>18364</v>
      </c>
      <c r="Q358" s="28" t="s">
        <v>18329</v>
      </c>
      <c r="R358" s="28" t="s">
        <v>18365</v>
      </c>
      <c r="S358" s="28" t="s">
        <v>19089</v>
      </c>
      <c r="T358" s="28" t="s">
        <v>19090</v>
      </c>
      <c r="V358" s="28" t="s">
        <v>9334</v>
      </c>
      <c r="W358" s="28" t="s">
        <v>741</v>
      </c>
      <c r="X358" s="28" t="s">
        <v>194</v>
      </c>
      <c r="Y358" s="28" t="s">
        <v>9300</v>
      </c>
      <c r="AB358" s="28" t="s">
        <v>9311</v>
      </c>
      <c r="AH358" s="28" t="s">
        <v>4714</v>
      </c>
      <c r="AI358" s="28" t="s">
        <v>8</v>
      </c>
      <c r="AJ358" s="516" t="str">
        <f>MID('II kw.22'!W358,8,6)</f>
        <v>522301</v>
      </c>
      <c r="AK358" s="516">
        <v>1</v>
      </c>
      <c r="AL358" s="516">
        <f t="shared" si="5"/>
        <v>1</v>
      </c>
      <c r="AM358" s="516">
        <v>1</v>
      </c>
      <c r="AN358" s="28" t="s">
        <v>17650</v>
      </c>
      <c r="AO358" s="28" t="s">
        <v>17651</v>
      </c>
      <c r="AP358" s="28" t="s">
        <v>17652</v>
      </c>
      <c r="AQ358" s="28" t="s">
        <v>17653</v>
      </c>
      <c r="AR358" s="28" t="s">
        <v>1024</v>
      </c>
    </row>
    <row r="359" spans="1:44" x14ac:dyDescent="0.25">
      <c r="A359" s="28" t="s">
        <v>19091</v>
      </c>
      <c r="B359" s="28" t="s">
        <v>4055</v>
      </c>
      <c r="C359" s="28" t="s">
        <v>10</v>
      </c>
      <c r="D359" s="28" t="s">
        <v>18175</v>
      </c>
      <c r="E359" s="28" t="s">
        <v>192</v>
      </c>
      <c r="F359" s="28">
        <v>1</v>
      </c>
      <c r="G359" s="28" t="s">
        <v>193</v>
      </c>
      <c r="H359" s="28" t="s">
        <v>194</v>
      </c>
      <c r="I359" s="28" t="s">
        <v>17672</v>
      </c>
      <c r="J359" s="28" t="s">
        <v>210</v>
      </c>
      <c r="K359" s="28" t="s">
        <v>9309</v>
      </c>
      <c r="L359" s="28" t="s">
        <v>6955</v>
      </c>
      <c r="N359" s="28" t="s">
        <v>19092</v>
      </c>
      <c r="O359" s="28" t="s">
        <v>6295</v>
      </c>
      <c r="P359" s="28" t="s">
        <v>18364</v>
      </c>
      <c r="Q359" s="28" t="s">
        <v>18329</v>
      </c>
      <c r="R359" s="28" t="s">
        <v>18365</v>
      </c>
      <c r="S359" s="28" t="s">
        <v>19093</v>
      </c>
      <c r="T359" s="28" t="s">
        <v>19094</v>
      </c>
      <c r="V359" s="28" t="s">
        <v>9334</v>
      </c>
      <c r="W359" s="28" t="s">
        <v>484</v>
      </c>
      <c r="X359" s="28" t="s">
        <v>194</v>
      </c>
      <c r="Y359" s="28" t="s">
        <v>9300</v>
      </c>
      <c r="AB359" s="28" t="s">
        <v>9311</v>
      </c>
      <c r="AH359" s="28" t="s">
        <v>4714</v>
      </c>
      <c r="AI359" s="28" t="s">
        <v>4055</v>
      </c>
      <c r="AJ359" s="516" t="str">
        <f>MID('II kw.22'!W359,8,6)</f>
        <v>251401</v>
      </c>
      <c r="AK359" s="516">
        <v>1</v>
      </c>
      <c r="AL359" s="516">
        <f t="shared" si="5"/>
        <v>1</v>
      </c>
      <c r="AM359" s="516">
        <v>1</v>
      </c>
      <c r="AN359" s="28" t="s">
        <v>17650</v>
      </c>
      <c r="AO359" s="28" t="s">
        <v>17651</v>
      </c>
      <c r="AP359" s="28" t="s">
        <v>17652</v>
      </c>
      <c r="AQ359" s="28" t="s">
        <v>17653</v>
      </c>
      <c r="AR359" s="28" t="s">
        <v>1024</v>
      </c>
    </row>
    <row r="360" spans="1:44" x14ac:dyDescent="0.25">
      <c r="A360" s="28" t="s">
        <v>18645</v>
      </c>
      <c r="B360" s="28" t="s">
        <v>821</v>
      </c>
      <c r="C360" s="28" t="s">
        <v>822</v>
      </c>
      <c r="D360" s="28" t="s">
        <v>18175</v>
      </c>
      <c r="E360" s="28" t="s">
        <v>192</v>
      </c>
      <c r="F360" s="28">
        <v>1</v>
      </c>
      <c r="G360" s="28" t="s">
        <v>193</v>
      </c>
      <c r="H360" s="28" t="s">
        <v>194</v>
      </c>
      <c r="I360" s="28" t="s">
        <v>17706</v>
      </c>
      <c r="J360" s="28" t="s">
        <v>253</v>
      </c>
      <c r="K360" s="28" t="s">
        <v>9309</v>
      </c>
      <c r="L360" s="28" t="s">
        <v>6955</v>
      </c>
      <c r="N360" s="28" t="s">
        <v>19095</v>
      </c>
      <c r="O360" s="28" t="s">
        <v>6245</v>
      </c>
      <c r="P360" s="28" t="s">
        <v>18364</v>
      </c>
      <c r="Q360" s="28" t="s">
        <v>18329</v>
      </c>
      <c r="R360" s="28" t="s">
        <v>18365</v>
      </c>
      <c r="S360" s="28" t="s">
        <v>19096</v>
      </c>
      <c r="T360" s="28" t="s">
        <v>19097</v>
      </c>
      <c r="V360" s="28" t="s">
        <v>9468</v>
      </c>
      <c r="W360" s="28" t="s">
        <v>823</v>
      </c>
      <c r="X360" s="28" t="s">
        <v>194</v>
      </c>
      <c r="Y360" s="28" t="s">
        <v>9300</v>
      </c>
      <c r="AB360" s="28" t="s">
        <v>9311</v>
      </c>
      <c r="AH360" s="28" t="s">
        <v>4714</v>
      </c>
      <c r="AI360" s="28" t="s">
        <v>821</v>
      </c>
      <c r="AJ360" s="516" t="str">
        <f>MID('II kw.22'!W360,8,6)</f>
        <v>741103</v>
      </c>
      <c r="AK360" s="516">
        <v>1</v>
      </c>
      <c r="AL360" s="516">
        <f t="shared" si="5"/>
        <v>1</v>
      </c>
      <c r="AM360" s="516">
        <v>1</v>
      </c>
      <c r="AN360" s="28" t="s">
        <v>17650</v>
      </c>
      <c r="AO360" s="28" t="s">
        <v>17651</v>
      </c>
      <c r="AP360" s="28" t="s">
        <v>17652</v>
      </c>
      <c r="AQ360" s="28" t="s">
        <v>17653</v>
      </c>
      <c r="AR360" s="28" t="s">
        <v>1024</v>
      </c>
    </row>
    <row r="361" spans="1:44" x14ac:dyDescent="0.25">
      <c r="A361" s="28" t="s">
        <v>482</v>
      </c>
      <c r="B361" s="28" t="s">
        <v>19098</v>
      </c>
      <c r="C361" s="28" t="s">
        <v>525</v>
      </c>
      <c r="D361" s="28" t="s">
        <v>18175</v>
      </c>
      <c r="E361" s="28" t="s">
        <v>192</v>
      </c>
      <c r="F361" s="28">
        <v>1</v>
      </c>
      <c r="G361" s="28" t="s">
        <v>193</v>
      </c>
      <c r="H361" s="28" t="s">
        <v>194</v>
      </c>
      <c r="I361" s="28" t="s">
        <v>17784</v>
      </c>
      <c r="J361" s="28" t="s">
        <v>210</v>
      </c>
      <c r="K361" s="28" t="s">
        <v>9309</v>
      </c>
      <c r="L361" s="28" t="s">
        <v>6955</v>
      </c>
      <c r="N361" s="28" t="s">
        <v>19099</v>
      </c>
      <c r="O361" s="28" t="s">
        <v>6286</v>
      </c>
      <c r="P361" s="28" t="s">
        <v>18364</v>
      </c>
      <c r="Q361" s="28" t="s">
        <v>18329</v>
      </c>
      <c r="R361" s="28" t="s">
        <v>18365</v>
      </c>
      <c r="S361" s="28" t="s">
        <v>19100</v>
      </c>
      <c r="T361" s="28" t="s">
        <v>19101</v>
      </c>
      <c r="V361" s="28" t="s">
        <v>9334</v>
      </c>
      <c r="W361" s="28" t="s">
        <v>526</v>
      </c>
      <c r="X361" s="28" t="s">
        <v>194</v>
      </c>
      <c r="Y361" s="28" t="s">
        <v>9300</v>
      </c>
      <c r="AB361" s="28" t="s">
        <v>9311</v>
      </c>
      <c r="AH361" s="28" t="s">
        <v>4714</v>
      </c>
      <c r="AI361" s="28" t="s">
        <v>19098</v>
      </c>
      <c r="AJ361" s="516" t="str">
        <f>MID('II kw.22'!W361,8,6)</f>
        <v>263102</v>
      </c>
      <c r="AK361" s="516">
        <v>1</v>
      </c>
      <c r="AL361" s="516">
        <f t="shared" si="5"/>
        <v>1</v>
      </c>
      <c r="AM361" s="516">
        <v>1</v>
      </c>
      <c r="AN361" s="28" t="s">
        <v>17650</v>
      </c>
      <c r="AO361" s="28" t="s">
        <v>17651</v>
      </c>
      <c r="AP361" s="28" t="s">
        <v>17652</v>
      </c>
      <c r="AQ361" s="28" t="s">
        <v>17653</v>
      </c>
      <c r="AR361" s="28" t="s">
        <v>1024</v>
      </c>
    </row>
    <row r="362" spans="1:44" x14ac:dyDescent="0.25">
      <c r="A362" s="28" t="s">
        <v>2656</v>
      </c>
      <c r="B362" s="28" t="s">
        <v>19102</v>
      </c>
      <c r="C362" s="28" t="s">
        <v>5326</v>
      </c>
      <c r="D362" s="28" t="s">
        <v>18175</v>
      </c>
      <c r="E362" s="28" t="s">
        <v>192</v>
      </c>
      <c r="F362" s="28">
        <v>1</v>
      </c>
      <c r="G362" s="28" t="s">
        <v>193</v>
      </c>
      <c r="H362" s="28" t="s">
        <v>194</v>
      </c>
      <c r="I362" s="28" t="s">
        <v>17672</v>
      </c>
      <c r="J362" s="28" t="s">
        <v>210</v>
      </c>
      <c r="K362" s="28" t="s">
        <v>9309</v>
      </c>
      <c r="L362" s="28" t="s">
        <v>6955</v>
      </c>
      <c r="N362" s="28" t="s">
        <v>19103</v>
      </c>
      <c r="O362" s="28" t="s">
        <v>6245</v>
      </c>
      <c r="P362" s="28" t="s">
        <v>18364</v>
      </c>
      <c r="Q362" s="28" t="s">
        <v>18329</v>
      </c>
      <c r="R362" s="28" t="s">
        <v>18365</v>
      </c>
      <c r="S362" s="28" t="s">
        <v>19104</v>
      </c>
      <c r="T362" s="28" t="s">
        <v>19105</v>
      </c>
      <c r="V362" s="28" t="s">
        <v>9334</v>
      </c>
      <c r="W362" s="28" t="s">
        <v>584</v>
      </c>
      <c r="X362" s="28" t="s">
        <v>194</v>
      </c>
      <c r="Y362" s="28" t="s">
        <v>9300</v>
      </c>
      <c r="AB362" s="28" t="s">
        <v>9311</v>
      </c>
      <c r="AH362" s="509" t="s">
        <v>5109</v>
      </c>
      <c r="AI362" s="28" t="s">
        <v>19102</v>
      </c>
      <c r="AJ362" s="516" t="str">
        <f>MID('II kw.22'!W362,8,6)</f>
        <v>311937</v>
      </c>
      <c r="AK362" s="516">
        <v>1</v>
      </c>
      <c r="AL362" s="516">
        <f t="shared" si="5"/>
        <v>1</v>
      </c>
      <c r="AM362" s="516">
        <v>1</v>
      </c>
      <c r="AN362" s="28" t="s">
        <v>17650</v>
      </c>
      <c r="AO362" s="28" t="s">
        <v>17651</v>
      </c>
      <c r="AP362" s="28" t="s">
        <v>17652</v>
      </c>
      <c r="AQ362" s="28" t="s">
        <v>17653</v>
      </c>
      <c r="AR362" s="28" t="s">
        <v>1024</v>
      </c>
    </row>
    <row r="363" spans="1:44" x14ac:dyDescent="0.25">
      <c r="A363" s="28" t="s">
        <v>369</v>
      </c>
      <c r="B363" s="28" t="s">
        <v>19106</v>
      </c>
      <c r="C363" s="28" t="s">
        <v>5440</v>
      </c>
      <c r="D363" s="28" t="s">
        <v>18175</v>
      </c>
      <c r="E363" s="28" t="s">
        <v>192</v>
      </c>
      <c r="F363" s="28">
        <v>1</v>
      </c>
      <c r="G363" s="28" t="s">
        <v>193</v>
      </c>
      <c r="H363" s="28" t="s">
        <v>194</v>
      </c>
      <c r="I363" s="28" t="s">
        <v>17672</v>
      </c>
      <c r="J363" s="28" t="s">
        <v>210</v>
      </c>
      <c r="K363" s="28" t="s">
        <v>9309</v>
      </c>
      <c r="L363" s="28" t="s">
        <v>6955</v>
      </c>
      <c r="N363" s="28" t="s">
        <v>19107</v>
      </c>
      <c r="O363" s="28" t="s">
        <v>6245</v>
      </c>
      <c r="P363" s="28" t="s">
        <v>18364</v>
      </c>
      <c r="Q363" s="28" t="s">
        <v>18329</v>
      </c>
      <c r="R363" s="28" t="s">
        <v>18365</v>
      </c>
      <c r="S363" s="28" t="s">
        <v>19108</v>
      </c>
      <c r="T363" s="28" t="s">
        <v>19109</v>
      </c>
      <c r="V363" s="28" t="s">
        <v>9334</v>
      </c>
      <c r="W363" s="28" t="s">
        <v>310</v>
      </c>
      <c r="X363" s="28" t="s">
        <v>194</v>
      </c>
      <c r="Y363" s="28" t="s">
        <v>9300</v>
      </c>
      <c r="AB363" s="28" t="s">
        <v>9311</v>
      </c>
      <c r="AH363" s="28" t="s">
        <v>4714</v>
      </c>
      <c r="AI363" s="28" t="s">
        <v>19106</v>
      </c>
      <c r="AJ363" s="516" t="str">
        <f>MID('II kw.22'!W363,8,6)</f>
        <v>214404</v>
      </c>
      <c r="AK363" s="516">
        <v>1</v>
      </c>
      <c r="AL363" s="516">
        <f t="shared" si="5"/>
        <v>1</v>
      </c>
      <c r="AM363" s="516">
        <v>1</v>
      </c>
      <c r="AN363" s="28" t="s">
        <v>17650</v>
      </c>
      <c r="AO363" s="28" t="s">
        <v>17651</v>
      </c>
      <c r="AP363" s="28" t="s">
        <v>17652</v>
      </c>
      <c r="AQ363" s="28" t="s">
        <v>17653</v>
      </c>
      <c r="AR363" s="28" t="s">
        <v>1024</v>
      </c>
    </row>
    <row r="364" spans="1:44" x14ac:dyDescent="0.25">
      <c r="A364" s="28" t="s">
        <v>19110</v>
      </c>
      <c r="B364" s="28" t="s">
        <v>19111</v>
      </c>
      <c r="C364" s="28" t="s">
        <v>12475</v>
      </c>
      <c r="D364" s="28" t="s">
        <v>18175</v>
      </c>
      <c r="E364" s="28" t="s">
        <v>192</v>
      </c>
      <c r="F364" s="28">
        <v>1</v>
      </c>
      <c r="G364" s="28" t="s">
        <v>193</v>
      </c>
      <c r="H364" s="28" t="s">
        <v>194</v>
      </c>
      <c r="I364" s="28" t="s">
        <v>17706</v>
      </c>
      <c r="J364" s="28" t="s">
        <v>19112</v>
      </c>
      <c r="K364" s="28" t="s">
        <v>9309</v>
      </c>
      <c r="L364" s="28" t="s">
        <v>6955</v>
      </c>
      <c r="N364" s="28" t="s">
        <v>19113</v>
      </c>
      <c r="O364" s="28" t="s">
        <v>6275</v>
      </c>
      <c r="P364" s="28" t="s">
        <v>18364</v>
      </c>
      <c r="Q364" s="28" t="s">
        <v>18329</v>
      </c>
      <c r="R364" s="28" t="s">
        <v>18365</v>
      </c>
      <c r="S364" s="28" t="s">
        <v>19114</v>
      </c>
      <c r="T364" s="28" t="s">
        <v>19115</v>
      </c>
      <c r="V364" s="28" t="s">
        <v>9367</v>
      </c>
      <c r="W364" s="28" t="s">
        <v>1808</v>
      </c>
      <c r="X364" s="28" t="s">
        <v>194</v>
      </c>
      <c r="Y364" s="28" t="s">
        <v>9300</v>
      </c>
      <c r="AB364" s="28" t="s">
        <v>9311</v>
      </c>
      <c r="AH364" s="28" t="s">
        <v>4714</v>
      </c>
      <c r="AI364" s="28" t="s">
        <v>19111</v>
      </c>
      <c r="AJ364" s="516" t="str">
        <f>MID('II kw.22'!W364,8,6)</f>
        <v>711502</v>
      </c>
      <c r="AK364" s="516">
        <v>1</v>
      </c>
      <c r="AL364" s="516">
        <f t="shared" si="5"/>
        <v>1</v>
      </c>
      <c r="AM364" s="516">
        <v>1</v>
      </c>
      <c r="AN364" s="28" t="s">
        <v>17650</v>
      </c>
      <c r="AO364" s="28" t="s">
        <v>17651</v>
      </c>
      <c r="AP364" s="28" t="s">
        <v>17652</v>
      </c>
      <c r="AQ364" s="28" t="s">
        <v>17653</v>
      </c>
      <c r="AR364" s="28" t="s">
        <v>1024</v>
      </c>
    </row>
    <row r="365" spans="1:44" x14ac:dyDescent="0.25">
      <c r="A365" s="28" t="s">
        <v>19116</v>
      </c>
      <c r="B365" s="28" t="s">
        <v>336</v>
      </c>
      <c r="C365" s="28" t="s">
        <v>19</v>
      </c>
      <c r="D365" s="28" t="s">
        <v>18175</v>
      </c>
      <c r="E365" s="28" t="s">
        <v>192</v>
      </c>
      <c r="F365" s="28">
        <v>1</v>
      </c>
      <c r="G365" s="28" t="s">
        <v>193</v>
      </c>
      <c r="H365" s="28" t="s">
        <v>194</v>
      </c>
      <c r="I365" s="28" t="s">
        <v>17672</v>
      </c>
      <c r="J365" s="28" t="s">
        <v>210</v>
      </c>
      <c r="K365" s="28" t="s">
        <v>9309</v>
      </c>
      <c r="L365" s="28" t="s">
        <v>6955</v>
      </c>
      <c r="N365" s="28" t="s">
        <v>19117</v>
      </c>
      <c r="O365" s="28" t="s">
        <v>6245</v>
      </c>
      <c r="P365" s="28" t="s">
        <v>18364</v>
      </c>
      <c r="Q365" s="28" t="s">
        <v>18329</v>
      </c>
      <c r="R365" s="28" t="s">
        <v>18365</v>
      </c>
      <c r="S365" s="28" t="s">
        <v>19118</v>
      </c>
      <c r="T365" s="28" t="s">
        <v>19119</v>
      </c>
      <c r="V365" s="28" t="s">
        <v>9334</v>
      </c>
      <c r="W365" s="28" t="s">
        <v>337</v>
      </c>
      <c r="X365" s="28" t="s">
        <v>194</v>
      </c>
      <c r="Y365" s="28" t="s">
        <v>9300</v>
      </c>
      <c r="AB365" s="28" t="s">
        <v>9311</v>
      </c>
      <c r="AH365" s="28" t="s">
        <v>4714</v>
      </c>
      <c r="AI365" s="28" t="s">
        <v>336</v>
      </c>
      <c r="AJ365" s="516" t="str">
        <f>MID('II kw.22'!W365,8,6)</f>
        <v>214903</v>
      </c>
      <c r="AK365" s="516">
        <v>1</v>
      </c>
      <c r="AL365" s="516">
        <f t="shared" si="5"/>
        <v>1</v>
      </c>
      <c r="AM365" s="516">
        <v>1</v>
      </c>
      <c r="AN365" s="28" t="s">
        <v>17650</v>
      </c>
      <c r="AO365" s="28" t="s">
        <v>17651</v>
      </c>
      <c r="AP365" s="28" t="s">
        <v>17652</v>
      </c>
      <c r="AQ365" s="28" t="s">
        <v>17653</v>
      </c>
      <c r="AR365" s="28" t="s">
        <v>1024</v>
      </c>
    </row>
    <row r="366" spans="1:44" x14ac:dyDescent="0.25">
      <c r="A366" s="28" t="s">
        <v>19120</v>
      </c>
      <c r="B366" s="28" t="s">
        <v>18550</v>
      </c>
      <c r="C366" s="28" t="s">
        <v>3315</v>
      </c>
      <c r="D366" s="28" t="s">
        <v>18175</v>
      </c>
      <c r="E366" s="28" t="s">
        <v>192</v>
      </c>
      <c r="F366" s="28">
        <v>1</v>
      </c>
      <c r="G366" s="28" t="s">
        <v>193</v>
      </c>
      <c r="H366" s="28" t="s">
        <v>194</v>
      </c>
      <c r="I366" s="28" t="s">
        <v>17672</v>
      </c>
      <c r="J366" s="28" t="s">
        <v>210</v>
      </c>
      <c r="K366" s="28" t="s">
        <v>9309</v>
      </c>
      <c r="L366" s="28" t="s">
        <v>6955</v>
      </c>
      <c r="N366" s="28" t="s">
        <v>19121</v>
      </c>
      <c r="O366" s="28" t="s">
        <v>6286</v>
      </c>
      <c r="P366" s="28" t="s">
        <v>18364</v>
      </c>
      <c r="Q366" s="28" t="s">
        <v>18329</v>
      </c>
      <c r="R366" s="28" t="s">
        <v>18365</v>
      </c>
      <c r="S366" s="28" t="s">
        <v>19122</v>
      </c>
      <c r="T366" s="28" t="s">
        <v>19123</v>
      </c>
      <c r="V366" s="28" t="s">
        <v>9334</v>
      </c>
      <c r="W366" s="28" t="s">
        <v>3317</v>
      </c>
      <c r="X366" s="28" t="s">
        <v>194</v>
      </c>
      <c r="Y366" s="28" t="s">
        <v>9300</v>
      </c>
      <c r="AB366" s="28" t="s">
        <v>9311</v>
      </c>
      <c r="AH366" s="28" t="s">
        <v>4714</v>
      </c>
      <c r="AI366" s="28" t="s">
        <v>18550</v>
      </c>
      <c r="AJ366" s="516" t="str">
        <f>MID('II kw.22'!W366,8,6)</f>
        <v>216101</v>
      </c>
      <c r="AK366" s="516">
        <v>1</v>
      </c>
      <c r="AL366" s="516">
        <f t="shared" si="5"/>
        <v>1</v>
      </c>
      <c r="AM366" s="516">
        <v>1</v>
      </c>
      <c r="AN366" s="28" t="s">
        <v>17650</v>
      </c>
      <c r="AO366" s="28" t="s">
        <v>17651</v>
      </c>
      <c r="AP366" s="28" t="s">
        <v>17652</v>
      </c>
      <c r="AQ366" s="28" t="s">
        <v>17653</v>
      </c>
      <c r="AR366" s="28" t="s">
        <v>1024</v>
      </c>
    </row>
    <row r="367" spans="1:44" x14ac:dyDescent="0.25">
      <c r="A367" s="28" t="s">
        <v>17654</v>
      </c>
      <c r="B367" s="28" t="s">
        <v>19124</v>
      </c>
      <c r="C367" s="28" t="s">
        <v>10</v>
      </c>
      <c r="D367" s="28" t="s">
        <v>18175</v>
      </c>
      <c r="E367" s="28" t="s">
        <v>192</v>
      </c>
      <c r="F367" s="28">
        <v>1</v>
      </c>
      <c r="G367" s="28" t="s">
        <v>193</v>
      </c>
      <c r="H367" s="28" t="s">
        <v>194</v>
      </c>
      <c r="I367" s="28" t="s">
        <v>17672</v>
      </c>
      <c r="J367" s="28" t="s">
        <v>9302</v>
      </c>
      <c r="K367" s="28" t="s">
        <v>9309</v>
      </c>
      <c r="L367" s="28" t="s">
        <v>6955</v>
      </c>
      <c r="N367" s="28" t="s">
        <v>19125</v>
      </c>
      <c r="O367" s="28" t="s">
        <v>6261</v>
      </c>
      <c r="P367" s="28" t="s">
        <v>18364</v>
      </c>
      <c r="Q367" s="28" t="s">
        <v>18329</v>
      </c>
      <c r="R367" s="28" t="s">
        <v>18365</v>
      </c>
      <c r="S367" s="28" t="s">
        <v>19126</v>
      </c>
      <c r="T367" s="28" t="s">
        <v>19127</v>
      </c>
      <c r="V367" s="27"/>
      <c r="W367" s="28" t="s">
        <v>484</v>
      </c>
      <c r="X367" s="28" t="s">
        <v>193</v>
      </c>
      <c r="Y367" s="27" t="s">
        <v>9310</v>
      </c>
      <c r="AB367" s="28" t="s">
        <v>9311</v>
      </c>
      <c r="AH367" s="28" t="s">
        <v>4714</v>
      </c>
      <c r="AI367" s="28" t="s">
        <v>19124</v>
      </c>
      <c r="AJ367" s="516" t="str">
        <f>MID('II kw.22'!W367,8,6)</f>
        <v>251401</v>
      </c>
      <c r="AK367" s="516">
        <v>1</v>
      </c>
      <c r="AL367" s="516">
        <f t="shared" si="5"/>
        <v>1</v>
      </c>
      <c r="AM367" s="516">
        <v>1</v>
      </c>
      <c r="AN367" s="28" t="s">
        <v>17650</v>
      </c>
      <c r="AO367" s="28" t="s">
        <v>17651</v>
      </c>
      <c r="AP367" s="28" t="s">
        <v>17652</v>
      </c>
      <c r="AQ367" s="28" t="s">
        <v>17653</v>
      </c>
      <c r="AR367" s="28" t="s">
        <v>1024</v>
      </c>
    </row>
    <row r="368" spans="1:44" x14ac:dyDescent="0.25">
      <c r="A368" s="28" t="s">
        <v>1959</v>
      </c>
      <c r="B368" s="28" t="s">
        <v>16709</v>
      </c>
      <c r="C368" s="28" t="s">
        <v>36</v>
      </c>
      <c r="D368" s="28" t="s">
        <v>18175</v>
      </c>
      <c r="E368" s="28" t="s">
        <v>192</v>
      </c>
      <c r="F368" s="28">
        <v>1</v>
      </c>
      <c r="G368" s="28" t="s">
        <v>193</v>
      </c>
      <c r="H368" s="28" t="s">
        <v>194</v>
      </c>
      <c r="I368" s="28" t="s">
        <v>17784</v>
      </c>
      <c r="J368" s="28" t="s">
        <v>9302</v>
      </c>
      <c r="K368" s="28" t="s">
        <v>9309</v>
      </c>
      <c r="L368" s="28" t="s">
        <v>6955</v>
      </c>
      <c r="N368" s="28" t="s">
        <v>19128</v>
      </c>
      <c r="O368" s="28" t="s">
        <v>6254</v>
      </c>
      <c r="P368" s="28" t="s">
        <v>18364</v>
      </c>
      <c r="Q368" s="28" t="s">
        <v>18329</v>
      </c>
      <c r="R368" s="28" t="s">
        <v>18365</v>
      </c>
      <c r="S368" s="28" t="s">
        <v>19129</v>
      </c>
      <c r="T368" s="28" t="s">
        <v>19130</v>
      </c>
      <c r="V368" s="27"/>
      <c r="W368" s="28" t="s">
        <v>609</v>
      </c>
      <c r="X368" s="28" t="s">
        <v>193</v>
      </c>
      <c r="Y368" s="27" t="s">
        <v>9310</v>
      </c>
      <c r="AB368" s="28" t="s">
        <v>9311</v>
      </c>
      <c r="AH368" s="28" t="s">
        <v>4714</v>
      </c>
      <c r="AI368" s="28" t="s">
        <v>16709</v>
      </c>
      <c r="AJ368" s="516" t="str">
        <f>MID('II kw.22'!W368,8,6)</f>
        <v>331301</v>
      </c>
      <c r="AK368" s="516">
        <v>1</v>
      </c>
      <c r="AL368" s="516">
        <f t="shared" si="5"/>
        <v>1</v>
      </c>
      <c r="AM368" s="516">
        <v>1</v>
      </c>
      <c r="AN368" s="28" t="s">
        <v>17650</v>
      </c>
      <c r="AO368" s="28" t="s">
        <v>17651</v>
      </c>
      <c r="AP368" s="28" t="s">
        <v>17652</v>
      </c>
      <c r="AQ368" s="28" t="s">
        <v>17653</v>
      </c>
      <c r="AR368" s="28" t="s">
        <v>1024</v>
      </c>
    </row>
    <row r="369" spans="1:44" x14ac:dyDescent="0.25">
      <c r="A369" s="28" t="s">
        <v>369</v>
      </c>
      <c r="B369" s="28" t="s">
        <v>19131</v>
      </c>
      <c r="C369" s="28" t="s">
        <v>100</v>
      </c>
      <c r="D369" s="28" t="s">
        <v>18175</v>
      </c>
      <c r="E369" s="28" t="s">
        <v>192</v>
      </c>
      <c r="F369" s="28">
        <v>1</v>
      </c>
      <c r="G369" s="28" t="s">
        <v>193</v>
      </c>
      <c r="H369" s="28" t="s">
        <v>194</v>
      </c>
      <c r="I369" s="28" t="s">
        <v>17672</v>
      </c>
      <c r="J369" s="28" t="s">
        <v>210</v>
      </c>
      <c r="K369" s="28" t="s">
        <v>9309</v>
      </c>
      <c r="L369" s="28" t="s">
        <v>6955</v>
      </c>
      <c r="N369" s="28" t="s">
        <v>19132</v>
      </c>
      <c r="O369" s="28" t="s">
        <v>6286</v>
      </c>
      <c r="P369" s="28" t="s">
        <v>18364</v>
      </c>
      <c r="Q369" s="28" t="s">
        <v>18329</v>
      </c>
      <c r="R369" s="28" t="s">
        <v>18365</v>
      </c>
      <c r="S369" s="28" t="s">
        <v>19133</v>
      </c>
      <c r="T369" s="28" t="s">
        <v>19134</v>
      </c>
      <c r="V369" s="28" t="s">
        <v>9334</v>
      </c>
      <c r="W369" s="28" t="s">
        <v>429</v>
      </c>
      <c r="X369" s="28" t="s">
        <v>194</v>
      </c>
      <c r="Y369" s="28" t="s">
        <v>9300</v>
      </c>
      <c r="AB369" s="28" t="s">
        <v>9311</v>
      </c>
      <c r="AH369" s="509" t="s">
        <v>5109</v>
      </c>
      <c r="AI369" s="28" t="s">
        <v>19131</v>
      </c>
      <c r="AJ369" s="516" t="str">
        <f>MID('II kw.22'!W369,8,6)</f>
        <v>242108</v>
      </c>
      <c r="AK369" s="516">
        <v>1</v>
      </c>
      <c r="AL369" s="516">
        <f t="shared" si="5"/>
        <v>1</v>
      </c>
      <c r="AM369" s="516">
        <v>1</v>
      </c>
      <c r="AN369" s="28" t="s">
        <v>17650</v>
      </c>
      <c r="AO369" s="28" t="s">
        <v>17651</v>
      </c>
      <c r="AP369" s="28" t="s">
        <v>17652</v>
      </c>
      <c r="AQ369" s="28" t="s">
        <v>17653</v>
      </c>
      <c r="AR369" s="28" t="s">
        <v>1024</v>
      </c>
    </row>
    <row r="370" spans="1:44" x14ac:dyDescent="0.25">
      <c r="A370" s="28" t="s">
        <v>369</v>
      </c>
      <c r="B370" s="28" t="s">
        <v>19135</v>
      </c>
      <c r="C370" s="28" t="s">
        <v>19</v>
      </c>
      <c r="D370" s="28" t="s">
        <v>18175</v>
      </c>
      <c r="E370" s="28" t="s">
        <v>192</v>
      </c>
      <c r="F370" s="28">
        <v>1</v>
      </c>
      <c r="G370" s="28" t="s">
        <v>193</v>
      </c>
      <c r="H370" s="28" t="s">
        <v>194</v>
      </c>
      <c r="I370" s="28" t="s">
        <v>17672</v>
      </c>
      <c r="J370" s="28" t="s">
        <v>210</v>
      </c>
      <c r="K370" s="28" t="s">
        <v>9309</v>
      </c>
      <c r="L370" s="28" t="s">
        <v>6955</v>
      </c>
      <c r="N370" s="28" t="s">
        <v>19136</v>
      </c>
      <c r="O370" s="28" t="s">
        <v>6266</v>
      </c>
      <c r="P370" s="28" t="s">
        <v>18364</v>
      </c>
      <c r="Q370" s="28" t="s">
        <v>18329</v>
      </c>
      <c r="R370" s="28" t="s">
        <v>18365</v>
      </c>
      <c r="S370" s="28" t="s">
        <v>19137</v>
      </c>
      <c r="T370" s="28" t="s">
        <v>19138</v>
      </c>
      <c r="V370" s="28" t="s">
        <v>9334</v>
      </c>
      <c r="W370" s="28" t="s">
        <v>337</v>
      </c>
      <c r="X370" s="28" t="s">
        <v>194</v>
      </c>
      <c r="Y370" s="28" t="s">
        <v>9300</v>
      </c>
      <c r="AB370" s="28" t="s">
        <v>9311</v>
      </c>
      <c r="AH370" s="509" t="s">
        <v>5109</v>
      </c>
      <c r="AI370" s="28" t="s">
        <v>19135</v>
      </c>
      <c r="AJ370" s="516" t="str">
        <f>MID('II kw.22'!W370,8,6)</f>
        <v>214903</v>
      </c>
      <c r="AK370" s="516">
        <v>1</v>
      </c>
      <c r="AL370" s="516">
        <f t="shared" si="5"/>
        <v>1</v>
      </c>
      <c r="AM370" s="516">
        <v>1</v>
      </c>
      <c r="AN370" s="28" t="s">
        <v>17650</v>
      </c>
      <c r="AO370" s="28" t="s">
        <v>17651</v>
      </c>
      <c r="AP370" s="28" t="s">
        <v>17652</v>
      </c>
      <c r="AQ370" s="28" t="s">
        <v>17653</v>
      </c>
      <c r="AR370" s="28" t="s">
        <v>1024</v>
      </c>
    </row>
    <row r="371" spans="1:44" x14ac:dyDescent="0.25">
      <c r="A371" s="28" t="s">
        <v>19139</v>
      </c>
      <c r="B371" s="28" t="s">
        <v>19140</v>
      </c>
      <c r="C371" s="28" t="s">
        <v>19141</v>
      </c>
      <c r="D371" s="28" t="s">
        <v>18175</v>
      </c>
      <c r="E371" s="28" t="s">
        <v>192</v>
      </c>
      <c r="F371" s="28">
        <v>1</v>
      </c>
      <c r="G371" s="28" t="s">
        <v>193</v>
      </c>
      <c r="H371" s="28" t="s">
        <v>194</v>
      </c>
      <c r="I371" s="28" t="s">
        <v>17759</v>
      </c>
      <c r="J371" s="28" t="s">
        <v>210</v>
      </c>
      <c r="K371" s="28" t="s">
        <v>9309</v>
      </c>
      <c r="L371" s="28" t="s">
        <v>6955</v>
      </c>
      <c r="N371" s="28" t="s">
        <v>19142</v>
      </c>
      <c r="O371" s="28" t="s">
        <v>6343</v>
      </c>
      <c r="P371" s="28" t="s">
        <v>18364</v>
      </c>
      <c r="Q371" s="28" t="s">
        <v>18329</v>
      </c>
      <c r="R371" s="28" t="s">
        <v>18365</v>
      </c>
      <c r="S371" s="28" t="s">
        <v>19143</v>
      </c>
      <c r="T371" s="28" t="s">
        <v>19144</v>
      </c>
      <c r="V371" s="28" t="s">
        <v>9334</v>
      </c>
      <c r="W371" s="28" t="s">
        <v>19145</v>
      </c>
      <c r="X371" s="28" t="s">
        <v>194</v>
      </c>
      <c r="Y371" s="28" t="s">
        <v>9300</v>
      </c>
      <c r="AB371" s="28" t="s">
        <v>9311</v>
      </c>
      <c r="AH371" s="28" t="s">
        <v>4714</v>
      </c>
      <c r="AI371" s="28" t="s">
        <v>19140</v>
      </c>
      <c r="AJ371" s="516" t="str">
        <f>MID('II kw.22'!W371,8,6)</f>
        <v>422101</v>
      </c>
      <c r="AK371" s="516">
        <v>1</v>
      </c>
      <c r="AL371" s="516">
        <f t="shared" si="5"/>
        <v>1</v>
      </c>
      <c r="AM371" s="516">
        <v>1</v>
      </c>
      <c r="AN371" s="28" t="s">
        <v>17650</v>
      </c>
      <c r="AO371" s="28" t="s">
        <v>17651</v>
      </c>
      <c r="AP371" s="28" t="s">
        <v>17652</v>
      </c>
      <c r="AQ371" s="28" t="s">
        <v>17653</v>
      </c>
      <c r="AR371" s="28" t="s">
        <v>1024</v>
      </c>
    </row>
    <row r="372" spans="1:44" x14ac:dyDescent="0.25">
      <c r="A372" s="28" t="s">
        <v>4969</v>
      </c>
      <c r="B372" s="28" t="s">
        <v>19146</v>
      </c>
      <c r="C372" s="28" t="s">
        <v>16281</v>
      </c>
      <c r="D372" s="28" t="s">
        <v>18175</v>
      </c>
      <c r="E372" s="28" t="s">
        <v>192</v>
      </c>
      <c r="F372" s="28">
        <v>1</v>
      </c>
      <c r="G372" s="28" t="s">
        <v>193</v>
      </c>
      <c r="H372" s="28" t="s">
        <v>194</v>
      </c>
      <c r="I372" s="28" t="s">
        <v>17656</v>
      </c>
      <c r="J372" s="28" t="s">
        <v>210</v>
      </c>
      <c r="K372" s="28" t="s">
        <v>9309</v>
      </c>
      <c r="L372" s="28" t="s">
        <v>6955</v>
      </c>
      <c r="N372" s="28" t="s">
        <v>19147</v>
      </c>
      <c r="O372" s="28" t="s">
        <v>6921</v>
      </c>
      <c r="P372" s="28" t="s">
        <v>18364</v>
      </c>
      <c r="Q372" s="28" t="s">
        <v>18329</v>
      </c>
      <c r="R372" s="28" t="s">
        <v>18365</v>
      </c>
      <c r="S372" s="28" t="s">
        <v>19148</v>
      </c>
      <c r="T372" s="28" t="s">
        <v>19149</v>
      </c>
      <c r="V372" s="28" t="s">
        <v>9334</v>
      </c>
      <c r="W372" s="28" t="s">
        <v>9002</v>
      </c>
      <c r="X372" s="28" t="s">
        <v>194</v>
      </c>
      <c r="Y372" s="28" t="s">
        <v>9300</v>
      </c>
      <c r="AB372" s="28" t="s">
        <v>9311</v>
      </c>
      <c r="AH372" s="28" t="s">
        <v>4714</v>
      </c>
      <c r="AI372" s="28" t="s">
        <v>19146</v>
      </c>
      <c r="AJ372" s="516" t="str">
        <f>MID('II kw.22'!W372,8,6)</f>
        <v>252902</v>
      </c>
      <c r="AK372" s="516">
        <v>1</v>
      </c>
      <c r="AL372" s="516">
        <f t="shared" si="5"/>
        <v>1</v>
      </c>
      <c r="AM372" s="516">
        <v>1</v>
      </c>
      <c r="AN372" s="28" t="s">
        <v>17650</v>
      </c>
      <c r="AO372" s="28" t="s">
        <v>17651</v>
      </c>
      <c r="AP372" s="28" t="s">
        <v>17652</v>
      </c>
      <c r="AQ372" s="28" t="s">
        <v>17653</v>
      </c>
      <c r="AR372" s="28" t="s">
        <v>1024</v>
      </c>
    </row>
    <row r="373" spans="1:44" x14ac:dyDescent="0.25">
      <c r="A373" s="28" t="s">
        <v>2656</v>
      </c>
      <c r="B373" s="28" t="s">
        <v>19150</v>
      </c>
      <c r="C373" s="28" t="s">
        <v>13328</v>
      </c>
      <c r="D373" s="28" t="s">
        <v>18175</v>
      </c>
      <c r="E373" s="28" t="s">
        <v>192</v>
      </c>
      <c r="F373" s="28">
        <v>1</v>
      </c>
      <c r="G373" s="28" t="s">
        <v>193</v>
      </c>
      <c r="H373" s="28" t="s">
        <v>194</v>
      </c>
      <c r="I373" s="28" t="s">
        <v>17672</v>
      </c>
      <c r="J373" s="28" t="s">
        <v>210</v>
      </c>
      <c r="K373" s="28" t="s">
        <v>9309</v>
      </c>
      <c r="L373" s="28" t="s">
        <v>6955</v>
      </c>
      <c r="N373" s="28" t="s">
        <v>19151</v>
      </c>
      <c r="O373" s="28" t="s">
        <v>6327</v>
      </c>
      <c r="P373" s="28" t="s">
        <v>18364</v>
      </c>
      <c r="Q373" s="28" t="s">
        <v>18329</v>
      </c>
      <c r="R373" s="28" t="s">
        <v>18365</v>
      </c>
      <c r="S373" s="28" t="s">
        <v>19152</v>
      </c>
      <c r="T373" s="28" t="s">
        <v>19153</v>
      </c>
      <c r="V373" s="28" t="s">
        <v>9334</v>
      </c>
      <c r="W373" s="28" t="s">
        <v>1930</v>
      </c>
      <c r="X373" s="28" t="s">
        <v>194</v>
      </c>
      <c r="Y373" s="28" t="s">
        <v>9300</v>
      </c>
      <c r="AB373" s="28" t="s">
        <v>9311</v>
      </c>
      <c r="AH373" s="509" t="s">
        <v>5109</v>
      </c>
      <c r="AI373" s="28" t="s">
        <v>19150</v>
      </c>
      <c r="AJ373" s="516" t="str">
        <f>MID('II kw.22'!W373,8,6)</f>
        <v>214302</v>
      </c>
      <c r="AK373" s="516">
        <v>1</v>
      </c>
      <c r="AL373" s="516">
        <f t="shared" si="5"/>
        <v>1</v>
      </c>
      <c r="AM373" s="516">
        <v>1</v>
      </c>
      <c r="AN373" s="28" t="s">
        <v>17650</v>
      </c>
      <c r="AO373" s="28" t="s">
        <v>17651</v>
      </c>
      <c r="AP373" s="28" t="s">
        <v>17652</v>
      </c>
      <c r="AQ373" s="28" t="s">
        <v>17653</v>
      </c>
      <c r="AR373" s="28" t="s">
        <v>1024</v>
      </c>
    </row>
    <row r="374" spans="1:44" x14ac:dyDescent="0.25">
      <c r="A374" s="28" t="s">
        <v>409</v>
      </c>
      <c r="B374" s="28" t="s">
        <v>537</v>
      </c>
      <c r="C374" s="28" t="s">
        <v>778</v>
      </c>
      <c r="D374" s="28" t="s">
        <v>18175</v>
      </c>
      <c r="E374" s="28" t="s">
        <v>192</v>
      </c>
      <c r="F374" s="28">
        <v>1</v>
      </c>
      <c r="G374" s="28" t="s">
        <v>193</v>
      </c>
      <c r="H374" s="28" t="s">
        <v>194</v>
      </c>
      <c r="I374" s="28" t="s">
        <v>17706</v>
      </c>
      <c r="J374" s="28" t="s">
        <v>367</v>
      </c>
      <c r="K374" s="28" t="s">
        <v>9309</v>
      </c>
      <c r="L374" s="28" t="s">
        <v>6955</v>
      </c>
      <c r="N374" s="28" t="s">
        <v>19154</v>
      </c>
      <c r="O374" s="28" t="s">
        <v>6254</v>
      </c>
      <c r="P374" s="28" t="s">
        <v>18205</v>
      </c>
      <c r="Q374" s="28" t="s">
        <v>18329</v>
      </c>
      <c r="R374" s="28" t="s">
        <v>18365</v>
      </c>
      <c r="S374" s="28" t="s">
        <v>19155</v>
      </c>
      <c r="T374" s="28" t="s">
        <v>19156</v>
      </c>
      <c r="V374" s="28" t="s">
        <v>9974</v>
      </c>
      <c r="W374" s="28" t="s">
        <v>779</v>
      </c>
      <c r="X374" s="28" t="s">
        <v>194</v>
      </c>
      <c r="Y374" s="28" t="s">
        <v>9300</v>
      </c>
      <c r="AB374" s="28" t="s">
        <v>9311</v>
      </c>
      <c r="AH374" s="28" t="s">
        <v>4714</v>
      </c>
      <c r="AI374" s="28" t="s">
        <v>778</v>
      </c>
      <c r="AJ374" s="516" t="str">
        <f>MID('II kw.22'!W374,8,6)</f>
        <v>524902</v>
      </c>
      <c r="AK374" s="516">
        <v>1</v>
      </c>
      <c r="AL374" s="516">
        <f t="shared" si="5"/>
        <v>1</v>
      </c>
      <c r="AM374" s="516">
        <v>1</v>
      </c>
      <c r="AN374" s="28" t="s">
        <v>17650</v>
      </c>
      <c r="AO374" s="28" t="s">
        <v>17651</v>
      </c>
      <c r="AP374" s="28" t="s">
        <v>17652</v>
      </c>
      <c r="AQ374" s="28" t="s">
        <v>17653</v>
      </c>
      <c r="AR374" s="28" t="s">
        <v>1024</v>
      </c>
    </row>
    <row r="375" spans="1:44" x14ac:dyDescent="0.25">
      <c r="A375" s="28" t="s">
        <v>409</v>
      </c>
      <c r="B375" s="28" t="s">
        <v>537</v>
      </c>
      <c r="C375" s="28" t="s">
        <v>778</v>
      </c>
      <c r="D375" s="28" t="s">
        <v>18175</v>
      </c>
      <c r="E375" s="28" t="s">
        <v>192</v>
      </c>
      <c r="F375" s="28">
        <v>1</v>
      </c>
      <c r="G375" s="28" t="s">
        <v>193</v>
      </c>
      <c r="H375" s="28" t="s">
        <v>194</v>
      </c>
      <c r="I375" s="28" t="s">
        <v>17706</v>
      </c>
      <c r="J375" s="28" t="s">
        <v>385</v>
      </c>
      <c r="K375" s="28" t="s">
        <v>9309</v>
      </c>
      <c r="L375" s="28" t="s">
        <v>6955</v>
      </c>
      <c r="N375" s="28" t="s">
        <v>19157</v>
      </c>
      <c r="O375" s="28" t="s">
        <v>6254</v>
      </c>
      <c r="P375" s="28" t="s">
        <v>18205</v>
      </c>
      <c r="Q375" s="28" t="s">
        <v>18329</v>
      </c>
      <c r="R375" s="28" t="s">
        <v>18365</v>
      </c>
      <c r="S375" s="28" t="s">
        <v>19158</v>
      </c>
      <c r="T375" s="28" t="s">
        <v>19159</v>
      </c>
      <c r="V375" s="28" t="s">
        <v>9410</v>
      </c>
      <c r="W375" s="28" t="s">
        <v>779</v>
      </c>
      <c r="X375" s="28" t="s">
        <v>194</v>
      </c>
      <c r="Y375" s="28" t="s">
        <v>9300</v>
      </c>
      <c r="AB375" s="28" t="s">
        <v>9311</v>
      </c>
      <c r="AH375" s="28" t="s">
        <v>4714</v>
      </c>
      <c r="AI375" s="28" t="s">
        <v>778</v>
      </c>
      <c r="AJ375" s="516" t="str">
        <f>MID('II kw.22'!W375,8,6)</f>
        <v>524902</v>
      </c>
      <c r="AK375" s="516">
        <v>1</v>
      </c>
      <c r="AL375" s="516">
        <f t="shared" si="5"/>
        <v>1</v>
      </c>
      <c r="AM375" s="516">
        <v>1</v>
      </c>
      <c r="AN375" s="28" t="s">
        <v>17650</v>
      </c>
      <c r="AO375" s="28" t="s">
        <v>17651</v>
      </c>
      <c r="AP375" s="28" t="s">
        <v>17652</v>
      </c>
      <c r="AQ375" s="28" t="s">
        <v>17653</v>
      </c>
      <c r="AR375" s="28" t="s">
        <v>1024</v>
      </c>
    </row>
    <row r="376" spans="1:44" x14ac:dyDescent="0.25">
      <c r="A376" s="28" t="s">
        <v>19160</v>
      </c>
      <c r="B376" s="28" t="s">
        <v>4657</v>
      </c>
      <c r="C376" s="28" t="s">
        <v>68</v>
      </c>
      <c r="D376" s="28" t="s">
        <v>18175</v>
      </c>
      <c r="E376" s="28" t="s">
        <v>192</v>
      </c>
      <c r="F376" s="28">
        <v>1</v>
      </c>
      <c r="G376" s="28" t="s">
        <v>193</v>
      </c>
      <c r="H376" s="28" t="s">
        <v>194</v>
      </c>
      <c r="I376" s="28" t="s">
        <v>17784</v>
      </c>
      <c r="J376" s="28" t="s">
        <v>210</v>
      </c>
      <c r="K376" s="28" t="s">
        <v>9309</v>
      </c>
      <c r="L376" s="28" t="s">
        <v>6955</v>
      </c>
      <c r="N376" s="28" t="s">
        <v>19161</v>
      </c>
      <c r="O376" s="28" t="s">
        <v>6286</v>
      </c>
      <c r="P376" s="28" t="s">
        <v>18364</v>
      </c>
      <c r="Q376" s="28" t="s">
        <v>18329</v>
      </c>
      <c r="R376" s="28" t="s">
        <v>18365</v>
      </c>
      <c r="S376" s="28" t="s">
        <v>19162</v>
      </c>
      <c r="T376" s="28" t="s">
        <v>19163</v>
      </c>
      <c r="V376" s="28" t="s">
        <v>9334</v>
      </c>
      <c r="W376" s="28" t="s">
        <v>2235</v>
      </c>
      <c r="X376" s="28" t="s">
        <v>194</v>
      </c>
      <c r="Y376" s="28" t="s">
        <v>9300</v>
      </c>
      <c r="AB376" s="28" t="s">
        <v>9311</v>
      </c>
      <c r="AH376" s="28" t="s">
        <v>4714</v>
      </c>
      <c r="AI376" s="28" t="s">
        <v>4657</v>
      </c>
      <c r="AJ376" s="516" t="str">
        <f>MID('II kw.22'!W376,8,6)</f>
        <v>242403</v>
      </c>
      <c r="AK376" s="516">
        <v>1</v>
      </c>
      <c r="AL376" s="516">
        <f t="shared" si="5"/>
        <v>1</v>
      </c>
      <c r="AM376" s="516">
        <v>1</v>
      </c>
      <c r="AN376" s="28" t="s">
        <v>17650</v>
      </c>
      <c r="AO376" s="28" t="s">
        <v>17651</v>
      </c>
      <c r="AP376" s="28" t="s">
        <v>17652</v>
      </c>
      <c r="AQ376" s="28" t="s">
        <v>17653</v>
      </c>
      <c r="AR376" s="28" t="s">
        <v>1024</v>
      </c>
    </row>
    <row r="377" spans="1:44" x14ac:dyDescent="0.25">
      <c r="A377" s="28" t="s">
        <v>972</v>
      </c>
      <c r="B377" s="28" t="s">
        <v>7513</v>
      </c>
      <c r="C377" s="28" t="s">
        <v>740</v>
      </c>
      <c r="D377" s="28" t="s">
        <v>18175</v>
      </c>
      <c r="E377" s="28" t="s">
        <v>192</v>
      </c>
      <c r="F377" s="28">
        <v>1</v>
      </c>
      <c r="G377" s="28" t="s">
        <v>193</v>
      </c>
      <c r="H377" s="28" t="s">
        <v>194</v>
      </c>
      <c r="I377" s="28" t="s">
        <v>17784</v>
      </c>
      <c r="J377" s="28" t="s">
        <v>16866</v>
      </c>
      <c r="K377" s="28" t="s">
        <v>9309</v>
      </c>
      <c r="L377" s="28" t="s">
        <v>6955</v>
      </c>
      <c r="N377" s="28" t="s">
        <v>19164</v>
      </c>
      <c r="O377" s="28" t="s">
        <v>6249</v>
      </c>
      <c r="P377" s="28" t="s">
        <v>18364</v>
      </c>
      <c r="Q377" s="28" t="s">
        <v>18329</v>
      </c>
      <c r="R377" s="28" t="s">
        <v>18365</v>
      </c>
      <c r="S377" s="28" t="s">
        <v>19165</v>
      </c>
      <c r="T377" s="28" t="s">
        <v>19166</v>
      </c>
      <c r="V377" s="28" t="s">
        <v>9726</v>
      </c>
      <c r="W377" s="28" t="s">
        <v>741</v>
      </c>
      <c r="X377" s="28" t="s">
        <v>194</v>
      </c>
      <c r="Y377" s="28" t="s">
        <v>9300</v>
      </c>
      <c r="AB377" s="28" t="s">
        <v>9311</v>
      </c>
      <c r="AH377" s="28" t="s">
        <v>4714</v>
      </c>
      <c r="AI377" s="28" t="s">
        <v>7513</v>
      </c>
      <c r="AJ377" s="516" t="str">
        <f>MID('II kw.22'!W377,8,6)</f>
        <v>522301</v>
      </c>
      <c r="AK377" s="516">
        <v>1</v>
      </c>
      <c r="AL377" s="516">
        <f t="shared" si="5"/>
        <v>1</v>
      </c>
      <c r="AM377" s="516">
        <v>1</v>
      </c>
      <c r="AN377" s="28" t="s">
        <v>17650</v>
      </c>
      <c r="AO377" s="28" t="s">
        <v>17651</v>
      </c>
      <c r="AP377" s="28" t="s">
        <v>17652</v>
      </c>
      <c r="AQ377" s="28" t="s">
        <v>17653</v>
      </c>
      <c r="AR377" s="28" t="s">
        <v>1024</v>
      </c>
    </row>
    <row r="378" spans="1:44" x14ac:dyDescent="0.25">
      <c r="A378" s="28" t="s">
        <v>19167</v>
      </c>
      <c r="B378" s="28" t="s">
        <v>19168</v>
      </c>
      <c r="C378" s="28" t="s">
        <v>19169</v>
      </c>
      <c r="D378" s="28" t="s">
        <v>18175</v>
      </c>
      <c r="E378" s="28" t="s">
        <v>192</v>
      </c>
      <c r="F378" s="28">
        <v>1</v>
      </c>
      <c r="G378" s="28" t="s">
        <v>193</v>
      </c>
      <c r="H378" s="28" t="s">
        <v>194</v>
      </c>
      <c r="I378" s="28" t="s">
        <v>17706</v>
      </c>
      <c r="J378" s="28" t="s">
        <v>253</v>
      </c>
      <c r="K378" s="28" t="s">
        <v>9309</v>
      </c>
      <c r="L378" s="28" t="s">
        <v>6955</v>
      </c>
      <c r="N378" s="28" t="s">
        <v>19170</v>
      </c>
      <c r="O378" s="28" t="s">
        <v>6288</v>
      </c>
      <c r="P378" s="28" t="s">
        <v>18364</v>
      </c>
      <c r="Q378" s="28" t="s">
        <v>18329</v>
      </c>
      <c r="R378" s="28" t="s">
        <v>18365</v>
      </c>
      <c r="S378" s="28" t="s">
        <v>19171</v>
      </c>
      <c r="T378" s="28" t="s">
        <v>19172</v>
      </c>
      <c r="V378" s="28" t="s">
        <v>9468</v>
      </c>
      <c r="W378" s="28" t="s">
        <v>19173</v>
      </c>
      <c r="X378" s="28" t="s">
        <v>194</v>
      </c>
      <c r="Y378" s="28" t="s">
        <v>9300</v>
      </c>
      <c r="AB378" s="28" t="s">
        <v>9311</v>
      </c>
      <c r="AH378" s="28" t="s">
        <v>4714</v>
      </c>
      <c r="AI378" s="28" t="s">
        <v>19168</v>
      </c>
      <c r="AJ378" s="516" t="str">
        <f>MID('II kw.22'!W378,8,6)</f>
        <v>228204</v>
      </c>
      <c r="AK378" s="516">
        <v>1</v>
      </c>
      <c r="AL378" s="516">
        <f t="shared" si="5"/>
        <v>1</v>
      </c>
      <c r="AM378" s="516">
        <v>1</v>
      </c>
      <c r="AN378" s="28" t="s">
        <v>17650</v>
      </c>
      <c r="AO378" s="28" t="s">
        <v>17651</v>
      </c>
      <c r="AP378" s="28" t="s">
        <v>17652</v>
      </c>
      <c r="AQ378" s="28" t="s">
        <v>17653</v>
      </c>
      <c r="AR378" s="28" t="s">
        <v>1024</v>
      </c>
    </row>
    <row r="379" spans="1:44" x14ac:dyDescent="0.25">
      <c r="A379" s="28" t="s">
        <v>19174</v>
      </c>
      <c r="B379" s="28" t="s">
        <v>991</v>
      </c>
      <c r="C379" s="28" t="s">
        <v>6617</v>
      </c>
      <c r="D379" s="28" t="s">
        <v>17784</v>
      </c>
      <c r="E379" s="28" t="s">
        <v>192</v>
      </c>
      <c r="F379" s="28">
        <v>1</v>
      </c>
      <c r="G379" s="28" t="s">
        <v>193</v>
      </c>
      <c r="H379" s="28" t="s">
        <v>194</v>
      </c>
      <c r="I379" s="28" t="s">
        <v>19175</v>
      </c>
      <c r="J379" s="28" t="s">
        <v>9302</v>
      </c>
      <c r="K379" s="28" t="s">
        <v>9309</v>
      </c>
      <c r="L379" s="28" t="s">
        <v>6955</v>
      </c>
      <c r="N379" s="28" t="s">
        <v>19176</v>
      </c>
      <c r="O379" s="28" t="s">
        <v>6266</v>
      </c>
      <c r="P379" s="28" t="s">
        <v>19177</v>
      </c>
      <c r="Q379" s="28" t="s">
        <v>19178</v>
      </c>
      <c r="R379" s="28" t="s">
        <v>19179</v>
      </c>
      <c r="S379" s="28" t="s">
        <v>19180</v>
      </c>
      <c r="T379" s="28" t="s">
        <v>19181</v>
      </c>
      <c r="V379" s="27"/>
      <c r="W379" s="28" t="s">
        <v>990</v>
      </c>
      <c r="X379" s="28" t="s">
        <v>193</v>
      </c>
      <c r="Y379" s="27" t="s">
        <v>9310</v>
      </c>
      <c r="AB379" s="28" t="s">
        <v>9311</v>
      </c>
      <c r="AH379" s="28" t="s">
        <v>4714</v>
      </c>
      <c r="AI379" s="28" t="s">
        <v>991</v>
      </c>
      <c r="AJ379" s="516" t="str">
        <f>MID('II kw.22'!W379,8,6)</f>
        <v>833202</v>
      </c>
      <c r="AK379" s="516">
        <v>1</v>
      </c>
      <c r="AL379" s="516">
        <f t="shared" si="5"/>
        <v>1</v>
      </c>
      <c r="AM379" s="516">
        <v>1</v>
      </c>
      <c r="AN379" s="28" t="s">
        <v>17650</v>
      </c>
      <c r="AO379" s="28" t="s">
        <v>17651</v>
      </c>
      <c r="AP379" s="28" t="s">
        <v>17652</v>
      </c>
      <c r="AQ379" s="28" t="s">
        <v>17653</v>
      </c>
      <c r="AR379" s="28" t="s">
        <v>1024</v>
      </c>
    </row>
    <row r="380" spans="1:44" x14ac:dyDescent="0.25">
      <c r="A380" s="28" t="s">
        <v>19182</v>
      </c>
      <c r="B380" s="28" t="s">
        <v>2460</v>
      </c>
      <c r="C380" s="28" t="s">
        <v>27</v>
      </c>
      <c r="D380" s="28" t="s">
        <v>17784</v>
      </c>
      <c r="E380" s="28" t="s">
        <v>192</v>
      </c>
      <c r="F380" s="28">
        <v>1</v>
      </c>
      <c r="G380" s="28" t="s">
        <v>193</v>
      </c>
      <c r="H380" s="28" t="s">
        <v>194</v>
      </c>
      <c r="I380" s="28" t="s">
        <v>19175</v>
      </c>
      <c r="J380" s="28" t="s">
        <v>9302</v>
      </c>
      <c r="K380" s="28" t="s">
        <v>9309</v>
      </c>
      <c r="L380" s="28" t="s">
        <v>6955</v>
      </c>
      <c r="N380" s="28" t="s">
        <v>19183</v>
      </c>
      <c r="O380" s="28" t="s">
        <v>6254</v>
      </c>
      <c r="P380" s="28" t="s">
        <v>19177</v>
      </c>
      <c r="Q380" s="28" t="s">
        <v>19178</v>
      </c>
      <c r="R380" s="28" t="s">
        <v>19179</v>
      </c>
      <c r="S380" s="28" t="s">
        <v>19184</v>
      </c>
      <c r="T380" s="28" t="s">
        <v>19185</v>
      </c>
      <c r="V380" s="27"/>
      <c r="W380" s="28" t="s">
        <v>440</v>
      </c>
      <c r="X380" s="28" t="s">
        <v>193</v>
      </c>
      <c r="Y380" s="27" t="s">
        <v>9310</v>
      </c>
      <c r="AB380" s="28" t="s">
        <v>9311</v>
      </c>
      <c r="AH380" s="28" t="s">
        <v>4714</v>
      </c>
      <c r="AI380" s="28" t="s">
        <v>2460</v>
      </c>
      <c r="AJ380" s="516" t="str">
        <f>MID('II kw.22'!W380,8,6)</f>
        <v>242307</v>
      </c>
      <c r="AK380" s="516">
        <v>1</v>
      </c>
      <c r="AL380" s="516">
        <f t="shared" si="5"/>
        <v>1</v>
      </c>
      <c r="AM380" s="516">
        <v>1</v>
      </c>
      <c r="AN380" s="28" t="s">
        <v>17650</v>
      </c>
      <c r="AO380" s="28" t="s">
        <v>17651</v>
      </c>
      <c r="AP380" s="28" t="s">
        <v>17652</v>
      </c>
      <c r="AQ380" s="28" t="s">
        <v>17653</v>
      </c>
      <c r="AR380" s="28" t="s">
        <v>1024</v>
      </c>
    </row>
    <row r="381" spans="1:44" x14ac:dyDescent="0.25">
      <c r="A381" s="28" t="s">
        <v>10076</v>
      </c>
      <c r="B381" s="28" t="s">
        <v>1406</v>
      </c>
      <c r="C381" s="28" t="s">
        <v>10</v>
      </c>
      <c r="D381" s="28" t="s">
        <v>17784</v>
      </c>
      <c r="E381" s="28" t="s">
        <v>192</v>
      </c>
      <c r="F381" s="28">
        <v>1</v>
      </c>
      <c r="G381" s="28" t="s">
        <v>193</v>
      </c>
      <c r="H381" s="28" t="s">
        <v>194</v>
      </c>
      <c r="I381" s="28" t="s">
        <v>19175</v>
      </c>
      <c r="J381" s="28" t="s">
        <v>9302</v>
      </c>
      <c r="K381" s="28" t="s">
        <v>9309</v>
      </c>
      <c r="L381" s="28" t="s">
        <v>6955</v>
      </c>
      <c r="N381" s="28" t="s">
        <v>19186</v>
      </c>
      <c r="O381" s="28" t="s">
        <v>6921</v>
      </c>
      <c r="P381" s="28" t="s">
        <v>19177</v>
      </c>
      <c r="Q381" s="28" t="s">
        <v>19178</v>
      </c>
      <c r="R381" s="28" t="s">
        <v>19179</v>
      </c>
      <c r="S381" s="28" t="s">
        <v>19187</v>
      </c>
      <c r="T381" s="28" t="s">
        <v>19188</v>
      </c>
      <c r="V381" s="27"/>
      <c r="W381" s="28" t="s">
        <v>484</v>
      </c>
      <c r="X381" s="28" t="s">
        <v>193</v>
      </c>
      <c r="Y381" s="27" t="s">
        <v>9310</v>
      </c>
      <c r="AB381" s="28" t="s">
        <v>9311</v>
      </c>
      <c r="AH381" s="28" t="s">
        <v>4714</v>
      </c>
      <c r="AI381" s="28" t="s">
        <v>1406</v>
      </c>
      <c r="AJ381" s="516" t="str">
        <f>MID('II kw.22'!W381,8,6)</f>
        <v>251401</v>
      </c>
      <c r="AK381" s="516">
        <v>1</v>
      </c>
      <c r="AL381" s="516">
        <f t="shared" si="5"/>
        <v>1</v>
      </c>
      <c r="AM381" s="516">
        <v>1</v>
      </c>
      <c r="AN381" s="28" t="s">
        <v>17650</v>
      </c>
      <c r="AO381" s="28" t="s">
        <v>17651</v>
      </c>
      <c r="AP381" s="28" t="s">
        <v>17652</v>
      </c>
      <c r="AQ381" s="28" t="s">
        <v>17653</v>
      </c>
      <c r="AR381" s="28" t="s">
        <v>1024</v>
      </c>
    </row>
    <row r="382" spans="1:44" x14ac:dyDescent="0.25">
      <c r="A382" s="28" t="s">
        <v>3158</v>
      </c>
      <c r="B382" s="28" t="s">
        <v>29</v>
      </c>
      <c r="C382" s="28" t="s">
        <v>29</v>
      </c>
      <c r="D382" s="28" t="s">
        <v>17784</v>
      </c>
      <c r="E382" s="28" t="s">
        <v>192</v>
      </c>
      <c r="F382" s="28">
        <v>1</v>
      </c>
      <c r="G382" s="28" t="s">
        <v>193</v>
      </c>
      <c r="H382" s="28" t="s">
        <v>194</v>
      </c>
      <c r="I382" s="28" t="s">
        <v>19175</v>
      </c>
      <c r="J382" s="28" t="s">
        <v>253</v>
      </c>
      <c r="K382" s="28" t="s">
        <v>9309</v>
      </c>
      <c r="L382" s="28" t="s">
        <v>6955</v>
      </c>
      <c r="N382" s="28" t="s">
        <v>19189</v>
      </c>
      <c r="O382" s="28" t="s">
        <v>6275</v>
      </c>
      <c r="P382" s="28" t="s">
        <v>19177</v>
      </c>
      <c r="Q382" s="28" t="s">
        <v>19178</v>
      </c>
      <c r="R382" s="28" t="s">
        <v>19179</v>
      </c>
      <c r="S382" s="28" t="s">
        <v>19190</v>
      </c>
      <c r="T382" s="28" t="s">
        <v>19191</v>
      </c>
      <c r="V382" s="28" t="s">
        <v>9468</v>
      </c>
      <c r="W382" s="28" t="s">
        <v>808</v>
      </c>
      <c r="X382" s="28" t="s">
        <v>194</v>
      </c>
      <c r="Y382" s="28" t="s">
        <v>9300</v>
      </c>
      <c r="AB382" s="28" t="s">
        <v>9311</v>
      </c>
      <c r="AH382" s="28" t="s">
        <v>4714</v>
      </c>
      <c r="AI382" s="28" t="s">
        <v>29</v>
      </c>
      <c r="AJ382" s="516" t="str">
        <f>MID('II kw.22'!W382,8,6)</f>
        <v>722308</v>
      </c>
      <c r="AK382" s="516">
        <v>1</v>
      </c>
      <c r="AL382" s="516">
        <f t="shared" si="5"/>
        <v>1</v>
      </c>
      <c r="AM382" s="516">
        <v>1</v>
      </c>
      <c r="AN382" s="28" t="s">
        <v>17650</v>
      </c>
      <c r="AO382" s="28" t="s">
        <v>17651</v>
      </c>
      <c r="AP382" s="28" t="s">
        <v>17652</v>
      </c>
      <c r="AQ382" s="28" t="s">
        <v>17653</v>
      </c>
      <c r="AR382" s="28" t="s">
        <v>1024</v>
      </c>
    </row>
    <row r="383" spans="1:44" x14ac:dyDescent="0.25">
      <c r="A383" s="28" t="s">
        <v>19192</v>
      </c>
      <c r="B383" s="28" t="s">
        <v>19193</v>
      </c>
      <c r="C383" s="28" t="s">
        <v>2861</v>
      </c>
      <c r="D383" s="28" t="s">
        <v>17784</v>
      </c>
      <c r="E383" s="28" t="s">
        <v>192</v>
      </c>
      <c r="F383" s="28">
        <v>1</v>
      </c>
      <c r="G383" s="28" t="s">
        <v>193</v>
      </c>
      <c r="H383" s="28" t="s">
        <v>194</v>
      </c>
      <c r="I383" s="28" t="s">
        <v>17800</v>
      </c>
      <c r="J383" s="28" t="s">
        <v>210</v>
      </c>
      <c r="K383" s="28" t="s">
        <v>9309</v>
      </c>
      <c r="L383" s="28" t="s">
        <v>6955</v>
      </c>
      <c r="N383" s="28" t="s">
        <v>19194</v>
      </c>
      <c r="O383" s="28" t="s">
        <v>6261</v>
      </c>
      <c r="P383" s="28" t="s">
        <v>19177</v>
      </c>
      <c r="Q383" s="28" t="s">
        <v>19178</v>
      </c>
      <c r="R383" s="28" t="s">
        <v>19179</v>
      </c>
      <c r="S383" s="28" t="s">
        <v>19195</v>
      </c>
      <c r="T383" s="28" t="s">
        <v>19196</v>
      </c>
      <c r="V383" s="28" t="s">
        <v>9334</v>
      </c>
      <c r="W383" s="28" t="s">
        <v>3629</v>
      </c>
      <c r="X383" s="28" t="s">
        <v>194</v>
      </c>
      <c r="Y383" s="28" t="s">
        <v>9300</v>
      </c>
      <c r="AB383" s="28" t="s">
        <v>9311</v>
      </c>
      <c r="AH383" s="28" t="s">
        <v>4714</v>
      </c>
      <c r="AI383" s="28" t="s">
        <v>19193</v>
      </c>
      <c r="AJ383" s="516" t="str">
        <f>MID('II kw.22'!W383,8,6)</f>
        <v>251903</v>
      </c>
      <c r="AK383" s="516">
        <v>1</v>
      </c>
      <c r="AL383" s="516">
        <f t="shared" si="5"/>
        <v>1</v>
      </c>
      <c r="AM383" s="516">
        <v>1</v>
      </c>
      <c r="AN383" s="28" t="s">
        <v>17650</v>
      </c>
      <c r="AO383" s="28" t="s">
        <v>17651</v>
      </c>
      <c r="AP383" s="28" t="s">
        <v>17652</v>
      </c>
      <c r="AQ383" s="28" t="s">
        <v>17653</v>
      </c>
      <c r="AR383" s="28" t="s">
        <v>1024</v>
      </c>
    </row>
    <row r="384" spans="1:44" x14ac:dyDescent="0.25">
      <c r="A384" s="28" t="s">
        <v>1204</v>
      </c>
      <c r="B384" s="28" t="s">
        <v>19197</v>
      </c>
      <c r="C384" s="28" t="s">
        <v>111</v>
      </c>
      <c r="D384" s="28" t="s">
        <v>17784</v>
      </c>
      <c r="E384" s="28" t="s">
        <v>192</v>
      </c>
      <c r="F384" s="28">
        <v>1</v>
      </c>
      <c r="G384" s="28" t="s">
        <v>193</v>
      </c>
      <c r="H384" s="28" t="s">
        <v>194</v>
      </c>
      <c r="I384" s="28" t="s">
        <v>19175</v>
      </c>
      <c r="J384" s="28" t="s">
        <v>210</v>
      </c>
      <c r="K384" s="28" t="s">
        <v>9309</v>
      </c>
      <c r="L384" s="28" t="s">
        <v>6955</v>
      </c>
      <c r="N384" s="28" t="s">
        <v>19198</v>
      </c>
      <c r="O384" s="28" t="s">
        <v>6254</v>
      </c>
      <c r="P384" s="28" t="s">
        <v>19177</v>
      </c>
      <c r="Q384" s="28" t="s">
        <v>19178</v>
      </c>
      <c r="R384" s="28" t="s">
        <v>19179</v>
      </c>
      <c r="S384" s="28" t="s">
        <v>19199</v>
      </c>
      <c r="T384" s="28" t="s">
        <v>19200</v>
      </c>
      <c r="V384" s="28" t="s">
        <v>9334</v>
      </c>
      <c r="W384" s="28" t="s">
        <v>612</v>
      </c>
      <c r="X384" s="28" t="s">
        <v>194</v>
      </c>
      <c r="Y384" s="28" t="s">
        <v>9300</v>
      </c>
      <c r="AB384" s="28" t="s">
        <v>9311</v>
      </c>
      <c r="AH384" s="28" t="s">
        <v>4714</v>
      </c>
      <c r="AI384" s="28" t="s">
        <v>19197</v>
      </c>
      <c r="AJ384" s="516" t="str">
        <f>MID('II kw.22'!W384,8,6)</f>
        <v>332101</v>
      </c>
      <c r="AK384" s="516">
        <v>1</v>
      </c>
      <c r="AL384" s="516">
        <f t="shared" si="5"/>
        <v>1</v>
      </c>
      <c r="AM384" s="516">
        <v>1</v>
      </c>
      <c r="AN384" s="28" t="s">
        <v>17650</v>
      </c>
      <c r="AO384" s="28" t="s">
        <v>17651</v>
      </c>
      <c r="AP384" s="28" t="s">
        <v>17652</v>
      </c>
      <c r="AQ384" s="28" t="s">
        <v>17653</v>
      </c>
      <c r="AR384" s="28" t="s">
        <v>1024</v>
      </c>
    </row>
    <row r="385" spans="1:44" x14ac:dyDescent="0.25">
      <c r="A385" s="28" t="s">
        <v>1204</v>
      </c>
      <c r="B385" s="28" t="s">
        <v>19197</v>
      </c>
      <c r="C385" s="28" t="s">
        <v>111</v>
      </c>
      <c r="D385" s="28" t="s">
        <v>17784</v>
      </c>
      <c r="E385" s="28" t="s">
        <v>192</v>
      </c>
      <c r="F385" s="28">
        <v>1</v>
      </c>
      <c r="G385" s="28" t="s">
        <v>193</v>
      </c>
      <c r="H385" s="28" t="s">
        <v>194</v>
      </c>
      <c r="I385" s="28" t="s">
        <v>19175</v>
      </c>
      <c r="J385" s="28" t="s">
        <v>385</v>
      </c>
      <c r="K385" s="28" t="s">
        <v>9309</v>
      </c>
      <c r="L385" s="28" t="s">
        <v>6955</v>
      </c>
      <c r="N385" s="28" t="s">
        <v>19201</v>
      </c>
      <c r="O385" s="28" t="s">
        <v>6254</v>
      </c>
      <c r="P385" s="28" t="s">
        <v>19177</v>
      </c>
      <c r="Q385" s="28" t="s">
        <v>19178</v>
      </c>
      <c r="R385" s="28" t="s">
        <v>19179</v>
      </c>
      <c r="S385" s="28" t="s">
        <v>19202</v>
      </c>
      <c r="T385" s="28" t="s">
        <v>19203</v>
      </c>
      <c r="V385" s="28" t="s">
        <v>9410</v>
      </c>
      <c r="W385" s="28" t="s">
        <v>612</v>
      </c>
      <c r="X385" s="28" t="s">
        <v>194</v>
      </c>
      <c r="Y385" s="28" t="s">
        <v>9300</v>
      </c>
      <c r="AB385" s="28" t="s">
        <v>9311</v>
      </c>
      <c r="AH385" s="28" t="s">
        <v>4714</v>
      </c>
      <c r="AI385" s="28" t="s">
        <v>19197</v>
      </c>
      <c r="AJ385" s="516" t="str">
        <f>MID('II kw.22'!W385,8,6)</f>
        <v>332101</v>
      </c>
      <c r="AK385" s="516">
        <v>1</v>
      </c>
      <c r="AL385" s="516">
        <f t="shared" si="5"/>
        <v>1</v>
      </c>
      <c r="AM385" s="516">
        <v>1</v>
      </c>
      <c r="AN385" s="28" t="s">
        <v>17650</v>
      </c>
      <c r="AO385" s="28" t="s">
        <v>17651</v>
      </c>
      <c r="AP385" s="28" t="s">
        <v>17652</v>
      </c>
      <c r="AQ385" s="28" t="s">
        <v>17653</v>
      </c>
      <c r="AR385" s="28" t="s">
        <v>1024</v>
      </c>
    </row>
    <row r="386" spans="1:44" x14ac:dyDescent="0.25">
      <c r="A386" s="28" t="s">
        <v>1204</v>
      </c>
      <c r="B386" s="28" t="s">
        <v>19197</v>
      </c>
      <c r="C386" s="28" t="s">
        <v>111</v>
      </c>
      <c r="D386" s="28" t="s">
        <v>17784</v>
      </c>
      <c r="E386" s="28" t="s">
        <v>192</v>
      </c>
      <c r="F386" s="28">
        <v>1</v>
      </c>
      <c r="G386" s="28" t="s">
        <v>193</v>
      </c>
      <c r="H386" s="28" t="s">
        <v>194</v>
      </c>
      <c r="I386" s="28" t="s">
        <v>19175</v>
      </c>
      <c r="J386" s="28" t="s">
        <v>253</v>
      </c>
      <c r="K386" s="28" t="s">
        <v>9309</v>
      </c>
      <c r="L386" s="28" t="s">
        <v>6955</v>
      </c>
      <c r="N386" s="28" t="s">
        <v>19204</v>
      </c>
      <c r="O386" s="28" t="s">
        <v>6254</v>
      </c>
      <c r="P386" s="28" t="s">
        <v>19177</v>
      </c>
      <c r="Q386" s="28" t="s">
        <v>19178</v>
      </c>
      <c r="R386" s="28" t="s">
        <v>19179</v>
      </c>
      <c r="S386" s="28" t="s">
        <v>19205</v>
      </c>
      <c r="T386" s="28" t="s">
        <v>19206</v>
      </c>
      <c r="V386" s="28" t="s">
        <v>9468</v>
      </c>
      <c r="W386" s="28" t="s">
        <v>612</v>
      </c>
      <c r="X386" s="28" t="s">
        <v>194</v>
      </c>
      <c r="Y386" s="28" t="s">
        <v>9300</v>
      </c>
      <c r="AB386" s="28" t="s">
        <v>9311</v>
      </c>
      <c r="AH386" s="28" t="s">
        <v>4714</v>
      </c>
      <c r="AI386" s="28" t="s">
        <v>19197</v>
      </c>
      <c r="AJ386" s="516" t="str">
        <f>MID('II kw.22'!W386,8,6)</f>
        <v>332101</v>
      </c>
      <c r="AK386" s="516">
        <v>1</v>
      </c>
      <c r="AL386" s="516">
        <f t="shared" si="5"/>
        <v>1</v>
      </c>
      <c r="AM386" s="516">
        <v>1</v>
      </c>
      <c r="AN386" s="28" t="s">
        <v>17650</v>
      </c>
      <c r="AO386" s="28" t="s">
        <v>17651</v>
      </c>
      <c r="AP386" s="28" t="s">
        <v>17652</v>
      </c>
      <c r="AQ386" s="28" t="s">
        <v>17653</v>
      </c>
      <c r="AR386" s="28" t="s">
        <v>1024</v>
      </c>
    </row>
    <row r="387" spans="1:44" x14ac:dyDescent="0.25">
      <c r="A387" s="28" t="s">
        <v>1204</v>
      </c>
      <c r="B387" s="28" t="s">
        <v>5509</v>
      </c>
      <c r="C387" s="28" t="s">
        <v>617</v>
      </c>
      <c r="D387" s="28" t="s">
        <v>17784</v>
      </c>
      <c r="E387" s="28" t="s">
        <v>192</v>
      </c>
      <c r="F387" s="28">
        <v>1</v>
      </c>
      <c r="G387" s="28" t="s">
        <v>193</v>
      </c>
      <c r="H387" s="28" t="s">
        <v>194</v>
      </c>
      <c r="I387" s="28" t="s">
        <v>18819</v>
      </c>
      <c r="J387" s="28" t="s">
        <v>210</v>
      </c>
      <c r="K387" s="28" t="s">
        <v>9309</v>
      </c>
      <c r="L387" s="28" t="s">
        <v>6955</v>
      </c>
      <c r="N387" s="28" t="s">
        <v>19207</v>
      </c>
      <c r="O387" s="28" t="s">
        <v>6327</v>
      </c>
      <c r="P387" s="28" t="s">
        <v>19177</v>
      </c>
      <c r="Q387" s="28" t="s">
        <v>19178</v>
      </c>
      <c r="R387" s="28" t="s">
        <v>19179</v>
      </c>
      <c r="S387" s="28" t="s">
        <v>19208</v>
      </c>
      <c r="T387" s="28" t="s">
        <v>19209</v>
      </c>
      <c r="V387" s="28" t="s">
        <v>9334</v>
      </c>
      <c r="W387" s="28" t="s">
        <v>618</v>
      </c>
      <c r="X387" s="28" t="s">
        <v>194</v>
      </c>
      <c r="Y387" s="28" t="s">
        <v>9300</v>
      </c>
      <c r="AB387" s="28" t="s">
        <v>9311</v>
      </c>
      <c r="AH387" s="28" t="s">
        <v>4714</v>
      </c>
      <c r="AI387" s="28" t="s">
        <v>5509</v>
      </c>
      <c r="AJ387" s="516" t="str">
        <f>MID('II kw.22'!W387,8,6)</f>
        <v>332104</v>
      </c>
      <c r="AK387" s="516">
        <v>1</v>
      </c>
      <c r="AL387" s="516">
        <f t="shared" ref="AL387:AL450" si="6">SUM(F387)</f>
        <v>1</v>
      </c>
      <c r="AM387" s="516">
        <v>1</v>
      </c>
      <c r="AN387" s="28" t="s">
        <v>17650</v>
      </c>
      <c r="AO387" s="28" t="s">
        <v>17651</v>
      </c>
      <c r="AP387" s="28" t="s">
        <v>17652</v>
      </c>
      <c r="AQ387" s="28" t="s">
        <v>17653</v>
      </c>
      <c r="AR387" s="28" t="s">
        <v>1024</v>
      </c>
    </row>
    <row r="388" spans="1:44" x14ac:dyDescent="0.25">
      <c r="A388" s="28" t="s">
        <v>1204</v>
      </c>
      <c r="B388" s="28" t="s">
        <v>5509</v>
      </c>
      <c r="C388" s="28" t="s">
        <v>617</v>
      </c>
      <c r="D388" s="28" t="s">
        <v>17784</v>
      </c>
      <c r="E388" s="28" t="s">
        <v>192</v>
      </c>
      <c r="F388" s="28">
        <v>1</v>
      </c>
      <c r="G388" s="28" t="s">
        <v>193</v>
      </c>
      <c r="H388" s="28" t="s">
        <v>194</v>
      </c>
      <c r="I388" s="28" t="s">
        <v>18819</v>
      </c>
      <c r="J388" s="28" t="s">
        <v>385</v>
      </c>
      <c r="K388" s="28" t="s">
        <v>9309</v>
      </c>
      <c r="L388" s="28" t="s">
        <v>6955</v>
      </c>
      <c r="N388" s="28" t="s">
        <v>19210</v>
      </c>
      <c r="O388" s="28" t="s">
        <v>6327</v>
      </c>
      <c r="P388" s="28" t="s">
        <v>19177</v>
      </c>
      <c r="Q388" s="28" t="s">
        <v>19178</v>
      </c>
      <c r="R388" s="28" t="s">
        <v>19179</v>
      </c>
      <c r="S388" s="28" t="s">
        <v>19211</v>
      </c>
      <c r="T388" s="28" t="s">
        <v>19212</v>
      </c>
      <c r="V388" s="28" t="s">
        <v>9410</v>
      </c>
      <c r="W388" s="28" t="s">
        <v>618</v>
      </c>
      <c r="X388" s="28" t="s">
        <v>194</v>
      </c>
      <c r="Y388" s="28" t="s">
        <v>9300</v>
      </c>
      <c r="AB388" s="28" t="s">
        <v>9311</v>
      </c>
      <c r="AH388" s="28" t="s">
        <v>4714</v>
      </c>
      <c r="AI388" s="28" t="s">
        <v>5509</v>
      </c>
      <c r="AJ388" s="516" t="str">
        <f>MID('II kw.22'!W388,8,6)</f>
        <v>332104</v>
      </c>
      <c r="AK388" s="516">
        <v>1</v>
      </c>
      <c r="AL388" s="516">
        <f t="shared" si="6"/>
        <v>1</v>
      </c>
      <c r="AM388" s="516">
        <v>1</v>
      </c>
      <c r="AN388" s="28" t="s">
        <v>17650</v>
      </c>
      <c r="AO388" s="28" t="s">
        <v>17651</v>
      </c>
      <c r="AP388" s="28" t="s">
        <v>17652</v>
      </c>
      <c r="AQ388" s="28" t="s">
        <v>17653</v>
      </c>
      <c r="AR388" s="28" t="s">
        <v>1024</v>
      </c>
    </row>
    <row r="389" spans="1:44" x14ac:dyDescent="0.25">
      <c r="A389" s="28" t="s">
        <v>1204</v>
      </c>
      <c r="B389" s="28" t="s">
        <v>5509</v>
      </c>
      <c r="C389" s="28" t="s">
        <v>617</v>
      </c>
      <c r="D389" s="28" t="s">
        <v>17784</v>
      </c>
      <c r="E389" s="28" t="s">
        <v>192</v>
      </c>
      <c r="F389" s="28">
        <v>1</v>
      </c>
      <c r="G389" s="28" t="s">
        <v>193</v>
      </c>
      <c r="H389" s="28" t="s">
        <v>194</v>
      </c>
      <c r="I389" s="28" t="s">
        <v>18819</v>
      </c>
      <c r="J389" s="28" t="s">
        <v>4751</v>
      </c>
      <c r="K389" s="28" t="s">
        <v>9309</v>
      </c>
      <c r="L389" s="28" t="s">
        <v>6955</v>
      </c>
      <c r="N389" s="28" t="s">
        <v>19213</v>
      </c>
      <c r="O389" s="28" t="s">
        <v>6327</v>
      </c>
      <c r="P389" s="28" t="s">
        <v>19177</v>
      </c>
      <c r="Q389" s="28" t="s">
        <v>19178</v>
      </c>
      <c r="R389" s="28" t="s">
        <v>19179</v>
      </c>
      <c r="S389" s="28" t="s">
        <v>19214</v>
      </c>
      <c r="T389" s="28" t="s">
        <v>19215</v>
      </c>
      <c r="V389" s="28" t="s">
        <v>9472</v>
      </c>
      <c r="W389" s="28" t="s">
        <v>618</v>
      </c>
      <c r="X389" s="28" t="s">
        <v>194</v>
      </c>
      <c r="Y389" s="28" t="s">
        <v>9300</v>
      </c>
      <c r="AB389" s="28" t="s">
        <v>9311</v>
      </c>
      <c r="AH389" s="28" t="s">
        <v>4714</v>
      </c>
      <c r="AI389" s="28" t="s">
        <v>5509</v>
      </c>
      <c r="AJ389" s="516" t="str">
        <f>MID('II kw.22'!W389,8,6)</f>
        <v>332104</v>
      </c>
      <c r="AK389" s="516">
        <v>1</v>
      </c>
      <c r="AL389" s="516">
        <f t="shared" si="6"/>
        <v>1</v>
      </c>
      <c r="AM389" s="516">
        <v>1</v>
      </c>
      <c r="AN389" s="28" t="s">
        <v>17650</v>
      </c>
      <c r="AO389" s="28" t="s">
        <v>17651</v>
      </c>
      <c r="AP389" s="28" t="s">
        <v>17652</v>
      </c>
      <c r="AQ389" s="28" t="s">
        <v>17653</v>
      </c>
      <c r="AR389" s="28" t="s">
        <v>1024</v>
      </c>
    </row>
    <row r="390" spans="1:44" x14ac:dyDescent="0.25">
      <c r="A390" s="28" t="s">
        <v>1204</v>
      </c>
      <c r="B390" s="28" t="s">
        <v>5509</v>
      </c>
      <c r="C390" s="28" t="s">
        <v>617</v>
      </c>
      <c r="D390" s="28" t="s">
        <v>17784</v>
      </c>
      <c r="E390" s="28" t="s">
        <v>192</v>
      </c>
      <c r="F390" s="28">
        <v>1</v>
      </c>
      <c r="G390" s="28" t="s">
        <v>193</v>
      </c>
      <c r="H390" s="28" t="s">
        <v>194</v>
      </c>
      <c r="I390" s="28" t="s">
        <v>18819</v>
      </c>
      <c r="J390" s="28" t="s">
        <v>276</v>
      </c>
      <c r="K390" s="28" t="s">
        <v>9309</v>
      </c>
      <c r="L390" s="28" t="s">
        <v>6955</v>
      </c>
      <c r="N390" s="28" t="s">
        <v>19216</v>
      </c>
      <c r="O390" s="28" t="s">
        <v>6327</v>
      </c>
      <c r="P390" s="28" t="s">
        <v>19177</v>
      </c>
      <c r="Q390" s="28" t="s">
        <v>19178</v>
      </c>
      <c r="R390" s="28" t="s">
        <v>19179</v>
      </c>
      <c r="S390" s="28" t="s">
        <v>19217</v>
      </c>
      <c r="T390" s="28" t="s">
        <v>19218</v>
      </c>
      <c r="V390" s="28" t="s">
        <v>9786</v>
      </c>
      <c r="W390" s="28" t="s">
        <v>618</v>
      </c>
      <c r="X390" s="28" t="s">
        <v>194</v>
      </c>
      <c r="Y390" s="28" t="s">
        <v>9300</v>
      </c>
      <c r="AB390" s="28" t="s">
        <v>9311</v>
      </c>
      <c r="AH390" s="28" t="s">
        <v>4714</v>
      </c>
      <c r="AI390" s="28" t="s">
        <v>5509</v>
      </c>
      <c r="AJ390" s="516" t="str">
        <f>MID('II kw.22'!W390,8,6)</f>
        <v>332104</v>
      </c>
      <c r="AK390" s="516">
        <v>1</v>
      </c>
      <c r="AL390" s="516">
        <f t="shared" si="6"/>
        <v>1</v>
      </c>
      <c r="AM390" s="516">
        <v>1</v>
      </c>
      <c r="AN390" s="28" t="s">
        <v>17650</v>
      </c>
      <c r="AO390" s="28" t="s">
        <v>17651</v>
      </c>
      <c r="AP390" s="28" t="s">
        <v>17652</v>
      </c>
      <c r="AQ390" s="28" t="s">
        <v>17653</v>
      </c>
      <c r="AR390" s="28" t="s">
        <v>1024</v>
      </c>
    </row>
    <row r="391" spans="1:44" x14ac:dyDescent="0.25">
      <c r="A391" s="28" t="s">
        <v>1204</v>
      </c>
      <c r="B391" s="28" t="s">
        <v>5509</v>
      </c>
      <c r="C391" s="28" t="s">
        <v>617</v>
      </c>
      <c r="D391" s="28" t="s">
        <v>17784</v>
      </c>
      <c r="E391" s="28" t="s">
        <v>192</v>
      </c>
      <c r="F391" s="28">
        <v>1</v>
      </c>
      <c r="G391" s="28" t="s">
        <v>193</v>
      </c>
      <c r="H391" s="28" t="s">
        <v>194</v>
      </c>
      <c r="I391" s="28" t="s">
        <v>18819</v>
      </c>
      <c r="J391" s="28" t="s">
        <v>253</v>
      </c>
      <c r="K391" s="28" t="s">
        <v>9309</v>
      </c>
      <c r="L391" s="28" t="s">
        <v>6955</v>
      </c>
      <c r="N391" s="28" t="s">
        <v>19219</v>
      </c>
      <c r="O391" s="28" t="s">
        <v>6327</v>
      </c>
      <c r="P391" s="28" t="s">
        <v>19177</v>
      </c>
      <c r="Q391" s="28" t="s">
        <v>19178</v>
      </c>
      <c r="R391" s="28" t="s">
        <v>19179</v>
      </c>
      <c r="S391" s="28" t="s">
        <v>19220</v>
      </c>
      <c r="T391" s="28" t="s">
        <v>19221</v>
      </c>
      <c r="V391" s="28" t="s">
        <v>9468</v>
      </c>
      <c r="W391" s="28" t="s">
        <v>618</v>
      </c>
      <c r="X391" s="28" t="s">
        <v>194</v>
      </c>
      <c r="Y391" s="28" t="s">
        <v>9300</v>
      </c>
      <c r="AB391" s="28" t="s">
        <v>9311</v>
      </c>
      <c r="AH391" s="28" t="s">
        <v>4714</v>
      </c>
      <c r="AI391" s="28" t="s">
        <v>5509</v>
      </c>
      <c r="AJ391" s="516" t="str">
        <f>MID('II kw.22'!W391,8,6)</f>
        <v>332104</v>
      </c>
      <c r="AK391" s="516">
        <v>1</v>
      </c>
      <c r="AL391" s="516">
        <f t="shared" si="6"/>
        <v>1</v>
      </c>
      <c r="AM391" s="516">
        <v>1</v>
      </c>
      <c r="AN391" s="28" t="s">
        <v>17650</v>
      </c>
      <c r="AO391" s="28" t="s">
        <v>17651</v>
      </c>
      <c r="AP391" s="28" t="s">
        <v>17652</v>
      </c>
      <c r="AQ391" s="28" t="s">
        <v>17653</v>
      </c>
      <c r="AR391" s="28" t="s">
        <v>1024</v>
      </c>
    </row>
    <row r="392" spans="1:44" x14ac:dyDescent="0.25">
      <c r="A392" s="28" t="s">
        <v>1204</v>
      </c>
      <c r="B392" s="28" t="s">
        <v>19222</v>
      </c>
      <c r="C392" s="28" t="s">
        <v>17</v>
      </c>
      <c r="D392" s="28" t="s">
        <v>17784</v>
      </c>
      <c r="E392" s="28" t="s">
        <v>192</v>
      </c>
      <c r="F392" s="28">
        <v>1</v>
      </c>
      <c r="G392" s="28" t="s">
        <v>193</v>
      </c>
      <c r="H392" s="28" t="s">
        <v>194</v>
      </c>
      <c r="I392" s="28" t="s">
        <v>19175</v>
      </c>
      <c r="J392" s="28" t="s">
        <v>210</v>
      </c>
      <c r="K392" s="28" t="s">
        <v>9309</v>
      </c>
      <c r="L392" s="28" t="s">
        <v>6955</v>
      </c>
      <c r="N392" s="28" t="s">
        <v>19223</v>
      </c>
      <c r="O392" s="28" t="s">
        <v>6254</v>
      </c>
      <c r="P392" s="28" t="s">
        <v>19177</v>
      </c>
      <c r="Q392" s="28" t="s">
        <v>19178</v>
      </c>
      <c r="R392" s="28" t="s">
        <v>19179</v>
      </c>
      <c r="S392" s="28" t="s">
        <v>19224</v>
      </c>
      <c r="T392" s="28" t="s">
        <v>19225</v>
      </c>
      <c r="V392" s="28" t="s">
        <v>9334</v>
      </c>
      <c r="W392" s="28" t="s">
        <v>624</v>
      </c>
      <c r="X392" s="28" t="s">
        <v>194</v>
      </c>
      <c r="Y392" s="28" t="s">
        <v>9300</v>
      </c>
      <c r="AB392" s="28" t="s">
        <v>9311</v>
      </c>
      <c r="AH392" s="28" t="s">
        <v>4714</v>
      </c>
      <c r="AI392" s="28" t="s">
        <v>19222</v>
      </c>
      <c r="AJ392" s="516" t="str">
        <f>MID('II kw.22'!W392,8,6)</f>
        <v>332203</v>
      </c>
      <c r="AK392" s="516">
        <v>1</v>
      </c>
      <c r="AL392" s="516">
        <f t="shared" si="6"/>
        <v>1</v>
      </c>
      <c r="AM392" s="516">
        <v>1</v>
      </c>
      <c r="AN392" s="28" t="s">
        <v>17650</v>
      </c>
      <c r="AO392" s="28" t="s">
        <v>17651</v>
      </c>
      <c r="AP392" s="28" t="s">
        <v>17652</v>
      </c>
      <c r="AQ392" s="28" t="s">
        <v>17653</v>
      </c>
      <c r="AR392" s="28" t="s">
        <v>1024</v>
      </c>
    </row>
    <row r="393" spans="1:44" x14ac:dyDescent="0.25">
      <c r="A393" s="28" t="s">
        <v>1204</v>
      </c>
      <c r="B393" s="28" t="s">
        <v>19222</v>
      </c>
      <c r="C393" s="28" t="s">
        <v>17</v>
      </c>
      <c r="D393" s="28" t="s">
        <v>17784</v>
      </c>
      <c r="E393" s="28" t="s">
        <v>192</v>
      </c>
      <c r="F393" s="28">
        <v>1</v>
      </c>
      <c r="G393" s="28" t="s">
        <v>193</v>
      </c>
      <c r="H393" s="28" t="s">
        <v>194</v>
      </c>
      <c r="I393" s="28" t="s">
        <v>19175</v>
      </c>
      <c r="J393" s="28" t="s">
        <v>385</v>
      </c>
      <c r="K393" s="28" t="s">
        <v>9309</v>
      </c>
      <c r="L393" s="28" t="s">
        <v>6955</v>
      </c>
      <c r="N393" s="28" t="s">
        <v>19226</v>
      </c>
      <c r="O393" s="28" t="s">
        <v>6254</v>
      </c>
      <c r="P393" s="28" t="s">
        <v>19177</v>
      </c>
      <c r="Q393" s="28" t="s">
        <v>19178</v>
      </c>
      <c r="R393" s="28" t="s">
        <v>19179</v>
      </c>
      <c r="S393" s="28" t="s">
        <v>19227</v>
      </c>
      <c r="T393" s="28" t="s">
        <v>19228</v>
      </c>
      <c r="V393" s="28" t="s">
        <v>9410</v>
      </c>
      <c r="W393" s="28" t="s">
        <v>624</v>
      </c>
      <c r="X393" s="28" t="s">
        <v>194</v>
      </c>
      <c r="Y393" s="28" t="s">
        <v>9300</v>
      </c>
      <c r="AB393" s="28" t="s">
        <v>9311</v>
      </c>
      <c r="AH393" s="28" t="s">
        <v>4714</v>
      </c>
      <c r="AI393" s="28" t="s">
        <v>19222</v>
      </c>
      <c r="AJ393" s="516" t="str">
        <f>MID('II kw.22'!W393,8,6)</f>
        <v>332203</v>
      </c>
      <c r="AK393" s="516">
        <v>1</v>
      </c>
      <c r="AL393" s="516">
        <f t="shared" si="6"/>
        <v>1</v>
      </c>
      <c r="AM393" s="516">
        <v>1</v>
      </c>
      <c r="AN393" s="28" t="s">
        <v>17650</v>
      </c>
      <c r="AO393" s="28" t="s">
        <v>17651</v>
      </c>
      <c r="AP393" s="28" t="s">
        <v>17652</v>
      </c>
      <c r="AQ393" s="28" t="s">
        <v>17653</v>
      </c>
      <c r="AR393" s="28" t="s">
        <v>1024</v>
      </c>
    </row>
    <row r="394" spans="1:44" x14ac:dyDescent="0.25">
      <c r="A394" s="28" t="s">
        <v>1204</v>
      </c>
      <c r="B394" s="28" t="s">
        <v>19222</v>
      </c>
      <c r="C394" s="28" t="s">
        <v>17</v>
      </c>
      <c r="D394" s="28" t="s">
        <v>17784</v>
      </c>
      <c r="E394" s="28" t="s">
        <v>192</v>
      </c>
      <c r="F394" s="28">
        <v>1</v>
      </c>
      <c r="G394" s="28" t="s">
        <v>193</v>
      </c>
      <c r="H394" s="28" t="s">
        <v>194</v>
      </c>
      <c r="I394" s="28" t="s">
        <v>19175</v>
      </c>
      <c r="J394" s="28" t="s">
        <v>4751</v>
      </c>
      <c r="K394" s="28" t="s">
        <v>9309</v>
      </c>
      <c r="L394" s="28" t="s">
        <v>6955</v>
      </c>
      <c r="N394" s="28" t="s">
        <v>19229</v>
      </c>
      <c r="O394" s="28" t="s">
        <v>6254</v>
      </c>
      <c r="P394" s="28" t="s">
        <v>19177</v>
      </c>
      <c r="Q394" s="28" t="s">
        <v>19178</v>
      </c>
      <c r="R394" s="28" t="s">
        <v>19179</v>
      </c>
      <c r="S394" s="28" t="s">
        <v>19230</v>
      </c>
      <c r="T394" s="28" t="s">
        <v>19231</v>
      </c>
      <c r="V394" s="28" t="s">
        <v>9472</v>
      </c>
      <c r="W394" s="28" t="s">
        <v>624</v>
      </c>
      <c r="X394" s="28" t="s">
        <v>194</v>
      </c>
      <c r="Y394" s="28" t="s">
        <v>9300</v>
      </c>
      <c r="AB394" s="28" t="s">
        <v>9311</v>
      </c>
      <c r="AH394" s="28" t="s">
        <v>4714</v>
      </c>
      <c r="AI394" s="28" t="s">
        <v>19222</v>
      </c>
      <c r="AJ394" s="516" t="str">
        <f>MID('II kw.22'!W394,8,6)</f>
        <v>332203</v>
      </c>
      <c r="AK394" s="516">
        <v>1</v>
      </c>
      <c r="AL394" s="516">
        <f t="shared" si="6"/>
        <v>1</v>
      </c>
      <c r="AM394" s="516">
        <v>1</v>
      </c>
      <c r="AN394" s="28" t="s">
        <v>17650</v>
      </c>
      <c r="AO394" s="28" t="s">
        <v>17651</v>
      </c>
      <c r="AP394" s="28" t="s">
        <v>17652</v>
      </c>
      <c r="AQ394" s="28" t="s">
        <v>17653</v>
      </c>
      <c r="AR394" s="28" t="s">
        <v>1024</v>
      </c>
    </row>
    <row r="395" spans="1:44" x14ac:dyDescent="0.25">
      <c r="A395" s="28" t="s">
        <v>1204</v>
      </c>
      <c r="B395" s="28" t="s">
        <v>19222</v>
      </c>
      <c r="C395" s="28" t="s">
        <v>17</v>
      </c>
      <c r="D395" s="28" t="s">
        <v>17784</v>
      </c>
      <c r="E395" s="28" t="s">
        <v>192</v>
      </c>
      <c r="F395" s="28">
        <v>1</v>
      </c>
      <c r="G395" s="28" t="s">
        <v>193</v>
      </c>
      <c r="H395" s="28" t="s">
        <v>194</v>
      </c>
      <c r="I395" s="28" t="s">
        <v>19175</v>
      </c>
      <c r="J395" s="28" t="s">
        <v>276</v>
      </c>
      <c r="K395" s="28" t="s">
        <v>9309</v>
      </c>
      <c r="L395" s="28" t="s">
        <v>6955</v>
      </c>
      <c r="N395" s="28" t="s">
        <v>19232</v>
      </c>
      <c r="O395" s="28" t="s">
        <v>6254</v>
      </c>
      <c r="P395" s="28" t="s">
        <v>19177</v>
      </c>
      <c r="Q395" s="28" t="s">
        <v>19178</v>
      </c>
      <c r="R395" s="28" t="s">
        <v>19179</v>
      </c>
      <c r="S395" s="28" t="s">
        <v>19233</v>
      </c>
      <c r="T395" s="28" t="s">
        <v>19234</v>
      </c>
      <c r="V395" s="28" t="s">
        <v>9786</v>
      </c>
      <c r="W395" s="28" t="s">
        <v>624</v>
      </c>
      <c r="X395" s="28" t="s">
        <v>194</v>
      </c>
      <c r="Y395" s="28" t="s">
        <v>9300</v>
      </c>
      <c r="AB395" s="28" t="s">
        <v>9311</v>
      </c>
      <c r="AH395" s="28" t="s">
        <v>4714</v>
      </c>
      <c r="AI395" s="28" t="s">
        <v>19222</v>
      </c>
      <c r="AJ395" s="516" t="str">
        <f>MID('II kw.22'!W395,8,6)</f>
        <v>332203</v>
      </c>
      <c r="AK395" s="516">
        <v>1</v>
      </c>
      <c r="AL395" s="516">
        <f t="shared" si="6"/>
        <v>1</v>
      </c>
      <c r="AM395" s="516">
        <v>1</v>
      </c>
      <c r="AN395" s="28" t="s">
        <v>17650</v>
      </c>
      <c r="AO395" s="28" t="s">
        <v>17651</v>
      </c>
      <c r="AP395" s="28" t="s">
        <v>17652</v>
      </c>
      <c r="AQ395" s="28" t="s">
        <v>17653</v>
      </c>
      <c r="AR395" s="28" t="s">
        <v>1024</v>
      </c>
    </row>
    <row r="396" spans="1:44" x14ac:dyDescent="0.25">
      <c r="A396" s="28" t="s">
        <v>1204</v>
      </c>
      <c r="B396" s="28" t="s">
        <v>19222</v>
      </c>
      <c r="C396" s="28" t="s">
        <v>17</v>
      </c>
      <c r="D396" s="28" t="s">
        <v>17784</v>
      </c>
      <c r="E396" s="28" t="s">
        <v>192</v>
      </c>
      <c r="F396" s="28">
        <v>1</v>
      </c>
      <c r="G396" s="28" t="s">
        <v>193</v>
      </c>
      <c r="H396" s="28" t="s">
        <v>194</v>
      </c>
      <c r="I396" s="28" t="s">
        <v>19175</v>
      </c>
      <c r="J396" s="28" t="s">
        <v>253</v>
      </c>
      <c r="K396" s="28" t="s">
        <v>9309</v>
      </c>
      <c r="L396" s="28" t="s">
        <v>6955</v>
      </c>
      <c r="N396" s="28" t="s">
        <v>19235</v>
      </c>
      <c r="O396" s="28" t="s">
        <v>6254</v>
      </c>
      <c r="P396" s="28" t="s">
        <v>19177</v>
      </c>
      <c r="Q396" s="28" t="s">
        <v>19178</v>
      </c>
      <c r="R396" s="28" t="s">
        <v>19179</v>
      </c>
      <c r="S396" s="28" t="s">
        <v>19236</v>
      </c>
      <c r="T396" s="28" t="s">
        <v>19237</v>
      </c>
      <c r="V396" s="28" t="s">
        <v>9468</v>
      </c>
      <c r="W396" s="28" t="s">
        <v>624</v>
      </c>
      <c r="X396" s="28" t="s">
        <v>194</v>
      </c>
      <c r="Y396" s="28" t="s">
        <v>9300</v>
      </c>
      <c r="AB396" s="28" t="s">
        <v>9311</v>
      </c>
      <c r="AH396" s="28" t="s">
        <v>4714</v>
      </c>
      <c r="AI396" s="28" t="s">
        <v>19222</v>
      </c>
      <c r="AJ396" s="516" t="str">
        <f>MID('II kw.22'!W396,8,6)</f>
        <v>332203</v>
      </c>
      <c r="AK396" s="516">
        <v>1</v>
      </c>
      <c r="AL396" s="516">
        <f t="shared" si="6"/>
        <v>1</v>
      </c>
      <c r="AM396" s="516">
        <v>1</v>
      </c>
      <c r="AN396" s="28" t="s">
        <v>17650</v>
      </c>
      <c r="AO396" s="28" t="s">
        <v>17651</v>
      </c>
      <c r="AP396" s="28" t="s">
        <v>17652</v>
      </c>
      <c r="AQ396" s="28" t="s">
        <v>17653</v>
      </c>
      <c r="AR396" s="28" t="s">
        <v>1024</v>
      </c>
    </row>
    <row r="397" spans="1:44" x14ac:dyDescent="0.25">
      <c r="A397" s="28" t="s">
        <v>6063</v>
      </c>
      <c r="B397" s="28" t="s">
        <v>632</v>
      </c>
      <c r="C397" s="28" t="s">
        <v>17</v>
      </c>
      <c r="D397" s="28" t="s">
        <v>17784</v>
      </c>
      <c r="E397" s="28" t="s">
        <v>233</v>
      </c>
      <c r="F397" s="28">
        <v>1</v>
      </c>
      <c r="G397" s="28" t="s">
        <v>193</v>
      </c>
      <c r="H397" s="28" t="s">
        <v>194</v>
      </c>
      <c r="I397" s="28" t="s">
        <v>18819</v>
      </c>
      <c r="J397" s="28" t="s">
        <v>9302</v>
      </c>
      <c r="K397" s="28" t="s">
        <v>9309</v>
      </c>
      <c r="L397" s="28" t="s">
        <v>6955</v>
      </c>
      <c r="N397" s="28" t="s">
        <v>19238</v>
      </c>
      <c r="O397" s="28" t="s">
        <v>6249</v>
      </c>
      <c r="P397" s="28" t="s">
        <v>19239</v>
      </c>
      <c r="Q397" s="28" t="s">
        <v>18175</v>
      </c>
      <c r="R397" s="28" t="s">
        <v>18335</v>
      </c>
      <c r="S397" s="28" t="s">
        <v>19240</v>
      </c>
      <c r="T397" s="28" t="s">
        <v>19241</v>
      </c>
      <c r="V397" s="27"/>
      <c r="W397" s="28" t="s">
        <v>624</v>
      </c>
      <c r="X397" s="28" t="s">
        <v>193</v>
      </c>
      <c r="Y397" s="27" t="s">
        <v>9310</v>
      </c>
      <c r="AB397" s="28" t="s">
        <v>9311</v>
      </c>
      <c r="AH397" s="28" t="s">
        <v>4714</v>
      </c>
      <c r="AI397" s="28" t="s">
        <v>17</v>
      </c>
      <c r="AJ397" s="516" t="str">
        <f>MID('II kw.22'!W397,8,6)</f>
        <v>332203</v>
      </c>
      <c r="AK397" s="516">
        <v>1</v>
      </c>
      <c r="AL397" s="516">
        <f t="shared" si="6"/>
        <v>1</v>
      </c>
      <c r="AM397" s="516">
        <v>1</v>
      </c>
      <c r="AN397" s="28" t="s">
        <v>17650</v>
      </c>
      <c r="AO397" s="28" t="s">
        <v>17651</v>
      </c>
      <c r="AP397" s="28" t="s">
        <v>17652</v>
      </c>
      <c r="AQ397" s="28" t="s">
        <v>17653</v>
      </c>
      <c r="AR397" s="28" t="s">
        <v>1024</v>
      </c>
    </row>
    <row r="398" spans="1:44" x14ac:dyDescent="0.25">
      <c r="A398" s="28" t="s">
        <v>11914</v>
      </c>
      <c r="B398" s="28" t="s">
        <v>1488</v>
      </c>
      <c r="C398" s="28" t="s">
        <v>12</v>
      </c>
      <c r="D398" s="28" t="s">
        <v>17784</v>
      </c>
      <c r="E398" s="28" t="s">
        <v>233</v>
      </c>
      <c r="F398" s="28">
        <v>1</v>
      </c>
      <c r="G398" s="28" t="s">
        <v>193</v>
      </c>
      <c r="H398" s="28" t="s">
        <v>194</v>
      </c>
      <c r="I398" s="28" t="s">
        <v>18819</v>
      </c>
      <c r="J398" s="28" t="s">
        <v>9302</v>
      </c>
      <c r="K398" s="28" t="s">
        <v>9309</v>
      </c>
      <c r="L398" s="28" t="s">
        <v>6955</v>
      </c>
      <c r="N398" s="28" t="s">
        <v>19242</v>
      </c>
      <c r="O398" s="28" t="s">
        <v>6256</v>
      </c>
      <c r="P398" s="28" t="s">
        <v>19239</v>
      </c>
      <c r="Q398" s="28" t="s">
        <v>17643</v>
      </c>
      <c r="R398" s="28" t="s">
        <v>19243</v>
      </c>
      <c r="S398" s="28" t="s">
        <v>19244</v>
      </c>
      <c r="T398" s="28" t="s">
        <v>19245</v>
      </c>
      <c r="V398" s="27"/>
      <c r="W398" s="28" t="s">
        <v>220</v>
      </c>
      <c r="X398" s="28" t="s">
        <v>193</v>
      </c>
      <c r="Y398" s="27" t="s">
        <v>9310</v>
      </c>
      <c r="AB398" s="28" t="s">
        <v>9311</v>
      </c>
      <c r="AH398" s="28" t="s">
        <v>4714</v>
      </c>
      <c r="AI398" s="138" t="s">
        <v>12</v>
      </c>
      <c r="AJ398" s="516" t="str">
        <f>MID('II kw.22'!W398,8,6)</f>
        <v>132301</v>
      </c>
      <c r="AK398" s="516">
        <v>1</v>
      </c>
      <c r="AL398" s="516">
        <f t="shared" si="6"/>
        <v>1</v>
      </c>
      <c r="AM398" s="516">
        <v>1</v>
      </c>
      <c r="AN398" s="28" t="s">
        <v>17650</v>
      </c>
      <c r="AO398" s="28" t="s">
        <v>17651</v>
      </c>
      <c r="AP398" s="28" t="s">
        <v>17652</v>
      </c>
      <c r="AQ398" s="28" t="s">
        <v>17653</v>
      </c>
      <c r="AR398" s="28" t="s">
        <v>1024</v>
      </c>
    </row>
    <row r="399" spans="1:44" x14ac:dyDescent="0.25">
      <c r="A399" s="28" t="s">
        <v>835</v>
      </c>
      <c r="B399" s="28" t="s">
        <v>856</v>
      </c>
      <c r="C399" s="28" t="s">
        <v>356</v>
      </c>
      <c r="D399" s="28" t="s">
        <v>17784</v>
      </c>
      <c r="E399" s="28" t="s">
        <v>233</v>
      </c>
      <c r="F399" s="28">
        <v>1</v>
      </c>
      <c r="G399" s="28" t="s">
        <v>193</v>
      </c>
      <c r="H399" s="28" t="s">
        <v>194</v>
      </c>
      <c r="I399" s="28" t="s">
        <v>18819</v>
      </c>
      <c r="J399" s="28" t="s">
        <v>276</v>
      </c>
      <c r="K399" s="28" t="s">
        <v>9309</v>
      </c>
      <c r="L399" s="28" t="s">
        <v>6955</v>
      </c>
      <c r="N399" s="28" t="s">
        <v>19246</v>
      </c>
      <c r="O399" s="28" t="s">
        <v>6275</v>
      </c>
      <c r="P399" s="28" t="s">
        <v>19247</v>
      </c>
      <c r="Q399" s="28" t="s">
        <v>17672</v>
      </c>
      <c r="R399" s="28" t="s">
        <v>19248</v>
      </c>
      <c r="S399" s="28" t="s">
        <v>19249</v>
      </c>
      <c r="T399" s="28" t="s">
        <v>19250</v>
      </c>
      <c r="V399" s="28" t="s">
        <v>9786</v>
      </c>
      <c r="W399" s="28" t="s">
        <v>16081</v>
      </c>
      <c r="X399" s="28" t="s">
        <v>194</v>
      </c>
      <c r="Y399" s="28" t="s">
        <v>9300</v>
      </c>
      <c r="AB399" s="28" t="s">
        <v>9311</v>
      </c>
      <c r="AH399" s="28" t="s">
        <v>4714</v>
      </c>
      <c r="AI399" s="28" t="s">
        <v>856</v>
      </c>
      <c r="AJ399" s="516" t="str">
        <f>MID('II kw.22'!W399,8,6)</f>
        <v>754903</v>
      </c>
      <c r="AK399" s="516">
        <v>1</v>
      </c>
      <c r="AL399" s="516">
        <f t="shared" si="6"/>
        <v>1</v>
      </c>
      <c r="AM399" s="516">
        <v>1</v>
      </c>
      <c r="AN399" s="28" t="s">
        <v>17650</v>
      </c>
      <c r="AO399" s="28" t="s">
        <v>17651</v>
      </c>
      <c r="AP399" s="28" t="s">
        <v>17652</v>
      </c>
      <c r="AQ399" s="28" t="s">
        <v>17653</v>
      </c>
      <c r="AR399" s="28" t="s">
        <v>1024</v>
      </c>
    </row>
    <row r="400" spans="1:44" x14ac:dyDescent="0.25">
      <c r="A400" s="28" t="s">
        <v>835</v>
      </c>
      <c r="B400" s="28" t="s">
        <v>16827</v>
      </c>
      <c r="C400" s="28" t="s">
        <v>886</v>
      </c>
      <c r="D400" s="28" t="s">
        <v>17784</v>
      </c>
      <c r="E400" s="28" t="s">
        <v>233</v>
      </c>
      <c r="F400" s="28">
        <v>1</v>
      </c>
      <c r="G400" s="28" t="s">
        <v>193</v>
      </c>
      <c r="H400" s="28" t="s">
        <v>194</v>
      </c>
      <c r="I400" s="28" t="s">
        <v>17800</v>
      </c>
      <c r="J400" s="28" t="s">
        <v>276</v>
      </c>
      <c r="K400" s="28" t="s">
        <v>9309</v>
      </c>
      <c r="L400" s="28" t="s">
        <v>6955</v>
      </c>
      <c r="N400" s="28" t="s">
        <v>19251</v>
      </c>
      <c r="O400" s="28" t="s">
        <v>6266</v>
      </c>
      <c r="P400" s="28" t="s">
        <v>19247</v>
      </c>
      <c r="Q400" s="28" t="s">
        <v>17672</v>
      </c>
      <c r="R400" s="28" t="s">
        <v>19248</v>
      </c>
      <c r="S400" s="28" t="s">
        <v>19252</v>
      </c>
      <c r="T400" s="28" t="s">
        <v>19253</v>
      </c>
      <c r="V400" s="28" t="s">
        <v>9786</v>
      </c>
      <c r="W400" s="28" t="s">
        <v>887</v>
      </c>
      <c r="X400" s="28" t="s">
        <v>194</v>
      </c>
      <c r="Y400" s="28" t="s">
        <v>9300</v>
      </c>
      <c r="AB400" s="28" t="s">
        <v>9311</v>
      </c>
      <c r="AH400" s="28" t="s">
        <v>4714</v>
      </c>
      <c r="AI400" s="28" t="s">
        <v>16827</v>
      </c>
      <c r="AJ400" s="516" t="str">
        <f>MID('II kw.22'!W400,8,6)</f>
        <v>834401</v>
      </c>
      <c r="AK400" s="516">
        <v>1</v>
      </c>
      <c r="AL400" s="516">
        <f t="shared" si="6"/>
        <v>1</v>
      </c>
      <c r="AM400" s="516">
        <v>1</v>
      </c>
      <c r="AN400" s="28" t="s">
        <v>17650</v>
      </c>
      <c r="AO400" s="28" t="s">
        <v>17651</v>
      </c>
      <c r="AP400" s="28" t="s">
        <v>17652</v>
      </c>
      <c r="AQ400" s="28" t="s">
        <v>17653</v>
      </c>
      <c r="AR400" s="28" t="s">
        <v>1024</v>
      </c>
    </row>
    <row r="401" spans="1:44" x14ac:dyDescent="0.25">
      <c r="A401" s="28" t="s">
        <v>15733</v>
      </c>
      <c r="B401" s="28" t="s">
        <v>19254</v>
      </c>
      <c r="C401" s="28" t="s">
        <v>10</v>
      </c>
      <c r="D401" s="28" t="s">
        <v>17784</v>
      </c>
      <c r="E401" s="28" t="s">
        <v>233</v>
      </c>
      <c r="F401" s="28">
        <v>1</v>
      </c>
      <c r="G401" s="28" t="s">
        <v>193</v>
      </c>
      <c r="H401" s="28" t="s">
        <v>194</v>
      </c>
      <c r="I401" s="28" t="s">
        <v>18819</v>
      </c>
      <c r="J401" s="28" t="s">
        <v>9302</v>
      </c>
      <c r="K401" s="28" t="s">
        <v>9309</v>
      </c>
      <c r="L401" s="28" t="s">
        <v>6955</v>
      </c>
      <c r="N401" s="28" t="s">
        <v>19255</v>
      </c>
      <c r="O401" s="28" t="s">
        <v>6261</v>
      </c>
      <c r="P401" s="28" t="s">
        <v>19247</v>
      </c>
      <c r="Q401" s="28" t="s">
        <v>17672</v>
      </c>
      <c r="R401" s="28" t="s">
        <v>19256</v>
      </c>
      <c r="S401" s="28" t="s">
        <v>19257</v>
      </c>
      <c r="T401" s="28" t="s">
        <v>19258</v>
      </c>
      <c r="V401" s="27"/>
      <c r="W401" s="28" t="s">
        <v>484</v>
      </c>
      <c r="X401" s="28" t="s">
        <v>193</v>
      </c>
      <c r="Y401" s="27" t="s">
        <v>9310</v>
      </c>
      <c r="AB401" s="28" t="s">
        <v>9311</v>
      </c>
      <c r="AH401" s="28" t="s">
        <v>4714</v>
      </c>
      <c r="AI401" s="28" t="s">
        <v>19254</v>
      </c>
      <c r="AJ401" s="516" t="str">
        <f>MID('II kw.22'!W401,8,6)</f>
        <v>251401</v>
      </c>
      <c r="AK401" s="516">
        <v>1</v>
      </c>
      <c r="AL401" s="516">
        <f t="shared" si="6"/>
        <v>1</v>
      </c>
      <c r="AM401" s="516">
        <v>1</v>
      </c>
      <c r="AN401" s="28" t="s">
        <v>17650</v>
      </c>
      <c r="AO401" s="28" t="s">
        <v>17651</v>
      </c>
      <c r="AP401" s="28" t="s">
        <v>17652</v>
      </c>
      <c r="AQ401" s="28" t="s">
        <v>17653</v>
      </c>
      <c r="AR401" s="28" t="s">
        <v>1024</v>
      </c>
    </row>
    <row r="402" spans="1:44" x14ac:dyDescent="0.25">
      <c r="A402" s="28" t="s">
        <v>19259</v>
      </c>
      <c r="B402" s="28" t="s">
        <v>19260</v>
      </c>
      <c r="C402" s="28" t="s">
        <v>43</v>
      </c>
      <c r="D402" s="28" t="s">
        <v>17784</v>
      </c>
      <c r="E402" s="28" t="s">
        <v>233</v>
      </c>
      <c r="F402" s="28">
        <v>1</v>
      </c>
      <c r="G402" s="28" t="s">
        <v>193</v>
      </c>
      <c r="H402" s="28" t="s">
        <v>194</v>
      </c>
      <c r="I402" s="28" t="s">
        <v>17800</v>
      </c>
      <c r="J402" s="28" t="s">
        <v>210</v>
      </c>
      <c r="K402" s="28" t="s">
        <v>9309</v>
      </c>
      <c r="L402" s="28" t="s">
        <v>6955</v>
      </c>
      <c r="N402" s="28" t="s">
        <v>19261</v>
      </c>
      <c r="O402" s="28" t="s">
        <v>6290</v>
      </c>
      <c r="P402" s="28" t="s">
        <v>19262</v>
      </c>
      <c r="Q402" s="28" t="s">
        <v>4849</v>
      </c>
      <c r="R402" s="28" t="s">
        <v>7703</v>
      </c>
      <c r="S402" s="28" t="s">
        <v>19263</v>
      </c>
      <c r="T402" s="28" t="s">
        <v>19264</v>
      </c>
      <c r="V402" s="28" t="s">
        <v>9334</v>
      </c>
      <c r="W402" s="28" t="s">
        <v>452</v>
      </c>
      <c r="X402" s="28" t="s">
        <v>194</v>
      </c>
      <c r="Y402" s="28" t="s">
        <v>9300</v>
      </c>
      <c r="AB402" s="28" t="s">
        <v>9311</v>
      </c>
      <c r="AH402" s="28" t="s">
        <v>4714</v>
      </c>
      <c r="AI402" s="28" t="s">
        <v>19260</v>
      </c>
      <c r="AJ402" s="516" t="str">
        <f>MID('II kw.22'!W402,8,6)</f>
        <v>243106</v>
      </c>
      <c r="AK402" s="516">
        <v>1</v>
      </c>
      <c r="AL402" s="516">
        <f t="shared" si="6"/>
        <v>1</v>
      </c>
      <c r="AM402" s="516">
        <v>1</v>
      </c>
      <c r="AN402" s="28" t="s">
        <v>17650</v>
      </c>
      <c r="AO402" s="28" t="s">
        <v>17651</v>
      </c>
      <c r="AP402" s="28" t="s">
        <v>17652</v>
      </c>
      <c r="AQ402" s="28" t="s">
        <v>17653</v>
      </c>
      <c r="AR402" s="28" t="s">
        <v>1024</v>
      </c>
    </row>
    <row r="403" spans="1:44" x14ac:dyDescent="0.25">
      <c r="A403" s="28" t="s">
        <v>19265</v>
      </c>
      <c r="B403" s="28" t="s">
        <v>19266</v>
      </c>
      <c r="C403" s="28" t="s">
        <v>12</v>
      </c>
      <c r="D403" s="28" t="s">
        <v>17784</v>
      </c>
      <c r="E403" s="28" t="s">
        <v>233</v>
      </c>
      <c r="F403" s="28">
        <v>1</v>
      </c>
      <c r="G403" s="28" t="s">
        <v>193</v>
      </c>
      <c r="H403" s="28" t="s">
        <v>194</v>
      </c>
      <c r="I403" s="28" t="s">
        <v>19175</v>
      </c>
      <c r="J403" s="28" t="s">
        <v>9302</v>
      </c>
      <c r="K403" s="28" t="s">
        <v>9309</v>
      </c>
      <c r="L403" s="28" t="s">
        <v>6955</v>
      </c>
      <c r="N403" s="28" t="s">
        <v>19267</v>
      </c>
      <c r="O403" s="28" t="s">
        <v>6256</v>
      </c>
      <c r="P403" s="28" t="s">
        <v>19247</v>
      </c>
      <c r="Q403" s="28" t="s">
        <v>17672</v>
      </c>
      <c r="R403" s="28" t="s">
        <v>19256</v>
      </c>
      <c r="S403" s="28" t="s">
        <v>19268</v>
      </c>
      <c r="T403" s="28" t="s">
        <v>19269</v>
      </c>
      <c r="V403" s="27"/>
      <c r="W403" s="28" t="s">
        <v>220</v>
      </c>
      <c r="X403" s="28" t="s">
        <v>193</v>
      </c>
      <c r="Y403" s="27" t="s">
        <v>9310</v>
      </c>
      <c r="AB403" s="28" t="s">
        <v>9311</v>
      </c>
      <c r="AH403" s="28" t="s">
        <v>4714</v>
      </c>
      <c r="AI403" s="138" t="s">
        <v>19266</v>
      </c>
      <c r="AJ403" s="516" t="str">
        <f>MID('II kw.22'!W403,8,6)</f>
        <v>132301</v>
      </c>
      <c r="AK403" s="516">
        <v>1</v>
      </c>
      <c r="AL403" s="516">
        <f t="shared" si="6"/>
        <v>1</v>
      </c>
      <c r="AM403" s="516">
        <v>1</v>
      </c>
      <c r="AN403" s="28" t="s">
        <v>17650</v>
      </c>
      <c r="AO403" s="28" t="s">
        <v>17651</v>
      </c>
      <c r="AP403" s="28" t="s">
        <v>17652</v>
      </c>
      <c r="AQ403" s="28" t="s">
        <v>17653</v>
      </c>
      <c r="AR403" s="28" t="s">
        <v>1024</v>
      </c>
    </row>
    <row r="404" spans="1:44" x14ac:dyDescent="0.25">
      <c r="A404" s="28" t="s">
        <v>19270</v>
      </c>
      <c r="B404" s="28" t="s">
        <v>19271</v>
      </c>
      <c r="C404" s="28" t="s">
        <v>129</v>
      </c>
      <c r="D404" s="28" t="s">
        <v>17784</v>
      </c>
      <c r="E404" s="28" t="s">
        <v>233</v>
      </c>
      <c r="F404" s="28">
        <v>1</v>
      </c>
      <c r="G404" s="28" t="s">
        <v>193</v>
      </c>
      <c r="H404" s="28" t="s">
        <v>194</v>
      </c>
      <c r="I404" s="28" t="s">
        <v>17800</v>
      </c>
      <c r="J404" s="28" t="s">
        <v>19272</v>
      </c>
      <c r="K404" s="28" t="s">
        <v>9309</v>
      </c>
      <c r="L404" s="28" t="s">
        <v>6955</v>
      </c>
      <c r="N404" s="28" t="s">
        <v>19273</v>
      </c>
      <c r="O404" s="28" t="s">
        <v>6261</v>
      </c>
      <c r="P404" s="28" t="s">
        <v>19247</v>
      </c>
      <c r="Q404" s="28" t="s">
        <v>17672</v>
      </c>
      <c r="R404" s="28" t="s">
        <v>19256</v>
      </c>
      <c r="S404" s="28" t="s">
        <v>19274</v>
      </c>
      <c r="T404" s="28" t="s">
        <v>19275</v>
      </c>
      <c r="V404" s="28" t="s">
        <v>19276</v>
      </c>
      <c r="W404" s="28" t="s">
        <v>203</v>
      </c>
      <c r="X404" s="28" t="s">
        <v>194</v>
      </c>
      <c r="Y404" s="28" t="s">
        <v>19277</v>
      </c>
      <c r="AB404" s="28" t="s">
        <v>9311</v>
      </c>
      <c r="AH404" s="28" t="s">
        <v>4714</v>
      </c>
      <c r="AI404" s="28" t="s">
        <v>19271</v>
      </c>
      <c r="AJ404" s="516" t="str">
        <f>MID('II kw.22'!W404,8,6)</f>
        <v>121904</v>
      </c>
      <c r="AK404" s="516">
        <v>1</v>
      </c>
      <c r="AL404" s="516">
        <f t="shared" si="6"/>
        <v>1</v>
      </c>
      <c r="AM404" s="516">
        <v>1</v>
      </c>
      <c r="AN404" s="28" t="s">
        <v>17650</v>
      </c>
      <c r="AO404" s="28" t="s">
        <v>17651</v>
      </c>
      <c r="AP404" s="28" t="s">
        <v>17652</v>
      </c>
      <c r="AQ404" s="28" t="s">
        <v>17653</v>
      </c>
      <c r="AR404" s="28" t="s">
        <v>1024</v>
      </c>
    </row>
    <row r="405" spans="1:44" x14ac:dyDescent="0.25">
      <c r="A405" s="28" t="s">
        <v>12734</v>
      </c>
      <c r="B405" s="28" t="s">
        <v>12738</v>
      </c>
      <c r="C405" s="28" t="s">
        <v>21</v>
      </c>
      <c r="D405" s="28" t="s">
        <v>17784</v>
      </c>
      <c r="E405" s="28" t="s">
        <v>233</v>
      </c>
      <c r="F405" s="28">
        <v>1</v>
      </c>
      <c r="G405" s="28" t="s">
        <v>193</v>
      </c>
      <c r="H405" s="28" t="s">
        <v>194</v>
      </c>
      <c r="I405" s="28" t="s">
        <v>19175</v>
      </c>
      <c r="J405" s="28" t="s">
        <v>9302</v>
      </c>
      <c r="K405" s="28" t="s">
        <v>9309</v>
      </c>
      <c r="L405" s="28" t="s">
        <v>6955</v>
      </c>
      <c r="N405" s="28" t="s">
        <v>19278</v>
      </c>
      <c r="O405" s="28" t="s">
        <v>6256</v>
      </c>
      <c r="P405" s="28" t="s">
        <v>19247</v>
      </c>
      <c r="Q405" s="28" t="s">
        <v>17672</v>
      </c>
      <c r="R405" s="28" t="s">
        <v>19256</v>
      </c>
      <c r="S405" s="28" t="s">
        <v>19279</v>
      </c>
      <c r="T405" s="28" t="s">
        <v>19280</v>
      </c>
      <c r="V405" s="27"/>
      <c r="W405" s="28" t="s">
        <v>293</v>
      </c>
      <c r="X405" s="28" t="s">
        <v>193</v>
      </c>
      <c r="Y405" s="27" t="s">
        <v>9310</v>
      </c>
      <c r="AB405" s="28" t="s">
        <v>9311</v>
      </c>
      <c r="AH405" s="28" t="s">
        <v>4714</v>
      </c>
      <c r="AI405" s="28" t="s">
        <v>12738</v>
      </c>
      <c r="AJ405" s="516" t="str">
        <f>MID('II kw.22'!W405,8,6)</f>
        <v>214202</v>
      </c>
      <c r="AK405" s="516">
        <v>1</v>
      </c>
      <c r="AL405" s="516">
        <f t="shared" si="6"/>
        <v>1</v>
      </c>
      <c r="AM405" s="516">
        <v>1</v>
      </c>
      <c r="AN405" s="28" t="s">
        <v>17650</v>
      </c>
      <c r="AO405" s="28" t="s">
        <v>17651</v>
      </c>
      <c r="AP405" s="28" t="s">
        <v>17652</v>
      </c>
      <c r="AQ405" s="28" t="s">
        <v>17653</v>
      </c>
      <c r="AR405" s="28" t="s">
        <v>1024</v>
      </c>
    </row>
    <row r="406" spans="1:44" x14ac:dyDescent="0.25">
      <c r="A406" s="28" t="s">
        <v>12734</v>
      </c>
      <c r="B406" s="28" t="s">
        <v>12</v>
      </c>
      <c r="C406" s="28" t="s">
        <v>12</v>
      </c>
      <c r="D406" s="28" t="s">
        <v>17784</v>
      </c>
      <c r="E406" s="28" t="s">
        <v>233</v>
      </c>
      <c r="F406" s="28">
        <v>1</v>
      </c>
      <c r="G406" s="28" t="s">
        <v>193</v>
      </c>
      <c r="H406" s="28" t="s">
        <v>194</v>
      </c>
      <c r="I406" s="28" t="s">
        <v>18819</v>
      </c>
      <c r="J406" s="28" t="s">
        <v>9302</v>
      </c>
      <c r="K406" s="28" t="s">
        <v>9309</v>
      </c>
      <c r="L406" s="28" t="s">
        <v>6955</v>
      </c>
      <c r="N406" s="28" t="s">
        <v>19281</v>
      </c>
      <c r="O406" s="28" t="s">
        <v>6256</v>
      </c>
      <c r="P406" s="28" t="s">
        <v>19247</v>
      </c>
      <c r="Q406" s="28" t="s">
        <v>17672</v>
      </c>
      <c r="R406" s="28" t="s">
        <v>19256</v>
      </c>
      <c r="S406" s="28" t="s">
        <v>19282</v>
      </c>
      <c r="T406" s="28" t="s">
        <v>19283</v>
      </c>
      <c r="V406" s="27"/>
      <c r="W406" s="28" t="s">
        <v>220</v>
      </c>
      <c r="X406" s="28" t="s">
        <v>193</v>
      </c>
      <c r="Y406" s="27" t="s">
        <v>9310</v>
      </c>
      <c r="AB406" s="28" t="s">
        <v>9311</v>
      </c>
      <c r="AH406" s="28" t="s">
        <v>4714</v>
      </c>
      <c r="AI406" s="138" t="s">
        <v>12</v>
      </c>
      <c r="AJ406" s="516" t="str">
        <f>MID('II kw.22'!W406,8,6)</f>
        <v>132301</v>
      </c>
      <c r="AK406" s="516">
        <v>1</v>
      </c>
      <c r="AL406" s="516">
        <f t="shared" si="6"/>
        <v>1</v>
      </c>
      <c r="AM406" s="516">
        <v>1</v>
      </c>
      <c r="AN406" s="28" t="s">
        <v>17650</v>
      </c>
      <c r="AO406" s="28" t="s">
        <v>17651</v>
      </c>
      <c r="AP406" s="28" t="s">
        <v>17652</v>
      </c>
      <c r="AQ406" s="28" t="s">
        <v>17653</v>
      </c>
      <c r="AR406" s="28" t="s">
        <v>1024</v>
      </c>
    </row>
    <row r="407" spans="1:44" x14ac:dyDescent="0.25">
      <c r="A407" s="28" t="s">
        <v>12734</v>
      </c>
      <c r="B407" s="28" t="s">
        <v>19284</v>
      </c>
      <c r="C407" s="28" t="s">
        <v>354</v>
      </c>
      <c r="D407" s="28" t="s">
        <v>17784</v>
      </c>
      <c r="E407" s="28" t="s">
        <v>233</v>
      </c>
      <c r="F407" s="28">
        <v>1</v>
      </c>
      <c r="G407" s="28" t="s">
        <v>193</v>
      </c>
      <c r="H407" s="28" t="s">
        <v>194</v>
      </c>
      <c r="I407" s="28" t="s">
        <v>19175</v>
      </c>
      <c r="J407" s="28" t="s">
        <v>9302</v>
      </c>
      <c r="K407" s="28" t="s">
        <v>9309</v>
      </c>
      <c r="L407" s="28" t="s">
        <v>6955</v>
      </c>
      <c r="N407" s="28" t="s">
        <v>19285</v>
      </c>
      <c r="O407" s="28" t="s">
        <v>6256</v>
      </c>
      <c r="P407" s="28" t="s">
        <v>19247</v>
      </c>
      <c r="Q407" s="28" t="s">
        <v>17672</v>
      </c>
      <c r="R407" s="28" t="s">
        <v>19256</v>
      </c>
      <c r="S407" s="28" t="s">
        <v>19286</v>
      </c>
      <c r="T407" s="28" t="s">
        <v>19287</v>
      </c>
      <c r="V407" s="27"/>
      <c r="W407" s="28" t="s">
        <v>355</v>
      </c>
      <c r="X407" s="28" t="s">
        <v>193</v>
      </c>
      <c r="Y407" s="27" t="s">
        <v>9310</v>
      </c>
      <c r="AB407" s="28" t="s">
        <v>9311</v>
      </c>
      <c r="AH407" s="28" t="s">
        <v>4714</v>
      </c>
      <c r="AI407" s="28" t="s">
        <v>19284</v>
      </c>
      <c r="AJ407" s="516" t="str">
        <f>MID('II kw.22'!W407,8,6)</f>
        <v>215103</v>
      </c>
      <c r="AK407" s="516">
        <v>1</v>
      </c>
      <c r="AL407" s="516">
        <f t="shared" si="6"/>
        <v>1</v>
      </c>
      <c r="AM407" s="516">
        <v>1</v>
      </c>
      <c r="AN407" s="28" t="s">
        <v>17650</v>
      </c>
      <c r="AO407" s="28" t="s">
        <v>17651</v>
      </c>
      <c r="AP407" s="28" t="s">
        <v>17652</v>
      </c>
      <c r="AQ407" s="28" t="s">
        <v>17653</v>
      </c>
      <c r="AR407" s="28" t="s">
        <v>1024</v>
      </c>
    </row>
    <row r="408" spans="1:44" x14ac:dyDescent="0.25">
      <c r="A408" s="28" t="s">
        <v>8509</v>
      </c>
      <c r="B408" s="28" t="s">
        <v>19288</v>
      </c>
      <c r="C408" s="28" t="s">
        <v>69</v>
      </c>
      <c r="D408" s="28" t="s">
        <v>17784</v>
      </c>
      <c r="E408" s="28" t="s">
        <v>233</v>
      </c>
      <c r="F408" s="28">
        <v>1</v>
      </c>
      <c r="G408" s="28" t="s">
        <v>193</v>
      </c>
      <c r="H408" s="28" t="s">
        <v>194</v>
      </c>
      <c r="I408" s="28" t="s">
        <v>17800</v>
      </c>
      <c r="J408" s="28" t="s">
        <v>210</v>
      </c>
      <c r="K408" s="28" t="s">
        <v>9309</v>
      </c>
      <c r="L408" s="28" t="s">
        <v>6955</v>
      </c>
      <c r="N408" s="28" t="s">
        <v>19289</v>
      </c>
      <c r="O408" s="28" t="s">
        <v>6258</v>
      </c>
      <c r="P408" s="28" t="s">
        <v>19247</v>
      </c>
      <c r="Q408" s="28" t="s">
        <v>17672</v>
      </c>
      <c r="R408" s="28" t="s">
        <v>19256</v>
      </c>
      <c r="S408" s="28" t="s">
        <v>19290</v>
      </c>
      <c r="T408" s="28" t="s">
        <v>19291</v>
      </c>
      <c r="V408" s="28" t="s">
        <v>9334</v>
      </c>
      <c r="W408" s="28" t="s">
        <v>375</v>
      </c>
      <c r="X408" s="28" t="s">
        <v>194</v>
      </c>
      <c r="Y408" s="28" t="s">
        <v>9300</v>
      </c>
      <c r="AB408" s="28" t="s">
        <v>9311</v>
      </c>
      <c r="AH408" s="28" t="s">
        <v>4714</v>
      </c>
      <c r="AI408" s="28" t="s">
        <v>19288</v>
      </c>
      <c r="AJ408" s="516" t="str">
        <f>MID('II kw.22'!W408,8,6)</f>
        <v>215301</v>
      </c>
      <c r="AK408" s="516">
        <v>1</v>
      </c>
      <c r="AL408" s="516">
        <f t="shared" si="6"/>
        <v>1</v>
      </c>
      <c r="AM408" s="516">
        <v>1</v>
      </c>
      <c r="AN408" s="28" t="s">
        <v>17650</v>
      </c>
      <c r="AO408" s="28" t="s">
        <v>17651</v>
      </c>
      <c r="AP408" s="28" t="s">
        <v>17652</v>
      </c>
      <c r="AQ408" s="28" t="s">
        <v>17653</v>
      </c>
      <c r="AR408" s="28" t="s">
        <v>1024</v>
      </c>
    </row>
    <row r="409" spans="1:44" x14ac:dyDescent="0.25">
      <c r="A409" s="28" t="s">
        <v>8509</v>
      </c>
      <c r="B409" s="28" t="s">
        <v>2635</v>
      </c>
      <c r="C409" s="28" t="s">
        <v>560</v>
      </c>
      <c r="D409" s="28" t="s">
        <v>17784</v>
      </c>
      <c r="E409" s="28" t="s">
        <v>233</v>
      </c>
      <c r="F409" s="28">
        <v>1</v>
      </c>
      <c r="G409" s="28" t="s">
        <v>193</v>
      </c>
      <c r="H409" s="28" t="s">
        <v>194</v>
      </c>
      <c r="I409" s="28" t="s">
        <v>17800</v>
      </c>
      <c r="J409" s="28" t="s">
        <v>210</v>
      </c>
      <c r="K409" s="28" t="s">
        <v>9309</v>
      </c>
      <c r="L409" s="28" t="s">
        <v>6955</v>
      </c>
      <c r="N409" s="28" t="s">
        <v>19292</v>
      </c>
      <c r="O409" s="28" t="s">
        <v>6374</v>
      </c>
      <c r="P409" s="28" t="s">
        <v>19247</v>
      </c>
      <c r="Q409" s="28" t="s">
        <v>17672</v>
      </c>
      <c r="R409" s="28" t="s">
        <v>19256</v>
      </c>
      <c r="S409" s="28" t="s">
        <v>19293</v>
      </c>
      <c r="T409" s="28" t="s">
        <v>19294</v>
      </c>
      <c r="V409" s="28" t="s">
        <v>9334</v>
      </c>
      <c r="W409" s="28" t="s">
        <v>561</v>
      </c>
      <c r="X409" s="28" t="s">
        <v>194</v>
      </c>
      <c r="Y409" s="28" t="s">
        <v>9300</v>
      </c>
      <c r="AB409" s="28" t="s">
        <v>9311</v>
      </c>
      <c r="AH409" s="28" t="s">
        <v>4714</v>
      </c>
      <c r="AI409" s="28" t="s">
        <v>2635</v>
      </c>
      <c r="AJ409" s="516" t="str">
        <f>MID('II kw.22'!W409,8,6)</f>
        <v>311408</v>
      </c>
      <c r="AK409" s="516">
        <v>1</v>
      </c>
      <c r="AL409" s="516">
        <f t="shared" si="6"/>
        <v>1</v>
      </c>
      <c r="AM409" s="516">
        <v>1</v>
      </c>
      <c r="AN409" s="28" t="s">
        <v>17650</v>
      </c>
      <c r="AO409" s="28" t="s">
        <v>17651</v>
      </c>
      <c r="AP409" s="28" t="s">
        <v>17652</v>
      </c>
      <c r="AQ409" s="28" t="s">
        <v>17653</v>
      </c>
      <c r="AR409" s="28" t="s">
        <v>1024</v>
      </c>
    </row>
    <row r="410" spans="1:44" x14ac:dyDescent="0.25">
      <c r="A410" s="28" t="s">
        <v>19270</v>
      </c>
      <c r="B410" s="28" t="s">
        <v>19295</v>
      </c>
      <c r="C410" s="28" t="s">
        <v>20</v>
      </c>
      <c r="D410" s="28" t="s">
        <v>17784</v>
      </c>
      <c r="E410" s="28" t="s">
        <v>233</v>
      </c>
      <c r="F410" s="28">
        <v>1</v>
      </c>
      <c r="G410" s="28" t="s">
        <v>193</v>
      </c>
      <c r="H410" s="28" t="s">
        <v>194</v>
      </c>
      <c r="I410" s="28" t="s">
        <v>17800</v>
      </c>
      <c r="J410" s="28" t="s">
        <v>19272</v>
      </c>
      <c r="K410" s="28" t="s">
        <v>9309</v>
      </c>
      <c r="L410" s="28" t="s">
        <v>6955</v>
      </c>
      <c r="N410" s="28" t="s">
        <v>19296</v>
      </c>
      <c r="O410" s="28" t="s">
        <v>6921</v>
      </c>
      <c r="P410" s="28" t="s">
        <v>19247</v>
      </c>
      <c r="Q410" s="28" t="s">
        <v>17672</v>
      </c>
      <c r="R410" s="28" t="s">
        <v>19256</v>
      </c>
      <c r="S410" s="28" t="s">
        <v>19297</v>
      </c>
      <c r="T410" s="28" t="s">
        <v>19298</v>
      </c>
      <c r="V410" s="28" t="s">
        <v>19276</v>
      </c>
      <c r="W410" s="28" t="s">
        <v>286</v>
      </c>
      <c r="X410" s="28" t="s">
        <v>194</v>
      </c>
      <c r="Y410" s="28" t="s">
        <v>19277</v>
      </c>
      <c r="AB410" s="28" t="s">
        <v>9311</v>
      </c>
      <c r="AH410" s="28" t="s">
        <v>4714</v>
      </c>
      <c r="AI410" s="28" t="s">
        <v>19295</v>
      </c>
      <c r="AJ410" s="516" t="str">
        <f>MID('II kw.22'!W410,8,6)</f>
        <v>214109</v>
      </c>
      <c r="AK410" s="516">
        <v>1</v>
      </c>
      <c r="AL410" s="516">
        <f t="shared" si="6"/>
        <v>1</v>
      </c>
      <c r="AM410" s="516">
        <v>1</v>
      </c>
      <c r="AN410" s="28" t="s">
        <v>17650</v>
      </c>
      <c r="AO410" s="28" t="s">
        <v>17651</v>
      </c>
      <c r="AP410" s="28" t="s">
        <v>17652</v>
      </c>
      <c r="AQ410" s="28" t="s">
        <v>17653</v>
      </c>
      <c r="AR410" s="28" t="s">
        <v>1024</v>
      </c>
    </row>
    <row r="411" spans="1:44" x14ac:dyDescent="0.25">
      <c r="A411" s="28" t="s">
        <v>19299</v>
      </c>
      <c r="B411" s="28" t="s">
        <v>19300</v>
      </c>
      <c r="C411" s="28" t="s">
        <v>396</v>
      </c>
      <c r="D411" s="28" t="s">
        <v>17784</v>
      </c>
      <c r="E411" s="28" t="s">
        <v>233</v>
      </c>
      <c r="F411" s="28">
        <v>1</v>
      </c>
      <c r="G411" s="28" t="s">
        <v>193</v>
      </c>
      <c r="H411" s="28" t="s">
        <v>194</v>
      </c>
      <c r="I411" s="28" t="s">
        <v>18819</v>
      </c>
      <c r="J411" s="28" t="s">
        <v>399</v>
      </c>
      <c r="K411" s="28" t="s">
        <v>9309</v>
      </c>
      <c r="L411" s="28" t="s">
        <v>6955</v>
      </c>
      <c r="N411" s="28" t="s">
        <v>19301</v>
      </c>
      <c r="O411" s="28" t="s">
        <v>6312</v>
      </c>
      <c r="P411" s="28" t="s">
        <v>19247</v>
      </c>
      <c r="Q411" s="28" t="s">
        <v>17672</v>
      </c>
      <c r="R411" s="28" t="s">
        <v>19256</v>
      </c>
      <c r="S411" s="28" t="s">
        <v>19302</v>
      </c>
      <c r="T411" s="28" t="s">
        <v>19303</v>
      </c>
      <c r="V411" s="28" t="s">
        <v>11135</v>
      </c>
      <c r="W411" s="28" t="s">
        <v>397</v>
      </c>
      <c r="X411" s="28" t="s">
        <v>194</v>
      </c>
      <c r="Y411" s="28" t="s">
        <v>9300</v>
      </c>
      <c r="AB411" s="28" t="s">
        <v>9311</v>
      </c>
      <c r="AH411" s="28" t="s">
        <v>4714</v>
      </c>
      <c r="AI411" s="28" t="s">
        <v>19300</v>
      </c>
      <c r="AJ411" s="516" t="str">
        <f>MID('II kw.22'!W411,8,6)</f>
        <v>235301</v>
      </c>
      <c r="AK411" s="516">
        <v>1</v>
      </c>
      <c r="AL411" s="516">
        <f t="shared" si="6"/>
        <v>1</v>
      </c>
      <c r="AM411" s="516">
        <v>1</v>
      </c>
      <c r="AN411" s="28" t="s">
        <v>17650</v>
      </c>
      <c r="AO411" s="28" t="s">
        <v>17651</v>
      </c>
      <c r="AP411" s="28" t="s">
        <v>17652</v>
      </c>
      <c r="AQ411" s="28" t="s">
        <v>17653</v>
      </c>
      <c r="AR411" s="28" t="s">
        <v>1024</v>
      </c>
    </row>
    <row r="412" spans="1:44" x14ac:dyDescent="0.25">
      <c r="A412" s="28" t="s">
        <v>19299</v>
      </c>
      <c r="B412" s="28" t="s">
        <v>19300</v>
      </c>
      <c r="C412" s="28" t="s">
        <v>396</v>
      </c>
      <c r="D412" s="28" t="s">
        <v>17784</v>
      </c>
      <c r="E412" s="28" t="s">
        <v>233</v>
      </c>
      <c r="F412" s="28">
        <v>1</v>
      </c>
      <c r="G412" s="28" t="s">
        <v>193</v>
      </c>
      <c r="H412" s="28" t="s">
        <v>194</v>
      </c>
      <c r="I412" s="28" t="s">
        <v>18819</v>
      </c>
      <c r="J412" s="28" t="s">
        <v>962</v>
      </c>
      <c r="K412" s="28" t="s">
        <v>9309</v>
      </c>
      <c r="L412" s="28" t="s">
        <v>6955</v>
      </c>
      <c r="N412" s="28" t="s">
        <v>19304</v>
      </c>
      <c r="O412" s="28" t="s">
        <v>6312</v>
      </c>
      <c r="P412" s="28" t="s">
        <v>19247</v>
      </c>
      <c r="Q412" s="28" t="s">
        <v>17672</v>
      </c>
      <c r="R412" s="28" t="s">
        <v>19256</v>
      </c>
      <c r="S412" s="28" t="s">
        <v>19305</v>
      </c>
      <c r="T412" s="28" t="s">
        <v>19306</v>
      </c>
      <c r="V412" s="28" t="s">
        <v>11394</v>
      </c>
      <c r="W412" s="28" t="s">
        <v>397</v>
      </c>
      <c r="X412" s="28" t="s">
        <v>194</v>
      </c>
      <c r="Y412" s="28" t="s">
        <v>9300</v>
      </c>
      <c r="AB412" s="28" t="s">
        <v>9311</v>
      </c>
      <c r="AH412" s="28" t="s">
        <v>4714</v>
      </c>
      <c r="AI412" s="28" t="s">
        <v>19300</v>
      </c>
      <c r="AJ412" s="516" t="str">
        <f>MID('II kw.22'!W412,8,6)</f>
        <v>235301</v>
      </c>
      <c r="AK412" s="516">
        <v>1</v>
      </c>
      <c r="AL412" s="516">
        <f t="shared" si="6"/>
        <v>1</v>
      </c>
      <c r="AM412" s="516">
        <v>1</v>
      </c>
      <c r="AN412" s="28" t="s">
        <v>17650</v>
      </c>
      <c r="AO412" s="28" t="s">
        <v>17651</v>
      </c>
      <c r="AP412" s="28" t="s">
        <v>17652</v>
      </c>
      <c r="AQ412" s="28" t="s">
        <v>17653</v>
      </c>
      <c r="AR412" s="28" t="s">
        <v>1024</v>
      </c>
    </row>
    <row r="413" spans="1:44" x14ac:dyDescent="0.25">
      <c r="A413" s="28" t="s">
        <v>19299</v>
      </c>
      <c r="B413" s="28" t="s">
        <v>19300</v>
      </c>
      <c r="C413" s="28" t="s">
        <v>396</v>
      </c>
      <c r="D413" s="28" t="s">
        <v>17784</v>
      </c>
      <c r="E413" s="28" t="s">
        <v>233</v>
      </c>
      <c r="F413" s="28">
        <v>1</v>
      </c>
      <c r="G413" s="28" t="s">
        <v>193</v>
      </c>
      <c r="H413" s="28" t="s">
        <v>194</v>
      </c>
      <c r="I413" s="28" t="s">
        <v>18819</v>
      </c>
      <c r="J413" s="28" t="s">
        <v>210</v>
      </c>
      <c r="K413" s="28" t="s">
        <v>9309</v>
      </c>
      <c r="L413" s="28" t="s">
        <v>6955</v>
      </c>
      <c r="N413" s="28" t="s">
        <v>19307</v>
      </c>
      <c r="O413" s="28" t="s">
        <v>6312</v>
      </c>
      <c r="P413" s="28" t="s">
        <v>19247</v>
      </c>
      <c r="Q413" s="28" t="s">
        <v>17672</v>
      </c>
      <c r="R413" s="28" t="s">
        <v>19256</v>
      </c>
      <c r="S413" s="28" t="s">
        <v>19308</v>
      </c>
      <c r="T413" s="28" t="s">
        <v>19309</v>
      </c>
      <c r="V413" s="28" t="s">
        <v>9334</v>
      </c>
      <c r="W413" s="28" t="s">
        <v>397</v>
      </c>
      <c r="X413" s="28" t="s">
        <v>194</v>
      </c>
      <c r="Y413" s="28" t="s">
        <v>9300</v>
      </c>
      <c r="AB413" s="28" t="s">
        <v>9311</v>
      </c>
      <c r="AH413" s="28" t="s">
        <v>4714</v>
      </c>
      <c r="AI413" s="28" t="s">
        <v>19300</v>
      </c>
      <c r="AJ413" s="516" t="str">
        <f>MID('II kw.22'!W413,8,6)</f>
        <v>235301</v>
      </c>
      <c r="AK413" s="516">
        <v>1</v>
      </c>
      <c r="AL413" s="516">
        <f t="shared" si="6"/>
        <v>1</v>
      </c>
      <c r="AM413" s="516">
        <v>1</v>
      </c>
      <c r="AN413" s="28" t="s">
        <v>17650</v>
      </c>
      <c r="AO413" s="28" t="s">
        <v>17651</v>
      </c>
      <c r="AP413" s="28" t="s">
        <v>17652</v>
      </c>
      <c r="AQ413" s="28" t="s">
        <v>17653</v>
      </c>
      <c r="AR413" s="28" t="s">
        <v>1024</v>
      </c>
    </row>
    <row r="414" spans="1:44" x14ac:dyDescent="0.25">
      <c r="A414" s="28" t="s">
        <v>19299</v>
      </c>
      <c r="B414" s="28" t="s">
        <v>19300</v>
      </c>
      <c r="C414" s="28" t="s">
        <v>396</v>
      </c>
      <c r="D414" s="28" t="s">
        <v>17784</v>
      </c>
      <c r="E414" s="28" t="s">
        <v>233</v>
      </c>
      <c r="F414" s="28">
        <v>1</v>
      </c>
      <c r="G414" s="28" t="s">
        <v>193</v>
      </c>
      <c r="H414" s="28" t="s">
        <v>194</v>
      </c>
      <c r="I414" s="28" t="s">
        <v>18819</v>
      </c>
      <c r="J414" s="28" t="s">
        <v>309</v>
      </c>
      <c r="K414" s="28" t="s">
        <v>9309</v>
      </c>
      <c r="L414" s="28" t="s">
        <v>6955</v>
      </c>
      <c r="N414" s="28" t="s">
        <v>19310</v>
      </c>
      <c r="O414" s="28" t="s">
        <v>6312</v>
      </c>
      <c r="P414" s="28" t="s">
        <v>19247</v>
      </c>
      <c r="Q414" s="28" t="s">
        <v>17672</v>
      </c>
      <c r="R414" s="28" t="s">
        <v>19256</v>
      </c>
      <c r="S414" s="28" t="s">
        <v>19311</v>
      </c>
      <c r="T414" s="28" t="s">
        <v>19312</v>
      </c>
      <c r="V414" s="28" t="s">
        <v>9518</v>
      </c>
      <c r="W414" s="28" t="s">
        <v>397</v>
      </c>
      <c r="X414" s="28" t="s">
        <v>194</v>
      </c>
      <c r="Y414" s="28" t="s">
        <v>9300</v>
      </c>
      <c r="AB414" s="28" t="s">
        <v>9311</v>
      </c>
      <c r="AH414" s="28" t="s">
        <v>4714</v>
      </c>
      <c r="AI414" s="28" t="s">
        <v>19300</v>
      </c>
      <c r="AJ414" s="516" t="str">
        <f>MID('II kw.22'!W414,8,6)</f>
        <v>235301</v>
      </c>
      <c r="AK414" s="516">
        <v>1</v>
      </c>
      <c r="AL414" s="516">
        <f t="shared" si="6"/>
        <v>1</v>
      </c>
      <c r="AM414" s="516">
        <v>1</v>
      </c>
      <c r="AN414" s="28" t="s">
        <v>17650</v>
      </c>
      <c r="AO414" s="28" t="s">
        <v>17651</v>
      </c>
      <c r="AP414" s="28" t="s">
        <v>17652</v>
      </c>
      <c r="AQ414" s="28" t="s">
        <v>17653</v>
      </c>
      <c r="AR414" s="28" t="s">
        <v>1024</v>
      </c>
    </row>
    <row r="415" spans="1:44" x14ac:dyDescent="0.25">
      <c r="A415" s="28" t="s">
        <v>19299</v>
      </c>
      <c r="B415" s="28" t="s">
        <v>19300</v>
      </c>
      <c r="C415" s="28" t="s">
        <v>396</v>
      </c>
      <c r="D415" s="28" t="s">
        <v>17784</v>
      </c>
      <c r="E415" s="28" t="s">
        <v>233</v>
      </c>
      <c r="F415" s="28">
        <v>1</v>
      </c>
      <c r="G415" s="28" t="s">
        <v>193</v>
      </c>
      <c r="H415" s="28" t="s">
        <v>194</v>
      </c>
      <c r="I415" s="28" t="s">
        <v>18819</v>
      </c>
      <c r="J415" s="28" t="s">
        <v>316</v>
      </c>
      <c r="K415" s="28" t="s">
        <v>9309</v>
      </c>
      <c r="L415" s="28" t="s">
        <v>6955</v>
      </c>
      <c r="N415" s="28" t="s">
        <v>19313</v>
      </c>
      <c r="O415" s="28" t="s">
        <v>6312</v>
      </c>
      <c r="P415" s="28" t="s">
        <v>19247</v>
      </c>
      <c r="Q415" s="28" t="s">
        <v>17672</v>
      </c>
      <c r="R415" s="28" t="s">
        <v>19256</v>
      </c>
      <c r="S415" s="28" t="s">
        <v>19314</v>
      </c>
      <c r="T415" s="28" t="s">
        <v>19315</v>
      </c>
      <c r="V415" s="28" t="s">
        <v>10012</v>
      </c>
      <c r="W415" s="28" t="s">
        <v>397</v>
      </c>
      <c r="X415" s="28" t="s">
        <v>194</v>
      </c>
      <c r="Y415" s="28" t="s">
        <v>9300</v>
      </c>
      <c r="AB415" s="28" t="s">
        <v>9311</v>
      </c>
      <c r="AH415" s="28" t="s">
        <v>4714</v>
      </c>
      <c r="AI415" s="28" t="s">
        <v>19300</v>
      </c>
      <c r="AJ415" s="516" t="str">
        <f>MID('II kw.22'!W415,8,6)</f>
        <v>235301</v>
      </c>
      <c r="AK415" s="516">
        <v>1</v>
      </c>
      <c r="AL415" s="516">
        <f t="shared" si="6"/>
        <v>1</v>
      </c>
      <c r="AM415" s="516">
        <v>1</v>
      </c>
      <c r="AN415" s="28" t="s">
        <v>17650</v>
      </c>
      <c r="AO415" s="28" t="s">
        <v>17651</v>
      </c>
      <c r="AP415" s="28" t="s">
        <v>17652</v>
      </c>
      <c r="AQ415" s="28" t="s">
        <v>17653</v>
      </c>
      <c r="AR415" s="28" t="s">
        <v>1024</v>
      </c>
    </row>
    <row r="416" spans="1:44" x14ac:dyDescent="0.25">
      <c r="A416" s="28" t="s">
        <v>1647</v>
      </c>
      <c r="B416" s="28" t="s">
        <v>1014</v>
      </c>
      <c r="C416" s="28" t="s">
        <v>95</v>
      </c>
      <c r="D416" s="28" t="s">
        <v>17784</v>
      </c>
      <c r="E416" s="28" t="s">
        <v>233</v>
      </c>
      <c r="F416" s="28">
        <v>1</v>
      </c>
      <c r="G416" s="28" t="s">
        <v>193</v>
      </c>
      <c r="H416" s="28" t="s">
        <v>194</v>
      </c>
      <c r="I416" s="28" t="s">
        <v>19175</v>
      </c>
      <c r="J416" s="28" t="s">
        <v>9302</v>
      </c>
      <c r="K416" s="28" t="s">
        <v>9309</v>
      </c>
      <c r="L416" s="28" t="s">
        <v>6955</v>
      </c>
      <c r="N416" s="28" t="s">
        <v>19316</v>
      </c>
      <c r="O416" s="28" t="s">
        <v>6254</v>
      </c>
      <c r="P416" s="28" t="s">
        <v>19247</v>
      </c>
      <c r="Q416" s="28" t="s">
        <v>17672</v>
      </c>
      <c r="R416" s="28" t="s">
        <v>19256</v>
      </c>
      <c r="S416" s="28" t="s">
        <v>19317</v>
      </c>
      <c r="T416" s="28" t="s">
        <v>19318</v>
      </c>
      <c r="V416" s="27"/>
      <c r="W416" s="28" t="s">
        <v>1015</v>
      </c>
      <c r="X416" s="28" t="s">
        <v>193</v>
      </c>
      <c r="Y416" s="27" t="s">
        <v>9310</v>
      </c>
      <c r="AB416" s="28" t="s">
        <v>9311</v>
      </c>
      <c r="AH416" s="28" t="s">
        <v>4714</v>
      </c>
      <c r="AI416" s="28" t="s">
        <v>1014</v>
      </c>
      <c r="AJ416" s="516" t="str">
        <f>MID('II kw.22'!W416,8,6)</f>
        <v>122102</v>
      </c>
      <c r="AK416" s="516">
        <v>1</v>
      </c>
      <c r="AL416" s="516">
        <f t="shared" si="6"/>
        <v>1</v>
      </c>
      <c r="AM416" s="516">
        <v>1</v>
      </c>
      <c r="AN416" s="28" t="s">
        <v>17650</v>
      </c>
      <c r="AO416" s="28" t="s">
        <v>17651</v>
      </c>
      <c r="AP416" s="28" t="s">
        <v>17652</v>
      </c>
      <c r="AQ416" s="28" t="s">
        <v>17653</v>
      </c>
      <c r="AR416" s="28" t="s">
        <v>1024</v>
      </c>
    </row>
    <row r="417" spans="1:44" x14ac:dyDescent="0.25">
      <c r="A417" s="28" t="s">
        <v>1647</v>
      </c>
      <c r="B417" s="28" t="s">
        <v>5509</v>
      </c>
      <c r="C417" s="28" t="s">
        <v>617</v>
      </c>
      <c r="D417" s="28" t="s">
        <v>17784</v>
      </c>
      <c r="E417" s="28" t="s">
        <v>233</v>
      </c>
      <c r="F417" s="28">
        <v>1</v>
      </c>
      <c r="G417" s="28" t="s">
        <v>193</v>
      </c>
      <c r="H417" s="28" t="s">
        <v>194</v>
      </c>
      <c r="I417" s="28" t="s">
        <v>19175</v>
      </c>
      <c r="J417" s="28" t="s">
        <v>9302</v>
      </c>
      <c r="K417" s="28" t="s">
        <v>9309</v>
      </c>
      <c r="L417" s="28" t="s">
        <v>6955</v>
      </c>
      <c r="N417" s="28" t="s">
        <v>19319</v>
      </c>
      <c r="O417" s="28" t="s">
        <v>6254</v>
      </c>
      <c r="P417" s="28" t="s">
        <v>19247</v>
      </c>
      <c r="Q417" s="28" t="s">
        <v>17672</v>
      </c>
      <c r="R417" s="28" t="s">
        <v>19256</v>
      </c>
      <c r="S417" s="28" t="s">
        <v>19320</v>
      </c>
      <c r="T417" s="28" t="s">
        <v>19321</v>
      </c>
      <c r="V417" s="27"/>
      <c r="W417" s="28" t="s">
        <v>618</v>
      </c>
      <c r="X417" s="28" t="s">
        <v>193</v>
      </c>
      <c r="Y417" s="27" t="s">
        <v>9310</v>
      </c>
      <c r="AB417" s="28" t="s">
        <v>9311</v>
      </c>
      <c r="AH417" s="28" t="s">
        <v>4714</v>
      </c>
      <c r="AI417" s="28" t="s">
        <v>5509</v>
      </c>
      <c r="AJ417" s="516" t="str">
        <f>MID('II kw.22'!W417,8,6)</f>
        <v>332104</v>
      </c>
      <c r="AK417" s="516">
        <v>1</v>
      </c>
      <c r="AL417" s="516">
        <f t="shared" si="6"/>
        <v>1</v>
      </c>
      <c r="AM417" s="516">
        <v>1</v>
      </c>
      <c r="AN417" s="28" t="s">
        <v>17650</v>
      </c>
      <c r="AO417" s="28" t="s">
        <v>17651</v>
      </c>
      <c r="AP417" s="28" t="s">
        <v>17652</v>
      </c>
      <c r="AQ417" s="28" t="s">
        <v>17653</v>
      </c>
      <c r="AR417" s="28" t="s">
        <v>1024</v>
      </c>
    </row>
    <row r="418" spans="1:44" x14ac:dyDescent="0.25">
      <c r="A418" s="28" t="s">
        <v>19259</v>
      </c>
      <c r="B418" s="28" t="s">
        <v>19322</v>
      </c>
      <c r="C418" s="28" t="s">
        <v>740</v>
      </c>
      <c r="D418" s="28" t="s">
        <v>17784</v>
      </c>
      <c r="E418" s="28" t="s">
        <v>233</v>
      </c>
      <c r="F418" s="28">
        <v>1</v>
      </c>
      <c r="G418" s="28" t="s">
        <v>193</v>
      </c>
      <c r="H418" s="28" t="s">
        <v>194</v>
      </c>
      <c r="I418" s="28" t="s">
        <v>19175</v>
      </c>
      <c r="J418" s="28" t="s">
        <v>210</v>
      </c>
      <c r="K418" s="28" t="s">
        <v>9309</v>
      </c>
      <c r="L418" s="28" t="s">
        <v>6955</v>
      </c>
      <c r="N418" s="28" t="s">
        <v>19323</v>
      </c>
      <c r="O418" s="28" t="s">
        <v>6249</v>
      </c>
      <c r="P418" s="28" t="s">
        <v>19247</v>
      </c>
      <c r="Q418" s="28" t="s">
        <v>17672</v>
      </c>
      <c r="R418" s="28" t="s">
        <v>19256</v>
      </c>
      <c r="S418" s="28" t="s">
        <v>19324</v>
      </c>
      <c r="T418" s="28" t="s">
        <v>19325</v>
      </c>
      <c r="V418" s="28" t="s">
        <v>9334</v>
      </c>
      <c r="W418" s="28" t="s">
        <v>741</v>
      </c>
      <c r="X418" s="28" t="s">
        <v>194</v>
      </c>
      <c r="Y418" s="28" t="s">
        <v>9300</v>
      </c>
      <c r="AB418" s="28" t="s">
        <v>9311</v>
      </c>
      <c r="AH418" s="28" t="s">
        <v>4714</v>
      </c>
      <c r="AI418" s="28" t="s">
        <v>19322</v>
      </c>
      <c r="AJ418" s="516" t="str">
        <f>MID('II kw.22'!W418,8,6)</f>
        <v>522301</v>
      </c>
      <c r="AK418" s="516">
        <v>1</v>
      </c>
      <c r="AL418" s="516">
        <f t="shared" si="6"/>
        <v>1</v>
      </c>
      <c r="AM418" s="516">
        <v>1</v>
      </c>
      <c r="AN418" s="28" t="s">
        <v>17650</v>
      </c>
      <c r="AO418" s="28" t="s">
        <v>17651</v>
      </c>
      <c r="AP418" s="28" t="s">
        <v>17652</v>
      </c>
      <c r="AQ418" s="28" t="s">
        <v>17653</v>
      </c>
      <c r="AR418" s="28" t="s">
        <v>1024</v>
      </c>
    </row>
    <row r="419" spans="1:44" x14ac:dyDescent="0.25">
      <c r="A419" s="28" t="s">
        <v>19326</v>
      </c>
      <c r="B419" s="28" t="s">
        <v>2516</v>
      </c>
      <c r="C419" s="28" t="s">
        <v>43</v>
      </c>
      <c r="D419" s="28" t="s">
        <v>17784</v>
      </c>
      <c r="E419" s="28" t="s">
        <v>233</v>
      </c>
      <c r="F419" s="28">
        <v>1</v>
      </c>
      <c r="G419" s="28" t="s">
        <v>193</v>
      </c>
      <c r="H419" s="28" t="s">
        <v>194</v>
      </c>
      <c r="I419" s="28" t="s">
        <v>17800</v>
      </c>
      <c r="J419" s="28" t="s">
        <v>316</v>
      </c>
      <c r="K419" s="28" t="s">
        <v>9309</v>
      </c>
      <c r="L419" s="28" t="s">
        <v>6955</v>
      </c>
      <c r="N419" s="28" t="s">
        <v>19327</v>
      </c>
      <c r="O419" s="28" t="s">
        <v>6249</v>
      </c>
      <c r="P419" s="28" t="s">
        <v>19247</v>
      </c>
      <c r="Q419" s="28" t="s">
        <v>17672</v>
      </c>
      <c r="R419" s="28" t="s">
        <v>19256</v>
      </c>
      <c r="S419" s="28" t="s">
        <v>19328</v>
      </c>
      <c r="T419" s="28" t="s">
        <v>19329</v>
      </c>
      <c r="V419" s="28" t="s">
        <v>10012</v>
      </c>
      <c r="W419" s="28" t="s">
        <v>452</v>
      </c>
      <c r="X419" s="28" t="s">
        <v>194</v>
      </c>
      <c r="Y419" s="28" t="s">
        <v>9300</v>
      </c>
      <c r="AB419" s="28" t="s">
        <v>9311</v>
      </c>
      <c r="AH419" s="28" t="s">
        <v>4714</v>
      </c>
      <c r="AI419" s="28" t="s">
        <v>2516</v>
      </c>
      <c r="AJ419" s="516" t="str">
        <f>MID('II kw.22'!W419,8,6)</f>
        <v>243106</v>
      </c>
      <c r="AK419" s="516">
        <v>1</v>
      </c>
      <c r="AL419" s="516">
        <f t="shared" si="6"/>
        <v>1</v>
      </c>
      <c r="AM419" s="516">
        <v>1</v>
      </c>
      <c r="AN419" s="28" t="s">
        <v>17650</v>
      </c>
      <c r="AO419" s="28" t="s">
        <v>17651</v>
      </c>
      <c r="AP419" s="28" t="s">
        <v>17652</v>
      </c>
      <c r="AQ419" s="28" t="s">
        <v>17653</v>
      </c>
      <c r="AR419" s="28" t="s">
        <v>1024</v>
      </c>
    </row>
    <row r="420" spans="1:44" x14ac:dyDescent="0.25">
      <c r="A420" s="28" t="s">
        <v>417</v>
      </c>
      <c r="B420" s="28" t="s">
        <v>19330</v>
      </c>
      <c r="C420" s="28" t="s">
        <v>778</v>
      </c>
      <c r="D420" s="28" t="s">
        <v>17784</v>
      </c>
      <c r="E420" s="28" t="s">
        <v>233</v>
      </c>
      <c r="F420" s="28">
        <v>1</v>
      </c>
      <c r="G420" s="28" t="s">
        <v>193</v>
      </c>
      <c r="H420" s="28" t="s">
        <v>194</v>
      </c>
      <c r="I420" s="28" t="s">
        <v>19175</v>
      </c>
      <c r="J420" s="28" t="s">
        <v>253</v>
      </c>
      <c r="K420" s="28" t="s">
        <v>9309</v>
      </c>
      <c r="L420" s="28" t="s">
        <v>6955</v>
      </c>
      <c r="N420" s="28" t="s">
        <v>19331</v>
      </c>
      <c r="O420" s="28" t="s">
        <v>6254</v>
      </c>
      <c r="P420" s="28" t="s">
        <v>19247</v>
      </c>
      <c r="Q420" s="28" t="s">
        <v>17672</v>
      </c>
      <c r="R420" s="28" t="s">
        <v>17756</v>
      </c>
      <c r="S420" s="28" t="s">
        <v>19332</v>
      </c>
      <c r="T420" s="28" t="s">
        <v>19333</v>
      </c>
      <c r="V420" s="28" t="s">
        <v>9468</v>
      </c>
      <c r="W420" s="28" t="s">
        <v>779</v>
      </c>
      <c r="X420" s="28" t="s">
        <v>194</v>
      </c>
      <c r="Y420" s="28" t="s">
        <v>9300</v>
      </c>
      <c r="AB420" s="28" t="s">
        <v>9311</v>
      </c>
      <c r="AH420" s="28" t="s">
        <v>4714</v>
      </c>
      <c r="AI420" s="28" t="s">
        <v>19330</v>
      </c>
      <c r="AJ420" s="516" t="str">
        <f>MID('II kw.22'!W420,8,6)</f>
        <v>524902</v>
      </c>
      <c r="AK420" s="516">
        <v>1</v>
      </c>
      <c r="AL420" s="516">
        <f t="shared" si="6"/>
        <v>1</v>
      </c>
      <c r="AM420" s="516">
        <v>1</v>
      </c>
      <c r="AN420" s="28" t="s">
        <v>17650</v>
      </c>
      <c r="AO420" s="28" t="s">
        <v>17651</v>
      </c>
      <c r="AP420" s="28" t="s">
        <v>17652</v>
      </c>
      <c r="AQ420" s="28" t="s">
        <v>17653</v>
      </c>
      <c r="AR420" s="28" t="s">
        <v>1024</v>
      </c>
    </row>
    <row r="421" spans="1:44" x14ac:dyDescent="0.25">
      <c r="A421" s="28" t="s">
        <v>5955</v>
      </c>
      <c r="B421" s="28" t="s">
        <v>1520</v>
      </c>
      <c r="C421" s="28" t="s">
        <v>525</v>
      </c>
      <c r="D421" s="28" t="s">
        <v>17784</v>
      </c>
      <c r="E421" s="28" t="s">
        <v>233</v>
      </c>
      <c r="F421" s="28">
        <v>1</v>
      </c>
      <c r="G421" s="28" t="s">
        <v>193</v>
      </c>
      <c r="H421" s="28" t="s">
        <v>194</v>
      </c>
      <c r="I421" s="28" t="s">
        <v>17800</v>
      </c>
      <c r="J421" s="28" t="s">
        <v>210</v>
      </c>
      <c r="K421" s="28" t="s">
        <v>9309</v>
      </c>
      <c r="L421" s="28" t="s">
        <v>6955</v>
      </c>
      <c r="N421" s="28" t="s">
        <v>19334</v>
      </c>
      <c r="O421" s="28" t="s">
        <v>6306</v>
      </c>
      <c r="P421" s="28" t="s">
        <v>19247</v>
      </c>
      <c r="Q421" s="28" t="s">
        <v>17672</v>
      </c>
      <c r="R421" s="28" t="s">
        <v>17806</v>
      </c>
      <c r="S421" s="28" t="s">
        <v>19335</v>
      </c>
      <c r="T421" s="28" t="s">
        <v>19336</v>
      </c>
      <c r="V421" s="28" t="s">
        <v>9334</v>
      </c>
      <c r="W421" s="28" t="s">
        <v>526</v>
      </c>
      <c r="X421" s="28" t="s">
        <v>194</v>
      </c>
      <c r="Y421" s="28" t="s">
        <v>9300</v>
      </c>
      <c r="AB421" s="28" t="s">
        <v>9311</v>
      </c>
      <c r="AH421" s="28" t="s">
        <v>4714</v>
      </c>
      <c r="AI421" s="28" t="s">
        <v>1520</v>
      </c>
      <c r="AJ421" s="516" t="str">
        <f>MID('II kw.22'!W421,8,6)</f>
        <v>263102</v>
      </c>
      <c r="AK421" s="516">
        <v>1</v>
      </c>
      <c r="AL421" s="516">
        <f t="shared" si="6"/>
        <v>1</v>
      </c>
      <c r="AM421" s="516">
        <v>1</v>
      </c>
      <c r="AN421" s="28" t="s">
        <v>17650</v>
      </c>
      <c r="AO421" s="28" t="s">
        <v>17651</v>
      </c>
      <c r="AP421" s="28" t="s">
        <v>17652</v>
      </c>
      <c r="AQ421" s="28" t="s">
        <v>17653</v>
      </c>
      <c r="AR421" s="28" t="s">
        <v>1024</v>
      </c>
    </row>
    <row r="422" spans="1:44" x14ac:dyDescent="0.25">
      <c r="A422" s="28" t="s">
        <v>5307</v>
      </c>
      <c r="B422" s="28" t="s">
        <v>2124</v>
      </c>
      <c r="C422" s="28" t="s">
        <v>13</v>
      </c>
      <c r="D422" s="28" t="s">
        <v>17784</v>
      </c>
      <c r="E422" s="28" t="s">
        <v>233</v>
      </c>
      <c r="F422" s="28">
        <v>1</v>
      </c>
      <c r="G422" s="28" t="s">
        <v>193</v>
      </c>
      <c r="H422" s="28" t="s">
        <v>194</v>
      </c>
      <c r="I422" s="28" t="s">
        <v>19175</v>
      </c>
      <c r="J422" s="28" t="s">
        <v>223</v>
      </c>
      <c r="K422" s="28" t="s">
        <v>9309</v>
      </c>
      <c r="L422" s="28" t="s">
        <v>6955</v>
      </c>
      <c r="N422" s="28" t="s">
        <v>19337</v>
      </c>
      <c r="O422" s="28" t="s">
        <v>6306</v>
      </c>
      <c r="P422" s="28" t="s">
        <v>19247</v>
      </c>
      <c r="Q422" s="28" t="s">
        <v>17672</v>
      </c>
      <c r="R422" s="28" t="s">
        <v>17806</v>
      </c>
      <c r="S422" s="28" t="s">
        <v>19338</v>
      </c>
      <c r="T422" s="28" t="s">
        <v>19339</v>
      </c>
      <c r="V422" s="28" t="s">
        <v>11163</v>
      </c>
      <c r="W422" s="28" t="s">
        <v>2125</v>
      </c>
      <c r="X422" s="28" t="s">
        <v>194</v>
      </c>
      <c r="Y422" s="28" t="s">
        <v>9300</v>
      </c>
      <c r="AB422" s="28" t="s">
        <v>9311</v>
      </c>
      <c r="AH422" s="28" t="s">
        <v>4714</v>
      </c>
      <c r="AI422" s="28" t="s">
        <v>2124</v>
      </c>
      <c r="AJ422" s="516" t="str">
        <f>MID('II kw.22'!W422,8,6)</f>
        <v>225101</v>
      </c>
      <c r="AK422" s="516">
        <v>1</v>
      </c>
      <c r="AL422" s="516">
        <f t="shared" si="6"/>
        <v>1</v>
      </c>
      <c r="AM422" s="516">
        <v>1</v>
      </c>
      <c r="AN422" s="28" t="s">
        <v>17650</v>
      </c>
      <c r="AO422" s="28" t="s">
        <v>17651</v>
      </c>
      <c r="AP422" s="28" t="s">
        <v>17652</v>
      </c>
      <c r="AQ422" s="28" t="s">
        <v>17653</v>
      </c>
      <c r="AR422" s="28" t="s">
        <v>1024</v>
      </c>
    </row>
    <row r="423" spans="1:44" x14ac:dyDescent="0.25">
      <c r="A423" s="28" t="s">
        <v>5307</v>
      </c>
      <c r="B423" s="28" t="s">
        <v>2124</v>
      </c>
      <c r="C423" s="28" t="s">
        <v>13</v>
      </c>
      <c r="D423" s="28" t="s">
        <v>17784</v>
      </c>
      <c r="E423" s="28" t="s">
        <v>233</v>
      </c>
      <c r="F423" s="28">
        <v>1</v>
      </c>
      <c r="G423" s="28" t="s">
        <v>193</v>
      </c>
      <c r="H423" s="28" t="s">
        <v>194</v>
      </c>
      <c r="I423" s="28" t="s">
        <v>19175</v>
      </c>
      <c r="J423" s="28" t="s">
        <v>223</v>
      </c>
      <c r="K423" s="28" t="s">
        <v>9309</v>
      </c>
      <c r="L423" s="28" t="s">
        <v>6955</v>
      </c>
      <c r="N423" s="28" t="s">
        <v>19340</v>
      </c>
      <c r="O423" s="28" t="s">
        <v>6306</v>
      </c>
      <c r="P423" s="28" t="s">
        <v>19247</v>
      </c>
      <c r="Q423" s="28" t="s">
        <v>17672</v>
      </c>
      <c r="R423" s="28" t="s">
        <v>17806</v>
      </c>
      <c r="S423" s="28" t="s">
        <v>19341</v>
      </c>
      <c r="T423" s="28" t="s">
        <v>19342</v>
      </c>
      <c r="V423" s="28" t="s">
        <v>11163</v>
      </c>
      <c r="W423" s="28" t="s">
        <v>2125</v>
      </c>
      <c r="X423" s="28" t="s">
        <v>194</v>
      </c>
      <c r="Y423" s="28" t="s">
        <v>9300</v>
      </c>
      <c r="AB423" s="28" t="s">
        <v>9311</v>
      </c>
      <c r="AH423" s="28" t="s">
        <v>4714</v>
      </c>
      <c r="AI423" s="28" t="s">
        <v>2124</v>
      </c>
      <c r="AJ423" s="516" t="str">
        <f>MID('II kw.22'!W423,8,6)</f>
        <v>225101</v>
      </c>
      <c r="AK423" s="516">
        <v>1</v>
      </c>
      <c r="AL423" s="516">
        <f t="shared" si="6"/>
        <v>1</v>
      </c>
      <c r="AM423" s="516">
        <v>1</v>
      </c>
      <c r="AN423" s="28" t="s">
        <v>17650</v>
      </c>
      <c r="AO423" s="28" t="s">
        <v>17651</v>
      </c>
      <c r="AP423" s="28" t="s">
        <v>17652</v>
      </c>
      <c r="AQ423" s="28" t="s">
        <v>17653</v>
      </c>
      <c r="AR423" s="28" t="s">
        <v>1024</v>
      </c>
    </row>
    <row r="424" spans="1:44" x14ac:dyDescent="0.25">
      <c r="A424" s="28" t="s">
        <v>5307</v>
      </c>
      <c r="B424" s="28" t="s">
        <v>16343</v>
      </c>
      <c r="C424" s="28" t="s">
        <v>13</v>
      </c>
      <c r="D424" s="28" t="s">
        <v>17784</v>
      </c>
      <c r="E424" s="28" t="s">
        <v>233</v>
      </c>
      <c r="F424" s="28">
        <v>1</v>
      </c>
      <c r="G424" s="28" t="s">
        <v>193</v>
      </c>
      <c r="H424" s="28" t="s">
        <v>194</v>
      </c>
      <c r="I424" s="28" t="s">
        <v>17800</v>
      </c>
      <c r="J424" s="28" t="s">
        <v>223</v>
      </c>
      <c r="K424" s="28" t="s">
        <v>9309</v>
      </c>
      <c r="L424" s="28" t="s">
        <v>6955</v>
      </c>
      <c r="N424" s="28" t="s">
        <v>19343</v>
      </c>
      <c r="O424" s="28" t="s">
        <v>6306</v>
      </c>
      <c r="P424" s="28" t="s">
        <v>19247</v>
      </c>
      <c r="Q424" s="28" t="s">
        <v>17672</v>
      </c>
      <c r="R424" s="28" t="s">
        <v>17806</v>
      </c>
      <c r="S424" s="28" t="s">
        <v>19344</v>
      </c>
      <c r="T424" s="28" t="s">
        <v>19345</v>
      </c>
      <c r="V424" s="28" t="s">
        <v>11163</v>
      </c>
      <c r="W424" s="28" t="s">
        <v>2125</v>
      </c>
      <c r="X424" s="28" t="s">
        <v>194</v>
      </c>
      <c r="Y424" s="28" t="s">
        <v>9300</v>
      </c>
      <c r="AB424" s="28" t="s">
        <v>9311</v>
      </c>
      <c r="AH424" s="28" t="s">
        <v>4714</v>
      </c>
      <c r="AI424" s="28" t="s">
        <v>16343</v>
      </c>
      <c r="AJ424" s="516" t="str">
        <f>MID('II kw.22'!W424,8,6)</f>
        <v>225101</v>
      </c>
      <c r="AK424" s="516">
        <v>1</v>
      </c>
      <c r="AL424" s="516">
        <f t="shared" si="6"/>
        <v>1</v>
      </c>
      <c r="AM424" s="516">
        <v>1</v>
      </c>
      <c r="AN424" s="28" t="s">
        <v>17650</v>
      </c>
      <c r="AO424" s="28" t="s">
        <v>17651</v>
      </c>
      <c r="AP424" s="28" t="s">
        <v>17652</v>
      </c>
      <c r="AQ424" s="28" t="s">
        <v>17653</v>
      </c>
      <c r="AR424" s="28" t="s">
        <v>1024</v>
      </c>
    </row>
    <row r="425" spans="1:44" x14ac:dyDescent="0.25">
      <c r="A425" s="28" t="s">
        <v>17794</v>
      </c>
      <c r="B425" s="28" t="s">
        <v>17795</v>
      </c>
      <c r="C425" s="28" t="s">
        <v>4449</v>
      </c>
      <c r="D425" s="28" t="s">
        <v>17784</v>
      </c>
      <c r="E425" s="28" t="s">
        <v>217</v>
      </c>
      <c r="F425" s="28">
        <v>1</v>
      </c>
      <c r="G425" s="28" t="s">
        <v>193</v>
      </c>
      <c r="H425" s="28" t="s">
        <v>194</v>
      </c>
      <c r="I425" s="28" t="s">
        <v>17800</v>
      </c>
      <c r="J425" s="28" t="s">
        <v>17796</v>
      </c>
      <c r="K425" s="28" t="s">
        <v>9309</v>
      </c>
      <c r="L425" s="28" t="s">
        <v>6955</v>
      </c>
      <c r="N425" s="28" t="s">
        <v>17797</v>
      </c>
      <c r="O425" s="28" t="s">
        <v>6269</v>
      </c>
      <c r="P425" s="28" t="s">
        <v>19346</v>
      </c>
      <c r="Q425" s="28" t="s">
        <v>18175</v>
      </c>
      <c r="R425" s="28" t="s">
        <v>17800</v>
      </c>
      <c r="S425" s="28" t="s">
        <v>19347</v>
      </c>
      <c r="T425" s="28" t="s">
        <v>19348</v>
      </c>
      <c r="V425" s="27"/>
      <c r="W425" s="28" t="s">
        <v>4450</v>
      </c>
      <c r="X425" s="28" t="s">
        <v>193</v>
      </c>
      <c r="Y425" s="27" t="s">
        <v>9310</v>
      </c>
      <c r="AB425" s="28" t="s">
        <v>9311</v>
      </c>
      <c r="AH425" s="28" t="s">
        <v>4714</v>
      </c>
      <c r="AI425" s="28" t="s">
        <v>9433</v>
      </c>
      <c r="AJ425" s="516" t="str">
        <f>MID('II kw.22'!W425,8,6)</f>
        <v>311704</v>
      </c>
      <c r="AK425" s="516">
        <v>1</v>
      </c>
      <c r="AL425" s="516">
        <f t="shared" si="6"/>
        <v>1</v>
      </c>
      <c r="AM425" s="516">
        <v>1</v>
      </c>
      <c r="AN425" s="28" t="s">
        <v>17650</v>
      </c>
      <c r="AO425" s="28" t="s">
        <v>17651</v>
      </c>
      <c r="AP425" s="28" t="s">
        <v>17652</v>
      </c>
      <c r="AQ425" s="28" t="s">
        <v>17653</v>
      </c>
      <c r="AR425" s="28" t="s">
        <v>1024</v>
      </c>
    </row>
    <row r="426" spans="1:44" x14ac:dyDescent="0.25">
      <c r="A426" s="28" t="s">
        <v>4022</v>
      </c>
      <c r="B426" s="28" t="s">
        <v>17803</v>
      </c>
      <c r="C426" s="28" t="s">
        <v>43</v>
      </c>
      <c r="D426" s="28" t="s">
        <v>17784</v>
      </c>
      <c r="E426" s="28" t="s">
        <v>217</v>
      </c>
      <c r="F426" s="28">
        <v>1</v>
      </c>
      <c r="G426" s="28" t="s">
        <v>193</v>
      </c>
      <c r="H426" s="28" t="s">
        <v>194</v>
      </c>
      <c r="I426" s="28" t="s">
        <v>17800</v>
      </c>
      <c r="J426" s="28" t="s">
        <v>15466</v>
      </c>
      <c r="K426" s="28" t="s">
        <v>9309</v>
      </c>
      <c r="L426" s="28" t="s">
        <v>6955</v>
      </c>
      <c r="N426" s="28" t="s">
        <v>17804</v>
      </c>
      <c r="O426" s="28" t="s">
        <v>6302</v>
      </c>
      <c r="P426" s="28" t="s">
        <v>19346</v>
      </c>
      <c r="Q426" s="28" t="s">
        <v>17706</v>
      </c>
      <c r="R426" s="28" t="s">
        <v>17806</v>
      </c>
      <c r="S426" s="28" t="s">
        <v>19349</v>
      </c>
      <c r="T426" s="28" t="s">
        <v>19350</v>
      </c>
      <c r="V426" s="27"/>
      <c r="W426" s="28" t="s">
        <v>452</v>
      </c>
      <c r="X426" s="28" t="s">
        <v>193</v>
      </c>
      <c r="Y426" s="27" t="s">
        <v>9310</v>
      </c>
      <c r="AB426" s="28" t="s">
        <v>9311</v>
      </c>
      <c r="AH426" s="28" t="s">
        <v>4714</v>
      </c>
      <c r="AI426" s="28" t="s">
        <v>9433</v>
      </c>
      <c r="AJ426" s="516" t="str">
        <f>MID('II kw.22'!W426,8,6)</f>
        <v>243106</v>
      </c>
      <c r="AK426" s="516">
        <v>1</v>
      </c>
      <c r="AL426" s="516">
        <f t="shared" si="6"/>
        <v>1</v>
      </c>
      <c r="AM426" s="516">
        <v>1</v>
      </c>
      <c r="AN426" s="28" t="s">
        <v>17650</v>
      </c>
      <c r="AO426" s="28" t="s">
        <v>17651</v>
      </c>
      <c r="AP426" s="28" t="s">
        <v>17652</v>
      </c>
      <c r="AQ426" s="28" t="s">
        <v>17653</v>
      </c>
      <c r="AR426" s="28" t="s">
        <v>1024</v>
      </c>
    </row>
    <row r="427" spans="1:44" x14ac:dyDescent="0.25">
      <c r="A427" s="28" t="s">
        <v>581</v>
      </c>
      <c r="B427" s="28" t="s">
        <v>18332</v>
      </c>
      <c r="C427" s="28" t="s">
        <v>62</v>
      </c>
      <c r="D427" s="28" t="s">
        <v>17784</v>
      </c>
      <c r="E427" s="28" t="s">
        <v>217</v>
      </c>
      <c r="F427" s="28">
        <v>1</v>
      </c>
      <c r="G427" s="28" t="s">
        <v>193</v>
      </c>
      <c r="H427" s="28" t="s">
        <v>194</v>
      </c>
      <c r="I427" s="28" t="s">
        <v>19175</v>
      </c>
      <c r="J427" s="28" t="s">
        <v>253</v>
      </c>
      <c r="K427" s="28" t="s">
        <v>9309</v>
      </c>
      <c r="L427" s="28" t="s">
        <v>6955</v>
      </c>
      <c r="N427" s="28" t="s">
        <v>18333</v>
      </c>
      <c r="O427" s="28" t="s">
        <v>6275</v>
      </c>
      <c r="P427" s="28" t="s">
        <v>19346</v>
      </c>
      <c r="Q427" s="28" t="s">
        <v>17643</v>
      </c>
      <c r="R427" s="28" t="s">
        <v>18335</v>
      </c>
      <c r="S427" s="28" t="s">
        <v>19351</v>
      </c>
      <c r="T427" s="28" t="s">
        <v>19352</v>
      </c>
      <c r="V427" s="28" t="s">
        <v>9468</v>
      </c>
      <c r="W427" s="28" t="s">
        <v>601</v>
      </c>
      <c r="X427" s="28" t="s">
        <v>194</v>
      </c>
      <c r="Y427" s="28" t="s">
        <v>9300</v>
      </c>
      <c r="AB427" s="28" t="s">
        <v>9311</v>
      </c>
      <c r="AH427" s="28" t="s">
        <v>4714</v>
      </c>
      <c r="AI427" s="28" t="s">
        <v>9433</v>
      </c>
      <c r="AJ427" s="516" t="str">
        <f>MID('II kw.22'!W427,8,6)</f>
        <v>313904</v>
      </c>
      <c r="AK427" s="516">
        <v>1</v>
      </c>
      <c r="AL427" s="516">
        <f t="shared" si="6"/>
        <v>1</v>
      </c>
      <c r="AM427" s="516">
        <v>1</v>
      </c>
      <c r="AN427" s="28" t="s">
        <v>17650</v>
      </c>
      <c r="AO427" s="28" t="s">
        <v>17651</v>
      </c>
      <c r="AP427" s="28" t="s">
        <v>17652</v>
      </c>
      <c r="AQ427" s="28" t="s">
        <v>17653</v>
      </c>
      <c r="AR427" s="28" t="s">
        <v>1024</v>
      </c>
    </row>
    <row r="428" spans="1:44" x14ac:dyDescent="0.25">
      <c r="A428" s="28" t="s">
        <v>11415</v>
      </c>
      <c r="B428" s="28" t="s">
        <v>8016</v>
      </c>
      <c r="C428" s="28" t="s">
        <v>99</v>
      </c>
      <c r="D428" s="28" t="s">
        <v>17784</v>
      </c>
      <c r="E428" s="28" t="s">
        <v>217</v>
      </c>
      <c r="F428" s="28">
        <v>1</v>
      </c>
      <c r="G428" s="28" t="s">
        <v>193</v>
      </c>
      <c r="H428" s="28" t="s">
        <v>194</v>
      </c>
      <c r="I428" s="28" t="s">
        <v>19175</v>
      </c>
      <c r="J428" s="28" t="s">
        <v>210</v>
      </c>
      <c r="K428" s="28" t="s">
        <v>9309</v>
      </c>
      <c r="L428" s="28" t="s">
        <v>6955</v>
      </c>
      <c r="N428" s="28" t="s">
        <v>17809</v>
      </c>
      <c r="O428" s="28" t="s">
        <v>6286</v>
      </c>
      <c r="P428" s="28" t="s">
        <v>19346</v>
      </c>
      <c r="Q428" s="28" t="s">
        <v>17642</v>
      </c>
      <c r="R428" s="28" t="s">
        <v>17806</v>
      </c>
      <c r="S428" s="28" t="s">
        <v>19353</v>
      </c>
      <c r="T428" s="28" t="s">
        <v>19354</v>
      </c>
      <c r="V428" s="28" t="s">
        <v>9334</v>
      </c>
      <c r="W428" s="28" t="s">
        <v>2421</v>
      </c>
      <c r="X428" s="28" t="s">
        <v>194</v>
      </c>
      <c r="Y428" s="28" t="s">
        <v>9300</v>
      </c>
      <c r="AB428" s="28" t="s">
        <v>9311</v>
      </c>
      <c r="AH428" s="28" t="s">
        <v>4714</v>
      </c>
      <c r="AI428" s="28" t="s">
        <v>9433</v>
      </c>
      <c r="AJ428" s="516" t="str">
        <f>MID('II kw.22'!W428,8,6)</f>
        <v>412001</v>
      </c>
      <c r="AK428" s="516">
        <v>1</v>
      </c>
      <c r="AL428" s="516">
        <f t="shared" si="6"/>
        <v>1</v>
      </c>
      <c r="AM428" s="516">
        <v>1</v>
      </c>
      <c r="AN428" s="28" t="s">
        <v>17650</v>
      </c>
      <c r="AO428" s="28" t="s">
        <v>17651</v>
      </c>
      <c r="AP428" s="28" t="s">
        <v>17652</v>
      </c>
      <c r="AQ428" s="28" t="s">
        <v>17653</v>
      </c>
      <c r="AR428" s="28" t="s">
        <v>1024</v>
      </c>
    </row>
    <row r="429" spans="1:44" x14ac:dyDescent="0.25">
      <c r="A429" s="28" t="s">
        <v>12505</v>
      </c>
      <c r="B429" s="28" t="s">
        <v>19355</v>
      </c>
      <c r="C429" s="28" t="s">
        <v>19356</v>
      </c>
      <c r="D429" s="28" t="s">
        <v>17784</v>
      </c>
      <c r="E429" s="28" t="s">
        <v>217</v>
      </c>
      <c r="F429" s="511">
        <v>1</v>
      </c>
      <c r="G429" s="227" t="s">
        <v>194</v>
      </c>
      <c r="H429" s="227" t="s">
        <v>193</v>
      </c>
      <c r="I429" s="28" t="s">
        <v>18207</v>
      </c>
      <c r="J429" s="28" t="s">
        <v>6080</v>
      </c>
      <c r="K429" s="28" t="s">
        <v>9309</v>
      </c>
      <c r="L429" s="28" t="s">
        <v>6955</v>
      </c>
      <c r="N429" s="28" t="s">
        <v>19357</v>
      </c>
      <c r="O429" s="28" t="s">
        <v>6363</v>
      </c>
      <c r="P429" s="28" t="s">
        <v>19346</v>
      </c>
      <c r="Q429" s="28" t="s">
        <v>17706</v>
      </c>
      <c r="R429" s="28" t="s">
        <v>19358</v>
      </c>
      <c r="S429" s="28" t="s">
        <v>19359</v>
      </c>
      <c r="T429" s="28" t="s">
        <v>19360</v>
      </c>
      <c r="V429" s="227"/>
      <c r="W429" s="28" t="s">
        <v>19361</v>
      </c>
      <c r="X429" s="28" t="s">
        <v>194</v>
      </c>
      <c r="Y429" s="509" t="s">
        <v>9946</v>
      </c>
      <c r="AB429" s="28" t="s">
        <v>9311</v>
      </c>
      <c r="AH429" s="28" t="s">
        <v>4714</v>
      </c>
      <c r="AI429" s="28" t="s">
        <v>9433</v>
      </c>
      <c r="AJ429" s="516" t="str">
        <f>MID('II kw.22'!W429,8,6)</f>
        <v>815101</v>
      </c>
      <c r="AK429" s="516">
        <v>1</v>
      </c>
      <c r="AL429" s="516">
        <f t="shared" si="6"/>
        <v>1</v>
      </c>
      <c r="AM429" s="516">
        <v>1</v>
      </c>
      <c r="AN429" s="28" t="s">
        <v>17650</v>
      </c>
      <c r="AO429" s="28" t="s">
        <v>17651</v>
      </c>
      <c r="AP429" s="28" t="s">
        <v>17652</v>
      </c>
      <c r="AQ429" s="28" t="s">
        <v>17653</v>
      </c>
      <c r="AR429" s="28" t="s">
        <v>1024</v>
      </c>
    </row>
    <row r="430" spans="1:44" x14ac:dyDescent="0.25">
      <c r="A430" s="28" t="s">
        <v>4022</v>
      </c>
      <c r="B430" s="28" t="s">
        <v>8022</v>
      </c>
      <c r="C430" s="28" t="s">
        <v>7617</v>
      </c>
      <c r="D430" s="28" t="s">
        <v>17784</v>
      </c>
      <c r="E430" s="28" t="s">
        <v>217</v>
      </c>
      <c r="F430" s="28">
        <v>1</v>
      </c>
      <c r="G430" s="28" t="s">
        <v>193</v>
      </c>
      <c r="H430" s="28" t="s">
        <v>194</v>
      </c>
      <c r="I430" s="28" t="s">
        <v>18819</v>
      </c>
      <c r="J430" s="28" t="s">
        <v>210</v>
      </c>
      <c r="K430" s="28" t="s">
        <v>9309</v>
      </c>
      <c r="L430" s="28" t="s">
        <v>6955</v>
      </c>
      <c r="N430" s="28" t="s">
        <v>17821</v>
      </c>
      <c r="O430" s="28" t="s">
        <v>6290</v>
      </c>
      <c r="P430" s="28" t="s">
        <v>19346</v>
      </c>
      <c r="Q430" s="28" t="s">
        <v>17642</v>
      </c>
      <c r="R430" s="28" t="s">
        <v>17806</v>
      </c>
      <c r="S430" s="28" t="s">
        <v>19362</v>
      </c>
      <c r="T430" s="28" t="s">
        <v>19363</v>
      </c>
      <c r="V430" s="28" t="s">
        <v>9334</v>
      </c>
      <c r="W430" s="28" t="s">
        <v>7620</v>
      </c>
      <c r="X430" s="28" t="s">
        <v>194</v>
      </c>
      <c r="Y430" s="28" t="s">
        <v>9300</v>
      </c>
      <c r="AB430" s="28" t="s">
        <v>9311</v>
      </c>
      <c r="AH430" s="28" t="s">
        <v>4714</v>
      </c>
      <c r="AI430" s="28" t="s">
        <v>9433</v>
      </c>
      <c r="AJ430" s="516" t="str">
        <f>MID('II kw.22'!W430,8,6)</f>
        <v>516903</v>
      </c>
      <c r="AK430" s="516">
        <v>1</v>
      </c>
      <c r="AL430" s="516">
        <f t="shared" si="6"/>
        <v>1</v>
      </c>
      <c r="AM430" s="516">
        <v>1</v>
      </c>
      <c r="AN430" s="28" t="s">
        <v>17650</v>
      </c>
      <c r="AO430" s="28" t="s">
        <v>17651</v>
      </c>
      <c r="AP430" s="28" t="s">
        <v>17652</v>
      </c>
      <c r="AQ430" s="28" t="s">
        <v>17653</v>
      </c>
      <c r="AR430" s="28" t="s">
        <v>1024</v>
      </c>
    </row>
    <row r="431" spans="1:44" x14ac:dyDescent="0.25">
      <c r="A431" s="29" t="s">
        <v>258</v>
      </c>
      <c r="B431" s="28" t="s">
        <v>7677</v>
      </c>
      <c r="C431" s="28" t="s">
        <v>778</v>
      </c>
      <c r="D431" s="28" t="s">
        <v>17784</v>
      </c>
      <c r="E431" s="28" t="s">
        <v>217</v>
      </c>
      <c r="F431" s="513">
        <v>1</v>
      </c>
      <c r="G431" s="227" t="s">
        <v>194</v>
      </c>
      <c r="H431" s="227" t="s">
        <v>193</v>
      </c>
      <c r="I431" s="28" t="s">
        <v>18819</v>
      </c>
      <c r="J431" s="28" t="s">
        <v>18344</v>
      </c>
      <c r="K431" s="28" t="s">
        <v>9309</v>
      </c>
      <c r="L431" s="28" t="s">
        <v>6955</v>
      </c>
      <c r="M431" s="28" t="s">
        <v>19364</v>
      </c>
      <c r="N431" s="28" t="s">
        <v>18345</v>
      </c>
      <c r="O431" s="28" t="s">
        <v>6251</v>
      </c>
      <c r="P431" s="28" t="s">
        <v>19239</v>
      </c>
      <c r="Q431" s="28" t="s">
        <v>17643</v>
      </c>
      <c r="R431" s="28" t="s">
        <v>18335</v>
      </c>
      <c r="S431" s="28" t="s">
        <v>19365</v>
      </c>
      <c r="T431" s="28" t="s">
        <v>19366</v>
      </c>
      <c r="U431" s="28" t="s">
        <v>19367</v>
      </c>
      <c r="V431" s="227"/>
      <c r="W431" s="28" t="s">
        <v>779</v>
      </c>
      <c r="X431" s="28" t="s">
        <v>194</v>
      </c>
      <c r="Y431" s="509" t="s">
        <v>9946</v>
      </c>
      <c r="AB431" s="28" t="s">
        <v>9311</v>
      </c>
      <c r="AH431" s="28" t="s">
        <v>4714</v>
      </c>
      <c r="AI431" s="28" t="s">
        <v>778</v>
      </c>
      <c r="AJ431" s="516" t="str">
        <f>MID('II kw.22'!W431,8,6)</f>
        <v>524902</v>
      </c>
      <c r="AK431" s="516">
        <v>1</v>
      </c>
      <c r="AL431" s="516">
        <f t="shared" si="6"/>
        <v>1</v>
      </c>
      <c r="AM431" s="516">
        <v>1</v>
      </c>
      <c r="AN431" s="28" t="s">
        <v>18348</v>
      </c>
      <c r="AO431" s="29"/>
      <c r="AP431" s="29"/>
      <c r="AQ431" s="29"/>
      <c r="AR431" s="29"/>
    </row>
    <row r="432" spans="1:44" x14ac:dyDescent="0.25">
      <c r="A432" s="28" t="s">
        <v>581</v>
      </c>
      <c r="B432" s="28" t="s">
        <v>3873</v>
      </c>
      <c r="C432" s="28" t="s">
        <v>62</v>
      </c>
      <c r="D432" s="28" t="s">
        <v>17784</v>
      </c>
      <c r="E432" s="28" t="s">
        <v>217</v>
      </c>
      <c r="F432" s="28">
        <v>1</v>
      </c>
      <c r="G432" s="28" t="s">
        <v>193</v>
      </c>
      <c r="H432" s="28" t="s">
        <v>194</v>
      </c>
      <c r="I432" s="28" t="s">
        <v>19175</v>
      </c>
      <c r="J432" s="28" t="s">
        <v>976</v>
      </c>
      <c r="K432" s="28" t="s">
        <v>9309</v>
      </c>
      <c r="L432" s="28" t="s">
        <v>6955</v>
      </c>
      <c r="N432" s="28" t="s">
        <v>19368</v>
      </c>
      <c r="O432" s="28" t="s">
        <v>6275</v>
      </c>
      <c r="P432" s="28" t="s">
        <v>19346</v>
      </c>
      <c r="Q432" s="28" t="s">
        <v>17643</v>
      </c>
      <c r="R432" s="28" t="s">
        <v>18319</v>
      </c>
      <c r="S432" s="28" t="s">
        <v>19369</v>
      </c>
      <c r="T432" s="28" t="s">
        <v>19370</v>
      </c>
      <c r="V432" s="28" t="s">
        <v>9726</v>
      </c>
      <c r="W432" s="28" t="s">
        <v>601</v>
      </c>
      <c r="X432" s="28" t="s">
        <v>194</v>
      </c>
      <c r="Y432" s="28" t="s">
        <v>9300</v>
      </c>
      <c r="AB432" s="28" t="s">
        <v>9311</v>
      </c>
      <c r="AH432" s="28" t="s">
        <v>4714</v>
      </c>
      <c r="AI432" s="28" t="s">
        <v>9433</v>
      </c>
      <c r="AJ432" s="516" t="str">
        <f>MID('II kw.22'!W432,8,6)</f>
        <v>313904</v>
      </c>
      <c r="AK432" s="516">
        <v>1</v>
      </c>
      <c r="AL432" s="518">
        <f t="shared" si="6"/>
        <v>1</v>
      </c>
      <c r="AM432" s="516">
        <v>1</v>
      </c>
      <c r="AN432" s="28" t="s">
        <v>17650</v>
      </c>
      <c r="AO432" s="28" t="s">
        <v>17651</v>
      </c>
      <c r="AP432" s="28" t="s">
        <v>17652</v>
      </c>
      <c r="AQ432" s="28" t="s">
        <v>17653</v>
      </c>
      <c r="AR432" s="28" t="s">
        <v>1024</v>
      </c>
    </row>
    <row r="433" spans="1:44" x14ac:dyDescent="0.25">
      <c r="A433" s="28" t="s">
        <v>258</v>
      </c>
      <c r="B433" s="28" t="s">
        <v>7677</v>
      </c>
      <c r="C433" s="28" t="s">
        <v>778</v>
      </c>
      <c r="D433" s="28" t="s">
        <v>17784</v>
      </c>
      <c r="E433" s="28" t="s">
        <v>217</v>
      </c>
      <c r="F433" s="28">
        <v>1</v>
      </c>
      <c r="G433" s="28" t="s">
        <v>193</v>
      </c>
      <c r="H433" s="28" t="s">
        <v>194</v>
      </c>
      <c r="I433" s="28" t="s">
        <v>18819</v>
      </c>
      <c r="J433" s="28" t="s">
        <v>385</v>
      </c>
      <c r="K433" s="28" t="s">
        <v>9309</v>
      </c>
      <c r="L433" s="28" t="s">
        <v>6955</v>
      </c>
      <c r="N433" s="28" t="s">
        <v>19371</v>
      </c>
      <c r="O433" s="28" t="s">
        <v>6251</v>
      </c>
      <c r="P433" s="28" t="s">
        <v>19239</v>
      </c>
      <c r="Q433" s="28" t="s">
        <v>18175</v>
      </c>
      <c r="R433" s="28" t="s">
        <v>19372</v>
      </c>
      <c r="S433" s="28" t="s">
        <v>19373</v>
      </c>
      <c r="T433" s="28" t="s">
        <v>19374</v>
      </c>
      <c r="V433" s="28" t="s">
        <v>9410</v>
      </c>
      <c r="W433" s="28" t="s">
        <v>779</v>
      </c>
      <c r="X433" s="28" t="s">
        <v>194</v>
      </c>
      <c r="Y433" s="28" t="s">
        <v>9300</v>
      </c>
      <c r="AB433" s="28" t="s">
        <v>9311</v>
      </c>
      <c r="AH433" s="28" t="s">
        <v>4714</v>
      </c>
      <c r="AI433" s="28" t="s">
        <v>778</v>
      </c>
      <c r="AJ433" s="516" t="str">
        <f>MID('II kw.22'!W433,8,6)</f>
        <v>524902</v>
      </c>
      <c r="AK433" s="516">
        <v>1</v>
      </c>
      <c r="AL433" s="516">
        <f t="shared" si="6"/>
        <v>1</v>
      </c>
      <c r="AM433" s="516">
        <v>1</v>
      </c>
      <c r="AN433" s="28" t="s">
        <v>17650</v>
      </c>
      <c r="AO433" s="28" t="s">
        <v>17651</v>
      </c>
      <c r="AP433" s="28" t="s">
        <v>17652</v>
      </c>
      <c r="AQ433" s="28" t="s">
        <v>17653</v>
      </c>
      <c r="AR433" s="28" t="s">
        <v>1024</v>
      </c>
    </row>
    <row r="434" spans="1:44" x14ac:dyDescent="0.25">
      <c r="A434" s="28" t="s">
        <v>581</v>
      </c>
      <c r="B434" s="28" t="s">
        <v>17824</v>
      </c>
      <c r="C434" s="28" t="s">
        <v>67</v>
      </c>
      <c r="D434" s="28" t="s">
        <v>17784</v>
      </c>
      <c r="E434" s="28" t="s">
        <v>217</v>
      </c>
      <c r="F434" s="28">
        <v>1</v>
      </c>
      <c r="G434" s="28" t="s">
        <v>193</v>
      </c>
      <c r="H434" s="28" t="s">
        <v>194</v>
      </c>
      <c r="I434" s="28" t="s">
        <v>18819</v>
      </c>
      <c r="J434" s="28" t="s">
        <v>976</v>
      </c>
      <c r="K434" s="28" t="s">
        <v>9309</v>
      </c>
      <c r="L434" s="28" t="s">
        <v>6955</v>
      </c>
      <c r="N434" s="28" t="s">
        <v>17825</v>
      </c>
      <c r="O434" s="28" t="s">
        <v>6269</v>
      </c>
      <c r="P434" s="28" t="s">
        <v>19346</v>
      </c>
      <c r="Q434" s="28" t="s">
        <v>18175</v>
      </c>
      <c r="R434" s="28" t="s">
        <v>17800</v>
      </c>
      <c r="S434" s="28" t="s">
        <v>19375</v>
      </c>
      <c r="T434" s="28" t="s">
        <v>19376</v>
      </c>
      <c r="V434" s="28" t="s">
        <v>9726</v>
      </c>
      <c r="W434" s="28" t="s">
        <v>709</v>
      </c>
      <c r="X434" s="28" t="s">
        <v>194</v>
      </c>
      <c r="Y434" s="28" t="s">
        <v>9300</v>
      </c>
      <c r="AB434" s="28" t="s">
        <v>9311</v>
      </c>
      <c r="AH434" s="28" t="s">
        <v>4714</v>
      </c>
      <c r="AI434" s="28" t="s">
        <v>9433</v>
      </c>
      <c r="AJ434" s="516" t="str">
        <f>MID('II kw.22'!W434,8,6)</f>
        <v>432103</v>
      </c>
      <c r="AK434" s="516">
        <v>1</v>
      </c>
      <c r="AL434" s="516">
        <f t="shared" si="6"/>
        <v>1</v>
      </c>
      <c r="AM434" s="516">
        <v>1</v>
      </c>
      <c r="AN434" s="28" t="s">
        <v>17650</v>
      </c>
      <c r="AO434" s="28" t="s">
        <v>17651</v>
      </c>
      <c r="AP434" s="28" t="s">
        <v>17652</v>
      </c>
      <c r="AQ434" s="28" t="s">
        <v>17653</v>
      </c>
      <c r="AR434" s="28" t="s">
        <v>1024</v>
      </c>
    </row>
    <row r="435" spans="1:44" x14ac:dyDescent="0.25">
      <c r="A435" s="28" t="s">
        <v>581</v>
      </c>
      <c r="B435" s="28" t="s">
        <v>17568</v>
      </c>
      <c r="C435" s="28" t="s">
        <v>62</v>
      </c>
      <c r="D435" s="28" t="s">
        <v>17784</v>
      </c>
      <c r="E435" s="28" t="s">
        <v>217</v>
      </c>
      <c r="F435" s="28">
        <v>1</v>
      </c>
      <c r="G435" s="28" t="s">
        <v>193</v>
      </c>
      <c r="H435" s="28" t="s">
        <v>194</v>
      </c>
      <c r="I435" s="28" t="s">
        <v>19175</v>
      </c>
      <c r="J435" s="28" t="s">
        <v>253</v>
      </c>
      <c r="K435" s="28" t="s">
        <v>9309</v>
      </c>
      <c r="L435" s="28" t="s">
        <v>6955</v>
      </c>
      <c r="N435" s="28" t="s">
        <v>18351</v>
      </c>
      <c r="O435" s="28" t="s">
        <v>6269</v>
      </c>
      <c r="P435" s="28" t="s">
        <v>19346</v>
      </c>
      <c r="Q435" s="28" t="s">
        <v>17643</v>
      </c>
      <c r="R435" s="28" t="s">
        <v>18335</v>
      </c>
      <c r="S435" s="28" t="s">
        <v>19377</v>
      </c>
      <c r="T435" s="28" t="s">
        <v>19378</v>
      </c>
      <c r="V435" s="28" t="s">
        <v>9468</v>
      </c>
      <c r="W435" s="28" t="s">
        <v>601</v>
      </c>
      <c r="X435" s="28" t="s">
        <v>194</v>
      </c>
      <c r="Y435" s="28" t="s">
        <v>9300</v>
      </c>
      <c r="AB435" s="28" t="s">
        <v>9311</v>
      </c>
      <c r="AH435" s="28" t="s">
        <v>4714</v>
      </c>
      <c r="AI435" s="28" t="s">
        <v>9433</v>
      </c>
      <c r="AJ435" s="516" t="str">
        <f>MID('II kw.22'!W435,8,6)</f>
        <v>313904</v>
      </c>
      <c r="AK435" s="516">
        <v>1</v>
      </c>
      <c r="AL435" s="516">
        <f t="shared" si="6"/>
        <v>1</v>
      </c>
      <c r="AM435" s="516">
        <v>1</v>
      </c>
      <c r="AN435" s="28" t="s">
        <v>17650</v>
      </c>
      <c r="AO435" s="28" t="s">
        <v>17651</v>
      </c>
      <c r="AP435" s="28" t="s">
        <v>17652</v>
      </c>
      <c r="AQ435" s="28" t="s">
        <v>17653</v>
      </c>
      <c r="AR435" s="28" t="s">
        <v>1024</v>
      </c>
    </row>
    <row r="436" spans="1:44" x14ac:dyDescent="0.25">
      <c r="A436" s="28" t="s">
        <v>258</v>
      </c>
      <c r="B436" s="28" t="s">
        <v>7677</v>
      </c>
      <c r="C436" s="28" t="s">
        <v>778</v>
      </c>
      <c r="D436" s="28" t="s">
        <v>17784</v>
      </c>
      <c r="E436" s="28" t="s">
        <v>217</v>
      </c>
      <c r="F436" s="28">
        <v>1</v>
      </c>
      <c r="G436" s="28" t="s">
        <v>193</v>
      </c>
      <c r="H436" s="28" t="s">
        <v>194</v>
      </c>
      <c r="I436" s="28" t="s">
        <v>18819</v>
      </c>
      <c r="J436" s="28" t="s">
        <v>385</v>
      </c>
      <c r="K436" s="28" t="s">
        <v>9309</v>
      </c>
      <c r="L436" s="28" t="s">
        <v>6955</v>
      </c>
      <c r="N436" s="28" t="s">
        <v>19379</v>
      </c>
      <c r="O436" s="28" t="s">
        <v>6251</v>
      </c>
      <c r="P436" s="28" t="s">
        <v>19239</v>
      </c>
      <c r="Q436" s="28" t="s">
        <v>17667</v>
      </c>
      <c r="R436" s="28" t="s">
        <v>19256</v>
      </c>
      <c r="S436" s="28" t="s">
        <v>19380</v>
      </c>
      <c r="T436" s="28" t="s">
        <v>19381</v>
      </c>
      <c r="V436" s="28" t="s">
        <v>9410</v>
      </c>
      <c r="W436" s="28" t="s">
        <v>779</v>
      </c>
      <c r="X436" s="28" t="s">
        <v>194</v>
      </c>
      <c r="Y436" s="28" t="s">
        <v>9300</v>
      </c>
      <c r="AB436" s="28" t="s">
        <v>9311</v>
      </c>
      <c r="AH436" s="28" t="s">
        <v>4714</v>
      </c>
      <c r="AI436" s="28" t="s">
        <v>778</v>
      </c>
      <c r="AJ436" s="516" t="str">
        <f>MID('II kw.22'!W436,8,6)</f>
        <v>524902</v>
      </c>
      <c r="AK436" s="516">
        <v>1</v>
      </c>
      <c r="AL436" s="516">
        <f t="shared" si="6"/>
        <v>1</v>
      </c>
      <c r="AM436" s="516">
        <v>1</v>
      </c>
      <c r="AN436" s="28" t="s">
        <v>17650</v>
      </c>
      <c r="AO436" s="28" t="s">
        <v>17651</v>
      </c>
      <c r="AP436" s="28" t="s">
        <v>17652</v>
      </c>
      <c r="AQ436" s="28" t="s">
        <v>17653</v>
      </c>
      <c r="AR436" s="28" t="s">
        <v>1024</v>
      </c>
    </row>
    <row r="437" spans="1:44" x14ac:dyDescent="0.25">
      <c r="A437" s="28" t="s">
        <v>15464</v>
      </c>
      <c r="B437" s="28" t="s">
        <v>16319</v>
      </c>
      <c r="C437" s="28" t="s">
        <v>17</v>
      </c>
      <c r="D437" s="28" t="s">
        <v>17784</v>
      </c>
      <c r="E437" s="28" t="s">
        <v>217</v>
      </c>
      <c r="F437" s="28">
        <v>1</v>
      </c>
      <c r="G437" s="28" t="s">
        <v>193</v>
      </c>
      <c r="H437" s="28" t="s">
        <v>194</v>
      </c>
      <c r="I437" s="28" t="s">
        <v>18819</v>
      </c>
      <c r="J437" s="28" t="s">
        <v>210</v>
      </c>
      <c r="K437" s="28" t="s">
        <v>9309</v>
      </c>
      <c r="L437" s="28" t="s">
        <v>6955</v>
      </c>
      <c r="N437" s="28" t="s">
        <v>17833</v>
      </c>
      <c r="O437" s="28" t="s">
        <v>6269</v>
      </c>
      <c r="P437" s="28" t="s">
        <v>19346</v>
      </c>
      <c r="Q437" s="28" t="s">
        <v>17706</v>
      </c>
      <c r="R437" s="28" t="s">
        <v>17806</v>
      </c>
      <c r="S437" s="28" t="s">
        <v>19382</v>
      </c>
      <c r="T437" s="28" t="s">
        <v>19383</v>
      </c>
      <c r="V437" s="28" t="s">
        <v>9334</v>
      </c>
      <c r="W437" s="28" t="s">
        <v>624</v>
      </c>
      <c r="X437" s="28" t="s">
        <v>194</v>
      </c>
      <c r="Y437" s="28" t="s">
        <v>9300</v>
      </c>
      <c r="AB437" s="28" t="s">
        <v>9311</v>
      </c>
      <c r="AH437" s="28" t="s">
        <v>4714</v>
      </c>
      <c r="AI437" s="28" t="s">
        <v>9433</v>
      </c>
      <c r="AJ437" s="516" t="str">
        <f>MID('II kw.22'!W437,8,6)</f>
        <v>332203</v>
      </c>
      <c r="AK437" s="516">
        <v>1</v>
      </c>
      <c r="AL437" s="516">
        <f t="shared" si="6"/>
        <v>1</v>
      </c>
      <c r="AM437" s="516">
        <v>1</v>
      </c>
      <c r="AN437" s="28" t="s">
        <v>17650</v>
      </c>
      <c r="AO437" s="28" t="s">
        <v>17651</v>
      </c>
      <c r="AP437" s="28" t="s">
        <v>17652</v>
      </c>
      <c r="AQ437" s="28" t="s">
        <v>17653</v>
      </c>
      <c r="AR437" s="28" t="s">
        <v>1024</v>
      </c>
    </row>
    <row r="438" spans="1:44" x14ac:dyDescent="0.25">
      <c r="A438" s="28" t="s">
        <v>581</v>
      </c>
      <c r="B438" s="28" t="s">
        <v>16322</v>
      </c>
      <c r="C438" s="28" t="s">
        <v>156</v>
      </c>
      <c r="D438" s="28" t="s">
        <v>17784</v>
      </c>
      <c r="E438" s="28" t="s">
        <v>217</v>
      </c>
      <c r="F438" s="28">
        <v>1</v>
      </c>
      <c r="G438" s="28" t="s">
        <v>193</v>
      </c>
      <c r="H438" s="28" t="s">
        <v>194</v>
      </c>
      <c r="I438" s="28" t="s">
        <v>17800</v>
      </c>
      <c r="J438" s="28" t="s">
        <v>210</v>
      </c>
      <c r="K438" s="28" t="s">
        <v>9309</v>
      </c>
      <c r="L438" s="28" t="s">
        <v>6955</v>
      </c>
      <c r="N438" s="28" t="s">
        <v>19384</v>
      </c>
      <c r="O438" s="28" t="s">
        <v>6269</v>
      </c>
      <c r="P438" s="28" t="s">
        <v>19346</v>
      </c>
      <c r="Q438" s="28" t="s">
        <v>17667</v>
      </c>
      <c r="R438" s="28" t="s">
        <v>18221</v>
      </c>
      <c r="S438" s="28" t="s">
        <v>19385</v>
      </c>
      <c r="T438" s="28" t="s">
        <v>19386</v>
      </c>
      <c r="V438" s="28" t="s">
        <v>9334</v>
      </c>
      <c r="W438" s="28" t="s">
        <v>659</v>
      </c>
      <c r="X438" s="28" t="s">
        <v>194</v>
      </c>
      <c r="Y438" s="28" t="s">
        <v>9300</v>
      </c>
      <c r="AB438" s="28" t="s">
        <v>9311</v>
      </c>
      <c r="AH438" s="28" t="s">
        <v>4714</v>
      </c>
      <c r="AI438" s="28" t="s">
        <v>9433</v>
      </c>
      <c r="AJ438" s="516" t="str">
        <f>MID('II kw.22'!W438,8,6)</f>
        <v>332302</v>
      </c>
      <c r="AK438" s="516">
        <v>1</v>
      </c>
      <c r="AL438" s="516">
        <f t="shared" si="6"/>
        <v>1</v>
      </c>
      <c r="AM438" s="516">
        <v>1</v>
      </c>
      <c r="AN438" s="28" t="s">
        <v>17650</v>
      </c>
      <c r="AO438" s="28" t="s">
        <v>17651</v>
      </c>
      <c r="AP438" s="28" t="s">
        <v>17652</v>
      </c>
      <c r="AQ438" s="28" t="s">
        <v>17653</v>
      </c>
      <c r="AR438" s="28" t="s">
        <v>1024</v>
      </c>
    </row>
    <row r="439" spans="1:44" x14ac:dyDescent="0.25">
      <c r="A439" s="28" t="s">
        <v>581</v>
      </c>
      <c r="B439" s="28" t="s">
        <v>16315</v>
      </c>
      <c r="C439" s="28" t="s">
        <v>67</v>
      </c>
      <c r="D439" s="28" t="s">
        <v>17784</v>
      </c>
      <c r="E439" s="28" t="s">
        <v>217</v>
      </c>
      <c r="F439" s="28">
        <v>1</v>
      </c>
      <c r="G439" s="28" t="s">
        <v>193</v>
      </c>
      <c r="H439" s="28" t="s">
        <v>194</v>
      </c>
      <c r="I439" s="28" t="s">
        <v>18819</v>
      </c>
      <c r="J439" s="28" t="s">
        <v>976</v>
      </c>
      <c r="K439" s="28" t="s">
        <v>9309</v>
      </c>
      <c r="L439" s="28" t="s">
        <v>6955</v>
      </c>
      <c r="N439" s="28" t="s">
        <v>18356</v>
      </c>
      <c r="O439" s="28" t="s">
        <v>6275</v>
      </c>
      <c r="P439" s="28" t="s">
        <v>19346</v>
      </c>
      <c r="Q439" s="28" t="s">
        <v>17818</v>
      </c>
      <c r="R439" s="28" t="s">
        <v>18357</v>
      </c>
      <c r="S439" s="28" t="s">
        <v>19387</v>
      </c>
      <c r="T439" s="28" t="s">
        <v>19388</v>
      </c>
      <c r="V439" s="28" t="s">
        <v>9726</v>
      </c>
      <c r="W439" s="28" t="s">
        <v>709</v>
      </c>
      <c r="X439" s="28" t="s">
        <v>194</v>
      </c>
      <c r="Y439" s="28" t="s">
        <v>9300</v>
      </c>
      <c r="AB439" s="28" t="s">
        <v>9311</v>
      </c>
      <c r="AH439" s="28" t="s">
        <v>4714</v>
      </c>
      <c r="AI439" s="28" t="s">
        <v>9433</v>
      </c>
      <c r="AJ439" s="516" t="str">
        <f>MID('II kw.22'!W439,8,6)</f>
        <v>432103</v>
      </c>
      <c r="AK439" s="516">
        <v>1</v>
      </c>
      <c r="AL439" s="516">
        <f t="shared" si="6"/>
        <v>1</v>
      </c>
      <c r="AM439" s="516">
        <v>1</v>
      </c>
      <c r="AN439" s="28" t="s">
        <v>17650</v>
      </c>
      <c r="AO439" s="28" t="s">
        <v>17651</v>
      </c>
      <c r="AP439" s="28" t="s">
        <v>17652</v>
      </c>
      <c r="AQ439" s="28" t="s">
        <v>17653</v>
      </c>
      <c r="AR439" s="28" t="s">
        <v>1024</v>
      </c>
    </row>
    <row r="440" spans="1:44" x14ac:dyDescent="0.25">
      <c r="A440" s="28" t="s">
        <v>581</v>
      </c>
      <c r="B440" s="28" t="s">
        <v>3873</v>
      </c>
      <c r="C440" s="28" t="s">
        <v>62</v>
      </c>
      <c r="D440" s="28" t="s">
        <v>17784</v>
      </c>
      <c r="E440" s="28" t="s">
        <v>217</v>
      </c>
      <c r="F440" s="28">
        <v>1</v>
      </c>
      <c r="G440" s="28" t="s">
        <v>193</v>
      </c>
      <c r="H440" s="28" t="s">
        <v>194</v>
      </c>
      <c r="I440" s="28" t="s">
        <v>19175</v>
      </c>
      <c r="J440" s="28" t="s">
        <v>976</v>
      </c>
      <c r="K440" s="28" t="s">
        <v>9309</v>
      </c>
      <c r="L440" s="28" t="s">
        <v>6955</v>
      </c>
      <c r="N440" s="28" t="s">
        <v>19389</v>
      </c>
      <c r="O440" s="28" t="s">
        <v>6275</v>
      </c>
      <c r="P440" s="28" t="s">
        <v>19346</v>
      </c>
      <c r="Q440" s="28" t="s">
        <v>17667</v>
      </c>
      <c r="R440" s="28" t="s">
        <v>18221</v>
      </c>
      <c r="S440" s="28" t="s">
        <v>19390</v>
      </c>
      <c r="T440" s="28" t="s">
        <v>19391</v>
      </c>
      <c r="V440" s="28" t="s">
        <v>9726</v>
      </c>
      <c r="W440" s="28" t="s">
        <v>601</v>
      </c>
      <c r="X440" s="28" t="s">
        <v>194</v>
      </c>
      <c r="Y440" s="28" t="s">
        <v>9300</v>
      </c>
      <c r="AB440" s="28" t="s">
        <v>9311</v>
      </c>
      <c r="AH440" s="28" t="s">
        <v>4714</v>
      </c>
      <c r="AI440" s="28" t="s">
        <v>9433</v>
      </c>
      <c r="AJ440" s="516" t="str">
        <f>MID('II kw.22'!W440,8,6)</f>
        <v>313904</v>
      </c>
      <c r="AK440" s="516">
        <v>1</v>
      </c>
      <c r="AL440" s="516">
        <f t="shared" si="6"/>
        <v>1</v>
      </c>
      <c r="AM440" s="516">
        <v>1</v>
      </c>
      <c r="AN440" s="28" t="s">
        <v>17650</v>
      </c>
      <c r="AO440" s="28" t="s">
        <v>17651</v>
      </c>
      <c r="AP440" s="28" t="s">
        <v>17652</v>
      </c>
      <c r="AQ440" s="28" t="s">
        <v>17653</v>
      </c>
      <c r="AR440" s="28" t="s">
        <v>1024</v>
      </c>
    </row>
    <row r="441" spans="1:44" x14ac:dyDescent="0.25">
      <c r="A441" s="28" t="s">
        <v>14591</v>
      </c>
      <c r="B441" s="28" t="s">
        <v>604</v>
      </c>
      <c r="C441" s="28" t="s">
        <v>604</v>
      </c>
      <c r="D441" s="28" t="s">
        <v>17784</v>
      </c>
      <c r="E441" s="28" t="s">
        <v>192</v>
      </c>
      <c r="F441" s="28">
        <v>1</v>
      </c>
      <c r="G441" s="28" t="s">
        <v>193</v>
      </c>
      <c r="H441" s="28" t="s">
        <v>194</v>
      </c>
      <c r="I441" s="28" t="s">
        <v>18819</v>
      </c>
      <c r="J441" s="28" t="s">
        <v>253</v>
      </c>
      <c r="K441" s="28" t="s">
        <v>9309</v>
      </c>
      <c r="L441" s="28" t="s">
        <v>6955</v>
      </c>
      <c r="N441" s="28" t="s">
        <v>19392</v>
      </c>
      <c r="O441" s="28" t="s">
        <v>6288</v>
      </c>
      <c r="P441" s="28" t="s">
        <v>19393</v>
      </c>
      <c r="Q441" s="28" t="s">
        <v>17706</v>
      </c>
      <c r="R441" s="28" t="s">
        <v>19372</v>
      </c>
      <c r="S441" s="28" t="s">
        <v>19394</v>
      </c>
      <c r="T441" s="28" t="s">
        <v>19395</v>
      </c>
      <c r="V441" s="28" t="s">
        <v>9468</v>
      </c>
      <c r="W441" s="28" t="s">
        <v>605</v>
      </c>
      <c r="X441" s="28" t="s">
        <v>194</v>
      </c>
      <c r="Y441" s="28" t="s">
        <v>9300</v>
      </c>
      <c r="AB441" s="28" t="s">
        <v>9311</v>
      </c>
      <c r="AH441" s="28" t="s">
        <v>4714</v>
      </c>
      <c r="AI441" s="28" t="s">
        <v>604</v>
      </c>
      <c r="AJ441" s="516" t="str">
        <f>MID('II kw.22'!W441,8,6)</f>
        <v>322001</v>
      </c>
      <c r="AK441" s="516">
        <v>1</v>
      </c>
      <c r="AL441" s="516">
        <f t="shared" si="6"/>
        <v>1</v>
      </c>
      <c r="AM441" s="516">
        <v>1</v>
      </c>
      <c r="AN441" s="28" t="s">
        <v>17650</v>
      </c>
      <c r="AO441" s="28" t="s">
        <v>17651</v>
      </c>
      <c r="AP441" s="28" t="s">
        <v>17652</v>
      </c>
      <c r="AQ441" s="28" t="s">
        <v>17653</v>
      </c>
      <c r="AR441" s="28" t="s">
        <v>1024</v>
      </c>
    </row>
    <row r="442" spans="1:44" x14ac:dyDescent="0.25">
      <c r="A442" s="28" t="s">
        <v>14591</v>
      </c>
      <c r="B442" s="28" t="s">
        <v>604</v>
      </c>
      <c r="C442" s="28" t="s">
        <v>604</v>
      </c>
      <c r="D442" s="28" t="s">
        <v>17784</v>
      </c>
      <c r="E442" s="28" t="s">
        <v>192</v>
      </c>
      <c r="F442" s="28">
        <v>1</v>
      </c>
      <c r="G442" s="28" t="s">
        <v>193</v>
      </c>
      <c r="H442" s="28" t="s">
        <v>194</v>
      </c>
      <c r="I442" s="28" t="s">
        <v>18819</v>
      </c>
      <c r="J442" s="28" t="s">
        <v>316</v>
      </c>
      <c r="K442" s="28" t="s">
        <v>9309</v>
      </c>
      <c r="L442" s="28" t="s">
        <v>6955</v>
      </c>
      <c r="N442" s="28" t="s">
        <v>19396</v>
      </c>
      <c r="O442" s="28" t="s">
        <v>6288</v>
      </c>
      <c r="P442" s="28" t="s">
        <v>19393</v>
      </c>
      <c r="Q442" s="28" t="s">
        <v>17706</v>
      </c>
      <c r="R442" s="28" t="s">
        <v>19372</v>
      </c>
      <c r="S442" s="28" t="s">
        <v>19397</v>
      </c>
      <c r="T442" s="28" t="s">
        <v>19398</v>
      </c>
      <c r="V442" s="28" t="s">
        <v>10012</v>
      </c>
      <c r="W442" s="28" t="s">
        <v>605</v>
      </c>
      <c r="X442" s="28" t="s">
        <v>194</v>
      </c>
      <c r="Y442" s="28" t="s">
        <v>9300</v>
      </c>
      <c r="AB442" s="28" t="s">
        <v>9311</v>
      </c>
      <c r="AH442" s="28" t="s">
        <v>4714</v>
      </c>
      <c r="AI442" s="28" t="s">
        <v>604</v>
      </c>
      <c r="AJ442" s="516" t="str">
        <f>MID('II kw.22'!W442,8,6)</f>
        <v>322001</v>
      </c>
      <c r="AK442" s="516">
        <v>1</v>
      </c>
      <c r="AL442" s="516">
        <f t="shared" si="6"/>
        <v>1</v>
      </c>
      <c r="AM442" s="516">
        <v>1</v>
      </c>
      <c r="AN442" s="28" t="s">
        <v>17650</v>
      </c>
      <c r="AO442" s="28" t="s">
        <v>17651</v>
      </c>
      <c r="AP442" s="28" t="s">
        <v>17652</v>
      </c>
      <c r="AQ442" s="28" t="s">
        <v>17653</v>
      </c>
      <c r="AR442" s="28" t="s">
        <v>1024</v>
      </c>
    </row>
    <row r="443" spans="1:44" x14ac:dyDescent="0.25">
      <c r="A443" s="28" t="s">
        <v>19399</v>
      </c>
      <c r="B443" s="28" t="s">
        <v>19400</v>
      </c>
      <c r="C443" s="28" t="s">
        <v>100</v>
      </c>
      <c r="D443" s="28" t="s">
        <v>17784</v>
      </c>
      <c r="E443" s="28" t="s">
        <v>192</v>
      </c>
      <c r="F443" s="28">
        <v>1</v>
      </c>
      <c r="G443" s="28" t="s">
        <v>193</v>
      </c>
      <c r="H443" s="28" t="s">
        <v>194</v>
      </c>
      <c r="I443" s="28" t="s">
        <v>19175</v>
      </c>
      <c r="J443" s="28" t="s">
        <v>367</v>
      </c>
      <c r="K443" s="28" t="s">
        <v>9309</v>
      </c>
      <c r="L443" s="28" t="s">
        <v>6955</v>
      </c>
      <c r="N443" s="28" t="s">
        <v>19401</v>
      </c>
      <c r="O443" s="28" t="s">
        <v>6266</v>
      </c>
      <c r="P443" s="28" t="s">
        <v>19393</v>
      </c>
      <c r="Q443" s="28" t="s">
        <v>17706</v>
      </c>
      <c r="R443" s="28" t="s">
        <v>19372</v>
      </c>
      <c r="S443" s="28" t="s">
        <v>19402</v>
      </c>
      <c r="T443" s="28" t="s">
        <v>19403</v>
      </c>
      <c r="V443" s="28" t="s">
        <v>9974</v>
      </c>
      <c r="W443" s="28" t="s">
        <v>429</v>
      </c>
      <c r="X443" s="28" t="s">
        <v>194</v>
      </c>
      <c r="Y443" s="28" t="s">
        <v>9300</v>
      </c>
      <c r="AB443" s="28" t="s">
        <v>9311</v>
      </c>
      <c r="AH443" s="28" t="s">
        <v>4714</v>
      </c>
      <c r="AI443" s="28" t="s">
        <v>19400</v>
      </c>
      <c r="AJ443" s="516" t="str">
        <f>MID('II kw.22'!W443,8,6)</f>
        <v>242108</v>
      </c>
      <c r="AK443" s="516">
        <v>1</v>
      </c>
      <c r="AL443" s="516">
        <f t="shared" si="6"/>
        <v>1</v>
      </c>
      <c r="AM443" s="516">
        <v>1</v>
      </c>
      <c r="AN443" s="28" t="s">
        <v>17650</v>
      </c>
      <c r="AO443" s="28" t="s">
        <v>17651</v>
      </c>
      <c r="AP443" s="28" t="s">
        <v>17652</v>
      </c>
      <c r="AQ443" s="28" t="s">
        <v>17653</v>
      </c>
      <c r="AR443" s="28" t="s">
        <v>1024</v>
      </c>
    </row>
    <row r="444" spans="1:44" x14ac:dyDescent="0.25">
      <c r="A444" s="28" t="s">
        <v>19404</v>
      </c>
      <c r="B444" s="28" t="s">
        <v>19405</v>
      </c>
      <c r="C444" s="28" t="s">
        <v>57</v>
      </c>
      <c r="D444" s="28" t="s">
        <v>17784</v>
      </c>
      <c r="E444" s="28" t="s">
        <v>192</v>
      </c>
      <c r="F444" s="28">
        <v>1</v>
      </c>
      <c r="G444" s="28" t="s">
        <v>193</v>
      </c>
      <c r="H444" s="28" t="s">
        <v>194</v>
      </c>
      <c r="I444" s="28" t="s">
        <v>17800</v>
      </c>
      <c r="J444" s="28" t="s">
        <v>210</v>
      </c>
      <c r="K444" s="28" t="s">
        <v>9309</v>
      </c>
      <c r="L444" s="28" t="s">
        <v>6955</v>
      </c>
      <c r="N444" s="28" t="s">
        <v>19406</v>
      </c>
      <c r="O444" s="28" t="s">
        <v>6251</v>
      </c>
      <c r="P444" s="28" t="s">
        <v>19393</v>
      </c>
      <c r="Q444" s="28" t="s">
        <v>17706</v>
      </c>
      <c r="R444" s="28" t="s">
        <v>19372</v>
      </c>
      <c r="S444" s="28" t="s">
        <v>19407</v>
      </c>
      <c r="T444" s="28" t="s">
        <v>19408</v>
      </c>
      <c r="V444" s="28" t="s">
        <v>9334</v>
      </c>
      <c r="W444" s="28" t="s">
        <v>2693</v>
      </c>
      <c r="X444" s="28" t="s">
        <v>194</v>
      </c>
      <c r="Y444" s="28" t="s">
        <v>9300</v>
      </c>
      <c r="AB444" s="28" t="s">
        <v>9311</v>
      </c>
      <c r="AH444" s="28" t="s">
        <v>4714</v>
      </c>
      <c r="AI444" s="28" t="s">
        <v>19405</v>
      </c>
      <c r="AJ444" s="516" t="str">
        <f>MID('II kw.22'!W444,8,6)</f>
        <v>524404</v>
      </c>
      <c r="AK444" s="516">
        <v>1</v>
      </c>
      <c r="AL444" s="516">
        <f t="shared" si="6"/>
        <v>1</v>
      </c>
      <c r="AM444" s="516">
        <v>1</v>
      </c>
      <c r="AN444" s="28" t="s">
        <v>17650</v>
      </c>
      <c r="AO444" s="28" t="s">
        <v>17651</v>
      </c>
      <c r="AP444" s="28" t="s">
        <v>17652</v>
      </c>
      <c r="AQ444" s="28" t="s">
        <v>17653</v>
      </c>
      <c r="AR444" s="28" t="s">
        <v>1024</v>
      </c>
    </row>
    <row r="445" spans="1:44" x14ac:dyDescent="0.25">
      <c r="A445" s="28" t="s">
        <v>5577</v>
      </c>
      <c r="B445" s="28" t="s">
        <v>1644</v>
      </c>
      <c r="C445" s="28" t="s">
        <v>80</v>
      </c>
      <c r="D445" s="28" t="s">
        <v>17784</v>
      </c>
      <c r="E445" s="28" t="s">
        <v>192</v>
      </c>
      <c r="F445" s="28">
        <v>1</v>
      </c>
      <c r="G445" s="28" t="s">
        <v>193</v>
      </c>
      <c r="H445" s="28" t="s">
        <v>194</v>
      </c>
      <c r="I445" s="28" t="s">
        <v>19175</v>
      </c>
      <c r="J445" s="28" t="s">
        <v>13001</v>
      </c>
      <c r="K445" s="28" t="s">
        <v>9309</v>
      </c>
      <c r="L445" s="28" t="s">
        <v>6955</v>
      </c>
      <c r="N445" s="28" t="s">
        <v>19409</v>
      </c>
      <c r="O445" s="28" t="s">
        <v>6245</v>
      </c>
      <c r="P445" s="28" t="s">
        <v>19393</v>
      </c>
      <c r="Q445" s="28" t="s">
        <v>17706</v>
      </c>
      <c r="R445" s="28" t="s">
        <v>19372</v>
      </c>
      <c r="S445" s="28" t="s">
        <v>19410</v>
      </c>
      <c r="T445" s="28" t="s">
        <v>19411</v>
      </c>
      <c r="V445" s="28" t="s">
        <v>9367</v>
      </c>
      <c r="W445" s="28" t="s">
        <v>474</v>
      </c>
      <c r="X445" s="28" t="s">
        <v>194</v>
      </c>
      <c r="Y445" s="28" t="s">
        <v>9300</v>
      </c>
      <c r="AB445" s="28" t="s">
        <v>9311</v>
      </c>
      <c r="AH445" s="28" t="s">
        <v>4714</v>
      </c>
      <c r="AI445" s="28" t="s">
        <v>1644</v>
      </c>
      <c r="AJ445" s="516" t="str">
        <f>MID('II kw.22'!W445,8,6)</f>
        <v>243304</v>
      </c>
      <c r="AK445" s="516">
        <v>1</v>
      </c>
      <c r="AL445" s="516">
        <f t="shared" si="6"/>
        <v>1</v>
      </c>
      <c r="AM445" s="516">
        <v>1</v>
      </c>
      <c r="AN445" s="28" t="s">
        <v>17650</v>
      </c>
      <c r="AO445" s="28" t="s">
        <v>17651</v>
      </c>
      <c r="AP445" s="28" t="s">
        <v>17652</v>
      </c>
      <c r="AQ445" s="28" t="s">
        <v>17653</v>
      </c>
      <c r="AR445" s="28" t="s">
        <v>1024</v>
      </c>
    </row>
    <row r="446" spans="1:44" x14ac:dyDescent="0.25">
      <c r="A446" s="28" t="s">
        <v>15591</v>
      </c>
      <c r="B446" s="28" t="s">
        <v>19412</v>
      </c>
      <c r="C446" s="28" t="s">
        <v>136</v>
      </c>
      <c r="D446" s="28" t="s">
        <v>17784</v>
      </c>
      <c r="E446" s="28" t="s">
        <v>192</v>
      </c>
      <c r="F446" s="28">
        <v>1</v>
      </c>
      <c r="G446" s="28" t="s">
        <v>193</v>
      </c>
      <c r="H446" s="28" t="s">
        <v>194</v>
      </c>
      <c r="I446" s="28" t="s">
        <v>19175</v>
      </c>
      <c r="J446" s="28" t="s">
        <v>4466</v>
      </c>
      <c r="K446" s="28" t="s">
        <v>9309</v>
      </c>
      <c r="L446" s="28" t="s">
        <v>6955</v>
      </c>
      <c r="N446" s="28" t="s">
        <v>19413</v>
      </c>
      <c r="O446" s="28" t="s">
        <v>6245</v>
      </c>
      <c r="P446" s="28" t="s">
        <v>19393</v>
      </c>
      <c r="Q446" s="28" t="s">
        <v>17706</v>
      </c>
      <c r="R446" s="28" t="s">
        <v>19372</v>
      </c>
      <c r="S446" s="28" t="s">
        <v>19414</v>
      </c>
      <c r="T446" s="28" t="s">
        <v>19415</v>
      </c>
      <c r="V446" s="28" t="s">
        <v>9786</v>
      </c>
      <c r="W446" s="28" t="s">
        <v>461</v>
      </c>
      <c r="X446" s="28" t="s">
        <v>194</v>
      </c>
      <c r="Y446" s="28" t="s">
        <v>9300</v>
      </c>
      <c r="AB446" s="28" t="s">
        <v>9311</v>
      </c>
      <c r="AH446" s="28" t="s">
        <v>4714</v>
      </c>
      <c r="AI446" s="28" t="s">
        <v>19412</v>
      </c>
      <c r="AJ446" s="516" t="str">
        <f>MID('II kw.22'!W446,8,6)</f>
        <v>243301</v>
      </c>
      <c r="AK446" s="516">
        <v>1</v>
      </c>
      <c r="AL446" s="516">
        <f t="shared" si="6"/>
        <v>1</v>
      </c>
      <c r="AM446" s="516">
        <v>1</v>
      </c>
      <c r="AN446" s="28" t="s">
        <v>17650</v>
      </c>
      <c r="AO446" s="28" t="s">
        <v>17651</v>
      </c>
      <c r="AP446" s="28" t="s">
        <v>17652</v>
      </c>
      <c r="AQ446" s="28" t="s">
        <v>17653</v>
      </c>
      <c r="AR446" s="28" t="s">
        <v>1024</v>
      </c>
    </row>
    <row r="447" spans="1:44" x14ac:dyDescent="0.25">
      <c r="A447" s="28" t="s">
        <v>19399</v>
      </c>
      <c r="B447" s="28" t="s">
        <v>19416</v>
      </c>
      <c r="C447" s="28" t="s">
        <v>100</v>
      </c>
      <c r="D447" s="28" t="s">
        <v>17784</v>
      </c>
      <c r="E447" s="28" t="s">
        <v>192</v>
      </c>
      <c r="F447" s="28">
        <v>1</v>
      </c>
      <c r="G447" s="28" t="s">
        <v>193</v>
      </c>
      <c r="H447" s="28" t="s">
        <v>194</v>
      </c>
      <c r="I447" s="28" t="s">
        <v>19175</v>
      </c>
      <c r="J447" s="28" t="s">
        <v>367</v>
      </c>
      <c r="K447" s="28" t="s">
        <v>9309</v>
      </c>
      <c r="L447" s="28" t="s">
        <v>6955</v>
      </c>
      <c r="N447" s="28" t="s">
        <v>19417</v>
      </c>
      <c r="O447" s="28" t="s">
        <v>6266</v>
      </c>
      <c r="P447" s="28" t="s">
        <v>19393</v>
      </c>
      <c r="Q447" s="28" t="s">
        <v>17706</v>
      </c>
      <c r="R447" s="28" t="s">
        <v>19372</v>
      </c>
      <c r="S447" s="28" t="s">
        <v>19418</v>
      </c>
      <c r="T447" s="28" t="s">
        <v>19419</v>
      </c>
      <c r="V447" s="28" t="s">
        <v>9974</v>
      </c>
      <c r="W447" s="28" t="s">
        <v>429</v>
      </c>
      <c r="X447" s="28" t="s">
        <v>194</v>
      </c>
      <c r="Y447" s="28" t="s">
        <v>9300</v>
      </c>
      <c r="AB447" s="28" t="s">
        <v>9311</v>
      </c>
      <c r="AH447" s="28" t="s">
        <v>4714</v>
      </c>
      <c r="AI447" s="28" t="s">
        <v>19416</v>
      </c>
      <c r="AJ447" s="516" t="str">
        <f>MID('II kw.22'!W447,8,6)</f>
        <v>242108</v>
      </c>
      <c r="AK447" s="516">
        <v>1</v>
      </c>
      <c r="AL447" s="516">
        <f t="shared" si="6"/>
        <v>1</v>
      </c>
      <c r="AM447" s="516">
        <v>1</v>
      </c>
      <c r="AN447" s="28" t="s">
        <v>17650</v>
      </c>
      <c r="AO447" s="28" t="s">
        <v>17651</v>
      </c>
      <c r="AP447" s="28" t="s">
        <v>17652</v>
      </c>
      <c r="AQ447" s="28" t="s">
        <v>17653</v>
      </c>
      <c r="AR447" s="28" t="s">
        <v>1024</v>
      </c>
    </row>
    <row r="448" spans="1:44" x14ac:dyDescent="0.25">
      <c r="A448" s="28" t="s">
        <v>19420</v>
      </c>
      <c r="B448" s="28" t="s">
        <v>19421</v>
      </c>
      <c r="C448" s="28" t="s">
        <v>354</v>
      </c>
      <c r="D448" s="28" t="s">
        <v>17784</v>
      </c>
      <c r="E448" s="28" t="s">
        <v>192</v>
      </c>
      <c r="F448" s="28">
        <v>1</v>
      </c>
      <c r="G448" s="28" t="s">
        <v>193</v>
      </c>
      <c r="H448" s="28" t="s">
        <v>194</v>
      </c>
      <c r="I448" s="28" t="s">
        <v>19175</v>
      </c>
      <c r="J448" s="28" t="s">
        <v>6690</v>
      </c>
      <c r="K448" s="28" t="s">
        <v>9309</v>
      </c>
      <c r="L448" s="28" t="s">
        <v>6955</v>
      </c>
      <c r="N448" s="28" t="s">
        <v>19422</v>
      </c>
      <c r="O448" s="28" t="s">
        <v>6258</v>
      </c>
      <c r="P448" s="28" t="s">
        <v>19393</v>
      </c>
      <c r="Q448" s="28" t="s">
        <v>17706</v>
      </c>
      <c r="R448" s="28" t="s">
        <v>19372</v>
      </c>
      <c r="S448" s="28" t="s">
        <v>19423</v>
      </c>
      <c r="T448" s="28" t="s">
        <v>19424</v>
      </c>
      <c r="V448" s="28" t="s">
        <v>9440</v>
      </c>
      <c r="W448" s="28" t="s">
        <v>355</v>
      </c>
      <c r="X448" s="28" t="s">
        <v>194</v>
      </c>
      <c r="Y448" s="28" t="s">
        <v>9300</v>
      </c>
      <c r="AB448" s="28" t="s">
        <v>9311</v>
      </c>
      <c r="AH448" s="28" t="s">
        <v>4714</v>
      </c>
      <c r="AI448" s="28" t="s">
        <v>19421</v>
      </c>
      <c r="AJ448" s="516" t="str">
        <f>MID('II kw.22'!W448,8,6)</f>
        <v>215103</v>
      </c>
      <c r="AK448" s="516">
        <v>1</v>
      </c>
      <c r="AL448" s="516">
        <f t="shared" si="6"/>
        <v>1</v>
      </c>
      <c r="AM448" s="516">
        <v>1</v>
      </c>
      <c r="AN448" s="28" t="s">
        <v>17650</v>
      </c>
      <c r="AO448" s="28" t="s">
        <v>17651</v>
      </c>
      <c r="AP448" s="28" t="s">
        <v>17652</v>
      </c>
      <c r="AQ448" s="28" t="s">
        <v>17653</v>
      </c>
      <c r="AR448" s="28" t="s">
        <v>1024</v>
      </c>
    </row>
    <row r="449" spans="1:44" x14ac:dyDescent="0.25">
      <c r="A449" s="28" t="s">
        <v>8145</v>
      </c>
      <c r="B449" s="28" t="s">
        <v>11886</v>
      </c>
      <c r="C449" s="28" t="s">
        <v>17</v>
      </c>
      <c r="D449" s="28" t="s">
        <v>17784</v>
      </c>
      <c r="E449" s="28" t="s">
        <v>192</v>
      </c>
      <c r="F449" s="28">
        <v>1</v>
      </c>
      <c r="G449" s="28" t="s">
        <v>193</v>
      </c>
      <c r="H449" s="28" t="s">
        <v>194</v>
      </c>
      <c r="I449" s="28" t="s">
        <v>18819</v>
      </c>
      <c r="J449" s="28" t="s">
        <v>276</v>
      </c>
      <c r="K449" s="28" t="s">
        <v>9309</v>
      </c>
      <c r="L449" s="28" t="s">
        <v>6955</v>
      </c>
      <c r="N449" s="28" t="s">
        <v>19425</v>
      </c>
      <c r="O449" s="28" t="s">
        <v>6245</v>
      </c>
      <c r="P449" s="28" t="s">
        <v>19393</v>
      </c>
      <c r="Q449" s="28" t="s">
        <v>17706</v>
      </c>
      <c r="R449" s="28" t="s">
        <v>19372</v>
      </c>
      <c r="S449" s="28" t="s">
        <v>19426</v>
      </c>
      <c r="T449" s="28" t="s">
        <v>19427</v>
      </c>
      <c r="V449" s="28" t="s">
        <v>9786</v>
      </c>
      <c r="W449" s="28" t="s">
        <v>624</v>
      </c>
      <c r="X449" s="28" t="s">
        <v>194</v>
      </c>
      <c r="Y449" s="28" t="s">
        <v>9300</v>
      </c>
      <c r="AB449" s="28" t="s">
        <v>9311</v>
      </c>
      <c r="AH449" s="28" t="s">
        <v>4714</v>
      </c>
      <c r="AI449" s="28" t="s">
        <v>11886</v>
      </c>
      <c r="AJ449" s="516" t="str">
        <f>MID('II kw.22'!W449,8,6)</f>
        <v>332203</v>
      </c>
      <c r="AK449" s="516">
        <v>1</v>
      </c>
      <c r="AL449" s="516">
        <f t="shared" si="6"/>
        <v>1</v>
      </c>
      <c r="AM449" s="516">
        <v>1</v>
      </c>
      <c r="AN449" s="28" t="s">
        <v>17650</v>
      </c>
      <c r="AO449" s="28" t="s">
        <v>17651</v>
      </c>
      <c r="AP449" s="28" t="s">
        <v>17652</v>
      </c>
      <c r="AQ449" s="28" t="s">
        <v>17653</v>
      </c>
      <c r="AR449" s="28" t="s">
        <v>1024</v>
      </c>
    </row>
    <row r="450" spans="1:44" x14ac:dyDescent="0.25">
      <c r="A450" s="28" t="s">
        <v>8145</v>
      </c>
      <c r="B450" s="28" t="s">
        <v>11886</v>
      </c>
      <c r="C450" s="28" t="s">
        <v>17</v>
      </c>
      <c r="D450" s="28" t="s">
        <v>17784</v>
      </c>
      <c r="E450" s="28" t="s">
        <v>192</v>
      </c>
      <c r="F450" s="28">
        <v>1</v>
      </c>
      <c r="G450" s="28" t="s">
        <v>193</v>
      </c>
      <c r="H450" s="28" t="s">
        <v>194</v>
      </c>
      <c r="I450" s="28" t="s">
        <v>18819</v>
      </c>
      <c r="J450" s="28" t="s">
        <v>747</v>
      </c>
      <c r="K450" s="28" t="s">
        <v>9309</v>
      </c>
      <c r="L450" s="28" t="s">
        <v>6955</v>
      </c>
      <c r="N450" s="28" t="s">
        <v>19428</v>
      </c>
      <c r="O450" s="28" t="s">
        <v>6245</v>
      </c>
      <c r="P450" s="28" t="s">
        <v>19393</v>
      </c>
      <c r="Q450" s="28" t="s">
        <v>17706</v>
      </c>
      <c r="R450" s="28" t="s">
        <v>19372</v>
      </c>
      <c r="S450" s="28" t="s">
        <v>19429</v>
      </c>
      <c r="T450" s="28" t="s">
        <v>19430</v>
      </c>
      <c r="V450" s="28" t="s">
        <v>10397</v>
      </c>
      <c r="W450" s="28" t="s">
        <v>624</v>
      </c>
      <c r="X450" s="28" t="s">
        <v>194</v>
      </c>
      <c r="Y450" s="28" t="s">
        <v>9300</v>
      </c>
      <c r="AB450" s="28" t="s">
        <v>9311</v>
      </c>
      <c r="AH450" s="28" t="s">
        <v>4714</v>
      </c>
      <c r="AI450" s="28" t="s">
        <v>11886</v>
      </c>
      <c r="AJ450" s="516" t="str">
        <f>MID('II kw.22'!W450,8,6)</f>
        <v>332203</v>
      </c>
      <c r="AK450" s="516">
        <v>1</v>
      </c>
      <c r="AL450" s="516">
        <f t="shared" si="6"/>
        <v>1</v>
      </c>
      <c r="AM450" s="516">
        <v>1</v>
      </c>
      <c r="AN450" s="28" t="s">
        <v>17650</v>
      </c>
      <c r="AO450" s="28" t="s">
        <v>17651</v>
      </c>
      <c r="AP450" s="28" t="s">
        <v>17652</v>
      </c>
      <c r="AQ450" s="28" t="s">
        <v>17653</v>
      </c>
      <c r="AR450" s="28" t="s">
        <v>1024</v>
      </c>
    </row>
    <row r="451" spans="1:44" x14ac:dyDescent="0.25">
      <c r="A451" s="28" t="s">
        <v>19431</v>
      </c>
      <c r="B451" s="28" t="s">
        <v>2460</v>
      </c>
      <c r="C451" s="28" t="s">
        <v>27</v>
      </c>
      <c r="D451" s="28" t="s">
        <v>17784</v>
      </c>
      <c r="E451" s="28" t="s">
        <v>192</v>
      </c>
      <c r="F451" s="28">
        <v>1</v>
      </c>
      <c r="G451" s="28" t="s">
        <v>193</v>
      </c>
      <c r="H451" s="28" t="s">
        <v>194</v>
      </c>
      <c r="I451" s="28" t="s">
        <v>19175</v>
      </c>
      <c r="J451" s="28" t="s">
        <v>210</v>
      </c>
      <c r="K451" s="28" t="s">
        <v>9309</v>
      </c>
      <c r="L451" s="28" t="s">
        <v>6955</v>
      </c>
      <c r="N451" s="28" t="s">
        <v>19432</v>
      </c>
      <c r="O451" s="28" t="s">
        <v>6254</v>
      </c>
      <c r="P451" s="28" t="s">
        <v>19393</v>
      </c>
      <c r="Q451" s="28" t="s">
        <v>17706</v>
      </c>
      <c r="R451" s="28" t="s">
        <v>19372</v>
      </c>
      <c r="S451" s="28" t="s">
        <v>19433</v>
      </c>
      <c r="T451" s="28" t="s">
        <v>19434</v>
      </c>
      <c r="V451" s="28" t="s">
        <v>9334</v>
      </c>
      <c r="W451" s="28" t="s">
        <v>440</v>
      </c>
      <c r="X451" s="28" t="s">
        <v>194</v>
      </c>
      <c r="Y451" s="28" t="s">
        <v>9300</v>
      </c>
      <c r="AB451" s="28" t="s">
        <v>9311</v>
      </c>
      <c r="AH451" s="28" t="s">
        <v>4714</v>
      </c>
      <c r="AI451" s="28" t="s">
        <v>2460</v>
      </c>
      <c r="AJ451" s="516" t="str">
        <f>MID('II kw.22'!W451,8,6)</f>
        <v>242307</v>
      </c>
      <c r="AK451" s="516">
        <v>1</v>
      </c>
      <c r="AL451" s="516">
        <f t="shared" ref="AL451:AL514" si="7">SUM(F451)</f>
        <v>1</v>
      </c>
      <c r="AM451" s="516">
        <v>1</v>
      </c>
      <c r="AN451" s="28" t="s">
        <v>17650</v>
      </c>
      <c r="AO451" s="28" t="s">
        <v>17651</v>
      </c>
      <c r="AP451" s="28" t="s">
        <v>17652</v>
      </c>
      <c r="AQ451" s="28" t="s">
        <v>17653</v>
      </c>
      <c r="AR451" s="28" t="s">
        <v>1024</v>
      </c>
    </row>
    <row r="452" spans="1:44" x14ac:dyDescent="0.25">
      <c r="A452" s="28" t="s">
        <v>8145</v>
      </c>
      <c r="B452" s="28" t="s">
        <v>11886</v>
      </c>
      <c r="C452" s="28" t="s">
        <v>17</v>
      </c>
      <c r="D452" s="28" t="s">
        <v>17784</v>
      </c>
      <c r="E452" s="28" t="s">
        <v>192</v>
      </c>
      <c r="F452" s="28">
        <v>1</v>
      </c>
      <c r="G452" s="28" t="s">
        <v>193</v>
      </c>
      <c r="H452" s="28" t="s">
        <v>194</v>
      </c>
      <c r="I452" s="28" t="s">
        <v>18819</v>
      </c>
      <c r="J452" s="28" t="s">
        <v>316</v>
      </c>
      <c r="K452" s="28" t="s">
        <v>9309</v>
      </c>
      <c r="L452" s="28" t="s">
        <v>6955</v>
      </c>
      <c r="N452" s="28" t="s">
        <v>19435</v>
      </c>
      <c r="O452" s="28" t="s">
        <v>6245</v>
      </c>
      <c r="P452" s="28" t="s">
        <v>19393</v>
      </c>
      <c r="Q452" s="28" t="s">
        <v>17706</v>
      </c>
      <c r="R452" s="28" t="s">
        <v>19372</v>
      </c>
      <c r="S452" s="28" t="s">
        <v>19436</v>
      </c>
      <c r="T452" s="28" t="s">
        <v>19437</v>
      </c>
      <c r="V452" s="28" t="s">
        <v>10012</v>
      </c>
      <c r="W452" s="28" t="s">
        <v>624</v>
      </c>
      <c r="X452" s="28" t="s">
        <v>194</v>
      </c>
      <c r="Y452" s="28" t="s">
        <v>9300</v>
      </c>
      <c r="AB452" s="28" t="s">
        <v>9311</v>
      </c>
      <c r="AH452" s="28" t="s">
        <v>4714</v>
      </c>
      <c r="AI452" s="28" t="s">
        <v>11886</v>
      </c>
      <c r="AJ452" s="516" t="str">
        <f>MID('II kw.22'!W452,8,6)</f>
        <v>332203</v>
      </c>
      <c r="AK452" s="516">
        <v>1</v>
      </c>
      <c r="AL452" s="516">
        <f t="shared" si="7"/>
        <v>1</v>
      </c>
      <c r="AM452" s="516">
        <v>1</v>
      </c>
      <c r="AN452" s="28" t="s">
        <v>17650</v>
      </c>
      <c r="AO452" s="28" t="s">
        <v>17651</v>
      </c>
      <c r="AP452" s="28" t="s">
        <v>17652</v>
      </c>
      <c r="AQ452" s="28" t="s">
        <v>17653</v>
      </c>
      <c r="AR452" s="28" t="s">
        <v>1024</v>
      </c>
    </row>
    <row r="453" spans="1:44" x14ac:dyDescent="0.25">
      <c r="A453" s="28" t="s">
        <v>8145</v>
      </c>
      <c r="B453" s="28" t="s">
        <v>11886</v>
      </c>
      <c r="C453" s="28" t="s">
        <v>17</v>
      </c>
      <c r="D453" s="28" t="s">
        <v>17784</v>
      </c>
      <c r="E453" s="28" t="s">
        <v>192</v>
      </c>
      <c r="F453" s="28">
        <v>1</v>
      </c>
      <c r="G453" s="28" t="s">
        <v>193</v>
      </c>
      <c r="H453" s="28" t="s">
        <v>194</v>
      </c>
      <c r="I453" s="28" t="s">
        <v>18819</v>
      </c>
      <c r="J453" s="28" t="s">
        <v>408</v>
      </c>
      <c r="K453" s="28" t="s">
        <v>9309</v>
      </c>
      <c r="L453" s="28" t="s">
        <v>6955</v>
      </c>
      <c r="N453" s="28" t="s">
        <v>19438</v>
      </c>
      <c r="O453" s="28" t="s">
        <v>6245</v>
      </c>
      <c r="P453" s="28" t="s">
        <v>19393</v>
      </c>
      <c r="Q453" s="28" t="s">
        <v>17706</v>
      </c>
      <c r="R453" s="28" t="s">
        <v>19372</v>
      </c>
      <c r="S453" s="28" t="s">
        <v>19439</v>
      </c>
      <c r="T453" s="28" t="s">
        <v>19440</v>
      </c>
      <c r="V453" s="28" t="s">
        <v>9479</v>
      </c>
      <c r="W453" s="28" t="s">
        <v>624</v>
      </c>
      <c r="X453" s="28" t="s">
        <v>194</v>
      </c>
      <c r="Y453" s="28" t="s">
        <v>9300</v>
      </c>
      <c r="AB453" s="28" t="s">
        <v>9311</v>
      </c>
      <c r="AH453" s="28" t="s">
        <v>4714</v>
      </c>
      <c r="AI453" s="28" t="s">
        <v>11886</v>
      </c>
      <c r="AJ453" s="516" t="str">
        <f>MID('II kw.22'!W453,8,6)</f>
        <v>332203</v>
      </c>
      <c r="AK453" s="516">
        <v>1</v>
      </c>
      <c r="AL453" s="516">
        <f t="shared" si="7"/>
        <v>1</v>
      </c>
      <c r="AM453" s="516">
        <v>1</v>
      </c>
      <c r="AN453" s="28" t="s">
        <v>17650</v>
      </c>
      <c r="AO453" s="28" t="s">
        <v>17651</v>
      </c>
      <c r="AP453" s="28" t="s">
        <v>17652</v>
      </c>
      <c r="AQ453" s="28" t="s">
        <v>17653</v>
      </c>
      <c r="AR453" s="28" t="s">
        <v>1024</v>
      </c>
    </row>
    <row r="454" spans="1:44" x14ac:dyDescent="0.25">
      <c r="A454" s="28" t="s">
        <v>19441</v>
      </c>
      <c r="B454" s="28" t="s">
        <v>19442</v>
      </c>
      <c r="C454" s="28" t="s">
        <v>82</v>
      </c>
      <c r="D454" s="28" t="s">
        <v>17784</v>
      </c>
      <c r="E454" s="28" t="s">
        <v>192</v>
      </c>
      <c r="F454" s="28">
        <v>1</v>
      </c>
      <c r="G454" s="28" t="s">
        <v>193</v>
      </c>
      <c r="H454" s="28" t="s">
        <v>194</v>
      </c>
      <c r="I454" s="28" t="s">
        <v>19175</v>
      </c>
      <c r="J454" s="28" t="s">
        <v>210</v>
      </c>
      <c r="K454" s="28" t="s">
        <v>9309</v>
      </c>
      <c r="L454" s="28" t="s">
        <v>6955</v>
      </c>
      <c r="N454" s="28" t="s">
        <v>19443</v>
      </c>
      <c r="O454" s="28" t="s">
        <v>6921</v>
      </c>
      <c r="P454" s="28" t="s">
        <v>19393</v>
      </c>
      <c r="Q454" s="28" t="s">
        <v>17706</v>
      </c>
      <c r="R454" s="28" t="s">
        <v>19372</v>
      </c>
      <c r="S454" s="28" t="s">
        <v>19444</v>
      </c>
      <c r="T454" s="28" t="s">
        <v>19445</v>
      </c>
      <c r="V454" s="28" t="s">
        <v>9334</v>
      </c>
      <c r="W454" s="28" t="s">
        <v>504</v>
      </c>
      <c r="X454" s="28" t="s">
        <v>194</v>
      </c>
      <c r="Y454" s="28" t="s">
        <v>9300</v>
      </c>
      <c r="AB454" s="28" t="s">
        <v>9311</v>
      </c>
      <c r="AH454" s="28" t="s">
        <v>4714</v>
      </c>
      <c r="AI454" s="28" t="s">
        <v>19442</v>
      </c>
      <c r="AJ454" s="516" t="str">
        <f>MID('II kw.22'!W454,8,6)</f>
        <v>252101</v>
      </c>
      <c r="AK454" s="516">
        <v>1</v>
      </c>
      <c r="AL454" s="516">
        <f t="shared" si="7"/>
        <v>1</v>
      </c>
      <c r="AM454" s="516">
        <v>1</v>
      </c>
      <c r="AN454" s="28" t="s">
        <v>17650</v>
      </c>
      <c r="AO454" s="28" t="s">
        <v>17651</v>
      </c>
      <c r="AP454" s="28" t="s">
        <v>17652</v>
      </c>
      <c r="AQ454" s="28" t="s">
        <v>17653</v>
      </c>
      <c r="AR454" s="28" t="s">
        <v>1024</v>
      </c>
    </row>
    <row r="455" spans="1:44" x14ac:dyDescent="0.25">
      <c r="A455" s="28" t="s">
        <v>1945</v>
      </c>
      <c r="B455" s="28" t="s">
        <v>19446</v>
      </c>
      <c r="C455" s="28" t="s">
        <v>6208</v>
      </c>
      <c r="D455" s="28" t="s">
        <v>17784</v>
      </c>
      <c r="E455" s="28" t="s">
        <v>192</v>
      </c>
      <c r="F455" s="28">
        <v>1</v>
      </c>
      <c r="G455" s="28" t="s">
        <v>193</v>
      </c>
      <c r="H455" s="28" t="s">
        <v>194</v>
      </c>
      <c r="I455" s="28" t="s">
        <v>19175</v>
      </c>
      <c r="J455" s="28" t="s">
        <v>316</v>
      </c>
      <c r="K455" s="28" t="s">
        <v>9309</v>
      </c>
      <c r="L455" s="28" t="s">
        <v>6955</v>
      </c>
      <c r="N455" s="28" t="s">
        <v>19447</v>
      </c>
      <c r="O455" s="28" t="s">
        <v>6245</v>
      </c>
      <c r="P455" s="28" t="s">
        <v>19393</v>
      </c>
      <c r="Q455" s="28" t="s">
        <v>17706</v>
      </c>
      <c r="R455" s="28" t="s">
        <v>19372</v>
      </c>
      <c r="S455" s="28" t="s">
        <v>19448</v>
      </c>
      <c r="T455" s="28" t="s">
        <v>19449</v>
      </c>
      <c r="V455" s="28" t="s">
        <v>10012</v>
      </c>
      <c r="W455" s="28" t="s">
        <v>346</v>
      </c>
      <c r="X455" s="28" t="s">
        <v>194</v>
      </c>
      <c r="Y455" s="28" t="s">
        <v>9300</v>
      </c>
      <c r="AB455" s="28" t="s">
        <v>9311</v>
      </c>
      <c r="AH455" s="28" t="s">
        <v>4714</v>
      </c>
      <c r="AI455" s="28" t="s">
        <v>19446</v>
      </c>
      <c r="AJ455" s="516" t="str">
        <f>MID('II kw.22'!W455,8,6)</f>
        <v>214931</v>
      </c>
      <c r="AK455" s="516">
        <v>1</v>
      </c>
      <c r="AL455" s="516">
        <f t="shared" si="7"/>
        <v>1</v>
      </c>
      <c r="AM455" s="516">
        <v>1</v>
      </c>
      <c r="AN455" s="28" t="s">
        <v>17650</v>
      </c>
      <c r="AO455" s="28" t="s">
        <v>17651</v>
      </c>
      <c r="AP455" s="28" t="s">
        <v>17652</v>
      </c>
      <c r="AQ455" s="28" t="s">
        <v>17653</v>
      </c>
      <c r="AR455" s="28" t="s">
        <v>1024</v>
      </c>
    </row>
    <row r="456" spans="1:44" x14ac:dyDescent="0.25">
      <c r="A456" s="28" t="s">
        <v>1544</v>
      </c>
      <c r="B456" s="28" t="s">
        <v>19450</v>
      </c>
      <c r="C456" s="28" t="s">
        <v>341</v>
      </c>
      <c r="D456" s="28" t="s">
        <v>17784</v>
      </c>
      <c r="E456" s="28" t="s">
        <v>192</v>
      </c>
      <c r="F456" s="28">
        <v>1</v>
      </c>
      <c r="G456" s="28" t="s">
        <v>193</v>
      </c>
      <c r="H456" s="28" t="s">
        <v>194</v>
      </c>
      <c r="I456" s="28" t="s">
        <v>19175</v>
      </c>
      <c r="J456" s="28" t="s">
        <v>309</v>
      </c>
      <c r="K456" s="28" t="s">
        <v>9309</v>
      </c>
      <c r="L456" s="28" t="s">
        <v>6955</v>
      </c>
      <c r="N456" s="28" t="s">
        <v>19451</v>
      </c>
      <c r="O456" s="28" t="s">
        <v>6374</v>
      </c>
      <c r="P456" s="28" t="s">
        <v>19393</v>
      </c>
      <c r="Q456" s="28" t="s">
        <v>17706</v>
      </c>
      <c r="R456" s="28" t="s">
        <v>19372</v>
      </c>
      <c r="S456" s="28" t="s">
        <v>19452</v>
      </c>
      <c r="T456" s="28" t="s">
        <v>19453</v>
      </c>
      <c r="V456" s="28" t="s">
        <v>9518</v>
      </c>
      <c r="W456" s="28" t="s">
        <v>342</v>
      </c>
      <c r="X456" s="28" t="s">
        <v>194</v>
      </c>
      <c r="Y456" s="28" t="s">
        <v>9300</v>
      </c>
      <c r="AB456" s="28" t="s">
        <v>9311</v>
      </c>
      <c r="AH456" s="28" t="s">
        <v>4714</v>
      </c>
      <c r="AI456" s="28" t="s">
        <v>19450</v>
      </c>
      <c r="AJ456" s="516" t="str">
        <f>MID('II kw.22'!W456,8,6)</f>
        <v>214906</v>
      </c>
      <c r="AK456" s="516">
        <v>1</v>
      </c>
      <c r="AL456" s="516">
        <f t="shared" si="7"/>
        <v>1</v>
      </c>
      <c r="AM456" s="516">
        <v>1</v>
      </c>
      <c r="AN456" s="28" t="s">
        <v>17650</v>
      </c>
      <c r="AO456" s="28" t="s">
        <v>17651</v>
      </c>
      <c r="AP456" s="28" t="s">
        <v>17652</v>
      </c>
      <c r="AQ456" s="28" t="s">
        <v>17653</v>
      </c>
      <c r="AR456" s="28" t="s">
        <v>1024</v>
      </c>
    </row>
    <row r="457" spans="1:44" x14ac:dyDescent="0.25">
      <c r="A457" s="28" t="s">
        <v>10644</v>
      </c>
      <c r="B457" s="28" t="s">
        <v>19454</v>
      </c>
      <c r="C457" s="28" t="s">
        <v>1492</v>
      </c>
      <c r="D457" s="28" t="s">
        <v>17784</v>
      </c>
      <c r="E457" s="28" t="s">
        <v>192</v>
      </c>
      <c r="F457" s="28">
        <v>1</v>
      </c>
      <c r="G457" s="28" t="s">
        <v>193</v>
      </c>
      <c r="H457" s="28" t="s">
        <v>194</v>
      </c>
      <c r="I457" s="28" t="s">
        <v>17800</v>
      </c>
      <c r="J457" s="28" t="s">
        <v>385</v>
      </c>
      <c r="K457" s="28" t="s">
        <v>9309</v>
      </c>
      <c r="L457" s="28" t="s">
        <v>6955</v>
      </c>
      <c r="N457" s="28" t="s">
        <v>19455</v>
      </c>
      <c r="O457" s="28" t="s">
        <v>6245</v>
      </c>
      <c r="P457" s="28" t="s">
        <v>19393</v>
      </c>
      <c r="Q457" s="28" t="s">
        <v>17706</v>
      </c>
      <c r="R457" s="28" t="s">
        <v>19372</v>
      </c>
      <c r="S457" s="28" t="s">
        <v>19456</v>
      </c>
      <c r="T457" s="28" t="s">
        <v>19457</v>
      </c>
      <c r="V457" s="28" t="s">
        <v>9410</v>
      </c>
      <c r="W457" s="28" t="s">
        <v>1493</v>
      </c>
      <c r="X457" s="28" t="s">
        <v>194</v>
      </c>
      <c r="Y457" s="28" t="s">
        <v>9300</v>
      </c>
      <c r="AB457" s="28" t="s">
        <v>9311</v>
      </c>
      <c r="AH457" s="28" t="s">
        <v>4714</v>
      </c>
      <c r="AI457" s="28" t="s">
        <v>19454</v>
      </c>
      <c r="AJ457" s="516" t="str">
        <f>MID('II kw.22'!W457,8,6)</f>
        <v>214104</v>
      </c>
      <c r="AK457" s="516">
        <v>1</v>
      </c>
      <c r="AL457" s="516">
        <f t="shared" si="7"/>
        <v>1</v>
      </c>
      <c r="AM457" s="516">
        <v>1</v>
      </c>
      <c r="AN457" s="28" t="s">
        <v>17650</v>
      </c>
      <c r="AO457" s="28" t="s">
        <v>17651</v>
      </c>
      <c r="AP457" s="28" t="s">
        <v>17652</v>
      </c>
      <c r="AQ457" s="28" t="s">
        <v>17653</v>
      </c>
      <c r="AR457" s="28" t="s">
        <v>1024</v>
      </c>
    </row>
    <row r="458" spans="1:44" x14ac:dyDescent="0.25">
      <c r="A458" s="28" t="s">
        <v>8145</v>
      </c>
      <c r="B458" s="28" t="s">
        <v>11886</v>
      </c>
      <c r="C458" s="28" t="s">
        <v>17</v>
      </c>
      <c r="D458" s="28" t="s">
        <v>17784</v>
      </c>
      <c r="E458" s="28" t="s">
        <v>192</v>
      </c>
      <c r="F458" s="28">
        <v>1</v>
      </c>
      <c r="G458" s="28" t="s">
        <v>193</v>
      </c>
      <c r="H458" s="28" t="s">
        <v>194</v>
      </c>
      <c r="I458" s="28" t="s">
        <v>18819</v>
      </c>
      <c r="J458" s="28" t="s">
        <v>223</v>
      </c>
      <c r="K458" s="28" t="s">
        <v>9309</v>
      </c>
      <c r="L458" s="28" t="s">
        <v>6955</v>
      </c>
      <c r="N458" s="28" t="s">
        <v>19458</v>
      </c>
      <c r="O458" s="28" t="s">
        <v>6245</v>
      </c>
      <c r="P458" s="28" t="s">
        <v>19393</v>
      </c>
      <c r="Q458" s="28" t="s">
        <v>17706</v>
      </c>
      <c r="R458" s="28" t="s">
        <v>19372</v>
      </c>
      <c r="S458" s="28" t="s">
        <v>19459</v>
      </c>
      <c r="T458" s="28" t="s">
        <v>19460</v>
      </c>
      <c r="V458" s="28" t="s">
        <v>11163</v>
      </c>
      <c r="W458" s="28" t="s">
        <v>624</v>
      </c>
      <c r="X458" s="28" t="s">
        <v>194</v>
      </c>
      <c r="Y458" s="28" t="s">
        <v>9300</v>
      </c>
      <c r="AB458" s="28" t="s">
        <v>9311</v>
      </c>
      <c r="AH458" s="28" t="s">
        <v>4714</v>
      </c>
      <c r="AI458" s="28" t="s">
        <v>11886</v>
      </c>
      <c r="AJ458" s="516" t="str">
        <f>MID('II kw.22'!W458,8,6)</f>
        <v>332203</v>
      </c>
      <c r="AK458" s="516">
        <v>1</v>
      </c>
      <c r="AL458" s="516">
        <f t="shared" si="7"/>
        <v>1</v>
      </c>
      <c r="AM458" s="516">
        <v>1</v>
      </c>
      <c r="AN458" s="28" t="s">
        <v>17650</v>
      </c>
      <c r="AO458" s="28" t="s">
        <v>17651</v>
      </c>
      <c r="AP458" s="28" t="s">
        <v>17652</v>
      </c>
      <c r="AQ458" s="28" t="s">
        <v>17653</v>
      </c>
      <c r="AR458" s="28" t="s">
        <v>1024</v>
      </c>
    </row>
    <row r="459" spans="1:44" x14ac:dyDescent="0.25">
      <c r="A459" s="28" t="s">
        <v>8145</v>
      </c>
      <c r="B459" s="28" t="s">
        <v>11886</v>
      </c>
      <c r="C459" s="28" t="s">
        <v>17</v>
      </c>
      <c r="D459" s="28" t="s">
        <v>17784</v>
      </c>
      <c r="E459" s="28" t="s">
        <v>192</v>
      </c>
      <c r="F459" s="28">
        <v>1</v>
      </c>
      <c r="G459" s="28" t="s">
        <v>193</v>
      </c>
      <c r="H459" s="28" t="s">
        <v>194</v>
      </c>
      <c r="I459" s="28" t="s">
        <v>18819</v>
      </c>
      <c r="J459" s="28" t="s">
        <v>4751</v>
      </c>
      <c r="K459" s="28" t="s">
        <v>9309</v>
      </c>
      <c r="L459" s="28" t="s">
        <v>6955</v>
      </c>
      <c r="N459" s="28" t="s">
        <v>19461</v>
      </c>
      <c r="O459" s="28" t="s">
        <v>6245</v>
      </c>
      <c r="P459" s="28" t="s">
        <v>19393</v>
      </c>
      <c r="Q459" s="28" t="s">
        <v>17706</v>
      </c>
      <c r="R459" s="28" t="s">
        <v>19372</v>
      </c>
      <c r="S459" s="28" t="s">
        <v>19462</v>
      </c>
      <c r="T459" s="28" t="s">
        <v>19463</v>
      </c>
      <c r="V459" s="28" t="s">
        <v>9472</v>
      </c>
      <c r="W459" s="28" t="s">
        <v>624</v>
      </c>
      <c r="X459" s="28" t="s">
        <v>194</v>
      </c>
      <c r="Y459" s="28" t="s">
        <v>9300</v>
      </c>
      <c r="AB459" s="28" t="s">
        <v>9311</v>
      </c>
      <c r="AH459" s="28" t="s">
        <v>4714</v>
      </c>
      <c r="AI459" s="28" t="s">
        <v>11886</v>
      </c>
      <c r="AJ459" s="516" t="str">
        <f>MID('II kw.22'!W459,8,6)</f>
        <v>332203</v>
      </c>
      <c r="AK459" s="516">
        <v>1</v>
      </c>
      <c r="AL459" s="516">
        <f t="shared" si="7"/>
        <v>1</v>
      </c>
      <c r="AM459" s="516">
        <v>1</v>
      </c>
      <c r="AN459" s="28" t="s">
        <v>17650</v>
      </c>
      <c r="AO459" s="28" t="s">
        <v>17651</v>
      </c>
      <c r="AP459" s="28" t="s">
        <v>17652</v>
      </c>
      <c r="AQ459" s="28" t="s">
        <v>17653</v>
      </c>
      <c r="AR459" s="28" t="s">
        <v>1024</v>
      </c>
    </row>
    <row r="460" spans="1:44" x14ac:dyDescent="0.25">
      <c r="A460" s="28" t="s">
        <v>19464</v>
      </c>
      <c r="B460" s="28" t="s">
        <v>19465</v>
      </c>
      <c r="C460" s="28" t="s">
        <v>740</v>
      </c>
      <c r="D460" s="28" t="s">
        <v>17784</v>
      </c>
      <c r="E460" s="28" t="s">
        <v>192</v>
      </c>
      <c r="F460" s="28">
        <v>1</v>
      </c>
      <c r="G460" s="28" t="s">
        <v>193</v>
      </c>
      <c r="H460" s="28" t="s">
        <v>194</v>
      </c>
      <c r="I460" s="28" t="s">
        <v>17800</v>
      </c>
      <c r="J460" s="28" t="s">
        <v>210</v>
      </c>
      <c r="K460" s="28" t="s">
        <v>9309</v>
      </c>
      <c r="L460" s="28" t="s">
        <v>6955</v>
      </c>
      <c r="N460" s="28" t="s">
        <v>19466</v>
      </c>
      <c r="O460" s="28" t="s">
        <v>6288</v>
      </c>
      <c r="P460" s="28" t="s">
        <v>19393</v>
      </c>
      <c r="Q460" s="28" t="s">
        <v>17706</v>
      </c>
      <c r="R460" s="28" t="s">
        <v>19372</v>
      </c>
      <c r="S460" s="28" t="s">
        <v>19467</v>
      </c>
      <c r="T460" s="28" t="s">
        <v>19468</v>
      </c>
      <c r="V460" s="28" t="s">
        <v>9334</v>
      </c>
      <c r="W460" s="28" t="s">
        <v>741</v>
      </c>
      <c r="X460" s="28" t="s">
        <v>194</v>
      </c>
      <c r="Y460" s="28" t="s">
        <v>9300</v>
      </c>
      <c r="AB460" s="28" t="s">
        <v>9311</v>
      </c>
      <c r="AH460" s="28" t="s">
        <v>4714</v>
      </c>
      <c r="AI460" s="28" t="s">
        <v>19465</v>
      </c>
      <c r="AJ460" s="516" t="str">
        <f>MID('II kw.22'!W460,8,6)</f>
        <v>522301</v>
      </c>
      <c r="AK460" s="516">
        <v>1</v>
      </c>
      <c r="AL460" s="516">
        <f t="shared" si="7"/>
        <v>1</v>
      </c>
      <c r="AM460" s="516">
        <v>1</v>
      </c>
      <c r="AN460" s="28" t="s">
        <v>17650</v>
      </c>
      <c r="AO460" s="28" t="s">
        <v>17651</v>
      </c>
      <c r="AP460" s="28" t="s">
        <v>17652</v>
      </c>
      <c r="AQ460" s="28" t="s">
        <v>17653</v>
      </c>
      <c r="AR460" s="28" t="s">
        <v>1024</v>
      </c>
    </row>
    <row r="461" spans="1:44" x14ac:dyDescent="0.25">
      <c r="A461" s="28" t="s">
        <v>8145</v>
      </c>
      <c r="B461" s="28" t="s">
        <v>11886</v>
      </c>
      <c r="C461" s="28" t="s">
        <v>17</v>
      </c>
      <c r="D461" s="28" t="s">
        <v>17784</v>
      </c>
      <c r="E461" s="28" t="s">
        <v>192</v>
      </c>
      <c r="F461" s="28">
        <v>1</v>
      </c>
      <c r="G461" s="28" t="s">
        <v>193</v>
      </c>
      <c r="H461" s="28" t="s">
        <v>194</v>
      </c>
      <c r="I461" s="28" t="s">
        <v>18819</v>
      </c>
      <c r="J461" s="28" t="s">
        <v>210</v>
      </c>
      <c r="K461" s="28" t="s">
        <v>9309</v>
      </c>
      <c r="L461" s="28" t="s">
        <v>6955</v>
      </c>
      <c r="N461" s="28" t="s">
        <v>19469</v>
      </c>
      <c r="O461" s="28" t="s">
        <v>6245</v>
      </c>
      <c r="P461" s="28" t="s">
        <v>19393</v>
      </c>
      <c r="Q461" s="28" t="s">
        <v>17706</v>
      </c>
      <c r="R461" s="28" t="s">
        <v>19372</v>
      </c>
      <c r="S461" s="28" t="s">
        <v>19470</v>
      </c>
      <c r="T461" s="28" t="s">
        <v>19471</v>
      </c>
      <c r="V461" s="28" t="s">
        <v>9334</v>
      </c>
      <c r="W461" s="28" t="s">
        <v>624</v>
      </c>
      <c r="X461" s="28" t="s">
        <v>194</v>
      </c>
      <c r="Y461" s="28" t="s">
        <v>9300</v>
      </c>
      <c r="AB461" s="28" t="s">
        <v>9311</v>
      </c>
      <c r="AH461" s="28" t="s">
        <v>4714</v>
      </c>
      <c r="AI461" s="28" t="s">
        <v>11886</v>
      </c>
      <c r="AJ461" s="516" t="str">
        <f>MID('II kw.22'!W461,8,6)</f>
        <v>332203</v>
      </c>
      <c r="AK461" s="516">
        <v>1</v>
      </c>
      <c r="AL461" s="516">
        <f t="shared" si="7"/>
        <v>1</v>
      </c>
      <c r="AM461" s="516">
        <v>1</v>
      </c>
      <c r="AN461" s="28" t="s">
        <v>17650</v>
      </c>
      <c r="AO461" s="28" t="s">
        <v>17651</v>
      </c>
      <c r="AP461" s="28" t="s">
        <v>17652</v>
      </c>
      <c r="AQ461" s="28" t="s">
        <v>17653</v>
      </c>
      <c r="AR461" s="28" t="s">
        <v>1024</v>
      </c>
    </row>
    <row r="462" spans="1:44" x14ac:dyDescent="0.25">
      <c r="A462" s="28" t="s">
        <v>8145</v>
      </c>
      <c r="B462" s="28" t="s">
        <v>11886</v>
      </c>
      <c r="C462" s="28" t="s">
        <v>17</v>
      </c>
      <c r="D462" s="28" t="s">
        <v>17784</v>
      </c>
      <c r="E462" s="28" t="s">
        <v>192</v>
      </c>
      <c r="F462" s="28">
        <v>1</v>
      </c>
      <c r="G462" s="28" t="s">
        <v>193</v>
      </c>
      <c r="H462" s="28" t="s">
        <v>194</v>
      </c>
      <c r="I462" s="28" t="s">
        <v>18819</v>
      </c>
      <c r="J462" s="28" t="s">
        <v>305</v>
      </c>
      <c r="K462" s="28" t="s">
        <v>9309</v>
      </c>
      <c r="L462" s="28" t="s">
        <v>6955</v>
      </c>
      <c r="N462" s="28" t="s">
        <v>19472</v>
      </c>
      <c r="O462" s="28" t="s">
        <v>6245</v>
      </c>
      <c r="P462" s="28" t="s">
        <v>19393</v>
      </c>
      <c r="Q462" s="28" t="s">
        <v>17706</v>
      </c>
      <c r="R462" s="28" t="s">
        <v>19372</v>
      </c>
      <c r="S462" s="28" t="s">
        <v>19473</v>
      </c>
      <c r="T462" s="28" t="s">
        <v>19474</v>
      </c>
      <c r="V462" s="28" t="s">
        <v>9753</v>
      </c>
      <c r="W462" s="28" t="s">
        <v>624</v>
      </c>
      <c r="X462" s="28" t="s">
        <v>194</v>
      </c>
      <c r="Y462" s="28" t="s">
        <v>9300</v>
      </c>
      <c r="AB462" s="28" t="s">
        <v>9311</v>
      </c>
      <c r="AH462" s="28" t="s">
        <v>4714</v>
      </c>
      <c r="AI462" s="28" t="s">
        <v>11886</v>
      </c>
      <c r="AJ462" s="516" t="str">
        <f>MID('II kw.22'!W462,8,6)</f>
        <v>332203</v>
      </c>
      <c r="AK462" s="516">
        <v>1</v>
      </c>
      <c r="AL462" s="516">
        <f t="shared" si="7"/>
        <v>1</v>
      </c>
      <c r="AM462" s="516">
        <v>1</v>
      </c>
      <c r="AN462" s="28" t="s">
        <v>17650</v>
      </c>
      <c r="AO462" s="28" t="s">
        <v>17651</v>
      </c>
      <c r="AP462" s="28" t="s">
        <v>17652</v>
      </c>
      <c r="AQ462" s="28" t="s">
        <v>17653</v>
      </c>
      <c r="AR462" s="28" t="s">
        <v>1024</v>
      </c>
    </row>
    <row r="463" spans="1:44" x14ac:dyDescent="0.25">
      <c r="A463" s="28" t="s">
        <v>8145</v>
      </c>
      <c r="B463" s="28" t="s">
        <v>11886</v>
      </c>
      <c r="C463" s="28" t="s">
        <v>17</v>
      </c>
      <c r="D463" s="28" t="s">
        <v>17784</v>
      </c>
      <c r="E463" s="28" t="s">
        <v>192</v>
      </c>
      <c r="F463" s="28">
        <v>1</v>
      </c>
      <c r="G463" s="28" t="s">
        <v>193</v>
      </c>
      <c r="H463" s="28" t="s">
        <v>194</v>
      </c>
      <c r="I463" s="28" t="s">
        <v>18819</v>
      </c>
      <c r="J463" s="28" t="s">
        <v>253</v>
      </c>
      <c r="K463" s="28" t="s">
        <v>9309</v>
      </c>
      <c r="L463" s="28" t="s">
        <v>6955</v>
      </c>
      <c r="N463" s="28" t="s">
        <v>19475</v>
      </c>
      <c r="O463" s="28" t="s">
        <v>6245</v>
      </c>
      <c r="P463" s="28" t="s">
        <v>19393</v>
      </c>
      <c r="Q463" s="28" t="s">
        <v>17706</v>
      </c>
      <c r="R463" s="28" t="s">
        <v>19372</v>
      </c>
      <c r="S463" s="28" t="s">
        <v>19476</v>
      </c>
      <c r="T463" s="28" t="s">
        <v>19477</v>
      </c>
      <c r="V463" s="28" t="s">
        <v>9468</v>
      </c>
      <c r="W463" s="28" t="s">
        <v>624</v>
      </c>
      <c r="X463" s="28" t="s">
        <v>194</v>
      </c>
      <c r="Y463" s="28" t="s">
        <v>9300</v>
      </c>
      <c r="AB463" s="28" t="s">
        <v>9311</v>
      </c>
      <c r="AH463" s="28" t="s">
        <v>4714</v>
      </c>
      <c r="AI463" s="28" t="s">
        <v>11886</v>
      </c>
      <c r="AJ463" s="516" t="str">
        <f>MID('II kw.22'!W463,8,6)</f>
        <v>332203</v>
      </c>
      <c r="AK463" s="516">
        <v>1</v>
      </c>
      <c r="AL463" s="516">
        <f t="shared" si="7"/>
        <v>1</v>
      </c>
      <c r="AM463" s="516">
        <v>1</v>
      </c>
      <c r="AN463" s="28" t="s">
        <v>17650</v>
      </c>
      <c r="AO463" s="28" t="s">
        <v>17651</v>
      </c>
      <c r="AP463" s="28" t="s">
        <v>17652</v>
      </c>
      <c r="AQ463" s="28" t="s">
        <v>17653</v>
      </c>
      <c r="AR463" s="28" t="s">
        <v>1024</v>
      </c>
    </row>
    <row r="464" spans="1:44" x14ac:dyDescent="0.25">
      <c r="A464" s="28" t="s">
        <v>493</v>
      </c>
      <c r="B464" s="28" t="s">
        <v>1053</v>
      </c>
      <c r="C464" s="28" t="s">
        <v>10</v>
      </c>
      <c r="D464" s="28" t="s">
        <v>17784</v>
      </c>
      <c r="E464" s="28" t="s">
        <v>192</v>
      </c>
      <c r="F464" s="28">
        <v>1</v>
      </c>
      <c r="G464" s="28" t="s">
        <v>193</v>
      </c>
      <c r="H464" s="28" t="s">
        <v>194</v>
      </c>
      <c r="I464" s="28" t="s">
        <v>18819</v>
      </c>
      <c r="J464" s="28" t="s">
        <v>210</v>
      </c>
      <c r="K464" s="28" t="s">
        <v>9309</v>
      </c>
      <c r="L464" s="28" t="s">
        <v>6955</v>
      </c>
      <c r="N464" s="28" t="s">
        <v>19478</v>
      </c>
      <c r="O464" s="28" t="s">
        <v>6921</v>
      </c>
      <c r="P464" s="28" t="s">
        <v>19393</v>
      </c>
      <c r="Q464" s="28" t="s">
        <v>17706</v>
      </c>
      <c r="R464" s="28" t="s">
        <v>19372</v>
      </c>
      <c r="S464" s="28" t="s">
        <v>19479</v>
      </c>
      <c r="T464" s="28" t="s">
        <v>19480</v>
      </c>
      <c r="V464" s="28" t="s">
        <v>9334</v>
      </c>
      <c r="W464" s="28" t="s">
        <v>484</v>
      </c>
      <c r="X464" s="28" t="s">
        <v>194</v>
      </c>
      <c r="Y464" s="28" t="s">
        <v>9300</v>
      </c>
      <c r="AB464" s="28" t="s">
        <v>9311</v>
      </c>
      <c r="AH464" s="28" t="s">
        <v>4714</v>
      </c>
      <c r="AI464" s="28" t="s">
        <v>1053</v>
      </c>
      <c r="AJ464" s="516" t="str">
        <f>MID('II kw.22'!W464,8,6)</f>
        <v>251401</v>
      </c>
      <c r="AK464" s="516">
        <v>1</v>
      </c>
      <c r="AL464" s="516">
        <f t="shared" si="7"/>
        <v>1</v>
      </c>
      <c r="AM464" s="516">
        <v>1</v>
      </c>
      <c r="AN464" s="28" t="s">
        <v>17650</v>
      </c>
      <c r="AO464" s="28" t="s">
        <v>17651</v>
      </c>
      <c r="AP464" s="28" t="s">
        <v>17652</v>
      </c>
      <c r="AQ464" s="28" t="s">
        <v>17653</v>
      </c>
      <c r="AR464" s="28" t="s">
        <v>1024</v>
      </c>
    </row>
    <row r="465" spans="1:44" x14ac:dyDescent="0.25">
      <c r="A465" s="28" t="s">
        <v>3177</v>
      </c>
      <c r="B465" s="28" t="s">
        <v>7513</v>
      </c>
      <c r="C465" s="28" t="s">
        <v>778</v>
      </c>
      <c r="D465" s="28" t="s">
        <v>17784</v>
      </c>
      <c r="E465" s="28" t="s">
        <v>192</v>
      </c>
      <c r="F465" s="28">
        <v>1</v>
      </c>
      <c r="G465" s="28" t="s">
        <v>193</v>
      </c>
      <c r="H465" s="28" t="s">
        <v>194</v>
      </c>
      <c r="I465" s="28" t="s">
        <v>19175</v>
      </c>
      <c r="J465" s="28" t="s">
        <v>1995</v>
      </c>
      <c r="K465" s="28" t="s">
        <v>9309</v>
      </c>
      <c r="L465" s="28" t="s">
        <v>6955</v>
      </c>
      <c r="N465" s="28" t="s">
        <v>19481</v>
      </c>
      <c r="O465" s="28" t="s">
        <v>6288</v>
      </c>
      <c r="P465" s="28" t="s">
        <v>19393</v>
      </c>
      <c r="Q465" s="28" t="s">
        <v>17706</v>
      </c>
      <c r="R465" s="28" t="s">
        <v>19372</v>
      </c>
      <c r="S465" s="28" t="s">
        <v>19482</v>
      </c>
      <c r="T465" s="28" t="s">
        <v>19483</v>
      </c>
      <c r="V465" s="28" t="s">
        <v>9440</v>
      </c>
      <c r="W465" s="28" t="s">
        <v>779</v>
      </c>
      <c r="X465" s="28" t="s">
        <v>194</v>
      </c>
      <c r="Y465" s="28" t="s">
        <v>9300</v>
      </c>
      <c r="AB465" s="28" t="s">
        <v>9311</v>
      </c>
      <c r="AH465" s="28" t="s">
        <v>4714</v>
      </c>
      <c r="AI465" s="28" t="s">
        <v>7513</v>
      </c>
      <c r="AJ465" s="516" t="str">
        <f>MID('II kw.22'!W465,8,6)</f>
        <v>524902</v>
      </c>
      <c r="AK465" s="516">
        <v>1</v>
      </c>
      <c r="AL465" s="516">
        <f t="shared" si="7"/>
        <v>1</v>
      </c>
      <c r="AM465" s="516">
        <v>1</v>
      </c>
      <c r="AN465" s="28" t="s">
        <v>17650</v>
      </c>
      <c r="AO465" s="28" t="s">
        <v>17651</v>
      </c>
      <c r="AP465" s="28" t="s">
        <v>17652</v>
      </c>
      <c r="AQ465" s="28" t="s">
        <v>17653</v>
      </c>
      <c r="AR465" s="28" t="s">
        <v>1024</v>
      </c>
    </row>
    <row r="466" spans="1:44" x14ac:dyDescent="0.25">
      <c r="A466" s="28" t="s">
        <v>18541</v>
      </c>
      <c r="B466" s="28" t="s">
        <v>1419</v>
      </c>
      <c r="C466" s="28" t="s">
        <v>10</v>
      </c>
      <c r="D466" s="28" t="s">
        <v>17784</v>
      </c>
      <c r="E466" s="28" t="s">
        <v>192</v>
      </c>
      <c r="F466" s="28">
        <v>1</v>
      </c>
      <c r="G466" s="28" t="s">
        <v>193</v>
      </c>
      <c r="H466" s="28" t="s">
        <v>194</v>
      </c>
      <c r="I466" s="28" t="s">
        <v>19175</v>
      </c>
      <c r="J466" s="28" t="s">
        <v>210</v>
      </c>
      <c r="K466" s="28" t="s">
        <v>9309</v>
      </c>
      <c r="L466" s="28" t="s">
        <v>6955</v>
      </c>
      <c r="N466" s="28" t="s">
        <v>19484</v>
      </c>
      <c r="O466" s="28" t="s">
        <v>6921</v>
      </c>
      <c r="P466" s="28" t="s">
        <v>19393</v>
      </c>
      <c r="Q466" s="28" t="s">
        <v>17706</v>
      </c>
      <c r="R466" s="28" t="s">
        <v>19372</v>
      </c>
      <c r="S466" s="28" t="s">
        <v>19485</v>
      </c>
      <c r="T466" s="28" t="s">
        <v>19486</v>
      </c>
      <c r="V466" s="28" t="s">
        <v>9334</v>
      </c>
      <c r="W466" s="28" t="s">
        <v>484</v>
      </c>
      <c r="X466" s="28" t="s">
        <v>194</v>
      </c>
      <c r="Y466" s="28" t="s">
        <v>9300</v>
      </c>
      <c r="AB466" s="28" t="s">
        <v>9311</v>
      </c>
      <c r="AH466" s="28" t="s">
        <v>4714</v>
      </c>
      <c r="AI466" s="28" t="s">
        <v>1419</v>
      </c>
      <c r="AJ466" s="516" t="str">
        <f>MID('II kw.22'!W466,8,6)</f>
        <v>251401</v>
      </c>
      <c r="AK466" s="516">
        <v>1</v>
      </c>
      <c r="AL466" s="516">
        <f t="shared" si="7"/>
        <v>1</v>
      </c>
      <c r="AM466" s="516">
        <v>1</v>
      </c>
      <c r="AN466" s="28" t="s">
        <v>17650</v>
      </c>
      <c r="AO466" s="28" t="s">
        <v>17651</v>
      </c>
      <c r="AP466" s="28" t="s">
        <v>17652</v>
      </c>
      <c r="AQ466" s="28" t="s">
        <v>17653</v>
      </c>
      <c r="AR466" s="28" t="s">
        <v>1024</v>
      </c>
    </row>
    <row r="467" spans="1:44" x14ac:dyDescent="0.25">
      <c r="A467" s="28" t="s">
        <v>493</v>
      </c>
      <c r="B467" s="28" t="s">
        <v>19487</v>
      </c>
      <c r="C467" s="28" t="s">
        <v>10</v>
      </c>
      <c r="D467" s="28" t="s">
        <v>17784</v>
      </c>
      <c r="E467" s="28" t="s">
        <v>192</v>
      </c>
      <c r="F467" s="28">
        <v>1</v>
      </c>
      <c r="G467" s="28" t="s">
        <v>193</v>
      </c>
      <c r="H467" s="28" t="s">
        <v>194</v>
      </c>
      <c r="I467" s="28" t="s">
        <v>19175</v>
      </c>
      <c r="J467" s="28" t="s">
        <v>210</v>
      </c>
      <c r="K467" s="28" t="s">
        <v>9309</v>
      </c>
      <c r="L467" s="28" t="s">
        <v>6955</v>
      </c>
      <c r="N467" s="28" t="s">
        <v>19488</v>
      </c>
      <c r="O467" s="28" t="s">
        <v>6921</v>
      </c>
      <c r="P467" s="28" t="s">
        <v>19393</v>
      </c>
      <c r="Q467" s="28" t="s">
        <v>17706</v>
      </c>
      <c r="R467" s="28" t="s">
        <v>19372</v>
      </c>
      <c r="S467" s="28" t="s">
        <v>19489</v>
      </c>
      <c r="T467" s="28" t="s">
        <v>19490</v>
      </c>
      <c r="V467" s="28" t="s">
        <v>9334</v>
      </c>
      <c r="W467" s="28" t="s">
        <v>484</v>
      </c>
      <c r="X467" s="28" t="s">
        <v>194</v>
      </c>
      <c r="Y467" s="28" t="s">
        <v>9300</v>
      </c>
      <c r="AB467" s="28" t="s">
        <v>9311</v>
      </c>
      <c r="AH467" s="28" t="s">
        <v>4714</v>
      </c>
      <c r="AI467" s="28" t="s">
        <v>19487</v>
      </c>
      <c r="AJ467" s="516" t="str">
        <f>MID('II kw.22'!W467,8,6)</f>
        <v>251401</v>
      </c>
      <c r="AK467" s="516">
        <v>1</v>
      </c>
      <c r="AL467" s="516">
        <f t="shared" si="7"/>
        <v>1</v>
      </c>
      <c r="AM467" s="516">
        <v>1</v>
      </c>
      <c r="AN467" s="28" t="s">
        <v>17650</v>
      </c>
      <c r="AO467" s="28" t="s">
        <v>17651</v>
      </c>
      <c r="AP467" s="28" t="s">
        <v>17652</v>
      </c>
      <c r="AQ467" s="28" t="s">
        <v>17653</v>
      </c>
      <c r="AR467" s="28" t="s">
        <v>1024</v>
      </c>
    </row>
    <row r="468" spans="1:44" x14ac:dyDescent="0.25">
      <c r="A468" s="28" t="s">
        <v>3177</v>
      </c>
      <c r="B468" s="28" t="s">
        <v>7513</v>
      </c>
      <c r="C468" s="28" t="s">
        <v>778</v>
      </c>
      <c r="D468" s="28" t="s">
        <v>17784</v>
      </c>
      <c r="E468" s="28" t="s">
        <v>192</v>
      </c>
      <c r="F468" s="28">
        <v>1</v>
      </c>
      <c r="G468" s="28" t="s">
        <v>193</v>
      </c>
      <c r="H468" s="28" t="s">
        <v>194</v>
      </c>
      <c r="I468" s="28" t="s">
        <v>19175</v>
      </c>
      <c r="J468" s="28" t="s">
        <v>367</v>
      </c>
      <c r="K468" s="28" t="s">
        <v>9309</v>
      </c>
      <c r="L468" s="28" t="s">
        <v>6955</v>
      </c>
      <c r="N468" s="28" t="s">
        <v>19491</v>
      </c>
      <c r="O468" s="28" t="s">
        <v>6288</v>
      </c>
      <c r="P468" s="28" t="s">
        <v>19393</v>
      </c>
      <c r="Q468" s="28" t="s">
        <v>17706</v>
      </c>
      <c r="R468" s="28" t="s">
        <v>19372</v>
      </c>
      <c r="S468" s="28" t="s">
        <v>19492</v>
      </c>
      <c r="T468" s="28" t="s">
        <v>19493</v>
      </c>
      <c r="V468" s="28" t="s">
        <v>9974</v>
      </c>
      <c r="W468" s="28" t="s">
        <v>779</v>
      </c>
      <c r="X468" s="28" t="s">
        <v>194</v>
      </c>
      <c r="Y468" s="28" t="s">
        <v>9300</v>
      </c>
      <c r="AB468" s="28" t="s">
        <v>9311</v>
      </c>
      <c r="AH468" s="28" t="s">
        <v>4714</v>
      </c>
      <c r="AI468" s="28" t="s">
        <v>7513</v>
      </c>
      <c r="AJ468" s="516" t="str">
        <f>MID('II kw.22'!W468,8,6)</f>
        <v>524902</v>
      </c>
      <c r="AK468" s="516">
        <v>1</v>
      </c>
      <c r="AL468" s="516">
        <f t="shared" si="7"/>
        <v>1</v>
      </c>
      <c r="AM468" s="516">
        <v>1</v>
      </c>
      <c r="AN468" s="28" t="s">
        <v>17650</v>
      </c>
      <c r="AO468" s="28" t="s">
        <v>17651</v>
      </c>
      <c r="AP468" s="28" t="s">
        <v>17652</v>
      </c>
      <c r="AQ468" s="28" t="s">
        <v>17653</v>
      </c>
      <c r="AR468" s="28" t="s">
        <v>1024</v>
      </c>
    </row>
    <row r="469" spans="1:44" x14ac:dyDescent="0.25">
      <c r="A469" s="28" t="s">
        <v>3177</v>
      </c>
      <c r="B469" s="28" t="s">
        <v>2295</v>
      </c>
      <c r="C469" s="28" t="s">
        <v>48</v>
      </c>
      <c r="D469" s="28" t="s">
        <v>17784</v>
      </c>
      <c r="E469" s="28" t="s">
        <v>192</v>
      </c>
      <c r="F469" s="28">
        <v>1</v>
      </c>
      <c r="G469" s="28" t="s">
        <v>193</v>
      </c>
      <c r="H469" s="28" t="s">
        <v>194</v>
      </c>
      <c r="I469" s="28" t="s">
        <v>18819</v>
      </c>
      <c r="J469" s="28" t="s">
        <v>1995</v>
      </c>
      <c r="K469" s="28" t="s">
        <v>9309</v>
      </c>
      <c r="L469" s="28" t="s">
        <v>6955</v>
      </c>
      <c r="N469" s="28" t="s">
        <v>19494</v>
      </c>
      <c r="O469" s="28" t="s">
        <v>6288</v>
      </c>
      <c r="P469" s="28" t="s">
        <v>19239</v>
      </c>
      <c r="Q469" s="28" t="s">
        <v>17706</v>
      </c>
      <c r="R469" s="28" t="s">
        <v>19372</v>
      </c>
      <c r="S469" s="28" t="s">
        <v>19495</v>
      </c>
      <c r="T469" s="28" t="s">
        <v>19496</v>
      </c>
      <c r="V469" s="28" t="s">
        <v>9440</v>
      </c>
      <c r="W469" s="28" t="s">
        <v>2296</v>
      </c>
      <c r="X469" s="28" t="s">
        <v>194</v>
      </c>
      <c r="Y469" s="28" t="s">
        <v>9300</v>
      </c>
      <c r="AB469" s="28" t="s">
        <v>9311</v>
      </c>
      <c r="AH469" s="28" t="s">
        <v>4714</v>
      </c>
      <c r="AI469" s="28" t="s">
        <v>19497</v>
      </c>
      <c r="AJ469" s="516" t="str">
        <f>MID('II kw.22'!W469,8,6)</f>
        <v>321401</v>
      </c>
      <c r="AK469" s="516">
        <v>1</v>
      </c>
      <c r="AL469" s="516">
        <f t="shared" si="7"/>
        <v>1</v>
      </c>
      <c r="AM469" s="516">
        <v>1</v>
      </c>
      <c r="AN469" s="28" t="s">
        <v>17650</v>
      </c>
      <c r="AO469" s="28" t="s">
        <v>17651</v>
      </c>
      <c r="AP469" s="28" t="s">
        <v>17652</v>
      </c>
      <c r="AQ469" s="28" t="s">
        <v>17653</v>
      </c>
      <c r="AR469" s="28" t="s">
        <v>1024</v>
      </c>
    </row>
    <row r="470" spans="1:44" x14ac:dyDescent="0.25">
      <c r="A470" s="28" t="s">
        <v>3177</v>
      </c>
      <c r="B470" s="28" t="s">
        <v>2295</v>
      </c>
      <c r="C470" s="28" t="s">
        <v>48</v>
      </c>
      <c r="D470" s="28" t="s">
        <v>17784</v>
      </c>
      <c r="E470" s="28" t="s">
        <v>192</v>
      </c>
      <c r="F470" s="28">
        <v>1</v>
      </c>
      <c r="G470" s="28" t="s">
        <v>193</v>
      </c>
      <c r="H470" s="28" t="s">
        <v>194</v>
      </c>
      <c r="I470" s="28" t="s">
        <v>18819</v>
      </c>
      <c r="J470" s="28" t="s">
        <v>367</v>
      </c>
      <c r="K470" s="28" t="s">
        <v>9309</v>
      </c>
      <c r="L470" s="28" t="s">
        <v>6955</v>
      </c>
      <c r="N470" s="28" t="s">
        <v>19498</v>
      </c>
      <c r="O470" s="28" t="s">
        <v>6288</v>
      </c>
      <c r="P470" s="28" t="s">
        <v>19239</v>
      </c>
      <c r="Q470" s="28" t="s">
        <v>17706</v>
      </c>
      <c r="R470" s="28" t="s">
        <v>19372</v>
      </c>
      <c r="S470" s="28" t="s">
        <v>19499</v>
      </c>
      <c r="T470" s="28" t="s">
        <v>19500</v>
      </c>
      <c r="V470" s="28" t="s">
        <v>9974</v>
      </c>
      <c r="W470" s="28" t="s">
        <v>2296</v>
      </c>
      <c r="X470" s="28" t="s">
        <v>194</v>
      </c>
      <c r="Y470" s="28" t="s">
        <v>9300</v>
      </c>
      <c r="AB470" s="28" t="s">
        <v>9311</v>
      </c>
      <c r="AH470" s="28" t="s">
        <v>4714</v>
      </c>
      <c r="AI470" s="28" t="s">
        <v>19497</v>
      </c>
      <c r="AJ470" s="516" t="str">
        <f>MID('II kw.22'!W470,8,6)</f>
        <v>321401</v>
      </c>
      <c r="AK470" s="516">
        <v>1</v>
      </c>
      <c r="AL470" s="516">
        <f t="shared" si="7"/>
        <v>1</v>
      </c>
      <c r="AM470" s="516">
        <v>1</v>
      </c>
      <c r="AN470" s="28" t="s">
        <v>17650</v>
      </c>
      <c r="AO470" s="28" t="s">
        <v>17651</v>
      </c>
      <c r="AP470" s="28" t="s">
        <v>17652</v>
      </c>
      <c r="AQ470" s="28" t="s">
        <v>17653</v>
      </c>
      <c r="AR470" s="28" t="s">
        <v>1024</v>
      </c>
    </row>
    <row r="471" spans="1:44" x14ac:dyDescent="0.25">
      <c r="A471" s="28" t="s">
        <v>19501</v>
      </c>
      <c r="B471" s="28" t="s">
        <v>15019</v>
      </c>
      <c r="C471" s="28" t="s">
        <v>67</v>
      </c>
      <c r="D471" s="28" t="s">
        <v>17784</v>
      </c>
      <c r="E471" s="28" t="s">
        <v>192</v>
      </c>
      <c r="F471" s="28">
        <v>1</v>
      </c>
      <c r="G471" s="28" t="s">
        <v>193</v>
      </c>
      <c r="H471" s="28" t="s">
        <v>194</v>
      </c>
      <c r="I471" s="28" t="s">
        <v>17800</v>
      </c>
      <c r="J471" s="28" t="s">
        <v>367</v>
      </c>
      <c r="K471" s="28" t="s">
        <v>9309</v>
      </c>
      <c r="L471" s="28" t="s">
        <v>6955</v>
      </c>
      <c r="N471" s="28" t="s">
        <v>19502</v>
      </c>
      <c r="O471" s="28" t="s">
        <v>6266</v>
      </c>
      <c r="P471" s="28" t="s">
        <v>19393</v>
      </c>
      <c r="Q471" s="28" t="s">
        <v>17706</v>
      </c>
      <c r="R471" s="28" t="s">
        <v>19372</v>
      </c>
      <c r="S471" s="28" t="s">
        <v>19503</v>
      </c>
      <c r="T471" s="28" t="s">
        <v>19504</v>
      </c>
      <c r="V471" s="28" t="s">
        <v>9974</v>
      </c>
      <c r="W471" s="28" t="s">
        <v>709</v>
      </c>
      <c r="X471" s="28" t="s">
        <v>194</v>
      </c>
      <c r="Y471" s="28" t="s">
        <v>9300</v>
      </c>
      <c r="AB471" s="28" t="s">
        <v>9311</v>
      </c>
      <c r="AH471" s="28" t="s">
        <v>4714</v>
      </c>
      <c r="AI471" s="28" t="s">
        <v>15019</v>
      </c>
      <c r="AJ471" s="516" t="str">
        <f>MID('II kw.22'!W471,8,6)</f>
        <v>432103</v>
      </c>
      <c r="AK471" s="516">
        <v>1</v>
      </c>
      <c r="AL471" s="516">
        <f t="shared" si="7"/>
        <v>1</v>
      </c>
      <c r="AM471" s="516">
        <v>1</v>
      </c>
      <c r="AN471" s="28" t="s">
        <v>17650</v>
      </c>
      <c r="AO471" s="28" t="s">
        <v>17651</v>
      </c>
      <c r="AP471" s="28" t="s">
        <v>17652</v>
      </c>
      <c r="AQ471" s="28" t="s">
        <v>17653</v>
      </c>
      <c r="AR471" s="28" t="s">
        <v>1024</v>
      </c>
    </row>
    <row r="472" spans="1:44" x14ac:dyDescent="0.25">
      <c r="A472" s="28" t="s">
        <v>3044</v>
      </c>
      <c r="B472" s="28" t="s">
        <v>19505</v>
      </c>
      <c r="C472" s="28" t="s">
        <v>115</v>
      </c>
      <c r="D472" s="28" t="s">
        <v>17784</v>
      </c>
      <c r="E472" s="28" t="s">
        <v>192</v>
      </c>
      <c r="F472" s="28">
        <v>1</v>
      </c>
      <c r="G472" s="28" t="s">
        <v>193</v>
      </c>
      <c r="H472" s="28" t="s">
        <v>194</v>
      </c>
      <c r="I472" s="28" t="s">
        <v>17800</v>
      </c>
      <c r="J472" s="28" t="s">
        <v>210</v>
      </c>
      <c r="K472" s="28" t="s">
        <v>9309</v>
      </c>
      <c r="L472" s="28" t="s">
        <v>6955</v>
      </c>
      <c r="N472" s="28" t="s">
        <v>19506</v>
      </c>
      <c r="O472" s="28" t="s">
        <v>6275</v>
      </c>
      <c r="P472" s="28" t="s">
        <v>19393</v>
      </c>
      <c r="Q472" s="28" t="s">
        <v>17706</v>
      </c>
      <c r="R472" s="28" t="s">
        <v>19372</v>
      </c>
      <c r="S472" s="28" t="s">
        <v>19507</v>
      </c>
      <c r="T472" s="28" t="s">
        <v>19508</v>
      </c>
      <c r="V472" s="28" t="s">
        <v>9334</v>
      </c>
      <c r="W472" s="28" t="s">
        <v>1183</v>
      </c>
      <c r="X472" s="28" t="s">
        <v>194</v>
      </c>
      <c r="Y472" s="28" t="s">
        <v>9300</v>
      </c>
      <c r="AB472" s="28" t="s">
        <v>9311</v>
      </c>
      <c r="AH472" s="28" t="s">
        <v>4714</v>
      </c>
      <c r="AI472" s="28" t="s">
        <v>19505</v>
      </c>
      <c r="AJ472" s="516" t="str">
        <f>MID('II kw.22'!W472,8,6)</f>
        <v>311909</v>
      </c>
      <c r="AK472" s="516">
        <v>1</v>
      </c>
      <c r="AL472" s="516">
        <f t="shared" si="7"/>
        <v>1</v>
      </c>
      <c r="AM472" s="516">
        <v>1</v>
      </c>
      <c r="AN472" s="28" t="s">
        <v>17650</v>
      </c>
      <c r="AO472" s="28" t="s">
        <v>17651</v>
      </c>
      <c r="AP472" s="28" t="s">
        <v>17652</v>
      </c>
      <c r="AQ472" s="28" t="s">
        <v>17653</v>
      </c>
      <c r="AR472" s="28" t="s">
        <v>1024</v>
      </c>
    </row>
    <row r="473" spans="1:44" x14ac:dyDescent="0.25">
      <c r="A473" s="28" t="s">
        <v>19509</v>
      </c>
      <c r="B473" s="28" t="s">
        <v>19510</v>
      </c>
      <c r="C473" s="28" t="s">
        <v>566</v>
      </c>
      <c r="D473" s="28" t="s">
        <v>17784</v>
      </c>
      <c r="E473" s="28" t="s">
        <v>192</v>
      </c>
      <c r="F473" s="28">
        <v>1</v>
      </c>
      <c r="G473" s="28" t="s">
        <v>193</v>
      </c>
      <c r="H473" s="28" t="s">
        <v>194</v>
      </c>
      <c r="I473" s="28" t="s">
        <v>17800</v>
      </c>
      <c r="J473" s="28" t="s">
        <v>316</v>
      </c>
      <c r="K473" s="28" t="s">
        <v>9309</v>
      </c>
      <c r="L473" s="28" t="s">
        <v>6955</v>
      </c>
      <c r="N473" s="28" t="s">
        <v>19511</v>
      </c>
      <c r="O473" s="28" t="s">
        <v>6275</v>
      </c>
      <c r="P473" s="28" t="s">
        <v>19393</v>
      </c>
      <c r="Q473" s="28" t="s">
        <v>17706</v>
      </c>
      <c r="R473" s="28" t="s">
        <v>19372</v>
      </c>
      <c r="S473" s="28" t="s">
        <v>19512</v>
      </c>
      <c r="T473" s="28" t="s">
        <v>19513</v>
      </c>
      <c r="V473" s="28" t="s">
        <v>10012</v>
      </c>
      <c r="W473" s="28" t="s">
        <v>567</v>
      </c>
      <c r="X473" s="28" t="s">
        <v>194</v>
      </c>
      <c r="Y473" s="28" t="s">
        <v>9300</v>
      </c>
      <c r="AB473" s="28" t="s">
        <v>9311</v>
      </c>
      <c r="AH473" s="28" t="s">
        <v>4714</v>
      </c>
      <c r="AI473" s="28" t="s">
        <v>19510</v>
      </c>
      <c r="AJ473" s="516" t="str">
        <f>MID('II kw.22'!W473,8,6)</f>
        <v>311504</v>
      </c>
      <c r="AK473" s="516">
        <v>1</v>
      </c>
      <c r="AL473" s="516">
        <f t="shared" si="7"/>
        <v>1</v>
      </c>
      <c r="AM473" s="516">
        <v>1</v>
      </c>
      <c r="AN473" s="28" t="s">
        <v>17650</v>
      </c>
      <c r="AO473" s="28" t="s">
        <v>17651</v>
      </c>
      <c r="AP473" s="28" t="s">
        <v>17652</v>
      </c>
      <c r="AQ473" s="28" t="s">
        <v>17653</v>
      </c>
      <c r="AR473" s="28" t="s">
        <v>1024</v>
      </c>
    </row>
    <row r="474" spans="1:44" x14ac:dyDescent="0.25">
      <c r="A474" s="28" t="s">
        <v>1207</v>
      </c>
      <c r="B474" s="28" t="s">
        <v>8064</v>
      </c>
      <c r="C474" s="28" t="s">
        <v>113</v>
      </c>
      <c r="D474" s="28" t="s">
        <v>17784</v>
      </c>
      <c r="E474" s="28" t="s">
        <v>192</v>
      </c>
      <c r="F474" s="28">
        <v>1</v>
      </c>
      <c r="G474" s="28" t="s">
        <v>193</v>
      </c>
      <c r="H474" s="28" t="s">
        <v>194</v>
      </c>
      <c r="I474" s="28" t="s">
        <v>19175</v>
      </c>
      <c r="J474" s="28" t="s">
        <v>4751</v>
      </c>
      <c r="K474" s="28" t="s">
        <v>9309</v>
      </c>
      <c r="L474" s="28" t="s">
        <v>6955</v>
      </c>
      <c r="N474" s="28" t="s">
        <v>19514</v>
      </c>
      <c r="O474" s="28" t="s">
        <v>6254</v>
      </c>
      <c r="P474" s="28" t="s">
        <v>19393</v>
      </c>
      <c r="Q474" s="28" t="s">
        <v>17706</v>
      </c>
      <c r="R474" s="28" t="s">
        <v>17806</v>
      </c>
      <c r="S474" s="28" t="s">
        <v>19515</v>
      </c>
      <c r="T474" s="28" t="s">
        <v>19516</v>
      </c>
      <c r="V474" s="28" t="s">
        <v>9472</v>
      </c>
      <c r="W474" s="28" t="s">
        <v>465</v>
      </c>
      <c r="X474" s="28" t="s">
        <v>194</v>
      </c>
      <c r="Y474" s="28" t="s">
        <v>9300</v>
      </c>
      <c r="AB474" s="28" t="s">
        <v>9311</v>
      </c>
      <c r="AH474" s="28" t="s">
        <v>4714</v>
      </c>
      <c r="AI474" s="28" t="s">
        <v>8064</v>
      </c>
      <c r="AJ474" s="516" t="str">
        <f>MID('II kw.22'!W474,8,6)</f>
        <v>243302</v>
      </c>
      <c r="AK474" s="516">
        <v>1</v>
      </c>
      <c r="AL474" s="516">
        <f t="shared" si="7"/>
        <v>1</v>
      </c>
      <c r="AM474" s="516">
        <v>1</v>
      </c>
      <c r="AN474" s="28" t="s">
        <v>17650</v>
      </c>
      <c r="AO474" s="28" t="s">
        <v>17651</v>
      </c>
      <c r="AP474" s="28" t="s">
        <v>17652</v>
      </c>
      <c r="AQ474" s="28" t="s">
        <v>17653</v>
      </c>
      <c r="AR474" s="28" t="s">
        <v>1024</v>
      </c>
    </row>
    <row r="475" spans="1:44" x14ac:dyDescent="0.25">
      <c r="A475" s="28" t="s">
        <v>16412</v>
      </c>
      <c r="B475" s="28" t="s">
        <v>16408</v>
      </c>
      <c r="C475" s="28" t="s">
        <v>19517</v>
      </c>
      <c r="D475" s="28" t="s">
        <v>17784</v>
      </c>
      <c r="E475" s="28" t="s">
        <v>192</v>
      </c>
      <c r="F475" s="28">
        <v>1</v>
      </c>
      <c r="G475" s="28" t="s">
        <v>193</v>
      </c>
      <c r="H475" s="28" t="s">
        <v>194</v>
      </c>
      <c r="I475" s="28" t="s">
        <v>17800</v>
      </c>
      <c r="J475" s="28" t="s">
        <v>210</v>
      </c>
      <c r="K475" s="28" t="s">
        <v>9309</v>
      </c>
      <c r="L475" s="28" t="s">
        <v>6955</v>
      </c>
      <c r="N475" s="28" t="s">
        <v>19518</v>
      </c>
      <c r="O475" s="28" t="s">
        <v>6343</v>
      </c>
      <c r="P475" s="28" t="s">
        <v>19393</v>
      </c>
      <c r="Q475" s="28" t="s">
        <v>17706</v>
      </c>
      <c r="R475" s="28" t="s">
        <v>19372</v>
      </c>
      <c r="S475" s="28" t="s">
        <v>19519</v>
      </c>
      <c r="T475" s="28" t="s">
        <v>19520</v>
      </c>
      <c r="V475" s="28" t="s">
        <v>9334</v>
      </c>
      <c r="W475" s="28" t="s">
        <v>19521</v>
      </c>
      <c r="X475" s="28" t="s">
        <v>194</v>
      </c>
      <c r="Y475" s="28" t="s">
        <v>9300</v>
      </c>
      <c r="AB475" s="28" t="s">
        <v>9311</v>
      </c>
      <c r="AH475" s="28" t="s">
        <v>4714</v>
      </c>
      <c r="AI475" s="28" t="s">
        <v>16408</v>
      </c>
      <c r="AJ475" s="516" t="str">
        <f>MID('II kw.22'!W475,8,6)</f>
        <v>343908</v>
      </c>
      <c r="AK475" s="516">
        <v>1</v>
      </c>
      <c r="AL475" s="516">
        <f t="shared" si="7"/>
        <v>1</v>
      </c>
      <c r="AM475" s="516">
        <v>1</v>
      </c>
      <c r="AN475" s="28" t="s">
        <v>17650</v>
      </c>
      <c r="AO475" s="28" t="s">
        <v>17651</v>
      </c>
      <c r="AP475" s="28" t="s">
        <v>17652</v>
      </c>
      <c r="AQ475" s="28" t="s">
        <v>17653</v>
      </c>
      <c r="AR475" s="28" t="s">
        <v>1024</v>
      </c>
    </row>
    <row r="476" spans="1:44" x14ac:dyDescent="0.25">
      <c r="A476" s="28" t="s">
        <v>1471</v>
      </c>
      <c r="B476" s="28" t="s">
        <v>19522</v>
      </c>
      <c r="C476" s="28" t="s">
        <v>101</v>
      </c>
      <c r="D476" s="28" t="s">
        <v>17784</v>
      </c>
      <c r="E476" s="28" t="s">
        <v>192</v>
      </c>
      <c r="F476" s="28">
        <v>1</v>
      </c>
      <c r="G476" s="28" t="s">
        <v>193</v>
      </c>
      <c r="H476" s="28" t="s">
        <v>194</v>
      </c>
      <c r="I476" s="28" t="s">
        <v>17800</v>
      </c>
      <c r="J476" s="28" t="s">
        <v>253</v>
      </c>
      <c r="K476" s="28" t="s">
        <v>9309</v>
      </c>
      <c r="L476" s="28" t="s">
        <v>6955</v>
      </c>
      <c r="N476" s="28" t="s">
        <v>19523</v>
      </c>
      <c r="O476" s="28" t="s">
        <v>7489</v>
      </c>
      <c r="P476" s="28" t="s">
        <v>19393</v>
      </c>
      <c r="Q476" s="28" t="s">
        <v>17706</v>
      </c>
      <c r="R476" s="28" t="s">
        <v>19372</v>
      </c>
      <c r="S476" s="28" t="s">
        <v>19524</v>
      </c>
      <c r="T476" s="28" t="s">
        <v>19525</v>
      </c>
      <c r="V476" s="28" t="s">
        <v>9468</v>
      </c>
      <c r="W476" s="28" t="s">
        <v>519</v>
      </c>
      <c r="X476" s="28" t="s">
        <v>194</v>
      </c>
      <c r="Y476" s="28" t="s">
        <v>9300</v>
      </c>
      <c r="AB476" s="28" t="s">
        <v>9311</v>
      </c>
      <c r="AH476" s="28" t="s">
        <v>4714</v>
      </c>
      <c r="AI476" s="28" t="s">
        <v>19522</v>
      </c>
      <c r="AJ476" s="516" t="str">
        <f>MID('II kw.22'!W476,8,6)</f>
        <v>261103</v>
      </c>
      <c r="AK476" s="516">
        <v>1</v>
      </c>
      <c r="AL476" s="516">
        <f t="shared" si="7"/>
        <v>1</v>
      </c>
      <c r="AM476" s="516">
        <v>1</v>
      </c>
      <c r="AN476" s="28" t="s">
        <v>17650</v>
      </c>
      <c r="AO476" s="28" t="s">
        <v>17651</v>
      </c>
      <c r="AP476" s="28" t="s">
        <v>17652</v>
      </c>
      <c r="AQ476" s="28" t="s">
        <v>17653</v>
      </c>
      <c r="AR476" s="28" t="s">
        <v>1024</v>
      </c>
    </row>
    <row r="477" spans="1:44" x14ac:dyDescent="0.25">
      <c r="A477" s="28" t="s">
        <v>1490</v>
      </c>
      <c r="B477" s="28" t="s">
        <v>19526</v>
      </c>
      <c r="C477" s="28" t="s">
        <v>2901</v>
      </c>
      <c r="D477" s="28" t="s">
        <v>17784</v>
      </c>
      <c r="E477" s="28" t="s">
        <v>192</v>
      </c>
      <c r="F477" s="28">
        <v>1</v>
      </c>
      <c r="G477" s="28" t="s">
        <v>193</v>
      </c>
      <c r="H477" s="28" t="s">
        <v>194</v>
      </c>
      <c r="I477" s="28" t="s">
        <v>17800</v>
      </c>
      <c r="J477" s="28" t="s">
        <v>575</v>
      </c>
      <c r="K477" s="28" t="s">
        <v>9309</v>
      </c>
      <c r="L477" s="28" t="s">
        <v>6955</v>
      </c>
      <c r="N477" s="28" t="s">
        <v>19527</v>
      </c>
      <c r="O477" s="28" t="s">
        <v>6275</v>
      </c>
      <c r="P477" s="28" t="s">
        <v>19393</v>
      </c>
      <c r="Q477" s="28" t="s">
        <v>17706</v>
      </c>
      <c r="R477" s="28" t="s">
        <v>19372</v>
      </c>
      <c r="S477" s="28" t="s">
        <v>19528</v>
      </c>
      <c r="T477" s="28" t="s">
        <v>19529</v>
      </c>
      <c r="V477" s="28" t="s">
        <v>9726</v>
      </c>
      <c r="W477" s="28" t="s">
        <v>19530</v>
      </c>
      <c r="X477" s="28" t="s">
        <v>194</v>
      </c>
      <c r="Y477" s="28" t="s">
        <v>9300</v>
      </c>
      <c r="AB477" s="28" t="s">
        <v>9311</v>
      </c>
      <c r="AH477" s="28" t="s">
        <v>4714</v>
      </c>
      <c r="AI477" s="28" t="s">
        <v>19526</v>
      </c>
      <c r="AJ477" s="516" t="str">
        <f>MID('II kw.22'!W477,8,6)</f>
        <v>721202</v>
      </c>
      <c r="AK477" s="516">
        <v>1</v>
      </c>
      <c r="AL477" s="516">
        <f t="shared" si="7"/>
        <v>1</v>
      </c>
      <c r="AM477" s="516">
        <v>1</v>
      </c>
      <c r="AN477" s="28" t="s">
        <v>17650</v>
      </c>
      <c r="AO477" s="28" t="s">
        <v>17651</v>
      </c>
      <c r="AP477" s="28" t="s">
        <v>17652</v>
      </c>
      <c r="AQ477" s="28" t="s">
        <v>17653</v>
      </c>
      <c r="AR477" s="28" t="s">
        <v>1024</v>
      </c>
    </row>
    <row r="478" spans="1:44" x14ac:dyDescent="0.25">
      <c r="A478" s="28" t="s">
        <v>19531</v>
      </c>
      <c r="B478" s="28" t="s">
        <v>19532</v>
      </c>
      <c r="C478" s="28" t="s">
        <v>3176</v>
      </c>
      <c r="D478" s="28" t="s">
        <v>17784</v>
      </c>
      <c r="E478" s="28" t="s">
        <v>192</v>
      </c>
      <c r="F478" s="28">
        <v>1</v>
      </c>
      <c r="G478" s="28" t="s">
        <v>193</v>
      </c>
      <c r="H478" s="28" t="s">
        <v>194</v>
      </c>
      <c r="I478" s="28" t="s">
        <v>17800</v>
      </c>
      <c r="J478" s="28" t="s">
        <v>210</v>
      </c>
      <c r="K478" s="28" t="s">
        <v>9309</v>
      </c>
      <c r="L478" s="28" t="s">
        <v>6955</v>
      </c>
      <c r="N478" s="28" t="s">
        <v>19533</v>
      </c>
      <c r="O478" s="28" t="s">
        <v>6327</v>
      </c>
      <c r="P478" s="28" t="s">
        <v>19393</v>
      </c>
      <c r="Q478" s="28" t="s">
        <v>17706</v>
      </c>
      <c r="R478" s="28" t="s">
        <v>19372</v>
      </c>
      <c r="S478" s="28" t="s">
        <v>19534</v>
      </c>
      <c r="T478" s="28" t="s">
        <v>19535</v>
      </c>
      <c r="V478" s="28" t="s">
        <v>9334</v>
      </c>
      <c r="W478" s="28" t="s">
        <v>19536</v>
      </c>
      <c r="X478" s="28" t="s">
        <v>194</v>
      </c>
      <c r="Y478" s="28" t="s">
        <v>9300</v>
      </c>
      <c r="AB478" s="28" t="s">
        <v>9311</v>
      </c>
      <c r="AH478" s="28" t="s">
        <v>4714</v>
      </c>
      <c r="AI478" s="28" t="s">
        <v>19532</v>
      </c>
      <c r="AJ478" s="516" t="str">
        <f>MID('II kw.22'!W478,8,6)</f>
        <v>242109</v>
      </c>
      <c r="AK478" s="516">
        <v>1</v>
      </c>
      <c r="AL478" s="516">
        <f t="shared" si="7"/>
        <v>1</v>
      </c>
      <c r="AM478" s="516">
        <v>1</v>
      </c>
      <c r="AN478" s="28" t="s">
        <v>17650</v>
      </c>
      <c r="AO478" s="28" t="s">
        <v>17651</v>
      </c>
      <c r="AP478" s="28" t="s">
        <v>17652</v>
      </c>
      <c r="AQ478" s="28" t="s">
        <v>17653</v>
      </c>
      <c r="AR478" s="28" t="s">
        <v>1024</v>
      </c>
    </row>
    <row r="479" spans="1:44" x14ac:dyDescent="0.25">
      <c r="A479" s="28" t="s">
        <v>19537</v>
      </c>
      <c r="B479" s="28" t="s">
        <v>19538</v>
      </c>
      <c r="C479" s="28" t="s">
        <v>525</v>
      </c>
      <c r="D479" s="28" t="s">
        <v>17784</v>
      </c>
      <c r="E479" s="28" t="s">
        <v>192</v>
      </c>
      <c r="F479" s="28">
        <v>1</v>
      </c>
      <c r="G479" s="28" t="s">
        <v>193</v>
      </c>
      <c r="H479" s="28" t="s">
        <v>194</v>
      </c>
      <c r="I479" s="28" t="s">
        <v>17800</v>
      </c>
      <c r="J479" s="28" t="s">
        <v>672</v>
      </c>
      <c r="K479" s="28" t="s">
        <v>9309</v>
      </c>
      <c r="L479" s="28" t="s">
        <v>6955</v>
      </c>
      <c r="N479" s="28" t="s">
        <v>19539</v>
      </c>
      <c r="O479" s="28" t="s">
        <v>7489</v>
      </c>
      <c r="P479" s="28" t="s">
        <v>19393</v>
      </c>
      <c r="Q479" s="28" t="s">
        <v>17706</v>
      </c>
      <c r="R479" s="28" t="s">
        <v>19372</v>
      </c>
      <c r="S479" s="28" t="s">
        <v>19540</v>
      </c>
      <c r="T479" s="28" t="s">
        <v>19541</v>
      </c>
      <c r="V479" s="28" t="s">
        <v>9726</v>
      </c>
      <c r="W479" s="28" t="s">
        <v>526</v>
      </c>
      <c r="X479" s="28" t="s">
        <v>194</v>
      </c>
      <c r="Y479" s="28" t="s">
        <v>9300</v>
      </c>
      <c r="AB479" s="28" t="s">
        <v>9311</v>
      </c>
      <c r="AH479" s="509" t="s">
        <v>5109</v>
      </c>
      <c r="AI479" s="28" t="s">
        <v>19538</v>
      </c>
      <c r="AJ479" s="516" t="str">
        <f>MID('II kw.22'!W479,8,6)</f>
        <v>263102</v>
      </c>
      <c r="AK479" s="516">
        <v>1</v>
      </c>
      <c r="AL479" s="516">
        <f t="shared" si="7"/>
        <v>1</v>
      </c>
      <c r="AM479" s="516">
        <v>1</v>
      </c>
      <c r="AN479" s="28" t="s">
        <v>17650</v>
      </c>
      <c r="AO479" s="28" t="s">
        <v>17651</v>
      </c>
      <c r="AP479" s="28" t="s">
        <v>17652</v>
      </c>
      <c r="AQ479" s="28" t="s">
        <v>17653</v>
      </c>
      <c r="AR479" s="28" t="s">
        <v>1024</v>
      </c>
    </row>
    <row r="480" spans="1:44" x14ac:dyDescent="0.25">
      <c r="A480" s="28" t="s">
        <v>1568</v>
      </c>
      <c r="B480" s="28" t="s">
        <v>19542</v>
      </c>
      <c r="C480" s="28" t="s">
        <v>19543</v>
      </c>
      <c r="D480" s="28" t="s">
        <v>17784</v>
      </c>
      <c r="E480" s="28" t="s">
        <v>192</v>
      </c>
      <c r="F480" s="28">
        <v>1</v>
      </c>
      <c r="G480" s="28" t="s">
        <v>193</v>
      </c>
      <c r="H480" s="28" t="s">
        <v>194</v>
      </c>
      <c r="I480" s="28" t="s">
        <v>19175</v>
      </c>
      <c r="J480" s="28" t="s">
        <v>276</v>
      </c>
      <c r="K480" s="28" t="s">
        <v>9309</v>
      </c>
      <c r="L480" s="28" t="s">
        <v>6955</v>
      </c>
      <c r="N480" s="28" t="s">
        <v>19544</v>
      </c>
      <c r="O480" s="28" t="s">
        <v>6279</v>
      </c>
      <c r="P480" s="28" t="s">
        <v>19393</v>
      </c>
      <c r="Q480" s="28" t="s">
        <v>17706</v>
      </c>
      <c r="R480" s="28" t="s">
        <v>19372</v>
      </c>
      <c r="S480" s="28" t="s">
        <v>19545</v>
      </c>
      <c r="T480" s="28" t="s">
        <v>19546</v>
      </c>
      <c r="V480" s="28" t="s">
        <v>9786</v>
      </c>
      <c r="W480" s="28" t="s">
        <v>19547</v>
      </c>
      <c r="X480" s="28" t="s">
        <v>194</v>
      </c>
      <c r="Y480" s="28" t="s">
        <v>9300</v>
      </c>
      <c r="AB480" s="28" t="s">
        <v>9311</v>
      </c>
      <c r="AH480" s="28" t="s">
        <v>4714</v>
      </c>
      <c r="AI480" s="28" t="s">
        <v>19542</v>
      </c>
      <c r="AJ480" s="516" t="str">
        <f>MID('II kw.22'!W480,8,6)</f>
        <v>313401</v>
      </c>
      <c r="AK480" s="516">
        <v>1</v>
      </c>
      <c r="AL480" s="516">
        <f t="shared" si="7"/>
        <v>1</v>
      </c>
      <c r="AM480" s="516">
        <v>1</v>
      </c>
      <c r="AN480" s="28" t="s">
        <v>17650</v>
      </c>
      <c r="AO480" s="28" t="s">
        <v>17651</v>
      </c>
      <c r="AP480" s="28" t="s">
        <v>17652</v>
      </c>
      <c r="AQ480" s="28" t="s">
        <v>17653</v>
      </c>
      <c r="AR480" s="28" t="s">
        <v>1024</v>
      </c>
    </row>
    <row r="481" spans="1:44" x14ac:dyDescent="0.25">
      <c r="A481" s="28" t="s">
        <v>1207</v>
      </c>
      <c r="B481" s="28" t="s">
        <v>13294</v>
      </c>
      <c r="C481" s="28" t="s">
        <v>4966</v>
      </c>
      <c r="D481" s="28" t="s">
        <v>17784</v>
      </c>
      <c r="E481" s="28" t="s">
        <v>192</v>
      </c>
      <c r="F481" s="28">
        <v>1</v>
      </c>
      <c r="G481" s="28" t="s">
        <v>193</v>
      </c>
      <c r="H481" s="28" t="s">
        <v>194</v>
      </c>
      <c r="I481" s="28" t="s">
        <v>19175</v>
      </c>
      <c r="J481" s="28" t="s">
        <v>210</v>
      </c>
      <c r="K481" s="28" t="s">
        <v>9309</v>
      </c>
      <c r="L481" s="28" t="s">
        <v>6955</v>
      </c>
      <c r="N481" s="28" t="s">
        <v>19548</v>
      </c>
      <c r="O481" s="28" t="s">
        <v>6254</v>
      </c>
      <c r="P481" s="28" t="s">
        <v>19393</v>
      </c>
      <c r="Q481" s="28" t="s">
        <v>17706</v>
      </c>
      <c r="R481" s="28" t="s">
        <v>17806</v>
      </c>
      <c r="S481" s="28" t="s">
        <v>19549</v>
      </c>
      <c r="T481" s="28" t="s">
        <v>19550</v>
      </c>
      <c r="V481" s="28" t="s">
        <v>9334</v>
      </c>
      <c r="W481" s="28" t="s">
        <v>405</v>
      </c>
      <c r="X481" s="28" t="s">
        <v>194</v>
      </c>
      <c r="Y481" s="28" t="s">
        <v>9300</v>
      </c>
      <c r="AB481" s="28" t="s">
        <v>9311</v>
      </c>
      <c r="AH481" s="28" t="s">
        <v>4714</v>
      </c>
      <c r="AI481" s="28" t="s">
        <v>13294</v>
      </c>
      <c r="AJ481" s="516" t="str">
        <f>MID('II kw.22'!W481,8,6)</f>
        <v>241304</v>
      </c>
      <c r="AK481" s="516">
        <v>1</v>
      </c>
      <c r="AL481" s="516">
        <f t="shared" si="7"/>
        <v>1</v>
      </c>
      <c r="AM481" s="516">
        <v>1</v>
      </c>
      <c r="AN481" s="28" t="s">
        <v>17650</v>
      </c>
      <c r="AO481" s="28" t="s">
        <v>17651</v>
      </c>
      <c r="AP481" s="28" t="s">
        <v>17652</v>
      </c>
      <c r="AQ481" s="28" t="s">
        <v>17653</v>
      </c>
      <c r="AR481" s="28" t="s">
        <v>1024</v>
      </c>
    </row>
    <row r="482" spans="1:44" x14ac:dyDescent="0.25">
      <c r="A482" s="28" t="s">
        <v>19551</v>
      </c>
      <c r="B482" s="28" t="s">
        <v>19552</v>
      </c>
      <c r="C482" s="28" t="s">
        <v>129</v>
      </c>
      <c r="D482" s="28" t="s">
        <v>17784</v>
      </c>
      <c r="E482" s="28" t="s">
        <v>192</v>
      </c>
      <c r="F482" s="28">
        <v>1</v>
      </c>
      <c r="G482" s="28" t="s">
        <v>193</v>
      </c>
      <c r="H482" s="28" t="s">
        <v>194</v>
      </c>
      <c r="I482" s="28" t="s">
        <v>17800</v>
      </c>
      <c r="J482" s="28" t="s">
        <v>210</v>
      </c>
      <c r="K482" s="28" t="s">
        <v>9309</v>
      </c>
      <c r="L482" s="28" t="s">
        <v>6955</v>
      </c>
      <c r="N482" s="28" t="s">
        <v>19553</v>
      </c>
      <c r="O482" s="28" t="s">
        <v>6286</v>
      </c>
      <c r="P482" s="28" t="s">
        <v>19393</v>
      </c>
      <c r="Q482" s="28" t="s">
        <v>17706</v>
      </c>
      <c r="R482" s="28" t="s">
        <v>19372</v>
      </c>
      <c r="S482" s="28" t="s">
        <v>19554</v>
      </c>
      <c r="T482" s="28" t="s">
        <v>19555</v>
      </c>
      <c r="V482" s="28" t="s">
        <v>9334</v>
      </c>
      <c r="W482" s="28" t="s">
        <v>203</v>
      </c>
      <c r="X482" s="28" t="s">
        <v>194</v>
      </c>
      <c r="Y482" s="28" t="s">
        <v>9300</v>
      </c>
      <c r="AB482" s="28" t="s">
        <v>9311</v>
      </c>
      <c r="AH482" s="28" t="s">
        <v>4714</v>
      </c>
      <c r="AI482" s="28" t="s">
        <v>19552</v>
      </c>
      <c r="AJ482" s="516" t="str">
        <f>MID('II kw.22'!W482,8,6)</f>
        <v>121904</v>
      </c>
      <c r="AK482" s="516">
        <v>1</v>
      </c>
      <c r="AL482" s="516">
        <f t="shared" si="7"/>
        <v>1</v>
      </c>
      <c r="AM482" s="516">
        <v>1</v>
      </c>
      <c r="AN482" s="28" t="s">
        <v>17650</v>
      </c>
      <c r="AO482" s="28" t="s">
        <v>17651</v>
      </c>
      <c r="AP482" s="28" t="s">
        <v>17652</v>
      </c>
      <c r="AQ482" s="28" t="s">
        <v>17653</v>
      </c>
      <c r="AR482" s="28" t="s">
        <v>1024</v>
      </c>
    </row>
    <row r="483" spans="1:44" x14ac:dyDescent="0.25">
      <c r="A483" s="28" t="s">
        <v>13500</v>
      </c>
      <c r="B483" s="28" t="s">
        <v>15199</v>
      </c>
      <c r="C483" s="28" t="s">
        <v>122</v>
      </c>
      <c r="D483" s="28" t="s">
        <v>17784</v>
      </c>
      <c r="E483" s="28" t="s">
        <v>192</v>
      </c>
      <c r="F483" s="28">
        <v>1</v>
      </c>
      <c r="G483" s="28" t="s">
        <v>193</v>
      </c>
      <c r="H483" s="28" t="s">
        <v>194</v>
      </c>
      <c r="I483" s="28" t="s">
        <v>19175</v>
      </c>
      <c r="J483" s="28" t="s">
        <v>210</v>
      </c>
      <c r="K483" s="28" t="s">
        <v>9309</v>
      </c>
      <c r="L483" s="28" t="s">
        <v>6955</v>
      </c>
      <c r="N483" s="28" t="s">
        <v>19556</v>
      </c>
      <c r="O483" s="28" t="s">
        <v>6266</v>
      </c>
      <c r="P483" s="28" t="s">
        <v>19393</v>
      </c>
      <c r="Q483" s="28" t="s">
        <v>17706</v>
      </c>
      <c r="R483" s="28" t="s">
        <v>19372</v>
      </c>
      <c r="S483" s="28" t="s">
        <v>19557</v>
      </c>
      <c r="T483" s="28" t="s">
        <v>19558</v>
      </c>
      <c r="V483" s="28" t="s">
        <v>9334</v>
      </c>
      <c r="W483" s="28" t="s">
        <v>655</v>
      </c>
      <c r="X483" s="28" t="s">
        <v>194</v>
      </c>
      <c r="Y483" s="28" t="s">
        <v>9300</v>
      </c>
      <c r="AB483" s="28" t="s">
        <v>9311</v>
      </c>
      <c r="AH483" s="28" t="s">
        <v>4714</v>
      </c>
      <c r="AI483" s="28" t="s">
        <v>15199</v>
      </c>
      <c r="AJ483" s="516" t="str">
        <f>MID('II kw.22'!W483,8,6)</f>
        <v>332301</v>
      </c>
      <c r="AK483" s="516">
        <v>1</v>
      </c>
      <c r="AL483" s="516">
        <f t="shared" si="7"/>
        <v>1</v>
      </c>
      <c r="AM483" s="516">
        <v>1</v>
      </c>
      <c r="AN483" s="28" t="s">
        <v>17650</v>
      </c>
      <c r="AO483" s="28" t="s">
        <v>17651</v>
      </c>
      <c r="AP483" s="28" t="s">
        <v>17652</v>
      </c>
      <c r="AQ483" s="28" t="s">
        <v>17653</v>
      </c>
      <c r="AR483" s="28" t="s">
        <v>1024</v>
      </c>
    </row>
    <row r="484" spans="1:44" x14ac:dyDescent="0.25">
      <c r="A484" s="28" t="s">
        <v>1490</v>
      </c>
      <c r="B484" s="28" t="s">
        <v>19559</v>
      </c>
      <c r="C484" s="28" t="s">
        <v>29</v>
      </c>
      <c r="D484" s="28" t="s">
        <v>17784</v>
      </c>
      <c r="E484" s="28" t="s">
        <v>192</v>
      </c>
      <c r="F484" s="28">
        <v>1</v>
      </c>
      <c r="G484" s="28" t="s">
        <v>193</v>
      </c>
      <c r="H484" s="28" t="s">
        <v>194</v>
      </c>
      <c r="I484" s="28" t="s">
        <v>19175</v>
      </c>
      <c r="J484" s="28" t="s">
        <v>575</v>
      </c>
      <c r="K484" s="28" t="s">
        <v>9309</v>
      </c>
      <c r="L484" s="28" t="s">
        <v>6955</v>
      </c>
      <c r="N484" s="28" t="s">
        <v>19560</v>
      </c>
      <c r="O484" s="28" t="s">
        <v>6275</v>
      </c>
      <c r="P484" s="28" t="s">
        <v>19393</v>
      </c>
      <c r="Q484" s="28" t="s">
        <v>17706</v>
      </c>
      <c r="R484" s="28" t="s">
        <v>19372</v>
      </c>
      <c r="S484" s="28" t="s">
        <v>19561</v>
      </c>
      <c r="T484" s="28" t="s">
        <v>19562</v>
      </c>
      <c r="V484" s="28" t="s">
        <v>9726</v>
      </c>
      <c r="W484" s="28" t="s">
        <v>808</v>
      </c>
      <c r="X484" s="28" t="s">
        <v>194</v>
      </c>
      <c r="Y484" s="28" t="s">
        <v>9300</v>
      </c>
      <c r="AB484" s="28" t="s">
        <v>9311</v>
      </c>
      <c r="AH484" s="28" t="s">
        <v>4714</v>
      </c>
      <c r="AI484" s="28" t="s">
        <v>19559</v>
      </c>
      <c r="AJ484" s="516" t="str">
        <f>MID('II kw.22'!W484,8,6)</f>
        <v>722308</v>
      </c>
      <c r="AK484" s="516">
        <v>1</v>
      </c>
      <c r="AL484" s="516">
        <f t="shared" si="7"/>
        <v>1</v>
      </c>
      <c r="AM484" s="516">
        <v>1</v>
      </c>
      <c r="AN484" s="28" t="s">
        <v>17650</v>
      </c>
      <c r="AO484" s="28" t="s">
        <v>17651</v>
      </c>
      <c r="AP484" s="28" t="s">
        <v>17652</v>
      </c>
      <c r="AQ484" s="28" t="s">
        <v>17653</v>
      </c>
      <c r="AR484" s="28" t="s">
        <v>1024</v>
      </c>
    </row>
    <row r="485" spans="1:44" x14ac:dyDescent="0.25">
      <c r="A485" s="28" t="s">
        <v>19563</v>
      </c>
      <c r="B485" s="28" t="s">
        <v>8</v>
      </c>
      <c r="C485" s="28" t="s">
        <v>740</v>
      </c>
      <c r="D485" s="28" t="s">
        <v>17784</v>
      </c>
      <c r="E485" s="28" t="s">
        <v>192</v>
      </c>
      <c r="F485" s="28">
        <v>1</v>
      </c>
      <c r="G485" s="28" t="s">
        <v>193</v>
      </c>
      <c r="H485" s="28" t="s">
        <v>194</v>
      </c>
      <c r="I485" s="28" t="s">
        <v>18819</v>
      </c>
      <c r="J485" s="28" t="s">
        <v>9302</v>
      </c>
      <c r="K485" s="28" t="s">
        <v>9309</v>
      </c>
      <c r="L485" s="28" t="s">
        <v>6955</v>
      </c>
      <c r="N485" s="28" t="s">
        <v>19564</v>
      </c>
      <c r="O485" s="28" t="s">
        <v>6302</v>
      </c>
      <c r="P485" s="28" t="s">
        <v>19393</v>
      </c>
      <c r="Q485" s="28" t="s">
        <v>17706</v>
      </c>
      <c r="R485" s="28" t="s">
        <v>19372</v>
      </c>
      <c r="S485" s="28" t="s">
        <v>19565</v>
      </c>
      <c r="T485" s="28" t="s">
        <v>19566</v>
      </c>
      <c r="V485" s="27"/>
      <c r="W485" s="28" t="s">
        <v>741</v>
      </c>
      <c r="X485" s="28" t="s">
        <v>193</v>
      </c>
      <c r="Y485" s="27" t="s">
        <v>9310</v>
      </c>
      <c r="AB485" s="28" t="s">
        <v>9311</v>
      </c>
      <c r="AH485" s="28" t="s">
        <v>4714</v>
      </c>
      <c r="AI485" s="28" t="s">
        <v>8</v>
      </c>
      <c r="AJ485" s="516" t="str">
        <f>MID('II kw.22'!W485,8,6)</f>
        <v>522301</v>
      </c>
      <c r="AK485" s="516">
        <v>1</v>
      </c>
      <c r="AL485" s="516">
        <f t="shared" si="7"/>
        <v>1</v>
      </c>
      <c r="AM485" s="516">
        <v>1</v>
      </c>
      <c r="AN485" s="28" t="s">
        <v>17650</v>
      </c>
      <c r="AO485" s="28" t="s">
        <v>17651</v>
      </c>
      <c r="AP485" s="28" t="s">
        <v>17652</v>
      </c>
      <c r="AQ485" s="28" t="s">
        <v>17653</v>
      </c>
      <c r="AR485" s="28" t="s">
        <v>1024</v>
      </c>
    </row>
    <row r="486" spans="1:44" x14ac:dyDescent="0.25">
      <c r="A486" s="28" t="s">
        <v>1490</v>
      </c>
      <c r="B486" s="28" t="s">
        <v>19567</v>
      </c>
      <c r="C486" s="28" t="s">
        <v>29</v>
      </c>
      <c r="D486" s="28" t="s">
        <v>17784</v>
      </c>
      <c r="E486" s="28" t="s">
        <v>192</v>
      </c>
      <c r="F486" s="28">
        <v>1</v>
      </c>
      <c r="G486" s="28" t="s">
        <v>193</v>
      </c>
      <c r="H486" s="28" t="s">
        <v>194</v>
      </c>
      <c r="I486" s="28" t="s">
        <v>17800</v>
      </c>
      <c r="J486" s="28" t="s">
        <v>575</v>
      </c>
      <c r="K486" s="28" t="s">
        <v>9309</v>
      </c>
      <c r="L486" s="28" t="s">
        <v>6955</v>
      </c>
      <c r="N486" s="28" t="s">
        <v>19568</v>
      </c>
      <c r="O486" s="28" t="s">
        <v>6275</v>
      </c>
      <c r="P486" s="28" t="s">
        <v>19393</v>
      </c>
      <c r="Q486" s="28" t="s">
        <v>17706</v>
      </c>
      <c r="R486" s="28" t="s">
        <v>19372</v>
      </c>
      <c r="S486" s="28" t="s">
        <v>19569</v>
      </c>
      <c r="T486" s="28" t="s">
        <v>19570</v>
      </c>
      <c r="V486" s="28" t="s">
        <v>9726</v>
      </c>
      <c r="W486" s="28" t="s">
        <v>808</v>
      </c>
      <c r="X486" s="28" t="s">
        <v>194</v>
      </c>
      <c r="Y486" s="28" t="s">
        <v>9300</v>
      </c>
      <c r="AB486" s="28" t="s">
        <v>9311</v>
      </c>
      <c r="AH486" s="28" t="s">
        <v>4714</v>
      </c>
      <c r="AI486" s="28" t="s">
        <v>19567</v>
      </c>
      <c r="AJ486" s="516" t="str">
        <f>MID('II kw.22'!W486,8,6)</f>
        <v>722308</v>
      </c>
      <c r="AK486" s="516">
        <v>1</v>
      </c>
      <c r="AL486" s="516">
        <f t="shared" si="7"/>
        <v>1</v>
      </c>
      <c r="AM486" s="516">
        <v>1</v>
      </c>
      <c r="AN486" s="28" t="s">
        <v>17650</v>
      </c>
      <c r="AO486" s="28" t="s">
        <v>17651</v>
      </c>
      <c r="AP486" s="28" t="s">
        <v>17652</v>
      </c>
      <c r="AQ486" s="28" t="s">
        <v>17653</v>
      </c>
      <c r="AR486" s="28" t="s">
        <v>1024</v>
      </c>
    </row>
    <row r="487" spans="1:44" x14ac:dyDescent="0.25">
      <c r="A487" s="28" t="s">
        <v>1490</v>
      </c>
      <c r="B487" s="28" t="s">
        <v>19571</v>
      </c>
      <c r="C487" s="28" t="s">
        <v>566</v>
      </c>
      <c r="D487" s="28" t="s">
        <v>17784</v>
      </c>
      <c r="E487" s="28" t="s">
        <v>192</v>
      </c>
      <c r="F487" s="28">
        <v>1</v>
      </c>
      <c r="G487" s="28" t="s">
        <v>193</v>
      </c>
      <c r="H487" s="28" t="s">
        <v>194</v>
      </c>
      <c r="I487" s="28" t="s">
        <v>17800</v>
      </c>
      <c r="J487" s="28" t="s">
        <v>575</v>
      </c>
      <c r="K487" s="28" t="s">
        <v>9309</v>
      </c>
      <c r="L487" s="28" t="s">
        <v>6955</v>
      </c>
      <c r="N487" s="28" t="s">
        <v>19572</v>
      </c>
      <c r="O487" s="28" t="s">
        <v>6275</v>
      </c>
      <c r="P487" s="28" t="s">
        <v>19393</v>
      </c>
      <c r="Q487" s="28" t="s">
        <v>17706</v>
      </c>
      <c r="R487" s="28" t="s">
        <v>19372</v>
      </c>
      <c r="S487" s="28" t="s">
        <v>19573</v>
      </c>
      <c r="T487" s="28" t="s">
        <v>19574</v>
      </c>
      <c r="V487" s="28" t="s">
        <v>9726</v>
      </c>
      <c r="W487" s="28" t="s">
        <v>567</v>
      </c>
      <c r="X487" s="28" t="s">
        <v>194</v>
      </c>
      <c r="Y487" s="28" t="s">
        <v>9300</v>
      </c>
      <c r="AB487" s="28" t="s">
        <v>9311</v>
      </c>
      <c r="AH487" s="28" t="s">
        <v>4714</v>
      </c>
      <c r="AI487" s="28" t="s">
        <v>19571</v>
      </c>
      <c r="AJ487" s="516" t="str">
        <f>MID('II kw.22'!W487,8,6)</f>
        <v>311504</v>
      </c>
      <c r="AK487" s="516">
        <v>1</v>
      </c>
      <c r="AL487" s="516">
        <f t="shared" si="7"/>
        <v>1</v>
      </c>
      <c r="AM487" s="516">
        <v>1</v>
      </c>
      <c r="AN487" s="28" t="s">
        <v>17650</v>
      </c>
      <c r="AO487" s="28" t="s">
        <v>17651</v>
      </c>
      <c r="AP487" s="28" t="s">
        <v>17652</v>
      </c>
      <c r="AQ487" s="28" t="s">
        <v>17653</v>
      </c>
      <c r="AR487" s="28" t="s">
        <v>1024</v>
      </c>
    </row>
    <row r="488" spans="1:44" x14ac:dyDescent="0.25">
      <c r="A488" s="28" t="s">
        <v>1490</v>
      </c>
      <c r="B488" s="28" t="s">
        <v>19575</v>
      </c>
      <c r="C488" s="28" t="s">
        <v>560</v>
      </c>
      <c r="D488" s="28" t="s">
        <v>17784</v>
      </c>
      <c r="E488" s="28" t="s">
        <v>192</v>
      </c>
      <c r="F488" s="28">
        <v>1</v>
      </c>
      <c r="G488" s="28" t="s">
        <v>193</v>
      </c>
      <c r="H488" s="28" t="s">
        <v>194</v>
      </c>
      <c r="I488" s="28" t="s">
        <v>17800</v>
      </c>
      <c r="J488" s="28" t="s">
        <v>575</v>
      </c>
      <c r="K488" s="28" t="s">
        <v>9309</v>
      </c>
      <c r="L488" s="28" t="s">
        <v>6955</v>
      </c>
      <c r="N488" s="28" t="s">
        <v>19576</v>
      </c>
      <c r="O488" s="28" t="s">
        <v>6275</v>
      </c>
      <c r="P488" s="28" t="s">
        <v>19393</v>
      </c>
      <c r="Q488" s="28" t="s">
        <v>17706</v>
      </c>
      <c r="R488" s="28" t="s">
        <v>19372</v>
      </c>
      <c r="S488" s="28" t="s">
        <v>19577</v>
      </c>
      <c r="T488" s="28" t="s">
        <v>19578</v>
      </c>
      <c r="V488" s="28" t="s">
        <v>9726</v>
      </c>
      <c r="W488" s="28" t="s">
        <v>561</v>
      </c>
      <c r="X488" s="28" t="s">
        <v>194</v>
      </c>
      <c r="Y488" s="28" t="s">
        <v>9300</v>
      </c>
      <c r="AB488" s="28" t="s">
        <v>9311</v>
      </c>
      <c r="AH488" s="28" t="s">
        <v>4714</v>
      </c>
      <c r="AI488" s="28" t="s">
        <v>19575</v>
      </c>
      <c r="AJ488" s="516" t="str">
        <f>MID('II kw.22'!W488,8,6)</f>
        <v>311408</v>
      </c>
      <c r="AK488" s="516">
        <v>1</v>
      </c>
      <c r="AL488" s="516">
        <f t="shared" si="7"/>
        <v>1</v>
      </c>
      <c r="AM488" s="516">
        <v>1</v>
      </c>
      <c r="AN488" s="28" t="s">
        <v>17650</v>
      </c>
      <c r="AO488" s="28" t="s">
        <v>17651</v>
      </c>
      <c r="AP488" s="28" t="s">
        <v>17652</v>
      </c>
      <c r="AQ488" s="28" t="s">
        <v>17653</v>
      </c>
      <c r="AR488" s="28" t="s">
        <v>1024</v>
      </c>
    </row>
    <row r="489" spans="1:44" x14ac:dyDescent="0.25">
      <c r="A489" s="28" t="s">
        <v>3195</v>
      </c>
      <c r="B489" s="28" t="s">
        <v>19579</v>
      </c>
      <c r="C489" s="28" t="s">
        <v>113</v>
      </c>
      <c r="D489" s="28" t="s">
        <v>17784</v>
      </c>
      <c r="E489" s="28" t="s">
        <v>192</v>
      </c>
      <c r="F489" s="28">
        <v>1</v>
      </c>
      <c r="G489" s="28" t="s">
        <v>193</v>
      </c>
      <c r="H489" s="28" t="s">
        <v>194</v>
      </c>
      <c r="I489" s="28" t="s">
        <v>17800</v>
      </c>
      <c r="J489" s="28" t="s">
        <v>9302</v>
      </c>
      <c r="K489" s="28" t="s">
        <v>9309</v>
      </c>
      <c r="L489" s="28" t="s">
        <v>6955</v>
      </c>
      <c r="N489" s="28" t="s">
        <v>19580</v>
      </c>
      <c r="O489" s="28" t="s">
        <v>6245</v>
      </c>
      <c r="P489" s="28" t="s">
        <v>19393</v>
      </c>
      <c r="Q489" s="28" t="s">
        <v>17706</v>
      </c>
      <c r="R489" s="28" t="s">
        <v>19372</v>
      </c>
      <c r="S489" s="28" t="s">
        <v>19581</v>
      </c>
      <c r="T489" s="28" t="s">
        <v>19582</v>
      </c>
      <c r="V489" s="27"/>
      <c r="W489" s="28" t="s">
        <v>465</v>
      </c>
      <c r="X489" s="28" t="s">
        <v>193</v>
      </c>
      <c r="Y489" s="27" t="s">
        <v>9310</v>
      </c>
      <c r="AB489" s="28" t="s">
        <v>9311</v>
      </c>
      <c r="AH489" s="28" t="s">
        <v>4714</v>
      </c>
      <c r="AI489" s="28" t="s">
        <v>19579</v>
      </c>
      <c r="AJ489" s="516" t="str">
        <f>MID('II kw.22'!W489,8,6)</f>
        <v>243302</v>
      </c>
      <c r="AK489" s="516">
        <v>1</v>
      </c>
      <c r="AL489" s="516">
        <f t="shared" si="7"/>
        <v>1</v>
      </c>
      <c r="AM489" s="516">
        <v>1</v>
      </c>
      <c r="AN489" s="28" t="s">
        <v>17650</v>
      </c>
      <c r="AO489" s="28" t="s">
        <v>17651</v>
      </c>
      <c r="AP489" s="28" t="s">
        <v>17652</v>
      </c>
      <c r="AQ489" s="28" t="s">
        <v>17653</v>
      </c>
      <c r="AR489" s="28" t="s">
        <v>1024</v>
      </c>
    </row>
    <row r="490" spans="1:44" x14ac:dyDescent="0.25">
      <c r="A490" s="28" t="s">
        <v>1490</v>
      </c>
      <c r="B490" s="28" t="s">
        <v>4586</v>
      </c>
      <c r="C490" s="28" t="s">
        <v>19583</v>
      </c>
      <c r="D490" s="28" t="s">
        <v>17784</v>
      </c>
      <c r="E490" s="28" t="s">
        <v>192</v>
      </c>
      <c r="F490" s="28">
        <v>1</v>
      </c>
      <c r="G490" s="28" t="s">
        <v>193</v>
      </c>
      <c r="H490" s="28" t="s">
        <v>194</v>
      </c>
      <c r="I490" s="28" t="s">
        <v>17800</v>
      </c>
      <c r="J490" s="28" t="s">
        <v>575</v>
      </c>
      <c r="K490" s="28" t="s">
        <v>9309</v>
      </c>
      <c r="L490" s="28" t="s">
        <v>6955</v>
      </c>
      <c r="N490" s="28" t="s">
        <v>19584</v>
      </c>
      <c r="O490" s="28" t="s">
        <v>6275</v>
      </c>
      <c r="P490" s="28" t="s">
        <v>19393</v>
      </c>
      <c r="Q490" s="28" t="s">
        <v>17706</v>
      </c>
      <c r="R490" s="28" t="s">
        <v>19372</v>
      </c>
      <c r="S490" s="28" t="s">
        <v>19585</v>
      </c>
      <c r="T490" s="28" t="s">
        <v>19586</v>
      </c>
      <c r="V490" s="28" t="s">
        <v>9726</v>
      </c>
      <c r="W490" s="28" t="s">
        <v>19587</v>
      </c>
      <c r="X490" s="28" t="s">
        <v>194</v>
      </c>
      <c r="Y490" s="28" t="s">
        <v>9300</v>
      </c>
      <c r="AB490" s="28" t="s">
        <v>9311</v>
      </c>
      <c r="AH490" s="28" t="s">
        <v>4714</v>
      </c>
      <c r="AI490" s="28" t="s">
        <v>4586</v>
      </c>
      <c r="AJ490" s="516" t="str">
        <f>MID('II kw.22'!W490,8,6)</f>
        <v>311109</v>
      </c>
      <c r="AK490" s="516">
        <v>1</v>
      </c>
      <c r="AL490" s="516">
        <f t="shared" si="7"/>
        <v>1</v>
      </c>
      <c r="AM490" s="516">
        <v>1</v>
      </c>
      <c r="AN490" s="28" t="s">
        <v>17650</v>
      </c>
      <c r="AO490" s="28" t="s">
        <v>17651</v>
      </c>
      <c r="AP490" s="28" t="s">
        <v>17652</v>
      </c>
      <c r="AQ490" s="28" t="s">
        <v>17653</v>
      </c>
      <c r="AR490" s="28" t="s">
        <v>1024</v>
      </c>
    </row>
    <row r="491" spans="1:44" x14ac:dyDescent="0.25">
      <c r="A491" s="28" t="s">
        <v>10076</v>
      </c>
      <c r="B491" s="28" t="s">
        <v>19588</v>
      </c>
      <c r="C491" s="28" t="s">
        <v>9798</v>
      </c>
      <c r="D491" s="28" t="s">
        <v>17784</v>
      </c>
      <c r="E491" s="28" t="s">
        <v>192</v>
      </c>
      <c r="F491" s="28">
        <v>1</v>
      </c>
      <c r="G491" s="28" t="s">
        <v>193</v>
      </c>
      <c r="H491" s="28" t="s">
        <v>194</v>
      </c>
      <c r="I491" s="28" t="s">
        <v>19175</v>
      </c>
      <c r="J491" s="28" t="s">
        <v>9302</v>
      </c>
      <c r="K491" s="28" t="s">
        <v>9309</v>
      </c>
      <c r="L491" s="28" t="s">
        <v>6955</v>
      </c>
      <c r="N491" s="28" t="s">
        <v>19589</v>
      </c>
      <c r="O491" s="28" t="s">
        <v>7531</v>
      </c>
      <c r="P491" s="28" t="s">
        <v>19393</v>
      </c>
      <c r="Q491" s="28" t="s">
        <v>17706</v>
      </c>
      <c r="R491" s="28" t="s">
        <v>19372</v>
      </c>
      <c r="S491" s="28" t="s">
        <v>19590</v>
      </c>
      <c r="T491" s="28" t="s">
        <v>19591</v>
      </c>
      <c r="V491" s="27"/>
      <c r="W491" s="28" t="s">
        <v>1592</v>
      </c>
      <c r="X491" s="28" t="s">
        <v>193</v>
      </c>
      <c r="Y491" s="27" t="s">
        <v>9310</v>
      </c>
      <c r="AB491" s="28" t="s">
        <v>9311</v>
      </c>
      <c r="AH491" s="28" t="s">
        <v>4714</v>
      </c>
      <c r="AI491" s="28" t="s">
        <v>19588</v>
      </c>
      <c r="AJ491" s="516" t="str">
        <f>MID('II kw.22'!W491,8,6)</f>
        <v>241103</v>
      </c>
      <c r="AK491" s="516">
        <v>1</v>
      </c>
      <c r="AL491" s="516">
        <f t="shared" si="7"/>
        <v>1</v>
      </c>
      <c r="AM491" s="516">
        <v>1</v>
      </c>
      <c r="AN491" s="28" t="s">
        <v>17650</v>
      </c>
      <c r="AO491" s="28" t="s">
        <v>17651</v>
      </c>
      <c r="AP491" s="28" t="s">
        <v>17652</v>
      </c>
      <c r="AQ491" s="28" t="s">
        <v>17653</v>
      </c>
      <c r="AR491" s="28" t="s">
        <v>1024</v>
      </c>
    </row>
    <row r="492" spans="1:44" x14ac:dyDescent="0.25">
      <c r="A492" s="28" t="s">
        <v>12734</v>
      </c>
      <c r="B492" s="28" t="s">
        <v>12</v>
      </c>
      <c r="C492" s="28" t="s">
        <v>12</v>
      </c>
      <c r="D492" s="28" t="s">
        <v>17784</v>
      </c>
      <c r="E492" s="28" t="s">
        <v>192</v>
      </c>
      <c r="F492" s="28">
        <v>1</v>
      </c>
      <c r="G492" s="28" t="s">
        <v>193</v>
      </c>
      <c r="H492" s="28" t="s">
        <v>194</v>
      </c>
      <c r="I492" s="28" t="s">
        <v>18819</v>
      </c>
      <c r="J492" s="28" t="s">
        <v>9302</v>
      </c>
      <c r="K492" s="28" t="s">
        <v>9309</v>
      </c>
      <c r="L492" s="28" t="s">
        <v>6955</v>
      </c>
      <c r="N492" s="28" t="s">
        <v>19592</v>
      </c>
      <c r="O492" s="28" t="s">
        <v>6324</v>
      </c>
      <c r="P492" s="28" t="s">
        <v>19393</v>
      </c>
      <c r="Q492" s="28" t="s">
        <v>17706</v>
      </c>
      <c r="R492" s="28" t="s">
        <v>19372</v>
      </c>
      <c r="S492" s="28" t="s">
        <v>19593</v>
      </c>
      <c r="T492" s="28" t="s">
        <v>19594</v>
      </c>
      <c r="V492" s="27"/>
      <c r="W492" s="28" t="s">
        <v>220</v>
      </c>
      <c r="X492" s="28" t="s">
        <v>193</v>
      </c>
      <c r="Y492" s="27" t="s">
        <v>9310</v>
      </c>
      <c r="AB492" s="28" t="s">
        <v>9311</v>
      </c>
      <c r="AH492" s="28" t="s">
        <v>4714</v>
      </c>
      <c r="AI492" s="138" t="s">
        <v>12</v>
      </c>
      <c r="AJ492" s="516" t="str">
        <f>MID('II kw.22'!W492,8,6)</f>
        <v>132301</v>
      </c>
      <c r="AK492" s="516">
        <v>1</v>
      </c>
      <c r="AL492" s="516">
        <f t="shared" si="7"/>
        <v>1</v>
      </c>
      <c r="AM492" s="516">
        <v>1</v>
      </c>
      <c r="AN492" s="28" t="s">
        <v>17650</v>
      </c>
      <c r="AO492" s="28" t="s">
        <v>17651</v>
      </c>
      <c r="AP492" s="28" t="s">
        <v>17652</v>
      </c>
      <c r="AQ492" s="28" t="s">
        <v>17653</v>
      </c>
      <c r="AR492" s="28" t="s">
        <v>1024</v>
      </c>
    </row>
    <row r="493" spans="1:44" x14ac:dyDescent="0.25">
      <c r="A493" s="28" t="s">
        <v>19595</v>
      </c>
      <c r="B493" s="28" t="s">
        <v>19596</v>
      </c>
      <c r="C493" s="28" t="s">
        <v>17</v>
      </c>
      <c r="D493" s="28" t="s">
        <v>17784</v>
      </c>
      <c r="E493" s="28" t="s">
        <v>192</v>
      </c>
      <c r="F493" s="28">
        <v>1</v>
      </c>
      <c r="G493" s="28" t="s">
        <v>193</v>
      </c>
      <c r="H493" s="28" t="s">
        <v>194</v>
      </c>
      <c r="I493" s="28" t="s">
        <v>18819</v>
      </c>
      <c r="J493" s="28" t="s">
        <v>223</v>
      </c>
      <c r="K493" s="28" t="s">
        <v>9309</v>
      </c>
      <c r="L493" s="28" t="s">
        <v>6955</v>
      </c>
      <c r="N493" s="28" t="s">
        <v>19597</v>
      </c>
      <c r="O493" s="28" t="s">
        <v>6249</v>
      </c>
      <c r="P493" s="28" t="s">
        <v>19393</v>
      </c>
      <c r="Q493" s="28" t="s">
        <v>17706</v>
      </c>
      <c r="R493" s="28" t="s">
        <v>19372</v>
      </c>
      <c r="S493" s="28" t="s">
        <v>19598</v>
      </c>
      <c r="T493" s="28" t="s">
        <v>19599</v>
      </c>
      <c r="V493" s="28" t="s">
        <v>11163</v>
      </c>
      <c r="W493" s="28" t="s">
        <v>624</v>
      </c>
      <c r="X493" s="28" t="s">
        <v>194</v>
      </c>
      <c r="Y493" s="28" t="s">
        <v>9300</v>
      </c>
      <c r="AB493" s="28" t="s">
        <v>9311</v>
      </c>
      <c r="AH493" s="28" t="s">
        <v>4714</v>
      </c>
      <c r="AI493" s="28" t="s">
        <v>19596</v>
      </c>
      <c r="AJ493" s="516" t="str">
        <f>MID('II kw.22'!W493,8,6)</f>
        <v>332203</v>
      </c>
      <c r="AK493" s="516">
        <v>1</v>
      </c>
      <c r="AL493" s="516">
        <f t="shared" si="7"/>
        <v>1</v>
      </c>
      <c r="AM493" s="516">
        <v>1</v>
      </c>
      <c r="AN493" s="28" t="s">
        <v>17650</v>
      </c>
      <c r="AO493" s="28" t="s">
        <v>17651</v>
      </c>
      <c r="AP493" s="28" t="s">
        <v>17652</v>
      </c>
      <c r="AQ493" s="28" t="s">
        <v>17653</v>
      </c>
      <c r="AR493" s="28" t="s">
        <v>1024</v>
      </c>
    </row>
    <row r="494" spans="1:44" x14ac:dyDescent="0.25">
      <c r="A494" s="28" t="s">
        <v>18534</v>
      </c>
      <c r="B494" s="28" t="s">
        <v>19600</v>
      </c>
      <c r="C494" s="28" t="s">
        <v>19</v>
      </c>
      <c r="D494" s="28" t="s">
        <v>17784</v>
      </c>
      <c r="E494" s="28" t="s">
        <v>192</v>
      </c>
      <c r="F494" s="28">
        <v>1</v>
      </c>
      <c r="G494" s="28" t="s">
        <v>193</v>
      </c>
      <c r="H494" s="28" t="s">
        <v>194</v>
      </c>
      <c r="I494" s="28" t="s">
        <v>19175</v>
      </c>
      <c r="J494" s="28" t="s">
        <v>9302</v>
      </c>
      <c r="K494" s="28" t="s">
        <v>9309</v>
      </c>
      <c r="L494" s="28" t="s">
        <v>6955</v>
      </c>
      <c r="N494" s="28" t="s">
        <v>19601</v>
      </c>
      <c r="O494" s="28" t="s">
        <v>7531</v>
      </c>
      <c r="P494" s="28" t="s">
        <v>19393</v>
      </c>
      <c r="Q494" s="28" t="s">
        <v>17706</v>
      </c>
      <c r="R494" s="28" t="s">
        <v>19372</v>
      </c>
      <c r="S494" s="28" t="s">
        <v>19602</v>
      </c>
      <c r="T494" s="28" t="s">
        <v>19603</v>
      </c>
      <c r="V494" s="27"/>
      <c r="W494" s="28" t="s">
        <v>337</v>
      </c>
      <c r="X494" s="28" t="s">
        <v>193</v>
      </c>
      <c r="Y494" s="27" t="s">
        <v>9310</v>
      </c>
      <c r="AB494" s="28" t="s">
        <v>9311</v>
      </c>
      <c r="AH494" s="28" t="s">
        <v>4714</v>
      </c>
      <c r="AI494" s="28" t="s">
        <v>19600</v>
      </c>
      <c r="AJ494" s="516" t="str">
        <f>MID('II kw.22'!W494,8,6)</f>
        <v>214903</v>
      </c>
      <c r="AK494" s="516">
        <v>1</v>
      </c>
      <c r="AL494" s="516">
        <f t="shared" si="7"/>
        <v>1</v>
      </c>
      <c r="AM494" s="516">
        <v>1</v>
      </c>
      <c r="AN494" s="28" t="s">
        <v>17650</v>
      </c>
      <c r="AO494" s="28" t="s">
        <v>17651</v>
      </c>
      <c r="AP494" s="28" t="s">
        <v>17652</v>
      </c>
      <c r="AQ494" s="28" t="s">
        <v>17653</v>
      </c>
      <c r="AR494" s="28" t="s">
        <v>1024</v>
      </c>
    </row>
    <row r="495" spans="1:44" x14ac:dyDescent="0.25">
      <c r="A495" s="28" t="s">
        <v>9136</v>
      </c>
      <c r="B495" s="28" t="s">
        <v>19604</v>
      </c>
      <c r="C495" s="28" t="s">
        <v>95</v>
      </c>
      <c r="D495" s="28" t="s">
        <v>17784</v>
      </c>
      <c r="E495" s="28" t="s">
        <v>192</v>
      </c>
      <c r="F495" s="28">
        <v>1</v>
      </c>
      <c r="G495" s="28" t="s">
        <v>193</v>
      </c>
      <c r="H495" s="28" t="s">
        <v>194</v>
      </c>
      <c r="I495" s="28" t="s">
        <v>17800</v>
      </c>
      <c r="J495" s="28" t="s">
        <v>9302</v>
      </c>
      <c r="K495" s="28" t="s">
        <v>9309</v>
      </c>
      <c r="L495" s="28" t="s">
        <v>6955</v>
      </c>
      <c r="N495" s="28" t="s">
        <v>19605</v>
      </c>
      <c r="O495" s="28" t="s">
        <v>6302</v>
      </c>
      <c r="P495" s="28" t="s">
        <v>19393</v>
      </c>
      <c r="Q495" s="28" t="s">
        <v>17706</v>
      </c>
      <c r="R495" s="28" t="s">
        <v>19372</v>
      </c>
      <c r="S495" s="28" t="s">
        <v>19606</v>
      </c>
      <c r="T495" s="28" t="s">
        <v>19607</v>
      </c>
      <c r="V495" s="27"/>
      <c r="W495" s="28" t="s">
        <v>1015</v>
      </c>
      <c r="X495" s="28" t="s">
        <v>193</v>
      </c>
      <c r="Y495" s="27" t="s">
        <v>9310</v>
      </c>
      <c r="AB495" s="28" t="s">
        <v>9311</v>
      </c>
      <c r="AH495" s="28" t="s">
        <v>4714</v>
      </c>
      <c r="AI495" s="28" t="s">
        <v>19604</v>
      </c>
      <c r="AJ495" s="516" t="str">
        <f>MID('II kw.22'!W495,8,6)</f>
        <v>122102</v>
      </c>
      <c r="AK495" s="516">
        <v>1</v>
      </c>
      <c r="AL495" s="516">
        <f t="shared" si="7"/>
        <v>1</v>
      </c>
      <c r="AM495" s="516">
        <v>1</v>
      </c>
      <c r="AN495" s="28" t="s">
        <v>17650</v>
      </c>
      <c r="AO495" s="28" t="s">
        <v>17651</v>
      </c>
      <c r="AP495" s="28" t="s">
        <v>17652</v>
      </c>
      <c r="AQ495" s="28" t="s">
        <v>17653</v>
      </c>
      <c r="AR495" s="28" t="s">
        <v>1024</v>
      </c>
    </row>
    <row r="496" spans="1:44" x14ac:dyDescent="0.25">
      <c r="A496" s="28" t="s">
        <v>3177</v>
      </c>
      <c r="B496" s="28" t="s">
        <v>7758</v>
      </c>
      <c r="C496" s="28" t="s">
        <v>15721</v>
      </c>
      <c r="D496" s="28" t="s">
        <v>17784</v>
      </c>
      <c r="E496" s="28" t="s">
        <v>192</v>
      </c>
      <c r="F496" s="28">
        <v>1</v>
      </c>
      <c r="G496" s="28" t="s">
        <v>193</v>
      </c>
      <c r="H496" s="28" t="s">
        <v>194</v>
      </c>
      <c r="I496" s="28" t="s">
        <v>19175</v>
      </c>
      <c r="J496" s="28" t="s">
        <v>9302</v>
      </c>
      <c r="K496" s="28" t="s">
        <v>9309</v>
      </c>
      <c r="L496" s="28" t="s">
        <v>6955</v>
      </c>
      <c r="N496" s="28" t="s">
        <v>19608</v>
      </c>
      <c r="O496" s="28" t="s">
        <v>6288</v>
      </c>
      <c r="P496" s="28" t="s">
        <v>19393</v>
      </c>
      <c r="Q496" s="28" t="s">
        <v>17706</v>
      </c>
      <c r="R496" s="28" t="s">
        <v>19372</v>
      </c>
      <c r="S496" s="28" t="s">
        <v>19609</v>
      </c>
      <c r="T496" s="28" t="s">
        <v>19610</v>
      </c>
      <c r="V496" s="27"/>
      <c r="W496" s="28" t="s">
        <v>3669</v>
      </c>
      <c r="X496" s="28" t="s">
        <v>193</v>
      </c>
      <c r="Y496" s="27" t="s">
        <v>9310</v>
      </c>
      <c r="AB496" s="28" t="s">
        <v>9311</v>
      </c>
      <c r="AH496" s="28" t="s">
        <v>4714</v>
      </c>
      <c r="AI496" s="28" t="s">
        <v>7758</v>
      </c>
      <c r="AJ496" s="516" t="str">
        <f>MID('II kw.22'!W496,8,6)</f>
        <v>332490</v>
      </c>
      <c r="AK496" s="516">
        <v>1</v>
      </c>
      <c r="AL496" s="516">
        <f t="shared" si="7"/>
        <v>1</v>
      </c>
      <c r="AM496" s="516">
        <v>1</v>
      </c>
      <c r="AN496" s="28" t="s">
        <v>17650</v>
      </c>
      <c r="AO496" s="28" t="s">
        <v>17651</v>
      </c>
      <c r="AP496" s="28" t="s">
        <v>17652</v>
      </c>
      <c r="AQ496" s="28" t="s">
        <v>17653</v>
      </c>
      <c r="AR496" s="28" t="s">
        <v>1024</v>
      </c>
    </row>
    <row r="497" spans="1:44" x14ac:dyDescent="0.25">
      <c r="A497" s="28" t="s">
        <v>9373</v>
      </c>
      <c r="B497" s="28" t="s">
        <v>19611</v>
      </c>
      <c r="C497" s="28" t="s">
        <v>129</v>
      </c>
      <c r="D497" s="28" t="s">
        <v>17784</v>
      </c>
      <c r="E497" s="28" t="s">
        <v>192</v>
      </c>
      <c r="F497" s="28">
        <v>1</v>
      </c>
      <c r="G497" s="28" t="s">
        <v>193</v>
      </c>
      <c r="H497" s="28" t="s">
        <v>194</v>
      </c>
      <c r="I497" s="28" t="s">
        <v>19175</v>
      </c>
      <c r="J497" s="28" t="s">
        <v>9302</v>
      </c>
      <c r="K497" s="28" t="s">
        <v>9309</v>
      </c>
      <c r="L497" s="28" t="s">
        <v>6955</v>
      </c>
      <c r="N497" s="28" t="s">
        <v>19612</v>
      </c>
      <c r="O497" s="28" t="s">
        <v>6389</v>
      </c>
      <c r="P497" s="28" t="s">
        <v>19393</v>
      </c>
      <c r="Q497" s="28" t="s">
        <v>17706</v>
      </c>
      <c r="R497" s="28" t="s">
        <v>19372</v>
      </c>
      <c r="S497" s="28" t="s">
        <v>19613</v>
      </c>
      <c r="T497" s="28" t="s">
        <v>19614</v>
      </c>
      <c r="V497" s="27"/>
      <c r="W497" s="28" t="s">
        <v>203</v>
      </c>
      <c r="X497" s="28" t="s">
        <v>193</v>
      </c>
      <c r="Y497" s="27" t="s">
        <v>9310</v>
      </c>
      <c r="AB497" s="28" t="s">
        <v>9311</v>
      </c>
      <c r="AH497" s="28" t="s">
        <v>4714</v>
      </c>
      <c r="AI497" s="28" t="s">
        <v>19611</v>
      </c>
      <c r="AJ497" s="516" t="str">
        <f>MID('II kw.22'!W497,8,6)</f>
        <v>121904</v>
      </c>
      <c r="AK497" s="516">
        <v>1</v>
      </c>
      <c r="AL497" s="516">
        <f t="shared" si="7"/>
        <v>1</v>
      </c>
      <c r="AM497" s="516">
        <v>1</v>
      </c>
      <c r="AN497" s="28" t="s">
        <v>17650</v>
      </c>
      <c r="AO497" s="28" t="s">
        <v>17651</v>
      </c>
      <c r="AP497" s="28" t="s">
        <v>17652</v>
      </c>
      <c r="AQ497" s="28" t="s">
        <v>17653</v>
      </c>
      <c r="AR497" s="28" t="s">
        <v>1024</v>
      </c>
    </row>
    <row r="498" spans="1:44" x14ac:dyDescent="0.25">
      <c r="A498" s="28" t="s">
        <v>19615</v>
      </c>
      <c r="B498" s="28" t="s">
        <v>6194</v>
      </c>
      <c r="C498" s="28" t="s">
        <v>12</v>
      </c>
      <c r="D498" s="28" t="s">
        <v>17784</v>
      </c>
      <c r="E498" s="28" t="s">
        <v>192</v>
      </c>
      <c r="F498" s="28">
        <v>1</v>
      </c>
      <c r="G498" s="28" t="s">
        <v>193</v>
      </c>
      <c r="H498" s="28" t="s">
        <v>194</v>
      </c>
      <c r="I498" s="28" t="s">
        <v>19175</v>
      </c>
      <c r="J498" s="28" t="s">
        <v>9302</v>
      </c>
      <c r="K498" s="28" t="s">
        <v>9309</v>
      </c>
      <c r="L498" s="28" t="s">
        <v>6955</v>
      </c>
      <c r="N498" s="28" t="s">
        <v>19616</v>
      </c>
      <c r="O498" s="28" t="s">
        <v>6245</v>
      </c>
      <c r="P498" s="28" t="s">
        <v>19393</v>
      </c>
      <c r="Q498" s="28" t="s">
        <v>17706</v>
      </c>
      <c r="R498" s="28" t="s">
        <v>19372</v>
      </c>
      <c r="S498" s="28" t="s">
        <v>19617</v>
      </c>
      <c r="T498" s="28" t="s">
        <v>19618</v>
      </c>
      <c r="V498" s="27"/>
      <c r="W498" s="28" t="s">
        <v>220</v>
      </c>
      <c r="X498" s="28" t="s">
        <v>193</v>
      </c>
      <c r="Y498" s="27" t="s">
        <v>9310</v>
      </c>
      <c r="AB498" s="28" t="s">
        <v>9311</v>
      </c>
      <c r="AH498" s="28" t="s">
        <v>4714</v>
      </c>
      <c r="AI498" s="138" t="s">
        <v>6194</v>
      </c>
      <c r="AJ498" s="516" t="str">
        <f>MID('II kw.22'!W498,8,6)</f>
        <v>132301</v>
      </c>
      <c r="AK498" s="516">
        <v>1</v>
      </c>
      <c r="AL498" s="516">
        <f t="shared" si="7"/>
        <v>1</v>
      </c>
      <c r="AM498" s="516">
        <v>1</v>
      </c>
      <c r="AN498" s="28" t="s">
        <v>17650</v>
      </c>
      <c r="AO498" s="28" t="s">
        <v>17651</v>
      </c>
      <c r="AP498" s="28" t="s">
        <v>17652</v>
      </c>
      <c r="AQ498" s="28" t="s">
        <v>17653</v>
      </c>
      <c r="AR498" s="28" t="s">
        <v>1024</v>
      </c>
    </row>
    <row r="499" spans="1:44" x14ac:dyDescent="0.25">
      <c r="A499" s="28" t="s">
        <v>10076</v>
      </c>
      <c r="B499" s="28" t="s">
        <v>19619</v>
      </c>
      <c r="C499" s="28" t="s">
        <v>157</v>
      </c>
      <c r="D499" s="28" t="s">
        <v>17784</v>
      </c>
      <c r="E499" s="28" t="s">
        <v>192</v>
      </c>
      <c r="F499" s="28">
        <v>1</v>
      </c>
      <c r="G499" s="28" t="s">
        <v>193</v>
      </c>
      <c r="H499" s="28" t="s">
        <v>194</v>
      </c>
      <c r="I499" s="28" t="s">
        <v>17800</v>
      </c>
      <c r="J499" s="28" t="s">
        <v>9302</v>
      </c>
      <c r="K499" s="28" t="s">
        <v>9309</v>
      </c>
      <c r="L499" s="28" t="s">
        <v>6955</v>
      </c>
      <c r="N499" s="28" t="s">
        <v>19620</v>
      </c>
      <c r="O499" s="28" t="s">
        <v>6921</v>
      </c>
      <c r="P499" s="28" t="s">
        <v>19393</v>
      </c>
      <c r="Q499" s="28" t="s">
        <v>17706</v>
      </c>
      <c r="R499" s="28" t="s">
        <v>19372</v>
      </c>
      <c r="S499" s="28" t="s">
        <v>19621</v>
      </c>
      <c r="T499" s="28" t="s">
        <v>19622</v>
      </c>
      <c r="V499" s="27"/>
      <c r="W499" s="28" t="s">
        <v>2425</v>
      </c>
      <c r="X499" s="28" t="s">
        <v>193</v>
      </c>
      <c r="Y499" s="27" t="s">
        <v>9310</v>
      </c>
      <c r="AB499" s="28" t="s">
        <v>9311</v>
      </c>
      <c r="AH499" s="28" t="s">
        <v>4714</v>
      </c>
      <c r="AI499" s="28" t="s">
        <v>19619</v>
      </c>
      <c r="AJ499" s="516" t="str">
        <f>MID('II kw.22'!W499,8,6)</f>
        <v>742208</v>
      </c>
      <c r="AK499" s="516">
        <v>1</v>
      </c>
      <c r="AL499" s="516">
        <f t="shared" si="7"/>
        <v>1</v>
      </c>
      <c r="AM499" s="516">
        <v>1</v>
      </c>
      <c r="AN499" s="28" t="s">
        <v>17650</v>
      </c>
      <c r="AO499" s="28" t="s">
        <v>17651</v>
      </c>
      <c r="AP499" s="28" t="s">
        <v>17652</v>
      </c>
      <c r="AQ499" s="28" t="s">
        <v>17653</v>
      </c>
      <c r="AR499" s="28" t="s">
        <v>1024</v>
      </c>
    </row>
    <row r="500" spans="1:44" x14ac:dyDescent="0.25">
      <c r="A500" s="28" t="s">
        <v>19623</v>
      </c>
      <c r="B500" s="28" t="s">
        <v>19624</v>
      </c>
      <c r="C500" s="28" t="s">
        <v>16355</v>
      </c>
      <c r="D500" s="28" t="s">
        <v>17784</v>
      </c>
      <c r="E500" s="28" t="s">
        <v>192</v>
      </c>
      <c r="F500" s="28">
        <v>1</v>
      </c>
      <c r="G500" s="28" t="s">
        <v>193</v>
      </c>
      <c r="H500" s="28" t="s">
        <v>194</v>
      </c>
      <c r="I500" s="28" t="s">
        <v>19175</v>
      </c>
      <c r="J500" s="28" t="s">
        <v>9302</v>
      </c>
      <c r="K500" s="28" t="s">
        <v>9309</v>
      </c>
      <c r="L500" s="28" t="s">
        <v>6955</v>
      </c>
      <c r="N500" s="28" t="s">
        <v>19625</v>
      </c>
      <c r="O500" s="28" t="s">
        <v>6295</v>
      </c>
      <c r="P500" s="28" t="s">
        <v>19393</v>
      </c>
      <c r="Q500" s="28" t="s">
        <v>17706</v>
      </c>
      <c r="R500" s="28" t="s">
        <v>19372</v>
      </c>
      <c r="S500" s="28" t="s">
        <v>19626</v>
      </c>
      <c r="T500" s="28" t="s">
        <v>19627</v>
      </c>
      <c r="V500" s="27"/>
      <c r="W500" s="28" t="s">
        <v>508</v>
      </c>
      <c r="X500" s="28" t="s">
        <v>193</v>
      </c>
      <c r="Y500" s="27" t="s">
        <v>9310</v>
      </c>
      <c r="AB500" s="28" t="s">
        <v>9311</v>
      </c>
      <c r="AH500" s="28" t="s">
        <v>4714</v>
      </c>
      <c r="AI500" s="28" t="s">
        <v>19624</v>
      </c>
      <c r="AJ500" s="516" t="str">
        <f>MID('II kw.22'!W500,8,6)</f>
        <v>252102</v>
      </c>
      <c r="AK500" s="516">
        <v>1</v>
      </c>
      <c r="AL500" s="516">
        <f t="shared" si="7"/>
        <v>1</v>
      </c>
      <c r="AM500" s="516">
        <v>1</v>
      </c>
      <c r="AN500" s="28" t="s">
        <v>17650</v>
      </c>
      <c r="AO500" s="28" t="s">
        <v>17651</v>
      </c>
      <c r="AP500" s="28" t="s">
        <v>17652</v>
      </c>
      <c r="AQ500" s="28" t="s">
        <v>17653</v>
      </c>
      <c r="AR500" s="28" t="s">
        <v>1024</v>
      </c>
    </row>
    <row r="501" spans="1:44" x14ac:dyDescent="0.25">
      <c r="A501" s="28" t="s">
        <v>17135</v>
      </c>
      <c r="B501" s="28" t="s">
        <v>19628</v>
      </c>
      <c r="C501" s="28" t="s">
        <v>362</v>
      </c>
      <c r="D501" s="28" t="s">
        <v>17784</v>
      </c>
      <c r="E501" s="28" t="s">
        <v>192</v>
      </c>
      <c r="F501" s="511">
        <v>1</v>
      </c>
      <c r="G501" s="227" t="s">
        <v>194</v>
      </c>
      <c r="H501" s="227" t="s">
        <v>193</v>
      </c>
      <c r="I501" s="28" t="s">
        <v>18207</v>
      </c>
      <c r="J501" s="28" t="s">
        <v>9302</v>
      </c>
      <c r="K501" s="28" t="s">
        <v>9309</v>
      </c>
      <c r="L501" s="28" t="s">
        <v>6955</v>
      </c>
      <c r="N501" s="28" t="s">
        <v>19629</v>
      </c>
      <c r="O501" s="28" t="s">
        <v>6245</v>
      </c>
      <c r="P501" s="28" t="s">
        <v>19393</v>
      </c>
      <c r="Q501" s="28" t="s">
        <v>17706</v>
      </c>
      <c r="R501" s="28" t="s">
        <v>19372</v>
      </c>
      <c r="S501" s="28" t="s">
        <v>19630</v>
      </c>
      <c r="T501" s="28" t="s">
        <v>19631</v>
      </c>
      <c r="V501" s="227"/>
      <c r="W501" s="28" t="s">
        <v>363</v>
      </c>
      <c r="X501" s="28" t="s">
        <v>193</v>
      </c>
      <c r="Y501" s="509" t="s">
        <v>9946</v>
      </c>
      <c r="AB501" s="28" t="s">
        <v>9311</v>
      </c>
      <c r="AH501" s="28" t="s">
        <v>4714</v>
      </c>
      <c r="AI501" s="28" t="s">
        <v>19628</v>
      </c>
      <c r="AJ501" s="516" t="str">
        <f>MID('II kw.22'!W501,8,6)</f>
        <v>215104</v>
      </c>
      <c r="AK501" s="516">
        <v>1</v>
      </c>
      <c r="AL501" s="516">
        <f t="shared" si="7"/>
        <v>1</v>
      </c>
      <c r="AM501" s="516">
        <v>1</v>
      </c>
      <c r="AN501" s="28" t="s">
        <v>17650</v>
      </c>
      <c r="AO501" s="28" t="s">
        <v>17651</v>
      </c>
      <c r="AP501" s="28" t="s">
        <v>17652</v>
      </c>
      <c r="AQ501" s="28" t="s">
        <v>17653</v>
      </c>
      <c r="AR501" s="28" t="s">
        <v>1024</v>
      </c>
    </row>
    <row r="502" spans="1:44" x14ac:dyDescent="0.25">
      <c r="A502" s="28" t="s">
        <v>16749</v>
      </c>
      <c r="B502" s="28" t="s">
        <v>19632</v>
      </c>
      <c r="C502" s="28" t="s">
        <v>18</v>
      </c>
      <c r="D502" s="28" t="s">
        <v>17784</v>
      </c>
      <c r="E502" s="28" t="s">
        <v>192</v>
      </c>
      <c r="F502" s="28">
        <v>1</v>
      </c>
      <c r="G502" s="28" t="s">
        <v>193</v>
      </c>
      <c r="H502" s="28" t="s">
        <v>194</v>
      </c>
      <c r="I502" s="28" t="s">
        <v>17800</v>
      </c>
      <c r="J502" s="28" t="s">
        <v>9302</v>
      </c>
      <c r="K502" s="28" t="s">
        <v>9309</v>
      </c>
      <c r="L502" s="28" t="s">
        <v>6955</v>
      </c>
      <c r="N502" s="28" t="s">
        <v>19633</v>
      </c>
      <c r="O502" s="28" t="s">
        <v>6340</v>
      </c>
      <c r="P502" s="28" t="s">
        <v>19393</v>
      </c>
      <c r="Q502" s="28" t="s">
        <v>17706</v>
      </c>
      <c r="R502" s="28" t="s">
        <v>19372</v>
      </c>
      <c r="S502" s="28" t="s">
        <v>19634</v>
      </c>
      <c r="T502" s="28" t="s">
        <v>19635</v>
      </c>
      <c r="V502" s="27"/>
      <c r="W502" s="28" t="s">
        <v>1476</v>
      </c>
      <c r="X502" s="28" t="s">
        <v>193</v>
      </c>
      <c r="Y502" s="27" t="s">
        <v>9310</v>
      </c>
      <c r="AB502" s="28" t="s">
        <v>9311</v>
      </c>
      <c r="AH502" s="28" t="s">
        <v>4714</v>
      </c>
      <c r="AI502" s="28" t="s">
        <v>19632</v>
      </c>
      <c r="AJ502" s="516" t="str">
        <f>MID('II kw.22'!W502,8,6)</f>
        <v>242309</v>
      </c>
      <c r="AK502" s="516">
        <v>1</v>
      </c>
      <c r="AL502" s="516">
        <f t="shared" si="7"/>
        <v>1</v>
      </c>
      <c r="AM502" s="516">
        <v>1</v>
      </c>
      <c r="AN502" s="28" t="s">
        <v>17650</v>
      </c>
      <c r="AO502" s="28" t="s">
        <v>17651</v>
      </c>
      <c r="AP502" s="28" t="s">
        <v>17652</v>
      </c>
      <c r="AQ502" s="28" t="s">
        <v>17653</v>
      </c>
      <c r="AR502" s="28" t="s">
        <v>1024</v>
      </c>
    </row>
    <row r="503" spans="1:44" x14ac:dyDescent="0.25">
      <c r="A503" s="28" t="s">
        <v>19636</v>
      </c>
      <c r="B503" s="28" t="s">
        <v>19637</v>
      </c>
      <c r="C503" s="28" t="s">
        <v>35</v>
      </c>
      <c r="D503" s="28" t="s">
        <v>17784</v>
      </c>
      <c r="E503" s="28" t="s">
        <v>192</v>
      </c>
      <c r="F503" s="28">
        <v>1</v>
      </c>
      <c r="G503" s="28" t="s">
        <v>193</v>
      </c>
      <c r="H503" s="28" t="s">
        <v>194</v>
      </c>
      <c r="I503" s="28" t="s">
        <v>19175</v>
      </c>
      <c r="J503" s="28" t="s">
        <v>9302</v>
      </c>
      <c r="K503" s="28" t="s">
        <v>9309</v>
      </c>
      <c r="L503" s="28" t="s">
        <v>6955</v>
      </c>
      <c r="N503" s="28" t="s">
        <v>19638</v>
      </c>
      <c r="O503" s="28" t="s">
        <v>6245</v>
      </c>
      <c r="P503" s="28" t="s">
        <v>19393</v>
      </c>
      <c r="Q503" s="28" t="s">
        <v>17706</v>
      </c>
      <c r="R503" s="28" t="s">
        <v>19372</v>
      </c>
      <c r="S503" s="28" t="s">
        <v>19639</v>
      </c>
      <c r="T503" s="28" t="s">
        <v>19640</v>
      </c>
      <c r="V503" s="27"/>
      <c r="W503" s="28" t="s">
        <v>207</v>
      </c>
      <c r="X503" s="28" t="s">
        <v>193</v>
      </c>
      <c r="Y503" s="27" t="s">
        <v>9310</v>
      </c>
      <c r="AB503" s="28" t="s">
        <v>9311</v>
      </c>
      <c r="AH503" s="28" t="s">
        <v>4714</v>
      </c>
      <c r="AI503" s="28" t="s">
        <v>19637</v>
      </c>
      <c r="AJ503" s="516" t="str">
        <f>MID('II kw.22'!W503,8,6)</f>
        <v>122106</v>
      </c>
      <c r="AK503" s="516">
        <v>1</v>
      </c>
      <c r="AL503" s="516">
        <f t="shared" si="7"/>
        <v>1</v>
      </c>
      <c r="AM503" s="516">
        <v>1</v>
      </c>
      <c r="AN503" s="28" t="s">
        <v>17650</v>
      </c>
      <c r="AO503" s="28" t="s">
        <v>17651</v>
      </c>
      <c r="AP503" s="28" t="s">
        <v>17652</v>
      </c>
      <c r="AQ503" s="28" t="s">
        <v>17653</v>
      </c>
      <c r="AR503" s="28" t="s">
        <v>1024</v>
      </c>
    </row>
    <row r="504" spans="1:44" x14ac:dyDescent="0.25">
      <c r="A504" s="28" t="s">
        <v>14121</v>
      </c>
      <c r="B504" s="28" t="s">
        <v>19641</v>
      </c>
      <c r="C504" s="28" t="s">
        <v>46</v>
      </c>
      <c r="D504" s="28" t="s">
        <v>17784</v>
      </c>
      <c r="E504" s="28" t="s">
        <v>192</v>
      </c>
      <c r="F504" s="28">
        <v>1</v>
      </c>
      <c r="G504" s="28" t="s">
        <v>193</v>
      </c>
      <c r="H504" s="28" t="s">
        <v>194</v>
      </c>
      <c r="I504" s="28" t="s">
        <v>19175</v>
      </c>
      <c r="J504" s="28" t="s">
        <v>9302</v>
      </c>
      <c r="K504" s="28" t="s">
        <v>9309</v>
      </c>
      <c r="L504" s="28" t="s">
        <v>6955</v>
      </c>
      <c r="N504" s="28" t="s">
        <v>19642</v>
      </c>
      <c r="O504" s="28" t="s">
        <v>7531</v>
      </c>
      <c r="P504" s="28" t="s">
        <v>19393</v>
      </c>
      <c r="Q504" s="28" t="s">
        <v>17706</v>
      </c>
      <c r="R504" s="28" t="s">
        <v>19372</v>
      </c>
      <c r="S504" s="28" t="s">
        <v>19643</v>
      </c>
      <c r="T504" s="28" t="s">
        <v>19644</v>
      </c>
      <c r="V504" s="27"/>
      <c r="W504" s="28" t="s">
        <v>510</v>
      </c>
      <c r="X504" s="28" t="s">
        <v>193</v>
      </c>
      <c r="Y504" s="27" t="s">
        <v>9310</v>
      </c>
      <c r="AB504" s="28" t="s">
        <v>9311</v>
      </c>
      <c r="AH504" s="28" t="s">
        <v>4714</v>
      </c>
      <c r="AI504" s="28" t="s">
        <v>19641</v>
      </c>
      <c r="AJ504" s="516" t="str">
        <f>MID('II kw.22'!W504,8,6)</f>
        <v>252201</v>
      </c>
      <c r="AK504" s="516">
        <v>1</v>
      </c>
      <c r="AL504" s="516">
        <f t="shared" si="7"/>
        <v>1</v>
      </c>
      <c r="AM504" s="516">
        <v>1</v>
      </c>
      <c r="AN504" s="28" t="s">
        <v>17650</v>
      </c>
      <c r="AO504" s="28" t="s">
        <v>17651</v>
      </c>
      <c r="AP504" s="28" t="s">
        <v>17652</v>
      </c>
      <c r="AQ504" s="28" t="s">
        <v>17653</v>
      </c>
      <c r="AR504" s="28" t="s">
        <v>1024</v>
      </c>
    </row>
    <row r="505" spans="1:44" x14ac:dyDescent="0.25">
      <c r="A505" s="28" t="s">
        <v>19645</v>
      </c>
      <c r="B505" s="28" t="s">
        <v>632</v>
      </c>
      <c r="C505" s="28" t="s">
        <v>17</v>
      </c>
      <c r="D505" s="28" t="s">
        <v>17784</v>
      </c>
      <c r="E505" s="28" t="s">
        <v>192</v>
      </c>
      <c r="F505" s="28">
        <v>1</v>
      </c>
      <c r="G505" s="28" t="s">
        <v>193</v>
      </c>
      <c r="H505" s="28" t="s">
        <v>194</v>
      </c>
      <c r="I505" s="28" t="s">
        <v>18819</v>
      </c>
      <c r="J505" s="28" t="s">
        <v>9302</v>
      </c>
      <c r="K505" s="28" t="s">
        <v>9309</v>
      </c>
      <c r="L505" s="28" t="s">
        <v>6955</v>
      </c>
      <c r="N505" s="28" t="s">
        <v>19646</v>
      </c>
      <c r="O505" s="28" t="s">
        <v>6245</v>
      </c>
      <c r="P505" s="28" t="s">
        <v>19239</v>
      </c>
      <c r="Q505" s="28" t="s">
        <v>17706</v>
      </c>
      <c r="R505" s="28" t="s">
        <v>19372</v>
      </c>
      <c r="S505" s="28" t="s">
        <v>19647</v>
      </c>
      <c r="T505" s="28" t="s">
        <v>19648</v>
      </c>
      <c r="V505" s="27"/>
      <c r="W505" s="28" t="s">
        <v>624</v>
      </c>
      <c r="X505" s="28" t="s">
        <v>193</v>
      </c>
      <c r="Y505" s="27" t="s">
        <v>9310</v>
      </c>
      <c r="AB505" s="28" t="s">
        <v>9311</v>
      </c>
      <c r="AH505" s="28" t="s">
        <v>4714</v>
      </c>
      <c r="AI505" s="28" t="s">
        <v>17</v>
      </c>
      <c r="AJ505" s="516" t="str">
        <f>MID('II kw.22'!W505,8,6)</f>
        <v>332203</v>
      </c>
      <c r="AK505" s="516">
        <v>1</v>
      </c>
      <c r="AL505" s="516">
        <f t="shared" si="7"/>
        <v>1</v>
      </c>
      <c r="AM505" s="516">
        <v>1</v>
      </c>
      <c r="AN505" s="28" t="s">
        <v>17650</v>
      </c>
      <c r="AO505" s="28" t="s">
        <v>17651</v>
      </c>
      <c r="AP505" s="28" t="s">
        <v>17652</v>
      </c>
      <c r="AQ505" s="28" t="s">
        <v>17653</v>
      </c>
      <c r="AR505" s="28" t="s">
        <v>1024</v>
      </c>
    </row>
    <row r="506" spans="1:44" x14ac:dyDescent="0.25">
      <c r="A506" s="28" t="s">
        <v>10601</v>
      </c>
      <c r="B506" s="28" t="s">
        <v>6194</v>
      </c>
      <c r="C506" s="28" t="s">
        <v>12</v>
      </c>
      <c r="D506" s="28" t="s">
        <v>17784</v>
      </c>
      <c r="E506" s="28" t="s">
        <v>192</v>
      </c>
      <c r="F506" s="28">
        <v>1</v>
      </c>
      <c r="G506" s="28" t="s">
        <v>193</v>
      </c>
      <c r="H506" s="28" t="s">
        <v>194</v>
      </c>
      <c r="I506" s="28" t="s">
        <v>18819</v>
      </c>
      <c r="J506" s="28" t="s">
        <v>9302</v>
      </c>
      <c r="K506" s="28" t="s">
        <v>9309</v>
      </c>
      <c r="L506" s="28" t="s">
        <v>6955</v>
      </c>
      <c r="N506" s="28" t="s">
        <v>19649</v>
      </c>
      <c r="O506" s="28" t="s">
        <v>6324</v>
      </c>
      <c r="P506" s="28" t="s">
        <v>19393</v>
      </c>
      <c r="Q506" s="28" t="s">
        <v>17706</v>
      </c>
      <c r="R506" s="28" t="s">
        <v>19372</v>
      </c>
      <c r="S506" s="28" t="s">
        <v>19650</v>
      </c>
      <c r="T506" s="28" t="s">
        <v>19651</v>
      </c>
      <c r="V506" s="27"/>
      <c r="W506" s="28" t="s">
        <v>220</v>
      </c>
      <c r="X506" s="28" t="s">
        <v>193</v>
      </c>
      <c r="Y506" s="27" t="s">
        <v>9310</v>
      </c>
      <c r="AB506" s="28" t="s">
        <v>9311</v>
      </c>
      <c r="AH506" s="28" t="s">
        <v>4714</v>
      </c>
      <c r="AI506" s="138" t="s">
        <v>6194</v>
      </c>
      <c r="AJ506" s="516" t="str">
        <f>MID('II kw.22'!W506,8,6)</f>
        <v>132301</v>
      </c>
      <c r="AK506" s="516">
        <v>1</v>
      </c>
      <c r="AL506" s="516">
        <f t="shared" si="7"/>
        <v>1</v>
      </c>
      <c r="AM506" s="516">
        <v>1</v>
      </c>
      <c r="AN506" s="28" t="s">
        <v>17650</v>
      </c>
      <c r="AO506" s="28" t="s">
        <v>17651</v>
      </c>
      <c r="AP506" s="28" t="s">
        <v>17652</v>
      </c>
      <c r="AQ506" s="28" t="s">
        <v>17653</v>
      </c>
      <c r="AR506" s="28" t="s">
        <v>1024</v>
      </c>
    </row>
    <row r="507" spans="1:44" x14ac:dyDescent="0.25">
      <c r="A507" s="28" t="s">
        <v>369</v>
      </c>
      <c r="B507" s="28" t="s">
        <v>19652</v>
      </c>
      <c r="C507" s="28" t="s">
        <v>566</v>
      </c>
      <c r="D507" s="28" t="s">
        <v>17784</v>
      </c>
      <c r="E507" s="28" t="s">
        <v>192</v>
      </c>
      <c r="F507" s="28">
        <v>1</v>
      </c>
      <c r="G507" s="28" t="s">
        <v>193</v>
      </c>
      <c r="H507" s="28" t="s">
        <v>194</v>
      </c>
      <c r="I507" s="28" t="s">
        <v>17800</v>
      </c>
      <c r="J507" s="28" t="s">
        <v>210</v>
      </c>
      <c r="K507" s="28" t="s">
        <v>9309</v>
      </c>
      <c r="L507" s="28" t="s">
        <v>6955</v>
      </c>
      <c r="N507" s="28" t="s">
        <v>19653</v>
      </c>
      <c r="O507" s="28" t="s">
        <v>6275</v>
      </c>
      <c r="P507" s="28" t="s">
        <v>19393</v>
      </c>
      <c r="Q507" s="28" t="s">
        <v>17706</v>
      </c>
      <c r="R507" s="28" t="s">
        <v>19372</v>
      </c>
      <c r="S507" s="28" t="s">
        <v>19654</v>
      </c>
      <c r="T507" s="28" t="s">
        <v>19655</v>
      </c>
      <c r="V507" s="28" t="s">
        <v>9334</v>
      </c>
      <c r="W507" s="28" t="s">
        <v>567</v>
      </c>
      <c r="X507" s="28" t="s">
        <v>194</v>
      </c>
      <c r="Y507" s="28" t="s">
        <v>9300</v>
      </c>
      <c r="AB507" s="28" t="s">
        <v>9311</v>
      </c>
      <c r="AH507" s="28" t="s">
        <v>4714</v>
      </c>
      <c r="AI507" s="28" t="s">
        <v>19652</v>
      </c>
      <c r="AJ507" s="516" t="str">
        <f>MID('II kw.22'!W507,8,6)</f>
        <v>311504</v>
      </c>
      <c r="AK507" s="516">
        <v>1</v>
      </c>
      <c r="AL507" s="516">
        <f t="shared" si="7"/>
        <v>1</v>
      </c>
      <c r="AM507" s="516">
        <v>1</v>
      </c>
      <c r="AN507" s="28" t="s">
        <v>17650</v>
      </c>
      <c r="AO507" s="28" t="s">
        <v>17651</v>
      </c>
      <c r="AP507" s="28" t="s">
        <v>17652</v>
      </c>
      <c r="AQ507" s="28" t="s">
        <v>17653</v>
      </c>
      <c r="AR507" s="28" t="s">
        <v>1024</v>
      </c>
    </row>
    <row r="508" spans="1:44" x14ac:dyDescent="0.25">
      <c r="A508" s="28" t="s">
        <v>10644</v>
      </c>
      <c r="B508" s="28" t="s">
        <v>19656</v>
      </c>
      <c r="C508" s="28" t="s">
        <v>341</v>
      </c>
      <c r="D508" s="28" t="s">
        <v>17784</v>
      </c>
      <c r="E508" s="28" t="s">
        <v>192</v>
      </c>
      <c r="F508" s="28">
        <v>1</v>
      </c>
      <c r="G508" s="28" t="s">
        <v>193</v>
      </c>
      <c r="H508" s="28" t="s">
        <v>194</v>
      </c>
      <c r="I508" s="28" t="s">
        <v>19175</v>
      </c>
      <c r="J508" s="28" t="s">
        <v>385</v>
      </c>
      <c r="K508" s="28" t="s">
        <v>9309</v>
      </c>
      <c r="L508" s="28" t="s">
        <v>6955</v>
      </c>
      <c r="N508" s="28" t="s">
        <v>19657</v>
      </c>
      <c r="O508" s="28" t="s">
        <v>6245</v>
      </c>
      <c r="P508" s="28" t="s">
        <v>19393</v>
      </c>
      <c r="Q508" s="28" t="s">
        <v>17706</v>
      </c>
      <c r="R508" s="28" t="s">
        <v>19372</v>
      </c>
      <c r="S508" s="28" t="s">
        <v>19658</v>
      </c>
      <c r="T508" s="28" t="s">
        <v>19659</v>
      </c>
      <c r="V508" s="28" t="s">
        <v>9410</v>
      </c>
      <c r="W508" s="28" t="s">
        <v>342</v>
      </c>
      <c r="X508" s="28" t="s">
        <v>194</v>
      </c>
      <c r="Y508" s="28" t="s">
        <v>9300</v>
      </c>
      <c r="AB508" s="28" t="s">
        <v>9311</v>
      </c>
      <c r="AH508" s="28" t="s">
        <v>4714</v>
      </c>
      <c r="AI508" s="28" t="s">
        <v>19656</v>
      </c>
      <c r="AJ508" s="516" t="str">
        <f>MID('II kw.22'!W508,8,6)</f>
        <v>214906</v>
      </c>
      <c r="AK508" s="516">
        <v>1</v>
      </c>
      <c r="AL508" s="516">
        <f t="shared" si="7"/>
        <v>1</v>
      </c>
      <c r="AM508" s="516">
        <v>1</v>
      </c>
      <c r="AN508" s="28" t="s">
        <v>17650</v>
      </c>
      <c r="AO508" s="28" t="s">
        <v>17651</v>
      </c>
      <c r="AP508" s="28" t="s">
        <v>17652</v>
      </c>
      <c r="AQ508" s="28" t="s">
        <v>17653</v>
      </c>
      <c r="AR508" s="28" t="s">
        <v>1024</v>
      </c>
    </row>
    <row r="509" spans="1:44" x14ac:dyDescent="0.25">
      <c r="A509" s="28" t="s">
        <v>6113</v>
      </c>
      <c r="B509" s="28" t="s">
        <v>19660</v>
      </c>
      <c r="C509" s="28" t="s">
        <v>19661</v>
      </c>
      <c r="D509" s="28" t="s">
        <v>17784</v>
      </c>
      <c r="E509" s="28" t="s">
        <v>192</v>
      </c>
      <c r="F509" s="28">
        <v>1</v>
      </c>
      <c r="G509" s="28" t="s">
        <v>193</v>
      </c>
      <c r="H509" s="28" t="s">
        <v>194</v>
      </c>
      <c r="I509" s="28" t="s">
        <v>17800</v>
      </c>
      <c r="J509" s="28" t="s">
        <v>210</v>
      </c>
      <c r="K509" s="28" t="s">
        <v>9309</v>
      </c>
      <c r="L509" s="28" t="s">
        <v>6955</v>
      </c>
      <c r="N509" s="28" t="s">
        <v>19662</v>
      </c>
      <c r="O509" s="28" t="s">
        <v>6286</v>
      </c>
      <c r="P509" s="28" t="s">
        <v>19393</v>
      </c>
      <c r="Q509" s="28" t="s">
        <v>17706</v>
      </c>
      <c r="R509" s="28" t="s">
        <v>19372</v>
      </c>
      <c r="S509" s="28" t="s">
        <v>19663</v>
      </c>
      <c r="T509" s="28" t="s">
        <v>19664</v>
      </c>
      <c r="V509" s="28" t="s">
        <v>9334</v>
      </c>
      <c r="W509" s="28" t="s">
        <v>19665</v>
      </c>
      <c r="X509" s="28" t="s">
        <v>194</v>
      </c>
      <c r="Y509" s="28" t="s">
        <v>9300</v>
      </c>
      <c r="AB509" s="28" t="s">
        <v>9311</v>
      </c>
      <c r="AH509" s="28" t="s">
        <v>4714</v>
      </c>
      <c r="AI509" s="28" t="s">
        <v>19660</v>
      </c>
      <c r="AJ509" s="516" t="str">
        <f>MID('II kw.22'!W509,8,6)</f>
        <v>242302</v>
      </c>
      <c r="AK509" s="516">
        <v>1</v>
      </c>
      <c r="AL509" s="516">
        <f t="shared" si="7"/>
        <v>1</v>
      </c>
      <c r="AM509" s="516">
        <v>1</v>
      </c>
      <c r="AN509" s="28" t="s">
        <v>17650</v>
      </c>
      <c r="AO509" s="28" t="s">
        <v>17651</v>
      </c>
      <c r="AP509" s="28" t="s">
        <v>17652</v>
      </c>
      <c r="AQ509" s="28" t="s">
        <v>17653</v>
      </c>
      <c r="AR509" s="28" t="s">
        <v>1024</v>
      </c>
    </row>
    <row r="510" spans="1:44" x14ac:dyDescent="0.25">
      <c r="A510" s="28" t="s">
        <v>19666</v>
      </c>
      <c r="B510" s="28" t="s">
        <v>19667</v>
      </c>
      <c r="C510" s="28" t="s">
        <v>17</v>
      </c>
      <c r="D510" s="28" t="s">
        <v>17784</v>
      </c>
      <c r="E510" s="28" t="s">
        <v>192</v>
      </c>
      <c r="F510" s="28">
        <v>1</v>
      </c>
      <c r="G510" s="28" t="s">
        <v>193</v>
      </c>
      <c r="H510" s="28" t="s">
        <v>194</v>
      </c>
      <c r="I510" s="28" t="s">
        <v>17800</v>
      </c>
      <c r="J510" s="28" t="s">
        <v>9302</v>
      </c>
      <c r="K510" s="28" t="s">
        <v>9309</v>
      </c>
      <c r="L510" s="28" t="s">
        <v>6955</v>
      </c>
      <c r="N510" s="28" t="s">
        <v>19668</v>
      </c>
      <c r="O510" s="28" t="s">
        <v>6245</v>
      </c>
      <c r="P510" s="28" t="s">
        <v>19393</v>
      </c>
      <c r="Q510" s="28" t="s">
        <v>17706</v>
      </c>
      <c r="R510" s="28" t="s">
        <v>19372</v>
      </c>
      <c r="S510" s="28" t="s">
        <v>19669</v>
      </c>
      <c r="T510" s="28" t="s">
        <v>19670</v>
      </c>
      <c r="V510" s="27"/>
      <c r="W510" s="28" t="s">
        <v>624</v>
      </c>
      <c r="X510" s="28" t="s">
        <v>193</v>
      </c>
      <c r="Y510" s="27" t="s">
        <v>9310</v>
      </c>
      <c r="AB510" s="28" t="s">
        <v>9311</v>
      </c>
      <c r="AH510" s="28" t="s">
        <v>4714</v>
      </c>
      <c r="AI510" s="28" t="s">
        <v>19667</v>
      </c>
      <c r="AJ510" s="516" t="str">
        <f>MID('II kw.22'!W510,8,6)</f>
        <v>332203</v>
      </c>
      <c r="AK510" s="516">
        <v>1</v>
      </c>
      <c r="AL510" s="516">
        <f t="shared" si="7"/>
        <v>1</v>
      </c>
      <c r="AM510" s="516">
        <v>1</v>
      </c>
      <c r="AN510" s="28" t="s">
        <v>17650</v>
      </c>
      <c r="AO510" s="28" t="s">
        <v>17651</v>
      </c>
      <c r="AP510" s="28" t="s">
        <v>17652</v>
      </c>
      <c r="AQ510" s="28" t="s">
        <v>17653</v>
      </c>
      <c r="AR510" s="28" t="s">
        <v>1024</v>
      </c>
    </row>
    <row r="511" spans="1:44" x14ac:dyDescent="0.25">
      <c r="A511" s="28" t="s">
        <v>12521</v>
      </c>
      <c r="B511" s="28" t="s">
        <v>19671</v>
      </c>
      <c r="C511" s="28" t="s">
        <v>35</v>
      </c>
      <c r="D511" s="28" t="s">
        <v>17784</v>
      </c>
      <c r="E511" s="28" t="s">
        <v>192</v>
      </c>
      <c r="F511" s="28">
        <v>1</v>
      </c>
      <c r="G511" s="28" t="s">
        <v>193</v>
      </c>
      <c r="H511" s="28" t="s">
        <v>194</v>
      </c>
      <c r="I511" s="28" t="s">
        <v>17800</v>
      </c>
      <c r="J511" s="28" t="s">
        <v>9302</v>
      </c>
      <c r="K511" s="28" t="s">
        <v>9309</v>
      </c>
      <c r="L511" s="28" t="s">
        <v>6955</v>
      </c>
      <c r="N511" s="28" t="s">
        <v>19672</v>
      </c>
      <c r="O511" s="28" t="s">
        <v>6254</v>
      </c>
      <c r="P511" s="28" t="s">
        <v>19393</v>
      </c>
      <c r="Q511" s="28" t="s">
        <v>17706</v>
      </c>
      <c r="R511" s="28" t="s">
        <v>19372</v>
      </c>
      <c r="S511" s="28" t="s">
        <v>19673</v>
      </c>
      <c r="T511" s="28" t="s">
        <v>19674</v>
      </c>
      <c r="V511" s="27"/>
      <c r="W511" s="28" t="s">
        <v>207</v>
      </c>
      <c r="X511" s="28" t="s">
        <v>193</v>
      </c>
      <c r="Y511" s="27" t="s">
        <v>9310</v>
      </c>
      <c r="AB511" s="28" t="s">
        <v>9311</v>
      </c>
      <c r="AH511" s="28" t="s">
        <v>4714</v>
      </c>
      <c r="AI511" s="28" t="s">
        <v>19671</v>
      </c>
      <c r="AJ511" s="516" t="str">
        <f>MID('II kw.22'!W511,8,6)</f>
        <v>122106</v>
      </c>
      <c r="AK511" s="516">
        <v>1</v>
      </c>
      <c r="AL511" s="516">
        <f t="shared" si="7"/>
        <v>1</v>
      </c>
      <c r="AM511" s="516">
        <v>1</v>
      </c>
      <c r="AN511" s="28" t="s">
        <v>17650</v>
      </c>
      <c r="AO511" s="28" t="s">
        <v>17651</v>
      </c>
      <c r="AP511" s="28" t="s">
        <v>17652</v>
      </c>
      <c r="AQ511" s="28" t="s">
        <v>17653</v>
      </c>
      <c r="AR511" s="28" t="s">
        <v>1024</v>
      </c>
    </row>
    <row r="512" spans="1:44" x14ac:dyDescent="0.25">
      <c r="A512" s="28" t="s">
        <v>19563</v>
      </c>
      <c r="B512" s="28" t="s">
        <v>2998</v>
      </c>
      <c r="C512" s="28" t="s">
        <v>2999</v>
      </c>
      <c r="D512" s="28" t="s">
        <v>17784</v>
      </c>
      <c r="E512" s="28" t="s">
        <v>192</v>
      </c>
      <c r="F512" s="28">
        <v>1</v>
      </c>
      <c r="G512" s="28" t="s">
        <v>193</v>
      </c>
      <c r="H512" s="28" t="s">
        <v>194</v>
      </c>
      <c r="I512" s="28" t="s">
        <v>17800</v>
      </c>
      <c r="J512" s="28" t="s">
        <v>9302</v>
      </c>
      <c r="K512" s="28" t="s">
        <v>9309</v>
      </c>
      <c r="L512" s="28" t="s">
        <v>6955</v>
      </c>
      <c r="N512" s="28" t="s">
        <v>19675</v>
      </c>
      <c r="O512" s="28" t="s">
        <v>6302</v>
      </c>
      <c r="P512" s="28" t="s">
        <v>19393</v>
      </c>
      <c r="Q512" s="28" t="s">
        <v>17706</v>
      </c>
      <c r="R512" s="28" t="s">
        <v>19372</v>
      </c>
      <c r="S512" s="28" t="s">
        <v>19676</v>
      </c>
      <c r="T512" s="28" t="s">
        <v>19677</v>
      </c>
      <c r="V512" s="27"/>
      <c r="W512" s="28" t="s">
        <v>18187</v>
      </c>
      <c r="X512" s="28" t="s">
        <v>193</v>
      </c>
      <c r="Y512" s="27" t="s">
        <v>9310</v>
      </c>
      <c r="AB512" s="28" t="s">
        <v>9311</v>
      </c>
      <c r="AH512" s="28" t="s">
        <v>4714</v>
      </c>
      <c r="AI512" s="28" t="s">
        <v>2998</v>
      </c>
      <c r="AJ512" s="516" t="str">
        <f>MID('II kw.22'!W512,8,6)</f>
        <v>351403</v>
      </c>
      <c r="AK512" s="516">
        <v>1</v>
      </c>
      <c r="AL512" s="516">
        <f t="shared" si="7"/>
        <v>1</v>
      </c>
      <c r="AM512" s="516">
        <v>1</v>
      </c>
      <c r="AN512" s="28" t="s">
        <v>17650</v>
      </c>
      <c r="AO512" s="28" t="s">
        <v>17651</v>
      </c>
      <c r="AP512" s="28" t="s">
        <v>17652</v>
      </c>
      <c r="AQ512" s="28" t="s">
        <v>17653</v>
      </c>
      <c r="AR512" s="28" t="s">
        <v>1024</v>
      </c>
    </row>
    <row r="513" spans="1:44" x14ac:dyDescent="0.25">
      <c r="A513" s="28" t="s">
        <v>11880</v>
      </c>
      <c r="B513" s="28" t="s">
        <v>19678</v>
      </c>
      <c r="C513" s="28" t="s">
        <v>554</v>
      </c>
      <c r="D513" s="28" t="s">
        <v>17784</v>
      </c>
      <c r="E513" s="28" t="s">
        <v>192</v>
      </c>
      <c r="F513" s="28">
        <v>1</v>
      </c>
      <c r="G513" s="28" t="s">
        <v>193</v>
      </c>
      <c r="H513" s="28" t="s">
        <v>194</v>
      </c>
      <c r="I513" s="28" t="s">
        <v>19175</v>
      </c>
      <c r="J513" s="28" t="s">
        <v>9302</v>
      </c>
      <c r="K513" s="28" t="s">
        <v>9309</v>
      </c>
      <c r="L513" s="28" t="s">
        <v>6955</v>
      </c>
      <c r="N513" s="28" t="s">
        <v>19679</v>
      </c>
      <c r="O513" s="28" t="s">
        <v>6258</v>
      </c>
      <c r="P513" s="28" t="s">
        <v>19393</v>
      </c>
      <c r="Q513" s="28" t="s">
        <v>17706</v>
      </c>
      <c r="R513" s="28" t="s">
        <v>19372</v>
      </c>
      <c r="S513" s="28" t="s">
        <v>19680</v>
      </c>
      <c r="T513" s="28" t="s">
        <v>19681</v>
      </c>
      <c r="V513" s="27"/>
      <c r="W513" s="28" t="s">
        <v>555</v>
      </c>
      <c r="X513" s="28" t="s">
        <v>193</v>
      </c>
      <c r="Y513" s="27" t="s">
        <v>9310</v>
      </c>
      <c r="AB513" s="28" t="s">
        <v>9311</v>
      </c>
      <c r="AH513" s="28" t="s">
        <v>4714</v>
      </c>
      <c r="AI513" s="28" t="s">
        <v>19678</v>
      </c>
      <c r="AJ513" s="516" t="str">
        <f>MID('II kw.22'!W513,8,6)</f>
        <v>311303</v>
      </c>
      <c r="AK513" s="516">
        <v>1</v>
      </c>
      <c r="AL513" s="516">
        <f t="shared" si="7"/>
        <v>1</v>
      </c>
      <c r="AM513" s="516">
        <v>1</v>
      </c>
      <c r="AN513" s="28" t="s">
        <v>17650</v>
      </c>
      <c r="AO513" s="28" t="s">
        <v>17651</v>
      </c>
      <c r="AP513" s="28" t="s">
        <v>17652</v>
      </c>
      <c r="AQ513" s="28" t="s">
        <v>17653</v>
      </c>
      <c r="AR513" s="28" t="s">
        <v>1024</v>
      </c>
    </row>
    <row r="514" spans="1:44" x14ac:dyDescent="0.25">
      <c r="A514" s="28" t="s">
        <v>13478</v>
      </c>
      <c r="B514" s="28" t="s">
        <v>19682</v>
      </c>
      <c r="C514" s="28" t="s">
        <v>10</v>
      </c>
      <c r="D514" s="28" t="s">
        <v>17784</v>
      </c>
      <c r="E514" s="28" t="s">
        <v>192</v>
      </c>
      <c r="F514" s="28">
        <v>1</v>
      </c>
      <c r="G514" s="28" t="s">
        <v>193</v>
      </c>
      <c r="H514" s="28" t="s">
        <v>194</v>
      </c>
      <c r="I514" s="28" t="s">
        <v>19175</v>
      </c>
      <c r="J514" s="28" t="s">
        <v>9302</v>
      </c>
      <c r="K514" s="28" t="s">
        <v>9309</v>
      </c>
      <c r="L514" s="28" t="s">
        <v>6955</v>
      </c>
      <c r="N514" s="28" t="s">
        <v>19683</v>
      </c>
      <c r="O514" s="28" t="s">
        <v>6261</v>
      </c>
      <c r="P514" s="28" t="s">
        <v>19393</v>
      </c>
      <c r="Q514" s="28" t="s">
        <v>17706</v>
      </c>
      <c r="R514" s="28" t="s">
        <v>19372</v>
      </c>
      <c r="S514" s="28" t="s">
        <v>19684</v>
      </c>
      <c r="T514" s="28" t="s">
        <v>19685</v>
      </c>
      <c r="V514" s="27"/>
      <c r="W514" s="28" t="s">
        <v>484</v>
      </c>
      <c r="X514" s="28" t="s">
        <v>193</v>
      </c>
      <c r="Y514" s="27" t="s">
        <v>9310</v>
      </c>
      <c r="AB514" s="28" t="s">
        <v>9311</v>
      </c>
      <c r="AH514" s="28" t="s">
        <v>4714</v>
      </c>
      <c r="AI514" s="28" t="s">
        <v>19682</v>
      </c>
      <c r="AJ514" s="516" t="str">
        <f>MID('II kw.22'!W514,8,6)</f>
        <v>251401</v>
      </c>
      <c r="AK514" s="516">
        <v>1</v>
      </c>
      <c r="AL514" s="516">
        <f t="shared" si="7"/>
        <v>1</v>
      </c>
      <c r="AM514" s="516">
        <v>1</v>
      </c>
      <c r="AN514" s="28" t="s">
        <v>17650</v>
      </c>
      <c r="AO514" s="28" t="s">
        <v>17651</v>
      </c>
      <c r="AP514" s="28" t="s">
        <v>17652</v>
      </c>
      <c r="AQ514" s="28" t="s">
        <v>17653</v>
      </c>
      <c r="AR514" s="28" t="s">
        <v>1024</v>
      </c>
    </row>
    <row r="515" spans="1:44" x14ac:dyDescent="0.25">
      <c r="A515" s="28" t="s">
        <v>13478</v>
      </c>
      <c r="B515" s="28" t="s">
        <v>19686</v>
      </c>
      <c r="C515" s="28" t="s">
        <v>10</v>
      </c>
      <c r="D515" s="28" t="s">
        <v>17784</v>
      </c>
      <c r="E515" s="28" t="s">
        <v>192</v>
      </c>
      <c r="F515" s="28">
        <v>1</v>
      </c>
      <c r="G515" s="28" t="s">
        <v>193</v>
      </c>
      <c r="H515" s="28" t="s">
        <v>194</v>
      </c>
      <c r="I515" s="28" t="s">
        <v>18819</v>
      </c>
      <c r="J515" s="28" t="s">
        <v>9302</v>
      </c>
      <c r="K515" s="28" t="s">
        <v>9309</v>
      </c>
      <c r="L515" s="28" t="s">
        <v>6955</v>
      </c>
      <c r="N515" s="28" t="s">
        <v>19687</v>
      </c>
      <c r="O515" s="28" t="s">
        <v>6261</v>
      </c>
      <c r="P515" s="28" t="s">
        <v>19393</v>
      </c>
      <c r="Q515" s="28" t="s">
        <v>17706</v>
      </c>
      <c r="R515" s="28" t="s">
        <v>19372</v>
      </c>
      <c r="S515" s="28" t="s">
        <v>19688</v>
      </c>
      <c r="T515" s="28" t="s">
        <v>19689</v>
      </c>
      <c r="V515" s="27"/>
      <c r="W515" s="28" t="s">
        <v>484</v>
      </c>
      <c r="X515" s="28" t="s">
        <v>193</v>
      </c>
      <c r="Y515" s="27" t="s">
        <v>9310</v>
      </c>
      <c r="AB515" s="28" t="s">
        <v>9311</v>
      </c>
      <c r="AH515" s="28" t="s">
        <v>4714</v>
      </c>
      <c r="AI515" s="28" t="s">
        <v>19686</v>
      </c>
      <c r="AJ515" s="516" t="str">
        <f>MID('II kw.22'!W515,8,6)</f>
        <v>251401</v>
      </c>
      <c r="AK515" s="516">
        <v>1</v>
      </c>
      <c r="AL515" s="516">
        <f t="shared" ref="AL515:AL567" si="8">SUM(F515)</f>
        <v>1</v>
      </c>
      <c r="AM515" s="516">
        <v>1</v>
      </c>
      <c r="AN515" s="28" t="s">
        <v>17650</v>
      </c>
      <c r="AO515" s="28" t="s">
        <v>17651</v>
      </c>
      <c r="AP515" s="28" t="s">
        <v>17652</v>
      </c>
      <c r="AQ515" s="28" t="s">
        <v>17653</v>
      </c>
      <c r="AR515" s="28" t="s">
        <v>1024</v>
      </c>
    </row>
    <row r="516" spans="1:44" x14ac:dyDescent="0.25">
      <c r="A516" s="28" t="s">
        <v>9373</v>
      </c>
      <c r="B516" s="28" t="s">
        <v>19690</v>
      </c>
      <c r="C516" s="28" t="s">
        <v>10</v>
      </c>
      <c r="D516" s="28" t="s">
        <v>17784</v>
      </c>
      <c r="E516" s="28" t="s">
        <v>192</v>
      </c>
      <c r="F516" s="28">
        <v>1</v>
      </c>
      <c r="G516" s="28" t="s">
        <v>193</v>
      </c>
      <c r="H516" s="28" t="s">
        <v>194</v>
      </c>
      <c r="I516" s="28" t="s">
        <v>17800</v>
      </c>
      <c r="J516" s="28" t="s">
        <v>9302</v>
      </c>
      <c r="K516" s="28" t="s">
        <v>9309</v>
      </c>
      <c r="L516" s="28" t="s">
        <v>6955</v>
      </c>
      <c r="N516" s="28" t="s">
        <v>19691</v>
      </c>
      <c r="O516" s="28" t="s">
        <v>6295</v>
      </c>
      <c r="P516" s="28" t="s">
        <v>19393</v>
      </c>
      <c r="Q516" s="28" t="s">
        <v>17706</v>
      </c>
      <c r="R516" s="28" t="s">
        <v>19372</v>
      </c>
      <c r="S516" s="28" t="s">
        <v>19692</v>
      </c>
      <c r="T516" s="28" t="s">
        <v>19693</v>
      </c>
      <c r="V516" s="27"/>
      <c r="W516" s="28" t="s">
        <v>484</v>
      </c>
      <c r="X516" s="28" t="s">
        <v>193</v>
      </c>
      <c r="Y516" s="27" t="s">
        <v>9310</v>
      </c>
      <c r="AB516" s="28" t="s">
        <v>9311</v>
      </c>
      <c r="AH516" s="28" t="s">
        <v>4714</v>
      </c>
      <c r="AI516" s="28" t="s">
        <v>19690</v>
      </c>
      <c r="AJ516" s="516" t="str">
        <f>MID('II kw.22'!W516,8,6)</f>
        <v>251401</v>
      </c>
      <c r="AK516" s="516">
        <v>1</v>
      </c>
      <c r="AL516" s="516">
        <f t="shared" si="8"/>
        <v>1</v>
      </c>
      <c r="AM516" s="516">
        <v>1</v>
      </c>
      <c r="AN516" s="28" t="s">
        <v>17650</v>
      </c>
      <c r="AO516" s="28" t="s">
        <v>17651</v>
      </c>
      <c r="AP516" s="28" t="s">
        <v>17652</v>
      </c>
      <c r="AQ516" s="28" t="s">
        <v>17653</v>
      </c>
      <c r="AR516" s="28" t="s">
        <v>1024</v>
      </c>
    </row>
    <row r="517" spans="1:44" x14ac:dyDescent="0.25">
      <c r="A517" s="28" t="s">
        <v>19694</v>
      </c>
      <c r="B517" s="28" t="s">
        <v>19695</v>
      </c>
      <c r="C517" s="28" t="s">
        <v>17</v>
      </c>
      <c r="D517" s="28" t="s">
        <v>17784</v>
      </c>
      <c r="E517" s="28" t="s">
        <v>192</v>
      </c>
      <c r="F517" s="28">
        <v>1</v>
      </c>
      <c r="G517" s="28" t="s">
        <v>193</v>
      </c>
      <c r="H517" s="28" t="s">
        <v>194</v>
      </c>
      <c r="I517" s="28" t="s">
        <v>17800</v>
      </c>
      <c r="J517" s="28" t="s">
        <v>9302</v>
      </c>
      <c r="K517" s="28" t="s">
        <v>9309</v>
      </c>
      <c r="L517" s="28" t="s">
        <v>6955</v>
      </c>
      <c r="N517" s="28" t="s">
        <v>19696</v>
      </c>
      <c r="O517" s="28" t="s">
        <v>6288</v>
      </c>
      <c r="P517" s="28" t="s">
        <v>19393</v>
      </c>
      <c r="Q517" s="28" t="s">
        <v>17706</v>
      </c>
      <c r="R517" s="28" t="s">
        <v>19372</v>
      </c>
      <c r="S517" s="28" t="s">
        <v>19697</v>
      </c>
      <c r="T517" s="28" t="s">
        <v>19698</v>
      </c>
      <c r="V517" s="27"/>
      <c r="W517" s="28" t="s">
        <v>624</v>
      </c>
      <c r="X517" s="28" t="s">
        <v>193</v>
      </c>
      <c r="Y517" s="27" t="s">
        <v>9310</v>
      </c>
      <c r="AB517" s="28" t="s">
        <v>9311</v>
      </c>
      <c r="AH517" s="28" t="s">
        <v>4714</v>
      </c>
      <c r="AI517" s="28" t="s">
        <v>19695</v>
      </c>
      <c r="AJ517" s="516" t="str">
        <f>MID('II kw.22'!W517,8,6)</f>
        <v>332203</v>
      </c>
      <c r="AK517" s="516">
        <v>1</v>
      </c>
      <c r="AL517" s="516">
        <f t="shared" si="8"/>
        <v>1</v>
      </c>
      <c r="AM517" s="516">
        <v>1</v>
      </c>
      <c r="AN517" s="28" t="s">
        <v>17650</v>
      </c>
      <c r="AO517" s="28" t="s">
        <v>17651</v>
      </c>
      <c r="AP517" s="28" t="s">
        <v>17652</v>
      </c>
      <c r="AQ517" s="28" t="s">
        <v>17653</v>
      </c>
      <c r="AR517" s="28" t="s">
        <v>1024</v>
      </c>
    </row>
    <row r="518" spans="1:44" x14ac:dyDescent="0.25">
      <c r="A518" s="28" t="s">
        <v>19699</v>
      </c>
      <c r="B518" s="28" t="s">
        <v>19700</v>
      </c>
      <c r="C518" s="28" t="s">
        <v>1420</v>
      </c>
      <c r="D518" s="28" t="s">
        <v>17784</v>
      </c>
      <c r="E518" s="28" t="s">
        <v>192</v>
      </c>
      <c r="F518" s="28">
        <v>1</v>
      </c>
      <c r="G518" s="28" t="s">
        <v>193</v>
      </c>
      <c r="H518" s="28" t="s">
        <v>194</v>
      </c>
      <c r="I518" s="28" t="s">
        <v>19175</v>
      </c>
      <c r="J518" s="28" t="s">
        <v>9302</v>
      </c>
      <c r="K518" s="28" t="s">
        <v>9309</v>
      </c>
      <c r="L518" s="28" t="s">
        <v>6955</v>
      </c>
      <c r="N518" s="28" t="s">
        <v>19701</v>
      </c>
      <c r="O518" s="28" t="s">
        <v>6302</v>
      </c>
      <c r="P518" s="28" t="s">
        <v>19393</v>
      </c>
      <c r="Q518" s="28" t="s">
        <v>17706</v>
      </c>
      <c r="R518" s="28" t="s">
        <v>19372</v>
      </c>
      <c r="S518" s="28" t="s">
        <v>19702</v>
      </c>
      <c r="T518" s="28" t="s">
        <v>19703</v>
      </c>
      <c r="V518" s="27"/>
      <c r="W518" s="28" t="s">
        <v>1421</v>
      </c>
      <c r="X518" s="28" t="s">
        <v>193</v>
      </c>
      <c r="Y518" s="27" t="s">
        <v>9310</v>
      </c>
      <c r="AB518" s="28" t="s">
        <v>9311</v>
      </c>
      <c r="AH518" s="28" t="s">
        <v>4714</v>
      </c>
      <c r="AI518" s="28" t="s">
        <v>19700</v>
      </c>
      <c r="AJ518" s="516" t="str">
        <f>MID('II kw.22'!W518,8,6)</f>
        <v>251303</v>
      </c>
      <c r="AK518" s="516">
        <v>1</v>
      </c>
      <c r="AL518" s="516">
        <f t="shared" si="8"/>
        <v>1</v>
      </c>
      <c r="AM518" s="516">
        <v>1</v>
      </c>
      <c r="AN518" s="28" t="s">
        <v>17650</v>
      </c>
      <c r="AO518" s="28" t="s">
        <v>17651</v>
      </c>
      <c r="AP518" s="28" t="s">
        <v>17652</v>
      </c>
      <c r="AQ518" s="28" t="s">
        <v>17653</v>
      </c>
      <c r="AR518" s="28" t="s">
        <v>1024</v>
      </c>
    </row>
    <row r="519" spans="1:44" x14ac:dyDescent="0.25">
      <c r="A519" s="28" t="s">
        <v>17861</v>
      </c>
      <c r="B519" s="28" t="s">
        <v>19704</v>
      </c>
      <c r="C519" s="28" t="s">
        <v>513</v>
      </c>
      <c r="D519" s="28" t="s">
        <v>17784</v>
      </c>
      <c r="E519" s="28" t="s">
        <v>192</v>
      </c>
      <c r="F519" s="28">
        <v>1</v>
      </c>
      <c r="G519" s="28" t="s">
        <v>193</v>
      </c>
      <c r="H519" s="28" t="s">
        <v>194</v>
      </c>
      <c r="I519" s="28" t="s">
        <v>19175</v>
      </c>
      <c r="J519" s="28" t="s">
        <v>9302</v>
      </c>
      <c r="K519" s="28" t="s">
        <v>9309</v>
      </c>
      <c r="L519" s="28" t="s">
        <v>6955</v>
      </c>
      <c r="N519" s="28" t="s">
        <v>19705</v>
      </c>
      <c r="O519" s="28" t="s">
        <v>6921</v>
      </c>
      <c r="P519" s="28" t="s">
        <v>19393</v>
      </c>
      <c r="Q519" s="28" t="s">
        <v>17706</v>
      </c>
      <c r="R519" s="28" t="s">
        <v>19372</v>
      </c>
      <c r="S519" s="28" t="s">
        <v>19706</v>
      </c>
      <c r="T519" s="28" t="s">
        <v>19707</v>
      </c>
      <c r="V519" s="27"/>
      <c r="W519" s="28" t="s">
        <v>514</v>
      </c>
      <c r="X519" s="28" t="s">
        <v>193</v>
      </c>
      <c r="Y519" s="27" t="s">
        <v>9310</v>
      </c>
      <c r="AB519" s="28" t="s">
        <v>9311</v>
      </c>
      <c r="AH519" s="28" t="s">
        <v>4714</v>
      </c>
      <c r="AI519" s="28" t="s">
        <v>19704</v>
      </c>
      <c r="AJ519" s="516" t="str">
        <f>MID('II kw.22'!W519,8,6)</f>
        <v>252301</v>
      </c>
      <c r="AK519" s="516">
        <v>1</v>
      </c>
      <c r="AL519" s="516">
        <f t="shared" si="8"/>
        <v>1</v>
      </c>
      <c r="AM519" s="516">
        <v>1</v>
      </c>
      <c r="AN519" s="28" t="s">
        <v>17650</v>
      </c>
      <c r="AO519" s="28" t="s">
        <v>17651</v>
      </c>
      <c r="AP519" s="28" t="s">
        <v>17652</v>
      </c>
      <c r="AQ519" s="28" t="s">
        <v>17653</v>
      </c>
      <c r="AR519" s="28" t="s">
        <v>1024</v>
      </c>
    </row>
    <row r="520" spans="1:44" x14ac:dyDescent="0.25">
      <c r="A520" s="28" t="s">
        <v>19708</v>
      </c>
      <c r="B520" s="28" t="s">
        <v>19709</v>
      </c>
      <c r="C520" s="28" t="s">
        <v>118</v>
      </c>
      <c r="D520" s="28" t="s">
        <v>17784</v>
      </c>
      <c r="E520" s="28" t="s">
        <v>192</v>
      </c>
      <c r="F520" s="28">
        <v>1</v>
      </c>
      <c r="G520" s="28" t="s">
        <v>193</v>
      </c>
      <c r="H520" s="28" t="s">
        <v>194</v>
      </c>
      <c r="I520" s="28" t="s">
        <v>17800</v>
      </c>
      <c r="J520" s="28" t="s">
        <v>9302</v>
      </c>
      <c r="K520" s="28" t="s">
        <v>9309</v>
      </c>
      <c r="L520" s="28" t="s">
        <v>6955</v>
      </c>
      <c r="N520" s="28" t="s">
        <v>19710</v>
      </c>
      <c r="O520" s="28" t="s">
        <v>7489</v>
      </c>
      <c r="P520" s="28" t="s">
        <v>19393</v>
      </c>
      <c r="Q520" s="28" t="s">
        <v>17706</v>
      </c>
      <c r="R520" s="28" t="s">
        <v>19372</v>
      </c>
      <c r="S520" s="28" t="s">
        <v>19711</v>
      </c>
      <c r="T520" s="28" t="s">
        <v>19712</v>
      </c>
      <c r="V520" s="27"/>
      <c r="W520" s="28" t="s">
        <v>277</v>
      </c>
      <c r="X520" s="28" t="s">
        <v>193</v>
      </c>
      <c r="Y520" s="27" t="s">
        <v>9310</v>
      </c>
      <c r="AB520" s="28" t="s">
        <v>9311</v>
      </c>
      <c r="AH520" s="28" t="s">
        <v>4714</v>
      </c>
      <c r="AI520" s="28" t="s">
        <v>19709</v>
      </c>
      <c r="AJ520" s="516" t="str">
        <f>MID('II kw.22'!W520,8,6)</f>
        <v>211302</v>
      </c>
      <c r="AK520" s="516">
        <v>1</v>
      </c>
      <c r="AL520" s="516">
        <f t="shared" si="8"/>
        <v>1</v>
      </c>
      <c r="AM520" s="516">
        <v>1</v>
      </c>
      <c r="AN520" s="28" t="s">
        <v>17650</v>
      </c>
      <c r="AO520" s="28" t="s">
        <v>17651</v>
      </c>
      <c r="AP520" s="28" t="s">
        <v>17652</v>
      </c>
      <c r="AQ520" s="28" t="s">
        <v>17653</v>
      </c>
      <c r="AR520" s="28" t="s">
        <v>1024</v>
      </c>
    </row>
    <row r="521" spans="1:44" x14ac:dyDescent="0.25">
      <c r="A521" s="28" t="s">
        <v>12618</v>
      </c>
      <c r="B521" s="28" t="s">
        <v>19713</v>
      </c>
      <c r="C521" s="28" t="s">
        <v>22</v>
      </c>
      <c r="D521" s="28" t="s">
        <v>17784</v>
      </c>
      <c r="E521" s="28" t="s">
        <v>192</v>
      </c>
      <c r="F521" s="28">
        <v>1</v>
      </c>
      <c r="G521" s="28" t="s">
        <v>193</v>
      </c>
      <c r="H521" s="28" t="s">
        <v>194</v>
      </c>
      <c r="I521" s="28" t="s">
        <v>17800</v>
      </c>
      <c r="J521" s="28" t="s">
        <v>9302</v>
      </c>
      <c r="K521" s="28" t="s">
        <v>9309</v>
      </c>
      <c r="L521" s="28" t="s">
        <v>6955</v>
      </c>
      <c r="N521" s="28" t="s">
        <v>19714</v>
      </c>
      <c r="O521" s="28" t="s">
        <v>6286</v>
      </c>
      <c r="P521" s="28" t="s">
        <v>19393</v>
      </c>
      <c r="Q521" s="28" t="s">
        <v>17706</v>
      </c>
      <c r="R521" s="28" t="s">
        <v>19372</v>
      </c>
      <c r="S521" s="28" t="s">
        <v>19715</v>
      </c>
      <c r="T521" s="28" t="s">
        <v>19716</v>
      </c>
      <c r="V521" s="27"/>
      <c r="W521" s="28" t="s">
        <v>1608</v>
      </c>
      <c r="X521" s="28" t="s">
        <v>193</v>
      </c>
      <c r="Y521" s="27" t="s">
        <v>9310</v>
      </c>
      <c r="AB521" s="28" t="s">
        <v>9311</v>
      </c>
      <c r="AH521" s="28" t="s">
        <v>4714</v>
      </c>
      <c r="AI521" s="28" t="s">
        <v>19713</v>
      </c>
      <c r="AJ521" s="516" t="str">
        <f>MID('II kw.22'!W521,8,6)</f>
        <v>228101</v>
      </c>
      <c r="AK521" s="516">
        <v>1</v>
      </c>
      <c r="AL521" s="516">
        <f t="shared" si="8"/>
        <v>1</v>
      </c>
      <c r="AM521" s="516">
        <v>1</v>
      </c>
      <c r="AN521" s="28" t="s">
        <v>17650</v>
      </c>
      <c r="AO521" s="28" t="s">
        <v>17651</v>
      </c>
      <c r="AP521" s="28" t="s">
        <v>17652</v>
      </c>
      <c r="AQ521" s="28" t="s">
        <v>17653</v>
      </c>
      <c r="AR521" s="28" t="s">
        <v>1024</v>
      </c>
    </row>
    <row r="522" spans="1:44" x14ac:dyDescent="0.25">
      <c r="A522" s="28" t="s">
        <v>19717</v>
      </c>
      <c r="B522" s="28" t="s">
        <v>4511</v>
      </c>
      <c r="C522" s="28" t="s">
        <v>341</v>
      </c>
      <c r="D522" s="28" t="s">
        <v>17784</v>
      </c>
      <c r="E522" s="28" t="s">
        <v>192</v>
      </c>
      <c r="F522" s="28">
        <v>1</v>
      </c>
      <c r="G522" s="28" t="s">
        <v>193</v>
      </c>
      <c r="H522" s="28" t="s">
        <v>194</v>
      </c>
      <c r="I522" s="28" t="s">
        <v>19175</v>
      </c>
      <c r="J522" s="28" t="s">
        <v>9302</v>
      </c>
      <c r="K522" s="28" t="s">
        <v>9309</v>
      </c>
      <c r="L522" s="28" t="s">
        <v>6955</v>
      </c>
      <c r="N522" s="28" t="s">
        <v>19718</v>
      </c>
      <c r="O522" s="28" t="s">
        <v>6374</v>
      </c>
      <c r="P522" s="28" t="s">
        <v>19393</v>
      </c>
      <c r="Q522" s="28" t="s">
        <v>17706</v>
      </c>
      <c r="R522" s="28" t="s">
        <v>19372</v>
      </c>
      <c r="S522" s="28" t="s">
        <v>19719</v>
      </c>
      <c r="T522" s="28" t="s">
        <v>19720</v>
      </c>
      <c r="V522" s="27"/>
      <c r="W522" s="28" t="s">
        <v>342</v>
      </c>
      <c r="X522" s="28" t="s">
        <v>193</v>
      </c>
      <c r="Y522" s="27" t="s">
        <v>9310</v>
      </c>
      <c r="AB522" s="28" t="s">
        <v>9311</v>
      </c>
      <c r="AH522" s="28" t="s">
        <v>4714</v>
      </c>
      <c r="AI522" s="28" t="s">
        <v>4511</v>
      </c>
      <c r="AJ522" s="516" t="str">
        <f>MID('II kw.22'!W522,8,6)</f>
        <v>214906</v>
      </c>
      <c r="AK522" s="516">
        <v>1</v>
      </c>
      <c r="AL522" s="516">
        <f t="shared" si="8"/>
        <v>1</v>
      </c>
      <c r="AM522" s="516">
        <v>1</v>
      </c>
      <c r="AN522" s="28" t="s">
        <v>17650</v>
      </c>
      <c r="AO522" s="28" t="s">
        <v>17651</v>
      </c>
      <c r="AP522" s="28" t="s">
        <v>17652</v>
      </c>
      <c r="AQ522" s="28" t="s">
        <v>17653</v>
      </c>
      <c r="AR522" s="28" t="s">
        <v>1024</v>
      </c>
    </row>
    <row r="523" spans="1:44" x14ac:dyDescent="0.25">
      <c r="A523" s="28" t="s">
        <v>19551</v>
      </c>
      <c r="B523" s="28" t="s">
        <v>19721</v>
      </c>
      <c r="C523" s="28" t="s">
        <v>157</v>
      </c>
      <c r="D523" s="28" t="s">
        <v>17784</v>
      </c>
      <c r="E523" s="28" t="s">
        <v>192</v>
      </c>
      <c r="F523" s="28">
        <v>1</v>
      </c>
      <c r="G523" s="28" t="s">
        <v>193</v>
      </c>
      <c r="H523" s="28" t="s">
        <v>194</v>
      </c>
      <c r="I523" s="28" t="s">
        <v>17800</v>
      </c>
      <c r="J523" s="28" t="s">
        <v>9302</v>
      </c>
      <c r="K523" s="28" t="s">
        <v>9309</v>
      </c>
      <c r="L523" s="28" t="s">
        <v>6955</v>
      </c>
      <c r="N523" s="28" t="s">
        <v>19722</v>
      </c>
      <c r="O523" s="28" t="s">
        <v>6921</v>
      </c>
      <c r="P523" s="28" t="s">
        <v>19393</v>
      </c>
      <c r="Q523" s="28" t="s">
        <v>17706</v>
      </c>
      <c r="R523" s="28" t="s">
        <v>19372</v>
      </c>
      <c r="S523" s="28" t="s">
        <v>19723</v>
      </c>
      <c r="T523" s="28" t="s">
        <v>19724</v>
      </c>
      <c r="V523" s="27"/>
      <c r="W523" s="28" t="s">
        <v>2425</v>
      </c>
      <c r="X523" s="28" t="s">
        <v>193</v>
      </c>
      <c r="Y523" s="27" t="s">
        <v>9310</v>
      </c>
      <c r="AB523" s="28" t="s">
        <v>9311</v>
      </c>
      <c r="AH523" s="28" t="s">
        <v>4714</v>
      </c>
      <c r="AI523" s="28" t="s">
        <v>19721</v>
      </c>
      <c r="AJ523" s="516" t="str">
        <f>MID('II kw.22'!W523,8,6)</f>
        <v>742208</v>
      </c>
      <c r="AK523" s="516">
        <v>1</v>
      </c>
      <c r="AL523" s="516">
        <f t="shared" si="8"/>
        <v>1</v>
      </c>
      <c r="AM523" s="516">
        <v>1</v>
      </c>
      <c r="AN523" s="28" t="s">
        <v>17650</v>
      </c>
      <c r="AO523" s="28" t="s">
        <v>17651</v>
      </c>
      <c r="AP523" s="28" t="s">
        <v>17652</v>
      </c>
      <c r="AQ523" s="28" t="s">
        <v>17653</v>
      </c>
      <c r="AR523" s="28" t="s">
        <v>1024</v>
      </c>
    </row>
    <row r="524" spans="1:44" x14ac:dyDescent="0.25">
      <c r="A524" s="28" t="s">
        <v>14121</v>
      </c>
      <c r="B524" s="28" t="s">
        <v>19725</v>
      </c>
      <c r="C524" s="28" t="s">
        <v>16281</v>
      </c>
      <c r="D524" s="28" t="s">
        <v>17784</v>
      </c>
      <c r="E524" s="28" t="s">
        <v>192</v>
      </c>
      <c r="F524" s="28">
        <v>1</v>
      </c>
      <c r="G524" s="28" t="s">
        <v>193</v>
      </c>
      <c r="H524" s="28" t="s">
        <v>194</v>
      </c>
      <c r="I524" s="28" t="s">
        <v>19175</v>
      </c>
      <c r="J524" s="28" t="s">
        <v>9302</v>
      </c>
      <c r="K524" s="28" t="s">
        <v>9309</v>
      </c>
      <c r="L524" s="28" t="s">
        <v>6955</v>
      </c>
      <c r="N524" s="28" t="s">
        <v>19726</v>
      </c>
      <c r="O524" s="28" t="s">
        <v>7531</v>
      </c>
      <c r="P524" s="28" t="s">
        <v>19393</v>
      </c>
      <c r="Q524" s="28" t="s">
        <v>17706</v>
      </c>
      <c r="R524" s="28" t="s">
        <v>19372</v>
      </c>
      <c r="S524" s="28" t="s">
        <v>19727</v>
      </c>
      <c r="T524" s="28" t="s">
        <v>19728</v>
      </c>
      <c r="V524" s="27"/>
      <c r="W524" s="28" t="s">
        <v>9002</v>
      </c>
      <c r="X524" s="28" t="s">
        <v>193</v>
      </c>
      <c r="Y524" s="27" t="s">
        <v>9310</v>
      </c>
      <c r="AB524" s="28" t="s">
        <v>9311</v>
      </c>
      <c r="AH524" s="28" t="s">
        <v>4714</v>
      </c>
      <c r="AI524" s="28" t="s">
        <v>19725</v>
      </c>
      <c r="AJ524" s="516" t="str">
        <f>MID('II kw.22'!W524,8,6)</f>
        <v>252902</v>
      </c>
      <c r="AK524" s="516">
        <v>1</v>
      </c>
      <c r="AL524" s="516">
        <f t="shared" si="8"/>
        <v>1</v>
      </c>
      <c r="AM524" s="516">
        <v>1</v>
      </c>
      <c r="AN524" s="28" t="s">
        <v>17650</v>
      </c>
      <c r="AO524" s="28" t="s">
        <v>17651</v>
      </c>
      <c r="AP524" s="28" t="s">
        <v>17652</v>
      </c>
      <c r="AQ524" s="28" t="s">
        <v>17653</v>
      </c>
      <c r="AR524" s="28" t="s">
        <v>1024</v>
      </c>
    </row>
    <row r="525" spans="1:44" x14ac:dyDescent="0.25">
      <c r="A525" s="28" t="s">
        <v>14121</v>
      </c>
      <c r="B525" s="28" t="s">
        <v>19729</v>
      </c>
      <c r="C525" s="28" t="s">
        <v>3865</v>
      </c>
      <c r="D525" s="28" t="s">
        <v>17784</v>
      </c>
      <c r="E525" s="28" t="s">
        <v>192</v>
      </c>
      <c r="F525" s="28">
        <v>1</v>
      </c>
      <c r="G525" s="28" t="s">
        <v>193</v>
      </c>
      <c r="H525" s="28" t="s">
        <v>194</v>
      </c>
      <c r="I525" s="28" t="s">
        <v>19175</v>
      </c>
      <c r="J525" s="28" t="s">
        <v>9302</v>
      </c>
      <c r="K525" s="28" t="s">
        <v>9309</v>
      </c>
      <c r="L525" s="28" t="s">
        <v>6955</v>
      </c>
      <c r="N525" s="28" t="s">
        <v>19730</v>
      </c>
      <c r="O525" s="28" t="s">
        <v>7531</v>
      </c>
      <c r="P525" s="28" t="s">
        <v>19393</v>
      </c>
      <c r="Q525" s="28" t="s">
        <v>17706</v>
      </c>
      <c r="R525" s="28" t="s">
        <v>19372</v>
      </c>
      <c r="S525" s="28" t="s">
        <v>19731</v>
      </c>
      <c r="T525" s="28" t="s">
        <v>19732</v>
      </c>
      <c r="V525" s="27"/>
      <c r="W525" s="28" t="s">
        <v>3866</v>
      </c>
      <c r="X525" s="28" t="s">
        <v>193</v>
      </c>
      <c r="Y525" s="27" t="s">
        <v>9310</v>
      </c>
      <c r="AB525" s="28" t="s">
        <v>9311</v>
      </c>
      <c r="AH525" s="28" t="s">
        <v>4714</v>
      </c>
      <c r="AI525" s="28" t="s">
        <v>19729</v>
      </c>
      <c r="AJ525" s="516" t="str">
        <f>MID('II kw.22'!W525,8,6)</f>
        <v>212004</v>
      </c>
      <c r="AK525" s="516">
        <v>1</v>
      </c>
      <c r="AL525" s="516">
        <f t="shared" si="8"/>
        <v>1</v>
      </c>
      <c r="AM525" s="516">
        <v>1</v>
      </c>
      <c r="AN525" s="28" t="s">
        <v>17650</v>
      </c>
      <c r="AO525" s="28" t="s">
        <v>17651</v>
      </c>
      <c r="AP525" s="28" t="s">
        <v>17652</v>
      </c>
      <c r="AQ525" s="28" t="s">
        <v>17653</v>
      </c>
      <c r="AR525" s="28" t="s">
        <v>1024</v>
      </c>
    </row>
    <row r="526" spans="1:44" x14ac:dyDescent="0.25">
      <c r="A526" s="28" t="s">
        <v>493</v>
      </c>
      <c r="B526" s="28" t="s">
        <v>19733</v>
      </c>
      <c r="C526" s="28" t="s">
        <v>10</v>
      </c>
      <c r="D526" s="28" t="s">
        <v>17784</v>
      </c>
      <c r="E526" s="28" t="s">
        <v>192</v>
      </c>
      <c r="F526" s="28">
        <v>1</v>
      </c>
      <c r="G526" s="28" t="s">
        <v>193</v>
      </c>
      <c r="H526" s="28" t="s">
        <v>194</v>
      </c>
      <c r="I526" s="28" t="s">
        <v>19175</v>
      </c>
      <c r="J526" s="28" t="s">
        <v>210</v>
      </c>
      <c r="K526" s="28" t="s">
        <v>9309</v>
      </c>
      <c r="L526" s="28" t="s">
        <v>6955</v>
      </c>
      <c r="N526" s="28" t="s">
        <v>19734</v>
      </c>
      <c r="O526" s="28" t="s">
        <v>6261</v>
      </c>
      <c r="P526" s="28" t="s">
        <v>19393</v>
      </c>
      <c r="Q526" s="28" t="s">
        <v>17706</v>
      </c>
      <c r="R526" s="28" t="s">
        <v>19372</v>
      </c>
      <c r="S526" s="28" t="s">
        <v>19735</v>
      </c>
      <c r="T526" s="28" t="s">
        <v>19736</v>
      </c>
      <c r="V526" s="28" t="s">
        <v>9334</v>
      </c>
      <c r="W526" s="28" t="s">
        <v>484</v>
      </c>
      <c r="X526" s="28" t="s">
        <v>194</v>
      </c>
      <c r="Y526" s="28" t="s">
        <v>9300</v>
      </c>
      <c r="AB526" s="28" t="s">
        <v>9311</v>
      </c>
      <c r="AH526" s="28" t="s">
        <v>4714</v>
      </c>
      <c r="AI526" s="28" t="s">
        <v>19733</v>
      </c>
      <c r="AJ526" s="516" t="str">
        <f>MID('II kw.22'!W526,8,6)</f>
        <v>251401</v>
      </c>
      <c r="AK526" s="516">
        <v>1</v>
      </c>
      <c r="AL526" s="516">
        <f t="shared" si="8"/>
        <v>1</v>
      </c>
      <c r="AM526" s="516">
        <v>1</v>
      </c>
      <c r="AN526" s="28" t="s">
        <v>17650</v>
      </c>
      <c r="AO526" s="28" t="s">
        <v>17651</v>
      </c>
      <c r="AP526" s="28" t="s">
        <v>17652</v>
      </c>
      <c r="AQ526" s="28" t="s">
        <v>17653</v>
      </c>
      <c r="AR526" s="28" t="s">
        <v>1024</v>
      </c>
    </row>
    <row r="527" spans="1:44" x14ac:dyDescent="0.25">
      <c r="A527" s="28" t="s">
        <v>19737</v>
      </c>
      <c r="B527" s="28" t="s">
        <v>2087</v>
      </c>
      <c r="C527" s="28" t="s">
        <v>525</v>
      </c>
      <c r="D527" s="28" t="s">
        <v>17784</v>
      </c>
      <c r="E527" s="28" t="s">
        <v>192</v>
      </c>
      <c r="F527" s="28">
        <v>1</v>
      </c>
      <c r="G527" s="28" t="s">
        <v>193</v>
      </c>
      <c r="H527" s="28" t="s">
        <v>194</v>
      </c>
      <c r="I527" s="28" t="s">
        <v>19175</v>
      </c>
      <c r="J527" s="28" t="s">
        <v>9302</v>
      </c>
      <c r="K527" s="28" t="s">
        <v>9309</v>
      </c>
      <c r="L527" s="28" t="s">
        <v>6955</v>
      </c>
      <c r="N527" s="28" t="s">
        <v>19738</v>
      </c>
      <c r="O527" s="28" t="s">
        <v>7531</v>
      </c>
      <c r="P527" s="28" t="s">
        <v>19393</v>
      </c>
      <c r="Q527" s="28" t="s">
        <v>17706</v>
      </c>
      <c r="R527" s="28" t="s">
        <v>19372</v>
      </c>
      <c r="S527" s="28" t="s">
        <v>19739</v>
      </c>
      <c r="T527" s="28" t="s">
        <v>19740</v>
      </c>
      <c r="V527" s="27"/>
      <c r="W527" s="28" t="s">
        <v>526</v>
      </c>
      <c r="X527" s="28" t="s">
        <v>193</v>
      </c>
      <c r="Y527" s="27" t="s">
        <v>9310</v>
      </c>
      <c r="AB527" s="28" t="s">
        <v>9311</v>
      </c>
      <c r="AH527" s="28" t="s">
        <v>4714</v>
      </c>
      <c r="AI527" s="28" t="s">
        <v>2087</v>
      </c>
      <c r="AJ527" s="516" t="str">
        <f>MID('II kw.22'!W527,8,6)</f>
        <v>263102</v>
      </c>
      <c r="AK527" s="516">
        <v>1</v>
      </c>
      <c r="AL527" s="516">
        <f t="shared" si="8"/>
        <v>1</v>
      </c>
      <c r="AM527" s="516">
        <v>1</v>
      </c>
      <c r="AN527" s="28" t="s">
        <v>17650</v>
      </c>
      <c r="AO527" s="28" t="s">
        <v>17651</v>
      </c>
      <c r="AP527" s="28" t="s">
        <v>17652</v>
      </c>
      <c r="AQ527" s="28" t="s">
        <v>17653</v>
      </c>
      <c r="AR527" s="28" t="s">
        <v>1024</v>
      </c>
    </row>
    <row r="528" spans="1:44" x14ac:dyDescent="0.25">
      <c r="A528" s="28" t="s">
        <v>1612</v>
      </c>
      <c r="B528" s="28" t="s">
        <v>19741</v>
      </c>
      <c r="C528" s="28" t="s">
        <v>10</v>
      </c>
      <c r="D528" s="28" t="s">
        <v>17784</v>
      </c>
      <c r="E528" s="28" t="s">
        <v>192</v>
      </c>
      <c r="F528" s="28">
        <v>1</v>
      </c>
      <c r="G528" s="28" t="s">
        <v>193</v>
      </c>
      <c r="H528" s="28" t="s">
        <v>194</v>
      </c>
      <c r="I528" s="28" t="s">
        <v>19175</v>
      </c>
      <c r="J528" s="28" t="s">
        <v>9302</v>
      </c>
      <c r="K528" s="28" t="s">
        <v>9309</v>
      </c>
      <c r="L528" s="28" t="s">
        <v>6955</v>
      </c>
      <c r="N528" s="28" t="s">
        <v>19742</v>
      </c>
      <c r="O528" s="28" t="s">
        <v>6261</v>
      </c>
      <c r="P528" s="28" t="s">
        <v>19393</v>
      </c>
      <c r="Q528" s="28" t="s">
        <v>17706</v>
      </c>
      <c r="R528" s="28" t="s">
        <v>19743</v>
      </c>
      <c r="S528" s="28" t="s">
        <v>19744</v>
      </c>
      <c r="T528" s="28" t="s">
        <v>19745</v>
      </c>
      <c r="V528" s="27"/>
      <c r="W528" s="28" t="s">
        <v>484</v>
      </c>
      <c r="X528" s="28" t="s">
        <v>193</v>
      </c>
      <c r="Y528" s="27" t="s">
        <v>9310</v>
      </c>
      <c r="AB528" s="28" t="s">
        <v>9311</v>
      </c>
      <c r="AH528" s="509" t="s">
        <v>5109</v>
      </c>
      <c r="AI528" s="28" t="s">
        <v>19741</v>
      </c>
      <c r="AJ528" s="516" t="str">
        <f>MID('II kw.22'!W528,8,6)</f>
        <v>251401</v>
      </c>
      <c r="AK528" s="516">
        <v>1</v>
      </c>
      <c r="AL528" s="516">
        <f t="shared" si="8"/>
        <v>1</v>
      </c>
      <c r="AM528" s="516">
        <v>1</v>
      </c>
      <c r="AN528" s="28" t="s">
        <v>17650</v>
      </c>
      <c r="AO528" s="28" t="s">
        <v>17651</v>
      </c>
      <c r="AP528" s="28" t="s">
        <v>17652</v>
      </c>
      <c r="AQ528" s="28" t="s">
        <v>17653</v>
      </c>
      <c r="AR528" s="28" t="s">
        <v>1024</v>
      </c>
    </row>
    <row r="529" spans="1:44" x14ac:dyDescent="0.25">
      <c r="A529" s="28" t="s">
        <v>19551</v>
      </c>
      <c r="B529" s="28" t="s">
        <v>19746</v>
      </c>
      <c r="C529" s="28" t="s">
        <v>157</v>
      </c>
      <c r="D529" s="28" t="s">
        <v>17784</v>
      </c>
      <c r="E529" s="28" t="s">
        <v>192</v>
      </c>
      <c r="F529" s="28">
        <v>1</v>
      </c>
      <c r="G529" s="28" t="s">
        <v>193</v>
      </c>
      <c r="H529" s="28" t="s">
        <v>194</v>
      </c>
      <c r="I529" s="28" t="s">
        <v>17800</v>
      </c>
      <c r="J529" s="28" t="s">
        <v>9302</v>
      </c>
      <c r="K529" s="28" t="s">
        <v>9309</v>
      </c>
      <c r="L529" s="28" t="s">
        <v>6955</v>
      </c>
      <c r="N529" s="28" t="s">
        <v>19747</v>
      </c>
      <c r="O529" s="28" t="s">
        <v>6921</v>
      </c>
      <c r="P529" s="28" t="s">
        <v>19393</v>
      </c>
      <c r="Q529" s="28" t="s">
        <v>17706</v>
      </c>
      <c r="R529" s="28" t="s">
        <v>19372</v>
      </c>
      <c r="S529" s="28" t="s">
        <v>19748</v>
      </c>
      <c r="T529" s="28" t="s">
        <v>19749</v>
      </c>
      <c r="V529" s="27"/>
      <c r="W529" s="28" t="s">
        <v>2425</v>
      </c>
      <c r="X529" s="28" t="s">
        <v>193</v>
      </c>
      <c r="Y529" s="27" t="s">
        <v>9310</v>
      </c>
      <c r="AB529" s="28" t="s">
        <v>9311</v>
      </c>
      <c r="AH529" s="28" t="s">
        <v>4714</v>
      </c>
      <c r="AI529" s="28" t="s">
        <v>19746</v>
      </c>
      <c r="AJ529" s="516" t="str">
        <f>MID('II kw.22'!W529,8,6)</f>
        <v>742208</v>
      </c>
      <c r="AK529" s="516">
        <v>1</v>
      </c>
      <c r="AL529" s="516">
        <f t="shared" si="8"/>
        <v>1</v>
      </c>
      <c r="AM529" s="516">
        <v>1</v>
      </c>
      <c r="AN529" s="28" t="s">
        <v>17650</v>
      </c>
      <c r="AO529" s="28" t="s">
        <v>17651</v>
      </c>
      <c r="AP529" s="28" t="s">
        <v>17652</v>
      </c>
      <c r="AQ529" s="28" t="s">
        <v>17653</v>
      </c>
      <c r="AR529" s="28" t="s">
        <v>1024</v>
      </c>
    </row>
    <row r="530" spans="1:44" x14ac:dyDescent="0.25">
      <c r="A530" s="28" t="s">
        <v>1989</v>
      </c>
      <c r="B530" s="28" t="s">
        <v>19750</v>
      </c>
      <c r="C530" s="28" t="s">
        <v>51</v>
      </c>
      <c r="D530" s="28" t="s">
        <v>17784</v>
      </c>
      <c r="E530" s="28" t="s">
        <v>192</v>
      </c>
      <c r="F530" s="28">
        <v>1</v>
      </c>
      <c r="G530" s="28" t="s">
        <v>193</v>
      </c>
      <c r="H530" s="28" t="s">
        <v>194</v>
      </c>
      <c r="I530" s="28" t="s">
        <v>19175</v>
      </c>
      <c r="J530" s="28" t="s">
        <v>253</v>
      </c>
      <c r="K530" s="28" t="s">
        <v>9309</v>
      </c>
      <c r="L530" s="28" t="s">
        <v>6955</v>
      </c>
      <c r="N530" s="28" t="s">
        <v>19751</v>
      </c>
      <c r="O530" s="28" t="s">
        <v>6275</v>
      </c>
      <c r="P530" s="28" t="s">
        <v>19393</v>
      </c>
      <c r="Q530" s="28" t="s">
        <v>17706</v>
      </c>
      <c r="R530" s="28" t="s">
        <v>19372</v>
      </c>
      <c r="S530" s="28" t="s">
        <v>19752</v>
      </c>
      <c r="T530" s="28" t="s">
        <v>19753</v>
      </c>
      <c r="V530" s="28" t="s">
        <v>9468</v>
      </c>
      <c r="W530" s="28" t="s">
        <v>904</v>
      </c>
      <c r="X530" s="28" t="s">
        <v>194</v>
      </c>
      <c r="Y530" s="28" t="s">
        <v>9300</v>
      </c>
      <c r="AB530" s="28" t="s">
        <v>9311</v>
      </c>
      <c r="AH530" s="28" t="s">
        <v>4714</v>
      </c>
      <c r="AI530" s="28" t="s">
        <v>19750</v>
      </c>
      <c r="AJ530" s="516" t="str">
        <f>MID('II kw.22'!W530,8,6)</f>
        <v>523002</v>
      </c>
      <c r="AK530" s="516">
        <v>1</v>
      </c>
      <c r="AL530" s="516">
        <f t="shared" si="8"/>
        <v>1</v>
      </c>
      <c r="AM530" s="516">
        <v>1</v>
      </c>
      <c r="AN530" s="28" t="s">
        <v>17650</v>
      </c>
      <c r="AO530" s="28" t="s">
        <v>17651</v>
      </c>
      <c r="AP530" s="28" t="s">
        <v>17652</v>
      </c>
      <c r="AQ530" s="28" t="s">
        <v>17653</v>
      </c>
      <c r="AR530" s="28" t="s">
        <v>1024</v>
      </c>
    </row>
    <row r="531" spans="1:44" x14ac:dyDescent="0.25">
      <c r="A531" s="28" t="s">
        <v>493</v>
      </c>
      <c r="B531" s="28" t="s">
        <v>13625</v>
      </c>
      <c r="C531" s="28" t="s">
        <v>19754</v>
      </c>
      <c r="D531" s="28" t="s">
        <v>17784</v>
      </c>
      <c r="E531" s="28" t="s">
        <v>192</v>
      </c>
      <c r="F531" s="28">
        <v>1</v>
      </c>
      <c r="G531" s="28" t="s">
        <v>193</v>
      </c>
      <c r="H531" s="28" t="s">
        <v>194</v>
      </c>
      <c r="I531" s="28" t="s">
        <v>19175</v>
      </c>
      <c r="J531" s="28" t="s">
        <v>210</v>
      </c>
      <c r="K531" s="28" t="s">
        <v>9309</v>
      </c>
      <c r="L531" s="28" t="s">
        <v>6955</v>
      </c>
      <c r="N531" s="28" t="s">
        <v>19755</v>
      </c>
      <c r="O531" s="28" t="s">
        <v>6389</v>
      </c>
      <c r="P531" s="28" t="s">
        <v>19393</v>
      </c>
      <c r="Q531" s="28" t="s">
        <v>17706</v>
      </c>
      <c r="R531" s="28" t="s">
        <v>19372</v>
      </c>
      <c r="S531" s="28" t="s">
        <v>19756</v>
      </c>
      <c r="T531" s="28" t="s">
        <v>19757</v>
      </c>
      <c r="V531" s="28" t="s">
        <v>9334</v>
      </c>
      <c r="W531" s="28" t="s">
        <v>19758</v>
      </c>
      <c r="X531" s="28" t="s">
        <v>194</v>
      </c>
      <c r="Y531" s="28" t="s">
        <v>9300</v>
      </c>
      <c r="AB531" s="28" t="s">
        <v>9311</v>
      </c>
      <c r="AH531" s="28" t="s">
        <v>4714</v>
      </c>
      <c r="AI531" s="28" t="s">
        <v>13625</v>
      </c>
      <c r="AJ531" s="516" t="str">
        <f>MID('II kw.22'!W531,8,6)</f>
        <v>251390</v>
      </c>
      <c r="AK531" s="516">
        <v>1</v>
      </c>
      <c r="AL531" s="516">
        <f t="shared" si="8"/>
        <v>1</v>
      </c>
      <c r="AM531" s="516">
        <v>1</v>
      </c>
      <c r="AN531" s="28" t="s">
        <v>17650</v>
      </c>
      <c r="AO531" s="28" t="s">
        <v>17651</v>
      </c>
      <c r="AP531" s="28" t="s">
        <v>17652</v>
      </c>
      <c r="AQ531" s="28" t="s">
        <v>17653</v>
      </c>
      <c r="AR531" s="28" t="s">
        <v>1024</v>
      </c>
    </row>
    <row r="532" spans="1:44" x14ac:dyDescent="0.25">
      <c r="A532" s="28" t="s">
        <v>493</v>
      </c>
      <c r="B532" s="28" t="s">
        <v>19759</v>
      </c>
      <c r="C532" s="28" t="s">
        <v>1766</v>
      </c>
      <c r="D532" s="28" t="s">
        <v>17784</v>
      </c>
      <c r="E532" s="28" t="s">
        <v>192</v>
      </c>
      <c r="F532" s="28">
        <v>1</v>
      </c>
      <c r="G532" s="28" t="s">
        <v>193</v>
      </c>
      <c r="H532" s="28" t="s">
        <v>194</v>
      </c>
      <c r="I532" s="28" t="s">
        <v>17800</v>
      </c>
      <c r="J532" s="28" t="s">
        <v>210</v>
      </c>
      <c r="K532" s="28" t="s">
        <v>9309</v>
      </c>
      <c r="L532" s="28" t="s">
        <v>6955</v>
      </c>
      <c r="N532" s="28" t="s">
        <v>19760</v>
      </c>
      <c r="O532" s="28" t="s">
        <v>7531</v>
      </c>
      <c r="P532" s="28" t="s">
        <v>19393</v>
      </c>
      <c r="Q532" s="28" t="s">
        <v>17706</v>
      </c>
      <c r="R532" s="28" t="s">
        <v>19372</v>
      </c>
      <c r="S532" s="28" t="s">
        <v>19761</v>
      </c>
      <c r="T532" s="28" t="s">
        <v>19762</v>
      </c>
      <c r="V532" s="28" t="s">
        <v>9334</v>
      </c>
      <c r="W532" s="28" t="s">
        <v>1767</v>
      </c>
      <c r="X532" s="28" t="s">
        <v>194</v>
      </c>
      <c r="Y532" s="28" t="s">
        <v>9300</v>
      </c>
      <c r="AB532" s="28" t="s">
        <v>9311</v>
      </c>
      <c r="AH532" s="28" t="s">
        <v>4714</v>
      </c>
      <c r="AI532" s="28" t="s">
        <v>19759</v>
      </c>
      <c r="AJ532" s="516" t="str">
        <f>MID('II kw.22'!W532,8,6)</f>
        <v>242112</v>
      </c>
      <c r="AK532" s="516">
        <v>1</v>
      </c>
      <c r="AL532" s="516">
        <f t="shared" si="8"/>
        <v>1</v>
      </c>
      <c r="AM532" s="516">
        <v>1</v>
      </c>
      <c r="AN532" s="28" t="s">
        <v>17650</v>
      </c>
      <c r="AO532" s="28" t="s">
        <v>17651</v>
      </c>
      <c r="AP532" s="28" t="s">
        <v>17652</v>
      </c>
      <c r="AQ532" s="28" t="s">
        <v>17653</v>
      </c>
      <c r="AR532" s="28" t="s">
        <v>1024</v>
      </c>
    </row>
    <row r="533" spans="1:44" x14ac:dyDescent="0.25">
      <c r="A533" s="28" t="s">
        <v>10002</v>
      </c>
      <c r="B533" s="28" t="s">
        <v>19763</v>
      </c>
      <c r="C533" s="28" t="s">
        <v>829</v>
      </c>
      <c r="D533" s="28" t="s">
        <v>17784</v>
      </c>
      <c r="E533" s="28" t="s">
        <v>192</v>
      </c>
      <c r="F533" s="28">
        <v>1</v>
      </c>
      <c r="G533" s="28" t="s">
        <v>193</v>
      </c>
      <c r="H533" s="28" t="s">
        <v>194</v>
      </c>
      <c r="I533" s="28" t="s">
        <v>19175</v>
      </c>
      <c r="J533" s="28" t="s">
        <v>672</v>
      </c>
      <c r="K533" s="28" t="s">
        <v>9309</v>
      </c>
      <c r="L533" s="28" t="s">
        <v>6955</v>
      </c>
      <c r="N533" s="28" t="s">
        <v>19764</v>
      </c>
      <c r="O533" s="28" t="s">
        <v>6275</v>
      </c>
      <c r="P533" s="28" t="s">
        <v>19393</v>
      </c>
      <c r="Q533" s="28" t="s">
        <v>17706</v>
      </c>
      <c r="R533" s="28" t="s">
        <v>19372</v>
      </c>
      <c r="S533" s="28" t="s">
        <v>19765</v>
      </c>
      <c r="T533" s="28" t="s">
        <v>19766</v>
      </c>
      <c r="V533" s="28" t="s">
        <v>9726</v>
      </c>
      <c r="W533" s="28" t="s">
        <v>830</v>
      </c>
      <c r="X533" s="28" t="s">
        <v>194</v>
      </c>
      <c r="Y533" s="28" t="s">
        <v>9300</v>
      </c>
      <c r="AB533" s="28" t="s">
        <v>9311</v>
      </c>
      <c r="AH533" s="28" t="s">
        <v>4714</v>
      </c>
      <c r="AI533" s="28" t="s">
        <v>19763</v>
      </c>
      <c r="AJ533" s="516" t="str">
        <f>MID('II kw.22'!W533,8,6)</f>
        <v>741201</v>
      </c>
      <c r="AK533" s="516">
        <v>1</v>
      </c>
      <c r="AL533" s="516">
        <f t="shared" si="8"/>
        <v>1</v>
      </c>
      <c r="AM533" s="516">
        <v>1</v>
      </c>
      <c r="AN533" s="28" t="s">
        <v>17650</v>
      </c>
      <c r="AO533" s="28" t="s">
        <v>17651</v>
      </c>
      <c r="AP533" s="28" t="s">
        <v>17652</v>
      </c>
      <c r="AQ533" s="28" t="s">
        <v>17653</v>
      </c>
      <c r="AR533" s="28" t="s">
        <v>1024</v>
      </c>
    </row>
    <row r="534" spans="1:44" x14ac:dyDescent="0.25">
      <c r="A534" s="28" t="s">
        <v>15269</v>
      </c>
      <c r="B534" s="28" t="s">
        <v>19767</v>
      </c>
      <c r="C534" s="28" t="s">
        <v>66</v>
      </c>
      <c r="D534" s="28" t="s">
        <v>17784</v>
      </c>
      <c r="E534" s="28" t="s">
        <v>192</v>
      </c>
      <c r="F534" s="28">
        <v>1</v>
      </c>
      <c r="G534" s="28" t="s">
        <v>193</v>
      </c>
      <c r="H534" s="28" t="s">
        <v>194</v>
      </c>
      <c r="I534" s="28" t="s">
        <v>17800</v>
      </c>
      <c r="J534" s="28" t="s">
        <v>210</v>
      </c>
      <c r="K534" s="28" t="s">
        <v>9309</v>
      </c>
      <c r="L534" s="28" t="s">
        <v>6955</v>
      </c>
      <c r="N534" s="28" t="s">
        <v>19768</v>
      </c>
      <c r="O534" s="28" t="s">
        <v>6254</v>
      </c>
      <c r="P534" s="28" t="s">
        <v>19393</v>
      </c>
      <c r="Q534" s="28" t="s">
        <v>17706</v>
      </c>
      <c r="R534" s="28" t="s">
        <v>19372</v>
      </c>
      <c r="S534" s="28" t="s">
        <v>19769</v>
      </c>
      <c r="T534" s="28" t="s">
        <v>19770</v>
      </c>
      <c r="V534" s="28" t="s">
        <v>9334</v>
      </c>
      <c r="W534" s="28" t="s">
        <v>1503</v>
      </c>
      <c r="X534" s="28" t="s">
        <v>194</v>
      </c>
      <c r="Y534" s="28" t="s">
        <v>9300</v>
      </c>
      <c r="AB534" s="28" t="s">
        <v>9311</v>
      </c>
      <c r="AH534" s="28" t="s">
        <v>4714</v>
      </c>
      <c r="AI534" s="28" t="s">
        <v>19767</v>
      </c>
      <c r="AJ534" s="516" t="str">
        <f>MID('II kw.22'!W534,8,6)</f>
        <v>241107</v>
      </c>
      <c r="AK534" s="516">
        <v>1</v>
      </c>
      <c r="AL534" s="516">
        <f t="shared" si="8"/>
        <v>1</v>
      </c>
      <c r="AM534" s="516">
        <v>1</v>
      </c>
      <c r="AN534" s="28" t="s">
        <v>17650</v>
      </c>
      <c r="AO534" s="28" t="s">
        <v>17651</v>
      </c>
      <c r="AP534" s="28" t="s">
        <v>17652</v>
      </c>
      <c r="AQ534" s="28" t="s">
        <v>17653</v>
      </c>
      <c r="AR534" s="28" t="s">
        <v>1024</v>
      </c>
    </row>
    <row r="535" spans="1:44" x14ac:dyDescent="0.25">
      <c r="A535" s="28" t="s">
        <v>5527</v>
      </c>
      <c r="B535" s="28" t="s">
        <v>19771</v>
      </c>
      <c r="C535" s="28" t="s">
        <v>19772</v>
      </c>
      <c r="D535" s="28" t="s">
        <v>17784</v>
      </c>
      <c r="E535" s="28" t="s">
        <v>192</v>
      </c>
      <c r="F535" s="28">
        <v>1</v>
      </c>
      <c r="G535" s="28" t="s">
        <v>193</v>
      </c>
      <c r="H535" s="28" t="s">
        <v>194</v>
      </c>
      <c r="I535" s="28" t="s">
        <v>19175</v>
      </c>
      <c r="J535" s="28" t="s">
        <v>210</v>
      </c>
      <c r="K535" s="28" t="s">
        <v>9309</v>
      </c>
      <c r="L535" s="28" t="s">
        <v>6955</v>
      </c>
      <c r="N535" s="28" t="s">
        <v>19773</v>
      </c>
      <c r="O535" s="28" t="s">
        <v>7531</v>
      </c>
      <c r="P535" s="28" t="s">
        <v>19393</v>
      </c>
      <c r="Q535" s="28" t="s">
        <v>17706</v>
      </c>
      <c r="R535" s="28" t="s">
        <v>19372</v>
      </c>
      <c r="S535" s="28" t="s">
        <v>19774</v>
      </c>
      <c r="T535" s="28" t="s">
        <v>19775</v>
      </c>
      <c r="V535" s="28" t="s">
        <v>9334</v>
      </c>
      <c r="W535" s="28" t="s">
        <v>19776</v>
      </c>
      <c r="X535" s="28" t="s">
        <v>194</v>
      </c>
      <c r="Y535" s="28" t="s">
        <v>9300</v>
      </c>
      <c r="AB535" s="28" t="s">
        <v>9311</v>
      </c>
      <c r="AH535" s="28" t="s">
        <v>4714</v>
      </c>
      <c r="AI535" s="28" t="s">
        <v>19771</v>
      </c>
      <c r="AJ535" s="516" t="str">
        <f>MID('II kw.22'!W535,8,6)</f>
        <v>214390</v>
      </c>
      <c r="AK535" s="516">
        <v>1</v>
      </c>
      <c r="AL535" s="516">
        <f t="shared" si="8"/>
        <v>1</v>
      </c>
      <c r="AM535" s="516">
        <v>1</v>
      </c>
      <c r="AN535" s="28" t="s">
        <v>17650</v>
      </c>
      <c r="AO535" s="28" t="s">
        <v>17651</v>
      </c>
      <c r="AP535" s="28" t="s">
        <v>17652</v>
      </c>
      <c r="AQ535" s="28" t="s">
        <v>17653</v>
      </c>
      <c r="AR535" s="28" t="s">
        <v>1024</v>
      </c>
    </row>
    <row r="536" spans="1:44" x14ac:dyDescent="0.25">
      <c r="A536" s="28" t="s">
        <v>4077</v>
      </c>
      <c r="B536" s="28" t="s">
        <v>19777</v>
      </c>
      <c r="C536" s="28" t="s">
        <v>525</v>
      </c>
      <c r="D536" s="28" t="s">
        <v>17784</v>
      </c>
      <c r="E536" s="28" t="s">
        <v>192</v>
      </c>
      <c r="F536" s="28">
        <v>1</v>
      </c>
      <c r="G536" s="28" t="s">
        <v>193</v>
      </c>
      <c r="H536" s="28" t="s">
        <v>194</v>
      </c>
      <c r="I536" s="28" t="s">
        <v>17800</v>
      </c>
      <c r="J536" s="28" t="s">
        <v>210</v>
      </c>
      <c r="K536" s="28" t="s">
        <v>9309</v>
      </c>
      <c r="L536" s="28" t="s">
        <v>6955</v>
      </c>
      <c r="N536" s="28" t="s">
        <v>19778</v>
      </c>
      <c r="O536" s="28" t="s">
        <v>6327</v>
      </c>
      <c r="P536" s="28" t="s">
        <v>19393</v>
      </c>
      <c r="Q536" s="28" t="s">
        <v>17706</v>
      </c>
      <c r="R536" s="28" t="s">
        <v>19372</v>
      </c>
      <c r="S536" s="28" t="s">
        <v>19779</v>
      </c>
      <c r="T536" s="28" t="s">
        <v>19780</v>
      </c>
      <c r="V536" s="28" t="s">
        <v>9334</v>
      </c>
      <c r="W536" s="28" t="s">
        <v>526</v>
      </c>
      <c r="X536" s="28" t="s">
        <v>194</v>
      </c>
      <c r="Y536" s="28" t="s">
        <v>9300</v>
      </c>
      <c r="AB536" s="28" t="s">
        <v>9311</v>
      </c>
      <c r="AH536" s="28" t="s">
        <v>4714</v>
      </c>
      <c r="AI536" s="28" t="s">
        <v>19777</v>
      </c>
      <c r="AJ536" s="516" t="str">
        <f>MID('II kw.22'!W536,8,6)</f>
        <v>263102</v>
      </c>
      <c r="AK536" s="516">
        <v>1</v>
      </c>
      <c r="AL536" s="516">
        <f t="shared" si="8"/>
        <v>1</v>
      </c>
      <c r="AM536" s="516">
        <v>1</v>
      </c>
      <c r="AN536" s="28" t="s">
        <v>17650</v>
      </c>
      <c r="AO536" s="28" t="s">
        <v>17651</v>
      </c>
      <c r="AP536" s="28" t="s">
        <v>17652</v>
      </c>
      <c r="AQ536" s="28" t="s">
        <v>17653</v>
      </c>
      <c r="AR536" s="28" t="s">
        <v>1024</v>
      </c>
    </row>
    <row r="537" spans="1:44" x14ac:dyDescent="0.25">
      <c r="A537" s="28" t="s">
        <v>19615</v>
      </c>
      <c r="B537" s="28" t="s">
        <v>19781</v>
      </c>
      <c r="C537" s="28" t="s">
        <v>2771</v>
      </c>
      <c r="D537" s="28" t="s">
        <v>17784</v>
      </c>
      <c r="E537" s="28" t="s">
        <v>192</v>
      </c>
      <c r="F537" s="28">
        <v>1</v>
      </c>
      <c r="G537" s="28" t="s">
        <v>193</v>
      </c>
      <c r="H537" s="28" t="s">
        <v>194</v>
      </c>
      <c r="I537" s="28" t="s">
        <v>17800</v>
      </c>
      <c r="J537" s="28" t="s">
        <v>9302</v>
      </c>
      <c r="K537" s="28" t="s">
        <v>9309</v>
      </c>
      <c r="L537" s="28" t="s">
        <v>6955</v>
      </c>
      <c r="N537" s="28" t="s">
        <v>19782</v>
      </c>
      <c r="O537" s="28" t="s">
        <v>7531</v>
      </c>
      <c r="P537" s="28" t="s">
        <v>19393</v>
      </c>
      <c r="Q537" s="28" t="s">
        <v>17706</v>
      </c>
      <c r="R537" s="28" t="s">
        <v>19372</v>
      </c>
      <c r="S537" s="28" t="s">
        <v>19783</v>
      </c>
      <c r="T537" s="28" t="s">
        <v>19784</v>
      </c>
      <c r="V537" s="27"/>
      <c r="W537" s="28" t="s">
        <v>4816</v>
      </c>
      <c r="X537" s="28" t="s">
        <v>193</v>
      </c>
      <c r="Y537" s="27" t="s">
        <v>9310</v>
      </c>
      <c r="AB537" s="28" t="s">
        <v>9311</v>
      </c>
      <c r="AH537" s="28" t="s">
        <v>4714</v>
      </c>
      <c r="AI537" s="28" t="s">
        <v>19781</v>
      </c>
      <c r="AJ537" s="516" t="str">
        <f>MID('II kw.22'!W537,8,6)</f>
        <v>331403</v>
      </c>
      <c r="AK537" s="516">
        <v>1</v>
      </c>
      <c r="AL537" s="516">
        <f t="shared" si="8"/>
        <v>1</v>
      </c>
      <c r="AM537" s="516">
        <v>1</v>
      </c>
      <c r="AN537" s="28" t="s">
        <v>17650</v>
      </c>
      <c r="AO537" s="28" t="s">
        <v>17651</v>
      </c>
      <c r="AP537" s="28" t="s">
        <v>17652</v>
      </c>
      <c r="AQ537" s="28" t="s">
        <v>17653</v>
      </c>
      <c r="AR537" s="28" t="s">
        <v>1024</v>
      </c>
    </row>
    <row r="538" spans="1:44" x14ac:dyDescent="0.25">
      <c r="A538" s="28" t="s">
        <v>19785</v>
      </c>
      <c r="B538" s="28" t="s">
        <v>1598</v>
      </c>
      <c r="C538" s="28" t="s">
        <v>444</v>
      </c>
      <c r="D538" s="28" t="s">
        <v>17784</v>
      </c>
      <c r="E538" s="28" t="s">
        <v>192</v>
      </c>
      <c r="F538" s="28">
        <v>1</v>
      </c>
      <c r="G538" s="28" t="s">
        <v>193</v>
      </c>
      <c r="H538" s="28" t="s">
        <v>194</v>
      </c>
      <c r="I538" s="28" t="s">
        <v>17800</v>
      </c>
      <c r="J538" s="28" t="s">
        <v>9302</v>
      </c>
      <c r="K538" s="28" t="s">
        <v>9309</v>
      </c>
      <c r="L538" s="28" t="s">
        <v>6955</v>
      </c>
      <c r="N538" s="28" t="s">
        <v>19786</v>
      </c>
      <c r="O538" s="28" t="s">
        <v>6261</v>
      </c>
      <c r="P538" s="28" t="s">
        <v>19393</v>
      </c>
      <c r="Q538" s="28" t="s">
        <v>17706</v>
      </c>
      <c r="R538" s="28" t="s">
        <v>19372</v>
      </c>
      <c r="S538" s="28" t="s">
        <v>19787</v>
      </c>
      <c r="T538" s="28" t="s">
        <v>19788</v>
      </c>
      <c r="V538" s="27"/>
      <c r="W538" s="28" t="s">
        <v>445</v>
      </c>
      <c r="X538" s="28" t="s">
        <v>193</v>
      </c>
      <c r="Y538" s="27" t="s">
        <v>9310</v>
      </c>
      <c r="AB538" s="28" t="s">
        <v>9311</v>
      </c>
      <c r="AH538" s="28" t="s">
        <v>4714</v>
      </c>
      <c r="AI538" s="28" t="s">
        <v>1598</v>
      </c>
      <c r="AJ538" s="516" t="str">
        <f>MID('II kw.22'!W538,8,6)</f>
        <v>243103</v>
      </c>
      <c r="AK538" s="516">
        <v>1</v>
      </c>
      <c r="AL538" s="516">
        <f t="shared" si="8"/>
        <v>1</v>
      </c>
      <c r="AM538" s="516">
        <v>1</v>
      </c>
      <c r="AN538" s="28" t="s">
        <v>17650</v>
      </c>
      <c r="AO538" s="28" t="s">
        <v>17651</v>
      </c>
      <c r="AP538" s="28" t="s">
        <v>17652</v>
      </c>
      <c r="AQ538" s="28" t="s">
        <v>17653</v>
      </c>
      <c r="AR538" s="28" t="s">
        <v>1024</v>
      </c>
    </row>
    <row r="539" spans="1:44" x14ac:dyDescent="0.25">
      <c r="A539" s="28" t="s">
        <v>3029</v>
      </c>
      <c r="B539" s="28" t="s">
        <v>19789</v>
      </c>
      <c r="C539" s="28" t="s">
        <v>688</v>
      </c>
      <c r="D539" s="28" t="s">
        <v>17784</v>
      </c>
      <c r="E539" s="28" t="s">
        <v>192</v>
      </c>
      <c r="F539" s="28">
        <v>1</v>
      </c>
      <c r="G539" s="28" t="s">
        <v>193</v>
      </c>
      <c r="H539" s="28" t="s">
        <v>194</v>
      </c>
      <c r="I539" s="28" t="s">
        <v>19175</v>
      </c>
      <c r="J539" s="28" t="s">
        <v>3032</v>
      </c>
      <c r="K539" s="28" t="s">
        <v>9309</v>
      </c>
      <c r="L539" s="28" t="s">
        <v>6955</v>
      </c>
      <c r="N539" s="28" t="s">
        <v>19790</v>
      </c>
      <c r="O539" s="28" t="s">
        <v>6343</v>
      </c>
      <c r="P539" s="28" t="s">
        <v>19393</v>
      </c>
      <c r="Q539" s="28" t="s">
        <v>17706</v>
      </c>
      <c r="R539" s="28" t="s">
        <v>19372</v>
      </c>
      <c r="S539" s="28" t="s">
        <v>19791</v>
      </c>
      <c r="T539" s="28" t="s">
        <v>19792</v>
      </c>
      <c r="V539" s="28" t="s">
        <v>10136</v>
      </c>
      <c r="W539" s="28" t="s">
        <v>689</v>
      </c>
      <c r="X539" s="28" t="s">
        <v>194</v>
      </c>
      <c r="Y539" s="28" t="s">
        <v>9300</v>
      </c>
      <c r="AB539" s="28" t="s">
        <v>9311</v>
      </c>
      <c r="AH539" s="28" t="s">
        <v>4714</v>
      </c>
      <c r="AI539" s="28" t="s">
        <v>19789</v>
      </c>
      <c r="AJ539" s="516" t="str">
        <f>MID('II kw.22'!W539,8,6)</f>
        <v>343402</v>
      </c>
      <c r="AK539" s="516">
        <v>1</v>
      </c>
      <c r="AL539" s="516">
        <f t="shared" si="8"/>
        <v>1</v>
      </c>
      <c r="AM539" s="516">
        <v>1</v>
      </c>
      <c r="AN539" s="28" t="s">
        <v>17650</v>
      </c>
      <c r="AO539" s="28" t="s">
        <v>17651</v>
      </c>
      <c r="AP539" s="28" t="s">
        <v>17652</v>
      </c>
      <c r="AQ539" s="28" t="s">
        <v>17653</v>
      </c>
      <c r="AR539" s="28" t="s">
        <v>1024</v>
      </c>
    </row>
    <row r="540" spans="1:44" x14ac:dyDescent="0.25">
      <c r="A540" s="28" t="s">
        <v>19793</v>
      </c>
      <c r="B540" s="28" t="s">
        <v>19794</v>
      </c>
      <c r="C540" s="28" t="s">
        <v>740</v>
      </c>
      <c r="D540" s="28" t="s">
        <v>17784</v>
      </c>
      <c r="E540" s="28" t="s">
        <v>192</v>
      </c>
      <c r="F540" s="28">
        <v>1</v>
      </c>
      <c r="G540" s="28" t="s">
        <v>193</v>
      </c>
      <c r="H540" s="28" t="s">
        <v>194</v>
      </c>
      <c r="I540" s="28" t="s">
        <v>17800</v>
      </c>
      <c r="J540" s="28" t="s">
        <v>210</v>
      </c>
      <c r="K540" s="28" t="s">
        <v>9309</v>
      </c>
      <c r="L540" s="28" t="s">
        <v>6955</v>
      </c>
      <c r="N540" s="28" t="s">
        <v>19795</v>
      </c>
      <c r="O540" s="28" t="s">
        <v>6245</v>
      </c>
      <c r="P540" s="28" t="s">
        <v>19393</v>
      </c>
      <c r="Q540" s="28" t="s">
        <v>17706</v>
      </c>
      <c r="R540" s="28" t="s">
        <v>19372</v>
      </c>
      <c r="S540" s="28" t="s">
        <v>19796</v>
      </c>
      <c r="T540" s="28" t="s">
        <v>19797</v>
      </c>
      <c r="V540" s="28" t="s">
        <v>9334</v>
      </c>
      <c r="W540" s="28" t="s">
        <v>741</v>
      </c>
      <c r="X540" s="28" t="s">
        <v>194</v>
      </c>
      <c r="Y540" s="28" t="s">
        <v>9300</v>
      </c>
      <c r="AB540" s="28" t="s">
        <v>9311</v>
      </c>
      <c r="AH540" s="28" t="s">
        <v>4714</v>
      </c>
      <c r="AI540" s="28" t="s">
        <v>19794</v>
      </c>
      <c r="AJ540" s="516" t="str">
        <f>MID('II kw.22'!W540,8,6)</f>
        <v>522301</v>
      </c>
      <c r="AK540" s="516">
        <v>1</v>
      </c>
      <c r="AL540" s="516">
        <f t="shared" si="8"/>
        <v>1</v>
      </c>
      <c r="AM540" s="516">
        <v>1</v>
      </c>
      <c r="AN540" s="28" t="s">
        <v>17650</v>
      </c>
      <c r="AO540" s="28" t="s">
        <v>17651</v>
      </c>
      <c r="AP540" s="28" t="s">
        <v>17652</v>
      </c>
      <c r="AQ540" s="28" t="s">
        <v>17653</v>
      </c>
      <c r="AR540" s="28" t="s">
        <v>1024</v>
      </c>
    </row>
    <row r="541" spans="1:44" x14ac:dyDescent="0.25">
      <c r="A541" s="28" t="s">
        <v>19798</v>
      </c>
      <c r="B541" s="28" t="s">
        <v>5172</v>
      </c>
      <c r="C541" s="28" t="s">
        <v>5173</v>
      </c>
      <c r="D541" s="28" t="s">
        <v>17784</v>
      </c>
      <c r="E541" s="28" t="s">
        <v>192</v>
      </c>
      <c r="F541" s="28">
        <v>1</v>
      </c>
      <c r="G541" s="28" t="s">
        <v>193</v>
      </c>
      <c r="H541" s="28" t="s">
        <v>194</v>
      </c>
      <c r="I541" s="28" t="s">
        <v>19175</v>
      </c>
      <c r="J541" s="28" t="s">
        <v>210</v>
      </c>
      <c r="K541" s="28" t="s">
        <v>9309</v>
      </c>
      <c r="L541" s="28" t="s">
        <v>6955</v>
      </c>
      <c r="N541" s="28" t="s">
        <v>19799</v>
      </c>
      <c r="O541" s="28" t="s">
        <v>6324</v>
      </c>
      <c r="P541" s="28" t="s">
        <v>19393</v>
      </c>
      <c r="Q541" s="28" t="s">
        <v>17706</v>
      </c>
      <c r="R541" s="28" t="s">
        <v>19372</v>
      </c>
      <c r="S541" s="28" t="s">
        <v>19800</v>
      </c>
      <c r="T541" s="28" t="s">
        <v>19801</v>
      </c>
      <c r="V541" s="28" t="s">
        <v>9334</v>
      </c>
      <c r="W541" s="28" t="s">
        <v>1150</v>
      </c>
      <c r="X541" s="28" t="s">
        <v>194</v>
      </c>
      <c r="Y541" s="28" t="s">
        <v>9300</v>
      </c>
      <c r="AB541" s="28" t="s">
        <v>9311</v>
      </c>
      <c r="AH541" s="28" t="s">
        <v>4714</v>
      </c>
      <c r="AI541" s="28" t="s">
        <v>5172</v>
      </c>
      <c r="AJ541" s="516" t="str">
        <f>MID('II kw.22'!W541,8,6)</f>
        <v>244001</v>
      </c>
      <c r="AK541" s="516">
        <v>1</v>
      </c>
      <c r="AL541" s="516">
        <f t="shared" si="8"/>
        <v>1</v>
      </c>
      <c r="AM541" s="516">
        <v>1</v>
      </c>
      <c r="AN541" s="28" t="s">
        <v>17650</v>
      </c>
      <c r="AO541" s="28" t="s">
        <v>17651</v>
      </c>
      <c r="AP541" s="28" t="s">
        <v>17652</v>
      </c>
      <c r="AQ541" s="28" t="s">
        <v>17653</v>
      </c>
      <c r="AR541" s="28" t="s">
        <v>1024</v>
      </c>
    </row>
    <row r="542" spans="1:44" x14ac:dyDescent="0.25">
      <c r="A542" s="28" t="s">
        <v>19802</v>
      </c>
      <c r="B542" s="28" t="s">
        <v>19803</v>
      </c>
      <c r="C542" s="28" t="s">
        <v>3202</v>
      </c>
      <c r="D542" s="28" t="s">
        <v>17784</v>
      </c>
      <c r="E542" s="28" t="s">
        <v>192</v>
      </c>
      <c r="F542" s="28">
        <v>1</v>
      </c>
      <c r="G542" s="28" t="s">
        <v>193</v>
      </c>
      <c r="H542" s="28" t="s">
        <v>194</v>
      </c>
      <c r="I542" s="28" t="s">
        <v>19175</v>
      </c>
      <c r="J542" s="28" t="s">
        <v>9302</v>
      </c>
      <c r="K542" s="28" t="s">
        <v>9309</v>
      </c>
      <c r="L542" s="28" t="s">
        <v>6955</v>
      </c>
      <c r="N542" s="28" t="s">
        <v>19804</v>
      </c>
      <c r="O542" s="28" t="s">
        <v>6251</v>
      </c>
      <c r="P542" s="28" t="s">
        <v>19393</v>
      </c>
      <c r="Q542" s="28" t="s">
        <v>17706</v>
      </c>
      <c r="R542" s="28" t="s">
        <v>19372</v>
      </c>
      <c r="S542" s="28" t="s">
        <v>19805</v>
      </c>
      <c r="T542" s="28" t="s">
        <v>19806</v>
      </c>
      <c r="V542" s="27"/>
      <c r="W542" s="28" t="s">
        <v>7209</v>
      </c>
      <c r="X542" s="28" t="s">
        <v>193</v>
      </c>
      <c r="Y542" s="27" t="s">
        <v>9310</v>
      </c>
      <c r="AB542" s="28" t="s">
        <v>9311</v>
      </c>
      <c r="AH542" s="28" t="s">
        <v>4714</v>
      </c>
      <c r="AI542" s="28" t="s">
        <v>19803</v>
      </c>
      <c r="AJ542" s="516" t="str">
        <f>MID('II kw.22'!W542,8,6)</f>
        <v>243402</v>
      </c>
      <c r="AK542" s="516">
        <v>1</v>
      </c>
      <c r="AL542" s="516">
        <f t="shared" si="8"/>
        <v>1</v>
      </c>
      <c r="AM542" s="516">
        <v>1</v>
      </c>
      <c r="AN542" s="28" t="s">
        <v>17650</v>
      </c>
      <c r="AO542" s="28" t="s">
        <v>17651</v>
      </c>
      <c r="AP542" s="28" t="s">
        <v>17652</v>
      </c>
      <c r="AQ542" s="28" t="s">
        <v>17653</v>
      </c>
      <c r="AR542" s="28" t="s">
        <v>1024</v>
      </c>
    </row>
    <row r="543" spans="1:44" x14ac:dyDescent="0.25">
      <c r="A543" s="28" t="s">
        <v>19807</v>
      </c>
      <c r="B543" s="28" t="s">
        <v>19808</v>
      </c>
      <c r="C543" s="28" t="s">
        <v>36</v>
      </c>
      <c r="D543" s="28" t="s">
        <v>17784</v>
      </c>
      <c r="E543" s="28" t="s">
        <v>192</v>
      </c>
      <c r="F543" s="28">
        <v>1</v>
      </c>
      <c r="G543" s="28" t="s">
        <v>193</v>
      </c>
      <c r="H543" s="28" t="s">
        <v>194</v>
      </c>
      <c r="I543" s="28" t="s">
        <v>17800</v>
      </c>
      <c r="J543" s="28" t="s">
        <v>9302</v>
      </c>
      <c r="K543" s="28" t="s">
        <v>9309</v>
      </c>
      <c r="L543" s="28" t="s">
        <v>6955</v>
      </c>
      <c r="N543" s="28" t="s">
        <v>19809</v>
      </c>
      <c r="O543" s="28" t="s">
        <v>6327</v>
      </c>
      <c r="P543" s="28" t="s">
        <v>19393</v>
      </c>
      <c r="Q543" s="28" t="s">
        <v>17706</v>
      </c>
      <c r="R543" s="28" t="s">
        <v>19372</v>
      </c>
      <c r="S543" s="28" t="s">
        <v>19810</v>
      </c>
      <c r="T543" s="28" t="s">
        <v>19811</v>
      </c>
      <c r="V543" s="27"/>
      <c r="W543" s="28" t="s">
        <v>609</v>
      </c>
      <c r="X543" s="28" t="s">
        <v>193</v>
      </c>
      <c r="Y543" s="27" t="s">
        <v>9310</v>
      </c>
      <c r="AB543" s="28" t="s">
        <v>9311</v>
      </c>
      <c r="AH543" s="28" t="s">
        <v>4714</v>
      </c>
      <c r="AI543" s="28" t="s">
        <v>19808</v>
      </c>
      <c r="AJ543" s="516" t="str">
        <f>MID('II kw.22'!W543,8,6)</f>
        <v>331301</v>
      </c>
      <c r="AK543" s="516">
        <v>1</v>
      </c>
      <c r="AL543" s="516">
        <f t="shared" si="8"/>
        <v>1</v>
      </c>
      <c r="AM543" s="516">
        <v>1</v>
      </c>
      <c r="AN543" s="28" t="s">
        <v>17650</v>
      </c>
      <c r="AO543" s="28" t="s">
        <v>17651</v>
      </c>
      <c r="AP543" s="28" t="s">
        <v>17652</v>
      </c>
      <c r="AQ543" s="28" t="s">
        <v>17653</v>
      </c>
      <c r="AR543" s="28" t="s">
        <v>1024</v>
      </c>
    </row>
    <row r="544" spans="1:44" x14ac:dyDescent="0.25">
      <c r="A544" s="28" t="s">
        <v>19807</v>
      </c>
      <c r="B544" s="28" t="s">
        <v>19812</v>
      </c>
      <c r="C544" s="28" t="s">
        <v>36</v>
      </c>
      <c r="D544" s="28" t="s">
        <v>17784</v>
      </c>
      <c r="E544" s="28" t="s">
        <v>192</v>
      </c>
      <c r="F544" s="28">
        <v>1</v>
      </c>
      <c r="G544" s="28" t="s">
        <v>193</v>
      </c>
      <c r="H544" s="28" t="s">
        <v>194</v>
      </c>
      <c r="I544" s="28" t="s">
        <v>19175</v>
      </c>
      <c r="J544" s="28" t="s">
        <v>9302</v>
      </c>
      <c r="K544" s="28" t="s">
        <v>9309</v>
      </c>
      <c r="L544" s="28" t="s">
        <v>6955</v>
      </c>
      <c r="N544" s="28" t="s">
        <v>19813</v>
      </c>
      <c r="O544" s="28" t="s">
        <v>6327</v>
      </c>
      <c r="P544" s="28" t="s">
        <v>19393</v>
      </c>
      <c r="Q544" s="28" t="s">
        <v>17706</v>
      </c>
      <c r="R544" s="28" t="s">
        <v>19372</v>
      </c>
      <c r="S544" s="28" t="s">
        <v>19814</v>
      </c>
      <c r="T544" s="28" t="s">
        <v>19815</v>
      </c>
      <c r="V544" s="27"/>
      <c r="W544" s="28" t="s">
        <v>609</v>
      </c>
      <c r="X544" s="28" t="s">
        <v>193</v>
      </c>
      <c r="Y544" s="27" t="s">
        <v>9310</v>
      </c>
      <c r="AB544" s="28" t="s">
        <v>9311</v>
      </c>
      <c r="AH544" s="28" t="s">
        <v>4714</v>
      </c>
      <c r="AI544" s="28" t="s">
        <v>19812</v>
      </c>
      <c r="AJ544" s="516" t="str">
        <f>MID('II kw.22'!W544,8,6)</f>
        <v>331301</v>
      </c>
      <c r="AK544" s="516">
        <v>1</v>
      </c>
      <c r="AL544" s="516">
        <f t="shared" si="8"/>
        <v>1</v>
      </c>
      <c r="AM544" s="516">
        <v>1</v>
      </c>
      <c r="AN544" s="28" t="s">
        <v>17650</v>
      </c>
      <c r="AO544" s="28" t="s">
        <v>17651</v>
      </c>
      <c r="AP544" s="28" t="s">
        <v>17652</v>
      </c>
      <c r="AQ544" s="28" t="s">
        <v>17653</v>
      </c>
      <c r="AR544" s="28" t="s">
        <v>1024</v>
      </c>
    </row>
    <row r="545" spans="1:44" x14ac:dyDescent="0.25">
      <c r="A545" s="28" t="s">
        <v>19816</v>
      </c>
      <c r="B545" s="28" t="s">
        <v>19817</v>
      </c>
      <c r="C545" s="28" t="s">
        <v>19818</v>
      </c>
      <c r="D545" s="28" t="s">
        <v>17784</v>
      </c>
      <c r="E545" s="28" t="s">
        <v>192</v>
      </c>
      <c r="F545" s="28">
        <v>1</v>
      </c>
      <c r="G545" s="28" t="s">
        <v>193</v>
      </c>
      <c r="H545" s="28" t="s">
        <v>194</v>
      </c>
      <c r="I545" s="28" t="s">
        <v>19175</v>
      </c>
      <c r="J545" s="28" t="s">
        <v>9302</v>
      </c>
      <c r="K545" s="28" t="s">
        <v>9309</v>
      </c>
      <c r="L545" s="28" t="s">
        <v>6955</v>
      </c>
      <c r="N545" s="28" t="s">
        <v>19819</v>
      </c>
      <c r="O545" s="28" t="s">
        <v>6245</v>
      </c>
      <c r="P545" s="28" t="s">
        <v>19393</v>
      </c>
      <c r="Q545" s="28" t="s">
        <v>17706</v>
      </c>
      <c r="R545" s="28" t="s">
        <v>19372</v>
      </c>
      <c r="S545" s="28" t="s">
        <v>19820</v>
      </c>
      <c r="T545" s="28" t="s">
        <v>19821</v>
      </c>
      <c r="V545" s="27"/>
      <c r="W545" s="28" t="s">
        <v>19822</v>
      </c>
      <c r="X545" s="28" t="s">
        <v>193</v>
      </c>
      <c r="Y545" s="27" t="s">
        <v>9310</v>
      </c>
      <c r="AB545" s="28" t="s">
        <v>9311</v>
      </c>
      <c r="AH545" s="28" t="s">
        <v>4714</v>
      </c>
      <c r="AI545" s="28" t="s">
        <v>19817</v>
      </c>
      <c r="AJ545" s="516" t="str">
        <f>MID('II kw.22'!W545,8,6)</f>
        <v>213201</v>
      </c>
      <c r="AK545" s="516">
        <v>1</v>
      </c>
      <c r="AL545" s="516">
        <f t="shared" si="8"/>
        <v>1</v>
      </c>
      <c r="AM545" s="516">
        <v>1</v>
      </c>
      <c r="AN545" s="28" t="s">
        <v>17650</v>
      </c>
      <c r="AO545" s="28" t="s">
        <v>17651</v>
      </c>
      <c r="AP545" s="28" t="s">
        <v>17652</v>
      </c>
      <c r="AQ545" s="28" t="s">
        <v>17653</v>
      </c>
      <c r="AR545" s="28" t="s">
        <v>1024</v>
      </c>
    </row>
    <row r="546" spans="1:44" x14ac:dyDescent="0.25">
      <c r="A546" s="28" t="s">
        <v>19823</v>
      </c>
      <c r="B546" s="28" t="s">
        <v>19824</v>
      </c>
      <c r="C546" s="28" t="s">
        <v>17</v>
      </c>
      <c r="D546" s="28" t="s">
        <v>17784</v>
      </c>
      <c r="E546" s="28" t="s">
        <v>192</v>
      </c>
      <c r="F546" s="28">
        <v>1</v>
      </c>
      <c r="G546" s="28" t="s">
        <v>193</v>
      </c>
      <c r="H546" s="28" t="s">
        <v>194</v>
      </c>
      <c r="I546" s="28" t="s">
        <v>19175</v>
      </c>
      <c r="J546" s="28" t="s">
        <v>9302</v>
      </c>
      <c r="K546" s="28" t="s">
        <v>9309</v>
      </c>
      <c r="L546" s="28" t="s">
        <v>6955</v>
      </c>
      <c r="N546" s="28" t="s">
        <v>19825</v>
      </c>
      <c r="O546" s="28" t="s">
        <v>6254</v>
      </c>
      <c r="P546" s="28" t="s">
        <v>19393</v>
      </c>
      <c r="Q546" s="28" t="s">
        <v>17706</v>
      </c>
      <c r="R546" s="28" t="s">
        <v>19372</v>
      </c>
      <c r="S546" s="28" t="s">
        <v>19826</v>
      </c>
      <c r="T546" s="28" t="s">
        <v>19827</v>
      </c>
      <c r="V546" s="27"/>
      <c r="W546" s="28" t="s">
        <v>624</v>
      </c>
      <c r="X546" s="28" t="s">
        <v>193</v>
      </c>
      <c r="Y546" s="27" t="s">
        <v>9310</v>
      </c>
      <c r="AB546" s="28" t="s">
        <v>9311</v>
      </c>
      <c r="AH546" s="28" t="s">
        <v>4714</v>
      </c>
      <c r="AI546" s="28" t="s">
        <v>19824</v>
      </c>
      <c r="AJ546" s="516" t="str">
        <f>MID('II kw.22'!W546,8,6)</f>
        <v>332203</v>
      </c>
      <c r="AK546" s="516">
        <v>1</v>
      </c>
      <c r="AL546" s="516">
        <f t="shared" si="8"/>
        <v>1</v>
      </c>
      <c r="AM546" s="516">
        <v>1</v>
      </c>
      <c r="AN546" s="28" t="s">
        <v>17650</v>
      </c>
      <c r="AO546" s="28" t="s">
        <v>17651</v>
      </c>
      <c r="AP546" s="28" t="s">
        <v>17652</v>
      </c>
      <c r="AQ546" s="28" t="s">
        <v>17653</v>
      </c>
      <c r="AR546" s="28" t="s">
        <v>1024</v>
      </c>
    </row>
    <row r="547" spans="1:44" x14ac:dyDescent="0.25">
      <c r="A547" s="28" t="s">
        <v>19828</v>
      </c>
      <c r="B547" s="28" t="s">
        <v>19829</v>
      </c>
      <c r="C547" s="28" t="s">
        <v>17460</v>
      </c>
      <c r="D547" s="28" t="s">
        <v>17784</v>
      </c>
      <c r="E547" s="28" t="s">
        <v>192</v>
      </c>
      <c r="F547" s="28">
        <v>1</v>
      </c>
      <c r="G547" s="28" t="s">
        <v>193</v>
      </c>
      <c r="H547" s="28" t="s">
        <v>194</v>
      </c>
      <c r="I547" s="28" t="s">
        <v>19175</v>
      </c>
      <c r="J547" s="28" t="s">
        <v>9302</v>
      </c>
      <c r="K547" s="28" t="s">
        <v>9309</v>
      </c>
      <c r="L547" s="28" t="s">
        <v>6955</v>
      </c>
      <c r="N547" s="28" t="s">
        <v>19830</v>
      </c>
      <c r="O547" s="28" t="s">
        <v>6921</v>
      </c>
      <c r="P547" s="28" t="s">
        <v>19393</v>
      </c>
      <c r="Q547" s="28" t="s">
        <v>17706</v>
      </c>
      <c r="R547" s="28" t="s">
        <v>19372</v>
      </c>
      <c r="S547" s="28" t="s">
        <v>19831</v>
      </c>
      <c r="T547" s="28" t="s">
        <v>19832</v>
      </c>
      <c r="V547" s="27"/>
      <c r="W547" s="28" t="s">
        <v>17458</v>
      </c>
      <c r="X547" s="28" t="s">
        <v>193</v>
      </c>
      <c r="Y547" s="27" t="s">
        <v>9310</v>
      </c>
      <c r="AB547" s="28" t="s">
        <v>9311</v>
      </c>
      <c r="AH547" s="28" t="s">
        <v>4714</v>
      </c>
      <c r="AI547" s="28" t="s">
        <v>19829</v>
      </c>
      <c r="AJ547" s="516" t="str">
        <f>MID('II kw.22'!W547,8,6)</f>
        <v>242190</v>
      </c>
      <c r="AK547" s="516">
        <v>1</v>
      </c>
      <c r="AL547" s="516">
        <f t="shared" si="8"/>
        <v>1</v>
      </c>
      <c r="AM547" s="516">
        <v>1</v>
      </c>
      <c r="AN547" s="28" t="s">
        <v>17650</v>
      </c>
      <c r="AO547" s="28" t="s">
        <v>17651</v>
      </c>
      <c r="AP547" s="28" t="s">
        <v>17652</v>
      </c>
      <c r="AQ547" s="28" t="s">
        <v>17653</v>
      </c>
      <c r="AR547" s="28" t="s">
        <v>1024</v>
      </c>
    </row>
    <row r="548" spans="1:44" x14ac:dyDescent="0.25">
      <c r="A548" s="28" t="s">
        <v>1612</v>
      </c>
      <c r="B548" s="28" t="s">
        <v>19833</v>
      </c>
      <c r="C548" s="28" t="s">
        <v>2861</v>
      </c>
      <c r="D548" s="28" t="s">
        <v>17784</v>
      </c>
      <c r="E548" s="28" t="s">
        <v>192</v>
      </c>
      <c r="F548" s="28">
        <v>1</v>
      </c>
      <c r="G548" s="28" t="s">
        <v>193</v>
      </c>
      <c r="H548" s="28" t="s">
        <v>194</v>
      </c>
      <c r="I548" s="28" t="s">
        <v>17800</v>
      </c>
      <c r="J548" s="28" t="s">
        <v>9302</v>
      </c>
      <c r="K548" s="28" t="s">
        <v>9309</v>
      </c>
      <c r="L548" s="28" t="s">
        <v>6955</v>
      </c>
      <c r="N548" s="28" t="s">
        <v>19834</v>
      </c>
      <c r="O548" s="28" t="s">
        <v>6261</v>
      </c>
      <c r="P548" s="28" t="s">
        <v>19393</v>
      </c>
      <c r="Q548" s="28" t="s">
        <v>17706</v>
      </c>
      <c r="R548" s="28" t="s">
        <v>19743</v>
      </c>
      <c r="S548" s="28" t="s">
        <v>19835</v>
      </c>
      <c r="T548" s="28" t="s">
        <v>19836</v>
      </c>
      <c r="V548" s="27"/>
      <c r="W548" s="28" t="s">
        <v>3629</v>
      </c>
      <c r="X548" s="28" t="s">
        <v>193</v>
      </c>
      <c r="Y548" s="27" t="s">
        <v>9310</v>
      </c>
      <c r="AB548" s="28" t="s">
        <v>9311</v>
      </c>
      <c r="AH548" s="509" t="s">
        <v>5109</v>
      </c>
      <c r="AI548" s="28" t="s">
        <v>19833</v>
      </c>
      <c r="AJ548" s="516" t="str">
        <f>MID('II kw.22'!W548,8,6)</f>
        <v>251903</v>
      </c>
      <c r="AK548" s="516">
        <v>1</v>
      </c>
      <c r="AL548" s="516">
        <f t="shared" si="8"/>
        <v>1</v>
      </c>
      <c r="AM548" s="516">
        <v>1</v>
      </c>
      <c r="AN548" s="28" t="s">
        <v>17650</v>
      </c>
      <c r="AO548" s="28" t="s">
        <v>17651</v>
      </c>
      <c r="AP548" s="28" t="s">
        <v>17652</v>
      </c>
      <c r="AQ548" s="28" t="s">
        <v>17653</v>
      </c>
      <c r="AR548" s="28" t="s">
        <v>1024</v>
      </c>
    </row>
    <row r="549" spans="1:44" x14ac:dyDescent="0.25">
      <c r="A549" s="28" t="s">
        <v>17443</v>
      </c>
      <c r="B549" s="28" t="s">
        <v>1322</v>
      </c>
      <c r="C549" s="28" t="s">
        <v>8740</v>
      </c>
      <c r="D549" s="28" t="s">
        <v>17784</v>
      </c>
      <c r="E549" s="28" t="s">
        <v>192</v>
      </c>
      <c r="F549" s="28">
        <v>1</v>
      </c>
      <c r="G549" s="28" t="s">
        <v>193</v>
      </c>
      <c r="H549" s="28" t="s">
        <v>194</v>
      </c>
      <c r="I549" s="28" t="s">
        <v>19175</v>
      </c>
      <c r="J549" s="28" t="s">
        <v>9302</v>
      </c>
      <c r="K549" s="28" t="s">
        <v>9309</v>
      </c>
      <c r="L549" s="28" t="s">
        <v>6955</v>
      </c>
      <c r="N549" s="28" t="s">
        <v>19837</v>
      </c>
      <c r="O549" s="28" t="s">
        <v>6261</v>
      </c>
      <c r="P549" s="28" t="s">
        <v>19393</v>
      </c>
      <c r="Q549" s="28" t="s">
        <v>17706</v>
      </c>
      <c r="R549" s="28" t="s">
        <v>19372</v>
      </c>
      <c r="S549" s="28" t="s">
        <v>19838</v>
      </c>
      <c r="T549" s="28" t="s">
        <v>19839</v>
      </c>
      <c r="V549" s="27"/>
      <c r="W549" s="28" t="s">
        <v>8742</v>
      </c>
      <c r="X549" s="28" t="s">
        <v>193</v>
      </c>
      <c r="Y549" s="27" t="s">
        <v>9310</v>
      </c>
      <c r="AB549" s="28" t="s">
        <v>9311</v>
      </c>
      <c r="AH549" s="28" t="s">
        <v>4714</v>
      </c>
      <c r="AI549" s="28" t="s">
        <v>1322</v>
      </c>
      <c r="AJ549" s="516" t="str">
        <f>MID('II kw.22'!W549,8,6)</f>
        <v>251490</v>
      </c>
      <c r="AK549" s="516">
        <v>1</v>
      </c>
      <c r="AL549" s="516">
        <f t="shared" si="8"/>
        <v>1</v>
      </c>
      <c r="AM549" s="516">
        <v>1</v>
      </c>
      <c r="AN549" s="28" t="s">
        <v>17650</v>
      </c>
      <c r="AO549" s="28" t="s">
        <v>17651</v>
      </c>
      <c r="AP549" s="28" t="s">
        <v>17652</v>
      </c>
      <c r="AQ549" s="28" t="s">
        <v>17653</v>
      </c>
      <c r="AR549" s="28" t="s">
        <v>1024</v>
      </c>
    </row>
    <row r="550" spans="1:44" x14ac:dyDescent="0.25">
      <c r="A550" s="28" t="s">
        <v>19840</v>
      </c>
      <c r="B550" s="28" t="s">
        <v>19841</v>
      </c>
      <c r="C550" s="28" t="s">
        <v>366</v>
      </c>
      <c r="D550" s="28" t="s">
        <v>17784</v>
      </c>
      <c r="E550" s="28" t="s">
        <v>192</v>
      </c>
      <c r="F550" s="28">
        <v>1</v>
      </c>
      <c r="G550" s="28" t="s">
        <v>193</v>
      </c>
      <c r="H550" s="28" t="s">
        <v>194</v>
      </c>
      <c r="I550" s="28" t="s">
        <v>19175</v>
      </c>
      <c r="J550" s="28" t="s">
        <v>210</v>
      </c>
      <c r="K550" s="28" t="s">
        <v>9309</v>
      </c>
      <c r="L550" s="28" t="s">
        <v>6955</v>
      </c>
      <c r="N550" s="28" t="s">
        <v>19842</v>
      </c>
      <c r="O550" s="28" t="s">
        <v>6261</v>
      </c>
      <c r="P550" s="28" t="s">
        <v>19393</v>
      </c>
      <c r="Q550" s="28" t="s">
        <v>17706</v>
      </c>
      <c r="R550" s="28" t="s">
        <v>19372</v>
      </c>
      <c r="S550" s="28" t="s">
        <v>19843</v>
      </c>
      <c r="T550" s="28" t="s">
        <v>19844</v>
      </c>
      <c r="V550" s="28" t="s">
        <v>9334</v>
      </c>
      <c r="W550" s="28" t="s">
        <v>368</v>
      </c>
      <c r="X550" s="28" t="s">
        <v>194</v>
      </c>
      <c r="Y550" s="28" t="s">
        <v>9300</v>
      </c>
      <c r="AB550" s="28" t="s">
        <v>9311</v>
      </c>
      <c r="AH550" s="28" t="s">
        <v>4714</v>
      </c>
      <c r="AI550" s="28" t="s">
        <v>19841</v>
      </c>
      <c r="AJ550" s="516" t="str">
        <f>MID('II kw.22'!W550,8,6)</f>
        <v>215201</v>
      </c>
      <c r="AK550" s="516">
        <v>1</v>
      </c>
      <c r="AL550" s="516">
        <f t="shared" si="8"/>
        <v>1</v>
      </c>
      <c r="AM550" s="516">
        <v>1</v>
      </c>
      <c r="AN550" s="28" t="s">
        <v>17650</v>
      </c>
      <c r="AO550" s="28" t="s">
        <v>17651</v>
      </c>
      <c r="AP550" s="28" t="s">
        <v>17652</v>
      </c>
      <c r="AQ550" s="28" t="s">
        <v>17653</v>
      </c>
      <c r="AR550" s="28" t="s">
        <v>1024</v>
      </c>
    </row>
    <row r="551" spans="1:44" x14ac:dyDescent="0.25">
      <c r="A551" s="28" t="s">
        <v>19845</v>
      </c>
      <c r="B551" s="28" t="s">
        <v>356</v>
      </c>
      <c r="C551" s="28" t="s">
        <v>356</v>
      </c>
      <c r="D551" s="28" t="s">
        <v>17784</v>
      </c>
      <c r="E551" s="28" t="s">
        <v>192</v>
      </c>
      <c r="F551" s="28">
        <v>1</v>
      </c>
      <c r="G551" s="28" t="s">
        <v>193</v>
      </c>
      <c r="H551" s="28" t="s">
        <v>194</v>
      </c>
      <c r="I551" s="28" t="s">
        <v>18819</v>
      </c>
      <c r="J551" s="28" t="s">
        <v>755</v>
      </c>
      <c r="K551" s="28" t="s">
        <v>9309</v>
      </c>
      <c r="L551" s="28" t="s">
        <v>6955</v>
      </c>
      <c r="N551" s="28" t="s">
        <v>19846</v>
      </c>
      <c r="O551" s="28" t="s">
        <v>6275</v>
      </c>
      <c r="P551" s="28" t="s">
        <v>19393</v>
      </c>
      <c r="Q551" s="28" t="s">
        <v>17706</v>
      </c>
      <c r="R551" s="28" t="s">
        <v>19372</v>
      </c>
      <c r="S551" s="28" t="s">
        <v>19847</v>
      </c>
      <c r="T551" s="28" t="s">
        <v>19848</v>
      </c>
      <c r="V551" s="28" t="s">
        <v>9726</v>
      </c>
      <c r="W551" s="28" t="s">
        <v>16081</v>
      </c>
      <c r="X551" s="28" t="s">
        <v>194</v>
      </c>
      <c r="Y551" s="28" t="s">
        <v>9300</v>
      </c>
      <c r="AB551" s="28" t="s">
        <v>9311</v>
      </c>
      <c r="AH551" s="28" t="s">
        <v>4714</v>
      </c>
      <c r="AI551" s="28" t="s">
        <v>356</v>
      </c>
      <c r="AJ551" s="516" t="str">
        <f>MID('II kw.22'!W551,8,6)</f>
        <v>754903</v>
      </c>
      <c r="AK551" s="516">
        <v>1</v>
      </c>
      <c r="AL551" s="516">
        <f t="shared" si="8"/>
        <v>1</v>
      </c>
      <c r="AM551" s="516">
        <v>1</v>
      </c>
      <c r="AN551" s="28" t="s">
        <v>17650</v>
      </c>
      <c r="AO551" s="28" t="s">
        <v>17651</v>
      </c>
      <c r="AP551" s="28" t="s">
        <v>17652</v>
      </c>
      <c r="AQ551" s="28" t="s">
        <v>17653</v>
      </c>
      <c r="AR551" s="28" t="s">
        <v>1024</v>
      </c>
    </row>
    <row r="552" spans="1:44" x14ac:dyDescent="0.25">
      <c r="A552" s="28" t="s">
        <v>7504</v>
      </c>
      <c r="B552" s="28" t="s">
        <v>19849</v>
      </c>
      <c r="C552" s="28" t="s">
        <v>4072</v>
      </c>
      <c r="D552" s="28" t="s">
        <v>17784</v>
      </c>
      <c r="E552" s="28" t="s">
        <v>192</v>
      </c>
      <c r="F552" s="28">
        <v>1</v>
      </c>
      <c r="G552" s="28" t="s">
        <v>193</v>
      </c>
      <c r="H552" s="28" t="s">
        <v>194</v>
      </c>
      <c r="I552" s="28" t="s">
        <v>19175</v>
      </c>
      <c r="J552" s="28" t="s">
        <v>747</v>
      </c>
      <c r="K552" s="28" t="s">
        <v>9309</v>
      </c>
      <c r="L552" s="28" t="s">
        <v>6955</v>
      </c>
      <c r="N552" s="28" t="s">
        <v>19850</v>
      </c>
      <c r="O552" s="28" t="s">
        <v>6295</v>
      </c>
      <c r="P552" s="28" t="s">
        <v>19393</v>
      </c>
      <c r="Q552" s="28" t="s">
        <v>17706</v>
      </c>
      <c r="R552" s="28" t="s">
        <v>17806</v>
      </c>
      <c r="S552" s="28" t="s">
        <v>19851</v>
      </c>
      <c r="T552" s="28" t="s">
        <v>19852</v>
      </c>
      <c r="V552" s="28" t="s">
        <v>10397</v>
      </c>
      <c r="W552" s="28" t="s">
        <v>4073</v>
      </c>
      <c r="X552" s="28" t="s">
        <v>194</v>
      </c>
      <c r="Y552" s="28" t="s">
        <v>9300</v>
      </c>
      <c r="AB552" s="28" t="s">
        <v>9311</v>
      </c>
      <c r="AH552" s="28" t="s">
        <v>4714</v>
      </c>
      <c r="AI552" s="28" t="s">
        <v>19849</v>
      </c>
      <c r="AJ552" s="516" t="str">
        <f>MID('II kw.22'!W552,8,6)</f>
        <v>311603</v>
      </c>
      <c r="AK552" s="516">
        <v>1</v>
      </c>
      <c r="AL552" s="516">
        <f t="shared" si="8"/>
        <v>1</v>
      </c>
      <c r="AM552" s="516">
        <v>1</v>
      </c>
      <c r="AN552" s="28" t="s">
        <v>17650</v>
      </c>
      <c r="AO552" s="28" t="s">
        <v>17651</v>
      </c>
      <c r="AP552" s="28" t="s">
        <v>17652</v>
      </c>
      <c r="AQ552" s="28" t="s">
        <v>17653</v>
      </c>
      <c r="AR552" s="28" t="s">
        <v>1024</v>
      </c>
    </row>
    <row r="553" spans="1:44" x14ac:dyDescent="0.25">
      <c r="A553" s="28" t="s">
        <v>19399</v>
      </c>
      <c r="B553" s="28" t="s">
        <v>19853</v>
      </c>
      <c r="C553" s="28" t="s">
        <v>778</v>
      </c>
      <c r="D553" s="28" t="s">
        <v>17784</v>
      </c>
      <c r="E553" s="28" t="s">
        <v>192</v>
      </c>
      <c r="F553" s="28">
        <v>1</v>
      </c>
      <c r="G553" s="28" t="s">
        <v>193</v>
      </c>
      <c r="H553" s="28" t="s">
        <v>194</v>
      </c>
      <c r="I553" s="28" t="s">
        <v>19175</v>
      </c>
      <c r="J553" s="28" t="s">
        <v>367</v>
      </c>
      <c r="K553" s="28" t="s">
        <v>9309</v>
      </c>
      <c r="L553" s="28" t="s">
        <v>6955</v>
      </c>
      <c r="N553" s="28" t="s">
        <v>19854</v>
      </c>
      <c r="O553" s="28" t="s">
        <v>6245</v>
      </c>
      <c r="P553" s="28" t="s">
        <v>19393</v>
      </c>
      <c r="Q553" s="28" t="s">
        <v>17706</v>
      </c>
      <c r="R553" s="28" t="s">
        <v>19372</v>
      </c>
      <c r="S553" s="28" t="s">
        <v>19855</v>
      </c>
      <c r="T553" s="28" t="s">
        <v>19856</v>
      </c>
      <c r="V553" s="28" t="s">
        <v>9974</v>
      </c>
      <c r="W553" s="28" t="s">
        <v>779</v>
      </c>
      <c r="X553" s="28" t="s">
        <v>194</v>
      </c>
      <c r="Y553" s="28" t="s">
        <v>9300</v>
      </c>
      <c r="AB553" s="28" t="s">
        <v>9311</v>
      </c>
      <c r="AH553" s="28" t="s">
        <v>4714</v>
      </c>
      <c r="AI553" s="28" t="s">
        <v>19853</v>
      </c>
      <c r="AJ553" s="516" t="str">
        <f>MID('II kw.22'!W553,8,6)</f>
        <v>524902</v>
      </c>
      <c r="AK553" s="516">
        <v>1</v>
      </c>
      <c r="AL553" s="516">
        <f t="shared" si="8"/>
        <v>1</v>
      </c>
      <c r="AM553" s="516">
        <v>1</v>
      </c>
      <c r="AN553" s="28" t="s">
        <v>17650</v>
      </c>
      <c r="AO553" s="28" t="s">
        <v>17651</v>
      </c>
      <c r="AP553" s="28" t="s">
        <v>17652</v>
      </c>
      <c r="AQ553" s="28" t="s">
        <v>17653</v>
      </c>
      <c r="AR553" s="28" t="s">
        <v>1024</v>
      </c>
    </row>
    <row r="554" spans="1:44" x14ac:dyDescent="0.25">
      <c r="A554" s="28" t="s">
        <v>19857</v>
      </c>
      <c r="B554" s="28" t="s">
        <v>15578</v>
      </c>
      <c r="C554" s="28" t="s">
        <v>36</v>
      </c>
      <c r="D554" s="28" t="s">
        <v>17784</v>
      </c>
      <c r="E554" s="28" t="s">
        <v>192</v>
      </c>
      <c r="F554" s="28">
        <v>1</v>
      </c>
      <c r="G554" s="28" t="s">
        <v>193</v>
      </c>
      <c r="H554" s="28" t="s">
        <v>194</v>
      </c>
      <c r="I554" s="28" t="s">
        <v>19175</v>
      </c>
      <c r="J554" s="28" t="s">
        <v>210</v>
      </c>
      <c r="K554" s="28" t="s">
        <v>9309</v>
      </c>
      <c r="L554" s="28" t="s">
        <v>6955</v>
      </c>
      <c r="N554" s="28" t="s">
        <v>19858</v>
      </c>
      <c r="O554" s="28" t="s">
        <v>7531</v>
      </c>
      <c r="P554" s="28" t="s">
        <v>19393</v>
      </c>
      <c r="Q554" s="28" t="s">
        <v>17706</v>
      </c>
      <c r="R554" s="28" t="s">
        <v>19372</v>
      </c>
      <c r="S554" s="28" t="s">
        <v>19859</v>
      </c>
      <c r="T554" s="28" t="s">
        <v>19860</v>
      </c>
      <c r="V554" s="28" t="s">
        <v>9334</v>
      </c>
      <c r="W554" s="28" t="s">
        <v>609</v>
      </c>
      <c r="X554" s="28" t="s">
        <v>194</v>
      </c>
      <c r="Y554" s="28" t="s">
        <v>9300</v>
      </c>
      <c r="AB554" s="28" t="s">
        <v>9311</v>
      </c>
      <c r="AH554" s="28" t="s">
        <v>4714</v>
      </c>
      <c r="AI554" s="28" t="s">
        <v>15578</v>
      </c>
      <c r="AJ554" s="516" t="str">
        <f>MID('II kw.22'!W554,8,6)</f>
        <v>331301</v>
      </c>
      <c r="AK554" s="516">
        <v>1</v>
      </c>
      <c r="AL554" s="516">
        <f t="shared" si="8"/>
        <v>1</v>
      </c>
      <c r="AM554" s="516">
        <v>1</v>
      </c>
      <c r="AN554" s="28" t="s">
        <v>17650</v>
      </c>
      <c r="AO554" s="28" t="s">
        <v>17651</v>
      </c>
      <c r="AP554" s="28" t="s">
        <v>17652</v>
      </c>
      <c r="AQ554" s="28" t="s">
        <v>17653</v>
      </c>
      <c r="AR554" s="28" t="s">
        <v>1024</v>
      </c>
    </row>
    <row r="555" spans="1:44" x14ac:dyDescent="0.25">
      <c r="A555" s="28" t="s">
        <v>493</v>
      </c>
      <c r="B555" s="28" t="s">
        <v>19861</v>
      </c>
      <c r="C555" s="28" t="s">
        <v>10</v>
      </c>
      <c r="D555" s="28" t="s">
        <v>17784</v>
      </c>
      <c r="E555" s="28" t="s">
        <v>192</v>
      </c>
      <c r="F555" s="28">
        <v>1</v>
      </c>
      <c r="G555" s="28" t="s">
        <v>193</v>
      </c>
      <c r="H555" s="28" t="s">
        <v>194</v>
      </c>
      <c r="I555" s="28" t="s">
        <v>19175</v>
      </c>
      <c r="J555" s="28" t="s">
        <v>210</v>
      </c>
      <c r="K555" s="28" t="s">
        <v>9309</v>
      </c>
      <c r="L555" s="28" t="s">
        <v>6955</v>
      </c>
      <c r="N555" s="28" t="s">
        <v>19862</v>
      </c>
      <c r="O555" s="28" t="s">
        <v>6921</v>
      </c>
      <c r="P555" s="28" t="s">
        <v>19393</v>
      </c>
      <c r="Q555" s="28" t="s">
        <v>17706</v>
      </c>
      <c r="R555" s="28" t="s">
        <v>19372</v>
      </c>
      <c r="S555" s="28" t="s">
        <v>19863</v>
      </c>
      <c r="T555" s="28" t="s">
        <v>19864</v>
      </c>
      <c r="V555" s="28" t="s">
        <v>9334</v>
      </c>
      <c r="W555" s="28" t="s">
        <v>484</v>
      </c>
      <c r="X555" s="28" t="s">
        <v>194</v>
      </c>
      <c r="Y555" s="28" t="s">
        <v>9300</v>
      </c>
      <c r="AB555" s="28" t="s">
        <v>9311</v>
      </c>
      <c r="AH555" s="28" t="s">
        <v>4714</v>
      </c>
      <c r="AI555" s="28" t="s">
        <v>19861</v>
      </c>
      <c r="AJ555" s="516" t="str">
        <f>MID('II kw.22'!W555,8,6)</f>
        <v>251401</v>
      </c>
      <c r="AK555" s="516">
        <v>1</v>
      </c>
      <c r="AL555" s="516">
        <f t="shared" si="8"/>
        <v>1</v>
      </c>
      <c r="AM555" s="516">
        <v>1</v>
      </c>
      <c r="AN555" s="28" t="s">
        <v>17650</v>
      </c>
      <c r="AO555" s="28" t="s">
        <v>17651</v>
      </c>
      <c r="AP555" s="28" t="s">
        <v>17652</v>
      </c>
      <c r="AQ555" s="28" t="s">
        <v>17653</v>
      </c>
      <c r="AR555" s="28" t="s">
        <v>1024</v>
      </c>
    </row>
    <row r="556" spans="1:44" x14ac:dyDescent="0.25">
      <c r="A556" s="28" t="s">
        <v>19865</v>
      </c>
      <c r="B556" s="28" t="s">
        <v>19866</v>
      </c>
      <c r="C556" s="28" t="s">
        <v>46</v>
      </c>
      <c r="D556" s="28" t="s">
        <v>17784</v>
      </c>
      <c r="E556" s="28" t="s">
        <v>192</v>
      </c>
      <c r="F556" s="28">
        <v>1</v>
      </c>
      <c r="G556" s="28" t="s">
        <v>193</v>
      </c>
      <c r="H556" s="28" t="s">
        <v>194</v>
      </c>
      <c r="I556" s="28" t="s">
        <v>19175</v>
      </c>
      <c r="J556" s="28" t="s">
        <v>210</v>
      </c>
      <c r="K556" s="28" t="s">
        <v>9309</v>
      </c>
      <c r="L556" s="28" t="s">
        <v>6955</v>
      </c>
      <c r="N556" s="28" t="s">
        <v>19867</v>
      </c>
      <c r="O556" s="28" t="s">
        <v>6921</v>
      </c>
      <c r="P556" s="28" t="s">
        <v>19393</v>
      </c>
      <c r="Q556" s="28" t="s">
        <v>17706</v>
      </c>
      <c r="R556" s="28" t="s">
        <v>19372</v>
      </c>
      <c r="S556" s="28" t="s">
        <v>19868</v>
      </c>
      <c r="T556" s="28" t="s">
        <v>19869</v>
      </c>
      <c r="V556" s="28" t="s">
        <v>9334</v>
      </c>
      <c r="W556" s="28" t="s">
        <v>510</v>
      </c>
      <c r="X556" s="28" t="s">
        <v>194</v>
      </c>
      <c r="Y556" s="28" t="s">
        <v>9300</v>
      </c>
      <c r="AB556" s="28" t="s">
        <v>9311</v>
      </c>
      <c r="AH556" s="28" t="s">
        <v>4714</v>
      </c>
      <c r="AI556" s="28" t="s">
        <v>19866</v>
      </c>
      <c r="AJ556" s="516" t="str">
        <f>MID('II kw.22'!W556,8,6)</f>
        <v>252201</v>
      </c>
      <c r="AK556" s="516">
        <v>1</v>
      </c>
      <c r="AL556" s="516">
        <f t="shared" si="8"/>
        <v>1</v>
      </c>
      <c r="AM556" s="516">
        <v>1</v>
      </c>
      <c r="AN556" s="28" t="s">
        <v>17650</v>
      </c>
      <c r="AO556" s="28" t="s">
        <v>17651</v>
      </c>
      <c r="AP556" s="28" t="s">
        <v>17652</v>
      </c>
      <c r="AQ556" s="28" t="s">
        <v>17653</v>
      </c>
      <c r="AR556" s="28" t="s">
        <v>1024</v>
      </c>
    </row>
    <row r="557" spans="1:44" x14ac:dyDescent="0.25">
      <c r="A557" s="28" t="s">
        <v>19870</v>
      </c>
      <c r="B557" s="28" t="s">
        <v>19871</v>
      </c>
      <c r="C557" s="28" t="s">
        <v>43</v>
      </c>
      <c r="D557" s="28" t="s">
        <v>17784</v>
      </c>
      <c r="E557" s="28" t="s">
        <v>192</v>
      </c>
      <c r="F557" s="28">
        <v>1</v>
      </c>
      <c r="G557" s="28" t="s">
        <v>193</v>
      </c>
      <c r="H557" s="28" t="s">
        <v>194</v>
      </c>
      <c r="I557" s="28" t="s">
        <v>17800</v>
      </c>
      <c r="J557" s="28" t="s">
        <v>19872</v>
      </c>
      <c r="K557" s="28" t="s">
        <v>9309</v>
      </c>
      <c r="L557" s="28" t="s">
        <v>6955</v>
      </c>
      <c r="N557" s="28" t="s">
        <v>19873</v>
      </c>
      <c r="O557" s="28" t="s">
        <v>6245</v>
      </c>
      <c r="P557" s="28" t="s">
        <v>19393</v>
      </c>
      <c r="Q557" s="28" t="s">
        <v>17706</v>
      </c>
      <c r="R557" s="28" t="s">
        <v>19372</v>
      </c>
      <c r="S557" s="28" t="s">
        <v>19874</v>
      </c>
      <c r="T557" s="28" t="s">
        <v>19875</v>
      </c>
      <c r="V557" s="28" t="s">
        <v>9974</v>
      </c>
      <c r="W557" s="28" t="s">
        <v>452</v>
      </c>
      <c r="X557" s="28" t="s">
        <v>194</v>
      </c>
      <c r="Y557" s="28" t="s">
        <v>9300</v>
      </c>
      <c r="AB557" s="28" t="s">
        <v>9311</v>
      </c>
      <c r="AH557" s="28" t="s">
        <v>4714</v>
      </c>
      <c r="AI557" s="28" t="s">
        <v>19871</v>
      </c>
      <c r="AJ557" s="516" t="str">
        <f>MID('II kw.22'!W557,8,6)</f>
        <v>243106</v>
      </c>
      <c r="AK557" s="516">
        <v>1</v>
      </c>
      <c r="AL557" s="516">
        <f t="shared" si="8"/>
        <v>1</v>
      </c>
      <c r="AM557" s="516">
        <v>1</v>
      </c>
      <c r="AN557" s="28" t="s">
        <v>17650</v>
      </c>
      <c r="AO557" s="28" t="s">
        <v>17651</v>
      </c>
      <c r="AP557" s="28" t="s">
        <v>17652</v>
      </c>
      <c r="AQ557" s="28" t="s">
        <v>17653</v>
      </c>
      <c r="AR557" s="28" t="s">
        <v>1024</v>
      </c>
    </row>
    <row r="558" spans="1:44" x14ac:dyDescent="0.25">
      <c r="A558" s="28" t="s">
        <v>19876</v>
      </c>
      <c r="B558" s="28" t="s">
        <v>1760</v>
      </c>
      <c r="C558" s="28" t="s">
        <v>133</v>
      </c>
      <c r="D558" s="28" t="s">
        <v>17784</v>
      </c>
      <c r="E558" s="28" t="s">
        <v>192</v>
      </c>
      <c r="F558" s="28">
        <v>1</v>
      </c>
      <c r="G558" s="28" t="s">
        <v>193</v>
      </c>
      <c r="H558" s="28" t="s">
        <v>194</v>
      </c>
      <c r="I558" s="28" t="s">
        <v>17800</v>
      </c>
      <c r="J558" s="28" t="s">
        <v>210</v>
      </c>
      <c r="K558" s="28" t="s">
        <v>9309</v>
      </c>
      <c r="L558" s="28" t="s">
        <v>6955</v>
      </c>
      <c r="N558" s="28" t="s">
        <v>19877</v>
      </c>
      <c r="O558" s="28" t="s">
        <v>6266</v>
      </c>
      <c r="P558" s="28" t="s">
        <v>19393</v>
      </c>
      <c r="Q558" s="28" t="s">
        <v>17706</v>
      </c>
      <c r="R558" s="28" t="s">
        <v>19372</v>
      </c>
      <c r="S558" s="28" t="s">
        <v>19878</v>
      </c>
      <c r="T558" s="28" t="s">
        <v>19879</v>
      </c>
      <c r="V558" s="28" t="s">
        <v>9334</v>
      </c>
      <c r="W558" s="28" t="s">
        <v>673</v>
      </c>
      <c r="X558" s="28" t="s">
        <v>194</v>
      </c>
      <c r="Y558" s="28" t="s">
        <v>9300</v>
      </c>
      <c r="AB558" s="28" t="s">
        <v>9311</v>
      </c>
      <c r="AH558" s="28" t="s">
        <v>4714</v>
      </c>
      <c r="AI558" s="28" t="s">
        <v>1760</v>
      </c>
      <c r="AJ558" s="516" t="str">
        <f>MID('II kw.22'!W558,8,6)</f>
        <v>333107</v>
      </c>
      <c r="AK558" s="516">
        <v>1</v>
      </c>
      <c r="AL558" s="516">
        <f t="shared" si="8"/>
        <v>1</v>
      </c>
      <c r="AM558" s="516">
        <v>1</v>
      </c>
      <c r="AN558" s="28" t="s">
        <v>17650</v>
      </c>
      <c r="AO558" s="28" t="s">
        <v>17651</v>
      </c>
      <c r="AP558" s="28" t="s">
        <v>17652</v>
      </c>
      <c r="AQ558" s="28" t="s">
        <v>17653</v>
      </c>
      <c r="AR558" s="28" t="s">
        <v>1024</v>
      </c>
    </row>
    <row r="559" spans="1:44" x14ac:dyDescent="0.25">
      <c r="A559" s="28" t="s">
        <v>19880</v>
      </c>
      <c r="B559" s="28" t="s">
        <v>856</v>
      </c>
      <c r="C559" s="28" t="s">
        <v>356</v>
      </c>
      <c r="D559" s="28" t="s">
        <v>17784</v>
      </c>
      <c r="E559" s="28" t="s">
        <v>192</v>
      </c>
      <c r="F559" s="28">
        <v>1</v>
      </c>
      <c r="G559" s="28" t="s">
        <v>193</v>
      </c>
      <c r="H559" s="28" t="s">
        <v>194</v>
      </c>
      <c r="I559" s="28" t="s">
        <v>19175</v>
      </c>
      <c r="J559" s="28" t="s">
        <v>19881</v>
      </c>
      <c r="K559" s="28" t="s">
        <v>9309</v>
      </c>
      <c r="L559" s="28" t="s">
        <v>6955</v>
      </c>
      <c r="N559" s="28" t="s">
        <v>19882</v>
      </c>
      <c r="O559" s="28" t="s">
        <v>6275</v>
      </c>
      <c r="P559" s="28" t="s">
        <v>19393</v>
      </c>
      <c r="Q559" s="28" t="s">
        <v>17706</v>
      </c>
      <c r="R559" s="28" t="s">
        <v>19372</v>
      </c>
      <c r="S559" s="28" t="s">
        <v>19883</v>
      </c>
      <c r="T559" s="28" t="s">
        <v>19884</v>
      </c>
      <c r="V559" s="28" t="s">
        <v>9726</v>
      </c>
      <c r="W559" s="28" t="s">
        <v>16081</v>
      </c>
      <c r="X559" s="28" t="s">
        <v>194</v>
      </c>
      <c r="Y559" s="28" t="s">
        <v>9300</v>
      </c>
      <c r="AB559" s="28" t="s">
        <v>9311</v>
      </c>
      <c r="AH559" s="28" t="s">
        <v>4714</v>
      </c>
      <c r="AI559" s="28" t="s">
        <v>856</v>
      </c>
      <c r="AJ559" s="516" t="str">
        <f>MID('II kw.22'!W559,8,6)</f>
        <v>754903</v>
      </c>
      <c r="AK559" s="516">
        <v>1</v>
      </c>
      <c r="AL559" s="516">
        <f t="shared" si="8"/>
        <v>1</v>
      </c>
      <c r="AM559" s="516">
        <v>1</v>
      </c>
      <c r="AN559" s="28" t="s">
        <v>17650</v>
      </c>
      <c r="AO559" s="28" t="s">
        <v>17651</v>
      </c>
      <c r="AP559" s="28" t="s">
        <v>17652</v>
      </c>
      <c r="AQ559" s="28" t="s">
        <v>17653</v>
      </c>
      <c r="AR559" s="28" t="s">
        <v>1024</v>
      </c>
    </row>
    <row r="560" spans="1:44" x14ac:dyDescent="0.25">
      <c r="A560" s="28" t="s">
        <v>13620</v>
      </c>
      <c r="B560" s="28" t="s">
        <v>15734</v>
      </c>
      <c r="C560" s="28" t="s">
        <v>1766</v>
      </c>
      <c r="D560" s="28" t="s">
        <v>17784</v>
      </c>
      <c r="E560" s="28" t="s">
        <v>192</v>
      </c>
      <c r="F560" s="28">
        <v>1</v>
      </c>
      <c r="G560" s="28" t="s">
        <v>193</v>
      </c>
      <c r="H560" s="28" t="s">
        <v>194</v>
      </c>
      <c r="I560" s="28" t="s">
        <v>19175</v>
      </c>
      <c r="J560" s="28" t="s">
        <v>210</v>
      </c>
      <c r="K560" s="28" t="s">
        <v>9309</v>
      </c>
      <c r="L560" s="28" t="s">
        <v>6955</v>
      </c>
      <c r="N560" s="28" t="s">
        <v>19885</v>
      </c>
      <c r="O560" s="28" t="s">
        <v>6261</v>
      </c>
      <c r="P560" s="28" t="s">
        <v>19393</v>
      </c>
      <c r="Q560" s="28" t="s">
        <v>17706</v>
      </c>
      <c r="R560" s="28" t="s">
        <v>19372</v>
      </c>
      <c r="S560" s="28" t="s">
        <v>19886</v>
      </c>
      <c r="T560" s="28" t="s">
        <v>19887</v>
      </c>
      <c r="V560" s="28" t="s">
        <v>9334</v>
      </c>
      <c r="W560" s="28" t="s">
        <v>1767</v>
      </c>
      <c r="X560" s="28" t="s">
        <v>194</v>
      </c>
      <c r="Y560" s="28" t="s">
        <v>9300</v>
      </c>
      <c r="AB560" s="28" t="s">
        <v>9311</v>
      </c>
      <c r="AH560" s="28" t="s">
        <v>4714</v>
      </c>
      <c r="AI560" s="28" t="s">
        <v>15734</v>
      </c>
      <c r="AJ560" s="516" t="str">
        <f>MID('II kw.22'!W560,8,6)</f>
        <v>242112</v>
      </c>
      <c r="AK560" s="516">
        <v>1</v>
      </c>
      <c r="AL560" s="516">
        <f t="shared" si="8"/>
        <v>1</v>
      </c>
      <c r="AM560" s="516">
        <v>1</v>
      </c>
      <c r="AN560" s="28" t="s">
        <v>17650</v>
      </c>
      <c r="AO560" s="28" t="s">
        <v>17651</v>
      </c>
      <c r="AP560" s="28" t="s">
        <v>17652</v>
      </c>
      <c r="AQ560" s="28" t="s">
        <v>17653</v>
      </c>
      <c r="AR560" s="28" t="s">
        <v>1024</v>
      </c>
    </row>
    <row r="561" spans="1:48" x14ac:dyDescent="0.25">
      <c r="A561" s="28" t="s">
        <v>19888</v>
      </c>
      <c r="B561" s="28" t="s">
        <v>908</v>
      </c>
      <c r="C561" s="28" t="s">
        <v>119</v>
      </c>
      <c r="D561" s="28" t="s">
        <v>17784</v>
      </c>
      <c r="E561" s="28" t="s">
        <v>192</v>
      </c>
      <c r="F561" s="28">
        <v>1</v>
      </c>
      <c r="G561" s="28" t="s">
        <v>193</v>
      </c>
      <c r="H561" s="28" t="s">
        <v>194</v>
      </c>
      <c r="I561" s="28" t="s">
        <v>17800</v>
      </c>
      <c r="J561" s="28" t="s">
        <v>210</v>
      </c>
      <c r="K561" s="28" t="s">
        <v>9309</v>
      </c>
      <c r="L561" s="28" t="s">
        <v>6955</v>
      </c>
      <c r="N561" s="28" t="s">
        <v>19889</v>
      </c>
      <c r="O561" s="28" t="s">
        <v>6266</v>
      </c>
      <c r="P561" s="28" t="s">
        <v>19393</v>
      </c>
      <c r="Q561" s="28" t="s">
        <v>17706</v>
      </c>
      <c r="R561" s="28" t="s">
        <v>19372</v>
      </c>
      <c r="S561" s="28" t="s">
        <v>19890</v>
      </c>
      <c r="T561" s="28" t="s">
        <v>19891</v>
      </c>
      <c r="V561" s="28" t="s">
        <v>9334</v>
      </c>
      <c r="W561" s="28" t="s">
        <v>666</v>
      </c>
      <c r="X561" s="28" t="s">
        <v>194</v>
      </c>
      <c r="Y561" s="28" t="s">
        <v>9300</v>
      </c>
      <c r="AB561" s="28" t="s">
        <v>9311</v>
      </c>
      <c r="AH561" s="28" t="s">
        <v>4714</v>
      </c>
      <c r="AI561" s="28" t="s">
        <v>908</v>
      </c>
      <c r="AJ561" s="516" t="str">
        <f>MID('II kw.22'!W561,8,6)</f>
        <v>333105</v>
      </c>
      <c r="AK561" s="516">
        <v>1</v>
      </c>
      <c r="AL561" s="516">
        <f t="shared" si="8"/>
        <v>1</v>
      </c>
      <c r="AM561" s="516">
        <v>1</v>
      </c>
      <c r="AN561" s="28" t="s">
        <v>17650</v>
      </c>
      <c r="AO561" s="28" t="s">
        <v>17651</v>
      </c>
      <c r="AP561" s="28" t="s">
        <v>17652</v>
      </c>
      <c r="AQ561" s="28" t="s">
        <v>17653</v>
      </c>
      <c r="AR561" s="28" t="s">
        <v>1024</v>
      </c>
    </row>
    <row r="562" spans="1:48" x14ac:dyDescent="0.25">
      <c r="A562" s="28" t="s">
        <v>19840</v>
      </c>
      <c r="B562" s="28" t="s">
        <v>19892</v>
      </c>
      <c r="C562" s="28" t="s">
        <v>19</v>
      </c>
      <c r="D562" s="28" t="s">
        <v>17784</v>
      </c>
      <c r="E562" s="28" t="s">
        <v>192</v>
      </c>
      <c r="F562" s="28">
        <v>1</v>
      </c>
      <c r="G562" s="28" t="s">
        <v>193</v>
      </c>
      <c r="H562" s="28" t="s">
        <v>194</v>
      </c>
      <c r="I562" s="28" t="s">
        <v>19175</v>
      </c>
      <c r="J562" s="28" t="s">
        <v>210</v>
      </c>
      <c r="K562" s="28" t="s">
        <v>9309</v>
      </c>
      <c r="L562" s="28" t="s">
        <v>6955</v>
      </c>
      <c r="N562" s="28" t="s">
        <v>19893</v>
      </c>
      <c r="O562" s="28" t="s">
        <v>6261</v>
      </c>
      <c r="P562" s="28" t="s">
        <v>19393</v>
      </c>
      <c r="Q562" s="28" t="s">
        <v>17706</v>
      </c>
      <c r="R562" s="28" t="s">
        <v>19372</v>
      </c>
      <c r="S562" s="28" t="s">
        <v>19894</v>
      </c>
      <c r="T562" s="28" t="s">
        <v>19895</v>
      </c>
      <c r="V562" s="28" t="s">
        <v>9334</v>
      </c>
      <c r="W562" s="28" t="s">
        <v>337</v>
      </c>
      <c r="X562" s="28" t="s">
        <v>194</v>
      </c>
      <c r="Y562" s="28" t="s">
        <v>9300</v>
      </c>
      <c r="AB562" s="28" t="s">
        <v>9311</v>
      </c>
      <c r="AH562" s="28" t="s">
        <v>4714</v>
      </c>
      <c r="AI562" s="28" t="s">
        <v>19892</v>
      </c>
      <c r="AJ562" s="516" t="str">
        <f>MID('II kw.22'!W562,8,6)</f>
        <v>214903</v>
      </c>
      <c r="AK562" s="516">
        <v>1</v>
      </c>
      <c r="AL562" s="516">
        <f t="shared" si="8"/>
        <v>1</v>
      </c>
      <c r="AM562" s="516">
        <v>1</v>
      </c>
      <c r="AN562" s="28" t="s">
        <v>17650</v>
      </c>
      <c r="AO562" s="28" t="s">
        <v>17651</v>
      </c>
      <c r="AP562" s="28" t="s">
        <v>17652</v>
      </c>
      <c r="AQ562" s="28" t="s">
        <v>17653</v>
      </c>
      <c r="AR562" s="28" t="s">
        <v>1024</v>
      </c>
    </row>
    <row r="563" spans="1:48" x14ac:dyDescent="0.25">
      <c r="A563" s="28" t="s">
        <v>19888</v>
      </c>
      <c r="B563" s="28" t="s">
        <v>19896</v>
      </c>
      <c r="C563" s="28" t="s">
        <v>129</v>
      </c>
      <c r="D563" s="28" t="s">
        <v>17784</v>
      </c>
      <c r="E563" s="28" t="s">
        <v>192</v>
      </c>
      <c r="F563" s="28">
        <v>1</v>
      </c>
      <c r="G563" s="28" t="s">
        <v>193</v>
      </c>
      <c r="H563" s="28" t="s">
        <v>194</v>
      </c>
      <c r="I563" s="28" t="s">
        <v>17800</v>
      </c>
      <c r="J563" s="28" t="s">
        <v>210</v>
      </c>
      <c r="K563" s="28" t="s">
        <v>9309</v>
      </c>
      <c r="L563" s="28" t="s">
        <v>6955</v>
      </c>
      <c r="N563" s="28" t="s">
        <v>19897</v>
      </c>
      <c r="O563" s="28" t="s">
        <v>6266</v>
      </c>
      <c r="P563" s="28" t="s">
        <v>19393</v>
      </c>
      <c r="Q563" s="28" t="s">
        <v>17706</v>
      </c>
      <c r="R563" s="28" t="s">
        <v>19372</v>
      </c>
      <c r="S563" s="28" t="s">
        <v>19898</v>
      </c>
      <c r="T563" s="28" t="s">
        <v>19899</v>
      </c>
      <c r="V563" s="28" t="s">
        <v>9334</v>
      </c>
      <c r="W563" s="28" t="s">
        <v>203</v>
      </c>
      <c r="X563" s="28" t="s">
        <v>194</v>
      </c>
      <c r="Y563" s="28" t="s">
        <v>9300</v>
      </c>
      <c r="AB563" s="28" t="s">
        <v>9311</v>
      </c>
      <c r="AH563" s="28" t="s">
        <v>4714</v>
      </c>
      <c r="AI563" s="28" t="s">
        <v>19896</v>
      </c>
      <c r="AJ563" s="516" t="str">
        <f>MID('II kw.22'!W563,8,6)</f>
        <v>121904</v>
      </c>
      <c r="AK563" s="516">
        <v>1</v>
      </c>
      <c r="AL563" s="516">
        <f t="shared" si="8"/>
        <v>1</v>
      </c>
      <c r="AM563" s="516">
        <v>1</v>
      </c>
      <c r="AN563" s="28" t="s">
        <v>17650</v>
      </c>
      <c r="AO563" s="28" t="s">
        <v>17651</v>
      </c>
      <c r="AP563" s="28" t="s">
        <v>17652</v>
      </c>
      <c r="AQ563" s="28" t="s">
        <v>17653</v>
      </c>
      <c r="AR563" s="28" t="s">
        <v>1024</v>
      </c>
    </row>
    <row r="564" spans="1:48" x14ac:dyDescent="0.25">
      <c r="A564" s="28" t="s">
        <v>10699</v>
      </c>
      <c r="B564" s="28" t="s">
        <v>19900</v>
      </c>
      <c r="C564" s="28" t="s">
        <v>1133</v>
      </c>
      <c r="D564" s="28" t="s">
        <v>17784</v>
      </c>
      <c r="E564" s="28" t="s">
        <v>192</v>
      </c>
      <c r="F564" s="28">
        <v>1</v>
      </c>
      <c r="G564" s="28" t="s">
        <v>193</v>
      </c>
      <c r="H564" s="28" t="s">
        <v>194</v>
      </c>
      <c r="I564" s="28" t="s">
        <v>19175</v>
      </c>
      <c r="J564" s="28" t="s">
        <v>210</v>
      </c>
      <c r="K564" s="28" t="s">
        <v>9309</v>
      </c>
      <c r="L564" s="28" t="s">
        <v>6955</v>
      </c>
      <c r="N564" s="28" t="s">
        <v>19901</v>
      </c>
      <c r="O564" s="28" t="s">
        <v>6254</v>
      </c>
      <c r="P564" s="28" t="s">
        <v>19393</v>
      </c>
      <c r="Q564" s="28" t="s">
        <v>17706</v>
      </c>
      <c r="R564" s="28" t="s">
        <v>19372</v>
      </c>
      <c r="S564" s="28" t="s">
        <v>19902</v>
      </c>
      <c r="T564" s="28" t="s">
        <v>19903</v>
      </c>
      <c r="V564" s="28" t="s">
        <v>9334</v>
      </c>
      <c r="W564" s="28" t="s">
        <v>1134</v>
      </c>
      <c r="X564" s="28" t="s">
        <v>194</v>
      </c>
      <c r="Y564" s="28" t="s">
        <v>9300</v>
      </c>
      <c r="AB564" s="28" t="s">
        <v>9311</v>
      </c>
      <c r="AH564" s="28" t="s">
        <v>4714</v>
      </c>
      <c r="AI564" s="28" t="s">
        <v>19900</v>
      </c>
      <c r="AJ564" s="516" t="str">
        <f>MID('II kw.22'!W564,8,6)</f>
        <v>112008</v>
      </c>
      <c r="AK564" s="516">
        <v>1</v>
      </c>
      <c r="AL564" s="516">
        <f t="shared" si="8"/>
        <v>1</v>
      </c>
      <c r="AM564" s="516">
        <v>1</v>
      </c>
      <c r="AN564" s="28" t="s">
        <v>17650</v>
      </c>
      <c r="AO564" s="28" t="s">
        <v>17651</v>
      </c>
      <c r="AP564" s="28" t="s">
        <v>17652</v>
      </c>
      <c r="AQ564" s="28" t="s">
        <v>17653</v>
      </c>
      <c r="AR564" s="28" t="s">
        <v>1024</v>
      </c>
    </row>
    <row r="565" spans="1:48" x14ac:dyDescent="0.25">
      <c r="A565" s="28" t="s">
        <v>19904</v>
      </c>
      <c r="B565" s="28" t="s">
        <v>19905</v>
      </c>
      <c r="C565" s="28" t="s">
        <v>525</v>
      </c>
      <c r="D565" s="28" t="s">
        <v>17784</v>
      </c>
      <c r="E565" s="28" t="s">
        <v>192</v>
      </c>
      <c r="F565" s="28">
        <v>1</v>
      </c>
      <c r="G565" s="28" t="s">
        <v>193</v>
      </c>
      <c r="H565" s="28" t="s">
        <v>194</v>
      </c>
      <c r="I565" s="28" t="s">
        <v>17800</v>
      </c>
      <c r="J565" s="28" t="s">
        <v>210</v>
      </c>
      <c r="K565" s="28" t="s">
        <v>9309</v>
      </c>
      <c r="L565" s="28" t="s">
        <v>6955</v>
      </c>
      <c r="N565" s="28" t="s">
        <v>19906</v>
      </c>
      <c r="O565" s="28" t="s">
        <v>6251</v>
      </c>
      <c r="P565" s="28" t="s">
        <v>19393</v>
      </c>
      <c r="Q565" s="28" t="s">
        <v>17706</v>
      </c>
      <c r="R565" s="28" t="s">
        <v>19372</v>
      </c>
      <c r="S565" s="28" t="s">
        <v>19907</v>
      </c>
      <c r="T565" s="28" t="s">
        <v>19908</v>
      </c>
      <c r="V565" s="28" t="s">
        <v>9334</v>
      </c>
      <c r="W565" s="28" t="s">
        <v>526</v>
      </c>
      <c r="X565" s="28" t="s">
        <v>194</v>
      </c>
      <c r="Y565" s="28" t="s">
        <v>9300</v>
      </c>
      <c r="AB565" s="28" t="s">
        <v>9311</v>
      </c>
      <c r="AH565" s="509" t="s">
        <v>5109</v>
      </c>
      <c r="AI565" s="28" t="s">
        <v>19905</v>
      </c>
      <c r="AJ565" s="516" t="str">
        <f>MID('II kw.22'!W565,8,6)</f>
        <v>263102</v>
      </c>
      <c r="AK565" s="516">
        <v>1</v>
      </c>
      <c r="AL565" s="516">
        <f t="shared" si="8"/>
        <v>1</v>
      </c>
      <c r="AM565" s="516">
        <v>1</v>
      </c>
      <c r="AN565" s="28" t="s">
        <v>17650</v>
      </c>
      <c r="AO565" s="28" t="s">
        <v>17651</v>
      </c>
      <c r="AP565" s="28" t="s">
        <v>17652</v>
      </c>
      <c r="AQ565" s="28" t="s">
        <v>17653</v>
      </c>
      <c r="AR565" s="28" t="s">
        <v>1024</v>
      </c>
    </row>
    <row r="566" spans="1:48" x14ac:dyDescent="0.25">
      <c r="A566" s="28" t="s">
        <v>919</v>
      </c>
      <c r="B566" s="28" t="s">
        <v>14201</v>
      </c>
      <c r="C566" s="28" t="s">
        <v>4966</v>
      </c>
      <c r="D566" s="28" t="s">
        <v>17784</v>
      </c>
      <c r="E566" s="28" t="s">
        <v>192</v>
      </c>
      <c r="F566" s="28">
        <v>1</v>
      </c>
      <c r="G566" s="28" t="s">
        <v>193</v>
      </c>
      <c r="H566" s="28" t="s">
        <v>194</v>
      </c>
      <c r="I566" s="28" t="s">
        <v>19175</v>
      </c>
      <c r="J566" s="28" t="s">
        <v>4751</v>
      </c>
      <c r="K566" s="28" t="s">
        <v>9309</v>
      </c>
      <c r="L566" s="28" t="s">
        <v>6955</v>
      </c>
      <c r="N566" s="28" t="s">
        <v>19909</v>
      </c>
      <c r="O566" s="28" t="s">
        <v>6254</v>
      </c>
      <c r="P566" s="28" t="s">
        <v>19393</v>
      </c>
      <c r="Q566" s="28" t="s">
        <v>17706</v>
      </c>
      <c r="R566" s="28" t="s">
        <v>19256</v>
      </c>
      <c r="S566" s="28" t="s">
        <v>19910</v>
      </c>
      <c r="T566" s="28" t="s">
        <v>19911</v>
      </c>
      <c r="V566" s="28" t="s">
        <v>9472</v>
      </c>
      <c r="W566" s="28" t="s">
        <v>405</v>
      </c>
      <c r="X566" s="28" t="s">
        <v>194</v>
      </c>
      <c r="Y566" s="28" t="s">
        <v>9300</v>
      </c>
      <c r="AB566" s="28" t="s">
        <v>9311</v>
      </c>
      <c r="AH566" s="28" t="s">
        <v>4714</v>
      </c>
      <c r="AI566" s="28" t="s">
        <v>14201</v>
      </c>
      <c r="AJ566" s="516" t="str">
        <f>MID('II kw.22'!W566,8,6)</f>
        <v>241304</v>
      </c>
      <c r="AK566" s="516">
        <v>1</v>
      </c>
      <c r="AL566" s="516">
        <f t="shared" si="8"/>
        <v>1</v>
      </c>
      <c r="AM566" s="516">
        <v>1</v>
      </c>
      <c r="AN566" s="28" t="s">
        <v>17650</v>
      </c>
      <c r="AO566" s="28" t="s">
        <v>17651</v>
      </c>
      <c r="AP566" s="28" t="s">
        <v>17652</v>
      </c>
      <c r="AQ566" s="28" t="s">
        <v>17653</v>
      </c>
      <c r="AR566" s="28" t="s">
        <v>1024</v>
      </c>
    </row>
    <row r="567" spans="1:48" x14ac:dyDescent="0.25">
      <c r="A567" s="28" t="s">
        <v>19912</v>
      </c>
      <c r="B567" s="28" t="s">
        <v>19913</v>
      </c>
      <c r="C567" s="28" t="s">
        <v>740</v>
      </c>
      <c r="D567" s="28" t="s">
        <v>17784</v>
      </c>
      <c r="E567" s="28" t="s">
        <v>192</v>
      </c>
      <c r="F567" s="28">
        <v>1</v>
      </c>
      <c r="G567" s="28" t="s">
        <v>193</v>
      </c>
      <c r="H567" s="28" t="s">
        <v>194</v>
      </c>
      <c r="I567" s="28" t="s">
        <v>17800</v>
      </c>
      <c r="J567" s="28" t="s">
        <v>367</v>
      </c>
      <c r="K567" s="28" t="s">
        <v>9309</v>
      </c>
      <c r="L567" s="28" t="s">
        <v>6955</v>
      </c>
      <c r="N567" s="28" t="s">
        <v>19914</v>
      </c>
      <c r="O567" s="28" t="s">
        <v>6254</v>
      </c>
      <c r="P567" s="28" t="s">
        <v>19393</v>
      </c>
      <c r="Q567" s="28" t="s">
        <v>17706</v>
      </c>
      <c r="R567" s="28" t="s">
        <v>19256</v>
      </c>
      <c r="S567" s="28" t="s">
        <v>19915</v>
      </c>
      <c r="T567" s="28" t="s">
        <v>19916</v>
      </c>
      <c r="V567" s="28" t="s">
        <v>9974</v>
      </c>
      <c r="W567" s="28" t="s">
        <v>741</v>
      </c>
      <c r="X567" s="28" t="s">
        <v>194</v>
      </c>
      <c r="Y567" s="28" t="s">
        <v>9300</v>
      </c>
      <c r="AB567" s="28" t="s">
        <v>9311</v>
      </c>
      <c r="AH567" s="28" t="s">
        <v>4714</v>
      </c>
      <c r="AI567" s="28" t="s">
        <v>19913</v>
      </c>
      <c r="AJ567" s="516" t="str">
        <f>MID('II kw.22'!W567,8,6)</f>
        <v>522301</v>
      </c>
      <c r="AK567" s="516">
        <v>1</v>
      </c>
      <c r="AL567" s="516">
        <f t="shared" si="8"/>
        <v>1</v>
      </c>
      <c r="AM567" s="516">
        <v>1</v>
      </c>
      <c r="AN567" s="28" t="s">
        <v>17650</v>
      </c>
      <c r="AO567" s="28" t="s">
        <v>17651</v>
      </c>
      <c r="AP567" s="28" t="s">
        <v>17652</v>
      </c>
      <c r="AQ567" s="28" t="s">
        <v>17653</v>
      </c>
      <c r="AR567" s="28" t="s">
        <v>1024</v>
      </c>
      <c r="AT567" s="535"/>
      <c r="AU567" s="536"/>
      <c r="AV567" s="536"/>
    </row>
    <row r="568" spans="1:48" x14ac:dyDescent="0.25">
      <c r="A568" s="28" t="s">
        <v>19917</v>
      </c>
      <c r="B568" s="28" t="s">
        <v>19918</v>
      </c>
      <c r="C568" s="28" t="s">
        <v>122</v>
      </c>
      <c r="D568" s="28" t="s">
        <v>17784</v>
      </c>
      <c r="E568" s="28" t="s">
        <v>192</v>
      </c>
      <c r="F568" s="28">
        <v>1</v>
      </c>
      <c r="G568" s="28" t="s">
        <v>193</v>
      </c>
      <c r="H568" s="28" t="s">
        <v>194</v>
      </c>
      <c r="I568" s="28" t="s">
        <v>17800</v>
      </c>
      <c r="J568" s="28" t="s">
        <v>210</v>
      </c>
      <c r="K568" s="28" t="s">
        <v>9309</v>
      </c>
      <c r="L568" s="28" t="s">
        <v>6955</v>
      </c>
      <c r="N568" s="28" t="s">
        <v>19919</v>
      </c>
      <c r="O568" s="28" t="s">
        <v>7489</v>
      </c>
      <c r="P568" s="28" t="s">
        <v>19393</v>
      </c>
      <c r="Q568" s="28" t="s">
        <v>17706</v>
      </c>
      <c r="R568" s="28" t="s">
        <v>19256</v>
      </c>
      <c r="S568" s="28" t="s">
        <v>19920</v>
      </c>
      <c r="T568" s="28" t="s">
        <v>19921</v>
      </c>
      <c r="V568" s="28" t="s">
        <v>9334</v>
      </c>
      <c r="W568" s="28" t="s">
        <v>655</v>
      </c>
      <c r="X568" s="28" t="s">
        <v>194</v>
      </c>
      <c r="Y568" s="28" t="s">
        <v>9300</v>
      </c>
      <c r="AB568" s="28" t="s">
        <v>9311</v>
      </c>
      <c r="AH568" s="28" t="s">
        <v>4714</v>
      </c>
      <c r="AI568" s="28" t="s">
        <v>19918</v>
      </c>
      <c r="AJ568" s="516" t="str">
        <f>MID('II kw.22'!W568,8,6)</f>
        <v>332301</v>
      </c>
      <c r="AK568" s="516">
        <v>1</v>
      </c>
      <c r="AL568" s="516">
        <f>SUM(F568)</f>
        <v>1</v>
      </c>
      <c r="AM568" s="516">
        <v>1</v>
      </c>
      <c r="AN568" s="28" t="s">
        <v>17650</v>
      </c>
      <c r="AO568" s="28" t="s">
        <v>17651</v>
      </c>
      <c r="AP568" s="28" t="s">
        <v>17652</v>
      </c>
      <c r="AQ568" s="28" t="s">
        <v>17653</v>
      </c>
      <c r="AR568" s="28" t="s">
        <v>1024</v>
      </c>
      <c r="AT568" s="535"/>
      <c r="AU568" s="535"/>
      <c r="AV568" s="535"/>
    </row>
    <row r="569" spans="1:48" x14ac:dyDescent="0.25">
      <c r="A569" s="28" t="s">
        <v>17403</v>
      </c>
      <c r="B569" s="28" t="s">
        <v>17401</v>
      </c>
      <c r="C569" s="28" t="s">
        <v>19924</v>
      </c>
      <c r="D569" s="28" t="s">
        <v>17800</v>
      </c>
      <c r="E569" s="28" t="s">
        <v>192</v>
      </c>
      <c r="F569" s="28">
        <v>1</v>
      </c>
      <c r="G569" s="28" t="s">
        <v>193</v>
      </c>
      <c r="H569" s="28" t="s">
        <v>194</v>
      </c>
      <c r="I569" s="28" t="s">
        <v>17806</v>
      </c>
      <c r="J569" s="28" t="s">
        <v>9302</v>
      </c>
      <c r="K569" s="28">
        <v>18</v>
      </c>
      <c r="L569" s="28" t="s">
        <v>6955</v>
      </c>
      <c r="N569" s="28" t="s">
        <v>19925</v>
      </c>
      <c r="O569" s="28" t="s">
        <v>7001</v>
      </c>
      <c r="P569" s="28" t="s">
        <v>19926</v>
      </c>
      <c r="Q569" s="28" t="s">
        <v>19927</v>
      </c>
      <c r="R569" s="28" t="s">
        <v>19928</v>
      </c>
      <c r="S569" s="28">
        <v>2566678</v>
      </c>
      <c r="T569" s="28">
        <v>37361356</v>
      </c>
      <c r="V569" s="27"/>
      <c r="W569" s="28" t="s">
        <v>19929</v>
      </c>
      <c r="X569" s="28" t="s">
        <v>193</v>
      </c>
      <c r="Y569" s="27">
        <v>25</v>
      </c>
      <c r="AH569" s="28" t="s">
        <v>4714</v>
      </c>
      <c r="AI569" s="28" t="s">
        <v>17401</v>
      </c>
      <c r="AJ569" s="516" t="str">
        <f>MID('II kw.22'!W569,8,6)</f>
        <v>522103</v>
      </c>
      <c r="AK569" s="516">
        <v>1</v>
      </c>
      <c r="AL569" s="516">
        <f>SUM(F569)</f>
        <v>1</v>
      </c>
      <c r="AM569" s="516">
        <v>1</v>
      </c>
      <c r="AN569" s="28">
        <v>1718</v>
      </c>
      <c r="AO569" s="28" t="s">
        <v>17651</v>
      </c>
      <c r="AP569" s="28" t="s">
        <v>17652</v>
      </c>
      <c r="AQ569" s="28" t="s">
        <v>17653</v>
      </c>
      <c r="AR569" s="28" t="s">
        <v>1024</v>
      </c>
    </row>
    <row r="570" spans="1:48" x14ac:dyDescent="0.25">
      <c r="A570" s="28" t="s">
        <v>11473</v>
      </c>
      <c r="B570" s="28" t="s">
        <v>9523</v>
      </c>
      <c r="C570" s="28" t="s">
        <v>1408</v>
      </c>
      <c r="D570" s="28" t="s">
        <v>17800</v>
      </c>
      <c r="E570" s="28" t="s">
        <v>192</v>
      </c>
      <c r="F570" s="28">
        <v>1</v>
      </c>
      <c r="G570" s="28" t="s">
        <v>193</v>
      </c>
      <c r="H570" s="28" t="s">
        <v>194</v>
      </c>
      <c r="I570" s="28" t="s">
        <v>17806</v>
      </c>
      <c r="J570" s="28" t="s">
        <v>9302</v>
      </c>
      <c r="K570" s="28">
        <v>18</v>
      </c>
      <c r="L570" s="28" t="s">
        <v>6955</v>
      </c>
      <c r="N570" s="28" t="s">
        <v>19930</v>
      </c>
      <c r="O570" s="28" t="s">
        <v>6261</v>
      </c>
      <c r="P570" s="28" t="s">
        <v>19926</v>
      </c>
      <c r="Q570" s="28" t="s">
        <v>19927</v>
      </c>
      <c r="R570" s="28" t="s">
        <v>19928</v>
      </c>
      <c r="S570" s="28">
        <v>2566696</v>
      </c>
      <c r="T570" s="28">
        <v>37361374</v>
      </c>
      <c r="V570" s="27"/>
      <c r="W570" s="28" t="s">
        <v>1409</v>
      </c>
      <c r="X570" s="28" t="s">
        <v>193</v>
      </c>
      <c r="Y570" s="27">
        <v>25</v>
      </c>
      <c r="AH570" s="28" t="s">
        <v>4714</v>
      </c>
      <c r="AI570" s="28" t="s">
        <v>9523</v>
      </c>
      <c r="AJ570" s="516" t="str">
        <f>MID('II kw.22'!W570,8,6)</f>
        <v>251402</v>
      </c>
      <c r="AK570" s="516">
        <v>1</v>
      </c>
      <c r="AL570" s="516">
        <f t="shared" ref="AL570:AL632" si="9">SUM(F570)</f>
        <v>1</v>
      </c>
      <c r="AM570" s="516">
        <v>1</v>
      </c>
      <c r="AN570" s="28">
        <v>1718</v>
      </c>
      <c r="AO570" s="28" t="s">
        <v>17651</v>
      </c>
      <c r="AP570" s="28" t="s">
        <v>17652</v>
      </c>
      <c r="AQ570" s="28" t="s">
        <v>17653</v>
      </c>
      <c r="AR570" s="28" t="s">
        <v>1024</v>
      </c>
    </row>
    <row r="571" spans="1:48" x14ac:dyDescent="0.25">
      <c r="A571" s="28" t="s">
        <v>19931</v>
      </c>
      <c r="B571" s="28" t="s">
        <v>19932</v>
      </c>
      <c r="C571" s="28" t="s">
        <v>101</v>
      </c>
      <c r="D571" s="28" t="s">
        <v>17800</v>
      </c>
      <c r="E571" s="28" t="s">
        <v>192</v>
      </c>
      <c r="F571" s="28">
        <v>1</v>
      </c>
      <c r="G571" s="28" t="s">
        <v>193</v>
      </c>
      <c r="H571" s="28" t="s">
        <v>194</v>
      </c>
      <c r="I571" s="28" t="s">
        <v>17806</v>
      </c>
      <c r="J571" s="28" t="s">
        <v>9302</v>
      </c>
      <c r="K571" s="28">
        <v>18</v>
      </c>
      <c r="L571" s="28" t="s">
        <v>6955</v>
      </c>
      <c r="N571" s="28" t="s">
        <v>19933</v>
      </c>
      <c r="O571" s="28" t="s">
        <v>6327</v>
      </c>
      <c r="P571" s="28" t="s">
        <v>19926</v>
      </c>
      <c r="Q571" s="28" t="s">
        <v>19927</v>
      </c>
      <c r="R571" s="28" t="s">
        <v>19928</v>
      </c>
      <c r="S571" s="28">
        <v>2566712</v>
      </c>
      <c r="T571" s="28">
        <v>37361390</v>
      </c>
      <c r="V571" s="27"/>
      <c r="W571" s="28" t="s">
        <v>519</v>
      </c>
      <c r="X571" s="28" t="s">
        <v>193</v>
      </c>
      <c r="Y571" s="27">
        <v>25</v>
      </c>
      <c r="AH571" s="28" t="s">
        <v>4714</v>
      </c>
      <c r="AI571" s="28" t="s">
        <v>19932</v>
      </c>
      <c r="AJ571" s="516" t="str">
        <f>MID('II kw.22'!W571,8,6)</f>
        <v>261103</v>
      </c>
      <c r="AK571" s="516">
        <v>1</v>
      </c>
      <c r="AL571" s="516">
        <f t="shared" si="9"/>
        <v>1</v>
      </c>
      <c r="AM571" s="516">
        <v>1</v>
      </c>
      <c r="AN571" s="28">
        <v>1718</v>
      </c>
      <c r="AO571" s="28" t="s">
        <v>17651</v>
      </c>
      <c r="AP571" s="28" t="s">
        <v>17652</v>
      </c>
      <c r="AQ571" s="28" t="s">
        <v>17653</v>
      </c>
      <c r="AR571" s="28" t="s">
        <v>1024</v>
      </c>
    </row>
    <row r="572" spans="1:48" x14ac:dyDescent="0.25">
      <c r="A572" s="28" t="s">
        <v>5393</v>
      </c>
      <c r="B572" s="28" t="s">
        <v>614</v>
      </c>
      <c r="C572" s="28" t="s">
        <v>111</v>
      </c>
      <c r="D572" s="28" t="s">
        <v>17800</v>
      </c>
      <c r="E572" s="28" t="s">
        <v>192</v>
      </c>
      <c r="F572" s="28">
        <v>1</v>
      </c>
      <c r="G572" s="28" t="s">
        <v>193</v>
      </c>
      <c r="H572" s="28" t="s">
        <v>194</v>
      </c>
      <c r="I572" s="28" t="s">
        <v>17806</v>
      </c>
      <c r="J572" s="28" t="s">
        <v>276</v>
      </c>
      <c r="K572" s="28">
        <v>18</v>
      </c>
      <c r="L572" s="28" t="s">
        <v>6955</v>
      </c>
      <c r="N572" s="28" t="s">
        <v>19934</v>
      </c>
      <c r="O572" s="28" t="s">
        <v>6254</v>
      </c>
      <c r="P572" s="28" t="s">
        <v>19926</v>
      </c>
      <c r="Q572" s="28" t="s">
        <v>19927</v>
      </c>
      <c r="R572" s="28" t="s">
        <v>19928</v>
      </c>
      <c r="S572" s="28">
        <v>2566770</v>
      </c>
      <c r="T572" s="28">
        <v>37361571</v>
      </c>
      <c r="V572" s="28">
        <v>1803</v>
      </c>
      <c r="W572" s="28" t="s">
        <v>612</v>
      </c>
      <c r="X572" s="28" t="s">
        <v>194</v>
      </c>
      <c r="Y572" s="28">
        <v>1</v>
      </c>
      <c r="AH572" s="28" t="s">
        <v>4714</v>
      </c>
      <c r="AI572" s="28" t="s">
        <v>111</v>
      </c>
      <c r="AJ572" s="516" t="str">
        <f>MID('II kw.22'!W572,8,6)</f>
        <v>332101</v>
      </c>
      <c r="AK572" s="516">
        <v>1</v>
      </c>
      <c r="AL572" s="516">
        <f t="shared" si="9"/>
        <v>1</v>
      </c>
      <c r="AM572" s="516">
        <v>1</v>
      </c>
      <c r="AN572" s="28">
        <v>1718</v>
      </c>
      <c r="AO572" s="28" t="s">
        <v>17651</v>
      </c>
      <c r="AP572" s="28" t="s">
        <v>17652</v>
      </c>
      <c r="AQ572" s="28" t="s">
        <v>17653</v>
      </c>
      <c r="AR572" s="28" t="s">
        <v>1024</v>
      </c>
    </row>
    <row r="573" spans="1:48" x14ac:dyDescent="0.25">
      <c r="A573" s="28" t="s">
        <v>16923</v>
      </c>
      <c r="B573" s="28" t="s">
        <v>19935</v>
      </c>
      <c r="C573" s="28" t="s">
        <v>2861</v>
      </c>
      <c r="D573" s="28" t="s">
        <v>17800</v>
      </c>
      <c r="E573" s="28" t="s">
        <v>192</v>
      </c>
      <c r="F573" s="28">
        <v>1</v>
      </c>
      <c r="G573" s="28" t="s">
        <v>193</v>
      </c>
      <c r="H573" s="28" t="s">
        <v>194</v>
      </c>
      <c r="I573" s="28" t="s">
        <v>17806</v>
      </c>
      <c r="J573" s="28" t="s">
        <v>210</v>
      </c>
      <c r="K573" s="28">
        <v>18</v>
      </c>
      <c r="L573" s="28" t="s">
        <v>6955</v>
      </c>
      <c r="N573" s="28" t="s">
        <v>19936</v>
      </c>
      <c r="O573" s="28" t="s">
        <v>6261</v>
      </c>
      <c r="P573" s="28" t="s">
        <v>19926</v>
      </c>
      <c r="Q573" s="28" t="s">
        <v>19927</v>
      </c>
      <c r="R573" s="28" t="s">
        <v>19928</v>
      </c>
      <c r="S573" s="28">
        <v>2566838</v>
      </c>
      <c r="T573" s="28">
        <v>37361639</v>
      </c>
      <c r="V573" s="28">
        <v>1863</v>
      </c>
      <c r="W573" s="28" t="s">
        <v>3629</v>
      </c>
      <c r="X573" s="28" t="s">
        <v>194</v>
      </c>
      <c r="Y573" s="28">
        <v>1</v>
      </c>
      <c r="AH573" s="28" t="s">
        <v>4714</v>
      </c>
      <c r="AI573" s="28" t="s">
        <v>19935</v>
      </c>
      <c r="AJ573" s="516" t="str">
        <f>MID('II kw.22'!W573,8,6)</f>
        <v>251903</v>
      </c>
      <c r="AK573" s="516">
        <v>1</v>
      </c>
      <c r="AL573" s="516">
        <f t="shared" si="9"/>
        <v>1</v>
      </c>
      <c r="AM573" s="516">
        <v>1</v>
      </c>
      <c r="AN573" s="28">
        <v>1718</v>
      </c>
      <c r="AO573" s="28" t="s">
        <v>17651</v>
      </c>
      <c r="AP573" s="28" t="s">
        <v>17652</v>
      </c>
      <c r="AQ573" s="28" t="s">
        <v>17653</v>
      </c>
      <c r="AR573" s="28" t="s">
        <v>1024</v>
      </c>
    </row>
    <row r="574" spans="1:48" x14ac:dyDescent="0.25">
      <c r="A574" s="28" t="s">
        <v>5393</v>
      </c>
      <c r="B574" s="28" t="s">
        <v>1528</v>
      </c>
      <c r="C574" s="28" t="s">
        <v>95</v>
      </c>
      <c r="D574" s="28" t="s">
        <v>17800</v>
      </c>
      <c r="E574" s="28" t="s">
        <v>192</v>
      </c>
      <c r="F574" s="523">
        <v>1</v>
      </c>
      <c r="G574" s="28" t="s">
        <v>193</v>
      </c>
      <c r="H574" s="28" t="s">
        <v>194</v>
      </c>
      <c r="I574" s="28" t="s">
        <v>17806</v>
      </c>
      <c r="J574" s="28" t="s">
        <v>210</v>
      </c>
      <c r="K574" s="28">
        <v>18</v>
      </c>
      <c r="L574" s="28" t="s">
        <v>6955</v>
      </c>
      <c r="N574" s="28" t="s">
        <v>19937</v>
      </c>
      <c r="O574" s="28" t="s">
        <v>6254</v>
      </c>
      <c r="P574" s="28" t="s">
        <v>19926</v>
      </c>
      <c r="Q574" s="28" t="s">
        <v>19927</v>
      </c>
      <c r="R574" s="28" t="s">
        <v>19928</v>
      </c>
      <c r="S574" s="28">
        <v>2566877</v>
      </c>
      <c r="T574" s="28">
        <v>37361678</v>
      </c>
      <c r="V574" s="28">
        <v>1863</v>
      </c>
      <c r="W574" s="28" t="s">
        <v>1015</v>
      </c>
      <c r="X574" s="28" t="s">
        <v>194</v>
      </c>
      <c r="Y574" s="28">
        <v>1</v>
      </c>
      <c r="AH574" s="28" t="s">
        <v>4714</v>
      </c>
      <c r="AI574" s="28" t="s">
        <v>1528</v>
      </c>
      <c r="AJ574" s="516" t="str">
        <f>MID('II kw.22'!W574,8,6)</f>
        <v>122102</v>
      </c>
      <c r="AK574" s="516">
        <v>1</v>
      </c>
      <c r="AL574" s="516">
        <f t="shared" si="9"/>
        <v>1</v>
      </c>
      <c r="AM574" s="516">
        <v>1</v>
      </c>
      <c r="AN574" s="28">
        <v>1718</v>
      </c>
      <c r="AO574" s="28" t="s">
        <v>17651</v>
      </c>
      <c r="AP574" s="28" t="s">
        <v>17652</v>
      </c>
      <c r="AQ574" s="28" t="s">
        <v>17653</v>
      </c>
      <c r="AR574" s="28" t="s">
        <v>1024</v>
      </c>
    </row>
    <row r="575" spans="1:48" x14ac:dyDescent="0.25">
      <c r="A575" s="28" t="s">
        <v>5393</v>
      </c>
      <c r="B575" s="28" t="s">
        <v>1528</v>
      </c>
      <c r="C575" s="28" t="s">
        <v>95</v>
      </c>
      <c r="D575" s="28" t="s">
        <v>17800</v>
      </c>
      <c r="E575" s="28" t="s">
        <v>192</v>
      </c>
      <c r="F575" s="28">
        <v>1</v>
      </c>
      <c r="G575" s="28" t="s">
        <v>193</v>
      </c>
      <c r="H575" s="28" t="s">
        <v>194</v>
      </c>
      <c r="I575" s="28" t="s">
        <v>17806</v>
      </c>
      <c r="J575" s="28" t="s">
        <v>253</v>
      </c>
      <c r="K575" s="28">
        <v>18</v>
      </c>
      <c r="L575" s="28" t="s">
        <v>6955</v>
      </c>
      <c r="N575" s="28" t="s">
        <v>19938</v>
      </c>
      <c r="O575" s="28" t="s">
        <v>6254</v>
      </c>
      <c r="P575" s="28" t="s">
        <v>19926</v>
      </c>
      <c r="Q575" s="28" t="s">
        <v>19927</v>
      </c>
      <c r="R575" s="28" t="s">
        <v>19928</v>
      </c>
      <c r="S575" s="28">
        <v>2566903</v>
      </c>
      <c r="T575" s="28">
        <v>37361704</v>
      </c>
      <c r="V575" s="28">
        <v>1811</v>
      </c>
      <c r="W575" s="28" t="s">
        <v>1015</v>
      </c>
      <c r="X575" s="28" t="s">
        <v>194</v>
      </c>
      <c r="Y575" s="28">
        <v>1</v>
      </c>
      <c r="AH575" s="28" t="s">
        <v>4714</v>
      </c>
      <c r="AI575" s="28" t="s">
        <v>1528</v>
      </c>
      <c r="AJ575" s="516" t="str">
        <f>MID('II kw.22'!W575,8,6)</f>
        <v>122102</v>
      </c>
      <c r="AK575" s="516">
        <v>1</v>
      </c>
      <c r="AL575" s="516">
        <f t="shared" si="9"/>
        <v>1</v>
      </c>
      <c r="AM575" s="516">
        <v>1</v>
      </c>
      <c r="AN575" s="28">
        <v>1718</v>
      </c>
      <c r="AO575" s="28" t="s">
        <v>17651</v>
      </c>
      <c r="AP575" s="28" t="s">
        <v>17652</v>
      </c>
      <c r="AQ575" s="28" t="s">
        <v>17653</v>
      </c>
      <c r="AR575" s="28" t="s">
        <v>1024</v>
      </c>
    </row>
    <row r="576" spans="1:48" x14ac:dyDescent="0.25">
      <c r="A576" s="28" t="s">
        <v>19939</v>
      </c>
      <c r="B576" s="28" t="s">
        <v>19940</v>
      </c>
      <c r="C576" s="28" t="s">
        <v>27</v>
      </c>
      <c r="D576" s="28" t="s">
        <v>17800</v>
      </c>
      <c r="E576" s="28" t="s">
        <v>192</v>
      </c>
      <c r="F576" s="28">
        <v>1</v>
      </c>
      <c r="G576" s="28" t="s">
        <v>193</v>
      </c>
      <c r="H576" s="28" t="s">
        <v>194</v>
      </c>
      <c r="I576" s="28" t="s">
        <v>19941</v>
      </c>
      <c r="J576" s="28" t="s">
        <v>202</v>
      </c>
      <c r="K576" s="28">
        <v>18</v>
      </c>
      <c r="L576" s="28" t="s">
        <v>6955</v>
      </c>
      <c r="N576" s="28" t="s">
        <v>19942</v>
      </c>
      <c r="O576" s="28" t="s">
        <v>6286</v>
      </c>
      <c r="P576" s="28" t="s">
        <v>19926</v>
      </c>
      <c r="Q576" s="28" t="s">
        <v>19927</v>
      </c>
      <c r="R576" s="28" t="s">
        <v>19928</v>
      </c>
      <c r="S576" s="28">
        <v>2566914</v>
      </c>
      <c r="T576" s="28">
        <v>37361715</v>
      </c>
      <c r="V576" s="28">
        <v>1807</v>
      </c>
      <c r="W576" s="28" t="s">
        <v>440</v>
      </c>
      <c r="X576" s="28" t="s">
        <v>194</v>
      </c>
      <c r="Y576" s="28">
        <v>1</v>
      </c>
      <c r="AH576" s="28" t="s">
        <v>4714</v>
      </c>
      <c r="AI576" s="28" t="s">
        <v>19940</v>
      </c>
      <c r="AJ576" s="516" t="str">
        <f>MID('II kw.22'!W576,8,6)</f>
        <v>242307</v>
      </c>
      <c r="AK576" s="516">
        <v>1</v>
      </c>
      <c r="AL576" s="516">
        <f t="shared" si="9"/>
        <v>1</v>
      </c>
      <c r="AM576" s="516">
        <v>1</v>
      </c>
      <c r="AN576" s="28">
        <v>1718</v>
      </c>
      <c r="AO576" s="28" t="s">
        <v>17651</v>
      </c>
      <c r="AP576" s="28" t="s">
        <v>17652</v>
      </c>
      <c r="AQ576" s="28" t="s">
        <v>17653</v>
      </c>
      <c r="AR576" s="28" t="s">
        <v>1024</v>
      </c>
    </row>
    <row r="577" spans="1:44" x14ac:dyDescent="0.25">
      <c r="A577" s="28" t="s">
        <v>16141</v>
      </c>
      <c r="B577" s="28" t="s">
        <v>19943</v>
      </c>
      <c r="C577" s="28" t="s">
        <v>3936</v>
      </c>
      <c r="D577" s="28" t="s">
        <v>17800</v>
      </c>
      <c r="E577" s="28" t="s">
        <v>192</v>
      </c>
      <c r="F577" s="28">
        <v>1</v>
      </c>
      <c r="G577" s="28" t="s">
        <v>193</v>
      </c>
      <c r="H577" s="28" t="s">
        <v>194</v>
      </c>
      <c r="I577" s="28" t="s">
        <v>17806</v>
      </c>
      <c r="J577" s="28" t="s">
        <v>1977</v>
      </c>
      <c r="K577" s="28">
        <v>18</v>
      </c>
      <c r="L577" s="28" t="s">
        <v>6955</v>
      </c>
      <c r="N577" s="28" t="s">
        <v>19944</v>
      </c>
      <c r="O577" s="28" t="s">
        <v>6363</v>
      </c>
      <c r="P577" s="28" t="s">
        <v>19926</v>
      </c>
      <c r="Q577" s="28" t="s">
        <v>19927</v>
      </c>
      <c r="R577" s="28" t="s">
        <v>19928</v>
      </c>
      <c r="S577" s="28">
        <v>2566935</v>
      </c>
      <c r="T577" s="28">
        <v>37361736</v>
      </c>
      <c r="V577" s="28">
        <v>1808</v>
      </c>
      <c r="W577" s="28" t="s">
        <v>3937</v>
      </c>
      <c r="X577" s="28" t="s">
        <v>194</v>
      </c>
      <c r="Y577" s="28">
        <v>1</v>
      </c>
      <c r="AH577" s="509" t="s">
        <v>5109</v>
      </c>
      <c r="AI577" s="28" t="s">
        <v>19943</v>
      </c>
      <c r="AJ577" s="516" t="str">
        <f>MID('II kw.22'!W577,8,6)</f>
        <v>311705</v>
      </c>
      <c r="AK577" s="516">
        <v>1</v>
      </c>
      <c r="AL577" s="516">
        <f t="shared" si="9"/>
        <v>1</v>
      </c>
      <c r="AM577" s="516">
        <v>1</v>
      </c>
      <c r="AN577" s="28">
        <v>1718</v>
      </c>
      <c r="AO577" s="28" t="s">
        <v>17651</v>
      </c>
      <c r="AP577" s="28" t="s">
        <v>17652</v>
      </c>
      <c r="AQ577" s="28" t="s">
        <v>17653</v>
      </c>
      <c r="AR577" s="28" t="s">
        <v>1024</v>
      </c>
    </row>
    <row r="578" spans="1:44" x14ac:dyDescent="0.25">
      <c r="A578" s="28" t="s">
        <v>19945</v>
      </c>
      <c r="B578" s="28" t="s">
        <v>19946</v>
      </c>
      <c r="C578" s="28" t="s">
        <v>6617</v>
      </c>
      <c r="D578" s="28" t="s">
        <v>17800</v>
      </c>
      <c r="E578" s="28" t="s">
        <v>192</v>
      </c>
      <c r="F578" s="28">
        <v>1</v>
      </c>
      <c r="G578" s="28" t="s">
        <v>193</v>
      </c>
      <c r="H578" s="28" t="s">
        <v>194</v>
      </c>
      <c r="I578" s="28" t="s">
        <v>17806</v>
      </c>
      <c r="J578" s="28" t="s">
        <v>210</v>
      </c>
      <c r="K578" s="28">
        <v>18</v>
      </c>
      <c r="L578" s="28" t="s">
        <v>6955</v>
      </c>
      <c r="N578" s="28" t="s">
        <v>19947</v>
      </c>
      <c r="O578" s="28" t="s">
        <v>6266</v>
      </c>
      <c r="P578" s="28" t="s">
        <v>19926</v>
      </c>
      <c r="Q578" s="28" t="s">
        <v>19927</v>
      </c>
      <c r="R578" s="28" t="s">
        <v>19928</v>
      </c>
      <c r="S578" s="28">
        <v>2566956</v>
      </c>
      <c r="T578" s="28">
        <v>37361757</v>
      </c>
      <c r="V578" s="28">
        <v>1863</v>
      </c>
      <c r="W578" s="28" t="s">
        <v>990</v>
      </c>
      <c r="X578" s="28" t="s">
        <v>194</v>
      </c>
      <c r="Y578" s="28">
        <v>1</v>
      </c>
      <c r="AH578" s="28" t="s">
        <v>4714</v>
      </c>
      <c r="AI578" s="28" t="s">
        <v>19946</v>
      </c>
      <c r="AJ578" s="516" t="str">
        <f>MID('II kw.22'!W578,8,6)</f>
        <v>833202</v>
      </c>
      <c r="AK578" s="516">
        <v>1</v>
      </c>
      <c r="AL578" s="516">
        <f t="shared" si="9"/>
        <v>1</v>
      </c>
      <c r="AM578" s="516">
        <v>1</v>
      </c>
      <c r="AN578" s="28">
        <v>1718</v>
      </c>
      <c r="AO578" s="28" t="s">
        <v>17651</v>
      </c>
      <c r="AP578" s="28" t="s">
        <v>17652</v>
      </c>
      <c r="AQ578" s="28" t="s">
        <v>17653</v>
      </c>
      <c r="AR578" s="28" t="s">
        <v>1024</v>
      </c>
    </row>
    <row r="579" spans="1:44" x14ac:dyDescent="0.25">
      <c r="A579" s="28" t="s">
        <v>10002</v>
      </c>
      <c r="B579" s="28" t="s">
        <v>19948</v>
      </c>
      <c r="C579" s="28" t="s">
        <v>84</v>
      </c>
      <c r="D579" s="28" t="s">
        <v>17800</v>
      </c>
      <c r="E579" s="28" t="s">
        <v>192</v>
      </c>
      <c r="F579" s="28">
        <v>1</v>
      </c>
      <c r="G579" s="28" t="s">
        <v>193</v>
      </c>
      <c r="H579" s="28" t="s">
        <v>194</v>
      </c>
      <c r="I579" s="28" t="s">
        <v>17806</v>
      </c>
      <c r="J579" s="28" t="s">
        <v>210</v>
      </c>
      <c r="K579" s="28">
        <v>18</v>
      </c>
      <c r="L579" s="28" t="s">
        <v>6955</v>
      </c>
      <c r="N579" s="28" t="s">
        <v>19949</v>
      </c>
      <c r="O579" s="28" t="s">
        <v>6266</v>
      </c>
      <c r="P579" s="28" t="s">
        <v>19926</v>
      </c>
      <c r="Q579" s="28" t="s">
        <v>19927</v>
      </c>
      <c r="R579" s="28" t="s">
        <v>19928</v>
      </c>
      <c r="S579" s="28">
        <v>2566963</v>
      </c>
      <c r="T579" s="28">
        <v>37361764</v>
      </c>
      <c r="V579" s="28">
        <v>1863</v>
      </c>
      <c r="W579" s="28" t="s">
        <v>2665</v>
      </c>
      <c r="X579" s="28" t="s">
        <v>194</v>
      </c>
      <c r="Y579" s="28">
        <v>1</v>
      </c>
      <c r="AH579" s="28" t="s">
        <v>4714</v>
      </c>
      <c r="AI579" s="28" t="s">
        <v>19948</v>
      </c>
      <c r="AJ579" s="516" t="str">
        <f>MID('II kw.22'!W579,8,6)</f>
        <v>541315</v>
      </c>
      <c r="AK579" s="516">
        <v>1</v>
      </c>
      <c r="AL579" s="516">
        <f t="shared" si="9"/>
        <v>1</v>
      </c>
      <c r="AM579" s="516">
        <v>1</v>
      </c>
      <c r="AN579" s="28">
        <v>1718</v>
      </c>
      <c r="AO579" s="28" t="s">
        <v>17651</v>
      </c>
      <c r="AP579" s="28" t="s">
        <v>17652</v>
      </c>
      <c r="AQ579" s="28" t="s">
        <v>17653</v>
      </c>
      <c r="AR579" s="28" t="s">
        <v>1024</v>
      </c>
    </row>
    <row r="580" spans="1:44" x14ac:dyDescent="0.25">
      <c r="A580" s="28" t="s">
        <v>10002</v>
      </c>
      <c r="B580" s="28" t="s">
        <v>19950</v>
      </c>
      <c r="C580" s="28" t="s">
        <v>133</v>
      </c>
      <c r="D580" s="28" t="s">
        <v>17800</v>
      </c>
      <c r="E580" s="28" t="s">
        <v>192</v>
      </c>
      <c r="F580" s="28">
        <v>1</v>
      </c>
      <c r="G580" s="28" t="s">
        <v>193</v>
      </c>
      <c r="H580" s="28" t="s">
        <v>194</v>
      </c>
      <c r="I580" s="28" t="s">
        <v>17806</v>
      </c>
      <c r="J580" s="28" t="s">
        <v>210</v>
      </c>
      <c r="K580" s="28">
        <v>18</v>
      </c>
      <c r="L580" s="28" t="s">
        <v>6955</v>
      </c>
      <c r="N580" s="28" t="s">
        <v>19951</v>
      </c>
      <c r="O580" s="28" t="s">
        <v>6266</v>
      </c>
      <c r="P580" s="28" t="s">
        <v>19926</v>
      </c>
      <c r="Q580" s="28" t="s">
        <v>19927</v>
      </c>
      <c r="R580" s="28" t="s">
        <v>19928</v>
      </c>
      <c r="S580" s="28">
        <v>2566964</v>
      </c>
      <c r="T580" s="28">
        <v>37361765</v>
      </c>
      <c r="V580" s="28">
        <v>1863</v>
      </c>
      <c r="W580" s="28" t="s">
        <v>673</v>
      </c>
      <c r="X580" s="28" t="s">
        <v>194</v>
      </c>
      <c r="Y580" s="28">
        <v>1</v>
      </c>
      <c r="AH580" s="28" t="s">
        <v>4714</v>
      </c>
      <c r="AI580" s="28" t="s">
        <v>19950</v>
      </c>
      <c r="AJ580" s="516" t="str">
        <f>MID('II kw.22'!W580,8,6)</f>
        <v>333107</v>
      </c>
      <c r="AK580" s="516">
        <v>1</v>
      </c>
      <c r="AL580" s="516">
        <f t="shared" si="9"/>
        <v>1</v>
      </c>
      <c r="AM580" s="516">
        <v>1</v>
      </c>
      <c r="AN580" s="28">
        <v>1718</v>
      </c>
      <c r="AO580" s="28" t="s">
        <v>17651</v>
      </c>
      <c r="AP580" s="28" t="s">
        <v>17652</v>
      </c>
      <c r="AQ580" s="28" t="s">
        <v>17653</v>
      </c>
      <c r="AR580" s="28" t="s">
        <v>1024</v>
      </c>
    </row>
    <row r="581" spans="1:44" x14ac:dyDescent="0.25">
      <c r="A581" s="28" t="s">
        <v>10002</v>
      </c>
      <c r="B581" s="28" t="s">
        <v>19952</v>
      </c>
      <c r="C581" s="28" t="s">
        <v>133</v>
      </c>
      <c r="D581" s="28" t="s">
        <v>17800</v>
      </c>
      <c r="E581" s="28" t="s">
        <v>192</v>
      </c>
      <c r="F581" s="28">
        <v>1</v>
      </c>
      <c r="G581" s="28" t="s">
        <v>193</v>
      </c>
      <c r="H581" s="28" t="s">
        <v>194</v>
      </c>
      <c r="I581" s="28" t="s">
        <v>17806</v>
      </c>
      <c r="J581" s="28" t="s">
        <v>210</v>
      </c>
      <c r="K581" s="28">
        <v>18</v>
      </c>
      <c r="L581" s="28" t="s">
        <v>6955</v>
      </c>
      <c r="N581" s="28" t="s">
        <v>19953</v>
      </c>
      <c r="O581" s="28" t="s">
        <v>6266</v>
      </c>
      <c r="P581" s="28" t="s">
        <v>19926</v>
      </c>
      <c r="Q581" s="28" t="s">
        <v>19927</v>
      </c>
      <c r="R581" s="28" t="s">
        <v>19928</v>
      </c>
      <c r="S581" s="28">
        <v>2566967</v>
      </c>
      <c r="T581" s="28">
        <v>37361768</v>
      </c>
      <c r="V581" s="28">
        <v>1863</v>
      </c>
      <c r="W581" s="28" t="s">
        <v>673</v>
      </c>
      <c r="X581" s="28" t="s">
        <v>194</v>
      </c>
      <c r="Y581" s="28">
        <v>1</v>
      </c>
      <c r="AH581" s="28" t="s">
        <v>4714</v>
      </c>
      <c r="AI581" s="28" t="s">
        <v>19952</v>
      </c>
      <c r="AJ581" s="516" t="str">
        <f>MID('II kw.22'!W581,8,6)</f>
        <v>333107</v>
      </c>
      <c r="AK581" s="516">
        <v>1</v>
      </c>
      <c r="AL581" s="516">
        <f t="shared" si="9"/>
        <v>1</v>
      </c>
      <c r="AM581" s="516">
        <v>1</v>
      </c>
      <c r="AN581" s="28">
        <v>1718</v>
      </c>
      <c r="AO581" s="28" t="s">
        <v>17651</v>
      </c>
      <c r="AP581" s="28" t="s">
        <v>17652</v>
      </c>
      <c r="AQ581" s="28" t="s">
        <v>17653</v>
      </c>
      <c r="AR581" s="28" t="s">
        <v>1024</v>
      </c>
    </row>
    <row r="582" spans="1:44" x14ac:dyDescent="0.25">
      <c r="A582" s="28" t="s">
        <v>12758</v>
      </c>
      <c r="B582" s="28" t="s">
        <v>17357</v>
      </c>
      <c r="C582" s="28" t="s">
        <v>10</v>
      </c>
      <c r="D582" s="28" t="s">
        <v>17800</v>
      </c>
      <c r="E582" s="28" t="s">
        <v>192</v>
      </c>
      <c r="F582" s="28">
        <v>1</v>
      </c>
      <c r="G582" s="28" t="s">
        <v>193</v>
      </c>
      <c r="H582" s="28" t="s">
        <v>194</v>
      </c>
      <c r="I582" s="28" t="s">
        <v>17806</v>
      </c>
      <c r="J582" s="28" t="s">
        <v>210</v>
      </c>
      <c r="K582" s="28">
        <v>18</v>
      </c>
      <c r="L582" s="28" t="s">
        <v>6955</v>
      </c>
      <c r="N582" s="28" t="s">
        <v>19954</v>
      </c>
      <c r="O582" s="28" t="s">
        <v>6261</v>
      </c>
      <c r="P582" s="28" t="s">
        <v>19926</v>
      </c>
      <c r="Q582" s="28" t="s">
        <v>19927</v>
      </c>
      <c r="R582" s="28" t="s">
        <v>19928</v>
      </c>
      <c r="S582" s="28">
        <v>2566975</v>
      </c>
      <c r="T582" s="28">
        <v>37361776</v>
      </c>
      <c r="V582" s="28">
        <v>1863</v>
      </c>
      <c r="W582" s="28" t="s">
        <v>484</v>
      </c>
      <c r="X582" s="28" t="s">
        <v>194</v>
      </c>
      <c r="Y582" s="28">
        <v>1</v>
      </c>
      <c r="AH582" s="28" t="s">
        <v>4714</v>
      </c>
      <c r="AI582" s="28" t="s">
        <v>17357</v>
      </c>
      <c r="AJ582" s="516" t="str">
        <f>MID('II kw.22'!W582,8,6)</f>
        <v>251401</v>
      </c>
      <c r="AK582" s="516">
        <v>1</v>
      </c>
      <c r="AL582" s="516">
        <f t="shared" si="9"/>
        <v>1</v>
      </c>
      <c r="AM582" s="516">
        <v>1</v>
      </c>
      <c r="AN582" s="28">
        <v>1718</v>
      </c>
      <c r="AO582" s="28" t="s">
        <v>17651</v>
      </c>
      <c r="AP582" s="28" t="s">
        <v>17652</v>
      </c>
      <c r="AQ582" s="28" t="s">
        <v>17653</v>
      </c>
      <c r="AR582" s="28" t="s">
        <v>1024</v>
      </c>
    </row>
    <row r="583" spans="1:44" x14ac:dyDescent="0.25">
      <c r="A583" s="28" t="s">
        <v>7451</v>
      </c>
      <c r="B583" s="28" t="s">
        <v>1411</v>
      </c>
      <c r="C583" s="28" t="s">
        <v>111</v>
      </c>
      <c r="D583" s="28" t="s">
        <v>17800</v>
      </c>
      <c r="E583" s="28" t="s">
        <v>192</v>
      </c>
      <c r="F583" s="28">
        <v>1</v>
      </c>
      <c r="G583" s="28" t="s">
        <v>193</v>
      </c>
      <c r="H583" s="28" t="s">
        <v>194</v>
      </c>
      <c r="I583" s="28" t="s">
        <v>17806</v>
      </c>
      <c r="J583" s="28" t="s">
        <v>210</v>
      </c>
      <c r="K583" s="28">
        <v>18</v>
      </c>
      <c r="L583" s="28" t="s">
        <v>6955</v>
      </c>
      <c r="N583" s="28" t="s">
        <v>19955</v>
      </c>
      <c r="O583" s="28" t="s">
        <v>6254</v>
      </c>
      <c r="P583" s="28" t="s">
        <v>19926</v>
      </c>
      <c r="Q583" s="28" t="s">
        <v>19927</v>
      </c>
      <c r="R583" s="28" t="s">
        <v>19928</v>
      </c>
      <c r="S583" s="28">
        <v>2567011</v>
      </c>
      <c r="T583" s="28">
        <v>37361812</v>
      </c>
      <c r="V583" s="28">
        <v>1863</v>
      </c>
      <c r="W583" s="28" t="s">
        <v>612</v>
      </c>
      <c r="X583" s="28" t="s">
        <v>194</v>
      </c>
      <c r="Y583" s="28">
        <v>1</v>
      </c>
      <c r="AH583" s="28" t="s">
        <v>4714</v>
      </c>
      <c r="AI583" s="28" t="s">
        <v>1411</v>
      </c>
      <c r="AJ583" s="516" t="str">
        <f>MID('II kw.22'!W583,8,6)</f>
        <v>332101</v>
      </c>
      <c r="AK583" s="516">
        <v>1</v>
      </c>
      <c r="AL583" s="516">
        <f t="shared" si="9"/>
        <v>1</v>
      </c>
      <c r="AM583" s="516">
        <v>1</v>
      </c>
      <c r="AN583" s="28">
        <v>1718</v>
      </c>
      <c r="AO583" s="28" t="s">
        <v>17651</v>
      </c>
      <c r="AP583" s="28" t="s">
        <v>17652</v>
      </c>
      <c r="AQ583" s="28" t="s">
        <v>17653</v>
      </c>
      <c r="AR583" s="28" t="s">
        <v>1024</v>
      </c>
    </row>
    <row r="584" spans="1:44" x14ac:dyDescent="0.25">
      <c r="A584" s="28" t="s">
        <v>7451</v>
      </c>
      <c r="B584" s="28" t="s">
        <v>1411</v>
      </c>
      <c r="C584" s="28" t="s">
        <v>111</v>
      </c>
      <c r="D584" s="28" t="s">
        <v>17800</v>
      </c>
      <c r="E584" s="28" t="s">
        <v>192</v>
      </c>
      <c r="F584" s="28">
        <v>1</v>
      </c>
      <c r="G584" s="28" t="s">
        <v>193</v>
      </c>
      <c r="H584" s="28" t="s">
        <v>194</v>
      </c>
      <c r="I584" s="28" t="s">
        <v>17806</v>
      </c>
      <c r="J584" s="28" t="s">
        <v>747</v>
      </c>
      <c r="K584" s="28">
        <v>18</v>
      </c>
      <c r="L584" s="28" t="s">
        <v>6955</v>
      </c>
      <c r="N584" s="28" t="s">
        <v>19956</v>
      </c>
      <c r="O584" s="28" t="s">
        <v>6254</v>
      </c>
      <c r="P584" s="28" t="s">
        <v>19926</v>
      </c>
      <c r="Q584" s="28" t="s">
        <v>19927</v>
      </c>
      <c r="R584" s="28" t="s">
        <v>19928</v>
      </c>
      <c r="S584" s="28">
        <v>2567012</v>
      </c>
      <c r="T584" s="28">
        <v>37361813</v>
      </c>
      <c r="V584" s="28">
        <v>1817</v>
      </c>
      <c r="W584" s="28" t="s">
        <v>612</v>
      </c>
      <c r="X584" s="28" t="s">
        <v>194</v>
      </c>
      <c r="Y584" s="28">
        <v>1</v>
      </c>
      <c r="AH584" s="28" t="s">
        <v>4714</v>
      </c>
      <c r="AI584" s="28" t="s">
        <v>1411</v>
      </c>
      <c r="AJ584" s="516" t="str">
        <f>MID('II kw.22'!W584,8,6)</f>
        <v>332101</v>
      </c>
      <c r="AK584" s="516">
        <v>1</v>
      </c>
      <c r="AL584" s="516">
        <f t="shared" si="9"/>
        <v>1</v>
      </c>
      <c r="AM584" s="516">
        <v>1</v>
      </c>
      <c r="AN584" s="28">
        <v>1718</v>
      </c>
      <c r="AO584" s="28" t="s">
        <v>17651</v>
      </c>
      <c r="AP584" s="28" t="s">
        <v>17652</v>
      </c>
      <c r="AQ584" s="28" t="s">
        <v>17653</v>
      </c>
      <c r="AR584" s="28" t="s">
        <v>1024</v>
      </c>
    </row>
    <row r="585" spans="1:44" x14ac:dyDescent="0.25">
      <c r="A585" s="28" t="s">
        <v>19957</v>
      </c>
      <c r="B585" s="28" t="s">
        <v>2545</v>
      </c>
      <c r="C585" s="28" t="s">
        <v>740</v>
      </c>
      <c r="D585" s="28" t="s">
        <v>17800</v>
      </c>
      <c r="E585" s="28" t="s">
        <v>192</v>
      </c>
      <c r="F585" s="28">
        <v>1</v>
      </c>
      <c r="G585" s="28" t="s">
        <v>193</v>
      </c>
      <c r="H585" s="28" t="s">
        <v>194</v>
      </c>
      <c r="I585" s="28" t="s">
        <v>17806</v>
      </c>
      <c r="J585" s="28" t="s">
        <v>210</v>
      </c>
      <c r="K585" s="28">
        <v>18</v>
      </c>
      <c r="L585" s="28" t="s">
        <v>6955</v>
      </c>
      <c r="N585" s="28" t="s">
        <v>19958</v>
      </c>
      <c r="O585" s="28" t="s">
        <v>6245</v>
      </c>
      <c r="P585" s="28" t="s">
        <v>19926</v>
      </c>
      <c r="Q585" s="28" t="s">
        <v>19927</v>
      </c>
      <c r="R585" s="28" t="s">
        <v>19928</v>
      </c>
      <c r="S585" s="28">
        <v>2567081</v>
      </c>
      <c r="T585" s="28">
        <v>37361882</v>
      </c>
      <c r="V585" s="28">
        <v>1863</v>
      </c>
      <c r="W585" s="28" t="s">
        <v>741</v>
      </c>
      <c r="X585" s="28" t="s">
        <v>194</v>
      </c>
      <c r="Y585" s="28">
        <v>1</v>
      </c>
      <c r="AH585" s="28" t="s">
        <v>4714</v>
      </c>
      <c r="AI585" s="28" t="s">
        <v>2545</v>
      </c>
      <c r="AJ585" s="516" t="str">
        <f>MID('II kw.22'!W585,8,6)</f>
        <v>522301</v>
      </c>
      <c r="AK585" s="516">
        <v>1</v>
      </c>
      <c r="AL585" s="516">
        <f t="shared" si="9"/>
        <v>1</v>
      </c>
      <c r="AM585" s="516">
        <v>1</v>
      </c>
      <c r="AN585" s="28">
        <v>1718</v>
      </c>
      <c r="AO585" s="28" t="s">
        <v>17651</v>
      </c>
      <c r="AP585" s="28" t="s">
        <v>17652</v>
      </c>
      <c r="AQ585" s="28" t="s">
        <v>17653</v>
      </c>
      <c r="AR585" s="28" t="s">
        <v>1024</v>
      </c>
    </row>
    <row r="586" spans="1:44" x14ac:dyDescent="0.25">
      <c r="A586" s="28" t="s">
        <v>4243</v>
      </c>
      <c r="B586" s="28" t="s">
        <v>8</v>
      </c>
      <c r="C586" s="28" t="s">
        <v>740</v>
      </c>
      <c r="D586" s="28" t="s">
        <v>17800</v>
      </c>
      <c r="E586" s="28" t="s">
        <v>192</v>
      </c>
      <c r="F586" s="28">
        <v>1</v>
      </c>
      <c r="G586" s="28" t="s">
        <v>193</v>
      </c>
      <c r="H586" s="28" t="s">
        <v>194</v>
      </c>
      <c r="I586" s="28" t="s">
        <v>17806</v>
      </c>
      <c r="J586" s="28" t="s">
        <v>253</v>
      </c>
      <c r="K586" s="28">
        <v>18</v>
      </c>
      <c r="L586" s="28" t="s">
        <v>6955</v>
      </c>
      <c r="N586" s="28" t="s">
        <v>19959</v>
      </c>
      <c r="O586" s="28" t="s">
        <v>6251</v>
      </c>
      <c r="P586" s="28" t="s">
        <v>19926</v>
      </c>
      <c r="Q586" s="28" t="s">
        <v>19927</v>
      </c>
      <c r="R586" s="28" t="s">
        <v>19928</v>
      </c>
      <c r="S586" s="28">
        <v>2567125</v>
      </c>
      <c r="T586" s="28">
        <v>37361926</v>
      </c>
      <c r="V586" s="28">
        <v>1811</v>
      </c>
      <c r="W586" s="28" t="s">
        <v>741</v>
      </c>
      <c r="X586" s="28" t="s">
        <v>194</v>
      </c>
      <c r="Y586" s="28">
        <v>1</v>
      </c>
      <c r="AH586" s="28" t="s">
        <v>4714</v>
      </c>
      <c r="AI586" s="28" t="s">
        <v>8</v>
      </c>
      <c r="AJ586" s="516" t="str">
        <f>MID('II kw.22'!W586,8,6)</f>
        <v>522301</v>
      </c>
      <c r="AK586" s="516">
        <v>1</v>
      </c>
      <c r="AL586" s="516">
        <f t="shared" si="9"/>
        <v>1</v>
      </c>
      <c r="AM586" s="516">
        <v>1</v>
      </c>
      <c r="AN586" s="28">
        <v>1718</v>
      </c>
      <c r="AO586" s="28" t="s">
        <v>17651</v>
      </c>
      <c r="AP586" s="28" t="s">
        <v>17652</v>
      </c>
      <c r="AQ586" s="28" t="s">
        <v>17653</v>
      </c>
      <c r="AR586" s="28" t="s">
        <v>1024</v>
      </c>
    </row>
    <row r="587" spans="1:44" x14ac:dyDescent="0.25">
      <c r="A587" s="28" t="s">
        <v>4243</v>
      </c>
      <c r="B587" s="28" t="s">
        <v>8</v>
      </c>
      <c r="C587" s="28" t="s">
        <v>740</v>
      </c>
      <c r="D587" s="28" t="s">
        <v>17800</v>
      </c>
      <c r="E587" s="28" t="s">
        <v>192</v>
      </c>
      <c r="F587" s="28">
        <v>1</v>
      </c>
      <c r="G587" s="28" t="s">
        <v>193</v>
      </c>
      <c r="H587" s="28" t="s">
        <v>194</v>
      </c>
      <c r="I587" s="28" t="s">
        <v>17806</v>
      </c>
      <c r="J587" s="28" t="s">
        <v>210</v>
      </c>
      <c r="K587" s="28">
        <v>18</v>
      </c>
      <c r="L587" s="28" t="s">
        <v>6955</v>
      </c>
      <c r="N587" s="28" t="s">
        <v>19960</v>
      </c>
      <c r="O587" s="28" t="s">
        <v>6251</v>
      </c>
      <c r="P587" s="28" t="s">
        <v>19926</v>
      </c>
      <c r="Q587" s="28" t="s">
        <v>19927</v>
      </c>
      <c r="R587" s="28" t="s">
        <v>19928</v>
      </c>
      <c r="S587" s="28">
        <v>2567137</v>
      </c>
      <c r="T587" s="28">
        <v>37361938</v>
      </c>
      <c r="V587" s="28">
        <v>1863</v>
      </c>
      <c r="W587" s="28" t="s">
        <v>741</v>
      </c>
      <c r="X587" s="28" t="s">
        <v>194</v>
      </c>
      <c r="Y587" s="28">
        <v>1</v>
      </c>
      <c r="AH587" s="28" t="s">
        <v>4714</v>
      </c>
      <c r="AI587" s="28" t="s">
        <v>8</v>
      </c>
      <c r="AJ587" s="516" t="str">
        <f>MID('II kw.22'!W587,8,6)</f>
        <v>522301</v>
      </c>
      <c r="AK587" s="516">
        <v>1</v>
      </c>
      <c r="AL587" s="516">
        <f t="shared" si="9"/>
        <v>1</v>
      </c>
      <c r="AM587" s="516">
        <v>1</v>
      </c>
      <c r="AN587" s="28">
        <v>1718</v>
      </c>
      <c r="AO587" s="28" t="s">
        <v>17651</v>
      </c>
      <c r="AP587" s="28" t="s">
        <v>17652</v>
      </c>
      <c r="AQ587" s="28" t="s">
        <v>17653</v>
      </c>
      <c r="AR587" s="28" t="s">
        <v>1024</v>
      </c>
    </row>
    <row r="588" spans="1:44" x14ac:dyDescent="0.25">
      <c r="A588" s="28" t="s">
        <v>4243</v>
      </c>
      <c r="B588" s="28" t="s">
        <v>19961</v>
      </c>
      <c r="C588" s="28" t="s">
        <v>74</v>
      </c>
      <c r="D588" s="28" t="s">
        <v>17800</v>
      </c>
      <c r="E588" s="28" t="s">
        <v>192</v>
      </c>
      <c r="F588" s="28">
        <v>1</v>
      </c>
      <c r="G588" s="28" t="s">
        <v>193</v>
      </c>
      <c r="H588" s="28" t="s">
        <v>194</v>
      </c>
      <c r="I588" s="28" t="s">
        <v>17806</v>
      </c>
      <c r="J588" s="28" t="s">
        <v>253</v>
      </c>
      <c r="K588" s="28">
        <v>18</v>
      </c>
      <c r="L588" s="28" t="s">
        <v>6955</v>
      </c>
      <c r="N588" s="28" t="s">
        <v>19962</v>
      </c>
      <c r="O588" s="28" t="s">
        <v>6249</v>
      </c>
      <c r="P588" s="28" t="s">
        <v>19926</v>
      </c>
      <c r="Q588" s="28" t="s">
        <v>19927</v>
      </c>
      <c r="R588" s="28" t="s">
        <v>19928</v>
      </c>
      <c r="S588" s="28">
        <v>2567225</v>
      </c>
      <c r="T588" s="28">
        <v>37362027</v>
      </c>
      <c r="V588" s="28">
        <v>1811</v>
      </c>
      <c r="W588" s="28" t="s">
        <v>246</v>
      </c>
      <c r="X588" s="28" t="s">
        <v>194</v>
      </c>
      <c r="Y588" s="28">
        <v>1</v>
      </c>
      <c r="AH588" s="28" t="s">
        <v>4714</v>
      </c>
      <c r="AI588" s="28" t="s">
        <v>19961</v>
      </c>
      <c r="AJ588" s="516" t="str">
        <f>MID('II kw.22'!W588,8,6)</f>
        <v>142004</v>
      </c>
      <c r="AK588" s="516">
        <v>1</v>
      </c>
      <c r="AL588" s="516">
        <f t="shared" si="9"/>
        <v>1</v>
      </c>
      <c r="AM588" s="516">
        <v>1</v>
      </c>
      <c r="AN588" s="28">
        <v>1718</v>
      </c>
      <c r="AO588" s="28" t="s">
        <v>17651</v>
      </c>
      <c r="AP588" s="28" t="s">
        <v>17652</v>
      </c>
      <c r="AQ588" s="28" t="s">
        <v>17653</v>
      </c>
      <c r="AR588" s="28" t="s">
        <v>1024</v>
      </c>
    </row>
    <row r="589" spans="1:44" x14ac:dyDescent="0.25">
      <c r="A589" s="28" t="s">
        <v>4243</v>
      </c>
      <c r="B589" s="28" t="s">
        <v>19961</v>
      </c>
      <c r="C589" s="28" t="s">
        <v>74</v>
      </c>
      <c r="D589" s="28" t="s">
        <v>17800</v>
      </c>
      <c r="E589" s="28" t="s">
        <v>192</v>
      </c>
      <c r="F589" s="28">
        <v>1</v>
      </c>
      <c r="G589" s="28" t="s">
        <v>193</v>
      </c>
      <c r="H589" s="28" t="s">
        <v>194</v>
      </c>
      <c r="I589" s="28" t="s">
        <v>17806</v>
      </c>
      <c r="J589" s="28" t="s">
        <v>210</v>
      </c>
      <c r="K589" s="28">
        <v>18</v>
      </c>
      <c r="L589" s="28" t="s">
        <v>6955</v>
      </c>
      <c r="N589" s="28" t="s">
        <v>19963</v>
      </c>
      <c r="O589" s="28" t="s">
        <v>6249</v>
      </c>
      <c r="P589" s="28" t="s">
        <v>19926</v>
      </c>
      <c r="Q589" s="28" t="s">
        <v>19927</v>
      </c>
      <c r="R589" s="28" t="s">
        <v>19928</v>
      </c>
      <c r="S589" s="28">
        <v>2567252</v>
      </c>
      <c r="T589" s="28">
        <v>37362054</v>
      </c>
      <c r="V589" s="28">
        <v>1863</v>
      </c>
      <c r="W589" s="28" t="s">
        <v>246</v>
      </c>
      <c r="X589" s="28" t="s">
        <v>194</v>
      </c>
      <c r="Y589" s="28">
        <v>1</v>
      </c>
      <c r="AH589" s="28" t="s">
        <v>4714</v>
      </c>
      <c r="AI589" s="28" t="s">
        <v>19961</v>
      </c>
      <c r="AJ589" s="516" t="str">
        <f>MID('II kw.22'!W589,8,6)</f>
        <v>142004</v>
      </c>
      <c r="AK589" s="516">
        <v>1</v>
      </c>
      <c r="AL589" s="516">
        <f t="shared" si="9"/>
        <v>1</v>
      </c>
      <c r="AM589" s="516">
        <v>1</v>
      </c>
      <c r="AN589" s="28">
        <v>1718</v>
      </c>
      <c r="AO589" s="28" t="s">
        <v>17651</v>
      </c>
      <c r="AP589" s="28" t="s">
        <v>17652</v>
      </c>
      <c r="AQ589" s="28" t="s">
        <v>17653</v>
      </c>
      <c r="AR589" s="28" t="s">
        <v>1024</v>
      </c>
    </row>
    <row r="590" spans="1:44" x14ac:dyDescent="0.25">
      <c r="A590" s="28" t="s">
        <v>4243</v>
      </c>
      <c r="B590" s="28" t="s">
        <v>3372</v>
      </c>
      <c r="C590" s="28" t="s">
        <v>74</v>
      </c>
      <c r="D590" s="28" t="s">
        <v>17800</v>
      </c>
      <c r="E590" s="28" t="s">
        <v>192</v>
      </c>
      <c r="F590" s="28">
        <v>1</v>
      </c>
      <c r="G590" s="28" t="s">
        <v>193</v>
      </c>
      <c r="H590" s="28" t="s">
        <v>194</v>
      </c>
      <c r="I590" s="28" t="s">
        <v>17806</v>
      </c>
      <c r="J590" s="28" t="s">
        <v>253</v>
      </c>
      <c r="K590" s="28">
        <v>18</v>
      </c>
      <c r="L590" s="28" t="s">
        <v>6955</v>
      </c>
      <c r="N590" s="28" t="s">
        <v>19964</v>
      </c>
      <c r="O590" s="28" t="s">
        <v>6251</v>
      </c>
      <c r="P590" s="28" t="s">
        <v>19926</v>
      </c>
      <c r="Q590" s="28" t="s">
        <v>19927</v>
      </c>
      <c r="R590" s="28" t="s">
        <v>19928</v>
      </c>
      <c r="S590" s="28">
        <v>2567338</v>
      </c>
      <c r="T590" s="28">
        <v>37362140</v>
      </c>
      <c r="V590" s="28">
        <v>1811</v>
      </c>
      <c r="W590" s="28" t="s">
        <v>246</v>
      </c>
      <c r="X590" s="28" t="s">
        <v>194</v>
      </c>
      <c r="Y590" s="28">
        <v>1</v>
      </c>
      <c r="AH590" s="28" t="s">
        <v>4714</v>
      </c>
      <c r="AI590" s="28" t="s">
        <v>3372</v>
      </c>
      <c r="AJ590" s="516" t="str">
        <f>MID('II kw.22'!W590,8,6)</f>
        <v>142004</v>
      </c>
      <c r="AK590" s="516">
        <v>1</v>
      </c>
      <c r="AL590" s="516">
        <f t="shared" si="9"/>
        <v>1</v>
      </c>
      <c r="AM590" s="516">
        <v>1</v>
      </c>
      <c r="AN590" s="28">
        <v>1718</v>
      </c>
      <c r="AO590" s="28" t="s">
        <v>17651</v>
      </c>
      <c r="AP590" s="28" t="s">
        <v>17652</v>
      </c>
      <c r="AQ590" s="28" t="s">
        <v>17653</v>
      </c>
      <c r="AR590" s="28" t="s">
        <v>1024</v>
      </c>
    </row>
    <row r="591" spans="1:44" x14ac:dyDescent="0.25">
      <c r="A591" s="28" t="s">
        <v>5393</v>
      </c>
      <c r="B591" s="28" t="s">
        <v>5509</v>
      </c>
      <c r="C591" s="28" t="s">
        <v>111</v>
      </c>
      <c r="D591" s="28" t="s">
        <v>17800</v>
      </c>
      <c r="E591" s="28" t="s">
        <v>192</v>
      </c>
      <c r="F591" s="28">
        <v>1</v>
      </c>
      <c r="G591" s="28" t="s">
        <v>193</v>
      </c>
      <c r="H591" s="28" t="s">
        <v>194</v>
      </c>
      <c r="I591" s="28" t="s">
        <v>17806</v>
      </c>
      <c r="J591" s="28" t="s">
        <v>253</v>
      </c>
      <c r="K591" s="28">
        <v>18</v>
      </c>
      <c r="L591" s="28" t="s">
        <v>6955</v>
      </c>
      <c r="N591" s="28" t="s">
        <v>19965</v>
      </c>
      <c r="O591" s="28" t="s">
        <v>6254</v>
      </c>
      <c r="P591" s="28" t="s">
        <v>19926</v>
      </c>
      <c r="Q591" s="28" t="s">
        <v>19927</v>
      </c>
      <c r="R591" s="28" t="s">
        <v>19928</v>
      </c>
      <c r="S591" s="28">
        <v>2567350</v>
      </c>
      <c r="T591" s="28">
        <v>37362152</v>
      </c>
      <c r="V591" s="28">
        <v>1811</v>
      </c>
      <c r="W591" s="28" t="s">
        <v>612</v>
      </c>
      <c r="X591" s="28" t="s">
        <v>194</v>
      </c>
      <c r="Y591" s="28">
        <v>1</v>
      </c>
      <c r="AH591" s="28" t="s">
        <v>4714</v>
      </c>
      <c r="AI591" s="28" t="s">
        <v>5509</v>
      </c>
      <c r="AJ591" s="516" t="str">
        <f>MID('II kw.22'!W591,8,6)</f>
        <v>332101</v>
      </c>
      <c r="AK591" s="516">
        <v>1</v>
      </c>
      <c r="AL591" s="516">
        <f t="shared" si="9"/>
        <v>1</v>
      </c>
      <c r="AM591" s="516">
        <v>1</v>
      </c>
      <c r="AN591" s="28">
        <v>1718</v>
      </c>
      <c r="AO591" s="28" t="s">
        <v>17651</v>
      </c>
      <c r="AP591" s="28" t="s">
        <v>17652</v>
      </c>
      <c r="AQ591" s="28" t="s">
        <v>17653</v>
      </c>
      <c r="AR591" s="28" t="s">
        <v>1024</v>
      </c>
    </row>
    <row r="592" spans="1:44" x14ac:dyDescent="0.25">
      <c r="A592" s="28" t="s">
        <v>4243</v>
      </c>
      <c r="B592" s="28" t="s">
        <v>3372</v>
      </c>
      <c r="C592" s="28" t="s">
        <v>74</v>
      </c>
      <c r="D592" s="28" t="s">
        <v>17800</v>
      </c>
      <c r="E592" s="28" t="s">
        <v>192</v>
      </c>
      <c r="F592" s="28">
        <v>1</v>
      </c>
      <c r="G592" s="28" t="s">
        <v>193</v>
      </c>
      <c r="H592" s="28" t="s">
        <v>194</v>
      </c>
      <c r="I592" s="28" t="s">
        <v>17806</v>
      </c>
      <c r="J592" s="28" t="s">
        <v>210</v>
      </c>
      <c r="K592" s="28">
        <v>18</v>
      </c>
      <c r="L592" s="28" t="s">
        <v>6955</v>
      </c>
      <c r="N592" s="28" t="s">
        <v>19966</v>
      </c>
      <c r="O592" s="28" t="s">
        <v>6251</v>
      </c>
      <c r="P592" s="28" t="s">
        <v>19926</v>
      </c>
      <c r="Q592" s="28" t="s">
        <v>19927</v>
      </c>
      <c r="R592" s="28" t="s">
        <v>19928</v>
      </c>
      <c r="S592" s="28">
        <v>2567355</v>
      </c>
      <c r="T592" s="28">
        <v>37362157</v>
      </c>
      <c r="V592" s="28">
        <v>1863</v>
      </c>
      <c r="W592" s="28" t="s">
        <v>246</v>
      </c>
      <c r="X592" s="28" t="s">
        <v>194</v>
      </c>
      <c r="Y592" s="28">
        <v>1</v>
      </c>
      <c r="AH592" s="28" t="s">
        <v>4714</v>
      </c>
      <c r="AI592" s="28" t="s">
        <v>3372</v>
      </c>
      <c r="AJ592" s="516" t="str">
        <f>MID('II kw.22'!W592,8,6)</f>
        <v>142004</v>
      </c>
      <c r="AK592" s="516">
        <v>1</v>
      </c>
      <c r="AL592" s="516">
        <f t="shared" si="9"/>
        <v>1</v>
      </c>
      <c r="AM592" s="516">
        <v>1</v>
      </c>
      <c r="AN592" s="28">
        <v>1718</v>
      </c>
      <c r="AO592" s="28" t="s">
        <v>17651</v>
      </c>
      <c r="AP592" s="28" t="s">
        <v>17652</v>
      </c>
      <c r="AQ592" s="28" t="s">
        <v>17653</v>
      </c>
      <c r="AR592" s="28" t="s">
        <v>1024</v>
      </c>
    </row>
    <row r="593" spans="1:44" x14ac:dyDescent="0.25">
      <c r="A593" s="28" t="s">
        <v>5393</v>
      </c>
      <c r="B593" s="28" t="s">
        <v>5509</v>
      </c>
      <c r="C593" s="28" t="s">
        <v>111</v>
      </c>
      <c r="D593" s="28" t="s">
        <v>17800</v>
      </c>
      <c r="E593" s="28" t="s">
        <v>192</v>
      </c>
      <c r="F593" s="28">
        <v>1</v>
      </c>
      <c r="G593" s="28" t="s">
        <v>193</v>
      </c>
      <c r="H593" s="28" t="s">
        <v>194</v>
      </c>
      <c r="I593" s="28" t="s">
        <v>17806</v>
      </c>
      <c r="J593" s="28" t="s">
        <v>210</v>
      </c>
      <c r="K593" s="28">
        <v>18</v>
      </c>
      <c r="L593" s="28" t="s">
        <v>6955</v>
      </c>
      <c r="N593" s="28" t="s">
        <v>19967</v>
      </c>
      <c r="O593" s="28" t="s">
        <v>6254</v>
      </c>
      <c r="P593" s="28" t="s">
        <v>19926</v>
      </c>
      <c r="Q593" s="28" t="s">
        <v>19927</v>
      </c>
      <c r="R593" s="28" t="s">
        <v>19928</v>
      </c>
      <c r="S593" s="28">
        <v>2567372</v>
      </c>
      <c r="T593" s="28">
        <v>37362174</v>
      </c>
      <c r="V593" s="28">
        <v>1863</v>
      </c>
      <c r="W593" s="28" t="s">
        <v>612</v>
      </c>
      <c r="X593" s="28" t="s">
        <v>194</v>
      </c>
      <c r="Y593" s="28">
        <v>1</v>
      </c>
      <c r="AH593" s="28" t="s">
        <v>4714</v>
      </c>
      <c r="AI593" s="28" t="s">
        <v>5509</v>
      </c>
      <c r="AJ593" s="516" t="str">
        <f>MID('II kw.22'!W593,8,6)</f>
        <v>332101</v>
      </c>
      <c r="AK593" s="516">
        <v>1</v>
      </c>
      <c r="AL593" s="516">
        <f t="shared" si="9"/>
        <v>1</v>
      </c>
      <c r="AM593" s="516">
        <v>1</v>
      </c>
      <c r="AN593" s="28">
        <v>1718</v>
      </c>
      <c r="AO593" s="28" t="s">
        <v>17651</v>
      </c>
      <c r="AP593" s="28" t="s">
        <v>17652</v>
      </c>
      <c r="AQ593" s="28" t="s">
        <v>17653</v>
      </c>
      <c r="AR593" s="28" t="s">
        <v>1024</v>
      </c>
    </row>
    <row r="594" spans="1:44" x14ac:dyDescent="0.25">
      <c r="A594" s="28" t="s">
        <v>16923</v>
      </c>
      <c r="B594" s="28" t="s">
        <v>16752</v>
      </c>
      <c r="C594" s="28" t="s">
        <v>61</v>
      </c>
      <c r="D594" s="28" t="s">
        <v>17800</v>
      </c>
      <c r="E594" s="28" t="s">
        <v>192</v>
      </c>
      <c r="F594" s="28">
        <v>1</v>
      </c>
      <c r="G594" s="28" t="s">
        <v>193</v>
      </c>
      <c r="H594" s="28" t="s">
        <v>194</v>
      </c>
      <c r="I594" s="28" t="s">
        <v>17806</v>
      </c>
      <c r="J594" s="28" t="s">
        <v>210</v>
      </c>
      <c r="K594" s="28">
        <v>18</v>
      </c>
      <c r="L594" s="28" t="s">
        <v>6955</v>
      </c>
      <c r="N594" s="28" t="s">
        <v>19968</v>
      </c>
      <c r="O594" s="28" t="s">
        <v>6261</v>
      </c>
      <c r="P594" s="28" t="s">
        <v>19926</v>
      </c>
      <c r="Q594" s="28" t="s">
        <v>19927</v>
      </c>
      <c r="R594" s="28" t="s">
        <v>19928</v>
      </c>
      <c r="S594" s="28">
        <v>2567422</v>
      </c>
      <c r="T594" s="28">
        <v>37362226</v>
      </c>
      <c r="V594" s="28">
        <v>1863</v>
      </c>
      <c r="W594" s="28" t="s">
        <v>2282</v>
      </c>
      <c r="X594" s="28" t="s">
        <v>194</v>
      </c>
      <c r="Y594" s="28">
        <v>1</v>
      </c>
      <c r="AH594" s="28" t="s">
        <v>4714</v>
      </c>
      <c r="AI594" s="28" t="s">
        <v>16752</v>
      </c>
      <c r="AJ594" s="516" t="str">
        <f>MID('II kw.22'!W594,8,6)</f>
        <v>251103</v>
      </c>
      <c r="AK594" s="516">
        <v>1</v>
      </c>
      <c r="AL594" s="516">
        <f t="shared" si="9"/>
        <v>1</v>
      </c>
      <c r="AM594" s="516">
        <v>1</v>
      </c>
      <c r="AN594" s="28">
        <v>1718</v>
      </c>
      <c r="AO594" s="28" t="s">
        <v>17651</v>
      </c>
      <c r="AP594" s="28" t="s">
        <v>17652</v>
      </c>
      <c r="AQ594" s="28" t="s">
        <v>17653</v>
      </c>
      <c r="AR594" s="28" t="s">
        <v>1024</v>
      </c>
    </row>
    <row r="595" spans="1:44" x14ac:dyDescent="0.25">
      <c r="A595" s="28" t="s">
        <v>16923</v>
      </c>
      <c r="B595" s="28" t="s">
        <v>15734</v>
      </c>
      <c r="C595" s="28" t="s">
        <v>3427</v>
      </c>
      <c r="D595" s="28" t="s">
        <v>17800</v>
      </c>
      <c r="E595" s="28" t="s">
        <v>192</v>
      </c>
      <c r="F595" s="28">
        <v>1</v>
      </c>
      <c r="G595" s="28" t="s">
        <v>193</v>
      </c>
      <c r="H595" s="28" t="s">
        <v>194</v>
      </c>
      <c r="I595" s="28" t="s">
        <v>17806</v>
      </c>
      <c r="J595" s="28" t="s">
        <v>210</v>
      </c>
      <c r="K595" s="28">
        <v>18</v>
      </c>
      <c r="L595" s="28" t="s">
        <v>6955</v>
      </c>
      <c r="N595" s="28" t="s">
        <v>19969</v>
      </c>
      <c r="O595" s="28" t="s">
        <v>6921</v>
      </c>
      <c r="P595" s="28" t="s">
        <v>19926</v>
      </c>
      <c r="Q595" s="28" t="s">
        <v>19927</v>
      </c>
      <c r="R595" s="28" t="s">
        <v>19928</v>
      </c>
      <c r="S595" s="28">
        <v>2567438</v>
      </c>
      <c r="T595" s="28">
        <v>37362242</v>
      </c>
      <c r="V595" s="28">
        <v>1863</v>
      </c>
      <c r="W595" s="28" t="s">
        <v>3428</v>
      </c>
      <c r="X595" s="28" t="s">
        <v>194</v>
      </c>
      <c r="Y595" s="28">
        <v>1</v>
      </c>
      <c r="AH595" s="28" t="s">
        <v>4714</v>
      </c>
      <c r="AI595" s="28" t="s">
        <v>15734</v>
      </c>
      <c r="AJ595" s="516" t="str">
        <f>MID('II kw.22'!W595,8,6)</f>
        <v>251202</v>
      </c>
      <c r="AK595" s="516">
        <v>1</v>
      </c>
      <c r="AL595" s="516">
        <f t="shared" si="9"/>
        <v>1</v>
      </c>
      <c r="AM595" s="516">
        <v>1</v>
      </c>
      <c r="AN595" s="28">
        <v>1718</v>
      </c>
      <c r="AO595" s="28" t="s">
        <v>17651</v>
      </c>
      <c r="AP595" s="28" t="s">
        <v>17652</v>
      </c>
      <c r="AQ595" s="28" t="s">
        <v>17653</v>
      </c>
      <c r="AR595" s="28" t="s">
        <v>1024</v>
      </c>
    </row>
    <row r="596" spans="1:44" x14ac:dyDescent="0.25">
      <c r="A596" s="28" t="s">
        <v>19939</v>
      </c>
      <c r="B596" s="28" t="s">
        <v>19970</v>
      </c>
      <c r="C596" s="28" t="s">
        <v>12</v>
      </c>
      <c r="D596" s="28" t="s">
        <v>17800</v>
      </c>
      <c r="E596" s="28" t="s">
        <v>192</v>
      </c>
      <c r="F596" s="28">
        <v>1</v>
      </c>
      <c r="G596" s="28" t="s">
        <v>193</v>
      </c>
      <c r="H596" s="28" t="s">
        <v>194</v>
      </c>
      <c r="I596" s="28" t="s">
        <v>17806</v>
      </c>
      <c r="J596" s="28" t="s">
        <v>202</v>
      </c>
      <c r="K596" s="28">
        <v>18</v>
      </c>
      <c r="L596" s="28" t="s">
        <v>6955</v>
      </c>
      <c r="N596" s="28" t="s">
        <v>19971</v>
      </c>
      <c r="O596" s="28" t="s">
        <v>6324</v>
      </c>
      <c r="P596" s="28" t="s">
        <v>19926</v>
      </c>
      <c r="Q596" s="28" t="s">
        <v>19927</v>
      </c>
      <c r="R596" s="28" t="s">
        <v>19928</v>
      </c>
      <c r="S596" s="28">
        <v>2567454</v>
      </c>
      <c r="T596" s="28">
        <v>37362258</v>
      </c>
      <c r="V596" s="28">
        <v>1807</v>
      </c>
      <c r="W596" s="28" t="s">
        <v>220</v>
      </c>
      <c r="X596" s="28" t="s">
        <v>194</v>
      </c>
      <c r="Y596" s="28">
        <v>1</v>
      </c>
      <c r="AH596" s="28" t="s">
        <v>4714</v>
      </c>
      <c r="AI596" s="138" t="s">
        <v>19970</v>
      </c>
      <c r="AJ596" s="516" t="str">
        <f>MID('II kw.22'!W596,8,6)</f>
        <v>132301</v>
      </c>
      <c r="AK596" s="516">
        <v>1</v>
      </c>
      <c r="AL596" s="516">
        <f t="shared" si="9"/>
        <v>1</v>
      </c>
      <c r="AM596" s="516">
        <v>1</v>
      </c>
      <c r="AN596" s="28">
        <v>1718</v>
      </c>
      <c r="AO596" s="28" t="s">
        <v>17651</v>
      </c>
      <c r="AP596" s="28" t="s">
        <v>17652</v>
      </c>
      <c r="AQ596" s="28" t="s">
        <v>17653</v>
      </c>
      <c r="AR596" s="28" t="s">
        <v>1024</v>
      </c>
    </row>
    <row r="597" spans="1:44" x14ac:dyDescent="0.25">
      <c r="A597" s="28" t="s">
        <v>19939</v>
      </c>
      <c r="B597" s="28" t="s">
        <v>19972</v>
      </c>
      <c r="C597" s="28" t="s">
        <v>21</v>
      </c>
      <c r="D597" s="28" t="s">
        <v>17800</v>
      </c>
      <c r="E597" s="28" t="s">
        <v>192</v>
      </c>
      <c r="F597" s="28">
        <v>1</v>
      </c>
      <c r="G597" s="28" t="s">
        <v>193</v>
      </c>
      <c r="H597" s="28" t="s">
        <v>194</v>
      </c>
      <c r="I597" s="28" t="s">
        <v>17806</v>
      </c>
      <c r="J597" s="28" t="s">
        <v>202</v>
      </c>
      <c r="K597" s="28">
        <v>18</v>
      </c>
      <c r="L597" s="28" t="s">
        <v>6955</v>
      </c>
      <c r="N597" s="28" t="s">
        <v>19973</v>
      </c>
      <c r="O597" s="28" t="s">
        <v>6245</v>
      </c>
      <c r="P597" s="28" t="s">
        <v>19926</v>
      </c>
      <c r="Q597" s="28" t="s">
        <v>19927</v>
      </c>
      <c r="R597" s="28" t="s">
        <v>19928</v>
      </c>
      <c r="S597" s="28">
        <v>2567459</v>
      </c>
      <c r="T597" s="28">
        <v>37362264</v>
      </c>
      <c r="V597" s="28">
        <v>1807</v>
      </c>
      <c r="W597" s="28" t="s">
        <v>293</v>
      </c>
      <c r="X597" s="28" t="s">
        <v>194</v>
      </c>
      <c r="Y597" s="28">
        <v>1</v>
      </c>
      <c r="AH597" s="28" t="s">
        <v>4714</v>
      </c>
      <c r="AI597" s="28" t="s">
        <v>19972</v>
      </c>
      <c r="AJ597" s="516" t="str">
        <f>MID('II kw.22'!W597,8,6)</f>
        <v>214202</v>
      </c>
      <c r="AK597" s="516">
        <v>1</v>
      </c>
      <c r="AL597" s="516">
        <f t="shared" si="9"/>
        <v>1</v>
      </c>
      <c r="AM597" s="516">
        <v>1</v>
      </c>
      <c r="AN597" s="28">
        <v>1718</v>
      </c>
      <c r="AO597" s="28" t="s">
        <v>17651</v>
      </c>
      <c r="AP597" s="28" t="s">
        <v>17652</v>
      </c>
      <c r="AQ597" s="28" t="s">
        <v>17653</v>
      </c>
      <c r="AR597" s="28" t="s">
        <v>1024</v>
      </c>
    </row>
    <row r="598" spans="1:44" x14ac:dyDescent="0.25">
      <c r="A598" s="28" t="s">
        <v>19939</v>
      </c>
      <c r="B598" s="28" t="s">
        <v>1760</v>
      </c>
      <c r="C598" s="28" t="s">
        <v>133</v>
      </c>
      <c r="D598" s="28" t="s">
        <v>17800</v>
      </c>
      <c r="E598" s="28" t="s">
        <v>192</v>
      </c>
      <c r="F598" s="28">
        <v>1</v>
      </c>
      <c r="G598" s="28" t="s">
        <v>193</v>
      </c>
      <c r="H598" s="28" t="s">
        <v>194</v>
      </c>
      <c r="I598" s="28" t="s">
        <v>17806</v>
      </c>
      <c r="J598" s="28" t="s">
        <v>202</v>
      </c>
      <c r="K598" s="28">
        <v>18</v>
      </c>
      <c r="L598" s="28" t="s">
        <v>6955</v>
      </c>
      <c r="N598" s="28" t="s">
        <v>19974</v>
      </c>
      <c r="O598" s="28" t="s">
        <v>7489</v>
      </c>
      <c r="P598" s="28" t="s">
        <v>19926</v>
      </c>
      <c r="Q598" s="28" t="s">
        <v>19927</v>
      </c>
      <c r="R598" s="28" t="s">
        <v>19928</v>
      </c>
      <c r="S598" s="28">
        <v>2567461</v>
      </c>
      <c r="T598" s="28">
        <v>37362266</v>
      </c>
      <c r="V598" s="28">
        <v>1807</v>
      </c>
      <c r="W598" s="28" t="s">
        <v>673</v>
      </c>
      <c r="X598" s="28" t="s">
        <v>194</v>
      </c>
      <c r="Y598" s="28">
        <v>1</v>
      </c>
      <c r="AH598" s="28" t="s">
        <v>4714</v>
      </c>
      <c r="AI598" s="28" t="s">
        <v>1760</v>
      </c>
      <c r="AJ598" s="516" t="str">
        <f>MID('II kw.22'!W598,8,6)</f>
        <v>333107</v>
      </c>
      <c r="AK598" s="516">
        <v>1</v>
      </c>
      <c r="AL598" s="516">
        <f t="shared" si="9"/>
        <v>1</v>
      </c>
      <c r="AM598" s="516">
        <v>1</v>
      </c>
      <c r="AN598" s="28">
        <v>1718</v>
      </c>
      <c r="AO598" s="28" t="s">
        <v>17651</v>
      </c>
      <c r="AP598" s="28" t="s">
        <v>17652</v>
      </c>
      <c r="AQ598" s="28" t="s">
        <v>17653</v>
      </c>
      <c r="AR598" s="28" t="s">
        <v>1024</v>
      </c>
    </row>
    <row r="599" spans="1:44" x14ac:dyDescent="0.25">
      <c r="A599" s="28" t="s">
        <v>19939</v>
      </c>
      <c r="B599" s="28" t="s">
        <v>19975</v>
      </c>
      <c r="C599" s="28" t="s">
        <v>341</v>
      </c>
      <c r="D599" s="28" t="s">
        <v>17800</v>
      </c>
      <c r="E599" s="28" t="s">
        <v>192</v>
      </c>
      <c r="F599" s="28">
        <v>1</v>
      </c>
      <c r="G599" s="28" t="s">
        <v>193</v>
      </c>
      <c r="H599" s="28" t="s">
        <v>194</v>
      </c>
      <c r="I599" s="28" t="s">
        <v>17806</v>
      </c>
      <c r="J599" s="28" t="s">
        <v>202</v>
      </c>
      <c r="K599" s="28">
        <v>18</v>
      </c>
      <c r="L599" s="28" t="s">
        <v>6955</v>
      </c>
      <c r="N599" s="28" t="s">
        <v>19976</v>
      </c>
      <c r="O599" s="28" t="s">
        <v>6374</v>
      </c>
      <c r="P599" s="28" t="s">
        <v>19926</v>
      </c>
      <c r="Q599" s="28" t="s">
        <v>19927</v>
      </c>
      <c r="R599" s="28" t="s">
        <v>19928</v>
      </c>
      <c r="S599" s="28">
        <v>2567464</v>
      </c>
      <c r="T599" s="28">
        <v>37362269</v>
      </c>
      <c r="V599" s="28">
        <v>1807</v>
      </c>
      <c r="W599" s="28" t="s">
        <v>342</v>
      </c>
      <c r="X599" s="28" t="s">
        <v>194</v>
      </c>
      <c r="Y599" s="28">
        <v>1</v>
      </c>
      <c r="AH599" s="28" t="s">
        <v>4714</v>
      </c>
      <c r="AI599" s="28" t="s">
        <v>19975</v>
      </c>
      <c r="AJ599" s="516" t="str">
        <f>MID('II kw.22'!W599,8,6)</f>
        <v>214906</v>
      </c>
      <c r="AK599" s="516">
        <v>1</v>
      </c>
      <c r="AL599" s="516">
        <f t="shared" si="9"/>
        <v>1</v>
      </c>
      <c r="AM599" s="516">
        <v>1</v>
      </c>
      <c r="AN599" s="28">
        <v>1718</v>
      </c>
      <c r="AO599" s="28" t="s">
        <v>17651</v>
      </c>
      <c r="AP599" s="28" t="s">
        <v>17652</v>
      </c>
      <c r="AQ599" s="28" t="s">
        <v>17653</v>
      </c>
      <c r="AR599" s="28" t="s">
        <v>1024</v>
      </c>
    </row>
    <row r="600" spans="1:44" x14ac:dyDescent="0.25">
      <c r="A600" s="28" t="s">
        <v>19939</v>
      </c>
      <c r="B600" s="28" t="s">
        <v>19977</v>
      </c>
      <c r="C600" s="28" t="s">
        <v>341</v>
      </c>
      <c r="D600" s="28" t="s">
        <v>17800</v>
      </c>
      <c r="E600" s="28" t="s">
        <v>192</v>
      </c>
      <c r="F600" s="28">
        <v>1</v>
      </c>
      <c r="G600" s="28" t="s">
        <v>193</v>
      </c>
      <c r="H600" s="28" t="s">
        <v>194</v>
      </c>
      <c r="I600" s="28" t="s">
        <v>17806</v>
      </c>
      <c r="J600" s="28" t="s">
        <v>202</v>
      </c>
      <c r="K600" s="28">
        <v>18</v>
      </c>
      <c r="L600" s="28" t="s">
        <v>6955</v>
      </c>
      <c r="N600" s="28" t="s">
        <v>19978</v>
      </c>
      <c r="O600" s="28" t="s">
        <v>6245</v>
      </c>
      <c r="P600" s="28" t="s">
        <v>19926</v>
      </c>
      <c r="Q600" s="28" t="s">
        <v>19927</v>
      </c>
      <c r="R600" s="28" t="s">
        <v>19928</v>
      </c>
      <c r="S600" s="28">
        <v>2567465</v>
      </c>
      <c r="T600" s="28">
        <v>37362270</v>
      </c>
      <c r="V600" s="28">
        <v>1807</v>
      </c>
      <c r="W600" s="28" t="s">
        <v>342</v>
      </c>
      <c r="X600" s="28" t="s">
        <v>194</v>
      </c>
      <c r="Y600" s="28">
        <v>1</v>
      </c>
      <c r="AH600" s="28" t="s">
        <v>4714</v>
      </c>
      <c r="AI600" s="28" t="s">
        <v>19977</v>
      </c>
      <c r="AJ600" s="516" t="str">
        <f>MID('II kw.22'!W600,8,6)</f>
        <v>214906</v>
      </c>
      <c r="AK600" s="516">
        <v>1</v>
      </c>
      <c r="AL600" s="516">
        <f t="shared" si="9"/>
        <v>1</v>
      </c>
      <c r="AM600" s="516">
        <v>1</v>
      </c>
      <c r="AN600" s="28">
        <v>1718</v>
      </c>
      <c r="AO600" s="28" t="s">
        <v>17651</v>
      </c>
      <c r="AP600" s="28" t="s">
        <v>17652</v>
      </c>
      <c r="AQ600" s="28" t="s">
        <v>17653</v>
      </c>
      <c r="AR600" s="28" t="s">
        <v>1024</v>
      </c>
    </row>
    <row r="601" spans="1:44" x14ac:dyDescent="0.25">
      <c r="A601" s="28" t="s">
        <v>19939</v>
      </c>
      <c r="B601" s="28" t="s">
        <v>6194</v>
      </c>
      <c r="C601" s="28" t="s">
        <v>12</v>
      </c>
      <c r="D601" s="28" t="s">
        <v>17800</v>
      </c>
      <c r="E601" s="28" t="s">
        <v>192</v>
      </c>
      <c r="F601" s="28">
        <v>1</v>
      </c>
      <c r="G601" s="28" t="s">
        <v>193</v>
      </c>
      <c r="H601" s="28" t="s">
        <v>194</v>
      </c>
      <c r="I601" s="28" t="s">
        <v>17806</v>
      </c>
      <c r="J601" s="28" t="s">
        <v>202</v>
      </c>
      <c r="K601" s="28">
        <v>18</v>
      </c>
      <c r="L601" s="28" t="s">
        <v>6955</v>
      </c>
      <c r="N601" s="28" t="s">
        <v>19979</v>
      </c>
      <c r="O601" s="28" t="s">
        <v>6245</v>
      </c>
      <c r="P601" s="28" t="s">
        <v>19926</v>
      </c>
      <c r="Q601" s="28" t="s">
        <v>19927</v>
      </c>
      <c r="R601" s="28" t="s">
        <v>19928</v>
      </c>
      <c r="S601" s="28">
        <v>2567471</v>
      </c>
      <c r="T601" s="28">
        <v>37362276</v>
      </c>
      <c r="V601" s="28">
        <v>1807</v>
      </c>
      <c r="W601" s="28" t="s">
        <v>220</v>
      </c>
      <c r="X601" s="28" t="s">
        <v>194</v>
      </c>
      <c r="Y601" s="28">
        <v>1</v>
      </c>
      <c r="AH601" s="28" t="s">
        <v>4714</v>
      </c>
      <c r="AI601" s="138" t="s">
        <v>6194</v>
      </c>
      <c r="AJ601" s="516" t="str">
        <f>MID('II kw.22'!W601,8,6)</f>
        <v>132301</v>
      </c>
      <c r="AK601" s="516">
        <v>1</v>
      </c>
      <c r="AL601" s="516">
        <f t="shared" si="9"/>
        <v>1</v>
      </c>
      <c r="AM601" s="516">
        <v>1</v>
      </c>
      <c r="AN601" s="28">
        <v>1718</v>
      </c>
      <c r="AO601" s="28" t="s">
        <v>17651</v>
      </c>
      <c r="AP601" s="28" t="s">
        <v>17652</v>
      </c>
      <c r="AQ601" s="28" t="s">
        <v>17653</v>
      </c>
      <c r="AR601" s="28" t="s">
        <v>1024</v>
      </c>
    </row>
    <row r="602" spans="1:44" x14ac:dyDescent="0.25">
      <c r="A602" s="28" t="s">
        <v>19939</v>
      </c>
      <c r="B602" s="28" t="s">
        <v>19980</v>
      </c>
      <c r="C602" s="28" t="s">
        <v>7985</v>
      </c>
      <c r="D602" s="28" t="s">
        <v>17800</v>
      </c>
      <c r="E602" s="28" t="s">
        <v>192</v>
      </c>
      <c r="F602" s="28">
        <v>1</v>
      </c>
      <c r="G602" s="28" t="s">
        <v>193</v>
      </c>
      <c r="H602" s="28" t="s">
        <v>194</v>
      </c>
      <c r="I602" s="28" t="s">
        <v>19941</v>
      </c>
      <c r="J602" s="28" t="s">
        <v>202</v>
      </c>
      <c r="K602" s="28">
        <v>18</v>
      </c>
      <c r="L602" s="28" t="s">
        <v>6955</v>
      </c>
      <c r="N602" s="28" t="s">
        <v>19981</v>
      </c>
      <c r="O602" s="28" t="s">
        <v>6324</v>
      </c>
      <c r="P602" s="28" t="s">
        <v>19926</v>
      </c>
      <c r="Q602" s="28" t="s">
        <v>19927</v>
      </c>
      <c r="R602" s="28" t="s">
        <v>19928</v>
      </c>
      <c r="S602" s="28">
        <v>2567473</v>
      </c>
      <c r="T602" s="28">
        <v>37362278</v>
      </c>
      <c r="V602" s="28">
        <v>1807</v>
      </c>
      <c r="W602" s="28" t="s">
        <v>1118</v>
      </c>
      <c r="X602" s="28" t="s">
        <v>194</v>
      </c>
      <c r="Y602" s="28">
        <v>1</v>
      </c>
      <c r="AH602" s="28" t="s">
        <v>4714</v>
      </c>
      <c r="AI602" s="28" t="s">
        <v>19980</v>
      </c>
      <c r="AJ602" s="516" t="str">
        <f>MID('II kw.22'!W602,8,6)</f>
        <v>214205</v>
      </c>
      <c r="AK602" s="516">
        <v>1</v>
      </c>
      <c r="AL602" s="516">
        <f t="shared" si="9"/>
        <v>1</v>
      </c>
      <c r="AM602" s="516">
        <v>1</v>
      </c>
      <c r="AN602" s="28">
        <v>1718</v>
      </c>
      <c r="AO602" s="28" t="s">
        <v>17651</v>
      </c>
      <c r="AP602" s="28" t="s">
        <v>17652</v>
      </c>
      <c r="AQ602" s="28" t="s">
        <v>17653</v>
      </c>
      <c r="AR602" s="28" t="s">
        <v>1024</v>
      </c>
    </row>
    <row r="603" spans="1:44" x14ac:dyDescent="0.25">
      <c r="A603" s="28" t="s">
        <v>19982</v>
      </c>
      <c r="B603" s="28" t="s">
        <v>19983</v>
      </c>
      <c r="C603" s="28" t="s">
        <v>4072</v>
      </c>
      <c r="D603" s="28" t="s">
        <v>17800</v>
      </c>
      <c r="E603" s="28" t="s">
        <v>192</v>
      </c>
      <c r="F603" s="28">
        <v>1</v>
      </c>
      <c r="G603" s="28" t="s">
        <v>193</v>
      </c>
      <c r="H603" s="28" t="s">
        <v>194</v>
      </c>
      <c r="I603" s="28" t="s">
        <v>17806</v>
      </c>
      <c r="J603" s="28" t="s">
        <v>1977</v>
      </c>
      <c r="K603" s="28">
        <v>18</v>
      </c>
      <c r="L603" s="28" t="s">
        <v>6955</v>
      </c>
      <c r="N603" s="28" t="s">
        <v>19984</v>
      </c>
      <c r="O603" s="28" t="s">
        <v>6921</v>
      </c>
      <c r="P603" s="28" t="s">
        <v>19926</v>
      </c>
      <c r="Q603" s="28" t="s">
        <v>19927</v>
      </c>
      <c r="R603" s="28" t="s">
        <v>19928</v>
      </c>
      <c r="S603" s="28">
        <v>2567486</v>
      </c>
      <c r="T603" s="28">
        <v>37362291</v>
      </c>
      <c r="V603" s="28">
        <v>1808</v>
      </c>
      <c r="W603" s="28" t="s">
        <v>4073</v>
      </c>
      <c r="X603" s="28" t="s">
        <v>194</v>
      </c>
      <c r="Y603" s="28">
        <v>1</v>
      </c>
      <c r="AH603" s="28" t="s">
        <v>4714</v>
      </c>
      <c r="AI603" s="28" t="s">
        <v>19983</v>
      </c>
      <c r="AJ603" s="516" t="str">
        <f>MID('II kw.22'!W603,8,6)</f>
        <v>311603</v>
      </c>
      <c r="AK603" s="516">
        <v>1</v>
      </c>
      <c r="AL603" s="516">
        <f t="shared" si="9"/>
        <v>1</v>
      </c>
      <c r="AM603" s="516">
        <v>1</v>
      </c>
      <c r="AN603" s="28">
        <v>1718</v>
      </c>
      <c r="AO603" s="28" t="s">
        <v>17651</v>
      </c>
      <c r="AP603" s="28" t="s">
        <v>17652</v>
      </c>
      <c r="AQ603" s="28" t="s">
        <v>17653</v>
      </c>
      <c r="AR603" s="28" t="s">
        <v>1024</v>
      </c>
    </row>
    <row r="604" spans="1:44" x14ac:dyDescent="0.25">
      <c r="A604" s="28" t="s">
        <v>382</v>
      </c>
      <c r="B604" s="28" t="s">
        <v>537</v>
      </c>
      <c r="C604" s="28" t="s">
        <v>778</v>
      </c>
      <c r="D604" s="28" t="s">
        <v>17800</v>
      </c>
      <c r="E604" s="28" t="s">
        <v>233</v>
      </c>
      <c r="F604" s="28">
        <v>1</v>
      </c>
      <c r="G604" s="28" t="s">
        <v>193</v>
      </c>
      <c r="H604" s="28" t="s">
        <v>194</v>
      </c>
      <c r="I604" s="28" t="s">
        <v>17806</v>
      </c>
      <c r="J604" s="28" t="s">
        <v>385</v>
      </c>
      <c r="K604" s="28">
        <v>18</v>
      </c>
      <c r="L604" s="28" t="s">
        <v>6955</v>
      </c>
      <c r="N604" s="28" t="s">
        <v>19985</v>
      </c>
      <c r="O604" s="28" t="s">
        <v>6249</v>
      </c>
      <c r="P604" s="28" t="s">
        <v>19986</v>
      </c>
      <c r="Q604" s="28" t="s">
        <v>17784</v>
      </c>
      <c r="R604" s="28" t="s">
        <v>18319</v>
      </c>
      <c r="S604" s="28">
        <v>2567498</v>
      </c>
      <c r="T604" s="28">
        <v>38060263</v>
      </c>
      <c r="V604" s="28">
        <v>1861</v>
      </c>
      <c r="W604" s="28" t="s">
        <v>779</v>
      </c>
      <c r="X604" s="28" t="s">
        <v>194</v>
      </c>
      <c r="Y604" s="28">
        <v>1</v>
      </c>
      <c r="AH604" s="28" t="s">
        <v>4714</v>
      </c>
      <c r="AI604" s="28" t="s">
        <v>778</v>
      </c>
      <c r="AJ604" s="516" t="str">
        <f>MID('II kw.22'!W604,8,6)</f>
        <v>524902</v>
      </c>
      <c r="AK604" s="516">
        <v>1</v>
      </c>
      <c r="AL604" s="516">
        <f t="shared" si="9"/>
        <v>1</v>
      </c>
      <c r="AM604" s="516">
        <v>1</v>
      </c>
      <c r="AN604" s="28">
        <v>1718</v>
      </c>
      <c r="AO604" s="28" t="s">
        <v>17651</v>
      </c>
      <c r="AP604" s="28" t="s">
        <v>17652</v>
      </c>
      <c r="AQ604" s="28" t="s">
        <v>17653</v>
      </c>
      <c r="AR604" s="28" t="s">
        <v>1024</v>
      </c>
    </row>
    <row r="605" spans="1:44" x14ac:dyDescent="0.25">
      <c r="A605" s="28" t="s">
        <v>5372</v>
      </c>
      <c r="B605" s="28" t="s">
        <v>1488</v>
      </c>
      <c r="C605" s="28" t="s">
        <v>12</v>
      </c>
      <c r="D605" s="28" t="s">
        <v>17800</v>
      </c>
      <c r="E605" s="28" t="s">
        <v>233</v>
      </c>
      <c r="F605" s="28">
        <v>1</v>
      </c>
      <c r="G605" s="28" t="s">
        <v>193</v>
      </c>
      <c r="H605" s="28" t="s">
        <v>194</v>
      </c>
      <c r="I605" s="28" t="s">
        <v>17806</v>
      </c>
      <c r="J605" s="28" t="s">
        <v>210</v>
      </c>
      <c r="K605" s="28">
        <v>18</v>
      </c>
      <c r="L605" s="28" t="s">
        <v>6955</v>
      </c>
      <c r="N605" s="28" t="s">
        <v>19987</v>
      </c>
      <c r="O605" s="28" t="s">
        <v>6256</v>
      </c>
      <c r="P605" s="28" t="s">
        <v>19986</v>
      </c>
      <c r="Q605" s="28" t="s">
        <v>17784</v>
      </c>
      <c r="R605" s="28" t="s">
        <v>18319</v>
      </c>
      <c r="S605" s="28">
        <v>2567509</v>
      </c>
      <c r="T605" s="28">
        <v>38060435</v>
      </c>
      <c r="V605" s="28">
        <v>1863</v>
      </c>
      <c r="W605" s="28" t="s">
        <v>220</v>
      </c>
      <c r="X605" s="28" t="s">
        <v>194</v>
      </c>
      <c r="Y605" s="28">
        <v>1</v>
      </c>
      <c r="AH605" s="28" t="s">
        <v>4714</v>
      </c>
      <c r="AI605" s="138" t="s">
        <v>12</v>
      </c>
      <c r="AJ605" s="516" t="str">
        <f>MID('II kw.22'!W605,8,6)</f>
        <v>132301</v>
      </c>
      <c r="AK605" s="516">
        <v>1</v>
      </c>
      <c r="AL605" s="516">
        <f t="shared" si="9"/>
        <v>1</v>
      </c>
      <c r="AM605" s="516">
        <v>1</v>
      </c>
      <c r="AN605" s="28">
        <v>1718</v>
      </c>
      <c r="AO605" s="28" t="s">
        <v>17651</v>
      </c>
      <c r="AP605" s="28" t="s">
        <v>17652</v>
      </c>
      <c r="AQ605" s="28" t="s">
        <v>17653</v>
      </c>
      <c r="AR605" s="28" t="s">
        <v>1024</v>
      </c>
    </row>
    <row r="606" spans="1:44" x14ac:dyDescent="0.25">
      <c r="A606" s="28" t="s">
        <v>690</v>
      </c>
      <c r="B606" s="28" t="s">
        <v>19988</v>
      </c>
      <c r="C606" s="28" t="s">
        <v>95</v>
      </c>
      <c r="D606" s="28" t="s">
        <v>17800</v>
      </c>
      <c r="E606" s="28" t="s">
        <v>233</v>
      </c>
      <c r="F606" s="28">
        <v>1</v>
      </c>
      <c r="G606" s="28" t="s">
        <v>193</v>
      </c>
      <c r="H606" s="28" t="s">
        <v>194</v>
      </c>
      <c r="I606" s="28" t="s">
        <v>17806</v>
      </c>
      <c r="J606" s="28" t="s">
        <v>9302</v>
      </c>
      <c r="K606" s="28">
        <v>18</v>
      </c>
      <c r="L606" s="28" t="s">
        <v>6955</v>
      </c>
      <c r="N606" s="28" t="s">
        <v>19989</v>
      </c>
      <c r="O606" s="28" t="s">
        <v>6277</v>
      </c>
      <c r="P606" s="28" t="s">
        <v>19990</v>
      </c>
      <c r="Q606" s="28" t="s">
        <v>19175</v>
      </c>
      <c r="R606" s="28" t="s">
        <v>19991</v>
      </c>
      <c r="S606" s="28">
        <v>2567525</v>
      </c>
      <c r="T606" s="28">
        <v>38109513</v>
      </c>
      <c r="V606" s="27"/>
      <c r="W606" s="28" t="s">
        <v>1015</v>
      </c>
      <c r="X606" s="28" t="s">
        <v>193</v>
      </c>
      <c r="Y606" s="27">
        <v>25</v>
      </c>
      <c r="AH606" s="28" t="s">
        <v>4714</v>
      </c>
      <c r="AI606" s="28" t="s">
        <v>19988</v>
      </c>
      <c r="AJ606" s="516" t="str">
        <f>MID('II kw.22'!W606,8,6)</f>
        <v>122102</v>
      </c>
      <c r="AK606" s="516">
        <v>1</v>
      </c>
      <c r="AL606" s="516">
        <f t="shared" si="9"/>
        <v>1</v>
      </c>
      <c r="AM606" s="516">
        <v>1</v>
      </c>
      <c r="AN606" s="28">
        <v>1718</v>
      </c>
      <c r="AO606" s="28" t="s">
        <v>17651</v>
      </c>
      <c r="AP606" s="28" t="s">
        <v>17652</v>
      </c>
      <c r="AQ606" s="28" t="s">
        <v>17653</v>
      </c>
      <c r="AR606" s="28" t="s">
        <v>1024</v>
      </c>
    </row>
    <row r="607" spans="1:44" x14ac:dyDescent="0.25">
      <c r="A607" s="28" t="s">
        <v>690</v>
      </c>
      <c r="B607" s="28" t="s">
        <v>19992</v>
      </c>
      <c r="C607" s="28" t="s">
        <v>3367</v>
      </c>
      <c r="D607" s="28" t="s">
        <v>17800</v>
      </c>
      <c r="E607" s="28" t="s">
        <v>233</v>
      </c>
      <c r="F607" s="28">
        <v>1</v>
      </c>
      <c r="G607" s="28" t="s">
        <v>193</v>
      </c>
      <c r="H607" s="28" t="s">
        <v>194</v>
      </c>
      <c r="I607" s="28" t="s">
        <v>19941</v>
      </c>
      <c r="J607" s="28" t="s">
        <v>9302</v>
      </c>
      <c r="K607" s="28">
        <v>18</v>
      </c>
      <c r="L607" s="28" t="s">
        <v>6955</v>
      </c>
      <c r="N607" s="28" t="s">
        <v>19993</v>
      </c>
      <c r="O607" s="28" t="s">
        <v>6921</v>
      </c>
      <c r="P607" s="28" t="s">
        <v>19990</v>
      </c>
      <c r="Q607" s="28" t="s">
        <v>19175</v>
      </c>
      <c r="R607" s="28" t="s">
        <v>19991</v>
      </c>
      <c r="S607" s="28">
        <v>2567540</v>
      </c>
      <c r="T607" s="28">
        <v>38109847</v>
      </c>
      <c r="V607" s="27"/>
      <c r="W607" s="28" t="s">
        <v>3368</v>
      </c>
      <c r="X607" s="28" t="s">
        <v>193</v>
      </c>
      <c r="Y607" s="27">
        <v>25</v>
      </c>
      <c r="AH607" s="28" t="s">
        <v>4714</v>
      </c>
      <c r="AI607" s="138" t="s">
        <v>19992</v>
      </c>
      <c r="AJ607" s="516" t="str">
        <f>MID('II kw.22'!W607,8,6)</f>
        <v>133001</v>
      </c>
      <c r="AK607" s="516">
        <v>1</v>
      </c>
      <c r="AL607" s="516">
        <f t="shared" si="9"/>
        <v>1</v>
      </c>
      <c r="AM607" s="516">
        <v>1</v>
      </c>
      <c r="AN607" s="28">
        <v>1718</v>
      </c>
      <c r="AO607" s="28" t="s">
        <v>17651</v>
      </c>
      <c r="AP607" s="28" t="s">
        <v>17652</v>
      </c>
      <c r="AQ607" s="28" t="s">
        <v>17653</v>
      </c>
      <c r="AR607" s="28" t="s">
        <v>1024</v>
      </c>
    </row>
    <row r="608" spans="1:44" x14ac:dyDescent="0.25">
      <c r="A608" s="28" t="s">
        <v>1831</v>
      </c>
      <c r="B608" s="28" t="s">
        <v>537</v>
      </c>
      <c r="C608" s="28" t="s">
        <v>778</v>
      </c>
      <c r="D608" s="28" t="s">
        <v>17800</v>
      </c>
      <c r="E608" s="28" t="s">
        <v>233</v>
      </c>
      <c r="F608" s="28">
        <v>1</v>
      </c>
      <c r="G608" s="28" t="s">
        <v>193</v>
      </c>
      <c r="H608" s="28" t="s">
        <v>194</v>
      </c>
      <c r="I608" s="28" t="s">
        <v>17806</v>
      </c>
      <c r="J608" s="28" t="s">
        <v>19994</v>
      </c>
      <c r="K608" s="28">
        <v>18</v>
      </c>
      <c r="L608" s="28" t="s">
        <v>6955</v>
      </c>
      <c r="N608" s="28" t="s">
        <v>19995</v>
      </c>
      <c r="O608" s="28" t="s">
        <v>6249</v>
      </c>
      <c r="P608" s="28" t="s">
        <v>19986</v>
      </c>
      <c r="Q608" s="28" t="s">
        <v>18819</v>
      </c>
      <c r="R608" s="28" t="s">
        <v>19996</v>
      </c>
      <c r="S608" s="28">
        <v>2567557</v>
      </c>
      <c r="T608" s="28">
        <v>38508830</v>
      </c>
      <c r="V608" s="28">
        <v>1863</v>
      </c>
      <c r="W608" s="28" t="s">
        <v>779</v>
      </c>
      <c r="X608" s="28" t="s">
        <v>194</v>
      </c>
      <c r="Y608" s="28">
        <v>1</v>
      </c>
      <c r="AH608" s="28" t="s">
        <v>4714</v>
      </c>
      <c r="AI608" s="28" t="s">
        <v>778</v>
      </c>
      <c r="AJ608" s="516" t="str">
        <f>MID('II kw.22'!W608,8,6)</f>
        <v>524902</v>
      </c>
      <c r="AK608" s="516">
        <v>1</v>
      </c>
      <c r="AL608" s="516">
        <f t="shared" si="9"/>
        <v>1</v>
      </c>
      <c r="AM608" s="516">
        <v>1</v>
      </c>
      <c r="AN608" s="28">
        <v>1718</v>
      </c>
      <c r="AO608" s="28" t="s">
        <v>17651</v>
      </c>
      <c r="AP608" s="28" t="s">
        <v>17652</v>
      </c>
      <c r="AQ608" s="28" t="s">
        <v>17653</v>
      </c>
      <c r="AR608" s="28" t="s">
        <v>1024</v>
      </c>
    </row>
    <row r="609" spans="1:44" x14ac:dyDescent="0.25">
      <c r="A609" s="28" t="s">
        <v>2118</v>
      </c>
      <c r="B609" s="28" t="s">
        <v>14955</v>
      </c>
      <c r="C609" s="28" t="s">
        <v>62</v>
      </c>
      <c r="D609" s="28" t="s">
        <v>17800</v>
      </c>
      <c r="E609" s="28" t="s">
        <v>233</v>
      </c>
      <c r="F609" s="28">
        <v>1</v>
      </c>
      <c r="G609" s="28" t="s">
        <v>193</v>
      </c>
      <c r="H609" s="28" t="s">
        <v>194</v>
      </c>
      <c r="I609" s="28" t="s">
        <v>17806</v>
      </c>
      <c r="J609" s="28" t="s">
        <v>19997</v>
      </c>
      <c r="K609" s="28">
        <v>18</v>
      </c>
      <c r="L609" s="28" t="s">
        <v>6955</v>
      </c>
      <c r="N609" s="28" t="s">
        <v>19998</v>
      </c>
      <c r="O609" s="28" t="s">
        <v>6275</v>
      </c>
      <c r="P609" s="28" t="s">
        <v>19990</v>
      </c>
      <c r="Q609" s="28" t="s">
        <v>19175</v>
      </c>
      <c r="R609" s="28" t="s">
        <v>18469</v>
      </c>
      <c r="S609" s="28">
        <v>2567575</v>
      </c>
      <c r="T609" s="28">
        <v>38629162</v>
      </c>
      <c r="V609" s="28">
        <v>1816</v>
      </c>
      <c r="W609" s="28" t="s">
        <v>601</v>
      </c>
      <c r="X609" s="28" t="s">
        <v>194</v>
      </c>
      <c r="Y609" s="28">
        <v>1</v>
      </c>
      <c r="AH609" s="28" t="s">
        <v>4714</v>
      </c>
      <c r="AI609" s="28" t="s">
        <v>14955</v>
      </c>
      <c r="AJ609" s="516" t="str">
        <f>MID('II kw.22'!W609,8,6)</f>
        <v>313904</v>
      </c>
      <c r="AK609" s="516">
        <v>1</v>
      </c>
      <c r="AL609" s="516">
        <f t="shared" si="9"/>
        <v>1</v>
      </c>
      <c r="AM609" s="516">
        <v>1</v>
      </c>
      <c r="AN609" s="28">
        <v>1718</v>
      </c>
      <c r="AO609" s="28" t="s">
        <v>17651</v>
      </c>
      <c r="AP609" s="28" t="s">
        <v>17652</v>
      </c>
      <c r="AQ609" s="28" t="s">
        <v>17653</v>
      </c>
      <c r="AR609" s="28" t="s">
        <v>1024</v>
      </c>
    </row>
    <row r="610" spans="1:44" x14ac:dyDescent="0.25">
      <c r="A610" s="28" t="s">
        <v>2118</v>
      </c>
      <c r="B610" s="28" t="s">
        <v>19999</v>
      </c>
      <c r="C610" s="28" t="s">
        <v>227</v>
      </c>
      <c r="D610" s="28" t="s">
        <v>17800</v>
      </c>
      <c r="E610" s="28" t="s">
        <v>233</v>
      </c>
      <c r="F610" s="28">
        <v>1</v>
      </c>
      <c r="G610" s="28" t="s">
        <v>193</v>
      </c>
      <c r="H610" s="28" t="s">
        <v>194</v>
      </c>
      <c r="I610" s="28" t="s">
        <v>17806</v>
      </c>
      <c r="J610" s="28" t="s">
        <v>19997</v>
      </c>
      <c r="K610" s="28">
        <v>18</v>
      </c>
      <c r="L610" s="28" t="s">
        <v>6955</v>
      </c>
      <c r="N610" s="28" t="s">
        <v>20000</v>
      </c>
      <c r="O610" s="28" t="s">
        <v>6277</v>
      </c>
      <c r="P610" s="28" t="s">
        <v>19990</v>
      </c>
      <c r="Q610" s="28" t="s">
        <v>19175</v>
      </c>
      <c r="R610" s="28" t="s">
        <v>18469</v>
      </c>
      <c r="S610" s="28">
        <v>2567576</v>
      </c>
      <c r="T610" s="28">
        <v>38629163</v>
      </c>
      <c r="V610" s="28">
        <v>1816</v>
      </c>
      <c r="W610" s="28" t="s">
        <v>229</v>
      </c>
      <c r="X610" s="28" t="s">
        <v>194</v>
      </c>
      <c r="Y610" s="28">
        <v>1</v>
      </c>
      <c r="AH610" s="28" t="s">
        <v>4714</v>
      </c>
      <c r="AI610" s="138" t="s">
        <v>19999</v>
      </c>
      <c r="AJ610" s="516" t="str">
        <f>MID('II kw.22'!W610,8,6)</f>
        <v>132401</v>
      </c>
      <c r="AK610" s="516">
        <v>1</v>
      </c>
      <c r="AL610" s="516">
        <f t="shared" si="9"/>
        <v>1</v>
      </c>
      <c r="AM610" s="516">
        <v>1</v>
      </c>
      <c r="AN610" s="28">
        <v>1718</v>
      </c>
      <c r="AO610" s="28" t="s">
        <v>17651</v>
      </c>
      <c r="AP610" s="28" t="s">
        <v>17652</v>
      </c>
      <c r="AQ610" s="28" t="s">
        <v>17653</v>
      </c>
      <c r="AR610" s="28" t="s">
        <v>1024</v>
      </c>
    </row>
    <row r="611" spans="1:44" x14ac:dyDescent="0.25">
      <c r="A611" s="28" t="s">
        <v>20001</v>
      </c>
      <c r="B611" s="28" t="s">
        <v>20002</v>
      </c>
      <c r="C611" s="28" t="s">
        <v>35</v>
      </c>
      <c r="D611" s="28" t="s">
        <v>17800</v>
      </c>
      <c r="E611" s="28" t="s">
        <v>233</v>
      </c>
      <c r="F611" s="28">
        <v>1</v>
      </c>
      <c r="G611" s="28" t="s">
        <v>193</v>
      </c>
      <c r="H611" s="28" t="s">
        <v>194</v>
      </c>
      <c r="I611" s="28" t="s">
        <v>17806</v>
      </c>
      <c r="J611" s="28" t="s">
        <v>9302</v>
      </c>
      <c r="K611" s="28">
        <v>18</v>
      </c>
      <c r="L611" s="28" t="s">
        <v>6955</v>
      </c>
      <c r="N611" s="28" t="s">
        <v>20003</v>
      </c>
      <c r="O611" s="28" t="s">
        <v>6269</v>
      </c>
      <c r="P611" s="28" t="s">
        <v>19990</v>
      </c>
      <c r="Q611" s="28" t="s">
        <v>19175</v>
      </c>
      <c r="R611" s="28" t="s">
        <v>18469</v>
      </c>
      <c r="S611" s="28">
        <v>2567635</v>
      </c>
      <c r="T611" s="28">
        <v>38629238</v>
      </c>
      <c r="V611" s="27"/>
      <c r="W611" s="28" t="s">
        <v>207</v>
      </c>
      <c r="X611" s="28" t="s">
        <v>193</v>
      </c>
      <c r="Y611" s="27">
        <v>25</v>
      </c>
      <c r="AH611" s="28" t="s">
        <v>4714</v>
      </c>
      <c r="AI611" s="28" t="s">
        <v>20002</v>
      </c>
      <c r="AJ611" s="516" t="str">
        <f>MID('II kw.22'!W611,8,6)</f>
        <v>122106</v>
      </c>
      <c r="AK611" s="516">
        <v>1</v>
      </c>
      <c r="AL611" s="516">
        <f t="shared" si="9"/>
        <v>1</v>
      </c>
      <c r="AM611" s="516">
        <v>1</v>
      </c>
      <c r="AN611" s="28">
        <v>1718</v>
      </c>
      <c r="AO611" s="28" t="s">
        <v>17651</v>
      </c>
      <c r="AP611" s="28" t="s">
        <v>17652</v>
      </c>
      <c r="AQ611" s="28" t="s">
        <v>17653</v>
      </c>
      <c r="AR611" s="28" t="s">
        <v>1024</v>
      </c>
    </row>
    <row r="612" spans="1:44" x14ac:dyDescent="0.25">
      <c r="A612" s="28" t="s">
        <v>20004</v>
      </c>
      <c r="B612" s="28" t="s">
        <v>20005</v>
      </c>
      <c r="C612" s="28" t="s">
        <v>3202</v>
      </c>
      <c r="D612" s="28" t="s">
        <v>17800</v>
      </c>
      <c r="E612" s="28" t="s">
        <v>233</v>
      </c>
      <c r="F612" s="28">
        <v>1</v>
      </c>
      <c r="G612" s="28" t="s">
        <v>193</v>
      </c>
      <c r="H612" s="28" t="s">
        <v>194</v>
      </c>
      <c r="I612" s="28" t="s">
        <v>19941</v>
      </c>
      <c r="J612" s="28" t="s">
        <v>385</v>
      </c>
      <c r="K612" s="28">
        <v>18</v>
      </c>
      <c r="L612" s="28" t="s">
        <v>6955</v>
      </c>
      <c r="N612" s="28" t="s">
        <v>20006</v>
      </c>
      <c r="O612" s="28" t="s">
        <v>6921</v>
      </c>
      <c r="P612" s="28" t="s">
        <v>19990</v>
      </c>
      <c r="Q612" s="28" t="s">
        <v>19175</v>
      </c>
      <c r="R612" s="28" t="s">
        <v>20007</v>
      </c>
      <c r="S612" s="28">
        <v>2567676</v>
      </c>
      <c r="T612" s="28">
        <v>38629280</v>
      </c>
      <c r="V612" s="28">
        <v>1861</v>
      </c>
      <c r="W612" s="28" t="s">
        <v>7209</v>
      </c>
      <c r="X612" s="28" t="s">
        <v>194</v>
      </c>
      <c r="Y612" s="28">
        <v>1</v>
      </c>
      <c r="AH612" s="28" t="s">
        <v>4714</v>
      </c>
      <c r="AI612" s="28" t="s">
        <v>20005</v>
      </c>
      <c r="AJ612" s="516" t="str">
        <f>MID('II kw.22'!W612,8,6)</f>
        <v>243402</v>
      </c>
      <c r="AK612" s="516">
        <v>1</v>
      </c>
      <c r="AL612" s="516">
        <f t="shared" si="9"/>
        <v>1</v>
      </c>
      <c r="AM612" s="516">
        <v>1</v>
      </c>
      <c r="AN612" s="28">
        <v>1718</v>
      </c>
      <c r="AO612" s="28" t="s">
        <v>17651</v>
      </c>
      <c r="AP612" s="28" t="s">
        <v>17652</v>
      </c>
      <c r="AQ612" s="28" t="s">
        <v>17653</v>
      </c>
      <c r="AR612" s="28" t="s">
        <v>1024</v>
      </c>
    </row>
    <row r="613" spans="1:44" x14ac:dyDescent="0.25">
      <c r="A613" s="28" t="s">
        <v>20008</v>
      </c>
      <c r="B613" s="28" t="s">
        <v>20009</v>
      </c>
      <c r="C613" s="28" t="s">
        <v>542</v>
      </c>
      <c r="D613" s="28" t="s">
        <v>17800</v>
      </c>
      <c r="E613" s="28" t="s">
        <v>233</v>
      </c>
      <c r="F613" s="28">
        <v>1</v>
      </c>
      <c r="G613" s="28" t="s">
        <v>193</v>
      </c>
      <c r="H613" s="28" t="s">
        <v>194</v>
      </c>
      <c r="I613" s="28" t="s">
        <v>17806</v>
      </c>
      <c r="J613" s="28" t="s">
        <v>9302</v>
      </c>
      <c r="K613" s="28">
        <v>18</v>
      </c>
      <c r="L613" s="28" t="s">
        <v>6955</v>
      </c>
      <c r="N613" s="28" t="s">
        <v>20010</v>
      </c>
      <c r="O613" s="28" t="s">
        <v>7833</v>
      </c>
      <c r="P613" s="28" t="s">
        <v>19990</v>
      </c>
      <c r="Q613" s="28" t="s">
        <v>19175</v>
      </c>
      <c r="R613" s="28" t="s">
        <v>18469</v>
      </c>
      <c r="S613" s="28">
        <v>2567711</v>
      </c>
      <c r="T613" s="28">
        <v>38629315</v>
      </c>
      <c r="V613" s="27"/>
      <c r="W613" s="28" t="s">
        <v>543</v>
      </c>
      <c r="X613" s="28" t="s">
        <v>193</v>
      </c>
      <c r="Y613" s="27">
        <v>25</v>
      </c>
      <c r="AH613" s="28" t="s">
        <v>4714</v>
      </c>
      <c r="AI613" s="28" t="s">
        <v>20009</v>
      </c>
      <c r="AJ613" s="516" t="str">
        <f>MID('II kw.22'!W613,8,6)</f>
        <v>264304</v>
      </c>
      <c r="AK613" s="516">
        <v>1</v>
      </c>
      <c r="AL613" s="516">
        <f t="shared" si="9"/>
        <v>1</v>
      </c>
      <c r="AM613" s="516">
        <v>1</v>
      </c>
      <c r="AN613" s="28">
        <v>1718</v>
      </c>
      <c r="AO613" s="28" t="s">
        <v>17651</v>
      </c>
      <c r="AP613" s="28" t="s">
        <v>17652</v>
      </c>
      <c r="AQ613" s="28" t="s">
        <v>17653</v>
      </c>
      <c r="AR613" s="28" t="s">
        <v>1024</v>
      </c>
    </row>
    <row r="614" spans="1:44" x14ac:dyDescent="0.25">
      <c r="A614" s="28" t="s">
        <v>20011</v>
      </c>
      <c r="B614" s="28" t="s">
        <v>20012</v>
      </c>
      <c r="C614" s="28" t="s">
        <v>468</v>
      </c>
      <c r="D614" s="28" t="s">
        <v>17800</v>
      </c>
      <c r="E614" s="28" t="s">
        <v>233</v>
      </c>
      <c r="F614" s="28">
        <v>1</v>
      </c>
      <c r="G614" s="28" t="s">
        <v>193</v>
      </c>
      <c r="H614" s="28" t="s">
        <v>194</v>
      </c>
      <c r="I614" s="28" t="s">
        <v>17806</v>
      </c>
      <c r="J614" s="28" t="s">
        <v>9302</v>
      </c>
      <c r="K614" s="28">
        <v>18</v>
      </c>
      <c r="L614" s="28" t="s">
        <v>6955</v>
      </c>
      <c r="N614" s="28" t="s">
        <v>20013</v>
      </c>
      <c r="O614" s="28" t="s">
        <v>6288</v>
      </c>
      <c r="P614" s="28" t="s">
        <v>19990</v>
      </c>
      <c r="Q614" s="28" t="s">
        <v>19175</v>
      </c>
      <c r="R614" s="28" t="s">
        <v>18469</v>
      </c>
      <c r="S614" s="28">
        <v>2567723</v>
      </c>
      <c r="T614" s="28">
        <v>38629327</v>
      </c>
      <c r="V614" s="27"/>
      <c r="W614" s="28" t="s">
        <v>469</v>
      </c>
      <c r="X614" s="28" t="s">
        <v>193</v>
      </c>
      <c r="Y614" s="27">
        <v>25</v>
      </c>
      <c r="AH614" s="28" t="s">
        <v>4714</v>
      </c>
      <c r="AI614" s="28" t="s">
        <v>20012</v>
      </c>
      <c r="AJ614" s="516" t="str">
        <f>MID('II kw.22'!W614,8,6)</f>
        <v>243303</v>
      </c>
      <c r="AK614" s="516">
        <v>1</v>
      </c>
      <c r="AL614" s="516">
        <f t="shared" si="9"/>
        <v>1</v>
      </c>
      <c r="AM614" s="516">
        <v>1</v>
      </c>
      <c r="AN614" s="28">
        <v>1718</v>
      </c>
      <c r="AO614" s="28" t="s">
        <v>17651</v>
      </c>
      <c r="AP614" s="28" t="s">
        <v>17652</v>
      </c>
      <c r="AQ614" s="28" t="s">
        <v>17653</v>
      </c>
      <c r="AR614" s="28" t="s">
        <v>1024</v>
      </c>
    </row>
    <row r="615" spans="1:44" x14ac:dyDescent="0.25">
      <c r="A615" s="28" t="s">
        <v>20014</v>
      </c>
      <c r="B615" s="28" t="s">
        <v>20015</v>
      </c>
      <c r="C615" s="28" t="s">
        <v>5660</v>
      </c>
      <c r="D615" s="28" t="s">
        <v>17800</v>
      </c>
      <c r="E615" s="28" t="s">
        <v>233</v>
      </c>
      <c r="F615" s="28">
        <v>1</v>
      </c>
      <c r="G615" s="28" t="s">
        <v>193</v>
      </c>
      <c r="H615" s="28" t="s">
        <v>194</v>
      </c>
      <c r="I615" s="28" t="s">
        <v>17806</v>
      </c>
      <c r="J615" s="28" t="s">
        <v>9302</v>
      </c>
      <c r="K615" s="28">
        <v>18</v>
      </c>
      <c r="L615" s="28" t="s">
        <v>6955</v>
      </c>
      <c r="N615" s="28" t="s">
        <v>20016</v>
      </c>
      <c r="O615" s="28" t="s">
        <v>6256</v>
      </c>
      <c r="P615" s="28" t="s">
        <v>19990</v>
      </c>
      <c r="Q615" s="28" t="s">
        <v>19175</v>
      </c>
      <c r="R615" s="28" t="s">
        <v>18469</v>
      </c>
      <c r="S615" s="28">
        <v>2567800</v>
      </c>
      <c r="T615" s="28">
        <v>38629405</v>
      </c>
      <c r="V615" s="27"/>
      <c r="W615" s="28" t="s">
        <v>5661</v>
      </c>
      <c r="X615" s="28" t="s">
        <v>193</v>
      </c>
      <c r="Y615" s="27">
        <v>25</v>
      </c>
      <c r="AH615" s="28" t="s">
        <v>4714</v>
      </c>
      <c r="AI615" s="28" t="s">
        <v>20015</v>
      </c>
      <c r="AJ615" s="516" t="str">
        <f>MID('II kw.22'!W615,8,6)</f>
        <v>214208</v>
      </c>
      <c r="AK615" s="516">
        <v>1</v>
      </c>
      <c r="AL615" s="516">
        <f t="shared" si="9"/>
        <v>1</v>
      </c>
      <c r="AM615" s="516">
        <v>1</v>
      </c>
      <c r="AN615" s="28">
        <v>1718</v>
      </c>
      <c r="AO615" s="28" t="s">
        <v>17651</v>
      </c>
      <c r="AP615" s="28" t="s">
        <v>17652</v>
      </c>
      <c r="AQ615" s="28" t="s">
        <v>17653</v>
      </c>
      <c r="AR615" s="28" t="s">
        <v>1024</v>
      </c>
    </row>
    <row r="616" spans="1:44" x14ac:dyDescent="0.25">
      <c r="A616" s="28" t="s">
        <v>8560</v>
      </c>
      <c r="B616" s="28" t="s">
        <v>20017</v>
      </c>
      <c r="C616" s="28" t="s">
        <v>6617</v>
      </c>
      <c r="D616" s="28" t="s">
        <v>17800</v>
      </c>
      <c r="E616" s="28" t="s">
        <v>233</v>
      </c>
      <c r="F616" s="28">
        <v>1</v>
      </c>
      <c r="G616" s="28" t="s">
        <v>193</v>
      </c>
      <c r="H616" s="28" t="s">
        <v>194</v>
      </c>
      <c r="I616" s="28" t="s">
        <v>17806</v>
      </c>
      <c r="J616" s="28" t="s">
        <v>9302</v>
      </c>
      <c r="K616" s="28">
        <v>18</v>
      </c>
      <c r="L616" s="28" t="s">
        <v>6955</v>
      </c>
      <c r="N616" s="28" t="s">
        <v>20018</v>
      </c>
      <c r="O616" s="28" t="s">
        <v>6266</v>
      </c>
      <c r="P616" s="28" t="s">
        <v>19990</v>
      </c>
      <c r="Q616" s="28" t="s">
        <v>19175</v>
      </c>
      <c r="R616" s="28" t="s">
        <v>18469</v>
      </c>
      <c r="S616" s="28">
        <v>2567818</v>
      </c>
      <c r="T616" s="28">
        <v>38629423</v>
      </c>
      <c r="V616" s="27"/>
      <c r="W616" s="28" t="s">
        <v>990</v>
      </c>
      <c r="X616" s="28" t="s">
        <v>193</v>
      </c>
      <c r="Y616" s="27">
        <v>25</v>
      </c>
      <c r="AH616" s="28" t="s">
        <v>4714</v>
      </c>
      <c r="AI616" s="28" t="s">
        <v>20017</v>
      </c>
      <c r="AJ616" s="516" t="str">
        <f>MID('II kw.22'!W616,8,6)</f>
        <v>833202</v>
      </c>
      <c r="AK616" s="516">
        <v>1</v>
      </c>
      <c r="AL616" s="516">
        <f t="shared" si="9"/>
        <v>1</v>
      </c>
      <c r="AM616" s="516">
        <v>1</v>
      </c>
      <c r="AN616" s="28">
        <v>1718</v>
      </c>
      <c r="AO616" s="28" t="s">
        <v>17651</v>
      </c>
      <c r="AP616" s="28" t="s">
        <v>17652</v>
      </c>
      <c r="AQ616" s="28" t="s">
        <v>17653</v>
      </c>
      <c r="AR616" s="28" t="s">
        <v>1024</v>
      </c>
    </row>
    <row r="617" spans="1:44" x14ac:dyDescent="0.25">
      <c r="A617" s="28" t="s">
        <v>417</v>
      </c>
      <c r="B617" s="28" t="s">
        <v>20019</v>
      </c>
      <c r="C617" s="28" t="s">
        <v>706</v>
      </c>
      <c r="D617" s="28" t="s">
        <v>17800</v>
      </c>
      <c r="E617" s="28" t="s">
        <v>233</v>
      </c>
      <c r="F617" s="28">
        <v>1</v>
      </c>
      <c r="G617" s="28" t="s">
        <v>193</v>
      </c>
      <c r="H617" s="28" t="s">
        <v>194</v>
      </c>
      <c r="I617" s="28" t="s">
        <v>17806</v>
      </c>
      <c r="J617" s="28" t="s">
        <v>210</v>
      </c>
      <c r="K617" s="28">
        <v>18</v>
      </c>
      <c r="L617" s="28" t="s">
        <v>6955</v>
      </c>
      <c r="N617" s="28" t="s">
        <v>20020</v>
      </c>
      <c r="O617" s="28" t="s">
        <v>6254</v>
      </c>
      <c r="P617" s="28" t="s">
        <v>19990</v>
      </c>
      <c r="Q617" s="28" t="s">
        <v>19175</v>
      </c>
      <c r="R617" s="28" t="s">
        <v>18469</v>
      </c>
      <c r="S617" s="28">
        <v>2567905</v>
      </c>
      <c r="T617" s="28">
        <v>38629536</v>
      </c>
      <c r="V617" s="28">
        <v>1863</v>
      </c>
      <c r="W617" s="28" t="s">
        <v>707</v>
      </c>
      <c r="X617" s="28" t="s">
        <v>194</v>
      </c>
      <c r="Y617" s="28">
        <v>1</v>
      </c>
      <c r="AH617" s="28" t="s">
        <v>4714</v>
      </c>
      <c r="AI617" s="28" t="s">
        <v>20019</v>
      </c>
      <c r="AJ617" s="516" t="str">
        <f>MID('II kw.22'!W617,8,6)</f>
        <v>422201</v>
      </c>
      <c r="AK617" s="516">
        <v>1</v>
      </c>
      <c r="AL617" s="516">
        <f t="shared" si="9"/>
        <v>1</v>
      </c>
      <c r="AM617" s="516">
        <v>1</v>
      </c>
      <c r="AN617" s="28">
        <v>1718</v>
      </c>
      <c r="AO617" s="28" t="s">
        <v>17651</v>
      </c>
      <c r="AP617" s="28" t="s">
        <v>17652</v>
      </c>
      <c r="AQ617" s="28" t="s">
        <v>17653</v>
      </c>
      <c r="AR617" s="28" t="s">
        <v>1024</v>
      </c>
    </row>
    <row r="618" spans="1:44" x14ac:dyDescent="0.25">
      <c r="A618" s="28" t="s">
        <v>20021</v>
      </c>
      <c r="B618" s="28" t="s">
        <v>20022</v>
      </c>
      <c r="C618" s="28" t="s">
        <v>706</v>
      </c>
      <c r="D618" s="28" t="s">
        <v>17800</v>
      </c>
      <c r="E618" s="28" t="s">
        <v>233</v>
      </c>
      <c r="F618" s="28">
        <v>1</v>
      </c>
      <c r="G618" s="28" t="s">
        <v>193</v>
      </c>
      <c r="H618" s="28" t="s">
        <v>194</v>
      </c>
      <c r="I618" s="28" t="s">
        <v>17806</v>
      </c>
      <c r="J618" s="28" t="s">
        <v>210</v>
      </c>
      <c r="K618" s="28">
        <v>18</v>
      </c>
      <c r="L618" s="28" t="s">
        <v>6955</v>
      </c>
      <c r="N618" s="28" t="s">
        <v>20023</v>
      </c>
      <c r="O618" s="28" t="s">
        <v>6254</v>
      </c>
      <c r="P618" s="28" t="s">
        <v>19990</v>
      </c>
      <c r="Q618" s="28" t="s">
        <v>19175</v>
      </c>
      <c r="R618" s="28" t="s">
        <v>18469</v>
      </c>
      <c r="S618" s="28">
        <v>2567908</v>
      </c>
      <c r="T618" s="28">
        <v>38629539</v>
      </c>
      <c r="V618" s="28">
        <v>1863</v>
      </c>
      <c r="W618" s="28" t="s">
        <v>707</v>
      </c>
      <c r="X618" s="28" t="s">
        <v>194</v>
      </c>
      <c r="Y618" s="28">
        <v>1</v>
      </c>
      <c r="AH618" s="28" t="s">
        <v>4714</v>
      </c>
      <c r="AI618" s="28" t="s">
        <v>20022</v>
      </c>
      <c r="AJ618" s="516" t="str">
        <f>MID('II kw.22'!W618,8,6)</f>
        <v>422201</v>
      </c>
      <c r="AK618" s="516">
        <v>1</v>
      </c>
      <c r="AL618" s="516">
        <f t="shared" si="9"/>
        <v>1</v>
      </c>
      <c r="AM618" s="516">
        <v>1</v>
      </c>
      <c r="AN618" s="28">
        <v>1718</v>
      </c>
      <c r="AO618" s="28" t="s">
        <v>17651</v>
      </c>
      <c r="AP618" s="28" t="s">
        <v>17652</v>
      </c>
      <c r="AQ618" s="28" t="s">
        <v>17653</v>
      </c>
      <c r="AR618" s="28" t="s">
        <v>1024</v>
      </c>
    </row>
    <row r="619" spans="1:44" x14ac:dyDescent="0.25">
      <c r="A619" s="28" t="s">
        <v>20021</v>
      </c>
      <c r="B619" s="28" t="s">
        <v>20022</v>
      </c>
      <c r="C619" s="28" t="s">
        <v>706</v>
      </c>
      <c r="D619" s="28" t="s">
        <v>17800</v>
      </c>
      <c r="E619" s="28" t="s">
        <v>233</v>
      </c>
      <c r="F619" s="28">
        <v>1</v>
      </c>
      <c r="G619" s="28" t="s">
        <v>193</v>
      </c>
      <c r="H619" s="28" t="s">
        <v>194</v>
      </c>
      <c r="I619" s="28" t="s">
        <v>17806</v>
      </c>
      <c r="J619" s="28" t="s">
        <v>4751</v>
      </c>
      <c r="K619" s="28">
        <v>18</v>
      </c>
      <c r="L619" s="28" t="s">
        <v>6955</v>
      </c>
      <c r="N619" s="28" t="s">
        <v>20024</v>
      </c>
      <c r="O619" s="28" t="s">
        <v>6254</v>
      </c>
      <c r="P619" s="28" t="s">
        <v>19990</v>
      </c>
      <c r="Q619" s="28" t="s">
        <v>19175</v>
      </c>
      <c r="R619" s="28" t="s">
        <v>18469</v>
      </c>
      <c r="S619" s="28">
        <v>2567910</v>
      </c>
      <c r="T619" s="28">
        <v>38629541</v>
      </c>
      <c r="V619" s="28">
        <v>1862</v>
      </c>
      <c r="W619" s="28" t="s">
        <v>707</v>
      </c>
      <c r="X619" s="28" t="s">
        <v>194</v>
      </c>
      <c r="Y619" s="28">
        <v>1</v>
      </c>
      <c r="AH619" s="28" t="s">
        <v>4714</v>
      </c>
      <c r="AI619" s="28" t="s">
        <v>20022</v>
      </c>
      <c r="AJ619" s="516" t="str">
        <f>MID('II kw.22'!W619,8,6)</f>
        <v>422201</v>
      </c>
      <c r="AK619" s="516">
        <v>1</v>
      </c>
      <c r="AL619" s="516">
        <f t="shared" si="9"/>
        <v>1</v>
      </c>
      <c r="AM619" s="516">
        <v>1</v>
      </c>
      <c r="AN619" s="28">
        <v>1718</v>
      </c>
      <c r="AO619" s="28" t="s">
        <v>17651</v>
      </c>
      <c r="AP619" s="28" t="s">
        <v>17652</v>
      </c>
      <c r="AQ619" s="28" t="s">
        <v>17653</v>
      </c>
      <c r="AR619" s="28" t="s">
        <v>1024</v>
      </c>
    </row>
    <row r="620" spans="1:44" x14ac:dyDescent="0.25">
      <c r="A620" s="28" t="s">
        <v>417</v>
      </c>
      <c r="B620" s="28" t="s">
        <v>2438</v>
      </c>
      <c r="C620" s="28" t="s">
        <v>266</v>
      </c>
      <c r="D620" s="28" t="s">
        <v>17800</v>
      </c>
      <c r="E620" s="28" t="s">
        <v>233</v>
      </c>
      <c r="F620" s="28">
        <v>1</v>
      </c>
      <c r="G620" s="28" t="s">
        <v>193</v>
      </c>
      <c r="H620" s="28" t="s">
        <v>194</v>
      </c>
      <c r="I620" s="28" t="s">
        <v>17806</v>
      </c>
      <c r="J620" s="28" t="s">
        <v>1059</v>
      </c>
      <c r="K620" s="28">
        <v>18</v>
      </c>
      <c r="L620" s="28" t="s">
        <v>6955</v>
      </c>
      <c r="N620" s="28" t="s">
        <v>20025</v>
      </c>
      <c r="O620" s="28" t="s">
        <v>6254</v>
      </c>
      <c r="P620" s="28" t="s">
        <v>19990</v>
      </c>
      <c r="Q620" s="28" t="s">
        <v>19175</v>
      </c>
      <c r="R620" s="28" t="s">
        <v>20007</v>
      </c>
      <c r="S620" s="28">
        <v>2567929</v>
      </c>
      <c r="T620" s="28">
        <v>38629560</v>
      </c>
      <c r="V620" s="28">
        <v>1809</v>
      </c>
      <c r="W620" s="28" t="s">
        <v>268</v>
      </c>
      <c r="X620" s="28" t="s">
        <v>194</v>
      </c>
      <c r="Y620" s="28">
        <v>1</v>
      </c>
      <c r="AH620" s="28" t="s">
        <v>4714</v>
      </c>
      <c r="AI620" s="28" t="s">
        <v>2438</v>
      </c>
      <c r="AJ620" s="516" t="str">
        <f>MID('II kw.22'!W620,8,6)</f>
        <v>143905</v>
      </c>
      <c r="AK620" s="516">
        <v>1</v>
      </c>
      <c r="AL620" s="516">
        <f t="shared" si="9"/>
        <v>1</v>
      </c>
      <c r="AM620" s="516">
        <v>1</v>
      </c>
      <c r="AN620" s="28">
        <v>1718</v>
      </c>
      <c r="AO620" s="28" t="s">
        <v>17651</v>
      </c>
      <c r="AP620" s="28" t="s">
        <v>17652</v>
      </c>
      <c r="AQ620" s="28" t="s">
        <v>17653</v>
      </c>
      <c r="AR620" s="28" t="s">
        <v>1024</v>
      </c>
    </row>
    <row r="621" spans="1:44" x14ac:dyDescent="0.25">
      <c r="A621" s="28" t="s">
        <v>1060</v>
      </c>
      <c r="B621" s="28" t="s">
        <v>16343</v>
      </c>
      <c r="C621" s="28" t="s">
        <v>13</v>
      </c>
      <c r="D621" s="28" t="s">
        <v>17800</v>
      </c>
      <c r="E621" s="28" t="s">
        <v>233</v>
      </c>
      <c r="F621" s="28">
        <v>1</v>
      </c>
      <c r="G621" s="28" t="s">
        <v>193</v>
      </c>
      <c r="H621" s="28" t="s">
        <v>194</v>
      </c>
      <c r="I621" s="28" t="s">
        <v>17806</v>
      </c>
      <c r="J621" s="28" t="s">
        <v>253</v>
      </c>
      <c r="K621" s="28">
        <v>18</v>
      </c>
      <c r="L621" s="28" t="s">
        <v>6955</v>
      </c>
      <c r="N621" s="28" t="s">
        <v>20026</v>
      </c>
      <c r="O621" s="28" t="s">
        <v>6306</v>
      </c>
      <c r="P621" s="28" t="s">
        <v>19990</v>
      </c>
      <c r="Q621" s="28" t="s">
        <v>19175</v>
      </c>
      <c r="R621" s="28" t="s">
        <v>18335</v>
      </c>
      <c r="S621" s="28">
        <v>2568007</v>
      </c>
      <c r="T621" s="28">
        <v>38629638</v>
      </c>
      <c r="V621" s="28">
        <v>1811</v>
      </c>
      <c r="W621" s="28" t="s">
        <v>2125</v>
      </c>
      <c r="X621" s="28" t="s">
        <v>194</v>
      </c>
      <c r="Y621" s="28">
        <v>1</v>
      </c>
      <c r="AH621" s="28" t="s">
        <v>4714</v>
      </c>
      <c r="AI621" s="28" t="s">
        <v>16343</v>
      </c>
      <c r="AJ621" s="516" t="str">
        <f>MID('II kw.22'!W621,8,6)</f>
        <v>225101</v>
      </c>
      <c r="AK621" s="516">
        <v>1</v>
      </c>
      <c r="AL621" s="516">
        <f t="shared" si="9"/>
        <v>1</v>
      </c>
      <c r="AM621" s="516">
        <v>1</v>
      </c>
      <c r="AN621" s="28">
        <v>1718</v>
      </c>
      <c r="AO621" s="28" t="s">
        <v>17651</v>
      </c>
      <c r="AP621" s="28" t="s">
        <v>17652</v>
      </c>
      <c r="AQ621" s="28" t="s">
        <v>17653</v>
      </c>
      <c r="AR621" s="28" t="s">
        <v>1024</v>
      </c>
    </row>
    <row r="622" spans="1:44" x14ac:dyDescent="0.25">
      <c r="A622" s="28" t="s">
        <v>20027</v>
      </c>
      <c r="B622" s="28" t="s">
        <v>20028</v>
      </c>
      <c r="C622" s="28" t="s">
        <v>542</v>
      </c>
      <c r="D622" s="28" t="s">
        <v>17800</v>
      </c>
      <c r="E622" s="28" t="s">
        <v>233</v>
      </c>
      <c r="F622" s="28">
        <v>1</v>
      </c>
      <c r="G622" s="28" t="s">
        <v>193</v>
      </c>
      <c r="H622" s="28" t="s">
        <v>194</v>
      </c>
      <c r="I622" s="28" t="s">
        <v>17806</v>
      </c>
      <c r="J622" s="28" t="s">
        <v>20029</v>
      </c>
      <c r="K622" s="28">
        <v>18</v>
      </c>
      <c r="L622" s="28" t="s">
        <v>6955</v>
      </c>
      <c r="N622" s="28" t="s">
        <v>20030</v>
      </c>
      <c r="O622" s="28" t="s">
        <v>7833</v>
      </c>
      <c r="P622" s="28" t="s">
        <v>19990</v>
      </c>
      <c r="Q622" s="28" t="s">
        <v>19175</v>
      </c>
      <c r="R622" s="28" t="s">
        <v>20007</v>
      </c>
      <c r="S622" s="28">
        <v>2568042</v>
      </c>
      <c r="T622" s="28">
        <v>38629673</v>
      </c>
      <c r="V622" s="27"/>
      <c r="W622" s="28" t="s">
        <v>543</v>
      </c>
      <c r="X622" s="28" t="s">
        <v>193</v>
      </c>
      <c r="Y622" s="27">
        <v>25</v>
      </c>
      <c r="AH622" s="28" t="s">
        <v>4714</v>
      </c>
      <c r="AI622" s="28" t="s">
        <v>20028</v>
      </c>
      <c r="AJ622" s="516" t="str">
        <f>MID('II kw.22'!W622,8,6)</f>
        <v>264304</v>
      </c>
      <c r="AK622" s="516">
        <v>1</v>
      </c>
      <c r="AL622" s="516">
        <f t="shared" si="9"/>
        <v>1</v>
      </c>
      <c r="AM622" s="516">
        <v>1</v>
      </c>
      <c r="AN622" s="28">
        <v>1718</v>
      </c>
      <c r="AO622" s="28" t="s">
        <v>17651</v>
      </c>
      <c r="AP622" s="28" t="s">
        <v>17652</v>
      </c>
      <c r="AQ622" s="28" t="s">
        <v>17653</v>
      </c>
      <c r="AR622" s="28" t="s">
        <v>1024</v>
      </c>
    </row>
    <row r="623" spans="1:44" x14ac:dyDescent="0.25">
      <c r="A623" s="28" t="s">
        <v>20027</v>
      </c>
      <c r="B623" s="28" t="s">
        <v>20031</v>
      </c>
      <c r="C623" s="28" t="s">
        <v>542</v>
      </c>
      <c r="D623" s="28" t="s">
        <v>17800</v>
      </c>
      <c r="E623" s="28" t="s">
        <v>233</v>
      </c>
      <c r="F623" s="28">
        <v>1</v>
      </c>
      <c r="G623" s="28" t="s">
        <v>193</v>
      </c>
      <c r="H623" s="28" t="s">
        <v>194</v>
      </c>
      <c r="I623" s="28" t="s">
        <v>17806</v>
      </c>
      <c r="J623" s="28" t="s">
        <v>20029</v>
      </c>
      <c r="K623" s="28">
        <v>18</v>
      </c>
      <c r="L623" s="28" t="s">
        <v>6955</v>
      </c>
      <c r="N623" s="28" t="s">
        <v>20032</v>
      </c>
      <c r="O623" s="28" t="s">
        <v>7833</v>
      </c>
      <c r="P623" s="28" t="s">
        <v>19990</v>
      </c>
      <c r="Q623" s="28" t="s">
        <v>19175</v>
      </c>
      <c r="R623" s="28" t="s">
        <v>20007</v>
      </c>
      <c r="S623" s="28">
        <v>2568058</v>
      </c>
      <c r="T623" s="28">
        <v>38629689</v>
      </c>
      <c r="V623" s="27"/>
      <c r="W623" s="28" t="s">
        <v>543</v>
      </c>
      <c r="X623" s="28" t="s">
        <v>193</v>
      </c>
      <c r="Y623" s="27">
        <v>25</v>
      </c>
      <c r="AH623" s="28" t="s">
        <v>4714</v>
      </c>
      <c r="AI623" s="28" t="s">
        <v>20031</v>
      </c>
      <c r="AJ623" s="516" t="str">
        <f>MID('II kw.22'!W623,8,6)</f>
        <v>264304</v>
      </c>
      <c r="AK623" s="516">
        <v>1</v>
      </c>
      <c r="AL623" s="516">
        <f t="shared" si="9"/>
        <v>1</v>
      </c>
      <c r="AM623" s="516">
        <v>1</v>
      </c>
      <c r="AN623" s="28">
        <v>1718</v>
      </c>
      <c r="AO623" s="28" t="s">
        <v>17651</v>
      </c>
      <c r="AP623" s="28" t="s">
        <v>17652</v>
      </c>
      <c r="AQ623" s="28" t="s">
        <v>17653</v>
      </c>
      <c r="AR623" s="28" t="s">
        <v>1024</v>
      </c>
    </row>
    <row r="624" spans="1:44" x14ac:dyDescent="0.25">
      <c r="A624" s="28" t="s">
        <v>20027</v>
      </c>
      <c r="B624" s="28" t="s">
        <v>20033</v>
      </c>
      <c r="C624" s="28" t="s">
        <v>542</v>
      </c>
      <c r="D624" s="28" t="s">
        <v>17800</v>
      </c>
      <c r="E624" s="28" t="s">
        <v>233</v>
      </c>
      <c r="F624" s="28">
        <v>1</v>
      </c>
      <c r="G624" s="28" t="s">
        <v>193</v>
      </c>
      <c r="H624" s="28" t="s">
        <v>194</v>
      </c>
      <c r="I624" s="28" t="s">
        <v>17806</v>
      </c>
      <c r="J624" s="28" t="s">
        <v>20029</v>
      </c>
      <c r="K624" s="28">
        <v>18</v>
      </c>
      <c r="L624" s="28" t="s">
        <v>6955</v>
      </c>
      <c r="N624" s="28" t="s">
        <v>20034</v>
      </c>
      <c r="O624" s="28" t="s">
        <v>7833</v>
      </c>
      <c r="P624" s="28" t="s">
        <v>19990</v>
      </c>
      <c r="Q624" s="28" t="s">
        <v>19175</v>
      </c>
      <c r="R624" s="28" t="s">
        <v>20007</v>
      </c>
      <c r="S624" s="28">
        <v>2568074</v>
      </c>
      <c r="T624" s="28">
        <v>38629705</v>
      </c>
      <c r="V624" s="27"/>
      <c r="W624" s="28" t="s">
        <v>543</v>
      </c>
      <c r="X624" s="28" t="s">
        <v>193</v>
      </c>
      <c r="Y624" s="27">
        <v>25</v>
      </c>
      <c r="AH624" s="28" t="s">
        <v>4714</v>
      </c>
      <c r="AI624" s="28" t="s">
        <v>20033</v>
      </c>
      <c r="AJ624" s="516" t="str">
        <f>MID('II kw.22'!W624,8,6)</f>
        <v>264304</v>
      </c>
      <c r="AK624" s="516">
        <v>1</v>
      </c>
      <c r="AL624" s="516">
        <f t="shared" si="9"/>
        <v>1</v>
      </c>
      <c r="AM624" s="516">
        <v>1</v>
      </c>
      <c r="AN624" s="28">
        <v>1718</v>
      </c>
      <c r="AO624" s="28" t="s">
        <v>17651</v>
      </c>
      <c r="AP624" s="28" t="s">
        <v>17652</v>
      </c>
      <c r="AQ624" s="28" t="s">
        <v>17653</v>
      </c>
      <c r="AR624" s="28" t="s">
        <v>1024</v>
      </c>
    </row>
    <row r="625" spans="1:44" x14ac:dyDescent="0.25">
      <c r="A625" s="28" t="s">
        <v>20027</v>
      </c>
      <c r="B625" s="28" t="s">
        <v>7827</v>
      </c>
      <c r="C625" s="28" t="s">
        <v>542</v>
      </c>
      <c r="D625" s="28" t="s">
        <v>17800</v>
      </c>
      <c r="E625" s="28" t="s">
        <v>233</v>
      </c>
      <c r="F625" s="28">
        <v>1</v>
      </c>
      <c r="G625" s="28" t="s">
        <v>193</v>
      </c>
      <c r="H625" s="28" t="s">
        <v>194</v>
      </c>
      <c r="I625" s="28" t="s">
        <v>17806</v>
      </c>
      <c r="J625" s="28" t="s">
        <v>20029</v>
      </c>
      <c r="K625" s="28">
        <v>18</v>
      </c>
      <c r="L625" s="28" t="s">
        <v>6955</v>
      </c>
      <c r="N625" s="28" t="s">
        <v>20035</v>
      </c>
      <c r="O625" s="28" t="s">
        <v>7833</v>
      </c>
      <c r="P625" s="28" t="s">
        <v>19990</v>
      </c>
      <c r="Q625" s="28" t="s">
        <v>19175</v>
      </c>
      <c r="R625" s="28" t="s">
        <v>20007</v>
      </c>
      <c r="S625" s="28">
        <v>2568090</v>
      </c>
      <c r="T625" s="28">
        <v>38629721</v>
      </c>
      <c r="V625" s="27"/>
      <c r="W625" s="28" t="s">
        <v>543</v>
      </c>
      <c r="X625" s="28" t="s">
        <v>193</v>
      </c>
      <c r="Y625" s="27">
        <v>25</v>
      </c>
      <c r="AH625" s="28" t="s">
        <v>4714</v>
      </c>
      <c r="AI625" s="28" t="s">
        <v>7827</v>
      </c>
      <c r="AJ625" s="516" t="str">
        <f>MID('II kw.22'!W625,8,6)</f>
        <v>264304</v>
      </c>
      <c r="AK625" s="516">
        <v>1</v>
      </c>
      <c r="AL625" s="516">
        <f t="shared" si="9"/>
        <v>1</v>
      </c>
      <c r="AM625" s="516">
        <v>1</v>
      </c>
      <c r="AN625" s="28">
        <v>1718</v>
      </c>
      <c r="AO625" s="28" t="s">
        <v>17651</v>
      </c>
      <c r="AP625" s="28" t="s">
        <v>17652</v>
      </c>
      <c r="AQ625" s="28" t="s">
        <v>17653</v>
      </c>
      <c r="AR625" s="28" t="s">
        <v>1024</v>
      </c>
    </row>
    <row r="626" spans="1:44" x14ac:dyDescent="0.25">
      <c r="A626" s="28" t="s">
        <v>20027</v>
      </c>
      <c r="B626" s="28" t="s">
        <v>20036</v>
      </c>
      <c r="C626" s="28" t="s">
        <v>542</v>
      </c>
      <c r="D626" s="28" t="s">
        <v>17800</v>
      </c>
      <c r="E626" s="28" t="s">
        <v>233</v>
      </c>
      <c r="F626" s="28">
        <v>1</v>
      </c>
      <c r="G626" s="28" t="s">
        <v>193</v>
      </c>
      <c r="H626" s="28" t="s">
        <v>194</v>
      </c>
      <c r="I626" s="28" t="s">
        <v>17806</v>
      </c>
      <c r="J626" s="28" t="s">
        <v>20029</v>
      </c>
      <c r="K626" s="28">
        <v>18</v>
      </c>
      <c r="L626" s="28" t="s">
        <v>6955</v>
      </c>
      <c r="N626" s="28" t="s">
        <v>20037</v>
      </c>
      <c r="O626" s="28" t="s">
        <v>7833</v>
      </c>
      <c r="P626" s="28" t="s">
        <v>19990</v>
      </c>
      <c r="Q626" s="28" t="s">
        <v>19175</v>
      </c>
      <c r="R626" s="28" t="s">
        <v>20007</v>
      </c>
      <c r="S626" s="28">
        <v>2568106</v>
      </c>
      <c r="T626" s="28">
        <v>38629737</v>
      </c>
      <c r="V626" s="27"/>
      <c r="W626" s="28" t="s">
        <v>543</v>
      </c>
      <c r="X626" s="28" t="s">
        <v>193</v>
      </c>
      <c r="Y626" s="27">
        <v>25</v>
      </c>
      <c r="AH626" s="28" t="s">
        <v>4714</v>
      </c>
      <c r="AI626" s="28" t="s">
        <v>20036</v>
      </c>
      <c r="AJ626" s="516" t="str">
        <f>MID('II kw.22'!W626,8,6)</f>
        <v>264304</v>
      </c>
      <c r="AK626" s="516">
        <v>1</v>
      </c>
      <c r="AL626" s="516">
        <f t="shared" si="9"/>
        <v>1</v>
      </c>
      <c r="AM626" s="516">
        <v>1</v>
      </c>
      <c r="AN626" s="28">
        <v>1718</v>
      </c>
      <c r="AO626" s="28" t="s">
        <v>17651</v>
      </c>
      <c r="AP626" s="28" t="s">
        <v>17652</v>
      </c>
      <c r="AQ626" s="28" t="s">
        <v>17653</v>
      </c>
      <c r="AR626" s="28" t="s">
        <v>1024</v>
      </c>
    </row>
    <row r="627" spans="1:44" x14ac:dyDescent="0.25">
      <c r="A627" s="28" t="s">
        <v>20027</v>
      </c>
      <c r="B627" s="28" t="s">
        <v>20038</v>
      </c>
      <c r="C627" s="28" t="s">
        <v>542</v>
      </c>
      <c r="D627" s="28" t="s">
        <v>17800</v>
      </c>
      <c r="E627" s="28" t="s">
        <v>233</v>
      </c>
      <c r="F627" s="28">
        <v>1</v>
      </c>
      <c r="G627" s="28" t="s">
        <v>193</v>
      </c>
      <c r="H627" s="28" t="s">
        <v>194</v>
      </c>
      <c r="I627" s="28" t="s">
        <v>17806</v>
      </c>
      <c r="J627" s="28" t="s">
        <v>20029</v>
      </c>
      <c r="K627" s="28">
        <v>18</v>
      </c>
      <c r="L627" s="28" t="s">
        <v>6955</v>
      </c>
      <c r="N627" s="28" t="s">
        <v>20039</v>
      </c>
      <c r="O627" s="28" t="s">
        <v>7833</v>
      </c>
      <c r="P627" s="28" t="s">
        <v>19990</v>
      </c>
      <c r="Q627" s="28" t="s">
        <v>19175</v>
      </c>
      <c r="R627" s="28" t="s">
        <v>20007</v>
      </c>
      <c r="S627" s="28">
        <v>2568122</v>
      </c>
      <c r="T627" s="28">
        <v>38629753</v>
      </c>
      <c r="V627" s="27"/>
      <c r="W627" s="28" t="s">
        <v>543</v>
      </c>
      <c r="X627" s="28" t="s">
        <v>193</v>
      </c>
      <c r="Y627" s="27">
        <v>25</v>
      </c>
      <c r="AH627" s="28" t="s">
        <v>4714</v>
      </c>
      <c r="AI627" s="28" t="s">
        <v>20038</v>
      </c>
      <c r="AJ627" s="516" t="str">
        <f>MID('II kw.22'!W627,8,6)</f>
        <v>264304</v>
      </c>
      <c r="AK627" s="516">
        <v>1</v>
      </c>
      <c r="AL627" s="516">
        <f t="shared" si="9"/>
        <v>1</v>
      </c>
      <c r="AM627" s="516">
        <v>1</v>
      </c>
      <c r="AN627" s="28">
        <v>1718</v>
      </c>
      <c r="AO627" s="28" t="s">
        <v>17651</v>
      </c>
      <c r="AP627" s="28" t="s">
        <v>17652</v>
      </c>
      <c r="AQ627" s="28" t="s">
        <v>17653</v>
      </c>
      <c r="AR627" s="28" t="s">
        <v>1024</v>
      </c>
    </row>
    <row r="628" spans="1:44" x14ac:dyDescent="0.25">
      <c r="A628" s="28" t="s">
        <v>4022</v>
      </c>
      <c r="B628" s="28" t="s">
        <v>17803</v>
      </c>
      <c r="C628" s="28" t="s">
        <v>142</v>
      </c>
      <c r="D628" s="28" t="s">
        <v>17800</v>
      </c>
      <c r="E628" s="28" t="s">
        <v>217</v>
      </c>
      <c r="F628" s="28">
        <v>1</v>
      </c>
      <c r="G628" s="28" t="s">
        <v>193</v>
      </c>
      <c r="H628" s="28" t="s">
        <v>194</v>
      </c>
      <c r="I628" s="28" t="s">
        <v>17806</v>
      </c>
      <c r="J628" s="28" t="s">
        <v>15466</v>
      </c>
      <c r="K628" s="28">
        <v>18</v>
      </c>
      <c r="L628" s="28" t="s">
        <v>6955</v>
      </c>
      <c r="N628" s="28" t="s">
        <v>17804</v>
      </c>
      <c r="O628" s="28" t="s">
        <v>6302</v>
      </c>
      <c r="P628" s="28" t="s">
        <v>20040</v>
      </c>
      <c r="Q628" s="28" t="s">
        <v>18819</v>
      </c>
      <c r="R628" s="28" t="s">
        <v>17806</v>
      </c>
      <c r="S628" s="28">
        <v>2568204</v>
      </c>
      <c r="T628" s="28">
        <v>38668740</v>
      </c>
      <c r="V628" s="27"/>
      <c r="W628" s="28" t="s">
        <v>2213</v>
      </c>
      <c r="X628" s="28" t="s">
        <v>193</v>
      </c>
      <c r="Y628" s="27">
        <v>25</v>
      </c>
      <c r="AH628" s="28" t="s">
        <v>4714</v>
      </c>
      <c r="AI628" s="28" t="s">
        <v>9433</v>
      </c>
      <c r="AJ628" s="516" t="str">
        <f>MID('II kw.22'!W628,8,6)</f>
        <v>524402</v>
      </c>
      <c r="AK628" s="516">
        <v>1</v>
      </c>
      <c r="AL628" s="516">
        <f t="shared" si="9"/>
        <v>1</v>
      </c>
      <c r="AM628" s="516">
        <v>1</v>
      </c>
      <c r="AN628" s="28">
        <v>1718</v>
      </c>
      <c r="AO628" s="28" t="s">
        <v>17651</v>
      </c>
      <c r="AP628" s="28" t="s">
        <v>17652</v>
      </c>
      <c r="AQ628" s="28" t="s">
        <v>17653</v>
      </c>
      <c r="AR628" s="28" t="s">
        <v>1024</v>
      </c>
    </row>
    <row r="629" spans="1:44" x14ac:dyDescent="0.25">
      <c r="A629" s="28" t="s">
        <v>581</v>
      </c>
      <c r="B629" s="28" t="s">
        <v>18332</v>
      </c>
      <c r="C629" s="28" t="s">
        <v>62</v>
      </c>
      <c r="D629" s="28" t="s">
        <v>17800</v>
      </c>
      <c r="E629" s="28" t="s">
        <v>217</v>
      </c>
      <c r="F629" s="28">
        <v>1</v>
      </c>
      <c r="G629" s="28" t="s">
        <v>193</v>
      </c>
      <c r="H629" s="28" t="s">
        <v>194</v>
      </c>
      <c r="I629" s="28" t="s">
        <v>17806</v>
      </c>
      <c r="J629" s="28" t="s">
        <v>253</v>
      </c>
      <c r="K629" s="28">
        <v>18</v>
      </c>
      <c r="L629" s="28" t="s">
        <v>6955</v>
      </c>
      <c r="N629" s="28" t="s">
        <v>18333</v>
      </c>
      <c r="O629" s="28" t="s">
        <v>6275</v>
      </c>
      <c r="P629" s="28" t="s">
        <v>20040</v>
      </c>
      <c r="Q629" s="28" t="s">
        <v>17656</v>
      </c>
      <c r="R629" s="28" t="s">
        <v>18335</v>
      </c>
      <c r="S629" s="28">
        <v>2568303</v>
      </c>
      <c r="T629" s="28">
        <v>38668839</v>
      </c>
      <c r="V629" s="28">
        <v>1811</v>
      </c>
      <c r="W629" s="28" t="s">
        <v>601</v>
      </c>
      <c r="X629" s="28" t="s">
        <v>194</v>
      </c>
      <c r="Y629" s="28">
        <v>1</v>
      </c>
      <c r="AH629" s="28" t="s">
        <v>4714</v>
      </c>
      <c r="AI629" s="28" t="s">
        <v>9433</v>
      </c>
      <c r="AJ629" s="516" t="str">
        <f>MID('II kw.22'!W629,8,6)</f>
        <v>313904</v>
      </c>
      <c r="AK629" s="516">
        <v>1</v>
      </c>
      <c r="AL629" s="516">
        <f t="shared" si="9"/>
        <v>1</v>
      </c>
      <c r="AM629" s="516">
        <v>1</v>
      </c>
      <c r="AN629" s="28">
        <v>1718</v>
      </c>
      <c r="AO629" s="28" t="s">
        <v>17651</v>
      </c>
      <c r="AP629" s="28" t="s">
        <v>17652</v>
      </c>
      <c r="AQ629" s="28" t="s">
        <v>17653</v>
      </c>
      <c r="AR629" s="28" t="s">
        <v>1024</v>
      </c>
    </row>
    <row r="630" spans="1:44" x14ac:dyDescent="0.25">
      <c r="A630" s="28" t="s">
        <v>11415</v>
      </c>
      <c r="B630" s="28" t="s">
        <v>8016</v>
      </c>
      <c r="C630" s="28" t="s">
        <v>99</v>
      </c>
      <c r="D630" s="28" t="s">
        <v>17800</v>
      </c>
      <c r="E630" s="28" t="s">
        <v>217</v>
      </c>
      <c r="F630" s="28">
        <v>1</v>
      </c>
      <c r="G630" s="28" t="s">
        <v>193</v>
      </c>
      <c r="H630" s="28" t="s">
        <v>194</v>
      </c>
      <c r="I630" s="28" t="s">
        <v>17806</v>
      </c>
      <c r="J630" s="28" t="s">
        <v>210</v>
      </c>
      <c r="K630" s="28">
        <v>18</v>
      </c>
      <c r="L630" s="28" t="s">
        <v>6955</v>
      </c>
      <c r="N630" s="28" t="s">
        <v>17809</v>
      </c>
      <c r="O630" s="28" t="s">
        <v>6286</v>
      </c>
      <c r="P630" s="28" t="s">
        <v>20040</v>
      </c>
      <c r="Q630" s="28" t="s">
        <v>17642</v>
      </c>
      <c r="R630" s="28" t="s">
        <v>17806</v>
      </c>
      <c r="S630" s="28">
        <v>2568339</v>
      </c>
      <c r="T630" s="28">
        <v>38668875</v>
      </c>
      <c r="V630" s="28">
        <v>1863</v>
      </c>
      <c r="W630" s="28" t="s">
        <v>2421</v>
      </c>
      <c r="X630" s="28" t="s">
        <v>194</v>
      </c>
      <c r="Y630" s="28">
        <v>1</v>
      </c>
      <c r="AH630" s="28" t="s">
        <v>4714</v>
      </c>
      <c r="AI630" s="28" t="s">
        <v>9433</v>
      </c>
      <c r="AJ630" s="516" t="str">
        <f>MID('II kw.22'!W630,8,6)</f>
        <v>412001</v>
      </c>
      <c r="AK630" s="516">
        <v>1</v>
      </c>
      <c r="AL630" s="516">
        <f t="shared" si="9"/>
        <v>1</v>
      </c>
      <c r="AM630" s="516">
        <v>1</v>
      </c>
      <c r="AN630" s="28">
        <v>1718</v>
      </c>
      <c r="AO630" s="28" t="s">
        <v>17651</v>
      </c>
      <c r="AP630" s="28" t="s">
        <v>17652</v>
      </c>
      <c r="AQ630" s="28" t="s">
        <v>17653</v>
      </c>
      <c r="AR630" s="28" t="s">
        <v>1024</v>
      </c>
    </row>
    <row r="631" spans="1:44" x14ac:dyDescent="0.25">
      <c r="A631" s="28" t="s">
        <v>12505</v>
      </c>
      <c r="B631" s="28" t="s">
        <v>19355</v>
      </c>
      <c r="C631" s="28" t="s">
        <v>19356</v>
      </c>
      <c r="D631" s="28" t="s">
        <v>17800</v>
      </c>
      <c r="E631" s="28" t="s">
        <v>217</v>
      </c>
      <c r="F631" s="28">
        <v>1</v>
      </c>
      <c r="G631" s="227" t="s">
        <v>194</v>
      </c>
      <c r="H631" s="227" t="s">
        <v>193</v>
      </c>
      <c r="I631" s="28" t="s">
        <v>17806</v>
      </c>
      <c r="J631" s="28" t="s">
        <v>6080</v>
      </c>
      <c r="K631" s="28">
        <v>18</v>
      </c>
      <c r="L631" s="28" t="s">
        <v>6955</v>
      </c>
      <c r="N631" s="28" t="s">
        <v>19357</v>
      </c>
      <c r="O631" s="28" t="s">
        <v>6363</v>
      </c>
      <c r="P631" s="28" t="s">
        <v>20040</v>
      </c>
      <c r="Q631" s="28" t="s">
        <v>17706</v>
      </c>
      <c r="R631" s="28" t="s">
        <v>19358</v>
      </c>
      <c r="S631" s="28">
        <v>2568360</v>
      </c>
      <c r="T631" s="28">
        <v>38668896</v>
      </c>
      <c r="V631" s="227"/>
      <c r="W631" s="28" t="s">
        <v>19361</v>
      </c>
      <c r="X631" s="28" t="s">
        <v>194</v>
      </c>
      <c r="Y631" s="509">
        <v>0</v>
      </c>
      <c r="AH631" s="28" t="s">
        <v>4714</v>
      </c>
      <c r="AI631" s="28" t="s">
        <v>9433</v>
      </c>
      <c r="AJ631" s="516" t="str">
        <f>MID('II kw.22'!W631,8,6)</f>
        <v>815101</v>
      </c>
      <c r="AK631" s="516">
        <v>1</v>
      </c>
      <c r="AL631" s="516">
        <f t="shared" si="9"/>
        <v>1</v>
      </c>
      <c r="AM631" s="516">
        <v>1</v>
      </c>
      <c r="AN631" s="28">
        <v>1718</v>
      </c>
      <c r="AO631" s="28" t="s">
        <v>17651</v>
      </c>
      <c r="AP631" s="28" t="s">
        <v>17652</v>
      </c>
      <c r="AQ631" s="28" t="s">
        <v>17653</v>
      </c>
      <c r="AR631" s="28" t="s">
        <v>1024</v>
      </c>
    </row>
    <row r="632" spans="1:44" x14ac:dyDescent="0.25">
      <c r="A632" s="28" t="s">
        <v>4022</v>
      </c>
      <c r="B632" s="28" t="s">
        <v>8022</v>
      </c>
      <c r="C632" s="28" t="s">
        <v>16313</v>
      </c>
      <c r="D632" s="28" t="s">
        <v>17800</v>
      </c>
      <c r="E632" s="28" t="s">
        <v>217</v>
      </c>
      <c r="F632" s="28">
        <v>1</v>
      </c>
      <c r="G632" s="28" t="s">
        <v>193</v>
      </c>
      <c r="H632" s="28" t="s">
        <v>194</v>
      </c>
      <c r="I632" s="28" t="s">
        <v>17806</v>
      </c>
      <c r="J632" s="28" t="s">
        <v>210</v>
      </c>
      <c r="K632" s="28">
        <v>18</v>
      </c>
      <c r="L632" s="28" t="s">
        <v>6955</v>
      </c>
      <c r="N632" s="28" t="s">
        <v>17821</v>
      </c>
      <c r="O632" s="28" t="s">
        <v>6290</v>
      </c>
      <c r="P632" s="28" t="s">
        <v>20040</v>
      </c>
      <c r="Q632" s="28" t="s">
        <v>17642</v>
      </c>
      <c r="R632" s="28" t="s">
        <v>17806</v>
      </c>
      <c r="S632" s="28">
        <v>2568386</v>
      </c>
      <c r="T632" s="28">
        <v>38668922</v>
      </c>
      <c r="V632" s="28">
        <v>1863</v>
      </c>
      <c r="W632" s="28" t="s">
        <v>16311</v>
      </c>
      <c r="X632" s="28" t="s">
        <v>194</v>
      </c>
      <c r="Y632" s="28">
        <v>1</v>
      </c>
      <c r="AH632" s="28" t="s">
        <v>4714</v>
      </c>
      <c r="AI632" s="28" t="s">
        <v>9433</v>
      </c>
      <c r="AJ632" s="516" t="str">
        <f>MID('II kw.22'!W632,8,6)</f>
        <v>524101</v>
      </c>
      <c r="AK632" s="516">
        <v>1</v>
      </c>
      <c r="AL632" s="516">
        <f t="shared" si="9"/>
        <v>1</v>
      </c>
      <c r="AM632" s="516">
        <v>1</v>
      </c>
      <c r="AN632" s="28">
        <v>1718</v>
      </c>
      <c r="AO632" s="28" t="s">
        <v>17651</v>
      </c>
      <c r="AP632" s="28" t="s">
        <v>17652</v>
      </c>
      <c r="AQ632" s="28" t="s">
        <v>17653</v>
      </c>
      <c r="AR632" s="28" t="s">
        <v>1024</v>
      </c>
    </row>
    <row r="633" spans="1:44" x14ac:dyDescent="0.25">
      <c r="A633" s="29" t="s">
        <v>258</v>
      </c>
      <c r="B633" s="28" t="s">
        <v>7677</v>
      </c>
      <c r="C633" s="28" t="s">
        <v>778</v>
      </c>
      <c r="D633" s="28" t="s">
        <v>17800</v>
      </c>
      <c r="E633" s="28" t="s">
        <v>217</v>
      </c>
      <c r="F633" s="241">
        <v>1</v>
      </c>
      <c r="G633" s="227" t="s">
        <v>194</v>
      </c>
      <c r="H633" s="227" t="s">
        <v>193</v>
      </c>
      <c r="I633" s="28" t="s">
        <v>17806</v>
      </c>
      <c r="J633" s="28" t="s">
        <v>18344</v>
      </c>
      <c r="K633" s="28">
        <v>18</v>
      </c>
      <c r="L633" s="28" t="s">
        <v>6955</v>
      </c>
      <c r="N633" s="28" t="s">
        <v>18345</v>
      </c>
      <c r="O633" s="28" t="s">
        <v>6251</v>
      </c>
      <c r="P633" s="28" t="s">
        <v>19986</v>
      </c>
      <c r="Q633" s="28" t="s">
        <v>17656</v>
      </c>
      <c r="R633" s="28" t="s">
        <v>18335</v>
      </c>
      <c r="S633" s="28">
        <v>2568398</v>
      </c>
      <c r="T633" s="28">
        <v>38668934</v>
      </c>
      <c r="V633" s="227"/>
      <c r="W633" s="28" t="s">
        <v>779</v>
      </c>
      <c r="X633" s="28" t="s">
        <v>194</v>
      </c>
      <c r="Y633" s="509">
        <v>0</v>
      </c>
      <c r="AH633" s="28" t="s">
        <v>4714</v>
      </c>
      <c r="AI633" s="28" t="s">
        <v>778</v>
      </c>
      <c r="AJ633" s="516" t="str">
        <f>MID('II kw.22'!W633,8,6)</f>
        <v>524902</v>
      </c>
      <c r="AK633" s="516">
        <v>1</v>
      </c>
      <c r="AL633" s="516">
        <f>SUM(F633)</f>
        <v>1</v>
      </c>
      <c r="AM633" s="516">
        <v>1</v>
      </c>
      <c r="AN633" s="28">
        <v>2236</v>
      </c>
      <c r="AO633" s="29"/>
      <c r="AP633" s="29"/>
      <c r="AQ633" s="29"/>
      <c r="AR633" s="29"/>
    </row>
    <row r="634" spans="1:44" x14ac:dyDescent="0.25">
      <c r="A634" s="28" t="s">
        <v>581</v>
      </c>
      <c r="B634" s="28" t="s">
        <v>3873</v>
      </c>
      <c r="C634" s="28" t="s">
        <v>62</v>
      </c>
      <c r="D634" s="28" t="s">
        <v>17800</v>
      </c>
      <c r="E634" s="28" t="s">
        <v>217</v>
      </c>
      <c r="F634" s="28">
        <v>1</v>
      </c>
      <c r="G634" s="28" t="s">
        <v>193</v>
      </c>
      <c r="H634" s="28" t="s">
        <v>194</v>
      </c>
      <c r="I634" s="28" t="s">
        <v>17806</v>
      </c>
      <c r="J634" s="28" t="s">
        <v>976</v>
      </c>
      <c r="K634" s="28">
        <v>18</v>
      </c>
      <c r="L634" s="28" t="s">
        <v>6955</v>
      </c>
      <c r="N634" s="28" t="s">
        <v>19368</v>
      </c>
      <c r="O634" s="28" t="s">
        <v>6275</v>
      </c>
      <c r="P634" s="28" t="s">
        <v>20040</v>
      </c>
      <c r="Q634" s="28" t="s">
        <v>17656</v>
      </c>
      <c r="R634" s="28" t="s">
        <v>18319</v>
      </c>
      <c r="S634" s="28">
        <v>2568418</v>
      </c>
      <c r="T634" s="28">
        <v>38668954</v>
      </c>
      <c r="V634" s="28">
        <v>1816</v>
      </c>
      <c r="W634" s="28" t="s">
        <v>601</v>
      </c>
      <c r="X634" s="28" t="s">
        <v>194</v>
      </c>
      <c r="Y634" s="28">
        <v>1</v>
      </c>
      <c r="AH634" s="28" t="s">
        <v>4714</v>
      </c>
      <c r="AI634" s="28" t="s">
        <v>9433</v>
      </c>
      <c r="AJ634" s="516" t="str">
        <f>MID('II kw.22'!W634,8,6)</f>
        <v>313904</v>
      </c>
      <c r="AK634" s="516">
        <v>1</v>
      </c>
      <c r="AL634" s="516">
        <f t="shared" ref="AL634:AL697" si="10">SUM(F634)</f>
        <v>1</v>
      </c>
      <c r="AM634" s="516">
        <v>1</v>
      </c>
      <c r="AN634" s="28">
        <v>1718</v>
      </c>
      <c r="AO634" s="28" t="s">
        <v>17651</v>
      </c>
      <c r="AP634" s="28" t="s">
        <v>17652</v>
      </c>
      <c r="AQ634" s="28" t="s">
        <v>17653</v>
      </c>
      <c r="AR634" s="28" t="s">
        <v>1024</v>
      </c>
    </row>
    <row r="635" spans="1:44" x14ac:dyDescent="0.25">
      <c r="A635" s="28" t="s">
        <v>581</v>
      </c>
      <c r="B635" s="28" t="s">
        <v>20041</v>
      </c>
      <c r="C635" s="28" t="s">
        <v>62</v>
      </c>
      <c r="D635" s="28" t="s">
        <v>17800</v>
      </c>
      <c r="E635" s="28" t="s">
        <v>217</v>
      </c>
      <c r="F635" s="28">
        <v>1</v>
      </c>
      <c r="G635" s="28" t="s">
        <v>193</v>
      </c>
      <c r="H635" s="28" t="s">
        <v>194</v>
      </c>
      <c r="I635" s="28" t="s">
        <v>17806</v>
      </c>
      <c r="J635" s="28" t="s">
        <v>976</v>
      </c>
      <c r="K635" s="28">
        <v>18</v>
      </c>
      <c r="L635" s="28" t="s">
        <v>6955</v>
      </c>
      <c r="N635" s="28" t="s">
        <v>20042</v>
      </c>
      <c r="O635" s="28" t="s">
        <v>6269</v>
      </c>
      <c r="P635" s="28" t="s">
        <v>20040</v>
      </c>
      <c r="Q635" s="28" t="s">
        <v>19175</v>
      </c>
      <c r="R635" s="28" t="s">
        <v>19248</v>
      </c>
      <c r="S635" s="28">
        <v>2568454</v>
      </c>
      <c r="T635" s="28">
        <v>38668990</v>
      </c>
      <c r="V635" s="28">
        <v>1816</v>
      </c>
      <c r="W635" s="28" t="s">
        <v>601</v>
      </c>
      <c r="X635" s="28" t="s">
        <v>194</v>
      </c>
      <c r="Y635" s="28">
        <v>1</v>
      </c>
      <c r="AH635" s="28" t="s">
        <v>4714</v>
      </c>
      <c r="AI635" s="28" t="s">
        <v>9433</v>
      </c>
      <c r="AJ635" s="516" t="str">
        <f>MID('II kw.22'!W635,8,6)</f>
        <v>313904</v>
      </c>
      <c r="AK635" s="516">
        <v>1</v>
      </c>
      <c r="AL635" s="516">
        <f t="shared" si="10"/>
        <v>1</v>
      </c>
      <c r="AM635" s="516">
        <v>1</v>
      </c>
      <c r="AN635" s="28">
        <v>1718</v>
      </c>
      <c r="AO635" s="28" t="s">
        <v>17651</v>
      </c>
      <c r="AP635" s="28" t="s">
        <v>17652</v>
      </c>
      <c r="AQ635" s="28" t="s">
        <v>17653</v>
      </c>
      <c r="AR635" s="28" t="s">
        <v>1024</v>
      </c>
    </row>
    <row r="636" spans="1:44" x14ac:dyDescent="0.25">
      <c r="A636" s="28" t="s">
        <v>20043</v>
      </c>
      <c r="B636" s="28" t="s">
        <v>20044</v>
      </c>
      <c r="C636" s="28" t="s">
        <v>84</v>
      </c>
      <c r="D636" s="28" t="s">
        <v>17800</v>
      </c>
      <c r="E636" s="28" t="s">
        <v>217</v>
      </c>
      <c r="F636" s="28">
        <v>1</v>
      </c>
      <c r="G636" s="28" t="s">
        <v>193</v>
      </c>
      <c r="H636" s="28" t="s">
        <v>194</v>
      </c>
      <c r="I636" s="28" t="s">
        <v>17806</v>
      </c>
      <c r="J636" s="28" t="s">
        <v>210</v>
      </c>
      <c r="K636" s="28">
        <v>18</v>
      </c>
      <c r="L636" s="28" t="s">
        <v>6955</v>
      </c>
      <c r="N636" s="28" t="s">
        <v>20045</v>
      </c>
      <c r="O636" s="28" t="s">
        <v>6269</v>
      </c>
      <c r="P636" s="28" t="s">
        <v>20040</v>
      </c>
      <c r="Q636" s="28" t="s">
        <v>18819</v>
      </c>
      <c r="R636" s="28" t="s">
        <v>20007</v>
      </c>
      <c r="S636" s="28">
        <v>2568505</v>
      </c>
      <c r="T636" s="28">
        <v>38669041</v>
      </c>
      <c r="V636" s="28">
        <v>1863</v>
      </c>
      <c r="W636" s="28" t="s">
        <v>2665</v>
      </c>
      <c r="X636" s="28" t="s">
        <v>194</v>
      </c>
      <c r="Y636" s="28">
        <v>1</v>
      </c>
      <c r="AH636" s="28" t="s">
        <v>4714</v>
      </c>
      <c r="AI636" s="28" t="s">
        <v>9433</v>
      </c>
      <c r="AJ636" s="516" t="str">
        <f>MID('II kw.22'!W636,8,6)</f>
        <v>541315</v>
      </c>
      <c r="AK636" s="516">
        <v>1</v>
      </c>
      <c r="AL636" s="516">
        <f t="shared" si="10"/>
        <v>1</v>
      </c>
      <c r="AM636" s="516">
        <v>1</v>
      </c>
      <c r="AN636" s="28">
        <v>1718</v>
      </c>
      <c r="AO636" s="28" t="s">
        <v>17651</v>
      </c>
      <c r="AP636" s="28" t="s">
        <v>17652</v>
      </c>
      <c r="AQ636" s="28" t="s">
        <v>17653</v>
      </c>
      <c r="AR636" s="28" t="s">
        <v>1024</v>
      </c>
    </row>
    <row r="637" spans="1:44" x14ac:dyDescent="0.25">
      <c r="A637" s="28" t="s">
        <v>258</v>
      </c>
      <c r="B637" s="28" t="s">
        <v>7677</v>
      </c>
      <c r="C637" s="28" t="s">
        <v>778</v>
      </c>
      <c r="D637" s="28" t="s">
        <v>17800</v>
      </c>
      <c r="E637" s="28" t="s">
        <v>217</v>
      </c>
      <c r="F637" s="28">
        <v>1</v>
      </c>
      <c r="G637" s="28" t="s">
        <v>193</v>
      </c>
      <c r="H637" s="28" t="s">
        <v>194</v>
      </c>
      <c r="I637" s="28" t="s">
        <v>17806</v>
      </c>
      <c r="J637" s="28" t="s">
        <v>385</v>
      </c>
      <c r="K637" s="28">
        <v>18</v>
      </c>
      <c r="L637" s="28" t="s">
        <v>6955</v>
      </c>
      <c r="N637" s="28" t="s">
        <v>19371</v>
      </c>
      <c r="O637" s="28" t="s">
        <v>6251</v>
      </c>
      <c r="P637" s="28" t="s">
        <v>19986</v>
      </c>
      <c r="Q637" s="28" t="s">
        <v>17784</v>
      </c>
      <c r="R637" s="28" t="s">
        <v>19372</v>
      </c>
      <c r="S637" s="28">
        <v>2568512</v>
      </c>
      <c r="T637" s="28">
        <v>38669048</v>
      </c>
      <c r="V637" s="28">
        <v>1861</v>
      </c>
      <c r="W637" s="28" t="s">
        <v>779</v>
      </c>
      <c r="X637" s="28" t="s">
        <v>194</v>
      </c>
      <c r="Y637" s="28">
        <v>1</v>
      </c>
      <c r="AH637" s="28" t="s">
        <v>4714</v>
      </c>
      <c r="AI637" s="28" t="s">
        <v>778</v>
      </c>
      <c r="AJ637" s="516" t="str">
        <f>MID('II kw.22'!W637,8,6)</f>
        <v>524902</v>
      </c>
      <c r="AK637" s="516">
        <v>1</v>
      </c>
      <c r="AL637" s="516">
        <f t="shared" si="10"/>
        <v>1</v>
      </c>
      <c r="AM637" s="516">
        <v>1</v>
      </c>
      <c r="AN637" s="28">
        <v>1718</v>
      </c>
      <c r="AO637" s="28" t="s">
        <v>17651</v>
      </c>
      <c r="AP637" s="28" t="s">
        <v>17652</v>
      </c>
      <c r="AQ637" s="28" t="s">
        <v>17653</v>
      </c>
      <c r="AR637" s="28" t="s">
        <v>1024</v>
      </c>
    </row>
    <row r="638" spans="1:44" x14ac:dyDescent="0.25">
      <c r="A638" s="28" t="s">
        <v>581</v>
      </c>
      <c r="B638" s="28" t="s">
        <v>17568</v>
      </c>
      <c r="C638" s="28" t="s">
        <v>62</v>
      </c>
      <c r="D638" s="28" t="s">
        <v>17800</v>
      </c>
      <c r="E638" s="28" t="s">
        <v>217</v>
      </c>
      <c r="F638" s="28">
        <v>1</v>
      </c>
      <c r="G638" s="28" t="s">
        <v>193</v>
      </c>
      <c r="H638" s="28" t="s">
        <v>194</v>
      </c>
      <c r="I638" s="28" t="s">
        <v>17806</v>
      </c>
      <c r="J638" s="28" t="s">
        <v>253</v>
      </c>
      <c r="K638" s="28">
        <v>18</v>
      </c>
      <c r="L638" s="28" t="s">
        <v>6955</v>
      </c>
      <c r="N638" s="28" t="s">
        <v>18351</v>
      </c>
      <c r="O638" s="28" t="s">
        <v>6269</v>
      </c>
      <c r="P638" s="28" t="s">
        <v>20040</v>
      </c>
      <c r="Q638" s="28" t="s">
        <v>17656</v>
      </c>
      <c r="R638" s="28" t="s">
        <v>18335</v>
      </c>
      <c r="S638" s="28">
        <v>2568610</v>
      </c>
      <c r="T638" s="28">
        <v>38669146</v>
      </c>
      <c r="V638" s="28">
        <v>1811</v>
      </c>
      <c r="W638" s="28" t="s">
        <v>601</v>
      </c>
      <c r="X638" s="28" t="s">
        <v>194</v>
      </c>
      <c r="Y638" s="28">
        <v>1</v>
      </c>
      <c r="AH638" s="28" t="s">
        <v>4714</v>
      </c>
      <c r="AI638" s="28" t="s">
        <v>9433</v>
      </c>
      <c r="AJ638" s="516" t="str">
        <f>MID('II kw.22'!W638,8,6)</f>
        <v>313904</v>
      </c>
      <c r="AK638" s="516">
        <v>1</v>
      </c>
      <c r="AL638" s="516">
        <f t="shared" si="10"/>
        <v>1</v>
      </c>
      <c r="AM638" s="516">
        <v>1</v>
      </c>
      <c r="AN638" s="28">
        <v>1718</v>
      </c>
      <c r="AO638" s="28" t="s">
        <v>17651</v>
      </c>
      <c r="AP638" s="28" t="s">
        <v>17652</v>
      </c>
      <c r="AQ638" s="28" t="s">
        <v>17653</v>
      </c>
      <c r="AR638" s="28" t="s">
        <v>1024</v>
      </c>
    </row>
    <row r="639" spans="1:44" x14ac:dyDescent="0.25">
      <c r="A639" s="28" t="s">
        <v>258</v>
      </c>
      <c r="B639" s="28" t="s">
        <v>7677</v>
      </c>
      <c r="C639" s="28" t="s">
        <v>778</v>
      </c>
      <c r="D639" s="28" t="s">
        <v>17800</v>
      </c>
      <c r="E639" s="28" t="s">
        <v>217</v>
      </c>
      <c r="F639" s="28">
        <v>1</v>
      </c>
      <c r="G639" s="28" t="s">
        <v>193</v>
      </c>
      <c r="H639" s="28" t="s">
        <v>194</v>
      </c>
      <c r="I639" s="28" t="s">
        <v>17806</v>
      </c>
      <c r="J639" s="28" t="s">
        <v>385</v>
      </c>
      <c r="K639" s="28">
        <v>18</v>
      </c>
      <c r="L639" s="28" t="s">
        <v>6955</v>
      </c>
      <c r="N639" s="28" t="s">
        <v>19379</v>
      </c>
      <c r="O639" s="28" t="s">
        <v>6251</v>
      </c>
      <c r="P639" s="28" t="s">
        <v>19986</v>
      </c>
      <c r="Q639" s="28" t="s">
        <v>17759</v>
      </c>
      <c r="R639" s="28" t="s">
        <v>19256</v>
      </c>
      <c r="S639" s="28">
        <v>2568616</v>
      </c>
      <c r="T639" s="28">
        <v>38669152</v>
      </c>
      <c r="V639" s="28">
        <v>1861</v>
      </c>
      <c r="W639" s="28" t="s">
        <v>779</v>
      </c>
      <c r="X639" s="28" t="s">
        <v>194</v>
      </c>
      <c r="Y639" s="28">
        <v>1</v>
      </c>
      <c r="AH639" s="28" t="s">
        <v>4714</v>
      </c>
      <c r="AI639" s="28" t="s">
        <v>778</v>
      </c>
      <c r="AJ639" s="516" t="str">
        <f>MID('II kw.22'!W639,8,6)</f>
        <v>524902</v>
      </c>
      <c r="AK639" s="516">
        <v>1</v>
      </c>
      <c r="AL639" s="516">
        <f t="shared" si="10"/>
        <v>1</v>
      </c>
      <c r="AM639" s="516">
        <v>1</v>
      </c>
      <c r="AN639" s="28">
        <v>1718</v>
      </c>
      <c r="AO639" s="28" t="s">
        <v>17651</v>
      </c>
      <c r="AP639" s="28" t="s">
        <v>17652</v>
      </c>
      <c r="AQ639" s="28" t="s">
        <v>17653</v>
      </c>
      <c r="AR639" s="28" t="s">
        <v>1024</v>
      </c>
    </row>
    <row r="640" spans="1:44" x14ac:dyDescent="0.25">
      <c r="A640" s="28" t="s">
        <v>15464</v>
      </c>
      <c r="B640" s="28" t="s">
        <v>16319</v>
      </c>
      <c r="C640" s="28" t="s">
        <v>80</v>
      </c>
      <c r="D640" s="28" t="s">
        <v>17800</v>
      </c>
      <c r="E640" s="28" t="s">
        <v>217</v>
      </c>
      <c r="F640" s="28">
        <v>1</v>
      </c>
      <c r="G640" s="28" t="s">
        <v>193</v>
      </c>
      <c r="H640" s="28" t="s">
        <v>194</v>
      </c>
      <c r="I640" s="28" t="s">
        <v>17806</v>
      </c>
      <c r="J640" s="28" t="s">
        <v>210</v>
      </c>
      <c r="K640" s="28">
        <v>18</v>
      </c>
      <c r="L640" s="28" t="s">
        <v>6955</v>
      </c>
      <c r="N640" s="28" t="s">
        <v>17833</v>
      </c>
      <c r="O640" s="28" t="s">
        <v>6269</v>
      </c>
      <c r="P640" s="28" t="s">
        <v>20040</v>
      </c>
      <c r="Q640" s="28" t="s">
        <v>18819</v>
      </c>
      <c r="R640" s="28" t="s">
        <v>17806</v>
      </c>
      <c r="S640" s="28">
        <v>2568632</v>
      </c>
      <c r="T640" s="28">
        <v>38669168</v>
      </c>
      <c r="V640" s="28">
        <v>1863</v>
      </c>
      <c r="W640" s="28" t="s">
        <v>474</v>
      </c>
      <c r="X640" s="28" t="s">
        <v>194</v>
      </c>
      <c r="Y640" s="28">
        <v>1</v>
      </c>
      <c r="AH640" s="28" t="s">
        <v>4714</v>
      </c>
      <c r="AI640" s="28" t="s">
        <v>9433</v>
      </c>
      <c r="AJ640" s="516" t="str">
        <f>MID('II kw.22'!W640,8,6)</f>
        <v>243304</v>
      </c>
      <c r="AK640" s="516">
        <v>1</v>
      </c>
      <c r="AL640" s="516">
        <f t="shared" si="10"/>
        <v>1</v>
      </c>
      <c r="AM640" s="516">
        <v>1</v>
      </c>
      <c r="AN640" s="28">
        <v>1718</v>
      </c>
      <c r="AO640" s="28" t="s">
        <v>17651</v>
      </c>
      <c r="AP640" s="28" t="s">
        <v>17652</v>
      </c>
      <c r="AQ640" s="28" t="s">
        <v>17653</v>
      </c>
      <c r="AR640" s="28" t="s">
        <v>1024</v>
      </c>
    </row>
    <row r="641" spans="1:44" x14ac:dyDescent="0.25">
      <c r="A641" s="28" t="s">
        <v>581</v>
      </c>
      <c r="B641" s="28" t="s">
        <v>16322</v>
      </c>
      <c r="C641" s="28" t="s">
        <v>100</v>
      </c>
      <c r="D641" s="28" t="s">
        <v>17800</v>
      </c>
      <c r="E641" s="28" t="s">
        <v>217</v>
      </c>
      <c r="F641" s="28">
        <v>1</v>
      </c>
      <c r="G641" s="28" t="s">
        <v>193</v>
      </c>
      <c r="H641" s="28" t="s">
        <v>194</v>
      </c>
      <c r="I641" s="28" t="s">
        <v>17806</v>
      </c>
      <c r="J641" s="28" t="s">
        <v>210</v>
      </c>
      <c r="K641" s="28">
        <v>18</v>
      </c>
      <c r="L641" s="28" t="s">
        <v>6955</v>
      </c>
      <c r="N641" s="28" t="s">
        <v>19384</v>
      </c>
      <c r="O641" s="28" t="s">
        <v>6269</v>
      </c>
      <c r="P641" s="28" t="s">
        <v>20040</v>
      </c>
      <c r="Q641" s="28" t="s">
        <v>17759</v>
      </c>
      <c r="R641" s="28" t="s">
        <v>18221</v>
      </c>
      <c r="S641" s="28">
        <v>2568636</v>
      </c>
      <c r="T641" s="28">
        <v>38669172</v>
      </c>
      <c r="V641" s="28">
        <v>1863</v>
      </c>
      <c r="W641" s="28" t="s">
        <v>429</v>
      </c>
      <c r="X641" s="28" t="s">
        <v>194</v>
      </c>
      <c r="Y641" s="28">
        <v>1</v>
      </c>
      <c r="AH641" s="28" t="s">
        <v>4714</v>
      </c>
      <c r="AI641" s="28" t="s">
        <v>9433</v>
      </c>
      <c r="AJ641" s="516" t="str">
        <f>MID('II kw.22'!W641,8,6)</f>
        <v>242108</v>
      </c>
      <c r="AK641" s="516">
        <v>1</v>
      </c>
      <c r="AL641" s="516">
        <f t="shared" si="10"/>
        <v>1</v>
      </c>
      <c r="AM641" s="516">
        <v>1</v>
      </c>
      <c r="AN641" s="28">
        <v>1718</v>
      </c>
      <c r="AO641" s="28" t="s">
        <v>17651</v>
      </c>
      <c r="AP641" s="28" t="s">
        <v>17652</v>
      </c>
      <c r="AQ641" s="28" t="s">
        <v>17653</v>
      </c>
      <c r="AR641" s="28" t="s">
        <v>1024</v>
      </c>
    </row>
    <row r="642" spans="1:44" x14ac:dyDescent="0.25">
      <c r="A642" s="28" t="s">
        <v>581</v>
      </c>
      <c r="B642" s="28" t="s">
        <v>16315</v>
      </c>
      <c r="C642" s="28" t="s">
        <v>886</v>
      </c>
      <c r="D642" s="28" t="s">
        <v>17800</v>
      </c>
      <c r="E642" s="28" t="s">
        <v>217</v>
      </c>
      <c r="F642" s="28">
        <v>1</v>
      </c>
      <c r="G642" s="28" t="s">
        <v>193</v>
      </c>
      <c r="H642" s="28" t="s">
        <v>194</v>
      </c>
      <c r="I642" s="28" t="s">
        <v>17806</v>
      </c>
      <c r="J642" s="28" t="s">
        <v>976</v>
      </c>
      <c r="K642" s="28">
        <v>18</v>
      </c>
      <c r="L642" s="28" t="s">
        <v>6955</v>
      </c>
      <c r="N642" s="28" t="s">
        <v>18356</v>
      </c>
      <c r="O642" s="28" t="s">
        <v>6275</v>
      </c>
      <c r="P642" s="28" t="s">
        <v>20040</v>
      </c>
      <c r="Q642" s="28" t="s">
        <v>19175</v>
      </c>
      <c r="R642" s="28" t="s">
        <v>18357</v>
      </c>
      <c r="S642" s="28">
        <v>2568649</v>
      </c>
      <c r="T642" s="28">
        <v>38669185</v>
      </c>
      <c r="V642" s="28">
        <v>1816</v>
      </c>
      <c r="W642" s="28" t="s">
        <v>887</v>
      </c>
      <c r="X642" s="28" t="s">
        <v>194</v>
      </c>
      <c r="Y642" s="28">
        <v>1</v>
      </c>
      <c r="AH642" s="28" t="s">
        <v>4714</v>
      </c>
      <c r="AI642" s="28" t="s">
        <v>9433</v>
      </c>
      <c r="AJ642" s="516" t="str">
        <f>MID('II kw.22'!W642,8,6)</f>
        <v>834401</v>
      </c>
      <c r="AK642" s="516">
        <v>1</v>
      </c>
      <c r="AL642" s="516">
        <f t="shared" si="10"/>
        <v>1</v>
      </c>
      <c r="AM642" s="516">
        <v>1</v>
      </c>
      <c r="AN642" s="28">
        <v>1718</v>
      </c>
      <c r="AO642" s="28" t="s">
        <v>17651</v>
      </c>
      <c r="AP642" s="28" t="s">
        <v>17652</v>
      </c>
      <c r="AQ642" s="28" t="s">
        <v>17653</v>
      </c>
      <c r="AR642" s="28" t="s">
        <v>1024</v>
      </c>
    </row>
    <row r="643" spans="1:44" x14ac:dyDescent="0.25">
      <c r="A643" s="28" t="s">
        <v>581</v>
      </c>
      <c r="B643" s="28" t="s">
        <v>3873</v>
      </c>
      <c r="C643" s="28" t="s">
        <v>62</v>
      </c>
      <c r="D643" s="28" t="s">
        <v>17800</v>
      </c>
      <c r="E643" s="28" t="s">
        <v>217</v>
      </c>
      <c r="F643" s="28">
        <v>1</v>
      </c>
      <c r="G643" s="28" t="s">
        <v>193</v>
      </c>
      <c r="H643" s="28" t="s">
        <v>194</v>
      </c>
      <c r="I643" s="28" t="s">
        <v>17806</v>
      </c>
      <c r="J643" s="28" t="s">
        <v>976</v>
      </c>
      <c r="K643" s="28">
        <v>18</v>
      </c>
      <c r="L643" s="28" t="s">
        <v>6955</v>
      </c>
      <c r="N643" s="28" t="s">
        <v>19389</v>
      </c>
      <c r="O643" s="28" t="s">
        <v>6275</v>
      </c>
      <c r="P643" s="28" t="s">
        <v>20040</v>
      </c>
      <c r="Q643" s="28" t="s">
        <v>17759</v>
      </c>
      <c r="R643" s="28" t="s">
        <v>18221</v>
      </c>
      <c r="S643" s="28">
        <v>2568660</v>
      </c>
      <c r="T643" s="28">
        <v>38669196</v>
      </c>
      <c r="V643" s="28">
        <v>1816</v>
      </c>
      <c r="W643" s="28" t="s">
        <v>601</v>
      </c>
      <c r="X643" s="28" t="s">
        <v>194</v>
      </c>
      <c r="Y643" s="28">
        <v>1</v>
      </c>
      <c r="AH643" s="28" t="s">
        <v>4714</v>
      </c>
      <c r="AI643" s="28" t="s">
        <v>9433</v>
      </c>
      <c r="AJ643" s="516" t="str">
        <f>MID('II kw.22'!W643,8,6)</f>
        <v>313904</v>
      </c>
      <c r="AK643" s="516">
        <v>1</v>
      </c>
      <c r="AL643" s="516">
        <f t="shared" si="10"/>
        <v>1</v>
      </c>
      <c r="AM643" s="516">
        <v>1</v>
      </c>
      <c r="AN643" s="28">
        <v>1718</v>
      </c>
      <c r="AO643" s="28" t="s">
        <v>17651</v>
      </c>
      <c r="AP643" s="28" t="s">
        <v>17652</v>
      </c>
      <c r="AQ643" s="28" t="s">
        <v>17653</v>
      </c>
      <c r="AR643" s="28" t="s">
        <v>1024</v>
      </c>
    </row>
    <row r="644" spans="1:44" x14ac:dyDescent="0.25">
      <c r="A644" s="28" t="s">
        <v>20046</v>
      </c>
      <c r="B644" s="28" t="s">
        <v>20047</v>
      </c>
      <c r="C644" s="28" t="s">
        <v>935</v>
      </c>
      <c r="D644" s="28" t="s">
        <v>17800</v>
      </c>
      <c r="E644" s="28" t="s">
        <v>192</v>
      </c>
      <c r="F644" s="28">
        <v>1</v>
      </c>
      <c r="G644" s="28" t="s">
        <v>193</v>
      </c>
      <c r="H644" s="28" t="s">
        <v>194</v>
      </c>
      <c r="I644" s="28" t="s">
        <v>17806</v>
      </c>
      <c r="J644" s="28" t="s">
        <v>9302</v>
      </c>
      <c r="K644" s="28">
        <v>18</v>
      </c>
      <c r="L644" s="28" t="s">
        <v>6955</v>
      </c>
      <c r="N644" s="28" t="s">
        <v>20048</v>
      </c>
      <c r="O644" s="28" t="s">
        <v>6245</v>
      </c>
      <c r="P644" s="28" t="s">
        <v>20049</v>
      </c>
      <c r="Q644" s="28" t="s">
        <v>18819</v>
      </c>
      <c r="R644" s="28" t="s">
        <v>20007</v>
      </c>
      <c r="S644" s="28">
        <v>2568702</v>
      </c>
      <c r="T644" s="28">
        <v>38669317</v>
      </c>
      <c r="V644" s="27"/>
      <c r="W644" s="28" t="s">
        <v>936</v>
      </c>
      <c r="X644" s="28" t="s">
        <v>193</v>
      </c>
      <c r="Y644" s="27">
        <v>25</v>
      </c>
      <c r="AH644" s="28" t="s">
        <v>4714</v>
      </c>
      <c r="AI644" s="28" t="s">
        <v>20047</v>
      </c>
      <c r="AJ644" s="516" t="str">
        <f>MID('II kw.22'!W644,8,6)</f>
        <v>213205</v>
      </c>
      <c r="AK644" s="516">
        <v>1</v>
      </c>
      <c r="AL644" s="516">
        <f t="shared" si="10"/>
        <v>1</v>
      </c>
      <c r="AM644" s="516">
        <v>1</v>
      </c>
      <c r="AN644" s="28">
        <v>1718</v>
      </c>
      <c r="AO644" s="28" t="s">
        <v>17651</v>
      </c>
      <c r="AP644" s="28" t="s">
        <v>17652</v>
      </c>
      <c r="AQ644" s="28" t="s">
        <v>17653</v>
      </c>
      <c r="AR644" s="28" t="s">
        <v>1024</v>
      </c>
    </row>
    <row r="645" spans="1:44" x14ac:dyDescent="0.25">
      <c r="A645" s="28" t="s">
        <v>20050</v>
      </c>
      <c r="B645" s="28" t="s">
        <v>20051</v>
      </c>
      <c r="C645" s="28" t="s">
        <v>3645</v>
      </c>
      <c r="D645" s="28" t="s">
        <v>17800</v>
      </c>
      <c r="E645" s="28" t="s">
        <v>192</v>
      </c>
      <c r="F645" s="28">
        <v>1</v>
      </c>
      <c r="G645" s="28" t="s">
        <v>193</v>
      </c>
      <c r="H645" s="28" t="s">
        <v>194</v>
      </c>
      <c r="I645" s="28" t="s">
        <v>17806</v>
      </c>
      <c r="J645" s="28" t="s">
        <v>9302</v>
      </c>
      <c r="K645" s="28">
        <v>18</v>
      </c>
      <c r="L645" s="28" t="s">
        <v>6955</v>
      </c>
      <c r="N645" s="28" t="s">
        <v>20052</v>
      </c>
      <c r="O645" s="28" t="s">
        <v>6258</v>
      </c>
      <c r="P645" s="28" t="s">
        <v>20049</v>
      </c>
      <c r="Q645" s="28" t="s">
        <v>18819</v>
      </c>
      <c r="R645" s="28" t="s">
        <v>20007</v>
      </c>
      <c r="S645" s="28">
        <v>2568733</v>
      </c>
      <c r="T645" s="28">
        <v>38669348</v>
      </c>
      <c r="V645" s="27"/>
      <c r="W645" s="28" t="s">
        <v>3647</v>
      </c>
      <c r="X645" s="28" t="s">
        <v>193</v>
      </c>
      <c r="Y645" s="27">
        <v>25</v>
      </c>
      <c r="AH645" s="28" t="s">
        <v>4714</v>
      </c>
      <c r="AI645" s="28" t="s">
        <v>20051</v>
      </c>
      <c r="AJ645" s="516" t="str">
        <f>MID('II kw.22'!W645,8,6)</f>
        <v>741207</v>
      </c>
      <c r="AK645" s="516">
        <v>1</v>
      </c>
      <c r="AL645" s="516">
        <f t="shared" si="10"/>
        <v>1</v>
      </c>
      <c r="AM645" s="516">
        <v>1</v>
      </c>
      <c r="AN645" s="28">
        <v>1718</v>
      </c>
      <c r="AO645" s="28" t="s">
        <v>17651</v>
      </c>
      <c r="AP645" s="28" t="s">
        <v>17652</v>
      </c>
      <c r="AQ645" s="28" t="s">
        <v>17653</v>
      </c>
      <c r="AR645" s="28" t="s">
        <v>1024</v>
      </c>
    </row>
    <row r="646" spans="1:44" x14ac:dyDescent="0.25">
      <c r="A646" s="28" t="s">
        <v>17076</v>
      </c>
      <c r="B646" s="28" t="s">
        <v>20053</v>
      </c>
      <c r="C646" s="28" t="s">
        <v>778</v>
      </c>
      <c r="D646" s="28" t="s">
        <v>17800</v>
      </c>
      <c r="E646" s="28" t="s">
        <v>192</v>
      </c>
      <c r="F646" s="28">
        <v>1</v>
      </c>
      <c r="G646" s="28" t="s">
        <v>193</v>
      </c>
      <c r="H646" s="28" t="s">
        <v>194</v>
      </c>
      <c r="I646" s="28" t="s">
        <v>17806</v>
      </c>
      <c r="J646" s="28" t="s">
        <v>9302</v>
      </c>
      <c r="K646" s="28">
        <v>18</v>
      </c>
      <c r="L646" s="28" t="s">
        <v>6955</v>
      </c>
      <c r="N646" s="28" t="s">
        <v>20054</v>
      </c>
      <c r="O646" s="28" t="s">
        <v>6343</v>
      </c>
      <c r="P646" s="28" t="s">
        <v>20049</v>
      </c>
      <c r="Q646" s="28" t="s">
        <v>18819</v>
      </c>
      <c r="R646" s="28" t="s">
        <v>20007</v>
      </c>
      <c r="S646" s="28">
        <v>2568749</v>
      </c>
      <c r="T646" s="28">
        <v>38669364</v>
      </c>
      <c r="V646" s="27"/>
      <c r="W646" s="28" t="s">
        <v>779</v>
      </c>
      <c r="X646" s="28" t="s">
        <v>193</v>
      </c>
      <c r="Y646" s="27">
        <v>25</v>
      </c>
      <c r="AH646" s="28" t="s">
        <v>4714</v>
      </c>
      <c r="AI646" s="28" t="s">
        <v>20053</v>
      </c>
      <c r="AJ646" s="516" t="str">
        <f>MID('II kw.22'!W646,8,6)</f>
        <v>524902</v>
      </c>
      <c r="AK646" s="516">
        <v>1</v>
      </c>
      <c r="AL646" s="516">
        <f t="shared" si="10"/>
        <v>1</v>
      </c>
      <c r="AM646" s="516">
        <v>1</v>
      </c>
      <c r="AN646" s="28">
        <v>1718</v>
      </c>
      <c r="AO646" s="28" t="s">
        <v>17651</v>
      </c>
      <c r="AP646" s="28" t="s">
        <v>17652</v>
      </c>
      <c r="AQ646" s="28" t="s">
        <v>17653</v>
      </c>
      <c r="AR646" s="28" t="s">
        <v>1024</v>
      </c>
    </row>
    <row r="647" spans="1:44" x14ac:dyDescent="0.25">
      <c r="A647" s="28" t="s">
        <v>9312</v>
      </c>
      <c r="B647" s="28" t="s">
        <v>19935</v>
      </c>
      <c r="C647" s="28" t="s">
        <v>2861</v>
      </c>
      <c r="D647" s="28" t="s">
        <v>17800</v>
      </c>
      <c r="E647" s="28" t="s">
        <v>192</v>
      </c>
      <c r="F647" s="28">
        <v>1</v>
      </c>
      <c r="G647" s="28" t="s">
        <v>193</v>
      </c>
      <c r="H647" s="28" t="s">
        <v>194</v>
      </c>
      <c r="I647" s="28" t="s">
        <v>17806</v>
      </c>
      <c r="J647" s="28" t="s">
        <v>9302</v>
      </c>
      <c r="K647" s="28">
        <v>18</v>
      </c>
      <c r="L647" s="28" t="s">
        <v>6955</v>
      </c>
      <c r="N647" s="28" t="s">
        <v>20055</v>
      </c>
      <c r="O647" s="28" t="s">
        <v>6261</v>
      </c>
      <c r="P647" s="28" t="s">
        <v>20049</v>
      </c>
      <c r="Q647" s="28" t="s">
        <v>18819</v>
      </c>
      <c r="R647" s="28" t="s">
        <v>20007</v>
      </c>
      <c r="S647" s="28">
        <v>2568752</v>
      </c>
      <c r="T647" s="28">
        <v>38669367</v>
      </c>
      <c r="V647" s="27"/>
      <c r="W647" s="28" t="s">
        <v>3629</v>
      </c>
      <c r="X647" s="28" t="s">
        <v>193</v>
      </c>
      <c r="Y647" s="27">
        <v>25</v>
      </c>
      <c r="AH647" s="28" t="s">
        <v>4714</v>
      </c>
      <c r="AI647" s="28" t="s">
        <v>19935</v>
      </c>
      <c r="AJ647" s="516" t="str">
        <f>MID('II kw.22'!W647,8,6)</f>
        <v>251903</v>
      </c>
      <c r="AK647" s="516">
        <v>1</v>
      </c>
      <c r="AL647" s="516">
        <f t="shared" si="10"/>
        <v>1</v>
      </c>
      <c r="AM647" s="516">
        <v>1</v>
      </c>
      <c r="AN647" s="28">
        <v>1718</v>
      </c>
      <c r="AO647" s="28" t="s">
        <v>17651</v>
      </c>
      <c r="AP647" s="28" t="s">
        <v>17652</v>
      </c>
      <c r="AQ647" s="28" t="s">
        <v>17653</v>
      </c>
      <c r="AR647" s="28" t="s">
        <v>1024</v>
      </c>
    </row>
    <row r="648" spans="1:44" x14ac:dyDescent="0.25">
      <c r="A648" s="28" t="s">
        <v>1122</v>
      </c>
      <c r="B648" s="28" t="s">
        <v>20056</v>
      </c>
      <c r="C648" s="28" t="s">
        <v>6617</v>
      </c>
      <c r="D648" s="28" t="s">
        <v>17800</v>
      </c>
      <c r="E648" s="28" t="s">
        <v>192</v>
      </c>
      <c r="F648" s="28">
        <v>1</v>
      </c>
      <c r="G648" s="28" t="s">
        <v>193</v>
      </c>
      <c r="H648" s="28" t="s">
        <v>194</v>
      </c>
      <c r="I648" s="28" t="s">
        <v>17806</v>
      </c>
      <c r="J648" s="28" t="s">
        <v>9302</v>
      </c>
      <c r="K648" s="28">
        <v>18</v>
      </c>
      <c r="L648" s="28" t="s">
        <v>6955</v>
      </c>
      <c r="N648" s="28" t="s">
        <v>20057</v>
      </c>
      <c r="O648" s="28" t="s">
        <v>6266</v>
      </c>
      <c r="P648" s="28" t="s">
        <v>20049</v>
      </c>
      <c r="Q648" s="28" t="s">
        <v>18819</v>
      </c>
      <c r="R648" s="28" t="s">
        <v>20007</v>
      </c>
      <c r="S648" s="28">
        <v>2568754</v>
      </c>
      <c r="T648" s="28">
        <v>38669369</v>
      </c>
      <c r="V648" s="27"/>
      <c r="W648" s="28" t="s">
        <v>990</v>
      </c>
      <c r="X648" s="28" t="s">
        <v>193</v>
      </c>
      <c r="Y648" s="27">
        <v>25</v>
      </c>
      <c r="AH648" s="28" t="s">
        <v>4714</v>
      </c>
      <c r="AI648" s="28" t="s">
        <v>20056</v>
      </c>
      <c r="AJ648" s="516" t="str">
        <f>MID('II kw.22'!W648,8,6)</f>
        <v>833202</v>
      </c>
      <c r="AK648" s="516">
        <v>1</v>
      </c>
      <c r="AL648" s="516">
        <f t="shared" si="10"/>
        <v>1</v>
      </c>
      <c r="AM648" s="516">
        <v>1</v>
      </c>
      <c r="AN648" s="28">
        <v>1718</v>
      </c>
      <c r="AO648" s="28" t="s">
        <v>17651</v>
      </c>
      <c r="AP648" s="28" t="s">
        <v>17652</v>
      </c>
      <c r="AQ648" s="28" t="s">
        <v>17653</v>
      </c>
      <c r="AR648" s="28" t="s">
        <v>1024</v>
      </c>
    </row>
    <row r="649" spans="1:44" x14ac:dyDescent="0.25">
      <c r="A649" s="28" t="s">
        <v>8411</v>
      </c>
      <c r="B649" s="28" t="s">
        <v>20058</v>
      </c>
      <c r="C649" s="28" t="s">
        <v>35</v>
      </c>
      <c r="D649" s="28" t="s">
        <v>17800</v>
      </c>
      <c r="E649" s="28" t="s">
        <v>192</v>
      </c>
      <c r="F649" s="28">
        <v>1</v>
      </c>
      <c r="G649" s="28" t="s">
        <v>193</v>
      </c>
      <c r="H649" s="28" t="s">
        <v>194</v>
      </c>
      <c r="I649" s="28" t="s">
        <v>17806</v>
      </c>
      <c r="J649" s="28" t="s">
        <v>210</v>
      </c>
      <c r="K649" s="28">
        <v>18</v>
      </c>
      <c r="L649" s="28" t="s">
        <v>6955</v>
      </c>
      <c r="N649" s="28" t="s">
        <v>20059</v>
      </c>
      <c r="O649" s="28" t="s">
        <v>6327</v>
      </c>
      <c r="P649" s="28" t="s">
        <v>20049</v>
      </c>
      <c r="Q649" s="28" t="s">
        <v>18819</v>
      </c>
      <c r="R649" s="28" t="s">
        <v>20007</v>
      </c>
      <c r="S649" s="28">
        <v>2568788</v>
      </c>
      <c r="T649" s="28">
        <v>38669403</v>
      </c>
      <c r="V649" s="28">
        <v>1863</v>
      </c>
      <c r="W649" s="28" t="s">
        <v>207</v>
      </c>
      <c r="X649" s="28" t="s">
        <v>194</v>
      </c>
      <c r="Y649" s="28">
        <v>1</v>
      </c>
      <c r="AH649" s="28" t="s">
        <v>4714</v>
      </c>
      <c r="AI649" s="28" t="s">
        <v>20058</v>
      </c>
      <c r="AJ649" s="516" t="str">
        <f>MID('II kw.22'!W649,8,6)</f>
        <v>122106</v>
      </c>
      <c r="AK649" s="516">
        <v>1</v>
      </c>
      <c r="AL649" s="516">
        <f t="shared" si="10"/>
        <v>1</v>
      </c>
      <c r="AM649" s="516">
        <v>1</v>
      </c>
      <c r="AN649" s="28">
        <v>1718</v>
      </c>
      <c r="AO649" s="28" t="s">
        <v>17651</v>
      </c>
      <c r="AP649" s="28" t="s">
        <v>17652</v>
      </c>
      <c r="AQ649" s="28" t="s">
        <v>17653</v>
      </c>
      <c r="AR649" s="28" t="s">
        <v>1024</v>
      </c>
    </row>
    <row r="650" spans="1:44" x14ac:dyDescent="0.25">
      <c r="A650" s="28" t="s">
        <v>10886</v>
      </c>
      <c r="B650" s="28" t="s">
        <v>20060</v>
      </c>
      <c r="C650" s="28" t="s">
        <v>35</v>
      </c>
      <c r="D650" s="28" t="s">
        <v>17800</v>
      </c>
      <c r="E650" s="28" t="s">
        <v>192</v>
      </c>
      <c r="F650" s="28">
        <v>1</v>
      </c>
      <c r="G650" s="28" t="s">
        <v>193</v>
      </c>
      <c r="H650" s="28" t="s">
        <v>194</v>
      </c>
      <c r="I650" s="28" t="s">
        <v>17806</v>
      </c>
      <c r="J650" s="28" t="s">
        <v>9302</v>
      </c>
      <c r="K650" s="28">
        <v>18</v>
      </c>
      <c r="L650" s="28" t="s">
        <v>6955</v>
      </c>
      <c r="N650" s="28" t="s">
        <v>20061</v>
      </c>
      <c r="O650" s="28" t="s">
        <v>6340</v>
      </c>
      <c r="P650" s="28" t="s">
        <v>20049</v>
      </c>
      <c r="Q650" s="28" t="s">
        <v>18819</v>
      </c>
      <c r="R650" s="28" t="s">
        <v>20007</v>
      </c>
      <c r="S650" s="28">
        <v>2568802</v>
      </c>
      <c r="T650" s="28">
        <v>38669417</v>
      </c>
      <c r="V650" s="27"/>
      <c r="W650" s="28" t="s">
        <v>207</v>
      </c>
      <c r="X650" s="28" t="s">
        <v>193</v>
      </c>
      <c r="Y650" s="27">
        <v>25</v>
      </c>
      <c r="AH650" s="28" t="s">
        <v>4714</v>
      </c>
      <c r="AI650" s="28" t="s">
        <v>20060</v>
      </c>
      <c r="AJ650" s="516" t="str">
        <f>MID('II kw.22'!W650,8,6)</f>
        <v>122106</v>
      </c>
      <c r="AK650" s="516">
        <v>1</v>
      </c>
      <c r="AL650" s="516">
        <f t="shared" si="10"/>
        <v>1</v>
      </c>
      <c r="AM650" s="516">
        <v>1</v>
      </c>
      <c r="AN650" s="28">
        <v>1718</v>
      </c>
      <c r="AO650" s="28" t="s">
        <v>17651</v>
      </c>
      <c r="AP650" s="28" t="s">
        <v>17652</v>
      </c>
      <c r="AQ650" s="28" t="s">
        <v>17653</v>
      </c>
      <c r="AR650" s="28" t="s">
        <v>1024</v>
      </c>
    </row>
    <row r="651" spans="1:44" x14ac:dyDescent="0.25">
      <c r="A651" s="28" t="s">
        <v>20062</v>
      </c>
      <c r="B651" s="28" t="s">
        <v>20063</v>
      </c>
      <c r="C651" s="28" t="s">
        <v>43</v>
      </c>
      <c r="D651" s="28" t="s">
        <v>17800</v>
      </c>
      <c r="E651" s="28" t="s">
        <v>192</v>
      </c>
      <c r="F651" s="28">
        <v>1</v>
      </c>
      <c r="G651" s="28" t="s">
        <v>193</v>
      </c>
      <c r="H651" s="28" t="s">
        <v>194</v>
      </c>
      <c r="I651" s="28" t="s">
        <v>17806</v>
      </c>
      <c r="J651" s="28" t="s">
        <v>9302</v>
      </c>
      <c r="K651" s="28">
        <v>18</v>
      </c>
      <c r="L651" s="28" t="s">
        <v>6955</v>
      </c>
      <c r="N651" s="28" t="s">
        <v>20064</v>
      </c>
      <c r="O651" s="28" t="s">
        <v>6288</v>
      </c>
      <c r="P651" s="28" t="s">
        <v>20049</v>
      </c>
      <c r="Q651" s="28" t="s">
        <v>18819</v>
      </c>
      <c r="R651" s="28" t="s">
        <v>20007</v>
      </c>
      <c r="S651" s="28">
        <v>2568812</v>
      </c>
      <c r="T651" s="28">
        <v>38669427</v>
      </c>
      <c r="V651" s="27"/>
      <c r="W651" s="28" t="s">
        <v>452</v>
      </c>
      <c r="X651" s="28" t="s">
        <v>193</v>
      </c>
      <c r="Y651" s="27">
        <v>25</v>
      </c>
      <c r="AH651" s="28" t="s">
        <v>4714</v>
      </c>
      <c r="AI651" s="28" t="s">
        <v>20063</v>
      </c>
      <c r="AJ651" s="516" t="str">
        <f>MID('II kw.22'!W651,8,6)</f>
        <v>243106</v>
      </c>
      <c r="AK651" s="516">
        <v>1</v>
      </c>
      <c r="AL651" s="516">
        <f t="shared" si="10"/>
        <v>1</v>
      </c>
      <c r="AM651" s="516">
        <v>1</v>
      </c>
      <c r="AN651" s="28">
        <v>1718</v>
      </c>
      <c r="AO651" s="28" t="s">
        <v>17651</v>
      </c>
      <c r="AP651" s="28" t="s">
        <v>17652</v>
      </c>
      <c r="AQ651" s="28" t="s">
        <v>17653</v>
      </c>
      <c r="AR651" s="28" t="s">
        <v>1024</v>
      </c>
    </row>
    <row r="652" spans="1:44" x14ac:dyDescent="0.25">
      <c r="A652" s="28" t="s">
        <v>17029</v>
      </c>
      <c r="B652" s="28" t="s">
        <v>17027</v>
      </c>
      <c r="C652" s="28" t="s">
        <v>31</v>
      </c>
      <c r="D652" s="28" t="s">
        <v>17800</v>
      </c>
      <c r="E652" s="28" t="s">
        <v>192</v>
      </c>
      <c r="F652" s="28">
        <v>1</v>
      </c>
      <c r="G652" s="28" t="s">
        <v>193</v>
      </c>
      <c r="H652" s="28" t="s">
        <v>194</v>
      </c>
      <c r="I652" s="28" t="s">
        <v>17806</v>
      </c>
      <c r="J652" s="28" t="s">
        <v>962</v>
      </c>
      <c r="K652" s="28">
        <v>18</v>
      </c>
      <c r="L652" s="28" t="s">
        <v>6955</v>
      </c>
      <c r="N652" s="28" t="s">
        <v>20065</v>
      </c>
      <c r="O652" s="28" t="s">
        <v>6288</v>
      </c>
      <c r="P652" s="28" t="s">
        <v>20049</v>
      </c>
      <c r="Q652" s="28" t="s">
        <v>18819</v>
      </c>
      <c r="R652" s="28" t="s">
        <v>20007</v>
      </c>
      <c r="S652" s="28">
        <v>2568826</v>
      </c>
      <c r="T652" s="28">
        <v>38669441</v>
      </c>
      <c r="V652" s="28">
        <v>1806</v>
      </c>
      <c r="W652" s="28" t="s">
        <v>1884</v>
      </c>
      <c r="X652" s="28" t="s">
        <v>194</v>
      </c>
      <c r="Y652" s="28">
        <v>1</v>
      </c>
      <c r="AH652" s="28" t="s">
        <v>4714</v>
      </c>
      <c r="AI652" s="28" t="s">
        <v>17027</v>
      </c>
      <c r="AJ652" s="516" t="str">
        <f>MID('II kw.22'!W652,8,6)</f>
        <v>229201</v>
      </c>
      <c r="AK652" s="516">
        <v>1</v>
      </c>
      <c r="AL652" s="516">
        <f t="shared" si="10"/>
        <v>1</v>
      </c>
      <c r="AM652" s="516">
        <v>1</v>
      </c>
      <c r="AN652" s="28">
        <v>1718</v>
      </c>
      <c r="AO652" s="28" t="s">
        <v>17651</v>
      </c>
      <c r="AP652" s="28" t="s">
        <v>17652</v>
      </c>
      <c r="AQ652" s="28" t="s">
        <v>17653</v>
      </c>
      <c r="AR652" s="28" t="s">
        <v>1024</v>
      </c>
    </row>
    <row r="653" spans="1:44" x14ac:dyDescent="0.25">
      <c r="A653" s="28" t="s">
        <v>9373</v>
      </c>
      <c r="B653" s="28" t="s">
        <v>20066</v>
      </c>
      <c r="C653" s="28" t="s">
        <v>10</v>
      </c>
      <c r="D653" s="28" t="s">
        <v>17800</v>
      </c>
      <c r="E653" s="28" t="s">
        <v>192</v>
      </c>
      <c r="F653" s="28">
        <v>1</v>
      </c>
      <c r="G653" s="28" t="s">
        <v>193</v>
      </c>
      <c r="H653" s="28" t="s">
        <v>194</v>
      </c>
      <c r="I653" s="28" t="s">
        <v>17806</v>
      </c>
      <c r="J653" s="28" t="s">
        <v>9302</v>
      </c>
      <c r="K653" s="28">
        <v>18</v>
      </c>
      <c r="L653" s="28" t="s">
        <v>6955</v>
      </c>
      <c r="N653" s="28" t="s">
        <v>20067</v>
      </c>
      <c r="O653" s="28" t="s">
        <v>6921</v>
      </c>
      <c r="P653" s="28" t="s">
        <v>20049</v>
      </c>
      <c r="Q653" s="28" t="s">
        <v>18819</v>
      </c>
      <c r="R653" s="28" t="s">
        <v>20007</v>
      </c>
      <c r="S653" s="28">
        <v>2568848</v>
      </c>
      <c r="T653" s="28">
        <v>38669463</v>
      </c>
      <c r="V653" s="27"/>
      <c r="W653" s="28" t="s">
        <v>484</v>
      </c>
      <c r="X653" s="28" t="s">
        <v>193</v>
      </c>
      <c r="Y653" s="27">
        <v>25</v>
      </c>
      <c r="AH653" s="28" t="s">
        <v>4714</v>
      </c>
      <c r="AI653" s="28" t="s">
        <v>20066</v>
      </c>
      <c r="AJ653" s="516" t="str">
        <f>MID('II kw.22'!W653,8,6)</f>
        <v>251401</v>
      </c>
      <c r="AK653" s="516">
        <v>1</v>
      </c>
      <c r="AL653" s="516">
        <f t="shared" si="10"/>
        <v>1</v>
      </c>
      <c r="AM653" s="516">
        <v>1</v>
      </c>
      <c r="AN653" s="28">
        <v>1718</v>
      </c>
      <c r="AO653" s="28" t="s">
        <v>17651</v>
      </c>
      <c r="AP653" s="28" t="s">
        <v>17652</v>
      </c>
      <c r="AQ653" s="28" t="s">
        <v>17653</v>
      </c>
      <c r="AR653" s="28" t="s">
        <v>1024</v>
      </c>
    </row>
    <row r="654" spans="1:44" x14ac:dyDescent="0.25">
      <c r="A654" s="28" t="s">
        <v>20068</v>
      </c>
      <c r="B654" s="28" t="s">
        <v>20069</v>
      </c>
      <c r="C654" s="28" t="s">
        <v>3367</v>
      </c>
      <c r="D654" s="28" t="s">
        <v>17800</v>
      </c>
      <c r="E654" s="28" t="s">
        <v>192</v>
      </c>
      <c r="F654" s="28">
        <v>1</v>
      </c>
      <c r="G654" s="28" t="s">
        <v>193</v>
      </c>
      <c r="H654" s="28" t="s">
        <v>194</v>
      </c>
      <c r="I654" s="28" t="s">
        <v>17806</v>
      </c>
      <c r="J654" s="28" t="s">
        <v>9302</v>
      </c>
      <c r="K654" s="28">
        <v>18</v>
      </c>
      <c r="L654" s="28" t="s">
        <v>6955</v>
      </c>
      <c r="N654" s="28" t="s">
        <v>20070</v>
      </c>
      <c r="O654" s="28" t="s">
        <v>6286</v>
      </c>
      <c r="P654" s="28" t="s">
        <v>20049</v>
      </c>
      <c r="Q654" s="28" t="s">
        <v>18819</v>
      </c>
      <c r="R654" s="28" t="s">
        <v>20007</v>
      </c>
      <c r="S654" s="28">
        <v>2568861</v>
      </c>
      <c r="T654" s="28">
        <v>38669476</v>
      </c>
      <c r="V654" s="27"/>
      <c r="W654" s="28" t="s">
        <v>3368</v>
      </c>
      <c r="X654" s="28" t="s">
        <v>193</v>
      </c>
      <c r="Y654" s="27">
        <v>25</v>
      </c>
      <c r="AH654" s="28" t="s">
        <v>4714</v>
      </c>
      <c r="AI654" s="138" t="s">
        <v>20069</v>
      </c>
      <c r="AJ654" s="516" t="str">
        <f>MID('II kw.22'!W654,8,6)</f>
        <v>133001</v>
      </c>
      <c r="AK654" s="516">
        <v>1</v>
      </c>
      <c r="AL654" s="516">
        <f t="shared" si="10"/>
        <v>1</v>
      </c>
      <c r="AM654" s="516">
        <v>1</v>
      </c>
      <c r="AN654" s="28">
        <v>1718</v>
      </c>
      <c r="AO654" s="28" t="s">
        <v>17651</v>
      </c>
      <c r="AP654" s="28" t="s">
        <v>17652</v>
      </c>
      <c r="AQ654" s="28" t="s">
        <v>17653</v>
      </c>
      <c r="AR654" s="28" t="s">
        <v>1024</v>
      </c>
    </row>
    <row r="655" spans="1:44" x14ac:dyDescent="0.25">
      <c r="A655" s="28" t="s">
        <v>20071</v>
      </c>
      <c r="B655" s="28" t="s">
        <v>1095</v>
      </c>
      <c r="C655" s="28" t="s">
        <v>95</v>
      </c>
      <c r="D655" s="28" t="s">
        <v>17800</v>
      </c>
      <c r="E655" s="28" t="s">
        <v>192</v>
      </c>
      <c r="F655" s="28">
        <v>1</v>
      </c>
      <c r="G655" s="28" t="s">
        <v>193</v>
      </c>
      <c r="H655" s="28" t="s">
        <v>194</v>
      </c>
      <c r="I655" s="28" t="s">
        <v>17806</v>
      </c>
      <c r="J655" s="28" t="s">
        <v>9302</v>
      </c>
      <c r="K655" s="28">
        <v>18</v>
      </c>
      <c r="L655" s="28" t="s">
        <v>6955</v>
      </c>
      <c r="N655" s="28" t="s">
        <v>20072</v>
      </c>
      <c r="O655" s="28" t="s">
        <v>6245</v>
      </c>
      <c r="P655" s="28" t="s">
        <v>20049</v>
      </c>
      <c r="Q655" s="28" t="s">
        <v>18819</v>
      </c>
      <c r="R655" s="28" t="s">
        <v>20007</v>
      </c>
      <c r="S655" s="28">
        <v>2568874</v>
      </c>
      <c r="T655" s="28">
        <v>38669489</v>
      </c>
      <c r="V655" s="27"/>
      <c r="W655" s="28" t="s">
        <v>1015</v>
      </c>
      <c r="X655" s="28" t="s">
        <v>193</v>
      </c>
      <c r="Y655" s="27">
        <v>25</v>
      </c>
      <c r="AH655" s="28" t="s">
        <v>4714</v>
      </c>
      <c r="AI655" s="28" t="s">
        <v>1095</v>
      </c>
      <c r="AJ655" s="516" t="str">
        <f>MID('II kw.22'!W655,8,6)</f>
        <v>122102</v>
      </c>
      <c r="AK655" s="516">
        <v>1</v>
      </c>
      <c r="AL655" s="516">
        <f t="shared" si="10"/>
        <v>1</v>
      </c>
      <c r="AM655" s="516">
        <v>1</v>
      </c>
      <c r="AN655" s="28">
        <v>1718</v>
      </c>
      <c r="AO655" s="28" t="s">
        <v>17651</v>
      </c>
      <c r="AP655" s="28" t="s">
        <v>17652</v>
      </c>
      <c r="AQ655" s="28" t="s">
        <v>17653</v>
      </c>
      <c r="AR655" s="28" t="s">
        <v>1024</v>
      </c>
    </row>
    <row r="656" spans="1:44" x14ac:dyDescent="0.25">
      <c r="A656" s="28" t="s">
        <v>18515</v>
      </c>
      <c r="B656" s="28" t="s">
        <v>20073</v>
      </c>
      <c r="C656" s="28" t="s">
        <v>8088</v>
      </c>
      <c r="D656" s="28" t="s">
        <v>17800</v>
      </c>
      <c r="E656" s="28" t="s">
        <v>192</v>
      </c>
      <c r="F656" s="28">
        <v>1</v>
      </c>
      <c r="G656" s="28" t="s">
        <v>193</v>
      </c>
      <c r="H656" s="28" t="s">
        <v>194</v>
      </c>
      <c r="I656" s="28" t="s">
        <v>17806</v>
      </c>
      <c r="J656" s="28" t="s">
        <v>9302</v>
      </c>
      <c r="K656" s="28">
        <v>18</v>
      </c>
      <c r="L656" s="28" t="s">
        <v>6955</v>
      </c>
      <c r="N656" s="28" t="s">
        <v>20074</v>
      </c>
      <c r="O656" s="28" t="s">
        <v>6324</v>
      </c>
      <c r="P656" s="28" t="s">
        <v>20049</v>
      </c>
      <c r="Q656" s="28" t="s">
        <v>18819</v>
      </c>
      <c r="R656" s="28" t="s">
        <v>20007</v>
      </c>
      <c r="S656" s="28">
        <v>2568889</v>
      </c>
      <c r="T656" s="28">
        <v>38669504</v>
      </c>
      <c r="V656" s="27"/>
      <c r="W656" s="28" t="s">
        <v>1926</v>
      </c>
      <c r="X656" s="28" t="s">
        <v>193</v>
      </c>
      <c r="Y656" s="27">
        <v>25</v>
      </c>
      <c r="AH656" s="28" t="s">
        <v>4714</v>
      </c>
      <c r="AI656" s="28" t="s">
        <v>20073</v>
      </c>
      <c r="AJ656" s="516" t="str">
        <f>MID('II kw.22'!W656,8,6)</f>
        <v>214301</v>
      </c>
      <c r="AK656" s="516">
        <v>1</v>
      </c>
      <c r="AL656" s="516">
        <f t="shared" si="10"/>
        <v>1</v>
      </c>
      <c r="AM656" s="516">
        <v>1</v>
      </c>
      <c r="AN656" s="28">
        <v>1718</v>
      </c>
      <c r="AO656" s="28" t="s">
        <v>17651</v>
      </c>
      <c r="AP656" s="28" t="s">
        <v>17652</v>
      </c>
      <c r="AQ656" s="28" t="s">
        <v>17653</v>
      </c>
      <c r="AR656" s="28" t="s">
        <v>1024</v>
      </c>
    </row>
    <row r="657" spans="1:44" x14ac:dyDescent="0.25">
      <c r="A657" s="28" t="s">
        <v>1612</v>
      </c>
      <c r="B657" s="28" t="s">
        <v>20075</v>
      </c>
      <c r="C657" s="28" t="s">
        <v>10</v>
      </c>
      <c r="D657" s="28" t="s">
        <v>17800</v>
      </c>
      <c r="E657" s="28" t="s">
        <v>192</v>
      </c>
      <c r="F657" s="28">
        <v>1</v>
      </c>
      <c r="G657" s="28" t="s">
        <v>193</v>
      </c>
      <c r="H657" s="28" t="s">
        <v>194</v>
      </c>
      <c r="I657" s="28" t="s">
        <v>17806</v>
      </c>
      <c r="J657" s="28" t="s">
        <v>9302</v>
      </c>
      <c r="K657" s="28">
        <v>18</v>
      </c>
      <c r="L657" s="28" t="s">
        <v>6955</v>
      </c>
      <c r="N657" s="28" t="s">
        <v>20076</v>
      </c>
      <c r="O657" s="28" t="s">
        <v>6261</v>
      </c>
      <c r="P657" s="28" t="s">
        <v>20049</v>
      </c>
      <c r="Q657" s="28" t="s">
        <v>18819</v>
      </c>
      <c r="R657" s="28" t="s">
        <v>20077</v>
      </c>
      <c r="S657" s="28">
        <v>2568945</v>
      </c>
      <c r="T657" s="28">
        <v>38669560</v>
      </c>
      <c r="V657" s="27"/>
      <c r="W657" s="28" t="s">
        <v>484</v>
      </c>
      <c r="X657" s="28" t="s">
        <v>193</v>
      </c>
      <c r="Y657" s="27">
        <v>25</v>
      </c>
      <c r="AH657" s="28" t="s">
        <v>4714</v>
      </c>
      <c r="AI657" s="28" t="s">
        <v>20075</v>
      </c>
      <c r="AJ657" s="516" t="str">
        <f>MID('II kw.22'!W657,8,6)</f>
        <v>251401</v>
      </c>
      <c r="AK657" s="516">
        <v>1</v>
      </c>
      <c r="AL657" s="516">
        <f t="shared" si="10"/>
        <v>1</v>
      </c>
      <c r="AM657" s="516">
        <v>1</v>
      </c>
      <c r="AN657" s="28">
        <v>1718</v>
      </c>
      <c r="AO657" s="28" t="s">
        <v>17651</v>
      </c>
      <c r="AP657" s="28" t="s">
        <v>17652</v>
      </c>
      <c r="AQ657" s="28" t="s">
        <v>17653</v>
      </c>
      <c r="AR657" s="28" t="s">
        <v>1024</v>
      </c>
    </row>
    <row r="658" spans="1:44" x14ac:dyDescent="0.25">
      <c r="A658" s="28" t="s">
        <v>20078</v>
      </c>
      <c r="B658" s="28" t="s">
        <v>20079</v>
      </c>
      <c r="C658" s="28" t="s">
        <v>3645</v>
      </c>
      <c r="D658" s="28" t="s">
        <v>17800</v>
      </c>
      <c r="E658" s="28" t="s">
        <v>192</v>
      </c>
      <c r="F658" s="28">
        <v>1</v>
      </c>
      <c r="G658" s="28" t="s">
        <v>193</v>
      </c>
      <c r="H658" s="28" t="s">
        <v>194</v>
      </c>
      <c r="I658" s="28" t="s">
        <v>17806</v>
      </c>
      <c r="J658" s="28" t="s">
        <v>9302</v>
      </c>
      <c r="K658" s="28">
        <v>18</v>
      </c>
      <c r="L658" s="28" t="s">
        <v>6955</v>
      </c>
      <c r="N658" s="28" t="s">
        <v>20080</v>
      </c>
      <c r="O658" s="28" t="s">
        <v>6258</v>
      </c>
      <c r="P658" s="28" t="s">
        <v>20049</v>
      </c>
      <c r="Q658" s="28" t="s">
        <v>18819</v>
      </c>
      <c r="R658" s="28" t="s">
        <v>20007</v>
      </c>
      <c r="S658" s="28">
        <v>2568959</v>
      </c>
      <c r="T658" s="28">
        <v>38669574</v>
      </c>
      <c r="V658" s="27"/>
      <c r="W658" s="28" t="s">
        <v>3647</v>
      </c>
      <c r="X658" s="28" t="s">
        <v>193</v>
      </c>
      <c r="Y658" s="27">
        <v>25</v>
      </c>
      <c r="AH658" s="28" t="s">
        <v>4714</v>
      </c>
      <c r="AI658" s="28" t="s">
        <v>20079</v>
      </c>
      <c r="AJ658" s="516" t="str">
        <f>MID('II kw.22'!W658,8,6)</f>
        <v>741207</v>
      </c>
      <c r="AK658" s="516">
        <v>1</v>
      </c>
      <c r="AL658" s="516">
        <f t="shared" si="10"/>
        <v>1</v>
      </c>
      <c r="AM658" s="516">
        <v>1</v>
      </c>
      <c r="AN658" s="28">
        <v>1718</v>
      </c>
      <c r="AO658" s="28" t="s">
        <v>17651</v>
      </c>
      <c r="AP658" s="28" t="s">
        <v>17652</v>
      </c>
      <c r="AQ658" s="28" t="s">
        <v>17653</v>
      </c>
      <c r="AR658" s="28" t="s">
        <v>1024</v>
      </c>
    </row>
    <row r="659" spans="1:44" x14ac:dyDescent="0.25">
      <c r="A659" s="28" t="s">
        <v>20081</v>
      </c>
      <c r="B659" s="28" t="s">
        <v>20082</v>
      </c>
      <c r="C659" s="28" t="s">
        <v>17486</v>
      </c>
      <c r="D659" s="28" t="s">
        <v>17800</v>
      </c>
      <c r="E659" s="28" t="s">
        <v>192</v>
      </c>
      <c r="F659" s="28">
        <v>1</v>
      </c>
      <c r="G659" s="28" t="s">
        <v>193</v>
      </c>
      <c r="H659" s="28" t="s">
        <v>194</v>
      </c>
      <c r="I659" s="28" t="s">
        <v>19941</v>
      </c>
      <c r="J659" s="28" t="s">
        <v>9302</v>
      </c>
      <c r="K659" s="28">
        <v>18</v>
      </c>
      <c r="L659" s="28" t="s">
        <v>6955</v>
      </c>
      <c r="N659" s="28" t="s">
        <v>20083</v>
      </c>
      <c r="O659" s="28" t="s">
        <v>6245</v>
      </c>
      <c r="P659" s="28" t="s">
        <v>20049</v>
      </c>
      <c r="Q659" s="28" t="s">
        <v>18819</v>
      </c>
      <c r="R659" s="28" t="s">
        <v>20007</v>
      </c>
      <c r="S659" s="28">
        <v>2568968</v>
      </c>
      <c r="T659" s="28">
        <v>38669583</v>
      </c>
      <c r="V659" s="27"/>
      <c r="W659" s="28" t="s">
        <v>17484</v>
      </c>
      <c r="X659" s="28" t="s">
        <v>193</v>
      </c>
      <c r="Y659" s="27">
        <v>25</v>
      </c>
      <c r="AH659" s="28" t="s">
        <v>4714</v>
      </c>
      <c r="AI659" s="28" t="s">
        <v>20082</v>
      </c>
      <c r="AJ659" s="516" t="str">
        <f>MID('II kw.22'!W659,8,6)</f>
        <v>213106</v>
      </c>
      <c r="AK659" s="516">
        <v>1</v>
      </c>
      <c r="AL659" s="516">
        <f t="shared" si="10"/>
        <v>1</v>
      </c>
      <c r="AM659" s="516">
        <v>1</v>
      </c>
      <c r="AN659" s="28">
        <v>1718</v>
      </c>
      <c r="AO659" s="28" t="s">
        <v>17651</v>
      </c>
      <c r="AP659" s="28" t="s">
        <v>17652</v>
      </c>
      <c r="AQ659" s="28" t="s">
        <v>17653</v>
      </c>
      <c r="AR659" s="28" t="s">
        <v>1024</v>
      </c>
    </row>
    <row r="660" spans="1:44" x14ac:dyDescent="0.25">
      <c r="A660" s="28" t="s">
        <v>20084</v>
      </c>
      <c r="B660" s="28" t="s">
        <v>313</v>
      </c>
      <c r="C660" s="28" t="s">
        <v>7710</v>
      </c>
      <c r="D660" s="28" t="s">
        <v>17800</v>
      </c>
      <c r="E660" s="28" t="s">
        <v>192</v>
      </c>
      <c r="F660" s="28">
        <v>1</v>
      </c>
      <c r="G660" s="28" t="s">
        <v>193</v>
      </c>
      <c r="H660" s="28" t="s">
        <v>194</v>
      </c>
      <c r="I660" s="28" t="s">
        <v>17806</v>
      </c>
      <c r="J660" s="28" t="s">
        <v>9302</v>
      </c>
      <c r="K660" s="28">
        <v>18</v>
      </c>
      <c r="L660" s="28" t="s">
        <v>6955</v>
      </c>
      <c r="N660" s="28" t="s">
        <v>20085</v>
      </c>
      <c r="O660" s="28" t="s">
        <v>6245</v>
      </c>
      <c r="P660" s="28" t="s">
        <v>20049</v>
      </c>
      <c r="Q660" s="28" t="s">
        <v>18819</v>
      </c>
      <c r="R660" s="28" t="s">
        <v>20007</v>
      </c>
      <c r="S660" s="28">
        <v>2569004</v>
      </c>
      <c r="T660" s="28">
        <v>38669619</v>
      </c>
      <c r="V660" s="27"/>
      <c r="W660" s="28" t="s">
        <v>7712</v>
      </c>
      <c r="X660" s="28" t="s">
        <v>193</v>
      </c>
      <c r="Y660" s="27">
        <v>25</v>
      </c>
      <c r="AH660" s="28" t="s">
        <v>4714</v>
      </c>
      <c r="AI660" s="28" t="s">
        <v>313</v>
      </c>
      <c r="AJ660" s="516" t="str">
        <f>MID('II kw.22'!W660,8,6)</f>
        <v>214401</v>
      </c>
      <c r="AK660" s="516">
        <v>1</v>
      </c>
      <c r="AL660" s="516">
        <f t="shared" si="10"/>
        <v>1</v>
      </c>
      <c r="AM660" s="516">
        <v>1</v>
      </c>
      <c r="AN660" s="28">
        <v>1718</v>
      </c>
      <c r="AO660" s="28" t="s">
        <v>17651</v>
      </c>
      <c r="AP660" s="28" t="s">
        <v>17652</v>
      </c>
      <c r="AQ660" s="28" t="s">
        <v>17653</v>
      </c>
      <c r="AR660" s="28" t="s">
        <v>1024</v>
      </c>
    </row>
    <row r="661" spans="1:44" x14ac:dyDescent="0.25">
      <c r="A661" s="28" t="s">
        <v>8994</v>
      </c>
      <c r="B661" s="28" t="s">
        <v>20086</v>
      </c>
      <c r="C661" s="28" t="s">
        <v>17</v>
      </c>
      <c r="D661" s="28" t="s">
        <v>17800</v>
      </c>
      <c r="E661" s="28" t="s">
        <v>192</v>
      </c>
      <c r="F661" s="28">
        <v>1</v>
      </c>
      <c r="G661" s="28" t="s">
        <v>193</v>
      </c>
      <c r="H661" s="28" t="s">
        <v>194</v>
      </c>
      <c r="I661" s="28" t="s">
        <v>17806</v>
      </c>
      <c r="J661" s="28" t="s">
        <v>9302</v>
      </c>
      <c r="K661" s="28">
        <v>18</v>
      </c>
      <c r="L661" s="28" t="s">
        <v>6955</v>
      </c>
      <c r="N661" s="28" t="s">
        <v>20087</v>
      </c>
      <c r="O661" s="28" t="s">
        <v>6374</v>
      </c>
      <c r="P661" s="28" t="s">
        <v>20049</v>
      </c>
      <c r="Q661" s="28" t="s">
        <v>18819</v>
      </c>
      <c r="R661" s="28" t="s">
        <v>20007</v>
      </c>
      <c r="S661" s="28">
        <v>2569011</v>
      </c>
      <c r="T661" s="28">
        <v>38669626</v>
      </c>
      <c r="V661" s="27"/>
      <c r="W661" s="28" t="s">
        <v>624</v>
      </c>
      <c r="X661" s="28" t="s">
        <v>193</v>
      </c>
      <c r="Y661" s="27">
        <v>25</v>
      </c>
      <c r="AH661" s="28" t="s">
        <v>4714</v>
      </c>
      <c r="AI661" s="28" t="s">
        <v>20086</v>
      </c>
      <c r="AJ661" s="516" t="str">
        <f>MID('II kw.22'!W661,8,6)</f>
        <v>332203</v>
      </c>
      <c r="AK661" s="516">
        <v>1</v>
      </c>
      <c r="AL661" s="516">
        <f t="shared" si="10"/>
        <v>1</v>
      </c>
      <c r="AM661" s="516">
        <v>1</v>
      </c>
      <c r="AN661" s="28">
        <v>1718</v>
      </c>
      <c r="AO661" s="28" t="s">
        <v>17651</v>
      </c>
      <c r="AP661" s="28" t="s">
        <v>17652</v>
      </c>
      <c r="AQ661" s="28" t="s">
        <v>17653</v>
      </c>
      <c r="AR661" s="28" t="s">
        <v>1024</v>
      </c>
    </row>
    <row r="662" spans="1:44" x14ac:dyDescent="0.25">
      <c r="A662" s="28" t="s">
        <v>10467</v>
      </c>
      <c r="B662" s="28" t="s">
        <v>20088</v>
      </c>
      <c r="C662" s="28" t="s">
        <v>36</v>
      </c>
      <c r="D662" s="28" t="s">
        <v>17800</v>
      </c>
      <c r="E662" s="28" t="s">
        <v>192</v>
      </c>
      <c r="F662" s="28">
        <v>1</v>
      </c>
      <c r="G662" s="28" t="s">
        <v>193</v>
      </c>
      <c r="H662" s="28" t="s">
        <v>194</v>
      </c>
      <c r="I662" s="28" t="s">
        <v>17806</v>
      </c>
      <c r="J662" s="28" t="s">
        <v>9302</v>
      </c>
      <c r="K662" s="28">
        <v>18</v>
      </c>
      <c r="L662" s="28" t="s">
        <v>6955</v>
      </c>
      <c r="N662" s="28" t="s">
        <v>20089</v>
      </c>
      <c r="O662" s="28" t="s">
        <v>6254</v>
      </c>
      <c r="P662" s="28" t="s">
        <v>20049</v>
      </c>
      <c r="Q662" s="28" t="s">
        <v>18819</v>
      </c>
      <c r="R662" s="28" t="s">
        <v>20007</v>
      </c>
      <c r="S662" s="28">
        <v>2569029</v>
      </c>
      <c r="T662" s="28">
        <v>38669644</v>
      </c>
      <c r="V662" s="27"/>
      <c r="W662" s="28" t="s">
        <v>609</v>
      </c>
      <c r="X662" s="28" t="s">
        <v>193</v>
      </c>
      <c r="Y662" s="27">
        <v>25</v>
      </c>
      <c r="AH662" s="28" t="s">
        <v>4714</v>
      </c>
      <c r="AI662" s="28" t="s">
        <v>20088</v>
      </c>
      <c r="AJ662" s="516" t="str">
        <f>MID('II kw.22'!W662,8,6)</f>
        <v>331301</v>
      </c>
      <c r="AK662" s="516">
        <v>1</v>
      </c>
      <c r="AL662" s="516">
        <f t="shared" si="10"/>
        <v>1</v>
      </c>
      <c r="AM662" s="516">
        <v>1</v>
      </c>
      <c r="AN662" s="28">
        <v>1718</v>
      </c>
      <c r="AO662" s="28" t="s">
        <v>17651</v>
      </c>
      <c r="AP662" s="28" t="s">
        <v>17652</v>
      </c>
      <c r="AQ662" s="28" t="s">
        <v>17653</v>
      </c>
      <c r="AR662" s="28" t="s">
        <v>1024</v>
      </c>
    </row>
    <row r="663" spans="1:44" x14ac:dyDescent="0.25">
      <c r="A663" s="28" t="s">
        <v>20090</v>
      </c>
      <c r="B663" s="28" t="s">
        <v>20091</v>
      </c>
      <c r="C663" s="28" t="s">
        <v>17</v>
      </c>
      <c r="D663" s="28" t="s">
        <v>17800</v>
      </c>
      <c r="E663" s="28" t="s">
        <v>192</v>
      </c>
      <c r="F663" s="28">
        <v>1</v>
      </c>
      <c r="G663" s="28" t="s">
        <v>193</v>
      </c>
      <c r="H663" s="28" t="s">
        <v>194</v>
      </c>
      <c r="I663" s="28" t="s">
        <v>17806</v>
      </c>
      <c r="J663" s="28" t="s">
        <v>9302</v>
      </c>
      <c r="K663" s="28">
        <v>18</v>
      </c>
      <c r="L663" s="28" t="s">
        <v>6955</v>
      </c>
      <c r="N663" s="28" t="s">
        <v>20092</v>
      </c>
      <c r="O663" s="28" t="s">
        <v>6249</v>
      </c>
      <c r="P663" s="28" t="s">
        <v>20049</v>
      </c>
      <c r="Q663" s="28" t="s">
        <v>18819</v>
      </c>
      <c r="R663" s="28" t="s">
        <v>20007</v>
      </c>
      <c r="S663" s="28">
        <v>2569059</v>
      </c>
      <c r="T663" s="28">
        <v>38669674</v>
      </c>
      <c r="V663" s="27"/>
      <c r="W663" s="28" t="s">
        <v>624</v>
      </c>
      <c r="X663" s="28" t="s">
        <v>193</v>
      </c>
      <c r="Y663" s="27">
        <v>25</v>
      </c>
      <c r="AH663" s="28" t="s">
        <v>4714</v>
      </c>
      <c r="AI663" s="28" t="s">
        <v>20091</v>
      </c>
      <c r="AJ663" s="516" t="str">
        <f>MID('II kw.22'!W663,8,6)</f>
        <v>332203</v>
      </c>
      <c r="AK663" s="516">
        <v>1</v>
      </c>
      <c r="AL663" s="516">
        <f t="shared" si="10"/>
        <v>1</v>
      </c>
      <c r="AM663" s="516">
        <v>1</v>
      </c>
      <c r="AN663" s="28">
        <v>1718</v>
      </c>
      <c r="AO663" s="28" t="s">
        <v>17651</v>
      </c>
      <c r="AP663" s="28" t="s">
        <v>17652</v>
      </c>
      <c r="AQ663" s="28" t="s">
        <v>17653</v>
      </c>
      <c r="AR663" s="28" t="s">
        <v>1024</v>
      </c>
    </row>
    <row r="664" spans="1:44" x14ac:dyDescent="0.25">
      <c r="A664" s="28" t="s">
        <v>20081</v>
      </c>
      <c r="B664" s="28" t="s">
        <v>20093</v>
      </c>
      <c r="C664" s="28" t="s">
        <v>17486</v>
      </c>
      <c r="D664" s="28" t="s">
        <v>17800</v>
      </c>
      <c r="E664" s="28" t="s">
        <v>192</v>
      </c>
      <c r="F664" s="28">
        <v>1</v>
      </c>
      <c r="G664" s="28" t="s">
        <v>193</v>
      </c>
      <c r="H664" s="28" t="s">
        <v>194</v>
      </c>
      <c r="I664" s="28" t="s">
        <v>19941</v>
      </c>
      <c r="J664" s="28" t="s">
        <v>9302</v>
      </c>
      <c r="K664" s="28">
        <v>18</v>
      </c>
      <c r="L664" s="28" t="s">
        <v>6955</v>
      </c>
      <c r="N664" s="28" t="s">
        <v>20094</v>
      </c>
      <c r="O664" s="28" t="s">
        <v>6295</v>
      </c>
      <c r="P664" s="28" t="s">
        <v>20049</v>
      </c>
      <c r="Q664" s="28" t="s">
        <v>18819</v>
      </c>
      <c r="R664" s="28" t="s">
        <v>20007</v>
      </c>
      <c r="S664" s="28">
        <v>2569063</v>
      </c>
      <c r="T664" s="28">
        <v>38669678</v>
      </c>
      <c r="V664" s="27"/>
      <c r="W664" s="28" t="s">
        <v>17484</v>
      </c>
      <c r="X664" s="28" t="s">
        <v>193</v>
      </c>
      <c r="Y664" s="27">
        <v>25</v>
      </c>
      <c r="AH664" s="28" t="s">
        <v>4714</v>
      </c>
      <c r="AI664" s="28" t="s">
        <v>20093</v>
      </c>
      <c r="AJ664" s="516" t="str">
        <f>MID('II kw.22'!W664,8,6)</f>
        <v>213106</v>
      </c>
      <c r="AK664" s="516">
        <v>1</v>
      </c>
      <c r="AL664" s="516">
        <f t="shared" si="10"/>
        <v>1</v>
      </c>
      <c r="AM664" s="516">
        <v>1</v>
      </c>
      <c r="AN664" s="28">
        <v>1718</v>
      </c>
      <c r="AO664" s="28" t="s">
        <v>17651</v>
      </c>
      <c r="AP664" s="28" t="s">
        <v>17652</v>
      </c>
      <c r="AQ664" s="28" t="s">
        <v>17653</v>
      </c>
      <c r="AR664" s="28" t="s">
        <v>1024</v>
      </c>
    </row>
    <row r="665" spans="1:44" x14ac:dyDescent="0.25">
      <c r="A665" s="28" t="s">
        <v>1663</v>
      </c>
      <c r="B665" s="28" t="s">
        <v>20095</v>
      </c>
      <c r="C665" s="28" t="s">
        <v>6617</v>
      </c>
      <c r="D665" s="28" t="s">
        <v>17800</v>
      </c>
      <c r="E665" s="28" t="s">
        <v>192</v>
      </c>
      <c r="F665" s="28">
        <v>1</v>
      </c>
      <c r="G665" s="28" t="s">
        <v>193</v>
      </c>
      <c r="H665" s="28" t="s">
        <v>194</v>
      </c>
      <c r="I665" s="28" t="s">
        <v>17806</v>
      </c>
      <c r="J665" s="28" t="s">
        <v>9302</v>
      </c>
      <c r="K665" s="28">
        <v>18</v>
      </c>
      <c r="L665" s="28" t="s">
        <v>6955</v>
      </c>
      <c r="N665" s="28" t="s">
        <v>20096</v>
      </c>
      <c r="O665" s="28" t="s">
        <v>6266</v>
      </c>
      <c r="P665" s="28" t="s">
        <v>20049</v>
      </c>
      <c r="Q665" s="28" t="s">
        <v>18819</v>
      </c>
      <c r="R665" s="28" t="s">
        <v>20007</v>
      </c>
      <c r="S665" s="28">
        <v>2569066</v>
      </c>
      <c r="T665" s="28">
        <v>38669681</v>
      </c>
      <c r="V665" s="27"/>
      <c r="W665" s="28" t="s">
        <v>990</v>
      </c>
      <c r="X665" s="28" t="s">
        <v>193</v>
      </c>
      <c r="Y665" s="27">
        <v>25</v>
      </c>
      <c r="AH665" s="28" t="s">
        <v>4714</v>
      </c>
      <c r="AI665" s="28" t="s">
        <v>20095</v>
      </c>
      <c r="AJ665" s="516" t="str">
        <f>MID('II kw.22'!W665,8,6)</f>
        <v>833202</v>
      </c>
      <c r="AK665" s="516">
        <v>1</v>
      </c>
      <c r="AL665" s="516">
        <f t="shared" si="10"/>
        <v>1</v>
      </c>
      <c r="AM665" s="516">
        <v>1</v>
      </c>
      <c r="AN665" s="28">
        <v>1718</v>
      </c>
      <c r="AO665" s="28" t="s">
        <v>17651</v>
      </c>
      <c r="AP665" s="28" t="s">
        <v>17652</v>
      </c>
      <c r="AQ665" s="28" t="s">
        <v>17653</v>
      </c>
      <c r="AR665" s="28" t="s">
        <v>1024</v>
      </c>
    </row>
    <row r="666" spans="1:44" x14ac:dyDescent="0.25">
      <c r="A666" s="28" t="s">
        <v>20097</v>
      </c>
      <c r="B666" s="28" t="s">
        <v>20098</v>
      </c>
      <c r="C666" s="28" t="s">
        <v>227</v>
      </c>
      <c r="D666" s="28" t="s">
        <v>17800</v>
      </c>
      <c r="E666" s="28" t="s">
        <v>192</v>
      </c>
      <c r="F666" s="28">
        <v>1</v>
      </c>
      <c r="G666" s="28" t="s">
        <v>193</v>
      </c>
      <c r="H666" s="28" t="s">
        <v>194</v>
      </c>
      <c r="I666" s="28" t="s">
        <v>17806</v>
      </c>
      <c r="J666" s="28" t="s">
        <v>9302</v>
      </c>
      <c r="K666" s="28">
        <v>18</v>
      </c>
      <c r="L666" s="28" t="s">
        <v>6955</v>
      </c>
      <c r="N666" s="28" t="s">
        <v>20099</v>
      </c>
      <c r="O666" s="28" t="s">
        <v>6258</v>
      </c>
      <c r="P666" s="28" t="s">
        <v>20049</v>
      </c>
      <c r="Q666" s="28" t="s">
        <v>18819</v>
      </c>
      <c r="R666" s="28" t="s">
        <v>20007</v>
      </c>
      <c r="S666" s="28">
        <v>2569069</v>
      </c>
      <c r="T666" s="28">
        <v>38669684</v>
      </c>
      <c r="V666" s="27"/>
      <c r="W666" s="28" t="s">
        <v>229</v>
      </c>
      <c r="X666" s="28" t="s">
        <v>193</v>
      </c>
      <c r="Y666" s="27">
        <v>25</v>
      </c>
      <c r="AH666" s="28" t="s">
        <v>4714</v>
      </c>
      <c r="AI666" s="138" t="s">
        <v>20098</v>
      </c>
      <c r="AJ666" s="516" t="str">
        <f>MID('II kw.22'!W666,8,6)</f>
        <v>132401</v>
      </c>
      <c r="AK666" s="516">
        <v>1</v>
      </c>
      <c r="AL666" s="516">
        <f t="shared" si="10"/>
        <v>1</v>
      </c>
      <c r="AM666" s="516">
        <v>1</v>
      </c>
      <c r="AN666" s="28">
        <v>1718</v>
      </c>
      <c r="AO666" s="28" t="s">
        <v>17651</v>
      </c>
      <c r="AP666" s="28" t="s">
        <v>17652</v>
      </c>
      <c r="AQ666" s="28" t="s">
        <v>17653</v>
      </c>
      <c r="AR666" s="28" t="s">
        <v>1024</v>
      </c>
    </row>
    <row r="667" spans="1:44" x14ac:dyDescent="0.25">
      <c r="A667" s="28" t="s">
        <v>18534</v>
      </c>
      <c r="B667" s="28" t="s">
        <v>20100</v>
      </c>
      <c r="C667" s="28" t="s">
        <v>9798</v>
      </c>
      <c r="D667" s="28" t="s">
        <v>17800</v>
      </c>
      <c r="E667" s="28" t="s">
        <v>192</v>
      </c>
      <c r="F667" s="28">
        <v>1</v>
      </c>
      <c r="G667" s="28" t="s">
        <v>193</v>
      </c>
      <c r="H667" s="28" t="s">
        <v>194</v>
      </c>
      <c r="I667" s="28" t="s">
        <v>17806</v>
      </c>
      <c r="J667" s="28" t="s">
        <v>9302</v>
      </c>
      <c r="K667" s="28">
        <v>18</v>
      </c>
      <c r="L667" s="28" t="s">
        <v>6955</v>
      </c>
      <c r="N667" s="28" t="s">
        <v>20101</v>
      </c>
      <c r="O667" s="28" t="s">
        <v>7531</v>
      </c>
      <c r="P667" s="28" t="s">
        <v>20049</v>
      </c>
      <c r="Q667" s="28" t="s">
        <v>18819</v>
      </c>
      <c r="R667" s="28" t="s">
        <v>20007</v>
      </c>
      <c r="S667" s="28">
        <v>2569083</v>
      </c>
      <c r="T667" s="28">
        <v>38669698</v>
      </c>
      <c r="V667" s="27"/>
      <c r="W667" s="28" t="s">
        <v>1592</v>
      </c>
      <c r="X667" s="28" t="s">
        <v>193</v>
      </c>
      <c r="Y667" s="27">
        <v>25</v>
      </c>
      <c r="AH667" s="28" t="s">
        <v>4714</v>
      </c>
      <c r="AI667" s="28" t="s">
        <v>20100</v>
      </c>
      <c r="AJ667" s="516" t="str">
        <f>MID('II kw.22'!W667,8,6)</f>
        <v>241103</v>
      </c>
      <c r="AK667" s="516">
        <v>1</v>
      </c>
      <c r="AL667" s="516">
        <f t="shared" si="10"/>
        <v>1</v>
      </c>
      <c r="AM667" s="516">
        <v>1</v>
      </c>
      <c r="AN667" s="28">
        <v>1718</v>
      </c>
      <c r="AO667" s="28" t="s">
        <v>17651</v>
      </c>
      <c r="AP667" s="28" t="s">
        <v>17652</v>
      </c>
      <c r="AQ667" s="28" t="s">
        <v>17653</v>
      </c>
      <c r="AR667" s="28" t="s">
        <v>1024</v>
      </c>
    </row>
    <row r="668" spans="1:44" x14ac:dyDescent="0.25">
      <c r="A668" s="28" t="s">
        <v>9373</v>
      </c>
      <c r="B668" s="28" t="s">
        <v>20102</v>
      </c>
      <c r="C668" s="28" t="s">
        <v>1384</v>
      </c>
      <c r="D668" s="28" t="s">
        <v>17800</v>
      </c>
      <c r="E668" s="28" t="s">
        <v>192</v>
      </c>
      <c r="F668" s="28">
        <v>1</v>
      </c>
      <c r="G668" s="28" t="s">
        <v>193</v>
      </c>
      <c r="H668" s="28" t="s">
        <v>194</v>
      </c>
      <c r="I668" s="28" t="s">
        <v>17806</v>
      </c>
      <c r="J668" s="28" t="s">
        <v>9302</v>
      </c>
      <c r="K668" s="28">
        <v>18</v>
      </c>
      <c r="L668" s="28" t="s">
        <v>6955</v>
      </c>
      <c r="N668" s="28" t="s">
        <v>20103</v>
      </c>
      <c r="O668" s="28" t="s">
        <v>6261</v>
      </c>
      <c r="P668" s="28" t="s">
        <v>20049</v>
      </c>
      <c r="Q668" s="28" t="s">
        <v>18819</v>
      </c>
      <c r="R668" s="28" t="s">
        <v>20007</v>
      </c>
      <c r="S668" s="28">
        <v>2569102</v>
      </c>
      <c r="T668" s="28">
        <v>38669717</v>
      </c>
      <c r="V668" s="27"/>
      <c r="W668" s="28" t="s">
        <v>1385</v>
      </c>
      <c r="X668" s="28" t="s">
        <v>193</v>
      </c>
      <c r="Y668" s="27">
        <v>25</v>
      </c>
      <c r="AH668" s="28" t="s">
        <v>4714</v>
      </c>
      <c r="AI668" s="28" t="s">
        <v>20102</v>
      </c>
      <c r="AJ668" s="516" t="str">
        <f>MID('II kw.22'!W668,8,6)</f>
        <v>235915</v>
      </c>
      <c r="AK668" s="516">
        <v>1</v>
      </c>
      <c r="AL668" s="516">
        <f t="shared" si="10"/>
        <v>1</v>
      </c>
      <c r="AM668" s="516">
        <v>1</v>
      </c>
      <c r="AN668" s="28">
        <v>1718</v>
      </c>
      <c r="AO668" s="28" t="s">
        <v>17651</v>
      </c>
      <c r="AP668" s="28" t="s">
        <v>17652</v>
      </c>
      <c r="AQ668" s="28" t="s">
        <v>17653</v>
      </c>
      <c r="AR668" s="28" t="s">
        <v>1024</v>
      </c>
    </row>
    <row r="669" spans="1:44" x14ac:dyDescent="0.25">
      <c r="A669" s="28" t="s">
        <v>9373</v>
      </c>
      <c r="B669" s="28" t="s">
        <v>20104</v>
      </c>
      <c r="C669" s="28" t="s">
        <v>10</v>
      </c>
      <c r="D669" s="28" t="s">
        <v>17800</v>
      </c>
      <c r="E669" s="28" t="s">
        <v>192</v>
      </c>
      <c r="F669" s="28">
        <v>1</v>
      </c>
      <c r="G669" s="28" t="s">
        <v>193</v>
      </c>
      <c r="H669" s="28" t="s">
        <v>194</v>
      </c>
      <c r="I669" s="28" t="s">
        <v>17806</v>
      </c>
      <c r="J669" s="28" t="s">
        <v>9302</v>
      </c>
      <c r="K669" s="28">
        <v>18</v>
      </c>
      <c r="L669" s="28" t="s">
        <v>6955</v>
      </c>
      <c r="N669" s="28" t="s">
        <v>20105</v>
      </c>
      <c r="O669" s="28" t="s">
        <v>6261</v>
      </c>
      <c r="P669" s="28" t="s">
        <v>20049</v>
      </c>
      <c r="Q669" s="28" t="s">
        <v>18819</v>
      </c>
      <c r="R669" s="28" t="s">
        <v>20007</v>
      </c>
      <c r="S669" s="28">
        <v>2569105</v>
      </c>
      <c r="T669" s="28">
        <v>38669720</v>
      </c>
      <c r="V669" s="27"/>
      <c r="W669" s="28" t="s">
        <v>484</v>
      </c>
      <c r="X669" s="28" t="s">
        <v>193</v>
      </c>
      <c r="Y669" s="27">
        <v>25</v>
      </c>
      <c r="AH669" s="28" t="s">
        <v>4714</v>
      </c>
      <c r="AI669" s="28" t="s">
        <v>20104</v>
      </c>
      <c r="AJ669" s="516" t="str">
        <f>MID('II kw.22'!W669,8,6)</f>
        <v>251401</v>
      </c>
      <c r="AK669" s="516">
        <v>1</v>
      </c>
      <c r="AL669" s="516">
        <f t="shared" si="10"/>
        <v>1</v>
      </c>
      <c r="AM669" s="516">
        <v>1</v>
      </c>
      <c r="AN669" s="28">
        <v>1718</v>
      </c>
      <c r="AO669" s="28" t="s">
        <v>17651</v>
      </c>
      <c r="AP669" s="28" t="s">
        <v>17652</v>
      </c>
      <c r="AQ669" s="28" t="s">
        <v>17653</v>
      </c>
      <c r="AR669" s="28" t="s">
        <v>1024</v>
      </c>
    </row>
    <row r="670" spans="1:44" x14ac:dyDescent="0.25">
      <c r="A670" s="28" t="s">
        <v>20106</v>
      </c>
      <c r="B670" s="28" t="s">
        <v>20107</v>
      </c>
      <c r="C670" s="28" t="s">
        <v>18</v>
      </c>
      <c r="D670" s="28" t="s">
        <v>17800</v>
      </c>
      <c r="E670" s="28" t="s">
        <v>192</v>
      </c>
      <c r="F670" s="28">
        <v>1</v>
      </c>
      <c r="G670" s="28" t="s">
        <v>193</v>
      </c>
      <c r="H670" s="28" t="s">
        <v>194</v>
      </c>
      <c r="I670" s="28" t="s">
        <v>17806</v>
      </c>
      <c r="J670" s="28" t="s">
        <v>9302</v>
      </c>
      <c r="K670" s="28">
        <v>18</v>
      </c>
      <c r="L670" s="28" t="s">
        <v>6955</v>
      </c>
      <c r="N670" s="28" t="s">
        <v>20108</v>
      </c>
      <c r="O670" s="28" t="s">
        <v>6340</v>
      </c>
      <c r="P670" s="28" t="s">
        <v>20049</v>
      </c>
      <c r="Q670" s="28" t="s">
        <v>18819</v>
      </c>
      <c r="R670" s="28" t="s">
        <v>20007</v>
      </c>
      <c r="S670" s="28">
        <v>2569131</v>
      </c>
      <c r="T670" s="28">
        <v>38669746</v>
      </c>
      <c r="V670" s="27"/>
      <c r="W670" s="28" t="s">
        <v>1476</v>
      </c>
      <c r="X670" s="28" t="s">
        <v>193</v>
      </c>
      <c r="Y670" s="27">
        <v>25</v>
      </c>
      <c r="AH670" s="28" t="s">
        <v>4714</v>
      </c>
      <c r="AI670" s="28" t="s">
        <v>20107</v>
      </c>
      <c r="AJ670" s="516" t="str">
        <f>MID('II kw.22'!W670,8,6)</f>
        <v>242309</v>
      </c>
      <c r="AK670" s="516">
        <v>1</v>
      </c>
      <c r="AL670" s="516">
        <f t="shared" si="10"/>
        <v>1</v>
      </c>
      <c r="AM670" s="516">
        <v>1</v>
      </c>
      <c r="AN670" s="28">
        <v>1718</v>
      </c>
      <c r="AO670" s="28" t="s">
        <v>17651</v>
      </c>
      <c r="AP670" s="28" t="s">
        <v>17652</v>
      </c>
      <c r="AQ670" s="28" t="s">
        <v>17653</v>
      </c>
      <c r="AR670" s="28" t="s">
        <v>1024</v>
      </c>
    </row>
    <row r="671" spans="1:44" x14ac:dyDescent="0.25">
      <c r="A671" s="28" t="s">
        <v>17549</v>
      </c>
      <c r="B671" s="28" t="s">
        <v>20109</v>
      </c>
      <c r="C671" s="28" t="s">
        <v>2999</v>
      </c>
      <c r="D671" s="28" t="s">
        <v>17800</v>
      </c>
      <c r="E671" s="28" t="s">
        <v>192</v>
      </c>
      <c r="F671" s="28">
        <v>1</v>
      </c>
      <c r="G671" s="28" t="s">
        <v>193</v>
      </c>
      <c r="H671" s="28" t="s">
        <v>194</v>
      </c>
      <c r="I671" s="28" t="s">
        <v>17806</v>
      </c>
      <c r="J671" s="28" t="s">
        <v>9302</v>
      </c>
      <c r="K671" s="28">
        <v>18</v>
      </c>
      <c r="L671" s="28" t="s">
        <v>6955</v>
      </c>
      <c r="N671" s="28" t="s">
        <v>20110</v>
      </c>
      <c r="O671" s="28" t="s">
        <v>6261</v>
      </c>
      <c r="P671" s="28" t="s">
        <v>20111</v>
      </c>
      <c r="Q671" s="28" t="s">
        <v>4849</v>
      </c>
      <c r="R671" s="28" t="s">
        <v>7703</v>
      </c>
      <c r="S671" s="28">
        <v>2569177</v>
      </c>
      <c r="T671" s="28">
        <v>38669792</v>
      </c>
      <c r="V671" s="27"/>
      <c r="W671" s="28" t="s">
        <v>18187</v>
      </c>
      <c r="X671" s="28" t="s">
        <v>193</v>
      </c>
      <c r="Y671" s="27">
        <v>25</v>
      </c>
      <c r="AH671" s="28" t="s">
        <v>4714</v>
      </c>
      <c r="AI671" s="28" t="s">
        <v>20109</v>
      </c>
      <c r="AJ671" s="516" t="str">
        <f>MID('II kw.22'!W671,8,6)</f>
        <v>351403</v>
      </c>
      <c r="AK671" s="516">
        <v>1</v>
      </c>
      <c r="AL671" s="516">
        <f t="shared" si="10"/>
        <v>1</v>
      </c>
      <c r="AM671" s="516">
        <v>1</v>
      </c>
      <c r="AN671" s="28">
        <v>1718</v>
      </c>
      <c r="AO671" s="28" t="s">
        <v>17651</v>
      </c>
      <c r="AP671" s="28" t="s">
        <v>17652</v>
      </c>
      <c r="AQ671" s="28" t="s">
        <v>17653</v>
      </c>
      <c r="AR671" s="28" t="s">
        <v>1024</v>
      </c>
    </row>
    <row r="672" spans="1:44" x14ac:dyDescent="0.25">
      <c r="A672" s="28" t="s">
        <v>18511</v>
      </c>
      <c r="B672" s="28" t="s">
        <v>18555</v>
      </c>
      <c r="C672" s="28" t="s">
        <v>10</v>
      </c>
      <c r="D672" s="28" t="s">
        <v>17800</v>
      </c>
      <c r="E672" s="28" t="s">
        <v>192</v>
      </c>
      <c r="F672" s="28">
        <v>1</v>
      </c>
      <c r="G672" s="28" t="s">
        <v>193</v>
      </c>
      <c r="H672" s="28" t="s">
        <v>194</v>
      </c>
      <c r="I672" s="28" t="s">
        <v>17806</v>
      </c>
      <c r="J672" s="28" t="s">
        <v>9302</v>
      </c>
      <c r="K672" s="28">
        <v>18</v>
      </c>
      <c r="L672" s="28" t="s">
        <v>6955</v>
      </c>
      <c r="N672" s="28" t="s">
        <v>20112</v>
      </c>
      <c r="O672" s="28" t="s">
        <v>6261</v>
      </c>
      <c r="P672" s="28" t="s">
        <v>20049</v>
      </c>
      <c r="Q672" s="28" t="s">
        <v>18819</v>
      </c>
      <c r="R672" s="28" t="s">
        <v>20007</v>
      </c>
      <c r="S672" s="28">
        <v>2569194</v>
      </c>
      <c r="T672" s="28">
        <v>38669809</v>
      </c>
      <c r="V672" s="27"/>
      <c r="W672" s="28" t="s">
        <v>484</v>
      </c>
      <c r="X672" s="28" t="s">
        <v>193</v>
      </c>
      <c r="Y672" s="27">
        <v>25</v>
      </c>
      <c r="AH672" s="28" t="s">
        <v>4714</v>
      </c>
      <c r="AI672" s="28" t="s">
        <v>18555</v>
      </c>
      <c r="AJ672" s="516" t="str">
        <f>MID('II kw.22'!W672,8,6)</f>
        <v>251401</v>
      </c>
      <c r="AK672" s="516">
        <v>1</v>
      </c>
      <c r="AL672" s="516">
        <f t="shared" si="10"/>
        <v>1</v>
      </c>
      <c r="AM672" s="516">
        <v>1</v>
      </c>
      <c r="AN672" s="28">
        <v>1718</v>
      </c>
      <c r="AO672" s="28" t="s">
        <v>17651</v>
      </c>
      <c r="AP672" s="28" t="s">
        <v>17652</v>
      </c>
      <c r="AQ672" s="28" t="s">
        <v>17653</v>
      </c>
      <c r="AR672" s="28" t="s">
        <v>1024</v>
      </c>
    </row>
    <row r="673" spans="1:44" x14ac:dyDescent="0.25">
      <c r="A673" s="28" t="s">
        <v>20113</v>
      </c>
      <c r="B673" s="28" t="s">
        <v>20114</v>
      </c>
      <c r="C673" s="28" t="s">
        <v>1851</v>
      </c>
      <c r="D673" s="28" t="s">
        <v>17800</v>
      </c>
      <c r="E673" s="28" t="s">
        <v>192</v>
      </c>
      <c r="F673" s="28">
        <v>1</v>
      </c>
      <c r="G673" s="28" t="s">
        <v>193</v>
      </c>
      <c r="H673" s="28" t="s">
        <v>194</v>
      </c>
      <c r="I673" s="28" t="s">
        <v>17806</v>
      </c>
      <c r="J673" s="28" t="s">
        <v>9302</v>
      </c>
      <c r="K673" s="28">
        <v>18</v>
      </c>
      <c r="L673" s="28" t="s">
        <v>6955</v>
      </c>
      <c r="N673" s="28" t="s">
        <v>20115</v>
      </c>
      <c r="O673" s="28" t="s">
        <v>6343</v>
      </c>
      <c r="P673" s="28" t="s">
        <v>20049</v>
      </c>
      <c r="Q673" s="28" t="s">
        <v>18819</v>
      </c>
      <c r="R673" s="28" t="s">
        <v>20007</v>
      </c>
      <c r="S673" s="28">
        <v>2569205</v>
      </c>
      <c r="T673" s="28">
        <v>38669820</v>
      </c>
      <c r="V673" s="27"/>
      <c r="W673" s="28" t="s">
        <v>1852</v>
      </c>
      <c r="X673" s="28" t="s">
        <v>193</v>
      </c>
      <c r="Y673" s="27">
        <v>25</v>
      </c>
      <c r="AH673" s="28" t="s">
        <v>4714</v>
      </c>
      <c r="AI673" s="28" t="s">
        <v>20114</v>
      </c>
      <c r="AJ673" s="516" t="str">
        <f>MID('II kw.22'!W673,8,6)</f>
        <v>112014</v>
      </c>
      <c r="AK673" s="516">
        <v>1</v>
      </c>
      <c r="AL673" s="516">
        <f t="shared" si="10"/>
        <v>1</v>
      </c>
      <c r="AM673" s="516">
        <v>1</v>
      </c>
      <c r="AN673" s="28">
        <v>1718</v>
      </c>
      <c r="AO673" s="28" t="s">
        <v>17651</v>
      </c>
      <c r="AP673" s="28" t="s">
        <v>17652</v>
      </c>
      <c r="AQ673" s="28" t="s">
        <v>17653</v>
      </c>
      <c r="AR673" s="28" t="s">
        <v>1024</v>
      </c>
    </row>
    <row r="674" spans="1:44" x14ac:dyDescent="0.25">
      <c r="A674" s="28" t="s">
        <v>18541</v>
      </c>
      <c r="B674" s="28" t="s">
        <v>20116</v>
      </c>
      <c r="C674" s="28" t="s">
        <v>16355</v>
      </c>
      <c r="D674" s="28" t="s">
        <v>17800</v>
      </c>
      <c r="E674" s="28" t="s">
        <v>192</v>
      </c>
      <c r="F674" s="28">
        <v>1</v>
      </c>
      <c r="G674" s="28" t="s">
        <v>193</v>
      </c>
      <c r="H674" s="28" t="s">
        <v>194</v>
      </c>
      <c r="I674" s="28" t="s">
        <v>17806</v>
      </c>
      <c r="J674" s="28" t="s">
        <v>9302</v>
      </c>
      <c r="K674" s="28">
        <v>18</v>
      </c>
      <c r="L674" s="28" t="s">
        <v>6955</v>
      </c>
      <c r="N674" s="28" t="s">
        <v>20117</v>
      </c>
      <c r="O674" s="28" t="s">
        <v>6302</v>
      </c>
      <c r="P674" s="28" t="s">
        <v>20049</v>
      </c>
      <c r="Q674" s="28" t="s">
        <v>18819</v>
      </c>
      <c r="R674" s="28" t="s">
        <v>20007</v>
      </c>
      <c r="S674" s="28">
        <v>2569248</v>
      </c>
      <c r="T674" s="28">
        <v>38669863</v>
      </c>
      <c r="V674" s="27"/>
      <c r="W674" s="28" t="s">
        <v>508</v>
      </c>
      <c r="X674" s="28" t="s">
        <v>193</v>
      </c>
      <c r="Y674" s="27">
        <v>25</v>
      </c>
      <c r="AH674" s="28" t="s">
        <v>4714</v>
      </c>
      <c r="AI674" s="28" t="s">
        <v>20116</v>
      </c>
      <c r="AJ674" s="516" t="str">
        <f>MID('II kw.22'!W674,8,6)</f>
        <v>252102</v>
      </c>
      <c r="AK674" s="516">
        <v>1</v>
      </c>
      <c r="AL674" s="516">
        <f t="shared" si="10"/>
        <v>1</v>
      </c>
      <c r="AM674" s="516">
        <v>1</v>
      </c>
      <c r="AN674" s="28">
        <v>1718</v>
      </c>
      <c r="AO674" s="28" t="s">
        <v>17651</v>
      </c>
      <c r="AP674" s="28" t="s">
        <v>17652</v>
      </c>
      <c r="AQ674" s="28" t="s">
        <v>17653</v>
      </c>
      <c r="AR674" s="28" t="s">
        <v>1024</v>
      </c>
    </row>
    <row r="675" spans="1:44" x14ac:dyDescent="0.25">
      <c r="A675" s="28" t="s">
        <v>20118</v>
      </c>
      <c r="B675" s="28" t="s">
        <v>14645</v>
      </c>
      <c r="C675" s="28" t="s">
        <v>10</v>
      </c>
      <c r="D675" s="28" t="s">
        <v>17800</v>
      </c>
      <c r="E675" s="28" t="s">
        <v>192</v>
      </c>
      <c r="F675" s="28">
        <v>1</v>
      </c>
      <c r="G675" s="28" t="s">
        <v>193</v>
      </c>
      <c r="H675" s="28" t="s">
        <v>194</v>
      </c>
      <c r="I675" s="28" t="s">
        <v>17806</v>
      </c>
      <c r="J675" s="28" t="s">
        <v>9302</v>
      </c>
      <c r="K675" s="28">
        <v>18</v>
      </c>
      <c r="L675" s="28" t="s">
        <v>6955</v>
      </c>
      <c r="N675" s="28" t="s">
        <v>20119</v>
      </c>
      <c r="O675" s="28" t="s">
        <v>6261</v>
      </c>
      <c r="P675" s="28" t="s">
        <v>20049</v>
      </c>
      <c r="Q675" s="28" t="s">
        <v>18819</v>
      </c>
      <c r="R675" s="28" t="s">
        <v>20007</v>
      </c>
      <c r="S675" s="28">
        <v>2569314</v>
      </c>
      <c r="T675" s="28">
        <v>38669929</v>
      </c>
      <c r="V675" s="27"/>
      <c r="W675" s="28" t="s">
        <v>484</v>
      </c>
      <c r="X675" s="28" t="s">
        <v>193</v>
      </c>
      <c r="Y675" s="27">
        <v>25</v>
      </c>
      <c r="AH675" s="28" t="s">
        <v>4714</v>
      </c>
      <c r="AI675" s="28" t="s">
        <v>14645</v>
      </c>
      <c r="AJ675" s="516" t="str">
        <f>MID('II kw.22'!W675,8,6)</f>
        <v>251401</v>
      </c>
      <c r="AK675" s="516">
        <v>1</v>
      </c>
      <c r="AL675" s="516">
        <f t="shared" si="10"/>
        <v>1</v>
      </c>
      <c r="AM675" s="516">
        <v>1</v>
      </c>
      <c r="AN675" s="28">
        <v>1718</v>
      </c>
      <c r="AO675" s="28" t="s">
        <v>17651</v>
      </c>
      <c r="AP675" s="28" t="s">
        <v>17652</v>
      </c>
      <c r="AQ675" s="28" t="s">
        <v>17653</v>
      </c>
      <c r="AR675" s="28" t="s">
        <v>1024</v>
      </c>
    </row>
    <row r="676" spans="1:44" x14ac:dyDescent="0.25">
      <c r="A676" s="28" t="s">
        <v>20120</v>
      </c>
      <c r="B676" s="28" t="s">
        <v>1396</v>
      </c>
      <c r="C676" s="28" t="s">
        <v>43</v>
      </c>
      <c r="D676" s="28" t="s">
        <v>17800</v>
      </c>
      <c r="E676" s="28" t="s">
        <v>192</v>
      </c>
      <c r="F676" s="28">
        <v>1</v>
      </c>
      <c r="G676" s="28" t="s">
        <v>193</v>
      </c>
      <c r="H676" s="28" t="s">
        <v>194</v>
      </c>
      <c r="I676" s="28" t="s">
        <v>17806</v>
      </c>
      <c r="J676" s="28" t="s">
        <v>9302</v>
      </c>
      <c r="K676" s="28">
        <v>18</v>
      </c>
      <c r="L676" s="28" t="s">
        <v>6955</v>
      </c>
      <c r="N676" s="28" t="s">
        <v>20121</v>
      </c>
      <c r="O676" s="28" t="s">
        <v>6288</v>
      </c>
      <c r="P676" s="28" t="s">
        <v>20049</v>
      </c>
      <c r="Q676" s="28" t="s">
        <v>18819</v>
      </c>
      <c r="R676" s="28" t="s">
        <v>20007</v>
      </c>
      <c r="S676" s="28">
        <v>2569353</v>
      </c>
      <c r="T676" s="28">
        <v>38669968</v>
      </c>
      <c r="V676" s="27"/>
      <c r="W676" s="28" t="s">
        <v>452</v>
      </c>
      <c r="X676" s="28" t="s">
        <v>193</v>
      </c>
      <c r="Y676" s="27">
        <v>25</v>
      </c>
      <c r="AH676" s="28" t="s">
        <v>4714</v>
      </c>
      <c r="AI676" s="28" t="s">
        <v>1396</v>
      </c>
      <c r="AJ676" s="516" t="str">
        <f>MID('II kw.22'!W676,8,6)</f>
        <v>243106</v>
      </c>
      <c r="AK676" s="516">
        <v>1</v>
      </c>
      <c r="AL676" s="516">
        <f t="shared" si="10"/>
        <v>1</v>
      </c>
      <c r="AM676" s="516">
        <v>1</v>
      </c>
      <c r="AN676" s="28">
        <v>1718</v>
      </c>
      <c r="AO676" s="28" t="s">
        <v>17651</v>
      </c>
      <c r="AP676" s="28" t="s">
        <v>17652</v>
      </c>
      <c r="AQ676" s="28" t="s">
        <v>17653</v>
      </c>
      <c r="AR676" s="28" t="s">
        <v>1024</v>
      </c>
    </row>
    <row r="677" spans="1:44" x14ac:dyDescent="0.25">
      <c r="A677" s="28" t="s">
        <v>11537</v>
      </c>
      <c r="B677" s="28" t="s">
        <v>20122</v>
      </c>
      <c r="C677" s="28" t="s">
        <v>36</v>
      </c>
      <c r="D677" s="28" t="s">
        <v>17800</v>
      </c>
      <c r="E677" s="28" t="s">
        <v>192</v>
      </c>
      <c r="F677" s="28">
        <v>1</v>
      </c>
      <c r="G677" s="28" t="s">
        <v>193</v>
      </c>
      <c r="H677" s="28" t="s">
        <v>194</v>
      </c>
      <c r="I677" s="28" t="s">
        <v>17806</v>
      </c>
      <c r="J677" s="28" t="s">
        <v>9302</v>
      </c>
      <c r="K677" s="28">
        <v>18</v>
      </c>
      <c r="L677" s="28" t="s">
        <v>6955</v>
      </c>
      <c r="N677" s="28" t="s">
        <v>20123</v>
      </c>
      <c r="O677" s="28" t="s">
        <v>7531</v>
      </c>
      <c r="P677" s="28" t="s">
        <v>20049</v>
      </c>
      <c r="Q677" s="28" t="s">
        <v>18819</v>
      </c>
      <c r="R677" s="28" t="s">
        <v>20007</v>
      </c>
      <c r="S677" s="28">
        <v>2569372</v>
      </c>
      <c r="T677" s="28">
        <v>38669987</v>
      </c>
      <c r="V677" s="27"/>
      <c r="W677" s="28" t="s">
        <v>609</v>
      </c>
      <c r="X677" s="28" t="s">
        <v>193</v>
      </c>
      <c r="Y677" s="27">
        <v>25</v>
      </c>
      <c r="AH677" s="28" t="s">
        <v>4714</v>
      </c>
      <c r="AI677" s="28" t="s">
        <v>20122</v>
      </c>
      <c r="AJ677" s="516" t="str">
        <f>MID('II kw.22'!W677,8,6)</f>
        <v>331301</v>
      </c>
      <c r="AK677" s="516">
        <v>1</v>
      </c>
      <c r="AL677" s="516">
        <f t="shared" si="10"/>
        <v>1</v>
      </c>
      <c r="AM677" s="516">
        <v>1</v>
      </c>
      <c r="AN677" s="28">
        <v>1718</v>
      </c>
      <c r="AO677" s="28" t="s">
        <v>17651</v>
      </c>
      <c r="AP677" s="28" t="s">
        <v>17652</v>
      </c>
      <c r="AQ677" s="28" t="s">
        <v>17653</v>
      </c>
      <c r="AR677" s="28" t="s">
        <v>1024</v>
      </c>
    </row>
    <row r="678" spans="1:44" x14ac:dyDescent="0.25">
      <c r="A678" s="28" t="s">
        <v>9136</v>
      </c>
      <c r="B678" s="28" t="s">
        <v>20124</v>
      </c>
      <c r="C678" s="28" t="s">
        <v>18084</v>
      </c>
      <c r="D678" s="28" t="s">
        <v>17800</v>
      </c>
      <c r="E678" s="28" t="s">
        <v>192</v>
      </c>
      <c r="F678" s="28">
        <v>1</v>
      </c>
      <c r="G678" s="28" t="s">
        <v>193</v>
      </c>
      <c r="H678" s="28" t="s">
        <v>194</v>
      </c>
      <c r="I678" s="28" t="s">
        <v>17806</v>
      </c>
      <c r="J678" s="28" t="s">
        <v>9302</v>
      </c>
      <c r="K678" s="28">
        <v>18</v>
      </c>
      <c r="L678" s="28" t="s">
        <v>6955</v>
      </c>
      <c r="N678" s="28" t="s">
        <v>20125</v>
      </c>
      <c r="O678" s="28" t="s">
        <v>6302</v>
      </c>
      <c r="P678" s="28" t="s">
        <v>20049</v>
      </c>
      <c r="Q678" s="28" t="s">
        <v>18819</v>
      </c>
      <c r="R678" s="28" t="s">
        <v>20007</v>
      </c>
      <c r="S678" s="28">
        <v>2569387</v>
      </c>
      <c r="T678" s="28">
        <v>38670002</v>
      </c>
      <c r="V678" s="27"/>
      <c r="W678" s="28" t="s">
        <v>18088</v>
      </c>
      <c r="X678" s="28" t="s">
        <v>193</v>
      </c>
      <c r="Y678" s="27">
        <v>25</v>
      </c>
      <c r="AH678" s="28" t="s">
        <v>4714</v>
      </c>
      <c r="AI678" s="28" t="s">
        <v>20124</v>
      </c>
      <c r="AJ678" s="516" t="str">
        <f>MID('II kw.22'!W678,8,6)</f>
        <v>243190</v>
      </c>
      <c r="AK678" s="516">
        <v>1</v>
      </c>
      <c r="AL678" s="516">
        <f t="shared" si="10"/>
        <v>1</v>
      </c>
      <c r="AM678" s="516">
        <v>1</v>
      </c>
      <c r="AN678" s="28">
        <v>1718</v>
      </c>
      <c r="AO678" s="28" t="s">
        <v>17651</v>
      </c>
      <c r="AP678" s="28" t="s">
        <v>17652</v>
      </c>
      <c r="AQ678" s="28" t="s">
        <v>17653</v>
      </c>
      <c r="AR678" s="28" t="s">
        <v>1024</v>
      </c>
    </row>
    <row r="679" spans="1:44" x14ac:dyDescent="0.25">
      <c r="A679" s="28" t="s">
        <v>14121</v>
      </c>
      <c r="B679" s="28" t="s">
        <v>20126</v>
      </c>
      <c r="C679" s="28" t="s">
        <v>14523</v>
      </c>
      <c r="D679" s="28" t="s">
        <v>17800</v>
      </c>
      <c r="E679" s="28" t="s">
        <v>192</v>
      </c>
      <c r="F679" s="28">
        <v>1</v>
      </c>
      <c r="G679" s="28" t="s">
        <v>193</v>
      </c>
      <c r="H679" s="28" t="s">
        <v>194</v>
      </c>
      <c r="I679" s="28" t="s">
        <v>17806</v>
      </c>
      <c r="J679" s="28" t="s">
        <v>9302</v>
      </c>
      <c r="K679" s="28">
        <v>18</v>
      </c>
      <c r="L679" s="28" t="s">
        <v>6955</v>
      </c>
      <c r="N679" s="28" t="s">
        <v>20127</v>
      </c>
      <c r="O679" s="28" t="s">
        <v>7531</v>
      </c>
      <c r="P679" s="28" t="s">
        <v>20049</v>
      </c>
      <c r="Q679" s="28" t="s">
        <v>18819</v>
      </c>
      <c r="R679" s="28" t="s">
        <v>20007</v>
      </c>
      <c r="S679" s="28">
        <v>2569425</v>
      </c>
      <c r="T679" s="28">
        <v>38670040</v>
      </c>
      <c r="V679" s="27"/>
      <c r="W679" s="28" t="s">
        <v>14527</v>
      </c>
      <c r="X679" s="28" t="s">
        <v>193</v>
      </c>
      <c r="Y679" s="27">
        <v>25</v>
      </c>
      <c r="AH679" s="28" t="s">
        <v>4714</v>
      </c>
      <c r="AI679" s="28" t="s">
        <v>20126</v>
      </c>
      <c r="AJ679" s="516" t="str">
        <f>MID('II kw.22'!W679,8,6)</f>
        <v>241390</v>
      </c>
      <c r="AK679" s="516">
        <v>1</v>
      </c>
      <c r="AL679" s="516">
        <f t="shared" si="10"/>
        <v>1</v>
      </c>
      <c r="AM679" s="516">
        <v>1</v>
      </c>
      <c r="AN679" s="28">
        <v>1718</v>
      </c>
      <c r="AO679" s="28" t="s">
        <v>17651</v>
      </c>
      <c r="AP679" s="28" t="s">
        <v>17652</v>
      </c>
      <c r="AQ679" s="28" t="s">
        <v>17653</v>
      </c>
      <c r="AR679" s="28" t="s">
        <v>1024</v>
      </c>
    </row>
    <row r="680" spans="1:44" x14ac:dyDescent="0.25">
      <c r="A680" s="28" t="s">
        <v>20128</v>
      </c>
      <c r="B680" s="28" t="s">
        <v>496</v>
      </c>
      <c r="C680" s="28" t="s">
        <v>10</v>
      </c>
      <c r="D680" s="28" t="s">
        <v>17800</v>
      </c>
      <c r="E680" s="28" t="s">
        <v>192</v>
      </c>
      <c r="F680" s="28">
        <v>1</v>
      </c>
      <c r="G680" s="28" t="s">
        <v>193</v>
      </c>
      <c r="H680" s="28" t="s">
        <v>194</v>
      </c>
      <c r="I680" s="28" t="s">
        <v>17806</v>
      </c>
      <c r="J680" s="28" t="s">
        <v>9302</v>
      </c>
      <c r="K680" s="28">
        <v>18</v>
      </c>
      <c r="L680" s="28" t="s">
        <v>6955</v>
      </c>
      <c r="N680" s="28" t="s">
        <v>20129</v>
      </c>
      <c r="O680" s="28" t="s">
        <v>6261</v>
      </c>
      <c r="P680" s="28" t="s">
        <v>20049</v>
      </c>
      <c r="Q680" s="28" t="s">
        <v>18819</v>
      </c>
      <c r="R680" s="28" t="s">
        <v>18469</v>
      </c>
      <c r="S680" s="28">
        <v>2569448</v>
      </c>
      <c r="T680" s="28">
        <v>38670063</v>
      </c>
      <c r="V680" s="27"/>
      <c r="W680" s="28" t="s">
        <v>484</v>
      </c>
      <c r="X680" s="28" t="s">
        <v>193</v>
      </c>
      <c r="Y680" s="27">
        <v>25</v>
      </c>
      <c r="AH680" s="28" t="s">
        <v>4714</v>
      </c>
      <c r="AI680" s="28" t="s">
        <v>496</v>
      </c>
      <c r="AJ680" s="516" t="str">
        <f>MID('II kw.22'!W680,8,6)</f>
        <v>251401</v>
      </c>
      <c r="AK680" s="516">
        <v>1</v>
      </c>
      <c r="AL680" s="516">
        <f t="shared" si="10"/>
        <v>1</v>
      </c>
      <c r="AM680" s="516">
        <v>1</v>
      </c>
      <c r="AN680" s="28">
        <v>1718</v>
      </c>
      <c r="AO680" s="28" t="s">
        <v>17651</v>
      </c>
      <c r="AP680" s="28" t="s">
        <v>17652</v>
      </c>
      <c r="AQ680" s="28" t="s">
        <v>17653</v>
      </c>
      <c r="AR680" s="28" t="s">
        <v>1024</v>
      </c>
    </row>
    <row r="681" spans="1:44" x14ac:dyDescent="0.25">
      <c r="A681" s="28" t="s">
        <v>17861</v>
      </c>
      <c r="B681" s="28" t="s">
        <v>20130</v>
      </c>
      <c r="C681" s="28" t="s">
        <v>480</v>
      </c>
      <c r="D681" s="28" t="s">
        <v>17800</v>
      </c>
      <c r="E681" s="28" t="s">
        <v>192</v>
      </c>
      <c r="F681" s="28">
        <v>1</v>
      </c>
      <c r="G681" s="28" t="s">
        <v>193</v>
      </c>
      <c r="H681" s="28" t="s">
        <v>194</v>
      </c>
      <c r="I681" s="28" t="s">
        <v>19941</v>
      </c>
      <c r="J681" s="28" t="s">
        <v>9302</v>
      </c>
      <c r="K681" s="28">
        <v>18</v>
      </c>
      <c r="L681" s="28" t="s">
        <v>6955</v>
      </c>
      <c r="N681" s="28" t="s">
        <v>20131</v>
      </c>
      <c r="O681" s="28" t="s">
        <v>6921</v>
      </c>
      <c r="P681" s="28" t="s">
        <v>20049</v>
      </c>
      <c r="Q681" s="28" t="s">
        <v>18819</v>
      </c>
      <c r="R681" s="28" t="s">
        <v>20007</v>
      </c>
      <c r="S681" s="28">
        <v>2569460</v>
      </c>
      <c r="T681" s="28">
        <v>38670075</v>
      </c>
      <c r="V681" s="27"/>
      <c r="W681" s="28" t="s">
        <v>481</v>
      </c>
      <c r="X681" s="28" t="s">
        <v>193</v>
      </c>
      <c r="Y681" s="27">
        <v>25</v>
      </c>
      <c r="AH681" s="28" t="s">
        <v>4714</v>
      </c>
      <c r="AI681" s="28" t="s">
        <v>20130</v>
      </c>
      <c r="AJ681" s="516" t="str">
        <f>MID('II kw.22'!W681,8,6)</f>
        <v>251201</v>
      </c>
      <c r="AK681" s="516">
        <v>1</v>
      </c>
      <c r="AL681" s="516">
        <f t="shared" si="10"/>
        <v>1</v>
      </c>
      <c r="AM681" s="516">
        <v>1</v>
      </c>
      <c r="AN681" s="28">
        <v>1718</v>
      </c>
      <c r="AO681" s="28" t="s">
        <v>17651</v>
      </c>
      <c r="AP681" s="28" t="s">
        <v>17652</v>
      </c>
      <c r="AQ681" s="28" t="s">
        <v>17653</v>
      </c>
      <c r="AR681" s="28" t="s">
        <v>1024</v>
      </c>
    </row>
    <row r="682" spans="1:44" x14ac:dyDescent="0.25">
      <c r="A682" s="28" t="s">
        <v>15176</v>
      </c>
      <c r="B682" s="28" t="s">
        <v>5106</v>
      </c>
      <c r="C682" s="28" t="s">
        <v>10</v>
      </c>
      <c r="D682" s="28" t="s">
        <v>17800</v>
      </c>
      <c r="E682" s="28" t="s">
        <v>192</v>
      </c>
      <c r="F682" s="28">
        <v>1</v>
      </c>
      <c r="G682" s="28" t="s">
        <v>193</v>
      </c>
      <c r="H682" s="28" t="s">
        <v>194</v>
      </c>
      <c r="I682" s="28" t="s">
        <v>17806</v>
      </c>
      <c r="J682" s="28" t="s">
        <v>4751</v>
      </c>
      <c r="K682" s="28">
        <v>18</v>
      </c>
      <c r="L682" s="28" t="s">
        <v>6955</v>
      </c>
      <c r="N682" s="28" t="s">
        <v>20132</v>
      </c>
      <c r="O682" s="28" t="s">
        <v>6261</v>
      </c>
      <c r="P682" s="28" t="s">
        <v>20049</v>
      </c>
      <c r="Q682" s="28" t="s">
        <v>18819</v>
      </c>
      <c r="R682" s="28" t="s">
        <v>20007</v>
      </c>
      <c r="S682" s="28">
        <v>2569504</v>
      </c>
      <c r="T682" s="28">
        <v>38670119</v>
      </c>
      <c r="V682" s="28">
        <v>1862</v>
      </c>
      <c r="W682" s="28" t="s">
        <v>484</v>
      </c>
      <c r="X682" s="28" t="s">
        <v>194</v>
      </c>
      <c r="Y682" s="28">
        <v>1</v>
      </c>
      <c r="AH682" s="28" t="s">
        <v>4714</v>
      </c>
      <c r="AI682" s="28" t="s">
        <v>5106</v>
      </c>
      <c r="AJ682" s="516" t="str">
        <f>MID('II kw.22'!W682,8,6)</f>
        <v>251401</v>
      </c>
      <c r="AK682" s="516">
        <v>1</v>
      </c>
      <c r="AL682" s="516">
        <f t="shared" si="10"/>
        <v>1</v>
      </c>
      <c r="AM682" s="516">
        <v>1</v>
      </c>
      <c r="AN682" s="28">
        <v>1718</v>
      </c>
      <c r="AO682" s="28" t="s">
        <v>17651</v>
      </c>
      <c r="AP682" s="28" t="s">
        <v>17652</v>
      </c>
      <c r="AQ682" s="28" t="s">
        <v>17653</v>
      </c>
      <c r="AR682" s="28" t="s">
        <v>1024</v>
      </c>
    </row>
    <row r="683" spans="1:44" x14ac:dyDescent="0.25">
      <c r="A683" s="28" t="s">
        <v>15176</v>
      </c>
      <c r="B683" s="28" t="s">
        <v>5106</v>
      </c>
      <c r="C683" s="28" t="s">
        <v>10</v>
      </c>
      <c r="D683" s="28" t="s">
        <v>17800</v>
      </c>
      <c r="E683" s="28" t="s">
        <v>192</v>
      </c>
      <c r="F683" s="28">
        <v>1</v>
      </c>
      <c r="G683" s="28" t="s">
        <v>193</v>
      </c>
      <c r="H683" s="28" t="s">
        <v>194</v>
      </c>
      <c r="I683" s="28" t="s">
        <v>17806</v>
      </c>
      <c r="J683" s="28" t="s">
        <v>316</v>
      </c>
      <c r="K683" s="28">
        <v>18</v>
      </c>
      <c r="L683" s="28" t="s">
        <v>6955</v>
      </c>
      <c r="N683" s="28" t="s">
        <v>20133</v>
      </c>
      <c r="O683" s="28" t="s">
        <v>6261</v>
      </c>
      <c r="P683" s="28" t="s">
        <v>20049</v>
      </c>
      <c r="Q683" s="28" t="s">
        <v>18819</v>
      </c>
      <c r="R683" s="28" t="s">
        <v>20007</v>
      </c>
      <c r="S683" s="28">
        <v>2569512</v>
      </c>
      <c r="T683" s="28">
        <v>38670127</v>
      </c>
      <c r="V683" s="28">
        <v>1818</v>
      </c>
      <c r="W683" s="28" t="s">
        <v>484</v>
      </c>
      <c r="X683" s="28" t="s">
        <v>194</v>
      </c>
      <c r="Y683" s="28">
        <v>1</v>
      </c>
      <c r="AH683" s="28" t="s">
        <v>4714</v>
      </c>
      <c r="AI683" s="28" t="s">
        <v>5106</v>
      </c>
      <c r="AJ683" s="516" t="str">
        <f>MID('II kw.22'!W683,8,6)</f>
        <v>251401</v>
      </c>
      <c r="AK683" s="516">
        <v>1</v>
      </c>
      <c r="AL683" s="516">
        <f t="shared" si="10"/>
        <v>1</v>
      </c>
      <c r="AM683" s="516">
        <v>1</v>
      </c>
      <c r="AN683" s="28">
        <v>1718</v>
      </c>
      <c r="AO683" s="28" t="s">
        <v>17651</v>
      </c>
      <c r="AP683" s="28" t="s">
        <v>17652</v>
      </c>
      <c r="AQ683" s="28" t="s">
        <v>17653</v>
      </c>
      <c r="AR683" s="28" t="s">
        <v>1024</v>
      </c>
    </row>
    <row r="684" spans="1:44" x14ac:dyDescent="0.25">
      <c r="A684" s="28" t="s">
        <v>15176</v>
      </c>
      <c r="B684" s="28" t="s">
        <v>5106</v>
      </c>
      <c r="C684" s="28" t="s">
        <v>10</v>
      </c>
      <c r="D684" s="28" t="s">
        <v>17800</v>
      </c>
      <c r="E684" s="28" t="s">
        <v>192</v>
      </c>
      <c r="F684" s="28">
        <v>1</v>
      </c>
      <c r="G684" s="28" t="s">
        <v>193</v>
      </c>
      <c r="H684" s="28" t="s">
        <v>194</v>
      </c>
      <c r="I684" s="28" t="s">
        <v>17806</v>
      </c>
      <c r="J684" s="28" t="s">
        <v>210</v>
      </c>
      <c r="K684" s="28">
        <v>18</v>
      </c>
      <c r="L684" s="28" t="s">
        <v>6955</v>
      </c>
      <c r="N684" s="28" t="s">
        <v>20134</v>
      </c>
      <c r="O684" s="28" t="s">
        <v>6261</v>
      </c>
      <c r="P684" s="28" t="s">
        <v>20049</v>
      </c>
      <c r="Q684" s="28" t="s">
        <v>18819</v>
      </c>
      <c r="R684" s="28" t="s">
        <v>20007</v>
      </c>
      <c r="S684" s="28">
        <v>2569520</v>
      </c>
      <c r="T684" s="28">
        <v>38670135</v>
      </c>
      <c r="V684" s="28">
        <v>1863</v>
      </c>
      <c r="W684" s="28" t="s">
        <v>484</v>
      </c>
      <c r="X684" s="28" t="s">
        <v>194</v>
      </c>
      <c r="Y684" s="28">
        <v>1</v>
      </c>
      <c r="AH684" s="28" t="s">
        <v>4714</v>
      </c>
      <c r="AI684" s="28" t="s">
        <v>5106</v>
      </c>
      <c r="AJ684" s="516" t="str">
        <f>MID('II kw.22'!W684,8,6)</f>
        <v>251401</v>
      </c>
      <c r="AK684" s="516">
        <v>1</v>
      </c>
      <c r="AL684" s="516">
        <f t="shared" si="10"/>
        <v>1</v>
      </c>
      <c r="AM684" s="516">
        <v>1</v>
      </c>
      <c r="AN684" s="28">
        <v>1718</v>
      </c>
      <c r="AO684" s="28" t="s">
        <v>17651</v>
      </c>
      <c r="AP684" s="28" t="s">
        <v>17652</v>
      </c>
      <c r="AQ684" s="28" t="s">
        <v>17653</v>
      </c>
      <c r="AR684" s="28" t="s">
        <v>1024</v>
      </c>
    </row>
    <row r="685" spans="1:44" x14ac:dyDescent="0.25">
      <c r="A685" s="28" t="s">
        <v>20135</v>
      </c>
      <c r="B685" s="28" t="s">
        <v>20136</v>
      </c>
      <c r="C685" s="28" t="s">
        <v>17</v>
      </c>
      <c r="D685" s="28" t="s">
        <v>17800</v>
      </c>
      <c r="E685" s="28" t="s">
        <v>192</v>
      </c>
      <c r="F685" s="28">
        <v>1</v>
      </c>
      <c r="G685" s="28" t="s">
        <v>193</v>
      </c>
      <c r="H685" s="28" t="s">
        <v>194</v>
      </c>
      <c r="I685" s="28" t="s">
        <v>17806</v>
      </c>
      <c r="J685" s="28" t="s">
        <v>253</v>
      </c>
      <c r="K685" s="28">
        <v>18</v>
      </c>
      <c r="L685" s="28" t="s">
        <v>6955</v>
      </c>
      <c r="N685" s="28" t="s">
        <v>20137</v>
      </c>
      <c r="O685" s="28" t="s">
        <v>6245</v>
      </c>
      <c r="P685" s="28" t="s">
        <v>20049</v>
      </c>
      <c r="Q685" s="28" t="s">
        <v>18819</v>
      </c>
      <c r="R685" s="28" t="s">
        <v>20007</v>
      </c>
      <c r="S685" s="28">
        <v>2569542</v>
      </c>
      <c r="T685" s="28">
        <v>38670157</v>
      </c>
      <c r="V685" s="28">
        <v>1811</v>
      </c>
      <c r="W685" s="28" t="s">
        <v>624</v>
      </c>
      <c r="X685" s="28" t="s">
        <v>194</v>
      </c>
      <c r="Y685" s="28">
        <v>1</v>
      </c>
      <c r="AH685" s="28" t="s">
        <v>4714</v>
      </c>
      <c r="AI685" s="28" t="s">
        <v>20136</v>
      </c>
      <c r="AJ685" s="516" t="str">
        <f>MID('II kw.22'!W685,8,6)</f>
        <v>332203</v>
      </c>
      <c r="AK685" s="516">
        <v>1</v>
      </c>
      <c r="AL685" s="516">
        <f t="shared" si="10"/>
        <v>1</v>
      </c>
      <c r="AM685" s="516">
        <v>1</v>
      </c>
      <c r="AN685" s="28">
        <v>1718</v>
      </c>
      <c r="AO685" s="28" t="s">
        <v>17651</v>
      </c>
      <c r="AP685" s="28" t="s">
        <v>17652</v>
      </c>
      <c r="AQ685" s="28" t="s">
        <v>17653</v>
      </c>
      <c r="AR685" s="28" t="s">
        <v>1024</v>
      </c>
    </row>
    <row r="686" spans="1:44" x14ac:dyDescent="0.25">
      <c r="A686" s="28" t="s">
        <v>324</v>
      </c>
      <c r="B686" s="28" t="s">
        <v>20138</v>
      </c>
      <c r="C686" s="28" t="s">
        <v>10623</v>
      </c>
      <c r="D686" s="28" t="s">
        <v>17800</v>
      </c>
      <c r="E686" s="28" t="s">
        <v>192</v>
      </c>
      <c r="F686" s="28">
        <v>1</v>
      </c>
      <c r="G686" s="28" t="s">
        <v>193</v>
      </c>
      <c r="H686" s="28" t="s">
        <v>194</v>
      </c>
      <c r="I686" s="28" t="s">
        <v>17806</v>
      </c>
      <c r="J686" s="28" t="s">
        <v>285</v>
      </c>
      <c r="K686" s="28">
        <v>18</v>
      </c>
      <c r="L686" s="28" t="s">
        <v>6955</v>
      </c>
      <c r="N686" s="28" t="s">
        <v>20139</v>
      </c>
      <c r="O686" s="28" t="s">
        <v>6295</v>
      </c>
      <c r="P686" s="28" t="s">
        <v>20049</v>
      </c>
      <c r="Q686" s="28" t="s">
        <v>18819</v>
      </c>
      <c r="R686" s="28" t="s">
        <v>20007</v>
      </c>
      <c r="S686" s="28">
        <v>2569615</v>
      </c>
      <c r="T686" s="28">
        <v>38670230</v>
      </c>
      <c r="V686" s="28">
        <v>1815</v>
      </c>
      <c r="W686" s="28" t="s">
        <v>10627</v>
      </c>
      <c r="X686" s="28" t="s">
        <v>194</v>
      </c>
      <c r="Y686" s="28">
        <v>1</v>
      </c>
      <c r="AH686" s="28" t="s">
        <v>4714</v>
      </c>
      <c r="AI686" s="28" t="s">
        <v>20138</v>
      </c>
      <c r="AJ686" s="516" t="str">
        <f>MID('II kw.22'!W686,8,6)</f>
        <v>314403</v>
      </c>
      <c r="AK686" s="516">
        <v>1</v>
      </c>
      <c r="AL686" s="516">
        <f t="shared" si="10"/>
        <v>1</v>
      </c>
      <c r="AM686" s="516">
        <v>1</v>
      </c>
      <c r="AN686" s="28">
        <v>1718</v>
      </c>
      <c r="AO686" s="28" t="s">
        <v>17651</v>
      </c>
      <c r="AP686" s="28" t="s">
        <v>17652</v>
      </c>
      <c r="AQ686" s="28" t="s">
        <v>17653</v>
      </c>
      <c r="AR686" s="28" t="s">
        <v>1024</v>
      </c>
    </row>
    <row r="687" spans="1:44" x14ac:dyDescent="0.25">
      <c r="A687" s="28" t="s">
        <v>324</v>
      </c>
      <c r="B687" s="28" t="s">
        <v>20138</v>
      </c>
      <c r="C687" s="28" t="s">
        <v>10623</v>
      </c>
      <c r="D687" s="28" t="s">
        <v>17800</v>
      </c>
      <c r="E687" s="28" t="s">
        <v>192</v>
      </c>
      <c r="F687" s="28">
        <v>1</v>
      </c>
      <c r="G687" s="28" t="s">
        <v>193</v>
      </c>
      <c r="H687" s="28" t="s">
        <v>194</v>
      </c>
      <c r="I687" s="28" t="s">
        <v>17806</v>
      </c>
      <c r="J687" s="28" t="s">
        <v>6145</v>
      </c>
      <c r="K687" s="28">
        <v>18</v>
      </c>
      <c r="L687" s="28" t="s">
        <v>6955</v>
      </c>
      <c r="N687" s="28" t="s">
        <v>20140</v>
      </c>
      <c r="O687" s="28" t="s">
        <v>6295</v>
      </c>
      <c r="P687" s="28" t="s">
        <v>20049</v>
      </c>
      <c r="Q687" s="28" t="s">
        <v>18819</v>
      </c>
      <c r="R687" s="28" t="s">
        <v>20007</v>
      </c>
      <c r="S687" s="28">
        <v>2569616</v>
      </c>
      <c r="T687" s="28">
        <v>38670231</v>
      </c>
      <c r="V687" s="28">
        <v>1812</v>
      </c>
      <c r="W687" s="28" t="s">
        <v>10627</v>
      </c>
      <c r="X687" s="28" t="s">
        <v>194</v>
      </c>
      <c r="Y687" s="28">
        <v>1</v>
      </c>
      <c r="AH687" s="28" t="s">
        <v>4714</v>
      </c>
      <c r="AI687" s="28" t="s">
        <v>20138</v>
      </c>
      <c r="AJ687" s="516" t="str">
        <f>MID('II kw.22'!W687,8,6)</f>
        <v>314403</v>
      </c>
      <c r="AK687" s="516">
        <v>1</v>
      </c>
      <c r="AL687" s="516">
        <f t="shared" si="10"/>
        <v>1</v>
      </c>
      <c r="AM687" s="516">
        <v>1</v>
      </c>
      <c r="AN687" s="28">
        <v>1718</v>
      </c>
      <c r="AO687" s="28" t="s">
        <v>17651</v>
      </c>
      <c r="AP687" s="28" t="s">
        <v>17652</v>
      </c>
      <c r="AQ687" s="28" t="s">
        <v>17653</v>
      </c>
      <c r="AR687" s="28" t="s">
        <v>1024</v>
      </c>
    </row>
    <row r="688" spans="1:44" x14ac:dyDescent="0.25">
      <c r="A688" s="28" t="s">
        <v>20141</v>
      </c>
      <c r="B688" s="28" t="s">
        <v>20142</v>
      </c>
      <c r="C688" s="28" t="s">
        <v>10</v>
      </c>
      <c r="D688" s="28" t="s">
        <v>17800</v>
      </c>
      <c r="E688" s="28" t="s">
        <v>192</v>
      </c>
      <c r="F688" s="28">
        <v>1</v>
      </c>
      <c r="G688" s="28" t="s">
        <v>193</v>
      </c>
      <c r="H688" s="28" t="s">
        <v>194</v>
      </c>
      <c r="I688" s="28" t="s">
        <v>17806</v>
      </c>
      <c r="J688" s="28" t="s">
        <v>9302</v>
      </c>
      <c r="K688" s="28">
        <v>18</v>
      </c>
      <c r="L688" s="28" t="s">
        <v>6955</v>
      </c>
      <c r="N688" s="28" t="s">
        <v>20143</v>
      </c>
      <c r="O688" s="28" t="s">
        <v>6261</v>
      </c>
      <c r="P688" s="28" t="s">
        <v>20049</v>
      </c>
      <c r="Q688" s="28" t="s">
        <v>18819</v>
      </c>
      <c r="R688" s="28" t="s">
        <v>20007</v>
      </c>
      <c r="S688" s="28">
        <v>2569628</v>
      </c>
      <c r="T688" s="28">
        <v>38670243</v>
      </c>
      <c r="V688" s="27"/>
      <c r="W688" s="28" t="s">
        <v>484</v>
      </c>
      <c r="X688" s="28" t="s">
        <v>193</v>
      </c>
      <c r="Y688" s="27">
        <v>25</v>
      </c>
      <c r="AH688" s="28" t="s">
        <v>4714</v>
      </c>
      <c r="AI688" s="28" t="s">
        <v>20142</v>
      </c>
      <c r="AJ688" s="516" t="str">
        <f>MID('II kw.22'!W688,8,6)</f>
        <v>251401</v>
      </c>
      <c r="AK688" s="516">
        <v>1</v>
      </c>
      <c r="AL688" s="516">
        <f t="shared" si="10"/>
        <v>1</v>
      </c>
      <c r="AM688" s="516">
        <v>1</v>
      </c>
      <c r="AN688" s="28">
        <v>1718</v>
      </c>
      <c r="AO688" s="28" t="s">
        <v>17651</v>
      </c>
      <c r="AP688" s="28" t="s">
        <v>17652</v>
      </c>
      <c r="AQ688" s="28" t="s">
        <v>17653</v>
      </c>
      <c r="AR688" s="28" t="s">
        <v>1024</v>
      </c>
    </row>
    <row r="689" spans="1:44" x14ac:dyDescent="0.25">
      <c r="A689" s="28" t="s">
        <v>19192</v>
      </c>
      <c r="B689" s="28" t="s">
        <v>6046</v>
      </c>
      <c r="C689" s="28" t="s">
        <v>10</v>
      </c>
      <c r="D689" s="28" t="s">
        <v>17800</v>
      </c>
      <c r="E689" s="28" t="s">
        <v>192</v>
      </c>
      <c r="F689" s="28">
        <v>1</v>
      </c>
      <c r="G689" s="28" t="s">
        <v>193</v>
      </c>
      <c r="H689" s="28" t="s">
        <v>194</v>
      </c>
      <c r="I689" s="28" t="s">
        <v>17806</v>
      </c>
      <c r="J689" s="28" t="s">
        <v>210</v>
      </c>
      <c r="K689" s="28">
        <v>18</v>
      </c>
      <c r="L689" s="28" t="s">
        <v>6955</v>
      </c>
      <c r="N689" s="28" t="s">
        <v>20144</v>
      </c>
      <c r="O689" s="28" t="s">
        <v>6261</v>
      </c>
      <c r="P689" s="28" t="s">
        <v>20049</v>
      </c>
      <c r="Q689" s="28" t="s">
        <v>18819</v>
      </c>
      <c r="R689" s="28" t="s">
        <v>20007</v>
      </c>
      <c r="S689" s="28">
        <v>2569654</v>
      </c>
      <c r="T689" s="28">
        <v>38670269</v>
      </c>
      <c r="V689" s="28">
        <v>1863</v>
      </c>
      <c r="W689" s="28" t="s">
        <v>484</v>
      </c>
      <c r="X689" s="28" t="s">
        <v>194</v>
      </c>
      <c r="Y689" s="28">
        <v>1</v>
      </c>
      <c r="AH689" s="28" t="s">
        <v>4714</v>
      </c>
      <c r="AI689" s="28" t="s">
        <v>6046</v>
      </c>
      <c r="AJ689" s="516" t="str">
        <f>MID('II kw.22'!W689,8,6)</f>
        <v>251401</v>
      </c>
      <c r="AK689" s="516">
        <v>1</v>
      </c>
      <c r="AL689" s="516">
        <f t="shared" si="10"/>
        <v>1</v>
      </c>
      <c r="AM689" s="516">
        <v>1</v>
      </c>
      <c r="AN689" s="28">
        <v>1718</v>
      </c>
      <c r="AO689" s="28" t="s">
        <v>17651</v>
      </c>
      <c r="AP689" s="28" t="s">
        <v>17652</v>
      </c>
      <c r="AQ689" s="28" t="s">
        <v>17653</v>
      </c>
      <c r="AR689" s="28" t="s">
        <v>1024</v>
      </c>
    </row>
    <row r="690" spans="1:44" x14ac:dyDescent="0.25">
      <c r="A690" s="28" t="s">
        <v>20145</v>
      </c>
      <c r="B690" s="28" t="s">
        <v>13722</v>
      </c>
      <c r="C690" s="28" t="s">
        <v>866</v>
      </c>
      <c r="D690" s="28" t="s">
        <v>17800</v>
      </c>
      <c r="E690" s="28" t="s">
        <v>192</v>
      </c>
      <c r="F690" s="28">
        <v>1</v>
      </c>
      <c r="G690" s="28" t="s">
        <v>193</v>
      </c>
      <c r="H690" s="28" t="s">
        <v>194</v>
      </c>
      <c r="I690" s="28" t="s">
        <v>17806</v>
      </c>
      <c r="J690" s="28" t="s">
        <v>253</v>
      </c>
      <c r="K690" s="28">
        <v>18</v>
      </c>
      <c r="L690" s="28" t="s">
        <v>6955</v>
      </c>
      <c r="N690" s="28" t="s">
        <v>20146</v>
      </c>
      <c r="O690" s="28" t="s">
        <v>6258</v>
      </c>
      <c r="P690" s="28" t="s">
        <v>19986</v>
      </c>
      <c r="Q690" s="28" t="s">
        <v>18819</v>
      </c>
      <c r="R690" s="28" t="s">
        <v>20007</v>
      </c>
      <c r="S690" s="28">
        <v>2569698</v>
      </c>
      <c r="T690" s="28">
        <v>38670313</v>
      </c>
      <c r="V690" s="28">
        <v>1811</v>
      </c>
      <c r="W690" s="28" t="s">
        <v>867</v>
      </c>
      <c r="X690" s="28" t="s">
        <v>194</v>
      </c>
      <c r="Y690" s="28">
        <v>1</v>
      </c>
      <c r="AH690" s="28" t="s">
        <v>4714</v>
      </c>
      <c r="AI690" s="28" t="s">
        <v>866</v>
      </c>
      <c r="AJ690" s="516" t="str">
        <f>MID('II kw.22'!W690,8,6)</f>
        <v>821902</v>
      </c>
      <c r="AK690" s="516">
        <v>1</v>
      </c>
      <c r="AL690" s="516">
        <f t="shared" si="10"/>
        <v>1</v>
      </c>
      <c r="AM690" s="516">
        <v>1</v>
      </c>
      <c r="AN690" s="28">
        <v>1718</v>
      </c>
      <c r="AO690" s="28" t="s">
        <v>17651</v>
      </c>
      <c r="AP690" s="28" t="s">
        <v>17652</v>
      </c>
      <c r="AQ690" s="28" t="s">
        <v>17653</v>
      </c>
      <c r="AR690" s="28" t="s">
        <v>1024</v>
      </c>
    </row>
    <row r="691" spans="1:44" x14ac:dyDescent="0.25">
      <c r="A691" s="28" t="s">
        <v>20145</v>
      </c>
      <c r="B691" s="28" t="s">
        <v>13722</v>
      </c>
      <c r="C691" s="28" t="s">
        <v>866</v>
      </c>
      <c r="D691" s="28" t="s">
        <v>17800</v>
      </c>
      <c r="E691" s="28" t="s">
        <v>192</v>
      </c>
      <c r="F691" s="28">
        <v>1</v>
      </c>
      <c r="G691" s="28" t="s">
        <v>193</v>
      </c>
      <c r="H691" s="28" t="s">
        <v>194</v>
      </c>
      <c r="I691" s="28" t="s">
        <v>17806</v>
      </c>
      <c r="J691" s="28" t="s">
        <v>276</v>
      </c>
      <c r="K691" s="28">
        <v>18</v>
      </c>
      <c r="L691" s="28" t="s">
        <v>6955</v>
      </c>
      <c r="N691" s="28" t="s">
        <v>20147</v>
      </c>
      <c r="O691" s="28" t="s">
        <v>6258</v>
      </c>
      <c r="P691" s="28" t="s">
        <v>19986</v>
      </c>
      <c r="Q691" s="28" t="s">
        <v>18819</v>
      </c>
      <c r="R691" s="28" t="s">
        <v>20007</v>
      </c>
      <c r="S691" s="28">
        <v>2569699</v>
      </c>
      <c r="T691" s="28">
        <v>38670314</v>
      </c>
      <c r="V691" s="28">
        <v>1803</v>
      </c>
      <c r="W691" s="28" t="s">
        <v>867</v>
      </c>
      <c r="X691" s="28" t="s">
        <v>194</v>
      </c>
      <c r="Y691" s="28">
        <v>1</v>
      </c>
      <c r="AH691" s="28" t="s">
        <v>4714</v>
      </c>
      <c r="AI691" s="28" t="s">
        <v>866</v>
      </c>
      <c r="AJ691" s="516" t="str">
        <f>MID('II kw.22'!W691,8,6)</f>
        <v>821902</v>
      </c>
      <c r="AK691" s="516">
        <v>1</v>
      </c>
      <c r="AL691" s="516">
        <f t="shared" si="10"/>
        <v>1</v>
      </c>
      <c r="AM691" s="516">
        <v>1</v>
      </c>
      <c r="AN691" s="28">
        <v>1718</v>
      </c>
      <c r="AO691" s="28" t="s">
        <v>17651</v>
      </c>
      <c r="AP691" s="28" t="s">
        <v>17652</v>
      </c>
      <c r="AQ691" s="28" t="s">
        <v>17653</v>
      </c>
      <c r="AR691" s="28" t="s">
        <v>1024</v>
      </c>
    </row>
    <row r="692" spans="1:44" x14ac:dyDescent="0.25">
      <c r="A692" s="28" t="s">
        <v>16950</v>
      </c>
      <c r="B692" s="28" t="s">
        <v>1760</v>
      </c>
      <c r="C692" s="28" t="s">
        <v>100</v>
      </c>
      <c r="D692" s="28" t="s">
        <v>17800</v>
      </c>
      <c r="E692" s="28" t="s">
        <v>192</v>
      </c>
      <c r="F692" s="28">
        <v>1</v>
      </c>
      <c r="G692" s="28" t="s">
        <v>193</v>
      </c>
      <c r="H692" s="28" t="s">
        <v>194</v>
      </c>
      <c r="I692" s="28" t="s">
        <v>17806</v>
      </c>
      <c r="J692" s="28" t="s">
        <v>210</v>
      </c>
      <c r="K692" s="28">
        <v>18</v>
      </c>
      <c r="L692" s="28" t="s">
        <v>6955</v>
      </c>
      <c r="N692" s="28" t="s">
        <v>20148</v>
      </c>
      <c r="O692" s="28" t="s">
        <v>7489</v>
      </c>
      <c r="P692" s="28" t="s">
        <v>20049</v>
      </c>
      <c r="Q692" s="28" t="s">
        <v>18819</v>
      </c>
      <c r="R692" s="28" t="s">
        <v>20007</v>
      </c>
      <c r="S692" s="28">
        <v>2569714</v>
      </c>
      <c r="T692" s="28">
        <v>38670329</v>
      </c>
      <c r="V692" s="28">
        <v>1863</v>
      </c>
      <c r="W692" s="28" t="s">
        <v>429</v>
      </c>
      <c r="X692" s="28" t="s">
        <v>194</v>
      </c>
      <c r="Y692" s="28">
        <v>1</v>
      </c>
      <c r="AH692" s="28" t="s">
        <v>4714</v>
      </c>
      <c r="AI692" s="28" t="s">
        <v>1760</v>
      </c>
      <c r="AJ692" s="516" t="str">
        <f>MID('II kw.22'!W692,8,6)</f>
        <v>242108</v>
      </c>
      <c r="AK692" s="516">
        <v>1</v>
      </c>
      <c r="AL692" s="516">
        <f t="shared" si="10"/>
        <v>1</v>
      </c>
      <c r="AM692" s="516">
        <v>1</v>
      </c>
      <c r="AN692" s="28">
        <v>1718</v>
      </c>
      <c r="AO692" s="28" t="s">
        <v>17651</v>
      </c>
      <c r="AP692" s="28" t="s">
        <v>17652</v>
      </c>
      <c r="AQ692" s="28" t="s">
        <v>17653</v>
      </c>
      <c r="AR692" s="28" t="s">
        <v>1024</v>
      </c>
    </row>
    <row r="693" spans="1:44" x14ac:dyDescent="0.25">
      <c r="A693" s="28" t="s">
        <v>6154</v>
      </c>
      <c r="B693" s="28" t="s">
        <v>20149</v>
      </c>
      <c r="C693" s="28" t="s">
        <v>20150</v>
      </c>
      <c r="D693" s="28" t="s">
        <v>17800</v>
      </c>
      <c r="E693" s="28" t="s">
        <v>192</v>
      </c>
      <c r="F693" s="28">
        <v>1</v>
      </c>
      <c r="G693" s="28" t="s">
        <v>193</v>
      </c>
      <c r="H693" s="28" t="s">
        <v>194</v>
      </c>
      <c r="I693" s="28" t="s">
        <v>17806</v>
      </c>
      <c r="J693" s="28" t="s">
        <v>9302</v>
      </c>
      <c r="K693" s="28">
        <v>18</v>
      </c>
      <c r="L693" s="28" t="s">
        <v>6955</v>
      </c>
      <c r="N693" s="28" t="s">
        <v>20151</v>
      </c>
      <c r="O693" s="28" t="s">
        <v>6921</v>
      </c>
      <c r="P693" s="28" t="s">
        <v>20049</v>
      </c>
      <c r="Q693" s="28" t="s">
        <v>18819</v>
      </c>
      <c r="R693" s="28" t="s">
        <v>20007</v>
      </c>
      <c r="S693" s="28">
        <v>2569729</v>
      </c>
      <c r="T693" s="28">
        <v>38670344</v>
      </c>
      <c r="V693" s="27"/>
      <c r="W693" s="28" t="s">
        <v>20152</v>
      </c>
      <c r="X693" s="28" t="s">
        <v>193</v>
      </c>
      <c r="Y693" s="27">
        <v>25</v>
      </c>
      <c r="AH693" s="28" t="s">
        <v>4714</v>
      </c>
      <c r="AI693" s="28" t="s">
        <v>20149</v>
      </c>
      <c r="AJ693" s="516" t="str">
        <f>MID('II kw.22'!W693,8,6)</f>
        <v>251190</v>
      </c>
      <c r="AK693" s="516">
        <v>1</v>
      </c>
      <c r="AL693" s="516">
        <f t="shared" si="10"/>
        <v>1</v>
      </c>
      <c r="AM693" s="516">
        <v>1</v>
      </c>
      <c r="AN693" s="28">
        <v>1718</v>
      </c>
      <c r="AO693" s="28" t="s">
        <v>17651</v>
      </c>
      <c r="AP693" s="28" t="s">
        <v>17652</v>
      </c>
      <c r="AQ693" s="28" t="s">
        <v>17653</v>
      </c>
      <c r="AR693" s="28" t="s">
        <v>1024</v>
      </c>
    </row>
    <row r="694" spans="1:44" x14ac:dyDescent="0.25">
      <c r="A694" s="28" t="s">
        <v>20153</v>
      </c>
      <c r="B694" s="28" t="s">
        <v>20154</v>
      </c>
      <c r="C694" s="28" t="s">
        <v>468</v>
      </c>
      <c r="D694" s="28" t="s">
        <v>17800</v>
      </c>
      <c r="E694" s="28" t="s">
        <v>192</v>
      </c>
      <c r="F694" s="28">
        <v>1</v>
      </c>
      <c r="G694" s="28" t="s">
        <v>193</v>
      </c>
      <c r="H694" s="28" t="s">
        <v>194</v>
      </c>
      <c r="I694" s="28" t="s">
        <v>17806</v>
      </c>
      <c r="J694" s="28" t="s">
        <v>9302</v>
      </c>
      <c r="K694" s="28">
        <v>18</v>
      </c>
      <c r="L694" s="28" t="s">
        <v>6955</v>
      </c>
      <c r="N694" s="28" t="s">
        <v>20155</v>
      </c>
      <c r="O694" s="28" t="s">
        <v>6288</v>
      </c>
      <c r="P694" s="28" t="s">
        <v>20049</v>
      </c>
      <c r="Q694" s="28" t="s">
        <v>18819</v>
      </c>
      <c r="R694" s="28" t="s">
        <v>20007</v>
      </c>
      <c r="S694" s="28">
        <v>2569734</v>
      </c>
      <c r="T694" s="28">
        <v>38670349</v>
      </c>
      <c r="V694" s="27"/>
      <c r="W694" s="28" t="s">
        <v>469</v>
      </c>
      <c r="X694" s="28" t="s">
        <v>193</v>
      </c>
      <c r="Y694" s="27">
        <v>25</v>
      </c>
      <c r="AH694" s="28" t="s">
        <v>4714</v>
      </c>
      <c r="AI694" s="28" t="s">
        <v>20154</v>
      </c>
      <c r="AJ694" s="516" t="str">
        <f>MID('II kw.22'!W694,8,6)</f>
        <v>243303</v>
      </c>
      <c r="AK694" s="516">
        <v>1</v>
      </c>
      <c r="AL694" s="516">
        <f t="shared" si="10"/>
        <v>1</v>
      </c>
      <c r="AM694" s="516">
        <v>1</v>
      </c>
      <c r="AN694" s="28">
        <v>1718</v>
      </c>
      <c r="AO694" s="28" t="s">
        <v>17651</v>
      </c>
      <c r="AP694" s="28" t="s">
        <v>17652</v>
      </c>
      <c r="AQ694" s="28" t="s">
        <v>17653</v>
      </c>
      <c r="AR694" s="28" t="s">
        <v>1024</v>
      </c>
    </row>
    <row r="695" spans="1:44" x14ac:dyDescent="0.25">
      <c r="A695" s="28" t="s">
        <v>17093</v>
      </c>
      <c r="B695" s="28" t="s">
        <v>20156</v>
      </c>
      <c r="C695" s="28" t="s">
        <v>525</v>
      </c>
      <c r="D695" s="28" t="s">
        <v>17800</v>
      </c>
      <c r="E695" s="28" t="s">
        <v>192</v>
      </c>
      <c r="F695" s="28">
        <v>1</v>
      </c>
      <c r="G695" s="28" t="s">
        <v>193</v>
      </c>
      <c r="H695" s="28" t="s">
        <v>194</v>
      </c>
      <c r="I695" s="28" t="s">
        <v>19941</v>
      </c>
      <c r="J695" s="28" t="s">
        <v>9302</v>
      </c>
      <c r="K695" s="28">
        <v>18</v>
      </c>
      <c r="L695" s="28" t="s">
        <v>6955</v>
      </c>
      <c r="N695" s="28" t="s">
        <v>20157</v>
      </c>
      <c r="O695" s="28" t="s">
        <v>7531</v>
      </c>
      <c r="P695" s="28" t="s">
        <v>20049</v>
      </c>
      <c r="Q695" s="28" t="s">
        <v>18819</v>
      </c>
      <c r="R695" s="28" t="s">
        <v>20007</v>
      </c>
      <c r="S695" s="28">
        <v>2569742</v>
      </c>
      <c r="T695" s="28">
        <v>38670357</v>
      </c>
      <c r="V695" s="27"/>
      <c r="W695" s="28" t="s">
        <v>526</v>
      </c>
      <c r="X695" s="28" t="s">
        <v>193</v>
      </c>
      <c r="Y695" s="27">
        <v>25</v>
      </c>
      <c r="AH695" s="28" t="s">
        <v>4714</v>
      </c>
      <c r="AI695" s="28" t="s">
        <v>20156</v>
      </c>
      <c r="AJ695" s="516" t="str">
        <f>MID('II kw.22'!W695,8,6)</f>
        <v>263102</v>
      </c>
      <c r="AK695" s="516">
        <v>1</v>
      </c>
      <c r="AL695" s="516">
        <f t="shared" si="10"/>
        <v>1</v>
      </c>
      <c r="AM695" s="516">
        <v>1</v>
      </c>
      <c r="AN695" s="28">
        <v>1718</v>
      </c>
      <c r="AO695" s="28" t="s">
        <v>17651</v>
      </c>
      <c r="AP695" s="28" t="s">
        <v>17652</v>
      </c>
      <c r="AQ695" s="28" t="s">
        <v>17653</v>
      </c>
      <c r="AR695" s="28" t="s">
        <v>1024</v>
      </c>
    </row>
    <row r="696" spans="1:44" x14ac:dyDescent="0.25">
      <c r="A696" s="28" t="s">
        <v>20158</v>
      </c>
      <c r="B696" s="28" t="s">
        <v>20159</v>
      </c>
      <c r="C696" s="28" t="s">
        <v>5173</v>
      </c>
      <c r="D696" s="28" t="s">
        <v>17800</v>
      </c>
      <c r="E696" s="28" t="s">
        <v>192</v>
      </c>
      <c r="F696" s="28">
        <v>1</v>
      </c>
      <c r="G696" s="28" t="s">
        <v>193</v>
      </c>
      <c r="H696" s="28" t="s">
        <v>194</v>
      </c>
      <c r="I696" s="28" t="s">
        <v>17806</v>
      </c>
      <c r="J696" s="28" t="s">
        <v>9302</v>
      </c>
      <c r="K696" s="28">
        <v>18</v>
      </c>
      <c r="L696" s="28" t="s">
        <v>6955</v>
      </c>
      <c r="N696" s="28" t="s">
        <v>20160</v>
      </c>
      <c r="O696" s="28" t="s">
        <v>6374</v>
      </c>
      <c r="P696" s="28" t="s">
        <v>20049</v>
      </c>
      <c r="Q696" s="28" t="s">
        <v>18819</v>
      </c>
      <c r="R696" s="28" t="s">
        <v>20007</v>
      </c>
      <c r="S696" s="28">
        <v>2569815</v>
      </c>
      <c r="T696" s="28">
        <v>38670430</v>
      </c>
      <c r="V696" s="27"/>
      <c r="W696" s="28" t="s">
        <v>1150</v>
      </c>
      <c r="X696" s="28" t="s">
        <v>193</v>
      </c>
      <c r="Y696" s="27">
        <v>25</v>
      </c>
      <c r="AH696" s="28" t="s">
        <v>4714</v>
      </c>
      <c r="AI696" s="28" t="s">
        <v>20159</v>
      </c>
      <c r="AJ696" s="516" t="str">
        <f>MID('II kw.22'!W696,8,6)</f>
        <v>244001</v>
      </c>
      <c r="AK696" s="516">
        <v>1</v>
      </c>
      <c r="AL696" s="516">
        <f t="shared" si="10"/>
        <v>1</v>
      </c>
      <c r="AM696" s="516">
        <v>1</v>
      </c>
      <c r="AN696" s="28">
        <v>1718</v>
      </c>
      <c r="AO696" s="28" t="s">
        <v>17651</v>
      </c>
      <c r="AP696" s="28" t="s">
        <v>17652</v>
      </c>
      <c r="AQ696" s="28" t="s">
        <v>17653</v>
      </c>
      <c r="AR696" s="28" t="s">
        <v>1024</v>
      </c>
    </row>
    <row r="697" spans="1:44" x14ac:dyDescent="0.25">
      <c r="A697" s="28" t="s">
        <v>3946</v>
      </c>
      <c r="B697" s="28" t="s">
        <v>261</v>
      </c>
      <c r="C697" s="28" t="s">
        <v>74</v>
      </c>
      <c r="D697" s="28" t="s">
        <v>17800</v>
      </c>
      <c r="E697" s="28" t="s">
        <v>192</v>
      </c>
      <c r="F697" s="28">
        <v>1</v>
      </c>
      <c r="G697" s="28" t="s">
        <v>193</v>
      </c>
      <c r="H697" s="28" t="s">
        <v>194</v>
      </c>
      <c r="I697" s="28" t="s">
        <v>17806</v>
      </c>
      <c r="J697" s="28" t="s">
        <v>210</v>
      </c>
      <c r="K697" s="28">
        <v>18</v>
      </c>
      <c r="L697" s="28" t="s">
        <v>6955</v>
      </c>
      <c r="N697" s="28" t="s">
        <v>20161</v>
      </c>
      <c r="O697" s="28" t="s">
        <v>6251</v>
      </c>
      <c r="P697" s="28" t="s">
        <v>20049</v>
      </c>
      <c r="Q697" s="28" t="s">
        <v>18819</v>
      </c>
      <c r="R697" s="28" t="s">
        <v>20007</v>
      </c>
      <c r="S697" s="28">
        <v>2569852</v>
      </c>
      <c r="T697" s="28">
        <v>38670467</v>
      </c>
      <c r="V697" s="28">
        <v>1863</v>
      </c>
      <c r="W697" s="28" t="s">
        <v>246</v>
      </c>
      <c r="X697" s="28" t="s">
        <v>194</v>
      </c>
      <c r="Y697" s="28">
        <v>1</v>
      </c>
      <c r="AH697" s="28" t="s">
        <v>4714</v>
      </c>
      <c r="AI697" s="28" t="s">
        <v>261</v>
      </c>
      <c r="AJ697" s="516" t="str">
        <f>MID('II kw.22'!W697,8,6)</f>
        <v>142004</v>
      </c>
      <c r="AK697" s="516">
        <v>1</v>
      </c>
      <c r="AL697" s="516">
        <f t="shared" si="10"/>
        <v>1</v>
      </c>
      <c r="AM697" s="516">
        <v>1</v>
      </c>
      <c r="AN697" s="28">
        <v>1718</v>
      </c>
      <c r="AO697" s="28" t="s">
        <v>17651</v>
      </c>
      <c r="AP697" s="28" t="s">
        <v>17652</v>
      </c>
      <c r="AQ697" s="28" t="s">
        <v>17653</v>
      </c>
      <c r="AR697" s="28" t="s">
        <v>1024</v>
      </c>
    </row>
    <row r="698" spans="1:44" x14ac:dyDescent="0.25">
      <c r="A698" s="28" t="s">
        <v>1376</v>
      </c>
      <c r="B698" s="28" t="s">
        <v>20162</v>
      </c>
      <c r="C698" s="28" t="s">
        <v>5692</v>
      </c>
      <c r="D698" s="28" t="s">
        <v>17800</v>
      </c>
      <c r="E698" s="28" t="s">
        <v>192</v>
      </c>
      <c r="F698" s="28">
        <v>1</v>
      </c>
      <c r="G698" s="28" t="s">
        <v>193</v>
      </c>
      <c r="H698" s="28" t="s">
        <v>194</v>
      </c>
      <c r="I698" s="28" t="s">
        <v>17806</v>
      </c>
      <c r="J698" s="28" t="s">
        <v>210</v>
      </c>
      <c r="K698" s="28">
        <v>18</v>
      </c>
      <c r="L698" s="28" t="s">
        <v>6955</v>
      </c>
      <c r="N698" s="28" t="s">
        <v>20163</v>
      </c>
      <c r="O698" s="28" t="s">
        <v>6258</v>
      </c>
      <c r="P698" s="28" t="s">
        <v>20049</v>
      </c>
      <c r="Q698" s="28" t="s">
        <v>18819</v>
      </c>
      <c r="R698" s="28" t="s">
        <v>20007</v>
      </c>
      <c r="S698" s="28">
        <v>2569917</v>
      </c>
      <c r="T698" s="28">
        <v>38670532</v>
      </c>
      <c r="V698" s="28">
        <v>1863</v>
      </c>
      <c r="W698" s="28" t="s">
        <v>2139</v>
      </c>
      <c r="X698" s="28" t="s">
        <v>194</v>
      </c>
      <c r="Y698" s="28">
        <v>1</v>
      </c>
      <c r="AH698" s="28" t="s">
        <v>4714</v>
      </c>
      <c r="AI698" s="28" t="s">
        <v>20162</v>
      </c>
      <c r="AJ698" s="516" t="str">
        <f>MID('II kw.22'!W698,8,6)</f>
        <v>723307</v>
      </c>
      <c r="AK698" s="516">
        <v>1</v>
      </c>
      <c r="AL698" s="516">
        <f t="shared" ref="AL698:AL761" si="11">SUM(F698)</f>
        <v>1</v>
      </c>
      <c r="AM698" s="516">
        <v>1</v>
      </c>
      <c r="AN698" s="28">
        <v>1718</v>
      </c>
      <c r="AO698" s="28" t="s">
        <v>17651</v>
      </c>
      <c r="AP698" s="28" t="s">
        <v>17652</v>
      </c>
      <c r="AQ698" s="28" t="s">
        <v>17653</v>
      </c>
      <c r="AR698" s="28" t="s">
        <v>1024</v>
      </c>
    </row>
    <row r="699" spans="1:44" x14ac:dyDescent="0.25">
      <c r="A699" s="28" t="s">
        <v>369</v>
      </c>
      <c r="B699" s="28" t="s">
        <v>20164</v>
      </c>
      <c r="C699" s="28" t="s">
        <v>9085</v>
      </c>
      <c r="D699" s="28" t="s">
        <v>17800</v>
      </c>
      <c r="E699" s="28" t="s">
        <v>192</v>
      </c>
      <c r="F699" s="28">
        <v>1</v>
      </c>
      <c r="G699" s="28" t="s">
        <v>193</v>
      </c>
      <c r="H699" s="28" t="s">
        <v>194</v>
      </c>
      <c r="I699" s="28" t="s">
        <v>17806</v>
      </c>
      <c r="J699" s="28" t="s">
        <v>210</v>
      </c>
      <c r="K699" s="28">
        <v>18</v>
      </c>
      <c r="L699" s="28" t="s">
        <v>6955</v>
      </c>
      <c r="N699" s="28" t="s">
        <v>20165</v>
      </c>
      <c r="O699" s="28" t="s">
        <v>6275</v>
      </c>
      <c r="P699" s="28" t="s">
        <v>20049</v>
      </c>
      <c r="Q699" s="28" t="s">
        <v>18819</v>
      </c>
      <c r="R699" s="28" t="s">
        <v>20007</v>
      </c>
      <c r="S699" s="28">
        <v>2569935</v>
      </c>
      <c r="T699" s="28">
        <v>38670550</v>
      </c>
      <c r="V699" s="28">
        <v>1863</v>
      </c>
      <c r="W699" s="28" t="s">
        <v>799</v>
      </c>
      <c r="X699" s="28" t="s">
        <v>194</v>
      </c>
      <c r="Y699" s="28">
        <v>1</v>
      </c>
      <c r="AH699" s="28" t="s">
        <v>4714</v>
      </c>
      <c r="AI699" s="28" t="s">
        <v>20164</v>
      </c>
      <c r="AJ699" s="516" t="str">
        <f>MID('II kw.22'!W699,8,6)</f>
        <v>722204</v>
      </c>
      <c r="AK699" s="516">
        <v>1</v>
      </c>
      <c r="AL699" s="516">
        <f t="shared" si="11"/>
        <v>1</v>
      </c>
      <c r="AM699" s="516">
        <v>1</v>
      </c>
      <c r="AN699" s="28">
        <v>1718</v>
      </c>
      <c r="AO699" s="28" t="s">
        <v>17651</v>
      </c>
      <c r="AP699" s="28" t="s">
        <v>17652</v>
      </c>
      <c r="AQ699" s="28" t="s">
        <v>17653</v>
      </c>
      <c r="AR699" s="28" t="s">
        <v>1024</v>
      </c>
    </row>
    <row r="700" spans="1:44" x14ac:dyDescent="0.25">
      <c r="A700" s="28" t="s">
        <v>244</v>
      </c>
      <c r="B700" s="28" t="s">
        <v>20166</v>
      </c>
      <c r="C700" s="28" t="s">
        <v>20167</v>
      </c>
      <c r="D700" s="28" t="s">
        <v>17800</v>
      </c>
      <c r="E700" s="28" t="s">
        <v>192</v>
      </c>
      <c r="F700" s="28">
        <v>1</v>
      </c>
      <c r="G700" s="28" t="s">
        <v>193</v>
      </c>
      <c r="H700" s="28" t="s">
        <v>194</v>
      </c>
      <c r="I700" s="28" t="s">
        <v>17806</v>
      </c>
      <c r="J700" s="28" t="s">
        <v>210</v>
      </c>
      <c r="K700" s="28">
        <v>18</v>
      </c>
      <c r="L700" s="28" t="s">
        <v>6955</v>
      </c>
      <c r="N700" s="28" t="s">
        <v>20168</v>
      </c>
      <c r="O700" s="28" t="s">
        <v>6258</v>
      </c>
      <c r="P700" s="28" t="s">
        <v>20049</v>
      </c>
      <c r="Q700" s="28" t="s">
        <v>18819</v>
      </c>
      <c r="R700" s="28" t="s">
        <v>20007</v>
      </c>
      <c r="S700" s="28">
        <v>2570012</v>
      </c>
      <c r="T700" s="28">
        <v>38670627</v>
      </c>
      <c r="V700" s="28">
        <v>1863</v>
      </c>
      <c r="W700" s="28" t="s">
        <v>20169</v>
      </c>
      <c r="X700" s="28" t="s">
        <v>194</v>
      </c>
      <c r="Y700" s="28">
        <v>1</v>
      </c>
      <c r="AH700" s="28" t="s">
        <v>4714</v>
      </c>
      <c r="AI700" s="28" t="s">
        <v>20166</v>
      </c>
      <c r="AJ700" s="516" t="str">
        <f>MID('II kw.22'!W700,8,6)</f>
        <v>821306</v>
      </c>
      <c r="AK700" s="516">
        <v>1</v>
      </c>
      <c r="AL700" s="516">
        <f t="shared" si="11"/>
        <v>1</v>
      </c>
      <c r="AM700" s="516">
        <v>1</v>
      </c>
      <c r="AN700" s="28">
        <v>1718</v>
      </c>
      <c r="AO700" s="28" t="s">
        <v>17651</v>
      </c>
      <c r="AP700" s="28" t="s">
        <v>17652</v>
      </c>
      <c r="AQ700" s="28" t="s">
        <v>17653</v>
      </c>
      <c r="AR700" s="28" t="s">
        <v>1024</v>
      </c>
    </row>
    <row r="701" spans="1:44" x14ac:dyDescent="0.25">
      <c r="A701" s="28" t="s">
        <v>622</v>
      </c>
      <c r="B701" s="28" t="s">
        <v>467</v>
      </c>
      <c r="C701" s="28" t="s">
        <v>468</v>
      </c>
      <c r="D701" s="28" t="s">
        <v>17800</v>
      </c>
      <c r="E701" s="28" t="s">
        <v>192</v>
      </c>
      <c r="F701" s="28">
        <v>1</v>
      </c>
      <c r="G701" s="28" t="s">
        <v>193</v>
      </c>
      <c r="H701" s="28" t="s">
        <v>194</v>
      </c>
      <c r="I701" s="28" t="s">
        <v>17806</v>
      </c>
      <c r="J701" s="28" t="s">
        <v>399</v>
      </c>
      <c r="K701" s="28">
        <v>18</v>
      </c>
      <c r="L701" s="28" t="s">
        <v>6955</v>
      </c>
      <c r="N701" s="28" t="s">
        <v>20170</v>
      </c>
      <c r="O701" s="28" t="s">
        <v>6288</v>
      </c>
      <c r="P701" s="28" t="s">
        <v>20049</v>
      </c>
      <c r="Q701" s="28" t="s">
        <v>18819</v>
      </c>
      <c r="R701" s="28" t="s">
        <v>20007</v>
      </c>
      <c r="S701" s="28">
        <v>2570025</v>
      </c>
      <c r="T701" s="28">
        <v>38670640</v>
      </c>
      <c r="V701" s="28">
        <v>1802</v>
      </c>
      <c r="W701" s="28" t="s">
        <v>469</v>
      </c>
      <c r="X701" s="28" t="s">
        <v>194</v>
      </c>
      <c r="Y701" s="28">
        <v>1</v>
      </c>
      <c r="AH701" s="28" t="s">
        <v>4714</v>
      </c>
      <c r="AI701" s="28" t="s">
        <v>467</v>
      </c>
      <c r="AJ701" s="516" t="str">
        <f>MID('II kw.22'!W701,8,6)</f>
        <v>243303</v>
      </c>
      <c r="AK701" s="516">
        <v>1</v>
      </c>
      <c r="AL701" s="516">
        <f t="shared" si="11"/>
        <v>1</v>
      </c>
      <c r="AM701" s="516">
        <v>1</v>
      </c>
      <c r="AN701" s="28">
        <v>1718</v>
      </c>
      <c r="AO701" s="28" t="s">
        <v>17651</v>
      </c>
      <c r="AP701" s="28" t="s">
        <v>17652</v>
      </c>
      <c r="AQ701" s="28" t="s">
        <v>17653</v>
      </c>
      <c r="AR701" s="28" t="s">
        <v>1024</v>
      </c>
    </row>
    <row r="702" spans="1:44" x14ac:dyDescent="0.25">
      <c r="A702" s="28" t="s">
        <v>369</v>
      </c>
      <c r="B702" s="28" t="s">
        <v>20171</v>
      </c>
      <c r="C702" s="28" t="s">
        <v>566</v>
      </c>
      <c r="D702" s="28" t="s">
        <v>17800</v>
      </c>
      <c r="E702" s="28" t="s">
        <v>192</v>
      </c>
      <c r="F702" s="28">
        <v>1</v>
      </c>
      <c r="G702" s="28" t="s">
        <v>193</v>
      </c>
      <c r="H702" s="28" t="s">
        <v>194</v>
      </c>
      <c r="I702" s="28" t="s">
        <v>17806</v>
      </c>
      <c r="J702" s="28" t="s">
        <v>210</v>
      </c>
      <c r="K702" s="28">
        <v>18</v>
      </c>
      <c r="L702" s="28" t="s">
        <v>6955</v>
      </c>
      <c r="N702" s="28" t="s">
        <v>20172</v>
      </c>
      <c r="O702" s="28" t="s">
        <v>6275</v>
      </c>
      <c r="P702" s="28" t="s">
        <v>20049</v>
      </c>
      <c r="Q702" s="28" t="s">
        <v>18819</v>
      </c>
      <c r="R702" s="28" t="s">
        <v>20007</v>
      </c>
      <c r="S702" s="28">
        <v>2570029</v>
      </c>
      <c r="T702" s="28">
        <v>38670644</v>
      </c>
      <c r="V702" s="28">
        <v>1863</v>
      </c>
      <c r="W702" s="28" t="s">
        <v>567</v>
      </c>
      <c r="X702" s="28" t="s">
        <v>194</v>
      </c>
      <c r="Y702" s="28">
        <v>1</v>
      </c>
      <c r="AH702" s="28" t="s">
        <v>4714</v>
      </c>
      <c r="AI702" s="28" t="s">
        <v>20171</v>
      </c>
      <c r="AJ702" s="516" t="str">
        <f>MID('II kw.22'!W702,8,6)</f>
        <v>311504</v>
      </c>
      <c r="AK702" s="516">
        <v>1</v>
      </c>
      <c r="AL702" s="516">
        <f t="shared" si="11"/>
        <v>1</v>
      </c>
      <c r="AM702" s="516">
        <v>1</v>
      </c>
      <c r="AN702" s="28">
        <v>1718</v>
      </c>
      <c r="AO702" s="28" t="s">
        <v>17651</v>
      </c>
      <c r="AP702" s="28" t="s">
        <v>17652</v>
      </c>
      <c r="AQ702" s="28" t="s">
        <v>17653</v>
      </c>
      <c r="AR702" s="28" t="s">
        <v>1024</v>
      </c>
    </row>
    <row r="703" spans="1:44" x14ac:dyDescent="0.25">
      <c r="A703" s="28" t="s">
        <v>18529</v>
      </c>
      <c r="B703" s="28" t="s">
        <v>20173</v>
      </c>
      <c r="C703" s="28" t="s">
        <v>46</v>
      </c>
      <c r="D703" s="28" t="s">
        <v>17800</v>
      </c>
      <c r="E703" s="28" t="s">
        <v>192</v>
      </c>
      <c r="F703" s="28">
        <v>1</v>
      </c>
      <c r="G703" s="28" t="s">
        <v>193</v>
      </c>
      <c r="H703" s="28" t="s">
        <v>194</v>
      </c>
      <c r="I703" s="28" t="s">
        <v>17806</v>
      </c>
      <c r="J703" s="28" t="s">
        <v>9302</v>
      </c>
      <c r="K703" s="28">
        <v>18</v>
      </c>
      <c r="L703" s="28" t="s">
        <v>6955</v>
      </c>
      <c r="N703" s="28" t="s">
        <v>20174</v>
      </c>
      <c r="O703" s="28" t="s">
        <v>6921</v>
      </c>
      <c r="P703" s="28" t="s">
        <v>20049</v>
      </c>
      <c r="Q703" s="28" t="s">
        <v>18819</v>
      </c>
      <c r="R703" s="28" t="s">
        <v>20007</v>
      </c>
      <c r="S703" s="28">
        <v>2570071</v>
      </c>
      <c r="T703" s="28">
        <v>38670686</v>
      </c>
      <c r="V703" s="27"/>
      <c r="W703" s="28" t="s">
        <v>510</v>
      </c>
      <c r="X703" s="28" t="s">
        <v>193</v>
      </c>
      <c r="Y703" s="27">
        <v>25</v>
      </c>
      <c r="AH703" s="28" t="s">
        <v>4714</v>
      </c>
      <c r="AI703" s="28" t="s">
        <v>20173</v>
      </c>
      <c r="AJ703" s="516" t="str">
        <f>MID('II kw.22'!W703,8,6)</f>
        <v>252201</v>
      </c>
      <c r="AK703" s="516">
        <v>1</v>
      </c>
      <c r="AL703" s="516">
        <f t="shared" si="11"/>
        <v>1</v>
      </c>
      <c r="AM703" s="516">
        <v>1</v>
      </c>
      <c r="AN703" s="28">
        <v>1718</v>
      </c>
      <c r="AO703" s="28" t="s">
        <v>17651</v>
      </c>
      <c r="AP703" s="28" t="s">
        <v>17652</v>
      </c>
      <c r="AQ703" s="28" t="s">
        <v>17653</v>
      </c>
      <c r="AR703" s="28" t="s">
        <v>1024</v>
      </c>
    </row>
    <row r="704" spans="1:44" x14ac:dyDescent="0.25">
      <c r="A704" s="28" t="s">
        <v>20175</v>
      </c>
      <c r="B704" s="28" t="s">
        <v>7763</v>
      </c>
      <c r="C704" s="28" t="s">
        <v>740</v>
      </c>
      <c r="D704" s="28" t="s">
        <v>17800</v>
      </c>
      <c r="E704" s="28" t="s">
        <v>192</v>
      </c>
      <c r="F704" s="28">
        <v>1</v>
      </c>
      <c r="G704" s="28" t="s">
        <v>193</v>
      </c>
      <c r="H704" s="28" t="s">
        <v>194</v>
      </c>
      <c r="I704" s="28" t="s">
        <v>17806</v>
      </c>
      <c r="J704" s="28" t="s">
        <v>385</v>
      </c>
      <c r="K704" s="28">
        <v>18</v>
      </c>
      <c r="L704" s="28" t="s">
        <v>6955</v>
      </c>
      <c r="N704" s="28" t="s">
        <v>20176</v>
      </c>
      <c r="O704" s="28" t="s">
        <v>6251</v>
      </c>
      <c r="P704" s="28" t="s">
        <v>20049</v>
      </c>
      <c r="Q704" s="28" t="s">
        <v>18819</v>
      </c>
      <c r="R704" s="28" t="s">
        <v>20007</v>
      </c>
      <c r="S704" s="28">
        <v>2570111</v>
      </c>
      <c r="T704" s="28">
        <v>38670726</v>
      </c>
      <c r="V704" s="28">
        <v>1861</v>
      </c>
      <c r="W704" s="28" t="s">
        <v>741</v>
      </c>
      <c r="X704" s="28" t="s">
        <v>194</v>
      </c>
      <c r="Y704" s="28">
        <v>1</v>
      </c>
      <c r="AH704" s="28" t="s">
        <v>4714</v>
      </c>
      <c r="AI704" s="28" t="s">
        <v>7763</v>
      </c>
      <c r="AJ704" s="516" t="str">
        <f>MID('II kw.22'!W704,8,6)</f>
        <v>522301</v>
      </c>
      <c r="AK704" s="516">
        <v>1</v>
      </c>
      <c r="AL704" s="516">
        <f t="shared" si="11"/>
        <v>1</v>
      </c>
      <c r="AM704" s="516">
        <v>1</v>
      </c>
      <c r="AN704" s="28">
        <v>1718</v>
      </c>
      <c r="AO704" s="28" t="s">
        <v>17651</v>
      </c>
      <c r="AP704" s="28" t="s">
        <v>17652</v>
      </c>
      <c r="AQ704" s="28" t="s">
        <v>17653</v>
      </c>
      <c r="AR704" s="28" t="s">
        <v>1024</v>
      </c>
    </row>
    <row r="705" spans="1:44" x14ac:dyDescent="0.25">
      <c r="A705" s="28" t="s">
        <v>20177</v>
      </c>
      <c r="B705" s="28" t="s">
        <v>20178</v>
      </c>
      <c r="C705" s="28" t="s">
        <v>17</v>
      </c>
      <c r="D705" s="28" t="s">
        <v>17800</v>
      </c>
      <c r="E705" s="28" t="s">
        <v>192</v>
      </c>
      <c r="F705" s="28">
        <v>1</v>
      </c>
      <c r="G705" s="28" t="s">
        <v>193</v>
      </c>
      <c r="H705" s="28" t="s">
        <v>194</v>
      </c>
      <c r="I705" s="28" t="s">
        <v>17806</v>
      </c>
      <c r="J705" s="28" t="s">
        <v>9302</v>
      </c>
      <c r="K705" s="28">
        <v>18</v>
      </c>
      <c r="L705" s="28" t="s">
        <v>6955</v>
      </c>
      <c r="N705" s="28" t="s">
        <v>20179</v>
      </c>
      <c r="O705" s="28" t="s">
        <v>6245</v>
      </c>
      <c r="P705" s="28" t="s">
        <v>20049</v>
      </c>
      <c r="Q705" s="28" t="s">
        <v>18819</v>
      </c>
      <c r="R705" s="28" t="s">
        <v>18469</v>
      </c>
      <c r="S705" s="28">
        <v>2570112</v>
      </c>
      <c r="T705" s="28">
        <v>38670727</v>
      </c>
      <c r="V705" s="27"/>
      <c r="W705" s="28" t="s">
        <v>624</v>
      </c>
      <c r="X705" s="28" t="s">
        <v>193</v>
      </c>
      <c r="Y705" s="27">
        <v>25</v>
      </c>
      <c r="AH705" s="28" t="s">
        <v>4714</v>
      </c>
      <c r="AI705" s="28" t="s">
        <v>20178</v>
      </c>
      <c r="AJ705" s="516" t="str">
        <f>MID('II kw.22'!W705,8,6)</f>
        <v>332203</v>
      </c>
      <c r="AK705" s="516">
        <v>1</v>
      </c>
      <c r="AL705" s="516">
        <f t="shared" si="11"/>
        <v>1</v>
      </c>
      <c r="AM705" s="516">
        <v>1</v>
      </c>
      <c r="AN705" s="28">
        <v>1718</v>
      </c>
      <c r="AO705" s="28" t="s">
        <v>17651</v>
      </c>
      <c r="AP705" s="28" t="s">
        <v>17652</v>
      </c>
      <c r="AQ705" s="28" t="s">
        <v>17653</v>
      </c>
      <c r="AR705" s="28" t="s">
        <v>1024</v>
      </c>
    </row>
    <row r="706" spans="1:44" x14ac:dyDescent="0.25">
      <c r="A706" s="28" t="s">
        <v>20175</v>
      </c>
      <c r="B706" s="28" t="s">
        <v>7763</v>
      </c>
      <c r="C706" s="28" t="s">
        <v>740</v>
      </c>
      <c r="D706" s="28" t="s">
        <v>17800</v>
      </c>
      <c r="E706" s="28" t="s">
        <v>192</v>
      </c>
      <c r="F706" s="28">
        <v>1</v>
      </c>
      <c r="G706" s="28" t="s">
        <v>193</v>
      </c>
      <c r="H706" s="28" t="s">
        <v>194</v>
      </c>
      <c r="I706" s="28" t="s">
        <v>17806</v>
      </c>
      <c r="J706" s="28" t="s">
        <v>4751</v>
      </c>
      <c r="K706" s="28">
        <v>18</v>
      </c>
      <c r="L706" s="28" t="s">
        <v>6955</v>
      </c>
      <c r="N706" s="28" t="s">
        <v>20180</v>
      </c>
      <c r="O706" s="28" t="s">
        <v>6251</v>
      </c>
      <c r="P706" s="28" t="s">
        <v>20049</v>
      </c>
      <c r="Q706" s="28" t="s">
        <v>18819</v>
      </c>
      <c r="R706" s="28" t="s">
        <v>20007</v>
      </c>
      <c r="S706" s="28">
        <v>2570115</v>
      </c>
      <c r="T706" s="28">
        <v>38670730</v>
      </c>
      <c r="V706" s="28">
        <v>1862</v>
      </c>
      <c r="W706" s="28" t="s">
        <v>741</v>
      </c>
      <c r="X706" s="28" t="s">
        <v>194</v>
      </c>
      <c r="Y706" s="28">
        <v>1</v>
      </c>
      <c r="AH706" s="28" t="s">
        <v>4714</v>
      </c>
      <c r="AI706" s="28" t="s">
        <v>7763</v>
      </c>
      <c r="AJ706" s="516" t="str">
        <f>MID('II kw.22'!W706,8,6)</f>
        <v>522301</v>
      </c>
      <c r="AK706" s="516">
        <v>1</v>
      </c>
      <c r="AL706" s="516">
        <f t="shared" si="11"/>
        <v>1</v>
      </c>
      <c r="AM706" s="516">
        <v>1</v>
      </c>
      <c r="AN706" s="28">
        <v>1718</v>
      </c>
      <c r="AO706" s="28" t="s">
        <v>17651</v>
      </c>
      <c r="AP706" s="28" t="s">
        <v>17652</v>
      </c>
      <c r="AQ706" s="28" t="s">
        <v>17653</v>
      </c>
      <c r="AR706" s="28" t="s">
        <v>1024</v>
      </c>
    </row>
    <row r="707" spans="1:44" x14ac:dyDescent="0.25">
      <c r="A707" s="28" t="s">
        <v>20181</v>
      </c>
      <c r="B707" s="28" t="s">
        <v>20182</v>
      </c>
      <c r="C707" s="28" t="s">
        <v>9798</v>
      </c>
      <c r="D707" s="28" t="s">
        <v>17800</v>
      </c>
      <c r="E707" s="28" t="s">
        <v>192</v>
      </c>
      <c r="F707" s="28">
        <v>1</v>
      </c>
      <c r="G707" s="28" t="s">
        <v>193</v>
      </c>
      <c r="H707" s="28" t="s">
        <v>194</v>
      </c>
      <c r="I707" s="28" t="s">
        <v>17806</v>
      </c>
      <c r="J707" s="28" t="s">
        <v>9302</v>
      </c>
      <c r="K707" s="28">
        <v>18</v>
      </c>
      <c r="L707" s="28" t="s">
        <v>6955</v>
      </c>
      <c r="N707" s="28" t="s">
        <v>20183</v>
      </c>
      <c r="O707" s="28" t="s">
        <v>7531</v>
      </c>
      <c r="P707" s="28" t="s">
        <v>20049</v>
      </c>
      <c r="Q707" s="28" t="s">
        <v>18819</v>
      </c>
      <c r="R707" s="28" t="s">
        <v>18469</v>
      </c>
      <c r="S707" s="28">
        <v>2570129</v>
      </c>
      <c r="T707" s="28">
        <v>38670744</v>
      </c>
      <c r="V707" s="27"/>
      <c r="W707" s="28" t="s">
        <v>1592</v>
      </c>
      <c r="X707" s="28" t="s">
        <v>193</v>
      </c>
      <c r="Y707" s="27">
        <v>25</v>
      </c>
      <c r="AH707" s="28" t="s">
        <v>4714</v>
      </c>
      <c r="AI707" s="28" t="s">
        <v>20182</v>
      </c>
      <c r="AJ707" s="516" t="str">
        <f>MID('II kw.22'!W707,8,6)</f>
        <v>241103</v>
      </c>
      <c r="AK707" s="516">
        <v>1</v>
      </c>
      <c r="AL707" s="516">
        <f t="shared" si="11"/>
        <v>1</v>
      </c>
      <c r="AM707" s="516">
        <v>1</v>
      </c>
      <c r="AN707" s="28">
        <v>1718</v>
      </c>
      <c r="AO707" s="28" t="s">
        <v>17651</v>
      </c>
      <c r="AP707" s="28" t="s">
        <v>17652</v>
      </c>
      <c r="AQ707" s="28" t="s">
        <v>17653</v>
      </c>
      <c r="AR707" s="28" t="s">
        <v>1024</v>
      </c>
    </row>
    <row r="708" spans="1:44" x14ac:dyDescent="0.25">
      <c r="A708" s="28" t="s">
        <v>20175</v>
      </c>
      <c r="B708" s="28" t="s">
        <v>7763</v>
      </c>
      <c r="C708" s="28" t="s">
        <v>740</v>
      </c>
      <c r="D708" s="28" t="s">
        <v>17800</v>
      </c>
      <c r="E708" s="28" t="s">
        <v>192</v>
      </c>
      <c r="F708" s="28">
        <v>1</v>
      </c>
      <c r="G708" s="28" t="s">
        <v>193</v>
      </c>
      <c r="H708" s="28" t="s">
        <v>194</v>
      </c>
      <c r="I708" s="28" t="s">
        <v>17806</v>
      </c>
      <c r="J708" s="28" t="s">
        <v>210</v>
      </c>
      <c r="K708" s="28">
        <v>18</v>
      </c>
      <c r="L708" s="28" t="s">
        <v>6955</v>
      </c>
      <c r="N708" s="28" t="s">
        <v>20184</v>
      </c>
      <c r="O708" s="28" t="s">
        <v>6251</v>
      </c>
      <c r="P708" s="28" t="s">
        <v>20049</v>
      </c>
      <c r="Q708" s="28" t="s">
        <v>18819</v>
      </c>
      <c r="R708" s="28" t="s">
        <v>20007</v>
      </c>
      <c r="S708" s="28">
        <v>2570135</v>
      </c>
      <c r="T708" s="28">
        <v>38670750</v>
      </c>
      <c r="V708" s="28">
        <v>1863</v>
      </c>
      <c r="W708" s="28" t="s">
        <v>741</v>
      </c>
      <c r="X708" s="28" t="s">
        <v>194</v>
      </c>
      <c r="Y708" s="28">
        <v>1</v>
      </c>
      <c r="AH708" s="28" t="s">
        <v>4714</v>
      </c>
      <c r="AI708" s="28" t="s">
        <v>7763</v>
      </c>
      <c r="AJ708" s="516" t="str">
        <f>MID('II kw.22'!W708,8,6)</f>
        <v>522301</v>
      </c>
      <c r="AK708" s="516">
        <v>1</v>
      </c>
      <c r="AL708" s="516">
        <f t="shared" si="11"/>
        <v>1</v>
      </c>
      <c r="AM708" s="516">
        <v>1</v>
      </c>
      <c r="AN708" s="28">
        <v>1718</v>
      </c>
      <c r="AO708" s="28" t="s">
        <v>17651</v>
      </c>
      <c r="AP708" s="28" t="s">
        <v>17652</v>
      </c>
      <c r="AQ708" s="28" t="s">
        <v>17653</v>
      </c>
      <c r="AR708" s="28" t="s">
        <v>1024</v>
      </c>
    </row>
    <row r="709" spans="1:44" x14ac:dyDescent="0.25">
      <c r="A709" s="28" t="s">
        <v>19537</v>
      </c>
      <c r="B709" s="28" t="s">
        <v>20185</v>
      </c>
      <c r="C709" s="28" t="s">
        <v>818</v>
      </c>
      <c r="D709" s="28" t="s">
        <v>17800</v>
      </c>
      <c r="E709" s="28" t="s">
        <v>192</v>
      </c>
      <c r="F709" s="28">
        <v>1</v>
      </c>
      <c r="G709" s="28" t="s">
        <v>193</v>
      </c>
      <c r="H709" s="28" t="s">
        <v>194</v>
      </c>
      <c r="I709" s="28" t="s">
        <v>17806</v>
      </c>
      <c r="J709" s="28" t="s">
        <v>672</v>
      </c>
      <c r="K709" s="28">
        <v>18</v>
      </c>
      <c r="L709" s="28" t="s">
        <v>6955</v>
      </c>
      <c r="N709" s="28" t="s">
        <v>20186</v>
      </c>
      <c r="O709" s="28" t="s">
        <v>6275</v>
      </c>
      <c r="P709" s="28" t="s">
        <v>20049</v>
      </c>
      <c r="Q709" s="28" t="s">
        <v>18819</v>
      </c>
      <c r="R709" s="28" t="s">
        <v>20007</v>
      </c>
      <c r="S709" s="28">
        <v>2570171</v>
      </c>
      <c r="T709" s="28">
        <v>38670786</v>
      </c>
      <c r="V709" s="28">
        <v>1816</v>
      </c>
      <c r="W709" s="28" t="s">
        <v>819</v>
      </c>
      <c r="X709" s="28" t="s">
        <v>194</v>
      </c>
      <c r="Y709" s="28">
        <v>1</v>
      </c>
      <c r="AH709" s="28" t="s">
        <v>4714</v>
      </c>
      <c r="AI709" s="28" t="s">
        <v>20185</v>
      </c>
      <c r="AJ709" s="516" t="str">
        <f>MID('II kw.22'!W709,8,6)</f>
        <v>722313</v>
      </c>
      <c r="AK709" s="516">
        <v>1</v>
      </c>
      <c r="AL709" s="516">
        <f t="shared" si="11"/>
        <v>1</v>
      </c>
      <c r="AM709" s="516">
        <v>1</v>
      </c>
      <c r="AN709" s="28">
        <v>1718</v>
      </c>
      <c r="AO709" s="28" t="s">
        <v>17651</v>
      </c>
      <c r="AP709" s="28" t="s">
        <v>17652</v>
      </c>
      <c r="AQ709" s="28" t="s">
        <v>17653</v>
      </c>
      <c r="AR709" s="28" t="s">
        <v>1024</v>
      </c>
    </row>
    <row r="710" spans="1:44" x14ac:dyDescent="0.25">
      <c r="A710" s="28" t="s">
        <v>15176</v>
      </c>
      <c r="B710" s="28" t="s">
        <v>5106</v>
      </c>
      <c r="C710" s="28" t="s">
        <v>10</v>
      </c>
      <c r="D710" s="28" t="s">
        <v>17800</v>
      </c>
      <c r="E710" s="28" t="s">
        <v>192</v>
      </c>
      <c r="F710" s="28">
        <v>1</v>
      </c>
      <c r="G710" s="28" t="s">
        <v>193</v>
      </c>
      <c r="H710" s="28" t="s">
        <v>194</v>
      </c>
      <c r="I710" s="28" t="s">
        <v>17806</v>
      </c>
      <c r="J710" s="28" t="s">
        <v>276</v>
      </c>
      <c r="K710" s="28">
        <v>18</v>
      </c>
      <c r="L710" s="28" t="s">
        <v>6955</v>
      </c>
      <c r="N710" s="28" t="s">
        <v>20187</v>
      </c>
      <c r="O710" s="28" t="s">
        <v>6261</v>
      </c>
      <c r="P710" s="28" t="s">
        <v>20049</v>
      </c>
      <c r="Q710" s="28" t="s">
        <v>18819</v>
      </c>
      <c r="R710" s="28" t="s">
        <v>20007</v>
      </c>
      <c r="S710" s="28">
        <v>2570197</v>
      </c>
      <c r="T710" s="28">
        <v>38670812</v>
      </c>
      <c r="V710" s="28">
        <v>1803</v>
      </c>
      <c r="W710" s="28" t="s">
        <v>484</v>
      </c>
      <c r="X710" s="28" t="s">
        <v>194</v>
      </c>
      <c r="Y710" s="28">
        <v>1</v>
      </c>
      <c r="AH710" s="28" t="s">
        <v>4714</v>
      </c>
      <c r="AI710" s="28" t="s">
        <v>5106</v>
      </c>
      <c r="AJ710" s="516" t="str">
        <f>MID('II kw.22'!W710,8,6)</f>
        <v>251401</v>
      </c>
      <c r="AK710" s="516">
        <v>1</v>
      </c>
      <c r="AL710" s="516">
        <f t="shared" si="11"/>
        <v>1</v>
      </c>
      <c r="AM710" s="516">
        <v>1</v>
      </c>
      <c r="AN710" s="28">
        <v>1718</v>
      </c>
      <c r="AO710" s="28" t="s">
        <v>17651</v>
      </c>
      <c r="AP710" s="28" t="s">
        <v>17652</v>
      </c>
      <c r="AQ710" s="28" t="s">
        <v>17653</v>
      </c>
      <c r="AR710" s="28" t="s">
        <v>1024</v>
      </c>
    </row>
    <row r="711" spans="1:44" x14ac:dyDescent="0.25">
      <c r="A711" s="28" t="s">
        <v>15176</v>
      </c>
      <c r="B711" s="28" t="s">
        <v>5106</v>
      </c>
      <c r="C711" s="28" t="s">
        <v>10</v>
      </c>
      <c r="D711" s="28" t="s">
        <v>17800</v>
      </c>
      <c r="E711" s="28" t="s">
        <v>192</v>
      </c>
      <c r="F711" s="28">
        <v>1</v>
      </c>
      <c r="G711" s="28" t="s">
        <v>193</v>
      </c>
      <c r="H711" s="28" t="s">
        <v>194</v>
      </c>
      <c r="I711" s="28" t="s">
        <v>17806</v>
      </c>
      <c r="J711" s="28" t="s">
        <v>253</v>
      </c>
      <c r="K711" s="28">
        <v>18</v>
      </c>
      <c r="L711" s="28" t="s">
        <v>6955</v>
      </c>
      <c r="N711" s="28" t="s">
        <v>20188</v>
      </c>
      <c r="O711" s="28" t="s">
        <v>6261</v>
      </c>
      <c r="P711" s="28" t="s">
        <v>20049</v>
      </c>
      <c r="Q711" s="28" t="s">
        <v>18819</v>
      </c>
      <c r="R711" s="28" t="s">
        <v>20007</v>
      </c>
      <c r="S711" s="28">
        <v>2570200</v>
      </c>
      <c r="T711" s="28">
        <v>38670815</v>
      </c>
      <c r="V711" s="28">
        <v>1811</v>
      </c>
      <c r="W711" s="28" t="s">
        <v>484</v>
      </c>
      <c r="X711" s="28" t="s">
        <v>194</v>
      </c>
      <c r="Y711" s="28">
        <v>1</v>
      </c>
      <c r="AH711" s="28" t="s">
        <v>4714</v>
      </c>
      <c r="AI711" s="28" t="s">
        <v>5106</v>
      </c>
      <c r="AJ711" s="516" t="str">
        <f>MID('II kw.22'!W711,8,6)</f>
        <v>251401</v>
      </c>
      <c r="AK711" s="516">
        <v>1</v>
      </c>
      <c r="AL711" s="516">
        <f t="shared" si="11"/>
        <v>1</v>
      </c>
      <c r="AM711" s="516">
        <v>1</v>
      </c>
      <c r="AN711" s="28">
        <v>1718</v>
      </c>
      <c r="AO711" s="28" t="s">
        <v>17651</v>
      </c>
      <c r="AP711" s="28" t="s">
        <v>17652</v>
      </c>
      <c r="AQ711" s="28" t="s">
        <v>17653</v>
      </c>
      <c r="AR711" s="28" t="s">
        <v>1024</v>
      </c>
    </row>
    <row r="712" spans="1:44" x14ac:dyDescent="0.25">
      <c r="A712" s="28" t="s">
        <v>15176</v>
      </c>
      <c r="B712" s="28" t="s">
        <v>5106</v>
      </c>
      <c r="C712" s="28" t="s">
        <v>10</v>
      </c>
      <c r="D712" s="28" t="s">
        <v>17800</v>
      </c>
      <c r="E712" s="28" t="s">
        <v>192</v>
      </c>
      <c r="F712" s="28">
        <v>1</v>
      </c>
      <c r="G712" s="28" t="s">
        <v>193</v>
      </c>
      <c r="H712" s="28" t="s">
        <v>194</v>
      </c>
      <c r="I712" s="28" t="s">
        <v>17806</v>
      </c>
      <c r="J712" s="28" t="s">
        <v>408</v>
      </c>
      <c r="K712" s="28">
        <v>18</v>
      </c>
      <c r="L712" s="28" t="s">
        <v>6955</v>
      </c>
      <c r="N712" s="28" t="s">
        <v>20189</v>
      </c>
      <c r="O712" s="28" t="s">
        <v>6261</v>
      </c>
      <c r="P712" s="28" t="s">
        <v>20049</v>
      </c>
      <c r="Q712" s="28" t="s">
        <v>18819</v>
      </c>
      <c r="R712" s="28" t="s">
        <v>20007</v>
      </c>
      <c r="S712" s="28">
        <v>2570208</v>
      </c>
      <c r="T712" s="28">
        <v>38670823</v>
      </c>
      <c r="V712" s="28">
        <v>1864</v>
      </c>
      <c r="W712" s="28" t="s">
        <v>484</v>
      </c>
      <c r="X712" s="28" t="s">
        <v>194</v>
      </c>
      <c r="Y712" s="28">
        <v>1</v>
      </c>
      <c r="AH712" s="28" t="s">
        <v>4714</v>
      </c>
      <c r="AI712" s="28" t="s">
        <v>5106</v>
      </c>
      <c r="AJ712" s="516" t="str">
        <f>MID('II kw.22'!W712,8,6)</f>
        <v>251401</v>
      </c>
      <c r="AK712" s="516">
        <v>1</v>
      </c>
      <c r="AL712" s="516">
        <f t="shared" si="11"/>
        <v>1</v>
      </c>
      <c r="AM712" s="516">
        <v>1</v>
      </c>
      <c r="AN712" s="28">
        <v>1718</v>
      </c>
      <c r="AO712" s="28" t="s">
        <v>17651</v>
      </c>
      <c r="AP712" s="28" t="s">
        <v>17652</v>
      </c>
      <c r="AQ712" s="28" t="s">
        <v>17653</v>
      </c>
      <c r="AR712" s="28" t="s">
        <v>1024</v>
      </c>
    </row>
    <row r="713" spans="1:44" x14ac:dyDescent="0.25">
      <c r="A713" s="28" t="s">
        <v>20175</v>
      </c>
      <c r="B713" s="28" t="s">
        <v>7763</v>
      </c>
      <c r="C713" s="28" t="s">
        <v>740</v>
      </c>
      <c r="D713" s="28" t="s">
        <v>17800</v>
      </c>
      <c r="E713" s="28" t="s">
        <v>192</v>
      </c>
      <c r="F713" s="28">
        <v>1</v>
      </c>
      <c r="G713" s="28" t="s">
        <v>193</v>
      </c>
      <c r="H713" s="28" t="s">
        <v>194</v>
      </c>
      <c r="I713" s="28" t="s">
        <v>17806</v>
      </c>
      <c r="J713" s="28" t="s">
        <v>276</v>
      </c>
      <c r="K713" s="28">
        <v>18</v>
      </c>
      <c r="L713" s="28" t="s">
        <v>6955</v>
      </c>
      <c r="N713" s="28" t="s">
        <v>20190</v>
      </c>
      <c r="O713" s="28" t="s">
        <v>6251</v>
      </c>
      <c r="P713" s="28" t="s">
        <v>20049</v>
      </c>
      <c r="Q713" s="28" t="s">
        <v>18819</v>
      </c>
      <c r="R713" s="28" t="s">
        <v>20007</v>
      </c>
      <c r="S713" s="28">
        <v>2570263</v>
      </c>
      <c r="T713" s="28">
        <v>38670878</v>
      </c>
      <c r="V713" s="28">
        <v>1803</v>
      </c>
      <c r="W713" s="28" t="s">
        <v>741</v>
      </c>
      <c r="X713" s="28" t="s">
        <v>194</v>
      </c>
      <c r="Y713" s="28">
        <v>1</v>
      </c>
      <c r="AH713" s="28" t="s">
        <v>4714</v>
      </c>
      <c r="AI713" s="28" t="s">
        <v>7763</v>
      </c>
      <c r="AJ713" s="516" t="str">
        <f>MID('II kw.22'!W713,8,6)</f>
        <v>522301</v>
      </c>
      <c r="AK713" s="516">
        <v>1</v>
      </c>
      <c r="AL713" s="516">
        <f t="shared" si="11"/>
        <v>1</v>
      </c>
      <c r="AM713" s="516">
        <v>1</v>
      </c>
      <c r="AN713" s="28">
        <v>1718</v>
      </c>
      <c r="AO713" s="28" t="s">
        <v>17651</v>
      </c>
      <c r="AP713" s="28" t="s">
        <v>17652</v>
      </c>
      <c r="AQ713" s="28" t="s">
        <v>17653</v>
      </c>
      <c r="AR713" s="28" t="s">
        <v>1024</v>
      </c>
    </row>
    <row r="714" spans="1:44" x14ac:dyDescent="0.25">
      <c r="A714" s="28" t="s">
        <v>20175</v>
      </c>
      <c r="B714" s="28" t="s">
        <v>7763</v>
      </c>
      <c r="C714" s="28" t="s">
        <v>740</v>
      </c>
      <c r="D714" s="28" t="s">
        <v>17800</v>
      </c>
      <c r="E714" s="28" t="s">
        <v>192</v>
      </c>
      <c r="F714" s="28">
        <v>1</v>
      </c>
      <c r="G714" s="28" t="s">
        <v>193</v>
      </c>
      <c r="H714" s="28" t="s">
        <v>194</v>
      </c>
      <c r="I714" s="28" t="s">
        <v>17806</v>
      </c>
      <c r="J714" s="28" t="s">
        <v>253</v>
      </c>
      <c r="K714" s="28">
        <v>18</v>
      </c>
      <c r="L714" s="28" t="s">
        <v>6955</v>
      </c>
      <c r="N714" s="28" t="s">
        <v>20191</v>
      </c>
      <c r="O714" s="28" t="s">
        <v>6251</v>
      </c>
      <c r="P714" s="28" t="s">
        <v>20049</v>
      </c>
      <c r="Q714" s="28" t="s">
        <v>18819</v>
      </c>
      <c r="R714" s="28" t="s">
        <v>20007</v>
      </c>
      <c r="S714" s="28">
        <v>2570279</v>
      </c>
      <c r="T714" s="28">
        <v>38670894</v>
      </c>
      <c r="V714" s="28">
        <v>1811</v>
      </c>
      <c r="W714" s="28" t="s">
        <v>741</v>
      </c>
      <c r="X714" s="28" t="s">
        <v>194</v>
      </c>
      <c r="Y714" s="28">
        <v>1</v>
      </c>
      <c r="AH714" s="28" t="s">
        <v>4714</v>
      </c>
      <c r="AI714" s="28" t="s">
        <v>7763</v>
      </c>
      <c r="AJ714" s="516" t="str">
        <f>MID('II kw.22'!W714,8,6)</f>
        <v>522301</v>
      </c>
      <c r="AK714" s="516">
        <v>1</v>
      </c>
      <c r="AL714" s="516">
        <f t="shared" si="11"/>
        <v>1</v>
      </c>
      <c r="AM714" s="516">
        <v>1</v>
      </c>
      <c r="AN714" s="28">
        <v>1718</v>
      </c>
      <c r="AO714" s="28" t="s">
        <v>17651</v>
      </c>
      <c r="AP714" s="28" t="s">
        <v>17652</v>
      </c>
      <c r="AQ714" s="28" t="s">
        <v>17653</v>
      </c>
      <c r="AR714" s="28" t="s">
        <v>1024</v>
      </c>
    </row>
    <row r="715" spans="1:44" x14ac:dyDescent="0.25">
      <c r="A715" s="28" t="s">
        <v>20175</v>
      </c>
      <c r="B715" s="28" t="s">
        <v>7763</v>
      </c>
      <c r="C715" s="28" t="s">
        <v>740</v>
      </c>
      <c r="D715" s="28" t="s">
        <v>17800</v>
      </c>
      <c r="E715" s="28" t="s">
        <v>192</v>
      </c>
      <c r="F715" s="28">
        <v>1</v>
      </c>
      <c r="G715" s="28" t="s">
        <v>193</v>
      </c>
      <c r="H715" s="28" t="s">
        <v>194</v>
      </c>
      <c r="I715" s="28" t="s">
        <v>17806</v>
      </c>
      <c r="J715" s="28" t="s">
        <v>316</v>
      </c>
      <c r="K715" s="28">
        <v>18</v>
      </c>
      <c r="L715" s="28" t="s">
        <v>6955</v>
      </c>
      <c r="N715" s="28" t="s">
        <v>20192</v>
      </c>
      <c r="O715" s="28" t="s">
        <v>6251</v>
      </c>
      <c r="P715" s="28" t="s">
        <v>20049</v>
      </c>
      <c r="Q715" s="28" t="s">
        <v>18819</v>
      </c>
      <c r="R715" s="28" t="s">
        <v>20007</v>
      </c>
      <c r="S715" s="28">
        <v>2570299</v>
      </c>
      <c r="T715" s="28">
        <v>38670914</v>
      </c>
      <c r="V715" s="28">
        <v>1818</v>
      </c>
      <c r="W715" s="28" t="s">
        <v>741</v>
      </c>
      <c r="X715" s="28" t="s">
        <v>194</v>
      </c>
      <c r="Y715" s="28">
        <v>1</v>
      </c>
      <c r="AH715" s="28" t="s">
        <v>4714</v>
      </c>
      <c r="AI715" s="28" t="s">
        <v>7763</v>
      </c>
      <c r="AJ715" s="516" t="str">
        <f>MID('II kw.22'!W715,8,6)</f>
        <v>522301</v>
      </c>
      <c r="AK715" s="516">
        <v>1</v>
      </c>
      <c r="AL715" s="516">
        <f t="shared" si="11"/>
        <v>1</v>
      </c>
      <c r="AM715" s="516">
        <v>1</v>
      </c>
      <c r="AN715" s="28">
        <v>1718</v>
      </c>
      <c r="AO715" s="28" t="s">
        <v>17651</v>
      </c>
      <c r="AP715" s="28" t="s">
        <v>17652</v>
      </c>
      <c r="AQ715" s="28" t="s">
        <v>17653</v>
      </c>
      <c r="AR715" s="28" t="s">
        <v>1024</v>
      </c>
    </row>
    <row r="716" spans="1:44" x14ac:dyDescent="0.25">
      <c r="A716" s="28" t="s">
        <v>16944</v>
      </c>
      <c r="B716" s="28" t="s">
        <v>439</v>
      </c>
      <c r="C716" s="28" t="s">
        <v>20193</v>
      </c>
      <c r="D716" s="28" t="s">
        <v>17800</v>
      </c>
      <c r="E716" s="28" t="s">
        <v>192</v>
      </c>
      <c r="F716" s="28">
        <v>1</v>
      </c>
      <c r="G716" s="28" t="s">
        <v>193</v>
      </c>
      <c r="H716" s="28" t="s">
        <v>194</v>
      </c>
      <c r="I716" s="28" t="s">
        <v>17806</v>
      </c>
      <c r="J716" s="28" t="s">
        <v>210</v>
      </c>
      <c r="K716" s="28">
        <v>18</v>
      </c>
      <c r="L716" s="28" t="s">
        <v>6955</v>
      </c>
      <c r="N716" s="28" t="s">
        <v>20194</v>
      </c>
      <c r="O716" s="28" t="s">
        <v>6343</v>
      </c>
      <c r="P716" s="28" t="s">
        <v>20049</v>
      </c>
      <c r="Q716" s="28" t="s">
        <v>18819</v>
      </c>
      <c r="R716" s="28" t="s">
        <v>20007</v>
      </c>
      <c r="S716" s="28">
        <v>2570330</v>
      </c>
      <c r="T716" s="28">
        <v>38670945</v>
      </c>
      <c r="V716" s="28">
        <v>1863</v>
      </c>
      <c r="W716" s="28" t="s">
        <v>20195</v>
      </c>
      <c r="X716" s="28" t="s">
        <v>194</v>
      </c>
      <c r="Y716" s="28">
        <v>1</v>
      </c>
      <c r="AH716" s="28" t="s">
        <v>4714</v>
      </c>
      <c r="AI716" s="28" t="s">
        <v>439</v>
      </c>
      <c r="AJ716" s="516" t="str">
        <f>MID('II kw.22'!W716,8,6)</f>
        <v>242490</v>
      </c>
      <c r="AK716" s="516">
        <v>1</v>
      </c>
      <c r="AL716" s="516">
        <f t="shared" si="11"/>
        <v>1</v>
      </c>
      <c r="AM716" s="516">
        <v>1</v>
      </c>
      <c r="AN716" s="28">
        <v>1718</v>
      </c>
      <c r="AO716" s="28" t="s">
        <v>17651</v>
      </c>
      <c r="AP716" s="28" t="s">
        <v>17652</v>
      </c>
      <c r="AQ716" s="28" t="s">
        <v>17653</v>
      </c>
      <c r="AR716" s="28" t="s">
        <v>1024</v>
      </c>
    </row>
    <row r="717" spans="1:44" x14ac:dyDescent="0.25">
      <c r="A717" s="28" t="s">
        <v>20196</v>
      </c>
      <c r="B717" s="28" t="s">
        <v>20197</v>
      </c>
      <c r="C717" s="28" t="s">
        <v>136</v>
      </c>
      <c r="D717" s="28" t="s">
        <v>17800</v>
      </c>
      <c r="E717" s="28" t="s">
        <v>192</v>
      </c>
      <c r="F717" s="28">
        <v>1</v>
      </c>
      <c r="G717" s="28" t="s">
        <v>193</v>
      </c>
      <c r="H717" s="28" t="s">
        <v>194</v>
      </c>
      <c r="I717" s="28" t="s">
        <v>17806</v>
      </c>
      <c r="J717" s="28" t="s">
        <v>826</v>
      </c>
      <c r="K717" s="28">
        <v>18</v>
      </c>
      <c r="L717" s="28" t="s">
        <v>6955</v>
      </c>
      <c r="N717" s="28" t="s">
        <v>20198</v>
      </c>
      <c r="O717" s="28" t="s">
        <v>6258</v>
      </c>
      <c r="P717" s="28" t="s">
        <v>20049</v>
      </c>
      <c r="Q717" s="28" t="s">
        <v>18819</v>
      </c>
      <c r="R717" s="28" t="s">
        <v>20007</v>
      </c>
      <c r="S717" s="28">
        <v>2570342</v>
      </c>
      <c r="T717" s="28">
        <v>38670957</v>
      </c>
      <c r="V717" s="28">
        <v>1816</v>
      </c>
      <c r="W717" s="28" t="s">
        <v>461</v>
      </c>
      <c r="X717" s="28" t="s">
        <v>194</v>
      </c>
      <c r="Y717" s="28">
        <v>1</v>
      </c>
      <c r="AH717" s="28" t="s">
        <v>4714</v>
      </c>
      <c r="AI717" s="28" t="s">
        <v>20197</v>
      </c>
      <c r="AJ717" s="516" t="str">
        <f>MID('II kw.22'!W717,8,6)</f>
        <v>243301</v>
      </c>
      <c r="AK717" s="516">
        <v>1</v>
      </c>
      <c r="AL717" s="516">
        <f t="shared" si="11"/>
        <v>1</v>
      </c>
      <c r="AM717" s="516">
        <v>1</v>
      </c>
      <c r="AN717" s="28">
        <v>1718</v>
      </c>
      <c r="AO717" s="28" t="s">
        <v>17651</v>
      </c>
      <c r="AP717" s="28" t="s">
        <v>17652</v>
      </c>
      <c r="AQ717" s="28" t="s">
        <v>17653</v>
      </c>
      <c r="AR717" s="28" t="s">
        <v>1024</v>
      </c>
    </row>
    <row r="718" spans="1:44" x14ac:dyDescent="0.25">
      <c r="A718" s="28" t="s">
        <v>20097</v>
      </c>
      <c r="B718" s="28" t="s">
        <v>20199</v>
      </c>
      <c r="C718" s="28" t="s">
        <v>354</v>
      </c>
      <c r="D718" s="28" t="s">
        <v>17800</v>
      </c>
      <c r="E718" s="28" t="s">
        <v>192</v>
      </c>
      <c r="F718" s="28">
        <v>1</v>
      </c>
      <c r="G718" s="28" t="s">
        <v>193</v>
      </c>
      <c r="H718" s="28" t="s">
        <v>194</v>
      </c>
      <c r="I718" s="28" t="s">
        <v>17806</v>
      </c>
      <c r="J718" s="28" t="s">
        <v>672</v>
      </c>
      <c r="K718" s="28">
        <v>18</v>
      </c>
      <c r="L718" s="28" t="s">
        <v>6955</v>
      </c>
      <c r="N718" s="28" t="s">
        <v>20200</v>
      </c>
      <c r="O718" s="28" t="s">
        <v>6258</v>
      </c>
      <c r="P718" s="28" t="s">
        <v>20049</v>
      </c>
      <c r="Q718" s="28" t="s">
        <v>18819</v>
      </c>
      <c r="R718" s="28" t="s">
        <v>20007</v>
      </c>
      <c r="S718" s="28">
        <v>2570472</v>
      </c>
      <c r="T718" s="28">
        <v>38671087</v>
      </c>
      <c r="V718" s="28">
        <v>1816</v>
      </c>
      <c r="W718" s="28" t="s">
        <v>355</v>
      </c>
      <c r="X718" s="28" t="s">
        <v>194</v>
      </c>
      <c r="Y718" s="28">
        <v>1</v>
      </c>
      <c r="AH718" s="28" t="s">
        <v>4714</v>
      </c>
      <c r="AI718" s="28" t="s">
        <v>20199</v>
      </c>
      <c r="AJ718" s="516" t="str">
        <f>MID('II kw.22'!W718,8,6)</f>
        <v>215103</v>
      </c>
      <c r="AK718" s="516">
        <v>1</v>
      </c>
      <c r="AL718" s="516">
        <f t="shared" si="11"/>
        <v>1</v>
      </c>
      <c r="AM718" s="516">
        <v>1</v>
      </c>
      <c r="AN718" s="28">
        <v>1718</v>
      </c>
      <c r="AO718" s="28" t="s">
        <v>17651</v>
      </c>
      <c r="AP718" s="28" t="s">
        <v>17652</v>
      </c>
      <c r="AQ718" s="28" t="s">
        <v>17653</v>
      </c>
      <c r="AR718" s="28" t="s">
        <v>1024</v>
      </c>
    </row>
    <row r="719" spans="1:44" x14ac:dyDescent="0.25">
      <c r="A719" s="28" t="s">
        <v>3217</v>
      </c>
      <c r="B719" s="28" t="s">
        <v>4952</v>
      </c>
      <c r="C719" s="28" t="s">
        <v>27</v>
      </c>
      <c r="D719" s="28" t="s">
        <v>17800</v>
      </c>
      <c r="E719" s="28" t="s">
        <v>192</v>
      </c>
      <c r="F719" s="28">
        <v>1</v>
      </c>
      <c r="G719" s="28" t="s">
        <v>193</v>
      </c>
      <c r="H719" s="28" t="s">
        <v>194</v>
      </c>
      <c r="I719" s="28" t="s">
        <v>17806</v>
      </c>
      <c r="J719" s="28" t="s">
        <v>2819</v>
      </c>
      <c r="K719" s="28">
        <v>18</v>
      </c>
      <c r="L719" s="28" t="s">
        <v>6955</v>
      </c>
      <c r="N719" s="28" t="s">
        <v>20201</v>
      </c>
      <c r="O719" s="28" t="s">
        <v>6340</v>
      </c>
      <c r="P719" s="28" t="s">
        <v>20049</v>
      </c>
      <c r="Q719" s="28" t="s">
        <v>18819</v>
      </c>
      <c r="R719" s="28" t="s">
        <v>20007</v>
      </c>
      <c r="S719" s="28">
        <v>2570516</v>
      </c>
      <c r="T719" s="28">
        <v>38671131</v>
      </c>
      <c r="V719" s="28">
        <v>1803</v>
      </c>
      <c r="W719" s="28" t="s">
        <v>440</v>
      </c>
      <c r="X719" s="28" t="s">
        <v>194</v>
      </c>
      <c r="Y719" s="28">
        <v>1</v>
      </c>
      <c r="AH719" s="28" t="s">
        <v>4714</v>
      </c>
      <c r="AI719" s="28" t="s">
        <v>4952</v>
      </c>
      <c r="AJ719" s="516" t="str">
        <f>MID('II kw.22'!W719,8,6)</f>
        <v>242307</v>
      </c>
      <c r="AK719" s="516">
        <v>1</v>
      </c>
      <c r="AL719" s="516">
        <f t="shared" si="11"/>
        <v>1</v>
      </c>
      <c r="AM719" s="516">
        <v>1</v>
      </c>
      <c r="AN719" s="28">
        <v>1718</v>
      </c>
      <c r="AO719" s="28" t="s">
        <v>17651</v>
      </c>
      <c r="AP719" s="28" t="s">
        <v>17652</v>
      </c>
      <c r="AQ719" s="28" t="s">
        <v>17653</v>
      </c>
      <c r="AR719" s="28" t="s">
        <v>1024</v>
      </c>
    </row>
    <row r="720" spans="1:44" x14ac:dyDescent="0.25">
      <c r="A720" s="28" t="s">
        <v>20202</v>
      </c>
      <c r="B720" s="28" t="s">
        <v>1396</v>
      </c>
      <c r="C720" s="28" t="s">
        <v>43</v>
      </c>
      <c r="D720" s="28" t="s">
        <v>17800</v>
      </c>
      <c r="E720" s="28" t="s">
        <v>192</v>
      </c>
      <c r="F720" s="28">
        <v>1</v>
      </c>
      <c r="G720" s="28" t="s">
        <v>193</v>
      </c>
      <c r="H720" s="28" t="s">
        <v>194</v>
      </c>
      <c r="I720" s="28" t="s">
        <v>17806</v>
      </c>
      <c r="J720" s="28" t="s">
        <v>2131</v>
      </c>
      <c r="K720" s="28">
        <v>18</v>
      </c>
      <c r="L720" s="28" t="s">
        <v>6955</v>
      </c>
      <c r="N720" s="28" t="s">
        <v>20203</v>
      </c>
      <c r="O720" s="28" t="s">
        <v>6921</v>
      </c>
      <c r="P720" s="28" t="s">
        <v>20049</v>
      </c>
      <c r="Q720" s="28" t="s">
        <v>18819</v>
      </c>
      <c r="R720" s="28" t="s">
        <v>20007</v>
      </c>
      <c r="S720" s="28">
        <v>2570535</v>
      </c>
      <c r="T720" s="28">
        <v>38671150</v>
      </c>
      <c r="V720" s="28">
        <v>1819</v>
      </c>
      <c r="W720" s="28" t="s">
        <v>452</v>
      </c>
      <c r="X720" s="28" t="s">
        <v>194</v>
      </c>
      <c r="Y720" s="28">
        <v>1</v>
      </c>
      <c r="AH720" s="28" t="s">
        <v>4714</v>
      </c>
      <c r="AI720" s="28" t="s">
        <v>1396</v>
      </c>
      <c r="AJ720" s="516" t="str">
        <f>MID('II kw.22'!W720,8,6)</f>
        <v>243106</v>
      </c>
      <c r="AK720" s="516">
        <v>1</v>
      </c>
      <c r="AL720" s="516">
        <f t="shared" si="11"/>
        <v>1</v>
      </c>
      <c r="AM720" s="516">
        <v>1</v>
      </c>
      <c r="AN720" s="28">
        <v>1718</v>
      </c>
      <c r="AO720" s="28" t="s">
        <v>17651</v>
      </c>
      <c r="AP720" s="28" t="s">
        <v>17652</v>
      </c>
      <c r="AQ720" s="28" t="s">
        <v>17653</v>
      </c>
      <c r="AR720" s="28" t="s">
        <v>1024</v>
      </c>
    </row>
    <row r="721" spans="1:44" x14ac:dyDescent="0.25">
      <c r="A721" s="28" t="s">
        <v>20204</v>
      </c>
      <c r="B721" s="28" t="s">
        <v>20205</v>
      </c>
      <c r="C721" s="28" t="s">
        <v>102</v>
      </c>
      <c r="D721" s="28" t="s">
        <v>17800</v>
      </c>
      <c r="E721" s="28" t="s">
        <v>192</v>
      </c>
      <c r="F721" s="28">
        <v>1</v>
      </c>
      <c r="G721" s="28" t="s">
        <v>193</v>
      </c>
      <c r="H721" s="28" t="s">
        <v>194</v>
      </c>
      <c r="I721" s="28" t="s">
        <v>17806</v>
      </c>
      <c r="J721" s="28" t="s">
        <v>210</v>
      </c>
      <c r="K721" s="28">
        <v>18</v>
      </c>
      <c r="L721" s="28" t="s">
        <v>6955</v>
      </c>
      <c r="N721" s="28" t="s">
        <v>20206</v>
      </c>
      <c r="O721" s="28" t="s">
        <v>6389</v>
      </c>
      <c r="P721" s="28" t="s">
        <v>20049</v>
      </c>
      <c r="Q721" s="28" t="s">
        <v>18819</v>
      </c>
      <c r="R721" s="28" t="s">
        <v>20007</v>
      </c>
      <c r="S721" s="28">
        <v>2570623</v>
      </c>
      <c r="T721" s="28">
        <v>38671238</v>
      </c>
      <c r="V721" s="28">
        <v>1863</v>
      </c>
      <c r="W721" s="28" t="s">
        <v>1890</v>
      </c>
      <c r="X721" s="28" t="s">
        <v>194</v>
      </c>
      <c r="Y721" s="28">
        <v>1</v>
      </c>
      <c r="AH721" s="28" t="s">
        <v>4714</v>
      </c>
      <c r="AI721" s="28" t="s">
        <v>20205</v>
      </c>
      <c r="AJ721" s="516" t="str">
        <f>MID('II kw.22'!W721,8,6)</f>
        <v>216601</v>
      </c>
      <c r="AK721" s="516">
        <v>1</v>
      </c>
      <c r="AL721" s="516">
        <f t="shared" si="11"/>
        <v>1</v>
      </c>
      <c r="AM721" s="516">
        <v>1</v>
      </c>
      <c r="AN721" s="28">
        <v>1718</v>
      </c>
      <c r="AO721" s="28" t="s">
        <v>17651</v>
      </c>
      <c r="AP721" s="28" t="s">
        <v>17652</v>
      </c>
      <c r="AQ721" s="28" t="s">
        <v>17653</v>
      </c>
      <c r="AR721" s="28" t="s">
        <v>1024</v>
      </c>
    </row>
    <row r="722" spans="1:44" x14ac:dyDescent="0.25">
      <c r="A722" s="28" t="s">
        <v>369</v>
      </c>
      <c r="B722" s="28" t="s">
        <v>20207</v>
      </c>
      <c r="C722" s="28" t="s">
        <v>117</v>
      </c>
      <c r="D722" s="28" t="s">
        <v>17800</v>
      </c>
      <c r="E722" s="28" t="s">
        <v>192</v>
      </c>
      <c r="F722" s="28">
        <v>1</v>
      </c>
      <c r="G722" s="28" t="s">
        <v>193</v>
      </c>
      <c r="H722" s="28" t="s">
        <v>194</v>
      </c>
      <c r="I722" s="28" t="s">
        <v>17806</v>
      </c>
      <c r="J722" s="28" t="s">
        <v>210</v>
      </c>
      <c r="K722" s="28">
        <v>18</v>
      </c>
      <c r="L722" s="28" t="s">
        <v>6955</v>
      </c>
      <c r="N722" s="28" t="s">
        <v>20208</v>
      </c>
      <c r="O722" s="28" t="s">
        <v>7531</v>
      </c>
      <c r="P722" s="28" t="s">
        <v>20049</v>
      </c>
      <c r="Q722" s="28" t="s">
        <v>18819</v>
      </c>
      <c r="R722" s="28" t="s">
        <v>20007</v>
      </c>
      <c r="S722" s="28">
        <v>2570845</v>
      </c>
      <c r="T722" s="28">
        <v>38671460</v>
      </c>
      <c r="V722" s="28">
        <v>1863</v>
      </c>
      <c r="W722" s="28" t="s">
        <v>2242</v>
      </c>
      <c r="X722" s="28" t="s">
        <v>194</v>
      </c>
      <c r="Y722" s="28">
        <v>1</v>
      </c>
      <c r="AH722" s="28" t="s">
        <v>4714</v>
      </c>
      <c r="AI722" s="28" t="s">
        <v>20207</v>
      </c>
      <c r="AJ722" s="516" t="str">
        <f>MID('II kw.22'!W722,8,6)</f>
        <v>431301</v>
      </c>
      <c r="AK722" s="516">
        <v>1</v>
      </c>
      <c r="AL722" s="516">
        <f t="shared" si="11"/>
        <v>1</v>
      </c>
      <c r="AM722" s="516">
        <v>1</v>
      </c>
      <c r="AN722" s="28">
        <v>1718</v>
      </c>
      <c r="AO722" s="28" t="s">
        <v>17651</v>
      </c>
      <c r="AP722" s="28" t="s">
        <v>17652</v>
      </c>
      <c r="AQ722" s="28" t="s">
        <v>17653</v>
      </c>
      <c r="AR722" s="28" t="s">
        <v>1024</v>
      </c>
    </row>
    <row r="723" spans="1:44" x14ac:dyDescent="0.25">
      <c r="A723" s="28" t="s">
        <v>20209</v>
      </c>
      <c r="B723" s="28" t="s">
        <v>20210</v>
      </c>
      <c r="C723" s="28" t="s">
        <v>74</v>
      </c>
      <c r="D723" s="28" t="s">
        <v>17800</v>
      </c>
      <c r="E723" s="28" t="s">
        <v>192</v>
      </c>
      <c r="F723" s="28">
        <v>1</v>
      </c>
      <c r="G723" s="28" t="s">
        <v>193</v>
      </c>
      <c r="H723" s="28" t="s">
        <v>194</v>
      </c>
      <c r="I723" s="28" t="s">
        <v>17806</v>
      </c>
      <c r="J723" s="28" t="s">
        <v>210</v>
      </c>
      <c r="K723" s="28">
        <v>18</v>
      </c>
      <c r="L723" s="28" t="s">
        <v>6955</v>
      </c>
      <c r="N723" s="28" t="s">
        <v>20211</v>
      </c>
      <c r="O723" s="28" t="s">
        <v>6249</v>
      </c>
      <c r="P723" s="28" t="s">
        <v>20049</v>
      </c>
      <c r="Q723" s="28" t="s">
        <v>18819</v>
      </c>
      <c r="R723" s="28" t="s">
        <v>20007</v>
      </c>
      <c r="S723" s="28">
        <v>2570947</v>
      </c>
      <c r="T723" s="28">
        <v>38671562</v>
      </c>
      <c r="V723" s="28">
        <v>1863</v>
      </c>
      <c r="W723" s="28" t="s">
        <v>246</v>
      </c>
      <c r="X723" s="28" t="s">
        <v>194</v>
      </c>
      <c r="Y723" s="28">
        <v>1</v>
      </c>
      <c r="AH723" s="28" t="s">
        <v>4714</v>
      </c>
      <c r="AI723" s="28" t="s">
        <v>20210</v>
      </c>
      <c r="AJ723" s="516" t="str">
        <f>MID('II kw.22'!W723,8,6)</f>
        <v>142004</v>
      </c>
      <c r="AK723" s="516">
        <v>1</v>
      </c>
      <c r="AL723" s="516">
        <f t="shared" si="11"/>
        <v>1</v>
      </c>
      <c r="AM723" s="516">
        <v>1</v>
      </c>
      <c r="AN723" s="28">
        <v>1718</v>
      </c>
      <c r="AO723" s="28" t="s">
        <v>17651</v>
      </c>
      <c r="AP723" s="28" t="s">
        <v>17652</v>
      </c>
      <c r="AQ723" s="28" t="s">
        <v>17653</v>
      </c>
      <c r="AR723" s="28" t="s">
        <v>1024</v>
      </c>
    </row>
    <row r="724" spans="1:44" x14ac:dyDescent="0.25">
      <c r="A724" s="28" t="s">
        <v>15028</v>
      </c>
      <c r="B724" s="28" t="s">
        <v>15029</v>
      </c>
      <c r="C724" s="28" t="s">
        <v>16355</v>
      </c>
      <c r="D724" s="28" t="s">
        <v>17800</v>
      </c>
      <c r="E724" s="28" t="s">
        <v>192</v>
      </c>
      <c r="F724" s="28">
        <v>1</v>
      </c>
      <c r="G724" s="28" t="s">
        <v>193</v>
      </c>
      <c r="H724" s="28" t="s">
        <v>194</v>
      </c>
      <c r="I724" s="28" t="s">
        <v>17806</v>
      </c>
      <c r="J724" s="28" t="s">
        <v>210</v>
      </c>
      <c r="K724" s="28">
        <v>18</v>
      </c>
      <c r="L724" s="28" t="s">
        <v>6955</v>
      </c>
      <c r="N724" s="28" t="s">
        <v>20212</v>
      </c>
      <c r="O724" s="28" t="s">
        <v>6261</v>
      </c>
      <c r="P724" s="28" t="s">
        <v>20049</v>
      </c>
      <c r="Q724" s="28" t="s">
        <v>18819</v>
      </c>
      <c r="R724" s="28" t="s">
        <v>20007</v>
      </c>
      <c r="S724" s="28">
        <v>2570987</v>
      </c>
      <c r="T724" s="28">
        <v>38671602</v>
      </c>
      <c r="V724" s="28">
        <v>1863</v>
      </c>
      <c r="W724" s="28" t="s">
        <v>508</v>
      </c>
      <c r="X724" s="28" t="s">
        <v>194</v>
      </c>
      <c r="Y724" s="28">
        <v>1</v>
      </c>
      <c r="AH724" s="28" t="s">
        <v>4714</v>
      </c>
      <c r="AI724" s="28" t="s">
        <v>15029</v>
      </c>
      <c r="AJ724" s="516" t="str">
        <f>MID('II kw.22'!W724,8,6)</f>
        <v>252102</v>
      </c>
      <c r="AK724" s="516">
        <v>1</v>
      </c>
      <c r="AL724" s="516">
        <f t="shared" si="11"/>
        <v>1</v>
      </c>
      <c r="AM724" s="516">
        <v>1</v>
      </c>
      <c r="AN724" s="28">
        <v>1718</v>
      </c>
      <c r="AO724" s="28" t="s">
        <v>17651</v>
      </c>
      <c r="AP724" s="28" t="s">
        <v>17652</v>
      </c>
      <c r="AQ724" s="28" t="s">
        <v>17653</v>
      </c>
      <c r="AR724" s="28" t="s">
        <v>1024</v>
      </c>
    </row>
    <row r="725" spans="1:44" x14ac:dyDescent="0.25">
      <c r="A725" s="28" t="s">
        <v>10989</v>
      </c>
      <c r="B725" s="28" t="s">
        <v>821</v>
      </c>
      <c r="C725" s="28" t="s">
        <v>822</v>
      </c>
      <c r="D725" s="28" t="s">
        <v>17800</v>
      </c>
      <c r="E725" s="28" t="s">
        <v>192</v>
      </c>
      <c r="F725" s="28">
        <v>1</v>
      </c>
      <c r="G725" s="28" t="s">
        <v>193</v>
      </c>
      <c r="H725" s="28" t="s">
        <v>194</v>
      </c>
      <c r="I725" s="28" t="s">
        <v>17806</v>
      </c>
      <c r="J725" s="28" t="s">
        <v>2983</v>
      </c>
      <c r="K725" s="28">
        <v>18</v>
      </c>
      <c r="L725" s="28" t="s">
        <v>6955</v>
      </c>
      <c r="N725" s="28" t="s">
        <v>20213</v>
      </c>
      <c r="O725" s="28" t="s">
        <v>6245</v>
      </c>
      <c r="P725" s="28" t="s">
        <v>20049</v>
      </c>
      <c r="Q725" s="28" t="s">
        <v>18819</v>
      </c>
      <c r="R725" s="28" t="s">
        <v>20007</v>
      </c>
      <c r="S725" s="28">
        <v>2570995</v>
      </c>
      <c r="T725" s="28">
        <v>38671610</v>
      </c>
      <c r="V725" s="28">
        <v>1811</v>
      </c>
      <c r="W725" s="28" t="s">
        <v>823</v>
      </c>
      <c r="X725" s="28" t="s">
        <v>194</v>
      </c>
      <c r="Y725" s="28">
        <v>1</v>
      </c>
      <c r="AH725" s="28" t="s">
        <v>4714</v>
      </c>
      <c r="AI725" s="28" t="s">
        <v>821</v>
      </c>
      <c r="AJ725" s="516" t="str">
        <f>MID('II kw.22'!W725,8,6)</f>
        <v>741103</v>
      </c>
      <c r="AK725" s="516">
        <v>1</v>
      </c>
      <c r="AL725" s="516">
        <f t="shared" si="11"/>
        <v>1</v>
      </c>
      <c r="AM725" s="516">
        <v>1</v>
      </c>
      <c r="AN725" s="28">
        <v>1718</v>
      </c>
      <c r="AO725" s="28" t="s">
        <v>17651</v>
      </c>
      <c r="AP725" s="28" t="s">
        <v>17652</v>
      </c>
      <c r="AQ725" s="28" t="s">
        <v>17653</v>
      </c>
      <c r="AR725" s="28" t="s">
        <v>1024</v>
      </c>
    </row>
    <row r="726" spans="1:44" x14ac:dyDescent="0.25">
      <c r="A726" s="28" t="s">
        <v>5518</v>
      </c>
      <c r="B726" s="28" t="s">
        <v>5519</v>
      </c>
      <c r="C726" s="28" t="s">
        <v>740</v>
      </c>
      <c r="D726" s="28" t="s">
        <v>17800</v>
      </c>
      <c r="E726" s="28" t="s">
        <v>192</v>
      </c>
      <c r="F726" s="28">
        <v>1</v>
      </c>
      <c r="G726" s="28" t="s">
        <v>193</v>
      </c>
      <c r="H726" s="28" t="s">
        <v>194</v>
      </c>
      <c r="I726" s="28" t="s">
        <v>17806</v>
      </c>
      <c r="J726" s="28" t="s">
        <v>747</v>
      </c>
      <c r="K726" s="28">
        <v>18</v>
      </c>
      <c r="L726" s="28" t="s">
        <v>6955</v>
      </c>
      <c r="N726" s="28" t="s">
        <v>20214</v>
      </c>
      <c r="O726" s="28" t="s">
        <v>6921</v>
      </c>
      <c r="P726" s="28" t="s">
        <v>20049</v>
      </c>
      <c r="Q726" s="28" t="s">
        <v>18819</v>
      </c>
      <c r="R726" s="28" t="s">
        <v>20007</v>
      </c>
      <c r="S726" s="28">
        <v>2571057</v>
      </c>
      <c r="T726" s="28">
        <v>38671672</v>
      </c>
      <c r="V726" s="28">
        <v>1817</v>
      </c>
      <c r="W726" s="28" t="s">
        <v>741</v>
      </c>
      <c r="X726" s="28" t="s">
        <v>194</v>
      </c>
      <c r="Y726" s="28">
        <v>1</v>
      </c>
      <c r="AH726" s="28" t="s">
        <v>4714</v>
      </c>
      <c r="AI726" s="28" t="s">
        <v>5519</v>
      </c>
      <c r="AJ726" s="516" t="str">
        <f>MID('II kw.22'!W726,8,6)</f>
        <v>522301</v>
      </c>
      <c r="AK726" s="516">
        <v>1</v>
      </c>
      <c r="AL726" s="516">
        <f t="shared" si="11"/>
        <v>1</v>
      </c>
      <c r="AM726" s="516">
        <v>1</v>
      </c>
      <c r="AN726" s="28">
        <v>1718</v>
      </c>
      <c r="AO726" s="28" t="s">
        <v>17651</v>
      </c>
      <c r="AP726" s="28" t="s">
        <v>17652</v>
      </c>
      <c r="AQ726" s="28" t="s">
        <v>17653</v>
      </c>
      <c r="AR726" s="28" t="s">
        <v>1024</v>
      </c>
    </row>
    <row r="727" spans="1:44" x14ac:dyDescent="0.25">
      <c r="A727" s="28" t="s">
        <v>10989</v>
      </c>
      <c r="B727" s="28" t="s">
        <v>20215</v>
      </c>
      <c r="C727" s="28" t="s">
        <v>95</v>
      </c>
      <c r="D727" s="28" t="s">
        <v>17800</v>
      </c>
      <c r="E727" s="28" t="s">
        <v>192</v>
      </c>
      <c r="F727" s="28">
        <v>1</v>
      </c>
      <c r="G727" s="28" t="s">
        <v>193</v>
      </c>
      <c r="H727" s="28" t="s">
        <v>194</v>
      </c>
      <c r="I727" s="28" t="s">
        <v>17806</v>
      </c>
      <c r="J727" s="28" t="s">
        <v>2983</v>
      </c>
      <c r="K727" s="28">
        <v>18</v>
      </c>
      <c r="L727" s="28" t="s">
        <v>6955</v>
      </c>
      <c r="N727" s="28" t="s">
        <v>20216</v>
      </c>
      <c r="O727" s="28" t="s">
        <v>6245</v>
      </c>
      <c r="P727" s="28" t="s">
        <v>20049</v>
      </c>
      <c r="Q727" s="28" t="s">
        <v>18819</v>
      </c>
      <c r="R727" s="28" t="s">
        <v>20007</v>
      </c>
      <c r="S727" s="28">
        <v>2571136</v>
      </c>
      <c r="T727" s="28">
        <v>38671751</v>
      </c>
      <c r="V727" s="28">
        <v>1811</v>
      </c>
      <c r="W727" s="28" t="s">
        <v>1015</v>
      </c>
      <c r="X727" s="28" t="s">
        <v>194</v>
      </c>
      <c r="Y727" s="28">
        <v>1</v>
      </c>
      <c r="AH727" s="28" t="s">
        <v>4714</v>
      </c>
      <c r="AI727" s="28" t="s">
        <v>20215</v>
      </c>
      <c r="AJ727" s="516" t="str">
        <f>MID('II kw.22'!W727,8,6)</f>
        <v>122102</v>
      </c>
      <c r="AK727" s="516">
        <v>1</v>
      </c>
      <c r="AL727" s="516">
        <f t="shared" si="11"/>
        <v>1</v>
      </c>
      <c r="AM727" s="516">
        <v>1</v>
      </c>
      <c r="AN727" s="28">
        <v>1718</v>
      </c>
      <c r="AO727" s="28" t="s">
        <v>17651</v>
      </c>
      <c r="AP727" s="28" t="s">
        <v>17652</v>
      </c>
      <c r="AQ727" s="28" t="s">
        <v>17653</v>
      </c>
      <c r="AR727" s="28" t="s">
        <v>1024</v>
      </c>
    </row>
    <row r="728" spans="1:44" x14ac:dyDescent="0.25">
      <c r="A728" s="28" t="s">
        <v>1358</v>
      </c>
      <c r="B728" s="28" t="s">
        <v>20217</v>
      </c>
      <c r="C728" s="28" t="s">
        <v>4280</v>
      </c>
      <c r="D728" s="28" t="s">
        <v>17800</v>
      </c>
      <c r="E728" s="28" t="s">
        <v>192</v>
      </c>
      <c r="F728" s="28">
        <v>1</v>
      </c>
      <c r="G728" s="28" t="s">
        <v>193</v>
      </c>
      <c r="H728" s="28" t="s">
        <v>194</v>
      </c>
      <c r="I728" s="28" t="s">
        <v>17806</v>
      </c>
      <c r="J728" s="28" t="s">
        <v>408</v>
      </c>
      <c r="K728" s="28">
        <v>18</v>
      </c>
      <c r="L728" s="28" t="s">
        <v>6955</v>
      </c>
      <c r="N728" s="28" t="s">
        <v>20218</v>
      </c>
      <c r="O728" s="28" t="s">
        <v>6245</v>
      </c>
      <c r="P728" s="28" t="s">
        <v>20049</v>
      </c>
      <c r="Q728" s="28" t="s">
        <v>18819</v>
      </c>
      <c r="R728" s="28" t="s">
        <v>20007</v>
      </c>
      <c r="S728" s="28">
        <v>2571197</v>
      </c>
      <c r="T728" s="28">
        <v>38671812</v>
      </c>
      <c r="V728" s="28">
        <v>1864</v>
      </c>
      <c r="W728" s="28" t="s">
        <v>4281</v>
      </c>
      <c r="X728" s="28" t="s">
        <v>194</v>
      </c>
      <c r="Y728" s="28">
        <v>1</v>
      </c>
      <c r="AH728" s="28" t="s">
        <v>4714</v>
      </c>
      <c r="AI728" s="28" t="s">
        <v>20217</v>
      </c>
      <c r="AJ728" s="516" t="str">
        <f>MID('II kw.22'!W728,8,6)</f>
        <v>214203</v>
      </c>
      <c r="AK728" s="516">
        <v>1</v>
      </c>
      <c r="AL728" s="516">
        <f t="shared" si="11"/>
        <v>1</v>
      </c>
      <c r="AM728" s="516">
        <v>1</v>
      </c>
      <c r="AN728" s="28">
        <v>1718</v>
      </c>
      <c r="AO728" s="28" t="s">
        <v>17651</v>
      </c>
      <c r="AP728" s="28" t="s">
        <v>17652</v>
      </c>
      <c r="AQ728" s="28" t="s">
        <v>17653</v>
      </c>
      <c r="AR728" s="28" t="s">
        <v>1024</v>
      </c>
    </row>
    <row r="729" spans="1:44" x14ac:dyDescent="0.25">
      <c r="A729" s="28" t="s">
        <v>3217</v>
      </c>
      <c r="B729" s="28" t="s">
        <v>20219</v>
      </c>
      <c r="C729" s="28" t="s">
        <v>6617</v>
      </c>
      <c r="D729" s="28" t="s">
        <v>17800</v>
      </c>
      <c r="E729" s="28" t="s">
        <v>192</v>
      </c>
      <c r="F729" s="28">
        <v>1</v>
      </c>
      <c r="G729" s="28" t="s">
        <v>193</v>
      </c>
      <c r="H729" s="28" t="s">
        <v>194</v>
      </c>
      <c r="I729" s="28" t="s">
        <v>17806</v>
      </c>
      <c r="J729" s="28" t="s">
        <v>2819</v>
      </c>
      <c r="K729" s="28">
        <v>18</v>
      </c>
      <c r="L729" s="28" t="s">
        <v>6955</v>
      </c>
      <c r="N729" s="28" t="s">
        <v>20220</v>
      </c>
      <c r="O729" s="28" t="s">
        <v>6266</v>
      </c>
      <c r="P729" s="28" t="s">
        <v>20049</v>
      </c>
      <c r="Q729" s="28" t="s">
        <v>18819</v>
      </c>
      <c r="R729" s="28" t="s">
        <v>20007</v>
      </c>
      <c r="S729" s="28">
        <v>2571200</v>
      </c>
      <c r="T729" s="28">
        <v>38671815</v>
      </c>
      <c r="V729" s="28">
        <v>1803</v>
      </c>
      <c r="W729" s="28" t="s">
        <v>990</v>
      </c>
      <c r="X729" s="28" t="s">
        <v>194</v>
      </c>
      <c r="Y729" s="28">
        <v>1</v>
      </c>
      <c r="AH729" s="28" t="s">
        <v>4714</v>
      </c>
      <c r="AI729" s="28" t="s">
        <v>20219</v>
      </c>
      <c r="AJ729" s="516" t="str">
        <f>MID('II kw.22'!W729,8,6)</f>
        <v>833202</v>
      </c>
      <c r="AK729" s="516">
        <v>1</v>
      </c>
      <c r="AL729" s="516">
        <f t="shared" si="11"/>
        <v>1</v>
      </c>
      <c r="AM729" s="516">
        <v>1</v>
      </c>
      <c r="AN729" s="28">
        <v>1718</v>
      </c>
      <c r="AO729" s="28" t="s">
        <v>17651</v>
      </c>
      <c r="AP729" s="28" t="s">
        <v>17652</v>
      </c>
      <c r="AQ729" s="28" t="s">
        <v>17653</v>
      </c>
      <c r="AR729" s="28" t="s">
        <v>1024</v>
      </c>
    </row>
    <row r="730" spans="1:44" x14ac:dyDescent="0.25">
      <c r="A730" s="28" t="s">
        <v>713</v>
      </c>
      <c r="B730" s="28" t="s">
        <v>20221</v>
      </c>
      <c r="C730" s="28" t="s">
        <v>232</v>
      </c>
      <c r="D730" s="28" t="s">
        <v>17800</v>
      </c>
      <c r="E730" s="28" t="s">
        <v>192</v>
      </c>
      <c r="F730" s="28">
        <v>1</v>
      </c>
      <c r="G730" s="28" t="s">
        <v>193</v>
      </c>
      <c r="H730" s="28" t="s">
        <v>194</v>
      </c>
      <c r="I730" s="28" t="s">
        <v>17806</v>
      </c>
      <c r="J730" s="28" t="s">
        <v>253</v>
      </c>
      <c r="K730" s="28">
        <v>18</v>
      </c>
      <c r="L730" s="28" t="s">
        <v>6955</v>
      </c>
      <c r="N730" s="28" t="s">
        <v>20222</v>
      </c>
      <c r="O730" s="28" t="s">
        <v>7489</v>
      </c>
      <c r="P730" s="28" t="s">
        <v>19986</v>
      </c>
      <c r="Q730" s="28" t="s">
        <v>18819</v>
      </c>
      <c r="R730" s="28" t="s">
        <v>20007</v>
      </c>
      <c r="S730" s="28">
        <v>2571299</v>
      </c>
      <c r="T730" s="28">
        <v>38671914</v>
      </c>
      <c r="V730" s="28">
        <v>1811</v>
      </c>
      <c r="W730" s="28" t="s">
        <v>234</v>
      </c>
      <c r="X730" s="28" t="s">
        <v>194</v>
      </c>
      <c r="Y730" s="28">
        <v>1</v>
      </c>
      <c r="AH730" s="28" t="s">
        <v>4714</v>
      </c>
      <c r="AI730" s="138" t="s">
        <v>232</v>
      </c>
      <c r="AJ730" s="516" t="str">
        <f>MID('II kw.22'!W730,8,6)</f>
        <v>132403</v>
      </c>
      <c r="AK730" s="516">
        <v>1</v>
      </c>
      <c r="AL730" s="516">
        <f t="shared" si="11"/>
        <v>1</v>
      </c>
      <c r="AM730" s="516">
        <v>1</v>
      </c>
      <c r="AN730" s="28">
        <v>1718</v>
      </c>
      <c r="AO730" s="28" t="s">
        <v>17651</v>
      </c>
      <c r="AP730" s="28" t="s">
        <v>17652</v>
      </c>
      <c r="AQ730" s="28" t="s">
        <v>17653</v>
      </c>
      <c r="AR730" s="28" t="s">
        <v>1024</v>
      </c>
    </row>
    <row r="731" spans="1:44" x14ac:dyDescent="0.25">
      <c r="A731" s="28" t="s">
        <v>20223</v>
      </c>
      <c r="B731" s="28" t="s">
        <v>3068</v>
      </c>
      <c r="C731" s="28" t="s">
        <v>35</v>
      </c>
      <c r="D731" s="28" t="s">
        <v>17800</v>
      </c>
      <c r="E731" s="28" t="s">
        <v>192</v>
      </c>
      <c r="F731" s="28">
        <v>1</v>
      </c>
      <c r="G731" s="28" t="s">
        <v>193</v>
      </c>
      <c r="H731" s="28" t="s">
        <v>194</v>
      </c>
      <c r="I731" s="28" t="s">
        <v>17806</v>
      </c>
      <c r="J731" s="28" t="s">
        <v>210</v>
      </c>
      <c r="K731" s="28">
        <v>18</v>
      </c>
      <c r="L731" s="28" t="s">
        <v>6955</v>
      </c>
      <c r="N731" s="28" t="s">
        <v>20224</v>
      </c>
      <c r="O731" s="28" t="s">
        <v>6374</v>
      </c>
      <c r="P731" s="28" t="s">
        <v>20049</v>
      </c>
      <c r="Q731" s="28" t="s">
        <v>18819</v>
      </c>
      <c r="R731" s="28" t="s">
        <v>20007</v>
      </c>
      <c r="S731" s="28">
        <v>2571330</v>
      </c>
      <c r="T731" s="28">
        <v>38671945</v>
      </c>
      <c r="V731" s="28">
        <v>1863</v>
      </c>
      <c r="W731" s="28" t="s">
        <v>207</v>
      </c>
      <c r="X731" s="28" t="s">
        <v>194</v>
      </c>
      <c r="Y731" s="28">
        <v>1</v>
      </c>
      <c r="AH731" s="28" t="s">
        <v>4714</v>
      </c>
      <c r="AI731" s="28" t="s">
        <v>3068</v>
      </c>
      <c r="AJ731" s="516" t="str">
        <f>MID('II kw.22'!W731,8,6)</f>
        <v>122106</v>
      </c>
      <c r="AK731" s="516">
        <v>1</v>
      </c>
      <c r="AL731" s="516">
        <f t="shared" si="11"/>
        <v>1</v>
      </c>
      <c r="AM731" s="516">
        <v>1</v>
      </c>
      <c r="AN731" s="28">
        <v>1718</v>
      </c>
      <c r="AO731" s="28" t="s">
        <v>17651</v>
      </c>
      <c r="AP731" s="28" t="s">
        <v>17652</v>
      </c>
      <c r="AQ731" s="28" t="s">
        <v>17653</v>
      </c>
      <c r="AR731" s="28" t="s">
        <v>1024</v>
      </c>
    </row>
    <row r="732" spans="1:44" x14ac:dyDescent="0.25">
      <c r="A732" s="28" t="s">
        <v>17237</v>
      </c>
      <c r="B732" s="28" t="s">
        <v>17234</v>
      </c>
      <c r="C732" s="28" t="s">
        <v>17234</v>
      </c>
      <c r="D732" s="28" t="s">
        <v>17800</v>
      </c>
      <c r="E732" s="28" t="s">
        <v>192</v>
      </c>
      <c r="F732" s="28">
        <v>1</v>
      </c>
      <c r="G732" s="28" t="s">
        <v>193</v>
      </c>
      <c r="H732" s="28" t="s">
        <v>194</v>
      </c>
      <c r="I732" s="28" t="s">
        <v>17806</v>
      </c>
      <c r="J732" s="28" t="s">
        <v>210</v>
      </c>
      <c r="K732" s="28">
        <v>18</v>
      </c>
      <c r="L732" s="28" t="s">
        <v>6955</v>
      </c>
      <c r="N732" s="28" t="s">
        <v>20225</v>
      </c>
      <c r="O732" s="28" t="s">
        <v>7531</v>
      </c>
      <c r="P732" s="28" t="s">
        <v>20049</v>
      </c>
      <c r="Q732" s="28" t="s">
        <v>18819</v>
      </c>
      <c r="R732" s="28" t="s">
        <v>20007</v>
      </c>
      <c r="S732" s="28">
        <v>2571357</v>
      </c>
      <c r="T732" s="28">
        <v>38671972</v>
      </c>
      <c r="V732" s="28">
        <v>1863</v>
      </c>
      <c r="W732" s="28" t="s">
        <v>17235</v>
      </c>
      <c r="X732" s="28" t="s">
        <v>194</v>
      </c>
      <c r="Y732" s="28">
        <v>1</v>
      </c>
      <c r="AH732" s="28" t="s">
        <v>4714</v>
      </c>
      <c r="AI732" s="28" t="s">
        <v>17234</v>
      </c>
      <c r="AJ732" s="516" t="str">
        <f>MID('II kw.22'!W732,8,6)</f>
        <v>331503</v>
      </c>
      <c r="AK732" s="516">
        <v>1</v>
      </c>
      <c r="AL732" s="516">
        <f t="shared" si="11"/>
        <v>1</v>
      </c>
      <c r="AM732" s="516">
        <v>1</v>
      </c>
      <c r="AN732" s="28">
        <v>1718</v>
      </c>
      <c r="AO732" s="28" t="s">
        <v>17651</v>
      </c>
      <c r="AP732" s="28" t="s">
        <v>17652</v>
      </c>
      <c r="AQ732" s="28" t="s">
        <v>17653</v>
      </c>
      <c r="AR732" s="28" t="s">
        <v>1024</v>
      </c>
    </row>
    <row r="733" spans="1:44" x14ac:dyDescent="0.25">
      <c r="A733" s="28" t="s">
        <v>8187</v>
      </c>
      <c r="B733" s="28" t="s">
        <v>20226</v>
      </c>
      <c r="C733" s="28" t="s">
        <v>740</v>
      </c>
      <c r="D733" s="28" t="s">
        <v>17800</v>
      </c>
      <c r="E733" s="28" t="s">
        <v>192</v>
      </c>
      <c r="F733" s="28">
        <v>1</v>
      </c>
      <c r="G733" s="28" t="s">
        <v>193</v>
      </c>
      <c r="H733" s="28" t="s">
        <v>194</v>
      </c>
      <c r="I733" s="28" t="s">
        <v>17806</v>
      </c>
      <c r="J733" s="28" t="s">
        <v>4751</v>
      </c>
      <c r="K733" s="28">
        <v>18</v>
      </c>
      <c r="L733" s="28" t="s">
        <v>6955</v>
      </c>
      <c r="N733" s="28" t="s">
        <v>20227</v>
      </c>
      <c r="O733" s="28" t="s">
        <v>6251</v>
      </c>
      <c r="P733" s="28" t="s">
        <v>20049</v>
      </c>
      <c r="Q733" s="28" t="s">
        <v>18819</v>
      </c>
      <c r="R733" s="28" t="s">
        <v>20228</v>
      </c>
      <c r="S733" s="28">
        <v>2571454</v>
      </c>
      <c r="T733" s="28">
        <v>38672069</v>
      </c>
      <c r="V733" s="28">
        <v>1862</v>
      </c>
      <c r="W733" s="28" t="s">
        <v>741</v>
      </c>
      <c r="X733" s="28" t="s">
        <v>194</v>
      </c>
      <c r="Y733" s="28">
        <v>1</v>
      </c>
      <c r="AH733" s="28" t="s">
        <v>4714</v>
      </c>
      <c r="AI733" s="28" t="s">
        <v>20226</v>
      </c>
      <c r="AJ733" s="516" t="str">
        <f>MID('II kw.22'!W733,8,6)</f>
        <v>522301</v>
      </c>
      <c r="AK733" s="516">
        <v>1</v>
      </c>
      <c r="AL733" s="516">
        <f t="shared" si="11"/>
        <v>1</v>
      </c>
      <c r="AM733" s="516">
        <v>1</v>
      </c>
      <c r="AN733" s="28">
        <v>1718</v>
      </c>
      <c r="AO733" s="28" t="s">
        <v>17651</v>
      </c>
      <c r="AP733" s="28" t="s">
        <v>17652</v>
      </c>
      <c r="AQ733" s="28" t="s">
        <v>17653</v>
      </c>
      <c r="AR733" s="28" t="s">
        <v>1024</v>
      </c>
    </row>
    <row r="734" spans="1:44" x14ac:dyDescent="0.25">
      <c r="A734" s="28" t="s">
        <v>20229</v>
      </c>
      <c r="B734" s="28" t="s">
        <v>460</v>
      </c>
      <c r="C734" s="28" t="s">
        <v>17</v>
      </c>
      <c r="D734" s="28" t="s">
        <v>17800</v>
      </c>
      <c r="E734" s="28" t="s">
        <v>192</v>
      </c>
      <c r="F734" s="28">
        <v>1</v>
      </c>
      <c r="G734" s="28" t="s">
        <v>193</v>
      </c>
      <c r="H734" s="28" t="s">
        <v>194</v>
      </c>
      <c r="I734" s="28" t="s">
        <v>17806</v>
      </c>
      <c r="J734" s="28" t="s">
        <v>309</v>
      </c>
      <c r="K734" s="28">
        <v>18</v>
      </c>
      <c r="L734" s="28" t="s">
        <v>6955</v>
      </c>
      <c r="N734" s="28" t="s">
        <v>20230</v>
      </c>
      <c r="O734" s="28" t="s">
        <v>6245</v>
      </c>
      <c r="P734" s="28" t="s">
        <v>20049</v>
      </c>
      <c r="Q734" s="28" t="s">
        <v>18819</v>
      </c>
      <c r="R734" s="28" t="s">
        <v>20007</v>
      </c>
      <c r="S734" s="28">
        <v>2571537</v>
      </c>
      <c r="T734" s="28">
        <v>38672152</v>
      </c>
      <c r="V734" s="28">
        <v>1815</v>
      </c>
      <c r="W734" s="28" t="s">
        <v>624</v>
      </c>
      <c r="X734" s="28" t="s">
        <v>194</v>
      </c>
      <c r="Y734" s="28">
        <v>1</v>
      </c>
      <c r="AH734" s="28" t="s">
        <v>4714</v>
      </c>
      <c r="AI734" s="28" t="s">
        <v>460</v>
      </c>
      <c r="AJ734" s="516" t="str">
        <f>MID('II kw.22'!W734,8,6)</f>
        <v>332203</v>
      </c>
      <c r="AK734" s="516">
        <v>1</v>
      </c>
      <c r="AL734" s="516">
        <f t="shared" si="11"/>
        <v>1</v>
      </c>
      <c r="AM734" s="516">
        <v>1</v>
      </c>
      <c r="AN734" s="28">
        <v>1718</v>
      </c>
      <c r="AO734" s="28" t="s">
        <v>17651</v>
      </c>
      <c r="AP734" s="28" t="s">
        <v>17652</v>
      </c>
      <c r="AQ734" s="28" t="s">
        <v>17653</v>
      </c>
      <c r="AR734" s="28" t="s">
        <v>1024</v>
      </c>
    </row>
    <row r="735" spans="1:44" x14ac:dyDescent="0.25">
      <c r="A735" s="28" t="s">
        <v>16148</v>
      </c>
      <c r="B735" s="28" t="s">
        <v>2516</v>
      </c>
      <c r="C735" s="28" t="s">
        <v>43</v>
      </c>
      <c r="D735" s="28" t="s">
        <v>17800</v>
      </c>
      <c r="E735" s="28" t="s">
        <v>192</v>
      </c>
      <c r="F735" s="28">
        <v>1</v>
      </c>
      <c r="G735" s="28" t="s">
        <v>193</v>
      </c>
      <c r="H735" s="28" t="s">
        <v>194</v>
      </c>
      <c r="I735" s="28" t="s">
        <v>17806</v>
      </c>
      <c r="J735" s="28" t="s">
        <v>316</v>
      </c>
      <c r="K735" s="28">
        <v>18</v>
      </c>
      <c r="L735" s="28" t="s">
        <v>6955</v>
      </c>
      <c r="N735" s="28" t="s">
        <v>20231</v>
      </c>
      <c r="O735" s="28" t="s">
        <v>6254</v>
      </c>
      <c r="P735" s="28" t="s">
        <v>20049</v>
      </c>
      <c r="Q735" s="28" t="s">
        <v>18819</v>
      </c>
      <c r="R735" s="28" t="s">
        <v>20007</v>
      </c>
      <c r="S735" s="28">
        <v>2571598</v>
      </c>
      <c r="T735" s="28">
        <v>38672213</v>
      </c>
      <c r="V735" s="28">
        <v>1818</v>
      </c>
      <c r="W735" s="28" t="s">
        <v>452</v>
      </c>
      <c r="X735" s="28" t="s">
        <v>194</v>
      </c>
      <c r="Y735" s="28">
        <v>1</v>
      </c>
      <c r="AH735" s="28" t="s">
        <v>4714</v>
      </c>
      <c r="AI735" s="28" t="s">
        <v>2516</v>
      </c>
      <c r="AJ735" s="516" t="str">
        <f>MID('II kw.22'!W735,8,6)</f>
        <v>243106</v>
      </c>
      <c r="AK735" s="516">
        <v>1</v>
      </c>
      <c r="AL735" s="516">
        <f t="shared" si="11"/>
        <v>1</v>
      </c>
      <c r="AM735" s="516">
        <v>1</v>
      </c>
      <c r="AN735" s="28">
        <v>1718</v>
      </c>
      <c r="AO735" s="28" t="s">
        <v>17651</v>
      </c>
      <c r="AP735" s="28" t="s">
        <v>17652</v>
      </c>
      <c r="AQ735" s="28" t="s">
        <v>17653</v>
      </c>
      <c r="AR735" s="28" t="s">
        <v>1024</v>
      </c>
    </row>
    <row r="736" spans="1:44" x14ac:dyDescent="0.25">
      <c r="A736" s="28" t="s">
        <v>17975</v>
      </c>
      <c r="B736" s="28" t="s">
        <v>20232</v>
      </c>
      <c r="C736" s="28" t="s">
        <v>12</v>
      </c>
      <c r="D736" s="28" t="s">
        <v>17800</v>
      </c>
      <c r="E736" s="28" t="s">
        <v>192</v>
      </c>
      <c r="F736" s="28">
        <v>1</v>
      </c>
      <c r="G736" s="28" t="s">
        <v>193</v>
      </c>
      <c r="H736" s="28" t="s">
        <v>194</v>
      </c>
      <c r="I736" s="28" t="s">
        <v>17806</v>
      </c>
      <c r="J736" s="28" t="s">
        <v>316</v>
      </c>
      <c r="K736" s="28">
        <v>18</v>
      </c>
      <c r="L736" s="28" t="s">
        <v>6955</v>
      </c>
      <c r="N736" s="28" t="s">
        <v>20233</v>
      </c>
      <c r="O736" s="28" t="s">
        <v>6266</v>
      </c>
      <c r="P736" s="28" t="s">
        <v>20049</v>
      </c>
      <c r="Q736" s="28" t="s">
        <v>18819</v>
      </c>
      <c r="R736" s="28" t="s">
        <v>20007</v>
      </c>
      <c r="S736" s="28">
        <v>2571609</v>
      </c>
      <c r="T736" s="28">
        <v>38672224</v>
      </c>
      <c r="V736" s="28">
        <v>1818</v>
      </c>
      <c r="W736" s="28" t="s">
        <v>220</v>
      </c>
      <c r="X736" s="28" t="s">
        <v>194</v>
      </c>
      <c r="Y736" s="28">
        <v>1</v>
      </c>
      <c r="AH736" s="28" t="s">
        <v>4714</v>
      </c>
      <c r="AI736" s="138" t="s">
        <v>20232</v>
      </c>
      <c r="AJ736" s="516" t="str">
        <f>MID('II kw.22'!W736,8,6)</f>
        <v>132301</v>
      </c>
      <c r="AK736" s="516">
        <v>1</v>
      </c>
      <c r="AL736" s="516">
        <f t="shared" si="11"/>
        <v>1</v>
      </c>
      <c r="AM736" s="516">
        <v>1</v>
      </c>
      <c r="AN736" s="28">
        <v>1718</v>
      </c>
      <c r="AO736" s="28" t="s">
        <v>17651</v>
      </c>
      <c r="AP736" s="28" t="s">
        <v>17652</v>
      </c>
      <c r="AQ736" s="28" t="s">
        <v>17653</v>
      </c>
      <c r="AR736" s="28" t="s">
        <v>1024</v>
      </c>
    </row>
    <row r="737" spans="1:44" x14ac:dyDescent="0.25">
      <c r="A737" s="28" t="s">
        <v>9346</v>
      </c>
      <c r="B737" s="28" t="s">
        <v>973</v>
      </c>
      <c r="C737" s="28" t="s">
        <v>129</v>
      </c>
      <c r="D737" s="28" t="s">
        <v>17800</v>
      </c>
      <c r="E737" s="28" t="s">
        <v>192</v>
      </c>
      <c r="F737" s="28">
        <v>1</v>
      </c>
      <c r="G737" s="28" t="s">
        <v>193</v>
      </c>
      <c r="H737" s="28" t="s">
        <v>194</v>
      </c>
      <c r="I737" s="28" t="s">
        <v>17806</v>
      </c>
      <c r="J737" s="28" t="s">
        <v>210</v>
      </c>
      <c r="K737" s="28">
        <v>18</v>
      </c>
      <c r="L737" s="28" t="s">
        <v>6955</v>
      </c>
      <c r="N737" s="28" t="s">
        <v>20234</v>
      </c>
      <c r="O737" s="28" t="s">
        <v>6261</v>
      </c>
      <c r="P737" s="28" t="s">
        <v>20049</v>
      </c>
      <c r="Q737" s="28" t="s">
        <v>18819</v>
      </c>
      <c r="R737" s="28" t="s">
        <v>18469</v>
      </c>
      <c r="S737" s="28">
        <v>2571728</v>
      </c>
      <c r="T737" s="28">
        <v>38672343</v>
      </c>
      <c r="V737" s="28">
        <v>1863</v>
      </c>
      <c r="W737" s="28" t="s">
        <v>203</v>
      </c>
      <c r="X737" s="28" t="s">
        <v>194</v>
      </c>
      <c r="Y737" s="28">
        <v>1</v>
      </c>
      <c r="AH737" s="28" t="s">
        <v>4714</v>
      </c>
      <c r="AI737" s="28" t="s">
        <v>973</v>
      </c>
      <c r="AJ737" s="516" t="str">
        <f>MID('II kw.22'!W737,8,6)</f>
        <v>121904</v>
      </c>
      <c r="AK737" s="516">
        <v>1</v>
      </c>
      <c r="AL737" s="516">
        <f t="shared" si="11"/>
        <v>1</v>
      </c>
      <c r="AM737" s="516">
        <v>1</v>
      </c>
      <c r="AN737" s="28">
        <v>1718</v>
      </c>
      <c r="AO737" s="28" t="s">
        <v>17651</v>
      </c>
      <c r="AP737" s="28" t="s">
        <v>17652</v>
      </c>
      <c r="AQ737" s="28" t="s">
        <v>17653</v>
      </c>
      <c r="AR737" s="28" t="s">
        <v>1024</v>
      </c>
    </row>
    <row r="738" spans="1:44" x14ac:dyDescent="0.25">
      <c r="A738" s="28" t="s">
        <v>20235</v>
      </c>
      <c r="B738" s="28" t="s">
        <v>632</v>
      </c>
      <c r="C738" s="28" t="s">
        <v>17</v>
      </c>
      <c r="D738" s="28" t="s">
        <v>17800</v>
      </c>
      <c r="E738" s="28" t="s">
        <v>192</v>
      </c>
      <c r="F738" s="28">
        <v>1</v>
      </c>
      <c r="G738" s="28" t="s">
        <v>193</v>
      </c>
      <c r="H738" s="28" t="s">
        <v>194</v>
      </c>
      <c r="I738" s="28" t="s">
        <v>17806</v>
      </c>
      <c r="J738" s="28" t="s">
        <v>210</v>
      </c>
      <c r="K738" s="28">
        <v>18</v>
      </c>
      <c r="L738" s="28" t="s">
        <v>6955</v>
      </c>
      <c r="N738" s="28" t="s">
        <v>20236</v>
      </c>
      <c r="O738" s="28" t="s">
        <v>6245</v>
      </c>
      <c r="P738" s="28" t="s">
        <v>19986</v>
      </c>
      <c r="Q738" s="28" t="s">
        <v>18819</v>
      </c>
      <c r="R738" s="28" t="s">
        <v>20007</v>
      </c>
      <c r="S738" s="28">
        <v>2571787</v>
      </c>
      <c r="T738" s="28">
        <v>38672402</v>
      </c>
      <c r="V738" s="28">
        <v>1863</v>
      </c>
      <c r="W738" s="28" t="s">
        <v>624</v>
      </c>
      <c r="X738" s="28" t="s">
        <v>194</v>
      </c>
      <c r="Y738" s="28">
        <v>1</v>
      </c>
      <c r="AH738" s="28" t="s">
        <v>4714</v>
      </c>
      <c r="AI738" s="28" t="s">
        <v>17</v>
      </c>
      <c r="AJ738" s="516" t="str">
        <f>MID('II kw.22'!W738,8,6)</f>
        <v>332203</v>
      </c>
      <c r="AK738" s="516">
        <v>1</v>
      </c>
      <c r="AL738" s="516">
        <f t="shared" si="11"/>
        <v>1</v>
      </c>
      <c r="AM738" s="516">
        <v>1</v>
      </c>
      <c r="AN738" s="28">
        <v>1718</v>
      </c>
      <c r="AO738" s="28" t="s">
        <v>17651</v>
      </c>
      <c r="AP738" s="28" t="s">
        <v>17652</v>
      </c>
      <c r="AQ738" s="28" t="s">
        <v>17653</v>
      </c>
      <c r="AR738" s="28" t="s">
        <v>1024</v>
      </c>
    </row>
    <row r="739" spans="1:44" x14ac:dyDescent="0.25">
      <c r="A739" s="28" t="s">
        <v>8187</v>
      </c>
      <c r="B739" s="28" t="s">
        <v>20226</v>
      </c>
      <c r="C739" s="28" t="s">
        <v>740</v>
      </c>
      <c r="D739" s="28" t="s">
        <v>17800</v>
      </c>
      <c r="E739" s="28" t="s">
        <v>192</v>
      </c>
      <c r="F739" s="28">
        <v>1</v>
      </c>
      <c r="G739" s="28" t="s">
        <v>193</v>
      </c>
      <c r="H739" s="28" t="s">
        <v>194</v>
      </c>
      <c r="I739" s="28" t="s">
        <v>17806</v>
      </c>
      <c r="J739" s="28" t="s">
        <v>962</v>
      </c>
      <c r="K739" s="28">
        <v>18</v>
      </c>
      <c r="L739" s="28" t="s">
        <v>6955</v>
      </c>
      <c r="N739" s="28" t="s">
        <v>20237</v>
      </c>
      <c r="O739" s="28" t="s">
        <v>6251</v>
      </c>
      <c r="P739" s="28" t="s">
        <v>20049</v>
      </c>
      <c r="Q739" s="28" t="s">
        <v>18819</v>
      </c>
      <c r="R739" s="28" t="s">
        <v>20228</v>
      </c>
      <c r="S739" s="28">
        <v>2571867</v>
      </c>
      <c r="T739" s="28">
        <v>38672482</v>
      </c>
      <c r="V739" s="28">
        <v>1806</v>
      </c>
      <c r="W739" s="28" t="s">
        <v>741</v>
      </c>
      <c r="X739" s="28" t="s">
        <v>194</v>
      </c>
      <c r="Y739" s="28">
        <v>1</v>
      </c>
      <c r="AH739" s="28" t="s">
        <v>4714</v>
      </c>
      <c r="AI739" s="28" t="s">
        <v>20226</v>
      </c>
      <c r="AJ739" s="516" t="str">
        <f>MID('II kw.22'!W739,8,6)</f>
        <v>522301</v>
      </c>
      <c r="AK739" s="516">
        <v>1</v>
      </c>
      <c r="AL739" s="516">
        <f t="shared" si="11"/>
        <v>1</v>
      </c>
      <c r="AM739" s="516">
        <v>1</v>
      </c>
      <c r="AN739" s="28">
        <v>1718</v>
      </c>
      <c r="AO739" s="28" t="s">
        <v>17651</v>
      </c>
      <c r="AP739" s="28" t="s">
        <v>17652</v>
      </c>
      <c r="AQ739" s="28" t="s">
        <v>17653</v>
      </c>
      <c r="AR739" s="28" t="s">
        <v>1024</v>
      </c>
    </row>
    <row r="740" spans="1:44" x14ac:dyDescent="0.25">
      <c r="A740" s="28" t="s">
        <v>20238</v>
      </c>
      <c r="B740" s="28" t="s">
        <v>1396</v>
      </c>
      <c r="C740" s="28" t="s">
        <v>43</v>
      </c>
      <c r="D740" s="28" t="s">
        <v>17800</v>
      </c>
      <c r="E740" s="28" t="s">
        <v>192</v>
      </c>
      <c r="F740" s="28">
        <v>1</v>
      </c>
      <c r="G740" s="28" t="s">
        <v>193</v>
      </c>
      <c r="H740" s="28" t="s">
        <v>194</v>
      </c>
      <c r="I740" s="28" t="s">
        <v>17806</v>
      </c>
      <c r="J740" s="28" t="s">
        <v>20239</v>
      </c>
      <c r="K740" s="28">
        <v>18</v>
      </c>
      <c r="L740" s="28" t="s">
        <v>6955</v>
      </c>
      <c r="N740" s="28" t="s">
        <v>20240</v>
      </c>
      <c r="O740" s="28" t="s">
        <v>6245</v>
      </c>
      <c r="P740" s="28" t="s">
        <v>20049</v>
      </c>
      <c r="Q740" s="28" t="s">
        <v>18819</v>
      </c>
      <c r="R740" s="28" t="s">
        <v>20007</v>
      </c>
      <c r="S740" s="28">
        <v>2571922</v>
      </c>
      <c r="T740" s="28">
        <v>38672537</v>
      </c>
      <c r="V740" s="28">
        <v>1816</v>
      </c>
      <c r="W740" s="28" t="s">
        <v>452</v>
      </c>
      <c r="X740" s="28" t="s">
        <v>194</v>
      </c>
      <c r="Y740" s="28">
        <v>1</v>
      </c>
      <c r="AH740" s="28" t="s">
        <v>4714</v>
      </c>
      <c r="AI740" s="28" t="s">
        <v>1396</v>
      </c>
      <c r="AJ740" s="516" t="str">
        <f>MID('II kw.22'!W740,8,6)</f>
        <v>243106</v>
      </c>
      <c r="AK740" s="516">
        <v>1</v>
      </c>
      <c r="AL740" s="516">
        <f t="shared" si="11"/>
        <v>1</v>
      </c>
      <c r="AM740" s="516">
        <v>1</v>
      </c>
      <c r="AN740" s="28">
        <v>1718</v>
      </c>
      <c r="AO740" s="28" t="s">
        <v>17651</v>
      </c>
      <c r="AP740" s="28" t="s">
        <v>17652</v>
      </c>
      <c r="AQ740" s="28" t="s">
        <v>17653</v>
      </c>
      <c r="AR740" s="28" t="s">
        <v>1024</v>
      </c>
    </row>
    <row r="741" spans="1:44" x14ac:dyDescent="0.25">
      <c r="A741" s="28" t="s">
        <v>17975</v>
      </c>
      <c r="B741" s="28" t="s">
        <v>20241</v>
      </c>
      <c r="C741" s="28" t="s">
        <v>20</v>
      </c>
      <c r="D741" s="28" t="s">
        <v>17800</v>
      </c>
      <c r="E741" s="28" t="s">
        <v>192</v>
      </c>
      <c r="F741" s="28">
        <v>1</v>
      </c>
      <c r="G741" s="28" t="s">
        <v>193</v>
      </c>
      <c r="H741" s="28" t="s">
        <v>194</v>
      </c>
      <c r="I741" s="28" t="s">
        <v>17806</v>
      </c>
      <c r="J741" s="28" t="s">
        <v>316</v>
      </c>
      <c r="K741" s="28">
        <v>18</v>
      </c>
      <c r="L741" s="28" t="s">
        <v>6955</v>
      </c>
      <c r="N741" s="28" t="s">
        <v>20242</v>
      </c>
      <c r="O741" s="28" t="s">
        <v>6921</v>
      </c>
      <c r="P741" s="28" t="s">
        <v>20049</v>
      </c>
      <c r="Q741" s="28" t="s">
        <v>18819</v>
      </c>
      <c r="R741" s="28" t="s">
        <v>20007</v>
      </c>
      <c r="S741" s="28">
        <v>2571926</v>
      </c>
      <c r="T741" s="28">
        <v>38672541</v>
      </c>
      <c r="V741" s="28">
        <v>1818</v>
      </c>
      <c r="W741" s="28" t="s">
        <v>286</v>
      </c>
      <c r="X741" s="28" t="s">
        <v>194</v>
      </c>
      <c r="Y741" s="28">
        <v>1</v>
      </c>
      <c r="AH741" s="28" t="s">
        <v>4714</v>
      </c>
      <c r="AI741" s="28" t="s">
        <v>20241</v>
      </c>
      <c r="AJ741" s="516" t="str">
        <f>MID('II kw.22'!W741,8,6)</f>
        <v>214109</v>
      </c>
      <c r="AK741" s="516">
        <v>1</v>
      </c>
      <c r="AL741" s="516">
        <f t="shared" si="11"/>
        <v>1</v>
      </c>
      <c r="AM741" s="516">
        <v>1</v>
      </c>
      <c r="AN741" s="28">
        <v>1718</v>
      </c>
      <c r="AO741" s="28" t="s">
        <v>17651</v>
      </c>
      <c r="AP741" s="28" t="s">
        <v>17652</v>
      </c>
      <c r="AQ741" s="28" t="s">
        <v>17653</v>
      </c>
      <c r="AR741" s="28" t="s">
        <v>1024</v>
      </c>
    </row>
    <row r="742" spans="1:44" x14ac:dyDescent="0.25">
      <c r="A742" s="28" t="s">
        <v>17975</v>
      </c>
      <c r="B742" s="28" t="s">
        <v>20243</v>
      </c>
      <c r="C742" s="28" t="s">
        <v>19772</v>
      </c>
      <c r="D742" s="28" t="s">
        <v>17800</v>
      </c>
      <c r="E742" s="28" t="s">
        <v>192</v>
      </c>
      <c r="F742" s="28">
        <v>1</v>
      </c>
      <c r="G742" s="28" t="s">
        <v>193</v>
      </c>
      <c r="H742" s="28" t="s">
        <v>194</v>
      </c>
      <c r="I742" s="28" t="s">
        <v>17806</v>
      </c>
      <c r="J742" s="28" t="s">
        <v>316</v>
      </c>
      <c r="K742" s="28">
        <v>18</v>
      </c>
      <c r="L742" s="28" t="s">
        <v>6955</v>
      </c>
      <c r="N742" s="28" t="s">
        <v>20244</v>
      </c>
      <c r="O742" s="28" t="s">
        <v>6258</v>
      </c>
      <c r="P742" s="28" t="s">
        <v>20049</v>
      </c>
      <c r="Q742" s="28" t="s">
        <v>18819</v>
      </c>
      <c r="R742" s="28" t="s">
        <v>20007</v>
      </c>
      <c r="S742" s="28">
        <v>2571927</v>
      </c>
      <c r="T742" s="28">
        <v>38672542</v>
      </c>
      <c r="V742" s="28">
        <v>1818</v>
      </c>
      <c r="W742" s="28" t="s">
        <v>19776</v>
      </c>
      <c r="X742" s="28" t="s">
        <v>194</v>
      </c>
      <c r="Y742" s="28">
        <v>1</v>
      </c>
      <c r="AH742" s="28" t="s">
        <v>4714</v>
      </c>
      <c r="AI742" s="28" t="s">
        <v>20243</v>
      </c>
      <c r="AJ742" s="516" t="str">
        <f>MID('II kw.22'!W742,8,6)</f>
        <v>214390</v>
      </c>
      <c r="AK742" s="516">
        <v>1</v>
      </c>
      <c r="AL742" s="516">
        <f t="shared" si="11"/>
        <v>1</v>
      </c>
      <c r="AM742" s="516">
        <v>1</v>
      </c>
      <c r="AN742" s="28">
        <v>1718</v>
      </c>
      <c r="AO742" s="28" t="s">
        <v>17651</v>
      </c>
      <c r="AP742" s="28" t="s">
        <v>17652</v>
      </c>
      <c r="AQ742" s="28" t="s">
        <v>17653</v>
      </c>
      <c r="AR742" s="28" t="s">
        <v>1024</v>
      </c>
    </row>
    <row r="743" spans="1:44" x14ac:dyDescent="0.25">
      <c r="A743" s="28" t="s">
        <v>20135</v>
      </c>
      <c r="B743" s="28" t="s">
        <v>20136</v>
      </c>
      <c r="C743" s="28" t="s">
        <v>17</v>
      </c>
      <c r="D743" s="28" t="s">
        <v>17800</v>
      </c>
      <c r="E743" s="28" t="s">
        <v>192</v>
      </c>
      <c r="F743" s="28">
        <v>1</v>
      </c>
      <c r="G743" s="28" t="s">
        <v>193</v>
      </c>
      <c r="H743" s="28" t="s">
        <v>194</v>
      </c>
      <c r="I743" s="28" t="s">
        <v>17806</v>
      </c>
      <c r="J743" s="28" t="s">
        <v>210</v>
      </c>
      <c r="K743" s="28">
        <v>18</v>
      </c>
      <c r="L743" s="28" t="s">
        <v>6955</v>
      </c>
      <c r="N743" s="28" t="s">
        <v>20245</v>
      </c>
      <c r="O743" s="28" t="s">
        <v>6245</v>
      </c>
      <c r="P743" s="28" t="s">
        <v>20049</v>
      </c>
      <c r="Q743" s="28" t="s">
        <v>18819</v>
      </c>
      <c r="R743" s="28" t="s">
        <v>20007</v>
      </c>
      <c r="S743" s="28">
        <v>2572046</v>
      </c>
      <c r="T743" s="28">
        <v>38672661</v>
      </c>
      <c r="V743" s="28">
        <v>1863</v>
      </c>
      <c r="W743" s="28" t="s">
        <v>624</v>
      </c>
      <c r="X743" s="28" t="s">
        <v>194</v>
      </c>
      <c r="Y743" s="28">
        <v>1</v>
      </c>
      <c r="AH743" s="28" t="s">
        <v>4714</v>
      </c>
      <c r="AI743" s="28" t="s">
        <v>20136</v>
      </c>
      <c r="AJ743" s="516" t="str">
        <f>MID('II kw.22'!W743,8,6)</f>
        <v>332203</v>
      </c>
      <c r="AK743" s="516">
        <v>1</v>
      </c>
      <c r="AL743" s="516">
        <f t="shared" si="11"/>
        <v>1</v>
      </c>
      <c r="AM743" s="516">
        <v>1</v>
      </c>
      <c r="AN743" s="28">
        <v>1718</v>
      </c>
      <c r="AO743" s="28" t="s">
        <v>17651</v>
      </c>
      <c r="AP743" s="28" t="s">
        <v>17652</v>
      </c>
      <c r="AQ743" s="28" t="s">
        <v>17653</v>
      </c>
      <c r="AR743" s="28" t="s">
        <v>1024</v>
      </c>
    </row>
    <row r="744" spans="1:44" x14ac:dyDescent="0.25">
      <c r="A744" s="28" t="s">
        <v>20135</v>
      </c>
      <c r="B744" s="28" t="s">
        <v>20136</v>
      </c>
      <c r="C744" s="28" t="s">
        <v>17</v>
      </c>
      <c r="D744" s="28" t="s">
        <v>17800</v>
      </c>
      <c r="E744" s="28" t="s">
        <v>192</v>
      </c>
      <c r="F744" s="28">
        <v>1</v>
      </c>
      <c r="G744" s="28" t="s">
        <v>193</v>
      </c>
      <c r="H744" s="28" t="s">
        <v>194</v>
      </c>
      <c r="I744" s="28" t="s">
        <v>17806</v>
      </c>
      <c r="J744" s="28" t="s">
        <v>367</v>
      </c>
      <c r="K744" s="28">
        <v>18</v>
      </c>
      <c r="L744" s="28" t="s">
        <v>6955</v>
      </c>
      <c r="N744" s="28" t="s">
        <v>20246</v>
      </c>
      <c r="O744" s="28" t="s">
        <v>6245</v>
      </c>
      <c r="P744" s="28" t="s">
        <v>20049</v>
      </c>
      <c r="Q744" s="28" t="s">
        <v>18819</v>
      </c>
      <c r="R744" s="28" t="s">
        <v>20007</v>
      </c>
      <c r="S744" s="28">
        <v>2572047</v>
      </c>
      <c r="T744" s="28">
        <v>38672662</v>
      </c>
      <c r="V744" s="28">
        <v>1805</v>
      </c>
      <c r="W744" s="28" t="s">
        <v>624</v>
      </c>
      <c r="X744" s="28" t="s">
        <v>194</v>
      </c>
      <c r="Y744" s="28">
        <v>1</v>
      </c>
      <c r="AH744" s="28" t="s">
        <v>4714</v>
      </c>
      <c r="AI744" s="28" t="s">
        <v>20136</v>
      </c>
      <c r="AJ744" s="516" t="str">
        <f>MID('II kw.22'!W744,8,6)</f>
        <v>332203</v>
      </c>
      <c r="AK744" s="516">
        <v>1</v>
      </c>
      <c r="AL744" s="516">
        <f t="shared" si="11"/>
        <v>1</v>
      </c>
      <c r="AM744" s="516">
        <v>1</v>
      </c>
      <c r="AN744" s="28">
        <v>1718</v>
      </c>
      <c r="AO744" s="28" t="s">
        <v>17651</v>
      </c>
      <c r="AP744" s="28" t="s">
        <v>17652</v>
      </c>
      <c r="AQ744" s="28" t="s">
        <v>17653</v>
      </c>
      <c r="AR744" s="28" t="s">
        <v>1024</v>
      </c>
    </row>
    <row r="745" spans="1:44" x14ac:dyDescent="0.25">
      <c r="A745" s="28" t="s">
        <v>2091</v>
      </c>
      <c r="B745" s="28" t="s">
        <v>1162</v>
      </c>
      <c r="C745" s="28" t="s">
        <v>62</v>
      </c>
      <c r="D745" s="28" t="s">
        <v>17800</v>
      </c>
      <c r="E745" s="28" t="s">
        <v>192</v>
      </c>
      <c r="F745" s="28">
        <v>1</v>
      </c>
      <c r="G745" s="28" t="s">
        <v>193</v>
      </c>
      <c r="H745" s="28" t="s">
        <v>194</v>
      </c>
      <c r="I745" s="28" t="s">
        <v>17806</v>
      </c>
      <c r="J745" s="28" t="s">
        <v>20247</v>
      </c>
      <c r="K745" s="28">
        <v>18</v>
      </c>
      <c r="L745" s="28" t="s">
        <v>6955</v>
      </c>
      <c r="N745" s="28" t="s">
        <v>20248</v>
      </c>
      <c r="O745" s="28" t="s">
        <v>6275</v>
      </c>
      <c r="P745" s="28" t="s">
        <v>20049</v>
      </c>
      <c r="Q745" s="28" t="s">
        <v>18819</v>
      </c>
      <c r="R745" s="28" t="s">
        <v>20007</v>
      </c>
      <c r="S745" s="28">
        <v>2572081</v>
      </c>
      <c r="T745" s="28">
        <v>38672696</v>
      </c>
      <c r="V745" s="28">
        <v>1816</v>
      </c>
      <c r="W745" s="28" t="s">
        <v>601</v>
      </c>
      <c r="X745" s="28" t="s">
        <v>194</v>
      </c>
      <c r="Y745" s="28">
        <v>1</v>
      </c>
      <c r="AH745" s="28" t="s">
        <v>4714</v>
      </c>
      <c r="AI745" s="28" t="s">
        <v>1162</v>
      </c>
      <c r="AJ745" s="516" t="str">
        <f>MID('II kw.22'!W745,8,6)</f>
        <v>313904</v>
      </c>
      <c r="AK745" s="516">
        <v>1</v>
      </c>
      <c r="AL745" s="516">
        <f t="shared" si="11"/>
        <v>1</v>
      </c>
      <c r="AM745" s="516">
        <v>1</v>
      </c>
      <c r="AN745" s="28">
        <v>1718</v>
      </c>
      <c r="AO745" s="28" t="s">
        <v>17651</v>
      </c>
      <c r="AP745" s="28" t="s">
        <v>17652</v>
      </c>
      <c r="AQ745" s="28" t="s">
        <v>17653</v>
      </c>
      <c r="AR745" s="28" t="s">
        <v>1024</v>
      </c>
    </row>
    <row r="746" spans="1:44" x14ac:dyDescent="0.25">
      <c r="A746" s="28" t="s">
        <v>20249</v>
      </c>
      <c r="B746" s="28" t="s">
        <v>1462</v>
      </c>
      <c r="C746" s="28" t="s">
        <v>29</v>
      </c>
      <c r="D746" s="28" t="s">
        <v>17800</v>
      </c>
      <c r="E746" s="28" t="s">
        <v>192</v>
      </c>
      <c r="F746" s="28">
        <v>1</v>
      </c>
      <c r="G746" s="28" t="s">
        <v>193</v>
      </c>
      <c r="H746" s="28" t="s">
        <v>194</v>
      </c>
      <c r="I746" s="28" t="s">
        <v>17806</v>
      </c>
      <c r="J746" s="28" t="s">
        <v>2839</v>
      </c>
      <c r="K746" s="28">
        <v>18</v>
      </c>
      <c r="L746" s="28" t="s">
        <v>6955</v>
      </c>
      <c r="N746" s="28" t="s">
        <v>20250</v>
      </c>
      <c r="O746" s="28" t="s">
        <v>6275</v>
      </c>
      <c r="P746" s="28" t="s">
        <v>20049</v>
      </c>
      <c r="Q746" s="28" t="s">
        <v>18819</v>
      </c>
      <c r="R746" s="28" t="s">
        <v>20007</v>
      </c>
      <c r="S746" s="28">
        <v>2572096</v>
      </c>
      <c r="T746" s="28">
        <v>38672711</v>
      </c>
      <c r="V746" s="28">
        <v>1811</v>
      </c>
      <c r="W746" s="28" t="s">
        <v>808</v>
      </c>
      <c r="X746" s="28" t="s">
        <v>194</v>
      </c>
      <c r="Y746" s="28">
        <v>1</v>
      </c>
      <c r="AH746" s="28" t="s">
        <v>4714</v>
      </c>
      <c r="AI746" s="28" t="s">
        <v>1462</v>
      </c>
      <c r="AJ746" s="516" t="str">
        <f>MID('II kw.22'!W746,8,6)</f>
        <v>722308</v>
      </c>
      <c r="AK746" s="516">
        <v>1</v>
      </c>
      <c r="AL746" s="516">
        <f t="shared" si="11"/>
        <v>1</v>
      </c>
      <c r="AM746" s="516">
        <v>1</v>
      </c>
      <c r="AN746" s="28">
        <v>1718</v>
      </c>
      <c r="AO746" s="28" t="s">
        <v>17651</v>
      </c>
      <c r="AP746" s="28" t="s">
        <v>17652</v>
      </c>
      <c r="AQ746" s="28" t="s">
        <v>17653</v>
      </c>
      <c r="AR746" s="28" t="s">
        <v>1024</v>
      </c>
    </row>
    <row r="747" spans="1:44" x14ac:dyDescent="0.25">
      <c r="A747" s="28" t="s">
        <v>19192</v>
      </c>
      <c r="B747" s="28" t="s">
        <v>9523</v>
      </c>
      <c r="C747" s="28" t="s">
        <v>1408</v>
      </c>
      <c r="D747" s="28" t="s">
        <v>17800</v>
      </c>
      <c r="E747" s="28" t="s">
        <v>192</v>
      </c>
      <c r="F747" s="28">
        <v>1</v>
      </c>
      <c r="G747" s="28" t="s">
        <v>193</v>
      </c>
      <c r="H747" s="28" t="s">
        <v>194</v>
      </c>
      <c r="I747" s="28" t="s">
        <v>17806</v>
      </c>
      <c r="J747" s="28" t="s">
        <v>210</v>
      </c>
      <c r="K747" s="28">
        <v>18</v>
      </c>
      <c r="L747" s="28" t="s">
        <v>6955</v>
      </c>
      <c r="N747" s="28" t="s">
        <v>20251</v>
      </c>
      <c r="O747" s="28" t="s">
        <v>6261</v>
      </c>
      <c r="P747" s="28" t="s">
        <v>20049</v>
      </c>
      <c r="Q747" s="28" t="s">
        <v>18819</v>
      </c>
      <c r="R747" s="28" t="s">
        <v>20007</v>
      </c>
      <c r="S747" s="28">
        <v>2572102</v>
      </c>
      <c r="T747" s="28">
        <v>38672717</v>
      </c>
      <c r="V747" s="28">
        <v>1863</v>
      </c>
      <c r="W747" s="28" t="s">
        <v>1409</v>
      </c>
      <c r="X747" s="28" t="s">
        <v>194</v>
      </c>
      <c r="Y747" s="28">
        <v>1</v>
      </c>
      <c r="AH747" s="28" t="s">
        <v>4714</v>
      </c>
      <c r="AI747" s="28" t="s">
        <v>9523</v>
      </c>
      <c r="AJ747" s="516" t="str">
        <f>MID('II kw.22'!W747,8,6)</f>
        <v>251402</v>
      </c>
      <c r="AK747" s="516">
        <v>1</v>
      </c>
      <c r="AL747" s="516">
        <f t="shared" si="11"/>
        <v>1</v>
      </c>
      <c r="AM747" s="516">
        <v>1</v>
      </c>
      <c r="AN747" s="28">
        <v>1718</v>
      </c>
      <c r="AO747" s="28" t="s">
        <v>17651</v>
      </c>
      <c r="AP747" s="28" t="s">
        <v>17652</v>
      </c>
      <c r="AQ747" s="28" t="s">
        <v>17653</v>
      </c>
      <c r="AR747" s="28" t="s">
        <v>1024</v>
      </c>
    </row>
    <row r="748" spans="1:44" x14ac:dyDescent="0.25">
      <c r="A748" s="28" t="s">
        <v>9346</v>
      </c>
      <c r="B748" s="28" t="s">
        <v>20252</v>
      </c>
      <c r="C748" s="28" t="s">
        <v>706</v>
      </c>
      <c r="D748" s="28" t="s">
        <v>17800</v>
      </c>
      <c r="E748" s="28" t="s">
        <v>192</v>
      </c>
      <c r="F748" s="28">
        <v>1</v>
      </c>
      <c r="G748" s="28" t="s">
        <v>193</v>
      </c>
      <c r="H748" s="28" t="s">
        <v>194</v>
      </c>
      <c r="I748" s="28" t="s">
        <v>17806</v>
      </c>
      <c r="J748" s="28" t="s">
        <v>210</v>
      </c>
      <c r="K748" s="28">
        <v>18</v>
      </c>
      <c r="L748" s="28" t="s">
        <v>6955</v>
      </c>
      <c r="N748" s="28" t="s">
        <v>20253</v>
      </c>
      <c r="O748" s="28" t="s">
        <v>6921</v>
      </c>
      <c r="P748" s="28" t="s">
        <v>20049</v>
      </c>
      <c r="Q748" s="28" t="s">
        <v>18819</v>
      </c>
      <c r="R748" s="28" t="s">
        <v>20007</v>
      </c>
      <c r="S748" s="28">
        <v>2572125</v>
      </c>
      <c r="T748" s="28">
        <v>38672740</v>
      </c>
      <c r="V748" s="28">
        <v>1863</v>
      </c>
      <c r="W748" s="28" t="s">
        <v>707</v>
      </c>
      <c r="X748" s="28" t="s">
        <v>194</v>
      </c>
      <c r="Y748" s="28">
        <v>1</v>
      </c>
      <c r="AH748" s="28" t="s">
        <v>4714</v>
      </c>
      <c r="AI748" s="28" t="s">
        <v>20252</v>
      </c>
      <c r="AJ748" s="516" t="str">
        <f>MID('II kw.22'!W748,8,6)</f>
        <v>422201</v>
      </c>
      <c r="AK748" s="516">
        <v>1</v>
      </c>
      <c r="AL748" s="516">
        <f t="shared" si="11"/>
        <v>1</v>
      </c>
      <c r="AM748" s="516">
        <v>1</v>
      </c>
      <c r="AN748" s="28">
        <v>1718</v>
      </c>
      <c r="AO748" s="28" t="s">
        <v>17651</v>
      </c>
      <c r="AP748" s="28" t="s">
        <v>17652</v>
      </c>
      <c r="AQ748" s="28" t="s">
        <v>17653</v>
      </c>
      <c r="AR748" s="28" t="s">
        <v>1024</v>
      </c>
    </row>
    <row r="749" spans="1:44" x14ac:dyDescent="0.25">
      <c r="A749" s="28" t="s">
        <v>20254</v>
      </c>
      <c r="B749" s="28" t="s">
        <v>20255</v>
      </c>
      <c r="C749" s="28" t="s">
        <v>538</v>
      </c>
      <c r="D749" s="28" t="s">
        <v>17800</v>
      </c>
      <c r="E749" s="28" t="s">
        <v>192</v>
      </c>
      <c r="F749" s="28">
        <v>1</v>
      </c>
      <c r="G749" s="28" t="s">
        <v>193</v>
      </c>
      <c r="H749" s="28" t="s">
        <v>194</v>
      </c>
      <c r="I749" s="28" t="s">
        <v>17806</v>
      </c>
      <c r="J749" s="28" t="s">
        <v>4751</v>
      </c>
      <c r="K749" s="28">
        <v>18</v>
      </c>
      <c r="L749" s="28" t="s">
        <v>6955</v>
      </c>
      <c r="N749" s="28" t="s">
        <v>20256</v>
      </c>
      <c r="O749" s="28" t="s">
        <v>12529</v>
      </c>
      <c r="P749" s="28" t="s">
        <v>20049</v>
      </c>
      <c r="Q749" s="28" t="s">
        <v>18819</v>
      </c>
      <c r="R749" s="28" t="s">
        <v>20007</v>
      </c>
      <c r="S749" s="28">
        <v>2572192</v>
      </c>
      <c r="T749" s="28">
        <v>38672807</v>
      </c>
      <c r="V749" s="28">
        <v>1862</v>
      </c>
      <c r="W749" s="28" t="s">
        <v>539</v>
      </c>
      <c r="X749" s="28" t="s">
        <v>194</v>
      </c>
      <c r="Y749" s="28">
        <v>1</v>
      </c>
      <c r="AH749" s="28" t="s">
        <v>4714</v>
      </c>
      <c r="AI749" s="28" t="s">
        <v>20255</v>
      </c>
      <c r="AJ749" s="516" t="str">
        <f>MID('II kw.22'!W749,8,6)</f>
        <v>263401</v>
      </c>
      <c r="AK749" s="516">
        <v>1</v>
      </c>
      <c r="AL749" s="516">
        <f t="shared" si="11"/>
        <v>1</v>
      </c>
      <c r="AM749" s="516">
        <v>1</v>
      </c>
      <c r="AN749" s="28">
        <v>1718</v>
      </c>
      <c r="AO749" s="28" t="s">
        <v>17651</v>
      </c>
      <c r="AP749" s="28" t="s">
        <v>17652</v>
      </c>
      <c r="AQ749" s="28" t="s">
        <v>17653</v>
      </c>
      <c r="AR749" s="28" t="s">
        <v>1024</v>
      </c>
    </row>
    <row r="750" spans="1:44" x14ac:dyDescent="0.25">
      <c r="A750" s="28" t="s">
        <v>369</v>
      </c>
      <c r="B750" s="28" t="s">
        <v>16107</v>
      </c>
      <c r="C750" s="28" t="s">
        <v>566</v>
      </c>
      <c r="D750" s="28" t="s">
        <v>17800</v>
      </c>
      <c r="E750" s="28" t="s">
        <v>192</v>
      </c>
      <c r="F750" s="28">
        <v>1</v>
      </c>
      <c r="G750" s="28" t="s">
        <v>193</v>
      </c>
      <c r="H750" s="28" t="s">
        <v>194</v>
      </c>
      <c r="I750" s="28" t="s">
        <v>17806</v>
      </c>
      <c r="J750" s="28" t="s">
        <v>210</v>
      </c>
      <c r="K750" s="28">
        <v>18</v>
      </c>
      <c r="L750" s="28" t="s">
        <v>6955</v>
      </c>
      <c r="N750" s="28" t="s">
        <v>20257</v>
      </c>
      <c r="O750" s="28" t="s">
        <v>6275</v>
      </c>
      <c r="P750" s="28" t="s">
        <v>20049</v>
      </c>
      <c r="Q750" s="28" t="s">
        <v>18819</v>
      </c>
      <c r="R750" s="28" t="s">
        <v>20007</v>
      </c>
      <c r="S750" s="28">
        <v>2572238</v>
      </c>
      <c r="T750" s="28">
        <v>38672853</v>
      </c>
      <c r="V750" s="28">
        <v>1863</v>
      </c>
      <c r="W750" s="28" t="s">
        <v>567</v>
      </c>
      <c r="X750" s="28" t="s">
        <v>194</v>
      </c>
      <c r="Y750" s="28">
        <v>1</v>
      </c>
      <c r="AH750" s="28" t="s">
        <v>4714</v>
      </c>
      <c r="AI750" s="28" t="s">
        <v>16107</v>
      </c>
      <c r="AJ750" s="516" t="str">
        <f>MID('II kw.22'!W750,8,6)</f>
        <v>311504</v>
      </c>
      <c r="AK750" s="516">
        <v>1</v>
      </c>
      <c r="AL750" s="516">
        <f t="shared" si="11"/>
        <v>1</v>
      </c>
      <c r="AM750" s="516">
        <v>1</v>
      </c>
      <c r="AN750" s="28">
        <v>1718</v>
      </c>
      <c r="AO750" s="28" t="s">
        <v>17651</v>
      </c>
      <c r="AP750" s="28" t="s">
        <v>17652</v>
      </c>
      <c r="AQ750" s="28" t="s">
        <v>17653</v>
      </c>
      <c r="AR750" s="28" t="s">
        <v>1024</v>
      </c>
    </row>
    <row r="751" spans="1:44" x14ac:dyDescent="0.25">
      <c r="A751" s="28" t="s">
        <v>369</v>
      </c>
      <c r="B751" s="28" t="s">
        <v>20258</v>
      </c>
      <c r="C751" s="28" t="s">
        <v>2929</v>
      </c>
      <c r="D751" s="28" t="s">
        <v>17800</v>
      </c>
      <c r="E751" s="28" t="s">
        <v>192</v>
      </c>
      <c r="F751" s="28">
        <v>1</v>
      </c>
      <c r="G751" s="28" t="s">
        <v>193</v>
      </c>
      <c r="H751" s="28" t="s">
        <v>194</v>
      </c>
      <c r="I751" s="28" t="s">
        <v>17806</v>
      </c>
      <c r="J751" s="28" t="s">
        <v>210</v>
      </c>
      <c r="K751" s="28">
        <v>18</v>
      </c>
      <c r="L751" s="28" t="s">
        <v>6955</v>
      </c>
      <c r="N751" s="28" t="s">
        <v>20259</v>
      </c>
      <c r="O751" s="28" t="s">
        <v>6275</v>
      </c>
      <c r="P751" s="28" t="s">
        <v>20049</v>
      </c>
      <c r="Q751" s="28" t="s">
        <v>18819</v>
      </c>
      <c r="R751" s="28" t="s">
        <v>20007</v>
      </c>
      <c r="S751" s="28">
        <v>2572241</v>
      </c>
      <c r="T751" s="28">
        <v>38672856</v>
      </c>
      <c r="V751" s="28">
        <v>1863</v>
      </c>
      <c r="W751" s="28" t="s">
        <v>4696</v>
      </c>
      <c r="X751" s="28" t="s">
        <v>194</v>
      </c>
      <c r="Y751" s="28">
        <v>1</v>
      </c>
      <c r="AH751" s="28" t="s">
        <v>4714</v>
      </c>
      <c r="AI751" s="28" t="s">
        <v>20258</v>
      </c>
      <c r="AJ751" s="516" t="str">
        <f>MID('II kw.22'!W751,8,6)</f>
        <v>722314</v>
      </c>
      <c r="AK751" s="516">
        <v>1</v>
      </c>
      <c r="AL751" s="516">
        <f t="shared" si="11"/>
        <v>1</v>
      </c>
      <c r="AM751" s="516">
        <v>1</v>
      </c>
      <c r="AN751" s="28">
        <v>1718</v>
      </c>
      <c r="AO751" s="28" t="s">
        <v>17651</v>
      </c>
      <c r="AP751" s="28" t="s">
        <v>17652</v>
      </c>
      <c r="AQ751" s="28" t="s">
        <v>17653</v>
      </c>
      <c r="AR751" s="28" t="s">
        <v>1024</v>
      </c>
    </row>
    <row r="752" spans="1:44" x14ac:dyDescent="0.25">
      <c r="A752" s="28" t="s">
        <v>20260</v>
      </c>
      <c r="B752" s="28" t="s">
        <v>5611</v>
      </c>
      <c r="C752" s="28" t="s">
        <v>20261</v>
      </c>
      <c r="D752" s="28" t="s">
        <v>17800</v>
      </c>
      <c r="E752" s="28" t="s">
        <v>192</v>
      </c>
      <c r="F752" s="28">
        <v>1</v>
      </c>
      <c r="G752" s="28" t="s">
        <v>193</v>
      </c>
      <c r="H752" s="28" t="s">
        <v>194</v>
      </c>
      <c r="I752" s="28" t="s">
        <v>17806</v>
      </c>
      <c r="J752" s="28" t="s">
        <v>962</v>
      </c>
      <c r="K752" s="28">
        <v>18</v>
      </c>
      <c r="L752" s="28" t="s">
        <v>6955</v>
      </c>
      <c r="N752" s="28" t="s">
        <v>20262</v>
      </c>
      <c r="O752" s="28" t="s">
        <v>6275</v>
      </c>
      <c r="P752" s="28" t="s">
        <v>20049</v>
      </c>
      <c r="Q752" s="28" t="s">
        <v>18819</v>
      </c>
      <c r="R752" s="28" t="s">
        <v>20007</v>
      </c>
      <c r="S752" s="28">
        <v>2572260</v>
      </c>
      <c r="T752" s="28">
        <v>38672875</v>
      </c>
      <c r="V752" s="28">
        <v>1806</v>
      </c>
      <c r="W752" s="28" t="s">
        <v>20263</v>
      </c>
      <c r="X752" s="28" t="s">
        <v>194</v>
      </c>
      <c r="Y752" s="28">
        <v>1</v>
      </c>
      <c r="AH752" s="28" t="s">
        <v>4714</v>
      </c>
      <c r="AI752" s="28" t="s">
        <v>5611</v>
      </c>
      <c r="AJ752" s="516" t="str">
        <f>MID('II kw.22'!W752,8,6)</f>
        <v>311403</v>
      </c>
      <c r="AK752" s="516">
        <v>1</v>
      </c>
      <c r="AL752" s="516">
        <f t="shared" si="11"/>
        <v>1</v>
      </c>
      <c r="AM752" s="516">
        <v>1</v>
      </c>
      <c r="AN752" s="28">
        <v>1718</v>
      </c>
      <c r="AO752" s="28" t="s">
        <v>17651</v>
      </c>
      <c r="AP752" s="28" t="s">
        <v>17652</v>
      </c>
      <c r="AQ752" s="28" t="s">
        <v>17653</v>
      </c>
      <c r="AR752" s="28" t="s">
        <v>1024</v>
      </c>
    </row>
    <row r="753" spans="1:44" x14ac:dyDescent="0.25">
      <c r="A753" s="28" t="s">
        <v>20264</v>
      </c>
      <c r="B753" s="28" t="s">
        <v>20265</v>
      </c>
      <c r="C753" s="28" t="s">
        <v>4966</v>
      </c>
      <c r="D753" s="28" t="s">
        <v>17800</v>
      </c>
      <c r="E753" s="28" t="s">
        <v>192</v>
      </c>
      <c r="F753" s="28">
        <v>1</v>
      </c>
      <c r="G753" s="28" t="s">
        <v>193</v>
      </c>
      <c r="H753" s="28" t="s">
        <v>194</v>
      </c>
      <c r="I753" s="28" t="s">
        <v>17806</v>
      </c>
      <c r="J753" s="28" t="s">
        <v>316</v>
      </c>
      <c r="K753" s="28">
        <v>18</v>
      </c>
      <c r="L753" s="28" t="s">
        <v>6955</v>
      </c>
      <c r="N753" s="28" t="s">
        <v>20266</v>
      </c>
      <c r="O753" s="28" t="s">
        <v>6254</v>
      </c>
      <c r="P753" s="28" t="s">
        <v>20049</v>
      </c>
      <c r="Q753" s="28" t="s">
        <v>18819</v>
      </c>
      <c r="R753" s="28" t="s">
        <v>20007</v>
      </c>
      <c r="S753" s="28">
        <v>2572285</v>
      </c>
      <c r="T753" s="28">
        <v>38672900</v>
      </c>
      <c r="V753" s="28">
        <v>1818</v>
      </c>
      <c r="W753" s="28" t="s">
        <v>405</v>
      </c>
      <c r="X753" s="28" t="s">
        <v>194</v>
      </c>
      <c r="Y753" s="28">
        <v>1</v>
      </c>
      <c r="AH753" s="28" t="s">
        <v>4714</v>
      </c>
      <c r="AI753" s="28" t="s">
        <v>20265</v>
      </c>
      <c r="AJ753" s="516" t="str">
        <f>MID('II kw.22'!W753,8,6)</f>
        <v>241304</v>
      </c>
      <c r="AK753" s="516">
        <v>1</v>
      </c>
      <c r="AL753" s="516">
        <f t="shared" si="11"/>
        <v>1</v>
      </c>
      <c r="AM753" s="516">
        <v>1</v>
      </c>
      <c r="AN753" s="28">
        <v>1718</v>
      </c>
      <c r="AO753" s="28" t="s">
        <v>17651</v>
      </c>
      <c r="AP753" s="28" t="s">
        <v>17652</v>
      </c>
      <c r="AQ753" s="28" t="s">
        <v>17653</v>
      </c>
      <c r="AR753" s="28" t="s">
        <v>1024</v>
      </c>
    </row>
    <row r="754" spans="1:44" x14ac:dyDescent="0.25">
      <c r="A754" s="28" t="s">
        <v>20267</v>
      </c>
      <c r="B754" s="28" t="s">
        <v>20268</v>
      </c>
      <c r="C754" s="28" t="s">
        <v>20269</v>
      </c>
      <c r="D754" s="28" t="s">
        <v>17800</v>
      </c>
      <c r="E754" s="28" t="s">
        <v>192</v>
      </c>
      <c r="F754" s="28">
        <v>1</v>
      </c>
      <c r="G754" s="28" t="s">
        <v>193</v>
      </c>
      <c r="H754" s="28" t="s">
        <v>194</v>
      </c>
      <c r="I754" s="28" t="s">
        <v>17806</v>
      </c>
      <c r="J754" s="28" t="s">
        <v>210</v>
      </c>
      <c r="K754" s="28">
        <v>18</v>
      </c>
      <c r="L754" s="28" t="s">
        <v>6955</v>
      </c>
      <c r="N754" s="28" t="s">
        <v>20270</v>
      </c>
      <c r="O754" s="28" t="s">
        <v>6279</v>
      </c>
      <c r="P754" s="28" t="s">
        <v>20049</v>
      </c>
      <c r="Q754" s="28" t="s">
        <v>18819</v>
      </c>
      <c r="R754" s="28" t="s">
        <v>20007</v>
      </c>
      <c r="S754" s="28">
        <v>2572294</v>
      </c>
      <c r="T754" s="28">
        <v>38672909</v>
      </c>
      <c r="V754" s="28">
        <v>1863</v>
      </c>
      <c r="W754" s="28" t="s">
        <v>20271</v>
      </c>
      <c r="X754" s="28" t="s">
        <v>194</v>
      </c>
      <c r="Y754" s="28">
        <v>1</v>
      </c>
      <c r="AH754" s="28" t="s">
        <v>4714</v>
      </c>
      <c r="AI754" s="28" t="s">
        <v>20268</v>
      </c>
      <c r="AJ754" s="516" t="str">
        <f>MID('II kw.22'!W754,8,6)</f>
        <v>143907</v>
      </c>
      <c r="AK754" s="516">
        <v>1</v>
      </c>
      <c r="AL754" s="516">
        <f t="shared" si="11"/>
        <v>1</v>
      </c>
      <c r="AM754" s="516">
        <v>1</v>
      </c>
      <c r="AN754" s="28">
        <v>1718</v>
      </c>
      <c r="AO754" s="28" t="s">
        <v>17651</v>
      </c>
      <c r="AP754" s="28" t="s">
        <v>17652</v>
      </c>
      <c r="AQ754" s="28" t="s">
        <v>17653</v>
      </c>
      <c r="AR754" s="28" t="s">
        <v>1024</v>
      </c>
    </row>
    <row r="755" spans="1:44" x14ac:dyDescent="0.25">
      <c r="A755" s="28" t="s">
        <v>5518</v>
      </c>
      <c r="B755" s="28" t="s">
        <v>5519</v>
      </c>
      <c r="C755" s="28" t="s">
        <v>740</v>
      </c>
      <c r="D755" s="28" t="s">
        <v>17800</v>
      </c>
      <c r="E755" s="28" t="s">
        <v>192</v>
      </c>
      <c r="F755" s="28">
        <v>1</v>
      </c>
      <c r="G755" s="28" t="s">
        <v>193</v>
      </c>
      <c r="H755" s="28" t="s">
        <v>194</v>
      </c>
      <c r="I755" s="28" t="s">
        <v>17806</v>
      </c>
      <c r="J755" s="28" t="s">
        <v>210</v>
      </c>
      <c r="K755" s="28">
        <v>18</v>
      </c>
      <c r="L755" s="28" t="s">
        <v>6955</v>
      </c>
      <c r="N755" s="28" t="s">
        <v>20272</v>
      </c>
      <c r="O755" s="28" t="s">
        <v>6921</v>
      </c>
      <c r="P755" s="28" t="s">
        <v>20049</v>
      </c>
      <c r="Q755" s="28" t="s">
        <v>18819</v>
      </c>
      <c r="R755" s="28" t="s">
        <v>20007</v>
      </c>
      <c r="S755" s="28">
        <v>2572330</v>
      </c>
      <c r="T755" s="28">
        <v>38672945</v>
      </c>
      <c r="V755" s="28">
        <v>1863</v>
      </c>
      <c r="W755" s="28" t="s">
        <v>741</v>
      </c>
      <c r="X755" s="28" t="s">
        <v>194</v>
      </c>
      <c r="Y755" s="28">
        <v>1</v>
      </c>
      <c r="AH755" s="28" t="s">
        <v>4714</v>
      </c>
      <c r="AI755" s="28" t="s">
        <v>5519</v>
      </c>
      <c r="AJ755" s="516" t="str">
        <f>MID('II kw.22'!W755,8,6)</f>
        <v>522301</v>
      </c>
      <c r="AK755" s="516">
        <v>1</v>
      </c>
      <c r="AL755" s="516">
        <f t="shared" si="11"/>
        <v>1</v>
      </c>
      <c r="AM755" s="516">
        <v>1</v>
      </c>
      <c r="AN755" s="28">
        <v>1718</v>
      </c>
      <c r="AO755" s="28" t="s">
        <v>17651</v>
      </c>
      <c r="AP755" s="28" t="s">
        <v>17652</v>
      </c>
      <c r="AQ755" s="28" t="s">
        <v>17653</v>
      </c>
      <c r="AR755" s="28" t="s">
        <v>1024</v>
      </c>
    </row>
    <row r="756" spans="1:44" x14ac:dyDescent="0.25">
      <c r="A756" s="28" t="s">
        <v>20273</v>
      </c>
      <c r="B756" s="28" t="s">
        <v>20274</v>
      </c>
      <c r="C756" s="28" t="s">
        <v>3219</v>
      </c>
      <c r="D756" s="28" t="s">
        <v>17800</v>
      </c>
      <c r="E756" s="28" t="s">
        <v>192</v>
      </c>
      <c r="F756" s="28">
        <v>1</v>
      </c>
      <c r="G756" s="28" t="s">
        <v>193</v>
      </c>
      <c r="H756" s="28" t="s">
        <v>194</v>
      </c>
      <c r="I756" s="28" t="s">
        <v>17806</v>
      </c>
      <c r="J756" s="28" t="s">
        <v>385</v>
      </c>
      <c r="K756" s="28">
        <v>18</v>
      </c>
      <c r="L756" s="28" t="s">
        <v>6955</v>
      </c>
      <c r="N756" s="28" t="s">
        <v>20275</v>
      </c>
      <c r="O756" s="28" t="s">
        <v>6302</v>
      </c>
      <c r="P756" s="28" t="s">
        <v>20049</v>
      </c>
      <c r="Q756" s="28" t="s">
        <v>18819</v>
      </c>
      <c r="R756" s="28" t="s">
        <v>20007</v>
      </c>
      <c r="S756" s="28">
        <v>2572336</v>
      </c>
      <c r="T756" s="28">
        <v>38672951</v>
      </c>
      <c r="V756" s="28">
        <v>1861</v>
      </c>
      <c r="W756" s="28" t="s">
        <v>3620</v>
      </c>
      <c r="X756" s="28" t="s">
        <v>194</v>
      </c>
      <c r="Y756" s="28">
        <v>1</v>
      </c>
      <c r="AH756" s="28" t="s">
        <v>4714</v>
      </c>
      <c r="AI756" s="28" t="s">
        <v>20274</v>
      </c>
      <c r="AJ756" s="516" t="str">
        <f>MID('II kw.22'!W756,8,6)</f>
        <v>243109</v>
      </c>
      <c r="AK756" s="516">
        <v>1</v>
      </c>
      <c r="AL756" s="516">
        <f t="shared" si="11"/>
        <v>1</v>
      </c>
      <c r="AM756" s="516">
        <v>1</v>
      </c>
      <c r="AN756" s="28">
        <v>1718</v>
      </c>
      <c r="AO756" s="28" t="s">
        <v>17651</v>
      </c>
      <c r="AP756" s="28" t="s">
        <v>17652</v>
      </c>
      <c r="AQ756" s="28" t="s">
        <v>17653</v>
      </c>
      <c r="AR756" s="28" t="s">
        <v>1024</v>
      </c>
    </row>
    <row r="757" spans="1:44" x14ac:dyDescent="0.25">
      <c r="A757" s="28" t="s">
        <v>1235</v>
      </c>
      <c r="B757" s="28" t="s">
        <v>20276</v>
      </c>
      <c r="C757" s="28" t="s">
        <v>829</v>
      </c>
      <c r="D757" s="28" t="s">
        <v>17800</v>
      </c>
      <c r="E757" s="28" t="s">
        <v>192</v>
      </c>
      <c r="F757" s="28">
        <v>1</v>
      </c>
      <c r="G757" s="28" t="s">
        <v>193</v>
      </c>
      <c r="H757" s="28" t="s">
        <v>194</v>
      </c>
      <c r="I757" s="28" t="s">
        <v>17806</v>
      </c>
      <c r="J757" s="28" t="s">
        <v>385</v>
      </c>
      <c r="K757" s="28">
        <v>18</v>
      </c>
      <c r="L757" s="28" t="s">
        <v>6955</v>
      </c>
      <c r="N757" s="28" t="s">
        <v>20277</v>
      </c>
      <c r="O757" s="28" t="s">
        <v>6275</v>
      </c>
      <c r="P757" s="28" t="s">
        <v>20049</v>
      </c>
      <c r="Q757" s="28" t="s">
        <v>18819</v>
      </c>
      <c r="R757" s="28" t="s">
        <v>20007</v>
      </c>
      <c r="S757" s="28">
        <v>2572382</v>
      </c>
      <c r="T757" s="28">
        <v>38672997</v>
      </c>
      <c r="V757" s="28">
        <v>1861</v>
      </c>
      <c r="W757" s="28" t="s">
        <v>830</v>
      </c>
      <c r="X757" s="28" t="s">
        <v>194</v>
      </c>
      <c r="Y757" s="28">
        <v>1</v>
      </c>
      <c r="AH757" s="28" t="s">
        <v>4714</v>
      </c>
      <c r="AI757" s="28" t="s">
        <v>20276</v>
      </c>
      <c r="AJ757" s="516" t="str">
        <f>MID('II kw.22'!W757,8,6)</f>
        <v>741201</v>
      </c>
      <c r="AK757" s="516">
        <v>1</v>
      </c>
      <c r="AL757" s="516">
        <f t="shared" si="11"/>
        <v>1</v>
      </c>
      <c r="AM757" s="516">
        <v>1</v>
      </c>
      <c r="AN757" s="28">
        <v>1718</v>
      </c>
      <c r="AO757" s="28" t="s">
        <v>17651</v>
      </c>
      <c r="AP757" s="28" t="s">
        <v>17652</v>
      </c>
      <c r="AQ757" s="28" t="s">
        <v>17653</v>
      </c>
      <c r="AR757" s="28" t="s">
        <v>1024</v>
      </c>
    </row>
    <row r="758" spans="1:44" x14ac:dyDescent="0.25">
      <c r="A758" s="28" t="s">
        <v>20278</v>
      </c>
      <c r="B758" s="28" t="s">
        <v>7424</v>
      </c>
      <c r="C758" s="28" t="s">
        <v>18</v>
      </c>
      <c r="D758" s="28" t="s">
        <v>17800</v>
      </c>
      <c r="E758" s="28" t="s">
        <v>192</v>
      </c>
      <c r="F758" s="28">
        <v>1</v>
      </c>
      <c r="G758" s="28" t="s">
        <v>193</v>
      </c>
      <c r="H758" s="28" t="s">
        <v>194</v>
      </c>
      <c r="I758" s="28" t="s">
        <v>17806</v>
      </c>
      <c r="J758" s="28" t="s">
        <v>672</v>
      </c>
      <c r="K758" s="28">
        <v>18</v>
      </c>
      <c r="L758" s="28" t="s">
        <v>6955</v>
      </c>
      <c r="N758" s="28" t="s">
        <v>20279</v>
      </c>
      <c r="O758" s="28" t="s">
        <v>6340</v>
      </c>
      <c r="P758" s="28" t="s">
        <v>20049</v>
      </c>
      <c r="Q758" s="28" t="s">
        <v>18819</v>
      </c>
      <c r="R758" s="28" t="s">
        <v>20077</v>
      </c>
      <c r="S758" s="28">
        <v>2572442</v>
      </c>
      <c r="T758" s="28">
        <v>38673057</v>
      </c>
      <c r="V758" s="28">
        <v>1816</v>
      </c>
      <c r="W758" s="28" t="s">
        <v>1476</v>
      </c>
      <c r="X758" s="28" t="s">
        <v>194</v>
      </c>
      <c r="Y758" s="28">
        <v>1</v>
      </c>
      <c r="AH758" s="28" t="s">
        <v>4714</v>
      </c>
      <c r="AI758" s="28" t="s">
        <v>7424</v>
      </c>
      <c r="AJ758" s="516" t="str">
        <f>MID('II kw.22'!W758,8,6)</f>
        <v>242309</v>
      </c>
      <c r="AK758" s="516">
        <v>1</v>
      </c>
      <c r="AL758" s="516">
        <f t="shared" si="11"/>
        <v>1</v>
      </c>
      <c r="AM758" s="516">
        <v>1</v>
      </c>
      <c r="AN758" s="28">
        <v>1718</v>
      </c>
      <c r="AO758" s="28" t="s">
        <v>17651</v>
      </c>
      <c r="AP758" s="28" t="s">
        <v>17652</v>
      </c>
      <c r="AQ758" s="28" t="s">
        <v>17653</v>
      </c>
      <c r="AR758" s="28" t="s">
        <v>1024</v>
      </c>
    </row>
    <row r="759" spans="1:44" x14ac:dyDescent="0.25">
      <c r="A759" s="28" t="s">
        <v>2443</v>
      </c>
      <c r="B759" s="28" t="s">
        <v>16962</v>
      </c>
      <c r="C759" s="28" t="s">
        <v>17</v>
      </c>
      <c r="D759" s="28" t="s">
        <v>17800</v>
      </c>
      <c r="E759" s="28" t="s">
        <v>192</v>
      </c>
      <c r="F759" s="28">
        <v>1</v>
      </c>
      <c r="G759" s="28" t="s">
        <v>193</v>
      </c>
      <c r="H759" s="28" t="s">
        <v>194</v>
      </c>
      <c r="I759" s="28" t="s">
        <v>17806</v>
      </c>
      <c r="J759" s="28" t="s">
        <v>210</v>
      </c>
      <c r="K759" s="28">
        <v>18</v>
      </c>
      <c r="L759" s="28" t="s">
        <v>6955</v>
      </c>
      <c r="N759" s="28" t="s">
        <v>20280</v>
      </c>
      <c r="O759" s="28" t="s">
        <v>6245</v>
      </c>
      <c r="P759" s="28" t="s">
        <v>20049</v>
      </c>
      <c r="Q759" s="28" t="s">
        <v>18819</v>
      </c>
      <c r="R759" s="28" t="s">
        <v>20007</v>
      </c>
      <c r="S759" s="28">
        <v>2572479</v>
      </c>
      <c r="T759" s="28">
        <v>38673094</v>
      </c>
      <c r="V759" s="28">
        <v>1863</v>
      </c>
      <c r="W759" s="28" t="s">
        <v>624</v>
      </c>
      <c r="X759" s="28" t="s">
        <v>194</v>
      </c>
      <c r="Y759" s="28">
        <v>1</v>
      </c>
      <c r="AH759" s="28" t="s">
        <v>4714</v>
      </c>
      <c r="AI759" s="28" t="s">
        <v>16962</v>
      </c>
      <c r="AJ759" s="516" t="str">
        <f>MID('II kw.22'!W759,8,6)</f>
        <v>332203</v>
      </c>
      <c r="AK759" s="516">
        <v>1</v>
      </c>
      <c r="AL759" s="516">
        <f t="shared" si="11"/>
        <v>1</v>
      </c>
      <c r="AM759" s="516">
        <v>1</v>
      </c>
      <c r="AN759" s="28">
        <v>1718</v>
      </c>
      <c r="AO759" s="28" t="s">
        <v>17651</v>
      </c>
      <c r="AP759" s="28" t="s">
        <v>17652</v>
      </c>
      <c r="AQ759" s="28" t="s">
        <v>17653</v>
      </c>
      <c r="AR759" s="28" t="s">
        <v>1024</v>
      </c>
    </row>
    <row r="760" spans="1:44" x14ac:dyDescent="0.25">
      <c r="A760" s="28" t="s">
        <v>17320</v>
      </c>
      <c r="B760" s="28" t="s">
        <v>20281</v>
      </c>
      <c r="C760" s="28" t="s">
        <v>770</v>
      </c>
      <c r="D760" s="28" t="s">
        <v>17800</v>
      </c>
      <c r="E760" s="28" t="s">
        <v>192</v>
      </c>
      <c r="F760" s="28">
        <v>1</v>
      </c>
      <c r="G760" s="28" t="s">
        <v>193</v>
      </c>
      <c r="H760" s="28" t="s">
        <v>194</v>
      </c>
      <c r="I760" s="28" t="s">
        <v>17806</v>
      </c>
      <c r="J760" s="28" t="s">
        <v>17319</v>
      </c>
      <c r="K760" s="28">
        <v>18</v>
      </c>
      <c r="L760" s="28" t="s">
        <v>6955</v>
      </c>
      <c r="N760" s="28" t="s">
        <v>20282</v>
      </c>
      <c r="O760" s="28" t="s">
        <v>6245</v>
      </c>
      <c r="P760" s="28" t="s">
        <v>20049</v>
      </c>
      <c r="Q760" s="28" t="s">
        <v>18819</v>
      </c>
      <c r="R760" s="28" t="s">
        <v>20007</v>
      </c>
      <c r="S760" s="28">
        <v>2572498</v>
      </c>
      <c r="T760" s="28">
        <v>38673113</v>
      </c>
      <c r="V760" s="28">
        <v>1814</v>
      </c>
      <c r="W760" s="28" t="s">
        <v>772</v>
      </c>
      <c r="X760" s="28" t="s">
        <v>194</v>
      </c>
      <c r="Y760" s="28">
        <v>1</v>
      </c>
      <c r="AH760" s="28" t="s">
        <v>4714</v>
      </c>
      <c r="AI760" s="28" t="s">
        <v>20281</v>
      </c>
      <c r="AJ760" s="516" t="str">
        <f>MID('II kw.22'!W760,8,6)</f>
        <v>522305</v>
      </c>
      <c r="AK760" s="516">
        <v>1</v>
      </c>
      <c r="AL760" s="516">
        <f t="shared" si="11"/>
        <v>1</v>
      </c>
      <c r="AM760" s="516">
        <v>1</v>
      </c>
      <c r="AN760" s="28">
        <v>1718</v>
      </c>
      <c r="AO760" s="28" t="s">
        <v>17651</v>
      </c>
      <c r="AP760" s="28" t="s">
        <v>17652</v>
      </c>
      <c r="AQ760" s="28" t="s">
        <v>17653</v>
      </c>
      <c r="AR760" s="28" t="s">
        <v>1024</v>
      </c>
    </row>
    <row r="761" spans="1:44" x14ac:dyDescent="0.25">
      <c r="A761" s="28" t="s">
        <v>20283</v>
      </c>
      <c r="B761" s="28" t="s">
        <v>20284</v>
      </c>
      <c r="C761" s="28" t="s">
        <v>6617</v>
      </c>
      <c r="D761" s="28" t="s">
        <v>17800</v>
      </c>
      <c r="E761" s="28" t="s">
        <v>192</v>
      </c>
      <c r="F761" s="28">
        <v>1</v>
      </c>
      <c r="G761" s="28" t="s">
        <v>193</v>
      </c>
      <c r="H761" s="28" t="s">
        <v>194</v>
      </c>
      <c r="I761" s="28" t="s">
        <v>17806</v>
      </c>
      <c r="J761" s="28" t="s">
        <v>210</v>
      </c>
      <c r="K761" s="28">
        <v>18</v>
      </c>
      <c r="L761" s="28" t="s">
        <v>6955</v>
      </c>
      <c r="N761" s="28" t="s">
        <v>20285</v>
      </c>
      <c r="O761" s="28" t="s">
        <v>6266</v>
      </c>
      <c r="P761" s="28" t="s">
        <v>20049</v>
      </c>
      <c r="Q761" s="28" t="s">
        <v>18819</v>
      </c>
      <c r="R761" s="28" t="s">
        <v>20007</v>
      </c>
      <c r="S761" s="28">
        <v>2572521</v>
      </c>
      <c r="T761" s="28">
        <v>38673136</v>
      </c>
      <c r="V761" s="28">
        <v>1863</v>
      </c>
      <c r="W761" s="28" t="s">
        <v>990</v>
      </c>
      <c r="X761" s="28" t="s">
        <v>194</v>
      </c>
      <c r="Y761" s="28">
        <v>1</v>
      </c>
      <c r="AH761" s="28" t="s">
        <v>4714</v>
      </c>
      <c r="AI761" s="28" t="s">
        <v>20284</v>
      </c>
      <c r="AJ761" s="516" t="str">
        <f>MID('II kw.22'!W761,8,6)</f>
        <v>833202</v>
      </c>
      <c r="AK761" s="516">
        <v>1</v>
      </c>
      <c r="AL761" s="516">
        <f t="shared" si="11"/>
        <v>1</v>
      </c>
      <c r="AM761" s="516">
        <v>1</v>
      </c>
      <c r="AN761" s="28">
        <v>1718</v>
      </c>
      <c r="AO761" s="28" t="s">
        <v>17651</v>
      </c>
      <c r="AP761" s="28" t="s">
        <v>17652</v>
      </c>
      <c r="AQ761" s="28" t="s">
        <v>17653</v>
      </c>
      <c r="AR761" s="28" t="s">
        <v>1024</v>
      </c>
    </row>
    <row r="762" spans="1:44" x14ac:dyDescent="0.25">
      <c r="A762" s="28" t="s">
        <v>20286</v>
      </c>
      <c r="B762" s="28" t="s">
        <v>856</v>
      </c>
      <c r="C762" s="28" t="s">
        <v>356</v>
      </c>
      <c r="D762" s="28" t="s">
        <v>17800</v>
      </c>
      <c r="E762" s="28" t="s">
        <v>192</v>
      </c>
      <c r="F762" s="28">
        <v>1</v>
      </c>
      <c r="G762" s="28" t="s">
        <v>193</v>
      </c>
      <c r="H762" s="28" t="s">
        <v>194</v>
      </c>
      <c r="I762" s="28" t="s">
        <v>17806</v>
      </c>
      <c r="J762" s="28" t="s">
        <v>210</v>
      </c>
      <c r="K762" s="28">
        <v>18</v>
      </c>
      <c r="L762" s="28" t="s">
        <v>6955</v>
      </c>
      <c r="N762" s="28" t="s">
        <v>20287</v>
      </c>
      <c r="O762" s="28" t="s">
        <v>6275</v>
      </c>
      <c r="P762" s="28" t="s">
        <v>20049</v>
      </c>
      <c r="Q762" s="28" t="s">
        <v>18819</v>
      </c>
      <c r="R762" s="28" t="s">
        <v>20007</v>
      </c>
      <c r="S762" s="28">
        <v>2572565</v>
      </c>
      <c r="T762" s="28">
        <v>38673180</v>
      </c>
      <c r="V762" s="28">
        <v>1863</v>
      </c>
      <c r="W762" s="28" t="s">
        <v>16081</v>
      </c>
      <c r="X762" s="28" t="s">
        <v>194</v>
      </c>
      <c r="Y762" s="28">
        <v>1</v>
      </c>
      <c r="AH762" s="28" t="s">
        <v>4714</v>
      </c>
      <c r="AI762" s="28" t="s">
        <v>856</v>
      </c>
      <c r="AJ762" s="516" t="str">
        <f>MID('II kw.22'!W762,8,6)</f>
        <v>754903</v>
      </c>
      <c r="AK762" s="516">
        <v>1</v>
      </c>
      <c r="AL762" s="516">
        <f t="shared" ref="AL762:AL767" si="12">SUM(F762)</f>
        <v>1</v>
      </c>
      <c r="AM762" s="516">
        <v>1</v>
      </c>
      <c r="AN762" s="28">
        <v>1718</v>
      </c>
      <c r="AO762" s="28" t="s">
        <v>17651</v>
      </c>
      <c r="AP762" s="28" t="s">
        <v>17652</v>
      </c>
      <c r="AQ762" s="28" t="s">
        <v>17653</v>
      </c>
      <c r="AR762" s="28" t="s">
        <v>1024</v>
      </c>
    </row>
    <row r="763" spans="1:44" x14ac:dyDescent="0.25">
      <c r="A763" s="28" t="s">
        <v>9346</v>
      </c>
      <c r="B763" s="28" t="s">
        <v>20288</v>
      </c>
      <c r="C763" s="28" t="s">
        <v>16281</v>
      </c>
      <c r="D763" s="28" t="s">
        <v>17800</v>
      </c>
      <c r="E763" s="28" t="s">
        <v>192</v>
      </c>
      <c r="F763" s="28">
        <v>1</v>
      </c>
      <c r="G763" s="28" t="s">
        <v>193</v>
      </c>
      <c r="H763" s="28" t="s">
        <v>194</v>
      </c>
      <c r="I763" s="28" t="s">
        <v>17806</v>
      </c>
      <c r="J763" s="28" t="s">
        <v>210</v>
      </c>
      <c r="K763" s="28">
        <v>18</v>
      </c>
      <c r="L763" s="28" t="s">
        <v>6955</v>
      </c>
      <c r="N763" s="28" t="s">
        <v>20289</v>
      </c>
      <c r="O763" s="28" t="s">
        <v>6340</v>
      </c>
      <c r="P763" s="28" t="s">
        <v>20049</v>
      </c>
      <c r="Q763" s="28" t="s">
        <v>18819</v>
      </c>
      <c r="R763" s="28" t="s">
        <v>20007</v>
      </c>
      <c r="S763" s="28">
        <v>2572579</v>
      </c>
      <c r="T763" s="28">
        <v>38673194</v>
      </c>
      <c r="V763" s="28">
        <v>1863</v>
      </c>
      <c r="W763" s="28" t="s">
        <v>9002</v>
      </c>
      <c r="X763" s="28" t="s">
        <v>194</v>
      </c>
      <c r="Y763" s="28">
        <v>1</v>
      </c>
      <c r="AH763" s="28" t="s">
        <v>4714</v>
      </c>
      <c r="AI763" s="28" t="s">
        <v>20288</v>
      </c>
      <c r="AJ763" s="516" t="str">
        <f>MID('II kw.22'!W763,8,6)</f>
        <v>252902</v>
      </c>
      <c r="AK763" s="516">
        <v>1</v>
      </c>
      <c r="AL763" s="516">
        <f t="shared" si="12"/>
        <v>1</v>
      </c>
      <c r="AM763" s="516">
        <v>1</v>
      </c>
      <c r="AN763" s="28">
        <v>1718</v>
      </c>
      <c r="AO763" s="28" t="s">
        <v>17651</v>
      </c>
      <c r="AP763" s="28" t="s">
        <v>17652</v>
      </c>
      <c r="AQ763" s="28" t="s">
        <v>17653</v>
      </c>
      <c r="AR763" s="28" t="s">
        <v>1024</v>
      </c>
    </row>
    <row r="764" spans="1:44" x14ac:dyDescent="0.25">
      <c r="A764" s="28" t="s">
        <v>3217</v>
      </c>
      <c r="B764" s="28" t="s">
        <v>20219</v>
      </c>
      <c r="C764" s="28" t="s">
        <v>6617</v>
      </c>
      <c r="D764" s="28" t="s">
        <v>17800</v>
      </c>
      <c r="E764" s="28" t="s">
        <v>192</v>
      </c>
      <c r="F764" s="28">
        <v>1</v>
      </c>
      <c r="G764" s="28" t="s">
        <v>193</v>
      </c>
      <c r="H764" s="28" t="s">
        <v>194</v>
      </c>
      <c r="I764" s="28" t="s">
        <v>17806</v>
      </c>
      <c r="J764" s="28" t="s">
        <v>210</v>
      </c>
      <c r="K764" s="28">
        <v>18</v>
      </c>
      <c r="L764" s="28" t="s">
        <v>6955</v>
      </c>
      <c r="N764" s="28" t="s">
        <v>20290</v>
      </c>
      <c r="O764" s="28" t="s">
        <v>6266</v>
      </c>
      <c r="P764" s="28" t="s">
        <v>20049</v>
      </c>
      <c r="Q764" s="28" t="s">
        <v>18819</v>
      </c>
      <c r="R764" s="28" t="s">
        <v>20007</v>
      </c>
      <c r="S764" s="28">
        <v>2572622</v>
      </c>
      <c r="T764" s="28">
        <v>38673237</v>
      </c>
      <c r="V764" s="28">
        <v>1863</v>
      </c>
      <c r="W764" s="28" t="s">
        <v>990</v>
      </c>
      <c r="X764" s="28" t="s">
        <v>194</v>
      </c>
      <c r="Y764" s="28">
        <v>1</v>
      </c>
      <c r="AH764" s="28" t="s">
        <v>4714</v>
      </c>
      <c r="AI764" s="28" t="s">
        <v>20219</v>
      </c>
      <c r="AJ764" s="516" t="str">
        <f>MID('II kw.22'!W764,8,6)</f>
        <v>833202</v>
      </c>
      <c r="AK764" s="516">
        <v>1</v>
      </c>
      <c r="AL764" s="516">
        <f t="shared" si="12"/>
        <v>1</v>
      </c>
      <c r="AM764" s="516">
        <v>1</v>
      </c>
      <c r="AN764" s="28">
        <v>1718</v>
      </c>
      <c r="AO764" s="28" t="s">
        <v>17651</v>
      </c>
      <c r="AP764" s="28" t="s">
        <v>17652</v>
      </c>
      <c r="AQ764" s="28" t="s">
        <v>17653</v>
      </c>
      <c r="AR764" s="28" t="s">
        <v>1024</v>
      </c>
    </row>
    <row r="765" spans="1:44" x14ac:dyDescent="0.25">
      <c r="A765" s="28" t="s">
        <v>3998</v>
      </c>
      <c r="B765" s="28" t="s">
        <v>20291</v>
      </c>
      <c r="C765" s="28" t="s">
        <v>4911</v>
      </c>
      <c r="D765" s="28" t="s">
        <v>17800</v>
      </c>
      <c r="E765" s="28" t="s">
        <v>192</v>
      </c>
      <c r="F765" s="28">
        <v>1</v>
      </c>
      <c r="G765" s="28" t="s">
        <v>193</v>
      </c>
      <c r="H765" s="28" t="s">
        <v>194</v>
      </c>
      <c r="I765" s="28" t="s">
        <v>17806</v>
      </c>
      <c r="J765" s="28" t="s">
        <v>210</v>
      </c>
      <c r="K765" s="28">
        <v>18</v>
      </c>
      <c r="L765" s="28" t="s">
        <v>6955</v>
      </c>
      <c r="N765" s="28" t="s">
        <v>20292</v>
      </c>
      <c r="O765" s="28" t="s">
        <v>6921</v>
      </c>
      <c r="P765" s="28" t="s">
        <v>20049</v>
      </c>
      <c r="Q765" s="28" t="s">
        <v>18819</v>
      </c>
      <c r="R765" s="28" t="s">
        <v>20007</v>
      </c>
      <c r="S765" s="28">
        <v>2572633</v>
      </c>
      <c r="T765" s="28">
        <v>38673248</v>
      </c>
      <c r="V765" s="28">
        <v>1863</v>
      </c>
      <c r="W765" s="28" t="s">
        <v>4912</v>
      </c>
      <c r="X765" s="28" t="s">
        <v>194</v>
      </c>
      <c r="Y765" s="28">
        <v>1</v>
      </c>
      <c r="AH765" s="28" t="s">
        <v>4714</v>
      </c>
      <c r="AI765" s="28" t="s">
        <v>20291</v>
      </c>
      <c r="AJ765" s="516" t="str">
        <f>MID('II kw.22'!W765,8,6)</f>
        <v>242110</v>
      </c>
      <c r="AK765" s="516">
        <v>1</v>
      </c>
      <c r="AL765" s="516">
        <f t="shared" si="12"/>
        <v>1</v>
      </c>
      <c r="AM765" s="516">
        <v>1</v>
      </c>
      <c r="AN765" s="28">
        <v>1718</v>
      </c>
      <c r="AO765" s="28" t="s">
        <v>17651</v>
      </c>
      <c r="AP765" s="28" t="s">
        <v>17652</v>
      </c>
      <c r="AQ765" s="28" t="s">
        <v>17653</v>
      </c>
      <c r="AR765" s="28" t="s">
        <v>1024</v>
      </c>
    </row>
    <row r="766" spans="1:44" x14ac:dyDescent="0.25">
      <c r="A766" s="28" t="s">
        <v>1194</v>
      </c>
      <c r="B766" s="28" t="s">
        <v>20293</v>
      </c>
      <c r="C766" s="28" t="s">
        <v>99</v>
      </c>
      <c r="D766" s="28" t="s">
        <v>17800</v>
      </c>
      <c r="E766" s="28" t="s">
        <v>192</v>
      </c>
      <c r="F766" s="28">
        <v>1</v>
      </c>
      <c r="G766" s="28" t="s">
        <v>193</v>
      </c>
      <c r="H766" s="28" t="s">
        <v>194</v>
      </c>
      <c r="I766" s="28" t="s">
        <v>17806</v>
      </c>
      <c r="J766" s="28" t="s">
        <v>210</v>
      </c>
      <c r="K766" s="28">
        <v>18</v>
      </c>
      <c r="L766" s="28" t="s">
        <v>6955</v>
      </c>
      <c r="N766" s="28" t="s">
        <v>20294</v>
      </c>
      <c r="O766" s="28" t="s">
        <v>6286</v>
      </c>
      <c r="P766" s="28" t="s">
        <v>20049</v>
      </c>
      <c r="Q766" s="28" t="s">
        <v>18819</v>
      </c>
      <c r="R766" s="28" t="s">
        <v>20007</v>
      </c>
      <c r="S766" s="28">
        <v>2572704</v>
      </c>
      <c r="T766" s="28">
        <v>38673319</v>
      </c>
      <c r="V766" s="28">
        <v>1863</v>
      </c>
      <c r="W766" s="28" t="s">
        <v>2421</v>
      </c>
      <c r="X766" s="28" t="s">
        <v>194</v>
      </c>
      <c r="Y766" s="28">
        <v>1</v>
      </c>
      <c r="AH766" s="28" t="s">
        <v>4714</v>
      </c>
      <c r="AI766" s="28" t="s">
        <v>20293</v>
      </c>
      <c r="AJ766" s="516" t="str">
        <f>MID('II kw.22'!W766,8,6)</f>
        <v>412001</v>
      </c>
      <c r="AK766" s="516">
        <v>1</v>
      </c>
      <c r="AL766" s="516">
        <f t="shared" si="12"/>
        <v>1</v>
      </c>
      <c r="AM766" s="516">
        <v>1</v>
      </c>
      <c r="AN766" s="28">
        <v>1718</v>
      </c>
      <c r="AO766" s="28" t="s">
        <v>17651</v>
      </c>
      <c r="AP766" s="28" t="s">
        <v>17652</v>
      </c>
      <c r="AQ766" s="28" t="s">
        <v>17653</v>
      </c>
      <c r="AR766" s="28" t="s">
        <v>1024</v>
      </c>
    </row>
    <row r="767" spans="1:44" x14ac:dyDescent="0.25">
      <c r="A767" s="28" t="s">
        <v>4417</v>
      </c>
      <c r="B767" s="28" t="s">
        <v>20295</v>
      </c>
      <c r="C767" s="28" t="s">
        <v>521</v>
      </c>
      <c r="D767" s="28" t="s">
        <v>17800</v>
      </c>
      <c r="E767" s="28" t="s">
        <v>192</v>
      </c>
      <c r="F767" s="28">
        <v>1</v>
      </c>
      <c r="G767" s="28" t="s">
        <v>193</v>
      </c>
      <c r="H767" s="28" t="s">
        <v>194</v>
      </c>
      <c r="I767" s="28" t="s">
        <v>17806</v>
      </c>
      <c r="J767" s="28" t="s">
        <v>385</v>
      </c>
      <c r="K767" s="28">
        <v>18</v>
      </c>
      <c r="L767" s="28" t="s">
        <v>6955</v>
      </c>
      <c r="N767" s="28" t="s">
        <v>20296</v>
      </c>
      <c r="O767" s="28" t="s">
        <v>6286</v>
      </c>
      <c r="P767" s="28" t="s">
        <v>20049</v>
      </c>
      <c r="Q767" s="28" t="s">
        <v>18819</v>
      </c>
      <c r="R767" s="28" t="s">
        <v>20007</v>
      </c>
      <c r="S767" s="28">
        <v>2572705</v>
      </c>
      <c r="T767" s="28">
        <v>38673320</v>
      </c>
      <c r="V767" s="28">
        <v>1861</v>
      </c>
      <c r="W767" s="28" t="s">
        <v>522</v>
      </c>
      <c r="X767" s="28" t="s">
        <v>194</v>
      </c>
      <c r="Y767" s="28">
        <v>1</v>
      </c>
      <c r="AH767" s="28" t="s">
        <v>4714</v>
      </c>
      <c r="AI767" s="28" t="s">
        <v>20295</v>
      </c>
      <c r="AJ767" s="516" t="str">
        <f>MID('II kw.22'!W767,8,6)</f>
        <v>261901</v>
      </c>
      <c r="AK767" s="516">
        <v>1</v>
      </c>
      <c r="AL767" s="516">
        <f t="shared" si="12"/>
        <v>1</v>
      </c>
      <c r="AM767" s="516">
        <v>1</v>
      </c>
      <c r="AN767" s="28">
        <v>1718</v>
      </c>
      <c r="AO767" s="28" t="s">
        <v>17651</v>
      </c>
      <c r="AP767" s="28" t="s">
        <v>17652</v>
      </c>
      <c r="AQ767" s="28" t="s">
        <v>17653</v>
      </c>
      <c r="AR767" s="28" t="s">
        <v>1024</v>
      </c>
    </row>
    <row r="768" spans="1:44" x14ac:dyDescent="0.25">
      <c r="F768" s="28">
        <f>SUBTOTAL(9,F2:F767)</f>
        <v>769</v>
      </c>
    </row>
    <row r="769" spans="46:49" x14ac:dyDescent="0.25">
      <c r="AT769" s="62">
        <f>SUM(AK569:AK767)</f>
        <v>199</v>
      </c>
      <c r="AU769" s="496">
        <f>SUM(AL569:AL767)</f>
        <v>199</v>
      </c>
      <c r="AV769" s="496">
        <f>SUM(AM569:AM767)</f>
        <v>199</v>
      </c>
    </row>
    <row r="770" spans="46:49" x14ac:dyDescent="0.25">
      <c r="AT770" s="62">
        <f>SUBTOTAL(9,AK569:AK767)</f>
        <v>199</v>
      </c>
      <c r="AU770" s="62">
        <f>SUBTOTAL(9,AL569:AL767)</f>
        <v>199</v>
      </c>
      <c r="AV770" s="62">
        <f>SUBTOTAL(9,AM569:AM767)</f>
        <v>199</v>
      </c>
      <c r="AW770" s="138" t="s">
        <v>20297</v>
      </c>
    </row>
    <row r="772" spans="46:49" x14ac:dyDescent="0.25">
      <c r="AT772" s="62">
        <f t="shared" ref="AT772:AV773" si="13">SUM(AT567,AT769)</f>
        <v>199</v>
      </c>
      <c r="AU772" s="496">
        <f t="shared" si="13"/>
        <v>199</v>
      </c>
      <c r="AV772" s="496">
        <f t="shared" si="13"/>
        <v>199</v>
      </c>
    </row>
    <row r="773" spans="46:49" x14ac:dyDescent="0.25">
      <c r="AT773" s="62">
        <f t="shared" si="13"/>
        <v>199</v>
      </c>
      <c r="AU773" s="62">
        <f t="shared" si="13"/>
        <v>199</v>
      </c>
      <c r="AV773" s="62">
        <f t="shared" si="13"/>
        <v>199</v>
      </c>
    </row>
  </sheetData>
  <autoFilter ref="A1:AR767"/>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708"/>
  <sheetViews>
    <sheetView topLeftCell="L1" zoomScale="80" zoomScaleNormal="80" workbookViewId="0">
      <selection activeCell="AJ1" sqref="AJ1"/>
    </sheetView>
  </sheetViews>
  <sheetFormatPr defaultRowHeight="15" x14ac:dyDescent="0.25"/>
  <cols>
    <col min="2" max="2" width="23.42578125" customWidth="1"/>
    <col min="3" max="3" width="49.5703125" style="410" customWidth="1"/>
    <col min="6" max="6" width="9.140625" style="28"/>
    <col min="11" max="11" width="9.140625" style="28"/>
    <col min="22" max="22" width="9.140625" style="28"/>
    <col min="25" max="25" width="9.140625" style="28"/>
    <col min="35" max="35" width="26.85546875" customWidth="1"/>
    <col min="39" max="39" width="10.7109375" customWidth="1"/>
    <col min="40" max="44" width="0" hidden="1" customWidth="1"/>
    <col min="45" max="45" width="2.5703125" customWidth="1"/>
    <col min="47" max="47" width="11.42578125" bestFit="1" customWidth="1"/>
    <col min="262" max="262" width="23.42578125" customWidth="1"/>
    <col min="263" max="263" width="49.5703125" customWidth="1"/>
    <col min="518" max="518" width="23.42578125" customWidth="1"/>
    <col min="519" max="519" width="49.5703125" customWidth="1"/>
    <col min="774" max="774" width="23.42578125" customWidth="1"/>
    <col min="775" max="775" width="49.5703125" customWidth="1"/>
    <col min="1030" max="1030" width="23.42578125" customWidth="1"/>
    <col min="1031" max="1031" width="49.5703125" customWidth="1"/>
    <col min="1286" max="1286" width="23.42578125" customWidth="1"/>
    <col min="1287" max="1287" width="49.5703125" customWidth="1"/>
    <col min="1542" max="1542" width="23.42578125" customWidth="1"/>
    <col min="1543" max="1543" width="49.5703125" customWidth="1"/>
    <col min="1798" max="1798" width="23.42578125" customWidth="1"/>
    <col min="1799" max="1799" width="49.5703125" customWidth="1"/>
    <col min="2054" max="2054" width="23.42578125" customWidth="1"/>
    <col min="2055" max="2055" width="49.5703125" customWidth="1"/>
    <col min="2310" max="2310" width="23.42578125" customWidth="1"/>
    <col min="2311" max="2311" width="49.5703125" customWidth="1"/>
    <col min="2566" max="2566" width="23.42578125" customWidth="1"/>
    <col min="2567" max="2567" width="49.5703125" customWidth="1"/>
    <col min="2822" max="2822" width="23.42578125" customWidth="1"/>
    <col min="2823" max="2823" width="49.5703125" customWidth="1"/>
    <col min="3078" max="3078" width="23.42578125" customWidth="1"/>
    <col min="3079" max="3079" width="49.5703125" customWidth="1"/>
    <col min="3334" max="3334" width="23.42578125" customWidth="1"/>
    <col min="3335" max="3335" width="49.5703125" customWidth="1"/>
    <col min="3590" max="3590" width="23.42578125" customWidth="1"/>
    <col min="3591" max="3591" width="49.5703125" customWidth="1"/>
    <col min="3846" max="3846" width="23.42578125" customWidth="1"/>
    <col min="3847" max="3847" width="49.5703125" customWidth="1"/>
    <col min="4102" max="4102" width="23.42578125" customWidth="1"/>
    <col min="4103" max="4103" width="49.5703125" customWidth="1"/>
    <col min="4358" max="4358" width="23.42578125" customWidth="1"/>
    <col min="4359" max="4359" width="49.5703125" customWidth="1"/>
    <col min="4614" max="4614" width="23.42578125" customWidth="1"/>
    <col min="4615" max="4615" width="49.5703125" customWidth="1"/>
    <col min="4870" max="4870" width="23.42578125" customWidth="1"/>
    <col min="4871" max="4871" width="49.5703125" customWidth="1"/>
    <col min="5126" max="5126" width="23.42578125" customWidth="1"/>
    <col min="5127" max="5127" width="49.5703125" customWidth="1"/>
    <col min="5382" max="5382" width="23.42578125" customWidth="1"/>
    <col min="5383" max="5383" width="49.5703125" customWidth="1"/>
    <col min="5638" max="5638" width="23.42578125" customWidth="1"/>
    <col min="5639" max="5639" width="49.5703125" customWidth="1"/>
    <col min="5894" max="5894" width="23.42578125" customWidth="1"/>
    <col min="5895" max="5895" width="49.5703125" customWidth="1"/>
    <col min="6150" max="6150" width="23.42578125" customWidth="1"/>
    <col min="6151" max="6151" width="49.5703125" customWidth="1"/>
    <col min="6406" max="6406" width="23.42578125" customWidth="1"/>
    <col min="6407" max="6407" width="49.5703125" customWidth="1"/>
    <col min="6662" max="6662" width="23.42578125" customWidth="1"/>
    <col min="6663" max="6663" width="49.5703125" customWidth="1"/>
    <col min="6918" max="6918" width="23.42578125" customWidth="1"/>
    <col min="6919" max="6919" width="49.5703125" customWidth="1"/>
    <col min="7174" max="7174" width="23.42578125" customWidth="1"/>
    <col min="7175" max="7175" width="49.5703125" customWidth="1"/>
    <col min="7430" max="7430" width="23.42578125" customWidth="1"/>
    <col min="7431" max="7431" width="49.5703125" customWidth="1"/>
    <col min="7686" max="7686" width="23.42578125" customWidth="1"/>
    <col min="7687" max="7687" width="49.5703125" customWidth="1"/>
    <col min="7942" max="7942" width="23.42578125" customWidth="1"/>
    <col min="7943" max="7943" width="49.5703125" customWidth="1"/>
    <col min="8198" max="8198" width="23.42578125" customWidth="1"/>
    <col min="8199" max="8199" width="49.5703125" customWidth="1"/>
    <col min="8454" max="8454" width="23.42578125" customWidth="1"/>
    <col min="8455" max="8455" width="49.5703125" customWidth="1"/>
    <col min="8710" max="8710" width="23.42578125" customWidth="1"/>
    <col min="8711" max="8711" width="49.5703125" customWidth="1"/>
    <col min="8966" max="8966" width="23.42578125" customWidth="1"/>
    <col min="8967" max="8967" width="49.5703125" customWidth="1"/>
    <col min="9222" max="9222" width="23.42578125" customWidth="1"/>
    <col min="9223" max="9223" width="49.5703125" customWidth="1"/>
    <col min="9478" max="9478" width="23.42578125" customWidth="1"/>
    <col min="9479" max="9479" width="49.5703125" customWidth="1"/>
    <col min="9734" max="9734" width="23.42578125" customWidth="1"/>
    <col min="9735" max="9735" width="49.5703125" customWidth="1"/>
    <col min="9990" max="9990" width="23.42578125" customWidth="1"/>
    <col min="9991" max="9991" width="49.5703125" customWidth="1"/>
    <col min="10246" max="10246" width="23.42578125" customWidth="1"/>
    <col min="10247" max="10247" width="49.5703125" customWidth="1"/>
    <col min="10502" max="10502" width="23.42578125" customWidth="1"/>
    <col min="10503" max="10503" width="49.5703125" customWidth="1"/>
    <col min="10758" max="10758" width="23.42578125" customWidth="1"/>
    <col min="10759" max="10759" width="49.5703125" customWidth="1"/>
    <col min="11014" max="11014" width="23.42578125" customWidth="1"/>
    <col min="11015" max="11015" width="49.5703125" customWidth="1"/>
    <col min="11270" max="11270" width="23.42578125" customWidth="1"/>
    <col min="11271" max="11271" width="49.5703125" customWidth="1"/>
    <col min="11526" max="11526" width="23.42578125" customWidth="1"/>
    <col min="11527" max="11527" width="49.5703125" customWidth="1"/>
    <col min="11782" max="11782" width="23.42578125" customWidth="1"/>
    <col min="11783" max="11783" width="49.5703125" customWidth="1"/>
    <col min="12038" max="12038" width="23.42578125" customWidth="1"/>
    <col min="12039" max="12039" width="49.5703125" customWidth="1"/>
    <col min="12294" max="12294" width="23.42578125" customWidth="1"/>
    <col min="12295" max="12295" width="49.5703125" customWidth="1"/>
    <col min="12550" max="12550" width="23.42578125" customWidth="1"/>
    <col min="12551" max="12551" width="49.5703125" customWidth="1"/>
    <col min="12806" max="12806" width="23.42578125" customWidth="1"/>
    <col min="12807" max="12807" width="49.5703125" customWidth="1"/>
    <col min="13062" max="13062" width="23.42578125" customWidth="1"/>
    <col min="13063" max="13063" width="49.5703125" customWidth="1"/>
    <col min="13318" max="13318" width="23.42578125" customWidth="1"/>
    <col min="13319" max="13319" width="49.5703125" customWidth="1"/>
    <col min="13574" max="13574" width="23.42578125" customWidth="1"/>
    <col min="13575" max="13575" width="49.5703125" customWidth="1"/>
    <col min="13830" max="13830" width="23.42578125" customWidth="1"/>
    <col min="13831" max="13831" width="49.5703125" customWidth="1"/>
    <col min="14086" max="14086" width="23.42578125" customWidth="1"/>
    <col min="14087" max="14087" width="49.5703125" customWidth="1"/>
    <col min="14342" max="14342" width="23.42578125" customWidth="1"/>
    <col min="14343" max="14343" width="49.5703125" customWidth="1"/>
    <col min="14598" max="14598" width="23.42578125" customWidth="1"/>
    <col min="14599" max="14599" width="49.5703125" customWidth="1"/>
    <col min="14854" max="14854" width="23.42578125" customWidth="1"/>
    <col min="14855" max="14855" width="49.5703125" customWidth="1"/>
    <col min="15110" max="15110" width="23.42578125" customWidth="1"/>
    <col min="15111" max="15111" width="49.5703125" customWidth="1"/>
    <col min="15366" max="15366" width="23.42578125" customWidth="1"/>
    <col min="15367" max="15367" width="49.5703125" customWidth="1"/>
    <col min="15622" max="15622" width="23.42578125" customWidth="1"/>
    <col min="15623" max="15623" width="49.5703125" customWidth="1"/>
    <col min="15878" max="15878" width="23.42578125" customWidth="1"/>
    <col min="15879" max="15879" width="49.5703125" customWidth="1"/>
    <col min="16134" max="16134" width="23.42578125" customWidth="1"/>
    <col min="16135" max="16135" width="49.5703125" customWidth="1"/>
  </cols>
  <sheetData>
    <row r="1" spans="1:44" ht="15.75" thickTop="1" x14ac:dyDescent="0.25">
      <c r="A1" s="530" t="s">
        <v>176</v>
      </c>
      <c r="B1" s="530" t="s">
        <v>177</v>
      </c>
      <c r="C1" s="531" t="s">
        <v>178</v>
      </c>
      <c r="D1" s="530" t="s">
        <v>179</v>
      </c>
      <c r="E1" s="530" t="s">
        <v>900</v>
      </c>
      <c r="F1" s="533" t="s">
        <v>181</v>
      </c>
      <c r="G1" s="530" t="s">
        <v>182</v>
      </c>
      <c r="H1" s="530" t="s">
        <v>183</v>
      </c>
      <c r="I1" s="530" t="s">
        <v>184</v>
      </c>
      <c r="J1" s="530" t="s">
        <v>185</v>
      </c>
      <c r="K1" s="533" t="s">
        <v>186</v>
      </c>
      <c r="L1" s="530" t="s">
        <v>6943</v>
      </c>
      <c r="M1" s="530" t="s">
        <v>6942</v>
      </c>
      <c r="N1" s="530" t="s">
        <v>4700</v>
      </c>
      <c r="O1" s="530" t="s">
        <v>6391</v>
      </c>
      <c r="P1" s="530" t="s">
        <v>6930</v>
      </c>
      <c r="Q1" s="530" t="s">
        <v>6931</v>
      </c>
      <c r="R1" s="530" t="s">
        <v>4701</v>
      </c>
      <c r="S1" s="530" t="s">
        <v>6932</v>
      </c>
      <c r="T1" s="530" t="s">
        <v>6933</v>
      </c>
      <c r="U1" s="530" t="s">
        <v>1726</v>
      </c>
      <c r="V1" s="533" t="s">
        <v>4702</v>
      </c>
      <c r="W1" s="530" t="s">
        <v>187</v>
      </c>
      <c r="X1" s="530" t="s">
        <v>6934</v>
      </c>
      <c r="Y1" s="533" t="s">
        <v>4703</v>
      </c>
      <c r="Z1" s="530" t="s">
        <v>6935</v>
      </c>
      <c r="AA1" s="530" t="s">
        <v>4704</v>
      </c>
      <c r="AB1" s="530" t="s">
        <v>6936</v>
      </c>
      <c r="AC1" s="530" t="s">
        <v>6937</v>
      </c>
      <c r="AD1" s="530" t="s">
        <v>6938</v>
      </c>
      <c r="AE1" s="530" t="s">
        <v>6939</v>
      </c>
      <c r="AF1" s="530" t="s">
        <v>6940</v>
      </c>
      <c r="AG1" s="530" t="s">
        <v>4705</v>
      </c>
      <c r="AH1" s="530" t="s">
        <v>4706</v>
      </c>
      <c r="AI1" s="530" t="s">
        <v>6941</v>
      </c>
      <c r="AJ1" s="532" t="s">
        <v>13058</v>
      </c>
      <c r="AK1" s="532" t="s">
        <v>13055</v>
      </c>
      <c r="AL1" s="532" t="s">
        <v>13056</v>
      </c>
      <c r="AM1" s="532" t="s">
        <v>13057</v>
      </c>
      <c r="AN1" s="530" t="s">
        <v>17638</v>
      </c>
      <c r="AO1" s="530" t="s">
        <v>17639</v>
      </c>
      <c r="AP1" s="530" t="s">
        <v>17640</v>
      </c>
      <c r="AQ1" s="530" t="s">
        <v>17641</v>
      </c>
      <c r="AR1" s="530" t="s">
        <v>177</v>
      </c>
    </row>
    <row r="2" spans="1:44" x14ac:dyDescent="0.25">
      <c r="A2" t="s">
        <v>1959</v>
      </c>
      <c r="B2" t="s">
        <v>20305</v>
      </c>
      <c r="C2" s="410" t="s">
        <v>82</v>
      </c>
      <c r="D2" t="s">
        <v>20306</v>
      </c>
      <c r="E2" t="s">
        <v>192</v>
      </c>
      <c r="F2" s="534">
        <v>1</v>
      </c>
      <c r="G2" t="s">
        <v>193</v>
      </c>
      <c r="H2" t="s">
        <v>194</v>
      </c>
      <c r="I2" t="s">
        <v>20307</v>
      </c>
      <c r="J2" t="s">
        <v>9302</v>
      </c>
      <c r="K2" s="28" t="s">
        <v>9309</v>
      </c>
      <c r="L2" t="s">
        <v>6955</v>
      </c>
      <c r="N2" t="s">
        <v>20308</v>
      </c>
      <c r="O2" t="s">
        <v>6921</v>
      </c>
      <c r="P2" t="s">
        <v>20309</v>
      </c>
      <c r="Q2" t="s">
        <v>20310</v>
      </c>
      <c r="R2" t="s">
        <v>20311</v>
      </c>
      <c r="S2" t="s">
        <v>20312</v>
      </c>
      <c r="T2" t="s">
        <v>20313</v>
      </c>
      <c r="W2" t="s">
        <v>504</v>
      </c>
      <c r="X2" t="s">
        <v>193</v>
      </c>
      <c r="Y2" s="28" t="s">
        <v>9310</v>
      </c>
      <c r="AB2" t="s">
        <v>9311</v>
      </c>
      <c r="AH2" t="s">
        <v>4714</v>
      </c>
      <c r="AI2" t="s">
        <v>20305</v>
      </c>
      <c r="AJ2" s="28" t="str">
        <f>MID(W2,8,6)</f>
        <v>252101</v>
      </c>
      <c r="AK2" s="420">
        <v>1</v>
      </c>
      <c r="AL2" s="420">
        <f>F2</f>
        <v>1</v>
      </c>
      <c r="AM2" s="420">
        <v>1</v>
      </c>
      <c r="AN2" t="s">
        <v>17650</v>
      </c>
      <c r="AO2" t="s">
        <v>17651</v>
      </c>
      <c r="AP2" t="s">
        <v>17652</v>
      </c>
      <c r="AQ2" t="s">
        <v>17653</v>
      </c>
      <c r="AR2" t="s">
        <v>1024</v>
      </c>
    </row>
    <row r="3" spans="1:44" x14ac:dyDescent="0.25">
      <c r="A3" t="s">
        <v>20314</v>
      </c>
      <c r="B3" t="s">
        <v>20315</v>
      </c>
      <c r="C3" s="410" t="s">
        <v>20316</v>
      </c>
      <c r="D3" t="s">
        <v>20317</v>
      </c>
      <c r="E3" t="s">
        <v>192</v>
      </c>
      <c r="F3" s="534">
        <v>1</v>
      </c>
      <c r="G3" t="s">
        <v>193</v>
      </c>
      <c r="H3" t="s">
        <v>194</v>
      </c>
      <c r="I3" t="s">
        <v>20318</v>
      </c>
      <c r="J3" t="s">
        <v>9302</v>
      </c>
      <c r="K3" s="28" t="s">
        <v>9309</v>
      </c>
      <c r="L3" t="s">
        <v>6955</v>
      </c>
      <c r="N3" t="s">
        <v>20319</v>
      </c>
      <c r="O3" t="s">
        <v>6286</v>
      </c>
      <c r="P3" t="s">
        <v>20320</v>
      </c>
      <c r="Q3" t="s">
        <v>20321</v>
      </c>
      <c r="R3" t="s">
        <v>20322</v>
      </c>
      <c r="S3" t="s">
        <v>20323</v>
      </c>
      <c r="T3" t="s">
        <v>20324</v>
      </c>
      <c r="W3" t="s">
        <v>3296</v>
      </c>
      <c r="X3" t="s">
        <v>193</v>
      </c>
      <c r="Y3" s="28" t="s">
        <v>9310</v>
      </c>
      <c r="AB3" t="s">
        <v>9311</v>
      </c>
      <c r="AH3" t="s">
        <v>4714</v>
      </c>
      <c r="AI3" t="s">
        <v>20315</v>
      </c>
      <c r="AJ3" s="28" t="str">
        <f t="shared" ref="AJ3:AJ66" si="0">MID(W3,8,6)</f>
        <v>333403</v>
      </c>
      <c r="AK3" s="420">
        <v>1</v>
      </c>
      <c r="AL3" s="420">
        <f t="shared" ref="AL3:AL66" si="1">F3</f>
        <v>1</v>
      </c>
      <c r="AM3" s="420">
        <v>1</v>
      </c>
      <c r="AN3" t="s">
        <v>17650</v>
      </c>
      <c r="AO3" t="s">
        <v>17651</v>
      </c>
      <c r="AP3" t="s">
        <v>17652</v>
      </c>
      <c r="AQ3" t="s">
        <v>17653</v>
      </c>
      <c r="AR3" t="s">
        <v>1024</v>
      </c>
    </row>
    <row r="4" spans="1:44" x14ac:dyDescent="0.25">
      <c r="A4" t="s">
        <v>690</v>
      </c>
      <c r="B4" t="s">
        <v>20325</v>
      </c>
      <c r="C4" s="410" t="s">
        <v>46</v>
      </c>
      <c r="D4" t="s">
        <v>20326</v>
      </c>
      <c r="E4" t="s">
        <v>192</v>
      </c>
      <c r="F4" s="534">
        <v>1</v>
      </c>
      <c r="G4" t="s">
        <v>193</v>
      </c>
      <c r="H4" t="s">
        <v>194</v>
      </c>
      <c r="I4" t="s">
        <v>20318</v>
      </c>
      <c r="J4" t="s">
        <v>9302</v>
      </c>
      <c r="K4" s="28" t="s">
        <v>9309</v>
      </c>
      <c r="L4" t="s">
        <v>6955</v>
      </c>
      <c r="N4" t="s">
        <v>20327</v>
      </c>
      <c r="O4" t="s">
        <v>6921</v>
      </c>
      <c r="P4" t="s">
        <v>20328</v>
      </c>
      <c r="Q4" t="s">
        <v>20329</v>
      </c>
      <c r="R4" t="s">
        <v>20306</v>
      </c>
      <c r="S4" t="s">
        <v>20330</v>
      </c>
      <c r="T4" t="s">
        <v>20331</v>
      </c>
      <c r="W4" t="s">
        <v>510</v>
      </c>
      <c r="X4" t="s">
        <v>193</v>
      </c>
      <c r="Y4" s="28" t="s">
        <v>9310</v>
      </c>
      <c r="AB4" t="s">
        <v>9311</v>
      </c>
      <c r="AH4" t="s">
        <v>4714</v>
      </c>
      <c r="AI4" t="s">
        <v>20325</v>
      </c>
      <c r="AJ4" s="28" t="str">
        <f t="shared" si="0"/>
        <v>252201</v>
      </c>
      <c r="AK4" s="420">
        <v>1</v>
      </c>
      <c r="AL4" s="420">
        <f t="shared" si="1"/>
        <v>1</v>
      </c>
      <c r="AM4" s="420">
        <v>1</v>
      </c>
      <c r="AN4" t="s">
        <v>17650</v>
      </c>
      <c r="AO4" t="s">
        <v>17651</v>
      </c>
      <c r="AP4" t="s">
        <v>17652</v>
      </c>
      <c r="AQ4" t="s">
        <v>17653</v>
      </c>
      <c r="AR4" t="s">
        <v>1024</v>
      </c>
    </row>
    <row r="5" spans="1:44" x14ac:dyDescent="0.25">
      <c r="A5" t="s">
        <v>694</v>
      </c>
      <c r="B5" t="s">
        <v>20332</v>
      </c>
      <c r="C5" s="410" t="s">
        <v>46</v>
      </c>
      <c r="D5" t="s">
        <v>20326</v>
      </c>
      <c r="E5" t="s">
        <v>192</v>
      </c>
      <c r="F5" s="534">
        <v>1</v>
      </c>
      <c r="G5" t="s">
        <v>193</v>
      </c>
      <c r="H5" t="s">
        <v>194</v>
      </c>
      <c r="I5" t="s">
        <v>20333</v>
      </c>
      <c r="J5" t="s">
        <v>253</v>
      </c>
      <c r="K5" s="28" t="s">
        <v>9309</v>
      </c>
      <c r="L5" t="s">
        <v>6955</v>
      </c>
      <c r="N5" t="s">
        <v>20334</v>
      </c>
      <c r="O5" t="s">
        <v>6921</v>
      </c>
      <c r="P5" t="s">
        <v>20328</v>
      </c>
      <c r="Q5" t="s">
        <v>20329</v>
      </c>
      <c r="R5" t="s">
        <v>20306</v>
      </c>
      <c r="S5" t="s">
        <v>20335</v>
      </c>
      <c r="T5" t="s">
        <v>20336</v>
      </c>
      <c r="V5" s="28" t="s">
        <v>9468</v>
      </c>
      <c r="W5" t="s">
        <v>510</v>
      </c>
      <c r="X5" t="s">
        <v>194</v>
      </c>
      <c r="Y5" s="28" t="s">
        <v>9300</v>
      </c>
      <c r="AB5" t="s">
        <v>9311</v>
      </c>
      <c r="AH5" t="s">
        <v>4714</v>
      </c>
      <c r="AI5" t="s">
        <v>20332</v>
      </c>
      <c r="AJ5" s="28" t="str">
        <f t="shared" si="0"/>
        <v>252201</v>
      </c>
      <c r="AK5" s="420">
        <v>1</v>
      </c>
      <c r="AL5" s="420">
        <f t="shared" si="1"/>
        <v>1</v>
      </c>
      <c r="AM5" s="420">
        <v>1</v>
      </c>
      <c r="AN5" t="s">
        <v>17650</v>
      </c>
      <c r="AO5" t="s">
        <v>17651</v>
      </c>
      <c r="AP5" t="s">
        <v>17652</v>
      </c>
      <c r="AQ5" t="s">
        <v>17653</v>
      </c>
      <c r="AR5" t="s">
        <v>1024</v>
      </c>
    </row>
    <row r="6" spans="1:44" x14ac:dyDescent="0.25">
      <c r="A6" t="s">
        <v>409</v>
      </c>
      <c r="B6" t="s">
        <v>20337</v>
      </c>
      <c r="C6" s="410" t="s">
        <v>46</v>
      </c>
      <c r="D6" t="s">
        <v>20326</v>
      </c>
      <c r="E6" t="s">
        <v>192</v>
      </c>
      <c r="F6" s="534">
        <v>1</v>
      </c>
      <c r="G6" t="s">
        <v>193</v>
      </c>
      <c r="H6" t="s">
        <v>194</v>
      </c>
      <c r="I6" t="s">
        <v>20338</v>
      </c>
      <c r="J6" t="s">
        <v>210</v>
      </c>
      <c r="K6" s="28" t="s">
        <v>9309</v>
      </c>
      <c r="L6" t="s">
        <v>6955</v>
      </c>
      <c r="N6" t="s">
        <v>20339</v>
      </c>
      <c r="O6" t="s">
        <v>6921</v>
      </c>
      <c r="P6" t="s">
        <v>20328</v>
      </c>
      <c r="Q6" t="s">
        <v>20329</v>
      </c>
      <c r="R6" t="s">
        <v>20306</v>
      </c>
      <c r="S6" t="s">
        <v>20340</v>
      </c>
      <c r="T6" t="s">
        <v>20341</v>
      </c>
      <c r="V6" s="28" t="s">
        <v>9334</v>
      </c>
      <c r="W6" t="s">
        <v>510</v>
      </c>
      <c r="X6" t="s">
        <v>194</v>
      </c>
      <c r="Y6" s="28" t="s">
        <v>9300</v>
      </c>
      <c r="AB6" t="s">
        <v>9311</v>
      </c>
      <c r="AH6" t="s">
        <v>4714</v>
      </c>
      <c r="AI6" t="s">
        <v>20337</v>
      </c>
      <c r="AJ6" s="28" t="str">
        <f t="shared" si="0"/>
        <v>252201</v>
      </c>
      <c r="AK6" s="420">
        <v>1</v>
      </c>
      <c r="AL6" s="420">
        <f t="shared" si="1"/>
        <v>1</v>
      </c>
      <c r="AM6" s="420">
        <v>1</v>
      </c>
      <c r="AN6" t="s">
        <v>17650</v>
      </c>
      <c r="AO6" t="s">
        <v>17651</v>
      </c>
      <c r="AP6" t="s">
        <v>17652</v>
      </c>
      <c r="AQ6" t="s">
        <v>17653</v>
      </c>
      <c r="AR6" t="s">
        <v>1024</v>
      </c>
    </row>
    <row r="7" spans="1:44" x14ac:dyDescent="0.25">
      <c r="A7" t="s">
        <v>1748</v>
      </c>
      <c r="B7" t="s">
        <v>20342</v>
      </c>
      <c r="C7" s="410" t="s">
        <v>46</v>
      </c>
      <c r="D7" t="s">
        <v>20317</v>
      </c>
      <c r="E7" t="s">
        <v>192</v>
      </c>
      <c r="F7" s="534">
        <v>1</v>
      </c>
      <c r="G7" t="s">
        <v>193</v>
      </c>
      <c r="H7" t="s">
        <v>194</v>
      </c>
      <c r="I7" t="s">
        <v>20333</v>
      </c>
      <c r="J7" t="s">
        <v>9302</v>
      </c>
      <c r="K7" s="28" t="s">
        <v>9309</v>
      </c>
      <c r="L7" t="s">
        <v>6955</v>
      </c>
      <c r="N7" t="s">
        <v>20343</v>
      </c>
      <c r="O7" t="s">
        <v>6295</v>
      </c>
      <c r="P7" t="s">
        <v>20320</v>
      </c>
      <c r="Q7" t="s">
        <v>20321</v>
      </c>
      <c r="R7" t="s">
        <v>20322</v>
      </c>
      <c r="S7" t="s">
        <v>20344</v>
      </c>
      <c r="T7" t="s">
        <v>20345</v>
      </c>
      <c r="W7" t="s">
        <v>510</v>
      </c>
      <c r="X7" t="s">
        <v>193</v>
      </c>
      <c r="Y7" s="28" t="s">
        <v>9310</v>
      </c>
      <c r="AB7" t="s">
        <v>9311</v>
      </c>
      <c r="AH7" t="s">
        <v>4714</v>
      </c>
      <c r="AI7" t="s">
        <v>20342</v>
      </c>
      <c r="AJ7" s="28" t="str">
        <f t="shared" si="0"/>
        <v>252201</v>
      </c>
      <c r="AK7" s="420">
        <v>1</v>
      </c>
      <c r="AL7" s="420">
        <f t="shared" si="1"/>
        <v>1</v>
      </c>
      <c r="AM7" s="420">
        <v>1</v>
      </c>
      <c r="AN7" t="s">
        <v>17650</v>
      </c>
      <c r="AO7" t="s">
        <v>17651</v>
      </c>
      <c r="AP7" t="s">
        <v>17652</v>
      </c>
      <c r="AQ7" t="s">
        <v>17653</v>
      </c>
      <c r="AR7" t="s">
        <v>1024</v>
      </c>
    </row>
    <row r="8" spans="1:44" x14ac:dyDescent="0.25">
      <c r="A8" t="s">
        <v>690</v>
      </c>
      <c r="B8" t="s">
        <v>20346</v>
      </c>
      <c r="C8" s="410" t="s">
        <v>46</v>
      </c>
      <c r="D8" t="s">
        <v>20306</v>
      </c>
      <c r="E8" t="s">
        <v>192</v>
      </c>
      <c r="F8" s="534">
        <v>1</v>
      </c>
      <c r="G8" t="s">
        <v>193</v>
      </c>
      <c r="H8" t="s">
        <v>194</v>
      </c>
      <c r="I8" t="s">
        <v>20307</v>
      </c>
      <c r="J8" t="s">
        <v>9302</v>
      </c>
      <c r="K8" s="28" t="s">
        <v>9309</v>
      </c>
      <c r="L8" t="s">
        <v>6955</v>
      </c>
      <c r="N8" t="s">
        <v>20347</v>
      </c>
      <c r="O8" t="s">
        <v>6921</v>
      </c>
      <c r="P8" t="s">
        <v>20309</v>
      </c>
      <c r="Q8" t="s">
        <v>20310</v>
      </c>
      <c r="R8" t="s">
        <v>20311</v>
      </c>
      <c r="S8" t="s">
        <v>20348</v>
      </c>
      <c r="T8" t="s">
        <v>20349</v>
      </c>
      <c r="W8" t="s">
        <v>510</v>
      </c>
      <c r="X8" t="s">
        <v>193</v>
      </c>
      <c r="Y8" s="28" t="s">
        <v>9310</v>
      </c>
      <c r="AB8" t="s">
        <v>9311</v>
      </c>
      <c r="AH8" t="s">
        <v>4714</v>
      </c>
      <c r="AI8" t="s">
        <v>20346</v>
      </c>
      <c r="AJ8" s="28" t="str">
        <f t="shared" si="0"/>
        <v>252201</v>
      </c>
      <c r="AK8" s="420">
        <v>1</v>
      </c>
      <c r="AL8" s="420">
        <f t="shared" si="1"/>
        <v>1</v>
      </c>
      <c r="AM8" s="420">
        <v>1</v>
      </c>
      <c r="AN8" t="s">
        <v>17650</v>
      </c>
      <c r="AO8" t="s">
        <v>17651</v>
      </c>
      <c r="AP8" t="s">
        <v>17652</v>
      </c>
      <c r="AQ8" t="s">
        <v>17653</v>
      </c>
      <c r="AR8" t="s">
        <v>1024</v>
      </c>
    </row>
    <row r="9" spans="1:44" x14ac:dyDescent="0.25">
      <c r="A9" t="s">
        <v>20350</v>
      </c>
      <c r="B9" t="s">
        <v>20351</v>
      </c>
      <c r="C9" s="410" t="s">
        <v>46</v>
      </c>
      <c r="D9" t="s">
        <v>20306</v>
      </c>
      <c r="E9" t="s">
        <v>192</v>
      </c>
      <c r="F9" s="534">
        <v>1</v>
      </c>
      <c r="G9" t="s">
        <v>193</v>
      </c>
      <c r="H9" t="s">
        <v>194</v>
      </c>
      <c r="I9" t="s">
        <v>20322</v>
      </c>
      <c r="J9" t="s">
        <v>9302</v>
      </c>
      <c r="K9" s="28" t="s">
        <v>9309</v>
      </c>
      <c r="L9" t="s">
        <v>6955</v>
      </c>
      <c r="N9" t="s">
        <v>20352</v>
      </c>
      <c r="O9" t="s">
        <v>6921</v>
      </c>
      <c r="P9" t="s">
        <v>20309</v>
      </c>
      <c r="Q9" t="s">
        <v>20310</v>
      </c>
      <c r="R9" t="s">
        <v>20311</v>
      </c>
      <c r="S9" t="s">
        <v>20353</v>
      </c>
      <c r="T9" t="s">
        <v>20354</v>
      </c>
      <c r="W9" t="s">
        <v>510</v>
      </c>
      <c r="X9" t="s">
        <v>193</v>
      </c>
      <c r="Y9" s="28" t="s">
        <v>9310</v>
      </c>
      <c r="AB9" t="s">
        <v>9311</v>
      </c>
      <c r="AH9" t="s">
        <v>4714</v>
      </c>
      <c r="AI9" t="s">
        <v>20351</v>
      </c>
      <c r="AJ9" s="28" t="str">
        <f t="shared" si="0"/>
        <v>252201</v>
      </c>
      <c r="AK9" s="420">
        <v>1</v>
      </c>
      <c r="AL9" s="420">
        <f t="shared" si="1"/>
        <v>1</v>
      </c>
      <c r="AM9" s="420">
        <v>1</v>
      </c>
      <c r="AN9" t="s">
        <v>17650</v>
      </c>
      <c r="AO9" t="s">
        <v>17651</v>
      </c>
      <c r="AP9" t="s">
        <v>17652</v>
      </c>
      <c r="AQ9" t="s">
        <v>17653</v>
      </c>
      <c r="AR9" t="s">
        <v>1024</v>
      </c>
    </row>
    <row r="10" spans="1:44" x14ac:dyDescent="0.25">
      <c r="A10" t="s">
        <v>20355</v>
      </c>
      <c r="B10" t="s">
        <v>20356</v>
      </c>
      <c r="C10" s="410" t="s">
        <v>4628</v>
      </c>
      <c r="D10" t="s">
        <v>20317</v>
      </c>
      <c r="E10" t="s">
        <v>192</v>
      </c>
      <c r="F10" s="534">
        <v>1</v>
      </c>
      <c r="G10" t="s">
        <v>193</v>
      </c>
      <c r="H10" t="s">
        <v>194</v>
      </c>
      <c r="I10" t="s">
        <v>20338</v>
      </c>
      <c r="J10" t="s">
        <v>210</v>
      </c>
      <c r="K10" s="28" t="s">
        <v>9309</v>
      </c>
      <c r="L10" t="s">
        <v>6955</v>
      </c>
      <c r="N10" t="s">
        <v>20357</v>
      </c>
      <c r="O10" t="s">
        <v>7406</v>
      </c>
      <c r="P10" t="s">
        <v>20320</v>
      </c>
      <c r="Q10" t="s">
        <v>20321</v>
      </c>
      <c r="R10" t="s">
        <v>20322</v>
      </c>
      <c r="S10" t="s">
        <v>20358</v>
      </c>
      <c r="T10" t="s">
        <v>20359</v>
      </c>
      <c r="V10" s="28" t="s">
        <v>9334</v>
      </c>
      <c r="W10" t="s">
        <v>4629</v>
      </c>
      <c r="X10" t="s">
        <v>194</v>
      </c>
      <c r="Y10" s="28" t="s">
        <v>9300</v>
      </c>
      <c r="AB10" t="s">
        <v>9311</v>
      </c>
      <c r="AH10" t="s">
        <v>4714</v>
      </c>
      <c r="AI10" t="s">
        <v>20356</v>
      </c>
      <c r="AJ10" s="28" t="str">
        <f t="shared" si="0"/>
        <v>261101</v>
      </c>
      <c r="AK10" s="420">
        <v>1</v>
      </c>
      <c r="AL10" s="420">
        <f t="shared" si="1"/>
        <v>1</v>
      </c>
      <c r="AM10" s="420">
        <v>1</v>
      </c>
      <c r="AN10" t="s">
        <v>17650</v>
      </c>
      <c r="AO10" t="s">
        <v>17651</v>
      </c>
      <c r="AP10" t="s">
        <v>17652</v>
      </c>
      <c r="AQ10" t="s">
        <v>17653</v>
      </c>
      <c r="AR10" t="s">
        <v>1024</v>
      </c>
    </row>
    <row r="11" spans="1:44" x14ac:dyDescent="0.25">
      <c r="A11" t="s">
        <v>3217</v>
      </c>
      <c r="B11" t="s">
        <v>1756</v>
      </c>
      <c r="C11" s="410" t="s">
        <v>50</v>
      </c>
      <c r="D11" t="s">
        <v>20317</v>
      </c>
      <c r="E11" t="s">
        <v>192</v>
      </c>
      <c r="F11" s="534">
        <v>1</v>
      </c>
      <c r="G11" t="s">
        <v>193</v>
      </c>
      <c r="H11" t="s">
        <v>194</v>
      </c>
      <c r="I11" t="s">
        <v>20360</v>
      </c>
      <c r="J11" t="s">
        <v>15413</v>
      </c>
      <c r="K11" s="28" t="s">
        <v>9309</v>
      </c>
      <c r="L11" t="s">
        <v>6955</v>
      </c>
      <c r="N11" t="s">
        <v>20361</v>
      </c>
      <c r="O11" t="s">
        <v>6266</v>
      </c>
      <c r="P11" t="s">
        <v>20362</v>
      </c>
      <c r="Q11" t="s">
        <v>20321</v>
      </c>
      <c r="R11" t="s">
        <v>20322</v>
      </c>
      <c r="S11" t="s">
        <v>20363</v>
      </c>
      <c r="T11" t="s">
        <v>20364</v>
      </c>
      <c r="V11" s="28" t="s">
        <v>9786</v>
      </c>
      <c r="W11" t="s">
        <v>906</v>
      </c>
      <c r="X11" t="s">
        <v>194</v>
      </c>
      <c r="Y11" s="28" t="s">
        <v>9300</v>
      </c>
      <c r="AB11" t="s">
        <v>9311</v>
      </c>
      <c r="AH11" t="s">
        <v>4714</v>
      </c>
      <c r="AI11" t="s">
        <v>50</v>
      </c>
      <c r="AJ11" s="28" t="str">
        <f t="shared" si="0"/>
        <v>333101</v>
      </c>
      <c r="AK11" s="420">
        <v>1</v>
      </c>
      <c r="AL11" s="420">
        <f t="shared" si="1"/>
        <v>1</v>
      </c>
      <c r="AM11" s="420">
        <v>1</v>
      </c>
      <c r="AN11" t="s">
        <v>17650</v>
      </c>
      <c r="AO11" t="s">
        <v>17651</v>
      </c>
      <c r="AP11" t="s">
        <v>17652</v>
      </c>
      <c r="AQ11" t="s">
        <v>17653</v>
      </c>
      <c r="AR11" t="s">
        <v>1024</v>
      </c>
    </row>
    <row r="12" spans="1:44" x14ac:dyDescent="0.25">
      <c r="A12" t="s">
        <v>20365</v>
      </c>
      <c r="B12" t="s">
        <v>1756</v>
      </c>
      <c r="C12" s="410" t="s">
        <v>50</v>
      </c>
      <c r="D12" t="s">
        <v>20306</v>
      </c>
      <c r="E12" t="s">
        <v>192</v>
      </c>
      <c r="F12" s="534">
        <v>1</v>
      </c>
      <c r="G12" t="s">
        <v>193</v>
      </c>
      <c r="H12" t="s">
        <v>194</v>
      </c>
      <c r="I12" t="s">
        <v>20322</v>
      </c>
      <c r="J12" t="s">
        <v>210</v>
      </c>
      <c r="K12" s="28" t="s">
        <v>9309</v>
      </c>
      <c r="L12" t="s">
        <v>6955</v>
      </c>
      <c r="N12" t="s">
        <v>20366</v>
      </c>
      <c r="O12" t="s">
        <v>6266</v>
      </c>
      <c r="P12" t="s">
        <v>20367</v>
      </c>
      <c r="Q12" t="s">
        <v>20310</v>
      </c>
      <c r="R12" t="s">
        <v>20311</v>
      </c>
      <c r="S12" t="s">
        <v>20368</v>
      </c>
      <c r="T12" t="s">
        <v>20369</v>
      </c>
      <c r="V12" s="28" t="s">
        <v>9334</v>
      </c>
      <c r="W12" t="s">
        <v>906</v>
      </c>
      <c r="X12" t="s">
        <v>194</v>
      </c>
      <c r="Y12" s="28" t="s">
        <v>9300</v>
      </c>
      <c r="AB12" t="s">
        <v>9311</v>
      </c>
      <c r="AH12" t="s">
        <v>4714</v>
      </c>
      <c r="AI12" t="s">
        <v>50</v>
      </c>
      <c r="AJ12" s="28" t="str">
        <f t="shared" si="0"/>
        <v>333101</v>
      </c>
      <c r="AK12" s="420">
        <v>1</v>
      </c>
      <c r="AL12" s="420">
        <f t="shared" si="1"/>
        <v>1</v>
      </c>
      <c r="AM12" s="420">
        <v>1</v>
      </c>
      <c r="AN12" t="s">
        <v>17650</v>
      </c>
      <c r="AO12" t="s">
        <v>17651</v>
      </c>
      <c r="AP12" t="s">
        <v>17652</v>
      </c>
      <c r="AQ12" t="s">
        <v>17653</v>
      </c>
      <c r="AR12" t="s">
        <v>1024</v>
      </c>
    </row>
    <row r="13" spans="1:44" x14ac:dyDescent="0.25">
      <c r="A13" t="s">
        <v>581</v>
      </c>
      <c r="B13" t="s">
        <v>20370</v>
      </c>
      <c r="C13" s="410" t="s">
        <v>122</v>
      </c>
      <c r="D13" t="s">
        <v>20326</v>
      </c>
      <c r="E13" t="s">
        <v>217</v>
      </c>
      <c r="F13" s="534">
        <v>1</v>
      </c>
      <c r="G13" t="s">
        <v>193</v>
      </c>
      <c r="H13" t="s">
        <v>194</v>
      </c>
      <c r="I13" t="s">
        <v>20338</v>
      </c>
      <c r="J13" t="s">
        <v>210</v>
      </c>
      <c r="K13" s="28" t="s">
        <v>9309</v>
      </c>
      <c r="L13" t="s">
        <v>6955</v>
      </c>
      <c r="N13" t="s">
        <v>20371</v>
      </c>
      <c r="O13" t="s">
        <v>6269</v>
      </c>
      <c r="P13" t="s">
        <v>20372</v>
      </c>
      <c r="Q13" t="s">
        <v>20373</v>
      </c>
      <c r="R13" t="s">
        <v>20338</v>
      </c>
      <c r="S13" t="s">
        <v>20374</v>
      </c>
      <c r="T13" t="s">
        <v>20375</v>
      </c>
      <c r="V13" s="28" t="s">
        <v>9334</v>
      </c>
      <c r="W13" t="s">
        <v>655</v>
      </c>
      <c r="X13" t="s">
        <v>194</v>
      </c>
      <c r="Y13" s="28" t="s">
        <v>9300</v>
      </c>
      <c r="AB13" t="s">
        <v>9311</v>
      </c>
      <c r="AH13" t="s">
        <v>4714</v>
      </c>
      <c r="AI13" t="s">
        <v>9433</v>
      </c>
      <c r="AJ13" s="28" t="str">
        <f t="shared" si="0"/>
        <v>332301</v>
      </c>
      <c r="AK13" s="420">
        <v>1</v>
      </c>
      <c r="AL13" s="420">
        <f t="shared" si="1"/>
        <v>1</v>
      </c>
      <c r="AM13" s="420">
        <v>1</v>
      </c>
      <c r="AN13" t="s">
        <v>17650</v>
      </c>
      <c r="AO13" t="s">
        <v>17651</v>
      </c>
      <c r="AP13" t="s">
        <v>17652</v>
      </c>
      <c r="AQ13" t="s">
        <v>17653</v>
      </c>
      <c r="AR13" t="s">
        <v>1024</v>
      </c>
    </row>
    <row r="14" spans="1:44" x14ac:dyDescent="0.25">
      <c r="A14" t="s">
        <v>581</v>
      </c>
      <c r="B14" t="s">
        <v>20370</v>
      </c>
      <c r="C14" s="410" t="s">
        <v>122</v>
      </c>
      <c r="D14" t="s">
        <v>20317</v>
      </c>
      <c r="E14" t="s">
        <v>217</v>
      </c>
      <c r="F14" s="534">
        <v>1</v>
      </c>
      <c r="G14" t="s">
        <v>193</v>
      </c>
      <c r="H14" t="s">
        <v>194</v>
      </c>
      <c r="I14" t="s">
        <v>20318</v>
      </c>
      <c r="J14" t="s">
        <v>210</v>
      </c>
      <c r="K14" s="28" t="s">
        <v>9309</v>
      </c>
      <c r="L14" t="s">
        <v>6955</v>
      </c>
      <c r="N14" t="s">
        <v>20371</v>
      </c>
      <c r="O14" t="s">
        <v>6269</v>
      </c>
      <c r="P14" t="s">
        <v>20376</v>
      </c>
      <c r="Q14" t="s">
        <v>20326</v>
      </c>
      <c r="R14" t="s">
        <v>20338</v>
      </c>
      <c r="S14" t="s">
        <v>20377</v>
      </c>
      <c r="T14" t="s">
        <v>20378</v>
      </c>
      <c r="V14" s="28" t="s">
        <v>9334</v>
      </c>
      <c r="W14" t="s">
        <v>655</v>
      </c>
      <c r="X14" t="s">
        <v>194</v>
      </c>
      <c r="Y14" s="28" t="s">
        <v>9300</v>
      </c>
      <c r="AB14" t="s">
        <v>9311</v>
      </c>
      <c r="AH14" t="s">
        <v>4714</v>
      </c>
      <c r="AI14" t="s">
        <v>9433</v>
      </c>
      <c r="AJ14" s="28" t="str">
        <f t="shared" si="0"/>
        <v>332301</v>
      </c>
      <c r="AK14" s="420">
        <v>1</v>
      </c>
      <c r="AL14" s="420">
        <f t="shared" si="1"/>
        <v>1</v>
      </c>
      <c r="AM14" s="420">
        <v>1</v>
      </c>
      <c r="AN14" t="s">
        <v>17650</v>
      </c>
      <c r="AO14" t="s">
        <v>17651</v>
      </c>
      <c r="AP14" t="s">
        <v>17652</v>
      </c>
      <c r="AQ14" t="s">
        <v>17653</v>
      </c>
      <c r="AR14" t="s">
        <v>1024</v>
      </c>
    </row>
    <row r="15" spans="1:44" x14ac:dyDescent="0.25">
      <c r="A15" t="s">
        <v>20379</v>
      </c>
      <c r="B15" t="s">
        <v>20380</v>
      </c>
      <c r="C15" s="410" t="s">
        <v>122</v>
      </c>
      <c r="D15" t="s">
        <v>20317</v>
      </c>
      <c r="E15" t="s">
        <v>192</v>
      </c>
      <c r="F15" s="534">
        <v>1</v>
      </c>
      <c r="G15" t="s">
        <v>193</v>
      </c>
      <c r="H15" t="s">
        <v>194</v>
      </c>
      <c r="I15" t="s">
        <v>20333</v>
      </c>
      <c r="J15" t="s">
        <v>9302</v>
      </c>
      <c r="K15" s="28" t="s">
        <v>9309</v>
      </c>
      <c r="L15" t="s">
        <v>6955</v>
      </c>
      <c r="N15" t="s">
        <v>20381</v>
      </c>
      <c r="O15" t="s">
        <v>6266</v>
      </c>
      <c r="P15" t="s">
        <v>20320</v>
      </c>
      <c r="Q15" t="s">
        <v>20321</v>
      </c>
      <c r="R15" t="s">
        <v>20322</v>
      </c>
      <c r="S15" t="s">
        <v>20382</v>
      </c>
      <c r="T15" t="s">
        <v>20383</v>
      </c>
      <c r="W15" t="s">
        <v>655</v>
      </c>
      <c r="X15" t="s">
        <v>193</v>
      </c>
      <c r="Y15" s="28" t="s">
        <v>9310</v>
      </c>
      <c r="AB15" t="s">
        <v>9311</v>
      </c>
      <c r="AH15" t="s">
        <v>4714</v>
      </c>
      <c r="AI15" t="s">
        <v>20380</v>
      </c>
      <c r="AJ15" s="28" t="str">
        <f t="shared" si="0"/>
        <v>332301</v>
      </c>
      <c r="AK15" s="420">
        <v>1</v>
      </c>
      <c r="AL15" s="420">
        <f t="shared" si="1"/>
        <v>1</v>
      </c>
      <c r="AM15" s="420">
        <v>1</v>
      </c>
      <c r="AN15" t="s">
        <v>17650</v>
      </c>
      <c r="AO15" t="s">
        <v>17651</v>
      </c>
      <c r="AP15" t="s">
        <v>17652</v>
      </c>
      <c r="AQ15" t="s">
        <v>17653</v>
      </c>
      <c r="AR15" t="s">
        <v>1024</v>
      </c>
    </row>
    <row r="16" spans="1:44" x14ac:dyDescent="0.25">
      <c r="A16" t="s">
        <v>13500</v>
      </c>
      <c r="B16" t="s">
        <v>15199</v>
      </c>
      <c r="C16" s="410" t="s">
        <v>122</v>
      </c>
      <c r="D16" t="s">
        <v>20317</v>
      </c>
      <c r="E16" t="s">
        <v>192</v>
      </c>
      <c r="F16" s="534">
        <v>1</v>
      </c>
      <c r="G16" t="s">
        <v>193</v>
      </c>
      <c r="H16" t="s">
        <v>194</v>
      </c>
      <c r="I16" t="s">
        <v>20338</v>
      </c>
      <c r="J16" t="s">
        <v>210</v>
      </c>
      <c r="K16" s="28" t="s">
        <v>9309</v>
      </c>
      <c r="L16" t="s">
        <v>6955</v>
      </c>
      <c r="N16" t="s">
        <v>20384</v>
      </c>
      <c r="O16" t="s">
        <v>6266</v>
      </c>
      <c r="P16" t="s">
        <v>20320</v>
      </c>
      <c r="Q16" t="s">
        <v>20321</v>
      </c>
      <c r="R16" t="s">
        <v>20385</v>
      </c>
      <c r="S16" t="s">
        <v>20386</v>
      </c>
      <c r="T16" t="s">
        <v>20387</v>
      </c>
      <c r="V16" s="28" t="s">
        <v>9334</v>
      </c>
      <c r="W16" t="s">
        <v>655</v>
      </c>
      <c r="X16" t="s">
        <v>194</v>
      </c>
      <c r="Y16" s="28" t="s">
        <v>9300</v>
      </c>
      <c r="AB16" t="s">
        <v>9311</v>
      </c>
      <c r="AH16" t="s">
        <v>4714</v>
      </c>
      <c r="AI16" t="s">
        <v>15199</v>
      </c>
      <c r="AJ16" s="28" t="str">
        <f t="shared" si="0"/>
        <v>332301</v>
      </c>
      <c r="AK16" s="420">
        <v>1</v>
      </c>
      <c r="AL16" s="420">
        <f t="shared" si="1"/>
        <v>1</v>
      </c>
      <c r="AM16" s="420">
        <v>1</v>
      </c>
      <c r="AN16" t="s">
        <v>17650</v>
      </c>
      <c r="AO16" t="s">
        <v>17651</v>
      </c>
      <c r="AP16" t="s">
        <v>17652</v>
      </c>
      <c r="AQ16" t="s">
        <v>17653</v>
      </c>
      <c r="AR16" t="s">
        <v>1024</v>
      </c>
    </row>
    <row r="17" spans="1:44" x14ac:dyDescent="0.25">
      <c r="A17" t="s">
        <v>2009</v>
      </c>
      <c r="B17" t="s">
        <v>20388</v>
      </c>
      <c r="C17" s="410" t="s">
        <v>122</v>
      </c>
      <c r="D17" t="s">
        <v>20317</v>
      </c>
      <c r="E17" t="s">
        <v>192</v>
      </c>
      <c r="F17" s="534">
        <v>1</v>
      </c>
      <c r="G17" t="s">
        <v>193</v>
      </c>
      <c r="H17" t="s">
        <v>194</v>
      </c>
      <c r="I17" t="s">
        <v>20389</v>
      </c>
      <c r="J17" t="s">
        <v>210</v>
      </c>
      <c r="K17" s="28" t="s">
        <v>9309</v>
      </c>
      <c r="L17" t="s">
        <v>6955</v>
      </c>
      <c r="N17" t="s">
        <v>20390</v>
      </c>
      <c r="O17" t="s">
        <v>6266</v>
      </c>
      <c r="P17" t="s">
        <v>20320</v>
      </c>
      <c r="Q17" t="s">
        <v>20321</v>
      </c>
      <c r="R17" t="s">
        <v>20322</v>
      </c>
      <c r="S17" t="s">
        <v>20391</v>
      </c>
      <c r="T17" t="s">
        <v>20392</v>
      </c>
      <c r="V17" s="28" t="s">
        <v>9334</v>
      </c>
      <c r="W17" t="s">
        <v>655</v>
      </c>
      <c r="X17" t="s">
        <v>194</v>
      </c>
      <c r="Y17" s="28" t="s">
        <v>9300</v>
      </c>
      <c r="AB17" t="s">
        <v>9311</v>
      </c>
      <c r="AH17" t="s">
        <v>4714</v>
      </c>
      <c r="AI17" t="s">
        <v>20388</v>
      </c>
      <c r="AJ17" s="28" t="str">
        <f t="shared" si="0"/>
        <v>332301</v>
      </c>
      <c r="AK17" s="420">
        <v>1</v>
      </c>
      <c r="AL17" s="420">
        <f t="shared" si="1"/>
        <v>1</v>
      </c>
      <c r="AM17" s="420">
        <v>1</v>
      </c>
      <c r="AN17" t="s">
        <v>17650</v>
      </c>
      <c r="AO17" t="s">
        <v>17651</v>
      </c>
      <c r="AP17" t="s">
        <v>17652</v>
      </c>
      <c r="AQ17" t="s">
        <v>17653</v>
      </c>
      <c r="AR17" t="s">
        <v>1024</v>
      </c>
    </row>
    <row r="18" spans="1:44" x14ac:dyDescent="0.25">
      <c r="A18" t="s">
        <v>581</v>
      </c>
      <c r="B18" t="s">
        <v>20370</v>
      </c>
      <c r="C18" s="410" t="s">
        <v>122</v>
      </c>
      <c r="D18" t="s">
        <v>20360</v>
      </c>
      <c r="E18" t="s">
        <v>217</v>
      </c>
      <c r="F18" s="534">
        <v>1</v>
      </c>
      <c r="G18" t="s">
        <v>194</v>
      </c>
      <c r="H18" t="s">
        <v>193</v>
      </c>
      <c r="I18" t="s">
        <v>20318</v>
      </c>
      <c r="J18" t="s">
        <v>210</v>
      </c>
      <c r="K18" s="28" t="s">
        <v>9309</v>
      </c>
      <c r="L18" t="s">
        <v>6955</v>
      </c>
      <c r="N18" t="s">
        <v>20371</v>
      </c>
      <c r="O18" t="s">
        <v>6269</v>
      </c>
      <c r="P18" t="s">
        <v>20393</v>
      </c>
      <c r="Q18" t="s">
        <v>20317</v>
      </c>
      <c r="R18" t="s">
        <v>20338</v>
      </c>
      <c r="S18" t="s">
        <v>20394</v>
      </c>
      <c r="T18" t="s">
        <v>20395</v>
      </c>
      <c r="V18" s="28" t="s">
        <v>9334</v>
      </c>
      <c r="W18" t="s">
        <v>655</v>
      </c>
      <c r="X18" t="s">
        <v>194</v>
      </c>
      <c r="Y18" s="28" t="s">
        <v>9300</v>
      </c>
      <c r="AB18" t="s">
        <v>9311</v>
      </c>
      <c r="AH18" t="s">
        <v>4714</v>
      </c>
      <c r="AI18" t="s">
        <v>9433</v>
      </c>
      <c r="AJ18" s="28" t="str">
        <f t="shared" si="0"/>
        <v>332301</v>
      </c>
      <c r="AK18" s="420">
        <v>1</v>
      </c>
      <c r="AL18" s="420">
        <f t="shared" si="1"/>
        <v>1</v>
      </c>
      <c r="AM18" s="420">
        <v>1</v>
      </c>
      <c r="AN18" t="s">
        <v>17650</v>
      </c>
      <c r="AO18" t="s">
        <v>17651</v>
      </c>
      <c r="AP18" t="s">
        <v>17652</v>
      </c>
      <c r="AQ18" t="s">
        <v>17653</v>
      </c>
      <c r="AR18" t="s">
        <v>1024</v>
      </c>
    </row>
    <row r="19" spans="1:44" x14ac:dyDescent="0.25">
      <c r="A19" t="s">
        <v>10467</v>
      </c>
      <c r="B19" t="s">
        <v>20396</v>
      </c>
      <c r="C19" s="410" t="s">
        <v>122</v>
      </c>
      <c r="D19" t="s">
        <v>20338</v>
      </c>
      <c r="E19" t="s">
        <v>192</v>
      </c>
      <c r="F19" s="534">
        <v>1</v>
      </c>
      <c r="G19" t="s">
        <v>193</v>
      </c>
      <c r="H19" t="s">
        <v>194</v>
      </c>
      <c r="I19" t="s">
        <v>20310</v>
      </c>
      <c r="J19" t="s">
        <v>9302</v>
      </c>
      <c r="K19" s="28" t="s">
        <v>9309</v>
      </c>
      <c r="L19" t="s">
        <v>6955</v>
      </c>
      <c r="N19" t="s">
        <v>20397</v>
      </c>
      <c r="O19" t="s">
        <v>6290</v>
      </c>
      <c r="P19" t="s">
        <v>20398</v>
      </c>
      <c r="Q19" t="s">
        <v>20399</v>
      </c>
      <c r="R19" t="s">
        <v>20400</v>
      </c>
      <c r="S19" t="s">
        <v>20401</v>
      </c>
      <c r="T19" t="s">
        <v>20402</v>
      </c>
      <c r="W19" t="s">
        <v>655</v>
      </c>
      <c r="X19" t="s">
        <v>193</v>
      </c>
      <c r="Y19" s="28" t="s">
        <v>9310</v>
      </c>
      <c r="AB19" t="s">
        <v>9311</v>
      </c>
      <c r="AH19" t="s">
        <v>4714</v>
      </c>
      <c r="AI19" t="s">
        <v>20396</v>
      </c>
      <c r="AJ19" s="28" t="str">
        <f t="shared" si="0"/>
        <v>332301</v>
      </c>
      <c r="AK19" s="420">
        <v>1</v>
      </c>
      <c r="AL19" s="420">
        <f t="shared" si="1"/>
        <v>1</v>
      </c>
      <c r="AM19" s="420">
        <v>1</v>
      </c>
      <c r="AN19" t="s">
        <v>17650</v>
      </c>
      <c r="AO19" t="s">
        <v>17651</v>
      </c>
      <c r="AP19" t="s">
        <v>17652</v>
      </c>
      <c r="AQ19" t="s">
        <v>17653</v>
      </c>
      <c r="AR19" t="s">
        <v>1024</v>
      </c>
    </row>
    <row r="20" spans="1:44" x14ac:dyDescent="0.25">
      <c r="A20" t="s">
        <v>20403</v>
      </c>
      <c r="B20" t="s">
        <v>20404</v>
      </c>
      <c r="C20" s="410" t="s">
        <v>122</v>
      </c>
      <c r="D20" t="s">
        <v>20338</v>
      </c>
      <c r="E20" t="s">
        <v>192</v>
      </c>
      <c r="F20" s="534">
        <v>1</v>
      </c>
      <c r="G20" t="s">
        <v>193</v>
      </c>
      <c r="H20" t="s">
        <v>194</v>
      </c>
      <c r="I20" t="s">
        <v>20405</v>
      </c>
      <c r="J20" t="s">
        <v>9302</v>
      </c>
      <c r="K20" s="28" t="s">
        <v>9309</v>
      </c>
      <c r="L20" t="s">
        <v>6955</v>
      </c>
      <c r="N20" t="s">
        <v>20406</v>
      </c>
      <c r="O20" t="s">
        <v>6290</v>
      </c>
      <c r="P20" t="s">
        <v>20398</v>
      </c>
      <c r="Q20" t="s">
        <v>20399</v>
      </c>
      <c r="R20" t="s">
        <v>20400</v>
      </c>
      <c r="S20" t="s">
        <v>20407</v>
      </c>
      <c r="T20" t="s">
        <v>20408</v>
      </c>
      <c r="W20" t="s">
        <v>655</v>
      </c>
      <c r="X20" t="s">
        <v>193</v>
      </c>
      <c r="Y20" s="28" t="s">
        <v>9310</v>
      </c>
      <c r="AB20" t="s">
        <v>9311</v>
      </c>
      <c r="AH20" t="s">
        <v>4714</v>
      </c>
      <c r="AI20" t="s">
        <v>20404</v>
      </c>
      <c r="AJ20" s="28" t="str">
        <f t="shared" si="0"/>
        <v>332301</v>
      </c>
      <c r="AK20" s="420">
        <v>1</v>
      </c>
      <c r="AL20" s="420">
        <f t="shared" si="1"/>
        <v>1</v>
      </c>
      <c r="AM20" s="420">
        <v>1</v>
      </c>
      <c r="AN20" t="s">
        <v>17650</v>
      </c>
      <c r="AO20" t="s">
        <v>17651</v>
      </c>
      <c r="AP20" t="s">
        <v>17652</v>
      </c>
      <c r="AQ20" t="s">
        <v>17653</v>
      </c>
      <c r="AR20" t="s">
        <v>1024</v>
      </c>
    </row>
    <row r="21" spans="1:44" x14ac:dyDescent="0.25">
      <c r="A21" t="s">
        <v>2478</v>
      </c>
      <c r="B21" t="s">
        <v>657</v>
      </c>
      <c r="C21" s="410" t="s">
        <v>122</v>
      </c>
      <c r="D21" t="s">
        <v>20338</v>
      </c>
      <c r="E21" t="s">
        <v>192</v>
      </c>
      <c r="F21" s="534">
        <v>1</v>
      </c>
      <c r="G21" t="s">
        <v>193</v>
      </c>
      <c r="H21" t="s">
        <v>194</v>
      </c>
      <c r="I21" t="s">
        <v>20310</v>
      </c>
      <c r="J21" t="s">
        <v>2480</v>
      </c>
      <c r="K21" s="28" t="s">
        <v>9309</v>
      </c>
      <c r="L21" t="s">
        <v>6955</v>
      </c>
      <c r="N21" t="s">
        <v>20409</v>
      </c>
      <c r="O21" t="s">
        <v>6266</v>
      </c>
      <c r="P21" t="s">
        <v>20398</v>
      </c>
      <c r="Q21" t="s">
        <v>20399</v>
      </c>
      <c r="R21" t="s">
        <v>20400</v>
      </c>
      <c r="S21" t="s">
        <v>20410</v>
      </c>
      <c r="T21" t="s">
        <v>20411</v>
      </c>
      <c r="V21" s="28" t="s">
        <v>9367</v>
      </c>
      <c r="W21" t="s">
        <v>655</v>
      </c>
      <c r="X21" t="s">
        <v>194</v>
      </c>
      <c r="Y21" s="28" t="s">
        <v>9300</v>
      </c>
      <c r="AB21" t="s">
        <v>9311</v>
      </c>
      <c r="AH21" t="s">
        <v>4714</v>
      </c>
      <c r="AI21" t="s">
        <v>657</v>
      </c>
      <c r="AJ21" s="28" t="str">
        <f t="shared" si="0"/>
        <v>332301</v>
      </c>
      <c r="AK21" s="420">
        <v>1</v>
      </c>
      <c r="AL21" s="420">
        <f t="shared" si="1"/>
        <v>1</v>
      </c>
      <c r="AM21" s="420">
        <v>1</v>
      </c>
      <c r="AN21" t="s">
        <v>17650</v>
      </c>
      <c r="AO21" t="s">
        <v>17651</v>
      </c>
      <c r="AP21" t="s">
        <v>17652</v>
      </c>
      <c r="AQ21" t="s">
        <v>17653</v>
      </c>
      <c r="AR21" t="s">
        <v>1024</v>
      </c>
    </row>
    <row r="22" spans="1:44" x14ac:dyDescent="0.25">
      <c r="A22" t="s">
        <v>10634</v>
      </c>
      <c r="B22" t="s">
        <v>20412</v>
      </c>
      <c r="C22" s="410" t="s">
        <v>122</v>
      </c>
      <c r="D22" t="s">
        <v>20306</v>
      </c>
      <c r="E22" t="s">
        <v>192</v>
      </c>
      <c r="F22" s="534">
        <v>1</v>
      </c>
      <c r="G22" t="s">
        <v>193</v>
      </c>
      <c r="H22" t="s">
        <v>194</v>
      </c>
      <c r="I22" t="s">
        <v>20307</v>
      </c>
      <c r="J22" t="s">
        <v>9302</v>
      </c>
      <c r="K22" s="28" t="s">
        <v>9309</v>
      </c>
      <c r="L22" t="s">
        <v>6955</v>
      </c>
      <c r="N22" t="s">
        <v>20413</v>
      </c>
      <c r="O22" t="s">
        <v>6286</v>
      </c>
      <c r="P22" t="s">
        <v>20309</v>
      </c>
      <c r="Q22" t="s">
        <v>20310</v>
      </c>
      <c r="R22" t="s">
        <v>20311</v>
      </c>
      <c r="S22" t="s">
        <v>20414</v>
      </c>
      <c r="T22" t="s">
        <v>20415</v>
      </c>
      <c r="W22" t="s">
        <v>655</v>
      </c>
      <c r="X22" t="s">
        <v>193</v>
      </c>
      <c r="Y22" s="28" t="s">
        <v>9310</v>
      </c>
      <c r="AB22" t="s">
        <v>9311</v>
      </c>
      <c r="AH22" t="s">
        <v>4714</v>
      </c>
      <c r="AI22" t="s">
        <v>20412</v>
      </c>
      <c r="AJ22" s="28" t="str">
        <f t="shared" si="0"/>
        <v>332301</v>
      </c>
      <c r="AK22" s="420">
        <v>1</v>
      </c>
      <c r="AL22" s="420">
        <f t="shared" si="1"/>
        <v>1</v>
      </c>
      <c r="AM22" s="420">
        <v>1</v>
      </c>
      <c r="AN22" t="s">
        <v>17650</v>
      </c>
      <c r="AO22" t="s">
        <v>17651</v>
      </c>
      <c r="AP22" t="s">
        <v>17652</v>
      </c>
      <c r="AQ22" t="s">
        <v>17653</v>
      </c>
      <c r="AR22" t="s">
        <v>1024</v>
      </c>
    </row>
    <row r="23" spans="1:44" x14ac:dyDescent="0.25">
      <c r="A23" t="s">
        <v>10266</v>
      </c>
      <c r="B23" t="s">
        <v>111</v>
      </c>
      <c r="C23" s="410" t="s">
        <v>111</v>
      </c>
      <c r="D23" t="s">
        <v>20306</v>
      </c>
      <c r="E23" t="s">
        <v>233</v>
      </c>
      <c r="F23" s="534">
        <v>1</v>
      </c>
      <c r="G23" t="s">
        <v>193</v>
      </c>
      <c r="H23" t="s">
        <v>194</v>
      </c>
      <c r="I23" t="s">
        <v>20322</v>
      </c>
      <c r="J23" t="s">
        <v>9302</v>
      </c>
      <c r="K23" s="28" t="s">
        <v>9309</v>
      </c>
      <c r="L23" t="s">
        <v>6955</v>
      </c>
      <c r="N23" t="s">
        <v>20416</v>
      </c>
      <c r="O23" t="s">
        <v>6254</v>
      </c>
      <c r="P23" t="s">
        <v>20417</v>
      </c>
      <c r="Q23" t="s">
        <v>20405</v>
      </c>
      <c r="R23" t="s">
        <v>20418</v>
      </c>
      <c r="S23" t="s">
        <v>20419</v>
      </c>
      <c r="T23" t="s">
        <v>20420</v>
      </c>
      <c r="W23" t="s">
        <v>612</v>
      </c>
      <c r="X23" t="s">
        <v>193</v>
      </c>
      <c r="Y23" s="28" t="s">
        <v>9310</v>
      </c>
      <c r="AB23" t="s">
        <v>9311</v>
      </c>
      <c r="AH23" t="s">
        <v>4714</v>
      </c>
      <c r="AI23" t="s">
        <v>111</v>
      </c>
      <c r="AJ23" s="28" t="str">
        <f t="shared" si="0"/>
        <v>332101</v>
      </c>
      <c r="AK23" s="420">
        <v>1</v>
      </c>
      <c r="AL23" s="420">
        <f t="shared" si="1"/>
        <v>1</v>
      </c>
      <c r="AM23" s="420">
        <v>1</v>
      </c>
      <c r="AN23" t="s">
        <v>17650</v>
      </c>
      <c r="AO23" t="s">
        <v>17651</v>
      </c>
      <c r="AP23" t="s">
        <v>17652</v>
      </c>
      <c r="AQ23" t="s">
        <v>17653</v>
      </c>
      <c r="AR23" t="s">
        <v>1024</v>
      </c>
    </row>
    <row r="24" spans="1:44" x14ac:dyDescent="0.25">
      <c r="A24" t="s">
        <v>9312</v>
      </c>
      <c r="B24" t="s">
        <v>20421</v>
      </c>
      <c r="C24" s="410" t="s">
        <v>16355</v>
      </c>
      <c r="D24" t="s">
        <v>20317</v>
      </c>
      <c r="E24" t="s">
        <v>192</v>
      </c>
      <c r="F24" s="534">
        <v>1</v>
      </c>
      <c r="G24" t="s">
        <v>193</v>
      </c>
      <c r="H24" t="s">
        <v>194</v>
      </c>
      <c r="I24" t="s">
        <v>20422</v>
      </c>
      <c r="J24" t="s">
        <v>9302</v>
      </c>
      <c r="K24" s="28" t="s">
        <v>9309</v>
      </c>
      <c r="L24" t="s">
        <v>6955</v>
      </c>
      <c r="N24" t="s">
        <v>20423</v>
      </c>
      <c r="O24" t="s">
        <v>6261</v>
      </c>
      <c r="P24" t="s">
        <v>20320</v>
      </c>
      <c r="Q24" t="s">
        <v>20321</v>
      </c>
      <c r="R24" t="s">
        <v>20322</v>
      </c>
      <c r="S24" t="s">
        <v>20424</v>
      </c>
      <c r="T24" t="s">
        <v>20425</v>
      </c>
      <c r="W24" t="s">
        <v>508</v>
      </c>
      <c r="X24" t="s">
        <v>193</v>
      </c>
      <c r="Y24" s="28" t="s">
        <v>9310</v>
      </c>
      <c r="AB24" t="s">
        <v>9311</v>
      </c>
      <c r="AH24" t="s">
        <v>4714</v>
      </c>
      <c r="AI24" t="s">
        <v>20421</v>
      </c>
      <c r="AJ24" s="28" t="str">
        <f t="shared" si="0"/>
        <v>252102</v>
      </c>
      <c r="AK24" s="420">
        <v>1</v>
      </c>
      <c r="AL24" s="420">
        <f t="shared" si="1"/>
        <v>1</v>
      </c>
      <c r="AM24" s="420">
        <v>1</v>
      </c>
      <c r="AN24" t="s">
        <v>17650</v>
      </c>
      <c r="AO24" t="s">
        <v>17651</v>
      </c>
      <c r="AP24" t="s">
        <v>17652</v>
      </c>
      <c r="AQ24" t="s">
        <v>17653</v>
      </c>
      <c r="AR24" t="s">
        <v>1024</v>
      </c>
    </row>
    <row r="25" spans="1:44" x14ac:dyDescent="0.25">
      <c r="A25" t="s">
        <v>20426</v>
      </c>
      <c r="B25" t="s">
        <v>20427</v>
      </c>
      <c r="C25" s="410" t="s">
        <v>16355</v>
      </c>
      <c r="D25" t="s">
        <v>20338</v>
      </c>
      <c r="E25" t="s">
        <v>192</v>
      </c>
      <c r="F25" s="534">
        <v>1</v>
      </c>
      <c r="G25" t="s">
        <v>193</v>
      </c>
      <c r="H25" t="s">
        <v>194</v>
      </c>
      <c r="I25" t="s">
        <v>20310</v>
      </c>
      <c r="J25" t="s">
        <v>253</v>
      </c>
      <c r="K25" s="28" t="s">
        <v>9309</v>
      </c>
      <c r="L25" t="s">
        <v>6955</v>
      </c>
      <c r="N25" t="s">
        <v>20428</v>
      </c>
      <c r="O25" t="s">
        <v>6286</v>
      </c>
      <c r="P25" t="s">
        <v>20398</v>
      </c>
      <c r="Q25" t="s">
        <v>20399</v>
      </c>
      <c r="R25" t="s">
        <v>20400</v>
      </c>
      <c r="S25" t="s">
        <v>20429</v>
      </c>
      <c r="T25" t="s">
        <v>20430</v>
      </c>
      <c r="V25" s="28" t="s">
        <v>9468</v>
      </c>
      <c r="W25" t="s">
        <v>508</v>
      </c>
      <c r="X25" t="s">
        <v>194</v>
      </c>
      <c r="Y25" s="28" t="s">
        <v>9300</v>
      </c>
      <c r="AB25" t="s">
        <v>9311</v>
      </c>
      <c r="AH25" t="s">
        <v>4714</v>
      </c>
      <c r="AI25" t="s">
        <v>20427</v>
      </c>
      <c r="AJ25" s="28" t="str">
        <f t="shared" si="0"/>
        <v>252102</v>
      </c>
      <c r="AK25" s="420">
        <v>1</v>
      </c>
      <c r="AL25" s="420">
        <f t="shared" si="1"/>
        <v>1</v>
      </c>
      <c r="AM25" s="420">
        <v>1</v>
      </c>
      <c r="AN25" t="s">
        <v>17650</v>
      </c>
      <c r="AO25" t="s">
        <v>17651</v>
      </c>
      <c r="AP25" t="s">
        <v>17652</v>
      </c>
      <c r="AQ25" t="s">
        <v>17653</v>
      </c>
      <c r="AR25" t="s">
        <v>1024</v>
      </c>
    </row>
    <row r="26" spans="1:44" x14ac:dyDescent="0.25">
      <c r="A26" t="s">
        <v>11612</v>
      </c>
      <c r="B26" t="s">
        <v>20431</v>
      </c>
      <c r="C26" s="410" t="s">
        <v>16355</v>
      </c>
      <c r="D26" t="s">
        <v>20306</v>
      </c>
      <c r="E26" t="s">
        <v>192</v>
      </c>
      <c r="F26" s="534">
        <v>1</v>
      </c>
      <c r="G26" t="s">
        <v>193</v>
      </c>
      <c r="H26" t="s">
        <v>194</v>
      </c>
      <c r="I26" t="s">
        <v>20307</v>
      </c>
      <c r="J26" t="s">
        <v>9302</v>
      </c>
      <c r="K26" s="28" t="s">
        <v>9309</v>
      </c>
      <c r="L26" t="s">
        <v>6955</v>
      </c>
      <c r="N26" t="s">
        <v>20432</v>
      </c>
      <c r="O26" t="s">
        <v>6921</v>
      </c>
      <c r="P26" t="s">
        <v>20309</v>
      </c>
      <c r="Q26" t="s">
        <v>20310</v>
      </c>
      <c r="R26" t="s">
        <v>20311</v>
      </c>
      <c r="S26" t="s">
        <v>20433</v>
      </c>
      <c r="T26" t="s">
        <v>20434</v>
      </c>
      <c r="W26" t="s">
        <v>508</v>
      </c>
      <c r="X26" t="s">
        <v>193</v>
      </c>
      <c r="Y26" s="28" t="s">
        <v>9310</v>
      </c>
      <c r="AB26" t="s">
        <v>9311</v>
      </c>
      <c r="AH26" t="s">
        <v>5109</v>
      </c>
      <c r="AI26" t="s">
        <v>20431</v>
      </c>
      <c r="AJ26" s="28" t="str">
        <f t="shared" si="0"/>
        <v>252102</v>
      </c>
      <c r="AK26" s="420">
        <v>1</v>
      </c>
      <c r="AL26" s="420">
        <f t="shared" si="1"/>
        <v>1</v>
      </c>
      <c r="AM26" s="420">
        <v>1</v>
      </c>
      <c r="AN26" t="s">
        <v>17650</v>
      </c>
      <c r="AO26" t="s">
        <v>17651</v>
      </c>
      <c r="AP26" t="s">
        <v>17652</v>
      </c>
      <c r="AQ26" t="s">
        <v>17653</v>
      </c>
      <c r="AR26" t="s">
        <v>1024</v>
      </c>
    </row>
    <row r="27" spans="1:44" x14ac:dyDescent="0.25">
      <c r="A27" t="s">
        <v>20435</v>
      </c>
      <c r="B27" t="s">
        <v>20436</v>
      </c>
      <c r="C27" s="410" t="s">
        <v>16355</v>
      </c>
      <c r="D27" t="s">
        <v>20306</v>
      </c>
      <c r="E27" t="s">
        <v>192</v>
      </c>
      <c r="F27" s="534">
        <v>1</v>
      </c>
      <c r="G27" t="s">
        <v>193</v>
      </c>
      <c r="H27" t="s">
        <v>194</v>
      </c>
      <c r="I27" t="s">
        <v>20437</v>
      </c>
      <c r="J27" t="s">
        <v>9302</v>
      </c>
      <c r="K27" s="28" t="s">
        <v>9309</v>
      </c>
      <c r="L27" t="s">
        <v>6955</v>
      </c>
      <c r="N27" t="s">
        <v>20438</v>
      </c>
      <c r="O27" t="s">
        <v>6295</v>
      </c>
      <c r="P27" t="s">
        <v>20309</v>
      </c>
      <c r="Q27" t="s">
        <v>20310</v>
      </c>
      <c r="R27" t="s">
        <v>20311</v>
      </c>
      <c r="S27" t="s">
        <v>20439</v>
      </c>
      <c r="T27" t="s">
        <v>20440</v>
      </c>
      <c r="W27" t="s">
        <v>508</v>
      </c>
      <c r="X27" t="s">
        <v>193</v>
      </c>
      <c r="Y27" s="28" t="s">
        <v>9310</v>
      </c>
      <c r="AB27" t="s">
        <v>9311</v>
      </c>
      <c r="AH27" t="s">
        <v>5109</v>
      </c>
      <c r="AI27" t="s">
        <v>20436</v>
      </c>
      <c r="AJ27" s="28" t="str">
        <f t="shared" si="0"/>
        <v>252102</v>
      </c>
      <c r="AK27" s="420">
        <v>1</v>
      </c>
      <c r="AL27" s="420">
        <f t="shared" si="1"/>
        <v>1</v>
      </c>
      <c r="AM27" s="420">
        <v>1</v>
      </c>
      <c r="AN27" t="s">
        <v>17650</v>
      </c>
      <c r="AO27" t="s">
        <v>17651</v>
      </c>
      <c r="AP27" t="s">
        <v>17652</v>
      </c>
      <c r="AQ27" t="s">
        <v>17653</v>
      </c>
      <c r="AR27" t="s">
        <v>1024</v>
      </c>
    </row>
    <row r="28" spans="1:44" x14ac:dyDescent="0.25">
      <c r="A28" t="s">
        <v>1959</v>
      </c>
      <c r="B28" t="s">
        <v>10970</v>
      </c>
      <c r="C28" s="410" t="s">
        <v>16355</v>
      </c>
      <c r="D28" t="s">
        <v>20306</v>
      </c>
      <c r="E28" t="s">
        <v>192</v>
      </c>
      <c r="F28" s="534">
        <v>1</v>
      </c>
      <c r="G28" t="s">
        <v>193</v>
      </c>
      <c r="H28" t="s">
        <v>194</v>
      </c>
      <c r="I28" t="s">
        <v>20441</v>
      </c>
      <c r="J28" t="s">
        <v>9302</v>
      </c>
      <c r="K28" s="28" t="s">
        <v>9309</v>
      </c>
      <c r="L28" t="s">
        <v>6955</v>
      </c>
      <c r="N28" t="s">
        <v>20442</v>
      </c>
      <c r="O28" t="s">
        <v>6921</v>
      </c>
      <c r="P28" t="s">
        <v>20309</v>
      </c>
      <c r="Q28" t="s">
        <v>20310</v>
      </c>
      <c r="R28" t="s">
        <v>20311</v>
      </c>
      <c r="S28" t="s">
        <v>20443</v>
      </c>
      <c r="T28" t="s">
        <v>20444</v>
      </c>
      <c r="W28" t="s">
        <v>508</v>
      </c>
      <c r="X28" t="s">
        <v>193</v>
      </c>
      <c r="Y28" s="28" t="s">
        <v>9310</v>
      </c>
      <c r="AB28" t="s">
        <v>9311</v>
      </c>
      <c r="AH28" t="s">
        <v>4714</v>
      </c>
      <c r="AI28" t="s">
        <v>10970</v>
      </c>
      <c r="AJ28" s="28" t="str">
        <f t="shared" si="0"/>
        <v>252102</v>
      </c>
      <c r="AK28" s="420">
        <v>1</v>
      </c>
      <c r="AL28" s="420">
        <f t="shared" si="1"/>
        <v>1</v>
      </c>
      <c r="AM28" s="420">
        <v>1</v>
      </c>
      <c r="AN28" t="s">
        <v>17650</v>
      </c>
      <c r="AO28" t="s">
        <v>17651</v>
      </c>
      <c r="AP28" t="s">
        <v>17652</v>
      </c>
      <c r="AQ28" t="s">
        <v>17653</v>
      </c>
      <c r="AR28" t="s">
        <v>1024</v>
      </c>
    </row>
    <row r="29" spans="1:44" x14ac:dyDescent="0.25">
      <c r="A29" t="s">
        <v>4969</v>
      </c>
      <c r="B29" t="s">
        <v>20445</v>
      </c>
      <c r="C29" s="410" t="s">
        <v>16355</v>
      </c>
      <c r="D29" t="s">
        <v>20306</v>
      </c>
      <c r="E29" t="s">
        <v>192</v>
      </c>
      <c r="F29" s="534">
        <v>1</v>
      </c>
      <c r="G29" t="s">
        <v>193</v>
      </c>
      <c r="H29" t="s">
        <v>194</v>
      </c>
      <c r="I29" t="s">
        <v>20322</v>
      </c>
      <c r="J29" t="s">
        <v>9302</v>
      </c>
      <c r="K29" s="28" t="s">
        <v>9309</v>
      </c>
      <c r="L29" t="s">
        <v>6955</v>
      </c>
      <c r="N29" t="s">
        <v>20446</v>
      </c>
      <c r="O29" t="s">
        <v>7531</v>
      </c>
      <c r="P29" t="s">
        <v>20309</v>
      </c>
      <c r="Q29" t="s">
        <v>20310</v>
      </c>
      <c r="R29" t="s">
        <v>20311</v>
      </c>
      <c r="S29" t="s">
        <v>20447</v>
      </c>
      <c r="T29" t="s">
        <v>20448</v>
      </c>
      <c r="W29" t="s">
        <v>508</v>
      </c>
      <c r="X29" t="s">
        <v>193</v>
      </c>
      <c r="Y29" s="28" t="s">
        <v>9310</v>
      </c>
      <c r="AB29" t="s">
        <v>9311</v>
      </c>
      <c r="AH29" t="s">
        <v>4714</v>
      </c>
      <c r="AI29" t="s">
        <v>20445</v>
      </c>
      <c r="AJ29" s="28" t="str">
        <f t="shared" si="0"/>
        <v>252102</v>
      </c>
      <c r="AK29" s="420">
        <v>1</v>
      </c>
      <c r="AL29" s="420">
        <f t="shared" si="1"/>
        <v>1</v>
      </c>
      <c r="AM29" s="420">
        <v>1</v>
      </c>
      <c r="AN29" t="s">
        <v>17650</v>
      </c>
      <c r="AO29" t="s">
        <v>17651</v>
      </c>
      <c r="AP29" t="s">
        <v>17652</v>
      </c>
      <c r="AQ29" t="s">
        <v>17653</v>
      </c>
      <c r="AR29" t="s">
        <v>1024</v>
      </c>
    </row>
    <row r="30" spans="1:44" x14ac:dyDescent="0.25">
      <c r="A30" t="s">
        <v>16278</v>
      </c>
      <c r="B30" t="s">
        <v>20449</v>
      </c>
      <c r="C30" s="410" t="s">
        <v>1766</v>
      </c>
      <c r="D30" t="s">
        <v>20326</v>
      </c>
      <c r="E30" t="s">
        <v>192</v>
      </c>
      <c r="F30" s="534">
        <v>1</v>
      </c>
      <c r="G30" t="s">
        <v>193</v>
      </c>
      <c r="H30" t="s">
        <v>194</v>
      </c>
      <c r="I30" t="s">
        <v>20338</v>
      </c>
      <c r="J30" t="s">
        <v>9302</v>
      </c>
      <c r="K30" s="28" t="s">
        <v>9309</v>
      </c>
      <c r="L30" t="s">
        <v>6955</v>
      </c>
      <c r="N30" t="s">
        <v>20450</v>
      </c>
      <c r="O30" t="s">
        <v>7531</v>
      </c>
      <c r="P30" t="s">
        <v>20328</v>
      </c>
      <c r="Q30" t="s">
        <v>20329</v>
      </c>
      <c r="R30" t="s">
        <v>20306</v>
      </c>
      <c r="S30" t="s">
        <v>20451</v>
      </c>
      <c r="T30" t="s">
        <v>20452</v>
      </c>
      <c r="W30" t="s">
        <v>1767</v>
      </c>
      <c r="X30" t="s">
        <v>193</v>
      </c>
      <c r="Y30" s="28" t="s">
        <v>9310</v>
      </c>
      <c r="AB30" t="s">
        <v>9311</v>
      </c>
      <c r="AH30" t="s">
        <v>4714</v>
      </c>
      <c r="AI30" t="s">
        <v>20449</v>
      </c>
      <c r="AJ30" s="28" t="str">
        <f t="shared" si="0"/>
        <v>242112</v>
      </c>
      <c r="AK30" s="420">
        <v>1</v>
      </c>
      <c r="AL30" s="420">
        <f t="shared" si="1"/>
        <v>1</v>
      </c>
      <c r="AM30" s="420">
        <v>1</v>
      </c>
      <c r="AN30" t="s">
        <v>17650</v>
      </c>
      <c r="AO30" t="s">
        <v>17651</v>
      </c>
      <c r="AP30" t="s">
        <v>17652</v>
      </c>
      <c r="AQ30" t="s">
        <v>17653</v>
      </c>
      <c r="AR30" t="s">
        <v>1024</v>
      </c>
    </row>
    <row r="31" spans="1:44" x14ac:dyDescent="0.25">
      <c r="A31" t="s">
        <v>10467</v>
      </c>
      <c r="B31" t="s">
        <v>18572</v>
      </c>
      <c r="C31" s="410" t="s">
        <v>1766</v>
      </c>
      <c r="D31" t="s">
        <v>20326</v>
      </c>
      <c r="E31" t="s">
        <v>192</v>
      </c>
      <c r="F31" s="534">
        <v>1</v>
      </c>
      <c r="G31" t="s">
        <v>193</v>
      </c>
      <c r="H31" t="s">
        <v>194</v>
      </c>
      <c r="I31" t="s">
        <v>20338</v>
      </c>
      <c r="J31" t="s">
        <v>9302</v>
      </c>
      <c r="K31" s="28" t="s">
        <v>9309</v>
      </c>
      <c r="L31" t="s">
        <v>6955</v>
      </c>
      <c r="N31" t="s">
        <v>20453</v>
      </c>
      <c r="O31" t="s">
        <v>6921</v>
      </c>
      <c r="P31" t="s">
        <v>20328</v>
      </c>
      <c r="Q31" t="s">
        <v>20329</v>
      </c>
      <c r="R31" t="s">
        <v>20306</v>
      </c>
      <c r="S31" t="s">
        <v>20454</v>
      </c>
      <c r="T31" t="s">
        <v>20455</v>
      </c>
      <c r="W31" t="s">
        <v>1767</v>
      </c>
      <c r="X31" t="s">
        <v>193</v>
      </c>
      <c r="Y31" s="28" t="s">
        <v>9310</v>
      </c>
      <c r="AB31" t="s">
        <v>9311</v>
      </c>
      <c r="AH31" t="s">
        <v>4714</v>
      </c>
      <c r="AI31" t="s">
        <v>18572</v>
      </c>
      <c r="AJ31" s="28" t="str">
        <f t="shared" si="0"/>
        <v>242112</v>
      </c>
      <c r="AK31" s="420">
        <v>1</v>
      </c>
      <c r="AL31" s="420">
        <f t="shared" si="1"/>
        <v>1</v>
      </c>
      <c r="AM31" s="420">
        <v>1</v>
      </c>
      <c r="AN31" t="s">
        <v>17650</v>
      </c>
      <c r="AO31" t="s">
        <v>17651</v>
      </c>
      <c r="AP31" t="s">
        <v>17652</v>
      </c>
      <c r="AQ31" t="s">
        <v>17653</v>
      </c>
      <c r="AR31" t="s">
        <v>1024</v>
      </c>
    </row>
    <row r="32" spans="1:44" x14ac:dyDescent="0.25">
      <c r="A32" t="s">
        <v>1748</v>
      </c>
      <c r="B32" t="s">
        <v>8355</v>
      </c>
      <c r="C32" s="410" t="s">
        <v>1766</v>
      </c>
      <c r="D32" t="s">
        <v>20317</v>
      </c>
      <c r="E32" t="s">
        <v>192</v>
      </c>
      <c r="F32" s="534">
        <v>1</v>
      </c>
      <c r="G32" t="s">
        <v>193</v>
      </c>
      <c r="H32" t="s">
        <v>194</v>
      </c>
      <c r="I32" t="s">
        <v>20318</v>
      </c>
      <c r="J32" t="s">
        <v>9302</v>
      </c>
      <c r="K32" s="28" t="s">
        <v>9309</v>
      </c>
      <c r="L32" t="s">
        <v>6955</v>
      </c>
      <c r="N32" t="s">
        <v>20456</v>
      </c>
      <c r="O32" t="s">
        <v>7531</v>
      </c>
      <c r="P32" t="s">
        <v>20320</v>
      </c>
      <c r="Q32" t="s">
        <v>20321</v>
      </c>
      <c r="R32" t="s">
        <v>20322</v>
      </c>
      <c r="S32" t="s">
        <v>20457</v>
      </c>
      <c r="T32" t="s">
        <v>20458</v>
      </c>
      <c r="W32" t="s">
        <v>1767</v>
      </c>
      <c r="X32" t="s">
        <v>193</v>
      </c>
      <c r="Y32" s="28" t="s">
        <v>9310</v>
      </c>
      <c r="AB32" t="s">
        <v>9311</v>
      </c>
      <c r="AH32" t="s">
        <v>4714</v>
      </c>
      <c r="AI32" t="s">
        <v>8355</v>
      </c>
      <c r="AJ32" s="28" t="str">
        <f t="shared" si="0"/>
        <v>242112</v>
      </c>
      <c r="AK32" s="420">
        <v>1</v>
      </c>
      <c r="AL32" s="420">
        <f t="shared" si="1"/>
        <v>1</v>
      </c>
      <c r="AM32" s="420">
        <v>1</v>
      </c>
      <c r="AN32" t="s">
        <v>17650</v>
      </c>
      <c r="AO32" t="s">
        <v>17651</v>
      </c>
      <c r="AP32" t="s">
        <v>17652</v>
      </c>
      <c r="AQ32" t="s">
        <v>17653</v>
      </c>
      <c r="AR32" t="s">
        <v>1024</v>
      </c>
    </row>
    <row r="33" spans="1:44" x14ac:dyDescent="0.25">
      <c r="A33" t="s">
        <v>10911</v>
      </c>
      <c r="B33" t="s">
        <v>20459</v>
      </c>
      <c r="C33" s="410" t="s">
        <v>1766</v>
      </c>
      <c r="D33" t="s">
        <v>20338</v>
      </c>
      <c r="E33" t="s">
        <v>192</v>
      </c>
      <c r="F33" s="534">
        <v>1</v>
      </c>
      <c r="G33" t="s">
        <v>193</v>
      </c>
      <c r="H33" t="s">
        <v>194</v>
      </c>
      <c r="I33" t="s">
        <v>20310</v>
      </c>
      <c r="J33" t="s">
        <v>9302</v>
      </c>
      <c r="K33" s="28" t="s">
        <v>9309</v>
      </c>
      <c r="L33" t="s">
        <v>6955</v>
      </c>
      <c r="N33" t="s">
        <v>20460</v>
      </c>
      <c r="O33" t="s">
        <v>6327</v>
      </c>
      <c r="P33" t="s">
        <v>20398</v>
      </c>
      <c r="Q33" t="s">
        <v>20399</v>
      </c>
      <c r="R33" t="s">
        <v>20400</v>
      </c>
      <c r="S33" t="s">
        <v>20461</v>
      </c>
      <c r="T33" t="s">
        <v>20462</v>
      </c>
      <c r="W33" t="s">
        <v>1767</v>
      </c>
      <c r="X33" t="s">
        <v>193</v>
      </c>
      <c r="Y33" s="28" t="s">
        <v>9310</v>
      </c>
      <c r="AB33" t="s">
        <v>9311</v>
      </c>
      <c r="AH33" t="s">
        <v>4714</v>
      </c>
      <c r="AI33" t="s">
        <v>20459</v>
      </c>
      <c r="AJ33" s="28" t="str">
        <f t="shared" si="0"/>
        <v>242112</v>
      </c>
      <c r="AK33" s="420">
        <v>1</v>
      </c>
      <c r="AL33" s="420">
        <f t="shared" si="1"/>
        <v>1</v>
      </c>
      <c r="AM33" s="420">
        <v>1</v>
      </c>
      <c r="AN33" t="s">
        <v>17650</v>
      </c>
      <c r="AO33" t="s">
        <v>17651</v>
      </c>
      <c r="AP33" t="s">
        <v>17652</v>
      </c>
      <c r="AQ33" t="s">
        <v>17653</v>
      </c>
      <c r="AR33" t="s">
        <v>1024</v>
      </c>
    </row>
    <row r="34" spans="1:44" x14ac:dyDescent="0.25">
      <c r="A34" t="s">
        <v>16278</v>
      </c>
      <c r="B34" t="s">
        <v>20463</v>
      </c>
      <c r="C34" s="410" t="s">
        <v>1766</v>
      </c>
      <c r="D34" t="s">
        <v>20306</v>
      </c>
      <c r="E34" t="s">
        <v>192</v>
      </c>
      <c r="F34" s="534">
        <v>1</v>
      </c>
      <c r="G34" t="s">
        <v>193</v>
      </c>
      <c r="H34" t="s">
        <v>194</v>
      </c>
      <c r="I34" t="s">
        <v>20441</v>
      </c>
      <c r="J34" t="s">
        <v>9302</v>
      </c>
      <c r="K34" s="28" t="s">
        <v>9309</v>
      </c>
      <c r="L34" t="s">
        <v>6955</v>
      </c>
      <c r="N34" t="s">
        <v>20464</v>
      </c>
      <c r="O34" t="s">
        <v>6295</v>
      </c>
      <c r="P34" t="s">
        <v>20309</v>
      </c>
      <c r="Q34" t="s">
        <v>20310</v>
      </c>
      <c r="R34" t="s">
        <v>20311</v>
      </c>
      <c r="S34" t="s">
        <v>20465</v>
      </c>
      <c r="T34" t="s">
        <v>20466</v>
      </c>
      <c r="W34" t="s">
        <v>1767</v>
      </c>
      <c r="X34" t="s">
        <v>193</v>
      </c>
      <c r="Y34" s="28" t="s">
        <v>9310</v>
      </c>
      <c r="AB34" t="s">
        <v>9311</v>
      </c>
      <c r="AH34" t="s">
        <v>4714</v>
      </c>
      <c r="AI34" t="s">
        <v>20463</v>
      </c>
      <c r="AJ34" s="28" t="str">
        <f t="shared" si="0"/>
        <v>242112</v>
      </c>
      <c r="AK34" s="420">
        <v>1</v>
      </c>
      <c r="AL34" s="420">
        <f t="shared" si="1"/>
        <v>1</v>
      </c>
      <c r="AM34" s="420">
        <v>1</v>
      </c>
      <c r="AN34" t="s">
        <v>17650</v>
      </c>
      <c r="AO34" t="s">
        <v>17651</v>
      </c>
      <c r="AP34" t="s">
        <v>17652</v>
      </c>
      <c r="AQ34" t="s">
        <v>17653</v>
      </c>
      <c r="AR34" t="s">
        <v>1024</v>
      </c>
    </row>
    <row r="35" spans="1:44" x14ac:dyDescent="0.25">
      <c r="A35" t="s">
        <v>2530</v>
      </c>
      <c r="B35" t="s">
        <v>1768</v>
      </c>
      <c r="C35" s="410" t="s">
        <v>420</v>
      </c>
      <c r="D35" t="s">
        <v>20326</v>
      </c>
      <c r="E35" t="s">
        <v>192</v>
      </c>
      <c r="F35" s="534">
        <v>1</v>
      </c>
      <c r="G35" t="s">
        <v>193</v>
      </c>
      <c r="H35" t="s">
        <v>194</v>
      </c>
      <c r="I35" t="s">
        <v>20360</v>
      </c>
      <c r="J35" t="s">
        <v>2532</v>
      </c>
      <c r="K35" s="28" t="s">
        <v>9309</v>
      </c>
      <c r="L35" t="s">
        <v>6955</v>
      </c>
      <c r="N35" t="s">
        <v>20467</v>
      </c>
      <c r="O35" t="s">
        <v>7531</v>
      </c>
      <c r="P35" t="s">
        <v>20328</v>
      </c>
      <c r="Q35" t="s">
        <v>20329</v>
      </c>
      <c r="R35" t="s">
        <v>20306</v>
      </c>
      <c r="S35" t="s">
        <v>20468</v>
      </c>
      <c r="T35" t="s">
        <v>20469</v>
      </c>
      <c r="V35" s="28" t="s">
        <v>9892</v>
      </c>
      <c r="W35" t="s">
        <v>421</v>
      </c>
      <c r="X35" t="s">
        <v>194</v>
      </c>
      <c r="Y35" s="28" t="s">
        <v>9300</v>
      </c>
      <c r="AB35" t="s">
        <v>9311</v>
      </c>
      <c r="AH35" t="s">
        <v>4714</v>
      </c>
      <c r="AI35" t="s">
        <v>1768</v>
      </c>
      <c r="AJ35" s="28" t="str">
        <f t="shared" si="0"/>
        <v>241306</v>
      </c>
      <c r="AK35" s="420">
        <v>1</v>
      </c>
      <c r="AL35" s="420">
        <f t="shared" si="1"/>
        <v>1</v>
      </c>
      <c r="AM35" s="420">
        <v>1</v>
      </c>
      <c r="AN35" t="s">
        <v>17650</v>
      </c>
      <c r="AO35" t="s">
        <v>17651</v>
      </c>
      <c r="AP35" t="s">
        <v>17652</v>
      </c>
      <c r="AQ35" t="s">
        <v>17653</v>
      </c>
      <c r="AR35" t="s">
        <v>1024</v>
      </c>
    </row>
    <row r="36" spans="1:44" x14ac:dyDescent="0.25">
      <c r="A36" t="s">
        <v>1748</v>
      </c>
      <c r="B36" t="s">
        <v>3201</v>
      </c>
      <c r="C36" s="410" t="s">
        <v>420</v>
      </c>
      <c r="D36" t="s">
        <v>20317</v>
      </c>
      <c r="E36" t="s">
        <v>192</v>
      </c>
      <c r="F36" s="534">
        <v>1</v>
      </c>
      <c r="G36" t="s">
        <v>193</v>
      </c>
      <c r="H36" t="s">
        <v>194</v>
      </c>
      <c r="I36" t="s">
        <v>20338</v>
      </c>
      <c r="J36" t="s">
        <v>9302</v>
      </c>
      <c r="K36" s="28" t="s">
        <v>9309</v>
      </c>
      <c r="L36" t="s">
        <v>6955</v>
      </c>
      <c r="N36" t="s">
        <v>20470</v>
      </c>
      <c r="O36" t="s">
        <v>7531</v>
      </c>
      <c r="P36" t="s">
        <v>20320</v>
      </c>
      <c r="Q36" t="s">
        <v>20321</v>
      </c>
      <c r="R36" t="s">
        <v>20322</v>
      </c>
      <c r="S36" t="s">
        <v>20471</v>
      </c>
      <c r="T36" t="s">
        <v>20472</v>
      </c>
      <c r="W36" t="s">
        <v>421</v>
      </c>
      <c r="X36" t="s">
        <v>193</v>
      </c>
      <c r="Y36" s="28" t="s">
        <v>9310</v>
      </c>
      <c r="AB36" t="s">
        <v>9311</v>
      </c>
      <c r="AH36" t="s">
        <v>4714</v>
      </c>
      <c r="AI36" t="s">
        <v>3201</v>
      </c>
      <c r="AJ36" s="28" t="str">
        <f t="shared" si="0"/>
        <v>241306</v>
      </c>
      <c r="AK36" s="420">
        <v>1</v>
      </c>
      <c r="AL36" s="420">
        <f t="shared" si="1"/>
        <v>1</v>
      </c>
      <c r="AM36" s="420">
        <v>1</v>
      </c>
      <c r="AN36" t="s">
        <v>17650</v>
      </c>
      <c r="AO36" t="s">
        <v>17651</v>
      </c>
      <c r="AP36" t="s">
        <v>17652</v>
      </c>
      <c r="AQ36" t="s">
        <v>17653</v>
      </c>
      <c r="AR36" t="s">
        <v>1024</v>
      </c>
    </row>
    <row r="37" spans="1:44" x14ac:dyDescent="0.25">
      <c r="A37" t="s">
        <v>14602</v>
      </c>
      <c r="B37" t="s">
        <v>20473</v>
      </c>
      <c r="C37" s="410" t="s">
        <v>420</v>
      </c>
      <c r="D37" t="s">
        <v>20317</v>
      </c>
      <c r="E37" t="s">
        <v>192</v>
      </c>
      <c r="F37" s="534">
        <v>1</v>
      </c>
      <c r="G37" t="s">
        <v>193</v>
      </c>
      <c r="H37" t="s">
        <v>194</v>
      </c>
      <c r="I37" t="s">
        <v>20338</v>
      </c>
      <c r="J37" t="s">
        <v>253</v>
      </c>
      <c r="K37" s="28" t="s">
        <v>9309</v>
      </c>
      <c r="L37" t="s">
        <v>6955</v>
      </c>
      <c r="N37" t="s">
        <v>20474</v>
      </c>
      <c r="O37" t="s">
        <v>7531</v>
      </c>
      <c r="P37" t="s">
        <v>20320</v>
      </c>
      <c r="Q37" t="s">
        <v>20321</v>
      </c>
      <c r="R37" t="s">
        <v>20322</v>
      </c>
      <c r="S37" t="s">
        <v>20475</v>
      </c>
      <c r="T37" t="s">
        <v>20476</v>
      </c>
      <c r="V37" s="28" t="s">
        <v>9468</v>
      </c>
      <c r="W37" t="s">
        <v>421</v>
      </c>
      <c r="X37" t="s">
        <v>194</v>
      </c>
      <c r="Y37" s="28" t="s">
        <v>9300</v>
      </c>
      <c r="AB37" t="s">
        <v>9311</v>
      </c>
      <c r="AH37" t="s">
        <v>4714</v>
      </c>
      <c r="AI37" t="s">
        <v>20473</v>
      </c>
      <c r="AJ37" s="28" t="str">
        <f t="shared" si="0"/>
        <v>241306</v>
      </c>
      <c r="AK37" s="420">
        <v>1</v>
      </c>
      <c r="AL37" s="420">
        <f t="shared" si="1"/>
        <v>1</v>
      </c>
      <c r="AM37" s="420">
        <v>1</v>
      </c>
      <c r="AN37" t="s">
        <v>17650</v>
      </c>
      <c r="AO37" t="s">
        <v>17651</v>
      </c>
      <c r="AP37" t="s">
        <v>17652</v>
      </c>
      <c r="AQ37" t="s">
        <v>17653</v>
      </c>
      <c r="AR37" t="s">
        <v>1024</v>
      </c>
    </row>
    <row r="38" spans="1:44" x14ac:dyDescent="0.25">
      <c r="A38" t="s">
        <v>13432</v>
      </c>
      <c r="B38" t="s">
        <v>20477</v>
      </c>
      <c r="C38" s="410" t="s">
        <v>420</v>
      </c>
      <c r="D38" t="s">
        <v>20338</v>
      </c>
      <c r="E38" t="s">
        <v>192</v>
      </c>
      <c r="F38" s="534">
        <v>1</v>
      </c>
      <c r="G38" t="s">
        <v>193</v>
      </c>
      <c r="H38" t="s">
        <v>194</v>
      </c>
      <c r="I38" t="s">
        <v>20310</v>
      </c>
      <c r="J38" t="s">
        <v>9302</v>
      </c>
      <c r="K38" s="28" t="s">
        <v>9309</v>
      </c>
      <c r="L38" t="s">
        <v>6955</v>
      </c>
      <c r="N38" t="s">
        <v>20478</v>
      </c>
      <c r="O38" t="s">
        <v>7531</v>
      </c>
      <c r="P38" t="s">
        <v>20398</v>
      </c>
      <c r="Q38" t="s">
        <v>20399</v>
      </c>
      <c r="R38" t="s">
        <v>20400</v>
      </c>
      <c r="S38" t="s">
        <v>20479</v>
      </c>
      <c r="T38" t="s">
        <v>20480</v>
      </c>
      <c r="W38" t="s">
        <v>421</v>
      </c>
      <c r="X38" t="s">
        <v>193</v>
      </c>
      <c r="Y38" s="28" t="s">
        <v>9310</v>
      </c>
      <c r="AB38" t="s">
        <v>9311</v>
      </c>
      <c r="AH38" t="s">
        <v>4714</v>
      </c>
      <c r="AI38" t="s">
        <v>20477</v>
      </c>
      <c r="AJ38" s="28" t="str">
        <f t="shared" si="0"/>
        <v>241306</v>
      </c>
      <c r="AK38" s="420">
        <v>1</v>
      </c>
      <c r="AL38" s="420">
        <f t="shared" si="1"/>
        <v>1</v>
      </c>
      <c r="AM38" s="420">
        <v>1</v>
      </c>
      <c r="AN38" t="s">
        <v>17650</v>
      </c>
      <c r="AO38" t="s">
        <v>17651</v>
      </c>
      <c r="AP38" t="s">
        <v>17652</v>
      </c>
      <c r="AQ38" t="s">
        <v>17653</v>
      </c>
      <c r="AR38" t="s">
        <v>1024</v>
      </c>
    </row>
    <row r="39" spans="1:44" x14ac:dyDescent="0.25">
      <c r="A39" t="s">
        <v>20481</v>
      </c>
      <c r="B39" t="s">
        <v>20482</v>
      </c>
      <c r="C39" s="410" t="s">
        <v>420</v>
      </c>
      <c r="D39" t="s">
        <v>20338</v>
      </c>
      <c r="E39" t="s">
        <v>192</v>
      </c>
      <c r="F39" s="534">
        <v>1</v>
      </c>
      <c r="G39" t="s">
        <v>193</v>
      </c>
      <c r="H39" t="s">
        <v>194</v>
      </c>
      <c r="I39" t="s">
        <v>20483</v>
      </c>
      <c r="J39" t="s">
        <v>9302</v>
      </c>
      <c r="K39" s="28" t="s">
        <v>9309</v>
      </c>
      <c r="L39" t="s">
        <v>6955</v>
      </c>
      <c r="N39" t="s">
        <v>20484</v>
      </c>
      <c r="O39" t="s">
        <v>7531</v>
      </c>
      <c r="P39" t="s">
        <v>20398</v>
      </c>
      <c r="Q39" t="s">
        <v>20399</v>
      </c>
      <c r="R39" t="s">
        <v>20485</v>
      </c>
      <c r="S39" t="s">
        <v>20486</v>
      </c>
      <c r="T39" t="s">
        <v>20487</v>
      </c>
      <c r="W39" t="s">
        <v>421</v>
      </c>
      <c r="X39" t="s">
        <v>193</v>
      </c>
      <c r="Y39" s="28" t="s">
        <v>9310</v>
      </c>
      <c r="AB39" t="s">
        <v>9311</v>
      </c>
      <c r="AH39" t="s">
        <v>4714</v>
      </c>
      <c r="AI39" t="s">
        <v>20482</v>
      </c>
      <c r="AJ39" s="28" t="str">
        <f t="shared" si="0"/>
        <v>241306</v>
      </c>
      <c r="AK39" s="420">
        <v>1</v>
      </c>
      <c r="AL39" s="420">
        <f t="shared" si="1"/>
        <v>1</v>
      </c>
      <c r="AM39" s="420">
        <v>1</v>
      </c>
      <c r="AN39" t="s">
        <v>17650</v>
      </c>
      <c r="AO39" t="s">
        <v>17651</v>
      </c>
      <c r="AP39" t="s">
        <v>17652</v>
      </c>
      <c r="AQ39" t="s">
        <v>17653</v>
      </c>
      <c r="AR39" t="s">
        <v>1024</v>
      </c>
    </row>
    <row r="40" spans="1:44" x14ac:dyDescent="0.25">
      <c r="A40" t="s">
        <v>20488</v>
      </c>
      <c r="B40" t="s">
        <v>20489</v>
      </c>
      <c r="C40" s="410" t="s">
        <v>420</v>
      </c>
      <c r="D40" t="s">
        <v>20338</v>
      </c>
      <c r="E40" t="s">
        <v>192</v>
      </c>
      <c r="F40" s="534">
        <v>1</v>
      </c>
      <c r="G40" t="s">
        <v>193</v>
      </c>
      <c r="H40" t="s">
        <v>194</v>
      </c>
      <c r="I40" t="s">
        <v>20310</v>
      </c>
      <c r="J40" t="s">
        <v>2532</v>
      </c>
      <c r="K40" s="28" t="s">
        <v>9309</v>
      </c>
      <c r="L40" t="s">
        <v>6955</v>
      </c>
      <c r="N40" t="s">
        <v>20490</v>
      </c>
      <c r="O40" t="s">
        <v>6254</v>
      </c>
      <c r="P40" t="s">
        <v>20398</v>
      </c>
      <c r="Q40" t="s">
        <v>20399</v>
      </c>
      <c r="R40" t="s">
        <v>20400</v>
      </c>
      <c r="S40" t="s">
        <v>20491</v>
      </c>
      <c r="T40" t="s">
        <v>20492</v>
      </c>
      <c r="V40" s="28" t="s">
        <v>9892</v>
      </c>
      <c r="W40" t="s">
        <v>421</v>
      </c>
      <c r="X40" t="s">
        <v>194</v>
      </c>
      <c r="Y40" s="28" t="s">
        <v>9300</v>
      </c>
      <c r="AB40" t="s">
        <v>9311</v>
      </c>
      <c r="AH40" t="s">
        <v>4714</v>
      </c>
      <c r="AI40" t="s">
        <v>20489</v>
      </c>
      <c r="AJ40" s="28" t="str">
        <f t="shared" si="0"/>
        <v>241306</v>
      </c>
      <c r="AK40" s="420">
        <v>1</v>
      </c>
      <c r="AL40" s="420">
        <f t="shared" si="1"/>
        <v>1</v>
      </c>
      <c r="AM40" s="420">
        <v>1</v>
      </c>
      <c r="AN40" t="s">
        <v>17650</v>
      </c>
      <c r="AO40" t="s">
        <v>17651</v>
      </c>
      <c r="AP40" t="s">
        <v>17652</v>
      </c>
      <c r="AQ40" t="s">
        <v>17653</v>
      </c>
      <c r="AR40" t="s">
        <v>1024</v>
      </c>
    </row>
    <row r="41" spans="1:44" x14ac:dyDescent="0.25">
      <c r="A41" t="s">
        <v>413</v>
      </c>
      <c r="B41" t="s">
        <v>15281</v>
      </c>
      <c r="C41" s="410" t="s">
        <v>1775</v>
      </c>
      <c r="D41" t="s">
        <v>20326</v>
      </c>
      <c r="E41" t="s">
        <v>192</v>
      </c>
      <c r="F41" s="534">
        <v>1</v>
      </c>
      <c r="G41" t="s">
        <v>193</v>
      </c>
      <c r="H41" t="s">
        <v>194</v>
      </c>
      <c r="I41" t="s">
        <v>20333</v>
      </c>
      <c r="J41" t="s">
        <v>385</v>
      </c>
      <c r="K41" s="28" t="s">
        <v>9309</v>
      </c>
      <c r="L41" t="s">
        <v>6955</v>
      </c>
      <c r="N41" t="s">
        <v>20493</v>
      </c>
      <c r="O41" t="s">
        <v>6286</v>
      </c>
      <c r="P41" t="s">
        <v>20328</v>
      </c>
      <c r="Q41" t="s">
        <v>20329</v>
      </c>
      <c r="R41" t="s">
        <v>20405</v>
      </c>
      <c r="S41" t="s">
        <v>20494</v>
      </c>
      <c r="T41" t="s">
        <v>20495</v>
      </c>
      <c r="V41" s="28" t="s">
        <v>9410</v>
      </c>
      <c r="W41" t="s">
        <v>1777</v>
      </c>
      <c r="X41" t="s">
        <v>194</v>
      </c>
      <c r="Y41" s="28" t="s">
        <v>9300</v>
      </c>
      <c r="AB41" t="s">
        <v>9311</v>
      </c>
      <c r="AH41" t="s">
        <v>4714</v>
      </c>
      <c r="AI41" t="s">
        <v>15281</v>
      </c>
      <c r="AJ41" s="28" t="str">
        <f t="shared" si="0"/>
        <v>241302</v>
      </c>
      <c r="AK41" s="420">
        <v>1</v>
      </c>
      <c r="AL41" s="420">
        <f t="shared" si="1"/>
        <v>1</v>
      </c>
      <c r="AM41" s="420">
        <v>1</v>
      </c>
      <c r="AN41" t="s">
        <v>17650</v>
      </c>
      <c r="AO41" t="s">
        <v>17651</v>
      </c>
      <c r="AP41" t="s">
        <v>17652</v>
      </c>
      <c r="AQ41" t="s">
        <v>17653</v>
      </c>
      <c r="AR41" t="s">
        <v>1024</v>
      </c>
    </row>
    <row r="42" spans="1:44" x14ac:dyDescent="0.25">
      <c r="A42" t="s">
        <v>413</v>
      </c>
      <c r="B42" t="s">
        <v>11182</v>
      </c>
      <c r="C42" s="410" t="s">
        <v>1775</v>
      </c>
      <c r="D42" t="s">
        <v>20326</v>
      </c>
      <c r="E42" t="s">
        <v>192</v>
      </c>
      <c r="F42" s="534">
        <v>1</v>
      </c>
      <c r="G42" t="s">
        <v>193</v>
      </c>
      <c r="H42" t="s">
        <v>194</v>
      </c>
      <c r="I42" t="s">
        <v>20333</v>
      </c>
      <c r="J42" t="s">
        <v>210</v>
      </c>
      <c r="K42" s="28" t="s">
        <v>9309</v>
      </c>
      <c r="L42" t="s">
        <v>6955</v>
      </c>
      <c r="N42" t="s">
        <v>20496</v>
      </c>
      <c r="O42" t="s">
        <v>6286</v>
      </c>
      <c r="P42" t="s">
        <v>20328</v>
      </c>
      <c r="Q42" t="s">
        <v>20329</v>
      </c>
      <c r="R42" t="s">
        <v>20405</v>
      </c>
      <c r="S42" t="s">
        <v>20497</v>
      </c>
      <c r="T42" t="s">
        <v>20498</v>
      </c>
      <c r="V42" s="28" t="s">
        <v>9334</v>
      </c>
      <c r="W42" t="s">
        <v>1777</v>
      </c>
      <c r="X42" t="s">
        <v>194</v>
      </c>
      <c r="Y42" s="28" t="s">
        <v>9300</v>
      </c>
      <c r="AB42" t="s">
        <v>9311</v>
      </c>
      <c r="AH42" t="s">
        <v>4714</v>
      </c>
      <c r="AI42" t="s">
        <v>11182</v>
      </c>
      <c r="AJ42" s="28" t="str">
        <f t="shared" si="0"/>
        <v>241302</v>
      </c>
      <c r="AK42" s="420">
        <v>1</v>
      </c>
      <c r="AL42" s="420">
        <f t="shared" si="1"/>
        <v>1</v>
      </c>
      <c r="AM42" s="420">
        <v>1</v>
      </c>
      <c r="AN42" t="s">
        <v>17650</v>
      </c>
      <c r="AO42" t="s">
        <v>17651</v>
      </c>
      <c r="AP42" t="s">
        <v>17652</v>
      </c>
      <c r="AQ42" t="s">
        <v>17653</v>
      </c>
      <c r="AR42" t="s">
        <v>1024</v>
      </c>
    </row>
    <row r="43" spans="1:44" x14ac:dyDescent="0.25">
      <c r="A43" t="s">
        <v>20499</v>
      </c>
      <c r="B43" t="s">
        <v>20500</v>
      </c>
      <c r="C43" s="410" t="s">
        <v>1775</v>
      </c>
      <c r="D43" t="s">
        <v>20317</v>
      </c>
      <c r="E43" t="s">
        <v>192</v>
      </c>
      <c r="F43" s="534">
        <v>1</v>
      </c>
      <c r="G43" t="s">
        <v>193</v>
      </c>
      <c r="H43" t="s">
        <v>194</v>
      </c>
      <c r="I43" t="s">
        <v>20333</v>
      </c>
      <c r="J43" t="s">
        <v>210</v>
      </c>
      <c r="K43" s="28" t="s">
        <v>9309</v>
      </c>
      <c r="L43" t="s">
        <v>6955</v>
      </c>
      <c r="N43" t="s">
        <v>20501</v>
      </c>
      <c r="O43" t="s">
        <v>7531</v>
      </c>
      <c r="P43" t="s">
        <v>20320</v>
      </c>
      <c r="Q43" t="s">
        <v>20321</v>
      </c>
      <c r="R43" t="s">
        <v>20322</v>
      </c>
      <c r="S43" t="s">
        <v>20502</v>
      </c>
      <c r="T43" t="s">
        <v>20503</v>
      </c>
      <c r="V43" s="28" t="s">
        <v>9334</v>
      </c>
      <c r="W43" t="s">
        <v>1777</v>
      </c>
      <c r="X43" t="s">
        <v>194</v>
      </c>
      <c r="Y43" s="28" t="s">
        <v>9300</v>
      </c>
      <c r="AB43" t="s">
        <v>9311</v>
      </c>
      <c r="AH43" t="s">
        <v>4714</v>
      </c>
      <c r="AI43" t="s">
        <v>20500</v>
      </c>
      <c r="AJ43" s="28" t="str">
        <f t="shared" si="0"/>
        <v>241302</v>
      </c>
      <c r="AK43" s="420">
        <v>1</v>
      </c>
      <c r="AL43" s="420">
        <f t="shared" si="1"/>
        <v>1</v>
      </c>
      <c r="AM43" s="420">
        <v>1</v>
      </c>
      <c r="AN43" t="s">
        <v>17650</v>
      </c>
      <c r="AO43" t="s">
        <v>17651</v>
      </c>
      <c r="AP43" t="s">
        <v>17652</v>
      </c>
      <c r="AQ43" t="s">
        <v>17653</v>
      </c>
      <c r="AR43" t="s">
        <v>1024</v>
      </c>
    </row>
    <row r="44" spans="1:44" x14ac:dyDescent="0.25">
      <c r="A44" t="s">
        <v>1748</v>
      </c>
      <c r="B44" t="s">
        <v>10755</v>
      </c>
      <c r="C44" s="410" t="s">
        <v>6050</v>
      </c>
      <c r="D44" t="s">
        <v>20317</v>
      </c>
      <c r="E44" t="s">
        <v>192</v>
      </c>
      <c r="F44" s="534">
        <v>1</v>
      </c>
      <c r="G44" t="s">
        <v>193</v>
      </c>
      <c r="H44" t="s">
        <v>194</v>
      </c>
      <c r="I44" t="s">
        <v>20333</v>
      </c>
      <c r="J44" t="s">
        <v>9302</v>
      </c>
      <c r="K44" s="28" t="s">
        <v>9309</v>
      </c>
      <c r="L44" t="s">
        <v>6955</v>
      </c>
      <c r="N44" t="s">
        <v>20504</v>
      </c>
      <c r="O44" t="s">
        <v>6295</v>
      </c>
      <c r="P44" t="s">
        <v>20320</v>
      </c>
      <c r="Q44" t="s">
        <v>20321</v>
      </c>
      <c r="R44" t="s">
        <v>20322</v>
      </c>
      <c r="S44" t="s">
        <v>20505</v>
      </c>
      <c r="T44" t="s">
        <v>20506</v>
      </c>
      <c r="W44" t="s">
        <v>6052</v>
      </c>
      <c r="X44" t="s">
        <v>193</v>
      </c>
      <c r="Y44" s="28" t="s">
        <v>9310</v>
      </c>
      <c r="AB44" t="s">
        <v>9311</v>
      </c>
      <c r="AH44" t="s">
        <v>4714</v>
      </c>
      <c r="AI44" t="s">
        <v>10755</v>
      </c>
      <c r="AJ44" s="28" t="str">
        <f t="shared" si="0"/>
        <v>251101</v>
      </c>
      <c r="AK44" s="420">
        <v>1</v>
      </c>
      <c r="AL44" s="420">
        <f t="shared" si="1"/>
        <v>1</v>
      </c>
      <c r="AM44" s="420">
        <v>1</v>
      </c>
      <c r="AN44" t="s">
        <v>17650</v>
      </c>
      <c r="AO44" t="s">
        <v>17651</v>
      </c>
      <c r="AP44" t="s">
        <v>17652</v>
      </c>
      <c r="AQ44" t="s">
        <v>17653</v>
      </c>
      <c r="AR44" t="s">
        <v>1024</v>
      </c>
    </row>
    <row r="45" spans="1:44" x14ac:dyDescent="0.25">
      <c r="A45" t="s">
        <v>16775</v>
      </c>
      <c r="B45" t="s">
        <v>20507</v>
      </c>
      <c r="C45" s="410" t="s">
        <v>3315</v>
      </c>
      <c r="D45" t="s">
        <v>20326</v>
      </c>
      <c r="E45" t="s">
        <v>233</v>
      </c>
      <c r="F45" s="534">
        <v>1</v>
      </c>
      <c r="G45" t="s">
        <v>193</v>
      </c>
      <c r="H45" t="s">
        <v>194</v>
      </c>
      <c r="I45" t="s">
        <v>20360</v>
      </c>
      <c r="J45" t="s">
        <v>9302</v>
      </c>
      <c r="K45" s="28" t="s">
        <v>9309</v>
      </c>
      <c r="L45" t="s">
        <v>6955</v>
      </c>
      <c r="N45" t="s">
        <v>20508</v>
      </c>
      <c r="O45" t="s">
        <v>6256</v>
      </c>
      <c r="P45" t="s">
        <v>20509</v>
      </c>
      <c r="Q45" t="s">
        <v>20510</v>
      </c>
      <c r="R45" t="s">
        <v>20318</v>
      </c>
      <c r="S45" t="s">
        <v>20511</v>
      </c>
      <c r="T45" t="s">
        <v>20512</v>
      </c>
      <c r="W45" t="s">
        <v>3317</v>
      </c>
      <c r="X45" t="s">
        <v>193</v>
      </c>
      <c r="Y45" s="28" t="s">
        <v>9310</v>
      </c>
      <c r="AB45" t="s">
        <v>9311</v>
      </c>
      <c r="AH45" t="s">
        <v>4714</v>
      </c>
      <c r="AI45" t="s">
        <v>20507</v>
      </c>
      <c r="AJ45" s="28" t="str">
        <f t="shared" si="0"/>
        <v>216101</v>
      </c>
      <c r="AK45" s="420">
        <v>1</v>
      </c>
      <c r="AL45" s="420">
        <f t="shared" si="1"/>
        <v>1</v>
      </c>
      <c r="AM45" s="420">
        <v>1</v>
      </c>
      <c r="AN45" t="s">
        <v>17650</v>
      </c>
      <c r="AO45" t="s">
        <v>17651</v>
      </c>
      <c r="AP45" t="s">
        <v>17652</v>
      </c>
      <c r="AQ45" t="s">
        <v>17653</v>
      </c>
      <c r="AR45" t="s">
        <v>1024</v>
      </c>
    </row>
    <row r="46" spans="1:44" x14ac:dyDescent="0.25">
      <c r="A46" t="s">
        <v>20513</v>
      </c>
      <c r="B46" t="s">
        <v>20514</v>
      </c>
      <c r="C46" s="410" t="s">
        <v>3315</v>
      </c>
      <c r="D46" t="s">
        <v>20326</v>
      </c>
      <c r="E46" t="s">
        <v>192</v>
      </c>
      <c r="F46" s="534">
        <v>1</v>
      </c>
      <c r="G46" t="s">
        <v>193</v>
      </c>
      <c r="H46" t="s">
        <v>194</v>
      </c>
      <c r="I46" t="s">
        <v>20333</v>
      </c>
      <c r="J46" t="s">
        <v>9302</v>
      </c>
      <c r="K46" s="28" t="s">
        <v>9309</v>
      </c>
      <c r="L46" t="s">
        <v>6955</v>
      </c>
      <c r="N46" t="s">
        <v>20515</v>
      </c>
      <c r="O46" t="s">
        <v>6324</v>
      </c>
      <c r="P46" t="s">
        <v>20328</v>
      </c>
      <c r="Q46" t="s">
        <v>20329</v>
      </c>
      <c r="R46" t="s">
        <v>20306</v>
      </c>
      <c r="S46" t="s">
        <v>20516</v>
      </c>
      <c r="T46" t="s">
        <v>20517</v>
      </c>
      <c r="W46" t="s">
        <v>3317</v>
      </c>
      <c r="X46" t="s">
        <v>193</v>
      </c>
      <c r="Y46" s="28" t="s">
        <v>9310</v>
      </c>
      <c r="AB46" t="s">
        <v>9311</v>
      </c>
      <c r="AH46" t="s">
        <v>4714</v>
      </c>
      <c r="AI46" t="s">
        <v>20514</v>
      </c>
      <c r="AJ46" s="28" t="str">
        <f t="shared" si="0"/>
        <v>216101</v>
      </c>
      <c r="AK46" s="420">
        <v>1</v>
      </c>
      <c r="AL46" s="420">
        <f t="shared" si="1"/>
        <v>1</v>
      </c>
      <c r="AM46" s="420">
        <v>1</v>
      </c>
      <c r="AN46" t="s">
        <v>17650</v>
      </c>
      <c r="AO46" t="s">
        <v>17651</v>
      </c>
      <c r="AP46" t="s">
        <v>17652</v>
      </c>
      <c r="AQ46" t="s">
        <v>17653</v>
      </c>
      <c r="AR46" t="s">
        <v>1024</v>
      </c>
    </row>
    <row r="47" spans="1:44" x14ac:dyDescent="0.25">
      <c r="A47" t="s">
        <v>20518</v>
      </c>
      <c r="B47" t="s">
        <v>20519</v>
      </c>
      <c r="C47" s="410" t="s">
        <v>20520</v>
      </c>
      <c r="D47" t="s">
        <v>20360</v>
      </c>
      <c r="E47" t="s">
        <v>233</v>
      </c>
      <c r="F47" s="534">
        <v>1</v>
      </c>
      <c r="G47" t="s">
        <v>193</v>
      </c>
      <c r="H47" t="s">
        <v>194</v>
      </c>
      <c r="I47" t="s">
        <v>20405</v>
      </c>
      <c r="J47" t="s">
        <v>9302</v>
      </c>
      <c r="K47" s="28" t="s">
        <v>9309</v>
      </c>
      <c r="L47" t="s">
        <v>6955</v>
      </c>
      <c r="N47" t="s">
        <v>20521</v>
      </c>
      <c r="O47" t="s">
        <v>6261</v>
      </c>
      <c r="P47" t="s">
        <v>20522</v>
      </c>
      <c r="Q47" t="s">
        <v>20422</v>
      </c>
      <c r="R47" t="s">
        <v>20483</v>
      </c>
      <c r="S47" t="s">
        <v>20523</v>
      </c>
      <c r="T47" t="s">
        <v>20524</v>
      </c>
      <c r="W47" t="s">
        <v>20525</v>
      </c>
      <c r="X47" t="s">
        <v>193</v>
      </c>
      <c r="Y47" s="28" t="s">
        <v>9310</v>
      </c>
      <c r="AB47" t="s">
        <v>9311</v>
      </c>
      <c r="AH47" t="s">
        <v>4714</v>
      </c>
      <c r="AI47" t="s">
        <v>20519</v>
      </c>
      <c r="AJ47" s="28" t="str">
        <f t="shared" si="0"/>
        <v>251301</v>
      </c>
      <c r="AK47" s="420">
        <v>1</v>
      </c>
      <c r="AL47" s="420">
        <f t="shared" si="1"/>
        <v>1</v>
      </c>
      <c r="AM47" s="420">
        <v>1</v>
      </c>
      <c r="AN47" t="s">
        <v>17650</v>
      </c>
      <c r="AO47" t="s">
        <v>17651</v>
      </c>
      <c r="AP47" t="s">
        <v>17652</v>
      </c>
      <c r="AQ47" t="s">
        <v>17653</v>
      </c>
      <c r="AR47" t="s">
        <v>1024</v>
      </c>
    </row>
    <row r="48" spans="1:44" x14ac:dyDescent="0.25">
      <c r="A48" t="s">
        <v>20526</v>
      </c>
      <c r="B48" t="s">
        <v>20527</v>
      </c>
      <c r="C48" s="410" t="s">
        <v>384</v>
      </c>
      <c r="D48" t="s">
        <v>20338</v>
      </c>
      <c r="E48" t="s">
        <v>192</v>
      </c>
      <c r="F48" s="534">
        <v>1</v>
      </c>
      <c r="G48" t="s">
        <v>193</v>
      </c>
      <c r="H48" t="s">
        <v>194</v>
      </c>
      <c r="I48" t="s">
        <v>20310</v>
      </c>
      <c r="J48" t="s">
        <v>210</v>
      </c>
      <c r="K48" s="28" t="s">
        <v>9309</v>
      </c>
      <c r="L48" t="s">
        <v>6955</v>
      </c>
      <c r="N48" t="s">
        <v>20528</v>
      </c>
      <c r="O48" t="s">
        <v>6245</v>
      </c>
      <c r="P48" t="s">
        <v>20398</v>
      </c>
      <c r="Q48" t="s">
        <v>20399</v>
      </c>
      <c r="R48" t="s">
        <v>20400</v>
      </c>
      <c r="S48" t="s">
        <v>20529</v>
      </c>
      <c r="T48" t="s">
        <v>20530</v>
      </c>
      <c r="V48" s="28" t="s">
        <v>9334</v>
      </c>
      <c r="W48" t="s">
        <v>386</v>
      </c>
      <c r="X48" t="s">
        <v>194</v>
      </c>
      <c r="Y48" s="28" t="s">
        <v>9300</v>
      </c>
      <c r="AB48" t="s">
        <v>9311</v>
      </c>
      <c r="AH48" t="s">
        <v>4714</v>
      </c>
      <c r="AI48" t="s">
        <v>20527</v>
      </c>
      <c r="AJ48" s="28" t="str">
        <f t="shared" si="0"/>
        <v>216102</v>
      </c>
      <c r="AK48" s="420">
        <v>1</v>
      </c>
      <c r="AL48" s="420">
        <f t="shared" si="1"/>
        <v>1</v>
      </c>
      <c r="AM48" s="420">
        <v>1</v>
      </c>
      <c r="AN48" t="s">
        <v>17650</v>
      </c>
      <c r="AO48" t="s">
        <v>17651</v>
      </c>
      <c r="AP48" t="s">
        <v>17652</v>
      </c>
      <c r="AQ48" t="s">
        <v>17653</v>
      </c>
      <c r="AR48" t="s">
        <v>1024</v>
      </c>
    </row>
    <row r="49" spans="1:44" x14ac:dyDescent="0.25">
      <c r="A49" t="s">
        <v>1490</v>
      </c>
      <c r="B49" t="s">
        <v>20531</v>
      </c>
      <c r="C49" s="410" t="s">
        <v>106</v>
      </c>
      <c r="D49" t="s">
        <v>20326</v>
      </c>
      <c r="E49" t="s">
        <v>192</v>
      </c>
      <c r="F49" s="534">
        <v>1</v>
      </c>
      <c r="G49" t="s">
        <v>193</v>
      </c>
      <c r="H49" t="s">
        <v>194</v>
      </c>
      <c r="I49" t="s">
        <v>20338</v>
      </c>
      <c r="J49" t="s">
        <v>575</v>
      </c>
      <c r="K49" s="28" t="s">
        <v>9309</v>
      </c>
      <c r="L49" t="s">
        <v>6955</v>
      </c>
      <c r="N49" t="s">
        <v>20532</v>
      </c>
      <c r="O49" t="s">
        <v>6286</v>
      </c>
      <c r="P49" t="s">
        <v>20328</v>
      </c>
      <c r="Q49" t="s">
        <v>20329</v>
      </c>
      <c r="R49" t="s">
        <v>20306</v>
      </c>
      <c r="S49" t="s">
        <v>20533</v>
      </c>
      <c r="T49" t="s">
        <v>20534</v>
      </c>
      <c r="V49" s="28" t="s">
        <v>9726</v>
      </c>
      <c r="W49" t="s">
        <v>1783</v>
      </c>
      <c r="X49" t="s">
        <v>194</v>
      </c>
      <c r="Y49" s="28" t="s">
        <v>9300</v>
      </c>
      <c r="AB49" t="s">
        <v>9311</v>
      </c>
      <c r="AH49" t="s">
        <v>4714</v>
      </c>
      <c r="AI49" t="s">
        <v>20531</v>
      </c>
      <c r="AJ49" s="28" t="str">
        <f t="shared" si="0"/>
        <v>334302</v>
      </c>
      <c r="AK49" s="420">
        <v>1</v>
      </c>
      <c r="AL49" s="420">
        <f t="shared" si="1"/>
        <v>1</v>
      </c>
      <c r="AM49" s="420">
        <v>1</v>
      </c>
      <c r="AN49" t="s">
        <v>17650</v>
      </c>
      <c r="AO49" t="s">
        <v>17651</v>
      </c>
      <c r="AP49" t="s">
        <v>17652</v>
      </c>
      <c r="AQ49" t="s">
        <v>17653</v>
      </c>
      <c r="AR49" t="s">
        <v>1024</v>
      </c>
    </row>
    <row r="50" spans="1:44" x14ac:dyDescent="0.25">
      <c r="A50" t="s">
        <v>1748</v>
      </c>
      <c r="B50" t="s">
        <v>20535</v>
      </c>
      <c r="C50" s="410" t="s">
        <v>521</v>
      </c>
      <c r="D50" t="s">
        <v>20317</v>
      </c>
      <c r="E50" t="s">
        <v>192</v>
      </c>
      <c r="F50" s="534">
        <v>1</v>
      </c>
      <c r="G50" t="s">
        <v>193</v>
      </c>
      <c r="H50" t="s">
        <v>194</v>
      </c>
      <c r="I50" t="s">
        <v>20338</v>
      </c>
      <c r="J50" t="s">
        <v>210</v>
      </c>
      <c r="K50" s="28" t="s">
        <v>9309</v>
      </c>
      <c r="L50" t="s">
        <v>6955</v>
      </c>
      <c r="N50" t="s">
        <v>20536</v>
      </c>
      <c r="O50" t="s">
        <v>6921</v>
      </c>
      <c r="P50" t="s">
        <v>20320</v>
      </c>
      <c r="Q50" t="s">
        <v>20321</v>
      </c>
      <c r="R50" t="s">
        <v>20322</v>
      </c>
      <c r="S50" t="s">
        <v>20537</v>
      </c>
      <c r="T50" t="s">
        <v>20538</v>
      </c>
      <c r="V50" s="28" t="s">
        <v>9334</v>
      </c>
      <c r="W50" t="s">
        <v>522</v>
      </c>
      <c r="X50" t="s">
        <v>194</v>
      </c>
      <c r="Y50" s="28" t="s">
        <v>9300</v>
      </c>
      <c r="AB50" t="s">
        <v>9311</v>
      </c>
      <c r="AH50" t="s">
        <v>4714</v>
      </c>
      <c r="AI50" t="s">
        <v>20535</v>
      </c>
      <c r="AJ50" s="28" t="str">
        <f t="shared" si="0"/>
        <v>261901</v>
      </c>
      <c r="AK50" s="420">
        <v>1</v>
      </c>
      <c r="AL50" s="420">
        <f t="shared" si="1"/>
        <v>1</v>
      </c>
      <c r="AM50" s="420">
        <v>1</v>
      </c>
      <c r="AN50" t="s">
        <v>17650</v>
      </c>
      <c r="AO50" t="s">
        <v>17651</v>
      </c>
      <c r="AP50" t="s">
        <v>17652</v>
      </c>
      <c r="AQ50" t="s">
        <v>17653</v>
      </c>
      <c r="AR50" t="s">
        <v>1024</v>
      </c>
    </row>
    <row r="51" spans="1:44" x14ac:dyDescent="0.25">
      <c r="A51" t="s">
        <v>17184</v>
      </c>
      <c r="B51" t="s">
        <v>20539</v>
      </c>
      <c r="C51" s="410" t="s">
        <v>15861</v>
      </c>
      <c r="D51" t="s">
        <v>20338</v>
      </c>
      <c r="E51" t="s">
        <v>233</v>
      </c>
      <c r="F51" s="534">
        <v>1</v>
      </c>
      <c r="G51" t="s">
        <v>193</v>
      </c>
      <c r="H51" t="s">
        <v>194</v>
      </c>
      <c r="I51" t="s">
        <v>20310</v>
      </c>
      <c r="J51" t="s">
        <v>253</v>
      </c>
      <c r="K51" s="28" t="s">
        <v>9309</v>
      </c>
      <c r="L51" t="s">
        <v>6955</v>
      </c>
      <c r="N51" t="s">
        <v>20540</v>
      </c>
      <c r="O51" t="s">
        <v>6286</v>
      </c>
      <c r="P51" t="s">
        <v>20541</v>
      </c>
      <c r="Q51" t="s">
        <v>20389</v>
      </c>
      <c r="R51" t="s">
        <v>20542</v>
      </c>
      <c r="S51" t="s">
        <v>20543</v>
      </c>
      <c r="T51" t="s">
        <v>20544</v>
      </c>
      <c r="V51" s="28" t="s">
        <v>9468</v>
      </c>
      <c r="W51" t="s">
        <v>1790</v>
      </c>
      <c r="X51" t="s">
        <v>194</v>
      </c>
      <c r="Y51" s="28" t="s">
        <v>9300</v>
      </c>
      <c r="AB51" t="s">
        <v>9311</v>
      </c>
      <c r="AH51" t="s">
        <v>4714</v>
      </c>
      <c r="AI51" t="s">
        <v>20539</v>
      </c>
      <c r="AJ51" s="28" t="str">
        <f t="shared" si="0"/>
        <v>334304</v>
      </c>
      <c r="AK51" s="420">
        <v>1</v>
      </c>
      <c r="AL51" s="420">
        <f t="shared" si="1"/>
        <v>1</v>
      </c>
      <c r="AM51" s="420">
        <v>1</v>
      </c>
      <c r="AN51" t="s">
        <v>17650</v>
      </c>
      <c r="AO51" t="s">
        <v>17651</v>
      </c>
      <c r="AP51" t="s">
        <v>17652</v>
      </c>
      <c r="AQ51" t="s">
        <v>17653</v>
      </c>
      <c r="AR51" t="s">
        <v>1024</v>
      </c>
    </row>
    <row r="52" spans="1:44" x14ac:dyDescent="0.25">
      <c r="A52" t="s">
        <v>20435</v>
      </c>
      <c r="B52" t="s">
        <v>20545</v>
      </c>
      <c r="C52" s="410" t="s">
        <v>15861</v>
      </c>
      <c r="D52" t="s">
        <v>20306</v>
      </c>
      <c r="E52" t="s">
        <v>192</v>
      </c>
      <c r="F52" s="534">
        <v>1</v>
      </c>
      <c r="G52" t="s">
        <v>193</v>
      </c>
      <c r="H52" t="s">
        <v>194</v>
      </c>
      <c r="I52" t="s">
        <v>20437</v>
      </c>
      <c r="J52" t="s">
        <v>9302</v>
      </c>
      <c r="K52" s="28" t="s">
        <v>9309</v>
      </c>
      <c r="L52" t="s">
        <v>6955</v>
      </c>
      <c r="N52" t="s">
        <v>20546</v>
      </c>
      <c r="O52" t="s">
        <v>6295</v>
      </c>
      <c r="P52" t="s">
        <v>20309</v>
      </c>
      <c r="Q52" t="s">
        <v>20310</v>
      </c>
      <c r="R52" t="s">
        <v>20311</v>
      </c>
      <c r="S52" t="s">
        <v>20547</v>
      </c>
      <c r="T52" t="s">
        <v>20548</v>
      </c>
      <c r="W52" t="s">
        <v>1790</v>
      </c>
      <c r="X52" t="s">
        <v>193</v>
      </c>
      <c r="Y52" s="28" t="s">
        <v>9310</v>
      </c>
      <c r="AB52" t="s">
        <v>9311</v>
      </c>
      <c r="AH52" t="s">
        <v>4714</v>
      </c>
      <c r="AI52" t="s">
        <v>20545</v>
      </c>
      <c r="AJ52" s="28" t="str">
        <f t="shared" si="0"/>
        <v>334304</v>
      </c>
      <c r="AK52" s="420">
        <v>1</v>
      </c>
      <c r="AL52" s="420">
        <f t="shared" si="1"/>
        <v>1</v>
      </c>
      <c r="AM52" s="420">
        <v>1</v>
      </c>
      <c r="AN52" t="s">
        <v>17650</v>
      </c>
      <c r="AO52" t="s">
        <v>17651</v>
      </c>
      <c r="AP52" t="s">
        <v>17652</v>
      </c>
      <c r="AQ52" t="s">
        <v>17653</v>
      </c>
      <c r="AR52" t="s">
        <v>1024</v>
      </c>
    </row>
    <row r="53" spans="1:44" x14ac:dyDescent="0.25">
      <c r="A53" t="s">
        <v>10076</v>
      </c>
      <c r="B53" t="s">
        <v>20549</v>
      </c>
      <c r="C53" s="410" t="s">
        <v>15861</v>
      </c>
      <c r="D53" t="s">
        <v>20306</v>
      </c>
      <c r="E53" t="s">
        <v>192</v>
      </c>
      <c r="F53" s="534">
        <v>1</v>
      </c>
      <c r="G53" t="s">
        <v>193</v>
      </c>
      <c r="H53" t="s">
        <v>194</v>
      </c>
      <c r="I53" t="s">
        <v>20441</v>
      </c>
      <c r="J53" t="s">
        <v>9302</v>
      </c>
      <c r="K53" s="28" t="s">
        <v>9309</v>
      </c>
      <c r="L53" t="s">
        <v>6955</v>
      </c>
      <c r="N53" t="s">
        <v>20550</v>
      </c>
      <c r="O53" t="s">
        <v>7531</v>
      </c>
      <c r="P53" t="s">
        <v>20309</v>
      </c>
      <c r="Q53" t="s">
        <v>20310</v>
      </c>
      <c r="R53" t="s">
        <v>20311</v>
      </c>
      <c r="S53" t="s">
        <v>20551</v>
      </c>
      <c r="T53" t="s">
        <v>20552</v>
      </c>
      <c r="W53" t="s">
        <v>1790</v>
      </c>
      <c r="X53" t="s">
        <v>193</v>
      </c>
      <c r="Y53" s="28" t="s">
        <v>9310</v>
      </c>
      <c r="AB53" t="s">
        <v>9311</v>
      </c>
      <c r="AH53" t="s">
        <v>4714</v>
      </c>
      <c r="AI53" t="s">
        <v>20549</v>
      </c>
      <c r="AJ53" s="28" t="str">
        <f t="shared" si="0"/>
        <v>334304</v>
      </c>
      <c r="AK53" s="420">
        <v>1</v>
      </c>
      <c r="AL53" s="420">
        <f t="shared" si="1"/>
        <v>1</v>
      </c>
      <c r="AM53" s="420">
        <v>1</v>
      </c>
      <c r="AN53" t="s">
        <v>17650</v>
      </c>
      <c r="AO53" t="s">
        <v>17651</v>
      </c>
      <c r="AP53" t="s">
        <v>17652</v>
      </c>
      <c r="AQ53" t="s">
        <v>17653</v>
      </c>
      <c r="AR53" t="s">
        <v>1024</v>
      </c>
    </row>
    <row r="54" spans="1:44" x14ac:dyDescent="0.25">
      <c r="A54" t="s">
        <v>1748</v>
      </c>
      <c r="B54" t="s">
        <v>20553</v>
      </c>
      <c r="C54" s="410" t="s">
        <v>17092</v>
      </c>
      <c r="D54" t="s">
        <v>20326</v>
      </c>
      <c r="E54" t="s">
        <v>192</v>
      </c>
      <c r="F54" s="534">
        <v>1</v>
      </c>
      <c r="G54" t="s">
        <v>194</v>
      </c>
      <c r="H54" t="s">
        <v>193</v>
      </c>
      <c r="I54" t="s">
        <v>20318</v>
      </c>
      <c r="J54" t="s">
        <v>210</v>
      </c>
      <c r="K54" s="28" t="s">
        <v>9309</v>
      </c>
      <c r="L54" t="s">
        <v>6955</v>
      </c>
      <c r="N54" t="s">
        <v>20554</v>
      </c>
      <c r="O54" t="s">
        <v>7531</v>
      </c>
      <c r="P54" t="s">
        <v>20328</v>
      </c>
      <c r="Q54" t="s">
        <v>20329</v>
      </c>
      <c r="R54" t="s">
        <v>20306</v>
      </c>
      <c r="S54" t="s">
        <v>20555</v>
      </c>
      <c r="T54" t="s">
        <v>20556</v>
      </c>
      <c r="V54" s="28" t="s">
        <v>9334</v>
      </c>
      <c r="W54" t="s">
        <v>1800</v>
      </c>
      <c r="X54" t="s">
        <v>194</v>
      </c>
      <c r="Y54" s="28" t="s">
        <v>9300</v>
      </c>
      <c r="AB54" t="s">
        <v>9311</v>
      </c>
      <c r="AH54" t="s">
        <v>5109</v>
      </c>
      <c r="AI54" t="s">
        <v>20553</v>
      </c>
      <c r="AJ54" s="28" t="str">
        <f t="shared" si="0"/>
        <v>242204</v>
      </c>
      <c r="AK54" s="420">
        <v>1</v>
      </c>
      <c r="AL54" s="420">
        <f t="shared" si="1"/>
        <v>1</v>
      </c>
      <c r="AM54" s="420">
        <v>1</v>
      </c>
      <c r="AN54" t="s">
        <v>17650</v>
      </c>
      <c r="AO54" t="s">
        <v>17651</v>
      </c>
      <c r="AP54" t="s">
        <v>17652</v>
      </c>
      <c r="AQ54" t="s">
        <v>17653</v>
      </c>
      <c r="AR54" t="s">
        <v>1024</v>
      </c>
    </row>
    <row r="55" spans="1:44" x14ac:dyDescent="0.25">
      <c r="A55" t="s">
        <v>14602</v>
      </c>
      <c r="B55" t="s">
        <v>20557</v>
      </c>
      <c r="C55" s="410" t="s">
        <v>17092</v>
      </c>
      <c r="D55" t="s">
        <v>20317</v>
      </c>
      <c r="E55" t="s">
        <v>192</v>
      </c>
      <c r="F55" s="534">
        <v>1</v>
      </c>
      <c r="G55" t="s">
        <v>193</v>
      </c>
      <c r="H55" t="s">
        <v>194</v>
      </c>
      <c r="I55" t="s">
        <v>20338</v>
      </c>
      <c r="J55" t="s">
        <v>253</v>
      </c>
      <c r="K55" s="28" t="s">
        <v>9309</v>
      </c>
      <c r="L55" t="s">
        <v>6955</v>
      </c>
      <c r="N55" t="s">
        <v>20558</v>
      </c>
      <c r="O55" t="s">
        <v>7531</v>
      </c>
      <c r="P55" t="s">
        <v>20320</v>
      </c>
      <c r="Q55" t="s">
        <v>20321</v>
      </c>
      <c r="R55" t="s">
        <v>20322</v>
      </c>
      <c r="S55" t="s">
        <v>20559</v>
      </c>
      <c r="T55" t="s">
        <v>20560</v>
      </c>
      <c r="V55" s="28" t="s">
        <v>9468</v>
      </c>
      <c r="W55" t="s">
        <v>1800</v>
      </c>
      <c r="X55" t="s">
        <v>194</v>
      </c>
      <c r="Y55" s="28" t="s">
        <v>9300</v>
      </c>
      <c r="AB55" t="s">
        <v>9311</v>
      </c>
      <c r="AH55" t="s">
        <v>4714</v>
      </c>
      <c r="AI55" t="s">
        <v>20557</v>
      </c>
      <c r="AJ55" s="28" t="str">
        <f t="shared" si="0"/>
        <v>242204</v>
      </c>
      <c r="AK55" s="420">
        <v>1</v>
      </c>
      <c r="AL55" s="420">
        <f t="shared" si="1"/>
        <v>1</v>
      </c>
      <c r="AM55" s="420">
        <v>1</v>
      </c>
      <c r="AN55" t="s">
        <v>17650</v>
      </c>
      <c r="AO55" t="s">
        <v>17651</v>
      </c>
      <c r="AP55" t="s">
        <v>17652</v>
      </c>
      <c r="AQ55" t="s">
        <v>17653</v>
      </c>
      <c r="AR55" t="s">
        <v>1024</v>
      </c>
    </row>
    <row r="56" spans="1:44" x14ac:dyDescent="0.25">
      <c r="A56" t="s">
        <v>20561</v>
      </c>
      <c r="B56" t="s">
        <v>20562</v>
      </c>
      <c r="C56" s="410" t="s">
        <v>20563</v>
      </c>
      <c r="D56" t="s">
        <v>20317</v>
      </c>
      <c r="E56" t="s">
        <v>233</v>
      </c>
      <c r="F56" s="534">
        <v>1</v>
      </c>
      <c r="G56" t="s">
        <v>194</v>
      </c>
      <c r="H56" t="s">
        <v>193</v>
      </c>
      <c r="I56" t="s">
        <v>20399</v>
      </c>
      <c r="J56" t="s">
        <v>9302</v>
      </c>
      <c r="K56" s="28" t="s">
        <v>9309</v>
      </c>
      <c r="L56" t="s">
        <v>6955</v>
      </c>
      <c r="N56" t="s">
        <v>20564</v>
      </c>
      <c r="O56" t="s">
        <v>6256</v>
      </c>
      <c r="P56" t="s">
        <v>20565</v>
      </c>
      <c r="Q56" t="s">
        <v>20566</v>
      </c>
      <c r="R56" t="s">
        <v>20567</v>
      </c>
      <c r="S56" t="s">
        <v>20568</v>
      </c>
      <c r="T56" t="s">
        <v>20569</v>
      </c>
      <c r="W56" t="s">
        <v>20570</v>
      </c>
      <c r="X56" t="s">
        <v>194</v>
      </c>
      <c r="Y56" s="28" t="s">
        <v>9946</v>
      </c>
      <c r="AB56" t="s">
        <v>9311</v>
      </c>
      <c r="AH56" t="s">
        <v>4714</v>
      </c>
      <c r="AI56" t="s">
        <v>20562</v>
      </c>
      <c r="AJ56" s="28" t="str">
        <f t="shared" si="0"/>
        <v>711402</v>
      </c>
      <c r="AK56" s="420">
        <v>1</v>
      </c>
      <c r="AL56" s="420">
        <f t="shared" si="1"/>
        <v>1</v>
      </c>
      <c r="AM56" s="420">
        <v>1</v>
      </c>
      <c r="AN56" t="s">
        <v>17650</v>
      </c>
      <c r="AO56" t="s">
        <v>17651</v>
      </c>
      <c r="AP56" t="s">
        <v>17652</v>
      </c>
      <c r="AQ56" t="s">
        <v>17653</v>
      </c>
      <c r="AR56" t="s">
        <v>1024</v>
      </c>
    </row>
    <row r="57" spans="1:44" x14ac:dyDescent="0.25">
      <c r="A57" t="s">
        <v>17602</v>
      </c>
      <c r="B57" t="s">
        <v>20571</v>
      </c>
      <c r="C57" s="410" t="s">
        <v>20563</v>
      </c>
      <c r="D57" t="s">
        <v>20338</v>
      </c>
      <c r="E57" t="s">
        <v>233</v>
      </c>
      <c r="F57" s="534">
        <v>1</v>
      </c>
      <c r="G57" t="s">
        <v>194</v>
      </c>
      <c r="H57" t="s">
        <v>193</v>
      </c>
      <c r="I57" t="s">
        <v>20310</v>
      </c>
      <c r="J57" t="s">
        <v>9302</v>
      </c>
      <c r="K57" s="28" t="s">
        <v>9309</v>
      </c>
      <c r="L57" t="s">
        <v>6955</v>
      </c>
      <c r="N57" t="s">
        <v>20572</v>
      </c>
      <c r="O57" t="s">
        <v>6256</v>
      </c>
      <c r="P57" t="s">
        <v>20541</v>
      </c>
      <c r="Q57" t="s">
        <v>20389</v>
      </c>
      <c r="R57" t="s">
        <v>20400</v>
      </c>
      <c r="S57" t="s">
        <v>20573</v>
      </c>
      <c r="T57" t="s">
        <v>20574</v>
      </c>
      <c r="W57" t="s">
        <v>20570</v>
      </c>
      <c r="X57" t="s">
        <v>193</v>
      </c>
      <c r="Y57" s="28" t="s">
        <v>9310</v>
      </c>
      <c r="AB57" t="s">
        <v>9311</v>
      </c>
      <c r="AH57" t="s">
        <v>4714</v>
      </c>
      <c r="AI57" t="s">
        <v>20571</v>
      </c>
      <c r="AJ57" s="28" t="str">
        <f t="shared" si="0"/>
        <v>711402</v>
      </c>
      <c r="AK57" s="420">
        <v>1</v>
      </c>
      <c r="AL57" s="420">
        <f t="shared" si="1"/>
        <v>1</v>
      </c>
      <c r="AM57" s="420">
        <v>1</v>
      </c>
      <c r="AN57" t="s">
        <v>17650</v>
      </c>
      <c r="AO57" t="s">
        <v>17651</v>
      </c>
      <c r="AP57" t="s">
        <v>17652</v>
      </c>
      <c r="AQ57" t="s">
        <v>17653</v>
      </c>
      <c r="AR57" t="s">
        <v>1024</v>
      </c>
    </row>
    <row r="58" spans="1:44" x14ac:dyDescent="0.25">
      <c r="A58" t="s">
        <v>20575</v>
      </c>
      <c r="B58" t="s">
        <v>20576</v>
      </c>
      <c r="C58" s="410" t="s">
        <v>280</v>
      </c>
      <c r="D58" t="s">
        <v>20326</v>
      </c>
      <c r="E58" t="s">
        <v>233</v>
      </c>
      <c r="F58" s="534">
        <v>1</v>
      </c>
      <c r="G58" t="s">
        <v>193</v>
      </c>
      <c r="H58" t="s">
        <v>194</v>
      </c>
      <c r="I58" t="s">
        <v>20360</v>
      </c>
      <c r="J58" t="s">
        <v>9302</v>
      </c>
      <c r="K58" s="28" t="s">
        <v>9309</v>
      </c>
      <c r="L58" t="s">
        <v>6955</v>
      </c>
      <c r="N58" t="s">
        <v>20577</v>
      </c>
      <c r="O58" t="s">
        <v>6295</v>
      </c>
      <c r="P58" t="s">
        <v>20509</v>
      </c>
      <c r="Q58" t="s">
        <v>4849</v>
      </c>
      <c r="R58" t="s">
        <v>7703</v>
      </c>
      <c r="S58" t="s">
        <v>20578</v>
      </c>
      <c r="T58" t="s">
        <v>20579</v>
      </c>
      <c r="W58" t="s">
        <v>281</v>
      </c>
      <c r="X58" t="s">
        <v>193</v>
      </c>
      <c r="Y58" s="28" t="s">
        <v>9310</v>
      </c>
      <c r="AB58" t="s">
        <v>9311</v>
      </c>
      <c r="AH58" t="s">
        <v>4714</v>
      </c>
      <c r="AI58" t="s">
        <v>20576</v>
      </c>
      <c r="AJ58" s="28" t="str">
        <f t="shared" si="0"/>
        <v>213105</v>
      </c>
      <c r="AK58" s="420">
        <v>1</v>
      </c>
      <c r="AL58" s="420">
        <f t="shared" si="1"/>
        <v>1</v>
      </c>
      <c r="AM58" s="420">
        <v>1</v>
      </c>
      <c r="AN58" t="s">
        <v>17650</v>
      </c>
      <c r="AO58" t="s">
        <v>17651</v>
      </c>
      <c r="AP58" t="s">
        <v>17652</v>
      </c>
      <c r="AQ58" t="s">
        <v>17653</v>
      </c>
      <c r="AR58" t="s">
        <v>1024</v>
      </c>
    </row>
    <row r="59" spans="1:44" x14ac:dyDescent="0.25">
      <c r="A59" t="s">
        <v>20580</v>
      </c>
      <c r="B59" t="s">
        <v>2512</v>
      </c>
      <c r="C59" s="410" t="s">
        <v>17486</v>
      </c>
      <c r="D59" t="s">
        <v>20317</v>
      </c>
      <c r="E59" t="s">
        <v>192</v>
      </c>
      <c r="F59" s="534">
        <v>1</v>
      </c>
      <c r="G59" t="s">
        <v>193</v>
      </c>
      <c r="H59" t="s">
        <v>194</v>
      </c>
      <c r="I59" t="s">
        <v>20318</v>
      </c>
      <c r="J59" t="s">
        <v>9302</v>
      </c>
      <c r="K59" s="28" t="s">
        <v>9309</v>
      </c>
      <c r="L59" t="s">
        <v>6955</v>
      </c>
      <c r="N59" t="s">
        <v>20581</v>
      </c>
      <c r="O59" t="s">
        <v>6295</v>
      </c>
      <c r="P59" t="s">
        <v>20320</v>
      </c>
      <c r="Q59" t="s">
        <v>20321</v>
      </c>
      <c r="R59" t="s">
        <v>20322</v>
      </c>
      <c r="S59" t="s">
        <v>20582</v>
      </c>
      <c r="T59" t="s">
        <v>20583</v>
      </c>
      <c r="W59" t="s">
        <v>17484</v>
      </c>
      <c r="X59" t="s">
        <v>193</v>
      </c>
      <c r="Y59" s="28" t="s">
        <v>9310</v>
      </c>
      <c r="AB59" t="s">
        <v>9311</v>
      </c>
      <c r="AH59" t="s">
        <v>4714</v>
      </c>
      <c r="AI59" t="s">
        <v>2512</v>
      </c>
      <c r="AJ59" s="28" t="str">
        <f t="shared" si="0"/>
        <v>213106</v>
      </c>
      <c r="AK59" s="420">
        <v>1</v>
      </c>
      <c r="AL59" s="420">
        <f t="shared" si="1"/>
        <v>1</v>
      </c>
      <c r="AM59" s="420">
        <v>1</v>
      </c>
      <c r="AN59" t="s">
        <v>17650</v>
      </c>
      <c r="AO59" t="s">
        <v>17651</v>
      </c>
      <c r="AP59" t="s">
        <v>17652</v>
      </c>
      <c r="AQ59" t="s">
        <v>17653</v>
      </c>
      <c r="AR59" t="s">
        <v>1024</v>
      </c>
    </row>
    <row r="60" spans="1:44" x14ac:dyDescent="0.25">
      <c r="A60" t="s">
        <v>1647</v>
      </c>
      <c r="B60" t="s">
        <v>5509</v>
      </c>
      <c r="C60" s="410" t="s">
        <v>617</v>
      </c>
      <c r="D60" t="s">
        <v>20338</v>
      </c>
      <c r="E60" t="s">
        <v>233</v>
      </c>
      <c r="F60" s="534">
        <v>1</v>
      </c>
      <c r="G60" t="s">
        <v>193</v>
      </c>
      <c r="H60" t="s">
        <v>194</v>
      </c>
      <c r="I60" t="s">
        <v>20405</v>
      </c>
      <c r="J60" t="s">
        <v>9302</v>
      </c>
      <c r="K60" s="28" t="s">
        <v>9309</v>
      </c>
      <c r="L60" t="s">
        <v>6955</v>
      </c>
      <c r="N60" t="s">
        <v>20584</v>
      </c>
      <c r="O60" t="s">
        <v>6254</v>
      </c>
      <c r="P60" t="s">
        <v>20541</v>
      </c>
      <c r="Q60" t="s">
        <v>20389</v>
      </c>
      <c r="R60" t="s">
        <v>20542</v>
      </c>
      <c r="S60" t="s">
        <v>20585</v>
      </c>
      <c r="T60" t="s">
        <v>20586</v>
      </c>
      <c r="W60" t="s">
        <v>618</v>
      </c>
      <c r="X60" t="s">
        <v>193</v>
      </c>
      <c r="Y60" s="28" t="s">
        <v>9310</v>
      </c>
      <c r="AB60" t="s">
        <v>9311</v>
      </c>
      <c r="AH60" t="s">
        <v>4714</v>
      </c>
      <c r="AI60" t="s">
        <v>5509</v>
      </c>
      <c r="AJ60" s="28" t="str">
        <f t="shared" si="0"/>
        <v>332104</v>
      </c>
      <c r="AK60" s="420">
        <v>1</v>
      </c>
      <c r="AL60" s="420">
        <f t="shared" si="1"/>
        <v>1</v>
      </c>
      <c r="AM60" s="420">
        <v>1</v>
      </c>
      <c r="AN60" t="s">
        <v>17650</v>
      </c>
      <c r="AO60" t="s">
        <v>17651</v>
      </c>
      <c r="AP60" t="s">
        <v>17652</v>
      </c>
      <c r="AQ60" t="s">
        <v>17653</v>
      </c>
      <c r="AR60" t="s">
        <v>1024</v>
      </c>
    </row>
    <row r="61" spans="1:44" x14ac:dyDescent="0.25">
      <c r="A61" t="s">
        <v>5585</v>
      </c>
      <c r="B61" t="s">
        <v>20587</v>
      </c>
      <c r="C61" s="410" t="s">
        <v>273</v>
      </c>
      <c r="D61" t="s">
        <v>20306</v>
      </c>
      <c r="E61" t="s">
        <v>192</v>
      </c>
      <c r="F61" s="534">
        <v>1</v>
      </c>
      <c r="G61" t="s">
        <v>193</v>
      </c>
      <c r="H61" t="s">
        <v>194</v>
      </c>
      <c r="I61" t="s">
        <v>20307</v>
      </c>
      <c r="J61" t="s">
        <v>385</v>
      </c>
      <c r="K61" s="28" t="s">
        <v>9309</v>
      </c>
      <c r="L61" t="s">
        <v>6955</v>
      </c>
      <c r="N61" t="s">
        <v>20588</v>
      </c>
      <c r="O61" t="s">
        <v>6295</v>
      </c>
      <c r="P61" t="s">
        <v>20309</v>
      </c>
      <c r="Q61" t="s">
        <v>20310</v>
      </c>
      <c r="R61" t="s">
        <v>20311</v>
      </c>
      <c r="S61" t="s">
        <v>20589</v>
      </c>
      <c r="T61" t="s">
        <v>20590</v>
      </c>
      <c r="V61" s="28" t="s">
        <v>9410</v>
      </c>
      <c r="W61" t="s">
        <v>274</v>
      </c>
      <c r="X61" t="s">
        <v>194</v>
      </c>
      <c r="Y61" s="28" t="s">
        <v>9300</v>
      </c>
      <c r="AB61" t="s">
        <v>9311</v>
      </c>
      <c r="AH61" t="s">
        <v>4714</v>
      </c>
      <c r="AI61" t="s">
        <v>20587</v>
      </c>
      <c r="AJ61" s="28" t="str">
        <f t="shared" si="0"/>
        <v>211301</v>
      </c>
      <c r="AK61" s="420">
        <v>1</v>
      </c>
      <c r="AL61" s="420">
        <f t="shared" si="1"/>
        <v>1</v>
      </c>
      <c r="AM61" s="420">
        <v>1</v>
      </c>
      <c r="AN61" t="s">
        <v>17650</v>
      </c>
      <c r="AO61" t="s">
        <v>17651</v>
      </c>
      <c r="AP61" t="s">
        <v>17652</v>
      </c>
      <c r="AQ61" t="s">
        <v>17653</v>
      </c>
      <c r="AR61" t="s">
        <v>1024</v>
      </c>
    </row>
    <row r="62" spans="1:44" x14ac:dyDescent="0.25">
      <c r="A62" t="s">
        <v>3335</v>
      </c>
      <c r="B62" t="s">
        <v>4455</v>
      </c>
      <c r="C62" s="410" t="s">
        <v>81</v>
      </c>
      <c r="D62" t="s">
        <v>20326</v>
      </c>
      <c r="E62" t="s">
        <v>192</v>
      </c>
      <c r="F62" s="534">
        <v>1</v>
      </c>
      <c r="G62" t="s">
        <v>193</v>
      </c>
      <c r="H62" t="s">
        <v>194</v>
      </c>
      <c r="I62" t="s">
        <v>20333</v>
      </c>
      <c r="J62" t="s">
        <v>210</v>
      </c>
      <c r="K62" s="28" t="s">
        <v>9309</v>
      </c>
      <c r="L62" t="s">
        <v>6955</v>
      </c>
      <c r="N62" t="s">
        <v>20591</v>
      </c>
      <c r="O62" t="s">
        <v>6254</v>
      </c>
      <c r="P62" t="s">
        <v>20328</v>
      </c>
      <c r="Q62" t="s">
        <v>20329</v>
      </c>
      <c r="R62" t="s">
        <v>20306</v>
      </c>
      <c r="S62" t="s">
        <v>20592</v>
      </c>
      <c r="T62" t="s">
        <v>20593</v>
      </c>
      <c r="V62" s="28" t="s">
        <v>9334</v>
      </c>
      <c r="W62" t="s">
        <v>402</v>
      </c>
      <c r="X62" t="s">
        <v>194</v>
      </c>
      <c r="Y62" s="28" t="s">
        <v>9300</v>
      </c>
      <c r="AB62" t="s">
        <v>9311</v>
      </c>
      <c r="AH62" t="s">
        <v>4714</v>
      </c>
      <c r="AI62" t="s">
        <v>4455</v>
      </c>
      <c r="AJ62" s="28" t="str">
        <f t="shared" si="0"/>
        <v>241205</v>
      </c>
      <c r="AK62" s="420">
        <v>1</v>
      </c>
      <c r="AL62" s="420">
        <f t="shared" si="1"/>
        <v>1</v>
      </c>
      <c r="AM62" s="420">
        <v>1</v>
      </c>
      <c r="AN62" t="s">
        <v>17650</v>
      </c>
      <c r="AO62" t="s">
        <v>17651</v>
      </c>
      <c r="AP62" t="s">
        <v>17652</v>
      </c>
      <c r="AQ62" t="s">
        <v>17653</v>
      </c>
      <c r="AR62" t="s">
        <v>1024</v>
      </c>
    </row>
    <row r="63" spans="1:44" x14ac:dyDescent="0.25">
      <c r="A63" t="s">
        <v>780</v>
      </c>
      <c r="B63" t="s">
        <v>537</v>
      </c>
      <c r="C63" s="410" t="s">
        <v>778</v>
      </c>
      <c r="D63" t="s">
        <v>20326</v>
      </c>
      <c r="E63" t="s">
        <v>233</v>
      </c>
      <c r="F63" s="534">
        <v>1</v>
      </c>
      <c r="G63" t="s">
        <v>193</v>
      </c>
      <c r="H63" t="s">
        <v>194</v>
      </c>
      <c r="I63" t="s">
        <v>20360</v>
      </c>
      <c r="J63" t="s">
        <v>747</v>
      </c>
      <c r="K63" s="28" t="s">
        <v>9309</v>
      </c>
      <c r="L63" t="s">
        <v>6955</v>
      </c>
      <c r="N63" t="s">
        <v>20594</v>
      </c>
      <c r="O63" t="s">
        <v>6254</v>
      </c>
      <c r="P63" t="s">
        <v>20595</v>
      </c>
      <c r="Q63" t="s">
        <v>20373</v>
      </c>
      <c r="R63" t="s">
        <v>20596</v>
      </c>
      <c r="S63" t="s">
        <v>20597</v>
      </c>
      <c r="T63" t="s">
        <v>20598</v>
      </c>
      <c r="V63" s="28" t="s">
        <v>10397</v>
      </c>
      <c r="W63" t="s">
        <v>779</v>
      </c>
      <c r="X63" t="s">
        <v>194</v>
      </c>
      <c r="Y63" s="28" t="s">
        <v>9300</v>
      </c>
      <c r="AB63" t="s">
        <v>9311</v>
      </c>
      <c r="AH63" t="s">
        <v>4714</v>
      </c>
      <c r="AI63" t="s">
        <v>778</v>
      </c>
      <c r="AJ63" s="28" t="str">
        <f t="shared" si="0"/>
        <v>524902</v>
      </c>
      <c r="AK63" s="420">
        <v>1</v>
      </c>
      <c r="AL63" s="420">
        <f t="shared" si="1"/>
        <v>1</v>
      </c>
      <c r="AM63" s="420">
        <v>1</v>
      </c>
      <c r="AN63" t="s">
        <v>17650</v>
      </c>
      <c r="AO63" t="s">
        <v>17651</v>
      </c>
      <c r="AP63" t="s">
        <v>17652</v>
      </c>
      <c r="AQ63" t="s">
        <v>17653</v>
      </c>
      <c r="AR63" t="s">
        <v>1024</v>
      </c>
    </row>
    <row r="64" spans="1:44" x14ac:dyDescent="0.25">
      <c r="A64" t="s">
        <v>258</v>
      </c>
      <c r="B64" t="s">
        <v>7677</v>
      </c>
      <c r="C64" s="410" t="s">
        <v>778</v>
      </c>
      <c r="D64" t="s">
        <v>20326</v>
      </c>
      <c r="E64" t="s">
        <v>217</v>
      </c>
      <c r="F64" s="534">
        <v>1</v>
      </c>
      <c r="G64" t="s">
        <v>193</v>
      </c>
      <c r="H64" t="s">
        <v>194</v>
      </c>
      <c r="I64" t="s">
        <v>20360</v>
      </c>
      <c r="J64" t="s">
        <v>223</v>
      </c>
      <c r="K64" s="28" t="s">
        <v>9309</v>
      </c>
      <c r="L64" t="s">
        <v>6955</v>
      </c>
      <c r="N64" t="s">
        <v>20599</v>
      </c>
      <c r="O64" t="s">
        <v>6251</v>
      </c>
      <c r="P64" t="s">
        <v>20595</v>
      </c>
      <c r="Q64" t="s">
        <v>20600</v>
      </c>
      <c r="R64" t="s">
        <v>20601</v>
      </c>
      <c r="S64" t="s">
        <v>20602</v>
      </c>
      <c r="T64" t="s">
        <v>20603</v>
      </c>
      <c r="V64" s="28" t="s">
        <v>11163</v>
      </c>
      <c r="W64" t="s">
        <v>779</v>
      </c>
      <c r="X64" t="s">
        <v>194</v>
      </c>
      <c r="Y64" s="28" t="s">
        <v>9300</v>
      </c>
      <c r="AB64" t="s">
        <v>9311</v>
      </c>
      <c r="AH64" t="s">
        <v>4714</v>
      </c>
      <c r="AI64" t="s">
        <v>778</v>
      </c>
      <c r="AJ64" s="28" t="str">
        <f t="shared" si="0"/>
        <v>524902</v>
      </c>
      <c r="AK64" s="420">
        <v>1</v>
      </c>
      <c r="AL64" s="420">
        <f t="shared" si="1"/>
        <v>1</v>
      </c>
      <c r="AM64" s="420">
        <v>1</v>
      </c>
      <c r="AN64" t="s">
        <v>17650</v>
      </c>
      <c r="AO64" t="s">
        <v>17651</v>
      </c>
      <c r="AP64" t="s">
        <v>17652</v>
      </c>
      <c r="AQ64" t="s">
        <v>17653</v>
      </c>
      <c r="AR64" t="s">
        <v>1024</v>
      </c>
    </row>
    <row r="65" spans="1:44" x14ac:dyDescent="0.25">
      <c r="A65" t="s">
        <v>258</v>
      </c>
      <c r="B65" t="s">
        <v>778</v>
      </c>
      <c r="C65" s="410" t="s">
        <v>778</v>
      </c>
      <c r="D65" t="s">
        <v>20326</v>
      </c>
      <c r="E65" t="s">
        <v>192</v>
      </c>
      <c r="F65" s="534">
        <v>1</v>
      </c>
      <c r="G65" t="s">
        <v>193</v>
      </c>
      <c r="H65" t="s">
        <v>194</v>
      </c>
      <c r="I65" t="s">
        <v>20399</v>
      </c>
      <c r="J65" t="s">
        <v>316</v>
      </c>
      <c r="K65" s="28" t="s">
        <v>9309</v>
      </c>
      <c r="L65" t="s">
        <v>6955</v>
      </c>
      <c r="N65" t="s">
        <v>20604</v>
      </c>
      <c r="O65" t="s">
        <v>6249</v>
      </c>
      <c r="P65" t="s">
        <v>20328</v>
      </c>
      <c r="Q65" t="s">
        <v>20329</v>
      </c>
      <c r="R65" t="s">
        <v>20306</v>
      </c>
      <c r="S65" t="s">
        <v>20605</v>
      </c>
      <c r="T65" t="s">
        <v>20606</v>
      </c>
      <c r="V65" s="28" t="s">
        <v>10012</v>
      </c>
      <c r="W65" t="s">
        <v>779</v>
      </c>
      <c r="X65" t="s">
        <v>194</v>
      </c>
      <c r="Y65" s="28" t="s">
        <v>9300</v>
      </c>
      <c r="AB65" t="s">
        <v>9311</v>
      </c>
      <c r="AH65" t="s">
        <v>4714</v>
      </c>
      <c r="AI65" t="s">
        <v>778</v>
      </c>
      <c r="AJ65" s="28" t="str">
        <f t="shared" si="0"/>
        <v>524902</v>
      </c>
      <c r="AK65" s="420">
        <v>1</v>
      </c>
      <c r="AL65" s="420">
        <f t="shared" si="1"/>
        <v>1</v>
      </c>
      <c r="AM65" s="420">
        <v>1</v>
      </c>
      <c r="AN65" t="s">
        <v>17650</v>
      </c>
      <c r="AO65" t="s">
        <v>17651</v>
      </c>
      <c r="AP65" t="s">
        <v>17652</v>
      </c>
      <c r="AQ65" t="s">
        <v>17653</v>
      </c>
      <c r="AR65" t="s">
        <v>1024</v>
      </c>
    </row>
    <row r="66" spans="1:44" x14ac:dyDescent="0.25">
      <c r="A66" t="s">
        <v>258</v>
      </c>
      <c r="B66" t="s">
        <v>7677</v>
      </c>
      <c r="C66" s="410" t="s">
        <v>778</v>
      </c>
      <c r="D66" t="s">
        <v>20317</v>
      </c>
      <c r="E66" t="s">
        <v>217</v>
      </c>
      <c r="F66" s="534">
        <v>1</v>
      </c>
      <c r="G66" t="s">
        <v>193</v>
      </c>
      <c r="H66" t="s">
        <v>194</v>
      </c>
      <c r="I66" t="s">
        <v>20360</v>
      </c>
      <c r="J66" t="s">
        <v>223</v>
      </c>
      <c r="K66" s="28" t="s">
        <v>9309</v>
      </c>
      <c r="L66" t="s">
        <v>6955</v>
      </c>
      <c r="N66" t="s">
        <v>20599</v>
      </c>
      <c r="O66" t="s">
        <v>6251</v>
      </c>
      <c r="P66" t="s">
        <v>20362</v>
      </c>
      <c r="Q66" t="s">
        <v>20600</v>
      </c>
      <c r="R66" t="s">
        <v>20601</v>
      </c>
      <c r="S66" t="s">
        <v>20607</v>
      </c>
      <c r="T66" t="s">
        <v>20608</v>
      </c>
      <c r="V66" s="28" t="s">
        <v>11163</v>
      </c>
      <c r="W66" t="s">
        <v>779</v>
      </c>
      <c r="X66" t="s">
        <v>194</v>
      </c>
      <c r="Y66" s="28" t="s">
        <v>9300</v>
      </c>
      <c r="AB66" t="s">
        <v>9311</v>
      </c>
      <c r="AH66" t="s">
        <v>4714</v>
      </c>
      <c r="AI66" t="s">
        <v>778</v>
      </c>
      <c r="AJ66" s="28" t="str">
        <f t="shared" si="0"/>
        <v>524902</v>
      </c>
      <c r="AK66" s="420">
        <v>1</v>
      </c>
      <c r="AL66" s="420">
        <f t="shared" si="1"/>
        <v>1</v>
      </c>
      <c r="AM66" s="420">
        <v>1</v>
      </c>
      <c r="AN66" t="s">
        <v>17650</v>
      </c>
      <c r="AO66" t="s">
        <v>17651</v>
      </c>
      <c r="AP66" t="s">
        <v>17652</v>
      </c>
      <c r="AQ66" t="s">
        <v>17653</v>
      </c>
      <c r="AR66" t="s">
        <v>1024</v>
      </c>
    </row>
    <row r="67" spans="1:44" x14ac:dyDescent="0.25">
      <c r="A67" t="s">
        <v>1721</v>
      </c>
      <c r="B67" t="s">
        <v>537</v>
      </c>
      <c r="C67" s="410" t="s">
        <v>778</v>
      </c>
      <c r="D67" t="s">
        <v>20317</v>
      </c>
      <c r="E67" t="s">
        <v>192</v>
      </c>
      <c r="F67" s="534">
        <v>1</v>
      </c>
      <c r="G67" t="s">
        <v>193</v>
      </c>
      <c r="H67" t="s">
        <v>194</v>
      </c>
      <c r="I67" t="s">
        <v>20399</v>
      </c>
      <c r="J67" t="s">
        <v>276</v>
      </c>
      <c r="K67" s="28" t="s">
        <v>9309</v>
      </c>
      <c r="L67" t="s">
        <v>6955</v>
      </c>
      <c r="N67" t="s">
        <v>20609</v>
      </c>
      <c r="O67" t="s">
        <v>6251</v>
      </c>
      <c r="P67" t="s">
        <v>20362</v>
      </c>
      <c r="Q67" t="s">
        <v>20321</v>
      </c>
      <c r="R67" t="s">
        <v>20322</v>
      </c>
      <c r="S67" t="s">
        <v>20610</v>
      </c>
      <c r="T67" t="s">
        <v>20611</v>
      </c>
      <c r="V67" s="28" t="s">
        <v>9786</v>
      </c>
      <c r="W67" t="s">
        <v>779</v>
      </c>
      <c r="X67" t="s">
        <v>194</v>
      </c>
      <c r="Y67" s="28" t="s">
        <v>9300</v>
      </c>
      <c r="AB67" t="s">
        <v>9311</v>
      </c>
      <c r="AH67" t="s">
        <v>4714</v>
      </c>
      <c r="AI67" t="s">
        <v>778</v>
      </c>
      <c r="AJ67" s="28" t="str">
        <f t="shared" ref="AJ67:AJ130" si="2">MID(W67,8,6)</f>
        <v>524902</v>
      </c>
      <c r="AK67" s="420">
        <v>1</v>
      </c>
      <c r="AL67" s="420">
        <f t="shared" ref="AL67:AL130" si="3">F67</f>
        <v>1</v>
      </c>
      <c r="AM67" s="420">
        <v>1</v>
      </c>
      <c r="AN67" t="s">
        <v>17650</v>
      </c>
      <c r="AO67" t="s">
        <v>17651</v>
      </c>
      <c r="AP67" t="s">
        <v>17652</v>
      </c>
      <c r="AQ67" t="s">
        <v>17653</v>
      </c>
      <c r="AR67" t="s">
        <v>1024</v>
      </c>
    </row>
    <row r="68" spans="1:44" x14ac:dyDescent="0.25">
      <c r="A68" t="s">
        <v>1721</v>
      </c>
      <c r="B68" t="s">
        <v>537</v>
      </c>
      <c r="C68" s="410" t="s">
        <v>778</v>
      </c>
      <c r="D68" t="s">
        <v>20317</v>
      </c>
      <c r="E68" t="s">
        <v>192</v>
      </c>
      <c r="F68" s="534">
        <v>1</v>
      </c>
      <c r="G68" t="s">
        <v>193</v>
      </c>
      <c r="H68" t="s">
        <v>194</v>
      </c>
      <c r="I68" t="s">
        <v>20399</v>
      </c>
      <c r="J68" t="s">
        <v>210</v>
      </c>
      <c r="K68" s="28" t="s">
        <v>9309</v>
      </c>
      <c r="L68" t="s">
        <v>6955</v>
      </c>
      <c r="N68" t="s">
        <v>20612</v>
      </c>
      <c r="O68" t="s">
        <v>6251</v>
      </c>
      <c r="P68" t="s">
        <v>20362</v>
      </c>
      <c r="Q68" t="s">
        <v>20321</v>
      </c>
      <c r="R68" t="s">
        <v>20322</v>
      </c>
      <c r="S68" t="s">
        <v>20613</v>
      </c>
      <c r="T68" t="s">
        <v>20614</v>
      </c>
      <c r="V68" s="28" t="s">
        <v>9334</v>
      </c>
      <c r="W68" t="s">
        <v>779</v>
      </c>
      <c r="X68" t="s">
        <v>194</v>
      </c>
      <c r="Y68" s="28" t="s">
        <v>9300</v>
      </c>
      <c r="AB68" t="s">
        <v>9311</v>
      </c>
      <c r="AH68" t="s">
        <v>4714</v>
      </c>
      <c r="AI68" t="s">
        <v>778</v>
      </c>
      <c r="AJ68" s="28" t="str">
        <f t="shared" si="2"/>
        <v>524902</v>
      </c>
      <c r="AK68" s="420">
        <v>1</v>
      </c>
      <c r="AL68" s="420">
        <f t="shared" si="3"/>
        <v>1</v>
      </c>
      <c r="AM68" s="420">
        <v>1</v>
      </c>
      <c r="AN68" t="s">
        <v>17650</v>
      </c>
      <c r="AO68" t="s">
        <v>17651</v>
      </c>
      <c r="AP68" t="s">
        <v>17652</v>
      </c>
      <c r="AQ68" t="s">
        <v>17653</v>
      </c>
      <c r="AR68" t="s">
        <v>1024</v>
      </c>
    </row>
    <row r="69" spans="1:44" x14ac:dyDescent="0.25">
      <c r="A69" t="s">
        <v>1721</v>
      </c>
      <c r="B69" t="s">
        <v>537</v>
      </c>
      <c r="C69" s="410" t="s">
        <v>778</v>
      </c>
      <c r="D69" t="s">
        <v>20317</v>
      </c>
      <c r="E69" t="s">
        <v>192</v>
      </c>
      <c r="F69" s="534">
        <v>1</v>
      </c>
      <c r="G69" t="s">
        <v>193</v>
      </c>
      <c r="H69" t="s">
        <v>194</v>
      </c>
      <c r="I69" t="s">
        <v>20399</v>
      </c>
      <c r="J69" t="s">
        <v>253</v>
      </c>
      <c r="K69" s="28" t="s">
        <v>9309</v>
      </c>
      <c r="L69" t="s">
        <v>6955</v>
      </c>
      <c r="N69" t="s">
        <v>20615</v>
      </c>
      <c r="O69" t="s">
        <v>6251</v>
      </c>
      <c r="P69" t="s">
        <v>20362</v>
      </c>
      <c r="Q69" t="s">
        <v>20321</v>
      </c>
      <c r="R69" t="s">
        <v>20322</v>
      </c>
      <c r="S69" t="s">
        <v>20616</v>
      </c>
      <c r="T69" t="s">
        <v>20617</v>
      </c>
      <c r="V69" s="28" t="s">
        <v>9468</v>
      </c>
      <c r="W69" t="s">
        <v>779</v>
      </c>
      <c r="X69" t="s">
        <v>194</v>
      </c>
      <c r="Y69" s="28" t="s">
        <v>9300</v>
      </c>
      <c r="AB69" t="s">
        <v>9311</v>
      </c>
      <c r="AH69" t="s">
        <v>4714</v>
      </c>
      <c r="AI69" t="s">
        <v>778</v>
      </c>
      <c r="AJ69" s="28" t="str">
        <f t="shared" si="2"/>
        <v>524902</v>
      </c>
      <c r="AK69" s="420">
        <v>1</v>
      </c>
      <c r="AL69" s="420">
        <f t="shared" si="3"/>
        <v>1</v>
      </c>
      <c r="AM69" s="420">
        <v>1</v>
      </c>
      <c r="AN69" t="s">
        <v>17650</v>
      </c>
      <c r="AO69" t="s">
        <v>17651</v>
      </c>
      <c r="AP69" t="s">
        <v>17652</v>
      </c>
      <c r="AQ69" t="s">
        <v>17653</v>
      </c>
      <c r="AR69" t="s">
        <v>1024</v>
      </c>
    </row>
    <row r="70" spans="1:44" x14ac:dyDescent="0.25">
      <c r="A70" t="s">
        <v>1721</v>
      </c>
      <c r="B70" t="s">
        <v>537</v>
      </c>
      <c r="C70" s="410" t="s">
        <v>778</v>
      </c>
      <c r="D70" t="s">
        <v>20317</v>
      </c>
      <c r="E70" t="s">
        <v>192</v>
      </c>
      <c r="F70" s="534">
        <v>1</v>
      </c>
      <c r="G70" t="s">
        <v>193</v>
      </c>
      <c r="H70" t="s">
        <v>194</v>
      </c>
      <c r="I70" t="s">
        <v>20399</v>
      </c>
      <c r="J70" t="s">
        <v>4751</v>
      </c>
      <c r="K70" s="28" t="s">
        <v>9309</v>
      </c>
      <c r="L70" t="s">
        <v>6955</v>
      </c>
      <c r="N70" t="s">
        <v>20618</v>
      </c>
      <c r="O70" t="s">
        <v>6251</v>
      </c>
      <c r="P70" t="s">
        <v>20362</v>
      </c>
      <c r="Q70" t="s">
        <v>20321</v>
      </c>
      <c r="R70" t="s">
        <v>20322</v>
      </c>
      <c r="S70" t="s">
        <v>20619</v>
      </c>
      <c r="T70" t="s">
        <v>20620</v>
      </c>
      <c r="V70" s="28" t="s">
        <v>9472</v>
      </c>
      <c r="W70" t="s">
        <v>779</v>
      </c>
      <c r="X70" t="s">
        <v>194</v>
      </c>
      <c r="Y70" s="28" t="s">
        <v>9300</v>
      </c>
      <c r="AB70" t="s">
        <v>9311</v>
      </c>
      <c r="AH70" t="s">
        <v>4714</v>
      </c>
      <c r="AI70" t="s">
        <v>778</v>
      </c>
      <c r="AJ70" s="28" t="str">
        <f t="shared" si="2"/>
        <v>524902</v>
      </c>
      <c r="AK70" s="420">
        <v>1</v>
      </c>
      <c r="AL70" s="420">
        <f t="shared" si="3"/>
        <v>1</v>
      </c>
      <c r="AM70" s="420">
        <v>1</v>
      </c>
      <c r="AN70" t="s">
        <v>17650</v>
      </c>
      <c r="AO70" t="s">
        <v>17651</v>
      </c>
      <c r="AP70" t="s">
        <v>17652</v>
      </c>
      <c r="AQ70" t="s">
        <v>17653</v>
      </c>
      <c r="AR70" t="s">
        <v>1024</v>
      </c>
    </row>
    <row r="71" spans="1:44" x14ac:dyDescent="0.25">
      <c r="A71" t="s">
        <v>1721</v>
      </c>
      <c r="B71" t="s">
        <v>537</v>
      </c>
      <c r="C71" s="410" t="s">
        <v>778</v>
      </c>
      <c r="D71" t="s">
        <v>20317</v>
      </c>
      <c r="E71" t="s">
        <v>192</v>
      </c>
      <c r="F71" s="534">
        <v>1</v>
      </c>
      <c r="G71" t="s">
        <v>193</v>
      </c>
      <c r="H71" t="s">
        <v>194</v>
      </c>
      <c r="I71" t="s">
        <v>20399</v>
      </c>
      <c r="J71" t="s">
        <v>385</v>
      </c>
      <c r="K71" s="28" t="s">
        <v>9309</v>
      </c>
      <c r="L71" t="s">
        <v>6955</v>
      </c>
      <c r="N71" t="s">
        <v>20621</v>
      </c>
      <c r="O71" t="s">
        <v>6251</v>
      </c>
      <c r="P71" t="s">
        <v>20362</v>
      </c>
      <c r="Q71" t="s">
        <v>20321</v>
      </c>
      <c r="R71" t="s">
        <v>20322</v>
      </c>
      <c r="S71" t="s">
        <v>20622</v>
      </c>
      <c r="T71" t="s">
        <v>20623</v>
      </c>
      <c r="V71" s="28" t="s">
        <v>9410</v>
      </c>
      <c r="W71" t="s">
        <v>779</v>
      </c>
      <c r="X71" t="s">
        <v>194</v>
      </c>
      <c r="Y71" s="28" t="s">
        <v>9300</v>
      </c>
      <c r="AB71" t="s">
        <v>9311</v>
      </c>
      <c r="AH71" t="s">
        <v>4714</v>
      </c>
      <c r="AI71" t="s">
        <v>778</v>
      </c>
      <c r="AJ71" s="28" t="str">
        <f t="shared" si="2"/>
        <v>524902</v>
      </c>
      <c r="AK71" s="420">
        <v>1</v>
      </c>
      <c r="AL71" s="420">
        <f t="shared" si="3"/>
        <v>1</v>
      </c>
      <c r="AM71" s="420">
        <v>1</v>
      </c>
      <c r="AN71" t="s">
        <v>17650</v>
      </c>
      <c r="AO71" t="s">
        <v>17651</v>
      </c>
      <c r="AP71" t="s">
        <v>17652</v>
      </c>
      <c r="AQ71" t="s">
        <v>17653</v>
      </c>
      <c r="AR71" t="s">
        <v>1024</v>
      </c>
    </row>
    <row r="72" spans="1:44" x14ac:dyDescent="0.25">
      <c r="A72" t="s">
        <v>20624</v>
      </c>
      <c r="B72" t="s">
        <v>20625</v>
      </c>
      <c r="C72" s="410" t="s">
        <v>778</v>
      </c>
      <c r="D72" t="s">
        <v>20317</v>
      </c>
      <c r="E72" t="s">
        <v>192</v>
      </c>
      <c r="F72" s="534">
        <v>1</v>
      </c>
      <c r="G72" t="s">
        <v>193</v>
      </c>
      <c r="H72" t="s">
        <v>194</v>
      </c>
      <c r="I72" t="s">
        <v>20333</v>
      </c>
      <c r="J72" t="s">
        <v>408</v>
      </c>
      <c r="K72" s="28" t="s">
        <v>9309</v>
      </c>
      <c r="L72" t="s">
        <v>6955</v>
      </c>
      <c r="N72" t="s">
        <v>20626</v>
      </c>
      <c r="O72" t="s">
        <v>6275</v>
      </c>
      <c r="P72" t="s">
        <v>20320</v>
      </c>
      <c r="Q72" t="s">
        <v>20321</v>
      </c>
      <c r="R72" t="s">
        <v>20322</v>
      </c>
      <c r="S72" t="s">
        <v>20627</v>
      </c>
      <c r="T72" t="s">
        <v>20628</v>
      </c>
      <c r="V72" s="28" t="s">
        <v>9479</v>
      </c>
      <c r="W72" t="s">
        <v>779</v>
      </c>
      <c r="X72" t="s">
        <v>194</v>
      </c>
      <c r="Y72" s="28" t="s">
        <v>9300</v>
      </c>
      <c r="AB72" t="s">
        <v>9311</v>
      </c>
      <c r="AH72" t="s">
        <v>4714</v>
      </c>
      <c r="AI72" t="s">
        <v>20625</v>
      </c>
      <c r="AJ72" s="28" t="str">
        <f t="shared" si="2"/>
        <v>524902</v>
      </c>
      <c r="AK72" s="420">
        <v>1</v>
      </c>
      <c r="AL72" s="420">
        <f t="shared" si="3"/>
        <v>1</v>
      </c>
      <c r="AM72" s="420">
        <v>1</v>
      </c>
      <c r="AN72" t="s">
        <v>17650</v>
      </c>
      <c r="AO72" t="s">
        <v>17651</v>
      </c>
      <c r="AP72" t="s">
        <v>17652</v>
      </c>
      <c r="AQ72" t="s">
        <v>17653</v>
      </c>
      <c r="AR72" t="s">
        <v>1024</v>
      </c>
    </row>
    <row r="73" spans="1:44" x14ac:dyDescent="0.25">
      <c r="A73" t="s">
        <v>2443</v>
      </c>
      <c r="B73" t="s">
        <v>20629</v>
      </c>
      <c r="C73" s="410" t="s">
        <v>778</v>
      </c>
      <c r="D73" t="s">
        <v>20317</v>
      </c>
      <c r="E73" t="s">
        <v>192</v>
      </c>
      <c r="F73" s="534">
        <v>1</v>
      </c>
      <c r="G73" t="s">
        <v>193</v>
      </c>
      <c r="H73" t="s">
        <v>194</v>
      </c>
      <c r="I73" t="s">
        <v>20333</v>
      </c>
      <c r="J73" t="s">
        <v>210</v>
      </c>
      <c r="K73" s="28" t="s">
        <v>9309</v>
      </c>
      <c r="L73" t="s">
        <v>6955</v>
      </c>
      <c r="N73" t="s">
        <v>20630</v>
      </c>
      <c r="O73" t="s">
        <v>6254</v>
      </c>
      <c r="P73" t="s">
        <v>20320</v>
      </c>
      <c r="Q73" t="s">
        <v>20321</v>
      </c>
      <c r="R73" t="s">
        <v>20322</v>
      </c>
      <c r="S73" t="s">
        <v>20631</v>
      </c>
      <c r="T73" t="s">
        <v>20632</v>
      </c>
      <c r="V73" s="28" t="s">
        <v>9334</v>
      </c>
      <c r="W73" t="s">
        <v>779</v>
      </c>
      <c r="X73" t="s">
        <v>194</v>
      </c>
      <c r="Y73" s="28" t="s">
        <v>9300</v>
      </c>
      <c r="AB73" t="s">
        <v>9311</v>
      </c>
      <c r="AH73" t="s">
        <v>5109</v>
      </c>
      <c r="AI73" t="s">
        <v>20629</v>
      </c>
      <c r="AJ73" s="28" t="str">
        <f t="shared" si="2"/>
        <v>524902</v>
      </c>
      <c r="AK73" s="420">
        <v>1</v>
      </c>
      <c r="AL73" s="420">
        <f t="shared" si="3"/>
        <v>1</v>
      </c>
      <c r="AM73" s="420">
        <v>1</v>
      </c>
      <c r="AN73" t="s">
        <v>17650</v>
      </c>
      <c r="AO73" t="s">
        <v>17651</v>
      </c>
      <c r="AP73" t="s">
        <v>17652</v>
      </c>
      <c r="AQ73" t="s">
        <v>17653</v>
      </c>
      <c r="AR73" t="s">
        <v>1024</v>
      </c>
    </row>
    <row r="74" spans="1:44" x14ac:dyDescent="0.25">
      <c r="A74" t="s">
        <v>780</v>
      </c>
      <c r="B74" t="s">
        <v>537</v>
      </c>
      <c r="C74" s="410" t="s">
        <v>778</v>
      </c>
      <c r="D74" t="s">
        <v>20360</v>
      </c>
      <c r="E74" t="s">
        <v>233</v>
      </c>
      <c r="F74" s="534">
        <v>1</v>
      </c>
      <c r="G74" t="s">
        <v>193</v>
      </c>
      <c r="H74" t="s">
        <v>194</v>
      </c>
      <c r="I74" t="s">
        <v>20399</v>
      </c>
      <c r="J74" t="s">
        <v>385</v>
      </c>
      <c r="K74" s="28" t="s">
        <v>9309</v>
      </c>
      <c r="L74" t="s">
        <v>6955</v>
      </c>
      <c r="N74" t="s">
        <v>20633</v>
      </c>
      <c r="O74" t="s">
        <v>6254</v>
      </c>
      <c r="P74" t="s">
        <v>20634</v>
      </c>
      <c r="Q74" t="s">
        <v>20317</v>
      </c>
      <c r="R74" t="s">
        <v>20635</v>
      </c>
      <c r="S74" t="s">
        <v>20636</v>
      </c>
      <c r="T74" t="s">
        <v>20637</v>
      </c>
      <c r="V74" s="28" t="s">
        <v>9410</v>
      </c>
      <c r="W74" t="s">
        <v>779</v>
      </c>
      <c r="X74" t="s">
        <v>194</v>
      </c>
      <c r="Y74" s="28" t="s">
        <v>9300</v>
      </c>
      <c r="AB74" t="s">
        <v>9311</v>
      </c>
      <c r="AH74" t="s">
        <v>4714</v>
      </c>
      <c r="AI74" t="s">
        <v>778</v>
      </c>
      <c r="AJ74" s="28" t="str">
        <f t="shared" si="2"/>
        <v>524902</v>
      </c>
      <c r="AK74" s="420">
        <v>1</v>
      </c>
      <c r="AL74" s="420">
        <f t="shared" si="3"/>
        <v>1</v>
      </c>
      <c r="AM74" s="420">
        <v>1</v>
      </c>
      <c r="AN74" t="s">
        <v>17650</v>
      </c>
      <c r="AO74" t="s">
        <v>17651</v>
      </c>
      <c r="AP74" t="s">
        <v>17652</v>
      </c>
      <c r="AQ74" t="s">
        <v>17653</v>
      </c>
      <c r="AR74" t="s">
        <v>1024</v>
      </c>
    </row>
    <row r="75" spans="1:44" x14ac:dyDescent="0.25">
      <c r="A75" t="s">
        <v>780</v>
      </c>
      <c r="B75" t="s">
        <v>537</v>
      </c>
      <c r="C75" s="410" t="s">
        <v>778</v>
      </c>
      <c r="D75" t="s">
        <v>20338</v>
      </c>
      <c r="E75" t="s">
        <v>233</v>
      </c>
      <c r="F75" s="534">
        <v>1</v>
      </c>
      <c r="G75" t="s">
        <v>193</v>
      </c>
      <c r="H75" t="s">
        <v>194</v>
      </c>
      <c r="I75" t="s">
        <v>20310</v>
      </c>
      <c r="J75" t="s">
        <v>408</v>
      </c>
      <c r="K75" s="28" t="s">
        <v>9309</v>
      </c>
      <c r="L75" t="s">
        <v>6955</v>
      </c>
      <c r="N75" t="s">
        <v>20638</v>
      </c>
      <c r="O75" t="s">
        <v>6254</v>
      </c>
      <c r="P75" t="s">
        <v>20639</v>
      </c>
      <c r="Q75" t="s">
        <v>20360</v>
      </c>
      <c r="R75" t="s">
        <v>20441</v>
      </c>
      <c r="S75" t="s">
        <v>20640</v>
      </c>
      <c r="T75" t="s">
        <v>20641</v>
      </c>
      <c r="V75" s="28" t="s">
        <v>9479</v>
      </c>
      <c r="W75" t="s">
        <v>779</v>
      </c>
      <c r="X75" t="s">
        <v>194</v>
      </c>
      <c r="Y75" s="28" t="s">
        <v>9300</v>
      </c>
      <c r="AB75" t="s">
        <v>9311</v>
      </c>
      <c r="AH75" t="s">
        <v>4714</v>
      </c>
      <c r="AI75" t="s">
        <v>778</v>
      </c>
      <c r="AJ75" s="28" t="str">
        <f t="shared" si="2"/>
        <v>524902</v>
      </c>
      <c r="AK75" s="420">
        <v>1</v>
      </c>
      <c r="AL75" s="420">
        <f t="shared" si="3"/>
        <v>1</v>
      </c>
      <c r="AM75" s="420">
        <v>1</v>
      </c>
      <c r="AN75" t="s">
        <v>17650</v>
      </c>
      <c r="AO75" t="s">
        <v>17651</v>
      </c>
      <c r="AP75" t="s">
        <v>17652</v>
      </c>
      <c r="AQ75" t="s">
        <v>17653</v>
      </c>
      <c r="AR75" t="s">
        <v>1024</v>
      </c>
    </row>
    <row r="76" spans="1:44" x14ac:dyDescent="0.25">
      <c r="A76" t="s">
        <v>244</v>
      </c>
      <c r="B76" t="s">
        <v>20642</v>
      </c>
      <c r="C76" s="410" t="s">
        <v>778</v>
      </c>
      <c r="D76" t="s">
        <v>20338</v>
      </c>
      <c r="E76" t="s">
        <v>192</v>
      </c>
      <c r="F76" s="534">
        <v>1</v>
      </c>
      <c r="G76" t="s">
        <v>193</v>
      </c>
      <c r="H76" t="s">
        <v>194</v>
      </c>
      <c r="I76" t="s">
        <v>20405</v>
      </c>
      <c r="J76" t="s">
        <v>399</v>
      </c>
      <c r="K76" s="28" t="s">
        <v>9309</v>
      </c>
      <c r="L76" t="s">
        <v>6955</v>
      </c>
      <c r="N76" t="s">
        <v>20643</v>
      </c>
      <c r="O76" t="s">
        <v>6251</v>
      </c>
      <c r="P76" t="s">
        <v>20398</v>
      </c>
      <c r="Q76" t="s">
        <v>20399</v>
      </c>
      <c r="R76" t="s">
        <v>20400</v>
      </c>
      <c r="S76" t="s">
        <v>20644</v>
      </c>
      <c r="T76" t="s">
        <v>20645</v>
      </c>
      <c r="V76" s="28" t="s">
        <v>11135</v>
      </c>
      <c r="W76" t="s">
        <v>779</v>
      </c>
      <c r="X76" t="s">
        <v>194</v>
      </c>
      <c r="Y76" s="28" t="s">
        <v>9300</v>
      </c>
      <c r="AB76" t="s">
        <v>9311</v>
      </c>
      <c r="AH76" t="s">
        <v>4714</v>
      </c>
      <c r="AI76" t="s">
        <v>20642</v>
      </c>
      <c r="AJ76" s="28" t="str">
        <f t="shared" si="2"/>
        <v>524902</v>
      </c>
      <c r="AK76" s="420">
        <v>1</v>
      </c>
      <c r="AL76" s="420">
        <f t="shared" si="3"/>
        <v>1</v>
      </c>
      <c r="AM76" s="420">
        <v>1</v>
      </c>
      <c r="AN76" t="s">
        <v>17650</v>
      </c>
      <c r="AO76" t="s">
        <v>17651</v>
      </c>
      <c r="AP76" t="s">
        <v>17652</v>
      </c>
      <c r="AQ76" t="s">
        <v>17653</v>
      </c>
      <c r="AR76" t="s">
        <v>1024</v>
      </c>
    </row>
    <row r="77" spans="1:44" x14ac:dyDescent="0.25">
      <c r="A77" t="s">
        <v>258</v>
      </c>
      <c r="B77" t="s">
        <v>537</v>
      </c>
      <c r="C77" s="410" t="s">
        <v>778</v>
      </c>
      <c r="D77" t="s">
        <v>20306</v>
      </c>
      <c r="E77" t="s">
        <v>217</v>
      </c>
      <c r="F77" s="534">
        <v>1</v>
      </c>
      <c r="G77" t="s">
        <v>193</v>
      </c>
      <c r="H77" t="s">
        <v>194</v>
      </c>
      <c r="I77" t="s">
        <v>20322</v>
      </c>
      <c r="J77" t="s">
        <v>285</v>
      </c>
      <c r="K77" s="28" t="s">
        <v>9309</v>
      </c>
      <c r="L77" t="s">
        <v>6955</v>
      </c>
      <c r="N77" t="s">
        <v>20646</v>
      </c>
      <c r="O77" t="s">
        <v>6251</v>
      </c>
      <c r="P77" t="s">
        <v>20367</v>
      </c>
      <c r="Q77" t="s">
        <v>20389</v>
      </c>
      <c r="R77" t="s">
        <v>20647</v>
      </c>
      <c r="S77" t="s">
        <v>20648</v>
      </c>
      <c r="T77" t="s">
        <v>20649</v>
      </c>
      <c r="V77" s="28" t="s">
        <v>9518</v>
      </c>
      <c r="W77" t="s">
        <v>779</v>
      </c>
      <c r="X77" t="s">
        <v>194</v>
      </c>
      <c r="Y77" s="28" t="s">
        <v>9300</v>
      </c>
      <c r="AB77" t="s">
        <v>9311</v>
      </c>
      <c r="AH77" t="s">
        <v>4714</v>
      </c>
      <c r="AI77" t="s">
        <v>778</v>
      </c>
      <c r="AJ77" s="28" t="str">
        <f t="shared" si="2"/>
        <v>524902</v>
      </c>
      <c r="AK77" s="420">
        <v>1</v>
      </c>
      <c r="AL77" s="420">
        <f t="shared" si="3"/>
        <v>1</v>
      </c>
      <c r="AM77" s="420">
        <v>1</v>
      </c>
      <c r="AN77" t="s">
        <v>17650</v>
      </c>
      <c r="AO77" t="s">
        <v>17651</v>
      </c>
      <c r="AP77" t="s">
        <v>17652</v>
      </c>
      <c r="AQ77" t="s">
        <v>17653</v>
      </c>
      <c r="AR77" t="s">
        <v>1024</v>
      </c>
    </row>
    <row r="78" spans="1:44" x14ac:dyDescent="0.25">
      <c r="A78" t="s">
        <v>258</v>
      </c>
      <c r="B78" t="s">
        <v>537</v>
      </c>
      <c r="C78" s="410" t="s">
        <v>778</v>
      </c>
      <c r="D78" t="s">
        <v>20306</v>
      </c>
      <c r="E78" t="s">
        <v>217</v>
      </c>
      <c r="F78" s="534">
        <v>1</v>
      </c>
      <c r="G78" t="s">
        <v>193</v>
      </c>
      <c r="H78" t="s">
        <v>194</v>
      </c>
      <c r="I78" t="s">
        <v>20322</v>
      </c>
      <c r="J78" t="s">
        <v>323</v>
      </c>
      <c r="K78" s="28" t="s">
        <v>9309</v>
      </c>
      <c r="L78" t="s">
        <v>6955</v>
      </c>
      <c r="N78" t="s">
        <v>20650</v>
      </c>
      <c r="O78" t="s">
        <v>6251</v>
      </c>
      <c r="P78" t="s">
        <v>20367</v>
      </c>
      <c r="Q78" t="s">
        <v>20389</v>
      </c>
      <c r="R78" t="s">
        <v>20647</v>
      </c>
      <c r="S78" t="s">
        <v>20651</v>
      </c>
      <c r="T78" t="s">
        <v>20652</v>
      </c>
      <c r="V78" s="28" t="s">
        <v>9514</v>
      </c>
      <c r="W78" t="s">
        <v>779</v>
      </c>
      <c r="X78" t="s">
        <v>194</v>
      </c>
      <c r="Y78" s="28" t="s">
        <v>9300</v>
      </c>
      <c r="AB78" t="s">
        <v>9311</v>
      </c>
      <c r="AH78" t="s">
        <v>4714</v>
      </c>
      <c r="AI78" t="s">
        <v>778</v>
      </c>
      <c r="AJ78" s="28" t="str">
        <f t="shared" si="2"/>
        <v>524902</v>
      </c>
      <c r="AK78" s="420">
        <v>1</v>
      </c>
      <c r="AL78" s="420">
        <f t="shared" si="3"/>
        <v>1</v>
      </c>
      <c r="AM78" s="420">
        <v>1</v>
      </c>
      <c r="AN78" t="s">
        <v>17650</v>
      </c>
      <c r="AO78" t="s">
        <v>17651</v>
      </c>
      <c r="AP78" t="s">
        <v>17652</v>
      </c>
      <c r="AQ78" t="s">
        <v>17653</v>
      </c>
      <c r="AR78" t="s">
        <v>1024</v>
      </c>
    </row>
    <row r="79" spans="1:44" x14ac:dyDescent="0.25">
      <c r="A79" t="s">
        <v>258</v>
      </c>
      <c r="B79" t="s">
        <v>7677</v>
      </c>
      <c r="C79" s="410" t="s">
        <v>778</v>
      </c>
      <c r="D79" t="s">
        <v>20306</v>
      </c>
      <c r="E79" t="s">
        <v>217</v>
      </c>
      <c r="F79" s="534">
        <v>1</v>
      </c>
      <c r="G79" t="s">
        <v>193</v>
      </c>
      <c r="H79" t="s">
        <v>194</v>
      </c>
      <c r="I79" t="s">
        <v>20322</v>
      </c>
      <c r="J79" t="s">
        <v>210</v>
      </c>
      <c r="K79" s="28" t="s">
        <v>9309</v>
      </c>
      <c r="L79" t="s">
        <v>6955</v>
      </c>
      <c r="N79" t="s">
        <v>20653</v>
      </c>
      <c r="O79" t="s">
        <v>6251</v>
      </c>
      <c r="P79" t="s">
        <v>20367</v>
      </c>
      <c r="Q79" t="s">
        <v>20318</v>
      </c>
      <c r="R79" t="s">
        <v>20418</v>
      </c>
      <c r="S79" t="s">
        <v>20654</v>
      </c>
      <c r="T79" t="s">
        <v>20655</v>
      </c>
      <c r="V79" s="28" t="s">
        <v>9334</v>
      </c>
      <c r="W79" t="s">
        <v>779</v>
      </c>
      <c r="X79" t="s">
        <v>194</v>
      </c>
      <c r="Y79" s="28" t="s">
        <v>9300</v>
      </c>
      <c r="AB79" t="s">
        <v>9311</v>
      </c>
      <c r="AH79" t="s">
        <v>4714</v>
      </c>
      <c r="AI79" t="s">
        <v>778</v>
      </c>
      <c r="AJ79" s="28" t="str">
        <f t="shared" si="2"/>
        <v>524902</v>
      </c>
      <c r="AK79" s="420">
        <v>1</v>
      </c>
      <c r="AL79" s="420">
        <f t="shared" si="3"/>
        <v>1</v>
      </c>
      <c r="AM79" s="420">
        <v>1</v>
      </c>
      <c r="AN79" t="s">
        <v>17650</v>
      </c>
      <c r="AO79" t="s">
        <v>17651</v>
      </c>
      <c r="AP79" t="s">
        <v>17652</v>
      </c>
      <c r="AQ79" t="s">
        <v>17653</v>
      </c>
      <c r="AR79" t="s">
        <v>1024</v>
      </c>
    </row>
    <row r="80" spans="1:44" x14ac:dyDescent="0.25">
      <c r="A80" t="s">
        <v>1523</v>
      </c>
      <c r="B80" t="s">
        <v>20656</v>
      </c>
      <c r="C80" s="410" t="s">
        <v>6156</v>
      </c>
      <c r="D80" t="s">
        <v>20306</v>
      </c>
      <c r="E80" t="s">
        <v>192</v>
      </c>
      <c r="F80" s="534">
        <v>1</v>
      </c>
      <c r="G80" t="s">
        <v>193</v>
      </c>
      <c r="H80" t="s">
        <v>194</v>
      </c>
      <c r="I80" t="s">
        <v>20307</v>
      </c>
      <c r="J80" t="s">
        <v>9302</v>
      </c>
      <c r="K80" s="28" t="s">
        <v>9309</v>
      </c>
      <c r="L80" t="s">
        <v>6955</v>
      </c>
      <c r="N80" t="s">
        <v>20657</v>
      </c>
      <c r="O80" t="s">
        <v>6327</v>
      </c>
      <c r="P80" t="s">
        <v>20309</v>
      </c>
      <c r="Q80" t="s">
        <v>20310</v>
      </c>
      <c r="R80" t="s">
        <v>20311</v>
      </c>
      <c r="S80" t="s">
        <v>20658</v>
      </c>
      <c r="T80" t="s">
        <v>20659</v>
      </c>
      <c r="W80" t="s">
        <v>6158</v>
      </c>
      <c r="X80" t="s">
        <v>193</v>
      </c>
      <c r="Y80" s="28" t="s">
        <v>9310</v>
      </c>
      <c r="AB80" t="s">
        <v>9311</v>
      </c>
      <c r="AH80" t="s">
        <v>4714</v>
      </c>
      <c r="AI80" t="s">
        <v>20656</v>
      </c>
      <c r="AJ80" s="28" t="str">
        <f t="shared" si="2"/>
        <v>241204</v>
      </c>
      <c r="AK80" s="420">
        <v>1</v>
      </c>
      <c r="AL80" s="420">
        <f t="shared" si="3"/>
        <v>1</v>
      </c>
      <c r="AM80" s="420">
        <v>1</v>
      </c>
      <c r="AN80" t="s">
        <v>17650</v>
      </c>
      <c r="AO80" t="s">
        <v>17651</v>
      </c>
      <c r="AP80" t="s">
        <v>17652</v>
      </c>
      <c r="AQ80" t="s">
        <v>17653</v>
      </c>
      <c r="AR80" t="s">
        <v>1024</v>
      </c>
    </row>
    <row r="81" spans="1:44" x14ac:dyDescent="0.25">
      <c r="A81" t="s">
        <v>1647</v>
      </c>
      <c r="B81" t="s">
        <v>2390</v>
      </c>
      <c r="C81" s="410" t="s">
        <v>20660</v>
      </c>
      <c r="D81" t="s">
        <v>20360</v>
      </c>
      <c r="E81" t="s">
        <v>233</v>
      </c>
      <c r="F81" s="534">
        <v>1</v>
      </c>
      <c r="G81" t="s">
        <v>193</v>
      </c>
      <c r="H81" t="s">
        <v>194</v>
      </c>
      <c r="I81" t="s">
        <v>20333</v>
      </c>
      <c r="J81" t="s">
        <v>210</v>
      </c>
      <c r="K81" s="28" t="s">
        <v>9309</v>
      </c>
      <c r="L81" t="s">
        <v>6955</v>
      </c>
      <c r="N81" t="s">
        <v>20661</v>
      </c>
      <c r="O81" t="s">
        <v>6254</v>
      </c>
      <c r="P81" t="s">
        <v>20522</v>
      </c>
      <c r="Q81" t="s">
        <v>20422</v>
      </c>
      <c r="R81" t="s">
        <v>20483</v>
      </c>
      <c r="S81" t="s">
        <v>20662</v>
      </c>
      <c r="T81" t="s">
        <v>20663</v>
      </c>
      <c r="V81" s="28" t="s">
        <v>9334</v>
      </c>
      <c r="W81" t="s">
        <v>20664</v>
      </c>
      <c r="X81" t="s">
        <v>194</v>
      </c>
      <c r="Y81" s="28" t="s">
        <v>9300</v>
      </c>
      <c r="AB81" t="s">
        <v>9311</v>
      </c>
      <c r="AH81" t="s">
        <v>4714</v>
      </c>
      <c r="AI81" t="s">
        <v>2390</v>
      </c>
      <c r="AJ81" s="28" t="str">
        <f t="shared" si="2"/>
        <v>121301</v>
      </c>
      <c r="AK81" s="420">
        <v>1</v>
      </c>
      <c r="AL81" s="420">
        <f t="shared" si="3"/>
        <v>1</v>
      </c>
      <c r="AM81" s="420">
        <v>1</v>
      </c>
      <c r="AN81" t="s">
        <v>17650</v>
      </c>
      <c r="AO81" t="s">
        <v>17651</v>
      </c>
      <c r="AP81" t="s">
        <v>17652</v>
      </c>
      <c r="AQ81" t="s">
        <v>17653</v>
      </c>
      <c r="AR81" t="s">
        <v>1024</v>
      </c>
    </row>
    <row r="82" spans="1:44" x14ac:dyDescent="0.25">
      <c r="A82" t="s">
        <v>20665</v>
      </c>
      <c r="B82" t="s">
        <v>20666</v>
      </c>
      <c r="C82" s="410" t="s">
        <v>3191</v>
      </c>
      <c r="D82" t="s">
        <v>20317</v>
      </c>
      <c r="E82" t="s">
        <v>192</v>
      </c>
      <c r="F82" s="534">
        <v>1</v>
      </c>
      <c r="G82" t="s">
        <v>193</v>
      </c>
      <c r="H82" t="s">
        <v>194</v>
      </c>
      <c r="I82" t="s">
        <v>20333</v>
      </c>
      <c r="J82" t="s">
        <v>210</v>
      </c>
      <c r="K82" s="28" t="s">
        <v>9309</v>
      </c>
      <c r="L82" t="s">
        <v>6955</v>
      </c>
      <c r="N82" t="s">
        <v>20667</v>
      </c>
      <c r="O82" t="s">
        <v>6254</v>
      </c>
      <c r="P82" t="s">
        <v>20320</v>
      </c>
      <c r="Q82" t="s">
        <v>20321</v>
      </c>
      <c r="R82" t="s">
        <v>20322</v>
      </c>
      <c r="S82" t="s">
        <v>20668</v>
      </c>
      <c r="T82" t="s">
        <v>20669</v>
      </c>
      <c r="V82" s="28" t="s">
        <v>9334</v>
      </c>
      <c r="W82" t="s">
        <v>4041</v>
      </c>
      <c r="X82" t="s">
        <v>194</v>
      </c>
      <c r="Y82" s="28" t="s">
        <v>9300</v>
      </c>
      <c r="AB82" t="s">
        <v>9311</v>
      </c>
      <c r="AH82" t="s">
        <v>4714</v>
      </c>
      <c r="AI82" t="s">
        <v>20666</v>
      </c>
      <c r="AJ82" s="28" t="str">
        <f t="shared" si="2"/>
        <v>112011</v>
      </c>
      <c r="AK82" s="420">
        <v>1</v>
      </c>
      <c r="AL82" s="420">
        <f t="shared" si="3"/>
        <v>1</v>
      </c>
      <c r="AM82" s="420">
        <v>1</v>
      </c>
      <c r="AN82" t="s">
        <v>17650</v>
      </c>
      <c r="AO82" t="s">
        <v>17651</v>
      </c>
      <c r="AP82" t="s">
        <v>17652</v>
      </c>
      <c r="AQ82" t="s">
        <v>17653</v>
      </c>
      <c r="AR82" t="s">
        <v>1024</v>
      </c>
    </row>
    <row r="83" spans="1:44" x14ac:dyDescent="0.25">
      <c r="A83" t="s">
        <v>20670</v>
      </c>
      <c r="B83" t="s">
        <v>20671</v>
      </c>
      <c r="C83" s="410" t="s">
        <v>20672</v>
      </c>
      <c r="D83" t="s">
        <v>20317</v>
      </c>
      <c r="E83" t="s">
        <v>217</v>
      </c>
      <c r="F83" s="534">
        <v>1</v>
      </c>
      <c r="G83" t="s">
        <v>194</v>
      </c>
      <c r="H83" t="s">
        <v>193</v>
      </c>
      <c r="I83" t="s">
        <v>20399</v>
      </c>
      <c r="J83" t="s">
        <v>20673</v>
      </c>
      <c r="K83" s="28" t="s">
        <v>9309</v>
      </c>
      <c r="L83" t="s">
        <v>6955</v>
      </c>
      <c r="N83" t="s">
        <v>20674</v>
      </c>
      <c r="O83" t="s">
        <v>6286</v>
      </c>
      <c r="P83" t="s">
        <v>20376</v>
      </c>
      <c r="Q83" t="s">
        <v>20510</v>
      </c>
      <c r="R83" t="s">
        <v>20389</v>
      </c>
      <c r="S83" t="s">
        <v>20675</v>
      </c>
      <c r="T83" t="s">
        <v>20676</v>
      </c>
      <c r="W83" t="s">
        <v>20677</v>
      </c>
      <c r="X83" t="s">
        <v>194</v>
      </c>
      <c r="Y83" s="28" t="s">
        <v>9946</v>
      </c>
      <c r="AB83" t="s">
        <v>9311</v>
      </c>
      <c r="AH83" t="s">
        <v>4714</v>
      </c>
      <c r="AI83" t="s">
        <v>9433</v>
      </c>
      <c r="AJ83" s="28" t="str">
        <f t="shared" si="2"/>
        <v>134501</v>
      </c>
      <c r="AK83" s="420">
        <v>1</v>
      </c>
      <c r="AL83" s="420">
        <f t="shared" si="3"/>
        <v>1</v>
      </c>
      <c r="AM83" s="420">
        <v>1</v>
      </c>
      <c r="AN83" t="s">
        <v>17650</v>
      </c>
      <c r="AO83" t="s">
        <v>17651</v>
      </c>
      <c r="AP83" t="s">
        <v>17652</v>
      </c>
      <c r="AQ83" t="s">
        <v>17653</v>
      </c>
      <c r="AR83" t="s">
        <v>1024</v>
      </c>
    </row>
    <row r="84" spans="1:44" x14ac:dyDescent="0.25">
      <c r="A84" t="s">
        <v>20670</v>
      </c>
      <c r="B84" t="s">
        <v>20671</v>
      </c>
      <c r="C84" s="410" t="s">
        <v>20672</v>
      </c>
      <c r="D84" t="s">
        <v>20360</v>
      </c>
      <c r="E84" t="s">
        <v>217</v>
      </c>
      <c r="F84" s="534">
        <v>1</v>
      </c>
      <c r="G84" t="s">
        <v>194</v>
      </c>
      <c r="H84" t="s">
        <v>193</v>
      </c>
      <c r="I84" t="s">
        <v>20399</v>
      </c>
      <c r="J84" t="s">
        <v>20673</v>
      </c>
      <c r="K84" s="28" t="s">
        <v>9309</v>
      </c>
      <c r="L84" t="s">
        <v>6955</v>
      </c>
      <c r="N84" t="s">
        <v>20674</v>
      </c>
      <c r="O84" t="s">
        <v>6286</v>
      </c>
      <c r="P84" t="s">
        <v>20393</v>
      </c>
      <c r="Q84" t="s">
        <v>20510</v>
      </c>
      <c r="R84" t="s">
        <v>20389</v>
      </c>
      <c r="S84" t="s">
        <v>20678</v>
      </c>
      <c r="T84" t="s">
        <v>20679</v>
      </c>
      <c r="W84" t="s">
        <v>20677</v>
      </c>
      <c r="X84" t="s">
        <v>194</v>
      </c>
      <c r="Y84" s="28" t="s">
        <v>9946</v>
      </c>
      <c r="AB84" t="s">
        <v>9311</v>
      </c>
      <c r="AH84" t="s">
        <v>4714</v>
      </c>
      <c r="AI84" t="s">
        <v>9433</v>
      </c>
      <c r="AJ84" s="28" t="str">
        <f t="shared" si="2"/>
        <v>134501</v>
      </c>
      <c r="AK84" s="420">
        <v>1</v>
      </c>
      <c r="AL84" s="420">
        <f t="shared" si="3"/>
        <v>1</v>
      </c>
      <c r="AM84" s="420">
        <v>1</v>
      </c>
      <c r="AN84" t="s">
        <v>17650</v>
      </c>
      <c r="AO84" t="s">
        <v>17651</v>
      </c>
      <c r="AP84" t="s">
        <v>17652</v>
      </c>
      <c r="AQ84" t="s">
        <v>17653</v>
      </c>
      <c r="AR84" t="s">
        <v>1024</v>
      </c>
    </row>
    <row r="85" spans="1:44" x14ac:dyDescent="0.25">
      <c r="A85" t="s">
        <v>20680</v>
      </c>
      <c r="B85" t="s">
        <v>20681</v>
      </c>
      <c r="C85" s="410" t="s">
        <v>14</v>
      </c>
      <c r="D85" t="s">
        <v>20306</v>
      </c>
      <c r="E85" t="s">
        <v>192</v>
      </c>
      <c r="F85" s="534">
        <v>1</v>
      </c>
      <c r="G85" t="s">
        <v>193</v>
      </c>
      <c r="H85" t="s">
        <v>194</v>
      </c>
      <c r="I85" t="s">
        <v>20307</v>
      </c>
      <c r="J85" t="s">
        <v>9302</v>
      </c>
      <c r="K85" s="28" t="s">
        <v>9309</v>
      </c>
      <c r="L85" t="s">
        <v>6955</v>
      </c>
      <c r="N85" t="s">
        <v>20682</v>
      </c>
      <c r="O85" t="s">
        <v>6302</v>
      </c>
      <c r="P85" t="s">
        <v>20309</v>
      </c>
      <c r="Q85" t="s">
        <v>20310</v>
      </c>
      <c r="R85" t="s">
        <v>20311</v>
      </c>
      <c r="S85" t="s">
        <v>20683</v>
      </c>
      <c r="T85" t="s">
        <v>20684</v>
      </c>
      <c r="W85" t="s">
        <v>1859</v>
      </c>
      <c r="X85" t="s">
        <v>193</v>
      </c>
      <c r="Y85" s="28" t="s">
        <v>9310</v>
      </c>
      <c r="AB85" t="s">
        <v>9311</v>
      </c>
      <c r="AH85" t="s">
        <v>4714</v>
      </c>
      <c r="AI85" t="s">
        <v>20681</v>
      </c>
      <c r="AJ85" s="28" t="str">
        <f t="shared" si="2"/>
        <v>264201</v>
      </c>
      <c r="AK85" s="420">
        <v>1</v>
      </c>
      <c r="AL85" s="420">
        <f t="shared" si="3"/>
        <v>1</v>
      </c>
      <c r="AM85" s="420">
        <v>1</v>
      </c>
      <c r="AN85" t="s">
        <v>17650</v>
      </c>
      <c r="AO85" t="s">
        <v>17651</v>
      </c>
      <c r="AP85" t="s">
        <v>17652</v>
      </c>
      <c r="AQ85" t="s">
        <v>17653</v>
      </c>
      <c r="AR85" t="s">
        <v>1024</v>
      </c>
    </row>
    <row r="86" spans="1:44" x14ac:dyDescent="0.25">
      <c r="A86" t="s">
        <v>20685</v>
      </c>
      <c r="B86" t="s">
        <v>20686</v>
      </c>
      <c r="C86" s="410" t="s">
        <v>18923</v>
      </c>
      <c r="D86" t="s">
        <v>20306</v>
      </c>
      <c r="E86" t="s">
        <v>217</v>
      </c>
      <c r="F86" s="534">
        <v>1</v>
      </c>
      <c r="G86" t="s">
        <v>194</v>
      </c>
      <c r="H86" t="s">
        <v>193</v>
      </c>
      <c r="I86" t="s">
        <v>20307</v>
      </c>
      <c r="J86" t="s">
        <v>13284</v>
      </c>
      <c r="K86" s="28" t="s">
        <v>9309</v>
      </c>
      <c r="L86" t="s">
        <v>6955</v>
      </c>
      <c r="N86" t="s">
        <v>20687</v>
      </c>
      <c r="O86" t="s">
        <v>7531</v>
      </c>
      <c r="P86" t="s">
        <v>20688</v>
      </c>
      <c r="Q86" t="s">
        <v>20318</v>
      </c>
      <c r="R86" t="s">
        <v>20689</v>
      </c>
      <c r="S86" t="s">
        <v>20690</v>
      </c>
      <c r="T86" t="s">
        <v>20691</v>
      </c>
      <c r="W86" t="s">
        <v>18927</v>
      </c>
      <c r="X86" t="s">
        <v>194</v>
      </c>
      <c r="Y86" s="28" t="s">
        <v>9946</v>
      </c>
      <c r="AB86" t="s">
        <v>9311</v>
      </c>
      <c r="AH86" t="s">
        <v>4714</v>
      </c>
      <c r="AI86" t="s">
        <v>9433</v>
      </c>
      <c r="AJ86" s="28" t="str">
        <f t="shared" si="2"/>
        <v>263101</v>
      </c>
      <c r="AK86" s="420">
        <v>1</v>
      </c>
      <c r="AL86" s="420">
        <f t="shared" si="3"/>
        <v>1</v>
      </c>
      <c r="AM86" s="420">
        <v>1</v>
      </c>
      <c r="AN86" t="s">
        <v>17650</v>
      </c>
      <c r="AO86" t="s">
        <v>17651</v>
      </c>
      <c r="AP86" t="s">
        <v>17652</v>
      </c>
      <c r="AQ86" t="s">
        <v>17653</v>
      </c>
      <c r="AR86" t="s">
        <v>1024</v>
      </c>
    </row>
    <row r="87" spans="1:44" x14ac:dyDescent="0.25">
      <c r="A87" t="s">
        <v>1748</v>
      </c>
      <c r="B87" t="s">
        <v>20692</v>
      </c>
      <c r="C87" s="410" t="s">
        <v>525</v>
      </c>
      <c r="D87" t="s">
        <v>20326</v>
      </c>
      <c r="E87" t="s">
        <v>192</v>
      </c>
      <c r="F87" s="534">
        <v>1</v>
      </c>
      <c r="G87" t="s">
        <v>193</v>
      </c>
      <c r="H87" t="s">
        <v>194</v>
      </c>
      <c r="I87" t="s">
        <v>20333</v>
      </c>
      <c r="J87" t="s">
        <v>210</v>
      </c>
      <c r="K87" s="28" t="s">
        <v>9309</v>
      </c>
      <c r="L87" t="s">
        <v>6955</v>
      </c>
      <c r="N87" t="s">
        <v>20693</v>
      </c>
      <c r="O87" t="s">
        <v>7531</v>
      </c>
      <c r="P87" t="s">
        <v>20328</v>
      </c>
      <c r="Q87" t="s">
        <v>20329</v>
      </c>
      <c r="R87" t="s">
        <v>20306</v>
      </c>
      <c r="S87" t="s">
        <v>20694</v>
      </c>
      <c r="T87" t="s">
        <v>20695</v>
      </c>
      <c r="V87" s="28" t="s">
        <v>9334</v>
      </c>
      <c r="W87" t="s">
        <v>526</v>
      </c>
      <c r="X87" t="s">
        <v>194</v>
      </c>
      <c r="Y87" s="28" t="s">
        <v>9300</v>
      </c>
      <c r="AB87" t="s">
        <v>9311</v>
      </c>
      <c r="AH87" t="s">
        <v>4714</v>
      </c>
      <c r="AI87" t="s">
        <v>20692</v>
      </c>
      <c r="AJ87" s="28" t="str">
        <f t="shared" si="2"/>
        <v>263102</v>
      </c>
      <c r="AK87" s="420">
        <v>1</v>
      </c>
      <c r="AL87" s="420">
        <f t="shared" si="3"/>
        <v>1</v>
      </c>
      <c r="AM87" s="420">
        <v>1</v>
      </c>
      <c r="AN87" t="s">
        <v>17650</v>
      </c>
      <c r="AO87" t="s">
        <v>17651</v>
      </c>
      <c r="AP87" t="s">
        <v>17652</v>
      </c>
      <c r="AQ87" t="s">
        <v>17653</v>
      </c>
      <c r="AR87" t="s">
        <v>1024</v>
      </c>
    </row>
    <row r="88" spans="1:44" x14ac:dyDescent="0.25">
      <c r="A88" t="s">
        <v>1471</v>
      </c>
      <c r="B88" t="s">
        <v>3135</v>
      </c>
      <c r="C88" s="410" t="s">
        <v>525</v>
      </c>
      <c r="D88" t="s">
        <v>20317</v>
      </c>
      <c r="E88" t="s">
        <v>192</v>
      </c>
      <c r="F88" s="534">
        <v>1</v>
      </c>
      <c r="G88" t="s">
        <v>193</v>
      </c>
      <c r="H88" t="s">
        <v>194</v>
      </c>
      <c r="I88" t="s">
        <v>20333</v>
      </c>
      <c r="J88" t="s">
        <v>1979</v>
      </c>
      <c r="K88" s="28" t="s">
        <v>9309</v>
      </c>
      <c r="L88" t="s">
        <v>6955</v>
      </c>
      <c r="N88" t="s">
        <v>20696</v>
      </c>
      <c r="O88" t="s">
        <v>6266</v>
      </c>
      <c r="P88" t="s">
        <v>20320</v>
      </c>
      <c r="Q88" t="s">
        <v>20321</v>
      </c>
      <c r="R88" t="s">
        <v>20322</v>
      </c>
      <c r="S88" t="s">
        <v>20697</v>
      </c>
      <c r="T88" t="s">
        <v>20698</v>
      </c>
      <c r="V88" s="28" t="s">
        <v>9786</v>
      </c>
      <c r="W88" t="s">
        <v>526</v>
      </c>
      <c r="X88" t="s">
        <v>194</v>
      </c>
      <c r="Y88" s="28" t="s">
        <v>9300</v>
      </c>
      <c r="AB88" t="s">
        <v>9311</v>
      </c>
      <c r="AH88" t="s">
        <v>4714</v>
      </c>
      <c r="AI88" t="s">
        <v>3135</v>
      </c>
      <c r="AJ88" s="28" t="str">
        <f t="shared" si="2"/>
        <v>263102</v>
      </c>
      <c r="AK88" s="420">
        <v>1</v>
      </c>
      <c r="AL88" s="420">
        <f t="shared" si="3"/>
        <v>1</v>
      </c>
      <c r="AM88" s="420">
        <v>1</v>
      </c>
      <c r="AN88" t="s">
        <v>17650</v>
      </c>
      <c r="AO88" t="s">
        <v>17651</v>
      </c>
      <c r="AP88" t="s">
        <v>17652</v>
      </c>
      <c r="AQ88" t="s">
        <v>17653</v>
      </c>
      <c r="AR88" t="s">
        <v>1024</v>
      </c>
    </row>
    <row r="89" spans="1:44" x14ac:dyDescent="0.25">
      <c r="A89" t="s">
        <v>19537</v>
      </c>
      <c r="B89" t="s">
        <v>20699</v>
      </c>
      <c r="C89" s="410" t="s">
        <v>525</v>
      </c>
      <c r="D89" t="s">
        <v>20306</v>
      </c>
      <c r="E89" t="s">
        <v>192</v>
      </c>
      <c r="F89" s="534">
        <v>1</v>
      </c>
      <c r="G89" t="s">
        <v>193</v>
      </c>
      <c r="H89" t="s">
        <v>194</v>
      </c>
      <c r="I89" t="s">
        <v>20307</v>
      </c>
      <c r="J89" t="s">
        <v>672</v>
      </c>
      <c r="K89" s="28" t="s">
        <v>9309</v>
      </c>
      <c r="L89" t="s">
        <v>6955</v>
      </c>
      <c r="N89" t="s">
        <v>20700</v>
      </c>
      <c r="O89" t="s">
        <v>6245</v>
      </c>
      <c r="P89" t="s">
        <v>20309</v>
      </c>
      <c r="Q89" t="s">
        <v>20310</v>
      </c>
      <c r="R89" t="s">
        <v>20311</v>
      </c>
      <c r="S89" t="s">
        <v>20701</v>
      </c>
      <c r="T89" t="s">
        <v>20702</v>
      </c>
      <c r="V89" s="28" t="s">
        <v>9726</v>
      </c>
      <c r="W89" t="s">
        <v>526</v>
      </c>
      <c r="X89" t="s">
        <v>194</v>
      </c>
      <c r="Y89" s="28" t="s">
        <v>9300</v>
      </c>
      <c r="AB89" t="s">
        <v>9311</v>
      </c>
      <c r="AH89" t="s">
        <v>4714</v>
      </c>
      <c r="AI89" t="s">
        <v>20699</v>
      </c>
      <c r="AJ89" s="28" t="str">
        <f t="shared" si="2"/>
        <v>263102</v>
      </c>
      <c r="AK89" s="420">
        <v>1</v>
      </c>
      <c r="AL89" s="420">
        <f t="shared" si="3"/>
        <v>1</v>
      </c>
      <c r="AM89" s="420">
        <v>1</v>
      </c>
      <c r="AN89" t="s">
        <v>17650</v>
      </c>
      <c r="AO89" t="s">
        <v>17651</v>
      </c>
      <c r="AP89" t="s">
        <v>17652</v>
      </c>
      <c r="AQ89" t="s">
        <v>17653</v>
      </c>
      <c r="AR89" t="s">
        <v>1024</v>
      </c>
    </row>
    <row r="90" spans="1:44" x14ac:dyDescent="0.25">
      <c r="A90" t="s">
        <v>20703</v>
      </c>
      <c r="B90" t="s">
        <v>20704</v>
      </c>
      <c r="C90" s="410" t="s">
        <v>829</v>
      </c>
      <c r="D90" t="s">
        <v>20326</v>
      </c>
      <c r="E90" t="s">
        <v>192</v>
      </c>
      <c r="F90" s="534">
        <v>1</v>
      </c>
      <c r="G90" t="s">
        <v>193</v>
      </c>
      <c r="H90" t="s">
        <v>194</v>
      </c>
      <c r="I90" t="s">
        <v>20333</v>
      </c>
      <c r="J90" t="s">
        <v>672</v>
      </c>
      <c r="K90" s="28" t="s">
        <v>9309</v>
      </c>
      <c r="L90" t="s">
        <v>6955</v>
      </c>
      <c r="N90" t="s">
        <v>20705</v>
      </c>
      <c r="O90" t="s">
        <v>6258</v>
      </c>
      <c r="P90" t="s">
        <v>20328</v>
      </c>
      <c r="Q90" t="s">
        <v>20329</v>
      </c>
      <c r="R90" t="s">
        <v>20306</v>
      </c>
      <c r="S90" t="s">
        <v>20706</v>
      </c>
      <c r="T90" t="s">
        <v>20707</v>
      </c>
      <c r="V90" s="28" t="s">
        <v>9726</v>
      </c>
      <c r="W90" t="s">
        <v>830</v>
      </c>
      <c r="X90" t="s">
        <v>194</v>
      </c>
      <c r="Y90" s="28" t="s">
        <v>9300</v>
      </c>
      <c r="AB90" t="s">
        <v>9311</v>
      </c>
      <c r="AH90" t="s">
        <v>4714</v>
      </c>
      <c r="AI90" t="s">
        <v>20704</v>
      </c>
      <c r="AJ90" s="28" t="str">
        <f t="shared" si="2"/>
        <v>741201</v>
      </c>
      <c r="AK90" s="420">
        <v>1</v>
      </c>
      <c r="AL90" s="420">
        <f t="shared" si="3"/>
        <v>1</v>
      </c>
      <c r="AM90" s="420">
        <v>1</v>
      </c>
      <c r="AN90" t="s">
        <v>17650</v>
      </c>
      <c r="AO90" t="s">
        <v>17651</v>
      </c>
      <c r="AP90" t="s">
        <v>17652</v>
      </c>
      <c r="AQ90" t="s">
        <v>17653</v>
      </c>
      <c r="AR90" t="s">
        <v>1024</v>
      </c>
    </row>
    <row r="91" spans="1:44" x14ac:dyDescent="0.25">
      <c r="A91" t="s">
        <v>7504</v>
      </c>
      <c r="B91" t="s">
        <v>836</v>
      </c>
      <c r="C91" s="410" t="s">
        <v>3645</v>
      </c>
      <c r="D91" t="s">
        <v>20326</v>
      </c>
      <c r="E91" t="s">
        <v>192</v>
      </c>
      <c r="F91" s="534">
        <v>1</v>
      </c>
      <c r="G91" t="s">
        <v>193</v>
      </c>
      <c r="H91" t="s">
        <v>194</v>
      </c>
      <c r="I91" t="s">
        <v>20338</v>
      </c>
      <c r="J91" t="s">
        <v>259</v>
      </c>
      <c r="K91" s="28" t="s">
        <v>9309</v>
      </c>
      <c r="L91" t="s">
        <v>6955</v>
      </c>
      <c r="N91" t="s">
        <v>20708</v>
      </c>
      <c r="O91" t="s">
        <v>6258</v>
      </c>
      <c r="P91" t="s">
        <v>20328</v>
      </c>
      <c r="Q91" t="s">
        <v>20329</v>
      </c>
      <c r="R91" t="s">
        <v>20306</v>
      </c>
      <c r="S91" t="s">
        <v>20709</v>
      </c>
      <c r="T91" t="s">
        <v>20710</v>
      </c>
      <c r="V91" s="28" t="s">
        <v>10136</v>
      </c>
      <c r="W91" t="s">
        <v>3647</v>
      </c>
      <c r="X91" t="s">
        <v>194</v>
      </c>
      <c r="Y91" s="28" t="s">
        <v>9300</v>
      </c>
      <c r="AB91" t="s">
        <v>9311</v>
      </c>
      <c r="AH91" t="s">
        <v>4714</v>
      </c>
      <c r="AI91" t="s">
        <v>836</v>
      </c>
      <c r="AJ91" s="28" t="str">
        <f t="shared" si="2"/>
        <v>741207</v>
      </c>
      <c r="AK91" s="420">
        <v>1</v>
      </c>
      <c r="AL91" s="420">
        <f t="shared" si="3"/>
        <v>1</v>
      </c>
      <c r="AM91" s="420">
        <v>1</v>
      </c>
      <c r="AN91" t="s">
        <v>17650</v>
      </c>
      <c r="AO91" t="s">
        <v>17651</v>
      </c>
      <c r="AP91" t="s">
        <v>17652</v>
      </c>
      <c r="AQ91" t="s">
        <v>17653</v>
      </c>
      <c r="AR91" t="s">
        <v>1024</v>
      </c>
    </row>
    <row r="92" spans="1:44" x14ac:dyDescent="0.25">
      <c r="A92" t="s">
        <v>16218</v>
      </c>
      <c r="B92" t="s">
        <v>836</v>
      </c>
      <c r="C92" s="410" t="s">
        <v>3645</v>
      </c>
      <c r="D92" t="s">
        <v>20317</v>
      </c>
      <c r="E92" t="s">
        <v>192</v>
      </c>
      <c r="F92" s="534">
        <v>1</v>
      </c>
      <c r="G92" t="s">
        <v>193</v>
      </c>
      <c r="H92" t="s">
        <v>194</v>
      </c>
      <c r="I92" t="s">
        <v>20338</v>
      </c>
      <c r="J92" t="s">
        <v>9302</v>
      </c>
      <c r="K92" s="28" t="s">
        <v>9309</v>
      </c>
      <c r="L92" t="s">
        <v>6955</v>
      </c>
      <c r="N92" t="s">
        <v>20711</v>
      </c>
      <c r="O92" t="s">
        <v>6275</v>
      </c>
      <c r="P92" t="s">
        <v>20320</v>
      </c>
      <c r="Q92" t="s">
        <v>20321</v>
      </c>
      <c r="R92" t="s">
        <v>20322</v>
      </c>
      <c r="S92" t="s">
        <v>20712</v>
      </c>
      <c r="T92" t="s">
        <v>20713</v>
      </c>
      <c r="W92" t="s">
        <v>3647</v>
      </c>
      <c r="X92" t="s">
        <v>193</v>
      </c>
      <c r="Y92" s="28" t="s">
        <v>9310</v>
      </c>
      <c r="AB92" t="s">
        <v>9311</v>
      </c>
      <c r="AH92" t="s">
        <v>4714</v>
      </c>
      <c r="AI92" t="s">
        <v>836</v>
      </c>
      <c r="AJ92" s="28" t="str">
        <f t="shared" si="2"/>
        <v>741207</v>
      </c>
      <c r="AK92" s="420">
        <v>1</v>
      </c>
      <c r="AL92" s="420">
        <f t="shared" si="3"/>
        <v>1</v>
      </c>
      <c r="AM92" s="420">
        <v>1</v>
      </c>
      <c r="AN92" t="s">
        <v>17650</v>
      </c>
      <c r="AO92" t="s">
        <v>17651</v>
      </c>
      <c r="AP92" t="s">
        <v>17652</v>
      </c>
      <c r="AQ92" t="s">
        <v>17653</v>
      </c>
      <c r="AR92" t="s">
        <v>1024</v>
      </c>
    </row>
    <row r="93" spans="1:44" x14ac:dyDescent="0.25">
      <c r="A93" t="s">
        <v>6991</v>
      </c>
      <c r="B93" t="s">
        <v>1875</v>
      </c>
      <c r="C93" s="410" t="s">
        <v>1876</v>
      </c>
      <c r="D93" t="s">
        <v>20317</v>
      </c>
      <c r="E93" t="s">
        <v>233</v>
      </c>
      <c r="F93" s="534">
        <v>1</v>
      </c>
      <c r="G93" t="s">
        <v>193</v>
      </c>
      <c r="H93" t="s">
        <v>194</v>
      </c>
      <c r="I93" t="s">
        <v>20399</v>
      </c>
      <c r="J93" t="s">
        <v>3891</v>
      </c>
      <c r="K93" s="28" t="s">
        <v>9309</v>
      </c>
      <c r="L93" t="s">
        <v>6955</v>
      </c>
      <c r="N93" t="s">
        <v>20714</v>
      </c>
      <c r="O93" t="s">
        <v>6374</v>
      </c>
      <c r="P93" t="s">
        <v>20362</v>
      </c>
      <c r="Q93" t="s">
        <v>20715</v>
      </c>
      <c r="R93" t="s">
        <v>20317</v>
      </c>
      <c r="S93" t="s">
        <v>20716</v>
      </c>
      <c r="T93" t="s">
        <v>20717</v>
      </c>
      <c r="V93" s="28" t="s">
        <v>9726</v>
      </c>
      <c r="W93" t="s">
        <v>1877</v>
      </c>
      <c r="X93" t="s">
        <v>194</v>
      </c>
      <c r="Y93" s="28" t="s">
        <v>9300</v>
      </c>
      <c r="AB93" t="s">
        <v>9311</v>
      </c>
      <c r="AH93" t="s">
        <v>4714</v>
      </c>
      <c r="AI93" t="s">
        <v>1876</v>
      </c>
      <c r="AJ93" s="28" t="str">
        <f t="shared" si="2"/>
        <v>741304</v>
      </c>
      <c r="AK93" s="420">
        <v>1</v>
      </c>
      <c r="AL93" s="420">
        <f t="shared" si="3"/>
        <v>1</v>
      </c>
      <c r="AM93" s="420">
        <v>1</v>
      </c>
      <c r="AN93" t="s">
        <v>17650</v>
      </c>
      <c r="AO93" t="s">
        <v>17651</v>
      </c>
      <c r="AP93" t="s">
        <v>17652</v>
      </c>
      <c r="AQ93" t="s">
        <v>17653</v>
      </c>
      <c r="AR93" t="s">
        <v>1024</v>
      </c>
    </row>
    <row r="94" spans="1:44" x14ac:dyDescent="0.25">
      <c r="A94" t="s">
        <v>6991</v>
      </c>
      <c r="B94" t="s">
        <v>1875</v>
      </c>
      <c r="C94" s="410" t="s">
        <v>1876</v>
      </c>
      <c r="D94" t="s">
        <v>20317</v>
      </c>
      <c r="E94" t="s">
        <v>233</v>
      </c>
      <c r="F94" s="534">
        <v>1</v>
      </c>
      <c r="G94" t="s">
        <v>193</v>
      </c>
      <c r="H94" t="s">
        <v>194</v>
      </c>
      <c r="I94" t="s">
        <v>20399</v>
      </c>
      <c r="J94" t="s">
        <v>305</v>
      </c>
      <c r="K94" s="28" t="s">
        <v>9309</v>
      </c>
      <c r="L94" t="s">
        <v>6955</v>
      </c>
      <c r="N94" t="s">
        <v>20718</v>
      </c>
      <c r="O94" t="s">
        <v>6374</v>
      </c>
      <c r="P94" t="s">
        <v>20362</v>
      </c>
      <c r="Q94" t="s">
        <v>20715</v>
      </c>
      <c r="R94" t="s">
        <v>20317</v>
      </c>
      <c r="S94" t="s">
        <v>20719</v>
      </c>
      <c r="T94" t="s">
        <v>20720</v>
      </c>
      <c r="V94" s="28" t="s">
        <v>9753</v>
      </c>
      <c r="W94" t="s">
        <v>1877</v>
      </c>
      <c r="X94" t="s">
        <v>194</v>
      </c>
      <c r="Y94" s="28" t="s">
        <v>9300</v>
      </c>
      <c r="AB94" t="s">
        <v>9311</v>
      </c>
      <c r="AH94" t="s">
        <v>4714</v>
      </c>
      <c r="AI94" t="s">
        <v>1876</v>
      </c>
      <c r="AJ94" s="28" t="str">
        <f t="shared" si="2"/>
        <v>741304</v>
      </c>
      <c r="AK94" s="420">
        <v>1</v>
      </c>
      <c r="AL94" s="420">
        <f t="shared" si="3"/>
        <v>1</v>
      </c>
      <c r="AM94" s="420">
        <v>1</v>
      </c>
      <c r="AN94" t="s">
        <v>17650</v>
      </c>
      <c r="AO94" t="s">
        <v>17651</v>
      </c>
      <c r="AP94" t="s">
        <v>17652</v>
      </c>
      <c r="AQ94" t="s">
        <v>17653</v>
      </c>
      <c r="AR94" t="s">
        <v>1024</v>
      </c>
    </row>
    <row r="95" spans="1:44" x14ac:dyDescent="0.25">
      <c r="A95" t="s">
        <v>6991</v>
      </c>
      <c r="B95" t="s">
        <v>1875</v>
      </c>
      <c r="C95" s="410" t="s">
        <v>1876</v>
      </c>
      <c r="D95" t="s">
        <v>20317</v>
      </c>
      <c r="E95" t="s">
        <v>233</v>
      </c>
      <c r="F95" s="534">
        <v>1</v>
      </c>
      <c r="G95" t="s">
        <v>193</v>
      </c>
      <c r="H95" t="s">
        <v>194</v>
      </c>
      <c r="I95" t="s">
        <v>20399</v>
      </c>
      <c r="J95" t="s">
        <v>223</v>
      </c>
      <c r="K95" s="28" t="s">
        <v>9309</v>
      </c>
      <c r="L95" t="s">
        <v>6955</v>
      </c>
      <c r="N95" t="s">
        <v>20721</v>
      </c>
      <c r="O95" t="s">
        <v>6374</v>
      </c>
      <c r="P95" t="s">
        <v>20362</v>
      </c>
      <c r="Q95" t="s">
        <v>20715</v>
      </c>
      <c r="R95" t="s">
        <v>20317</v>
      </c>
      <c r="S95" t="s">
        <v>20722</v>
      </c>
      <c r="T95" t="s">
        <v>20723</v>
      </c>
      <c r="V95" s="28" t="s">
        <v>11163</v>
      </c>
      <c r="W95" t="s">
        <v>1877</v>
      </c>
      <c r="X95" t="s">
        <v>194</v>
      </c>
      <c r="Y95" s="28" t="s">
        <v>9300</v>
      </c>
      <c r="AB95" t="s">
        <v>9311</v>
      </c>
      <c r="AH95" t="s">
        <v>4714</v>
      </c>
      <c r="AI95" t="s">
        <v>1876</v>
      </c>
      <c r="AJ95" s="28" t="str">
        <f t="shared" si="2"/>
        <v>741304</v>
      </c>
      <c r="AK95" s="420">
        <v>1</v>
      </c>
      <c r="AL95" s="420">
        <f t="shared" si="3"/>
        <v>1</v>
      </c>
      <c r="AM95" s="420">
        <v>1</v>
      </c>
      <c r="AN95" t="s">
        <v>17650</v>
      </c>
      <c r="AO95" t="s">
        <v>17651</v>
      </c>
      <c r="AP95" t="s">
        <v>17652</v>
      </c>
      <c r="AQ95" t="s">
        <v>17653</v>
      </c>
      <c r="AR95" t="s">
        <v>1024</v>
      </c>
    </row>
    <row r="96" spans="1:44" x14ac:dyDescent="0.25">
      <c r="A96" t="s">
        <v>6991</v>
      </c>
      <c r="B96" t="s">
        <v>20724</v>
      </c>
      <c r="C96" s="410" t="s">
        <v>20725</v>
      </c>
      <c r="D96" t="s">
        <v>20326</v>
      </c>
      <c r="E96" t="s">
        <v>233</v>
      </c>
      <c r="F96" s="539">
        <v>3</v>
      </c>
      <c r="G96" t="s">
        <v>193</v>
      </c>
      <c r="H96" t="s">
        <v>194</v>
      </c>
      <c r="I96" t="s">
        <v>20360</v>
      </c>
      <c r="J96" t="s">
        <v>747</v>
      </c>
      <c r="K96" s="28" t="s">
        <v>9309</v>
      </c>
      <c r="L96" t="s">
        <v>6955</v>
      </c>
      <c r="N96" t="s">
        <v>20726</v>
      </c>
      <c r="O96" t="s">
        <v>6374</v>
      </c>
      <c r="P96" t="s">
        <v>20509</v>
      </c>
      <c r="Q96" t="s">
        <v>20510</v>
      </c>
      <c r="R96" t="s">
        <v>20360</v>
      </c>
      <c r="S96" t="s">
        <v>20727</v>
      </c>
      <c r="T96" t="s">
        <v>20728</v>
      </c>
      <c r="V96" s="28" t="s">
        <v>10397</v>
      </c>
      <c r="W96" t="s">
        <v>20729</v>
      </c>
      <c r="X96" t="s">
        <v>194</v>
      </c>
      <c r="Y96" s="28" t="s">
        <v>9300</v>
      </c>
      <c r="AB96" t="s">
        <v>9311</v>
      </c>
      <c r="AH96" t="s">
        <v>4714</v>
      </c>
      <c r="AI96" t="s">
        <v>20724</v>
      </c>
      <c r="AJ96" s="28" t="str">
        <f t="shared" si="2"/>
        <v>741305</v>
      </c>
      <c r="AK96" s="420">
        <v>1</v>
      </c>
      <c r="AL96" s="540">
        <f>F96</f>
        <v>3</v>
      </c>
      <c r="AM96" s="420">
        <v>1</v>
      </c>
      <c r="AN96" t="s">
        <v>17650</v>
      </c>
      <c r="AO96" t="s">
        <v>17651</v>
      </c>
      <c r="AP96" t="s">
        <v>17652</v>
      </c>
      <c r="AQ96" t="s">
        <v>17653</v>
      </c>
      <c r="AR96" t="s">
        <v>1024</v>
      </c>
    </row>
    <row r="97" spans="1:44" x14ac:dyDescent="0.25">
      <c r="A97" t="s">
        <v>20730</v>
      </c>
      <c r="B97" t="s">
        <v>20731</v>
      </c>
      <c r="C97" s="410" t="s">
        <v>20732</v>
      </c>
      <c r="D97" t="s">
        <v>20326</v>
      </c>
      <c r="E97" t="s">
        <v>233</v>
      </c>
      <c r="F97" s="534">
        <v>1</v>
      </c>
      <c r="G97" t="s">
        <v>193</v>
      </c>
      <c r="H97" t="s">
        <v>194</v>
      </c>
      <c r="I97" t="s">
        <v>20360</v>
      </c>
      <c r="J97" t="s">
        <v>9302</v>
      </c>
      <c r="K97" s="28" t="s">
        <v>9309</v>
      </c>
      <c r="L97" t="s">
        <v>6955</v>
      </c>
      <c r="N97" t="s">
        <v>20733</v>
      </c>
      <c r="O97" t="s">
        <v>6256</v>
      </c>
      <c r="P97" t="s">
        <v>20509</v>
      </c>
      <c r="Q97" t="s">
        <v>20510</v>
      </c>
      <c r="R97" t="s">
        <v>20338</v>
      </c>
      <c r="S97" t="s">
        <v>20734</v>
      </c>
      <c r="T97" t="s">
        <v>20735</v>
      </c>
      <c r="W97" t="s">
        <v>20736</v>
      </c>
      <c r="X97" t="s">
        <v>193</v>
      </c>
      <c r="Y97" s="28" t="s">
        <v>9310</v>
      </c>
      <c r="AB97" t="s">
        <v>9311</v>
      </c>
      <c r="AH97" t="s">
        <v>4714</v>
      </c>
      <c r="AI97" t="s">
        <v>20731</v>
      </c>
      <c r="AJ97" s="28" t="str">
        <f t="shared" si="2"/>
        <v>741217</v>
      </c>
      <c r="AK97" s="420">
        <v>1</v>
      </c>
      <c r="AL97" s="420">
        <f t="shared" si="3"/>
        <v>1</v>
      </c>
      <c r="AM97" s="420">
        <v>1</v>
      </c>
      <c r="AN97" t="s">
        <v>17650</v>
      </c>
      <c r="AO97" t="s">
        <v>17651</v>
      </c>
      <c r="AP97" t="s">
        <v>17652</v>
      </c>
      <c r="AQ97" t="s">
        <v>17653</v>
      </c>
      <c r="AR97" t="s">
        <v>1024</v>
      </c>
    </row>
    <row r="98" spans="1:44" x14ac:dyDescent="0.25">
      <c r="A98" t="s">
        <v>4514</v>
      </c>
      <c r="B98" t="s">
        <v>20737</v>
      </c>
      <c r="C98" s="410" t="s">
        <v>20738</v>
      </c>
      <c r="D98" t="s">
        <v>20338</v>
      </c>
      <c r="E98" t="s">
        <v>192</v>
      </c>
      <c r="F98" s="534">
        <v>1</v>
      </c>
      <c r="G98" t="s">
        <v>193</v>
      </c>
      <c r="H98" t="s">
        <v>194</v>
      </c>
      <c r="I98" t="s">
        <v>20441</v>
      </c>
      <c r="J98" t="s">
        <v>316</v>
      </c>
      <c r="K98" s="28" t="s">
        <v>9309</v>
      </c>
      <c r="L98" t="s">
        <v>6955</v>
      </c>
      <c r="N98" t="s">
        <v>20739</v>
      </c>
      <c r="O98" t="s">
        <v>6258</v>
      </c>
      <c r="P98" t="s">
        <v>20398</v>
      </c>
      <c r="Q98" t="s">
        <v>20399</v>
      </c>
      <c r="R98" t="s">
        <v>20400</v>
      </c>
      <c r="S98" t="s">
        <v>20740</v>
      </c>
      <c r="T98" t="s">
        <v>20741</v>
      </c>
      <c r="V98" s="28" t="s">
        <v>10012</v>
      </c>
      <c r="W98" t="s">
        <v>20742</v>
      </c>
      <c r="X98" t="s">
        <v>194</v>
      </c>
      <c r="Y98" s="28" t="s">
        <v>9300</v>
      </c>
      <c r="AB98" t="s">
        <v>9311</v>
      </c>
      <c r="AH98" t="s">
        <v>4714</v>
      </c>
      <c r="AI98" t="s">
        <v>20737</v>
      </c>
      <c r="AJ98" s="28" t="str">
        <f t="shared" si="2"/>
        <v>741219</v>
      </c>
      <c r="AK98" s="420">
        <v>1</v>
      </c>
      <c r="AL98" s="420">
        <f t="shared" si="3"/>
        <v>1</v>
      </c>
      <c r="AM98" s="420">
        <v>1</v>
      </c>
      <c r="AN98" t="s">
        <v>17650</v>
      </c>
      <c r="AO98" t="s">
        <v>17651</v>
      </c>
      <c r="AP98" t="s">
        <v>17652</v>
      </c>
      <c r="AQ98" t="s">
        <v>17653</v>
      </c>
      <c r="AR98" t="s">
        <v>1024</v>
      </c>
    </row>
    <row r="99" spans="1:44" x14ac:dyDescent="0.25">
      <c r="A99" t="s">
        <v>18534</v>
      </c>
      <c r="B99" t="s">
        <v>20743</v>
      </c>
      <c r="C99" s="410" t="s">
        <v>13382</v>
      </c>
      <c r="D99" t="s">
        <v>20306</v>
      </c>
      <c r="E99" t="s">
        <v>192</v>
      </c>
      <c r="F99" s="534">
        <v>1</v>
      </c>
      <c r="G99" t="s">
        <v>193</v>
      </c>
      <c r="H99" t="s">
        <v>194</v>
      </c>
      <c r="I99" t="s">
        <v>20483</v>
      </c>
      <c r="J99" t="s">
        <v>9302</v>
      </c>
      <c r="K99" s="28" t="s">
        <v>9309</v>
      </c>
      <c r="L99" t="s">
        <v>6955</v>
      </c>
      <c r="N99" t="s">
        <v>20744</v>
      </c>
      <c r="O99" t="s">
        <v>7531</v>
      </c>
      <c r="P99" t="s">
        <v>20309</v>
      </c>
      <c r="Q99" t="s">
        <v>20310</v>
      </c>
      <c r="R99" t="s">
        <v>20311</v>
      </c>
      <c r="S99" t="s">
        <v>20745</v>
      </c>
      <c r="T99" t="s">
        <v>20746</v>
      </c>
      <c r="W99" t="s">
        <v>13387</v>
      </c>
      <c r="X99" t="s">
        <v>193</v>
      </c>
      <c r="Y99" s="28" t="s">
        <v>9310</v>
      </c>
      <c r="AB99" t="s">
        <v>9311</v>
      </c>
      <c r="AH99" t="s">
        <v>4714</v>
      </c>
      <c r="AI99" t="s">
        <v>20743</v>
      </c>
      <c r="AJ99" s="28" t="str">
        <f t="shared" si="2"/>
        <v>431102</v>
      </c>
      <c r="AK99" s="420">
        <v>1</v>
      </c>
      <c r="AL99" s="420">
        <f t="shared" si="3"/>
        <v>1</v>
      </c>
      <c r="AM99" s="420">
        <v>1</v>
      </c>
      <c r="AN99" t="s">
        <v>17650</v>
      </c>
      <c r="AO99" t="s">
        <v>17651</v>
      </c>
      <c r="AP99" t="s">
        <v>17652</v>
      </c>
      <c r="AQ99" t="s">
        <v>17653</v>
      </c>
      <c r="AR99" t="s">
        <v>1024</v>
      </c>
    </row>
    <row r="100" spans="1:44" x14ac:dyDescent="0.25">
      <c r="A100" t="s">
        <v>18534</v>
      </c>
      <c r="B100" t="s">
        <v>20743</v>
      </c>
      <c r="C100" s="410" t="s">
        <v>13382</v>
      </c>
      <c r="D100" t="s">
        <v>20306</v>
      </c>
      <c r="E100" t="s">
        <v>192</v>
      </c>
      <c r="F100" s="534">
        <v>1</v>
      </c>
      <c r="G100" t="s">
        <v>193</v>
      </c>
      <c r="H100" t="s">
        <v>194</v>
      </c>
      <c r="I100" t="s">
        <v>20483</v>
      </c>
      <c r="J100" t="s">
        <v>9302</v>
      </c>
      <c r="K100" s="28" t="s">
        <v>9309</v>
      </c>
      <c r="L100" t="s">
        <v>6955</v>
      </c>
      <c r="N100" t="s">
        <v>20747</v>
      </c>
      <c r="O100" t="s">
        <v>7531</v>
      </c>
      <c r="P100" t="s">
        <v>20309</v>
      </c>
      <c r="Q100" t="s">
        <v>20310</v>
      </c>
      <c r="R100" t="s">
        <v>20311</v>
      </c>
      <c r="S100" t="s">
        <v>20748</v>
      </c>
      <c r="T100" t="s">
        <v>20749</v>
      </c>
      <c r="W100" t="s">
        <v>13387</v>
      </c>
      <c r="X100" t="s">
        <v>193</v>
      </c>
      <c r="Y100" s="28" t="s">
        <v>9310</v>
      </c>
      <c r="AB100" t="s">
        <v>9311</v>
      </c>
      <c r="AH100" t="s">
        <v>4714</v>
      </c>
      <c r="AI100" t="s">
        <v>20743</v>
      </c>
      <c r="AJ100" s="28" t="str">
        <f t="shared" si="2"/>
        <v>431102</v>
      </c>
      <c r="AK100" s="420">
        <v>1</v>
      </c>
      <c r="AL100" s="420">
        <f t="shared" si="3"/>
        <v>1</v>
      </c>
      <c r="AM100" s="420">
        <v>1</v>
      </c>
      <c r="AN100" t="s">
        <v>17650</v>
      </c>
      <c r="AO100" t="s">
        <v>17651</v>
      </c>
      <c r="AP100" t="s">
        <v>17652</v>
      </c>
      <c r="AQ100" t="s">
        <v>17653</v>
      </c>
      <c r="AR100" t="s">
        <v>1024</v>
      </c>
    </row>
    <row r="101" spans="1:44" x14ac:dyDescent="0.25">
      <c r="A101" t="s">
        <v>8603</v>
      </c>
      <c r="B101" t="s">
        <v>20750</v>
      </c>
      <c r="C101" s="410" t="s">
        <v>22</v>
      </c>
      <c r="D101" t="s">
        <v>20317</v>
      </c>
      <c r="E101" t="s">
        <v>233</v>
      </c>
      <c r="F101" s="534">
        <v>1</v>
      </c>
      <c r="G101" t="s">
        <v>193</v>
      </c>
      <c r="H101" t="s">
        <v>194</v>
      </c>
      <c r="I101" t="s">
        <v>20389</v>
      </c>
      <c r="J101" t="s">
        <v>9302</v>
      </c>
      <c r="K101" s="28" t="s">
        <v>9309</v>
      </c>
      <c r="L101" t="s">
        <v>6955</v>
      </c>
      <c r="N101" t="s">
        <v>20751</v>
      </c>
      <c r="O101" t="s">
        <v>6288</v>
      </c>
      <c r="P101" t="s">
        <v>20565</v>
      </c>
      <c r="Q101" t="s">
        <v>20566</v>
      </c>
      <c r="R101" t="s">
        <v>20567</v>
      </c>
      <c r="S101" t="s">
        <v>20752</v>
      </c>
      <c r="T101" t="s">
        <v>20753</v>
      </c>
      <c r="W101" t="s">
        <v>1608</v>
      </c>
      <c r="X101" t="s">
        <v>193</v>
      </c>
      <c r="Y101" s="28" t="s">
        <v>9310</v>
      </c>
      <c r="AB101" t="s">
        <v>9311</v>
      </c>
      <c r="AH101" t="s">
        <v>4714</v>
      </c>
      <c r="AI101" t="s">
        <v>20750</v>
      </c>
      <c r="AJ101" s="28" t="str">
        <f t="shared" si="2"/>
        <v>228101</v>
      </c>
      <c r="AK101" s="420">
        <v>1</v>
      </c>
      <c r="AL101" s="420">
        <f t="shared" si="3"/>
        <v>1</v>
      </c>
      <c r="AM101" s="420">
        <v>1</v>
      </c>
      <c r="AN101" t="s">
        <v>17650</v>
      </c>
      <c r="AO101" t="s">
        <v>17651</v>
      </c>
      <c r="AP101" t="s">
        <v>17652</v>
      </c>
      <c r="AQ101" t="s">
        <v>17653</v>
      </c>
      <c r="AR101" t="s">
        <v>1024</v>
      </c>
    </row>
    <row r="102" spans="1:44" x14ac:dyDescent="0.25">
      <c r="A102" t="s">
        <v>10886</v>
      </c>
      <c r="B102" t="s">
        <v>1606</v>
      </c>
      <c r="C102" s="410" t="s">
        <v>22</v>
      </c>
      <c r="D102" t="s">
        <v>20317</v>
      </c>
      <c r="E102" t="s">
        <v>192</v>
      </c>
      <c r="F102" s="534">
        <v>1</v>
      </c>
      <c r="G102" t="s">
        <v>193</v>
      </c>
      <c r="H102" t="s">
        <v>194</v>
      </c>
      <c r="I102" t="s">
        <v>20389</v>
      </c>
      <c r="J102" t="s">
        <v>276</v>
      </c>
      <c r="K102" s="28" t="s">
        <v>9309</v>
      </c>
      <c r="L102" t="s">
        <v>6955</v>
      </c>
      <c r="N102" t="s">
        <v>20754</v>
      </c>
      <c r="O102" t="s">
        <v>6288</v>
      </c>
      <c r="P102" t="s">
        <v>20320</v>
      </c>
      <c r="Q102" t="s">
        <v>20321</v>
      </c>
      <c r="R102" t="s">
        <v>20322</v>
      </c>
      <c r="S102" t="s">
        <v>20755</v>
      </c>
      <c r="T102" t="s">
        <v>20756</v>
      </c>
      <c r="V102" s="28" t="s">
        <v>9786</v>
      </c>
      <c r="W102" t="s">
        <v>1608</v>
      </c>
      <c r="X102" t="s">
        <v>194</v>
      </c>
      <c r="Y102" s="28" t="s">
        <v>9300</v>
      </c>
      <c r="AB102" t="s">
        <v>9311</v>
      </c>
      <c r="AH102" t="s">
        <v>4714</v>
      </c>
      <c r="AI102" t="s">
        <v>1606</v>
      </c>
      <c r="AJ102" s="28" t="str">
        <f t="shared" si="2"/>
        <v>228101</v>
      </c>
      <c r="AK102" s="420">
        <v>1</v>
      </c>
      <c r="AL102" s="420">
        <f t="shared" si="3"/>
        <v>1</v>
      </c>
      <c r="AM102" s="420">
        <v>1</v>
      </c>
      <c r="AN102" t="s">
        <v>17650</v>
      </c>
      <c r="AO102" t="s">
        <v>17651</v>
      </c>
      <c r="AP102" t="s">
        <v>17652</v>
      </c>
      <c r="AQ102" t="s">
        <v>17653</v>
      </c>
      <c r="AR102" t="s">
        <v>1024</v>
      </c>
    </row>
    <row r="103" spans="1:44" x14ac:dyDescent="0.25">
      <c r="A103" t="s">
        <v>10886</v>
      </c>
      <c r="B103" t="s">
        <v>1606</v>
      </c>
      <c r="C103" s="410" t="s">
        <v>22</v>
      </c>
      <c r="D103" t="s">
        <v>20317</v>
      </c>
      <c r="E103" t="s">
        <v>192</v>
      </c>
      <c r="F103" s="534">
        <v>1</v>
      </c>
      <c r="G103" t="s">
        <v>193</v>
      </c>
      <c r="H103" t="s">
        <v>194</v>
      </c>
      <c r="I103" t="s">
        <v>20389</v>
      </c>
      <c r="J103" t="s">
        <v>4751</v>
      </c>
      <c r="K103" s="28" t="s">
        <v>9309</v>
      </c>
      <c r="L103" t="s">
        <v>6955</v>
      </c>
      <c r="N103" t="s">
        <v>20757</v>
      </c>
      <c r="O103" t="s">
        <v>6288</v>
      </c>
      <c r="P103" t="s">
        <v>20320</v>
      </c>
      <c r="Q103" t="s">
        <v>20321</v>
      </c>
      <c r="R103" t="s">
        <v>20322</v>
      </c>
      <c r="S103" t="s">
        <v>20758</v>
      </c>
      <c r="T103" t="s">
        <v>20759</v>
      </c>
      <c r="V103" s="28" t="s">
        <v>9472</v>
      </c>
      <c r="W103" t="s">
        <v>1608</v>
      </c>
      <c r="X103" t="s">
        <v>194</v>
      </c>
      <c r="Y103" s="28" t="s">
        <v>9300</v>
      </c>
      <c r="AB103" t="s">
        <v>9311</v>
      </c>
      <c r="AH103" t="s">
        <v>4714</v>
      </c>
      <c r="AI103" t="s">
        <v>1606</v>
      </c>
      <c r="AJ103" s="28" t="str">
        <f t="shared" si="2"/>
        <v>228101</v>
      </c>
      <c r="AK103" s="420">
        <v>1</v>
      </c>
      <c r="AL103" s="420">
        <f t="shared" si="3"/>
        <v>1</v>
      </c>
      <c r="AM103" s="420">
        <v>1</v>
      </c>
      <c r="AN103" t="s">
        <v>17650</v>
      </c>
      <c r="AO103" t="s">
        <v>17651</v>
      </c>
      <c r="AP103" t="s">
        <v>17652</v>
      </c>
      <c r="AQ103" t="s">
        <v>17653</v>
      </c>
      <c r="AR103" t="s">
        <v>1024</v>
      </c>
    </row>
    <row r="104" spans="1:44" x14ac:dyDescent="0.25">
      <c r="A104" t="s">
        <v>10886</v>
      </c>
      <c r="B104" t="s">
        <v>1606</v>
      </c>
      <c r="C104" s="410" t="s">
        <v>22</v>
      </c>
      <c r="D104" t="s">
        <v>20317</v>
      </c>
      <c r="E104" t="s">
        <v>192</v>
      </c>
      <c r="F104" s="534">
        <v>1</v>
      </c>
      <c r="G104" t="s">
        <v>193</v>
      </c>
      <c r="H104" t="s">
        <v>194</v>
      </c>
      <c r="I104" t="s">
        <v>20389</v>
      </c>
      <c r="J104" t="s">
        <v>385</v>
      </c>
      <c r="K104" s="28" t="s">
        <v>9309</v>
      </c>
      <c r="L104" t="s">
        <v>6955</v>
      </c>
      <c r="N104" t="s">
        <v>20760</v>
      </c>
      <c r="O104" t="s">
        <v>6288</v>
      </c>
      <c r="P104" t="s">
        <v>20320</v>
      </c>
      <c r="Q104" t="s">
        <v>20321</v>
      </c>
      <c r="R104" t="s">
        <v>20322</v>
      </c>
      <c r="S104" t="s">
        <v>20761</v>
      </c>
      <c r="T104" t="s">
        <v>20762</v>
      </c>
      <c r="V104" s="28" t="s">
        <v>9410</v>
      </c>
      <c r="W104" t="s">
        <v>1608</v>
      </c>
      <c r="X104" t="s">
        <v>194</v>
      </c>
      <c r="Y104" s="28" t="s">
        <v>9300</v>
      </c>
      <c r="AB104" t="s">
        <v>9311</v>
      </c>
      <c r="AH104" t="s">
        <v>4714</v>
      </c>
      <c r="AI104" t="s">
        <v>1606</v>
      </c>
      <c r="AJ104" s="28" t="str">
        <f t="shared" si="2"/>
        <v>228101</v>
      </c>
      <c r="AK104" s="420">
        <v>1</v>
      </c>
      <c r="AL104" s="420">
        <f t="shared" si="3"/>
        <v>1</v>
      </c>
      <c r="AM104" s="420">
        <v>1</v>
      </c>
      <c r="AN104" t="s">
        <v>17650</v>
      </c>
      <c r="AO104" t="s">
        <v>17651</v>
      </c>
      <c r="AP104" t="s">
        <v>17652</v>
      </c>
      <c r="AQ104" t="s">
        <v>17653</v>
      </c>
      <c r="AR104" t="s">
        <v>1024</v>
      </c>
    </row>
    <row r="105" spans="1:44" x14ac:dyDescent="0.25">
      <c r="A105" t="s">
        <v>10886</v>
      </c>
      <c r="B105" t="s">
        <v>1606</v>
      </c>
      <c r="C105" s="410" t="s">
        <v>22</v>
      </c>
      <c r="D105" t="s">
        <v>20317</v>
      </c>
      <c r="E105" t="s">
        <v>192</v>
      </c>
      <c r="F105" s="534">
        <v>1</v>
      </c>
      <c r="G105" t="s">
        <v>193</v>
      </c>
      <c r="H105" t="s">
        <v>194</v>
      </c>
      <c r="I105" t="s">
        <v>20389</v>
      </c>
      <c r="J105" t="s">
        <v>223</v>
      </c>
      <c r="K105" s="28" t="s">
        <v>9309</v>
      </c>
      <c r="L105" t="s">
        <v>6955</v>
      </c>
      <c r="N105" t="s">
        <v>20763</v>
      </c>
      <c r="O105" t="s">
        <v>6288</v>
      </c>
      <c r="P105" t="s">
        <v>20320</v>
      </c>
      <c r="Q105" t="s">
        <v>20321</v>
      </c>
      <c r="R105" t="s">
        <v>20322</v>
      </c>
      <c r="S105" t="s">
        <v>20764</v>
      </c>
      <c r="T105" t="s">
        <v>20765</v>
      </c>
      <c r="V105" s="28" t="s">
        <v>11163</v>
      </c>
      <c r="W105" t="s">
        <v>1608</v>
      </c>
      <c r="X105" t="s">
        <v>194</v>
      </c>
      <c r="Y105" s="28" t="s">
        <v>9300</v>
      </c>
      <c r="AB105" t="s">
        <v>9311</v>
      </c>
      <c r="AH105" t="s">
        <v>4714</v>
      </c>
      <c r="AI105" t="s">
        <v>1606</v>
      </c>
      <c r="AJ105" s="28" t="str">
        <f t="shared" si="2"/>
        <v>228101</v>
      </c>
      <c r="AK105" s="420">
        <v>1</v>
      </c>
      <c r="AL105" s="420">
        <f t="shared" si="3"/>
        <v>1</v>
      </c>
      <c r="AM105" s="420">
        <v>1</v>
      </c>
      <c r="AN105" t="s">
        <v>17650</v>
      </c>
      <c r="AO105" t="s">
        <v>17651</v>
      </c>
      <c r="AP105" t="s">
        <v>17652</v>
      </c>
      <c r="AQ105" t="s">
        <v>17653</v>
      </c>
      <c r="AR105" t="s">
        <v>1024</v>
      </c>
    </row>
    <row r="106" spans="1:44" x14ac:dyDescent="0.25">
      <c r="A106" t="s">
        <v>4693</v>
      </c>
      <c r="B106" t="s">
        <v>1606</v>
      </c>
      <c r="C106" s="410" t="s">
        <v>22</v>
      </c>
      <c r="D106" t="s">
        <v>20338</v>
      </c>
      <c r="E106" t="s">
        <v>233</v>
      </c>
      <c r="F106" s="534">
        <v>1</v>
      </c>
      <c r="G106" t="s">
        <v>193</v>
      </c>
      <c r="H106" t="s">
        <v>194</v>
      </c>
      <c r="I106" t="s">
        <v>20405</v>
      </c>
      <c r="J106" t="s">
        <v>408</v>
      </c>
      <c r="K106" s="28" t="s">
        <v>9309</v>
      </c>
      <c r="L106" t="s">
        <v>6955</v>
      </c>
      <c r="N106" t="s">
        <v>20766</v>
      </c>
      <c r="O106" t="s">
        <v>6288</v>
      </c>
      <c r="P106" t="s">
        <v>20541</v>
      </c>
      <c r="Q106" t="s">
        <v>20389</v>
      </c>
      <c r="R106" t="s">
        <v>20542</v>
      </c>
      <c r="S106" t="s">
        <v>20767</v>
      </c>
      <c r="T106" t="s">
        <v>20768</v>
      </c>
      <c r="V106" s="28" t="s">
        <v>9479</v>
      </c>
      <c r="W106" t="s">
        <v>1608</v>
      </c>
      <c r="X106" t="s">
        <v>194</v>
      </c>
      <c r="Y106" s="28" t="s">
        <v>9300</v>
      </c>
      <c r="AB106" t="s">
        <v>9311</v>
      </c>
      <c r="AH106" t="s">
        <v>4714</v>
      </c>
      <c r="AI106" t="s">
        <v>1606</v>
      </c>
      <c r="AJ106" s="28" t="str">
        <f t="shared" si="2"/>
        <v>228101</v>
      </c>
      <c r="AK106" s="420">
        <v>1</v>
      </c>
      <c r="AL106" s="420">
        <f t="shared" si="3"/>
        <v>1</v>
      </c>
      <c r="AM106" s="420">
        <v>1</v>
      </c>
      <c r="AN106" t="s">
        <v>17650</v>
      </c>
      <c r="AO106" t="s">
        <v>17651</v>
      </c>
      <c r="AP106" t="s">
        <v>17652</v>
      </c>
      <c r="AQ106" t="s">
        <v>17653</v>
      </c>
      <c r="AR106" t="s">
        <v>1024</v>
      </c>
    </row>
    <row r="107" spans="1:44" x14ac:dyDescent="0.25">
      <c r="A107" t="s">
        <v>15269</v>
      </c>
      <c r="B107" t="s">
        <v>20769</v>
      </c>
      <c r="C107" s="410" t="s">
        <v>22</v>
      </c>
      <c r="D107" t="s">
        <v>20306</v>
      </c>
      <c r="E107" t="s">
        <v>233</v>
      </c>
      <c r="F107" s="534">
        <v>1</v>
      </c>
      <c r="G107" t="s">
        <v>193</v>
      </c>
      <c r="H107" t="s">
        <v>194</v>
      </c>
      <c r="I107" t="s">
        <v>20307</v>
      </c>
      <c r="J107" t="s">
        <v>408</v>
      </c>
      <c r="K107" s="28" t="s">
        <v>9309</v>
      </c>
      <c r="L107" t="s">
        <v>6955</v>
      </c>
      <c r="N107" t="s">
        <v>20770</v>
      </c>
      <c r="O107" t="s">
        <v>6288</v>
      </c>
      <c r="P107" t="s">
        <v>20417</v>
      </c>
      <c r="Q107" t="s">
        <v>20405</v>
      </c>
      <c r="R107" t="s">
        <v>20418</v>
      </c>
      <c r="S107" t="s">
        <v>20771</v>
      </c>
      <c r="T107" t="s">
        <v>20772</v>
      </c>
      <c r="V107" s="28" t="s">
        <v>9479</v>
      </c>
      <c r="W107" t="s">
        <v>1608</v>
      </c>
      <c r="X107" t="s">
        <v>194</v>
      </c>
      <c r="Y107" s="28" t="s">
        <v>9300</v>
      </c>
      <c r="AB107" t="s">
        <v>9311</v>
      </c>
      <c r="AH107" t="s">
        <v>4714</v>
      </c>
      <c r="AI107" t="s">
        <v>20769</v>
      </c>
      <c r="AJ107" s="28" t="str">
        <f t="shared" si="2"/>
        <v>228101</v>
      </c>
      <c r="AK107" s="420">
        <v>1</v>
      </c>
      <c r="AL107" s="420">
        <f t="shared" si="3"/>
        <v>1</v>
      </c>
      <c r="AM107" s="420">
        <v>1</v>
      </c>
      <c r="AN107" t="s">
        <v>17650</v>
      </c>
      <c r="AO107" t="s">
        <v>17651</v>
      </c>
      <c r="AP107" t="s">
        <v>17652</v>
      </c>
      <c r="AQ107" t="s">
        <v>17653</v>
      </c>
      <c r="AR107" t="s">
        <v>1024</v>
      </c>
    </row>
    <row r="108" spans="1:44" x14ac:dyDescent="0.25">
      <c r="A108" t="s">
        <v>20773</v>
      </c>
      <c r="B108" t="s">
        <v>20774</v>
      </c>
      <c r="C108" s="410" t="s">
        <v>31</v>
      </c>
      <c r="D108" t="s">
        <v>20326</v>
      </c>
      <c r="E108" t="s">
        <v>233</v>
      </c>
      <c r="F108" s="534">
        <v>1</v>
      </c>
      <c r="G108" t="s">
        <v>193</v>
      </c>
      <c r="H108" t="s">
        <v>194</v>
      </c>
      <c r="I108" t="s">
        <v>20333</v>
      </c>
      <c r="J108" t="s">
        <v>210</v>
      </c>
      <c r="K108" s="28" t="s">
        <v>9309</v>
      </c>
      <c r="L108" t="s">
        <v>6955</v>
      </c>
      <c r="N108" t="s">
        <v>20775</v>
      </c>
      <c r="O108" t="s">
        <v>6288</v>
      </c>
      <c r="P108" t="s">
        <v>20509</v>
      </c>
      <c r="Q108" t="s">
        <v>20510</v>
      </c>
      <c r="R108" t="s">
        <v>20306</v>
      </c>
      <c r="S108" t="s">
        <v>20776</v>
      </c>
      <c r="T108" t="s">
        <v>20777</v>
      </c>
      <c r="V108" s="28" t="s">
        <v>9334</v>
      </c>
      <c r="W108" t="s">
        <v>1884</v>
      </c>
      <c r="X108" t="s">
        <v>194</v>
      </c>
      <c r="Y108" s="28" t="s">
        <v>9300</v>
      </c>
      <c r="AB108" t="s">
        <v>9311</v>
      </c>
      <c r="AH108" t="s">
        <v>4714</v>
      </c>
      <c r="AI108" t="s">
        <v>20774</v>
      </c>
      <c r="AJ108" s="28" t="str">
        <f t="shared" si="2"/>
        <v>229201</v>
      </c>
      <c r="AK108" s="420">
        <v>1</v>
      </c>
      <c r="AL108" s="420">
        <f t="shared" si="3"/>
        <v>1</v>
      </c>
      <c r="AM108" s="420">
        <v>1</v>
      </c>
      <c r="AN108" t="s">
        <v>17650</v>
      </c>
      <c r="AO108" t="s">
        <v>17651</v>
      </c>
      <c r="AP108" t="s">
        <v>17652</v>
      </c>
      <c r="AQ108" t="s">
        <v>17653</v>
      </c>
      <c r="AR108" t="s">
        <v>1024</v>
      </c>
    </row>
    <row r="109" spans="1:44" x14ac:dyDescent="0.25">
      <c r="A109" t="s">
        <v>20778</v>
      </c>
      <c r="B109" t="s">
        <v>1524</v>
      </c>
      <c r="C109" s="410" t="s">
        <v>86</v>
      </c>
      <c r="D109" t="s">
        <v>20317</v>
      </c>
      <c r="E109" t="s">
        <v>192</v>
      </c>
      <c r="F109" s="534">
        <v>1</v>
      </c>
      <c r="G109" t="s">
        <v>193</v>
      </c>
      <c r="H109" t="s">
        <v>194</v>
      </c>
      <c r="I109" t="s">
        <v>20360</v>
      </c>
      <c r="J109" t="s">
        <v>9302</v>
      </c>
      <c r="K109" s="28" t="s">
        <v>9309</v>
      </c>
      <c r="L109" t="s">
        <v>6955</v>
      </c>
      <c r="N109" t="s">
        <v>20779</v>
      </c>
      <c r="O109" t="s">
        <v>6254</v>
      </c>
      <c r="P109" t="s">
        <v>20362</v>
      </c>
      <c r="Q109" t="s">
        <v>20321</v>
      </c>
      <c r="R109" t="s">
        <v>20322</v>
      </c>
      <c r="S109" t="s">
        <v>20780</v>
      </c>
      <c r="T109" t="s">
        <v>20781</v>
      </c>
      <c r="W109" t="s">
        <v>1107</v>
      </c>
      <c r="X109" t="s">
        <v>193</v>
      </c>
      <c r="Y109" s="28" t="s">
        <v>9310</v>
      </c>
      <c r="AB109" t="s">
        <v>9311</v>
      </c>
      <c r="AH109" t="s">
        <v>4714</v>
      </c>
      <c r="AI109" t="s">
        <v>86</v>
      </c>
      <c r="AJ109" s="28" t="str">
        <f t="shared" si="2"/>
        <v>121101</v>
      </c>
      <c r="AK109" s="420">
        <v>1</v>
      </c>
      <c r="AL109" s="420">
        <f t="shared" si="3"/>
        <v>1</v>
      </c>
      <c r="AM109" s="420">
        <v>1</v>
      </c>
      <c r="AN109" t="s">
        <v>17650</v>
      </c>
      <c r="AO109" t="s">
        <v>17651</v>
      </c>
      <c r="AP109" t="s">
        <v>17652</v>
      </c>
      <c r="AQ109" t="s">
        <v>17653</v>
      </c>
      <c r="AR109" t="s">
        <v>1024</v>
      </c>
    </row>
    <row r="110" spans="1:44" x14ac:dyDescent="0.25">
      <c r="A110" t="s">
        <v>20782</v>
      </c>
      <c r="B110" t="s">
        <v>7315</v>
      </c>
      <c r="C110" s="410" t="s">
        <v>86</v>
      </c>
      <c r="D110" t="s">
        <v>20338</v>
      </c>
      <c r="E110" t="s">
        <v>192</v>
      </c>
      <c r="F110" s="534">
        <v>1</v>
      </c>
      <c r="G110" t="s">
        <v>193</v>
      </c>
      <c r="H110" t="s">
        <v>194</v>
      </c>
      <c r="I110" t="s">
        <v>20310</v>
      </c>
      <c r="J110" t="s">
        <v>276</v>
      </c>
      <c r="K110" s="28" t="s">
        <v>9309</v>
      </c>
      <c r="L110" t="s">
        <v>6955</v>
      </c>
      <c r="N110" t="s">
        <v>20783</v>
      </c>
      <c r="O110" t="s">
        <v>7531</v>
      </c>
      <c r="P110" t="s">
        <v>20398</v>
      </c>
      <c r="Q110" t="s">
        <v>20399</v>
      </c>
      <c r="R110" t="s">
        <v>20400</v>
      </c>
      <c r="S110" t="s">
        <v>20784</v>
      </c>
      <c r="T110" t="s">
        <v>20785</v>
      </c>
      <c r="V110" s="28" t="s">
        <v>9786</v>
      </c>
      <c r="W110" t="s">
        <v>1107</v>
      </c>
      <c r="X110" t="s">
        <v>194</v>
      </c>
      <c r="Y110" s="28" t="s">
        <v>9300</v>
      </c>
      <c r="AB110" t="s">
        <v>9311</v>
      </c>
      <c r="AH110" t="s">
        <v>4714</v>
      </c>
      <c r="AI110" t="s">
        <v>7315</v>
      </c>
      <c r="AJ110" s="28" t="str">
        <f t="shared" si="2"/>
        <v>121101</v>
      </c>
      <c r="AK110" s="420">
        <v>1</v>
      </c>
      <c r="AL110" s="420">
        <f t="shared" si="3"/>
        <v>1</v>
      </c>
      <c r="AM110" s="420">
        <v>1</v>
      </c>
      <c r="AN110" t="s">
        <v>17650</v>
      </c>
      <c r="AO110" t="s">
        <v>17651</v>
      </c>
      <c r="AP110" t="s">
        <v>17652</v>
      </c>
      <c r="AQ110" t="s">
        <v>17653</v>
      </c>
      <c r="AR110" t="s">
        <v>1024</v>
      </c>
    </row>
    <row r="111" spans="1:44" x14ac:dyDescent="0.25">
      <c r="A111" t="s">
        <v>4022</v>
      </c>
      <c r="B111" t="s">
        <v>8022</v>
      </c>
      <c r="C111" s="410" t="s">
        <v>7617</v>
      </c>
      <c r="D111" t="s">
        <v>20326</v>
      </c>
      <c r="E111" t="s">
        <v>217</v>
      </c>
      <c r="F111" s="534">
        <v>1</v>
      </c>
      <c r="G111" t="s">
        <v>193</v>
      </c>
      <c r="H111" t="s">
        <v>194</v>
      </c>
      <c r="I111" t="s">
        <v>20389</v>
      </c>
      <c r="J111" t="s">
        <v>210</v>
      </c>
      <c r="K111" s="28" t="s">
        <v>9309</v>
      </c>
      <c r="L111" t="s">
        <v>6955</v>
      </c>
      <c r="N111" t="s">
        <v>20786</v>
      </c>
      <c r="O111" t="s">
        <v>6290</v>
      </c>
      <c r="P111" t="s">
        <v>20372</v>
      </c>
      <c r="Q111" t="s">
        <v>20373</v>
      </c>
      <c r="R111" t="s">
        <v>20338</v>
      </c>
      <c r="S111" t="s">
        <v>20787</v>
      </c>
      <c r="T111" t="s">
        <v>20788</v>
      </c>
      <c r="V111" s="28" t="s">
        <v>9334</v>
      </c>
      <c r="W111" t="s">
        <v>7620</v>
      </c>
      <c r="X111" t="s">
        <v>194</v>
      </c>
      <c r="Y111" s="28" t="s">
        <v>9300</v>
      </c>
      <c r="AB111" t="s">
        <v>9311</v>
      </c>
      <c r="AH111" t="s">
        <v>4714</v>
      </c>
      <c r="AI111" t="s">
        <v>9433</v>
      </c>
      <c r="AJ111" s="28" t="str">
        <f t="shared" si="2"/>
        <v>516903</v>
      </c>
      <c r="AK111" s="420">
        <v>1</v>
      </c>
      <c r="AL111" s="420">
        <f t="shared" si="3"/>
        <v>1</v>
      </c>
      <c r="AM111" s="420">
        <v>1</v>
      </c>
      <c r="AN111" t="s">
        <v>17650</v>
      </c>
      <c r="AO111" t="s">
        <v>17651</v>
      </c>
      <c r="AP111" t="s">
        <v>17652</v>
      </c>
      <c r="AQ111" t="s">
        <v>17653</v>
      </c>
      <c r="AR111" t="s">
        <v>1024</v>
      </c>
    </row>
    <row r="112" spans="1:44" x14ac:dyDescent="0.25">
      <c r="A112" t="s">
        <v>4022</v>
      </c>
      <c r="B112" t="s">
        <v>8022</v>
      </c>
      <c r="C112" s="410" t="s">
        <v>7617</v>
      </c>
      <c r="D112" t="s">
        <v>20317</v>
      </c>
      <c r="E112" t="s">
        <v>217</v>
      </c>
      <c r="F112" s="534">
        <v>1</v>
      </c>
      <c r="G112" t="s">
        <v>194</v>
      </c>
      <c r="H112" t="s">
        <v>193</v>
      </c>
      <c r="I112" t="s">
        <v>20389</v>
      </c>
      <c r="J112" t="s">
        <v>210</v>
      </c>
      <c r="K112" s="28" t="s">
        <v>9309</v>
      </c>
      <c r="L112" t="s">
        <v>6955</v>
      </c>
      <c r="N112" t="s">
        <v>20786</v>
      </c>
      <c r="O112" t="s">
        <v>6290</v>
      </c>
      <c r="P112" t="s">
        <v>20376</v>
      </c>
      <c r="Q112" t="s">
        <v>20326</v>
      </c>
      <c r="R112" t="s">
        <v>20338</v>
      </c>
      <c r="S112" t="s">
        <v>20789</v>
      </c>
      <c r="T112" t="s">
        <v>20790</v>
      </c>
      <c r="V112" s="28" t="s">
        <v>9334</v>
      </c>
      <c r="W112" t="s">
        <v>7620</v>
      </c>
      <c r="X112" t="s">
        <v>194</v>
      </c>
      <c r="Y112" s="28" t="s">
        <v>9300</v>
      </c>
      <c r="AB112" t="s">
        <v>9311</v>
      </c>
      <c r="AH112" t="s">
        <v>4714</v>
      </c>
      <c r="AI112" t="s">
        <v>9433</v>
      </c>
      <c r="AJ112" s="28" t="str">
        <f t="shared" si="2"/>
        <v>516903</v>
      </c>
      <c r="AK112" s="420">
        <v>1</v>
      </c>
      <c r="AL112" s="420">
        <f t="shared" si="3"/>
        <v>1</v>
      </c>
      <c r="AM112" s="420">
        <v>1</v>
      </c>
      <c r="AN112" t="s">
        <v>17650</v>
      </c>
      <c r="AO112" t="s">
        <v>17651</v>
      </c>
      <c r="AP112" t="s">
        <v>17652</v>
      </c>
      <c r="AQ112" t="s">
        <v>17653</v>
      </c>
      <c r="AR112" t="s">
        <v>1024</v>
      </c>
    </row>
    <row r="113" spans="1:44" x14ac:dyDescent="0.25">
      <c r="A113" t="s">
        <v>4022</v>
      </c>
      <c r="B113" t="s">
        <v>8022</v>
      </c>
      <c r="C113" s="410" t="s">
        <v>7617</v>
      </c>
      <c r="D113" t="s">
        <v>20360</v>
      </c>
      <c r="E113" t="s">
        <v>217</v>
      </c>
      <c r="F113" s="534">
        <v>1</v>
      </c>
      <c r="G113" t="s">
        <v>194</v>
      </c>
      <c r="H113" t="s">
        <v>193</v>
      </c>
      <c r="I113" t="s">
        <v>20389</v>
      </c>
      <c r="J113" t="s">
        <v>210</v>
      </c>
      <c r="K113" s="28" t="s">
        <v>9309</v>
      </c>
      <c r="L113" t="s">
        <v>6955</v>
      </c>
      <c r="N113" t="s">
        <v>20786</v>
      </c>
      <c r="O113" t="s">
        <v>6290</v>
      </c>
      <c r="P113" t="s">
        <v>20393</v>
      </c>
      <c r="Q113" t="s">
        <v>20317</v>
      </c>
      <c r="R113" t="s">
        <v>20338</v>
      </c>
      <c r="S113" t="s">
        <v>20791</v>
      </c>
      <c r="T113" t="s">
        <v>20792</v>
      </c>
      <c r="V113" s="28" t="s">
        <v>9334</v>
      </c>
      <c r="W113" t="s">
        <v>7620</v>
      </c>
      <c r="X113" t="s">
        <v>194</v>
      </c>
      <c r="Y113" s="28" t="s">
        <v>9300</v>
      </c>
      <c r="AB113" t="s">
        <v>9311</v>
      </c>
      <c r="AH113" t="s">
        <v>4714</v>
      </c>
      <c r="AI113" t="s">
        <v>9433</v>
      </c>
      <c r="AJ113" s="28" t="str">
        <f t="shared" si="2"/>
        <v>516903</v>
      </c>
      <c r="AK113" s="420">
        <v>1</v>
      </c>
      <c r="AL113" s="420">
        <f t="shared" si="3"/>
        <v>1</v>
      </c>
      <c r="AM113" s="420">
        <v>1</v>
      </c>
      <c r="AN113" t="s">
        <v>17650</v>
      </c>
      <c r="AO113" t="s">
        <v>17651</v>
      </c>
      <c r="AP113" t="s">
        <v>17652</v>
      </c>
      <c r="AQ113" t="s">
        <v>17653</v>
      </c>
      <c r="AR113" t="s">
        <v>1024</v>
      </c>
    </row>
    <row r="114" spans="1:44" x14ac:dyDescent="0.25">
      <c r="A114" t="s">
        <v>4022</v>
      </c>
      <c r="B114" t="s">
        <v>8022</v>
      </c>
      <c r="C114" s="410" t="s">
        <v>7617</v>
      </c>
      <c r="D114" t="s">
        <v>20306</v>
      </c>
      <c r="E114" t="s">
        <v>217</v>
      </c>
      <c r="F114" s="534">
        <v>1</v>
      </c>
      <c r="G114" t="s">
        <v>193</v>
      </c>
      <c r="H114" t="s">
        <v>194</v>
      </c>
      <c r="I114" t="s">
        <v>20437</v>
      </c>
      <c r="J114" t="s">
        <v>210</v>
      </c>
      <c r="K114" s="28" t="s">
        <v>9309</v>
      </c>
      <c r="L114" t="s">
        <v>6955</v>
      </c>
      <c r="N114" t="s">
        <v>20793</v>
      </c>
      <c r="O114" t="s">
        <v>6290</v>
      </c>
      <c r="P114" t="s">
        <v>20688</v>
      </c>
      <c r="Q114" t="s">
        <v>20318</v>
      </c>
      <c r="R114" t="s">
        <v>20418</v>
      </c>
      <c r="S114" t="s">
        <v>20794</v>
      </c>
      <c r="T114" t="s">
        <v>20795</v>
      </c>
      <c r="V114" s="28" t="s">
        <v>9334</v>
      </c>
      <c r="W114" t="s">
        <v>7620</v>
      </c>
      <c r="X114" t="s">
        <v>194</v>
      </c>
      <c r="Y114" s="28" t="s">
        <v>9300</v>
      </c>
      <c r="AB114" t="s">
        <v>9311</v>
      </c>
      <c r="AH114" t="s">
        <v>4714</v>
      </c>
      <c r="AI114" t="s">
        <v>9433</v>
      </c>
      <c r="AJ114" s="28" t="str">
        <f t="shared" si="2"/>
        <v>516903</v>
      </c>
      <c r="AK114" s="420">
        <v>1</v>
      </c>
      <c r="AL114" s="420">
        <f t="shared" si="3"/>
        <v>1</v>
      </c>
      <c r="AM114" s="420">
        <v>1</v>
      </c>
      <c r="AN114" t="s">
        <v>17650</v>
      </c>
      <c r="AO114" t="s">
        <v>17651</v>
      </c>
      <c r="AP114" t="s">
        <v>17652</v>
      </c>
      <c r="AQ114" t="s">
        <v>17653</v>
      </c>
      <c r="AR114" t="s">
        <v>1024</v>
      </c>
    </row>
    <row r="115" spans="1:44" x14ac:dyDescent="0.25">
      <c r="A115" t="s">
        <v>5372</v>
      </c>
      <c r="B115" t="s">
        <v>1119</v>
      </c>
      <c r="C115" s="410" t="s">
        <v>19</v>
      </c>
      <c r="D115" t="s">
        <v>20326</v>
      </c>
      <c r="E115" t="s">
        <v>233</v>
      </c>
      <c r="F115" s="534">
        <v>1</v>
      </c>
      <c r="G115" t="s">
        <v>193</v>
      </c>
      <c r="H115" t="s">
        <v>194</v>
      </c>
      <c r="I115" t="s">
        <v>20360</v>
      </c>
      <c r="J115" t="s">
        <v>210</v>
      </c>
      <c r="K115" s="28" t="s">
        <v>9309</v>
      </c>
      <c r="L115" t="s">
        <v>6955</v>
      </c>
      <c r="N115" t="s">
        <v>20796</v>
      </c>
      <c r="O115" t="s">
        <v>6245</v>
      </c>
      <c r="P115" t="s">
        <v>20509</v>
      </c>
      <c r="Q115" t="s">
        <v>20510</v>
      </c>
      <c r="R115" t="s">
        <v>20689</v>
      </c>
      <c r="S115" t="s">
        <v>20797</v>
      </c>
      <c r="T115" t="s">
        <v>20798</v>
      </c>
      <c r="V115" s="28" t="s">
        <v>9334</v>
      </c>
      <c r="W115" t="s">
        <v>337</v>
      </c>
      <c r="X115" t="s">
        <v>194</v>
      </c>
      <c r="Y115" s="28" t="s">
        <v>9300</v>
      </c>
      <c r="AB115" t="s">
        <v>9311</v>
      </c>
      <c r="AH115" t="s">
        <v>4714</v>
      </c>
      <c r="AI115" t="s">
        <v>1119</v>
      </c>
      <c r="AJ115" s="28" t="str">
        <f t="shared" si="2"/>
        <v>214903</v>
      </c>
      <c r="AK115" s="420">
        <v>1</v>
      </c>
      <c r="AL115" s="420">
        <f t="shared" si="3"/>
        <v>1</v>
      </c>
      <c r="AM115" s="420">
        <v>1</v>
      </c>
      <c r="AN115" t="s">
        <v>17650</v>
      </c>
      <c r="AO115" t="s">
        <v>17651</v>
      </c>
      <c r="AP115" t="s">
        <v>17652</v>
      </c>
      <c r="AQ115" t="s">
        <v>17653</v>
      </c>
      <c r="AR115" t="s">
        <v>1024</v>
      </c>
    </row>
    <row r="116" spans="1:44" x14ac:dyDescent="0.25">
      <c r="A116" t="s">
        <v>20799</v>
      </c>
      <c r="B116" t="s">
        <v>20800</v>
      </c>
      <c r="C116" s="410" t="s">
        <v>19</v>
      </c>
      <c r="D116" t="s">
        <v>20326</v>
      </c>
      <c r="E116" t="s">
        <v>192</v>
      </c>
      <c r="F116" s="534">
        <v>1</v>
      </c>
      <c r="G116" t="s">
        <v>193</v>
      </c>
      <c r="H116" t="s">
        <v>194</v>
      </c>
      <c r="I116" t="s">
        <v>20338</v>
      </c>
      <c r="J116" t="s">
        <v>9302</v>
      </c>
      <c r="K116" s="28" t="s">
        <v>9309</v>
      </c>
      <c r="L116" t="s">
        <v>6955</v>
      </c>
      <c r="N116" t="s">
        <v>20801</v>
      </c>
      <c r="O116" t="s">
        <v>6261</v>
      </c>
      <c r="P116" t="s">
        <v>20328</v>
      </c>
      <c r="Q116" t="s">
        <v>20329</v>
      </c>
      <c r="R116" t="s">
        <v>20689</v>
      </c>
      <c r="S116" t="s">
        <v>20802</v>
      </c>
      <c r="T116" t="s">
        <v>20803</v>
      </c>
      <c r="W116" t="s">
        <v>337</v>
      </c>
      <c r="X116" t="s">
        <v>193</v>
      </c>
      <c r="Y116" s="28" t="s">
        <v>9310</v>
      </c>
      <c r="AB116" t="s">
        <v>9311</v>
      </c>
      <c r="AH116" t="s">
        <v>4714</v>
      </c>
      <c r="AI116" t="s">
        <v>20800</v>
      </c>
      <c r="AJ116" s="28" t="str">
        <f t="shared" si="2"/>
        <v>214903</v>
      </c>
      <c r="AK116" s="420">
        <v>1</v>
      </c>
      <c r="AL116" s="420">
        <f t="shared" si="3"/>
        <v>1</v>
      </c>
      <c r="AM116" s="420">
        <v>1</v>
      </c>
      <c r="AN116" t="s">
        <v>17650</v>
      </c>
      <c r="AO116" t="s">
        <v>17651</v>
      </c>
      <c r="AP116" t="s">
        <v>17652</v>
      </c>
      <c r="AQ116" t="s">
        <v>17653</v>
      </c>
      <c r="AR116" t="s">
        <v>1024</v>
      </c>
    </row>
    <row r="117" spans="1:44" x14ac:dyDescent="0.25">
      <c r="A117" t="s">
        <v>20804</v>
      </c>
      <c r="B117" t="s">
        <v>20805</v>
      </c>
      <c r="C117" s="410" t="s">
        <v>19</v>
      </c>
      <c r="D117" t="s">
        <v>20326</v>
      </c>
      <c r="E117" t="s">
        <v>192</v>
      </c>
      <c r="F117" s="534">
        <v>1</v>
      </c>
      <c r="G117" t="s">
        <v>193</v>
      </c>
      <c r="H117" t="s">
        <v>194</v>
      </c>
      <c r="I117" t="s">
        <v>20338</v>
      </c>
      <c r="J117" t="s">
        <v>210</v>
      </c>
      <c r="K117" s="28" t="s">
        <v>9309</v>
      </c>
      <c r="L117" t="s">
        <v>6955</v>
      </c>
      <c r="N117" t="s">
        <v>20806</v>
      </c>
      <c r="O117" t="s">
        <v>6245</v>
      </c>
      <c r="P117" t="s">
        <v>20328</v>
      </c>
      <c r="Q117" t="s">
        <v>20329</v>
      </c>
      <c r="R117" t="s">
        <v>20306</v>
      </c>
      <c r="S117" t="s">
        <v>20807</v>
      </c>
      <c r="T117" t="s">
        <v>20808</v>
      </c>
      <c r="V117" s="28" t="s">
        <v>9334</v>
      </c>
      <c r="W117" t="s">
        <v>337</v>
      </c>
      <c r="X117" t="s">
        <v>194</v>
      </c>
      <c r="Y117" s="28" t="s">
        <v>9300</v>
      </c>
      <c r="AB117" t="s">
        <v>9311</v>
      </c>
      <c r="AH117" t="s">
        <v>4714</v>
      </c>
      <c r="AI117" t="s">
        <v>20805</v>
      </c>
      <c r="AJ117" s="28" t="str">
        <f t="shared" si="2"/>
        <v>214903</v>
      </c>
      <c r="AK117" s="420">
        <v>1</v>
      </c>
      <c r="AL117" s="420">
        <f t="shared" si="3"/>
        <v>1</v>
      </c>
      <c r="AM117" s="420">
        <v>1</v>
      </c>
      <c r="AN117" t="s">
        <v>17650</v>
      </c>
      <c r="AO117" t="s">
        <v>17651</v>
      </c>
      <c r="AP117" t="s">
        <v>17652</v>
      </c>
      <c r="AQ117" t="s">
        <v>17653</v>
      </c>
      <c r="AR117" t="s">
        <v>1024</v>
      </c>
    </row>
    <row r="118" spans="1:44" x14ac:dyDescent="0.25">
      <c r="A118" t="s">
        <v>16218</v>
      </c>
      <c r="B118" t="s">
        <v>20809</v>
      </c>
      <c r="C118" s="410" t="s">
        <v>19</v>
      </c>
      <c r="D118" t="s">
        <v>20317</v>
      </c>
      <c r="E118" t="s">
        <v>192</v>
      </c>
      <c r="F118" s="534">
        <v>1</v>
      </c>
      <c r="G118" t="s">
        <v>193</v>
      </c>
      <c r="H118" t="s">
        <v>194</v>
      </c>
      <c r="I118" t="s">
        <v>20338</v>
      </c>
      <c r="J118" t="s">
        <v>9302</v>
      </c>
      <c r="K118" s="28" t="s">
        <v>9309</v>
      </c>
      <c r="L118" t="s">
        <v>6955</v>
      </c>
      <c r="N118" t="s">
        <v>20810</v>
      </c>
      <c r="O118" t="s">
        <v>6245</v>
      </c>
      <c r="P118" t="s">
        <v>20320</v>
      </c>
      <c r="Q118" t="s">
        <v>20321</v>
      </c>
      <c r="R118" t="s">
        <v>20322</v>
      </c>
      <c r="S118" t="s">
        <v>20811</v>
      </c>
      <c r="T118" t="s">
        <v>20812</v>
      </c>
      <c r="W118" t="s">
        <v>337</v>
      </c>
      <c r="X118" t="s">
        <v>193</v>
      </c>
      <c r="Y118" s="28" t="s">
        <v>9310</v>
      </c>
      <c r="AB118" t="s">
        <v>9311</v>
      </c>
      <c r="AH118" t="s">
        <v>4714</v>
      </c>
      <c r="AI118" t="s">
        <v>20809</v>
      </c>
      <c r="AJ118" s="28" t="str">
        <f t="shared" si="2"/>
        <v>214903</v>
      </c>
      <c r="AK118" s="420">
        <v>1</v>
      </c>
      <c r="AL118" s="420">
        <f t="shared" si="3"/>
        <v>1</v>
      </c>
      <c r="AM118" s="420">
        <v>1</v>
      </c>
      <c r="AN118" t="s">
        <v>17650</v>
      </c>
      <c r="AO118" t="s">
        <v>17651</v>
      </c>
      <c r="AP118" t="s">
        <v>17652</v>
      </c>
      <c r="AQ118" t="s">
        <v>17653</v>
      </c>
      <c r="AR118" t="s">
        <v>1024</v>
      </c>
    </row>
    <row r="119" spans="1:44" x14ac:dyDescent="0.25">
      <c r="A119" t="s">
        <v>16218</v>
      </c>
      <c r="B119" t="s">
        <v>16216</v>
      </c>
      <c r="C119" s="410" t="s">
        <v>19</v>
      </c>
      <c r="D119" t="s">
        <v>20317</v>
      </c>
      <c r="E119" t="s">
        <v>192</v>
      </c>
      <c r="F119" s="534">
        <v>1</v>
      </c>
      <c r="G119" t="s">
        <v>193</v>
      </c>
      <c r="H119" t="s">
        <v>194</v>
      </c>
      <c r="I119" t="s">
        <v>20389</v>
      </c>
      <c r="J119" t="s">
        <v>9302</v>
      </c>
      <c r="K119" s="28" t="s">
        <v>9309</v>
      </c>
      <c r="L119" t="s">
        <v>6955</v>
      </c>
      <c r="N119" t="s">
        <v>20813</v>
      </c>
      <c r="O119" t="s">
        <v>6245</v>
      </c>
      <c r="P119" t="s">
        <v>20320</v>
      </c>
      <c r="Q119" t="s">
        <v>20321</v>
      </c>
      <c r="R119" t="s">
        <v>20322</v>
      </c>
      <c r="S119" t="s">
        <v>20814</v>
      </c>
      <c r="T119" t="s">
        <v>20815</v>
      </c>
      <c r="W119" t="s">
        <v>337</v>
      </c>
      <c r="X119" t="s">
        <v>193</v>
      </c>
      <c r="Y119" s="28" t="s">
        <v>9310</v>
      </c>
      <c r="AB119" t="s">
        <v>9311</v>
      </c>
      <c r="AH119" t="s">
        <v>4714</v>
      </c>
      <c r="AI119" t="s">
        <v>16216</v>
      </c>
      <c r="AJ119" s="28" t="str">
        <f t="shared" si="2"/>
        <v>214903</v>
      </c>
      <c r="AK119" s="420">
        <v>1</v>
      </c>
      <c r="AL119" s="420">
        <f t="shared" si="3"/>
        <v>1</v>
      </c>
      <c r="AM119" s="420">
        <v>1</v>
      </c>
      <c r="AN119" t="s">
        <v>17650</v>
      </c>
      <c r="AO119" t="s">
        <v>17651</v>
      </c>
      <c r="AP119" t="s">
        <v>17652</v>
      </c>
      <c r="AQ119" t="s">
        <v>17653</v>
      </c>
      <c r="AR119" t="s">
        <v>1024</v>
      </c>
    </row>
    <row r="120" spans="1:44" x14ac:dyDescent="0.25">
      <c r="A120" t="s">
        <v>9346</v>
      </c>
      <c r="B120" t="s">
        <v>20816</v>
      </c>
      <c r="C120" s="410" t="s">
        <v>19</v>
      </c>
      <c r="D120" t="s">
        <v>20317</v>
      </c>
      <c r="E120" t="s">
        <v>192</v>
      </c>
      <c r="F120" s="534">
        <v>1</v>
      </c>
      <c r="G120" t="s">
        <v>193</v>
      </c>
      <c r="H120" t="s">
        <v>194</v>
      </c>
      <c r="I120" t="s">
        <v>20333</v>
      </c>
      <c r="J120" t="s">
        <v>210</v>
      </c>
      <c r="K120" s="28" t="s">
        <v>9309</v>
      </c>
      <c r="L120" t="s">
        <v>6955</v>
      </c>
      <c r="N120" t="s">
        <v>20817</v>
      </c>
      <c r="O120" t="s">
        <v>6921</v>
      </c>
      <c r="P120" t="s">
        <v>20320</v>
      </c>
      <c r="Q120" t="s">
        <v>20321</v>
      </c>
      <c r="R120" t="s">
        <v>20322</v>
      </c>
      <c r="S120" t="s">
        <v>20818</v>
      </c>
      <c r="T120" t="s">
        <v>20819</v>
      </c>
      <c r="V120" s="28" t="s">
        <v>9334</v>
      </c>
      <c r="W120" t="s">
        <v>337</v>
      </c>
      <c r="X120" t="s">
        <v>194</v>
      </c>
      <c r="Y120" s="28" t="s">
        <v>9300</v>
      </c>
      <c r="AB120" t="s">
        <v>9311</v>
      </c>
      <c r="AH120" t="s">
        <v>4714</v>
      </c>
      <c r="AI120" t="s">
        <v>20816</v>
      </c>
      <c r="AJ120" s="28" t="str">
        <f t="shared" si="2"/>
        <v>214903</v>
      </c>
      <c r="AK120" s="420">
        <v>1</v>
      </c>
      <c r="AL120" s="420">
        <f t="shared" si="3"/>
        <v>1</v>
      </c>
      <c r="AM120" s="420">
        <v>1</v>
      </c>
      <c r="AN120" t="s">
        <v>17650</v>
      </c>
      <c r="AO120" t="s">
        <v>17651</v>
      </c>
      <c r="AP120" t="s">
        <v>17652</v>
      </c>
      <c r="AQ120" t="s">
        <v>17653</v>
      </c>
      <c r="AR120" t="s">
        <v>1024</v>
      </c>
    </row>
    <row r="121" spans="1:44" x14ac:dyDescent="0.25">
      <c r="A121" t="s">
        <v>20820</v>
      </c>
      <c r="B121" t="s">
        <v>2793</v>
      </c>
      <c r="C121" s="410" t="s">
        <v>19</v>
      </c>
      <c r="D121" t="s">
        <v>20338</v>
      </c>
      <c r="E121" t="s">
        <v>192</v>
      </c>
      <c r="F121" s="534">
        <v>1</v>
      </c>
      <c r="G121" t="s">
        <v>193</v>
      </c>
      <c r="H121" t="s">
        <v>194</v>
      </c>
      <c r="I121" t="s">
        <v>20310</v>
      </c>
      <c r="J121" t="s">
        <v>9302</v>
      </c>
      <c r="K121" s="28" t="s">
        <v>9309</v>
      </c>
      <c r="L121" t="s">
        <v>6955</v>
      </c>
      <c r="N121" t="s">
        <v>20821</v>
      </c>
      <c r="O121" t="s">
        <v>6245</v>
      </c>
      <c r="P121" t="s">
        <v>20398</v>
      </c>
      <c r="Q121" t="s">
        <v>20399</v>
      </c>
      <c r="R121" t="s">
        <v>20400</v>
      </c>
      <c r="S121" t="s">
        <v>20822</v>
      </c>
      <c r="T121" t="s">
        <v>20823</v>
      </c>
      <c r="W121" t="s">
        <v>337</v>
      </c>
      <c r="X121" t="s">
        <v>193</v>
      </c>
      <c r="Y121" s="28" t="s">
        <v>9310</v>
      </c>
      <c r="AB121" t="s">
        <v>9311</v>
      </c>
      <c r="AH121" t="s">
        <v>4714</v>
      </c>
      <c r="AI121" t="s">
        <v>2793</v>
      </c>
      <c r="AJ121" s="28" t="str">
        <f t="shared" si="2"/>
        <v>214903</v>
      </c>
      <c r="AK121" s="420">
        <v>1</v>
      </c>
      <c r="AL121" s="420">
        <f t="shared" si="3"/>
        <v>1</v>
      </c>
      <c r="AM121" s="420">
        <v>1</v>
      </c>
      <c r="AN121" t="s">
        <v>17650</v>
      </c>
      <c r="AO121" t="s">
        <v>17651</v>
      </c>
      <c r="AP121" t="s">
        <v>17652</v>
      </c>
      <c r="AQ121" t="s">
        <v>17653</v>
      </c>
      <c r="AR121" t="s">
        <v>1024</v>
      </c>
    </row>
    <row r="122" spans="1:44" x14ac:dyDescent="0.25">
      <c r="A122" t="s">
        <v>20824</v>
      </c>
      <c r="B122" t="s">
        <v>13474</v>
      </c>
      <c r="C122" s="410" t="s">
        <v>19</v>
      </c>
      <c r="D122" t="s">
        <v>20338</v>
      </c>
      <c r="E122" t="s">
        <v>192</v>
      </c>
      <c r="F122" s="534">
        <v>1</v>
      </c>
      <c r="G122" t="s">
        <v>193</v>
      </c>
      <c r="H122" t="s">
        <v>194</v>
      </c>
      <c r="I122" t="s">
        <v>20307</v>
      </c>
      <c r="J122" t="s">
        <v>210</v>
      </c>
      <c r="K122" s="28" t="s">
        <v>9309</v>
      </c>
      <c r="L122" t="s">
        <v>6955</v>
      </c>
      <c r="N122" t="s">
        <v>20825</v>
      </c>
      <c r="O122" t="s">
        <v>6245</v>
      </c>
      <c r="P122" t="s">
        <v>20398</v>
      </c>
      <c r="Q122" t="s">
        <v>20399</v>
      </c>
      <c r="R122" t="s">
        <v>20400</v>
      </c>
      <c r="S122" t="s">
        <v>20826</v>
      </c>
      <c r="T122" t="s">
        <v>20827</v>
      </c>
      <c r="V122" s="28" t="s">
        <v>9334</v>
      </c>
      <c r="W122" t="s">
        <v>337</v>
      </c>
      <c r="X122" t="s">
        <v>194</v>
      </c>
      <c r="Y122" s="28" t="s">
        <v>9300</v>
      </c>
      <c r="AB122" t="s">
        <v>9311</v>
      </c>
      <c r="AH122" t="s">
        <v>4714</v>
      </c>
      <c r="AI122" t="s">
        <v>13474</v>
      </c>
      <c r="AJ122" s="28" t="str">
        <f t="shared" si="2"/>
        <v>214903</v>
      </c>
      <c r="AK122" s="420">
        <v>1</v>
      </c>
      <c r="AL122" s="420">
        <f t="shared" si="3"/>
        <v>1</v>
      </c>
      <c r="AM122" s="420">
        <v>1</v>
      </c>
      <c r="AN122" t="s">
        <v>17650</v>
      </c>
      <c r="AO122" t="s">
        <v>17651</v>
      </c>
      <c r="AP122" t="s">
        <v>17652</v>
      </c>
      <c r="AQ122" t="s">
        <v>17653</v>
      </c>
      <c r="AR122" t="s">
        <v>1024</v>
      </c>
    </row>
    <row r="123" spans="1:44" x14ac:dyDescent="0.25">
      <c r="A123" t="s">
        <v>562</v>
      </c>
      <c r="B123" t="s">
        <v>20828</v>
      </c>
      <c r="C123" s="410" t="s">
        <v>19</v>
      </c>
      <c r="D123" t="s">
        <v>20306</v>
      </c>
      <c r="E123" t="s">
        <v>192</v>
      </c>
      <c r="F123" s="534">
        <v>1</v>
      </c>
      <c r="G123" t="s">
        <v>193</v>
      </c>
      <c r="H123" t="s">
        <v>194</v>
      </c>
      <c r="I123" t="s">
        <v>20437</v>
      </c>
      <c r="J123" t="s">
        <v>9302</v>
      </c>
      <c r="K123" s="28" t="s">
        <v>9309</v>
      </c>
      <c r="L123" t="s">
        <v>6955</v>
      </c>
      <c r="N123" t="s">
        <v>20829</v>
      </c>
      <c r="O123" t="s">
        <v>6261</v>
      </c>
      <c r="P123" t="s">
        <v>20309</v>
      </c>
      <c r="Q123" t="s">
        <v>20310</v>
      </c>
      <c r="R123" t="s">
        <v>20311</v>
      </c>
      <c r="S123" t="s">
        <v>20830</v>
      </c>
      <c r="T123" t="s">
        <v>20831</v>
      </c>
      <c r="W123" t="s">
        <v>337</v>
      </c>
      <c r="X123" t="s">
        <v>193</v>
      </c>
      <c r="Y123" s="28" t="s">
        <v>9310</v>
      </c>
      <c r="AB123" t="s">
        <v>9311</v>
      </c>
      <c r="AH123" t="s">
        <v>4714</v>
      </c>
      <c r="AI123" t="s">
        <v>20828</v>
      </c>
      <c r="AJ123" s="28" t="str">
        <f t="shared" si="2"/>
        <v>214903</v>
      </c>
      <c r="AK123" s="420">
        <v>1</v>
      </c>
      <c r="AL123" s="420">
        <f t="shared" si="3"/>
        <v>1</v>
      </c>
      <c r="AM123" s="420">
        <v>1</v>
      </c>
      <c r="AN123" t="s">
        <v>17650</v>
      </c>
      <c r="AO123" t="s">
        <v>17651</v>
      </c>
      <c r="AP123" t="s">
        <v>17652</v>
      </c>
      <c r="AQ123" t="s">
        <v>17653</v>
      </c>
      <c r="AR123" t="s">
        <v>1024</v>
      </c>
    </row>
    <row r="124" spans="1:44" x14ac:dyDescent="0.25">
      <c r="A124" t="s">
        <v>20832</v>
      </c>
      <c r="B124" t="s">
        <v>14860</v>
      </c>
      <c r="C124" s="410" t="s">
        <v>19</v>
      </c>
      <c r="D124" t="s">
        <v>20306</v>
      </c>
      <c r="E124" t="s">
        <v>192</v>
      </c>
      <c r="F124" s="534">
        <v>1</v>
      </c>
      <c r="G124" t="s">
        <v>193</v>
      </c>
      <c r="H124" t="s">
        <v>194</v>
      </c>
      <c r="I124" t="s">
        <v>20437</v>
      </c>
      <c r="J124" t="s">
        <v>9302</v>
      </c>
      <c r="K124" s="28" t="s">
        <v>9309</v>
      </c>
      <c r="L124" t="s">
        <v>6955</v>
      </c>
      <c r="N124" t="s">
        <v>20833</v>
      </c>
      <c r="O124" t="s">
        <v>6258</v>
      </c>
      <c r="P124" t="s">
        <v>20309</v>
      </c>
      <c r="Q124" t="s">
        <v>20310</v>
      </c>
      <c r="R124" t="s">
        <v>20311</v>
      </c>
      <c r="S124" t="s">
        <v>20834</v>
      </c>
      <c r="T124" t="s">
        <v>20835</v>
      </c>
      <c r="W124" t="s">
        <v>337</v>
      </c>
      <c r="X124" t="s">
        <v>193</v>
      </c>
      <c r="Y124" s="28" t="s">
        <v>9310</v>
      </c>
      <c r="AB124" t="s">
        <v>9311</v>
      </c>
      <c r="AH124" t="s">
        <v>4714</v>
      </c>
      <c r="AI124" t="s">
        <v>14860</v>
      </c>
      <c r="AJ124" s="28" t="str">
        <f t="shared" si="2"/>
        <v>214903</v>
      </c>
      <c r="AK124" s="420">
        <v>1</v>
      </c>
      <c r="AL124" s="420">
        <f t="shared" si="3"/>
        <v>1</v>
      </c>
      <c r="AM124" s="420">
        <v>1</v>
      </c>
      <c r="AN124" t="s">
        <v>17650</v>
      </c>
      <c r="AO124" t="s">
        <v>17651</v>
      </c>
      <c r="AP124" t="s">
        <v>17652</v>
      </c>
      <c r="AQ124" t="s">
        <v>17653</v>
      </c>
      <c r="AR124" t="s">
        <v>1024</v>
      </c>
    </row>
    <row r="125" spans="1:44" x14ac:dyDescent="0.25">
      <c r="A125" t="s">
        <v>20836</v>
      </c>
      <c r="B125" t="s">
        <v>20837</v>
      </c>
      <c r="C125" s="410" t="s">
        <v>2800</v>
      </c>
      <c r="D125" t="s">
        <v>20317</v>
      </c>
      <c r="E125" t="s">
        <v>192</v>
      </c>
      <c r="F125" s="534">
        <v>1</v>
      </c>
      <c r="G125" t="s">
        <v>193</v>
      </c>
      <c r="H125" t="s">
        <v>194</v>
      </c>
      <c r="I125" t="s">
        <v>20318</v>
      </c>
      <c r="J125" t="s">
        <v>9302</v>
      </c>
      <c r="K125" s="28" t="s">
        <v>9309</v>
      </c>
      <c r="L125" t="s">
        <v>6955</v>
      </c>
      <c r="N125" t="s">
        <v>20838</v>
      </c>
      <c r="O125" t="s">
        <v>6261</v>
      </c>
      <c r="P125" t="s">
        <v>20320</v>
      </c>
      <c r="Q125" t="s">
        <v>20321</v>
      </c>
      <c r="R125" t="s">
        <v>20322</v>
      </c>
      <c r="S125" t="s">
        <v>20839</v>
      </c>
      <c r="T125" t="s">
        <v>20840</v>
      </c>
      <c r="W125" t="s">
        <v>8460</v>
      </c>
      <c r="X125" t="s">
        <v>193</v>
      </c>
      <c r="Y125" s="28" t="s">
        <v>9310</v>
      </c>
      <c r="AB125" t="s">
        <v>9311</v>
      </c>
      <c r="AH125" t="s">
        <v>4714</v>
      </c>
      <c r="AI125" t="s">
        <v>20837</v>
      </c>
      <c r="AJ125" s="28" t="str">
        <f t="shared" si="2"/>
        <v>214201</v>
      </c>
      <c r="AK125" s="420">
        <v>1</v>
      </c>
      <c r="AL125" s="420">
        <f t="shared" si="3"/>
        <v>1</v>
      </c>
      <c r="AM125" s="420">
        <v>1</v>
      </c>
      <c r="AN125" t="s">
        <v>17650</v>
      </c>
      <c r="AO125" t="s">
        <v>17651</v>
      </c>
      <c r="AP125" t="s">
        <v>17652</v>
      </c>
      <c r="AQ125" t="s">
        <v>17653</v>
      </c>
      <c r="AR125" t="s">
        <v>1024</v>
      </c>
    </row>
    <row r="126" spans="1:44" x14ac:dyDescent="0.25">
      <c r="A126" t="s">
        <v>19939</v>
      </c>
      <c r="B126" t="s">
        <v>20841</v>
      </c>
      <c r="C126" s="410" t="s">
        <v>21</v>
      </c>
      <c r="D126" t="s">
        <v>20326</v>
      </c>
      <c r="E126" t="s">
        <v>192</v>
      </c>
      <c r="F126" s="534">
        <v>1</v>
      </c>
      <c r="G126" t="s">
        <v>193</v>
      </c>
      <c r="H126" t="s">
        <v>194</v>
      </c>
      <c r="I126" t="s">
        <v>20338</v>
      </c>
      <c r="J126" t="s">
        <v>202</v>
      </c>
      <c r="K126" s="28" t="s">
        <v>9309</v>
      </c>
      <c r="L126" t="s">
        <v>6955</v>
      </c>
      <c r="N126" t="s">
        <v>20842</v>
      </c>
      <c r="O126" t="s">
        <v>6324</v>
      </c>
      <c r="P126" t="s">
        <v>20328</v>
      </c>
      <c r="Q126" t="s">
        <v>20329</v>
      </c>
      <c r="R126" t="s">
        <v>20306</v>
      </c>
      <c r="S126" t="s">
        <v>20843</v>
      </c>
      <c r="T126" t="s">
        <v>20844</v>
      </c>
      <c r="V126" s="28" t="s">
        <v>9856</v>
      </c>
      <c r="W126" t="s">
        <v>293</v>
      </c>
      <c r="X126" t="s">
        <v>194</v>
      </c>
      <c r="Y126" s="28" t="s">
        <v>9300</v>
      </c>
      <c r="AB126" t="s">
        <v>9311</v>
      </c>
      <c r="AH126" t="s">
        <v>4714</v>
      </c>
      <c r="AI126" t="s">
        <v>20841</v>
      </c>
      <c r="AJ126" s="28" t="str">
        <f t="shared" si="2"/>
        <v>214202</v>
      </c>
      <c r="AK126" s="420">
        <v>1</v>
      </c>
      <c r="AL126" s="420">
        <f t="shared" si="3"/>
        <v>1</v>
      </c>
      <c r="AM126" s="420">
        <v>1</v>
      </c>
      <c r="AN126" t="s">
        <v>17650</v>
      </c>
      <c r="AO126" t="s">
        <v>17651</v>
      </c>
      <c r="AP126" t="s">
        <v>17652</v>
      </c>
      <c r="AQ126" t="s">
        <v>17653</v>
      </c>
      <c r="AR126" t="s">
        <v>1024</v>
      </c>
    </row>
    <row r="127" spans="1:44" x14ac:dyDescent="0.25">
      <c r="A127" t="s">
        <v>19939</v>
      </c>
      <c r="B127" t="s">
        <v>20841</v>
      </c>
      <c r="C127" s="410" t="s">
        <v>21</v>
      </c>
      <c r="D127" t="s">
        <v>20326</v>
      </c>
      <c r="E127" t="s">
        <v>192</v>
      </c>
      <c r="F127" s="534">
        <v>1</v>
      </c>
      <c r="G127" t="s">
        <v>194</v>
      </c>
      <c r="H127" t="s">
        <v>193</v>
      </c>
      <c r="I127" t="s">
        <v>20338</v>
      </c>
      <c r="J127" t="s">
        <v>210</v>
      </c>
      <c r="K127" s="28" t="s">
        <v>9309</v>
      </c>
      <c r="L127" t="s">
        <v>6955</v>
      </c>
      <c r="N127" t="s">
        <v>20845</v>
      </c>
      <c r="O127" t="s">
        <v>6324</v>
      </c>
      <c r="P127" t="s">
        <v>20328</v>
      </c>
      <c r="Q127" t="s">
        <v>20329</v>
      </c>
      <c r="R127" t="s">
        <v>20306</v>
      </c>
      <c r="S127" t="s">
        <v>20846</v>
      </c>
      <c r="T127" t="s">
        <v>20847</v>
      </c>
      <c r="V127" s="28" t="s">
        <v>9334</v>
      </c>
      <c r="W127" t="s">
        <v>293</v>
      </c>
      <c r="X127" t="s">
        <v>194</v>
      </c>
      <c r="Y127" s="28" t="s">
        <v>9300</v>
      </c>
      <c r="AB127" t="s">
        <v>9311</v>
      </c>
      <c r="AH127" t="s">
        <v>4714</v>
      </c>
      <c r="AI127" t="s">
        <v>20841</v>
      </c>
      <c r="AJ127" s="28" t="str">
        <f t="shared" si="2"/>
        <v>214202</v>
      </c>
      <c r="AK127" s="420">
        <v>1</v>
      </c>
      <c r="AL127" s="420">
        <f t="shared" si="3"/>
        <v>1</v>
      </c>
      <c r="AM127" s="420">
        <v>1</v>
      </c>
      <c r="AN127" t="s">
        <v>17650</v>
      </c>
      <c r="AO127" t="s">
        <v>17651</v>
      </c>
      <c r="AP127" t="s">
        <v>17652</v>
      </c>
      <c r="AQ127" t="s">
        <v>17653</v>
      </c>
      <c r="AR127" t="s">
        <v>1024</v>
      </c>
    </row>
    <row r="128" spans="1:44" x14ac:dyDescent="0.25">
      <c r="A128" t="s">
        <v>20848</v>
      </c>
      <c r="B128" t="s">
        <v>20849</v>
      </c>
      <c r="C128" s="410" t="s">
        <v>21</v>
      </c>
      <c r="D128" t="s">
        <v>20326</v>
      </c>
      <c r="E128" t="s">
        <v>192</v>
      </c>
      <c r="F128" s="534">
        <v>1</v>
      </c>
      <c r="G128" t="s">
        <v>193</v>
      </c>
      <c r="H128" t="s">
        <v>194</v>
      </c>
      <c r="I128" t="s">
        <v>20338</v>
      </c>
      <c r="J128" t="s">
        <v>316</v>
      </c>
      <c r="K128" s="28" t="s">
        <v>9309</v>
      </c>
      <c r="L128" t="s">
        <v>6955</v>
      </c>
      <c r="N128" t="s">
        <v>20850</v>
      </c>
      <c r="O128" t="s">
        <v>6324</v>
      </c>
      <c r="P128" t="s">
        <v>20328</v>
      </c>
      <c r="Q128" t="s">
        <v>20329</v>
      </c>
      <c r="R128" t="s">
        <v>20306</v>
      </c>
      <c r="S128" t="s">
        <v>20851</v>
      </c>
      <c r="T128" t="s">
        <v>20852</v>
      </c>
      <c r="V128" s="28" t="s">
        <v>10012</v>
      </c>
      <c r="W128" t="s">
        <v>293</v>
      </c>
      <c r="X128" t="s">
        <v>194</v>
      </c>
      <c r="Y128" s="28" t="s">
        <v>9300</v>
      </c>
      <c r="AB128" t="s">
        <v>9311</v>
      </c>
      <c r="AH128" t="s">
        <v>4714</v>
      </c>
      <c r="AI128" t="s">
        <v>20849</v>
      </c>
      <c r="AJ128" s="28" t="str">
        <f t="shared" si="2"/>
        <v>214202</v>
      </c>
      <c r="AK128" s="420">
        <v>1</v>
      </c>
      <c r="AL128" s="420">
        <f t="shared" si="3"/>
        <v>1</v>
      </c>
      <c r="AM128" s="420">
        <v>1</v>
      </c>
      <c r="AN128" t="s">
        <v>17650</v>
      </c>
      <c r="AO128" t="s">
        <v>17651</v>
      </c>
      <c r="AP128" t="s">
        <v>17652</v>
      </c>
      <c r="AQ128" t="s">
        <v>17653</v>
      </c>
      <c r="AR128" t="s">
        <v>1024</v>
      </c>
    </row>
    <row r="129" spans="1:44" x14ac:dyDescent="0.25">
      <c r="A129" t="s">
        <v>20848</v>
      </c>
      <c r="B129" t="s">
        <v>20853</v>
      </c>
      <c r="C129" s="410" t="s">
        <v>21</v>
      </c>
      <c r="D129" t="s">
        <v>20326</v>
      </c>
      <c r="E129" t="s">
        <v>192</v>
      </c>
      <c r="F129" s="534">
        <v>1</v>
      </c>
      <c r="G129" t="s">
        <v>193</v>
      </c>
      <c r="H129" t="s">
        <v>194</v>
      </c>
      <c r="I129" t="s">
        <v>20338</v>
      </c>
      <c r="J129" t="s">
        <v>316</v>
      </c>
      <c r="K129" s="28" t="s">
        <v>9309</v>
      </c>
      <c r="L129" t="s">
        <v>6955</v>
      </c>
      <c r="N129" t="s">
        <v>20854</v>
      </c>
      <c r="O129" t="s">
        <v>6324</v>
      </c>
      <c r="P129" t="s">
        <v>20328</v>
      </c>
      <c r="Q129" t="s">
        <v>20329</v>
      </c>
      <c r="R129" t="s">
        <v>20306</v>
      </c>
      <c r="S129" t="s">
        <v>20855</v>
      </c>
      <c r="T129" t="s">
        <v>20856</v>
      </c>
      <c r="V129" s="28" t="s">
        <v>10012</v>
      </c>
      <c r="W129" t="s">
        <v>293</v>
      </c>
      <c r="X129" t="s">
        <v>194</v>
      </c>
      <c r="Y129" s="28" t="s">
        <v>9300</v>
      </c>
      <c r="AB129" t="s">
        <v>9311</v>
      </c>
      <c r="AH129" t="s">
        <v>4714</v>
      </c>
      <c r="AI129" t="s">
        <v>20853</v>
      </c>
      <c r="AJ129" s="28" t="str">
        <f t="shared" si="2"/>
        <v>214202</v>
      </c>
      <c r="AK129" s="420">
        <v>1</v>
      </c>
      <c r="AL129" s="420">
        <f t="shared" si="3"/>
        <v>1</v>
      </c>
      <c r="AM129" s="420">
        <v>1</v>
      </c>
      <c r="AN129" t="s">
        <v>17650</v>
      </c>
      <c r="AO129" t="s">
        <v>17651</v>
      </c>
      <c r="AP129" t="s">
        <v>17652</v>
      </c>
      <c r="AQ129" t="s">
        <v>17653</v>
      </c>
      <c r="AR129" t="s">
        <v>1024</v>
      </c>
    </row>
    <row r="130" spans="1:44" x14ac:dyDescent="0.25">
      <c r="A130" t="s">
        <v>20848</v>
      </c>
      <c r="B130" t="s">
        <v>20857</v>
      </c>
      <c r="C130" s="410" t="s">
        <v>21</v>
      </c>
      <c r="D130" t="s">
        <v>20326</v>
      </c>
      <c r="E130" t="s">
        <v>192</v>
      </c>
      <c r="F130" s="534">
        <v>1</v>
      </c>
      <c r="G130" t="s">
        <v>193</v>
      </c>
      <c r="H130" t="s">
        <v>194</v>
      </c>
      <c r="I130" t="s">
        <v>20338</v>
      </c>
      <c r="J130" t="s">
        <v>316</v>
      </c>
      <c r="K130" s="28" t="s">
        <v>9309</v>
      </c>
      <c r="L130" t="s">
        <v>6955</v>
      </c>
      <c r="N130" t="s">
        <v>20858</v>
      </c>
      <c r="O130" t="s">
        <v>6324</v>
      </c>
      <c r="P130" t="s">
        <v>20328</v>
      </c>
      <c r="Q130" t="s">
        <v>20329</v>
      </c>
      <c r="R130" t="s">
        <v>20306</v>
      </c>
      <c r="S130" t="s">
        <v>20859</v>
      </c>
      <c r="T130" t="s">
        <v>20860</v>
      </c>
      <c r="V130" s="28" t="s">
        <v>10012</v>
      </c>
      <c r="W130" t="s">
        <v>293</v>
      </c>
      <c r="X130" t="s">
        <v>194</v>
      </c>
      <c r="Y130" s="28" t="s">
        <v>9300</v>
      </c>
      <c r="AB130" t="s">
        <v>9311</v>
      </c>
      <c r="AH130" t="s">
        <v>4714</v>
      </c>
      <c r="AI130" t="s">
        <v>20857</v>
      </c>
      <c r="AJ130" s="28" t="str">
        <f t="shared" si="2"/>
        <v>214202</v>
      </c>
      <c r="AK130" s="420">
        <v>1</v>
      </c>
      <c r="AL130" s="420">
        <f t="shared" si="3"/>
        <v>1</v>
      </c>
      <c r="AM130" s="420">
        <v>1</v>
      </c>
      <c r="AN130" t="s">
        <v>17650</v>
      </c>
      <c r="AO130" t="s">
        <v>17651</v>
      </c>
      <c r="AP130" t="s">
        <v>17652</v>
      </c>
      <c r="AQ130" t="s">
        <v>17653</v>
      </c>
      <c r="AR130" t="s">
        <v>1024</v>
      </c>
    </row>
    <row r="131" spans="1:44" x14ac:dyDescent="0.25">
      <c r="A131" t="s">
        <v>16775</v>
      </c>
      <c r="B131" t="s">
        <v>20861</v>
      </c>
      <c r="C131" s="410" t="s">
        <v>21</v>
      </c>
      <c r="D131" t="s">
        <v>20317</v>
      </c>
      <c r="E131" t="s">
        <v>233</v>
      </c>
      <c r="F131" s="534">
        <v>1</v>
      </c>
      <c r="G131" t="s">
        <v>193</v>
      </c>
      <c r="H131" t="s">
        <v>194</v>
      </c>
      <c r="I131" t="s">
        <v>20338</v>
      </c>
      <c r="J131" t="s">
        <v>9302</v>
      </c>
      <c r="K131" s="28" t="s">
        <v>9309</v>
      </c>
      <c r="L131" t="s">
        <v>6955</v>
      </c>
      <c r="N131" t="s">
        <v>20862</v>
      </c>
      <c r="O131" t="s">
        <v>6256</v>
      </c>
      <c r="P131" t="s">
        <v>20565</v>
      </c>
      <c r="Q131" t="s">
        <v>20566</v>
      </c>
      <c r="R131" t="s">
        <v>20567</v>
      </c>
      <c r="S131" t="s">
        <v>20863</v>
      </c>
      <c r="T131" t="s">
        <v>20864</v>
      </c>
      <c r="W131" t="s">
        <v>293</v>
      </c>
      <c r="X131" t="s">
        <v>193</v>
      </c>
      <c r="Y131" s="28" t="s">
        <v>9310</v>
      </c>
      <c r="AB131" t="s">
        <v>9311</v>
      </c>
      <c r="AH131" t="s">
        <v>4714</v>
      </c>
      <c r="AI131" t="s">
        <v>20861</v>
      </c>
      <c r="AJ131" s="28" t="str">
        <f t="shared" ref="AJ131:AJ194" si="4">MID(W131,8,6)</f>
        <v>214202</v>
      </c>
      <c r="AK131" s="420">
        <v>1</v>
      </c>
      <c r="AL131" s="420">
        <f t="shared" ref="AL131:AL194" si="5">F131</f>
        <v>1</v>
      </c>
      <c r="AM131" s="420">
        <v>1</v>
      </c>
      <c r="AN131" t="s">
        <v>17650</v>
      </c>
      <c r="AO131" t="s">
        <v>17651</v>
      </c>
      <c r="AP131" t="s">
        <v>17652</v>
      </c>
      <c r="AQ131" t="s">
        <v>17653</v>
      </c>
      <c r="AR131" t="s">
        <v>1024</v>
      </c>
    </row>
    <row r="132" spans="1:44" x14ac:dyDescent="0.25">
      <c r="A132" t="s">
        <v>13996</v>
      </c>
      <c r="B132" t="s">
        <v>20865</v>
      </c>
      <c r="C132" s="410" t="s">
        <v>21</v>
      </c>
      <c r="D132" t="s">
        <v>20317</v>
      </c>
      <c r="E132" t="s">
        <v>192</v>
      </c>
      <c r="F132" s="534">
        <v>1</v>
      </c>
      <c r="G132" t="s">
        <v>193</v>
      </c>
      <c r="H132" t="s">
        <v>194</v>
      </c>
      <c r="I132" t="s">
        <v>20338</v>
      </c>
      <c r="J132" t="s">
        <v>20866</v>
      </c>
      <c r="K132" s="28" t="s">
        <v>9309</v>
      </c>
      <c r="L132" t="s">
        <v>6955</v>
      </c>
      <c r="N132" t="s">
        <v>20867</v>
      </c>
      <c r="O132" t="s">
        <v>6324</v>
      </c>
      <c r="P132" t="s">
        <v>20320</v>
      </c>
      <c r="Q132" t="s">
        <v>20321</v>
      </c>
      <c r="R132" t="s">
        <v>20322</v>
      </c>
      <c r="S132" t="s">
        <v>20868</v>
      </c>
      <c r="T132" t="s">
        <v>20869</v>
      </c>
      <c r="V132" s="28" t="s">
        <v>9753</v>
      </c>
      <c r="W132" t="s">
        <v>293</v>
      </c>
      <c r="X132" t="s">
        <v>194</v>
      </c>
      <c r="Y132" s="28" t="s">
        <v>9300</v>
      </c>
      <c r="AB132" t="s">
        <v>9311</v>
      </c>
      <c r="AH132" t="s">
        <v>4714</v>
      </c>
      <c r="AI132" t="s">
        <v>20865</v>
      </c>
      <c r="AJ132" s="28" t="str">
        <f t="shared" si="4"/>
        <v>214202</v>
      </c>
      <c r="AK132" s="420">
        <v>1</v>
      </c>
      <c r="AL132" s="420">
        <f t="shared" si="5"/>
        <v>1</v>
      </c>
      <c r="AM132" s="420">
        <v>1</v>
      </c>
      <c r="AN132" t="s">
        <v>17650</v>
      </c>
      <c r="AO132" t="s">
        <v>17651</v>
      </c>
      <c r="AP132" t="s">
        <v>17652</v>
      </c>
      <c r="AQ132" t="s">
        <v>17653</v>
      </c>
      <c r="AR132" t="s">
        <v>1024</v>
      </c>
    </row>
    <row r="133" spans="1:44" x14ac:dyDescent="0.25">
      <c r="A133" t="s">
        <v>9759</v>
      </c>
      <c r="B133" t="s">
        <v>6194</v>
      </c>
      <c r="C133" s="410" t="s">
        <v>21</v>
      </c>
      <c r="D133" t="s">
        <v>20317</v>
      </c>
      <c r="E133" t="s">
        <v>192</v>
      </c>
      <c r="F133" s="534">
        <v>1</v>
      </c>
      <c r="G133" t="s">
        <v>193</v>
      </c>
      <c r="H133" t="s">
        <v>194</v>
      </c>
      <c r="I133" t="s">
        <v>20338</v>
      </c>
      <c r="J133" t="s">
        <v>2201</v>
      </c>
      <c r="K133" s="28" t="s">
        <v>9309</v>
      </c>
      <c r="L133" t="s">
        <v>6955</v>
      </c>
      <c r="N133" t="s">
        <v>20870</v>
      </c>
      <c r="O133" t="s">
        <v>6324</v>
      </c>
      <c r="P133" t="s">
        <v>20871</v>
      </c>
      <c r="Q133" t="s">
        <v>4849</v>
      </c>
      <c r="R133" t="s">
        <v>7703</v>
      </c>
      <c r="S133" t="s">
        <v>20872</v>
      </c>
      <c r="T133" t="s">
        <v>20873</v>
      </c>
      <c r="V133" s="28" t="s">
        <v>9892</v>
      </c>
      <c r="W133" t="s">
        <v>293</v>
      </c>
      <c r="X133" t="s">
        <v>194</v>
      </c>
      <c r="Y133" s="28" t="s">
        <v>9300</v>
      </c>
      <c r="AB133" t="s">
        <v>9311</v>
      </c>
      <c r="AH133" t="s">
        <v>4714</v>
      </c>
      <c r="AI133" t="s">
        <v>6194</v>
      </c>
      <c r="AJ133" s="28" t="str">
        <f t="shared" si="4"/>
        <v>214202</v>
      </c>
      <c r="AK133" s="420">
        <v>1</v>
      </c>
      <c r="AL133" s="420">
        <f t="shared" si="5"/>
        <v>1</v>
      </c>
      <c r="AM133" s="420">
        <v>1</v>
      </c>
      <c r="AN133" t="s">
        <v>17650</v>
      </c>
      <c r="AO133" t="s">
        <v>17651</v>
      </c>
      <c r="AP133" t="s">
        <v>17652</v>
      </c>
      <c r="AQ133" t="s">
        <v>17653</v>
      </c>
      <c r="AR133" t="s">
        <v>1024</v>
      </c>
    </row>
    <row r="134" spans="1:44" x14ac:dyDescent="0.25">
      <c r="A134" t="s">
        <v>9759</v>
      </c>
      <c r="B134" t="s">
        <v>19970</v>
      </c>
      <c r="C134" s="410" t="s">
        <v>21</v>
      </c>
      <c r="D134" t="s">
        <v>20317</v>
      </c>
      <c r="E134" t="s">
        <v>192</v>
      </c>
      <c r="F134" s="534">
        <v>1</v>
      </c>
      <c r="G134" t="s">
        <v>193</v>
      </c>
      <c r="H134" t="s">
        <v>194</v>
      </c>
      <c r="I134" t="s">
        <v>20338</v>
      </c>
      <c r="J134" t="s">
        <v>2201</v>
      </c>
      <c r="K134" s="28" t="s">
        <v>9309</v>
      </c>
      <c r="L134" t="s">
        <v>6955</v>
      </c>
      <c r="N134" t="s">
        <v>20874</v>
      </c>
      <c r="O134" t="s">
        <v>6324</v>
      </c>
      <c r="P134" t="s">
        <v>20871</v>
      </c>
      <c r="Q134" t="s">
        <v>4849</v>
      </c>
      <c r="R134" t="s">
        <v>7703</v>
      </c>
      <c r="S134" t="s">
        <v>20875</v>
      </c>
      <c r="T134" t="s">
        <v>20876</v>
      </c>
      <c r="V134" s="28" t="s">
        <v>9892</v>
      </c>
      <c r="W134" t="s">
        <v>293</v>
      </c>
      <c r="X134" t="s">
        <v>194</v>
      </c>
      <c r="Y134" s="28" t="s">
        <v>9300</v>
      </c>
      <c r="AB134" t="s">
        <v>9311</v>
      </c>
      <c r="AH134" t="s">
        <v>4714</v>
      </c>
      <c r="AI134" t="s">
        <v>19970</v>
      </c>
      <c r="AJ134" s="28" t="str">
        <f t="shared" si="4"/>
        <v>214202</v>
      </c>
      <c r="AK134" s="420">
        <v>1</v>
      </c>
      <c r="AL134" s="420">
        <f t="shared" si="5"/>
        <v>1</v>
      </c>
      <c r="AM134" s="420">
        <v>1</v>
      </c>
      <c r="AN134" t="s">
        <v>17650</v>
      </c>
      <c r="AO134" t="s">
        <v>17651</v>
      </c>
      <c r="AP134" t="s">
        <v>17652</v>
      </c>
      <c r="AQ134" t="s">
        <v>17653</v>
      </c>
      <c r="AR134" t="s">
        <v>1024</v>
      </c>
    </row>
    <row r="135" spans="1:44" x14ac:dyDescent="0.25">
      <c r="A135" t="s">
        <v>20877</v>
      </c>
      <c r="B135" t="s">
        <v>14727</v>
      </c>
      <c r="C135" s="410" t="s">
        <v>21</v>
      </c>
      <c r="D135" t="s">
        <v>20338</v>
      </c>
      <c r="E135" t="s">
        <v>192</v>
      </c>
      <c r="F135" s="534">
        <v>1</v>
      </c>
      <c r="G135" t="s">
        <v>193</v>
      </c>
      <c r="H135" t="s">
        <v>194</v>
      </c>
      <c r="I135" t="s">
        <v>20310</v>
      </c>
      <c r="J135" t="s">
        <v>9302</v>
      </c>
      <c r="K135" s="28" t="s">
        <v>9309</v>
      </c>
      <c r="L135" t="s">
        <v>6955</v>
      </c>
      <c r="N135" t="s">
        <v>20878</v>
      </c>
      <c r="O135" t="s">
        <v>6324</v>
      </c>
      <c r="P135" t="s">
        <v>20398</v>
      </c>
      <c r="Q135" t="s">
        <v>20399</v>
      </c>
      <c r="R135" t="s">
        <v>20400</v>
      </c>
      <c r="S135" t="s">
        <v>20879</v>
      </c>
      <c r="T135" t="s">
        <v>20880</v>
      </c>
      <c r="W135" t="s">
        <v>293</v>
      </c>
      <c r="X135" t="s">
        <v>193</v>
      </c>
      <c r="Y135" s="28" t="s">
        <v>9310</v>
      </c>
      <c r="AB135" t="s">
        <v>9311</v>
      </c>
      <c r="AH135" t="s">
        <v>4714</v>
      </c>
      <c r="AI135" t="s">
        <v>14727</v>
      </c>
      <c r="AJ135" s="28" t="str">
        <f t="shared" si="4"/>
        <v>214202</v>
      </c>
      <c r="AK135" s="420">
        <v>1</v>
      </c>
      <c r="AL135" s="420">
        <f t="shared" si="5"/>
        <v>1</v>
      </c>
      <c r="AM135" s="420">
        <v>1</v>
      </c>
      <c r="AN135" t="s">
        <v>17650</v>
      </c>
      <c r="AO135" t="s">
        <v>17651</v>
      </c>
      <c r="AP135" t="s">
        <v>17652</v>
      </c>
      <c r="AQ135" t="s">
        <v>17653</v>
      </c>
      <c r="AR135" t="s">
        <v>1024</v>
      </c>
    </row>
    <row r="136" spans="1:44" x14ac:dyDescent="0.25">
      <c r="A136" t="s">
        <v>20848</v>
      </c>
      <c r="B136" t="s">
        <v>20881</v>
      </c>
      <c r="C136" s="410" t="s">
        <v>4280</v>
      </c>
      <c r="D136" t="s">
        <v>20326</v>
      </c>
      <c r="E136" t="s">
        <v>192</v>
      </c>
      <c r="F136" s="534">
        <v>1</v>
      </c>
      <c r="G136" t="s">
        <v>193</v>
      </c>
      <c r="H136" t="s">
        <v>194</v>
      </c>
      <c r="I136" t="s">
        <v>20338</v>
      </c>
      <c r="J136" t="s">
        <v>316</v>
      </c>
      <c r="K136" s="28" t="s">
        <v>9309</v>
      </c>
      <c r="L136" t="s">
        <v>6955</v>
      </c>
      <c r="N136" t="s">
        <v>20882</v>
      </c>
      <c r="O136" t="s">
        <v>6324</v>
      </c>
      <c r="P136" t="s">
        <v>20328</v>
      </c>
      <c r="Q136" t="s">
        <v>20329</v>
      </c>
      <c r="R136" t="s">
        <v>20306</v>
      </c>
      <c r="S136" t="s">
        <v>20883</v>
      </c>
      <c r="T136" t="s">
        <v>20884</v>
      </c>
      <c r="V136" s="28" t="s">
        <v>10012</v>
      </c>
      <c r="W136" t="s">
        <v>4281</v>
      </c>
      <c r="X136" t="s">
        <v>194</v>
      </c>
      <c r="Y136" s="28" t="s">
        <v>9300</v>
      </c>
      <c r="AB136" t="s">
        <v>9311</v>
      </c>
      <c r="AH136" t="s">
        <v>4714</v>
      </c>
      <c r="AI136" t="s">
        <v>20881</v>
      </c>
      <c r="AJ136" s="28" t="str">
        <f t="shared" si="4"/>
        <v>214203</v>
      </c>
      <c r="AK136" s="420">
        <v>1</v>
      </c>
      <c r="AL136" s="420">
        <f t="shared" si="5"/>
        <v>1</v>
      </c>
      <c r="AM136" s="420">
        <v>1</v>
      </c>
      <c r="AN136" t="s">
        <v>17650</v>
      </c>
      <c r="AO136" t="s">
        <v>17651</v>
      </c>
      <c r="AP136" t="s">
        <v>17652</v>
      </c>
      <c r="AQ136" t="s">
        <v>17653</v>
      </c>
      <c r="AR136" t="s">
        <v>1024</v>
      </c>
    </row>
    <row r="137" spans="1:44" x14ac:dyDescent="0.25">
      <c r="A137" t="s">
        <v>20885</v>
      </c>
      <c r="B137" t="s">
        <v>6194</v>
      </c>
      <c r="C137" s="410" t="s">
        <v>4280</v>
      </c>
      <c r="D137" t="s">
        <v>20306</v>
      </c>
      <c r="E137" t="s">
        <v>192</v>
      </c>
      <c r="F137" s="534">
        <v>1</v>
      </c>
      <c r="G137" t="s">
        <v>193</v>
      </c>
      <c r="H137" t="s">
        <v>194</v>
      </c>
      <c r="I137" t="s">
        <v>20441</v>
      </c>
      <c r="J137" t="s">
        <v>210</v>
      </c>
      <c r="K137" s="28" t="s">
        <v>9309</v>
      </c>
      <c r="L137" t="s">
        <v>6955</v>
      </c>
      <c r="N137" t="s">
        <v>20886</v>
      </c>
      <c r="O137" t="s">
        <v>6324</v>
      </c>
      <c r="P137" t="s">
        <v>20309</v>
      </c>
      <c r="Q137" t="s">
        <v>20310</v>
      </c>
      <c r="R137" t="s">
        <v>20311</v>
      </c>
      <c r="S137" t="s">
        <v>20887</v>
      </c>
      <c r="T137" t="s">
        <v>20888</v>
      </c>
      <c r="V137" s="28" t="s">
        <v>9334</v>
      </c>
      <c r="W137" t="s">
        <v>4281</v>
      </c>
      <c r="X137" t="s">
        <v>194</v>
      </c>
      <c r="Y137" s="28" t="s">
        <v>9300</v>
      </c>
      <c r="AB137" t="s">
        <v>9311</v>
      </c>
      <c r="AH137" t="s">
        <v>4714</v>
      </c>
      <c r="AI137" t="s">
        <v>6194</v>
      </c>
      <c r="AJ137" s="28" t="str">
        <f t="shared" si="4"/>
        <v>214203</v>
      </c>
      <c r="AK137" s="420">
        <v>1</v>
      </c>
      <c r="AL137" s="420">
        <f t="shared" si="5"/>
        <v>1</v>
      </c>
      <c r="AM137" s="420">
        <v>1</v>
      </c>
      <c r="AN137" t="s">
        <v>17650</v>
      </c>
      <c r="AO137" t="s">
        <v>17651</v>
      </c>
      <c r="AP137" t="s">
        <v>17652</v>
      </c>
      <c r="AQ137" t="s">
        <v>17653</v>
      </c>
      <c r="AR137" t="s">
        <v>1024</v>
      </c>
    </row>
    <row r="138" spans="1:44" x14ac:dyDescent="0.25">
      <c r="A138" t="s">
        <v>20889</v>
      </c>
      <c r="B138" t="s">
        <v>20890</v>
      </c>
      <c r="C138" s="410" t="s">
        <v>7985</v>
      </c>
      <c r="D138" t="s">
        <v>20338</v>
      </c>
      <c r="E138" t="s">
        <v>192</v>
      </c>
      <c r="F138" s="534">
        <v>1</v>
      </c>
      <c r="G138" t="s">
        <v>193</v>
      </c>
      <c r="H138" t="s">
        <v>194</v>
      </c>
      <c r="I138" t="s">
        <v>20310</v>
      </c>
      <c r="J138" t="s">
        <v>9302</v>
      </c>
      <c r="K138" s="28" t="s">
        <v>9309</v>
      </c>
      <c r="L138" t="s">
        <v>6955</v>
      </c>
      <c r="N138" t="s">
        <v>20891</v>
      </c>
      <c r="O138" t="s">
        <v>6245</v>
      </c>
      <c r="P138" t="s">
        <v>20398</v>
      </c>
      <c r="Q138" t="s">
        <v>20399</v>
      </c>
      <c r="R138" t="s">
        <v>20400</v>
      </c>
      <c r="S138" t="s">
        <v>20892</v>
      </c>
      <c r="T138" t="s">
        <v>20893</v>
      </c>
      <c r="W138" t="s">
        <v>1118</v>
      </c>
      <c r="X138" t="s">
        <v>193</v>
      </c>
      <c r="Y138" s="28" t="s">
        <v>9310</v>
      </c>
      <c r="AB138" t="s">
        <v>9311</v>
      </c>
      <c r="AH138" t="s">
        <v>4714</v>
      </c>
      <c r="AI138" t="s">
        <v>20890</v>
      </c>
      <c r="AJ138" s="28" t="str">
        <f t="shared" si="4"/>
        <v>214205</v>
      </c>
      <c r="AK138" s="420">
        <v>1</v>
      </c>
      <c r="AL138" s="420">
        <f t="shared" si="5"/>
        <v>1</v>
      </c>
      <c r="AM138" s="420">
        <v>1</v>
      </c>
      <c r="AN138" t="s">
        <v>17650</v>
      </c>
      <c r="AO138" t="s">
        <v>17651</v>
      </c>
      <c r="AP138" t="s">
        <v>17652</v>
      </c>
      <c r="AQ138" t="s">
        <v>17653</v>
      </c>
      <c r="AR138" t="s">
        <v>1024</v>
      </c>
    </row>
    <row r="139" spans="1:44" x14ac:dyDescent="0.25">
      <c r="A139" t="s">
        <v>20894</v>
      </c>
      <c r="B139" t="s">
        <v>20895</v>
      </c>
      <c r="C139" s="410" t="s">
        <v>366</v>
      </c>
      <c r="D139" t="s">
        <v>20338</v>
      </c>
      <c r="E139" t="s">
        <v>192</v>
      </c>
      <c r="F139" s="534">
        <v>1</v>
      </c>
      <c r="G139" t="s">
        <v>193</v>
      </c>
      <c r="H139" t="s">
        <v>194</v>
      </c>
      <c r="I139" t="s">
        <v>20310</v>
      </c>
      <c r="J139" t="s">
        <v>9302</v>
      </c>
      <c r="K139" s="28" t="s">
        <v>9309</v>
      </c>
      <c r="L139" t="s">
        <v>6955</v>
      </c>
      <c r="N139" t="s">
        <v>20896</v>
      </c>
      <c r="O139" t="s">
        <v>6245</v>
      </c>
      <c r="P139" t="s">
        <v>20398</v>
      </c>
      <c r="Q139" t="s">
        <v>20399</v>
      </c>
      <c r="R139" t="s">
        <v>20400</v>
      </c>
      <c r="S139" t="s">
        <v>20897</v>
      </c>
      <c r="T139" t="s">
        <v>20898</v>
      </c>
      <c r="W139" t="s">
        <v>368</v>
      </c>
      <c r="X139" t="s">
        <v>193</v>
      </c>
      <c r="Y139" s="28" t="s">
        <v>9310</v>
      </c>
      <c r="AB139" t="s">
        <v>9311</v>
      </c>
      <c r="AH139" t="s">
        <v>4714</v>
      </c>
      <c r="AI139" t="s">
        <v>20895</v>
      </c>
      <c r="AJ139" s="28" t="str">
        <f t="shared" si="4"/>
        <v>215201</v>
      </c>
      <c r="AK139" s="420">
        <v>1</v>
      </c>
      <c r="AL139" s="420">
        <f t="shared" si="5"/>
        <v>1</v>
      </c>
      <c r="AM139" s="420">
        <v>1</v>
      </c>
      <c r="AN139" t="s">
        <v>17650</v>
      </c>
      <c r="AO139" t="s">
        <v>17651</v>
      </c>
      <c r="AP139" t="s">
        <v>17652</v>
      </c>
      <c r="AQ139" t="s">
        <v>17653</v>
      </c>
      <c r="AR139" t="s">
        <v>1024</v>
      </c>
    </row>
    <row r="140" spans="1:44" x14ac:dyDescent="0.25">
      <c r="A140" t="s">
        <v>16118</v>
      </c>
      <c r="B140" t="s">
        <v>20899</v>
      </c>
      <c r="C140" s="410" t="s">
        <v>354</v>
      </c>
      <c r="D140" t="s">
        <v>20338</v>
      </c>
      <c r="E140" t="s">
        <v>192</v>
      </c>
      <c r="F140" s="534">
        <v>1</v>
      </c>
      <c r="G140" t="s">
        <v>193</v>
      </c>
      <c r="H140" t="s">
        <v>194</v>
      </c>
      <c r="I140" t="s">
        <v>20310</v>
      </c>
      <c r="J140" t="s">
        <v>253</v>
      </c>
      <c r="K140" s="28" t="s">
        <v>9309</v>
      </c>
      <c r="L140" t="s">
        <v>6955</v>
      </c>
      <c r="N140" t="s">
        <v>20900</v>
      </c>
      <c r="O140" t="s">
        <v>6245</v>
      </c>
      <c r="P140" t="s">
        <v>20639</v>
      </c>
      <c r="Q140" t="s">
        <v>20399</v>
      </c>
      <c r="R140" t="s">
        <v>20400</v>
      </c>
      <c r="S140" t="s">
        <v>20901</v>
      </c>
      <c r="T140" t="s">
        <v>20902</v>
      </c>
      <c r="V140" s="28" t="s">
        <v>9468</v>
      </c>
      <c r="W140" t="s">
        <v>355</v>
      </c>
      <c r="X140" t="s">
        <v>194</v>
      </c>
      <c r="Y140" s="28" t="s">
        <v>9300</v>
      </c>
      <c r="AB140" t="s">
        <v>9311</v>
      </c>
      <c r="AH140" t="s">
        <v>4714</v>
      </c>
      <c r="AI140" t="s">
        <v>354</v>
      </c>
      <c r="AJ140" s="28" t="str">
        <f t="shared" si="4"/>
        <v>215103</v>
      </c>
      <c r="AK140" s="420">
        <v>1</v>
      </c>
      <c r="AL140" s="420">
        <f t="shared" si="5"/>
        <v>1</v>
      </c>
      <c r="AM140" s="420">
        <v>1</v>
      </c>
      <c r="AN140" t="s">
        <v>17650</v>
      </c>
      <c r="AO140" t="s">
        <v>17651</v>
      </c>
      <c r="AP140" t="s">
        <v>17652</v>
      </c>
      <c r="AQ140" t="s">
        <v>17653</v>
      </c>
      <c r="AR140" t="s">
        <v>1024</v>
      </c>
    </row>
    <row r="141" spans="1:44" x14ac:dyDescent="0.25">
      <c r="A141" t="s">
        <v>4416</v>
      </c>
      <c r="B141" t="s">
        <v>20903</v>
      </c>
      <c r="C141" s="410" t="s">
        <v>8088</v>
      </c>
      <c r="D141" t="s">
        <v>20326</v>
      </c>
      <c r="E141" t="s">
        <v>192</v>
      </c>
      <c r="F141" s="534">
        <v>1</v>
      </c>
      <c r="G141" t="s">
        <v>193</v>
      </c>
      <c r="H141" t="s">
        <v>194</v>
      </c>
      <c r="I141" t="s">
        <v>20318</v>
      </c>
      <c r="J141" t="s">
        <v>9302</v>
      </c>
      <c r="K141" s="28" t="s">
        <v>9309</v>
      </c>
      <c r="L141" t="s">
        <v>6955</v>
      </c>
      <c r="N141" t="s">
        <v>20904</v>
      </c>
      <c r="O141" t="s">
        <v>6245</v>
      </c>
      <c r="P141" t="s">
        <v>20328</v>
      </c>
      <c r="Q141" t="s">
        <v>20329</v>
      </c>
      <c r="R141" t="s">
        <v>20306</v>
      </c>
      <c r="S141" t="s">
        <v>20905</v>
      </c>
      <c r="T141" t="s">
        <v>20906</v>
      </c>
      <c r="W141" t="s">
        <v>1926</v>
      </c>
      <c r="X141" t="s">
        <v>193</v>
      </c>
      <c r="Y141" s="28" t="s">
        <v>9310</v>
      </c>
      <c r="AB141" t="s">
        <v>9311</v>
      </c>
      <c r="AH141" t="s">
        <v>4714</v>
      </c>
      <c r="AI141" t="s">
        <v>20903</v>
      </c>
      <c r="AJ141" s="28" t="str">
        <f t="shared" si="4"/>
        <v>214301</v>
      </c>
      <c r="AK141" s="420">
        <v>1</v>
      </c>
      <c r="AL141" s="420">
        <f t="shared" si="5"/>
        <v>1</v>
      </c>
      <c r="AM141" s="420">
        <v>1</v>
      </c>
      <c r="AN141" t="s">
        <v>17650</v>
      </c>
      <c r="AO141" t="s">
        <v>17651</v>
      </c>
      <c r="AP141" t="s">
        <v>17652</v>
      </c>
      <c r="AQ141" t="s">
        <v>17653</v>
      </c>
      <c r="AR141" t="s">
        <v>1024</v>
      </c>
    </row>
    <row r="142" spans="1:44" x14ac:dyDescent="0.25">
      <c r="A142" t="s">
        <v>20907</v>
      </c>
      <c r="B142" t="s">
        <v>20908</v>
      </c>
      <c r="C142" s="410" t="s">
        <v>8088</v>
      </c>
      <c r="D142" t="s">
        <v>20326</v>
      </c>
      <c r="E142" t="s">
        <v>192</v>
      </c>
      <c r="F142" s="534">
        <v>1</v>
      </c>
      <c r="G142" t="s">
        <v>193</v>
      </c>
      <c r="H142" t="s">
        <v>194</v>
      </c>
      <c r="I142" t="s">
        <v>20333</v>
      </c>
      <c r="J142" t="s">
        <v>9302</v>
      </c>
      <c r="K142" s="28" t="s">
        <v>9309</v>
      </c>
      <c r="L142" t="s">
        <v>6955</v>
      </c>
      <c r="N142" t="s">
        <v>20909</v>
      </c>
      <c r="O142" t="s">
        <v>6374</v>
      </c>
      <c r="P142" t="s">
        <v>20328</v>
      </c>
      <c r="Q142" t="s">
        <v>20329</v>
      </c>
      <c r="R142" t="s">
        <v>20306</v>
      </c>
      <c r="S142" t="s">
        <v>20910</v>
      </c>
      <c r="T142" t="s">
        <v>20911</v>
      </c>
      <c r="W142" t="s">
        <v>1926</v>
      </c>
      <c r="X142" t="s">
        <v>193</v>
      </c>
      <c r="Y142" s="28" t="s">
        <v>9310</v>
      </c>
      <c r="AB142" t="s">
        <v>9311</v>
      </c>
      <c r="AH142" t="s">
        <v>4714</v>
      </c>
      <c r="AI142" t="s">
        <v>20908</v>
      </c>
      <c r="AJ142" s="28" t="str">
        <f t="shared" si="4"/>
        <v>214301</v>
      </c>
      <c r="AK142" s="420">
        <v>1</v>
      </c>
      <c r="AL142" s="420">
        <f t="shared" si="5"/>
        <v>1</v>
      </c>
      <c r="AM142" s="420">
        <v>1</v>
      </c>
      <c r="AN142" t="s">
        <v>17650</v>
      </c>
      <c r="AO142" t="s">
        <v>17651</v>
      </c>
      <c r="AP142" t="s">
        <v>17652</v>
      </c>
      <c r="AQ142" t="s">
        <v>17653</v>
      </c>
      <c r="AR142" t="s">
        <v>1024</v>
      </c>
    </row>
    <row r="143" spans="1:44" x14ac:dyDescent="0.25">
      <c r="A143" t="s">
        <v>3680</v>
      </c>
      <c r="B143" t="s">
        <v>2952</v>
      </c>
      <c r="C143" s="410" t="s">
        <v>8088</v>
      </c>
      <c r="D143" t="s">
        <v>20338</v>
      </c>
      <c r="E143" t="s">
        <v>192</v>
      </c>
      <c r="F143" s="534">
        <v>1</v>
      </c>
      <c r="G143" t="s">
        <v>193</v>
      </c>
      <c r="H143" t="s">
        <v>194</v>
      </c>
      <c r="I143" t="s">
        <v>20310</v>
      </c>
      <c r="J143" t="s">
        <v>385</v>
      </c>
      <c r="K143" s="28" t="s">
        <v>9309</v>
      </c>
      <c r="L143" t="s">
        <v>6955</v>
      </c>
      <c r="N143" t="s">
        <v>20912</v>
      </c>
      <c r="O143" t="s">
        <v>6245</v>
      </c>
      <c r="P143" t="s">
        <v>20398</v>
      </c>
      <c r="Q143" t="s">
        <v>20399</v>
      </c>
      <c r="R143" t="s">
        <v>20400</v>
      </c>
      <c r="S143" t="s">
        <v>20913</v>
      </c>
      <c r="T143" t="s">
        <v>20914</v>
      </c>
      <c r="V143" s="28" t="s">
        <v>9410</v>
      </c>
      <c r="W143" t="s">
        <v>1926</v>
      </c>
      <c r="X143" t="s">
        <v>194</v>
      </c>
      <c r="Y143" s="28" t="s">
        <v>9300</v>
      </c>
      <c r="AB143" t="s">
        <v>9311</v>
      </c>
      <c r="AH143" t="s">
        <v>4714</v>
      </c>
      <c r="AI143" t="s">
        <v>2952</v>
      </c>
      <c r="AJ143" s="28" t="str">
        <f t="shared" si="4"/>
        <v>214301</v>
      </c>
      <c r="AK143" s="420">
        <v>1</v>
      </c>
      <c r="AL143" s="420">
        <f t="shared" si="5"/>
        <v>1</v>
      </c>
      <c r="AM143" s="420">
        <v>1</v>
      </c>
      <c r="AN143" t="s">
        <v>17650</v>
      </c>
      <c r="AO143" t="s">
        <v>17651</v>
      </c>
      <c r="AP143" t="s">
        <v>17652</v>
      </c>
      <c r="AQ143" t="s">
        <v>17653</v>
      </c>
      <c r="AR143" t="s">
        <v>1024</v>
      </c>
    </row>
    <row r="144" spans="1:44" x14ac:dyDescent="0.25">
      <c r="A144" t="s">
        <v>13870</v>
      </c>
      <c r="B144" t="s">
        <v>7275</v>
      </c>
      <c r="C144" s="410" t="s">
        <v>5445</v>
      </c>
      <c r="D144" t="s">
        <v>20317</v>
      </c>
      <c r="E144" t="s">
        <v>233</v>
      </c>
      <c r="F144" s="534">
        <v>1</v>
      </c>
      <c r="G144" t="s">
        <v>193</v>
      </c>
      <c r="H144" t="s">
        <v>194</v>
      </c>
      <c r="I144" t="s">
        <v>20338</v>
      </c>
      <c r="J144" t="s">
        <v>9302</v>
      </c>
      <c r="K144" s="28" t="s">
        <v>9309</v>
      </c>
      <c r="L144" t="s">
        <v>6955</v>
      </c>
      <c r="N144" t="s">
        <v>20915</v>
      </c>
      <c r="O144" t="s">
        <v>6256</v>
      </c>
      <c r="P144" t="s">
        <v>20565</v>
      </c>
      <c r="Q144" t="s">
        <v>20566</v>
      </c>
      <c r="R144" t="s">
        <v>20385</v>
      </c>
      <c r="S144" t="s">
        <v>20916</v>
      </c>
      <c r="T144" t="s">
        <v>20917</v>
      </c>
      <c r="W144" t="s">
        <v>1571</v>
      </c>
      <c r="X144" t="s">
        <v>193</v>
      </c>
      <c r="Y144" s="28" t="s">
        <v>9310</v>
      </c>
      <c r="AB144" t="s">
        <v>9311</v>
      </c>
      <c r="AH144" t="s">
        <v>4714</v>
      </c>
      <c r="AI144" t="s">
        <v>7275</v>
      </c>
      <c r="AJ144" s="28" t="str">
        <f t="shared" si="4"/>
        <v>214303</v>
      </c>
      <c r="AK144" s="420">
        <v>1</v>
      </c>
      <c r="AL144" s="420">
        <f t="shared" si="5"/>
        <v>1</v>
      </c>
      <c r="AM144" s="420">
        <v>1</v>
      </c>
      <c r="AN144" t="s">
        <v>17650</v>
      </c>
      <c r="AO144" t="s">
        <v>17651</v>
      </c>
      <c r="AP144" t="s">
        <v>17652</v>
      </c>
      <c r="AQ144" t="s">
        <v>17653</v>
      </c>
      <c r="AR144" t="s">
        <v>1024</v>
      </c>
    </row>
    <row r="145" spans="1:44" x14ac:dyDescent="0.25">
      <c r="A145" t="s">
        <v>20918</v>
      </c>
      <c r="B145" t="s">
        <v>20919</v>
      </c>
      <c r="C145" s="410" t="s">
        <v>5445</v>
      </c>
      <c r="D145" t="s">
        <v>20306</v>
      </c>
      <c r="E145" t="s">
        <v>192</v>
      </c>
      <c r="F145" s="534">
        <v>1</v>
      </c>
      <c r="G145" t="s">
        <v>193</v>
      </c>
      <c r="H145" t="s">
        <v>194</v>
      </c>
      <c r="I145" t="s">
        <v>20307</v>
      </c>
      <c r="J145" t="s">
        <v>20920</v>
      </c>
      <c r="K145" s="28" t="s">
        <v>9309</v>
      </c>
      <c r="L145" t="s">
        <v>6955</v>
      </c>
      <c r="N145" t="s">
        <v>20921</v>
      </c>
      <c r="O145" t="s">
        <v>6245</v>
      </c>
      <c r="P145" t="s">
        <v>20309</v>
      </c>
      <c r="Q145" t="s">
        <v>20310</v>
      </c>
      <c r="R145" t="s">
        <v>20311</v>
      </c>
      <c r="S145" t="s">
        <v>20922</v>
      </c>
      <c r="T145" t="s">
        <v>20923</v>
      </c>
      <c r="V145" s="28" t="s">
        <v>9726</v>
      </c>
      <c r="W145" t="s">
        <v>1571</v>
      </c>
      <c r="X145" t="s">
        <v>194</v>
      </c>
      <c r="Y145" s="28" t="s">
        <v>9300</v>
      </c>
      <c r="AB145" t="s">
        <v>9311</v>
      </c>
      <c r="AH145" t="s">
        <v>4714</v>
      </c>
      <c r="AI145" t="s">
        <v>20919</v>
      </c>
      <c r="AJ145" s="28" t="str">
        <f t="shared" si="4"/>
        <v>214303</v>
      </c>
      <c r="AK145" s="420">
        <v>1</v>
      </c>
      <c r="AL145" s="420">
        <f t="shared" si="5"/>
        <v>1</v>
      </c>
      <c r="AM145" s="420">
        <v>1</v>
      </c>
      <c r="AN145" t="s">
        <v>17650</v>
      </c>
      <c r="AO145" t="s">
        <v>17651</v>
      </c>
      <c r="AP145" t="s">
        <v>17652</v>
      </c>
      <c r="AQ145" t="s">
        <v>17653</v>
      </c>
      <c r="AR145" t="s">
        <v>1024</v>
      </c>
    </row>
    <row r="146" spans="1:44" x14ac:dyDescent="0.25">
      <c r="A146" t="s">
        <v>5828</v>
      </c>
      <c r="B146" t="s">
        <v>20924</v>
      </c>
      <c r="C146" s="410" t="s">
        <v>11493</v>
      </c>
      <c r="D146" t="s">
        <v>20326</v>
      </c>
      <c r="E146" t="s">
        <v>233</v>
      </c>
      <c r="F146" s="534">
        <v>1</v>
      </c>
      <c r="G146" t="s">
        <v>193</v>
      </c>
      <c r="H146" t="s">
        <v>194</v>
      </c>
      <c r="I146" t="s">
        <v>20360</v>
      </c>
      <c r="J146" t="s">
        <v>9302</v>
      </c>
      <c r="K146" s="28" t="s">
        <v>9309</v>
      </c>
      <c r="L146" t="s">
        <v>6955</v>
      </c>
      <c r="N146" t="s">
        <v>20925</v>
      </c>
      <c r="O146" t="s">
        <v>6245</v>
      </c>
      <c r="P146" t="s">
        <v>20509</v>
      </c>
      <c r="Q146" t="s">
        <v>20510</v>
      </c>
      <c r="R146" t="s">
        <v>20926</v>
      </c>
      <c r="S146" t="s">
        <v>20927</v>
      </c>
      <c r="T146" t="s">
        <v>20928</v>
      </c>
      <c r="W146" t="s">
        <v>11497</v>
      </c>
      <c r="X146" t="s">
        <v>193</v>
      </c>
      <c r="Y146" s="28" t="s">
        <v>9310</v>
      </c>
      <c r="AB146" t="s">
        <v>9311</v>
      </c>
      <c r="AH146" t="s">
        <v>4714</v>
      </c>
      <c r="AI146" t="s">
        <v>20924</v>
      </c>
      <c r="AJ146" s="28" t="str">
        <f t="shared" si="4"/>
        <v>214306</v>
      </c>
      <c r="AK146" s="420">
        <v>1</v>
      </c>
      <c r="AL146" s="420">
        <f t="shared" si="5"/>
        <v>1</v>
      </c>
      <c r="AM146" s="420">
        <v>1</v>
      </c>
      <c r="AN146" t="s">
        <v>17650</v>
      </c>
      <c r="AO146" t="s">
        <v>17651</v>
      </c>
      <c r="AP146" t="s">
        <v>17652</v>
      </c>
      <c r="AQ146" t="s">
        <v>17653</v>
      </c>
      <c r="AR146" t="s">
        <v>1024</v>
      </c>
    </row>
    <row r="147" spans="1:44" x14ac:dyDescent="0.25">
      <c r="A147" t="s">
        <v>18808</v>
      </c>
      <c r="B147" t="s">
        <v>20929</v>
      </c>
      <c r="C147" s="410" t="s">
        <v>5607</v>
      </c>
      <c r="D147" t="s">
        <v>20317</v>
      </c>
      <c r="E147" t="s">
        <v>192</v>
      </c>
      <c r="F147" s="534">
        <v>1</v>
      </c>
      <c r="G147" t="s">
        <v>193</v>
      </c>
      <c r="H147" t="s">
        <v>194</v>
      </c>
      <c r="I147" t="s">
        <v>20333</v>
      </c>
      <c r="J147" t="s">
        <v>253</v>
      </c>
      <c r="K147" s="28" t="s">
        <v>9309</v>
      </c>
      <c r="L147" t="s">
        <v>6955</v>
      </c>
      <c r="N147" t="s">
        <v>20930</v>
      </c>
      <c r="O147" t="s">
        <v>6245</v>
      </c>
      <c r="P147" t="s">
        <v>20320</v>
      </c>
      <c r="Q147" t="s">
        <v>20321</v>
      </c>
      <c r="R147" t="s">
        <v>20322</v>
      </c>
      <c r="S147" t="s">
        <v>20931</v>
      </c>
      <c r="T147" t="s">
        <v>20932</v>
      </c>
      <c r="V147" s="28" t="s">
        <v>9468</v>
      </c>
      <c r="W147" t="s">
        <v>302</v>
      </c>
      <c r="X147" t="s">
        <v>194</v>
      </c>
      <c r="Y147" s="28" t="s">
        <v>9300</v>
      </c>
      <c r="AB147" t="s">
        <v>9311</v>
      </c>
      <c r="AH147" t="s">
        <v>4714</v>
      </c>
      <c r="AI147" t="s">
        <v>20929</v>
      </c>
      <c r="AJ147" s="28" t="str">
        <f t="shared" si="4"/>
        <v>214402</v>
      </c>
      <c r="AK147" s="420">
        <v>1</v>
      </c>
      <c r="AL147" s="420">
        <f t="shared" si="5"/>
        <v>1</v>
      </c>
      <c r="AM147" s="420">
        <v>1</v>
      </c>
      <c r="AN147" t="s">
        <v>17650</v>
      </c>
      <c r="AO147" t="s">
        <v>17651</v>
      </c>
      <c r="AP147" t="s">
        <v>17652</v>
      </c>
      <c r="AQ147" t="s">
        <v>17653</v>
      </c>
      <c r="AR147" t="s">
        <v>1024</v>
      </c>
    </row>
    <row r="148" spans="1:44" x14ac:dyDescent="0.25">
      <c r="A148" t="s">
        <v>18808</v>
      </c>
      <c r="B148" t="s">
        <v>20933</v>
      </c>
      <c r="C148" s="410" t="s">
        <v>5607</v>
      </c>
      <c r="D148" t="s">
        <v>20317</v>
      </c>
      <c r="E148" t="s">
        <v>192</v>
      </c>
      <c r="F148" s="534">
        <v>1</v>
      </c>
      <c r="G148" t="s">
        <v>193</v>
      </c>
      <c r="H148" t="s">
        <v>194</v>
      </c>
      <c r="I148" t="s">
        <v>20333</v>
      </c>
      <c r="J148" t="s">
        <v>253</v>
      </c>
      <c r="K148" s="28" t="s">
        <v>9309</v>
      </c>
      <c r="L148" t="s">
        <v>6955</v>
      </c>
      <c r="N148" t="s">
        <v>20934</v>
      </c>
      <c r="O148" t="s">
        <v>6275</v>
      </c>
      <c r="P148" t="s">
        <v>20320</v>
      </c>
      <c r="Q148" t="s">
        <v>20321</v>
      </c>
      <c r="R148" t="s">
        <v>20322</v>
      </c>
      <c r="S148" t="s">
        <v>20935</v>
      </c>
      <c r="T148" t="s">
        <v>20936</v>
      </c>
      <c r="V148" s="28" t="s">
        <v>9468</v>
      </c>
      <c r="W148" t="s">
        <v>302</v>
      </c>
      <c r="X148" t="s">
        <v>194</v>
      </c>
      <c r="Y148" s="28" t="s">
        <v>9300</v>
      </c>
      <c r="AB148" t="s">
        <v>9311</v>
      </c>
      <c r="AH148" t="s">
        <v>4714</v>
      </c>
      <c r="AI148" t="s">
        <v>20933</v>
      </c>
      <c r="AJ148" s="28" t="str">
        <f t="shared" si="4"/>
        <v>214402</v>
      </c>
      <c r="AK148" s="420">
        <v>1</v>
      </c>
      <c r="AL148" s="420">
        <f t="shared" si="5"/>
        <v>1</v>
      </c>
      <c r="AM148" s="420">
        <v>1</v>
      </c>
      <c r="AN148" t="s">
        <v>17650</v>
      </c>
      <c r="AO148" t="s">
        <v>17651</v>
      </c>
      <c r="AP148" t="s">
        <v>17652</v>
      </c>
      <c r="AQ148" t="s">
        <v>17653</v>
      </c>
      <c r="AR148" t="s">
        <v>1024</v>
      </c>
    </row>
    <row r="149" spans="1:44" x14ac:dyDescent="0.25">
      <c r="A149" t="s">
        <v>18515</v>
      </c>
      <c r="B149" t="s">
        <v>20937</v>
      </c>
      <c r="C149" s="410" t="s">
        <v>5440</v>
      </c>
      <c r="D149" t="s">
        <v>20317</v>
      </c>
      <c r="E149" t="s">
        <v>192</v>
      </c>
      <c r="F149" s="534">
        <v>1</v>
      </c>
      <c r="G149" t="s">
        <v>193</v>
      </c>
      <c r="H149" t="s">
        <v>194</v>
      </c>
      <c r="I149" t="s">
        <v>20338</v>
      </c>
      <c r="J149" t="s">
        <v>9302</v>
      </c>
      <c r="K149" s="28" t="s">
        <v>9309</v>
      </c>
      <c r="L149" t="s">
        <v>6955</v>
      </c>
      <c r="N149" t="s">
        <v>20938</v>
      </c>
      <c r="O149" t="s">
        <v>6245</v>
      </c>
      <c r="P149" t="s">
        <v>20320</v>
      </c>
      <c r="Q149" t="s">
        <v>20321</v>
      </c>
      <c r="R149" t="s">
        <v>20322</v>
      </c>
      <c r="S149" t="s">
        <v>20939</v>
      </c>
      <c r="T149" t="s">
        <v>20940</v>
      </c>
      <c r="W149" t="s">
        <v>310</v>
      </c>
      <c r="X149" t="s">
        <v>193</v>
      </c>
      <c r="Y149" s="28" t="s">
        <v>9310</v>
      </c>
      <c r="AB149" t="s">
        <v>9311</v>
      </c>
      <c r="AH149" t="s">
        <v>4714</v>
      </c>
      <c r="AI149" t="s">
        <v>20937</v>
      </c>
      <c r="AJ149" s="28" t="str">
        <f t="shared" si="4"/>
        <v>214404</v>
      </c>
      <c r="AK149" s="420">
        <v>1</v>
      </c>
      <c r="AL149" s="420">
        <f t="shared" si="5"/>
        <v>1</v>
      </c>
      <c r="AM149" s="420">
        <v>1</v>
      </c>
      <c r="AN149" t="s">
        <v>17650</v>
      </c>
      <c r="AO149" t="s">
        <v>17651</v>
      </c>
      <c r="AP149" t="s">
        <v>17652</v>
      </c>
      <c r="AQ149" t="s">
        <v>17653</v>
      </c>
      <c r="AR149" t="s">
        <v>1024</v>
      </c>
    </row>
    <row r="150" spans="1:44" x14ac:dyDescent="0.25">
      <c r="A150" t="s">
        <v>5505</v>
      </c>
      <c r="B150" t="s">
        <v>2630</v>
      </c>
      <c r="C150" s="410" t="s">
        <v>6472</v>
      </c>
      <c r="D150" t="s">
        <v>20338</v>
      </c>
      <c r="E150" t="s">
        <v>192</v>
      </c>
      <c r="F150" s="534">
        <v>1</v>
      </c>
      <c r="G150" t="s">
        <v>193</v>
      </c>
      <c r="H150" t="s">
        <v>194</v>
      </c>
      <c r="I150" t="s">
        <v>20310</v>
      </c>
      <c r="J150" t="s">
        <v>276</v>
      </c>
      <c r="K150" s="28" t="s">
        <v>9309</v>
      </c>
      <c r="L150" t="s">
        <v>6955</v>
      </c>
      <c r="N150" t="s">
        <v>20941</v>
      </c>
      <c r="O150" t="s">
        <v>6327</v>
      </c>
      <c r="P150" t="s">
        <v>20398</v>
      </c>
      <c r="Q150" t="s">
        <v>20399</v>
      </c>
      <c r="R150" t="s">
        <v>20400</v>
      </c>
      <c r="S150" t="s">
        <v>20942</v>
      </c>
      <c r="T150" t="s">
        <v>20943</v>
      </c>
      <c r="V150" s="28" t="s">
        <v>9786</v>
      </c>
      <c r="W150" t="s">
        <v>1938</v>
      </c>
      <c r="X150" t="s">
        <v>194</v>
      </c>
      <c r="Y150" s="28" t="s">
        <v>9300</v>
      </c>
      <c r="AB150" t="s">
        <v>9311</v>
      </c>
      <c r="AH150" t="s">
        <v>4714</v>
      </c>
      <c r="AI150" t="s">
        <v>2630</v>
      </c>
      <c r="AJ150" s="28" t="str">
        <f t="shared" si="4"/>
        <v>214406</v>
      </c>
      <c r="AK150" s="420">
        <v>1</v>
      </c>
      <c r="AL150" s="420">
        <f t="shared" si="5"/>
        <v>1</v>
      </c>
      <c r="AM150" s="420">
        <v>1</v>
      </c>
      <c r="AN150" t="s">
        <v>17650</v>
      </c>
      <c r="AO150" t="s">
        <v>17651</v>
      </c>
      <c r="AP150" t="s">
        <v>17652</v>
      </c>
      <c r="AQ150" t="s">
        <v>17653</v>
      </c>
      <c r="AR150" t="s">
        <v>1024</v>
      </c>
    </row>
    <row r="151" spans="1:44" x14ac:dyDescent="0.25">
      <c r="A151" t="s">
        <v>19078</v>
      </c>
      <c r="B151" t="s">
        <v>13881</v>
      </c>
      <c r="C151" s="410" t="s">
        <v>319</v>
      </c>
      <c r="D151" t="s">
        <v>20326</v>
      </c>
      <c r="E151" t="s">
        <v>192</v>
      </c>
      <c r="F151" s="534">
        <v>1</v>
      </c>
      <c r="G151" t="s">
        <v>193</v>
      </c>
      <c r="H151" t="s">
        <v>194</v>
      </c>
      <c r="I151" t="s">
        <v>20333</v>
      </c>
      <c r="J151" t="s">
        <v>285</v>
      </c>
      <c r="K151" s="28" t="s">
        <v>9309</v>
      </c>
      <c r="L151" t="s">
        <v>6955</v>
      </c>
      <c r="N151" t="s">
        <v>20944</v>
      </c>
      <c r="O151" t="s">
        <v>6245</v>
      </c>
      <c r="P151" t="s">
        <v>20328</v>
      </c>
      <c r="Q151" t="s">
        <v>20329</v>
      </c>
      <c r="R151" t="s">
        <v>20306</v>
      </c>
      <c r="S151" t="s">
        <v>20945</v>
      </c>
      <c r="T151" t="s">
        <v>20946</v>
      </c>
      <c r="V151" s="28" t="s">
        <v>9518</v>
      </c>
      <c r="W151" t="s">
        <v>320</v>
      </c>
      <c r="X151" t="s">
        <v>194</v>
      </c>
      <c r="Y151" s="28" t="s">
        <v>9300</v>
      </c>
      <c r="AB151" t="s">
        <v>9311</v>
      </c>
      <c r="AH151" t="s">
        <v>4714</v>
      </c>
      <c r="AI151" t="s">
        <v>13881</v>
      </c>
      <c r="AJ151" s="28" t="str">
        <f t="shared" si="4"/>
        <v>214407</v>
      </c>
      <c r="AK151" s="420">
        <v>1</v>
      </c>
      <c r="AL151" s="420">
        <f t="shared" si="5"/>
        <v>1</v>
      </c>
      <c r="AM151" s="420">
        <v>1</v>
      </c>
      <c r="AN151" t="s">
        <v>17650</v>
      </c>
      <c r="AO151" t="s">
        <v>17651</v>
      </c>
      <c r="AP151" t="s">
        <v>17652</v>
      </c>
      <c r="AQ151" t="s">
        <v>17653</v>
      </c>
      <c r="AR151" t="s">
        <v>1024</v>
      </c>
    </row>
    <row r="152" spans="1:44" x14ac:dyDescent="0.25">
      <c r="A152" t="s">
        <v>5634</v>
      </c>
      <c r="B152" t="s">
        <v>20947</v>
      </c>
      <c r="C152" s="410" t="s">
        <v>319</v>
      </c>
      <c r="D152" t="s">
        <v>20306</v>
      </c>
      <c r="E152" t="s">
        <v>233</v>
      </c>
      <c r="F152" s="534">
        <v>1</v>
      </c>
      <c r="G152" t="s">
        <v>193</v>
      </c>
      <c r="H152" t="s">
        <v>194</v>
      </c>
      <c r="I152" t="s">
        <v>20441</v>
      </c>
      <c r="J152" t="s">
        <v>9302</v>
      </c>
      <c r="K152" s="28" t="s">
        <v>9309</v>
      </c>
      <c r="L152" t="s">
        <v>6955</v>
      </c>
      <c r="N152" t="s">
        <v>20948</v>
      </c>
      <c r="O152" t="s">
        <v>6245</v>
      </c>
      <c r="P152" t="s">
        <v>20417</v>
      </c>
      <c r="Q152" t="s">
        <v>20405</v>
      </c>
      <c r="R152" t="s">
        <v>20418</v>
      </c>
      <c r="S152" t="s">
        <v>20949</v>
      </c>
      <c r="T152" t="s">
        <v>20950</v>
      </c>
      <c r="W152" t="s">
        <v>320</v>
      </c>
      <c r="X152" t="s">
        <v>193</v>
      </c>
      <c r="Y152" s="28" t="s">
        <v>9310</v>
      </c>
      <c r="AB152" t="s">
        <v>9311</v>
      </c>
      <c r="AH152" t="s">
        <v>4714</v>
      </c>
      <c r="AI152" t="s">
        <v>20947</v>
      </c>
      <c r="AJ152" s="28" t="str">
        <f t="shared" si="4"/>
        <v>214407</v>
      </c>
      <c r="AK152" s="420">
        <v>1</v>
      </c>
      <c r="AL152" s="420">
        <f t="shared" si="5"/>
        <v>1</v>
      </c>
      <c r="AM152" s="420">
        <v>1</v>
      </c>
      <c r="AN152" t="s">
        <v>17650</v>
      </c>
      <c r="AO152" t="s">
        <v>17651</v>
      </c>
      <c r="AP152" t="s">
        <v>17652</v>
      </c>
      <c r="AQ152" t="s">
        <v>17653</v>
      </c>
      <c r="AR152" t="s">
        <v>1024</v>
      </c>
    </row>
    <row r="153" spans="1:44" x14ac:dyDescent="0.25">
      <c r="A153" t="s">
        <v>1787</v>
      </c>
      <c r="B153" t="s">
        <v>20951</v>
      </c>
      <c r="C153" s="410" t="s">
        <v>319</v>
      </c>
      <c r="D153" t="s">
        <v>20306</v>
      </c>
      <c r="E153" t="s">
        <v>192</v>
      </c>
      <c r="F153" s="534">
        <v>1</v>
      </c>
      <c r="G153" t="s">
        <v>193</v>
      </c>
      <c r="H153" t="s">
        <v>194</v>
      </c>
      <c r="I153" t="s">
        <v>20307</v>
      </c>
      <c r="J153" t="s">
        <v>253</v>
      </c>
      <c r="K153" s="28" t="s">
        <v>9309</v>
      </c>
      <c r="L153" t="s">
        <v>6955</v>
      </c>
      <c r="N153" t="s">
        <v>20952</v>
      </c>
      <c r="O153" t="s">
        <v>7531</v>
      </c>
      <c r="P153" t="s">
        <v>20309</v>
      </c>
      <c r="Q153" t="s">
        <v>20310</v>
      </c>
      <c r="R153" t="s">
        <v>20311</v>
      </c>
      <c r="S153" t="s">
        <v>20953</v>
      </c>
      <c r="T153" t="s">
        <v>20954</v>
      </c>
      <c r="V153" s="28" t="s">
        <v>9468</v>
      </c>
      <c r="W153" t="s">
        <v>320</v>
      </c>
      <c r="X153" t="s">
        <v>194</v>
      </c>
      <c r="Y153" s="28" t="s">
        <v>9300</v>
      </c>
      <c r="AB153" t="s">
        <v>9311</v>
      </c>
      <c r="AH153" t="s">
        <v>4714</v>
      </c>
      <c r="AI153" t="s">
        <v>20951</v>
      </c>
      <c r="AJ153" s="28" t="str">
        <f t="shared" si="4"/>
        <v>214407</v>
      </c>
      <c r="AK153" s="420">
        <v>1</v>
      </c>
      <c r="AL153" s="420">
        <f t="shared" si="5"/>
        <v>1</v>
      </c>
      <c r="AM153" s="420">
        <v>1</v>
      </c>
      <c r="AN153" t="s">
        <v>17650</v>
      </c>
      <c r="AO153" t="s">
        <v>17651</v>
      </c>
      <c r="AP153" t="s">
        <v>17652</v>
      </c>
      <c r="AQ153" t="s">
        <v>17653</v>
      </c>
      <c r="AR153" t="s">
        <v>1024</v>
      </c>
    </row>
    <row r="154" spans="1:44" x14ac:dyDescent="0.25">
      <c r="A154" t="s">
        <v>20955</v>
      </c>
      <c r="B154" t="s">
        <v>20956</v>
      </c>
      <c r="C154" s="410" t="s">
        <v>319</v>
      </c>
      <c r="D154" t="s">
        <v>20306</v>
      </c>
      <c r="E154" t="s">
        <v>192</v>
      </c>
      <c r="F154" s="534">
        <v>1</v>
      </c>
      <c r="G154" t="s">
        <v>193</v>
      </c>
      <c r="H154" t="s">
        <v>194</v>
      </c>
      <c r="I154" t="s">
        <v>20307</v>
      </c>
      <c r="J154" t="s">
        <v>210</v>
      </c>
      <c r="K154" s="28" t="s">
        <v>9309</v>
      </c>
      <c r="L154" t="s">
        <v>6955</v>
      </c>
      <c r="N154" t="s">
        <v>20957</v>
      </c>
      <c r="O154" t="s">
        <v>6245</v>
      </c>
      <c r="P154" t="s">
        <v>20309</v>
      </c>
      <c r="Q154" t="s">
        <v>20310</v>
      </c>
      <c r="R154" t="s">
        <v>20311</v>
      </c>
      <c r="S154" t="s">
        <v>20958</v>
      </c>
      <c r="T154" t="s">
        <v>20959</v>
      </c>
      <c r="V154" s="28" t="s">
        <v>9334</v>
      </c>
      <c r="W154" t="s">
        <v>320</v>
      </c>
      <c r="X154" t="s">
        <v>194</v>
      </c>
      <c r="Y154" s="28" t="s">
        <v>9300</v>
      </c>
      <c r="AB154" t="s">
        <v>9311</v>
      </c>
      <c r="AH154" t="s">
        <v>4714</v>
      </c>
      <c r="AI154" t="s">
        <v>20956</v>
      </c>
      <c r="AJ154" s="28" t="str">
        <f t="shared" si="4"/>
        <v>214407</v>
      </c>
      <c r="AK154" s="420">
        <v>1</v>
      </c>
      <c r="AL154" s="420">
        <f t="shared" si="5"/>
        <v>1</v>
      </c>
      <c r="AM154" s="420">
        <v>1</v>
      </c>
      <c r="AN154" t="s">
        <v>17650</v>
      </c>
      <c r="AO154" t="s">
        <v>17651</v>
      </c>
      <c r="AP154" t="s">
        <v>17652</v>
      </c>
      <c r="AQ154" t="s">
        <v>17653</v>
      </c>
      <c r="AR154" t="s">
        <v>1024</v>
      </c>
    </row>
    <row r="155" spans="1:44" x14ac:dyDescent="0.25">
      <c r="A155" t="s">
        <v>20960</v>
      </c>
      <c r="B155" t="s">
        <v>20961</v>
      </c>
      <c r="C155" s="410" t="s">
        <v>121</v>
      </c>
      <c r="D155" t="s">
        <v>20317</v>
      </c>
      <c r="E155" t="s">
        <v>192</v>
      </c>
      <c r="F155" s="534">
        <v>1</v>
      </c>
      <c r="G155" t="s">
        <v>193</v>
      </c>
      <c r="H155" t="s">
        <v>194</v>
      </c>
      <c r="I155" t="s">
        <v>20318</v>
      </c>
      <c r="J155" t="s">
        <v>210</v>
      </c>
      <c r="K155" s="28" t="s">
        <v>9309</v>
      </c>
      <c r="L155" t="s">
        <v>6955</v>
      </c>
      <c r="N155" t="s">
        <v>20962</v>
      </c>
      <c r="O155" t="s">
        <v>6389</v>
      </c>
      <c r="P155" t="s">
        <v>20320</v>
      </c>
      <c r="Q155" t="s">
        <v>20321</v>
      </c>
      <c r="R155" t="s">
        <v>20322</v>
      </c>
      <c r="S155" t="s">
        <v>20963</v>
      </c>
      <c r="T155" t="s">
        <v>20964</v>
      </c>
      <c r="V155" s="28" t="s">
        <v>9334</v>
      </c>
      <c r="W155" t="s">
        <v>994</v>
      </c>
      <c r="X155" t="s">
        <v>194</v>
      </c>
      <c r="Y155" s="28" t="s">
        <v>9300</v>
      </c>
      <c r="AB155" t="s">
        <v>9311</v>
      </c>
      <c r="AH155" t="s">
        <v>4714</v>
      </c>
      <c r="AI155" t="s">
        <v>20961</v>
      </c>
      <c r="AJ155" s="28" t="str">
        <f t="shared" si="4"/>
        <v>214102</v>
      </c>
      <c r="AK155" s="420">
        <v>1</v>
      </c>
      <c r="AL155" s="420">
        <f t="shared" si="5"/>
        <v>1</v>
      </c>
      <c r="AM155" s="420">
        <v>1</v>
      </c>
      <c r="AN155" t="s">
        <v>17650</v>
      </c>
      <c r="AO155" t="s">
        <v>17651</v>
      </c>
      <c r="AP155" t="s">
        <v>17652</v>
      </c>
      <c r="AQ155" t="s">
        <v>17653</v>
      </c>
      <c r="AR155" t="s">
        <v>1024</v>
      </c>
    </row>
    <row r="156" spans="1:44" x14ac:dyDescent="0.25">
      <c r="A156" t="s">
        <v>9405</v>
      </c>
      <c r="B156" t="s">
        <v>9411</v>
      </c>
      <c r="C156" s="410" t="s">
        <v>2805</v>
      </c>
      <c r="D156" t="s">
        <v>20306</v>
      </c>
      <c r="E156" t="s">
        <v>192</v>
      </c>
      <c r="F156" s="534">
        <v>1</v>
      </c>
      <c r="G156" t="s">
        <v>193</v>
      </c>
      <c r="H156" t="s">
        <v>194</v>
      </c>
      <c r="I156" t="s">
        <v>20322</v>
      </c>
      <c r="J156" t="s">
        <v>385</v>
      </c>
      <c r="K156" s="28" t="s">
        <v>9309</v>
      </c>
      <c r="L156" t="s">
        <v>6955</v>
      </c>
      <c r="N156" t="s">
        <v>20965</v>
      </c>
      <c r="O156" t="s">
        <v>6245</v>
      </c>
      <c r="P156" t="s">
        <v>20309</v>
      </c>
      <c r="Q156" t="s">
        <v>20310</v>
      </c>
      <c r="R156" t="s">
        <v>20311</v>
      </c>
      <c r="S156" t="s">
        <v>20966</v>
      </c>
      <c r="T156" t="s">
        <v>20967</v>
      </c>
      <c r="V156" s="28" t="s">
        <v>9410</v>
      </c>
      <c r="W156" t="s">
        <v>3659</v>
      </c>
      <c r="X156" t="s">
        <v>194</v>
      </c>
      <c r="Y156" s="28" t="s">
        <v>9300</v>
      </c>
      <c r="AB156" t="s">
        <v>9311</v>
      </c>
      <c r="AH156" t="s">
        <v>4714</v>
      </c>
      <c r="AI156" t="s">
        <v>9411</v>
      </c>
      <c r="AJ156" s="28" t="str">
        <f t="shared" si="4"/>
        <v>214410</v>
      </c>
      <c r="AK156" s="420">
        <v>1</v>
      </c>
      <c r="AL156" s="420">
        <f t="shared" si="5"/>
        <v>1</v>
      </c>
      <c r="AM156" s="420">
        <v>1</v>
      </c>
      <c r="AN156" t="s">
        <v>17650</v>
      </c>
      <c r="AO156" t="s">
        <v>17651</v>
      </c>
      <c r="AP156" t="s">
        <v>17652</v>
      </c>
      <c r="AQ156" t="s">
        <v>17653</v>
      </c>
      <c r="AR156" t="s">
        <v>1024</v>
      </c>
    </row>
    <row r="157" spans="1:44" x14ac:dyDescent="0.25">
      <c r="A157" t="s">
        <v>9312</v>
      </c>
      <c r="B157" t="s">
        <v>20968</v>
      </c>
      <c r="C157" s="410" t="s">
        <v>37</v>
      </c>
      <c r="D157" t="s">
        <v>20338</v>
      </c>
      <c r="E157" t="s">
        <v>192</v>
      </c>
      <c r="F157" s="534">
        <v>1</v>
      </c>
      <c r="G157" t="s">
        <v>193</v>
      </c>
      <c r="H157" t="s">
        <v>194</v>
      </c>
      <c r="I157" t="s">
        <v>20405</v>
      </c>
      <c r="J157" t="s">
        <v>9302</v>
      </c>
      <c r="K157" s="28" t="s">
        <v>9309</v>
      </c>
      <c r="L157" t="s">
        <v>6955</v>
      </c>
      <c r="N157" t="s">
        <v>20969</v>
      </c>
      <c r="O157" t="s">
        <v>6921</v>
      </c>
      <c r="P157" t="s">
        <v>20398</v>
      </c>
      <c r="Q157" t="s">
        <v>20399</v>
      </c>
      <c r="R157" t="s">
        <v>20400</v>
      </c>
      <c r="S157" t="s">
        <v>20970</v>
      </c>
      <c r="T157" t="s">
        <v>20971</v>
      </c>
      <c r="W157" t="s">
        <v>516</v>
      </c>
      <c r="X157" t="s">
        <v>193</v>
      </c>
      <c r="Y157" s="28" t="s">
        <v>9310</v>
      </c>
      <c r="AB157" t="s">
        <v>9311</v>
      </c>
      <c r="AH157" t="s">
        <v>4714</v>
      </c>
      <c r="AI157" t="s">
        <v>20968</v>
      </c>
      <c r="AJ157" s="28" t="str">
        <f t="shared" si="4"/>
        <v>252302</v>
      </c>
      <c r="AK157" s="420">
        <v>1</v>
      </c>
      <c r="AL157" s="420">
        <f t="shared" si="5"/>
        <v>1</v>
      </c>
      <c r="AM157" s="420">
        <v>1</v>
      </c>
      <c r="AN157" t="s">
        <v>17650</v>
      </c>
      <c r="AO157" t="s">
        <v>17651</v>
      </c>
      <c r="AP157" t="s">
        <v>17652</v>
      </c>
      <c r="AQ157" t="s">
        <v>17653</v>
      </c>
      <c r="AR157" t="s">
        <v>1024</v>
      </c>
    </row>
    <row r="158" spans="1:44" x14ac:dyDescent="0.25">
      <c r="A158" t="s">
        <v>20972</v>
      </c>
      <c r="B158" t="s">
        <v>20973</v>
      </c>
      <c r="C158" s="410" t="s">
        <v>37</v>
      </c>
      <c r="D158" t="s">
        <v>20338</v>
      </c>
      <c r="E158" t="s">
        <v>192</v>
      </c>
      <c r="F158" s="534">
        <v>1</v>
      </c>
      <c r="G158" t="s">
        <v>193</v>
      </c>
      <c r="H158" t="s">
        <v>194</v>
      </c>
      <c r="I158" t="s">
        <v>20405</v>
      </c>
      <c r="J158" t="s">
        <v>9302</v>
      </c>
      <c r="K158" s="28" t="s">
        <v>9309</v>
      </c>
      <c r="L158" t="s">
        <v>6955</v>
      </c>
      <c r="N158" t="s">
        <v>20974</v>
      </c>
      <c r="O158" t="s">
        <v>6295</v>
      </c>
      <c r="P158" t="s">
        <v>20398</v>
      </c>
      <c r="Q158" t="s">
        <v>20399</v>
      </c>
      <c r="R158" t="s">
        <v>20400</v>
      </c>
      <c r="S158" t="s">
        <v>20975</v>
      </c>
      <c r="T158" t="s">
        <v>20976</v>
      </c>
      <c r="W158" t="s">
        <v>516</v>
      </c>
      <c r="X158" t="s">
        <v>193</v>
      </c>
      <c r="Y158" s="28" t="s">
        <v>9310</v>
      </c>
      <c r="AB158" t="s">
        <v>9311</v>
      </c>
      <c r="AH158" t="s">
        <v>4714</v>
      </c>
      <c r="AI158" t="s">
        <v>20973</v>
      </c>
      <c r="AJ158" s="28" t="str">
        <f t="shared" si="4"/>
        <v>252302</v>
      </c>
      <c r="AK158" s="420">
        <v>1</v>
      </c>
      <c r="AL158" s="420">
        <f t="shared" si="5"/>
        <v>1</v>
      </c>
      <c r="AM158" s="420">
        <v>1</v>
      </c>
      <c r="AN158" t="s">
        <v>17650</v>
      </c>
      <c r="AO158" t="s">
        <v>17651</v>
      </c>
      <c r="AP158" t="s">
        <v>17652</v>
      </c>
      <c r="AQ158" t="s">
        <v>17653</v>
      </c>
      <c r="AR158" t="s">
        <v>1024</v>
      </c>
    </row>
    <row r="159" spans="1:44" x14ac:dyDescent="0.25">
      <c r="A159" t="s">
        <v>10076</v>
      </c>
      <c r="B159" t="s">
        <v>20977</v>
      </c>
      <c r="C159" s="410" t="s">
        <v>37</v>
      </c>
      <c r="D159" t="s">
        <v>20306</v>
      </c>
      <c r="E159" t="s">
        <v>192</v>
      </c>
      <c r="F159" s="534">
        <v>1</v>
      </c>
      <c r="G159" t="s">
        <v>193</v>
      </c>
      <c r="H159" t="s">
        <v>194</v>
      </c>
      <c r="I159" t="s">
        <v>20307</v>
      </c>
      <c r="J159" t="s">
        <v>9302</v>
      </c>
      <c r="K159" s="28" t="s">
        <v>9309</v>
      </c>
      <c r="L159" t="s">
        <v>6955</v>
      </c>
      <c r="N159" t="s">
        <v>20978</v>
      </c>
      <c r="O159" t="s">
        <v>6261</v>
      </c>
      <c r="P159" t="s">
        <v>20309</v>
      </c>
      <c r="Q159" t="s">
        <v>20310</v>
      </c>
      <c r="R159" t="s">
        <v>20647</v>
      </c>
      <c r="S159" t="s">
        <v>20979</v>
      </c>
      <c r="T159" t="s">
        <v>20980</v>
      </c>
      <c r="W159" t="s">
        <v>516</v>
      </c>
      <c r="X159" t="s">
        <v>193</v>
      </c>
      <c r="Y159" s="28" t="s">
        <v>9310</v>
      </c>
      <c r="AB159" t="s">
        <v>9311</v>
      </c>
      <c r="AH159" t="s">
        <v>4714</v>
      </c>
      <c r="AI159" t="s">
        <v>20977</v>
      </c>
      <c r="AJ159" s="28" t="str">
        <f t="shared" si="4"/>
        <v>252302</v>
      </c>
      <c r="AK159" s="420">
        <v>1</v>
      </c>
      <c r="AL159" s="420">
        <f t="shared" si="5"/>
        <v>1</v>
      </c>
      <c r="AM159" s="420">
        <v>1</v>
      </c>
      <c r="AN159" t="s">
        <v>17650</v>
      </c>
      <c r="AO159" t="s">
        <v>17651</v>
      </c>
      <c r="AP159" t="s">
        <v>17652</v>
      </c>
      <c r="AQ159" t="s">
        <v>17653</v>
      </c>
      <c r="AR159" t="s">
        <v>1024</v>
      </c>
    </row>
    <row r="160" spans="1:44" x14ac:dyDescent="0.25">
      <c r="A160" t="s">
        <v>5634</v>
      </c>
      <c r="B160" t="s">
        <v>20947</v>
      </c>
      <c r="C160" s="410" t="s">
        <v>16435</v>
      </c>
      <c r="D160" t="s">
        <v>20326</v>
      </c>
      <c r="E160" t="s">
        <v>233</v>
      </c>
      <c r="F160" s="534">
        <v>1</v>
      </c>
      <c r="G160" t="s">
        <v>193</v>
      </c>
      <c r="H160" t="s">
        <v>194</v>
      </c>
      <c r="I160" t="s">
        <v>20360</v>
      </c>
      <c r="J160" t="s">
        <v>9302</v>
      </c>
      <c r="K160" s="28" t="s">
        <v>9309</v>
      </c>
      <c r="L160" t="s">
        <v>6955</v>
      </c>
      <c r="N160" t="s">
        <v>20981</v>
      </c>
      <c r="O160" t="s">
        <v>6245</v>
      </c>
      <c r="P160" t="s">
        <v>20509</v>
      </c>
      <c r="Q160" t="s">
        <v>20510</v>
      </c>
      <c r="R160" t="s">
        <v>20318</v>
      </c>
      <c r="S160" t="s">
        <v>20982</v>
      </c>
      <c r="T160" t="s">
        <v>20983</v>
      </c>
      <c r="W160" t="s">
        <v>16433</v>
      </c>
      <c r="X160" t="s">
        <v>193</v>
      </c>
      <c r="Y160" s="28" t="s">
        <v>9310</v>
      </c>
      <c r="AB160" t="s">
        <v>9311</v>
      </c>
      <c r="AH160" t="s">
        <v>4714</v>
      </c>
      <c r="AI160" t="s">
        <v>20947</v>
      </c>
      <c r="AJ160" s="28" t="str">
        <f t="shared" si="4"/>
        <v>215105</v>
      </c>
      <c r="AK160" s="420">
        <v>1</v>
      </c>
      <c r="AL160" s="420">
        <f t="shared" si="5"/>
        <v>1</v>
      </c>
      <c r="AM160" s="420">
        <v>1</v>
      </c>
      <c r="AN160" t="s">
        <v>17650</v>
      </c>
      <c r="AO160" t="s">
        <v>17651</v>
      </c>
      <c r="AP160" t="s">
        <v>17652</v>
      </c>
      <c r="AQ160" t="s">
        <v>17653</v>
      </c>
      <c r="AR160" t="s">
        <v>1024</v>
      </c>
    </row>
    <row r="161" spans="1:44" x14ac:dyDescent="0.25">
      <c r="A161" t="s">
        <v>20972</v>
      </c>
      <c r="B161" t="s">
        <v>20984</v>
      </c>
      <c r="C161" s="410" t="s">
        <v>20985</v>
      </c>
      <c r="D161" t="s">
        <v>20338</v>
      </c>
      <c r="E161" t="s">
        <v>192</v>
      </c>
      <c r="F161" s="534">
        <v>1</v>
      </c>
      <c r="G161" t="s">
        <v>193</v>
      </c>
      <c r="H161" t="s">
        <v>194</v>
      </c>
      <c r="I161" t="s">
        <v>20441</v>
      </c>
      <c r="J161" t="s">
        <v>9302</v>
      </c>
      <c r="K161" s="28" t="s">
        <v>9309</v>
      </c>
      <c r="L161" t="s">
        <v>6955</v>
      </c>
      <c r="N161" t="s">
        <v>20986</v>
      </c>
      <c r="O161" t="s">
        <v>6295</v>
      </c>
      <c r="P161" t="s">
        <v>20398</v>
      </c>
      <c r="Q161" t="s">
        <v>20399</v>
      </c>
      <c r="R161" t="s">
        <v>20400</v>
      </c>
      <c r="S161" t="s">
        <v>20987</v>
      </c>
      <c r="T161" t="s">
        <v>20988</v>
      </c>
      <c r="W161" t="s">
        <v>328</v>
      </c>
      <c r="X161" t="s">
        <v>193</v>
      </c>
      <c r="Y161" s="28" t="s">
        <v>9310</v>
      </c>
      <c r="AB161" t="s">
        <v>9311</v>
      </c>
      <c r="AH161" t="s">
        <v>4714</v>
      </c>
      <c r="AI161" t="s">
        <v>20984</v>
      </c>
      <c r="AJ161" s="28" t="str">
        <f t="shared" si="4"/>
        <v>214503</v>
      </c>
      <c r="AK161" s="420">
        <v>1</v>
      </c>
      <c r="AL161" s="420">
        <f t="shared" si="5"/>
        <v>1</v>
      </c>
      <c r="AM161" s="420">
        <v>1</v>
      </c>
      <c r="AN161" t="s">
        <v>17650</v>
      </c>
      <c r="AO161" t="s">
        <v>17651</v>
      </c>
      <c r="AP161" t="s">
        <v>17652</v>
      </c>
      <c r="AQ161" t="s">
        <v>17653</v>
      </c>
      <c r="AR161" t="s">
        <v>1024</v>
      </c>
    </row>
    <row r="162" spans="1:44" x14ac:dyDescent="0.25">
      <c r="A162" t="s">
        <v>1568</v>
      </c>
      <c r="B162" t="s">
        <v>19542</v>
      </c>
      <c r="C162" s="410" t="s">
        <v>54</v>
      </c>
      <c r="D162" t="s">
        <v>20326</v>
      </c>
      <c r="E162" t="s">
        <v>192</v>
      </c>
      <c r="F162" s="534">
        <v>1</v>
      </c>
      <c r="G162" t="s">
        <v>193</v>
      </c>
      <c r="H162" t="s">
        <v>194</v>
      </c>
      <c r="I162" t="s">
        <v>20333</v>
      </c>
      <c r="J162" t="s">
        <v>276</v>
      </c>
      <c r="K162" s="28" t="s">
        <v>9309</v>
      </c>
      <c r="L162" t="s">
        <v>6955</v>
      </c>
      <c r="N162" t="s">
        <v>20989</v>
      </c>
      <c r="O162" t="s">
        <v>6275</v>
      </c>
      <c r="P162" t="s">
        <v>20328</v>
      </c>
      <c r="Q162" t="s">
        <v>20329</v>
      </c>
      <c r="R162" t="s">
        <v>20306</v>
      </c>
      <c r="S162" t="s">
        <v>20990</v>
      </c>
      <c r="T162" t="s">
        <v>20991</v>
      </c>
      <c r="V162" s="28" t="s">
        <v>9786</v>
      </c>
      <c r="W162" t="s">
        <v>1982</v>
      </c>
      <c r="X162" t="s">
        <v>194</v>
      </c>
      <c r="Y162" s="28" t="s">
        <v>9300</v>
      </c>
      <c r="AB162" t="s">
        <v>9311</v>
      </c>
      <c r="AH162" t="s">
        <v>4714</v>
      </c>
      <c r="AI162" t="s">
        <v>19542</v>
      </c>
      <c r="AJ162" s="28" t="str">
        <f t="shared" si="4"/>
        <v>214103</v>
      </c>
      <c r="AK162" s="420">
        <v>1</v>
      </c>
      <c r="AL162" s="420">
        <f t="shared" si="5"/>
        <v>1</v>
      </c>
      <c r="AM162" s="420">
        <v>1</v>
      </c>
      <c r="AN162" t="s">
        <v>17650</v>
      </c>
      <c r="AO162" t="s">
        <v>17651</v>
      </c>
      <c r="AP162" t="s">
        <v>17652</v>
      </c>
      <c r="AQ162" t="s">
        <v>17653</v>
      </c>
      <c r="AR162" t="s">
        <v>1024</v>
      </c>
    </row>
    <row r="163" spans="1:44" x14ac:dyDescent="0.25">
      <c r="A163" t="s">
        <v>18808</v>
      </c>
      <c r="B163" t="s">
        <v>20992</v>
      </c>
      <c r="C163" s="410" t="s">
        <v>54</v>
      </c>
      <c r="D163" t="s">
        <v>20317</v>
      </c>
      <c r="E163" t="s">
        <v>192</v>
      </c>
      <c r="F163" s="534">
        <v>1</v>
      </c>
      <c r="G163" t="s">
        <v>193</v>
      </c>
      <c r="H163" t="s">
        <v>194</v>
      </c>
      <c r="I163" t="s">
        <v>20338</v>
      </c>
      <c r="J163" t="s">
        <v>253</v>
      </c>
      <c r="K163" s="28" t="s">
        <v>9309</v>
      </c>
      <c r="L163" t="s">
        <v>6955</v>
      </c>
      <c r="N163" t="s">
        <v>20993</v>
      </c>
      <c r="O163" t="s">
        <v>6245</v>
      </c>
      <c r="P163" t="s">
        <v>20320</v>
      </c>
      <c r="Q163" t="s">
        <v>20321</v>
      </c>
      <c r="R163" t="s">
        <v>20322</v>
      </c>
      <c r="S163" t="s">
        <v>20994</v>
      </c>
      <c r="T163" t="s">
        <v>20995</v>
      </c>
      <c r="V163" s="28" t="s">
        <v>9468</v>
      </c>
      <c r="W163" t="s">
        <v>1982</v>
      </c>
      <c r="X163" t="s">
        <v>194</v>
      </c>
      <c r="Y163" s="28" t="s">
        <v>9300</v>
      </c>
      <c r="AB163" t="s">
        <v>9311</v>
      </c>
      <c r="AH163" t="s">
        <v>4714</v>
      </c>
      <c r="AI163" t="s">
        <v>20992</v>
      </c>
      <c r="AJ163" s="28" t="str">
        <f t="shared" si="4"/>
        <v>214103</v>
      </c>
      <c r="AK163" s="420">
        <v>1</v>
      </c>
      <c r="AL163" s="420">
        <f t="shared" si="5"/>
        <v>1</v>
      </c>
      <c r="AM163" s="420">
        <v>1</v>
      </c>
      <c r="AN163" t="s">
        <v>17650</v>
      </c>
      <c r="AO163" t="s">
        <v>17651</v>
      </c>
      <c r="AP163" t="s">
        <v>17652</v>
      </c>
      <c r="AQ163" t="s">
        <v>17653</v>
      </c>
      <c r="AR163" t="s">
        <v>1024</v>
      </c>
    </row>
    <row r="164" spans="1:44" x14ac:dyDescent="0.25">
      <c r="A164" t="s">
        <v>18808</v>
      </c>
      <c r="B164" t="s">
        <v>20996</v>
      </c>
      <c r="C164" s="410" t="s">
        <v>54</v>
      </c>
      <c r="D164" t="s">
        <v>20317</v>
      </c>
      <c r="E164" t="s">
        <v>192</v>
      </c>
      <c r="F164" s="534">
        <v>1</v>
      </c>
      <c r="G164" t="s">
        <v>193</v>
      </c>
      <c r="H164" t="s">
        <v>194</v>
      </c>
      <c r="I164" t="s">
        <v>20338</v>
      </c>
      <c r="J164" t="s">
        <v>253</v>
      </c>
      <c r="K164" s="28" t="s">
        <v>9309</v>
      </c>
      <c r="L164" t="s">
        <v>6955</v>
      </c>
      <c r="N164" t="s">
        <v>20997</v>
      </c>
      <c r="O164" t="s">
        <v>6245</v>
      </c>
      <c r="P164" t="s">
        <v>20320</v>
      </c>
      <c r="Q164" t="s">
        <v>20321</v>
      </c>
      <c r="R164" t="s">
        <v>20322</v>
      </c>
      <c r="S164" t="s">
        <v>20998</v>
      </c>
      <c r="T164" t="s">
        <v>20999</v>
      </c>
      <c r="V164" s="28" t="s">
        <v>9468</v>
      </c>
      <c r="W164" t="s">
        <v>1982</v>
      </c>
      <c r="X164" t="s">
        <v>194</v>
      </c>
      <c r="Y164" s="28" t="s">
        <v>9300</v>
      </c>
      <c r="AB164" t="s">
        <v>9311</v>
      </c>
      <c r="AH164" t="s">
        <v>4714</v>
      </c>
      <c r="AI164" t="s">
        <v>20996</v>
      </c>
      <c r="AJ164" s="28" t="str">
        <f t="shared" si="4"/>
        <v>214103</v>
      </c>
      <c r="AK164" s="420">
        <v>1</v>
      </c>
      <c r="AL164" s="420">
        <f t="shared" si="5"/>
        <v>1</v>
      </c>
      <c r="AM164" s="420">
        <v>1</v>
      </c>
      <c r="AN164" t="s">
        <v>17650</v>
      </c>
      <c r="AO164" t="s">
        <v>17651</v>
      </c>
      <c r="AP164" t="s">
        <v>17652</v>
      </c>
      <c r="AQ164" t="s">
        <v>17653</v>
      </c>
      <c r="AR164" t="s">
        <v>1024</v>
      </c>
    </row>
    <row r="165" spans="1:44" x14ac:dyDescent="0.25">
      <c r="A165" t="s">
        <v>493</v>
      </c>
      <c r="B165" t="s">
        <v>21000</v>
      </c>
      <c r="C165" s="410" t="s">
        <v>54</v>
      </c>
      <c r="D165" t="s">
        <v>20317</v>
      </c>
      <c r="E165" t="s">
        <v>192</v>
      </c>
      <c r="F165" s="534">
        <v>1</v>
      </c>
      <c r="G165" t="s">
        <v>193</v>
      </c>
      <c r="H165" t="s">
        <v>194</v>
      </c>
      <c r="I165" t="s">
        <v>20405</v>
      </c>
      <c r="J165" t="s">
        <v>210</v>
      </c>
      <c r="K165" s="28" t="s">
        <v>9309</v>
      </c>
      <c r="L165" t="s">
        <v>6955</v>
      </c>
      <c r="N165" t="s">
        <v>21001</v>
      </c>
      <c r="O165" t="s">
        <v>6327</v>
      </c>
      <c r="P165" t="s">
        <v>20320</v>
      </c>
      <c r="Q165" t="s">
        <v>20321</v>
      </c>
      <c r="R165" t="s">
        <v>20322</v>
      </c>
      <c r="S165" t="s">
        <v>21002</v>
      </c>
      <c r="T165" t="s">
        <v>21003</v>
      </c>
      <c r="V165" s="28" t="s">
        <v>9334</v>
      </c>
      <c r="W165" t="s">
        <v>1982</v>
      </c>
      <c r="X165" t="s">
        <v>194</v>
      </c>
      <c r="Y165" s="28" t="s">
        <v>9300</v>
      </c>
      <c r="AB165" t="s">
        <v>9311</v>
      </c>
      <c r="AH165" t="s">
        <v>4714</v>
      </c>
      <c r="AI165" t="s">
        <v>21000</v>
      </c>
      <c r="AJ165" s="28" t="str">
        <f t="shared" si="4"/>
        <v>214103</v>
      </c>
      <c r="AK165" s="420">
        <v>1</v>
      </c>
      <c r="AL165" s="420">
        <f t="shared" si="5"/>
        <v>1</v>
      </c>
      <c r="AM165" s="420">
        <v>1</v>
      </c>
      <c r="AN165" t="s">
        <v>17650</v>
      </c>
      <c r="AO165" t="s">
        <v>17651</v>
      </c>
      <c r="AP165" t="s">
        <v>17652</v>
      </c>
      <c r="AQ165" t="s">
        <v>17653</v>
      </c>
      <c r="AR165" t="s">
        <v>1024</v>
      </c>
    </row>
    <row r="166" spans="1:44" x14ac:dyDescent="0.25">
      <c r="A166" t="s">
        <v>21004</v>
      </c>
      <c r="B166" t="s">
        <v>21005</v>
      </c>
      <c r="C166" s="410" t="s">
        <v>6946</v>
      </c>
      <c r="D166" t="s">
        <v>20317</v>
      </c>
      <c r="E166" t="s">
        <v>192</v>
      </c>
      <c r="F166" s="534">
        <v>1</v>
      </c>
      <c r="G166" t="s">
        <v>193</v>
      </c>
      <c r="H166" t="s">
        <v>194</v>
      </c>
      <c r="I166" t="s">
        <v>20399</v>
      </c>
      <c r="J166" t="s">
        <v>9302</v>
      </c>
      <c r="K166" s="28" t="s">
        <v>9309</v>
      </c>
      <c r="L166" t="s">
        <v>6955</v>
      </c>
      <c r="N166" t="s">
        <v>21006</v>
      </c>
      <c r="O166" t="s">
        <v>6258</v>
      </c>
      <c r="P166" t="s">
        <v>20320</v>
      </c>
      <c r="Q166" t="s">
        <v>20321</v>
      </c>
      <c r="R166" t="s">
        <v>20322</v>
      </c>
      <c r="S166" t="s">
        <v>21007</v>
      </c>
      <c r="T166" t="s">
        <v>21008</v>
      </c>
      <c r="W166" t="s">
        <v>6953</v>
      </c>
      <c r="X166" t="s">
        <v>193</v>
      </c>
      <c r="Y166" s="28" t="s">
        <v>9310</v>
      </c>
      <c r="AB166" t="s">
        <v>9311</v>
      </c>
      <c r="AH166" t="s">
        <v>4714</v>
      </c>
      <c r="AI166" t="s">
        <v>21005</v>
      </c>
      <c r="AJ166" s="28" t="str">
        <f t="shared" si="4"/>
        <v>213207</v>
      </c>
      <c r="AK166" s="420">
        <v>1</v>
      </c>
      <c r="AL166" s="420">
        <f t="shared" si="5"/>
        <v>1</v>
      </c>
      <c r="AM166" s="420">
        <v>1</v>
      </c>
      <c r="AN166" t="s">
        <v>17650</v>
      </c>
      <c r="AO166" t="s">
        <v>17651</v>
      </c>
      <c r="AP166" t="s">
        <v>17652</v>
      </c>
      <c r="AQ166" t="s">
        <v>17653</v>
      </c>
      <c r="AR166" t="s">
        <v>1024</v>
      </c>
    </row>
    <row r="167" spans="1:44" x14ac:dyDescent="0.25">
      <c r="A167" t="s">
        <v>21009</v>
      </c>
      <c r="B167" t="s">
        <v>21010</v>
      </c>
      <c r="C167" s="410" t="s">
        <v>51</v>
      </c>
      <c r="D167" t="s">
        <v>20326</v>
      </c>
      <c r="E167" t="s">
        <v>192</v>
      </c>
      <c r="F167" s="534">
        <v>1</v>
      </c>
      <c r="G167" t="s">
        <v>193</v>
      </c>
      <c r="H167" t="s">
        <v>194</v>
      </c>
      <c r="I167" t="s">
        <v>20333</v>
      </c>
      <c r="J167" t="s">
        <v>408</v>
      </c>
      <c r="K167" s="28" t="s">
        <v>9309</v>
      </c>
      <c r="L167" t="s">
        <v>6955</v>
      </c>
      <c r="N167" t="s">
        <v>21011</v>
      </c>
      <c r="O167" t="s">
        <v>6275</v>
      </c>
      <c r="P167" t="s">
        <v>20328</v>
      </c>
      <c r="Q167" t="s">
        <v>20329</v>
      </c>
      <c r="R167" t="s">
        <v>20306</v>
      </c>
      <c r="S167" t="s">
        <v>21012</v>
      </c>
      <c r="T167" t="s">
        <v>21013</v>
      </c>
      <c r="V167" s="28" t="s">
        <v>9479</v>
      </c>
      <c r="W167" t="s">
        <v>904</v>
      </c>
      <c r="X167" t="s">
        <v>194</v>
      </c>
      <c r="Y167" s="28" t="s">
        <v>9300</v>
      </c>
      <c r="AB167" t="s">
        <v>9311</v>
      </c>
      <c r="AH167" t="s">
        <v>4714</v>
      </c>
      <c r="AI167" t="s">
        <v>21010</v>
      </c>
      <c r="AJ167" s="28" t="str">
        <f t="shared" si="4"/>
        <v>523002</v>
      </c>
      <c r="AK167" s="420">
        <v>1</v>
      </c>
      <c r="AL167" s="420">
        <f t="shared" si="5"/>
        <v>1</v>
      </c>
      <c r="AM167" s="420">
        <v>1</v>
      </c>
      <c r="AN167" t="s">
        <v>17650</v>
      </c>
      <c r="AO167" t="s">
        <v>17651</v>
      </c>
      <c r="AP167" t="s">
        <v>17652</v>
      </c>
      <c r="AQ167" t="s">
        <v>17653</v>
      </c>
      <c r="AR167" t="s">
        <v>1024</v>
      </c>
    </row>
    <row r="168" spans="1:44" x14ac:dyDescent="0.25">
      <c r="A168" t="s">
        <v>21014</v>
      </c>
      <c r="B168" t="s">
        <v>21015</v>
      </c>
      <c r="C168" s="410" t="s">
        <v>137</v>
      </c>
      <c r="D168" t="s">
        <v>20326</v>
      </c>
      <c r="E168" t="s">
        <v>192</v>
      </c>
      <c r="F168" s="534">
        <v>1</v>
      </c>
      <c r="G168" t="s">
        <v>193</v>
      </c>
      <c r="H168" t="s">
        <v>194</v>
      </c>
      <c r="I168" t="s">
        <v>20333</v>
      </c>
      <c r="J168" t="s">
        <v>327</v>
      </c>
      <c r="K168" s="28" t="s">
        <v>9309</v>
      </c>
      <c r="L168" t="s">
        <v>6955</v>
      </c>
      <c r="N168" t="s">
        <v>21016</v>
      </c>
      <c r="O168" t="s">
        <v>6343</v>
      </c>
      <c r="P168" t="s">
        <v>20328</v>
      </c>
      <c r="Q168" t="s">
        <v>20329</v>
      </c>
      <c r="R168" t="s">
        <v>20306</v>
      </c>
      <c r="S168" t="s">
        <v>21017</v>
      </c>
      <c r="T168" t="s">
        <v>21018</v>
      </c>
      <c r="V168" s="28" t="s">
        <v>9506</v>
      </c>
      <c r="W168" t="s">
        <v>2002</v>
      </c>
      <c r="X168" t="s">
        <v>194</v>
      </c>
      <c r="Y168" s="28" t="s">
        <v>9300</v>
      </c>
      <c r="AB168" t="s">
        <v>9311</v>
      </c>
      <c r="AH168" t="s">
        <v>4714</v>
      </c>
      <c r="AI168" t="s">
        <v>21015</v>
      </c>
      <c r="AJ168" s="28" t="str">
        <f t="shared" si="4"/>
        <v>513101</v>
      </c>
      <c r="AK168" s="420">
        <v>1</v>
      </c>
      <c r="AL168" s="420">
        <f t="shared" si="5"/>
        <v>1</v>
      </c>
      <c r="AM168" s="420">
        <v>1</v>
      </c>
      <c r="AN168" t="s">
        <v>17650</v>
      </c>
      <c r="AO168" t="s">
        <v>17651</v>
      </c>
      <c r="AP168" t="s">
        <v>17652</v>
      </c>
      <c r="AQ168" t="s">
        <v>17653</v>
      </c>
      <c r="AR168" t="s">
        <v>1024</v>
      </c>
    </row>
    <row r="169" spans="1:44" x14ac:dyDescent="0.25">
      <c r="A169" t="s">
        <v>21019</v>
      </c>
      <c r="B169" t="s">
        <v>21020</v>
      </c>
      <c r="C169" s="410" t="s">
        <v>1626</v>
      </c>
      <c r="D169" t="s">
        <v>20338</v>
      </c>
      <c r="E169" t="s">
        <v>233</v>
      </c>
      <c r="F169" s="534">
        <v>1</v>
      </c>
      <c r="G169" t="s">
        <v>193</v>
      </c>
      <c r="H169" t="s">
        <v>194</v>
      </c>
      <c r="I169" t="s">
        <v>20483</v>
      </c>
      <c r="J169" t="s">
        <v>210</v>
      </c>
      <c r="K169" s="28" t="s">
        <v>9309</v>
      </c>
      <c r="L169" t="s">
        <v>6955</v>
      </c>
      <c r="N169" t="s">
        <v>21021</v>
      </c>
      <c r="O169" t="s">
        <v>6266</v>
      </c>
      <c r="P169" t="s">
        <v>20541</v>
      </c>
      <c r="Q169" t="s">
        <v>20389</v>
      </c>
      <c r="R169" t="s">
        <v>20542</v>
      </c>
      <c r="S169" t="s">
        <v>21022</v>
      </c>
      <c r="T169" t="s">
        <v>21023</v>
      </c>
      <c r="V169" s="28" t="s">
        <v>9334</v>
      </c>
      <c r="W169" t="s">
        <v>1627</v>
      </c>
      <c r="X169" t="s">
        <v>194</v>
      </c>
      <c r="Y169" s="28" t="s">
        <v>9300</v>
      </c>
      <c r="AB169" t="s">
        <v>9311</v>
      </c>
      <c r="AH169" t="s">
        <v>4714</v>
      </c>
      <c r="AI169" t="s">
        <v>21020</v>
      </c>
      <c r="AJ169" s="28" t="str">
        <f t="shared" si="4"/>
        <v>833201</v>
      </c>
      <c r="AK169" s="420">
        <v>1</v>
      </c>
      <c r="AL169" s="420">
        <f t="shared" si="5"/>
        <v>1</v>
      </c>
      <c r="AM169" s="420">
        <v>1</v>
      </c>
      <c r="AN169" t="s">
        <v>17650</v>
      </c>
      <c r="AO169" t="s">
        <v>17651</v>
      </c>
      <c r="AP169" t="s">
        <v>17652</v>
      </c>
      <c r="AQ169" t="s">
        <v>17653</v>
      </c>
      <c r="AR169" t="s">
        <v>1024</v>
      </c>
    </row>
    <row r="170" spans="1:44" x14ac:dyDescent="0.25">
      <c r="A170" t="s">
        <v>21024</v>
      </c>
      <c r="B170" t="s">
        <v>21025</v>
      </c>
      <c r="C170" s="410" t="s">
        <v>1626</v>
      </c>
      <c r="D170" t="s">
        <v>20306</v>
      </c>
      <c r="E170" t="s">
        <v>192</v>
      </c>
      <c r="F170" s="534">
        <v>1</v>
      </c>
      <c r="G170" t="s">
        <v>193</v>
      </c>
      <c r="H170" t="s">
        <v>194</v>
      </c>
      <c r="I170" t="s">
        <v>20307</v>
      </c>
      <c r="J170" t="s">
        <v>9302</v>
      </c>
      <c r="K170" s="28" t="s">
        <v>9309</v>
      </c>
      <c r="L170" t="s">
        <v>6955</v>
      </c>
      <c r="N170" t="s">
        <v>21026</v>
      </c>
      <c r="O170" t="s">
        <v>6266</v>
      </c>
      <c r="P170" t="s">
        <v>20309</v>
      </c>
      <c r="Q170" t="s">
        <v>20310</v>
      </c>
      <c r="R170" t="s">
        <v>20311</v>
      </c>
      <c r="S170" t="s">
        <v>21027</v>
      </c>
      <c r="T170" t="s">
        <v>21028</v>
      </c>
      <c r="W170" t="s">
        <v>1627</v>
      </c>
      <c r="X170" t="s">
        <v>193</v>
      </c>
      <c r="Y170" s="28" t="s">
        <v>9310</v>
      </c>
      <c r="AB170" t="s">
        <v>9311</v>
      </c>
      <c r="AH170" t="s">
        <v>4714</v>
      </c>
      <c r="AI170" t="s">
        <v>21025</v>
      </c>
      <c r="AJ170" s="28" t="str">
        <f t="shared" si="4"/>
        <v>833201</v>
      </c>
      <c r="AK170" s="420">
        <v>1</v>
      </c>
      <c r="AL170" s="420">
        <f t="shared" si="5"/>
        <v>1</v>
      </c>
      <c r="AM170" s="420">
        <v>1</v>
      </c>
      <c r="AN170" t="s">
        <v>17650</v>
      </c>
      <c r="AO170" t="s">
        <v>17651</v>
      </c>
      <c r="AP170" t="s">
        <v>17652</v>
      </c>
      <c r="AQ170" t="s">
        <v>17653</v>
      </c>
      <c r="AR170" t="s">
        <v>1024</v>
      </c>
    </row>
    <row r="171" spans="1:44" x14ac:dyDescent="0.25">
      <c r="A171" t="s">
        <v>21029</v>
      </c>
      <c r="B171" t="s">
        <v>2019</v>
      </c>
      <c r="C171" s="410" t="s">
        <v>6617</v>
      </c>
      <c r="D171" t="s">
        <v>20317</v>
      </c>
      <c r="E171" t="s">
        <v>192</v>
      </c>
      <c r="F171" s="534">
        <v>1</v>
      </c>
      <c r="G171" t="s">
        <v>193</v>
      </c>
      <c r="H171" t="s">
        <v>194</v>
      </c>
      <c r="I171" t="s">
        <v>20318</v>
      </c>
      <c r="J171" t="s">
        <v>2614</v>
      </c>
      <c r="K171" s="28" t="s">
        <v>9309</v>
      </c>
      <c r="L171" t="s">
        <v>6955</v>
      </c>
      <c r="N171" t="s">
        <v>21030</v>
      </c>
      <c r="O171" t="s">
        <v>6266</v>
      </c>
      <c r="P171" t="s">
        <v>20320</v>
      </c>
      <c r="Q171" t="s">
        <v>20321</v>
      </c>
      <c r="R171" t="s">
        <v>20322</v>
      </c>
      <c r="S171" t="s">
        <v>21031</v>
      </c>
      <c r="T171" t="s">
        <v>21032</v>
      </c>
      <c r="V171" s="28" t="s">
        <v>9367</v>
      </c>
      <c r="W171" t="s">
        <v>990</v>
      </c>
      <c r="X171" t="s">
        <v>194</v>
      </c>
      <c r="Y171" s="28" t="s">
        <v>9300</v>
      </c>
      <c r="AB171" t="s">
        <v>9311</v>
      </c>
      <c r="AH171" t="s">
        <v>4714</v>
      </c>
      <c r="AI171" t="s">
        <v>2019</v>
      </c>
      <c r="AJ171" s="28" t="str">
        <f t="shared" si="4"/>
        <v>833202</v>
      </c>
      <c r="AK171" s="420">
        <v>1</v>
      </c>
      <c r="AL171" s="420">
        <f t="shared" si="5"/>
        <v>1</v>
      </c>
      <c r="AM171" s="420">
        <v>1</v>
      </c>
      <c r="AN171" t="s">
        <v>17650</v>
      </c>
      <c r="AO171" t="s">
        <v>17651</v>
      </c>
      <c r="AP171" t="s">
        <v>17652</v>
      </c>
      <c r="AQ171" t="s">
        <v>17653</v>
      </c>
      <c r="AR171" t="s">
        <v>1024</v>
      </c>
    </row>
    <row r="172" spans="1:44" x14ac:dyDescent="0.25">
      <c r="A172" t="s">
        <v>21033</v>
      </c>
      <c r="B172" t="s">
        <v>21034</v>
      </c>
      <c r="C172" s="410" t="s">
        <v>6617</v>
      </c>
      <c r="D172" t="s">
        <v>20306</v>
      </c>
      <c r="E172" t="s">
        <v>233</v>
      </c>
      <c r="F172" s="534">
        <v>1</v>
      </c>
      <c r="G172" t="s">
        <v>193</v>
      </c>
      <c r="H172" t="s">
        <v>194</v>
      </c>
      <c r="I172" t="s">
        <v>20483</v>
      </c>
      <c r="J172" t="s">
        <v>9302</v>
      </c>
      <c r="K172" s="28" t="s">
        <v>9309</v>
      </c>
      <c r="L172" t="s">
        <v>6955</v>
      </c>
      <c r="N172" t="s">
        <v>21035</v>
      </c>
      <c r="O172" t="s">
        <v>6266</v>
      </c>
      <c r="P172" t="s">
        <v>20417</v>
      </c>
      <c r="Q172" t="s">
        <v>20405</v>
      </c>
      <c r="R172" t="s">
        <v>20418</v>
      </c>
      <c r="S172" t="s">
        <v>21036</v>
      </c>
      <c r="T172" t="s">
        <v>21037</v>
      </c>
      <c r="W172" t="s">
        <v>990</v>
      </c>
      <c r="X172" t="s">
        <v>193</v>
      </c>
      <c r="Y172" s="28" t="s">
        <v>9310</v>
      </c>
      <c r="AB172" t="s">
        <v>9311</v>
      </c>
      <c r="AH172" t="s">
        <v>4714</v>
      </c>
      <c r="AI172" t="s">
        <v>21034</v>
      </c>
      <c r="AJ172" s="28" t="str">
        <f t="shared" si="4"/>
        <v>833202</v>
      </c>
      <c r="AK172" s="420">
        <v>1</v>
      </c>
      <c r="AL172" s="420">
        <f t="shared" si="5"/>
        <v>1</v>
      </c>
      <c r="AM172" s="420">
        <v>1</v>
      </c>
      <c r="AN172" t="s">
        <v>17650</v>
      </c>
      <c r="AO172" t="s">
        <v>17651</v>
      </c>
      <c r="AP172" t="s">
        <v>17652</v>
      </c>
      <c r="AQ172" t="s">
        <v>17653</v>
      </c>
      <c r="AR172" t="s">
        <v>1024</v>
      </c>
    </row>
    <row r="173" spans="1:44" x14ac:dyDescent="0.25">
      <c r="A173" t="s">
        <v>21038</v>
      </c>
      <c r="B173" t="s">
        <v>21039</v>
      </c>
      <c r="C173" s="410" t="s">
        <v>6617</v>
      </c>
      <c r="D173" t="s">
        <v>20306</v>
      </c>
      <c r="E173" t="s">
        <v>233</v>
      </c>
      <c r="F173" s="534">
        <v>1</v>
      </c>
      <c r="G173" t="s">
        <v>193</v>
      </c>
      <c r="H173" t="s">
        <v>194</v>
      </c>
      <c r="I173" t="s">
        <v>20483</v>
      </c>
      <c r="J173" t="s">
        <v>9302</v>
      </c>
      <c r="K173" s="28" t="s">
        <v>9309</v>
      </c>
      <c r="L173" t="s">
        <v>6955</v>
      </c>
      <c r="N173" t="s">
        <v>21040</v>
      </c>
      <c r="O173" t="s">
        <v>6266</v>
      </c>
      <c r="P173" t="s">
        <v>20417</v>
      </c>
      <c r="Q173" t="s">
        <v>20405</v>
      </c>
      <c r="R173" t="s">
        <v>20418</v>
      </c>
      <c r="S173" t="s">
        <v>21041</v>
      </c>
      <c r="T173" t="s">
        <v>21042</v>
      </c>
      <c r="W173" t="s">
        <v>990</v>
      </c>
      <c r="X173" t="s">
        <v>193</v>
      </c>
      <c r="Y173" s="28" t="s">
        <v>9310</v>
      </c>
      <c r="AB173" t="s">
        <v>9311</v>
      </c>
      <c r="AH173" t="s">
        <v>4714</v>
      </c>
      <c r="AI173" t="s">
        <v>21039</v>
      </c>
      <c r="AJ173" s="28" t="str">
        <f t="shared" si="4"/>
        <v>833202</v>
      </c>
      <c r="AK173" s="420">
        <v>1</v>
      </c>
      <c r="AL173" s="420">
        <f t="shared" si="5"/>
        <v>1</v>
      </c>
      <c r="AM173" s="420">
        <v>1</v>
      </c>
      <c r="AN173" t="s">
        <v>17650</v>
      </c>
      <c r="AO173" t="s">
        <v>17651</v>
      </c>
      <c r="AP173" t="s">
        <v>17652</v>
      </c>
      <c r="AQ173" t="s">
        <v>17653</v>
      </c>
      <c r="AR173" t="s">
        <v>1024</v>
      </c>
    </row>
    <row r="174" spans="1:44" x14ac:dyDescent="0.25">
      <c r="A174" t="s">
        <v>21043</v>
      </c>
      <c r="B174" t="s">
        <v>21044</v>
      </c>
      <c r="C174" s="410" t="s">
        <v>6617</v>
      </c>
      <c r="D174" t="s">
        <v>20306</v>
      </c>
      <c r="E174" t="s">
        <v>252</v>
      </c>
      <c r="F174" s="534">
        <v>1</v>
      </c>
      <c r="G174" t="s">
        <v>193</v>
      </c>
      <c r="H174" t="s">
        <v>194</v>
      </c>
      <c r="I174" t="s">
        <v>20483</v>
      </c>
      <c r="J174" t="s">
        <v>210</v>
      </c>
      <c r="K174" s="28" t="s">
        <v>9309</v>
      </c>
      <c r="L174" t="s">
        <v>6955</v>
      </c>
      <c r="N174" t="s">
        <v>21045</v>
      </c>
      <c r="O174" t="s">
        <v>6266</v>
      </c>
      <c r="P174" t="s">
        <v>21046</v>
      </c>
      <c r="Q174" t="s">
        <v>20405</v>
      </c>
      <c r="R174" t="s">
        <v>21047</v>
      </c>
      <c r="S174" t="s">
        <v>21048</v>
      </c>
      <c r="T174" t="s">
        <v>21049</v>
      </c>
      <c r="V174" s="28" t="s">
        <v>9334</v>
      </c>
      <c r="W174" t="s">
        <v>990</v>
      </c>
      <c r="X174" t="s">
        <v>194</v>
      </c>
      <c r="Y174" s="28" t="s">
        <v>9300</v>
      </c>
      <c r="AB174" t="s">
        <v>9311</v>
      </c>
      <c r="AH174" t="s">
        <v>4714</v>
      </c>
      <c r="AI174" t="s">
        <v>9433</v>
      </c>
      <c r="AJ174" s="28" t="str">
        <f t="shared" si="4"/>
        <v>833202</v>
      </c>
      <c r="AK174" s="420">
        <v>1</v>
      </c>
      <c r="AL174" s="420">
        <f t="shared" si="5"/>
        <v>1</v>
      </c>
      <c r="AM174" s="420">
        <v>1</v>
      </c>
      <c r="AN174" t="s">
        <v>17650</v>
      </c>
      <c r="AO174" t="s">
        <v>17651</v>
      </c>
      <c r="AP174" t="s">
        <v>17652</v>
      </c>
      <c r="AQ174" t="s">
        <v>17653</v>
      </c>
      <c r="AR174" t="s">
        <v>1024</v>
      </c>
    </row>
    <row r="175" spans="1:44" x14ac:dyDescent="0.25">
      <c r="A175" t="s">
        <v>21050</v>
      </c>
      <c r="B175" t="s">
        <v>21051</v>
      </c>
      <c r="C175" s="410" t="s">
        <v>6617</v>
      </c>
      <c r="D175" t="s">
        <v>20306</v>
      </c>
      <c r="E175" t="s">
        <v>192</v>
      </c>
      <c r="F175" s="534">
        <v>1</v>
      </c>
      <c r="G175" t="s">
        <v>193</v>
      </c>
      <c r="H175" t="s">
        <v>194</v>
      </c>
      <c r="I175" t="s">
        <v>20483</v>
      </c>
      <c r="J175" t="s">
        <v>9302</v>
      </c>
      <c r="K175" s="28" t="s">
        <v>9309</v>
      </c>
      <c r="L175" t="s">
        <v>6955</v>
      </c>
      <c r="N175" t="s">
        <v>21052</v>
      </c>
      <c r="O175" t="s">
        <v>6266</v>
      </c>
      <c r="P175" t="s">
        <v>20309</v>
      </c>
      <c r="Q175" t="s">
        <v>20310</v>
      </c>
      <c r="R175" t="s">
        <v>20647</v>
      </c>
      <c r="S175" t="s">
        <v>21053</v>
      </c>
      <c r="T175" t="s">
        <v>21054</v>
      </c>
      <c r="W175" t="s">
        <v>990</v>
      </c>
      <c r="X175" t="s">
        <v>193</v>
      </c>
      <c r="Y175" s="28" t="s">
        <v>9310</v>
      </c>
      <c r="AB175" t="s">
        <v>9311</v>
      </c>
      <c r="AH175" t="s">
        <v>4714</v>
      </c>
      <c r="AI175" t="s">
        <v>21051</v>
      </c>
      <c r="AJ175" s="28" t="str">
        <f t="shared" si="4"/>
        <v>833202</v>
      </c>
      <c r="AK175" s="420">
        <v>1</v>
      </c>
      <c r="AL175" s="420">
        <f t="shared" si="5"/>
        <v>1</v>
      </c>
      <c r="AM175" s="420">
        <v>1</v>
      </c>
      <c r="AN175" t="s">
        <v>17650</v>
      </c>
      <c r="AO175" t="s">
        <v>17651</v>
      </c>
      <c r="AP175" t="s">
        <v>17652</v>
      </c>
      <c r="AQ175" t="s">
        <v>17653</v>
      </c>
      <c r="AR175" t="s">
        <v>1024</v>
      </c>
    </row>
    <row r="176" spans="1:44" x14ac:dyDescent="0.25">
      <c r="A176" t="s">
        <v>15997</v>
      </c>
      <c r="B176" t="s">
        <v>869</v>
      </c>
      <c r="C176" s="410" t="s">
        <v>6617</v>
      </c>
      <c r="D176" t="s">
        <v>20306</v>
      </c>
      <c r="E176" t="s">
        <v>192</v>
      </c>
      <c r="F176" s="534">
        <v>1</v>
      </c>
      <c r="G176" t="s">
        <v>193</v>
      </c>
      <c r="H176" t="s">
        <v>194</v>
      </c>
      <c r="I176" t="s">
        <v>20483</v>
      </c>
      <c r="J176" t="s">
        <v>9302</v>
      </c>
      <c r="K176" s="28" t="s">
        <v>9309</v>
      </c>
      <c r="L176" t="s">
        <v>6955</v>
      </c>
      <c r="N176" t="s">
        <v>21055</v>
      </c>
      <c r="O176" t="s">
        <v>6266</v>
      </c>
      <c r="P176" t="s">
        <v>20309</v>
      </c>
      <c r="Q176" t="s">
        <v>20310</v>
      </c>
      <c r="R176" t="s">
        <v>20311</v>
      </c>
      <c r="S176" t="s">
        <v>21056</v>
      </c>
      <c r="T176" t="s">
        <v>21057</v>
      </c>
      <c r="W176" t="s">
        <v>990</v>
      </c>
      <c r="X176" t="s">
        <v>193</v>
      </c>
      <c r="Y176" s="28" t="s">
        <v>9310</v>
      </c>
      <c r="AB176" t="s">
        <v>9311</v>
      </c>
      <c r="AH176" t="s">
        <v>4714</v>
      </c>
      <c r="AI176" t="s">
        <v>869</v>
      </c>
      <c r="AJ176" s="28" t="str">
        <f t="shared" si="4"/>
        <v>833202</v>
      </c>
      <c r="AK176" s="420">
        <v>1</v>
      </c>
      <c r="AL176" s="420">
        <f t="shared" si="5"/>
        <v>1</v>
      </c>
      <c r="AM176" s="420">
        <v>1</v>
      </c>
      <c r="AN176" t="s">
        <v>17650</v>
      </c>
      <c r="AO176" t="s">
        <v>17651</v>
      </c>
      <c r="AP176" t="s">
        <v>17652</v>
      </c>
      <c r="AQ176" t="s">
        <v>17653</v>
      </c>
      <c r="AR176" t="s">
        <v>1024</v>
      </c>
    </row>
    <row r="177" spans="1:44" x14ac:dyDescent="0.25">
      <c r="A177" t="s">
        <v>21058</v>
      </c>
      <c r="B177" t="s">
        <v>21059</v>
      </c>
      <c r="C177" s="410" t="s">
        <v>6617</v>
      </c>
      <c r="D177" t="s">
        <v>20306</v>
      </c>
      <c r="E177" t="s">
        <v>192</v>
      </c>
      <c r="F177" s="539">
        <v>4</v>
      </c>
      <c r="G177" t="s">
        <v>193</v>
      </c>
      <c r="H177" t="s">
        <v>194</v>
      </c>
      <c r="I177" t="s">
        <v>20483</v>
      </c>
      <c r="J177" t="s">
        <v>9302</v>
      </c>
      <c r="K177" s="28" t="s">
        <v>9309</v>
      </c>
      <c r="L177" t="s">
        <v>6955</v>
      </c>
      <c r="N177" t="s">
        <v>21060</v>
      </c>
      <c r="O177" t="s">
        <v>6266</v>
      </c>
      <c r="P177" t="s">
        <v>20309</v>
      </c>
      <c r="Q177" t="s">
        <v>20310</v>
      </c>
      <c r="R177" t="s">
        <v>20311</v>
      </c>
      <c r="S177" t="s">
        <v>21061</v>
      </c>
      <c r="T177" t="s">
        <v>21062</v>
      </c>
      <c r="W177" t="s">
        <v>990</v>
      </c>
      <c r="X177" t="s">
        <v>193</v>
      </c>
      <c r="Y177" s="28" t="s">
        <v>9310</v>
      </c>
      <c r="AB177" t="s">
        <v>9311</v>
      </c>
      <c r="AH177" t="s">
        <v>4714</v>
      </c>
      <c r="AI177" t="s">
        <v>21059</v>
      </c>
      <c r="AJ177" s="28" t="str">
        <f t="shared" si="4"/>
        <v>833202</v>
      </c>
      <c r="AK177" s="420">
        <v>1</v>
      </c>
      <c r="AL177" s="540">
        <f>F177</f>
        <v>4</v>
      </c>
      <c r="AM177" s="420">
        <v>1</v>
      </c>
      <c r="AN177" t="s">
        <v>17650</v>
      </c>
      <c r="AO177" t="s">
        <v>17651</v>
      </c>
      <c r="AP177" t="s">
        <v>17652</v>
      </c>
      <c r="AQ177" t="s">
        <v>17653</v>
      </c>
      <c r="AR177" t="s">
        <v>1024</v>
      </c>
    </row>
    <row r="178" spans="1:44" x14ac:dyDescent="0.25">
      <c r="A178" t="s">
        <v>21063</v>
      </c>
      <c r="B178" t="s">
        <v>2019</v>
      </c>
      <c r="C178" s="410" t="s">
        <v>6617</v>
      </c>
      <c r="D178" t="s">
        <v>20306</v>
      </c>
      <c r="E178" t="s">
        <v>192</v>
      </c>
      <c r="F178" s="534">
        <v>1</v>
      </c>
      <c r="G178" t="s">
        <v>193</v>
      </c>
      <c r="H178" t="s">
        <v>194</v>
      </c>
      <c r="I178" t="s">
        <v>20483</v>
      </c>
      <c r="J178" t="s">
        <v>210</v>
      </c>
      <c r="K178" s="28" t="s">
        <v>9309</v>
      </c>
      <c r="L178" t="s">
        <v>6955</v>
      </c>
      <c r="N178" t="s">
        <v>21064</v>
      </c>
      <c r="O178" t="s">
        <v>6266</v>
      </c>
      <c r="P178" t="s">
        <v>20309</v>
      </c>
      <c r="Q178" t="s">
        <v>20310</v>
      </c>
      <c r="R178" t="s">
        <v>20311</v>
      </c>
      <c r="S178" t="s">
        <v>21065</v>
      </c>
      <c r="T178" t="s">
        <v>21066</v>
      </c>
      <c r="V178" s="28" t="s">
        <v>9334</v>
      </c>
      <c r="W178" t="s">
        <v>990</v>
      </c>
      <c r="X178" t="s">
        <v>194</v>
      </c>
      <c r="Y178" s="28" t="s">
        <v>9300</v>
      </c>
      <c r="AB178" t="s">
        <v>9311</v>
      </c>
      <c r="AH178" t="s">
        <v>4714</v>
      </c>
      <c r="AI178" t="s">
        <v>2019</v>
      </c>
      <c r="AJ178" s="28" t="str">
        <f t="shared" si="4"/>
        <v>833202</v>
      </c>
      <c r="AK178" s="420">
        <v>1</v>
      </c>
      <c r="AL178" s="420">
        <f t="shared" si="5"/>
        <v>1</v>
      </c>
      <c r="AM178" s="420">
        <v>1</v>
      </c>
      <c r="AN178" t="s">
        <v>17650</v>
      </c>
      <c r="AO178" t="s">
        <v>17651</v>
      </c>
      <c r="AP178" t="s">
        <v>17652</v>
      </c>
      <c r="AQ178" t="s">
        <v>17653</v>
      </c>
      <c r="AR178" t="s">
        <v>1024</v>
      </c>
    </row>
    <row r="179" spans="1:44" x14ac:dyDescent="0.25">
      <c r="A179" t="s">
        <v>21063</v>
      </c>
      <c r="B179" t="s">
        <v>2019</v>
      </c>
      <c r="C179" s="410" t="s">
        <v>6617</v>
      </c>
      <c r="D179" t="s">
        <v>20306</v>
      </c>
      <c r="E179" t="s">
        <v>192</v>
      </c>
      <c r="F179" s="534">
        <v>1</v>
      </c>
      <c r="G179" t="s">
        <v>193</v>
      </c>
      <c r="H179" t="s">
        <v>194</v>
      </c>
      <c r="I179" t="s">
        <v>20483</v>
      </c>
      <c r="J179" t="s">
        <v>4751</v>
      </c>
      <c r="K179" s="28" t="s">
        <v>9309</v>
      </c>
      <c r="L179" t="s">
        <v>6955</v>
      </c>
      <c r="N179" t="s">
        <v>21067</v>
      </c>
      <c r="O179" t="s">
        <v>6266</v>
      </c>
      <c r="P179" t="s">
        <v>20309</v>
      </c>
      <c r="Q179" t="s">
        <v>20310</v>
      </c>
      <c r="R179" t="s">
        <v>20311</v>
      </c>
      <c r="S179" t="s">
        <v>21068</v>
      </c>
      <c r="T179" t="s">
        <v>21069</v>
      </c>
      <c r="V179" s="28" t="s">
        <v>9472</v>
      </c>
      <c r="W179" t="s">
        <v>990</v>
      </c>
      <c r="X179" t="s">
        <v>194</v>
      </c>
      <c r="Y179" s="28" t="s">
        <v>9300</v>
      </c>
      <c r="AB179" t="s">
        <v>9311</v>
      </c>
      <c r="AH179" t="s">
        <v>4714</v>
      </c>
      <c r="AI179" t="s">
        <v>2019</v>
      </c>
      <c r="AJ179" s="28" t="str">
        <f t="shared" si="4"/>
        <v>833202</v>
      </c>
      <c r="AK179" s="420">
        <v>1</v>
      </c>
      <c r="AL179" s="420">
        <f t="shared" si="5"/>
        <v>1</v>
      </c>
      <c r="AM179" s="420">
        <v>1</v>
      </c>
      <c r="AN179" t="s">
        <v>17650</v>
      </c>
      <c r="AO179" t="s">
        <v>17651</v>
      </c>
      <c r="AP179" t="s">
        <v>17652</v>
      </c>
      <c r="AQ179" t="s">
        <v>17653</v>
      </c>
      <c r="AR179" t="s">
        <v>1024</v>
      </c>
    </row>
    <row r="180" spans="1:44" x14ac:dyDescent="0.25">
      <c r="A180" t="s">
        <v>16919</v>
      </c>
      <c r="B180" t="s">
        <v>21070</v>
      </c>
      <c r="C180" s="410" t="s">
        <v>6617</v>
      </c>
      <c r="D180" t="s">
        <v>20306</v>
      </c>
      <c r="E180" t="s">
        <v>192</v>
      </c>
      <c r="F180" s="534">
        <v>1</v>
      </c>
      <c r="G180" t="s">
        <v>193</v>
      </c>
      <c r="H180" t="s">
        <v>194</v>
      </c>
      <c r="I180" t="s">
        <v>20483</v>
      </c>
      <c r="J180" t="s">
        <v>210</v>
      </c>
      <c r="K180" s="28" t="s">
        <v>9309</v>
      </c>
      <c r="L180" t="s">
        <v>6955</v>
      </c>
      <c r="N180" t="s">
        <v>21071</v>
      </c>
      <c r="O180" t="s">
        <v>6266</v>
      </c>
      <c r="P180" t="s">
        <v>20309</v>
      </c>
      <c r="Q180" t="s">
        <v>20310</v>
      </c>
      <c r="R180" t="s">
        <v>20311</v>
      </c>
      <c r="S180" t="s">
        <v>21072</v>
      </c>
      <c r="T180" t="s">
        <v>21073</v>
      </c>
      <c r="V180" s="28" t="s">
        <v>9334</v>
      </c>
      <c r="W180" t="s">
        <v>990</v>
      </c>
      <c r="X180" t="s">
        <v>194</v>
      </c>
      <c r="Y180" s="28" t="s">
        <v>9300</v>
      </c>
      <c r="AB180" t="s">
        <v>9311</v>
      </c>
      <c r="AH180" t="s">
        <v>4714</v>
      </c>
      <c r="AI180" t="s">
        <v>21070</v>
      </c>
      <c r="AJ180" s="28" t="str">
        <f t="shared" si="4"/>
        <v>833202</v>
      </c>
      <c r="AK180" s="420">
        <v>1</v>
      </c>
      <c r="AL180" s="420">
        <f t="shared" si="5"/>
        <v>1</v>
      </c>
      <c r="AM180" s="420">
        <v>1</v>
      </c>
      <c r="AN180" t="s">
        <v>17650</v>
      </c>
      <c r="AO180" t="s">
        <v>17651</v>
      </c>
      <c r="AP180" t="s">
        <v>17652</v>
      </c>
      <c r="AQ180" t="s">
        <v>17653</v>
      </c>
      <c r="AR180" t="s">
        <v>1024</v>
      </c>
    </row>
    <row r="181" spans="1:44" x14ac:dyDescent="0.25">
      <c r="A181" t="s">
        <v>21074</v>
      </c>
      <c r="B181" t="s">
        <v>869</v>
      </c>
      <c r="C181" s="410" t="s">
        <v>6617</v>
      </c>
      <c r="D181" t="s">
        <v>20306</v>
      </c>
      <c r="E181" t="s">
        <v>192</v>
      </c>
      <c r="F181" s="534">
        <v>1</v>
      </c>
      <c r="G181" t="s">
        <v>193</v>
      </c>
      <c r="H181" t="s">
        <v>194</v>
      </c>
      <c r="I181" t="s">
        <v>20483</v>
      </c>
      <c r="J181" t="s">
        <v>253</v>
      </c>
      <c r="K181" s="28" t="s">
        <v>9309</v>
      </c>
      <c r="L181" t="s">
        <v>6955</v>
      </c>
      <c r="N181" t="s">
        <v>21075</v>
      </c>
      <c r="O181" t="s">
        <v>6266</v>
      </c>
      <c r="P181" t="s">
        <v>20309</v>
      </c>
      <c r="Q181" t="s">
        <v>20310</v>
      </c>
      <c r="R181" t="s">
        <v>20311</v>
      </c>
      <c r="S181" t="s">
        <v>21076</v>
      </c>
      <c r="T181" t="s">
        <v>21077</v>
      </c>
      <c r="V181" s="28" t="s">
        <v>9468</v>
      </c>
      <c r="W181" t="s">
        <v>990</v>
      </c>
      <c r="X181" t="s">
        <v>194</v>
      </c>
      <c r="Y181" s="28" t="s">
        <v>9300</v>
      </c>
      <c r="AB181" t="s">
        <v>9311</v>
      </c>
      <c r="AH181" t="s">
        <v>4714</v>
      </c>
      <c r="AI181" t="s">
        <v>869</v>
      </c>
      <c r="AJ181" s="28" t="str">
        <f t="shared" si="4"/>
        <v>833202</v>
      </c>
      <c r="AK181" s="420">
        <v>1</v>
      </c>
      <c r="AL181" s="420">
        <f t="shared" si="5"/>
        <v>1</v>
      </c>
      <c r="AM181" s="420">
        <v>1</v>
      </c>
      <c r="AN181" t="s">
        <v>17650</v>
      </c>
      <c r="AO181" t="s">
        <v>17651</v>
      </c>
      <c r="AP181" t="s">
        <v>17652</v>
      </c>
      <c r="AQ181" t="s">
        <v>17653</v>
      </c>
      <c r="AR181" t="s">
        <v>1024</v>
      </c>
    </row>
    <row r="182" spans="1:44" x14ac:dyDescent="0.25">
      <c r="A182" t="s">
        <v>16829</v>
      </c>
      <c r="B182" t="s">
        <v>16827</v>
      </c>
      <c r="C182" s="410" t="s">
        <v>886</v>
      </c>
      <c r="D182" t="s">
        <v>20326</v>
      </c>
      <c r="E182" t="s">
        <v>233</v>
      </c>
      <c r="F182" s="534">
        <v>1</v>
      </c>
      <c r="G182" t="s">
        <v>193</v>
      </c>
      <c r="H182" t="s">
        <v>194</v>
      </c>
      <c r="I182" t="s">
        <v>20360</v>
      </c>
      <c r="J182" t="s">
        <v>210</v>
      </c>
      <c r="K182" s="28" t="s">
        <v>9309</v>
      </c>
      <c r="L182" t="s">
        <v>6955</v>
      </c>
      <c r="N182" t="s">
        <v>21078</v>
      </c>
      <c r="O182" t="s">
        <v>6266</v>
      </c>
      <c r="P182" t="s">
        <v>20509</v>
      </c>
      <c r="Q182" t="s">
        <v>20510</v>
      </c>
      <c r="R182" t="s">
        <v>20689</v>
      </c>
      <c r="S182" t="s">
        <v>21079</v>
      </c>
      <c r="T182" t="s">
        <v>21080</v>
      </c>
      <c r="V182" s="28" t="s">
        <v>9334</v>
      </c>
      <c r="W182" t="s">
        <v>887</v>
      </c>
      <c r="X182" t="s">
        <v>194</v>
      </c>
      <c r="Y182" s="28" t="s">
        <v>9300</v>
      </c>
      <c r="AB182" t="s">
        <v>9311</v>
      </c>
      <c r="AH182" t="s">
        <v>4714</v>
      </c>
      <c r="AI182" t="s">
        <v>16827</v>
      </c>
      <c r="AJ182" s="28" t="str">
        <f t="shared" si="4"/>
        <v>834401</v>
      </c>
      <c r="AK182" s="420">
        <v>1</v>
      </c>
      <c r="AL182" s="420">
        <f t="shared" si="5"/>
        <v>1</v>
      </c>
      <c r="AM182" s="420">
        <v>1</v>
      </c>
      <c r="AN182" t="s">
        <v>17650</v>
      </c>
      <c r="AO182" t="s">
        <v>17651</v>
      </c>
      <c r="AP182" t="s">
        <v>17652</v>
      </c>
      <c r="AQ182" t="s">
        <v>17653</v>
      </c>
      <c r="AR182" t="s">
        <v>1024</v>
      </c>
    </row>
    <row r="183" spans="1:44" x14ac:dyDescent="0.25">
      <c r="A183" t="s">
        <v>21081</v>
      </c>
      <c r="B183" t="s">
        <v>21082</v>
      </c>
      <c r="C183" s="410" t="s">
        <v>886</v>
      </c>
      <c r="D183" t="s">
        <v>20338</v>
      </c>
      <c r="E183" t="s">
        <v>233</v>
      </c>
      <c r="F183" s="534">
        <v>1</v>
      </c>
      <c r="G183" t="s">
        <v>193</v>
      </c>
      <c r="H183" t="s">
        <v>194</v>
      </c>
      <c r="I183" t="s">
        <v>20405</v>
      </c>
      <c r="J183" t="s">
        <v>21083</v>
      </c>
      <c r="K183" s="28" t="s">
        <v>9309</v>
      </c>
      <c r="L183" t="s">
        <v>6955</v>
      </c>
      <c r="N183" t="s">
        <v>21084</v>
      </c>
      <c r="O183" t="s">
        <v>6266</v>
      </c>
      <c r="P183" t="s">
        <v>20541</v>
      </c>
      <c r="Q183" t="s">
        <v>20389</v>
      </c>
      <c r="R183" t="s">
        <v>20542</v>
      </c>
      <c r="S183" t="s">
        <v>21085</v>
      </c>
      <c r="T183" t="s">
        <v>21086</v>
      </c>
      <c r="V183" s="28" t="s">
        <v>9974</v>
      </c>
      <c r="W183" t="s">
        <v>887</v>
      </c>
      <c r="X183" t="s">
        <v>194</v>
      </c>
      <c r="Y183" s="28" t="s">
        <v>9300</v>
      </c>
      <c r="AB183" t="s">
        <v>9311</v>
      </c>
      <c r="AH183" t="s">
        <v>4714</v>
      </c>
      <c r="AI183" t="s">
        <v>21082</v>
      </c>
      <c r="AJ183" s="28" t="str">
        <f t="shared" si="4"/>
        <v>834401</v>
      </c>
      <c r="AK183" s="420">
        <v>1</v>
      </c>
      <c r="AL183" s="420">
        <f t="shared" si="5"/>
        <v>1</v>
      </c>
      <c r="AM183" s="420">
        <v>1</v>
      </c>
      <c r="AN183" t="s">
        <v>17650</v>
      </c>
      <c r="AO183" t="s">
        <v>17651</v>
      </c>
      <c r="AP183" t="s">
        <v>17652</v>
      </c>
      <c r="AQ183" t="s">
        <v>17653</v>
      </c>
      <c r="AR183" t="s">
        <v>1024</v>
      </c>
    </row>
    <row r="184" spans="1:44" x14ac:dyDescent="0.25">
      <c r="A184" t="s">
        <v>1556</v>
      </c>
      <c r="B184" t="s">
        <v>21087</v>
      </c>
      <c r="C184" s="410" t="s">
        <v>886</v>
      </c>
      <c r="D184" t="s">
        <v>20306</v>
      </c>
      <c r="E184" t="s">
        <v>233</v>
      </c>
      <c r="F184" s="534">
        <v>1</v>
      </c>
      <c r="G184" t="s">
        <v>193</v>
      </c>
      <c r="H184" t="s">
        <v>194</v>
      </c>
      <c r="I184" t="s">
        <v>20307</v>
      </c>
      <c r="J184" t="s">
        <v>976</v>
      </c>
      <c r="K184" s="28" t="s">
        <v>9309</v>
      </c>
      <c r="L184" t="s">
        <v>6955</v>
      </c>
      <c r="N184" t="s">
        <v>21088</v>
      </c>
      <c r="O184" t="s">
        <v>6266</v>
      </c>
      <c r="P184" t="s">
        <v>21089</v>
      </c>
      <c r="Q184" t="s">
        <v>4849</v>
      </c>
      <c r="R184" t="s">
        <v>7703</v>
      </c>
      <c r="S184" t="s">
        <v>21090</v>
      </c>
      <c r="T184" t="s">
        <v>21091</v>
      </c>
      <c r="W184" t="s">
        <v>887</v>
      </c>
      <c r="X184" t="s">
        <v>193</v>
      </c>
      <c r="Y184" s="28" t="s">
        <v>9310</v>
      </c>
      <c r="AB184" t="s">
        <v>9311</v>
      </c>
      <c r="AH184" t="s">
        <v>4714</v>
      </c>
      <c r="AI184" t="s">
        <v>21087</v>
      </c>
      <c r="AJ184" s="28" t="str">
        <f t="shared" si="4"/>
        <v>834401</v>
      </c>
      <c r="AK184" s="420">
        <v>1</v>
      </c>
      <c r="AL184" s="420">
        <f t="shared" si="5"/>
        <v>1</v>
      </c>
      <c r="AM184" s="420">
        <v>1</v>
      </c>
      <c r="AN184" t="s">
        <v>17650</v>
      </c>
      <c r="AO184" t="s">
        <v>17651</v>
      </c>
      <c r="AP184" t="s">
        <v>17652</v>
      </c>
      <c r="AQ184" t="s">
        <v>17653</v>
      </c>
      <c r="AR184" t="s">
        <v>1024</v>
      </c>
    </row>
    <row r="185" spans="1:44" x14ac:dyDescent="0.25">
      <c r="A185" t="s">
        <v>11602</v>
      </c>
      <c r="B185" t="s">
        <v>21092</v>
      </c>
      <c r="C185" s="410" t="s">
        <v>886</v>
      </c>
      <c r="D185" t="s">
        <v>20306</v>
      </c>
      <c r="E185" t="s">
        <v>192</v>
      </c>
      <c r="F185" s="534">
        <v>1</v>
      </c>
      <c r="G185" t="s">
        <v>193</v>
      </c>
      <c r="H185" t="s">
        <v>194</v>
      </c>
      <c r="I185" t="s">
        <v>20307</v>
      </c>
      <c r="J185" t="s">
        <v>316</v>
      </c>
      <c r="K185" s="28" t="s">
        <v>9309</v>
      </c>
      <c r="L185" t="s">
        <v>6955</v>
      </c>
      <c r="N185" t="s">
        <v>21093</v>
      </c>
      <c r="O185" t="s">
        <v>6275</v>
      </c>
      <c r="P185" t="s">
        <v>20309</v>
      </c>
      <c r="Q185" t="s">
        <v>20310</v>
      </c>
      <c r="R185" t="s">
        <v>20311</v>
      </c>
      <c r="S185" t="s">
        <v>21094</v>
      </c>
      <c r="T185" t="s">
        <v>21095</v>
      </c>
      <c r="V185" s="28" t="s">
        <v>10012</v>
      </c>
      <c r="W185" t="s">
        <v>887</v>
      </c>
      <c r="X185" t="s">
        <v>194</v>
      </c>
      <c r="Y185" s="28" t="s">
        <v>9300</v>
      </c>
      <c r="AB185" t="s">
        <v>9311</v>
      </c>
      <c r="AH185" t="s">
        <v>4714</v>
      </c>
      <c r="AI185" t="s">
        <v>21092</v>
      </c>
      <c r="AJ185" s="28" t="str">
        <f t="shared" si="4"/>
        <v>834401</v>
      </c>
      <c r="AK185" s="420">
        <v>1</v>
      </c>
      <c r="AL185" s="420">
        <f t="shared" si="5"/>
        <v>1</v>
      </c>
      <c r="AM185" s="420">
        <v>1</v>
      </c>
      <c r="AN185" t="s">
        <v>17650</v>
      </c>
      <c r="AO185" t="s">
        <v>17651</v>
      </c>
      <c r="AP185" t="s">
        <v>17652</v>
      </c>
      <c r="AQ185" t="s">
        <v>17653</v>
      </c>
      <c r="AR185" t="s">
        <v>1024</v>
      </c>
    </row>
    <row r="186" spans="1:44" x14ac:dyDescent="0.25">
      <c r="A186" t="s">
        <v>21096</v>
      </c>
      <c r="B186" t="s">
        <v>21097</v>
      </c>
      <c r="C186" s="410" t="s">
        <v>875</v>
      </c>
      <c r="D186" t="s">
        <v>20317</v>
      </c>
      <c r="E186" t="s">
        <v>252</v>
      </c>
      <c r="F186" s="534">
        <v>1</v>
      </c>
      <c r="G186" t="s">
        <v>193</v>
      </c>
      <c r="H186" t="s">
        <v>194</v>
      </c>
      <c r="I186" t="s">
        <v>20318</v>
      </c>
      <c r="J186" t="s">
        <v>210</v>
      </c>
      <c r="K186" s="28" t="s">
        <v>9309</v>
      </c>
      <c r="L186" t="s">
        <v>6955</v>
      </c>
      <c r="N186" t="s">
        <v>21098</v>
      </c>
      <c r="O186" t="s">
        <v>6266</v>
      </c>
      <c r="P186" t="s">
        <v>21099</v>
      </c>
      <c r="Q186" t="s">
        <v>20566</v>
      </c>
      <c r="R186" t="s">
        <v>20441</v>
      </c>
      <c r="S186" t="s">
        <v>21100</v>
      </c>
      <c r="T186" t="s">
        <v>21101</v>
      </c>
      <c r="V186" s="28" t="s">
        <v>9334</v>
      </c>
      <c r="W186" t="s">
        <v>876</v>
      </c>
      <c r="X186" t="s">
        <v>194</v>
      </c>
      <c r="Y186" s="28" t="s">
        <v>9300</v>
      </c>
      <c r="AB186" t="s">
        <v>9311</v>
      </c>
      <c r="AH186" t="s">
        <v>4714</v>
      </c>
      <c r="AI186" t="s">
        <v>9433</v>
      </c>
      <c r="AJ186" s="28" t="str">
        <f t="shared" si="4"/>
        <v>833203</v>
      </c>
      <c r="AK186" s="420">
        <v>1</v>
      </c>
      <c r="AL186" s="420">
        <f t="shared" si="5"/>
        <v>1</v>
      </c>
      <c r="AM186" s="420">
        <v>1</v>
      </c>
      <c r="AN186" t="s">
        <v>17650</v>
      </c>
      <c r="AO186" t="s">
        <v>17651</v>
      </c>
      <c r="AP186" t="s">
        <v>17652</v>
      </c>
      <c r="AQ186" t="s">
        <v>17653</v>
      </c>
      <c r="AR186" t="s">
        <v>1024</v>
      </c>
    </row>
    <row r="187" spans="1:44" x14ac:dyDescent="0.25">
      <c r="A187" t="s">
        <v>16919</v>
      </c>
      <c r="B187" t="s">
        <v>21102</v>
      </c>
      <c r="C187" s="410" t="s">
        <v>875</v>
      </c>
      <c r="D187" t="s">
        <v>20306</v>
      </c>
      <c r="E187" t="s">
        <v>192</v>
      </c>
      <c r="F187" s="534">
        <v>1</v>
      </c>
      <c r="G187" t="s">
        <v>193</v>
      </c>
      <c r="H187" t="s">
        <v>194</v>
      </c>
      <c r="I187" t="s">
        <v>20483</v>
      </c>
      <c r="J187" t="s">
        <v>210</v>
      </c>
      <c r="K187" s="28" t="s">
        <v>9309</v>
      </c>
      <c r="L187" t="s">
        <v>6955</v>
      </c>
      <c r="N187" t="s">
        <v>21103</v>
      </c>
      <c r="O187" t="s">
        <v>6266</v>
      </c>
      <c r="P187" t="s">
        <v>20309</v>
      </c>
      <c r="Q187" t="s">
        <v>20310</v>
      </c>
      <c r="R187" t="s">
        <v>20311</v>
      </c>
      <c r="S187" t="s">
        <v>21104</v>
      </c>
      <c r="T187" t="s">
        <v>21105</v>
      </c>
      <c r="V187" s="28" t="s">
        <v>9334</v>
      </c>
      <c r="W187" t="s">
        <v>876</v>
      </c>
      <c r="X187" t="s">
        <v>194</v>
      </c>
      <c r="Y187" s="28" t="s">
        <v>9300</v>
      </c>
      <c r="AB187" t="s">
        <v>9311</v>
      </c>
      <c r="AH187" t="s">
        <v>4714</v>
      </c>
      <c r="AI187" t="s">
        <v>21102</v>
      </c>
      <c r="AJ187" s="28" t="str">
        <f t="shared" si="4"/>
        <v>833203</v>
      </c>
      <c r="AK187" s="420">
        <v>1</v>
      </c>
      <c r="AL187" s="420">
        <f t="shared" si="5"/>
        <v>1</v>
      </c>
      <c r="AM187" s="420">
        <v>1</v>
      </c>
      <c r="AN187" t="s">
        <v>17650</v>
      </c>
      <c r="AO187" t="s">
        <v>17651</v>
      </c>
      <c r="AP187" t="s">
        <v>17652</v>
      </c>
      <c r="AQ187" t="s">
        <v>17653</v>
      </c>
      <c r="AR187" t="s">
        <v>1024</v>
      </c>
    </row>
    <row r="188" spans="1:44" x14ac:dyDescent="0.25">
      <c r="A188" t="s">
        <v>1721</v>
      </c>
      <c r="B188" t="s">
        <v>21106</v>
      </c>
      <c r="C188" s="410" t="s">
        <v>870</v>
      </c>
      <c r="D188" t="s">
        <v>20317</v>
      </c>
      <c r="E188" t="s">
        <v>192</v>
      </c>
      <c r="F188" s="534">
        <v>1</v>
      </c>
      <c r="G188" t="s">
        <v>193</v>
      </c>
      <c r="H188" t="s">
        <v>194</v>
      </c>
      <c r="I188" t="s">
        <v>20399</v>
      </c>
      <c r="J188" t="s">
        <v>826</v>
      </c>
      <c r="K188" s="28" t="s">
        <v>9309</v>
      </c>
      <c r="L188" t="s">
        <v>6955</v>
      </c>
      <c r="N188" t="s">
        <v>21107</v>
      </c>
      <c r="O188" t="s">
        <v>6266</v>
      </c>
      <c r="P188" t="s">
        <v>20320</v>
      </c>
      <c r="Q188" t="s">
        <v>20321</v>
      </c>
      <c r="R188" t="s">
        <v>20322</v>
      </c>
      <c r="S188" t="s">
        <v>21108</v>
      </c>
      <c r="T188" t="s">
        <v>21109</v>
      </c>
      <c r="V188" s="28" t="s">
        <v>9726</v>
      </c>
      <c r="W188" t="s">
        <v>872</v>
      </c>
      <c r="X188" t="s">
        <v>194</v>
      </c>
      <c r="Y188" s="28" t="s">
        <v>9300</v>
      </c>
      <c r="AB188" t="s">
        <v>9311</v>
      </c>
      <c r="AH188" t="s">
        <v>4714</v>
      </c>
      <c r="AI188" t="s">
        <v>21106</v>
      </c>
      <c r="AJ188" s="28" t="str">
        <f t="shared" si="4"/>
        <v>832202</v>
      </c>
      <c r="AK188" s="420">
        <v>1</v>
      </c>
      <c r="AL188" s="420">
        <f t="shared" si="5"/>
        <v>1</v>
      </c>
      <c r="AM188" s="420">
        <v>1</v>
      </c>
      <c r="AN188" t="s">
        <v>17650</v>
      </c>
      <c r="AO188" t="s">
        <v>17651</v>
      </c>
      <c r="AP188" t="s">
        <v>17652</v>
      </c>
      <c r="AQ188" t="s">
        <v>17653</v>
      </c>
      <c r="AR188" t="s">
        <v>1024</v>
      </c>
    </row>
    <row r="189" spans="1:44" x14ac:dyDescent="0.25">
      <c r="A189" t="s">
        <v>21110</v>
      </c>
      <c r="B189" t="s">
        <v>21111</v>
      </c>
      <c r="C189" s="410" t="s">
        <v>870</v>
      </c>
      <c r="D189" t="s">
        <v>20360</v>
      </c>
      <c r="E189" t="s">
        <v>233</v>
      </c>
      <c r="F189" s="534">
        <v>1</v>
      </c>
      <c r="G189" t="s">
        <v>193</v>
      </c>
      <c r="H189" t="s">
        <v>194</v>
      </c>
      <c r="I189" t="s">
        <v>20318</v>
      </c>
      <c r="J189" t="s">
        <v>9302</v>
      </c>
      <c r="K189" s="28" t="s">
        <v>9309</v>
      </c>
      <c r="L189" t="s">
        <v>6955</v>
      </c>
      <c r="N189" t="s">
        <v>21112</v>
      </c>
      <c r="O189" t="s">
        <v>6266</v>
      </c>
      <c r="P189" t="s">
        <v>20522</v>
      </c>
      <c r="Q189" t="s">
        <v>20422</v>
      </c>
      <c r="R189" t="s">
        <v>20483</v>
      </c>
      <c r="S189" t="s">
        <v>21113</v>
      </c>
      <c r="T189" t="s">
        <v>21114</v>
      </c>
      <c r="W189" t="s">
        <v>872</v>
      </c>
      <c r="X189" t="s">
        <v>193</v>
      </c>
      <c r="Y189" s="28" t="s">
        <v>9310</v>
      </c>
      <c r="AB189" t="s">
        <v>9311</v>
      </c>
      <c r="AH189" t="s">
        <v>4714</v>
      </c>
      <c r="AI189" t="s">
        <v>21111</v>
      </c>
      <c r="AJ189" s="28" t="str">
        <f t="shared" si="4"/>
        <v>832202</v>
      </c>
      <c r="AK189" s="420">
        <v>1</v>
      </c>
      <c r="AL189" s="420">
        <f t="shared" si="5"/>
        <v>1</v>
      </c>
      <c r="AM189" s="420">
        <v>1</v>
      </c>
      <c r="AN189" t="s">
        <v>17650</v>
      </c>
      <c r="AO189" t="s">
        <v>17651</v>
      </c>
      <c r="AP189" t="s">
        <v>17652</v>
      </c>
      <c r="AQ189" t="s">
        <v>17653</v>
      </c>
      <c r="AR189" t="s">
        <v>1024</v>
      </c>
    </row>
    <row r="190" spans="1:44" x14ac:dyDescent="0.25">
      <c r="A190" t="s">
        <v>7155</v>
      </c>
      <c r="B190" t="s">
        <v>21115</v>
      </c>
      <c r="C190" s="410" t="s">
        <v>870</v>
      </c>
      <c r="D190" t="s">
        <v>20338</v>
      </c>
      <c r="E190" t="s">
        <v>233</v>
      </c>
      <c r="F190" s="534">
        <v>1</v>
      </c>
      <c r="G190" t="s">
        <v>193</v>
      </c>
      <c r="H190" t="s">
        <v>194</v>
      </c>
      <c r="I190" t="s">
        <v>20483</v>
      </c>
      <c r="J190" t="s">
        <v>21116</v>
      </c>
      <c r="K190" s="28" t="s">
        <v>9309</v>
      </c>
      <c r="L190" t="s">
        <v>6955</v>
      </c>
      <c r="N190" t="s">
        <v>21117</v>
      </c>
      <c r="O190" t="s">
        <v>6290</v>
      </c>
      <c r="P190" t="s">
        <v>20541</v>
      </c>
      <c r="Q190" t="s">
        <v>20389</v>
      </c>
      <c r="R190" t="s">
        <v>20542</v>
      </c>
      <c r="S190" t="s">
        <v>21118</v>
      </c>
      <c r="T190" t="s">
        <v>21119</v>
      </c>
      <c r="V190" s="28" t="s">
        <v>9334</v>
      </c>
      <c r="W190" t="s">
        <v>872</v>
      </c>
      <c r="X190" t="s">
        <v>194</v>
      </c>
      <c r="Y190" s="28" t="s">
        <v>9300</v>
      </c>
      <c r="AB190" t="s">
        <v>9311</v>
      </c>
      <c r="AH190" t="s">
        <v>4714</v>
      </c>
      <c r="AI190" t="s">
        <v>21115</v>
      </c>
      <c r="AJ190" s="28" t="str">
        <f t="shared" si="4"/>
        <v>832202</v>
      </c>
      <c r="AK190" s="420">
        <v>1</v>
      </c>
      <c r="AL190" s="420">
        <f t="shared" si="5"/>
        <v>1</v>
      </c>
      <c r="AM190" s="420">
        <v>1</v>
      </c>
      <c r="AN190" t="s">
        <v>17650</v>
      </c>
      <c r="AO190" t="s">
        <v>17651</v>
      </c>
      <c r="AP190" t="s">
        <v>17652</v>
      </c>
      <c r="AQ190" t="s">
        <v>17653</v>
      </c>
      <c r="AR190" t="s">
        <v>1024</v>
      </c>
    </row>
    <row r="191" spans="1:44" x14ac:dyDescent="0.25">
      <c r="A191" t="s">
        <v>21120</v>
      </c>
      <c r="B191" t="s">
        <v>21121</v>
      </c>
      <c r="C191" s="410" t="s">
        <v>4065</v>
      </c>
      <c r="D191" t="s">
        <v>20317</v>
      </c>
      <c r="E191" t="s">
        <v>233</v>
      </c>
      <c r="F191" s="534">
        <v>1</v>
      </c>
      <c r="G191" t="s">
        <v>193</v>
      </c>
      <c r="H191" t="s">
        <v>194</v>
      </c>
      <c r="I191" t="s">
        <v>20318</v>
      </c>
      <c r="J191" t="s">
        <v>9302</v>
      </c>
      <c r="K191" s="28" t="s">
        <v>9309</v>
      </c>
      <c r="L191" t="s">
        <v>6955</v>
      </c>
      <c r="N191" t="s">
        <v>21122</v>
      </c>
      <c r="O191" t="s">
        <v>6266</v>
      </c>
      <c r="P191" t="s">
        <v>20565</v>
      </c>
      <c r="Q191" t="s">
        <v>20566</v>
      </c>
      <c r="R191" t="s">
        <v>20322</v>
      </c>
      <c r="S191" t="s">
        <v>21123</v>
      </c>
      <c r="T191" t="s">
        <v>21124</v>
      </c>
      <c r="W191" t="s">
        <v>4066</v>
      </c>
      <c r="X191" t="s">
        <v>193</v>
      </c>
      <c r="Y191" s="28" t="s">
        <v>9310</v>
      </c>
      <c r="AB191" t="s">
        <v>9311</v>
      </c>
      <c r="AH191" t="s">
        <v>4714</v>
      </c>
      <c r="AI191" t="s">
        <v>21121</v>
      </c>
      <c r="AJ191" s="28" t="str">
        <f t="shared" si="4"/>
        <v>832203</v>
      </c>
      <c r="AK191" s="420">
        <v>1</v>
      </c>
      <c r="AL191" s="420">
        <f t="shared" si="5"/>
        <v>1</v>
      </c>
      <c r="AM191" s="420">
        <v>1</v>
      </c>
      <c r="AN191" t="s">
        <v>17650</v>
      </c>
      <c r="AO191" t="s">
        <v>17651</v>
      </c>
      <c r="AP191" t="s">
        <v>17652</v>
      </c>
      <c r="AQ191" t="s">
        <v>17653</v>
      </c>
      <c r="AR191" t="s">
        <v>1024</v>
      </c>
    </row>
    <row r="192" spans="1:44" x14ac:dyDescent="0.25">
      <c r="A192" t="s">
        <v>21125</v>
      </c>
      <c r="B192" t="s">
        <v>21126</v>
      </c>
      <c r="C192" s="410" t="s">
        <v>21127</v>
      </c>
      <c r="D192" t="s">
        <v>20326</v>
      </c>
      <c r="E192" t="s">
        <v>192</v>
      </c>
      <c r="F192" s="534">
        <v>1</v>
      </c>
      <c r="G192" t="s">
        <v>193</v>
      </c>
      <c r="H192" t="s">
        <v>194</v>
      </c>
      <c r="I192" t="s">
        <v>20338</v>
      </c>
      <c r="J192" t="s">
        <v>21128</v>
      </c>
      <c r="K192" s="28" t="s">
        <v>9309</v>
      </c>
      <c r="L192" t="s">
        <v>6955</v>
      </c>
      <c r="N192" t="s">
        <v>21129</v>
      </c>
      <c r="O192" t="s">
        <v>6266</v>
      </c>
      <c r="P192" t="s">
        <v>20328</v>
      </c>
      <c r="Q192" t="s">
        <v>20329</v>
      </c>
      <c r="R192" t="s">
        <v>21130</v>
      </c>
      <c r="S192" t="s">
        <v>21131</v>
      </c>
      <c r="T192" t="s">
        <v>21132</v>
      </c>
      <c r="V192" s="28" t="s">
        <v>11163</v>
      </c>
      <c r="W192" t="s">
        <v>21133</v>
      </c>
      <c r="X192" t="s">
        <v>194</v>
      </c>
      <c r="Y192" s="28" t="s">
        <v>9300</v>
      </c>
      <c r="AB192" t="s">
        <v>9311</v>
      </c>
      <c r="AH192" t="s">
        <v>4714</v>
      </c>
      <c r="AI192" t="s">
        <v>21126</v>
      </c>
      <c r="AJ192" s="28" t="str">
        <f t="shared" si="4"/>
        <v>143910</v>
      </c>
      <c r="AK192" s="420">
        <v>1</v>
      </c>
      <c r="AL192" s="420">
        <f t="shared" si="5"/>
        <v>1</v>
      </c>
      <c r="AM192" s="420">
        <v>1</v>
      </c>
      <c r="AN192" t="s">
        <v>17650</v>
      </c>
      <c r="AO192" t="s">
        <v>17651</v>
      </c>
      <c r="AP192" t="s">
        <v>17652</v>
      </c>
      <c r="AQ192" t="s">
        <v>17653</v>
      </c>
      <c r="AR192" t="s">
        <v>1024</v>
      </c>
    </row>
    <row r="193" spans="1:44" x14ac:dyDescent="0.25">
      <c r="A193" t="s">
        <v>21125</v>
      </c>
      <c r="B193" t="s">
        <v>21126</v>
      </c>
      <c r="C193" s="410" t="s">
        <v>21127</v>
      </c>
      <c r="D193" t="s">
        <v>20326</v>
      </c>
      <c r="E193" t="s">
        <v>192</v>
      </c>
      <c r="F193" s="534">
        <v>1</v>
      </c>
      <c r="G193" t="s">
        <v>193</v>
      </c>
      <c r="H193" t="s">
        <v>194</v>
      </c>
      <c r="I193" t="s">
        <v>20338</v>
      </c>
      <c r="J193" t="s">
        <v>1995</v>
      </c>
      <c r="K193" s="28" t="s">
        <v>9309</v>
      </c>
      <c r="L193" t="s">
        <v>6955</v>
      </c>
      <c r="N193" t="s">
        <v>21134</v>
      </c>
      <c r="O193" t="s">
        <v>6266</v>
      </c>
      <c r="P193" t="s">
        <v>20328</v>
      </c>
      <c r="Q193" t="s">
        <v>20329</v>
      </c>
      <c r="R193" t="s">
        <v>21130</v>
      </c>
      <c r="S193" t="s">
        <v>21135</v>
      </c>
      <c r="T193" t="s">
        <v>21136</v>
      </c>
      <c r="V193" s="28" t="s">
        <v>9440</v>
      </c>
      <c r="W193" t="s">
        <v>21133</v>
      </c>
      <c r="X193" t="s">
        <v>194</v>
      </c>
      <c r="Y193" s="28" t="s">
        <v>9300</v>
      </c>
      <c r="AB193" t="s">
        <v>9311</v>
      </c>
      <c r="AH193" t="s">
        <v>4714</v>
      </c>
      <c r="AI193" t="s">
        <v>21126</v>
      </c>
      <c r="AJ193" s="28" t="str">
        <f t="shared" si="4"/>
        <v>143910</v>
      </c>
      <c r="AK193" s="420">
        <v>1</v>
      </c>
      <c r="AL193" s="420">
        <f t="shared" si="5"/>
        <v>1</v>
      </c>
      <c r="AM193" s="420">
        <v>1</v>
      </c>
      <c r="AN193" t="s">
        <v>17650</v>
      </c>
      <c r="AO193" t="s">
        <v>17651</v>
      </c>
      <c r="AP193" t="s">
        <v>17652</v>
      </c>
      <c r="AQ193" t="s">
        <v>17653</v>
      </c>
      <c r="AR193" t="s">
        <v>1024</v>
      </c>
    </row>
    <row r="194" spans="1:44" x14ac:dyDescent="0.25">
      <c r="A194" t="s">
        <v>21137</v>
      </c>
      <c r="B194" t="s">
        <v>21138</v>
      </c>
      <c r="C194" s="410" t="s">
        <v>7221</v>
      </c>
      <c r="D194" t="s">
        <v>20326</v>
      </c>
      <c r="E194" t="s">
        <v>192</v>
      </c>
      <c r="F194" s="534">
        <v>1</v>
      </c>
      <c r="G194" t="s">
        <v>193</v>
      </c>
      <c r="H194" t="s">
        <v>194</v>
      </c>
      <c r="I194" t="s">
        <v>20338</v>
      </c>
      <c r="J194" t="s">
        <v>210</v>
      </c>
      <c r="K194" s="28" t="s">
        <v>9309</v>
      </c>
      <c r="L194" t="s">
        <v>6955</v>
      </c>
      <c r="N194" t="s">
        <v>21139</v>
      </c>
      <c r="O194" t="s">
        <v>6275</v>
      </c>
      <c r="P194" t="s">
        <v>20328</v>
      </c>
      <c r="Q194" t="s">
        <v>20329</v>
      </c>
      <c r="R194" t="s">
        <v>20306</v>
      </c>
      <c r="S194" t="s">
        <v>21140</v>
      </c>
      <c r="T194" t="s">
        <v>21141</v>
      </c>
      <c r="V194" s="28" t="s">
        <v>9334</v>
      </c>
      <c r="W194" t="s">
        <v>7224</v>
      </c>
      <c r="X194" t="s">
        <v>194</v>
      </c>
      <c r="Y194" s="28" t="s">
        <v>9300</v>
      </c>
      <c r="AB194" t="s">
        <v>9311</v>
      </c>
      <c r="AH194" t="s">
        <v>4714</v>
      </c>
      <c r="AI194" t="s">
        <v>21138</v>
      </c>
      <c r="AJ194" s="28" t="str">
        <f t="shared" si="4"/>
        <v>134903</v>
      </c>
      <c r="AK194" s="420">
        <v>1</v>
      </c>
      <c r="AL194" s="420">
        <f t="shared" si="5"/>
        <v>1</v>
      </c>
      <c r="AM194" s="420">
        <v>1</v>
      </c>
      <c r="AN194" t="s">
        <v>17650</v>
      </c>
      <c r="AO194" t="s">
        <v>17651</v>
      </c>
      <c r="AP194" t="s">
        <v>17652</v>
      </c>
      <c r="AQ194" t="s">
        <v>17653</v>
      </c>
      <c r="AR194" t="s">
        <v>1024</v>
      </c>
    </row>
    <row r="195" spans="1:44" x14ac:dyDescent="0.25">
      <c r="A195" t="s">
        <v>21137</v>
      </c>
      <c r="B195" t="s">
        <v>21142</v>
      </c>
      <c r="C195" s="410" t="s">
        <v>7221</v>
      </c>
      <c r="D195" t="s">
        <v>20326</v>
      </c>
      <c r="E195" t="s">
        <v>192</v>
      </c>
      <c r="F195" s="534">
        <v>1</v>
      </c>
      <c r="G195" t="s">
        <v>193</v>
      </c>
      <c r="H195" t="s">
        <v>194</v>
      </c>
      <c r="I195" t="s">
        <v>20333</v>
      </c>
      <c r="J195" t="s">
        <v>210</v>
      </c>
      <c r="K195" s="28" t="s">
        <v>9309</v>
      </c>
      <c r="L195" t="s">
        <v>6955</v>
      </c>
      <c r="N195" t="s">
        <v>21143</v>
      </c>
      <c r="O195" t="s">
        <v>6245</v>
      </c>
      <c r="P195" t="s">
        <v>20328</v>
      </c>
      <c r="Q195" t="s">
        <v>20329</v>
      </c>
      <c r="R195" t="s">
        <v>20306</v>
      </c>
      <c r="S195" t="s">
        <v>21144</v>
      </c>
      <c r="T195" t="s">
        <v>21145</v>
      </c>
      <c r="V195" s="28" t="s">
        <v>9334</v>
      </c>
      <c r="W195" t="s">
        <v>7224</v>
      </c>
      <c r="X195" t="s">
        <v>194</v>
      </c>
      <c r="Y195" s="28" t="s">
        <v>9300</v>
      </c>
      <c r="AB195" t="s">
        <v>9311</v>
      </c>
      <c r="AH195" t="s">
        <v>4714</v>
      </c>
      <c r="AI195" t="s">
        <v>21142</v>
      </c>
      <c r="AJ195" s="28" t="str">
        <f t="shared" ref="AJ195:AJ258" si="6">MID(W195,8,6)</f>
        <v>134903</v>
      </c>
      <c r="AK195" s="420">
        <v>1</v>
      </c>
      <c r="AL195" s="420">
        <f t="shared" ref="AL195:AL258" si="7">F195</f>
        <v>1</v>
      </c>
      <c r="AM195" s="420">
        <v>1</v>
      </c>
      <c r="AN195" t="s">
        <v>17650</v>
      </c>
      <c r="AO195" t="s">
        <v>17651</v>
      </c>
      <c r="AP195" t="s">
        <v>17652</v>
      </c>
      <c r="AQ195" t="s">
        <v>17653</v>
      </c>
      <c r="AR195" t="s">
        <v>1024</v>
      </c>
    </row>
    <row r="196" spans="1:44" x14ac:dyDescent="0.25">
      <c r="A196" t="s">
        <v>21137</v>
      </c>
      <c r="B196" t="s">
        <v>21146</v>
      </c>
      <c r="C196" s="410" t="s">
        <v>7221</v>
      </c>
      <c r="D196" t="s">
        <v>20326</v>
      </c>
      <c r="E196" t="s">
        <v>192</v>
      </c>
      <c r="F196" s="534">
        <v>1</v>
      </c>
      <c r="G196" t="s">
        <v>193</v>
      </c>
      <c r="H196" t="s">
        <v>194</v>
      </c>
      <c r="I196" t="s">
        <v>20338</v>
      </c>
      <c r="J196" t="s">
        <v>210</v>
      </c>
      <c r="K196" s="28" t="s">
        <v>9309</v>
      </c>
      <c r="L196" t="s">
        <v>6955</v>
      </c>
      <c r="N196" t="s">
        <v>21147</v>
      </c>
      <c r="O196" t="s">
        <v>6275</v>
      </c>
      <c r="P196" t="s">
        <v>20328</v>
      </c>
      <c r="Q196" t="s">
        <v>20329</v>
      </c>
      <c r="R196" t="s">
        <v>20306</v>
      </c>
      <c r="S196" t="s">
        <v>21148</v>
      </c>
      <c r="T196" t="s">
        <v>21149</v>
      </c>
      <c r="V196" s="28" t="s">
        <v>9334</v>
      </c>
      <c r="W196" t="s">
        <v>7224</v>
      </c>
      <c r="X196" t="s">
        <v>194</v>
      </c>
      <c r="Y196" s="28" t="s">
        <v>9300</v>
      </c>
      <c r="AB196" t="s">
        <v>9311</v>
      </c>
      <c r="AH196" t="s">
        <v>4714</v>
      </c>
      <c r="AI196" t="s">
        <v>21146</v>
      </c>
      <c r="AJ196" s="28" t="str">
        <f t="shared" si="6"/>
        <v>134903</v>
      </c>
      <c r="AK196" s="420">
        <v>1</v>
      </c>
      <c r="AL196" s="420">
        <f t="shared" si="7"/>
        <v>1</v>
      </c>
      <c r="AM196" s="420">
        <v>1</v>
      </c>
      <c r="AN196" t="s">
        <v>17650</v>
      </c>
      <c r="AO196" t="s">
        <v>17651</v>
      </c>
      <c r="AP196" t="s">
        <v>17652</v>
      </c>
      <c r="AQ196" t="s">
        <v>17653</v>
      </c>
      <c r="AR196" t="s">
        <v>1024</v>
      </c>
    </row>
    <row r="197" spans="1:44" x14ac:dyDescent="0.25">
      <c r="A197" t="s">
        <v>21137</v>
      </c>
      <c r="B197" t="s">
        <v>21150</v>
      </c>
      <c r="C197" s="410" t="s">
        <v>7221</v>
      </c>
      <c r="D197" t="s">
        <v>20338</v>
      </c>
      <c r="E197" t="s">
        <v>192</v>
      </c>
      <c r="F197" s="534">
        <v>1</v>
      </c>
      <c r="G197" t="s">
        <v>193</v>
      </c>
      <c r="H197" t="s">
        <v>194</v>
      </c>
      <c r="I197" t="s">
        <v>20307</v>
      </c>
      <c r="J197" t="s">
        <v>210</v>
      </c>
      <c r="K197" s="28" t="s">
        <v>9309</v>
      </c>
      <c r="L197" t="s">
        <v>6955</v>
      </c>
      <c r="N197" t="s">
        <v>21151</v>
      </c>
      <c r="O197" t="s">
        <v>6324</v>
      </c>
      <c r="P197" t="s">
        <v>20398</v>
      </c>
      <c r="Q197" t="s">
        <v>20399</v>
      </c>
      <c r="R197" t="s">
        <v>20400</v>
      </c>
      <c r="S197" t="s">
        <v>21152</v>
      </c>
      <c r="T197" t="s">
        <v>21153</v>
      </c>
      <c r="V197" s="28" t="s">
        <v>9334</v>
      </c>
      <c r="W197" t="s">
        <v>7224</v>
      </c>
      <c r="X197" t="s">
        <v>194</v>
      </c>
      <c r="Y197" s="28" t="s">
        <v>9300</v>
      </c>
      <c r="AB197" t="s">
        <v>9311</v>
      </c>
      <c r="AH197" t="s">
        <v>4714</v>
      </c>
      <c r="AI197" t="s">
        <v>21150</v>
      </c>
      <c r="AJ197" s="28" t="str">
        <f t="shared" si="6"/>
        <v>134903</v>
      </c>
      <c r="AK197" s="420">
        <v>1</v>
      </c>
      <c r="AL197" s="420">
        <f t="shared" si="7"/>
        <v>1</v>
      </c>
      <c r="AM197" s="420">
        <v>1</v>
      </c>
      <c r="AN197" t="s">
        <v>17650</v>
      </c>
      <c r="AO197" t="s">
        <v>17651</v>
      </c>
      <c r="AP197" t="s">
        <v>17652</v>
      </c>
      <c r="AQ197" t="s">
        <v>17653</v>
      </c>
      <c r="AR197" t="s">
        <v>1024</v>
      </c>
    </row>
    <row r="198" spans="1:44" x14ac:dyDescent="0.25">
      <c r="A198" t="s">
        <v>1040</v>
      </c>
      <c r="B198" t="s">
        <v>6117</v>
      </c>
      <c r="C198" s="410" t="s">
        <v>3359</v>
      </c>
      <c r="D198" t="s">
        <v>20317</v>
      </c>
      <c r="E198" t="s">
        <v>233</v>
      </c>
      <c r="F198" s="534">
        <v>1</v>
      </c>
      <c r="G198" t="s">
        <v>193</v>
      </c>
      <c r="H198" t="s">
        <v>194</v>
      </c>
      <c r="I198" t="s">
        <v>20360</v>
      </c>
      <c r="J198" t="s">
        <v>367</v>
      </c>
      <c r="K198" s="28" t="s">
        <v>9309</v>
      </c>
      <c r="L198" t="s">
        <v>6955</v>
      </c>
      <c r="N198" t="s">
        <v>21154</v>
      </c>
      <c r="O198" t="s">
        <v>6288</v>
      </c>
      <c r="P198" t="s">
        <v>20565</v>
      </c>
      <c r="Q198" t="s">
        <v>20566</v>
      </c>
      <c r="R198" t="s">
        <v>20567</v>
      </c>
      <c r="S198" t="s">
        <v>21155</v>
      </c>
      <c r="T198" t="s">
        <v>21156</v>
      </c>
      <c r="V198" s="28" t="s">
        <v>9974</v>
      </c>
      <c r="W198" t="s">
        <v>3361</v>
      </c>
      <c r="X198" t="s">
        <v>194</v>
      </c>
      <c r="Y198" s="28" t="s">
        <v>9300</v>
      </c>
      <c r="AB198" t="s">
        <v>9311</v>
      </c>
      <c r="AH198" t="s">
        <v>4714</v>
      </c>
      <c r="AI198" t="s">
        <v>6117</v>
      </c>
      <c r="AJ198" s="28" t="str">
        <f t="shared" si="6"/>
        <v>142005</v>
      </c>
      <c r="AK198" s="420">
        <v>1</v>
      </c>
      <c r="AL198" s="420">
        <f t="shared" si="7"/>
        <v>1</v>
      </c>
      <c r="AM198" s="420">
        <v>1</v>
      </c>
      <c r="AN198" t="s">
        <v>17650</v>
      </c>
      <c r="AO198" t="s">
        <v>17651</v>
      </c>
      <c r="AP198" t="s">
        <v>17652</v>
      </c>
      <c r="AQ198" t="s">
        <v>17653</v>
      </c>
      <c r="AR198" t="s">
        <v>1024</v>
      </c>
    </row>
    <row r="199" spans="1:44" x14ac:dyDescent="0.25">
      <c r="A199" t="s">
        <v>15269</v>
      </c>
      <c r="B199" t="s">
        <v>3359</v>
      </c>
      <c r="C199" s="410" t="s">
        <v>3359</v>
      </c>
      <c r="D199" t="s">
        <v>20306</v>
      </c>
      <c r="E199" t="s">
        <v>233</v>
      </c>
      <c r="F199" s="534">
        <v>1</v>
      </c>
      <c r="G199" t="s">
        <v>193</v>
      </c>
      <c r="H199" t="s">
        <v>194</v>
      </c>
      <c r="I199" t="s">
        <v>20322</v>
      </c>
      <c r="J199" t="s">
        <v>367</v>
      </c>
      <c r="K199" s="28" t="s">
        <v>9309</v>
      </c>
      <c r="L199" t="s">
        <v>6955</v>
      </c>
      <c r="N199" t="s">
        <v>21157</v>
      </c>
      <c r="O199" t="s">
        <v>6288</v>
      </c>
      <c r="P199" t="s">
        <v>20417</v>
      </c>
      <c r="Q199" t="s">
        <v>20405</v>
      </c>
      <c r="R199" t="s">
        <v>20418</v>
      </c>
      <c r="S199" t="s">
        <v>21158</v>
      </c>
      <c r="T199" t="s">
        <v>21159</v>
      </c>
      <c r="V199" s="28" t="s">
        <v>9974</v>
      </c>
      <c r="W199" t="s">
        <v>3361</v>
      </c>
      <c r="X199" t="s">
        <v>194</v>
      </c>
      <c r="Y199" s="28" t="s">
        <v>9300</v>
      </c>
      <c r="AB199" t="s">
        <v>9311</v>
      </c>
      <c r="AH199" t="s">
        <v>4714</v>
      </c>
      <c r="AI199" t="s">
        <v>3359</v>
      </c>
      <c r="AJ199" s="28" t="str">
        <f t="shared" si="6"/>
        <v>142005</v>
      </c>
      <c r="AK199" s="420">
        <v>1</v>
      </c>
      <c r="AL199" s="420">
        <f t="shared" si="7"/>
        <v>1</v>
      </c>
      <c r="AM199" s="420">
        <v>1</v>
      </c>
      <c r="AN199" t="s">
        <v>17650</v>
      </c>
      <c r="AO199" t="s">
        <v>17651</v>
      </c>
      <c r="AP199" t="s">
        <v>17652</v>
      </c>
      <c r="AQ199" t="s">
        <v>17653</v>
      </c>
      <c r="AR199" t="s">
        <v>1024</v>
      </c>
    </row>
    <row r="200" spans="1:44" x14ac:dyDescent="0.25">
      <c r="A200" t="s">
        <v>19265</v>
      </c>
      <c r="B200" t="s">
        <v>21160</v>
      </c>
      <c r="C200" s="410" t="s">
        <v>12</v>
      </c>
      <c r="D200" t="s">
        <v>20338</v>
      </c>
      <c r="E200" t="s">
        <v>233</v>
      </c>
      <c r="F200" s="534">
        <v>1</v>
      </c>
      <c r="G200" t="s">
        <v>193</v>
      </c>
      <c r="H200" t="s">
        <v>194</v>
      </c>
      <c r="I200" t="s">
        <v>20307</v>
      </c>
      <c r="J200" t="s">
        <v>9302</v>
      </c>
      <c r="K200" s="28" t="s">
        <v>9309</v>
      </c>
      <c r="L200" t="s">
        <v>6955</v>
      </c>
      <c r="N200" t="s">
        <v>21161</v>
      </c>
      <c r="O200" t="s">
        <v>6256</v>
      </c>
      <c r="P200" t="s">
        <v>20541</v>
      </c>
      <c r="Q200" t="s">
        <v>20389</v>
      </c>
      <c r="R200" t="s">
        <v>20542</v>
      </c>
      <c r="S200" t="s">
        <v>21162</v>
      </c>
      <c r="T200" t="s">
        <v>21163</v>
      </c>
      <c r="W200" t="s">
        <v>220</v>
      </c>
      <c r="X200" t="s">
        <v>193</v>
      </c>
      <c r="Y200" s="28" t="s">
        <v>9310</v>
      </c>
      <c r="AB200" t="s">
        <v>9311</v>
      </c>
      <c r="AH200" t="s">
        <v>4714</v>
      </c>
      <c r="AI200" t="s">
        <v>21160</v>
      </c>
      <c r="AJ200" s="28" t="str">
        <f t="shared" si="6"/>
        <v>132301</v>
      </c>
      <c r="AK200" s="420">
        <v>1</v>
      </c>
      <c r="AL200" s="420">
        <f t="shared" si="7"/>
        <v>1</v>
      </c>
      <c r="AM200" s="420">
        <v>1</v>
      </c>
      <c r="AN200" t="s">
        <v>17650</v>
      </c>
      <c r="AO200" t="s">
        <v>17651</v>
      </c>
      <c r="AP200" t="s">
        <v>17652</v>
      </c>
      <c r="AQ200" t="s">
        <v>17653</v>
      </c>
      <c r="AR200" t="s">
        <v>1024</v>
      </c>
    </row>
    <row r="201" spans="1:44" x14ac:dyDescent="0.25">
      <c r="A201" t="s">
        <v>21164</v>
      </c>
      <c r="B201" t="s">
        <v>21165</v>
      </c>
      <c r="C201" s="410" t="s">
        <v>12</v>
      </c>
      <c r="D201" t="s">
        <v>20338</v>
      </c>
      <c r="E201" t="s">
        <v>233</v>
      </c>
      <c r="F201" s="534">
        <v>1</v>
      </c>
      <c r="G201" t="s">
        <v>193</v>
      </c>
      <c r="H201" t="s">
        <v>194</v>
      </c>
      <c r="I201" t="s">
        <v>20307</v>
      </c>
      <c r="J201" t="s">
        <v>9302</v>
      </c>
      <c r="K201" s="28" t="s">
        <v>9309</v>
      </c>
      <c r="L201" t="s">
        <v>6955</v>
      </c>
      <c r="N201" t="s">
        <v>21166</v>
      </c>
      <c r="O201" t="s">
        <v>6256</v>
      </c>
      <c r="P201" t="s">
        <v>20541</v>
      </c>
      <c r="Q201" t="s">
        <v>20389</v>
      </c>
      <c r="R201" t="s">
        <v>20542</v>
      </c>
      <c r="S201" t="s">
        <v>21167</v>
      </c>
      <c r="T201" t="s">
        <v>21168</v>
      </c>
      <c r="W201" t="s">
        <v>220</v>
      </c>
      <c r="X201" t="s">
        <v>193</v>
      </c>
      <c r="Y201" s="28" t="s">
        <v>9310</v>
      </c>
      <c r="AB201" t="s">
        <v>9311</v>
      </c>
      <c r="AH201" t="s">
        <v>4714</v>
      </c>
      <c r="AI201" t="s">
        <v>21165</v>
      </c>
      <c r="AJ201" s="28" t="str">
        <f t="shared" si="6"/>
        <v>132301</v>
      </c>
      <c r="AK201" s="420">
        <v>1</v>
      </c>
      <c r="AL201" s="420">
        <f t="shared" si="7"/>
        <v>1</v>
      </c>
      <c r="AM201" s="420">
        <v>1</v>
      </c>
      <c r="AN201" t="s">
        <v>17650</v>
      </c>
      <c r="AO201" t="s">
        <v>17651</v>
      </c>
      <c r="AP201" t="s">
        <v>17652</v>
      </c>
      <c r="AQ201" t="s">
        <v>17653</v>
      </c>
      <c r="AR201" t="s">
        <v>1024</v>
      </c>
    </row>
    <row r="202" spans="1:44" x14ac:dyDescent="0.25">
      <c r="A202" t="s">
        <v>21169</v>
      </c>
      <c r="B202" t="s">
        <v>1488</v>
      </c>
      <c r="C202" s="410" t="s">
        <v>12</v>
      </c>
      <c r="D202" t="s">
        <v>20338</v>
      </c>
      <c r="E202" t="s">
        <v>192</v>
      </c>
      <c r="F202" s="534">
        <v>1</v>
      </c>
      <c r="G202" t="s">
        <v>193</v>
      </c>
      <c r="H202" t="s">
        <v>194</v>
      </c>
      <c r="I202" t="s">
        <v>20310</v>
      </c>
      <c r="J202" t="s">
        <v>9302</v>
      </c>
      <c r="K202" s="28" t="s">
        <v>9309</v>
      </c>
      <c r="L202" t="s">
        <v>6955</v>
      </c>
      <c r="N202" t="s">
        <v>21170</v>
      </c>
      <c r="O202" t="s">
        <v>6324</v>
      </c>
      <c r="P202" t="s">
        <v>20639</v>
      </c>
      <c r="Q202" t="s">
        <v>20399</v>
      </c>
      <c r="R202" t="s">
        <v>20400</v>
      </c>
      <c r="S202" t="s">
        <v>21171</v>
      </c>
      <c r="T202" t="s">
        <v>21172</v>
      </c>
      <c r="W202" t="s">
        <v>220</v>
      </c>
      <c r="X202" t="s">
        <v>193</v>
      </c>
      <c r="Y202" s="28" t="s">
        <v>9310</v>
      </c>
      <c r="AB202" t="s">
        <v>9311</v>
      </c>
      <c r="AH202" t="s">
        <v>4714</v>
      </c>
      <c r="AI202" t="s">
        <v>12</v>
      </c>
      <c r="AJ202" s="28" t="str">
        <f t="shared" si="6"/>
        <v>132301</v>
      </c>
      <c r="AK202" s="420">
        <v>1</v>
      </c>
      <c r="AL202" s="420">
        <f t="shared" si="7"/>
        <v>1</v>
      </c>
      <c r="AM202" s="420">
        <v>1</v>
      </c>
      <c r="AN202" t="s">
        <v>17650</v>
      </c>
      <c r="AO202" t="s">
        <v>17651</v>
      </c>
      <c r="AP202" t="s">
        <v>17652</v>
      </c>
      <c r="AQ202" t="s">
        <v>17653</v>
      </c>
      <c r="AR202" t="s">
        <v>1024</v>
      </c>
    </row>
    <row r="203" spans="1:44" x14ac:dyDescent="0.25">
      <c r="A203" t="s">
        <v>21173</v>
      </c>
      <c r="B203" t="s">
        <v>21174</v>
      </c>
      <c r="C203" s="410" t="s">
        <v>12</v>
      </c>
      <c r="D203" t="s">
        <v>20338</v>
      </c>
      <c r="E203" t="s">
        <v>192</v>
      </c>
      <c r="F203" s="534">
        <v>1</v>
      </c>
      <c r="G203" t="s">
        <v>193</v>
      </c>
      <c r="H203" t="s">
        <v>194</v>
      </c>
      <c r="I203" t="s">
        <v>20310</v>
      </c>
      <c r="J203" t="s">
        <v>210</v>
      </c>
      <c r="K203" s="28" t="s">
        <v>9309</v>
      </c>
      <c r="L203" t="s">
        <v>6955</v>
      </c>
      <c r="N203" t="s">
        <v>21175</v>
      </c>
      <c r="O203" t="s">
        <v>6286</v>
      </c>
      <c r="P203" t="s">
        <v>20398</v>
      </c>
      <c r="Q203" t="s">
        <v>20399</v>
      </c>
      <c r="R203" t="s">
        <v>20400</v>
      </c>
      <c r="S203" t="s">
        <v>21176</v>
      </c>
      <c r="T203" t="s">
        <v>21177</v>
      </c>
      <c r="V203" s="28" t="s">
        <v>9334</v>
      </c>
      <c r="W203" t="s">
        <v>220</v>
      </c>
      <c r="X203" t="s">
        <v>194</v>
      </c>
      <c r="Y203" s="28" t="s">
        <v>9300</v>
      </c>
      <c r="AB203" t="s">
        <v>9311</v>
      </c>
      <c r="AH203" t="s">
        <v>4714</v>
      </c>
      <c r="AI203" t="s">
        <v>21174</v>
      </c>
      <c r="AJ203" s="28" t="str">
        <f t="shared" si="6"/>
        <v>132301</v>
      </c>
      <c r="AK203" s="420">
        <v>1</v>
      </c>
      <c r="AL203" s="420">
        <f t="shared" si="7"/>
        <v>1</v>
      </c>
      <c r="AM203" s="420">
        <v>1</v>
      </c>
      <c r="AN203" t="s">
        <v>17650</v>
      </c>
      <c r="AO203" t="s">
        <v>17651</v>
      </c>
      <c r="AP203" t="s">
        <v>17652</v>
      </c>
      <c r="AQ203" t="s">
        <v>17653</v>
      </c>
      <c r="AR203" t="s">
        <v>1024</v>
      </c>
    </row>
    <row r="204" spans="1:44" x14ac:dyDescent="0.25">
      <c r="A204" t="s">
        <v>7457</v>
      </c>
      <c r="B204" t="s">
        <v>1488</v>
      </c>
      <c r="C204" s="410" t="s">
        <v>12</v>
      </c>
      <c r="D204" t="s">
        <v>20306</v>
      </c>
      <c r="E204" t="s">
        <v>233</v>
      </c>
      <c r="F204" s="534">
        <v>1</v>
      </c>
      <c r="G204" t="s">
        <v>193</v>
      </c>
      <c r="H204" t="s">
        <v>194</v>
      </c>
      <c r="I204" t="s">
        <v>20441</v>
      </c>
      <c r="J204" t="s">
        <v>385</v>
      </c>
      <c r="K204" s="28" t="s">
        <v>9309</v>
      </c>
      <c r="L204" t="s">
        <v>6955</v>
      </c>
      <c r="N204" t="s">
        <v>21178</v>
      </c>
      <c r="O204" t="s">
        <v>6256</v>
      </c>
      <c r="P204" t="s">
        <v>20367</v>
      </c>
      <c r="Q204" t="s">
        <v>20338</v>
      </c>
      <c r="R204" t="s">
        <v>20307</v>
      </c>
      <c r="S204" t="s">
        <v>21179</v>
      </c>
      <c r="T204" t="s">
        <v>21180</v>
      </c>
      <c r="V204" s="28" t="s">
        <v>9410</v>
      </c>
      <c r="W204" t="s">
        <v>220</v>
      </c>
      <c r="X204" t="s">
        <v>194</v>
      </c>
      <c r="Y204" s="28" t="s">
        <v>9300</v>
      </c>
      <c r="AB204" t="s">
        <v>9311</v>
      </c>
      <c r="AH204" t="s">
        <v>4714</v>
      </c>
      <c r="AI204" t="s">
        <v>12</v>
      </c>
      <c r="AJ204" s="28" t="str">
        <f t="shared" si="6"/>
        <v>132301</v>
      </c>
      <c r="AK204" s="420">
        <v>1</v>
      </c>
      <c r="AL204" s="420">
        <f t="shared" si="7"/>
        <v>1</v>
      </c>
      <c r="AM204" s="420">
        <v>1</v>
      </c>
      <c r="AN204" t="s">
        <v>17650</v>
      </c>
      <c r="AO204" t="s">
        <v>17651</v>
      </c>
      <c r="AP204" t="s">
        <v>17652</v>
      </c>
      <c r="AQ204" t="s">
        <v>17653</v>
      </c>
      <c r="AR204" t="s">
        <v>1024</v>
      </c>
    </row>
    <row r="205" spans="1:44" x14ac:dyDescent="0.25">
      <c r="A205" t="s">
        <v>13870</v>
      </c>
      <c r="B205" t="s">
        <v>15953</v>
      </c>
      <c r="C205" s="410" t="s">
        <v>12</v>
      </c>
      <c r="D205" t="s">
        <v>20306</v>
      </c>
      <c r="E205" t="s">
        <v>233</v>
      </c>
      <c r="F205" s="534">
        <v>1</v>
      </c>
      <c r="G205" t="s">
        <v>193</v>
      </c>
      <c r="H205" t="s">
        <v>194</v>
      </c>
      <c r="I205" t="s">
        <v>20307</v>
      </c>
      <c r="J205" t="s">
        <v>9302</v>
      </c>
      <c r="K205" s="28" t="s">
        <v>9309</v>
      </c>
      <c r="L205" t="s">
        <v>6955</v>
      </c>
      <c r="N205" t="s">
        <v>21181</v>
      </c>
      <c r="O205" t="s">
        <v>6256</v>
      </c>
      <c r="P205" t="s">
        <v>20417</v>
      </c>
      <c r="Q205" t="s">
        <v>20405</v>
      </c>
      <c r="R205" t="s">
        <v>20418</v>
      </c>
      <c r="S205" t="s">
        <v>21182</v>
      </c>
      <c r="T205" t="s">
        <v>21183</v>
      </c>
      <c r="W205" t="s">
        <v>220</v>
      </c>
      <c r="X205" t="s">
        <v>193</v>
      </c>
      <c r="Y205" s="28" t="s">
        <v>9310</v>
      </c>
      <c r="AB205" t="s">
        <v>9311</v>
      </c>
      <c r="AH205" t="s">
        <v>4714</v>
      </c>
      <c r="AI205" t="s">
        <v>15953</v>
      </c>
      <c r="AJ205" s="28" t="str">
        <f t="shared" si="6"/>
        <v>132301</v>
      </c>
      <c r="AK205" s="420">
        <v>1</v>
      </c>
      <c r="AL205" s="420">
        <f t="shared" si="7"/>
        <v>1</v>
      </c>
      <c r="AM205" s="420">
        <v>1</v>
      </c>
      <c r="AN205" t="s">
        <v>17650</v>
      </c>
      <c r="AO205" t="s">
        <v>17651</v>
      </c>
      <c r="AP205" t="s">
        <v>17652</v>
      </c>
      <c r="AQ205" t="s">
        <v>17653</v>
      </c>
      <c r="AR205" t="s">
        <v>1024</v>
      </c>
    </row>
    <row r="206" spans="1:44" x14ac:dyDescent="0.25">
      <c r="A206" t="s">
        <v>21184</v>
      </c>
      <c r="B206" t="s">
        <v>12</v>
      </c>
      <c r="C206" s="410" t="s">
        <v>12</v>
      </c>
      <c r="D206" t="s">
        <v>20306</v>
      </c>
      <c r="E206" t="s">
        <v>233</v>
      </c>
      <c r="F206" s="534">
        <v>1</v>
      </c>
      <c r="G206" t="s">
        <v>193</v>
      </c>
      <c r="H206" t="s">
        <v>194</v>
      </c>
      <c r="I206" t="s">
        <v>20441</v>
      </c>
      <c r="J206" t="s">
        <v>9302</v>
      </c>
      <c r="K206" s="28" t="s">
        <v>9309</v>
      </c>
      <c r="L206" t="s">
        <v>6955</v>
      </c>
      <c r="N206" t="s">
        <v>21185</v>
      </c>
      <c r="O206" t="s">
        <v>6256</v>
      </c>
      <c r="P206" t="s">
        <v>20417</v>
      </c>
      <c r="Q206" t="s">
        <v>20405</v>
      </c>
      <c r="R206" t="s">
        <v>20418</v>
      </c>
      <c r="S206" t="s">
        <v>21186</v>
      </c>
      <c r="T206" t="s">
        <v>21187</v>
      </c>
      <c r="W206" t="s">
        <v>220</v>
      </c>
      <c r="X206" t="s">
        <v>193</v>
      </c>
      <c r="Y206" s="28" t="s">
        <v>9310</v>
      </c>
      <c r="AB206" t="s">
        <v>9311</v>
      </c>
      <c r="AH206" t="s">
        <v>4714</v>
      </c>
      <c r="AI206" t="s">
        <v>12</v>
      </c>
      <c r="AJ206" s="28" t="str">
        <f t="shared" si="6"/>
        <v>132301</v>
      </c>
      <c r="AK206" s="420">
        <v>1</v>
      </c>
      <c r="AL206" s="420">
        <f t="shared" si="7"/>
        <v>1</v>
      </c>
      <c r="AM206" s="420">
        <v>1</v>
      </c>
      <c r="AN206" t="s">
        <v>17650</v>
      </c>
      <c r="AO206" t="s">
        <v>17651</v>
      </c>
      <c r="AP206" t="s">
        <v>17652</v>
      </c>
      <c r="AQ206" t="s">
        <v>17653</v>
      </c>
      <c r="AR206" t="s">
        <v>1024</v>
      </c>
    </row>
    <row r="207" spans="1:44" x14ac:dyDescent="0.25">
      <c r="A207" t="s">
        <v>21188</v>
      </c>
      <c r="B207" t="s">
        <v>6194</v>
      </c>
      <c r="C207" s="410" t="s">
        <v>12</v>
      </c>
      <c r="D207" t="s">
        <v>20306</v>
      </c>
      <c r="E207" t="s">
        <v>192</v>
      </c>
      <c r="F207" s="534">
        <v>1</v>
      </c>
      <c r="G207" t="s">
        <v>193</v>
      </c>
      <c r="H207" t="s">
        <v>194</v>
      </c>
      <c r="I207" t="s">
        <v>20441</v>
      </c>
      <c r="J207" t="s">
        <v>9302</v>
      </c>
      <c r="K207" s="28" t="s">
        <v>9309</v>
      </c>
      <c r="L207" t="s">
        <v>6955</v>
      </c>
      <c r="N207" t="s">
        <v>21189</v>
      </c>
      <c r="O207" t="s">
        <v>6324</v>
      </c>
      <c r="P207" t="s">
        <v>20309</v>
      </c>
      <c r="Q207" t="s">
        <v>20310</v>
      </c>
      <c r="R207" t="s">
        <v>20311</v>
      </c>
      <c r="S207" t="s">
        <v>21190</v>
      </c>
      <c r="T207" t="s">
        <v>21191</v>
      </c>
      <c r="W207" t="s">
        <v>220</v>
      </c>
      <c r="X207" t="s">
        <v>193</v>
      </c>
      <c r="Y207" s="28" t="s">
        <v>9310</v>
      </c>
      <c r="AB207" t="s">
        <v>9311</v>
      </c>
      <c r="AH207" t="s">
        <v>4714</v>
      </c>
      <c r="AI207" t="s">
        <v>6194</v>
      </c>
      <c r="AJ207" s="28" t="str">
        <f t="shared" si="6"/>
        <v>132301</v>
      </c>
      <c r="AK207" s="420">
        <v>1</v>
      </c>
      <c r="AL207" s="420">
        <f t="shared" si="7"/>
        <v>1</v>
      </c>
      <c r="AM207" s="420">
        <v>1</v>
      </c>
      <c r="AN207" t="s">
        <v>17650</v>
      </c>
      <c r="AO207" t="s">
        <v>17651</v>
      </c>
      <c r="AP207" t="s">
        <v>17652</v>
      </c>
      <c r="AQ207" t="s">
        <v>17653</v>
      </c>
      <c r="AR207" t="s">
        <v>1024</v>
      </c>
    </row>
    <row r="208" spans="1:44" x14ac:dyDescent="0.25">
      <c r="A208" t="s">
        <v>21192</v>
      </c>
      <c r="B208" t="s">
        <v>21193</v>
      </c>
      <c r="C208" s="410" t="s">
        <v>12</v>
      </c>
      <c r="D208" t="s">
        <v>20306</v>
      </c>
      <c r="E208" t="s">
        <v>192</v>
      </c>
      <c r="F208" s="534">
        <v>1</v>
      </c>
      <c r="G208" t="s">
        <v>193</v>
      </c>
      <c r="H208" t="s">
        <v>194</v>
      </c>
      <c r="I208" t="s">
        <v>20307</v>
      </c>
      <c r="J208" t="s">
        <v>9302</v>
      </c>
      <c r="K208" s="28" t="s">
        <v>9309</v>
      </c>
      <c r="L208" t="s">
        <v>6955</v>
      </c>
      <c r="N208" t="s">
        <v>21194</v>
      </c>
      <c r="O208" t="s">
        <v>6245</v>
      </c>
      <c r="P208" t="s">
        <v>20309</v>
      </c>
      <c r="Q208" t="s">
        <v>20310</v>
      </c>
      <c r="R208" t="s">
        <v>20311</v>
      </c>
      <c r="S208" t="s">
        <v>21195</v>
      </c>
      <c r="T208" t="s">
        <v>21196</v>
      </c>
      <c r="W208" t="s">
        <v>220</v>
      </c>
      <c r="X208" t="s">
        <v>193</v>
      </c>
      <c r="Y208" s="28" t="s">
        <v>9310</v>
      </c>
      <c r="AB208" t="s">
        <v>9311</v>
      </c>
      <c r="AH208" t="s">
        <v>4714</v>
      </c>
      <c r="AI208" t="s">
        <v>21193</v>
      </c>
      <c r="AJ208" s="28" t="str">
        <f t="shared" si="6"/>
        <v>132301</v>
      </c>
      <c r="AK208" s="420">
        <v>1</v>
      </c>
      <c r="AL208" s="420">
        <f t="shared" si="7"/>
        <v>1</v>
      </c>
      <c r="AM208" s="420">
        <v>1</v>
      </c>
      <c r="AN208" t="s">
        <v>17650</v>
      </c>
      <c r="AO208" t="s">
        <v>17651</v>
      </c>
      <c r="AP208" t="s">
        <v>17652</v>
      </c>
      <c r="AQ208" t="s">
        <v>17653</v>
      </c>
      <c r="AR208" t="s">
        <v>1024</v>
      </c>
    </row>
    <row r="209" spans="1:44" x14ac:dyDescent="0.25">
      <c r="A209" t="s">
        <v>21197</v>
      </c>
      <c r="B209" t="s">
        <v>21198</v>
      </c>
      <c r="C209" s="410" t="s">
        <v>12</v>
      </c>
      <c r="D209" t="s">
        <v>20306</v>
      </c>
      <c r="E209" t="s">
        <v>192</v>
      </c>
      <c r="F209" s="534">
        <v>1</v>
      </c>
      <c r="G209" t="s">
        <v>193</v>
      </c>
      <c r="H209" t="s">
        <v>194</v>
      </c>
      <c r="I209" t="s">
        <v>20441</v>
      </c>
      <c r="J209" t="s">
        <v>323</v>
      </c>
      <c r="K209" s="28" t="s">
        <v>9309</v>
      </c>
      <c r="L209" t="s">
        <v>6955</v>
      </c>
      <c r="N209" t="s">
        <v>21199</v>
      </c>
      <c r="O209" t="s">
        <v>6324</v>
      </c>
      <c r="P209" t="s">
        <v>20309</v>
      </c>
      <c r="Q209" t="s">
        <v>20310</v>
      </c>
      <c r="R209" t="s">
        <v>20311</v>
      </c>
      <c r="S209" t="s">
        <v>21200</v>
      </c>
      <c r="T209" t="s">
        <v>21201</v>
      </c>
      <c r="V209" s="28" t="s">
        <v>9514</v>
      </c>
      <c r="W209" t="s">
        <v>220</v>
      </c>
      <c r="X209" t="s">
        <v>194</v>
      </c>
      <c r="Y209" s="28" t="s">
        <v>9300</v>
      </c>
      <c r="AB209" t="s">
        <v>9311</v>
      </c>
      <c r="AH209" t="s">
        <v>4714</v>
      </c>
      <c r="AI209" t="s">
        <v>21198</v>
      </c>
      <c r="AJ209" s="28" t="str">
        <f t="shared" si="6"/>
        <v>132301</v>
      </c>
      <c r="AK209" s="420">
        <v>1</v>
      </c>
      <c r="AL209" s="420">
        <f t="shared" si="7"/>
        <v>1</v>
      </c>
      <c r="AM209" s="420">
        <v>1</v>
      </c>
      <c r="AN209" t="s">
        <v>17650</v>
      </c>
      <c r="AO209" t="s">
        <v>17651</v>
      </c>
      <c r="AP209" t="s">
        <v>17652</v>
      </c>
      <c r="AQ209" t="s">
        <v>17653</v>
      </c>
      <c r="AR209" t="s">
        <v>1024</v>
      </c>
    </row>
    <row r="210" spans="1:44" x14ac:dyDescent="0.25">
      <c r="A210" t="s">
        <v>20885</v>
      </c>
      <c r="B210" t="s">
        <v>21202</v>
      </c>
      <c r="C210" s="410" t="s">
        <v>12</v>
      </c>
      <c r="D210" t="s">
        <v>20306</v>
      </c>
      <c r="E210" t="s">
        <v>192</v>
      </c>
      <c r="F210" s="534">
        <v>1</v>
      </c>
      <c r="G210" t="s">
        <v>193</v>
      </c>
      <c r="H210" t="s">
        <v>194</v>
      </c>
      <c r="I210" t="s">
        <v>20307</v>
      </c>
      <c r="J210" t="s">
        <v>210</v>
      </c>
      <c r="K210" s="28" t="s">
        <v>9309</v>
      </c>
      <c r="L210" t="s">
        <v>6955</v>
      </c>
      <c r="N210" t="s">
        <v>21203</v>
      </c>
      <c r="O210" t="s">
        <v>6324</v>
      </c>
      <c r="P210" t="s">
        <v>20309</v>
      </c>
      <c r="Q210" t="s">
        <v>20310</v>
      </c>
      <c r="R210" t="s">
        <v>20311</v>
      </c>
      <c r="S210" t="s">
        <v>21204</v>
      </c>
      <c r="T210" t="s">
        <v>21205</v>
      </c>
      <c r="V210" s="28" t="s">
        <v>9334</v>
      </c>
      <c r="W210" t="s">
        <v>220</v>
      </c>
      <c r="X210" t="s">
        <v>194</v>
      </c>
      <c r="Y210" s="28" t="s">
        <v>9300</v>
      </c>
      <c r="AB210" t="s">
        <v>9311</v>
      </c>
      <c r="AH210" t="s">
        <v>4714</v>
      </c>
      <c r="AI210" t="s">
        <v>21202</v>
      </c>
      <c r="AJ210" s="28" t="str">
        <f t="shared" si="6"/>
        <v>132301</v>
      </c>
      <c r="AK210" s="420">
        <v>1</v>
      </c>
      <c r="AL210" s="420">
        <f t="shared" si="7"/>
        <v>1</v>
      </c>
      <c r="AM210" s="420">
        <v>1</v>
      </c>
      <c r="AN210" t="s">
        <v>17650</v>
      </c>
      <c r="AO210" t="s">
        <v>17651</v>
      </c>
      <c r="AP210" t="s">
        <v>17652</v>
      </c>
      <c r="AQ210" t="s">
        <v>17653</v>
      </c>
      <c r="AR210" t="s">
        <v>1024</v>
      </c>
    </row>
    <row r="211" spans="1:44" x14ac:dyDescent="0.25">
      <c r="A211" t="s">
        <v>16419</v>
      </c>
      <c r="B211" t="s">
        <v>21206</v>
      </c>
      <c r="C211" s="410" t="s">
        <v>266</v>
      </c>
      <c r="D211" t="s">
        <v>20317</v>
      </c>
      <c r="E211" t="s">
        <v>192</v>
      </c>
      <c r="F211" s="534">
        <v>1</v>
      </c>
      <c r="G211" t="s">
        <v>193</v>
      </c>
      <c r="H211" t="s">
        <v>194</v>
      </c>
      <c r="I211" t="s">
        <v>20318</v>
      </c>
      <c r="J211" t="s">
        <v>9302</v>
      </c>
      <c r="K211" s="28" t="s">
        <v>9309</v>
      </c>
      <c r="L211" t="s">
        <v>6955</v>
      </c>
      <c r="N211" t="s">
        <v>21207</v>
      </c>
      <c r="O211" t="s">
        <v>6251</v>
      </c>
      <c r="P211" t="s">
        <v>20320</v>
      </c>
      <c r="Q211" t="s">
        <v>20321</v>
      </c>
      <c r="R211" t="s">
        <v>20322</v>
      </c>
      <c r="S211" t="s">
        <v>21208</v>
      </c>
      <c r="T211" t="s">
        <v>21209</v>
      </c>
      <c r="W211" t="s">
        <v>268</v>
      </c>
      <c r="X211" t="s">
        <v>193</v>
      </c>
      <c r="Y211" s="28" t="s">
        <v>9310</v>
      </c>
      <c r="AB211" t="s">
        <v>9311</v>
      </c>
      <c r="AH211" t="s">
        <v>4714</v>
      </c>
      <c r="AI211" t="s">
        <v>21206</v>
      </c>
      <c r="AJ211" s="28" t="str">
        <f t="shared" si="6"/>
        <v>143905</v>
      </c>
      <c r="AK211" s="420">
        <v>1</v>
      </c>
      <c r="AL211" s="420">
        <f t="shared" si="7"/>
        <v>1</v>
      </c>
      <c r="AM211" s="420">
        <v>1</v>
      </c>
      <c r="AN211" t="s">
        <v>17650</v>
      </c>
      <c r="AO211" t="s">
        <v>17651</v>
      </c>
      <c r="AP211" t="s">
        <v>17652</v>
      </c>
      <c r="AQ211" t="s">
        <v>17653</v>
      </c>
      <c r="AR211" t="s">
        <v>1024</v>
      </c>
    </row>
    <row r="212" spans="1:44" x14ac:dyDescent="0.25">
      <c r="A212" t="s">
        <v>6154</v>
      </c>
      <c r="B212" t="s">
        <v>21210</v>
      </c>
      <c r="C212" s="410" t="s">
        <v>266</v>
      </c>
      <c r="D212" t="s">
        <v>20306</v>
      </c>
      <c r="E212" t="s">
        <v>192</v>
      </c>
      <c r="F212" s="534">
        <v>1</v>
      </c>
      <c r="G212" t="s">
        <v>193</v>
      </c>
      <c r="H212" t="s">
        <v>194</v>
      </c>
      <c r="I212" t="s">
        <v>20441</v>
      </c>
      <c r="J212" t="s">
        <v>9302</v>
      </c>
      <c r="K212" s="28" t="s">
        <v>9309</v>
      </c>
      <c r="L212" t="s">
        <v>6955</v>
      </c>
      <c r="N212" t="s">
        <v>21211</v>
      </c>
      <c r="O212" t="s">
        <v>6254</v>
      </c>
      <c r="P212" t="s">
        <v>20309</v>
      </c>
      <c r="Q212" t="s">
        <v>20310</v>
      </c>
      <c r="R212" t="s">
        <v>20311</v>
      </c>
      <c r="S212" t="s">
        <v>21212</v>
      </c>
      <c r="T212" t="s">
        <v>21213</v>
      </c>
      <c r="W212" t="s">
        <v>268</v>
      </c>
      <c r="X212" t="s">
        <v>193</v>
      </c>
      <c r="Y212" s="28" t="s">
        <v>9310</v>
      </c>
      <c r="AB212" t="s">
        <v>9311</v>
      </c>
      <c r="AH212" t="s">
        <v>4714</v>
      </c>
      <c r="AI212" t="s">
        <v>21210</v>
      </c>
      <c r="AJ212" s="28" t="str">
        <f t="shared" si="6"/>
        <v>143905</v>
      </c>
      <c r="AK212" s="420">
        <v>1</v>
      </c>
      <c r="AL212" s="420">
        <f t="shared" si="7"/>
        <v>1</v>
      </c>
      <c r="AM212" s="420">
        <v>1</v>
      </c>
      <c r="AN212" t="s">
        <v>17650</v>
      </c>
      <c r="AO212" t="s">
        <v>17651</v>
      </c>
      <c r="AP212" t="s">
        <v>17652</v>
      </c>
      <c r="AQ212" t="s">
        <v>17653</v>
      </c>
      <c r="AR212" t="s">
        <v>1024</v>
      </c>
    </row>
    <row r="213" spans="1:44" x14ac:dyDescent="0.25">
      <c r="A213" t="s">
        <v>16419</v>
      </c>
      <c r="B213" t="s">
        <v>21214</v>
      </c>
      <c r="C213" s="410" t="s">
        <v>266</v>
      </c>
      <c r="D213" t="s">
        <v>20306</v>
      </c>
      <c r="E213" t="s">
        <v>192</v>
      </c>
      <c r="F213" s="534">
        <v>1</v>
      </c>
      <c r="G213" t="s">
        <v>193</v>
      </c>
      <c r="H213" t="s">
        <v>194</v>
      </c>
      <c r="I213" t="s">
        <v>20307</v>
      </c>
      <c r="J213" t="s">
        <v>9302</v>
      </c>
      <c r="K213" s="28" t="s">
        <v>9309</v>
      </c>
      <c r="L213" t="s">
        <v>6955</v>
      </c>
      <c r="N213" t="s">
        <v>21215</v>
      </c>
      <c r="O213" t="s">
        <v>6251</v>
      </c>
      <c r="P213" t="s">
        <v>20309</v>
      </c>
      <c r="Q213" t="s">
        <v>20310</v>
      </c>
      <c r="R213" t="s">
        <v>20311</v>
      </c>
      <c r="S213" t="s">
        <v>21216</v>
      </c>
      <c r="T213" t="s">
        <v>21217</v>
      </c>
      <c r="W213" t="s">
        <v>268</v>
      </c>
      <c r="X213" t="s">
        <v>193</v>
      </c>
      <c r="Y213" s="28" t="s">
        <v>9310</v>
      </c>
      <c r="AB213" t="s">
        <v>9311</v>
      </c>
      <c r="AH213" t="s">
        <v>4714</v>
      </c>
      <c r="AI213" t="s">
        <v>21214</v>
      </c>
      <c r="AJ213" s="28" t="str">
        <f t="shared" si="6"/>
        <v>143905</v>
      </c>
      <c r="AK213" s="420">
        <v>1</v>
      </c>
      <c r="AL213" s="420">
        <f t="shared" si="7"/>
        <v>1</v>
      </c>
      <c r="AM213" s="420">
        <v>1</v>
      </c>
      <c r="AN213" t="s">
        <v>17650</v>
      </c>
      <c r="AO213" t="s">
        <v>17651</v>
      </c>
      <c r="AP213" t="s">
        <v>17652</v>
      </c>
      <c r="AQ213" t="s">
        <v>17653</v>
      </c>
      <c r="AR213" t="s">
        <v>1024</v>
      </c>
    </row>
    <row r="214" spans="1:44" x14ac:dyDescent="0.25">
      <c r="A214" t="s">
        <v>6422</v>
      </c>
      <c r="B214" t="s">
        <v>21218</v>
      </c>
      <c r="C214" s="410" t="s">
        <v>3654</v>
      </c>
      <c r="D214" t="s">
        <v>20326</v>
      </c>
      <c r="E214" t="s">
        <v>192</v>
      </c>
      <c r="F214" s="534">
        <v>1</v>
      </c>
      <c r="G214" t="s">
        <v>193</v>
      </c>
      <c r="H214" t="s">
        <v>194</v>
      </c>
      <c r="I214" t="s">
        <v>20333</v>
      </c>
      <c r="J214" t="s">
        <v>9302</v>
      </c>
      <c r="K214" s="28" t="s">
        <v>9309</v>
      </c>
      <c r="L214" t="s">
        <v>6955</v>
      </c>
      <c r="N214" t="s">
        <v>21219</v>
      </c>
      <c r="O214" t="s">
        <v>6302</v>
      </c>
      <c r="P214" t="s">
        <v>20328</v>
      </c>
      <c r="Q214" t="s">
        <v>20329</v>
      </c>
      <c r="R214" t="s">
        <v>20306</v>
      </c>
      <c r="S214" t="s">
        <v>21220</v>
      </c>
      <c r="T214" t="s">
        <v>21221</v>
      </c>
      <c r="W214" t="s">
        <v>3655</v>
      </c>
      <c r="X214" t="s">
        <v>193</v>
      </c>
      <c r="Y214" s="28" t="s">
        <v>9310</v>
      </c>
      <c r="AB214" t="s">
        <v>9311</v>
      </c>
      <c r="AH214" t="s">
        <v>4714</v>
      </c>
      <c r="AI214" t="s">
        <v>21218</v>
      </c>
      <c r="AJ214" s="28" t="str">
        <f t="shared" si="6"/>
        <v>122101</v>
      </c>
      <c r="AK214" s="420">
        <v>1</v>
      </c>
      <c r="AL214" s="420">
        <f t="shared" si="7"/>
        <v>1</v>
      </c>
      <c r="AM214" s="420">
        <v>1</v>
      </c>
      <c r="AN214" t="s">
        <v>17650</v>
      </c>
      <c r="AO214" t="s">
        <v>17651</v>
      </c>
      <c r="AP214" t="s">
        <v>17652</v>
      </c>
      <c r="AQ214" t="s">
        <v>17653</v>
      </c>
      <c r="AR214" t="s">
        <v>1024</v>
      </c>
    </row>
    <row r="215" spans="1:44" x14ac:dyDescent="0.25">
      <c r="A215" t="s">
        <v>19917</v>
      </c>
      <c r="B215" t="s">
        <v>21222</v>
      </c>
      <c r="C215" s="410" t="s">
        <v>3654</v>
      </c>
      <c r="D215" t="s">
        <v>20326</v>
      </c>
      <c r="E215" t="s">
        <v>192</v>
      </c>
      <c r="F215" s="534">
        <v>1</v>
      </c>
      <c r="G215" t="s">
        <v>193</v>
      </c>
      <c r="H215" t="s">
        <v>194</v>
      </c>
      <c r="I215" t="s">
        <v>20333</v>
      </c>
      <c r="J215" t="s">
        <v>210</v>
      </c>
      <c r="K215" s="28" t="s">
        <v>9309</v>
      </c>
      <c r="L215" t="s">
        <v>6955</v>
      </c>
      <c r="N215" t="s">
        <v>21223</v>
      </c>
      <c r="O215" t="s">
        <v>6245</v>
      </c>
      <c r="P215" t="s">
        <v>20328</v>
      </c>
      <c r="Q215" t="s">
        <v>20329</v>
      </c>
      <c r="R215" t="s">
        <v>20306</v>
      </c>
      <c r="S215" t="s">
        <v>21224</v>
      </c>
      <c r="T215" t="s">
        <v>21225</v>
      </c>
      <c r="V215" s="28" t="s">
        <v>9334</v>
      </c>
      <c r="W215" t="s">
        <v>3655</v>
      </c>
      <c r="X215" t="s">
        <v>194</v>
      </c>
      <c r="Y215" s="28" t="s">
        <v>9300</v>
      </c>
      <c r="AB215" t="s">
        <v>9311</v>
      </c>
      <c r="AH215" t="s">
        <v>4714</v>
      </c>
      <c r="AI215" t="s">
        <v>21222</v>
      </c>
      <c r="AJ215" s="28" t="str">
        <f t="shared" si="6"/>
        <v>122101</v>
      </c>
      <c r="AK215" s="420">
        <v>1</v>
      </c>
      <c r="AL215" s="420">
        <f t="shared" si="7"/>
        <v>1</v>
      </c>
      <c r="AM215" s="420">
        <v>1</v>
      </c>
      <c r="AN215" t="s">
        <v>17650</v>
      </c>
      <c r="AO215" t="s">
        <v>17651</v>
      </c>
      <c r="AP215" t="s">
        <v>17652</v>
      </c>
      <c r="AQ215" t="s">
        <v>17653</v>
      </c>
      <c r="AR215" t="s">
        <v>1024</v>
      </c>
    </row>
    <row r="216" spans="1:44" x14ac:dyDescent="0.25">
      <c r="A216" t="s">
        <v>21226</v>
      </c>
      <c r="B216" t="s">
        <v>21227</v>
      </c>
      <c r="C216" s="410" t="s">
        <v>3654</v>
      </c>
      <c r="D216" t="s">
        <v>20306</v>
      </c>
      <c r="E216" t="s">
        <v>192</v>
      </c>
      <c r="F216" s="534">
        <v>1</v>
      </c>
      <c r="G216" t="s">
        <v>193</v>
      </c>
      <c r="H216" t="s">
        <v>194</v>
      </c>
      <c r="I216" t="s">
        <v>20307</v>
      </c>
      <c r="J216" t="s">
        <v>9302</v>
      </c>
      <c r="K216" s="28" t="s">
        <v>9309</v>
      </c>
      <c r="L216" t="s">
        <v>6955</v>
      </c>
      <c r="N216" t="s">
        <v>21228</v>
      </c>
      <c r="O216" t="s">
        <v>6249</v>
      </c>
      <c r="P216" t="s">
        <v>20309</v>
      </c>
      <c r="Q216" t="s">
        <v>20310</v>
      </c>
      <c r="R216" t="s">
        <v>21229</v>
      </c>
      <c r="S216" t="s">
        <v>21230</v>
      </c>
      <c r="T216" t="s">
        <v>21231</v>
      </c>
      <c r="W216" t="s">
        <v>3655</v>
      </c>
      <c r="X216" t="s">
        <v>193</v>
      </c>
      <c r="Y216" s="28" t="s">
        <v>9310</v>
      </c>
      <c r="AB216" t="s">
        <v>9311</v>
      </c>
      <c r="AH216" t="s">
        <v>4714</v>
      </c>
      <c r="AI216" t="s">
        <v>21227</v>
      </c>
      <c r="AJ216" s="28" t="str">
        <f t="shared" si="6"/>
        <v>122101</v>
      </c>
      <c r="AK216" s="420">
        <v>1</v>
      </c>
      <c r="AL216" s="420">
        <f t="shared" si="7"/>
        <v>1</v>
      </c>
      <c r="AM216" s="420">
        <v>1</v>
      </c>
      <c r="AN216" t="s">
        <v>17650</v>
      </c>
      <c r="AO216" t="s">
        <v>17651</v>
      </c>
      <c r="AP216" t="s">
        <v>17652</v>
      </c>
      <c r="AQ216" t="s">
        <v>17653</v>
      </c>
      <c r="AR216" t="s">
        <v>1024</v>
      </c>
    </row>
    <row r="217" spans="1:44" x14ac:dyDescent="0.25">
      <c r="A217" t="s">
        <v>9136</v>
      </c>
      <c r="B217" t="s">
        <v>21232</v>
      </c>
      <c r="C217" s="410" t="s">
        <v>14131</v>
      </c>
      <c r="D217" t="s">
        <v>20326</v>
      </c>
      <c r="E217" t="s">
        <v>192</v>
      </c>
      <c r="F217" s="534">
        <v>1</v>
      </c>
      <c r="G217" t="s">
        <v>193</v>
      </c>
      <c r="H217" t="s">
        <v>194</v>
      </c>
      <c r="I217" t="s">
        <v>20333</v>
      </c>
      <c r="J217" t="s">
        <v>210</v>
      </c>
      <c r="K217" s="28" t="s">
        <v>9309</v>
      </c>
      <c r="L217" t="s">
        <v>6955</v>
      </c>
      <c r="N217" t="s">
        <v>21233</v>
      </c>
      <c r="O217" t="s">
        <v>6295</v>
      </c>
      <c r="P217" t="s">
        <v>20328</v>
      </c>
      <c r="Q217" t="s">
        <v>20329</v>
      </c>
      <c r="R217" t="s">
        <v>20306</v>
      </c>
      <c r="S217" t="s">
        <v>21234</v>
      </c>
      <c r="T217" t="s">
        <v>21235</v>
      </c>
      <c r="V217" s="28" t="s">
        <v>9334</v>
      </c>
      <c r="W217" t="s">
        <v>14135</v>
      </c>
      <c r="X217" t="s">
        <v>194</v>
      </c>
      <c r="Y217" s="28" t="s">
        <v>9300</v>
      </c>
      <c r="AB217" t="s">
        <v>9311</v>
      </c>
      <c r="AH217" t="s">
        <v>4714</v>
      </c>
      <c r="AI217" t="s">
        <v>21232</v>
      </c>
      <c r="AJ217" s="28" t="str">
        <f t="shared" si="6"/>
        <v>122104</v>
      </c>
      <c r="AK217" s="420">
        <v>1</v>
      </c>
      <c r="AL217" s="420">
        <f t="shared" si="7"/>
        <v>1</v>
      </c>
      <c r="AM217" s="420">
        <v>1</v>
      </c>
      <c r="AN217" t="s">
        <v>17650</v>
      </c>
      <c r="AO217" t="s">
        <v>17651</v>
      </c>
      <c r="AP217" t="s">
        <v>17652</v>
      </c>
      <c r="AQ217" t="s">
        <v>17653</v>
      </c>
      <c r="AR217" t="s">
        <v>1024</v>
      </c>
    </row>
    <row r="218" spans="1:44" x14ac:dyDescent="0.25">
      <c r="A218" t="s">
        <v>21236</v>
      </c>
      <c r="B218" t="s">
        <v>21237</v>
      </c>
      <c r="C218" s="410" t="s">
        <v>14131</v>
      </c>
      <c r="D218" t="s">
        <v>20317</v>
      </c>
      <c r="E218" t="s">
        <v>192</v>
      </c>
      <c r="F218" s="534">
        <v>1</v>
      </c>
      <c r="G218" t="s">
        <v>193</v>
      </c>
      <c r="H218" t="s">
        <v>194</v>
      </c>
      <c r="I218" t="s">
        <v>20333</v>
      </c>
      <c r="J218" t="s">
        <v>9302</v>
      </c>
      <c r="K218" s="28" t="s">
        <v>9309</v>
      </c>
      <c r="L218" t="s">
        <v>6955</v>
      </c>
      <c r="N218" t="s">
        <v>21238</v>
      </c>
      <c r="O218" t="s">
        <v>6302</v>
      </c>
      <c r="P218" t="s">
        <v>20320</v>
      </c>
      <c r="Q218" t="s">
        <v>20321</v>
      </c>
      <c r="R218" t="s">
        <v>20322</v>
      </c>
      <c r="S218" t="s">
        <v>21239</v>
      </c>
      <c r="T218" t="s">
        <v>21240</v>
      </c>
      <c r="W218" t="s">
        <v>14135</v>
      </c>
      <c r="X218" t="s">
        <v>193</v>
      </c>
      <c r="Y218" s="28" t="s">
        <v>9310</v>
      </c>
      <c r="AB218" t="s">
        <v>9311</v>
      </c>
      <c r="AH218" t="s">
        <v>4714</v>
      </c>
      <c r="AI218" t="s">
        <v>21237</v>
      </c>
      <c r="AJ218" s="28" t="str">
        <f t="shared" si="6"/>
        <v>122104</v>
      </c>
      <c r="AK218" s="420">
        <v>1</v>
      </c>
      <c r="AL218" s="420">
        <f t="shared" si="7"/>
        <v>1</v>
      </c>
      <c r="AM218" s="420">
        <v>1</v>
      </c>
      <c r="AN218" t="s">
        <v>17650</v>
      </c>
      <c r="AO218" t="s">
        <v>17651</v>
      </c>
      <c r="AP218" t="s">
        <v>17652</v>
      </c>
      <c r="AQ218" t="s">
        <v>17653</v>
      </c>
      <c r="AR218" t="s">
        <v>1024</v>
      </c>
    </row>
    <row r="219" spans="1:44" x14ac:dyDescent="0.25">
      <c r="A219" t="s">
        <v>18568</v>
      </c>
      <c r="B219" t="s">
        <v>21241</v>
      </c>
      <c r="C219" s="410" t="s">
        <v>3210</v>
      </c>
      <c r="D219" t="s">
        <v>20317</v>
      </c>
      <c r="E219" t="s">
        <v>192</v>
      </c>
      <c r="F219" s="534">
        <v>1</v>
      </c>
      <c r="G219" t="s">
        <v>193</v>
      </c>
      <c r="H219" t="s">
        <v>194</v>
      </c>
      <c r="I219" t="s">
        <v>20405</v>
      </c>
      <c r="J219" t="s">
        <v>9302</v>
      </c>
      <c r="K219" s="28" t="s">
        <v>9309</v>
      </c>
      <c r="L219" t="s">
        <v>6955</v>
      </c>
      <c r="N219" t="s">
        <v>21242</v>
      </c>
      <c r="O219" t="s">
        <v>7531</v>
      </c>
      <c r="P219" t="s">
        <v>20871</v>
      </c>
      <c r="Q219" t="s">
        <v>4849</v>
      </c>
      <c r="R219" t="s">
        <v>7703</v>
      </c>
      <c r="S219" t="s">
        <v>21243</v>
      </c>
      <c r="T219" t="s">
        <v>21244</v>
      </c>
      <c r="W219" t="s">
        <v>16656</v>
      </c>
      <c r="X219" t="s">
        <v>193</v>
      </c>
      <c r="Y219" s="28" t="s">
        <v>9310</v>
      </c>
      <c r="AB219" t="s">
        <v>9311</v>
      </c>
      <c r="AH219" t="s">
        <v>4714</v>
      </c>
      <c r="AI219" t="s">
        <v>21241</v>
      </c>
      <c r="AJ219" s="28" t="str">
        <f t="shared" si="6"/>
        <v>122301</v>
      </c>
      <c r="AK219" s="420">
        <v>1</v>
      </c>
      <c r="AL219" s="420">
        <f t="shared" si="7"/>
        <v>1</v>
      </c>
      <c r="AM219" s="420">
        <v>1</v>
      </c>
      <c r="AN219" t="s">
        <v>17650</v>
      </c>
      <c r="AO219" t="s">
        <v>17651</v>
      </c>
      <c r="AP219" t="s">
        <v>17652</v>
      </c>
      <c r="AQ219" t="s">
        <v>17653</v>
      </c>
      <c r="AR219" t="s">
        <v>1024</v>
      </c>
    </row>
    <row r="220" spans="1:44" x14ac:dyDescent="0.25">
      <c r="A220" t="s">
        <v>16146</v>
      </c>
      <c r="B220" t="s">
        <v>21245</v>
      </c>
      <c r="C220" s="410" t="s">
        <v>95</v>
      </c>
      <c r="D220" t="s">
        <v>20326</v>
      </c>
      <c r="E220" t="s">
        <v>192</v>
      </c>
      <c r="F220" s="534">
        <v>1</v>
      </c>
      <c r="G220" t="s">
        <v>193</v>
      </c>
      <c r="H220" t="s">
        <v>194</v>
      </c>
      <c r="I220" t="s">
        <v>20318</v>
      </c>
      <c r="J220" t="s">
        <v>5098</v>
      </c>
      <c r="K220" s="28" t="s">
        <v>9309</v>
      </c>
      <c r="L220" t="s">
        <v>6955</v>
      </c>
      <c r="N220" t="s">
        <v>21246</v>
      </c>
      <c r="O220" t="s">
        <v>6261</v>
      </c>
      <c r="P220" t="s">
        <v>20328</v>
      </c>
      <c r="Q220" t="s">
        <v>20329</v>
      </c>
      <c r="R220" t="s">
        <v>20306</v>
      </c>
      <c r="S220" t="s">
        <v>21247</v>
      </c>
      <c r="T220" t="s">
        <v>21248</v>
      </c>
      <c r="V220" s="28" t="s">
        <v>9786</v>
      </c>
      <c r="W220" t="s">
        <v>1015</v>
      </c>
      <c r="X220" t="s">
        <v>194</v>
      </c>
      <c r="Y220" s="28" t="s">
        <v>9300</v>
      </c>
      <c r="AB220" t="s">
        <v>9311</v>
      </c>
      <c r="AH220" t="s">
        <v>4714</v>
      </c>
      <c r="AI220" t="s">
        <v>21245</v>
      </c>
      <c r="AJ220" s="28" t="str">
        <f t="shared" si="6"/>
        <v>122102</v>
      </c>
      <c r="AK220" s="420">
        <v>1</v>
      </c>
      <c r="AL220" s="420">
        <f t="shared" si="7"/>
        <v>1</v>
      </c>
      <c r="AM220" s="420">
        <v>1</v>
      </c>
      <c r="AN220" t="s">
        <v>17650</v>
      </c>
      <c r="AO220" t="s">
        <v>17651</v>
      </c>
      <c r="AP220" t="s">
        <v>17652</v>
      </c>
      <c r="AQ220" t="s">
        <v>17653</v>
      </c>
      <c r="AR220" t="s">
        <v>1024</v>
      </c>
    </row>
    <row r="221" spans="1:44" x14ac:dyDescent="0.25">
      <c r="A221" t="s">
        <v>1647</v>
      </c>
      <c r="B221" t="s">
        <v>1014</v>
      </c>
      <c r="C221" s="410" t="s">
        <v>95</v>
      </c>
      <c r="D221" t="s">
        <v>20338</v>
      </c>
      <c r="E221" t="s">
        <v>233</v>
      </c>
      <c r="F221" s="534">
        <v>1</v>
      </c>
      <c r="G221" t="s">
        <v>193</v>
      </c>
      <c r="H221" t="s">
        <v>194</v>
      </c>
      <c r="I221" t="s">
        <v>20405</v>
      </c>
      <c r="J221" t="s">
        <v>9302</v>
      </c>
      <c r="K221" s="28" t="s">
        <v>9309</v>
      </c>
      <c r="L221" t="s">
        <v>6955</v>
      </c>
      <c r="N221" t="s">
        <v>21249</v>
      </c>
      <c r="O221" t="s">
        <v>6254</v>
      </c>
      <c r="P221" t="s">
        <v>20541</v>
      </c>
      <c r="Q221" t="s">
        <v>20389</v>
      </c>
      <c r="R221" t="s">
        <v>20542</v>
      </c>
      <c r="S221" t="s">
        <v>21250</v>
      </c>
      <c r="T221" t="s">
        <v>21251</v>
      </c>
      <c r="W221" t="s">
        <v>1015</v>
      </c>
      <c r="X221" t="s">
        <v>193</v>
      </c>
      <c r="Y221" s="28" t="s">
        <v>9310</v>
      </c>
      <c r="AB221" t="s">
        <v>9311</v>
      </c>
      <c r="AH221" t="s">
        <v>4714</v>
      </c>
      <c r="AI221" t="s">
        <v>1014</v>
      </c>
      <c r="AJ221" s="28" t="str">
        <f t="shared" si="6"/>
        <v>122102</v>
      </c>
      <c r="AK221" s="420">
        <v>1</v>
      </c>
      <c r="AL221" s="420">
        <f t="shared" si="7"/>
        <v>1</v>
      </c>
      <c r="AM221" s="420">
        <v>1</v>
      </c>
      <c r="AN221" t="s">
        <v>17650</v>
      </c>
      <c r="AO221" t="s">
        <v>17651</v>
      </c>
      <c r="AP221" t="s">
        <v>17652</v>
      </c>
      <c r="AQ221" t="s">
        <v>17653</v>
      </c>
      <c r="AR221" t="s">
        <v>1024</v>
      </c>
    </row>
    <row r="222" spans="1:44" x14ac:dyDescent="0.25">
      <c r="A222" t="s">
        <v>11524</v>
      </c>
      <c r="B222" t="s">
        <v>21252</v>
      </c>
      <c r="C222" s="410" t="s">
        <v>3367</v>
      </c>
      <c r="D222" t="s">
        <v>20317</v>
      </c>
      <c r="E222" t="s">
        <v>192</v>
      </c>
      <c r="F222" s="534">
        <v>1</v>
      </c>
      <c r="G222" t="s">
        <v>193</v>
      </c>
      <c r="H222" t="s">
        <v>194</v>
      </c>
      <c r="I222" t="s">
        <v>20389</v>
      </c>
      <c r="J222" t="s">
        <v>9302</v>
      </c>
      <c r="K222" s="28" t="s">
        <v>9309</v>
      </c>
      <c r="L222" t="s">
        <v>6955</v>
      </c>
      <c r="N222" t="s">
        <v>21253</v>
      </c>
      <c r="O222" t="s">
        <v>6921</v>
      </c>
      <c r="P222" t="s">
        <v>20320</v>
      </c>
      <c r="Q222" t="s">
        <v>20321</v>
      </c>
      <c r="R222" t="s">
        <v>20322</v>
      </c>
      <c r="S222" t="s">
        <v>21254</v>
      </c>
      <c r="T222" t="s">
        <v>21255</v>
      </c>
      <c r="W222" t="s">
        <v>3368</v>
      </c>
      <c r="X222" t="s">
        <v>193</v>
      </c>
      <c r="Y222" s="28" t="s">
        <v>9310</v>
      </c>
      <c r="AB222" t="s">
        <v>9311</v>
      </c>
      <c r="AH222" t="s">
        <v>4714</v>
      </c>
      <c r="AI222" t="s">
        <v>21252</v>
      </c>
      <c r="AJ222" s="28" t="str">
        <f t="shared" si="6"/>
        <v>133001</v>
      </c>
      <c r="AK222" s="420">
        <v>1</v>
      </c>
      <c r="AL222" s="420">
        <f t="shared" si="7"/>
        <v>1</v>
      </c>
      <c r="AM222" s="420">
        <v>1</v>
      </c>
      <c r="AN222" t="s">
        <v>17650</v>
      </c>
      <c r="AO222" t="s">
        <v>17651</v>
      </c>
      <c r="AP222" t="s">
        <v>17652</v>
      </c>
      <c r="AQ222" t="s">
        <v>17653</v>
      </c>
      <c r="AR222" t="s">
        <v>1024</v>
      </c>
    </row>
    <row r="223" spans="1:44" x14ac:dyDescent="0.25">
      <c r="A223" t="s">
        <v>18529</v>
      </c>
      <c r="B223" t="s">
        <v>1322</v>
      </c>
      <c r="C223" s="410" t="s">
        <v>3367</v>
      </c>
      <c r="D223" t="s">
        <v>20317</v>
      </c>
      <c r="E223" t="s">
        <v>192</v>
      </c>
      <c r="F223" s="534">
        <v>1</v>
      </c>
      <c r="G223" t="s">
        <v>193</v>
      </c>
      <c r="H223" t="s">
        <v>194</v>
      </c>
      <c r="I223" t="s">
        <v>20318</v>
      </c>
      <c r="J223" t="s">
        <v>9302</v>
      </c>
      <c r="K223" s="28" t="s">
        <v>9309</v>
      </c>
      <c r="L223" t="s">
        <v>6955</v>
      </c>
      <c r="N223" t="s">
        <v>21256</v>
      </c>
      <c r="O223" t="s">
        <v>6261</v>
      </c>
      <c r="P223" t="s">
        <v>20320</v>
      </c>
      <c r="Q223" t="s">
        <v>20321</v>
      </c>
      <c r="R223" t="s">
        <v>20542</v>
      </c>
      <c r="S223" t="s">
        <v>21257</v>
      </c>
      <c r="T223" t="s">
        <v>21258</v>
      </c>
      <c r="W223" t="s">
        <v>3368</v>
      </c>
      <c r="X223" t="s">
        <v>193</v>
      </c>
      <c r="Y223" s="28" t="s">
        <v>9310</v>
      </c>
      <c r="AB223" t="s">
        <v>9311</v>
      </c>
      <c r="AH223" t="s">
        <v>4714</v>
      </c>
      <c r="AI223" t="s">
        <v>1322</v>
      </c>
      <c r="AJ223" s="28" t="str">
        <f t="shared" si="6"/>
        <v>133001</v>
      </c>
      <c r="AK223" s="420">
        <v>1</v>
      </c>
      <c r="AL223" s="420">
        <f t="shared" si="7"/>
        <v>1</v>
      </c>
      <c r="AM223" s="420">
        <v>1</v>
      </c>
      <c r="AN223" t="s">
        <v>17650</v>
      </c>
      <c r="AO223" t="s">
        <v>17651</v>
      </c>
      <c r="AP223" t="s">
        <v>17652</v>
      </c>
      <c r="AQ223" t="s">
        <v>17653</v>
      </c>
      <c r="AR223" t="s">
        <v>1024</v>
      </c>
    </row>
    <row r="224" spans="1:44" x14ac:dyDescent="0.25">
      <c r="A224" t="s">
        <v>19399</v>
      </c>
      <c r="B224" t="s">
        <v>21259</v>
      </c>
      <c r="C224" s="410" t="s">
        <v>3367</v>
      </c>
      <c r="D224" t="s">
        <v>20317</v>
      </c>
      <c r="E224" t="s">
        <v>192</v>
      </c>
      <c r="F224" s="534">
        <v>1</v>
      </c>
      <c r="G224" t="s">
        <v>193</v>
      </c>
      <c r="H224" t="s">
        <v>194</v>
      </c>
      <c r="I224" t="s">
        <v>20318</v>
      </c>
      <c r="J224" t="s">
        <v>367</v>
      </c>
      <c r="K224" s="28" t="s">
        <v>9309</v>
      </c>
      <c r="L224" t="s">
        <v>6955</v>
      </c>
      <c r="N224" t="s">
        <v>21260</v>
      </c>
      <c r="O224" t="s">
        <v>6921</v>
      </c>
      <c r="P224" t="s">
        <v>20320</v>
      </c>
      <c r="Q224" t="s">
        <v>20321</v>
      </c>
      <c r="R224" t="s">
        <v>20322</v>
      </c>
      <c r="S224" t="s">
        <v>21261</v>
      </c>
      <c r="T224" t="s">
        <v>21262</v>
      </c>
      <c r="V224" s="28" t="s">
        <v>9974</v>
      </c>
      <c r="W224" t="s">
        <v>3368</v>
      </c>
      <c r="X224" t="s">
        <v>194</v>
      </c>
      <c r="Y224" s="28" t="s">
        <v>9300</v>
      </c>
      <c r="AB224" t="s">
        <v>9311</v>
      </c>
      <c r="AH224" t="s">
        <v>4714</v>
      </c>
      <c r="AI224" t="s">
        <v>21259</v>
      </c>
      <c r="AJ224" s="28" t="str">
        <f t="shared" si="6"/>
        <v>133001</v>
      </c>
      <c r="AK224" s="420">
        <v>1</v>
      </c>
      <c r="AL224" s="420">
        <f t="shared" si="7"/>
        <v>1</v>
      </c>
      <c r="AM224" s="420">
        <v>1</v>
      </c>
      <c r="AN224" t="s">
        <v>17650</v>
      </c>
      <c r="AO224" t="s">
        <v>17651</v>
      </c>
      <c r="AP224" t="s">
        <v>17652</v>
      </c>
      <c r="AQ224" t="s">
        <v>17653</v>
      </c>
      <c r="AR224" t="s">
        <v>1024</v>
      </c>
    </row>
    <row r="225" spans="1:44" x14ac:dyDescent="0.25">
      <c r="A225" t="s">
        <v>1748</v>
      </c>
      <c r="B225" t="s">
        <v>21263</v>
      </c>
      <c r="C225" s="410" t="s">
        <v>3367</v>
      </c>
      <c r="D225" t="s">
        <v>20338</v>
      </c>
      <c r="E225" t="s">
        <v>192</v>
      </c>
      <c r="F225" s="534">
        <v>1</v>
      </c>
      <c r="G225" t="s">
        <v>193</v>
      </c>
      <c r="H225" t="s">
        <v>194</v>
      </c>
      <c r="I225" t="s">
        <v>20483</v>
      </c>
      <c r="J225" t="s">
        <v>210</v>
      </c>
      <c r="K225" s="28" t="s">
        <v>9309</v>
      </c>
      <c r="L225" t="s">
        <v>6955</v>
      </c>
      <c r="N225" t="s">
        <v>21264</v>
      </c>
      <c r="O225" t="s">
        <v>6921</v>
      </c>
      <c r="P225" t="s">
        <v>20398</v>
      </c>
      <c r="Q225" t="s">
        <v>20399</v>
      </c>
      <c r="R225" t="s">
        <v>20400</v>
      </c>
      <c r="S225" t="s">
        <v>21265</v>
      </c>
      <c r="T225" t="s">
        <v>21266</v>
      </c>
      <c r="V225" s="28" t="s">
        <v>9334</v>
      </c>
      <c r="W225" t="s">
        <v>3368</v>
      </c>
      <c r="X225" t="s">
        <v>194</v>
      </c>
      <c r="Y225" s="28" t="s">
        <v>9300</v>
      </c>
      <c r="AB225" t="s">
        <v>9311</v>
      </c>
      <c r="AH225" t="s">
        <v>4714</v>
      </c>
      <c r="AI225" t="s">
        <v>21263</v>
      </c>
      <c r="AJ225" s="28" t="str">
        <f t="shared" si="6"/>
        <v>133001</v>
      </c>
      <c r="AK225" s="420">
        <v>1</v>
      </c>
      <c r="AL225" s="420">
        <f t="shared" si="7"/>
        <v>1</v>
      </c>
      <c r="AM225" s="420">
        <v>1</v>
      </c>
      <c r="AN225" t="s">
        <v>17650</v>
      </c>
      <c r="AO225" t="s">
        <v>17651</v>
      </c>
      <c r="AP225" t="s">
        <v>17652</v>
      </c>
      <c r="AQ225" t="s">
        <v>17653</v>
      </c>
      <c r="AR225" t="s">
        <v>1024</v>
      </c>
    </row>
    <row r="226" spans="1:44" x14ac:dyDescent="0.25">
      <c r="A226" t="s">
        <v>4416</v>
      </c>
      <c r="B226" t="s">
        <v>4952</v>
      </c>
      <c r="C226" s="410" t="s">
        <v>1136</v>
      </c>
      <c r="D226" t="s">
        <v>20326</v>
      </c>
      <c r="E226" t="s">
        <v>192</v>
      </c>
      <c r="F226" s="534">
        <v>1</v>
      </c>
      <c r="G226" t="s">
        <v>193</v>
      </c>
      <c r="H226" t="s">
        <v>194</v>
      </c>
      <c r="I226" t="s">
        <v>20333</v>
      </c>
      <c r="J226" t="s">
        <v>316</v>
      </c>
      <c r="K226" s="28" t="s">
        <v>9309</v>
      </c>
      <c r="L226" t="s">
        <v>6955</v>
      </c>
      <c r="N226" t="s">
        <v>21267</v>
      </c>
      <c r="O226" t="s">
        <v>6340</v>
      </c>
      <c r="P226" t="s">
        <v>20328</v>
      </c>
      <c r="Q226" t="s">
        <v>20329</v>
      </c>
      <c r="R226" t="s">
        <v>20306</v>
      </c>
      <c r="S226" t="s">
        <v>21268</v>
      </c>
      <c r="T226" t="s">
        <v>21269</v>
      </c>
      <c r="V226" s="28" t="s">
        <v>10012</v>
      </c>
      <c r="W226" t="s">
        <v>1137</v>
      </c>
      <c r="X226" t="s">
        <v>194</v>
      </c>
      <c r="Y226" s="28" t="s">
        <v>9300</v>
      </c>
      <c r="AB226" t="s">
        <v>9311</v>
      </c>
      <c r="AH226" t="s">
        <v>4714</v>
      </c>
      <c r="AI226" t="s">
        <v>4952</v>
      </c>
      <c r="AJ226" s="28" t="str">
        <f t="shared" si="6"/>
        <v>121201</v>
      </c>
      <c r="AK226" s="420">
        <v>1</v>
      </c>
      <c r="AL226" s="420">
        <f t="shared" si="7"/>
        <v>1</v>
      </c>
      <c r="AM226" s="420">
        <v>1</v>
      </c>
      <c r="AN226" t="s">
        <v>17650</v>
      </c>
      <c r="AO226" t="s">
        <v>17651</v>
      </c>
      <c r="AP226" t="s">
        <v>17652</v>
      </c>
      <c r="AQ226" t="s">
        <v>17653</v>
      </c>
      <c r="AR226" t="s">
        <v>1024</v>
      </c>
    </row>
    <row r="227" spans="1:44" x14ac:dyDescent="0.25">
      <c r="A227" t="s">
        <v>16278</v>
      </c>
      <c r="B227" t="s">
        <v>21270</v>
      </c>
      <c r="C227" s="410" t="s">
        <v>1649</v>
      </c>
      <c r="D227" t="s">
        <v>20326</v>
      </c>
      <c r="E227" t="s">
        <v>192</v>
      </c>
      <c r="F227" s="534">
        <v>1</v>
      </c>
      <c r="G227" t="s">
        <v>193</v>
      </c>
      <c r="H227" t="s">
        <v>194</v>
      </c>
      <c r="I227" t="s">
        <v>20318</v>
      </c>
      <c r="J227" t="s">
        <v>9302</v>
      </c>
      <c r="K227" s="28" t="s">
        <v>9309</v>
      </c>
      <c r="L227" t="s">
        <v>6955</v>
      </c>
      <c r="N227" t="s">
        <v>21271</v>
      </c>
      <c r="O227" t="s">
        <v>7531</v>
      </c>
      <c r="P227" t="s">
        <v>20328</v>
      </c>
      <c r="Q227" t="s">
        <v>20329</v>
      </c>
      <c r="R227" t="s">
        <v>20306</v>
      </c>
      <c r="S227" t="s">
        <v>21272</v>
      </c>
      <c r="T227" t="s">
        <v>21273</v>
      </c>
      <c r="W227" t="s">
        <v>1650</v>
      </c>
      <c r="X227" t="s">
        <v>193</v>
      </c>
      <c r="Y227" s="28" t="s">
        <v>9310</v>
      </c>
      <c r="AB227" t="s">
        <v>9311</v>
      </c>
      <c r="AH227" t="s">
        <v>4714</v>
      </c>
      <c r="AI227" t="s">
        <v>21270</v>
      </c>
      <c r="AJ227" s="28" t="str">
        <f t="shared" si="6"/>
        <v>134603</v>
      </c>
      <c r="AK227" s="420">
        <v>1</v>
      </c>
      <c r="AL227" s="420">
        <f t="shared" si="7"/>
        <v>1</v>
      </c>
      <c r="AM227" s="420">
        <v>1</v>
      </c>
      <c r="AN227" t="s">
        <v>17650</v>
      </c>
      <c r="AO227" t="s">
        <v>17651</v>
      </c>
      <c r="AP227" t="s">
        <v>17652</v>
      </c>
      <c r="AQ227" t="s">
        <v>17653</v>
      </c>
      <c r="AR227" t="s">
        <v>1024</v>
      </c>
    </row>
    <row r="228" spans="1:44" x14ac:dyDescent="0.25">
      <c r="A228" t="s">
        <v>16278</v>
      </c>
      <c r="B228" t="s">
        <v>21274</v>
      </c>
      <c r="C228" s="410" t="s">
        <v>1649</v>
      </c>
      <c r="D228" t="s">
        <v>20326</v>
      </c>
      <c r="E228" t="s">
        <v>192</v>
      </c>
      <c r="F228" s="534">
        <v>1</v>
      </c>
      <c r="G228" t="s">
        <v>193</v>
      </c>
      <c r="H228" t="s">
        <v>194</v>
      </c>
      <c r="I228" t="s">
        <v>20333</v>
      </c>
      <c r="J228" t="s">
        <v>9302</v>
      </c>
      <c r="K228" s="28" t="s">
        <v>9309</v>
      </c>
      <c r="L228" t="s">
        <v>6955</v>
      </c>
      <c r="N228" t="s">
        <v>21275</v>
      </c>
      <c r="O228" t="s">
        <v>7531</v>
      </c>
      <c r="P228" t="s">
        <v>20328</v>
      </c>
      <c r="Q228" t="s">
        <v>20329</v>
      </c>
      <c r="R228" t="s">
        <v>20306</v>
      </c>
      <c r="S228" t="s">
        <v>21276</v>
      </c>
      <c r="T228" t="s">
        <v>21277</v>
      </c>
      <c r="W228" t="s">
        <v>1650</v>
      </c>
      <c r="X228" t="s">
        <v>193</v>
      </c>
      <c r="Y228" s="28" t="s">
        <v>9310</v>
      </c>
      <c r="AB228" t="s">
        <v>9311</v>
      </c>
      <c r="AH228" t="s">
        <v>4714</v>
      </c>
      <c r="AI228" t="s">
        <v>21274</v>
      </c>
      <c r="AJ228" s="28" t="str">
        <f t="shared" si="6"/>
        <v>134603</v>
      </c>
      <c r="AK228" s="420">
        <v>1</v>
      </c>
      <c r="AL228" s="420">
        <f t="shared" si="7"/>
        <v>1</v>
      </c>
      <c r="AM228" s="420">
        <v>1</v>
      </c>
      <c r="AN228" t="s">
        <v>17650</v>
      </c>
      <c r="AO228" t="s">
        <v>17651</v>
      </c>
      <c r="AP228" t="s">
        <v>17652</v>
      </c>
      <c r="AQ228" t="s">
        <v>17653</v>
      </c>
      <c r="AR228" t="s">
        <v>1024</v>
      </c>
    </row>
    <row r="229" spans="1:44" x14ac:dyDescent="0.25">
      <c r="A229" t="s">
        <v>1376</v>
      </c>
      <c r="B229" t="s">
        <v>21278</v>
      </c>
      <c r="C229" s="410" t="s">
        <v>1649</v>
      </c>
      <c r="D229" t="s">
        <v>20317</v>
      </c>
      <c r="E229" t="s">
        <v>192</v>
      </c>
      <c r="F229" s="534">
        <v>1</v>
      </c>
      <c r="G229" t="s">
        <v>193</v>
      </c>
      <c r="H229" t="s">
        <v>194</v>
      </c>
      <c r="I229" t="s">
        <v>20338</v>
      </c>
      <c r="J229" t="s">
        <v>2819</v>
      </c>
      <c r="K229" s="28" t="s">
        <v>9309</v>
      </c>
      <c r="L229" t="s">
        <v>6955</v>
      </c>
      <c r="N229" t="s">
        <v>21279</v>
      </c>
      <c r="O229" t="s">
        <v>6266</v>
      </c>
      <c r="P229" t="s">
        <v>20320</v>
      </c>
      <c r="Q229" t="s">
        <v>20321</v>
      </c>
      <c r="R229" t="s">
        <v>20322</v>
      </c>
      <c r="S229" t="s">
        <v>21280</v>
      </c>
      <c r="T229" t="s">
        <v>21281</v>
      </c>
      <c r="V229" s="28" t="s">
        <v>9786</v>
      </c>
      <c r="W229" t="s">
        <v>1650</v>
      </c>
      <c r="X229" t="s">
        <v>194</v>
      </c>
      <c r="Y229" s="28" t="s">
        <v>9300</v>
      </c>
      <c r="AB229" t="s">
        <v>9311</v>
      </c>
      <c r="AH229" t="s">
        <v>4714</v>
      </c>
      <c r="AI229" t="s">
        <v>21278</v>
      </c>
      <c r="AJ229" s="28" t="str">
        <f t="shared" si="6"/>
        <v>134603</v>
      </c>
      <c r="AK229" s="420">
        <v>1</v>
      </c>
      <c r="AL229" s="420">
        <f t="shared" si="7"/>
        <v>1</v>
      </c>
      <c r="AM229" s="420">
        <v>1</v>
      </c>
      <c r="AN229" t="s">
        <v>17650</v>
      </c>
      <c r="AO229" t="s">
        <v>17651</v>
      </c>
      <c r="AP229" t="s">
        <v>17652</v>
      </c>
      <c r="AQ229" t="s">
        <v>17653</v>
      </c>
      <c r="AR229" t="s">
        <v>1024</v>
      </c>
    </row>
    <row r="230" spans="1:44" x14ac:dyDescent="0.25">
      <c r="A230" t="s">
        <v>1376</v>
      </c>
      <c r="B230" t="s">
        <v>21278</v>
      </c>
      <c r="C230" s="410" t="s">
        <v>1649</v>
      </c>
      <c r="D230" t="s">
        <v>20317</v>
      </c>
      <c r="E230" t="s">
        <v>192</v>
      </c>
      <c r="F230" s="534">
        <v>1</v>
      </c>
      <c r="G230" t="s">
        <v>194</v>
      </c>
      <c r="H230" t="s">
        <v>193</v>
      </c>
      <c r="I230" t="s">
        <v>20338</v>
      </c>
      <c r="J230" t="s">
        <v>276</v>
      </c>
      <c r="K230" s="28" t="s">
        <v>9309</v>
      </c>
      <c r="L230" t="s">
        <v>6955</v>
      </c>
      <c r="N230" t="s">
        <v>21282</v>
      </c>
      <c r="O230" t="s">
        <v>6266</v>
      </c>
      <c r="P230" t="s">
        <v>20320</v>
      </c>
      <c r="Q230" t="s">
        <v>20321</v>
      </c>
      <c r="R230" t="s">
        <v>20322</v>
      </c>
      <c r="S230" t="s">
        <v>21283</v>
      </c>
      <c r="T230" t="s">
        <v>21284</v>
      </c>
      <c r="V230" s="28" t="s">
        <v>9786</v>
      </c>
      <c r="W230" t="s">
        <v>1650</v>
      </c>
      <c r="X230" t="s">
        <v>194</v>
      </c>
      <c r="Y230" s="28" t="s">
        <v>9300</v>
      </c>
      <c r="AB230" t="s">
        <v>9311</v>
      </c>
      <c r="AH230" t="s">
        <v>4714</v>
      </c>
      <c r="AI230" t="s">
        <v>21278</v>
      </c>
      <c r="AJ230" s="28" t="str">
        <f t="shared" si="6"/>
        <v>134603</v>
      </c>
      <c r="AK230" s="420">
        <v>1</v>
      </c>
      <c r="AL230" s="420">
        <f t="shared" si="7"/>
        <v>1</v>
      </c>
      <c r="AM230" s="420">
        <v>1</v>
      </c>
      <c r="AN230" t="s">
        <v>17650</v>
      </c>
      <c r="AO230" t="s">
        <v>17651</v>
      </c>
      <c r="AP230" t="s">
        <v>17652</v>
      </c>
      <c r="AQ230" t="s">
        <v>17653</v>
      </c>
      <c r="AR230" t="s">
        <v>1024</v>
      </c>
    </row>
    <row r="231" spans="1:44" x14ac:dyDescent="0.25">
      <c r="A231" t="s">
        <v>1651</v>
      </c>
      <c r="B231" t="s">
        <v>4227</v>
      </c>
      <c r="C231" s="410" t="s">
        <v>2050</v>
      </c>
      <c r="D231" t="s">
        <v>20317</v>
      </c>
      <c r="E231" t="s">
        <v>192</v>
      </c>
      <c r="F231" s="534">
        <v>1</v>
      </c>
      <c r="G231" t="s">
        <v>193</v>
      </c>
      <c r="H231" t="s">
        <v>194</v>
      </c>
      <c r="I231" t="s">
        <v>20338</v>
      </c>
      <c r="J231" t="s">
        <v>316</v>
      </c>
      <c r="K231" s="28" t="s">
        <v>9309</v>
      </c>
      <c r="L231" t="s">
        <v>6955</v>
      </c>
      <c r="N231" t="s">
        <v>21285</v>
      </c>
      <c r="O231" t="s">
        <v>6266</v>
      </c>
      <c r="P231" t="s">
        <v>20320</v>
      </c>
      <c r="Q231" t="s">
        <v>20321</v>
      </c>
      <c r="R231" t="s">
        <v>20322</v>
      </c>
      <c r="S231" t="s">
        <v>21286</v>
      </c>
      <c r="T231" t="s">
        <v>21287</v>
      </c>
      <c r="V231" s="28" t="s">
        <v>10012</v>
      </c>
      <c r="W231" t="s">
        <v>2051</v>
      </c>
      <c r="X231" t="s">
        <v>194</v>
      </c>
      <c r="Y231" s="28" t="s">
        <v>9300</v>
      </c>
      <c r="AB231" t="s">
        <v>9311</v>
      </c>
      <c r="AH231" t="s">
        <v>4714</v>
      </c>
      <c r="AI231" t="s">
        <v>4227</v>
      </c>
      <c r="AJ231" s="28" t="str">
        <f t="shared" si="6"/>
        <v>132402</v>
      </c>
      <c r="AK231" s="420">
        <v>1</v>
      </c>
      <c r="AL231" s="420">
        <f t="shared" si="7"/>
        <v>1</v>
      </c>
      <c r="AM231" s="420">
        <v>1</v>
      </c>
      <c r="AN231" t="s">
        <v>17650</v>
      </c>
      <c r="AO231" t="s">
        <v>17651</v>
      </c>
      <c r="AP231" t="s">
        <v>17652</v>
      </c>
      <c r="AQ231" t="s">
        <v>17653</v>
      </c>
      <c r="AR231" t="s">
        <v>1024</v>
      </c>
    </row>
    <row r="232" spans="1:44" x14ac:dyDescent="0.25">
      <c r="A232" t="s">
        <v>21137</v>
      </c>
      <c r="B232" t="s">
        <v>21288</v>
      </c>
      <c r="C232" s="410" t="s">
        <v>7309</v>
      </c>
      <c r="D232" t="s">
        <v>20326</v>
      </c>
      <c r="E232" t="s">
        <v>192</v>
      </c>
      <c r="F232" s="534">
        <v>1</v>
      </c>
      <c r="G232" t="s">
        <v>193</v>
      </c>
      <c r="H232" t="s">
        <v>194</v>
      </c>
      <c r="I232" t="s">
        <v>20333</v>
      </c>
      <c r="J232" t="s">
        <v>210</v>
      </c>
      <c r="K232" s="28" t="s">
        <v>9309</v>
      </c>
      <c r="L232" t="s">
        <v>6955</v>
      </c>
      <c r="N232" t="s">
        <v>21289</v>
      </c>
      <c r="O232" t="s">
        <v>6245</v>
      </c>
      <c r="P232" t="s">
        <v>20328</v>
      </c>
      <c r="Q232" t="s">
        <v>20329</v>
      </c>
      <c r="R232" t="s">
        <v>20306</v>
      </c>
      <c r="S232" t="s">
        <v>21290</v>
      </c>
      <c r="T232" t="s">
        <v>21291</v>
      </c>
      <c r="V232" s="28" t="s">
        <v>9334</v>
      </c>
      <c r="W232" t="s">
        <v>7311</v>
      </c>
      <c r="X232" t="s">
        <v>194</v>
      </c>
      <c r="Y232" s="28" t="s">
        <v>9300</v>
      </c>
      <c r="AB232" t="s">
        <v>9311</v>
      </c>
      <c r="AH232" t="s">
        <v>4714</v>
      </c>
      <c r="AI232" t="s">
        <v>21288</v>
      </c>
      <c r="AJ232" s="28" t="str">
        <f t="shared" si="6"/>
        <v>121203</v>
      </c>
      <c r="AK232" s="420">
        <v>1</v>
      </c>
      <c r="AL232" s="420">
        <f t="shared" si="7"/>
        <v>1</v>
      </c>
      <c r="AM232" s="420">
        <v>1</v>
      </c>
      <c r="AN232" t="s">
        <v>17650</v>
      </c>
      <c r="AO232" t="s">
        <v>17651</v>
      </c>
      <c r="AP232" t="s">
        <v>17652</v>
      </c>
      <c r="AQ232" t="s">
        <v>17653</v>
      </c>
      <c r="AR232" t="s">
        <v>1024</v>
      </c>
    </row>
    <row r="233" spans="1:44" x14ac:dyDescent="0.25">
      <c r="A233" t="s">
        <v>21137</v>
      </c>
      <c r="B233" t="s">
        <v>255</v>
      </c>
      <c r="C233" s="410" t="s">
        <v>7309</v>
      </c>
      <c r="D233" t="s">
        <v>20326</v>
      </c>
      <c r="E233" t="s">
        <v>192</v>
      </c>
      <c r="F233" s="534">
        <v>1</v>
      </c>
      <c r="G233" t="s">
        <v>193</v>
      </c>
      <c r="H233" t="s">
        <v>194</v>
      </c>
      <c r="I233" t="s">
        <v>20338</v>
      </c>
      <c r="J233" t="s">
        <v>210</v>
      </c>
      <c r="K233" s="28" t="s">
        <v>9309</v>
      </c>
      <c r="L233" t="s">
        <v>6955</v>
      </c>
      <c r="N233" t="s">
        <v>21292</v>
      </c>
      <c r="O233" t="s">
        <v>6288</v>
      </c>
      <c r="P233" t="s">
        <v>20328</v>
      </c>
      <c r="Q233" t="s">
        <v>20329</v>
      </c>
      <c r="R233" t="s">
        <v>20306</v>
      </c>
      <c r="S233" t="s">
        <v>21293</v>
      </c>
      <c r="T233" t="s">
        <v>21294</v>
      </c>
      <c r="V233" s="28" t="s">
        <v>9334</v>
      </c>
      <c r="W233" t="s">
        <v>7311</v>
      </c>
      <c r="X233" t="s">
        <v>194</v>
      </c>
      <c r="Y233" s="28" t="s">
        <v>9300</v>
      </c>
      <c r="AB233" t="s">
        <v>9311</v>
      </c>
      <c r="AH233" t="s">
        <v>4714</v>
      </c>
      <c r="AI233" t="s">
        <v>255</v>
      </c>
      <c r="AJ233" s="28" t="str">
        <f t="shared" si="6"/>
        <v>121203</v>
      </c>
      <c r="AK233" s="420">
        <v>1</v>
      </c>
      <c r="AL233" s="420">
        <f t="shared" si="7"/>
        <v>1</v>
      </c>
      <c r="AM233" s="420">
        <v>1</v>
      </c>
      <c r="AN233" t="s">
        <v>17650</v>
      </c>
      <c r="AO233" t="s">
        <v>17651</v>
      </c>
      <c r="AP233" t="s">
        <v>17652</v>
      </c>
      <c r="AQ233" t="s">
        <v>17653</v>
      </c>
      <c r="AR233" t="s">
        <v>1024</v>
      </c>
    </row>
    <row r="234" spans="1:44" x14ac:dyDescent="0.25">
      <c r="A234" t="s">
        <v>21295</v>
      </c>
      <c r="B234" t="s">
        <v>21296</v>
      </c>
      <c r="C234" s="410" t="s">
        <v>103</v>
      </c>
      <c r="D234" t="s">
        <v>20338</v>
      </c>
      <c r="E234" t="s">
        <v>192</v>
      </c>
      <c r="F234" s="534">
        <v>1</v>
      </c>
      <c r="G234" t="s">
        <v>193</v>
      </c>
      <c r="H234" t="s">
        <v>194</v>
      </c>
      <c r="I234" t="s">
        <v>20437</v>
      </c>
      <c r="J234" t="s">
        <v>9302</v>
      </c>
      <c r="K234" s="28" t="s">
        <v>9309</v>
      </c>
      <c r="L234" t="s">
        <v>6955</v>
      </c>
      <c r="N234" t="s">
        <v>21297</v>
      </c>
      <c r="O234" t="s">
        <v>6921</v>
      </c>
      <c r="P234" t="s">
        <v>20398</v>
      </c>
      <c r="Q234" t="s">
        <v>20399</v>
      </c>
      <c r="R234" t="s">
        <v>20400</v>
      </c>
      <c r="S234" t="s">
        <v>21298</v>
      </c>
      <c r="T234" t="s">
        <v>21299</v>
      </c>
      <c r="W234" t="s">
        <v>1443</v>
      </c>
      <c r="X234" t="s">
        <v>193</v>
      </c>
      <c r="Y234" s="28" t="s">
        <v>9310</v>
      </c>
      <c r="AB234" t="s">
        <v>9311</v>
      </c>
      <c r="AH234" t="s">
        <v>4714</v>
      </c>
      <c r="AI234" t="s">
        <v>21296</v>
      </c>
      <c r="AJ234" s="28" t="str">
        <f t="shared" si="6"/>
        <v>132103</v>
      </c>
      <c r="AK234" s="420">
        <v>1</v>
      </c>
      <c r="AL234" s="420">
        <f t="shared" si="7"/>
        <v>1</v>
      </c>
      <c r="AM234" s="420">
        <v>1</v>
      </c>
      <c r="AN234" t="s">
        <v>17650</v>
      </c>
      <c r="AO234" t="s">
        <v>17651</v>
      </c>
      <c r="AP234" t="s">
        <v>17652</v>
      </c>
      <c r="AQ234" t="s">
        <v>17653</v>
      </c>
      <c r="AR234" t="s">
        <v>1024</v>
      </c>
    </row>
    <row r="235" spans="1:44" x14ac:dyDescent="0.25">
      <c r="A235" t="s">
        <v>17184</v>
      </c>
      <c r="B235" t="s">
        <v>21300</v>
      </c>
      <c r="C235" s="410" t="s">
        <v>103</v>
      </c>
      <c r="D235" t="s">
        <v>20306</v>
      </c>
      <c r="E235" t="s">
        <v>233</v>
      </c>
      <c r="F235" s="534">
        <v>1</v>
      </c>
      <c r="G235" t="s">
        <v>193</v>
      </c>
      <c r="H235" t="s">
        <v>194</v>
      </c>
      <c r="I235" t="s">
        <v>20307</v>
      </c>
      <c r="J235" t="s">
        <v>253</v>
      </c>
      <c r="K235" s="28" t="s">
        <v>9309</v>
      </c>
      <c r="L235" t="s">
        <v>6955</v>
      </c>
      <c r="N235" t="s">
        <v>21301</v>
      </c>
      <c r="O235" t="s">
        <v>6277</v>
      </c>
      <c r="P235" t="s">
        <v>20417</v>
      </c>
      <c r="Q235" t="s">
        <v>20405</v>
      </c>
      <c r="R235" t="s">
        <v>20418</v>
      </c>
      <c r="S235" t="s">
        <v>21302</v>
      </c>
      <c r="T235" t="s">
        <v>21303</v>
      </c>
      <c r="V235" s="28" t="s">
        <v>9468</v>
      </c>
      <c r="W235" t="s">
        <v>1443</v>
      </c>
      <c r="X235" t="s">
        <v>194</v>
      </c>
      <c r="Y235" s="28" t="s">
        <v>9300</v>
      </c>
      <c r="AB235" t="s">
        <v>9311</v>
      </c>
      <c r="AH235" t="s">
        <v>4714</v>
      </c>
      <c r="AI235" t="s">
        <v>21300</v>
      </c>
      <c r="AJ235" s="28" t="str">
        <f t="shared" si="6"/>
        <v>132103</v>
      </c>
      <c r="AK235" s="420">
        <v>1</v>
      </c>
      <c r="AL235" s="420">
        <f t="shared" si="7"/>
        <v>1</v>
      </c>
      <c r="AM235" s="420">
        <v>1</v>
      </c>
      <c r="AN235" t="s">
        <v>17650</v>
      </c>
      <c r="AO235" t="s">
        <v>17651</v>
      </c>
      <c r="AP235" t="s">
        <v>17652</v>
      </c>
      <c r="AQ235" t="s">
        <v>17653</v>
      </c>
      <c r="AR235" t="s">
        <v>1024</v>
      </c>
    </row>
    <row r="236" spans="1:44" x14ac:dyDescent="0.25">
      <c r="A236" t="s">
        <v>974</v>
      </c>
      <c r="B236" t="s">
        <v>10274</v>
      </c>
      <c r="C236" s="410" t="s">
        <v>103</v>
      </c>
      <c r="D236" t="s">
        <v>20306</v>
      </c>
      <c r="E236" t="s">
        <v>192</v>
      </c>
      <c r="F236" s="534">
        <v>1</v>
      </c>
      <c r="G236" t="s">
        <v>193</v>
      </c>
      <c r="H236" t="s">
        <v>194</v>
      </c>
      <c r="I236" t="s">
        <v>20307</v>
      </c>
      <c r="J236" t="s">
        <v>385</v>
      </c>
      <c r="K236" s="28" t="s">
        <v>9309</v>
      </c>
      <c r="L236" t="s">
        <v>6955</v>
      </c>
      <c r="N236" t="s">
        <v>21304</v>
      </c>
      <c r="O236" t="s">
        <v>6363</v>
      </c>
      <c r="P236" t="s">
        <v>20309</v>
      </c>
      <c r="Q236" t="s">
        <v>20310</v>
      </c>
      <c r="R236" t="s">
        <v>20311</v>
      </c>
      <c r="S236" t="s">
        <v>21305</v>
      </c>
      <c r="T236" t="s">
        <v>21306</v>
      </c>
      <c r="V236" s="28" t="s">
        <v>9410</v>
      </c>
      <c r="W236" t="s">
        <v>1443</v>
      </c>
      <c r="X236" t="s">
        <v>194</v>
      </c>
      <c r="Y236" s="28" t="s">
        <v>9300</v>
      </c>
      <c r="AB236" t="s">
        <v>9311</v>
      </c>
      <c r="AH236" t="s">
        <v>4714</v>
      </c>
      <c r="AI236" t="s">
        <v>10274</v>
      </c>
      <c r="AJ236" s="28" t="str">
        <f t="shared" si="6"/>
        <v>132103</v>
      </c>
      <c r="AK236" s="420">
        <v>1</v>
      </c>
      <c r="AL236" s="420">
        <f t="shared" si="7"/>
        <v>1</v>
      </c>
      <c r="AM236" s="420">
        <v>1</v>
      </c>
      <c r="AN236" t="s">
        <v>17650</v>
      </c>
      <c r="AO236" t="s">
        <v>17651</v>
      </c>
      <c r="AP236" t="s">
        <v>17652</v>
      </c>
      <c r="AQ236" t="s">
        <v>17653</v>
      </c>
      <c r="AR236" t="s">
        <v>1024</v>
      </c>
    </row>
    <row r="237" spans="1:44" x14ac:dyDescent="0.25">
      <c r="A237" t="s">
        <v>974</v>
      </c>
      <c r="B237" t="s">
        <v>10274</v>
      </c>
      <c r="C237" s="410" t="s">
        <v>103</v>
      </c>
      <c r="D237" t="s">
        <v>20306</v>
      </c>
      <c r="E237" t="s">
        <v>192</v>
      </c>
      <c r="F237" s="534">
        <v>1</v>
      </c>
      <c r="G237" t="s">
        <v>193</v>
      </c>
      <c r="H237" t="s">
        <v>194</v>
      </c>
      <c r="I237" t="s">
        <v>20307</v>
      </c>
      <c r="J237" t="s">
        <v>1995</v>
      </c>
      <c r="K237" s="28" t="s">
        <v>9309</v>
      </c>
      <c r="L237" t="s">
        <v>6955</v>
      </c>
      <c r="N237" t="s">
        <v>21307</v>
      </c>
      <c r="O237" t="s">
        <v>6363</v>
      </c>
      <c r="P237" t="s">
        <v>20309</v>
      </c>
      <c r="Q237" t="s">
        <v>20310</v>
      </c>
      <c r="R237" t="s">
        <v>20311</v>
      </c>
      <c r="S237" t="s">
        <v>21308</v>
      </c>
      <c r="T237" t="s">
        <v>21309</v>
      </c>
      <c r="V237" s="28" t="s">
        <v>9440</v>
      </c>
      <c r="W237" t="s">
        <v>1443</v>
      </c>
      <c r="X237" t="s">
        <v>194</v>
      </c>
      <c r="Y237" s="28" t="s">
        <v>9300</v>
      </c>
      <c r="AB237" t="s">
        <v>9311</v>
      </c>
      <c r="AH237" t="s">
        <v>4714</v>
      </c>
      <c r="AI237" t="s">
        <v>10274</v>
      </c>
      <c r="AJ237" s="28" t="str">
        <f t="shared" si="6"/>
        <v>132103</v>
      </c>
      <c r="AK237" s="420">
        <v>1</v>
      </c>
      <c r="AL237" s="420">
        <f t="shared" si="7"/>
        <v>1</v>
      </c>
      <c r="AM237" s="420">
        <v>1</v>
      </c>
      <c r="AN237" t="s">
        <v>17650</v>
      </c>
      <c r="AO237" t="s">
        <v>17651</v>
      </c>
      <c r="AP237" t="s">
        <v>17652</v>
      </c>
      <c r="AQ237" t="s">
        <v>17653</v>
      </c>
      <c r="AR237" t="s">
        <v>1024</v>
      </c>
    </row>
    <row r="238" spans="1:44" x14ac:dyDescent="0.25">
      <c r="A238" t="s">
        <v>974</v>
      </c>
      <c r="B238" t="s">
        <v>10274</v>
      </c>
      <c r="C238" s="410" t="s">
        <v>103</v>
      </c>
      <c r="D238" t="s">
        <v>20306</v>
      </c>
      <c r="E238" t="s">
        <v>192</v>
      </c>
      <c r="F238" s="534">
        <v>1</v>
      </c>
      <c r="G238" t="s">
        <v>193</v>
      </c>
      <c r="H238" t="s">
        <v>194</v>
      </c>
      <c r="I238" t="s">
        <v>20307</v>
      </c>
      <c r="J238" t="s">
        <v>2612</v>
      </c>
      <c r="K238" s="28" t="s">
        <v>9309</v>
      </c>
      <c r="L238" t="s">
        <v>6955</v>
      </c>
      <c r="N238" t="s">
        <v>21310</v>
      </c>
      <c r="O238" t="s">
        <v>6363</v>
      </c>
      <c r="P238" t="s">
        <v>20309</v>
      </c>
      <c r="Q238" t="s">
        <v>20310</v>
      </c>
      <c r="R238" t="s">
        <v>20311</v>
      </c>
      <c r="S238" t="s">
        <v>21311</v>
      </c>
      <c r="T238" t="s">
        <v>21312</v>
      </c>
      <c r="V238" s="28" t="s">
        <v>9856</v>
      </c>
      <c r="W238" t="s">
        <v>1443</v>
      </c>
      <c r="X238" t="s">
        <v>194</v>
      </c>
      <c r="Y238" s="28" t="s">
        <v>9300</v>
      </c>
      <c r="AB238" t="s">
        <v>9311</v>
      </c>
      <c r="AH238" t="s">
        <v>4714</v>
      </c>
      <c r="AI238" t="s">
        <v>10274</v>
      </c>
      <c r="AJ238" s="28" t="str">
        <f t="shared" si="6"/>
        <v>132103</v>
      </c>
      <c r="AK238" s="420">
        <v>1</v>
      </c>
      <c r="AL238" s="420">
        <f t="shared" si="7"/>
        <v>1</v>
      </c>
      <c r="AM238" s="420">
        <v>1</v>
      </c>
      <c r="AN238" t="s">
        <v>17650</v>
      </c>
      <c r="AO238" t="s">
        <v>17651</v>
      </c>
      <c r="AP238" t="s">
        <v>17652</v>
      </c>
      <c r="AQ238" t="s">
        <v>17653</v>
      </c>
      <c r="AR238" t="s">
        <v>1024</v>
      </c>
    </row>
    <row r="239" spans="1:44" x14ac:dyDescent="0.25">
      <c r="A239" t="s">
        <v>974</v>
      </c>
      <c r="B239" t="s">
        <v>10274</v>
      </c>
      <c r="C239" s="410" t="s">
        <v>103</v>
      </c>
      <c r="D239" t="s">
        <v>20306</v>
      </c>
      <c r="E239" t="s">
        <v>192</v>
      </c>
      <c r="F239" s="534">
        <v>1</v>
      </c>
      <c r="G239" t="s">
        <v>193</v>
      </c>
      <c r="H239" t="s">
        <v>194</v>
      </c>
      <c r="I239" t="s">
        <v>20307</v>
      </c>
      <c r="J239" t="s">
        <v>747</v>
      </c>
      <c r="K239" s="28" t="s">
        <v>9309</v>
      </c>
      <c r="L239" t="s">
        <v>6955</v>
      </c>
      <c r="N239" t="s">
        <v>21313</v>
      </c>
      <c r="O239" t="s">
        <v>6363</v>
      </c>
      <c r="P239" t="s">
        <v>20309</v>
      </c>
      <c r="Q239" t="s">
        <v>20310</v>
      </c>
      <c r="R239" t="s">
        <v>20311</v>
      </c>
      <c r="S239" t="s">
        <v>21314</v>
      </c>
      <c r="T239" t="s">
        <v>21315</v>
      </c>
      <c r="V239" s="28" t="s">
        <v>10397</v>
      </c>
      <c r="W239" t="s">
        <v>1443</v>
      </c>
      <c r="X239" t="s">
        <v>194</v>
      </c>
      <c r="Y239" s="28" t="s">
        <v>9300</v>
      </c>
      <c r="AB239" t="s">
        <v>9311</v>
      </c>
      <c r="AH239" t="s">
        <v>4714</v>
      </c>
      <c r="AI239" t="s">
        <v>10274</v>
      </c>
      <c r="AJ239" s="28" t="str">
        <f t="shared" si="6"/>
        <v>132103</v>
      </c>
      <c r="AK239" s="420">
        <v>1</v>
      </c>
      <c r="AL239" s="420">
        <f t="shared" si="7"/>
        <v>1</v>
      </c>
      <c r="AM239" s="420">
        <v>1</v>
      </c>
      <c r="AN239" t="s">
        <v>17650</v>
      </c>
      <c r="AO239" t="s">
        <v>17651</v>
      </c>
      <c r="AP239" t="s">
        <v>17652</v>
      </c>
      <c r="AQ239" t="s">
        <v>17653</v>
      </c>
      <c r="AR239" t="s">
        <v>1024</v>
      </c>
    </row>
    <row r="240" spans="1:44" x14ac:dyDescent="0.25">
      <c r="A240" t="s">
        <v>974</v>
      </c>
      <c r="B240" t="s">
        <v>10274</v>
      </c>
      <c r="C240" s="410" t="s">
        <v>103</v>
      </c>
      <c r="D240" t="s">
        <v>20306</v>
      </c>
      <c r="E240" t="s">
        <v>192</v>
      </c>
      <c r="F240" s="534">
        <v>1</v>
      </c>
      <c r="G240" t="s">
        <v>193</v>
      </c>
      <c r="H240" t="s">
        <v>194</v>
      </c>
      <c r="I240" t="s">
        <v>20307</v>
      </c>
      <c r="J240" t="s">
        <v>259</v>
      </c>
      <c r="K240" s="28" t="s">
        <v>9309</v>
      </c>
      <c r="L240" t="s">
        <v>6955</v>
      </c>
      <c r="N240" t="s">
        <v>21316</v>
      </c>
      <c r="O240" t="s">
        <v>6363</v>
      </c>
      <c r="P240" t="s">
        <v>20309</v>
      </c>
      <c r="Q240" t="s">
        <v>20310</v>
      </c>
      <c r="R240" t="s">
        <v>20311</v>
      </c>
      <c r="S240" t="s">
        <v>21317</v>
      </c>
      <c r="T240" t="s">
        <v>21318</v>
      </c>
      <c r="V240" s="28" t="s">
        <v>10136</v>
      </c>
      <c r="W240" t="s">
        <v>1443</v>
      </c>
      <c r="X240" t="s">
        <v>194</v>
      </c>
      <c r="Y240" s="28" t="s">
        <v>9300</v>
      </c>
      <c r="AB240" t="s">
        <v>9311</v>
      </c>
      <c r="AH240" t="s">
        <v>4714</v>
      </c>
      <c r="AI240" t="s">
        <v>10274</v>
      </c>
      <c r="AJ240" s="28" t="str">
        <f t="shared" si="6"/>
        <v>132103</v>
      </c>
      <c r="AK240" s="420">
        <v>1</v>
      </c>
      <c r="AL240" s="420">
        <f t="shared" si="7"/>
        <v>1</v>
      </c>
      <c r="AM240" s="420">
        <v>1</v>
      </c>
      <c r="AN240" t="s">
        <v>17650</v>
      </c>
      <c r="AO240" t="s">
        <v>17651</v>
      </c>
      <c r="AP240" t="s">
        <v>17652</v>
      </c>
      <c r="AQ240" t="s">
        <v>17653</v>
      </c>
      <c r="AR240" t="s">
        <v>1024</v>
      </c>
    </row>
    <row r="241" spans="1:44" x14ac:dyDescent="0.25">
      <c r="A241" t="s">
        <v>974</v>
      </c>
      <c r="B241" t="s">
        <v>10274</v>
      </c>
      <c r="C241" s="410" t="s">
        <v>103</v>
      </c>
      <c r="D241" t="s">
        <v>20306</v>
      </c>
      <c r="E241" t="s">
        <v>192</v>
      </c>
      <c r="F241" s="534">
        <v>1</v>
      </c>
      <c r="G241" t="s">
        <v>193</v>
      </c>
      <c r="H241" t="s">
        <v>194</v>
      </c>
      <c r="I241" t="s">
        <v>20307</v>
      </c>
      <c r="J241" t="s">
        <v>4347</v>
      </c>
      <c r="K241" s="28" t="s">
        <v>9309</v>
      </c>
      <c r="L241" t="s">
        <v>6955</v>
      </c>
      <c r="N241" t="s">
        <v>21319</v>
      </c>
      <c r="O241" t="s">
        <v>6363</v>
      </c>
      <c r="P241" t="s">
        <v>20309</v>
      </c>
      <c r="Q241" t="s">
        <v>20310</v>
      </c>
      <c r="R241" t="s">
        <v>20311</v>
      </c>
      <c r="S241" t="s">
        <v>21320</v>
      </c>
      <c r="T241" t="s">
        <v>21321</v>
      </c>
      <c r="V241" s="28" t="s">
        <v>10397</v>
      </c>
      <c r="W241" t="s">
        <v>1443</v>
      </c>
      <c r="X241" t="s">
        <v>194</v>
      </c>
      <c r="Y241" s="28" t="s">
        <v>9300</v>
      </c>
      <c r="AB241" t="s">
        <v>9311</v>
      </c>
      <c r="AH241" t="s">
        <v>4714</v>
      </c>
      <c r="AI241" t="s">
        <v>10274</v>
      </c>
      <c r="AJ241" s="28" t="str">
        <f t="shared" si="6"/>
        <v>132103</v>
      </c>
      <c r="AK241" s="420">
        <v>1</v>
      </c>
      <c r="AL241" s="420">
        <f t="shared" si="7"/>
        <v>1</v>
      </c>
      <c r="AM241" s="420">
        <v>1</v>
      </c>
      <c r="AN241" t="s">
        <v>17650</v>
      </c>
      <c r="AO241" t="s">
        <v>17651</v>
      </c>
      <c r="AP241" t="s">
        <v>17652</v>
      </c>
      <c r="AQ241" t="s">
        <v>17653</v>
      </c>
      <c r="AR241" t="s">
        <v>1024</v>
      </c>
    </row>
    <row r="242" spans="1:44" x14ac:dyDescent="0.25">
      <c r="A242" t="s">
        <v>1748</v>
      </c>
      <c r="B242" t="s">
        <v>973</v>
      </c>
      <c r="C242" s="410" t="s">
        <v>129</v>
      </c>
      <c r="D242" t="s">
        <v>20317</v>
      </c>
      <c r="E242" t="s">
        <v>192</v>
      </c>
      <c r="F242" s="534">
        <v>1</v>
      </c>
      <c r="G242" t="s">
        <v>193</v>
      </c>
      <c r="H242" t="s">
        <v>194</v>
      </c>
      <c r="I242" t="s">
        <v>20318</v>
      </c>
      <c r="J242" t="s">
        <v>9302</v>
      </c>
      <c r="K242" s="28" t="s">
        <v>9309</v>
      </c>
      <c r="L242" t="s">
        <v>6955</v>
      </c>
      <c r="N242" t="s">
        <v>21322</v>
      </c>
      <c r="O242" t="s">
        <v>7531</v>
      </c>
      <c r="P242" t="s">
        <v>20320</v>
      </c>
      <c r="Q242" t="s">
        <v>20321</v>
      </c>
      <c r="R242" t="s">
        <v>20322</v>
      </c>
      <c r="S242" t="s">
        <v>21323</v>
      </c>
      <c r="T242" t="s">
        <v>21324</v>
      </c>
      <c r="W242" t="s">
        <v>203</v>
      </c>
      <c r="X242" t="s">
        <v>193</v>
      </c>
      <c r="Y242" s="28" t="s">
        <v>9310</v>
      </c>
      <c r="AB242" t="s">
        <v>9311</v>
      </c>
      <c r="AH242" t="s">
        <v>4714</v>
      </c>
      <c r="AI242" t="s">
        <v>973</v>
      </c>
      <c r="AJ242" s="28" t="str">
        <f t="shared" si="6"/>
        <v>121904</v>
      </c>
      <c r="AK242" s="420">
        <v>1</v>
      </c>
      <c r="AL242" s="420">
        <f t="shared" si="7"/>
        <v>1</v>
      </c>
      <c r="AM242" s="420">
        <v>1</v>
      </c>
      <c r="AN242" t="s">
        <v>17650</v>
      </c>
      <c r="AO242" t="s">
        <v>17651</v>
      </c>
      <c r="AP242" t="s">
        <v>17652</v>
      </c>
      <c r="AQ242" t="s">
        <v>17653</v>
      </c>
      <c r="AR242" t="s">
        <v>1024</v>
      </c>
    </row>
    <row r="243" spans="1:44" x14ac:dyDescent="0.25">
      <c r="A243" t="s">
        <v>21325</v>
      </c>
      <c r="B243" t="s">
        <v>21326</v>
      </c>
      <c r="C243" s="410" t="s">
        <v>129</v>
      </c>
      <c r="D243" t="s">
        <v>20338</v>
      </c>
      <c r="E243" t="s">
        <v>192</v>
      </c>
      <c r="F243" s="534">
        <v>1</v>
      </c>
      <c r="G243" t="s">
        <v>193</v>
      </c>
      <c r="H243" t="s">
        <v>194</v>
      </c>
      <c r="I243" t="s">
        <v>20307</v>
      </c>
      <c r="J243" t="s">
        <v>210</v>
      </c>
      <c r="K243" s="28" t="s">
        <v>9309</v>
      </c>
      <c r="L243" t="s">
        <v>6955</v>
      </c>
      <c r="N243" t="s">
        <v>21327</v>
      </c>
      <c r="O243" t="s">
        <v>6251</v>
      </c>
      <c r="P243" t="s">
        <v>20398</v>
      </c>
      <c r="Q243" t="s">
        <v>20399</v>
      </c>
      <c r="R243" t="s">
        <v>20400</v>
      </c>
      <c r="S243" t="s">
        <v>21328</v>
      </c>
      <c r="T243" t="s">
        <v>21329</v>
      </c>
      <c r="V243" s="28" t="s">
        <v>9334</v>
      </c>
      <c r="W243" t="s">
        <v>203</v>
      </c>
      <c r="X243" t="s">
        <v>194</v>
      </c>
      <c r="Y243" s="28" t="s">
        <v>9300</v>
      </c>
      <c r="AB243" t="s">
        <v>9311</v>
      </c>
      <c r="AH243" t="s">
        <v>4714</v>
      </c>
      <c r="AI243" t="s">
        <v>21326</v>
      </c>
      <c r="AJ243" s="28" t="str">
        <f t="shared" si="6"/>
        <v>121904</v>
      </c>
      <c r="AK243" s="420">
        <v>1</v>
      </c>
      <c r="AL243" s="420">
        <f t="shared" si="7"/>
        <v>1</v>
      </c>
      <c r="AM243" s="420">
        <v>1</v>
      </c>
      <c r="AN243" t="s">
        <v>17650</v>
      </c>
      <c r="AO243" t="s">
        <v>17651</v>
      </c>
      <c r="AP243" t="s">
        <v>17652</v>
      </c>
      <c r="AQ243" t="s">
        <v>17653</v>
      </c>
      <c r="AR243" t="s">
        <v>1024</v>
      </c>
    </row>
    <row r="244" spans="1:44" x14ac:dyDescent="0.25">
      <c r="A244" t="s">
        <v>562</v>
      </c>
      <c r="B244" t="s">
        <v>10928</v>
      </c>
      <c r="C244" s="410" t="s">
        <v>129</v>
      </c>
      <c r="D244" t="s">
        <v>20306</v>
      </c>
      <c r="E244" t="s">
        <v>192</v>
      </c>
      <c r="F244" s="534">
        <v>1</v>
      </c>
      <c r="G244" t="s">
        <v>193</v>
      </c>
      <c r="H244" t="s">
        <v>194</v>
      </c>
      <c r="I244" t="s">
        <v>20307</v>
      </c>
      <c r="J244" t="s">
        <v>253</v>
      </c>
      <c r="K244" s="28" t="s">
        <v>9309</v>
      </c>
      <c r="L244" t="s">
        <v>6955</v>
      </c>
      <c r="N244" t="s">
        <v>21330</v>
      </c>
      <c r="O244" t="s">
        <v>6363</v>
      </c>
      <c r="P244" t="s">
        <v>20309</v>
      </c>
      <c r="Q244" t="s">
        <v>20310</v>
      </c>
      <c r="R244" t="s">
        <v>20311</v>
      </c>
      <c r="S244" t="s">
        <v>21331</v>
      </c>
      <c r="T244" t="s">
        <v>21332</v>
      </c>
      <c r="V244" s="28" t="s">
        <v>9468</v>
      </c>
      <c r="W244" t="s">
        <v>203</v>
      </c>
      <c r="X244" t="s">
        <v>194</v>
      </c>
      <c r="Y244" s="28" t="s">
        <v>9300</v>
      </c>
      <c r="AB244" t="s">
        <v>9311</v>
      </c>
      <c r="AH244" t="s">
        <v>4714</v>
      </c>
      <c r="AI244" t="s">
        <v>10928</v>
      </c>
      <c r="AJ244" s="28" t="str">
        <f t="shared" si="6"/>
        <v>121904</v>
      </c>
      <c r="AK244" s="420">
        <v>1</v>
      </c>
      <c r="AL244" s="420">
        <f t="shared" si="7"/>
        <v>1</v>
      </c>
      <c r="AM244" s="420">
        <v>1</v>
      </c>
      <c r="AN244" t="s">
        <v>17650</v>
      </c>
      <c r="AO244" t="s">
        <v>17651</v>
      </c>
      <c r="AP244" t="s">
        <v>17652</v>
      </c>
      <c r="AQ244" t="s">
        <v>17653</v>
      </c>
      <c r="AR244" t="s">
        <v>1024</v>
      </c>
    </row>
    <row r="245" spans="1:44" x14ac:dyDescent="0.25">
      <c r="A245" t="s">
        <v>16840</v>
      </c>
      <c r="B245" t="s">
        <v>1057</v>
      </c>
      <c r="C245" s="410" t="s">
        <v>74</v>
      </c>
      <c r="D245" t="s">
        <v>20326</v>
      </c>
      <c r="E245" t="s">
        <v>233</v>
      </c>
      <c r="F245" s="534">
        <v>1</v>
      </c>
      <c r="G245" t="s">
        <v>193</v>
      </c>
      <c r="H245" t="s">
        <v>194</v>
      </c>
      <c r="I245" t="s">
        <v>20360</v>
      </c>
      <c r="J245" t="s">
        <v>309</v>
      </c>
      <c r="K245" s="28" t="s">
        <v>9309</v>
      </c>
      <c r="L245" t="s">
        <v>6955</v>
      </c>
      <c r="N245" t="s">
        <v>21333</v>
      </c>
      <c r="O245" t="s">
        <v>6277</v>
      </c>
      <c r="P245" t="s">
        <v>20509</v>
      </c>
      <c r="Q245" t="s">
        <v>20510</v>
      </c>
      <c r="R245" t="s">
        <v>20318</v>
      </c>
      <c r="S245" t="s">
        <v>21334</v>
      </c>
      <c r="T245" t="s">
        <v>21335</v>
      </c>
      <c r="V245" s="28" t="s">
        <v>9518</v>
      </c>
      <c r="W245" t="s">
        <v>246</v>
      </c>
      <c r="X245" t="s">
        <v>194</v>
      </c>
      <c r="Y245" s="28" t="s">
        <v>9300</v>
      </c>
      <c r="AB245" t="s">
        <v>9311</v>
      </c>
      <c r="AH245" t="s">
        <v>4714</v>
      </c>
      <c r="AI245" t="s">
        <v>1057</v>
      </c>
      <c r="AJ245" s="28" t="str">
        <f t="shared" si="6"/>
        <v>142004</v>
      </c>
      <c r="AK245" s="420">
        <v>1</v>
      </c>
      <c r="AL245" s="420">
        <f t="shared" si="7"/>
        <v>1</v>
      </c>
      <c r="AM245" s="420">
        <v>1</v>
      </c>
      <c r="AN245" t="s">
        <v>17650</v>
      </c>
      <c r="AO245" t="s">
        <v>17651</v>
      </c>
      <c r="AP245" t="s">
        <v>17652</v>
      </c>
      <c r="AQ245" t="s">
        <v>17653</v>
      </c>
      <c r="AR245" t="s">
        <v>1024</v>
      </c>
    </row>
    <row r="246" spans="1:44" x14ac:dyDescent="0.25">
      <c r="A246" t="s">
        <v>14950</v>
      </c>
      <c r="B246" t="s">
        <v>1057</v>
      </c>
      <c r="C246" s="410" t="s">
        <v>74</v>
      </c>
      <c r="D246" t="s">
        <v>20326</v>
      </c>
      <c r="E246" t="s">
        <v>192</v>
      </c>
      <c r="F246" s="534">
        <v>1</v>
      </c>
      <c r="G246" t="s">
        <v>193</v>
      </c>
      <c r="H246" t="s">
        <v>194</v>
      </c>
      <c r="I246" t="s">
        <v>20399</v>
      </c>
      <c r="J246" t="s">
        <v>259</v>
      </c>
      <c r="K246" s="28" t="s">
        <v>9309</v>
      </c>
      <c r="L246" t="s">
        <v>6955</v>
      </c>
      <c r="N246" t="s">
        <v>21336</v>
      </c>
      <c r="O246" t="s">
        <v>6251</v>
      </c>
      <c r="P246" t="s">
        <v>20328</v>
      </c>
      <c r="Q246" t="s">
        <v>20329</v>
      </c>
      <c r="R246" t="s">
        <v>20306</v>
      </c>
      <c r="S246" t="s">
        <v>21337</v>
      </c>
      <c r="T246" t="s">
        <v>21338</v>
      </c>
      <c r="V246" s="28" t="s">
        <v>10136</v>
      </c>
      <c r="W246" t="s">
        <v>246</v>
      </c>
      <c r="X246" t="s">
        <v>194</v>
      </c>
      <c r="Y246" s="28" t="s">
        <v>9300</v>
      </c>
      <c r="AB246" t="s">
        <v>9311</v>
      </c>
      <c r="AH246" t="s">
        <v>4714</v>
      </c>
      <c r="AI246" t="s">
        <v>1057</v>
      </c>
      <c r="AJ246" s="28" t="str">
        <f t="shared" si="6"/>
        <v>142004</v>
      </c>
      <c r="AK246" s="420">
        <v>1</v>
      </c>
      <c r="AL246" s="420">
        <f t="shared" si="7"/>
        <v>1</v>
      </c>
      <c r="AM246" s="420">
        <v>1</v>
      </c>
      <c r="AN246" t="s">
        <v>17650</v>
      </c>
      <c r="AO246" t="s">
        <v>17651</v>
      </c>
      <c r="AP246" t="s">
        <v>17652</v>
      </c>
      <c r="AQ246" t="s">
        <v>17653</v>
      </c>
      <c r="AR246" t="s">
        <v>1024</v>
      </c>
    </row>
    <row r="247" spans="1:44" x14ac:dyDescent="0.25">
      <c r="A247" t="s">
        <v>10002</v>
      </c>
      <c r="B247" t="s">
        <v>21339</v>
      </c>
      <c r="C247" s="410" t="s">
        <v>74</v>
      </c>
      <c r="D247" t="s">
        <v>20317</v>
      </c>
      <c r="E247" t="s">
        <v>192</v>
      </c>
      <c r="F247" s="534">
        <v>1</v>
      </c>
      <c r="G247" t="s">
        <v>193</v>
      </c>
      <c r="H247" t="s">
        <v>194</v>
      </c>
      <c r="I247" t="s">
        <v>20399</v>
      </c>
      <c r="J247" t="s">
        <v>253</v>
      </c>
      <c r="K247" s="28" t="s">
        <v>9309</v>
      </c>
      <c r="L247" t="s">
        <v>6955</v>
      </c>
      <c r="N247" t="s">
        <v>21340</v>
      </c>
      <c r="O247" t="s">
        <v>6249</v>
      </c>
      <c r="P247" t="s">
        <v>20320</v>
      </c>
      <c r="Q247" t="s">
        <v>20321</v>
      </c>
      <c r="R247" t="s">
        <v>20322</v>
      </c>
      <c r="S247" t="s">
        <v>21341</v>
      </c>
      <c r="T247" t="s">
        <v>21342</v>
      </c>
      <c r="V247" s="28" t="s">
        <v>9468</v>
      </c>
      <c r="W247" t="s">
        <v>246</v>
      </c>
      <c r="X247" t="s">
        <v>194</v>
      </c>
      <c r="Y247" s="28" t="s">
        <v>9300</v>
      </c>
      <c r="AB247" t="s">
        <v>9311</v>
      </c>
      <c r="AH247" t="s">
        <v>4714</v>
      </c>
      <c r="AI247" t="s">
        <v>21339</v>
      </c>
      <c r="AJ247" s="28" t="str">
        <f t="shared" si="6"/>
        <v>142004</v>
      </c>
      <c r="AK247" s="420">
        <v>1</v>
      </c>
      <c r="AL247" s="420">
        <f t="shared" si="7"/>
        <v>1</v>
      </c>
      <c r="AM247" s="420">
        <v>1</v>
      </c>
      <c r="AN247" t="s">
        <v>17650</v>
      </c>
      <c r="AO247" t="s">
        <v>17651</v>
      </c>
      <c r="AP247" t="s">
        <v>17652</v>
      </c>
      <c r="AQ247" t="s">
        <v>17653</v>
      </c>
      <c r="AR247" t="s">
        <v>1024</v>
      </c>
    </row>
    <row r="248" spans="1:44" x14ac:dyDescent="0.25">
      <c r="A248" t="s">
        <v>16840</v>
      </c>
      <c r="B248" t="s">
        <v>1057</v>
      </c>
      <c r="C248" s="410" t="s">
        <v>74</v>
      </c>
      <c r="D248" t="s">
        <v>20338</v>
      </c>
      <c r="E248" t="s">
        <v>233</v>
      </c>
      <c r="F248" s="534">
        <v>1</v>
      </c>
      <c r="G248" t="s">
        <v>193</v>
      </c>
      <c r="H248" t="s">
        <v>194</v>
      </c>
      <c r="I248" t="s">
        <v>20310</v>
      </c>
      <c r="J248" t="s">
        <v>210</v>
      </c>
      <c r="K248" s="28" t="s">
        <v>9309</v>
      </c>
      <c r="L248" t="s">
        <v>6955</v>
      </c>
      <c r="N248" t="s">
        <v>21343</v>
      </c>
      <c r="O248" t="s">
        <v>6277</v>
      </c>
      <c r="P248" t="s">
        <v>20541</v>
      </c>
      <c r="Q248" t="s">
        <v>20389</v>
      </c>
      <c r="R248" t="s">
        <v>20542</v>
      </c>
      <c r="S248" t="s">
        <v>21344</v>
      </c>
      <c r="T248" t="s">
        <v>21345</v>
      </c>
      <c r="V248" s="28" t="s">
        <v>9334</v>
      </c>
      <c r="W248" t="s">
        <v>246</v>
      </c>
      <c r="X248" t="s">
        <v>194</v>
      </c>
      <c r="Y248" s="28" t="s">
        <v>9300</v>
      </c>
      <c r="AB248" t="s">
        <v>9311</v>
      </c>
      <c r="AH248" t="s">
        <v>4714</v>
      </c>
      <c r="AI248" t="s">
        <v>1057</v>
      </c>
      <c r="AJ248" s="28" t="str">
        <f t="shared" si="6"/>
        <v>142004</v>
      </c>
      <c r="AK248" s="420">
        <v>1</v>
      </c>
      <c r="AL248" s="420">
        <f t="shared" si="7"/>
        <v>1</v>
      </c>
      <c r="AM248" s="420">
        <v>1</v>
      </c>
      <c r="AN248" t="s">
        <v>17650</v>
      </c>
      <c r="AO248" t="s">
        <v>17651</v>
      </c>
      <c r="AP248" t="s">
        <v>17652</v>
      </c>
      <c r="AQ248" t="s">
        <v>17653</v>
      </c>
      <c r="AR248" t="s">
        <v>1024</v>
      </c>
    </row>
    <row r="249" spans="1:44" x14ac:dyDescent="0.25">
      <c r="A249" t="s">
        <v>2567</v>
      </c>
      <c r="B249" t="s">
        <v>1057</v>
      </c>
      <c r="C249" s="410" t="s">
        <v>74</v>
      </c>
      <c r="D249" t="s">
        <v>20338</v>
      </c>
      <c r="E249" t="s">
        <v>192</v>
      </c>
      <c r="F249" s="534">
        <v>1</v>
      </c>
      <c r="G249" t="s">
        <v>193</v>
      </c>
      <c r="H249" t="s">
        <v>194</v>
      </c>
      <c r="I249" t="s">
        <v>20310</v>
      </c>
      <c r="J249" t="s">
        <v>21346</v>
      </c>
      <c r="K249" s="28" t="s">
        <v>9309</v>
      </c>
      <c r="L249" t="s">
        <v>6955</v>
      </c>
      <c r="N249" t="s">
        <v>21347</v>
      </c>
      <c r="O249" t="s">
        <v>6249</v>
      </c>
      <c r="P249" t="s">
        <v>20398</v>
      </c>
      <c r="Q249" t="s">
        <v>20399</v>
      </c>
      <c r="R249" t="s">
        <v>20400</v>
      </c>
      <c r="S249" t="s">
        <v>21348</v>
      </c>
      <c r="T249" t="s">
        <v>21349</v>
      </c>
      <c r="W249" t="s">
        <v>246</v>
      </c>
      <c r="X249" t="s">
        <v>193</v>
      </c>
      <c r="Y249" s="28" t="s">
        <v>9310</v>
      </c>
      <c r="AB249" t="s">
        <v>9311</v>
      </c>
      <c r="AH249" t="s">
        <v>4714</v>
      </c>
      <c r="AI249" t="s">
        <v>1057</v>
      </c>
      <c r="AJ249" s="28" t="str">
        <f t="shared" si="6"/>
        <v>142004</v>
      </c>
      <c r="AK249" s="420">
        <v>1</v>
      </c>
      <c r="AL249" s="420">
        <f t="shared" si="7"/>
        <v>1</v>
      </c>
      <c r="AM249" s="420">
        <v>1</v>
      </c>
      <c r="AN249" t="s">
        <v>17650</v>
      </c>
      <c r="AO249" t="s">
        <v>17651</v>
      </c>
      <c r="AP249" t="s">
        <v>17652</v>
      </c>
      <c r="AQ249" t="s">
        <v>17653</v>
      </c>
      <c r="AR249" t="s">
        <v>1024</v>
      </c>
    </row>
    <row r="250" spans="1:44" x14ac:dyDescent="0.25">
      <c r="A250" t="s">
        <v>2567</v>
      </c>
      <c r="B250" t="s">
        <v>1057</v>
      </c>
      <c r="C250" s="410" t="s">
        <v>74</v>
      </c>
      <c r="D250" t="s">
        <v>20338</v>
      </c>
      <c r="E250" t="s">
        <v>192</v>
      </c>
      <c r="F250" s="534">
        <v>1</v>
      </c>
      <c r="G250" t="s">
        <v>193</v>
      </c>
      <c r="H250" t="s">
        <v>194</v>
      </c>
      <c r="I250" t="s">
        <v>20310</v>
      </c>
      <c r="J250" t="s">
        <v>21350</v>
      </c>
      <c r="K250" s="28" t="s">
        <v>9309</v>
      </c>
      <c r="L250" t="s">
        <v>6955</v>
      </c>
      <c r="N250" t="s">
        <v>21351</v>
      </c>
      <c r="O250" t="s">
        <v>6249</v>
      </c>
      <c r="P250" t="s">
        <v>20398</v>
      </c>
      <c r="Q250" t="s">
        <v>20399</v>
      </c>
      <c r="R250" t="s">
        <v>20400</v>
      </c>
      <c r="S250" t="s">
        <v>21352</v>
      </c>
      <c r="T250" t="s">
        <v>21353</v>
      </c>
      <c r="V250" s="28" t="s">
        <v>9726</v>
      </c>
      <c r="W250" t="s">
        <v>246</v>
      </c>
      <c r="X250" t="s">
        <v>194</v>
      </c>
      <c r="Y250" s="28" t="s">
        <v>9300</v>
      </c>
      <c r="AB250" t="s">
        <v>9311</v>
      </c>
      <c r="AH250" t="s">
        <v>4714</v>
      </c>
      <c r="AI250" t="s">
        <v>1057</v>
      </c>
      <c r="AJ250" s="28" t="str">
        <f t="shared" si="6"/>
        <v>142004</v>
      </c>
      <c r="AK250" s="420">
        <v>1</v>
      </c>
      <c r="AL250" s="420">
        <f t="shared" si="7"/>
        <v>1</v>
      </c>
      <c r="AM250" s="420">
        <v>1</v>
      </c>
      <c r="AN250" t="s">
        <v>17650</v>
      </c>
      <c r="AO250" t="s">
        <v>17651</v>
      </c>
      <c r="AP250" t="s">
        <v>17652</v>
      </c>
      <c r="AQ250" t="s">
        <v>17653</v>
      </c>
      <c r="AR250" t="s">
        <v>1024</v>
      </c>
    </row>
    <row r="251" spans="1:44" x14ac:dyDescent="0.25">
      <c r="A251" t="s">
        <v>8187</v>
      </c>
      <c r="B251" t="s">
        <v>2935</v>
      </c>
      <c r="C251" s="410" t="s">
        <v>74</v>
      </c>
      <c r="D251" t="s">
        <v>20338</v>
      </c>
      <c r="E251" t="s">
        <v>192</v>
      </c>
      <c r="F251" s="534">
        <v>1</v>
      </c>
      <c r="G251" t="s">
        <v>193</v>
      </c>
      <c r="H251" t="s">
        <v>194</v>
      </c>
      <c r="I251" t="s">
        <v>20310</v>
      </c>
      <c r="J251" t="s">
        <v>253</v>
      </c>
      <c r="K251" s="28" t="s">
        <v>9309</v>
      </c>
      <c r="L251" t="s">
        <v>6955</v>
      </c>
      <c r="N251" t="s">
        <v>21354</v>
      </c>
      <c r="O251" t="s">
        <v>6249</v>
      </c>
      <c r="P251" t="s">
        <v>20398</v>
      </c>
      <c r="Q251" t="s">
        <v>20399</v>
      </c>
      <c r="R251" t="s">
        <v>20310</v>
      </c>
      <c r="S251" t="s">
        <v>21355</v>
      </c>
      <c r="T251" t="s">
        <v>21356</v>
      </c>
      <c r="V251" s="28" t="s">
        <v>9468</v>
      </c>
      <c r="W251" t="s">
        <v>246</v>
      </c>
      <c r="X251" t="s">
        <v>194</v>
      </c>
      <c r="Y251" s="28" t="s">
        <v>9300</v>
      </c>
      <c r="AB251" t="s">
        <v>9311</v>
      </c>
      <c r="AH251" t="s">
        <v>4714</v>
      </c>
      <c r="AI251" t="s">
        <v>2935</v>
      </c>
      <c r="AJ251" s="28" t="str">
        <f t="shared" si="6"/>
        <v>142004</v>
      </c>
      <c r="AK251" s="420">
        <v>1</v>
      </c>
      <c r="AL251" s="420">
        <f t="shared" si="7"/>
        <v>1</v>
      </c>
      <c r="AM251" s="420">
        <v>1</v>
      </c>
      <c r="AN251" t="s">
        <v>17650</v>
      </c>
      <c r="AO251" t="s">
        <v>17651</v>
      </c>
      <c r="AP251" t="s">
        <v>17652</v>
      </c>
      <c r="AQ251" t="s">
        <v>17653</v>
      </c>
      <c r="AR251" t="s">
        <v>1024</v>
      </c>
    </row>
    <row r="252" spans="1:44" x14ac:dyDescent="0.25">
      <c r="A252" t="s">
        <v>8187</v>
      </c>
      <c r="B252" t="s">
        <v>2935</v>
      </c>
      <c r="C252" s="410" t="s">
        <v>74</v>
      </c>
      <c r="D252" t="s">
        <v>20338</v>
      </c>
      <c r="E252" t="s">
        <v>192</v>
      </c>
      <c r="F252" s="534">
        <v>1</v>
      </c>
      <c r="G252" t="s">
        <v>193</v>
      </c>
      <c r="H252" t="s">
        <v>194</v>
      </c>
      <c r="I252" t="s">
        <v>20310</v>
      </c>
      <c r="J252" t="s">
        <v>316</v>
      </c>
      <c r="K252" s="28" t="s">
        <v>9309</v>
      </c>
      <c r="L252" t="s">
        <v>6955</v>
      </c>
      <c r="N252" t="s">
        <v>21357</v>
      </c>
      <c r="O252" t="s">
        <v>6249</v>
      </c>
      <c r="P252" t="s">
        <v>20398</v>
      </c>
      <c r="Q252" t="s">
        <v>20399</v>
      </c>
      <c r="R252" t="s">
        <v>20310</v>
      </c>
      <c r="S252" t="s">
        <v>21358</v>
      </c>
      <c r="T252" t="s">
        <v>21359</v>
      </c>
      <c r="V252" s="28" t="s">
        <v>10012</v>
      </c>
      <c r="W252" t="s">
        <v>246</v>
      </c>
      <c r="X252" t="s">
        <v>194</v>
      </c>
      <c r="Y252" s="28" t="s">
        <v>9300</v>
      </c>
      <c r="AB252" t="s">
        <v>9311</v>
      </c>
      <c r="AH252" t="s">
        <v>4714</v>
      </c>
      <c r="AI252" t="s">
        <v>2935</v>
      </c>
      <c r="AJ252" s="28" t="str">
        <f t="shared" si="6"/>
        <v>142004</v>
      </c>
      <c r="AK252" s="420">
        <v>1</v>
      </c>
      <c r="AL252" s="420">
        <f t="shared" si="7"/>
        <v>1</v>
      </c>
      <c r="AM252" s="420">
        <v>1</v>
      </c>
      <c r="AN252" t="s">
        <v>17650</v>
      </c>
      <c r="AO252" t="s">
        <v>17651</v>
      </c>
      <c r="AP252" t="s">
        <v>17652</v>
      </c>
      <c r="AQ252" t="s">
        <v>17653</v>
      </c>
      <c r="AR252" t="s">
        <v>1024</v>
      </c>
    </row>
    <row r="253" spans="1:44" x14ac:dyDescent="0.25">
      <c r="A253" t="s">
        <v>14950</v>
      </c>
      <c r="B253" t="s">
        <v>261</v>
      </c>
      <c r="C253" s="410" t="s">
        <v>74</v>
      </c>
      <c r="D253" t="s">
        <v>20338</v>
      </c>
      <c r="E253" t="s">
        <v>192</v>
      </c>
      <c r="F253" s="534">
        <v>1</v>
      </c>
      <c r="G253" t="s">
        <v>193</v>
      </c>
      <c r="H253" t="s">
        <v>194</v>
      </c>
      <c r="I253" t="s">
        <v>20405</v>
      </c>
      <c r="J253" t="s">
        <v>367</v>
      </c>
      <c r="K253" s="28" t="s">
        <v>9309</v>
      </c>
      <c r="L253" t="s">
        <v>6955</v>
      </c>
      <c r="N253" t="s">
        <v>21360</v>
      </c>
      <c r="O253" t="s">
        <v>6249</v>
      </c>
      <c r="P253" t="s">
        <v>20398</v>
      </c>
      <c r="Q253" t="s">
        <v>20399</v>
      </c>
      <c r="R253" t="s">
        <v>20400</v>
      </c>
      <c r="S253" t="s">
        <v>21361</v>
      </c>
      <c r="T253" t="s">
        <v>21362</v>
      </c>
      <c r="V253" s="28" t="s">
        <v>9974</v>
      </c>
      <c r="W253" t="s">
        <v>246</v>
      </c>
      <c r="X253" t="s">
        <v>194</v>
      </c>
      <c r="Y253" s="28" t="s">
        <v>9300</v>
      </c>
      <c r="AB253" t="s">
        <v>9311</v>
      </c>
      <c r="AH253" t="s">
        <v>4714</v>
      </c>
      <c r="AI253" t="s">
        <v>261</v>
      </c>
      <c r="AJ253" s="28" t="str">
        <f t="shared" si="6"/>
        <v>142004</v>
      </c>
      <c r="AK253" s="420">
        <v>1</v>
      </c>
      <c r="AL253" s="420">
        <f t="shared" si="7"/>
        <v>1</v>
      </c>
      <c r="AM253" s="420">
        <v>1</v>
      </c>
      <c r="AN253" t="s">
        <v>17650</v>
      </c>
      <c r="AO253" t="s">
        <v>17651</v>
      </c>
      <c r="AP253" t="s">
        <v>17652</v>
      </c>
      <c r="AQ253" t="s">
        <v>17653</v>
      </c>
      <c r="AR253" t="s">
        <v>1024</v>
      </c>
    </row>
    <row r="254" spans="1:44" x14ac:dyDescent="0.25">
      <c r="A254" t="s">
        <v>14950</v>
      </c>
      <c r="B254" t="s">
        <v>261</v>
      </c>
      <c r="C254" s="410" t="s">
        <v>74</v>
      </c>
      <c r="D254" t="s">
        <v>20306</v>
      </c>
      <c r="E254" t="s">
        <v>192</v>
      </c>
      <c r="F254" s="534">
        <v>1</v>
      </c>
      <c r="G254" t="s">
        <v>193</v>
      </c>
      <c r="H254" t="s">
        <v>194</v>
      </c>
      <c r="I254" t="s">
        <v>20483</v>
      </c>
      <c r="J254" t="s">
        <v>962</v>
      </c>
      <c r="K254" s="28" t="s">
        <v>9309</v>
      </c>
      <c r="L254" t="s">
        <v>6955</v>
      </c>
      <c r="N254" t="s">
        <v>21363</v>
      </c>
      <c r="O254" t="s">
        <v>6249</v>
      </c>
      <c r="P254" t="s">
        <v>20309</v>
      </c>
      <c r="Q254" t="s">
        <v>20310</v>
      </c>
      <c r="R254" t="s">
        <v>20311</v>
      </c>
      <c r="S254" t="s">
        <v>21364</v>
      </c>
      <c r="T254" t="s">
        <v>21365</v>
      </c>
      <c r="V254" s="28" t="s">
        <v>11394</v>
      </c>
      <c r="W254" t="s">
        <v>246</v>
      </c>
      <c r="X254" t="s">
        <v>194</v>
      </c>
      <c r="Y254" s="28" t="s">
        <v>9300</v>
      </c>
      <c r="AB254" t="s">
        <v>9311</v>
      </c>
      <c r="AH254" t="s">
        <v>4714</v>
      </c>
      <c r="AI254" t="s">
        <v>261</v>
      </c>
      <c r="AJ254" s="28" t="str">
        <f t="shared" si="6"/>
        <v>142004</v>
      </c>
      <c r="AK254" s="420">
        <v>1</v>
      </c>
      <c r="AL254" s="420">
        <f t="shared" si="7"/>
        <v>1</v>
      </c>
      <c r="AM254" s="420">
        <v>1</v>
      </c>
      <c r="AN254" t="s">
        <v>17650</v>
      </c>
      <c r="AO254" t="s">
        <v>17651</v>
      </c>
      <c r="AP254" t="s">
        <v>17652</v>
      </c>
      <c r="AQ254" t="s">
        <v>17653</v>
      </c>
      <c r="AR254" t="s">
        <v>1024</v>
      </c>
    </row>
    <row r="255" spans="1:44" x14ac:dyDescent="0.25">
      <c r="A255" t="s">
        <v>14950</v>
      </c>
      <c r="B255" t="s">
        <v>261</v>
      </c>
      <c r="C255" s="410" t="s">
        <v>74</v>
      </c>
      <c r="D255" t="s">
        <v>20306</v>
      </c>
      <c r="E255" t="s">
        <v>192</v>
      </c>
      <c r="F255" s="534">
        <v>1</v>
      </c>
      <c r="G255" t="s">
        <v>193</v>
      </c>
      <c r="H255" t="s">
        <v>194</v>
      </c>
      <c r="I255" t="s">
        <v>20483</v>
      </c>
      <c r="J255" t="s">
        <v>253</v>
      </c>
      <c r="K255" s="28" t="s">
        <v>9309</v>
      </c>
      <c r="L255" t="s">
        <v>6955</v>
      </c>
      <c r="N255" t="s">
        <v>21366</v>
      </c>
      <c r="O255" t="s">
        <v>6249</v>
      </c>
      <c r="P255" t="s">
        <v>20309</v>
      </c>
      <c r="Q255" t="s">
        <v>20310</v>
      </c>
      <c r="R255" t="s">
        <v>20311</v>
      </c>
      <c r="S255" t="s">
        <v>21367</v>
      </c>
      <c r="T255" t="s">
        <v>21368</v>
      </c>
      <c r="V255" s="28" t="s">
        <v>9468</v>
      </c>
      <c r="W255" t="s">
        <v>246</v>
      </c>
      <c r="X255" t="s">
        <v>194</v>
      </c>
      <c r="Y255" s="28" t="s">
        <v>9300</v>
      </c>
      <c r="AB255" t="s">
        <v>9311</v>
      </c>
      <c r="AH255" t="s">
        <v>4714</v>
      </c>
      <c r="AI255" t="s">
        <v>261</v>
      </c>
      <c r="AJ255" s="28" t="str">
        <f t="shared" si="6"/>
        <v>142004</v>
      </c>
      <c r="AK255" s="420">
        <v>1</v>
      </c>
      <c r="AL255" s="420">
        <f t="shared" si="7"/>
        <v>1</v>
      </c>
      <c r="AM255" s="420">
        <v>1</v>
      </c>
      <c r="AN255" t="s">
        <v>17650</v>
      </c>
      <c r="AO255" t="s">
        <v>17651</v>
      </c>
      <c r="AP255" t="s">
        <v>17652</v>
      </c>
      <c r="AQ255" t="s">
        <v>17653</v>
      </c>
      <c r="AR255" t="s">
        <v>1024</v>
      </c>
    </row>
    <row r="256" spans="1:44" x14ac:dyDescent="0.25">
      <c r="A256" t="s">
        <v>11866</v>
      </c>
      <c r="B256" t="s">
        <v>21369</v>
      </c>
      <c r="C256" s="410" t="s">
        <v>150</v>
      </c>
      <c r="D256" t="s">
        <v>20338</v>
      </c>
      <c r="E256" t="s">
        <v>192</v>
      </c>
      <c r="F256" s="534">
        <v>1</v>
      </c>
      <c r="G256" t="s">
        <v>194</v>
      </c>
      <c r="H256" t="s">
        <v>193</v>
      </c>
      <c r="I256" t="s">
        <v>20307</v>
      </c>
      <c r="J256" t="s">
        <v>9302</v>
      </c>
      <c r="K256" s="28" t="s">
        <v>9309</v>
      </c>
      <c r="L256" t="s">
        <v>6955</v>
      </c>
      <c r="N256" t="s">
        <v>21370</v>
      </c>
      <c r="O256" t="s">
        <v>6363</v>
      </c>
      <c r="P256" t="s">
        <v>20398</v>
      </c>
      <c r="Q256" t="s">
        <v>20399</v>
      </c>
      <c r="R256" t="s">
        <v>20400</v>
      </c>
      <c r="S256" t="s">
        <v>21371</v>
      </c>
      <c r="T256" t="s">
        <v>21372</v>
      </c>
      <c r="W256" t="s">
        <v>1274</v>
      </c>
      <c r="X256" t="s">
        <v>193</v>
      </c>
      <c r="Y256" s="28" t="s">
        <v>9310</v>
      </c>
      <c r="AB256" t="s">
        <v>9311</v>
      </c>
      <c r="AH256" t="s">
        <v>4714</v>
      </c>
      <c r="AI256" t="s">
        <v>21369</v>
      </c>
      <c r="AJ256" s="28" t="str">
        <f t="shared" si="6"/>
        <v>132105</v>
      </c>
      <c r="AK256" s="420">
        <v>1</v>
      </c>
      <c r="AL256" s="420">
        <f t="shared" si="7"/>
        <v>1</v>
      </c>
      <c r="AM256" s="420">
        <v>1</v>
      </c>
      <c r="AN256" t="s">
        <v>17650</v>
      </c>
      <c r="AO256" t="s">
        <v>17651</v>
      </c>
      <c r="AP256" t="s">
        <v>17652</v>
      </c>
      <c r="AQ256" t="s">
        <v>17653</v>
      </c>
      <c r="AR256" t="s">
        <v>1024</v>
      </c>
    </row>
    <row r="257" spans="1:44" x14ac:dyDescent="0.25">
      <c r="A257" t="s">
        <v>16778</v>
      </c>
      <c r="B257" t="s">
        <v>21373</v>
      </c>
      <c r="C257" s="410" t="s">
        <v>21374</v>
      </c>
      <c r="D257" t="s">
        <v>20360</v>
      </c>
      <c r="E257" t="s">
        <v>233</v>
      </c>
      <c r="F257" s="534">
        <v>1</v>
      </c>
      <c r="G257" t="s">
        <v>193</v>
      </c>
      <c r="H257" t="s">
        <v>194</v>
      </c>
      <c r="I257" t="s">
        <v>20333</v>
      </c>
      <c r="J257" t="s">
        <v>5967</v>
      </c>
      <c r="K257" s="28" t="s">
        <v>9309</v>
      </c>
      <c r="L257" t="s">
        <v>6955</v>
      </c>
      <c r="N257" t="s">
        <v>21375</v>
      </c>
      <c r="O257" t="s">
        <v>6312</v>
      </c>
      <c r="P257" t="s">
        <v>20522</v>
      </c>
      <c r="Q257" t="s">
        <v>20422</v>
      </c>
      <c r="R257" t="s">
        <v>20483</v>
      </c>
      <c r="S257" t="s">
        <v>21376</v>
      </c>
      <c r="T257" t="s">
        <v>21377</v>
      </c>
      <c r="W257" t="s">
        <v>21378</v>
      </c>
      <c r="X257" t="s">
        <v>193</v>
      </c>
      <c r="Y257" s="28" t="s">
        <v>9310</v>
      </c>
      <c r="AB257" t="s">
        <v>9311</v>
      </c>
      <c r="AH257" t="s">
        <v>4714</v>
      </c>
      <c r="AI257" t="s">
        <v>21373</v>
      </c>
      <c r="AJ257" s="28" t="str">
        <f t="shared" si="6"/>
        <v>242305</v>
      </c>
      <c r="AK257" s="420">
        <v>1</v>
      </c>
      <c r="AL257" s="420">
        <f t="shared" si="7"/>
        <v>1</v>
      </c>
      <c r="AM257" s="420">
        <v>1</v>
      </c>
      <c r="AN257" t="s">
        <v>17650</v>
      </c>
      <c r="AO257" t="s">
        <v>17651</v>
      </c>
      <c r="AP257" t="s">
        <v>17652</v>
      </c>
      <c r="AQ257" t="s">
        <v>17653</v>
      </c>
      <c r="AR257" t="s">
        <v>1024</v>
      </c>
    </row>
    <row r="258" spans="1:44" x14ac:dyDescent="0.25">
      <c r="A258" t="s">
        <v>890</v>
      </c>
      <c r="B258" t="s">
        <v>10880</v>
      </c>
      <c r="C258" s="410" t="s">
        <v>66</v>
      </c>
      <c r="D258" t="s">
        <v>20326</v>
      </c>
      <c r="E258" t="s">
        <v>192</v>
      </c>
      <c r="F258" s="534">
        <v>1</v>
      </c>
      <c r="G258" t="s">
        <v>193</v>
      </c>
      <c r="H258" t="s">
        <v>194</v>
      </c>
      <c r="I258" t="s">
        <v>20333</v>
      </c>
      <c r="J258" t="s">
        <v>276</v>
      </c>
      <c r="K258" s="28" t="s">
        <v>9309</v>
      </c>
      <c r="L258" t="s">
        <v>6955</v>
      </c>
      <c r="N258" t="s">
        <v>21379</v>
      </c>
      <c r="O258" t="s">
        <v>7531</v>
      </c>
      <c r="P258" t="s">
        <v>20328</v>
      </c>
      <c r="Q258" t="s">
        <v>20329</v>
      </c>
      <c r="R258" t="s">
        <v>20306</v>
      </c>
      <c r="S258" t="s">
        <v>21380</v>
      </c>
      <c r="T258" t="s">
        <v>21381</v>
      </c>
      <c r="V258" s="28" t="s">
        <v>9786</v>
      </c>
      <c r="W258" t="s">
        <v>1503</v>
      </c>
      <c r="X258" t="s">
        <v>194</v>
      </c>
      <c r="Y258" s="28" t="s">
        <v>9300</v>
      </c>
      <c r="AB258" t="s">
        <v>9311</v>
      </c>
      <c r="AH258" t="s">
        <v>4714</v>
      </c>
      <c r="AI258" t="s">
        <v>10880</v>
      </c>
      <c r="AJ258" s="28" t="str">
        <f t="shared" si="6"/>
        <v>241107</v>
      </c>
      <c r="AK258" s="420">
        <v>1</v>
      </c>
      <c r="AL258" s="420">
        <f t="shared" si="7"/>
        <v>1</v>
      </c>
      <c r="AM258" s="420">
        <v>1</v>
      </c>
      <c r="AN258" t="s">
        <v>17650</v>
      </c>
      <c r="AO258" t="s">
        <v>17651</v>
      </c>
      <c r="AP258" t="s">
        <v>17652</v>
      </c>
      <c r="AQ258" t="s">
        <v>17653</v>
      </c>
      <c r="AR258" t="s">
        <v>1024</v>
      </c>
    </row>
    <row r="259" spans="1:44" x14ac:dyDescent="0.25">
      <c r="A259" t="s">
        <v>21382</v>
      </c>
      <c r="B259" t="s">
        <v>10880</v>
      </c>
      <c r="C259" s="410" t="s">
        <v>66</v>
      </c>
      <c r="D259" t="s">
        <v>20317</v>
      </c>
      <c r="E259" t="s">
        <v>192</v>
      </c>
      <c r="F259" s="534">
        <v>1</v>
      </c>
      <c r="G259" t="s">
        <v>193</v>
      </c>
      <c r="H259" t="s">
        <v>194</v>
      </c>
      <c r="I259" t="s">
        <v>20333</v>
      </c>
      <c r="J259" t="s">
        <v>9302</v>
      </c>
      <c r="K259" s="28" t="s">
        <v>9309</v>
      </c>
      <c r="L259" t="s">
        <v>6955</v>
      </c>
      <c r="N259" t="s">
        <v>21383</v>
      </c>
      <c r="O259" t="s">
        <v>7531</v>
      </c>
      <c r="P259" t="s">
        <v>20320</v>
      </c>
      <c r="Q259" t="s">
        <v>20321</v>
      </c>
      <c r="R259" t="s">
        <v>20322</v>
      </c>
      <c r="S259" t="s">
        <v>21384</v>
      </c>
      <c r="T259" t="s">
        <v>21385</v>
      </c>
      <c r="W259" t="s">
        <v>1503</v>
      </c>
      <c r="X259" t="s">
        <v>193</v>
      </c>
      <c r="Y259" s="28" t="s">
        <v>9310</v>
      </c>
      <c r="AB259" t="s">
        <v>9311</v>
      </c>
      <c r="AH259" t="s">
        <v>4714</v>
      </c>
      <c r="AI259" t="s">
        <v>10880</v>
      </c>
      <c r="AJ259" s="28" t="str">
        <f t="shared" ref="AJ259:AJ322" si="8">MID(W259,8,6)</f>
        <v>241107</v>
      </c>
      <c r="AK259" s="420">
        <v>1</v>
      </c>
      <c r="AL259" s="420">
        <f t="shared" ref="AL259:AL322" si="9">F259</f>
        <v>1</v>
      </c>
      <c r="AM259" s="420">
        <v>1</v>
      </c>
      <c r="AN259" t="s">
        <v>17650</v>
      </c>
      <c r="AO259" t="s">
        <v>17651</v>
      </c>
      <c r="AP259" t="s">
        <v>17652</v>
      </c>
      <c r="AQ259" t="s">
        <v>17653</v>
      </c>
      <c r="AR259" t="s">
        <v>1024</v>
      </c>
    </row>
    <row r="260" spans="1:44" x14ac:dyDescent="0.25">
      <c r="A260" t="s">
        <v>21386</v>
      </c>
      <c r="B260" t="s">
        <v>10880</v>
      </c>
      <c r="C260" s="410" t="s">
        <v>66</v>
      </c>
      <c r="D260" t="s">
        <v>20338</v>
      </c>
      <c r="E260" t="s">
        <v>192</v>
      </c>
      <c r="F260" s="534">
        <v>1</v>
      </c>
      <c r="G260" t="s">
        <v>193</v>
      </c>
      <c r="H260" t="s">
        <v>194</v>
      </c>
      <c r="I260" t="s">
        <v>20437</v>
      </c>
      <c r="J260" t="s">
        <v>9302</v>
      </c>
      <c r="K260" s="28" t="s">
        <v>9309</v>
      </c>
      <c r="L260" t="s">
        <v>6955</v>
      </c>
      <c r="N260" t="s">
        <v>21387</v>
      </c>
      <c r="O260" t="s">
        <v>6254</v>
      </c>
      <c r="P260" t="s">
        <v>20398</v>
      </c>
      <c r="Q260" t="s">
        <v>20399</v>
      </c>
      <c r="R260" t="s">
        <v>20400</v>
      </c>
      <c r="S260" t="s">
        <v>21388</v>
      </c>
      <c r="T260" t="s">
        <v>21389</v>
      </c>
      <c r="W260" t="s">
        <v>1503</v>
      </c>
      <c r="X260" t="s">
        <v>193</v>
      </c>
      <c r="Y260" s="28" t="s">
        <v>9310</v>
      </c>
      <c r="AB260" t="s">
        <v>9311</v>
      </c>
      <c r="AH260" t="s">
        <v>4714</v>
      </c>
      <c r="AI260" t="s">
        <v>10880</v>
      </c>
      <c r="AJ260" s="28" t="str">
        <f t="shared" si="8"/>
        <v>241107</v>
      </c>
      <c r="AK260" s="420">
        <v>1</v>
      </c>
      <c r="AL260" s="420">
        <f t="shared" si="9"/>
        <v>1</v>
      </c>
      <c r="AM260" s="420">
        <v>1</v>
      </c>
      <c r="AN260" t="s">
        <v>17650</v>
      </c>
      <c r="AO260" t="s">
        <v>17651</v>
      </c>
      <c r="AP260" t="s">
        <v>17652</v>
      </c>
      <c r="AQ260" t="s">
        <v>17653</v>
      </c>
      <c r="AR260" t="s">
        <v>1024</v>
      </c>
    </row>
    <row r="261" spans="1:44" x14ac:dyDescent="0.25">
      <c r="A261" t="s">
        <v>18095</v>
      </c>
      <c r="B261" t="s">
        <v>21390</v>
      </c>
      <c r="C261" s="410" t="s">
        <v>66</v>
      </c>
      <c r="D261" t="s">
        <v>20306</v>
      </c>
      <c r="E261" t="s">
        <v>192</v>
      </c>
      <c r="F261" s="534">
        <v>1</v>
      </c>
      <c r="G261" t="s">
        <v>193</v>
      </c>
      <c r="H261" t="s">
        <v>194</v>
      </c>
      <c r="I261" t="s">
        <v>20307</v>
      </c>
      <c r="J261" t="s">
        <v>316</v>
      </c>
      <c r="K261" s="28" t="s">
        <v>9309</v>
      </c>
      <c r="L261" t="s">
        <v>6955</v>
      </c>
      <c r="N261" t="s">
        <v>21391</v>
      </c>
      <c r="O261" t="s">
        <v>7531</v>
      </c>
      <c r="P261" t="s">
        <v>20309</v>
      </c>
      <c r="Q261" t="s">
        <v>20310</v>
      </c>
      <c r="R261" t="s">
        <v>21392</v>
      </c>
      <c r="S261" t="s">
        <v>21393</v>
      </c>
      <c r="T261" t="s">
        <v>21394</v>
      </c>
      <c r="V261" s="28" t="s">
        <v>10012</v>
      </c>
      <c r="W261" t="s">
        <v>1503</v>
      </c>
      <c r="X261" t="s">
        <v>194</v>
      </c>
      <c r="Y261" s="28" t="s">
        <v>9300</v>
      </c>
      <c r="AB261" t="s">
        <v>9311</v>
      </c>
      <c r="AH261" t="s">
        <v>4714</v>
      </c>
      <c r="AI261" t="s">
        <v>21390</v>
      </c>
      <c r="AJ261" s="28" t="str">
        <f t="shared" si="8"/>
        <v>241107</v>
      </c>
      <c r="AK261" s="420">
        <v>1</v>
      </c>
      <c r="AL261" s="420">
        <f t="shared" si="9"/>
        <v>1</v>
      </c>
      <c r="AM261" s="420">
        <v>1</v>
      </c>
      <c r="AN261" t="s">
        <v>17650</v>
      </c>
      <c r="AO261" t="s">
        <v>17651</v>
      </c>
      <c r="AP261" t="s">
        <v>17652</v>
      </c>
      <c r="AQ261" t="s">
        <v>17653</v>
      </c>
      <c r="AR261" t="s">
        <v>1024</v>
      </c>
    </row>
    <row r="262" spans="1:44" x14ac:dyDescent="0.25">
      <c r="A262" t="s">
        <v>5986</v>
      </c>
      <c r="B262" t="s">
        <v>1000</v>
      </c>
      <c r="C262" s="410" t="s">
        <v>5333</v>
      </c>
      <c r="D262" t="s">
        <v>20317</v>
      </c>
      <c r="E262" t="s">
        <v>233</v>
      </c>
      <c r="F262" s="534">
        <v>1</v>
      </c>
      <c r="G262" t="s">
        <v>193</v>
      </c>
      <c r="H262" t="s">
        <v>194</v>
      </c>
      <c r="I262" t="s">
        <v>20333</v>
      </c>
      <c r="J262" t="s">
        <v>21395</v>
      </c>
      <c r="K262" s="28" t="s">
        <v>9309</v>
      </c>
      <c r="L262" t="s">
        <v>6955</v>
      </c>
      <c r="N262" t="s">
        <v>21396</v>
      </c>
      <c r="O262" t="s">
        <v>6306</v>
      </c>
      <c r="P262" t="s">
        <v>20565</v>
      </c>
      <c r="Q262" t="s">
        <v>20566</v>
      </c>
      <c r="R262" t="s">
        <v>20399</v>
      </c>
      <c r="S262" t="s">
        <v>21397</v>
      </c>
      <c r="T262" t="s">
        <v>21398</v>
      </c>
      <c r="V262" s="28" t="s">
        <v>11163</v>
      </c>
      <c r="W262" t="s">
        <v>1536</v>
      </c>
      <c r="X262" t="s">
        <v>194</v>
      </c>
      <c r="Y262" s="28" t="s">
        <v>9300</v>
      </c>
      <c r="AB262" t="s">
        <v>9311</v>
      </c>
      <c r="AH262" t="s">
        <v>4714</v>
      </c>
      <c r="AI262" t="s">
        <v>1000</v>
      </c>
      <c r="AJ262" s="28" t="str">
        <f t="shared" si="8"/>
        <v>314401</v>
      </c>
      <c r="AK262" s="420">
        <v>1</v>
      </c>
      <c r="AL262" s="420">
        <f t="shared" si="9"/>
        <v>1</v>
      </c>
      <c r="AM262" s="420">
        <v>1</v>
      </c>
      <c r="AN262" t="s">
        <v>17650</v>
      </c>
      <c r="AO262" t="s">
        <v>17651</v>
      </c>
      <c r="AP262" t="s">
        <v>17652</v>
      </c>
      <c r="AQ262" t="s">
        <v>17653</v>
      </c>
      <c r="AR262" t="s">
        <v>1024</v>
      </c>
    </row>
    <row r="263" spans="1:44" x14ac:dyDescent="0.25">
      <c r="A263" t="s">
        <v>21399</v>
      </c>
      <c r="B263" t="s">
        <v>2098</v>
      </c>
      <c r="C263" s="410" t="s">
        <v>2098</v>
      </c>
      <c r="D263" t="s">
        <v>20360</v>
      </c>
      <c r="E263" t="s">
        <v>192</v>
      </c>
      <c r="F263" s="534">
        <v>1</v>
      </c>
      <c r="G263" t="s">
        <v>193</v>
      </c>
      <c r="H263" t="s">
        <v>194</v>
      </c>
      <c r="I263" t="s">
        <v>20399</v>
      </c>
      <c r="J263" t="s">
        <v>2819</v>
      </c>
      <c r="K263" s="28" t="s">
        <v>9309</v>
      </c>
      <c r="L263" t="s">
        <v>6955</v>
      </c>
      <c r="N263" t="s">
        <v>21400</v>
      </c>
      <c r="O263" t="s">
        <v>21401</v>
      </c>
      <c r="P263" t="s">
        <v>21402</v>
      </c>
      <c r="Q263" t="s">
        <v>21403</v>
      </c>
      <c r="R263" t="s">
        <v>20483</v>
      </c>
      <c r="S263" t="s">
        <v>21404</v>
      </c>
      <c r="T263" t="s">
        <v>21405</v>
      </c>
      <c r="V263" s="28" t="s">
        <v>9786</v>
      </c>
      <c r="W263" t="s">
        <v>2099</v>
      </c>
      <c r="X263" t="s">
        <v>194</v>
      </c>
      <c r="Y263" s="28" t="s">
        <v>9300</v>
      </c>
      <c r="AB263" t="s">
        <v>9311</v>
      </c>
      <c r="AH263" t="s">
        <v>4714</v>
      </c>
      <c r="AI263" t="s">
        <v>2098</v>
      </c>
      <c r="AJ263" s="28" t="str">
        <f t="shared" si="8"/>
        <v>229903</v>
      </c>
      <c r="AK263" s="420">
        <v>1</v>
      </c>
      <c r="AL263" s="420">
        <f t="shared" si="9"/>
        <v>1</v>
      </c>
      <c r="AM263" s="420">
        <v>1</v>
      </c>
      <c r="AN263" t="s">
        <v>17650</v>
      </c>
      <c r="AO263" t="s">
        <v>17651</v>
      </c>
      <c r="AP263" t="s">
        <v>17652</v>
      </c>
      <c r="AQ263" t="s">
        <v>17653</v>
      </c>
      <c r="AR263" t="s">
        <v>1024</v>
      </c>
    </row>
    <row r="264" spans="1:44" x14ac:dyDescent="0.25">
      <c r="A264" t="s">
        <v>21406</v>
      </c>
      <c r="B264" t="s">
        <v>21407</v>
      </c>
      <c r="C264" s="410" t="s">
        <v>2098</v>
      </c>
      <c r="D264" t="s">
        <v>20306</v>
      </c>
      <c r="E264" t="s">
        <v>192</v>
      </c>
      <c r="F264" s="534">
        <v>1</v>
      </c>
      <c r="G264" t="s">
        <v>193</v>
      </c>
      <c r="H264" t="s">
        <v>194</v>
      </c>
      <c r="I264" t="s">
        <v>20307</v>
      </c>
      <c r="J264" t="s">
        <v>210</v>
      </c>
      <c r="K264" s="28" t="s">
        <v>9309</v>
      </c>
      <c r="L264" t="s">
        <v>6955</v>
      </c>
      <c r="N264" t="s">
        <v>21408</v>
      </c>
      <c r="O264" t="s">
        <v>6288</v>
      </c>
      <c r="P264" t="s">
        <v>20309</v>
      </c>
      <c r="Q264" t="s">
        <v>20310</v>
      </c>
      <c r="R264" t="s">
        <v>20311</v>
      </c>
      <c r="S264" t="s">
        <v>21409</v>
      </c>
      <c r="T264" t="s">
        <v>21410</v>
      </c>
      <c r="V264" s="28" t="s">
        <v>9334</v>
      </c>
      <c r="W264" t="s">
        <v>2099</v>
      </c>
      <c r="X264" t="s">
        <v>194</v>
      </c>
      <c r="Y264" s="28" t="s">
        <v>9300</v>
      </c>
      <c r="AB264" t="s">
        <v>9311</v>
      </c>
      <c r="AH264" t="s">
        <v>4714</v>
      </c>
      <c r="AI264" t="s">
        <v>21407</v>
      </c>
      <c r="AJ264" s="28" t="str">
        <f t="shared" si="8"/>
        <v>229903</v>
      </c>
      <c r="AK264" s="420">
        <v>1</v>
      </c>
      <c r="AL264" s="420">
        <f t="shared" si="9"/>
        <v>1</v>
      </c>
      <c r="AM264" s="420">
        <v>1</v>
      </c>
      <c r="AN264" t="s">
        <v>17650</v>
      </c>
      <c r="AO264" t="s">
        <v>17651</v>
      </c>
      <c r="AP264" t="s">
        <v>17652</v>
      </c>
      <c r="AQ264" t="s">
        <v>17653</v>
      </c>
      <c r="AR264" t="s">
        <v>1024</v>
      </c>
    </row>
    <row r="265" spans="1:44" x14ac:dyDescent="0.25">
      <c r="A265" t="s">
        <v>1358</v>
      </c>
      <c r="B265" t="s">
        <v>21411</v>
      </c>
      <c r="C265" s="410" t="s">
        <v>63</v>
      </c>
      <c r="D265" t="s">
        <v>20338</v>
      </c>
      <c r="E265" t="s">
        <v>192</v>
      </c>
      <c r="F265" s="534">
        <v>1</v>
      </c>
      <c r="G265" t="s">
        <v>193</v>
      </c>
      <c r="H265" t="s">
        <v>194</v>
      </c>
      <c r="I265" t="s">
        <v>20307</v>
      </c>
      <c r="J265" t="s">
        <v>408</v>
      </c>
      <c r="K265" s="28" t="s">
        <v>9309</v>
      </c>
      <c r="L265" t="s">
        <v>6955</v>
      </c>
      <c r="N265" t="s">
        <v>21412</v>
      </c>
      <c r="O265" t="s">
        <v>6245</v>
      </c>
      <c r="P265" t="s">
        <v>20398</v>
      </c>
      <c r="Q265" t="s">
        <v>20399</v>
      </c>
      <c r="R265" t="s">
        <v>20400</v>
      </c>
      <c r="S265" t="s">
        <v>21413</v>
      </c>
      <c r="T265" t="s">
        <v>21414</v>
      </c>
      <c r="V265" s="28" t="s">
        <v>9479</v>
      </c>
      <c r="W265" t="s">
        <v>2104</v>
      </c>
      <c r="X265" t="s">
        <v>194</v>
      </c>
      <c r="Y265" s="28" t="s">
        <v>9300</v>
      </c>
      <c r="AB265" t="s">
        <v>9311</v>
      </c>
      <c r="AH265" t="s">
        <v>4714</v>
      </c>
      <c r="AI265" t="s">
        <v>21411</v>
      </c>
      <c r="AJ265" s="28" t="str">
        <f t="shared" si="8"/>
        <v>311201</v>
      </c>
      <c r="AK265" s="420">
        <v>1</v>
      </c>
      <c r="AL265" s="420">
        <f t="shared" si="9"/>
        <v>1</v>
      </c>
      <c r="AM265" s="420">
        <v>1</v>
      </c>
      <c r="AN265" t="s">
        <v>17650</v>
      </c>
      <c r="AO265" t="s">
        <v>17651</v>
      </c>
      <c r="AP265" t="s">
        <v>17652</v>
      </c>
      <c r="AQ265" t="s">
        <v>17653</v>
      </c>
      <c r="AR265" t="s">
        <v>1024</v>
      </c>
    </row>
    <row r="266" spans="1:44" x14ac:dyDescent="0.25">
      <c r="A266" t="s">
        <v>21415</v>
      </c>
      <c r="B266" t="s">
        <v>21416</v>
      </c>
      <c r="C266" s="410" t="s">
        <v>36</v>
      </c>
      <c r="D266" t="s">
        <v>20326</v>
      </c>
      <c r="E266" t="s">
        <v>192</v>
      </c>
      <c r="F266" s="534">
        <v>1</v>
      </c>
      <c r="G266" t="s">
        <v>193</v>
      </c>
      <c r="H266" t="s">
        <v>194</v>
      </c>
      <c r="I266" t="s">
        <v>20333</v>
      </c>
      <c r="J266" t="s">
        <v>210</v>
      </c>
      <c r="K266" s="28" t="s">
        <v>9309</v>
      </c>
      <c r="L266" t="s">
        <v>6955</v>
      </c>
      <c r="N266" t="s">
        <v>21417</v>
      </c>
      <c r="O266" t="s">
        <v>6254</v>
      </c>
      <c r="P266" t="s">
        <v>20328</v>
      </c>
      <c r="Q266" t="s">
        <v>20329</v>
      </c>
      <c r="R266" t="s">
        <v>20306</v>
      </c>
      <c r="S266" t="s">
        <v>21418</v>
      </c>
      <c r="T266" t="s">
        <v>21419</v>
      </c>
      <c r="V266" s="28" t="s">
        <v>9334</v>
      </c>
      <c r="W266" t="s">
        <v>609</v>
      </c>
      <c r="X266" t="s">
        <v>194</v>
      </c>
      <c r="Y266" s="28" t="s">
        <v>9300</v>
      </c>
      <c r="AB266" t="s">
        <v>9311</v>
      </c>
      <c r="AH266" t="s">
        <v>4714</v>
      </c>
      <c r="AI266" t="s">
        <v>21416</v>
      </c>
      <c r="AJ266" s="28" t="str">
        <f t="shared" si="8"/>
        <v>331301</v>
      </c>
      <c r="AK266" s="420">
        <v>1</v>
      </c>
      <c r="AL266" s="420">
        <f t="shared" si="9"/>
        <v>1</v>
      </c>
      <c r="AM266" s="420">
        <v>1</v>
      </c>
      <c r="AN266" t="s">
        <v>17650</v>
      </c>
      <c r="AO266" t="s">
        <v>17651</v>
      </c>
      <c r="AP266" t="s">
        <v>17652</v>
      </c>
      <c r="AQ266" t="s">
        <v>17653</v>
      </c>
      <c r="AR266" t="s">
        <v>1024</v>
      </c>
    </row>
    <row r="267" spans="1:44" x14ac:dyDescent="0.25">
      <c r="A267" t="s">
        <v>2530</v>
      </c>
      <c r="B267" t="s">
        <v>21420</v>
      </c>
      <c r="C267" s="410" t="s">
        <v>36</v>
      </c>
      <c r="D267" t="s">
        <v>20326</v>
      </c>
      <c r="E267" t="s">
        <v>192</v>
      </c>
      <c r="F267" s="534">
        <v>1</v>
      </c>
      <c r="G267" t="s">
        <v>193</v>
      </c>
      <c r="H267" t="s">
        <v>194</v>
      </c>
      <c r="I267" t="s">
        <v>20389</v>
      </c>
      <c r="J267" t="s">
        <v>2532</v>
      </c>
      <c r="K267" s="28" t="s">
        <v>9309</v>
      </c>
      <c r="L267" t="s">
        <v>6955</v>
      </c>
      <c r="N267" t="s">
        <v>21421</v>
      </c>
      <c r="O267" t="s">
        <v>6254</v>
      </c>
      <c r="P267" t="s">
        <v>20328</v>
      </c>
      <c r="Q267" t="s">
        <v>20329</v>
      </c>
      <c r="R267" t="s">
        <v>20306</v>
      </c>
      <c r="S267" t="s">
        <v>21422</v>
      </c>
      <c r="T267" t="s">
        <v>21423</v>
      </c>
      <c r="V267" s="28" t="s">
        <v>9892</v>
      </c>
      <c r="W267" t="s">
        <v>609</v>
      </c>
      <c r="X267" t="s">
        <v>194</v>
      </c>
      <c r="Y267" s="28" t="s">
        <v>9300</v>
      </c>
      <c r="AB267" t="s">
        <v>9311</v>
      </c>
      <c r="AH267" t="s">
        <v>4714</v>
      </c>
      <c r="AI267" t="s">
        <v>21420</v>
      </c>
      <c r="AJ267" s="28" t="str">
        <f t="shared" si="8"/>
        <v>331301</v>
      </c>
      <c r="AK267" s="420">
        <v>1</v>
      </c>
      <c r="AL267" s="420">
        <f t="shared" si="9"/>
        <v>1</v>
      </c>
      <c r="AM267" s="420">
        <v>1</v>
      </c>
      <c r="AN267" t="s">
        <v>17650</v>
      </c>
      <c r="AO267" t="s">
        <v>17651</v>
      </c>
      <c r="AP267" t="s">
        <v>17652</v>
      </c>
      <c r="AQ267" t="s">
        <v>17653</v>
      </c>
      <c r="AR267" t="s">
        <v>1024</v>
      </c>
    </row>
    <row r="268" spans="1:44" x14ac:dyDescent="0.25">
      <c r="A268" t="s">
        <v>11537</v>
      </c>
      <c r="B268" t="s">
        <v>3077</v>
      </c>
      <c r="C268" s="410" t="s">
        <v>36</v>
      </c>
      <c r="D268" t="s">
        <v>20326</v>
      </c>
      <c r="E268" t="s">
        <v>192</v>
      </c>
      <c r="F268" s="534">
        <v>1</v>
      </c>
      <c r="G268" t="s">
        <v>193</v>
      </c>
      <c r="H268" t="s">
        <v>194</v>
      </c>
      <c r="I268" t="s">
        <v>20338</v>
      </c>
      <c r="J268" t="s">
        <v>210</v>
      </c>
      <c r="K268" s="28" t="s">
        <v>9309</v>
      </c>
      <c r="L268" t="s">
        <v>6955</v>
      </c>
      <c r="N268" t="s">
        <v>21424</v>
      </c>
      <c r="O268" t="s">
        <v>7531</v>
      </c>
      <c r="P268" t="s">
        <v>20328</v>
      </c>
      <c r="Q268" t="s">
        <v>20329</v>
      </c>
      <c r="R268" t="s">
        <v>20306</v>
      </c>
      <c r="S268" t="s">
        <v>21425</v>
      </c>
      <c r="T268" t="s">
        <v>21426</v>
      </c>
      <c r="V268" s="28" t="s">
        <v>9334</v>
      </c>
      <c r="W268" t="s">
        <v>609</v>
      </c>
      <c r="X268" t="s">
        <v>194</v>
      </c>
      <c r="Y268" s="28" t="s">
        <v>9300</v>
      </c>
      <c r="AB268" t="s">
        <v>9311</v>
      </c>
      <c r="AH268" t="s">
        <v>4714</v>
      </c>
      <c r="AI268" t="s">
        <v>3077</v>
      </c>
      <c r="AJ268" s="28" t="str">
        <f t="shared" si="8"/>
        <v>331301</v>
      </c>
      <c r="AK268" s="420">
        <v>1</v>
      </c>
      <c r="AL268" s="420">
        <f t="shared" si="9"/>
        <v>1</v>
      </c>
      <c r="AM268" s="420">
        <v>1</v>
      </c>
      <c r="AN268" t="s">
        <v>17650</v>
      </c>
      <c r="AO268" t="s">
        <v>17651</v>
      </c>
      <c r="AP268" t="s">
        <v>17652</v>
      </c>
      <c r="AQ268" t="s">
        <v>17653</v>
      </c>
      <c r="AR268" t="s">
        <v>1024</v>
      </c>
    </row>
    <row r="269" spans="1:44" x14ac:dyDescent="0.25">
      <c r="A269" t="s">
        <v>14602</v>
      </c>
      <c r="B269" t="s">
        <v>15578</v>
      </c>
      <c r="C269" s="410" t="s">
        <v>36</v>
      </c>
      <c r="D269" t="s">
        <v>20317</v>
      </c>
      <c r="E269" t="s">
        <v>192</v>
      </c>
      <c r="F269" s="534">
        <v>1</v>
      </c>
      <c r="G269" t="s">
        <v>193</v>
      </c>
      <c r="H269" t="s">
        <v>194</v>
      </c>
      <c r="I269" t="s">
        <v>20318</v>
      </c>
      <c r="J269" t="s">
        <v>253</v>
      </c>
      <c r="K269" s="28" t="s">
        <v>9309</v>
      </c>
      <c r="L269" t="s">
        <v>6955</v>
      </c>
      <c r="N269" t="s">
        <v>21427</v>
      </c>
      <c r="O269" t="s">
        <v>6254</v>
      </c>
      <c r="P269" t="s">
        <v>20320</v>
      </c>
      <c r="Q269" t="s">
        <v>20321</v>
      </c>
      <c r="R269" t="s">
        <v>20322</v>
      </c>
      <c r="S269" t="s">
        <v>21428</v>
      </c>
      <c r="T269" t="s">
        <v>21429</v>
      </c>
      <c r="V269" s="28" t="s">
        <v>9468</v>
      </c>
      <c r="W269" t="s">
        <v>609</v>
      </c>
      <c r="X269" t="s">
        <v>194</v>
      </c>
      <c r="Y269" s="28" t="s">
        <v>9300</v>
      </c>
      <c r="AB269" t="s">
        <v>9311</v>
      </c>
      <c r="AH269" t="s">
        <v>4714</v>
      </c>
      <c r="AI269" t="s">
        <v>15578</v>
      </c>
      <c r="AJ269" s="28" t="str">
        <f t="shared" si="8"/>
        <v>331301</v>
      </c>
      <c r="AK269" s="420">
        <v>1</v>
      </c>
      <c r="AL269" s="420">
        <f t="shared" si="9"/>
        <v>1</v>
      </c>
      <c r="AM269" s="420">
        <v>1</v>
      </c>
      <c r="AN269" t="s">
        <v>17650</v>
      </c>
      <c r="AO269" t="s">
        <v>17651</v>
      </c>
      <c r="AP269" t="s">
        <v>17652</v>
      </c>
      <c r="AQ269" t="s">
        <v>17653</v>
      </c>
      <c r="AR269" t="s">
        <v>1024</v>
      </c>
    </row>
    <row r="270" spans="1:44" x14ac:dyDescent="0.25">
      <c r="A270" t="s">
        <v>20960</v>
      </c>
      <c r="B270" t="s">
        <v>21430</v>
      </c>
      <c r="C270" s="410" t="s">
        <v>36</v>
      </c>
      <c r="D270" t="s">
        <v>20338</v>
      </c>
      <c r="E270" t="s">
        <v>192</v>
      </c>
      <c r="F270" s="534">
        <v>1</v>
      </c>
      <c r="G270" t="s">
        <v>193</v>
      </c>
      <c r="H270" t="s">
        <v>194</v>
      </c>
      <c r="I270" t="s">
        <v>20483</v>
      </c>
      <c r="J270" t="s">
        <v>210</v>
      </c>
      <c r="K270" s="28" t="s">
        <v>9309</v>
      </c>
      <c r="L270" t="s">
        <v>6955</v>
      </c>
      <c r="N270" t="s">
        <v>21431</v>
      </c>
      <c r="O270" t="s">
        <v>7531</v>
      </c>
      <c r="P270" t="s">
        <v>20398</v>
      </c>
      <c r="Q270" t="s">
        <v>20399</v>
      </c>
      <c r="R270" t="s">
        <v>20400</v>
      </c>
      <c r="S270" t="s">
        <v>21432</v>
      </c>
      <c r="T270" t="s">
        <v>21433</v>
      </c>
      <c r="V270" s="28" t="s">
        <v>9334</v>
      </c>
      <c r="W270" t="s">
        <v>609</v>
      </c>
      <c r="X270" t="s">
        <v>194</v>
      </c>
      <c r="Y270" s="28" t="s">
        <v>9300</v>
      </c>
      <c r="AB270" t="s">
        <v>9311</v>
      </c>
      <c r="AH270" t="s">
        <v>4714</v>
      </c>
      <c r="AI270" t="s">
        <v>21430</v>
      </c>
      <c r="AJ270" s="28" t="str">
        <f t="shared" si="8"/>
        <v>331301</v>
      </c>
      <c r="AK270" s="420">
        <v>1</v>
      </c>
      <c r="AL270" s="420">
        <f t="shared" si="9"/>
        <v>1</v>
      </c>
      <c r="AM270" s="420">
        <v>1</v>
      </c>
      <c r="AN270" t="s">
        <v>17650</v>
      </c>
      <c r="AO270" t="s">
        <v>17651</v>
      </c>
      <c r="AP270" t="s">
        <v>17652</v>
      </c>
      <c r="AQ270" t="s">
        <v>17653</v>
      </c>
      <c r="AR270" t="s">
        <v>1024</v>
      </c>
    </row>
    <row r="271" spans="1:44" x14ac:dyDescent="0.25">
      <c r="A271" t="s">
        <v>14490</v>
      </c>
      <c r="B271" t="s">
        <v>21434</v>
      </c>
      <c r="C271" s="410" t="s">
        <v>36</v>
      </c>
      <c r="D271" t="s">
        <v>20306</v>
      </c>
      <c r="E271" t="s">
        <v>192</v>
      </c>
      <c r="F271" s="534">
        <v>1</v>
      </c>
      <c r="G271" t="s">
        <v>193</v>
      </c>
      <c r="H271" t="s">
        <v>194</v>
      </c>
      <c r="I271" t="s">
        <v>20307</v>
      </c>
      <c r="J271" t="s">
        <v>9302</v>
      </c>
      <c r="K271" s="28" t="s">
        <v>9309</v>
      </c>
      <c r="L271" t="s">
        <v>6955</v>
      </c>
      <c r="N271" t="s">
        <v>21435</v>
      </c>
      <c r="O271" t="s">
        <v>6286</v>
      </c>
      <c r="P271" t="s">
        <v>20309</v>
      </c>
      <c r="Q271" t="s">
        <v>20310</v>
      </c>
      <c r="R271" t="s">
        <v>20311</v>
      </c>
      <c r="S271" t="s">
        <v>21436</v>
      </c>
      <c r="T271" t="s">
        <v>21437</v>
      </c>
      <c r="W271" t="s">
        <v>609</v>
      </c>
      <c r="X271" t="s">
        <v>193</v>
      </c>
      <c r="Y271" s="28" t="s">
        <v>9310</v>
      </c>
      <c r="AB271" t="s">
        <v>9311</v>
      </c>
      <c r="AH271" t="s">
        <v>4714</v>
      </c>
      <c r="AI271" t="s">
        <v>21434</v>
      </c>
      <c r="AJ271" s="28" t="str">
        <f t="shared" si="8"/>
        <v>331301</v>
      </c>
      <c r="AK271" s="420">
        <v>1</v>
      </c>
      <c r="AL271" s="420">
        <f t="shared" si="9"/>
        <v>1</v>
      </c>
      <c r="AM271" s="420">
        <v>1</v>
      </c>
      <c r="AN271" t="s">
        <v>17650</v>
      </c>
      <c r="AO271" t="s">
        <v>17651</v>
      </c>
      <c r="AP271" t="s">
        <v>17652</v>
      </c>
      <c r="AQ271" t="s">
        <v>17653</v>
      </c>
      <c r="AR271" t="s">
        <v>1024</v>
      </c>
    </row>
    <row r="272" spans="1:44" x14ac:dyDescent="0.25">
      <c r="A272" t="s">
        <v>14490</v>
      </c>
      <c r="B272" t="s">
        <v>21438</v>
      </c>
      <c r="C272" s="410" t="s">
        <v>36</v>
      </c>
      <c r="D272" t="s">
        <v>20306</v>
      </c>
      <c r="E272" t="s">
        <v>192</v>
      </c>
      <c r="F272" s="534">
        <v>1</v>
      </c>
      <c r="G272" t="s">
        <v>193</v>
      </c>
      <c r="H272" t="s">
        <v>194</v>
      </c>
      <c r="I272" t="s">
        <v>20322</v>
      </c>
      <c r="J272" t="s">
        <v>9302</v>
      </c>
      <c r="K272" s="28" t="s">
        <v>9309</v>
      </c>
      <c r="L272" t="s">
        <v>6955</v>
      </c>
      <c r="N272" t="s">
        <v>21439</v>
      </c>
      <c r="O272" t="s">
        <v>7531</v>
      </c>
      <c r="P272" t="s">
        <v>20309</v>
      </c>
      <c r="Q272" t="s">
        <v>20310</v>
      </c>
      <c r="R272" t="s">
        <v>20311</v>
      </c>
      <c r="S272" t="s">
        <v>21440</v>
      </c>
      <c r="T272" t="s">
        <v>21441</v>
      </c>
      <c r="W272" t="s">
        <v>609</v>
      </c>
      <c r="X272" t="s">
        <v>193</v>
      </c>
      <c r="Y272" s="28" t="s">
        <v>9310</v>
      </c>
      <c r="AB272" t="s">
        <v>9311</v>
      </c>
      <c r="AH272" t="s">
        <v>4714</v>
      </c>
      <c r="AI272" t="s">
        <v>21438</v>
      </c>
      <c r="AJ272" s="28" t="str">
        <f t="shared" si="8"/>
        <v>331301</v>
      </c>
      <c r="AK272" s="420">
        <v>1</v>
      </c>
      <c r="AL272" s="420">
        <f t="shared" si="9"/>
        <v>1</v>
      </c>
      <c r="AM272" s="420">
        <v>1</v>
      </c>
      <c r="AN272" t="s">
        <v>17650</v>
      </c>
      <c r="AO272" t="s">
        <v>17651</v>
      </c>
      <c r="AP272" t="s">
        <v>17652</v>
      </c>
      <c r="AQ272" t="s">
        <v>17653</v>
      </c>
      <c r="AR272" t="s">
        <v>1024</v>
      </c>
    </row>
    <row r="273" spans="1:44" x14ac:dyDescent="0.25">
      <c r="A273" t="s">
        <v>21442</v>
      </c>
      <c r="B273" t="s">
        <v>610</v>
      </c>
      <c r="C273" s="410" t="s">
        <v>36</v>
      </c>
      <c r="D273" t="s">
        <v>20306</v>
      </c>
      <c r="E273" t="s">
        <v>192</v>
      </c>
      <c r="F273" s="534">
        <v>1</v>
      </c>
      <c r="G273" t="s">
        <v>193</v>
      </c>
      <c r="H273" t="s">
        <v>194</v>
      </c>
      <c r="I273" t="s">
        <v>20483</v>
      </c>
      <c r="J273" t="s">
        <v>210</v>
      </c>
      <c r="K273" s="28" t="s">
        <v>9309</v>
      </c>
      <c r="L273" t="s">
        <v>6955</v>
      </c>
      <c r="N273" t="s">
        <v>21443</v>
      </c>
      <c r="O273" t="s">
        <v>7531</v>
      </c>
      <c r="P273" t="s">
        <v>20309</v>
      </c>
      <c r="Q273" t="s">
        <v>20310</v>
      </c>
      <c r="R273" t="s">
        <v>20311</v>
      </c>
      <c r="S273" t="s">
        <v>21444</v>
      </c>
      <c r="T273" t="s">
        <v>21445</v>
      </c>
      <c r="V273" s="28" t="s">
        <v>9334</v>
      </c>
      <c r="W273" t="s">
        <v>609</v>
      </c>
      <c r="X273" t="s">
        <v>194</v>
      </c>
      <c r="Y273" s="28" t="s">
        <v>9300</v>
      </c>
      <c r="AB273" t="s">
        <v>9311</v>
      </c>
      <c r="AH273" t="s">
        <v>4714</v>
      </c>
      <c r="AI273" t="s">
        <v>610</v>
      </c>
      <c r="AJ273" s="28" t="str">
        <f t="shared" si="8"/>
        <v>331301</v>
      </c>
      <c r="AK273" s="420">
        <v>1</v>
      </c>
      <c r="AL273" s="420">
        <f t="shared" si="9"/>
        <v>1</v>
      </c>
      <c r="AM273" s="420">
        <v>1</v>
      </c>
      <c r="AN273" t="s">
        <v>17650</v>
      </c>
      <c r="AO273" t="s">
        <v>17651</v>
      </c>
      <c r="AP273" t="s">
        <v>17652</v>
      </c>
      <c r="AQ273" t="s">
        <v>17653</v>
      </c>
      <c r="AR273" t="s">
        <v>1024</v>
      </c>
    </row>
    <row r="274" spans="1:44" x14ac:dyDescent="0.25">
      <c r="A274" t="s">
        <v>21446</v>
      </c>
      <c r="B274" t="s">
        <v>21447</v>
      </c>
      <c r="C274" s="410" t="s">
        <v>36</v>
      </c>
      <c r="D274" t="s">
        <v>20306</v>
      </c>
      <c r="E274" t="s">
        <v>192</v>
      </c>
      <c r="F274" s="534">
        <v>1</v>
      </c>
      <c r="G274" t="s">
        <v>193</v>
      </c>
      <c r="H274" t="s">
        <v>194</v>
      </c>
      <c r="I274" t="s">
        <v>20307</v>
      </c>
      <c r="J274" t="s">
        <v>316</v>
      </c>
      <c r="K274" s="28" t="s">
        <v>9309</v>
      </c>
      <c r="L274" t="s">
        <v>6955</v>
      </c>
      <c r="N274" t="s">
        <v>21448</v>
      </c>
      <c r="O274" t="s">
        <v>6254</v>
      </c>
      <c r="P274" t="s">
        <v>20309</v>
      </c>
      <c r="Q274" t="s">
        <v>20310</v>
      </c>
      <c r="R274" t="s">
        <v>20311</v>
      </c>
      <c r="S274" t="s">
        <v>21449</v>
      </c>
      <c r="T274" t="s">
        <v>21450</v>
      </c>
      <c r="V274" s="28" t="s">
        <v>10012</v>
      </c>
      <c r="W274" t="s">
        <v>609</v>
      </c>
      <c r="X274" t="s">
        <v>194</v>
      </c>
      <c r="Y274" s="28" t="s">
        <v>9300</v>
      </c>
      <c r="AB274" t="s">
        <v>9311</v>
      </c>
      <c r="AH274" t="s">
        <v>4714</v>
      </c>
      <c r="AI274" t="s">
        <v>21447</v>
      </c>
      <c r="AJ274" s="28" t="str">
        <f t="shared" si="8"/>
        <v>331301</v>
      </c>
      <c r="AK274" s="420">
        <v>1</v>
      </c>
      <c r="AL274" s="420">
        <f t="shared" si="9"/>
        <v>1</v>
      </c>
      <c r="AM274" s="420">
        <v>1</v>
      </c>
      <c r="AN274" t="s">
        <v>17650</v>
      </c>
      <c r="AO274" t="s">
        <v>17651</v>
      </c>
      <c r="AP274" t="s">
        <v>17652</v>
      </c>
      <c r="AQ274" t="s">
        <v>17653</v>
      </c>
      <c r="AR274" t="s">
        <v>1024</v>
      </c>
    </row>
    <row r="275" spans="1:44" x14ac:dyDescent="0.25">
      <c r="A275" t="s">
        <v>21451</v>
      </c>
      <c r="B275" t="s">
        <v>21452</v>
      </c>
      <c r="C275" s="410" t="s">
        <v>727</v>
      </c>
      <c r="D275" t="s">
        <v>20326</v>
      </c>
      <c r="E275" t="s">
        <v>192</v>
      </c>
      <c r="F275" s="539">
        <v>9</v>
      </c>
      <c r="G275" t="s">
        <v>193</v>
      </c>
      <c r="H275" t="s">
        <v>194</v>
      </c>
      <c r="I275" t="s">
        <v>20389</v>
      </c>
      <c r="J275" t="s">
        <v>210</v>
      </c>
      <c r="K275" s="28" t="s">
        <v>9309</v>
      </c>
      <c r="L275" t="s">
        <v>6955</v>
      </c>
      <c r="N275" t="s">
        <v>21453</v>
      </c>
      <c r="O275" t="s">
        <v>6343</v>
      </c>
      <c r="P275" t="s">
        <v>20328</v>
      </c>
      <c r="Q275" t="s">
        <v>20329</v>
      </c>
      <c r="R275" t="s">
        <v>20306</v>
      </c>
      <c r="S275" t="s">
        <v>21454</v>
      </c>
      <c r="T275" t="s">
        <v>21455</v>
      </c>
      <c r="V275" s="28" t="s">
        <v>9334</v>
      </c>
      <c r="W275" t="s">
        <v>728</v>
      </c>
      <c r="X275" t="s">
        <v>194</v>
      </c>
      <c r="Y275" s="28" t="s">
        <v>9300</v>
      </c>
      <c r="AB275" t="s">
        <v>9311</v>
      </c>
      <c r="AH275" t="s">
        <v>4714</v>
      </c>
      <c r="AI275" t="s">
        <v>21452</v>
      </c>
      <c r="AJ275" s="28" t="str">
        <f t="shared" si="8"/>
        <v>512001</v>
      </c>
      <c r="AK275" s="420">
        <v>1</v>
      </c>
      <c r="AL275" s="540">
        <f>F275</f>
        <v>9</v>
      </c>
      <c r="AM275" s="420">
        <v>1</v>
      </c>
      <c r="AN275" t="s">
        <v>17650</v>
      </c>
      <c r="AO275" t="s">
        <v>17651</v>
      </c>
      <c r="AP275" t="s">
        <v>17652</v>
      </c>
      <c r="AQ275" t="s">
        <v>17653</v>
      </c>
      <c r="AR275" t="s">
        <v>1024</v>
      </c>
    </row>
    <row r="276" spans="1:44" x14ac:dyDescent="0.25">
      <c r="A276" t="s">
        <v>18002</v>
      </c>
      <c r="B276" t="s">
        <v>21456</v>
      </c>
      <c r="C276" s="410" t="s">
        <v>727</v>
      </c>
      <c r="D276" t="s">
        <v>20317</v>
      </c>
      <c r="E276" t="s">
        <v>192</v>
      </c>
      <c r="F276" s="534">
        <v>1</v>
      </c>
      <c r="G276" t="s">
        <v>193</v>
      </c>
      <c r="H276" t="s">
        <v>194</v>
      </c>
      <c r="I276" t="s">
        <v>20405</v>
      </c>
      <c r="J276" t="s">
        <v>316</v>
      </c>
      <c r="K276" s="28" t="s">
        <v>9309</v>
      </c>
      <c r="L276" t="s">
        <v>6955</v>
      </c>
      <c r="N276" t="s">
        <v>21457</v>
      </c>
      <c r="O276" t="s">
        <v>6343</v>
      </c>
      <c r="P276" t="s">
        <v>20320</v>
      </c>
      <c r="Q276" t="s">
        <v>20321</v>
      </c>
      <c r="R276" t="s">
        <v>20322</v>
      </c>
      <c r="S276" t="s">
        <v>21458</v>
      </c>
      <c r="T276" t="s">
        <v>21459</v>
      </c>
      <c r="V276" s="28" t="s">
        <v>10012</v>
      </c>
      <c r="W276" t="s">
        <v>728</v>
      </c>
      <c r="X276" t="s">
        <v>194</v>
      </c>
      <c r="Y276" s="28" t="s">
        <v>9300</v>
      </c>
      <c r="AB276" t="s">
        <v>9311</v>
      </c>
      <c r="AH276" t="s">
        <v>4714</v>
      </c>
      <c r="AI276" t="s">
        <v>21456</v>
      </c>
      <c r="AJ276" s="28" t="str">
        <f t="shared" si="8"/>
        <v>512001</v>
      </c>
      <c r="AK276" s="420">
        <v>1</v>
      </c>
      <c r="AL276" s="420">
        <f t="shared" si="9"/>
        <v>1</v>
      </c>
      <c r="AM276" s="420">
        <v>1</v>
      </c>
      <c r="AN276" t="s">
        <v>17650</v>
      </c>
      <c r="AO276" t="s">
        <v>17651</v>
      </c>
      <c r="AP276" t="s">
        <v>17652</v>
      </c>
      <c r="AQ276" t="s">
        <v>17653</v>
      </c>
      <c r="AR276" t="s">
        <v>1024</v>
      </c>
    </row>
    <row r="277" spans="1:44" x14ac:dyDescent="0.25">
      <c r="A277" t="s">
        <v>21460</v>
      </c>
      <c r="B277" t="s">
        <v>2113</v>
      </c>
      <c r="C277" s="410" t="s">
        <v>727</v>
      </c>
      <c r="D277" t="s">
        <v>20306</v>
      </c>
      <c r="E277" t="s">
        <v>192</v>
      </c>
      <c r="F277" s="534">
        <v>1</v>
      </c>
      <c r="G277" t="s">
        <v>193</v>
      </c>
      <c r="H277" t="s">
        <v>194</v>
      </c>
      <c r="I277" t="s">
        <v>20307</v>
      </c>
      <c r="J277" t="s">
        <v>210</v>
      </c>
      <c r="K277" s="28" t="s">
        <v>9309</v>
      </c>
      <c r="L277" t="s">
        <v>6955</v>
      </c>
      <c r="N277" t="s">
        <v>21461</v>
      </c>
      <c r="O277" t="s">
        <v>6343</v>
      </c>
      <c r="P277" t="s">
        <v>20309</v>
      </c>
      <c r="Q277" t="s">
        <v>20310</v>
      </c>
      <c r="R277" t="s">
        <v>20418</v>
      </c>
      <c r="S277" t="s">
        <v>21462</v>
      </c>
      <c r="T277" t="s">
        <v>21463</v>
      </c>
      <c r="V277" s="28" t="s">
        <v>9334</v>
      </c>
      <c r="W277" t="s">
        <v>728</v>
      </c>
      <c r="X277" t="s">
        <v>194</v>
      </c>
      <c r="Y277" s="28" t="s">
        <v>9300</v>
      </c>
      <c r="AB277" t="s">
        <v>9311</v>
      </c>
      <c r="AH277" t="s">
        <v>4714</v>
      </c>
      <c r="AI277" t="s">
        <v>2113</v>
      </c>
      <c r="AJ277" s="28" t="str">
        <f t="shared" si="8"/>
        <v>512001</v>
      </c>
      <c r="AK277" s="420">
        <v>1</v>
      </c>
      <c r="AL277" s="420">
        <f t="shared" si="9"/>
        <v>1</v>
      </c>
      <c r="AM277" s="420">
        <v>1</v>
      </c>
      <c r="AN277" t="s">
        <v>17650</v>
      </c>
      <c r="AO277" t="s">
        <v>17651</v>
      </c>
      <c r="AP277" t="s">
        <v>17652</v>
      </c>
      <c r="AQ277" t="s">
        <v>17653</v>
      </c>
      <c r="AR277" t="s">
        <v>1024</v>
      </c>
    </row>
    <row r="278" spans="1:44" x14ac:dyDescent="0.25">
      <c r="A278" t="s">
        <v>4022</v>
      </c>
      <c r="B278" t="s">
        <v>21464</v>
      </c>
      <c r="C278" s="410" t="s">
        <v>21465</v>
      </c>
      <c r="D278" t="s">
        <v>20306</v>
      </c>
      <c r="E278" t="s">
        <v>217</v>
      </c>
      <c r="F278" s="534">
        <v>1</v>
      </c>
      <c r="G278" t="s">
        <v>193</v>
      </c>
      <c r="H278" t="s">
        <v>194</v>
      </c>
      <c r="I278" t="s">
        <v>20307</v>
      </c>
      <c r="J278" t="s">
        <v>15466</v>
      </c>
      <c r="K278" s="28" t="s">
        <v>9309</v>
      </c>
      <c r="L278" t="s">
        <v>6955</v>
      </c>
      <c r="N278" t="s">
        <v>21466</v>
      </c>
      <c r="O278" t="s">
        <v>6269</v>
      </c>
      <c r="P278" t="s">
        <v>20688</v>
      </c>
      <c r="Q278" t="s">
        <v>20318</v>
      </c>
      <c r="R278" t="s">
        <v>20418</v>
      </c>
      <c r="S278" t="s">
        <v>21467</v>
      </c>
      <c r="T278" t="s">
        <v>21468</v>
      </c>
      <c r="W278" t="s">
        <v>21469</v>
      </c>
      <c r="X278" t="s">
        <v>193</v>
      </c>
      <c r="Y278" s="28" t="s">
        <v>9310</v>
      </c>
      <c r="AB278" t="s">
        <v>9311</v>
      </c>
      <c r="AH278" t="s">
        <v>4714</v>
      </c>
      <c r="AI278" t="s">
        <v>9433</v>
      </c>
      <c r="AJ278" s="28" t="str">
        <f t="shared" si="8"/>
        <v>221214</v>
      </c>
      <c r="AK278" s="420">
        <v>1</v>
      </c>
      <c r="AL278" s="420">
        <f t="shared" si="9"/>
        <v>1</v>
      </c>
      <c r="AM278" s="420">
        <v>1</v>
      </c>
      <c r="AN278" t="s">
        <v>17650</v>
      </c>
      <c r="AO278" t="s">
        <v>17651</v>
      </c>
      <c r="AP278" t="s">
        <v>17652</v>
      </c>
      <c r="AQ278" t="s">
        <v>17653</v>
      </c>
      <c r="AR278" t="s">
        <v>1024</v>
      </c>
    </row>
    <row r="279" spans="1:44" x14ac:dyDescent="0.25">
      <c r="A279" t="s">
        <v>21470</v>
      </c>
      <c r="B279" t="s">
        <v>21471</v>
      </c>
      <c r="C279" s="410" t="s">
        <v>396</v>
      </c>
      <c r="D279" t="s">
        <v>20326</v>
      </c>
      <c r="E279" t="s">
        <v>192</v>
      </c>
      <c r="F279" s="534">
        <v>1</v>
      </c>
      <c r="G279" t="s">
        <v>193</v>
      </c>
      <c r="H279" t="s">
        <v>194</v>
      </c>
      <c r="I279" t="s">
        <v>20333</v>
      </c>
      <c r="J279" t="s">
        <v>9302</v>
      </c>
      <c r="K279" s="28" t="s">
        <v>9309</v>
      </c>
      <c r="L279" t="s">
        <v>6955</v>
      </c>
      <c r="N279" t="s">
        <v>21472</v>
      </c>
      <c r="O279" t="s">
        <v>6312</v>
      </c>
      <c r="P279" t="s">
        <v>20328</v>
      </c>
      <c r="Q279" t="s">
        <v>20329</v>
      </c>
      <c r="R279" t="s">
        <v>20689</v>
      </c>
      <c r="S279" t="s">
        <v>21473</v>
      </c>
      <c r="T279" t="s">
        <v>21474</v>
      </c>
      <c r="W279" t="s">
        <v>397</v>
      </c>
      <c r="X279" t="s">
        <v>193</v>
      </c>
      <c r="Y279" s="28" t="s">
        <v>9310</v>
      </c>
      <c r="AB279" t="s">
        <v>9311</v>
      </c>
      <c r="AH279" t="s">
        <v>4714</v>
      </c>
      <c r="AI279" t="s">
        <v>21471</v>
      </c>
      <c r="AJ279" s="28" t="str">
        <f t="shared" si="8"/>
        <v>235301</v>
      </c>
      <c r="AK279" s="420">
        <v>1</v>
      </c>
      <c r="AL279" s="420">
        <f t="shared" si="9"/>
        <v>1</v>
      </c>
      <c r="AM279" s="420">
        <v>1</v>
      </c>
      <c r="AN279" t="s">
        <v>17650</v>
      </c>
      <c r="AO279" t="s">
        <v>17651</v>
      </c>
      <c r="AP279" t="s">
        <v>17652</v>
      </c>
      <c r="AQ279" t="s">
        <v>17653</v>
      </c>
      <c r="AR279" t="s">
        <v>1024</v>
      </c>
    </row>
    <row r="280" spans="1:44" x14ac:dyDescent="0.25">
      <c r="A280" t="s">
        <v>18808</v>
      </c>
      <c r="B280" t="s">
        <v>21475</v>
      </c>
      <c r="C280" s="410" t="s">
        <v>396</v>
      </c>
      <c r="D280" t="s">
        <v>20317</v>
      </c>
      <c r="E280" t="s">
        <v>192</v>
      </c>
      <c r="F280" s="534">
        <v>1</v>
      </c>
      <c r="G280" t="s">
        <v>193</v>
      </c>
      <c r="H280" t="s">
        <v>194</v>
      </c>
      <c r="I280" t="s">
        <v>20399</v>
      </c>
      <c r="J280" t="s">
        <v>253</v>
      </c>
      <c r="K280" s="28" t="s">
        <v>9309</v>
      </c>
      <c r="L280" t="s">
        <v>6955</v>
      </c>
      <c r="N280" t="s">
        <v>21476</v>
      </c>
      <c r="O280" t="s">
        <v>6312</v>
      </c>
      <c r="P280" t="s">
        <v>20320</v>
      </c>
      <c r="Q280" t="s">
        <v>20321</v>
      </c>
      <c r="R280" t="s">
        <v>20322</v>
      </c>
      <c r="S280" t="s">
        <v>21477</v>
      </c>
      <c r="T280" t="s">
        <v>21478</v>
      </c>
      <c r="V280" s="28" t="s">
        <v>9468</v>
      </c>
      <c r="W280" t="s">
        <v>397</v>
      </c>
      <c r="X280" t="s">
        <v>194</v>
      </c>
      <c r="Y280" s="28" t="s">
        <v>9300</v>
      </c>
      <c r="AB280" t="s">
        <v>9311</v>
      </c>
      <c r="AH280" t="s">
        <v>4714</v>
      </c>
      <c r="AI280" t="s">
        <v>21475</v>
      </c>
      <c r="AJ280" s="28" t="str">
        <f t="shared" si="8"/>
        <v>235301</v>
      </c>
      <c r="AK280" s="420">
        <v>1</v>
      </c>
      <c r="AL280" s="420">
        <f t="shared" si="9"/>
        <v>1</v>
      </c>
      <c r="AM280" s="420">
        <v>1</v>
      </c>
      <c r="AN280" t="s">
        <v>17650</v>
      </c>
      <c r="AO280" t="s">
        <v>17651</v>
      </c>
      <c r="AP280" t="s">
        <v>17652</v>
      </c>
      <c r="AQ280" t="s">
        <v>17653</v>
      </c>
      <c r="AR280" t="s">
        <v>1024</v>
      </c>
    </row>
    <row r="281" spans="1:44" x14ac:dyDescent="0.25">
      <c r="A281" t="s">
        <v>16553</v>
      </c>
      <c r="B281" t="s">
        <v>21479</v>
      </c>
      <c r="C281" s="410" t="s">
        <v>1657</v>
      </c>
      <c r="D281" t="s">
        <v>20317</v>
      </c>
      <c r="E281" t="s">
        <v>192</v>
      </c>
      <c r="F281" s="534">
        <v>1</v>
      </c>
      <c r="G281" t="s">
        <v>193</v>
      </c>
      <c r="H281" t="s">
        <v>194</v>
      </c>
      <c r="I281" t="s">
        <v>20318</v>
      </c>
      <c r="J281" t="s">
        <v>210</v>
      </c>
      <c r="K281" s="28" t="s">
        <v>9309</v>
      </c>
      <c r="L281" t="s">
        <v>6955</v>
      </c>
      <c r="N281" t="s">
        <v>21480</v>
      </c>
      <c r="O281" t="s">
        <v>7531</v>
      </c>
      <c r="P281" t="s">
        <v>20320</v>
      </c>
      <c r="Q281" t="s">
        <v>20321</v>
      </c>
      <c r="R281" t="s">
        <v>20322</v>
      </c>
      <c r="S281" t="s">
        <v>21481</v>
      </c>
      <c r="T281" t="s">
        <v>21482</v>
      </c>
      <c r="V281" s="28" t="s">
        <v>9334</v>
      </c>
      <c r="W281" t="s">
        <v>1658</v>
      </c>
      <c r="X281" t="s">
        <v>194</v>
      </c>
      <c r="Y281" s="28" t="s">
        <v>9300</v>
      </c>
      <c r="AB281" t="s">
        <v>9311</v>
      </c>
      <c r="AH281" t="s">
        <v>4714</v>
      </c>
      <c r="AI281" t="s">
        <v>21479</v>
      </c>
      <c r="AJ281" s="28" t="str">
        <f t="shared" si="8"/>
        <v>331502</v>
      </c>
      <c r="AK281" s="420">
        <v>1</v>
      </c>
      <c r="AL281" s="420">
        <f t="shared" si="9"/>
        <v>1</v>
      </c>
      <c r="AM281" s="420">
        <v>1</v>
      </c>
      <c r="AN281" t="s">
        <v>17650</v>
      </c>
      <c r="AO281" t="s">
        <v>17651</v>
      </c>
      <c r="AP281" t="s">
        <v>17652</v>
      </c>
      <c r="AQ281" t="s">
        <v>17653</v>
      </c>
      <c r="AR281" t="s">
        <v>1024</v>
      </c>
    </row>
    <row r="282" spans="1:44" x14ac:dyDescent="0.25">
      <c r="A282" t="s">
        <v>7155</v>
      </c>
      <c r="B282" t="s">
        <v>21483</v>
      </c>
      <c r="C282" s="410" t="s">
        <v>21484</v>
      </c>
      <c r="D282" t="s">
        <v>20338</v>
      </c>
      <c r="E282" t="s">
        <v>233</v>
      </c>
      <c r="F282" s="534">
        <v>1</v>
      </c>
      <c r="G282" t="s">
        <v>193</v>
      </c>
      <c r="H282" t="s">
        <v>194</v>
      </c>
      <c r="I282" t="s">
        <v>20307</v>
      </c>
      <c r="J282" t="s">
        <v>210</v>
      </c>
      <c r="K282" s="28" t="s">
        <v>9309</v>
      </c>
      <c r="L282" t="s">
        <v>6955</v>
      </c>
      <c r="N282" t="s">
        <v>21485</v>
      </c>
      <c r="O282" t="s">
        <v>6306</v>
      </c>
      <c r="P282" t="s">
        <v>20541</v>
      </c>
      <c r="Q282" t="s">
        <v>20389</v>
      </c>
      <c r="R282" t="s">
        <v>20542</v>
      </c>
      <c r="S282" t="s">
        <v>21486</v>
      </c>
      <c r="T282" t="s">
        <v>21487</v>
      </c>
      <c r="V282" s="28" t="s">
        <v>9334</v>
      </c>
      <c r="W282" t="s">
        <v>21488</v>
      </c>
      <c r="X282" t="s">
        <v>194</v>
      </c>
      <c r="Y282" s="28" t="s">
        <v>9300</v>
      </c>
      <c r="AB282" t="s">
        <v>9311</v>
      </c>
      <c r="AH282" t="s">
        <v>4714</v>
      </c>
      <c r="AI282" t="s">
        <v>21483</v>
      </c>
      <c r="AJ282" s="28" t="str">
        <f t="shared" si="8"/>
        <v>441203</v>
      </c>
      <c r="AK282" s="420">
        <v>1</v>
      </c>
      <c r="AL282" s="420">
        <f t="shared" si="9"/>
        <v>1</v>
      </c>
      <c r="AM282" s="420">
        <v>1</v>
      </c>
      <c r="AN282" t="s">
        <v>17650</v>
      </c>
      <c r="AO282" t="s">
        <v>17651</v>
      </c>
      <c r="AP282" t="s">
        <v>17652</v>
      </c>
      <c r="AQ282" t="s">
        <v>17653</v>
      </c>
      <c r="AR282" t="s">
        <v>1024</v>
      </c>
    </row>
    <row r="283" spans="1:44" x14ac:dyDescent="0.25">
      <c r="A283" t="s">
        <v>1622</v>
      </c>
      <c r="B283" t="s">
        <v>21489</v>
      </c>
      <c r="C283" s="410" t="s">
        <v>67</v>
      </c>
      <c r="D283" t="s">
        <v>20317</v>
      </c>
      <c r="E283" t="s">
        <v>233</v>
      </c>
      <c r="F283" s="534">
        <v>1</v>
      </c>
      <c r="G283" t="s">
        <v>193</v>
      </c>
      <c r="H283" t="s">
        <v>194</v>
      </c>
      <c r="I283" t="s">
        <v>20333</v>
      </c>
      <c r="J283" t="s">
        <v>210</v>
      </c>
      <c r="K283" s="28" t="s">
        <v>9309</v>
      </c>
      <c r="L283" t="s">
        <v>6955</v>
      </c>
      <c r="N283" t="s">
        <v>21490</v>
      </c>
      <c r="O283" t="s">
        <v>6266</v>
      </c>
      <c r="P283" t="s">
        <v>20565</v>
      </c>
      <c r="Q283" t="s">
        <v>20566</v>
      </c>
      <c r="R283" t="s">
        <v>20389</v>
      </c>
      <c r="S283" t="s">
        <v>21491</v>
      </c>
      <c r="T283" t="s">
        <v>21492</v>
      </c>
      <c r="V283" s="28" t="s">
        <v>9334</v>
      </c>
      <c r="W283" t="s">
        <v>709</v>
      </c>
      <c r="X283" t="s">
        <v>194</v>
      </c>
      <c r="Y283" s="28" t="s">
        <v>9300</v>
      </c>
      <c r="AB283" t="s">
        <v>9311</v>
      </c>
      <c r="AH283" t="s">
        <v>4714</v>
      </c>
      <c r="AI283" t="s">
        <v>21489</v>
      </c>
      <c r="AJ283" s="28" t="str">
        <f t="shared" si="8"/>
        <v>432103</v>
      </c>
      <c r="AK283" s="420">
        <v>1</v>
      </c>
      <c r="AL283" s="420">
        <f t="shared" si="9"/>
        <v>1</v>
      </c>
      <c r="AM283" s="420">
        <v>1</v>
      </c>
      <c r="AN283" t="s">
        <v>17650</v>
      </c>
      <c r="AO283" t="s">
        <v>17651</v>
      </c>
      <c r="AP283" t="s">
        <v>17652</v>
      </c>
      <c r="AQ283" t="s">
        <v>17653</v>
      </c>
      <c r="AR283" t="s">
        <v>1024</v>
      </c>
    </row>
    <row r="284" spans="1:44" x14ac:dyDescent="0.25">
      <c r="A284" t="s">
        <v>21493</v>
      </c>
      <c r="B284" t="s">
        <v>21494</v>
      </c>
      <c r="C284" s="410" t="s">
        <v>67</v>
      </c>
      <c r="D284" t="s">
        <v>20338</v>
      </c>
      <c r="E284" t="s">
        <v>233</v>
      </c>
      <c r="F284" s="534">
        <v>1</v>
      </c>
      <c r="G284" t="s">
        <v>194</v>
      </c>
      <c r="H284" t="s">
        <v>193</v>
      </c>
      <c r="I284" t="s">
        <v>20307</v>
      </c>
      <c r="J284" t="s">
        <v>9302</v>
      </c>
      <c r="K284" s="28" t="s">
        <v>9309</v>
      </c>
      <c r="L284" t="s">
        <v>6955</v>
      </c>
      <c r="N284" t="s">
        <v>21495</v>
      </c>
      <c r="O284" t="s">
        <v>6266</v>
      </c>
      <c r="P284" t="s">
        <v>20541</v>
      </c>
      <c r="Q284" t="s">
        <v>20389</v>
      </c>
      <c r="R284" t="s">
        <v>20542</v>
      </c>
      <c r="S284" t="s">
        <v>21496</v>
      </c>
      <c r="T284" t="s">
        <v>21497</v>
      </c>
      <c r="W284" t="s">
        <v>709</v>
      </c>
      <c r="X284" t="s">
        <v>194</v>
      </c>
      <c r="Y284" s="28" t="s">
        <v>9946</v>
      </c>
      <c r="AB284" t="s">
        <v>9311</v>
      </c>
      <c r="AH284" t="s">
        <v>4714</v>
      </c>
      <c r="AI284" t="s">
        <v>21494</v>
      </c>
      <c r="AJ284" s="28" t="str">
        <f t="shared" si="8"/>
        <v>432103</v>
      </c>
      <c r="AK284" s="420">
        <v>1</v>
      </c>
      <c r="AL284" s="420">
        <f t="shared" si="9"/>
        <v>1</v>
      </c>
      <c r="AM284" s="420">
        <v>1</v>
      </c>
      <c r="AN284" t="s">
        <v>17650</v>
      </c>
      <c r="AO284" t="s">
        <v>17651</v>
      </c>
      <c r="AP284" t="s">
        <v>17652</v>
      </c>
      <c r="AQ284" t="s">
        <v>17653</v>
      </c>
      <c r="AR284" t="s">
        <v>1024</v>
      </c>
    </row>
    <row r="285" spans="1:44" x14ac:dyDescent="0.25">
      <c r="A285" t="s">
        <v>19537</v>
      </c>
      <c r="B285" t="s">
        <v>21498</v>
      </c>
      <c r="C285" s="410" t="s">
        <v>67</v>
      </c>
      <c r="D285" t="s">
        <v>20338</v>
      </c>
      <c r="E285" t="s">
        <v>192</v>
      </c>
      <c r="F285" s="534">
        <v>1</v>
      </c>
      <c r="G285" t="s">
        <v>193</v>
      </c>
      <c r="H285" t="s">
        <v>194</v>
      </c>
      <c r="I285" t="s">
        <v>20307</v>
      </c>
      <c r="J285" t="s">
        <v>672</v>
      </c>
      <c r="K285" s="28" t="s">
        <v>9309</v>
      </c>
      <c r="L285" t="s">
        <v>6955</v>
      </c>
      <c r="N285" t="s">
        <v>21499</v>
      </c>
      <c r="O285" t="s">
        <v>6275</v>
      </c>
      <c r="P285" t="s">
        <v>20398</v>
      </c>
      <c r="Q285" t="s">
        <v>20399</v>
      </c>
      <c r="R285" t="s">
        <v>20400</v>
      </c>
      <c r="S285" t="s">
        <v>21500</v>
      </c>
      <c r="T285" t="s">
        <v>21501</v>
      </c>
      <c r="V285" s="28" t="s">
        <v>9726</v>
      </c>
      <c r="W285" t="s">
        <v>709</v>
      </c>
      <c r="X285" t="s">
        <v>194</v>
      </c>
      <c r="Y285" s="28" t="s">
        <v>9300</v>
      </c>
      <c r="AB285" t="s">
        <v>9311</v>
      </c>
      <c r="AH285" t="s">
        <v>4714</v>
      </c>
      <c r="AI285" t="s">
        <v>21498</v>
      </c>
      <c r="AJ285" s="28" t="str">
        <f t="shared" si="8"/>
        <v>432103</v>
      </c>
      <c r="AK285" s="420">
        <v>1</v>
      </c>
      <c r="AL285" s="420">
        <f t="shared" si="9"/>
        <v>1</v>
      </c>
      <c r="AM285" s="420">
        <v>1</v>
      </c>
      <c r="AN285" t="s">
        <v>17650</v>
      </c>
      <c r="AO285" t="s">
        <v>17651</v>
      </c>
      <c r="AP285" t="s">
        <v>17652</v>
      </c>
      <c r="AQ285" t="s">
        <v>17653</v>
      </c>
      <c r="AR285" t="s">
        <v>1024</v>
      </c>
    </row>
    <row r="286" spans="1:44" x14ac:dyDescent="0.25">
      <c r="A286" t="s">
        <v>1945</v>
      </c>
      <c r="B286" t="s">
        <v>67</v>
      </c>
      <c r="C286" s="410" t="s">
        <v>67</v>
      </c>
      <c r="D286" t="s">
        <v>20338</v>
      </c>
      <c r="E286" t="s">
        <v>192</v>
      </c>
      <c r="F286" s="534">
        <v>1</v>
      </c>
      <c r="G286" t="s">
        <v>193</v>
      </c>
      <c r="H286" t="s">
        <v>194</v>
      </c>
      <c r="I286" t="s">
        <v>20405</v>
      </c>
      <c r="J286" t="s">
        <v>316</v>
      </c>
      <c r="K286" s="28" t="s">
        <v>9309</v>
      </c>
      <c r="L286" t="s">
        <v>6955</v>
      </c>
      <c r="N286" t="s">
        <v>21502</v>
      </c>
      <c r="O286" t="s">
        <v>6266</v>
      </c>
      <c r="P286" t="s">
        <v>20398</v>
      </c>
      <c r="Q286" t="s">
        <v>20399</v>
      </c>
      <c r="R286" t="s">
        <v>20400</v>
      </c>
      <c r="S286" t="s">
        <v>21503</v>
      </c>
      <c r="T286" t="s">
        <v>21504</v>
      </c>
      <c r="V286" s="28" t="s">
        <v>10012</v>
      </c>
      <c r="W286" t="s">
        <v>709</v>
      </c>
      <c r="X286" t="s">
        <v>194</v>
      </c>
      <c r="Y286" s="28" t="s">
        <v>9300</v>
      </c>
      <c r="AB286" t="s">
        <v>9311</v>
      </c>
      <c r="AH286" t="s">
        <v>4714</v>
      </c>
      <c r="AI286" t="s">
        <v>67</v>
      </c>
      <c r="AJ286" s="28" t="str">
        <f t="shared" si="8"/>
        <v>432103</v>
      </c>
      <c r="AK286" s="420">
        <v>1</v>
      </c>
      <c r="AL286" s="420">
        <f t="shared" si="9"/>
        <v>1</v>
      </c>
      <c r="AM286" s="420">
        <v>1</v>
      </c>
      <c r="AN286" t="s">
        <v>17650</v>
      </c>
      <c r="AO286" t="s">
        <v>17651</v>
      </c>
      <c r="AP286" t="s">
        <v>17652</v>
      </c>
      <c r="AQ286" t="s">
        <v>17653</v>
      </c>
      <c r="AR286" t="s">
        <v>1024</v>
      </c>
    </row>
    <row r="287" spans="1:44" x14ac:dyDescent="0.25">
      <c r="A287" t="s">
        <v>712</v>
      </c>
      <c r="B287" t="s">
        <v>67</v>
      </c>
      <c r="C287" s="410" t="s">
        <v>67</v>
      </c>
      <c r="D287" t="s">
        <v>20306</v>
      </c>
      <c r="E287" t="s">
        <v>233</v>
      </c>
      <c r="F287" s="534">
        <v>1</v>
      </c>
      <c r="G287" t="s">
        <v>193</v>
      </c>
      <c r="H287" t="s">
        <v>194</v>
      </c>
      <c r="I287" t="s">
        <v>20322</v>
      </c>
      <c r="J287" t="s">
        <v>210</v>
      </c>
      <c r="K287" s="28" t="s">
        <v>9309</v>
      </c>
      <c r="L287" t="s">
        <v>6955</v>
      </c>
      <c r="N287" t="s">
        <v>21505</v>
      </c>
      <c r="O287" t="s">
        <v>6266</v>
      </c>
      <c r="P287" t="s">
        <v>20417</v>
      </c>
      <c r="Q287" t="s">
        <v>20405</v>
      </c>
      <c r="R287" t="s">
        <v>20418</v>
      </c>
      <c r="S287" t="s">
        <v>21506</v>
      </c>
      <c r="T287" t="s">
        <v>21507</v>
      </c>
      <c r="V287" s="28" t="s">
        <v>9334</v>
      </c>
      <c r="W287" t="s">
        <v>709</v>
      </c>
      <c r="X287" t="s">
        <v>194</v>
      </c>
      <c r="Y287" s="28" t="s">
        <v>9300</v>
      </c>
      <c r="AB287" t="s">
        <v>9311</v>
      </c>
      <c r="AH287" t="s">
        <v>4714</v>
      </c>
      <c r="AI287" t="s">
        <v>67</v>
      </c>
      <c r="AJ287" s="28" t="str">
        <f t="shared" si="8"/>
        <v>432103</v>
      </c>
      <c r="AK287" s="420">
        <v>1</v>
      </c>
      <c r="AL287" s="420">
        <f t="shared" si="9"/>
        <v>1</v>
      </c>
      <c r="AM287" s="420">
        <v>1</v>
      </c>
      <c r="AN287" t="s">
        <v>17650</v>
      </c>
      <c r="AO287" t="s">
        <v>17651</v>
      </c>
      <c r="AP287" t="s">
        <v>17652</v>
      </c>
      <c r="AQ287" t="s">
        <v>17653</v>
      </c>
      <c r="AR287" t="s">
        <v>1024</v>
      </c>
    </row>
    <row r="288" spans="1:44" x14ac:dyDescent="0.25">
      <c r="A288" t="s">
        <v>21508</v>
      </c>
      <c r="B288" t="s">
        <v>21509</v>
      </c>
      <c r="C288" s="410" t="s">
        <v>67</v>
      </c>
      <c r="D288" t="s">
        <v>20306</v>
      </c>
      <c r="E288" t="s">
        <v>233</v>
      </c>
      <c r="F288" s="534">
        <v>1</v>
      </c>
      <c r="G288" t="s">
        <v>194</v>
      </c>
      <c r="H288" t="s">
        <v>193</v>
      </c>
      <c r="I288" t="s">
        <v>20307</v>
      </c>
      <c r="J288" t="s">
        <v>9302</v>
      </c>
      <c r="K288" s="28" t="s">
        <v>9309</v>
      </c>
      <c r="L288" t="s">
        <v>6955</v>
      </c>
      <c r="N288" t="s">
        <v>21510</v>
      </c>
      <c r="O288" t="s">
        <v>6266</v>
      </c>
      <c r="P288" t="s">
        <v>20417</v>
      </c>
      <c r="Q288" t="s">
        <v>20405</v>
      </c>
      <c r="R288" t="s">
        <v>20418</v>
      </c>
      <c r="S288" t="s">
        <v>21511</v>
      </c>
      <c r="T288" t="s">
        <v>21512</v>
      </c>
      <c r="W288" t="s">
        <v>709</v>
      </c>
      <c r="X288" t="s">
        <v>194</v>
      </c>
      <c r="Y288" s="28" t="s">
        <v>9946</v>
      </c>
      <c r="AB288" t="s">
        <v>9311</v>
      </c>
      <c r="AH288" t="s">
        <v>4714</v>
      </c>
      <c r="AI288" t="s">
        <v>21509</v>
      </c>
      <c r="AJ288" s="28" t="str">
        <f t="shared" si="8"/>
        <v>432103</v>
      </c>
      <c r="AK288" s="420">
        <v>1</v>
      </c>
      <c r="AL288" s="420">
        <f t="shared" si="9"/>
        <v>1</v>
      </c>
      <c r="AM288" s="420">
        <v>1</v>
      </c>
      <c r="AN288" t="s">
        <v>17650</v>
      </c>
      <c r="AO288" t="s">
        <v>17651</v>
      </c>
      <c r="AP288" t="s">
        <v>17652</v>
      </c>
      <c r="AQ288" t="s">
        <v>17653</v>
      </c>
      <c r="AR288" t="s">
        <v>1024</v>
      </c>
    </row>
    <row r="289" spans="1:44" x14ac:dyDescent="0.25">
      <c r="A289" t="s">
        <v>21513</v>
      </c>
      <c r="B289" t="s">
        <v>21514</v>
      </c>
      <c r="C289" s="410" t="s">
        <v>21515</v>
      </c>
      <c r="D289" t="s">
        <v>20326</v>
      </c>
      <c r="E289" t="s">
        <v>252</v>
      </c>
      <c r="F289" s="534">
        <v>1</v>
      </c>
      <c r="G289" t="s">
        <v>194</v>
      </c>
      <c r="H289" t="s">
        <v>193</v>
      </c>
      <c r="I289" t="s">
        <v>20333</v>
      </c>
      <c r="J289" t="s">
        <v>210</v>
      </c>
      <c r="K289" s="28" t="s">
        <v>9309</v>
      </c>
      <c r="L289" t="s">
        <v>6955</v>
      </c>
      <c r="N289" t="s">
        <v>21516</v>
      </c>
      <c r="O289" t="s">
        <v>6256</v>
      </c>
      <c r="P289" t="s">
        <v>21517</v>
      </c>
      <c r="Q289" t="s">
        <v>20510</v>
      </c>
      <c r="R289" t="s">
        <v>20635</v>
      </c>
      <c r="S289" t="s">
        <v>21518</v>
      </c>
      <c r="T289" t="s">
        <v>21519</v>
      </c>
      <c r="V289" s="28" t="s">
        <v>9334</v>
      </c>
      <c r="W289" t="s">
        <v>21520</v>
      </c>
      <c r="X289" t="s">
        <v>194</v>
      </c>
      <c r="Y289" s="28" t="s">
        <v>9300</v>
      </c>
      <c r="AB289" t="s">
        <v>9311</v>
      </c>
      <c r="AH289" t="s">
        <v>4714</v>
      </c>
      <c r="AI289" t="s">
        <v>9433</v>
      </c>
      <c r="AJ289" s="28" t="str">
        <f t="shared" si="8"/>
        <v>713102</v>
      </c>
      <c r="AK289" s="420">
        <v>1</v>
      </c>
      <c r="AL289" s="420">
        <f t="shared" si="9"/>
        <v>1</v>
      </c>
      <c r="AM289" s="420">
        <v>1</v>
      </c>
      <c r="AN289" t="s">
        <v>17650</v>
      </c>
      <c r="AO289" t="s">
        <v>17651</v>
      </c>
      <c r="AP289" t="s">
        <v>17652</v>
      </c>
      <c r="AQ289" t="s">
        <v>17653</v>
      </c>
      <c r="AR289" t="s">
        <v>1024</v>
      </c>
    </row>
    <row r="290" spans="1:44" x14ac:dyDescent="0.25">
      <c r="A290" t="s">
        <v>11871</v>
      </c>
      <c r="B290" t="s">
        <v>21521</v>
      </c>
      <c r="C290" s="410" t="s">
        <v>152</v>
      </c>
      <c r="D290" t="s">
        <v>20326</v>
      </c>
      <c r="E290" t="s">
        <v>192</v>
      </c>
      <c r="F290" s="534">
        <v>1</v>
      </c>
      <c r="G290" t="s">
        <v>193</v>
      </c>
      <c r="H290" t="s">
        <v>194</v>
      </c>
      <c r="I290" t="s">
        <v>20333</v>
      </c>
      <c r="J290" t="s">
        <v>672</v>
      </c>
      <c r="K290" s="28" t="s">
        <v>9309</v>
      </c>
      <c r="L290" t="s">
        <v>6955</v>
      </c>
      <c r="N290" t="s">
        <v>21522</v>
      </c>
      <c r="O290" t="s">
        <v>6258</v>
      </c>
      <c r="P290" t="s">
        <v>20328</v>
      </c>
      <c r="Q290" t="s">
        <v>20329</v>
      </c>
      <c r="R290" t="s">
        <v>20306</v>
      </c>
      <c r="S290" t="s">
        <v>21523</v>
      </c>
      <c r="T290" t="s">
        <v>21524</v>
      </c>
      <c r="V290" s="28" t="s">
        <v>9726</v>
      </c>
      <c r="W290" t="s">
        <v>2142</v>
      </c>
      <c r="X290" t="s">
        <v>194</v>
      </c>
      <c r="Y290" s="28" t="s">
        <v>9300</v>
      </c>
      <c r="AB290" t="s">
        <v>9311</v>
      </c>
      <c r="AH290" t="s">
        <v>4714</v>
      </c>
      <c r="AI290" t="s">
        <v>21521</v>
      </c>
      <c r="AJ290" s="28" t="str">
        <f t="shared" si="8"/>
        <v>723202</v>
      </c>
      <c r="AK290" s="420">
        <v>1</v>
      </c>
      <c r="AL290" s="420">
        <f t="shared" si="9"/>
        <v>1</v>
      </c>
      <c r="AM290" s="420">
        <v>1</v>
      </c>
      <c r="AN290" t="s">
        <v>17650</v>
      </c>
      <c r="AO290" t="s">
        <v>17651</v>
      </c>
      <c r="AP290" t="s">
        <v>17652</v>
      </c>
      <c r="AQ290" t="s">
        <v>17653</v>
      </c>
      <c r="AR290" t="s">
        <v>1024</v>
      </c>
    </row>
    <row r="291" spans="1:44" x14ac:dyDescent="0.25">
      <c r="A291" t="s">
        <v>21525</v>
      </c>
      <c r="B291" t="s">
        <v>21526</v>
      </c>
      <c r="C291" s="410" t="s">
        <v>444</v>
      </c>
      <c r="D291" t="s">
        <v>20317</v>
      </c>
      <c r="E291" t="s">
        <v>192</v>
      </c>
      <c r="F291" s="534">
        <v>1</v>
      </c>
      <c r="G291" t="s">
        <v>193</v>
      </c>
      <c r="H291" t="s">
        <v>194</v>
      </c>
      <c r="I291" t="s">
        <v>20405</v>
      </c>
      <c r="J291" t="s">
        <v>9302</v>
      </c>
      <c r="K291" s="28" t="s">
        <v>9309</v>
      </c>
      <c r="L291" t="s">
        <v>6955</v>
      </c>
      <c r="N291" t="s">
        <v>21527</v>
      </c>
      <c r="O291" t="s">
        <v>6374</v>
      </c>
      <c r="P291" t="s">
        <v>20320</v>
      </c>
      <c r="Q291" t="s">
        <v>20321</v>
      </c>
      <c r="R291" t="s">
        <v>20322</v>
      </c>
      <c r="S291" t="s">
        <v>21528</v>
      </c>
      <c r="T291" t="s">
        <v>21529</v>
      </c>
      <c r="W291" t="s">
        <v>445</v>
      </c>
      <c r="X291" t="s">
        <v>193</v>
      </c>
      <c r="Y291" s="28" t="s">
        <v>9310</v>
      </c>
      <c r="AB291" t="s">
        <v>9311</v>
      </c>
      <c r="AH291" t="s">
        <v>4714</v>
      </c>
      <c r="AI291" t="s">
        <v>21526</v>
      </c>
      <c r="AJ291" s="28" t="str">
        <f t="shared" si="8"/>
        <v>243103</v>
      </c>
      <c r="AK291" s="420">
        <v>1</v>
      </c>
      <c r="AL291" s="420">
        <f t="shared" si="9"/>
        <v>1</v>
      </c>
      <c r="AM291" s="420">
        <v>1</v>
      </c>
      <c r="AN291" t="s">
        <v>17650</v>
      </c>
      <c r="AO291" t="s">
        <v>17651</v>
      </c>
      <c r="AP291" t="s">
        <v>17652</v>
      </c>
      <c r="AQ291" t="s">
        <v>17653</v>
      </c>
      <c r="AR291" t="s">
        <v>1024</v>
      </c>
    </row>
    <row r="292" spans="1:44" x14ac:dyDescent="0.25">
      <c r="A292" t="s">
        <v>17434</v>
      </c>
      <c r="B292" t="s">
        <v>21530</v>
      </c>
      <c r="C292" s="410" t="s">
        <v>4580</v>
      </c>
      <c r="D292" t="s">
        <v>20326</v>
      </c>
      <c r="E292" t="s">
        <v>192</v>
      </c>
      <c r="F292" s="534">
        <v>1</v>
      </c>
      <c r="G292" t="s">
        <v>193</v>
      </c>
      <c r="H292" t="s">
        <v>194</v>
      </c>
      <c r="I292" t="s">
        <v>20318</v>
      </c>
      <c r="J292" t="s">
        <v>253</v>
      </c>
      <c r="K292" s="28" t="s">
        <v>9309</v>
      </c>
      <c r="L292" t="s">
        <v>6955</v>
      </c>
      <c r="N292" t="s">
        <v>21531</v>
      </c>
      <c r="O292" t="s">
        <v>6258</v>
      </c>
      <c r="P292" t="s">
        <v>20328</v>
      </c>
      <c r="Q292" t="s">
        <v>20329</v>
      </c>
      <c r="R292" t="s">
        <v>20306</v>
      </c>
      <c r="S292" t="s">
        <v>21532</v>
      </c>
      <c r="T292" t="s">
        <v>21533</v>
      </c>
      <c r="V292" s="28" t="s">
        <v>9468</v>
      </c>
      <c r="W292" t="s">
        <v>4581</v>
      </c>
      <c r="X292" t="s">
        <v>194</v>
      </c>
      <c r="Y292" s="28" t="s">
        <v>9300</v>
      </c>
      <c r="AB292" t="s">
        <v>9311</v>
      </c>
      <c r="AH292" t="s">
        <v>4714</v>
      </c>
      <c r="AI292" t="s">
        <v>21530</v>
      </c>
      <c r="AJ292" s="28" t="str">
        <f t="shared" si="8"/>
        <v>712703</v>
      </c>
      <c r="AK292" s="420">
        <v>1</v>
      </c>
      <c r="AL292" s="420">
        <f t="shared" si="9"/>
        <v>1</v>
      </c>
      <c r="AM292" s="420">
        <v>1</v>
      </c>
      <c r="AN292" t="s">
        <v>17650</v>
      </c>
      <c r="AO292" t="s">
        <v>17651</v>
      </c>
      <c r="AP292" t="s">
        <v>17652</v>
      </c>
      <c r="AQ292" t="s">
        <v>17653</v>
      </c>
      <c r="AR292" t="s">
        <v>1024</v>
      </c>
    </row>
    <row r="293" spans="1:44" x14ac:dyDescent="0.25">
      <c r="A293" t="s">
        <v>21534</v>
      </c>
      <c r="B293" t="s">
        <v>21535</v>
      </c>
      <c r="C293" s="410" t="s">
        <v>21536</v>
      </c>
      <c r="D293" t="s">
        <v>20317</v>
      </c>
      <c r="E293" t="s">
        <v>233</v>
      </c>
      <c r="F293" s="534">
        <v>1</v>
      </c>
      <c r="G293" t="s">
        <v>193</v>
      </c>
      <c r="H293" t="s">
        <v>194</v>
      </c>
      <c r="I293" t="s">
        <v>20333</v>
      </c>
      <c r="J293" t="s">
        <v>21537</v>
      </c>
      <c r="K293" s="28" t="s">
        <v>9309</v>
      </c>
      <c r="L293" t="s">
        <v>6955</v>
      </c>
      <c r="N293" t="s">
        <v>21538</v>
      </c>
      <c r="O293" t="s">
        <v>6275</v>
      </c>
      <c r="P293" t="s">
        <v>20565</v>
      </c>
      <c r="Q293" t="s">
        <v>20566</v>
      </c>
      <c r="R293" t="s">
        <v>20567</v>
      </c>
      <c r="S293" t="s">
        <v>21539</v>
      </c>
      <c r="T293" t="s">
        <v>21540</v>
      </c>
      <c r="V293" s="28" t="s">
        <v>9786</v>
      </c>
      <c r="W293" t="s">
        <v>842</v>
      </c>
      <c r="X293" t="s">
        <v>194</v>
      </c>
      <c r="Y293" s="28" t="s">
        <v>9300</v>
      </c>
      <c r="AB293" t="s">
        <v>9311</v>
      </c>
      <c r="AH293" t="s">
        <v>4714</v>
      </c>
      <c r="AI293" t="s">
        <v>21535</v>
      </c>
      <c r="AJ293" s="28" t="str">
        <f t="shared" si="8"/>
        <v>742113</v>
      </c>
      <c r="AK293" s="420">
        <v>1</v>
      </c>
      <c r="AL293" s="420">
        <f t="shared" si="9"/>
        <v>1</v>
      </c>
      <c r="AM293" s="420">
        <v>1</v>
      </c>
      <c r="AN293" t="s">
        <v>17650</v>
      </c>
      <c r="AO293" t="s">
        <v>17651</v>
      </c>
      <c r="AP293" t="s">
        <v>17652</v>
      </c>
      <c r="AQ293" t="s">
        <v>17653</v>
      </c>
      <c r="AR293" t="s">
        <v>1024</v>
      </c>
    </row>
    <row r="294" spans="1:44" x14ac:dyDescent="0.25">
      <c r="A294" t="s">
        <v>14708</v>
      </c>
      <c r="B294" t="s">
        <v>14713</v>
      </c>
      <c r="C294" s="410" t="s">
        <v>14713</v>
      </c>
      <c r="D294" t="s">
        <v>20317</v>
      </c>
      <c r="E294" t="s">
        <v>192</v>
      </c>
      <c r="F294" s="534">
        <v>1</v>
      </c>
      <c r="G294" t="s">
        <v>193</v>
      </c>
      <c r="H294" t="s">
        <v>194</v>
      </c>
      <c r="I294" t="s">
        <v>20399</v>
      </c>
      <c r="J294" t="s">
        <v>9302</v>
      </c>
      <c r="K294" s="28" t="s">
        <v>9309</v>
      </c>
      <c r="L294" t="s">
        <v>6955</v>
      </c>
      <c r="N294" t="s">
        <v>21541</v>
      </c>
      <c r="O294" t="s">
        <v>6258</v>
      </c>
      <c r="P294" t="s">
        <v>20320</v>
      </c>
      <c r="Q294" t="s">
        <v>20321</v>
      </c>
      <c r="R294" t="s">
        <v>20322</v>
      </c>
      <c r="S294" t="s">
        <v>21542</v>
      </c>
      <c r="T294" t="s">
        <v>21543</v>
      </c>
      <c r="W294" t="s">
        <v>17099</v>
      </c>
      <c r="X294" t="s">
        <v>193</v>
      </c>
      <c r="Y294" s="28" t="s">
        <v>9310</v>
      </c>
      <c r="AB294" t="s">
        <v>9311</v>
      </c>
      <c r="AH294" t="s">
        <v>4714</v>
      </c>
      <c r="AI294" t="s">
        <v>14713</v>
      </c>
      <c r="AJ294" s="28" t="str">
        <f t="shared" si="8"/>
        <v>741105</v>
      </c>
      <c r="AK294" s="420">
        <v>1</v>
      </c>
      <c r="AL294" s="420">
        <f t="shared" si="9"/>
        <v>1</v>
      </c>
      <c r="AM294" s="420">
        <v>1</v>
      </c>
      <c r="AN294" t="s">
        <v>17650</v>
      </c>
      <c r="AO294" t="s">
        <v>17651</v>
      </c>
      <c r="AP294" t="s">
        <v>17652</v>
      </c>
      <c r="AQ294" t="s">
        <v>17653</v>
      </c>
      <c r="AR294" t="s">
        <v>1024</v>
      </c>
    </row>
    <row r="295" spans="1:44" x14ac:dyDescent="0.25">
      <c r="A295" t="s">
        <v>712</v>
      </c>
      <c r="B295" t="s">
        <v>21544</v>
      </c>
      <c r="C295" s="410" t="s">
        <v>866</v>
      </c>
      <c r="D295" t="s">
        <v>20360</v>
      </c>
      <c r="E295" t="s">
        <v>233</v>
      </c>
      <c r="F295" s="534">
        <v>1</v>
      </c>
      <c r="G295" t="s">
        <v>193</v>
      </c>
      <c r="H295" t="s">
        <v>194</v>
      </c>
      <c r="I295" t="s">
        <v>20389</v>
      </c>
      <c r="J295" t="s">
        <v>316</v>
      </c>
      <c r="K295" s="28" t="s">
        <v>9309</v>
      </c>
      <c r="L295" t="s">
        <v>6955</v>
      </c>
      <c r="N295" t="s">
        <v>21545</v>
      </c>
      <c r="O295" t="s">
        <v>6275</v>
      </c>
      <c r="P295" t="s">
        <v>20522</v>
      </c>
      <c r="Q295" t="s">
        <v>20422</v>
      </c>
      <c r="R295" t="s">
        <v>20483</v>
      </c>
      <c r="S295" t="s">
        <v>21546</v>
      </c>
      <c r="T295" t="s">
        <v>21547</v>
      </c>
      <c r="V295" s="28" t="s">
        <v>10012</v>
      </c>
      <c r="W295" t="s">
        <v>867</v>
      </c>
      <c r="X295" t="s">
        <v>194</v>
      </c>
      <c r="Y295" s="28" t="s">
        <v>9300</v>
      </c>
      <c r="AB295" t="s">
        <v>9311</v>
      </c>
      <c r="AH295" t="s">
        <v>4714</v>
      </c>
      <c r="AI295" t="s">
        <v>21544</v>
      </c>
      <c r="AJ295" s="28" t="str">
        <f t="shared" si="8"/>
        <v>821902</v>
      </c>
      <c r="AK295" s="420">
        <v>1</v>
      </c>
      <c r="AL295" s="420">
        <f t="shared" si="9"/>
        <v>1</v>
      </c>
      <c r="AM295" s="420">
        <v>1</v>
      </c>
      <c r="AN295" t="s">
        <v>17650</v>
      </c>
      <c r="AO295" t="s">
        <v>17651</v>
      </c>
      <c r="AP295" t="s">
        <v>17652</v>
      </c>
      <c r="AQ295" t="s">
        <v>17653</v>
      </c>
      <c r="AR295" t="s">
        <v>1024</v>
      </c>
    </row>
    <row r="296" spans="1:44" x14ac:dyDescent="0.25">
      <c r="A296" t="s">
        <v>493</v>
      </c>
      <c r="B296" t="s">
        <v>21548</v>
      </c>
      <c r="C296" s="410" t="s">
        <v>21549</v>
      </c>
      <c r="D296" t="s">
        <v>20317</v>
      </c>
      <c r="E296" t="s">
        <v>192</v>
      </c>
      <c r="F296" s="534">
        <v>1</v>
      </c>
      <c r="G296" t="s">
        <v>193</v>
      </c>
      <c r="H296" t="s">
        <v>194</v>
      </c>
      <c r="I296" t="s">
        <v>20333</v>
      </c>
      <c r="J296" t="s">
        <v>210</v>
      </c>
      <c r="K296" s="28" t="s">
        <v>9309</v>
      </c>
      <c r="L296" t="s">
        <v>6955</v>
      </c>
      <c r="N296" t="s">
        <v>21550</v>
      </c>
      <c r="O296" t="s">
        <v>6258</v>
      </c>
      <c r="P296" t="s">
        <v>20320</v>
      </c>
      <c r="Q296" t="s">
        <v>20321</v>
      </c>
      <c r="R296" t="s">
        <v>20322</v>
      </c>
      <c r="S296" t="s">
        <v>21551</v>
      </c>
      <c r="T296" t="s">
        <v>21552</v>
      </c>
      <c r="V296" s="28" t="s">
        <v>9334</v>
      </c>
      <c r="W296" t="s">
        <v>1460</v>
      </c>
      <c r="X296" t="s">
        <v>194</v>
      </c>
      <c r="Y296" s="28" t="s">
        <v>9300</v>
      </c>
      <c r="AB296" t="s">
        <v>9311</v>
      </c>
      <c r="AH296" t="s">
        <v>4714</v>
      </c>
      <c r="AI296" t="s">
        <v>21548</v>
      </c>
      <c r="AJ296" s="28" t="str">
        <f t="shared" si="8"/>
        <v>742114</v>
      </c>
      <c r="AK296" s="420">
        <v>1</v>
      </c>
      <c r="AL296" s="420">
        <f t="shared" si="9"/>
        <v>1</v>
      </c>
      <c r="AM296" s="420">
        <v>1</v>
      </c>
      <c r="AN296" t="s">
        <v>17650</v>
      </c>
      <c r="AO296" t="s">
        <v>17651</v>
      </c>
      <c r="AP296" t="s">
        <v>17652</v>
      </c>
      <c r="AQ296" t="s">
        <v>17653</v>
      </c>
      <c r="AR296" t="s">
        <v>1024</v>
      </c>
    </row>
    <row r="297" spans="1:44" x14ac:dyDescent="0.25">
      <c r="A297" t="s">
        <v>581</v>
      </c>
      <c r="B297" t="s">
        <v>21553</v>
      </c>
      <c r="C297" s="410" t="s">
        <v>21554</v>
      </c>
      <c r="D297" t="s">
        <v>20326</v>
      </c>
      <c r="E297" t="s">
        <v>217</v>
      </c>
      <c r="F297" s="534">
        <v>1</v>
      </c>
      <c r="G297" t="s">
        <v>193</v>
      </c>
      <c r="H297" t="s">
        <v>194</v>
      </c>
      <c r="I297" t="s">
        <v>20333</v>
      </c>
      <c r="J297" t="s">
        <v>210</v>
      </c>
      <c r="K297" s="28" t="s">
        <v>9309</v>
      </c>
      <c r="L297" t="s">
        <v>6955</v>
      </c>
      <c r="N297" t="s">
        <v>21555</v>
      </c>
      <c r="O297" t="s">
        <v>6258</v>
      </c>
      <c r="P297" t="s">
        <v>20372</v>
      </c>
      <c r="Q297" t="s">
        <v>21556</v>
      </c>
      <c r="R297" t="s">
        <v>20566</v>
      </c>
      <c r="S297" t="s">
        <v>21557</v>
      </c>
      <c r="T297" t="s">
        <v>21558</v>
      </c>
      <c r="V297" s="28" t="s">
        <v>9334</v>
      </c>
      <c r="W297" t="s">
        <v>21559</v>
      </c>
      <c r="X297" t="s">
        <v>194</v>
      </c>
      <c r="Y297" s="28" t="s">
        <v>9300</v>
      </c>
      <c r="AB297" t="s">
        <v>9311</v>
      </c>
      <c r="AH297" t="s">
        <v>4714</v>
      </c>
      <c r="AI297" t="s">
        <v>9433</v>
      </c>
      <c r="AJ297" s="28" t="str">
        <f t="shared" si="8"/>
        <v>821205</v>
      </c>
      <c r="AK297" s="420">
        <v>1</v>
      </c>
      <c r="AL297" s="420">
        <f t="shared" si="9"/>
        <v>1</v>
      </c>
      <c r="AM297" s="420">
        <v>1</v>
      </c>
      <c r="AN297" t="s">
        <v>17650</v>
      </c>
      <c r="AO297" t="s">
        <v>17651</v>
      </c>
      <c r="AP297" t="s">
        <v>17652</v>
      </c>
      <c r="AQ297" t="s">
        <v>17653</v>
      </c>
      <c r="AR297" t="s">
        <v>1024</v>
      </c>
    </row>
    <row r="298" spans="1:44" x14ac:dyDescent="0.25">
      <c r="A298" t="s">
        <v>21560</v>
      </c>
      <c r="B298" t="s">
        <v>21561</v>
      </c>
      <c r="C298" s="410" t="s">
        <v>785</v>
      </c>
      <c r="D298" t="s">
        <v>20338</v>
      </c>
      <c r="E298" t="s">
        <v>192</v>
      </c>
      <c r="F298" s="534">
        <v>1</v>
      </c>
      <c r="G298" t="s">
        <v>194</v>
      </c>
      <c r="H298" t="s">
        <v>193</v>
      </c>
      <c r="I298" t="s">
        <v>20405</v>
      </c>
      <c r="J298" t="s">
        <v>210</v>
      </c>
      <c r="K298" s="28" t="s">
        <v>9309</v>
      </c>
      <c r="L298" t="s">
        <v>6955</v>
      </c>
      <c r="N298" t="s">
        <v>21562</v>
      </c>
      <c r="O298" t="s">
        <v>6324</v>
      </c>
      <c r="P298" t="s">
        <v>20398</v>
      </c>
      <c r="Q298" t="s">
        <v>20399</v>
      </c>
      <c r="R298" t="s">
        <v>20400</v>
      </c>
      <c r="S298" t="s">
        <v>21563</v>
      </c>
      <c r="T298" t="s">
        <v>21564</v>
      </c>
      <c r="V298" s="28" t="s">
        <v>9311</v>
      </c>
      <c r="W298" t="s">
        <v>787</v>
      </c>
      <c r="X298" t="s">
        <v>194</v>
      </c>
      <c r="Y298" s="28" t="s">
        <v>9946</v>
      </c>
      <c r="AB298" t="s">
        <v>9311</v>
      </c>
      <c r="AH298" t="s">
        <v>4714</v>
      </c>
      <c r="AI298" t="s">
        <v>21561</v>
      </c>
      <c r="AJ298" s="28" t="str">
        <f t="shared" si="8"/>
        <v>711202</v>
      </c>
      <c r="AK298" s="420">
        <v>1</v>
      </c>
      <c r="AL298" s="420">
        <f t="shared" si="9"/>
        <v>1</v>
      </c>
      <c r="AM298" s="420">
        <v>1</v>
      </c>
      <c r="AN298" t="s">
        <v>17650</v>
      </c>
      <c r="AO298" t="s">
        <v>17651</v>
      </c>
      <c r="AP298" t="s">
        <v>17652</v>
      </c>
      <c r="AQ298" t="s">
        <v>17653</v>
      </c>
      <c r="AR298" t="s">
        <v>1024</v>
      </c>
    </row>
    <row r="299" spans="1:44" x14ac:dyDescent="0.25">
      <c r="A299" t="s">
        <v>21565</v>
      </c>
      <c r="B299" t="s">
        <v>21566</v>
      </c>
      <c r="C299" s="410" t="s">
        <v>21567</v>
      </c>
      <c r="D299" t="s">
        <v>20306</v>
      </c>
      <c r="E299" t="s">
        <v>192</v>
      </c>
      <c r="F299" s="534">
        <v>1</v>
      </c>
      <c r="G299" t="s">
        <v>193</v>
      </c>
      <c r="H299" t="s">
        <v>194</v>
      </c>
      <c r="I299" t="s">
        <v>20307</v>
      </c>
      <c r="J299" t="s">
        <v>9302</v>
      </c>
      <c r="K299" s="28" t="s">
        <v>9309</v>
      </c>
      <c r="L299" t="s">
        <v>6955</v>
      </c>
      <c r="N299" t="s">
        <v>21568</v>
      </c>
      <c r="O299" t="s">
        <v>6261</v>
      </c>
      <c r="P299" t="s">
        <v>20309</v>
      </c>
      <c r="Q299" t="s">
        <v>20310</v>
      </c>
      <c r="R299" t="s">
        <v>20311</v>
      </c>
      <c r="S299" t="s">
        <v>21569</v>
      </c>
      <c r="T299" t="s">
        <v>21570</v>
      </c>
      <c r="W299" t="s">
        <v>21571</v>
      </c>
      <c r="X299" t="s">
        <v>193</v>
      </c>
      <c r="Y299" s="28" t="s">
        <v>9310</v>
      </c>
      <c r="AB299" t="s">
        <v>9311</v>
      </c>
      <c r="AH299" t="s">
        <v>4714</v>
      </c>
      <c r="AI299" t="s">
        <v>21566</v>
      </c>
      <c r="AJ299" s="28" t="str">
        <f t="shared" si="8"/>
        <v>232003</v>
      </c>
      <c r="AK299" s="420">
        <v>1</v>
      </c>
      <c r="AL299" s="420">
        <f t="shared" si="9"/>
        <v>1</v>
      </c>
      <c r="AM299" s="420">
        <v>1</v>
      </c>
      <c r="AN299" t="s">
        <v>17650</v>
      </c>
      <c r="AO299" t="s">
        <v>17651</v>
      </c>
      <c r="AP299" t="s">
        <v>17652</v>
      </c>
      <c r="AQ299" t="s">
        <v>17653</v>
      </c>
      <c r="AR299" t="s">
        <v>1024</v>
      </c>
    </row>
    <row r="300" spans="1:44" x14ac:dyDescent="0.25">
      <c r="A300" t="s">
        <v>21572</v>
      </c>
      <c r="B300" t="s">
        <v>21573</v>
      </c>
      <c r="C300" s="410" t="s">
        <v>21574</v>
      </c>
      <c r="D300" t="s">
        <v>20317</v>
      </c>
      <c r="E300" t="s">
        <v>192</v>
      </c>
      <c r="F300" s="534">
        <v>1</v>
      </c>
      <c r="G300" t="s">
        <v>193</v>
      </c>
      <c r="H300" t="s">
        <v>194</v>
      </c>
      <c r="I300" t="s">
        <v>20360</v>
      </c>
      <c r="J300" t="s">
        <v>210</v>
      </c>
      <c r="K300" s="28" t="s">
        <v>9309</v>
      </c>
      <c r="L300" t="s">
        <v>6955</v>
      </c>
      <c r="N300" t="s">
        <v>21575</v>
      </c>
      <c r="O300" t="s">
        <v>6275</v>
      </c>
      <c r="P300" t="s">
        <v>20320</v>
      </c>
      <c r="Q300" t="s">
        <v>20321</v>
      </c>
      <c r="R300" t="s">
        <v>20322</v>
      </c>
      <c r="S300" t="s">
        <v>21576</v>
      </c>
      <c r="T300" t="s">
        <v>21577</v>
      </c>
      <c r="V300" s="28" t="s">
        <v>9334</v>
      </c>
      <c r="W300" t="s">
        <v>21578</v>
      </c>
      <c r="X300" t="s">
        <v>194</v>
      </c>
      <c r="Y300" s="28" t="s">
        <v>9300</v>
      </c>
      <c r="AB300" t="s">
        <v>9311</v>
      </c>
      <c r="AH300" t="s">
        <v>4714</v>
      </c>
      <c r="AI300" t="s">
        <v>21573</v>
      </c>
      <c r="AJ300" s="28" t="str">
        <f t="shared" si="8"/>
        <v>611303</v>
      </c>
      <c r="AK300" s="420">
        <v>1</v>
      </c>
      <c r="AL300" s="420">
        <f t="shared" si="9"/>
        <v>1</v>
      </c>
      <c r="AM300" s="420">
        <v>1</v>
      </c>
      <c r="AN300" t="s">
        <v>17650</v>
      </c>
      <c r="AO300" t="s">
        <v>17651</v>
      </c>
      <c r="AP300" t="s">
        <v>17652</v>
      </c>
      <c r="AQ300" t="s">
        <v>17653</v>
      </c>
      <c r="AR300" t="s">
        <v>1024</v>
      </c>
    </row>
    <row r="301" spans="1:44" x14ac:dyDescent="0.25">
      <c r="A301" t="s">
        <v>581</v>
      </c>
      <c r="B301" t="s">
        <v>3871</v>
      </c>
      <c r="C301" s="410" t="s">
        <v>29</v>
      </c>
      <c r="D301" t="s">
        <v>20326</v>
      </c>
      <c r="E301" t="s">
        <v>217</v>
      </c>
      <c r="F301" s="534">
        <v>1</v>
      </c>
      <c r="G301" t="s">
        <v>193</v>
      </c>
      <c r="H301" t="s">
        <v>194</v>
      </c>
      <c r="I301" t="s">
        <v>20360</v>
      </c>
      <c r="J301" t="s">
        <v>2252</v>
      </c>
      <c r="K301" s="28" t="s">
        <v>9309</v>
      </c>
      <c r="L301" t="s">
        <v>6955</v>
      </c>
      <c r="N301" t="s">
        <v>21579</v>
      </c>
      <c r="O301" t="s">
        <v>6275</v>
      </c>
      <c r="P301" t="s">
        <v>20372</v>
      </c>
      <c r="Q301" t="s">
        <v>21580</v>
      </c>
      <c r="R301" t="s">
        <v>21581</v>
      </c>
      <c r="S301" t="s">
        <v>21582</v>
      </c>
      <c r="T301" t="s">
        <v>21583</v>
      </c>
      <c r="V301" s="28" t="s">
        <v>9726</v>
      </c>
      <c r="W301" t="s">
        <v>808</v>
      </c>
      <c r="X301" t="s">
        <v>194</v>
      </c>
      <c r="Y301" s="28" t="s">
        <v>9300</v>
      </c>
      <c r="AB301" t="s">
        <v>9311</v>
      </c>
      <c r="AH301" t="s">
        <v>4714</v>
      </c>
      <c r="AI301" t="s">
        <v>9433</v>
      </c>
      <c r="AJ301" s="28" t="str">
        <f t="shared" si="8"/>
        <v>722308</v>
      </c>
      <c r="AK301" s="420">
        <v>1</v>
      </c>
      <c r="AL301" s="420">
        <f t="shared" si="9"/>
        <v>1</v>
      </c>
      <c r="AM301" s="420">
        <v>1</v>
      </c>
      <c r="AN301" t="s">
        <v>17650</v>
      </c>
      <c r="AO301" t="s">
        <v>17651</v>
      </c>
      <c r="AP301" t="s">
        <v>17652</v>
      </c>
      <c r="AQ301" t="s">
        <v>17653</v>
      </c>
      <c r="AR301" t="s">
        <v>1024</v>
      </c>
    </row>
    <row r="302" spans="1:44" x14ac:dyDescent="0.25">
      <c r="A302" t="s">
        <v>942</v>
      </c>
      <c r="B302" t="s">
        <v>21584</v>
      </c>
      <c r="C302" s="410" t="s">
        <v>29</v>
      </c>
      <c r="D302" t="s">
        <v>20326</v>
      </c>
      <c r="E302" t="s">
        <v>192</v>
      </c>
      <c r="F302" s="534">
        <v>1</v>
      </c>
      <c r="G302" t="s">
        <v>193</v>
      </c>
      <c r="H302" t="s">
        <v>194</v>
      </c>
      <c r="I302" t="s">
        <v>20338</v>
      </c>
      <c r="J302" t="s">
        <v>210</v>
      </c>
      <c r="K302" s="28" t="s">
        <v>9309</v>
      </c>
      <c r="L302" t="s">
        <v>6955</v>
      </c>
      <c r="N302" t="s">
        <v>21585</v>
      </c>
      <c r="O302" t="s">
        <v>6275</v>
      </c>
      <c r="P302" t="s">
        <v>20328</v>
      </c>
      <c r="Q302" t="s">
        <v>20329</v>
      </c>
      <c r="R302" t="s">
        <v>20306</v>
      </c>
      <c r="S302" t="s">
        <v>21586</v>
      </c>
      <c r="T302" t="s">
        <v>21587</v>
      </c>
      <c r="V302" s="28" t="s">
        <v>9334</v>
      </c>
      <c r="W302" t="s">
        <v>808</v>
      </c>
      <c r="X302" t="s">
        <v>194</v>
      </c>
      <c r="Y302" s="28" t="s">
        <v>9300</v>
      </c>
      <c r="AB302" t="s">
        <v>9311</v>
      </c>
      <c r="AH302" t="s">
        <v>4714</v>
      </c>
      <c r="AI302" t="s">
        <v>21584</v>
      </c>
      <c r="AJ302" s="28" t="str">
        <f t="shared" si="8"/>
        <v>722308</v>
      </c>
      <c r="AK302" s="420">
        <v>1</v>
      </c>
      <c r="AL302" s="420">
        <f t="shared" si="9"/>
        <v>1</v>
      </c>
      <c r="AM302" s="420">
        <v>1</v>
      </c>
      <c r="AN302" t="s">
        <v>17650</v>
      </c>
      <c r="AO302" t="s">
        <v>17651</v>
      </c>
      <c r="AP302" t="s">
        <v>17652</v>
      </c>
      <c r="AQ302" t="s">
        <v>17653</v>
      </c>
      <c r="AR302" t="s">
        <v>1024</v>
      </c>
    </row>
    <row r="303" spans="1:44" x14ac:dyDescent="0.25">
      <c r="A303" t="s">
        <v>581</v>
      </c>
      <c r="B303" t="s">
        <v>3871</v>
      </c>
      <c r="C303" s="410" t="s">
        <v>29</v>
      </c>
      <c r="D303" t="s">
        <v>20317</v>
      </c>
      <c r="E303" t="s">
        <v>217</v>
      </c>
      <c r="F303" s="534">
        <v>1</v>
      </c>
      <c r="G303" t="s">
        <v>193</v>
      </c>
      <c r="H303" t="s">
        <v>194</v>
      </c>
      <c r="I303" t="s">
        <v>20338</v>
      </c>
      <c r="J303" t="s">
        <v>2252</v>
      </c>
      <c r="K303" s="28" t="s">
        <v>9309</v>
      </c>
      <c r="L303" t="s">
        <v>6955</v>
      </c>
      <c r="N303" t="s">
        <v>21579</v>
      </c>
      <c r="O303" t="s">
        <v>6275</v>
      </c>
      <c r="P303" t="s">
        <v>20376</v>
      </c>
      <c r="Q303" t="s">
        <v>21588</v>
      </c>
      <c r="R303" t="s">
        <v>21581</v>
      </c>
      <c r="S303" t="s">
        <v>21589</v>
      </c>
      <c r="T303" t="s">
        <v>21590</v>
      </c>
      <c r="V303" s="28" t="s">
        <v>9726</v>
      </c>
      <c r="W303" t="s">
        <v>808</v>
      </c>
      <c r="X303" t="s">
        <v>194</v>
      </c>
      <c r="Y303" s="28" t="s">
        <v>9300</v>
      </c>
      <c r="AB303" t="s">
        <v>9311</v>
      </c>
      <c r="AH303" t="s">
        <v>4714</v>
      </c>
      <c r="AI303" t="s">
        <v>9433</v>
      </c>
      <c r="AJ303" s="28" t="str">
        <f t="shared" si="8"/>
        <v>722308</v>
      </c>
      <c r="AK303" s="420">
        <v>1</v>
      </c>
      <c r="AL303" s="420">
        <f t="shared" si="9"/>
        <v>1</v>
      </c>
      <c r="AM303" s="420">
        <v>1</v>
      </c>
      <c r="AN303" t="s">
        <v>17650</v>
      </c>
      <c r="AO303" t="s">
        <v>17651</v>
      </c>
      <c r="AP303" t="s">
        <v>17652</v>
      </c>
      <c r="AQ303" t="s">
        <v>17653</v>
      </c>
      <c r="AR303" t="s">
        <v>1024</v>
      </c>
    </row>
    <row r="304" spans="1:44" x14ac:dyDescent="0.25">
      <c r="A304" t="s">
        <v>3660</v>
      </c>
      <c r="B304" t="s">
        <v>2192</v>
      </c>
      <c r="C304" s="410" t="s">
        <v>29</v>
      </c>
      <c r="D304" t="s">
        <v>20317</v>
      </c>
      <c r="E304" t="s">
        <v>192</v>
      </c>
      <c r="F304" s="534">
        <v>1</v>
      </c>
      <c r="G304" t="s">
        <v>193</v>
      </c>
      <c r="H304" t="s">
        <v>194</v>
      </c>
      <c r="I304" t="s">
        <v>20338</v>
      </c>
      <c r="J304" t="s">
        <v>575</v>
      </c>
      <c r="K304" s="28" t="s">
        <v>9309</v>
      </c>
      <c r="L304" t="s">
        <v>6955</v>
      </c>
      <c r="N304" t="s">
        <v>21591</v>
      </c>
      <c r="O304" t="s">
        <v>6275</v>
      </c>
      <c r="P304" t="s">
        <v>20320</v>
      </c>
      <c r="Q304" t="s">
        <v>20321</v>
      </c>
      <c r="R304" t="s">
        <v>20322</v>
      </c>
      <c r="S304" t="s">
        <v>21592</v>
      </c>
      <c r="T304" t="s">
        <v>21593</v>
      </c>
      <c r="V304" s="28" t="s">
        <v>9726</v>
      </c>
      <c r="W304" t="s">
        <v>808</v>
      </c>
      <c r="X304" t="s">
        <v>194</v>
      </c>
      <c r="Y304" s="28" t="s">
        <v>9300</v>
      </c>
      <c r="AB304" t="s">
        <v>9311</v>
      </c>
      <c r="AH304" t="s">
        <v>4714</v>
      </c>
      <c r="AI304" t="s">
        <v>2192</v>
      </c>
      <c r="AJ304" s="28" t="str">
        <f t="shared" si="8"/>
        <v>722308</v>
      </c>
      <c r="AK304" s="420">
        <v>1</v>
      </c>
      <c r="AL304" s="420">
        <f t="shared" si="9"/>
        <v>1</v>
      </c>
      <c r="AM304" s="420">
        <v>1</v>
      </c>
      <c r="AN304" t="s">
        <v>17650</v>
      </c>
      <c r="AO304" t="s">
        <v>17651</v>
      </c>
      <c r="AP304" t="s">
        <v>17652</v>
      </c>
      <c r="AQ304" t="s">
        <v>17653</v>
      </c>
      <c r="AR304" t="s">
        <v>1024</v>
      </c>
    </row>
    <row r="305" spans="1:44" x14ac:dyDescent="0.25">
      <c r="A305" t="s">
        <v>16577</v>
      </c>
      <c r="B305" t="s">
        <v>1462</v>
      </c>
      <c r="C305" s="410" t="s">
        <v>29</v>
      </c>
      <c r="D305" t="s">
        <v>20317</v>
      </c>
      <c r="E305" t="s">
        <v>192</v>
      </c>
      <c r="F305" s="534">
        <v>1</v>
      </c>
      <c r="G305" t="s">
        <v>193</v>
      </c>
      <c r="H305" t="s">
        <v>194</v>
      </c>
      <c r="I305" t="s">
        <v>20338</v>
      </c>
      <c r="J305" t="s">
        <v>210</v>
      </c>
      <c r="K305" s="28" t="s">
        <v>9309</v>
      </c>
      <c r="L305" t="s">
        <v>6955</v>
      </c>
      <c r="N305" t="s">
        <v>21594</v>
      </c>
      <c r="O305" t="s">
        <v>6275</v>
      </c>
      <c r="P305" t="s">
        <v>20320</v>
      </c>
      <c r="Q305" t="s">
        <v>20321</v>
      </c>
      <c r="R305" t="s">
        <v>20322</v>
      </c>
      <c r="S305" t="s">
        <v>21595</v>
      </c>
      <c r="T305" t="s">
        <v>21596</v>
      </c>
      <c r="V305" s="28" t="s">
        <v>9334</v>
      </c>
      <c r="W305" t="s">
        <v>808</v>
      </c>
      <c r="X305" t="s">
        <v>194</v>
      </c>
      <c r="Y305" s="28" t="s">
        <v>9300</v>
      </c>
      <c r="AB305" t="s">
        <v>9311</v>
      </c>
      <c r="AH305" t="s">
        <v>4714</v>
      </c>
      <c r="AI305" t="s">
        <v>1462</v>
      </c>
      <c r="AJ305" s="28" t="str">
        <f t="shared" si="8"/>
        <v>722308</v>
      </c>
      <c r="AK305" s="420">
        <v>1</v>
      </c>
      <c r="AL305" s="420">
        <f t="shared" si="9"/>
        <v>1</v>
      </c>
      <c r="AM305" s="420">
        <v>1</v>
      </c>
      <c r="AN305" t="s">
        <v>17650</v>
      </c>
      <c r="AO305" t="s">
        <v>17651</v>
      </c>
      <c r="AP305" t="s">
        <v>17652</v>
      </c>
      <c r="AQ305" t="s">
        <v>17653</v>
      </c>
      <c r="AR305" t="s">
        <v>1024</v>
      </c>
    </row>
    <row r="306" spans="1:44" x14ac:dyDescent="0.25">
      <c r="A306" t="s">
        <v>7457</v>
      </c>
      <c r="B306" t="s">
        <v>29</v>
      </c>
      <c r="C306" s="410" t="s">
        <v>29</v>
      </c>
      <c r="D306" t="s">
        <v>20338</v>
      </c>
      <c r="E306" t="s">
        <v>233</v>
      </c>
      <c r="F306" s="534">
        <v>1</v>
      </c>
      <c r="G306" t="s">
        <v>193</v>
      </c>
      <c r="H306" t="s">
        <v>194</v>
      </c>
      <c r="I306" t="s">
        <v>20405</v>
      </c>
      <c r="J306" t="s">
        <v>385</v>
      </c>
      <c r="K306" s="28" t="s">
        <v>9309</v>
      </c>
      <c r="L306" t="s">
        <v>6955</v>
      </c>
      <c r="N306" t="s">
        <v>21597</v>
      </c>
      <c r="O306" t="s">
        <v>6275</v>
      </c>
      <c r="P306" t="s">
        <v>20541</v>
      </c>
      <c r="Q306" t="s">
        <v>20389</v>
      </c>
      <c r="R306" t="s">
        <v>20542</v>
      </c>
      <c r="S306" t="s">
        <v>21598</v>
      </c>
      <c r="T306" t="s">
        <v>21599</v>
      </c>
      <c r="V306" s="28" t="s">
        <v>9410</v>
      </c>
      <c r="W306" t="s">
        <v>808</v>
      </c>
      <c r="X306" t="s">
        <v>194</v>
      </c>
      <c r="Y306" s="28" t="s">
        <v>9300</v>
      </c>
      <c r="AB306" t="s">
        <v>9311</v>
      </c>
      <c r="AH306" t="s">
        <v>4714</v>
      </c>
      <c r="AI306" t="s">
        <v>29</v>
      </c>
      <c r="AJ306" s="28" t="str">
        <f t="shared" si="8"/>
        <v>722308</v>
      </c>
      <c r="AK306" s="420">
        <v>1</v>
      </c>
      <c r="AL306" s="420">
        <f t="shared" si="9"/>
        <v>1</v>
      </c>
      <c r="AM306" s="420">
        <v>1</v>
      </c>
      <c r="AN306" t="s">
        <v>17650</v>
      </c>
      <c r="AO306" t="s">
        <v>17651</v>
      </c>
      <c r="AP306" t="s">
        <v>17652</v>
      </c>
      <c r="AQ306" t="s">
        <v>17653</v>
      </c>
      <c r="AR306" t="s">
        <v>1024</v>
      </c>
    </row>
    <row r="307" spans="1:44" x14ac:dyDescent="0.25">
      <c r="A307" t="s">
        <v>581</v>
      </c>
      <c r="B307" t="s">
        <v>3871</v>
      </c>
      <c r="C307" s="410" t="s">
        <v>29</v>
      </c>
      <c r="D307" t="s">
        <v>20338</v>
      </c>
      <c r="E307" t="s">
        <v>217</v>
      </c>
      <c r="F307" s="534">
        <v>1</v>
      </c>
      <c r="G307" t="s">
        <v>193</v>
      </c>
      <c r="H307" t="s">
        <v>194</v>
      </c>
      <c r="I307" t="s">
        <v>20405</v>
      </c>
      <c r="J307" t="s">
        <v>2252</v>
      </c>
      <c r="K307" s="28" t="s">
        <v>9309</v>
      </c>
      <c r="L307" t="s">
        <v>6955</v>
      </c>
      <c r="N307" t="s">
        <v>21600</v>
      </c>
      <c r="O307" t="s">
        <v>6275</v>
      </c>
      <c r="P307" t="s">
        <v>21601</v>
      </c>
      <c r="Q307" t="s">
        <v>20360</v>
      </c>
      <c r="R307" t="s">
        <v>20437</v>
      </c>
      <c r="S307" t="s">
        <v>21602</v>
      </c>
      <c r="T307" t="s">
        <v>21603</v>
      </c>
      <c r="V307" s="28" t="s">
        <v>9726</v>
      </c>
      <c r="W307" t="s">
        <v>808</v>
      </c>
      <c r="X307" t="s">
        <v>194</v>
      </c>
      <c r="Y307" s="28" t="s">
        <v>9300</v>
      </c>
      <c r="AB307" t="s">
        <v>9311</v>
      </c>
      <c r="AH307" t="s">
        <v>4714</v>
      </c>
      <c r="AI307" t="s">
        <v>9433</v>
      </c>
      <c r="AJ307" s="28" t="str">
        <f t="shared" si="8"/>
        <v>722308</v>
      </c>
      <c r="AK307" s="420">
        <v>1</v>
      </c>
      <c r="AL307" s="420">
        <f t="shared" si="9"/>
        <v>1</v>
      </c>
      <c r="AM307" s="420">
        <v>1</v>
      </c>
      <c r="AN307" t="s">
        <v>17650</v>
      </c>
      <c r="AO307" t="s">
        <v>17651</v>
      </c>
      <c r="AP307" t="s">
        <v>17652</v>
      </c>
      <c r="AQ307" t="s">
        <v>17653</v>
      </c>
      <c r="AR307" t="s">
        <v>1024</v>
      </c>
    </row>
    <row r="308" spans="1:44" x14ac:dyDescent="0.25">
      <c r="A308" t="s">
        <v>581</v>
      </c>
      <c r="B308" t="s">
        <v>3871</v>
      </c>
      <c r="C308" s="410" t="s">
        <v>29</v>
      </c>
      <c r="D308" t="s">
        <v>20306</v>
      </c>
      <c r="E308" t="s">
        <v>217</v>
      </c>
      <c r="F308" s="534">
        <v>1</v>
      </c>
      <c r="G308" t="s">
        <v>193</v>
      </c>
      <c r="H308" t="s">
        <v>194</v>
      </c>
      <c r="I308" t="s">
        <v>20307</v>
      </c>
      <c r="J308" t="s">
        <v>2252</v>
      </c>
      <c r="K308" s="28" t="s">
        <v>9309</v>
      </c>
      <c r="L308" t="s">
        <v>6955</v>
      </c>
      <c r="N308" t="s">
        <v>21600</v>
      </c>
      <c r="O308" t="s">
        <v>6275</v>
      </c>
      <c r="P308" t="s">
        <v>20688</v>
      </c>
      <c r="Q308" t="s">
        <v>20338</v>
      </c>
      <c r="R308" t="s">
        <v>20437</v>
      </c>
      <c r="S308" t="s">
        <v>21604</v>
      </c>
      <c r="T308" t="s">
        <v>21605</v>
      </c>
      <c r="V308" s="28" t="s">
        <v>9726</v>
      </c>
      <c r="W308" t="s">
        <v>808</v>
      </c>
      <c r="X308" t="s">
        <v>194</v>
      </c>
      <c r="Y308" s="28" t="s">
        <v>9300</v>
      </c>
      <c r="AB308" t="s">
        <v>9311</v>
      </c>
      <c r="AH308" t="s">
        <v>4714</v>
      </c>
      <c r="AI308" t="s">
        <v>9433</v>
      </c>
      <c r="AJ308" s="28" t="str">
        <f t="shared" si="8"/>
        <v>722308</v>
      </c>
      <c r="AK308" s="420">
        <v>1</v>
      </c>
      <c r="AL308" s="420">
        <f t="shared" si="9"/>
        <v>1</v>
      </c>
      <c r="AM308" s="420">
        <v>1</v>
      </c>
      <c r="AN308" t="s">
        <v>17650</v>
      </c>
      <c r="AO308" t="s">
        <v>17651</v>
      </c>
      <c r="AP308" t="s">
        <v>17652</v>
      </c>
      <c r="AQ308" t="s">
        <v>17653</v>
      </c>
      <c r="AR308" t="s">
        <v>1024</v>
      </c>
    </row>
    <row r="309" spans="1:44" x14ac:dyDescent="0.25">
      <c r="A309" t="s">
        <v>19537</v>
      </c>
      <c r="B309" t="s">
        <v>20185</v>
      </c>
      <c r="C309" s="410" t="s">
        <v>29</v>
      </c>
      <c r="D309" t="s">
        <v>20306</v>
      </c>
      <c r="E309" t="s">
        <v>192</v>
      </c>
      <c r="F309" s="534">
        <v>1</v>
      </c>
      <c r="G309" t="s">
        <v>193</v>
      </c>
      <c r="H309" t="s">
        <v>194</v>
      </c>
      <c r="I309" t="s">
        <v>20307</v>
      </c>
      <c r="J309" t="s">
        <v>672</v>
      </c>
      <c r="K309" s="28" t="s">
        <v>9309</v>
      </c>
      <c r="L309" t="s">
        <v>6955</v>
      </c>
      <c r="N309" t="s">
        <v>21606</v>
      </c>
      <c r="O309" t="s">
        <v>6275</v>
      </c>
      <c r="P309" t="s">
        <v>20309</v>
      </c>
      <c r="Q309" t="s">
        <v>20310</v>
      </c>
      <c r="R309" t="s">
        <v>20311</v>
      </c>
      <c r="S309" t="s">
        <v>21607</v>
      </c>
      <c r="T309" t="s">
        <v>21608</v>
      </c>
      <c r="V309" s="28" t="s">
        <v>9726</v>
      </c>
      <c r="W309" t="s">
        <v>808</v>
      </c>
      <c r="X309" t="s">
        <v>194</v>
      </c>
      <c r="Y309" s="28" t="s">
        <v>9300</v>
      </c>
      <c r="AB309" t="s">
        <v>9311</v>
      </c>
      <c r="AH309" t="s">
        <v>4714</v>
      </c>
      <c r="AI309" t="s">
        <v>20185</v>
      </c>
      <c r="AJ309" s="28" t="str">
        <f t="shared" si="8"/>
        <v>722308</v>
      </c>
      <c r="AK309" s="420">
        <v>1</v>
      </c>
      <c r="AL309" s="420">
        <f t="shared" si="9"/>
        <v>1</v>
      </c>
      <c r="AM309" s="420">
        <v>1</v>
      </c>
      <c r="AN309" t="s">
        <v>17650</v>
      </c>
      <c r="AO309" t="s">
        <v>17651</v>
      </c>
      <c r="AP309" t="s">
        <v>17652</v>
      </c>
      <c r="AQ309" t="s">
        <v>17653</v>
      </c>
      <c r="AR309" t="s">
        <v>1024</v>
      </c>
    </row>
    <row r="310" spans="1:44" x14ac:dyDescent="0.25">
      <c r="A310" t="s">
        <v>20286</v>
      </c>
      <c r="B310" t="s">
        <v>856</v>
      </c>
      <c r="C310" s="410" t="s">
        <v>29</v>
      </c>
      <c r="D310" t="s">
        <v>20306</v>
      </c>
      <c r="E310" t="s">
        <v>192</v>
      </c>
      <c r="F310" s="534">
        <v>1</v>
      </c>
      <c r="G310" t="s">
        <v>193</v>
      </c>
      <c r="H310" t="s">
        <v>194</v>
      </c>
      <c r="I310" t="s">
        <v>20322</v>
      </c>
      <c r="J310" t="s">
        <v>210</v>
      </c>
      <c r="K310" s="28" t="s">
        <v>9309</v>
      </c>
      <c r="L310" t="s">
        <v>6955</v>
      </c>
      <c r="N310" t="s">
        <v>21609</v>
      </c>
      <c r="O310" t="s">
        <v>6275</v>
      </c>
      <c r="P310" t="s">
        <v>20309</v>
      </c>
      <c r="Q310" t="s">
        <v>20310</v>
      </c>
      <c r="R310" t="s">
        <v>20311</v>
      </c>
      <c r="S310" t="s">
        <v>21610</v>
      </c>
      <c r="T310" t="s">
        <v>21611</v>
      </c>
      <c r="V310" s="28" t="s">
        <v>9334</v>
      </c>
      <c r="W310" t="s">
        <v>808</v>
      </c>
      <c r="X310" t="s">
        <v>194</v>
      </c>
      <c r="Y310" s="28" t="s">
        <v>9300</v>
      </c>
      <c r="AB310" t="s">
        <v>9311</v>
      </c>
      <c r="AH310" t="s">
        <v>4714</v>
      </c>
      <c r="AI310" t="s">
        <v>856</v>
      </c>
      <c r="AJ310" s="28" t="str">
        <f t="shared" si="8"/>
        <v>722308</v>
      </c>
      <c r="AK310" s="420">
        <v>1</v>
      </c>
      <c r="AL310" s="420">
        <f t="shared" si="9"/>
        <v>1</v>
      </c>
      <c r="AM310" s="420">
        <v>1</v>
      </c>
      <c r="AN310" t="s">
        <v>17650</v>
      </c>
      <c r="AO310" t="s">
        <v>17651</v>
      </c>
      <c r="AP310" t="s">
        <v>17652</v>
      </c>
      <c r="AQ310" t="s">
        <v>17653</v>
      </c>
      <c r="AR310" t="s">
        <v>1024</v>
      </c>
    </row>
    <row r="311" spans="1:44" x14ac:dyDescent="0.25">
      <c r="A311" t="s">
        <v>581</v>
      </c>
      <c r="B311" t="s">
        <v>17153</v>
      </c>
      <c r="C311" s="410" t="s">
        <v>62</v>
      </c>
      <c r="D311" t="s">
        <v>20326</v>
      </c>
      <c r="E311" t="s">
        <v>217</v>
      </c>
      <c r="F311" s="534">
        <v>1</v>
      </c>
      <c r="G311" t="s">
        <v>193</v>
      </c>
      <c r="H311" t="s">
        <v>194</v>
      </c>
      <c r="I311" t="s">
        <v>20338</v>
      </c>
      <c r="J311" t="s">
        <v>253</v>
      </c>
      <c r="K311" s="28" t="s">
        <v>9309</v>
      </c>
      <c r="L311" t="s">
        <v>6955</v>
      </c>
      <c r="N311" t="s">
        <v>21612</v>
      </c>
      <c r="O311" t="s">
        <v>6275</v>
      </c>
      <c r="P311" t="s">
        <v>20372</v>
      </c>
      <c r="Q311" t="s">
        <v>21556</v>
      </c>
      <c r="R311" t="s">
        <v>20566</v>
      </c>
      <c r="S311" t="s">
        <v>21613</v>
      </c>
      <c r="T311" t="s">
        <v>21614</v>
      </c>
      <c r="V311" s="28" t="s">
        <v>9468</v>
      </c>
      <c r="W311" t="s">
        <v>601</v>
      </c>
      <c r="X311" t="s">
        <v>194</v>
      </c>
      <c r="Y311" s="28" t="s">
        <v>9300</v>
      </c>
      <c r="AB311" t="s">
        <v>9311</v>
      </c>
      <c r="AH311" t="s">
        <v>4714</v>
      </c>
      <c r="AI311" t="s">
        <v>9433</v>
      </c>
      <c r="AJ311" s="28" t="str">
        <f t="shared" si="8"/>
        <v>313904</v>
      </c>
      <c r="AK311" s="420">
        <v>1</v>
      </c>
      <c r="AL311" s="420">
        <f t="shared" si="9"/>
        <v>1</v>
      </c>
      <c r="AM311" s="420">
        <v>1</v>
      </c>
      <c r="AN311" t="s">
        <v>17650</v>
      </c>
      <c r="AO311" t="s">
        <v>17651</v>
      </c>
      <c r="AP311" t="s">
        <v>17652</v>
      </c>
      <c r="AQ311" t="s">
        <v>17653</v>
      </c>
      <c r="AR311" t="s">
        <v>1024</v>
      </c>
    </row>
    <row r="312" spans="1:44" x14ac:dyDescent="0.25">
      <c r="A312" t="s">
        <v>581</v>
      </c>
      <c r="B312" t="s">
        <v>14020</v>
      </c>
      <c r="C312" s="410" t="s">
        <v>62</v>
      </c>
      <c r="D312" t="s">
        <v>20326</v>
      </c>
      <c r="E312" t="s">
        <v>217</v>
      </c>
      <c r="F312" s="534">
        <v>1</v>
      </c>
      <c r="G312" t="s">
        <v>193</v>
      </c>
      <c r="H312" t="s">
        <v>194</v>
      </c>
      <c r="I312" t="s">
        <v>20338</v>
      </c>
      <c r="J312" t="s">
        <v>253</v>
      </c>
      <c r="K312" s="28" t="s">
        <v>9309</v>
      </c>
      <c r="L312" t="s">
        <v>6955</v>
      </c>
      <c r="N312" t="s">
        <v>21615</v>
      </c>
      <c r="O312" t="s">
        <v>6275</v>
      </c>
      <c r="P312" t="s">
        <v>20372</v>
      </c>
      <c r="Q312" t="s">
        <v>20329</v>
      </c>
      <c r="R312" t="s">
        <v>20321</v>
      </c>
      <c r="S312" t="s">
        <v>21616</v>
      </c>
      <c r="T312" t="s">
        <v>21617</v>
      </c>
      <c r="V312" s="28" t="s">
        <v>9468</v>
      </c>
      <c r="W312" t="s">
        <v>601</v>
      </c>
      <c r="X312" t="s">
        <v>194</v>
      </c>
      <c r="Y312" s="28" t="s">
        <v>9300</v>
      </c>
      <c r="AB312" t="s">
        <v>9311</v>
      </c>
      <c r="AH312" t="s">
        <v>4714</v>
      </c>
      <c r="AI312" t="s">
        <v>9433</v>
      </c>
      <c r="AJ312" s="28" t="str">
        <f t="shared" si="8"/>
        <v>313904</v>
      </c>
      <c r="AK312" s="420">
        <v>1</v>
      </c>
      <c r="AL312" s="420">
        <f t="shared" si="9"/>
        <v>1</v>
      </c>
      <c r="AM312" s="420">
        <v>1</v>
      </c>
      <c r="AN312" t="s">
        <v>17650</v>
      </c>
      <c r="AO312" t="s">
        <v>17651</v>
      </c>
      <c r="AP312" t="s">
        <v>17652</v>
      </c>
      <c r="AQ312" t="s">
        <v>17653</v>
      </c>
      <c r="AR312" t="s">
        <v>1024</v>
      </c>
    </row>
    <row r="313" spans="1:44" x14ac:dyDescent="0.25">
      <c r="A313" t="s">
        <v>581</v>
      </c>
      <c r="B313" t="s">
        <v>3873</v>
      </c>
      <c r="C313" s="410" t="s">
        <v>62</v>
      </c>
      <c r="D313" t="s">
        <v>20326</v>
      </c>
      <c r="E313" t="s">
        <v>217</v>
      </c>
      <c r="F313" s="534">
        <v>1</v>
      </c>
      <c r="G313" t="s">
        <v>193</v>
      </c>
      <c r="H313" t="s">
        <v>194</v>
      </c>
      <c r="I313" t="s">
        <v>20338</v>
      </c>
      <c r="J313" t="s">
        <v>976</v>
      </c>
      <c r="K313" s="28" t="s">
        <v>9309</v>
      </c>
      <c r="L313" t="s">
        <v>6955</v>
      </c>
      <c r="N313" t="s">
        <v>21618</v>
      </c>
      <c r="O313" t="s">
        <v>6275</v>
      </c>
      <c r="P313" t="s">
        <v>20372</v>
      </c>
      <c r="Q313" t="s">
        <v>20600</v>
      </c>
      <c r="R313" t="s">
        <v>21619</v>
      </c>
      <c r="S313" t="s">
        <v>21620</v>
      </c>
      <c r="T313" t="s">
        <v>21621</v>
      </c>
      <c r="V313" s="28" t="s">
        <v>9726</v>
      </c>
      <c r="W313" t="s">
        <v>601</v>
      </c>
      <c r="X313" t="s">
        <v>194</v>
      </c>
      <c r="Y313" s="28" t="s">
        <v>9300</v>
      </c>
      <c r="AB313" t="s">
        <v>9311</v>
      </c>
      <c r="AH313" t="s">
        <v>4714</v>
      </c>
      <c r="AI313" t="s">
        <v>9433</v>
      </c>
      <c r="AJ313" s="28" t="str">
        <f t="shared" si="8"/>
        <v>313904</v>
      </c>
      <c r="AK313" s="420">
        <v>1</v>
      </c>
      <c r="AL313" s="420">
        <f t="shared" si="9"/>
        <v>1</v>
      </c>
      <c r="AM313" s="420">
        <v>1</v>
      </c>
      <c r="AN313" t="s">
        <v>17650</v>
      </c>
      <c r="AO313" t="s">
        <v>17651</v>
      </c>
      <c r="AP313" t="s">
        <v>17652</v>
      </c>
      <c r="AQ313" t="s">
        <v>17653</v>
      </c>
      <c r="AR313" t="s">
        <v>1024</v>
      </c>
    </row>
    <row r="314" spans="1:44" x14ac:dyDescent="0.25">
      <c r="A314" t="s">
        <v>581</v>
      </c>
      <c r="B314" t="s">
        <v>3873</v>
      </c>
      <c r="C314" s="410" t="s">
        <v>62</v>
      </c>
      <c r="D314" t="s">
        <v>20317</v>
      </c>
      <c r="E314" t="s">
        <v>217</v>
      </c>
      <c r="F314" s="534">
        <v>1</v>
      </c>
      <c r="G314" t="s">
        <v>193</v>
      </c>
      <c r="H314" t="s">
        <v>194</v>
      </c>
      <c r="I314" t="s">
        <v>20338</v>
      </c>
      <c r="J314" t="s">
        <v>976</v>
      </c>
      <c r="K314" s="28" t="s">
        <v>9309</v>
      </c>
      <c r="L314" t="s">
        <v>6955</v>
      </c>
      <c r="N314" t="s">
        <v>21618</v>
      </c>
      <c r="O314" t="s">
        <v>6275</v>
      </c>
      <c r="P314" t="s">
        <v>20376</v>
      </c>
      <c r="Q314" t="s">
        <v>21622</v>
      </c>
      <c r="R314" t="s">
        <v>21619</v>
      </c>
      <c r="S314" t="s">
        <v>21623</v>
      </c>
      <c r="T314" t="s">
        <v>21624</v>
      </c>
      <c r="V314" s="28" t="s">
        <v>9726</v>
      </c>
      <c r="W314" t="s">
        <v>601</v>
      </c>
      <c r="X314" t="s">
        <v>194</v>
      </c>
      <c r="Y314" s="28" t="s">
        <v>9300</v>
      </c>
      <c r="AB314" t="s">
        <v>9311</v>
      </c>
      <c r="AH314" t="s">
        <v>4714</v>
      </c>
      <c r="AI314" t="s">
        <v>9433</v>
      </c>
      <c r="AJ314" s="28" t="str">
        <f t="shared" si="8"/>
        <v>313904</v>
      </c>
      <c r="AK314" s="420">
        <v>1</v>
      </c>
      <c r="AL314" s="420">
        <f t="shared" si="9"/>
        <v>1</v>
      </c>
      <c r="AM314" s="420">
        <v>1</v>
      </c>
      <c r="AN314" t="s">
        <v>17650</v>
      </c>
      <c r="AO314" t="s">
        <v>17651</v>
      </c>
      <c r="AP314" t="s">
        <v>17652</v>
      </c>
      <c r="AQ314" t="s">
        <v>17653</v>
      </c>
      <c r="AR314" t="s">
        <v>1024</v>
      </c>
    </row>
    <row r="315" spans="1:44" x14ac:dyDescent="0.25">
      <c r="A315" t="s">
        <v>21625</v>
      </c>
      <c r="B315" t="s">
        <v>21626</v>
      </c>
      <c r="C315" s="410" t="s">
        <v>62</v>
      </c>
      <c r="D315" t="s">
        <v>20317</v>
      </c>
      <c r="E315" t="s">
        <v>192</v>
      </c>
      <c r="F315" s="534">
        <v>1</v>
      </c>
      <c r="G315" t="s">
        <v>193</v>
      </c>
      <c r="H315" t="s">
        <v>194</v>
      </c>
      <c r="I315" t="s">
        <v>20399</v>
      </c>
      <c r="J315" t="s">
        <v>210</v>
      </c>
      <c r="K315" s="28" t="s">
        <v>9309</v>
      </c>
      <c r="L315" t="s">
        <v>6955</v>
      </c>
      <c r="N315" t="s">
        <v>21627</v>
      </c>
      <c r="O315" t="s">
        <v>6275</v>
      </c>
      <c r="P315" t="s">
        <v>20320</v>
      </c>
      <c r="Q315" t="s">
        <v>20321</v>
      </c>
      <c r="R315" t="s">
        <v>20322</v>
      </c>
      <c r="S315" t="s">
        <v>21628</v>
      </c>
      <c r="T315" t="s">
        <v>21629</v>
      </c>
      <c r="V315" s="28" t="s">
        <v>9334</v>
      </c>
      <c r="W315" t="s">
        <v>601</v>
      </c>
      <c r="X315" t="s">
        <v>194</v>
      </c>
      <c r="Y315" s="28" t="s">
        <v>9300</v>
      </c>
      <c r="AB315" t="s">
        <v>9311</v>
      </c>
      <c r="AH315" t="s">
        <v>4714</v>
      </c>
      <c r="AI315" t="s">
        <v>21626</v>
      </c>
      <c r="AJ315" s="28" t="str">
        <f t="shared" si="8"/>
        <v>313904</v>
      </c>
      <c r="AK315" s="420">
        <v>1</v>
      </c>
      <c r="AL315" s="420">
        <f t="shared" si="9"/>
        <v>1</v>
      </c>
      <c r="AM315" s="420">
        <v>1</v>
      </c>
      <c r="AN315" t="s">
        <v>17650</v>
      </c>
      <c r="AO315" t="s">
        <v>17651</v>
      </c>
      <c r="AP315" t="s">
        <v>17652</v>
      </c>
      <c r="AQ315" t="s">
        <v>17653</v>
      </c>
      <c r="AR315" t="s">
        <v>1024</v>
      </c>
    </row>
    <row r="316" spans="1:44" x14ac:dyDescent="0.25">
      <c r="A316" t="s">
        <v>540</v>
      </c>
      <c r="B316" t="s">
        <v>21630</v>
      </c>
      <c r="C316" s="410" t="s">
        <v>62</v>
      </c>
      <c r="D316" t="s">
        <v>20360</v>
      </c>
      <c r="E316" t="s">
        <v>252</v>
      </c>
      <c r="F316" s="534">
        <v>1</v>
      </c>
      <c r="G316" t="s">
        <v>193</v>
      </c>
      <c r="H316" t="s">
        <v>194</v>
      </c>
      <c r="I316" t="s">
        <v>20333</v>
      </c>
      <c r="J316" t="s">
        <v>276</v>
      </c>
      <c r="K316" s="28" t="s">
        <v>9309</v>
      </c>
      <c r="L316" t="s">
        <v>6955</v>
      </c>
      <c r="N316" t="s">
        <v>21631</v>
      </c>
      <c r="O316" t="s">
        <v>6275</v>
      </c>
      <c r="P316" t="s">
        <v>21632</v>
      </c>
      <c r="Q316" t="s">
        <v>20360</v>
      </c>
      <c r="R316" t="s">
        <v>20601</v>
      </c>
      <c r="S316" t="s">
        <v>21633</v>
      </c>
      <c r="T316" t="s">
        <v>21634</v>
      </c>
      <c r="V316" s="28" t="s">
        <v>9786</v>
      </c>
      <c r="W316" t="s">
        <v>601</v>
      </c>
      <c r="X316" t="s">
        <v>194</v>
      </c>
      <c r="Y316" s="28" t="s">
        <v>9300</v>
      </c>
      <c r="AB316" t="s">
        <v>9311</v>
      </c>
      <c r="AH316" t="s">
        <v>4714</v>
      </c>
      <c r="AI316" t="s">
        <v>9433</v>
      </c>
      <c r="AJ316" s="28" t="str">
        <f t="shared" si="8"/>
        <v>313904</v>
      </c>
      <c r="AK316" s="420">
        <v>1</v>
      </c>
      <c r="AL316" s="420">
        <f t="shared" si="9"/>
        <v>1</v>
      </c>
      <c r="AM316" s="420">
        <v>1</v>
      </c>
      <c r="AN316" t="s">
        <v>17650</v>
      </c>
      <c r="AO316" t="s">
        <v>17651</v>
      </c>
      <c r="AP316" t="s">
        <v>17652</v>
      </c>
      <c r="AQ316" t="s">
        <v>17653</v>
      </c>
      <c r="AR316" t="s">
        <v>1024</v>
      </c>
    </row>
    <row r="317" spans="1:44" x14ac:dyDescent="0.25">
      <c r="A317" t="s">
        <v>581</v>
      </c>
      <c r="B317" t="s">
        <v>3873</v>
      </c>
      <c r="C317" s="410" t="s">
        <v>62</v>
      </c>
      <c r="D317" t="s">
        <v>20360</v>
      </c>
      <c r="E317" t="s">
        <v>217</v>
      </c>
      <c r="F317" s="534">
        <v>1</v>
      </c>
      <c r="G317" t="s">
        <v>193</v>
      </c>
      <c r="H317" t="s">
        <v>194</v>
      </c>
      <c r="I317" t="s">
        <v>20389</v>
      </c>
      <c r="J317" t="s">
        <v>976</v>
      </c>
      <c r="K317" s="28" t="s">
        <v>9309</v>
      </c>
      <c r="L317" t="s">
        <v>6955</v>
      </c>
      <c r="N317" t="s">
        <v>21635</v>
      </c>
      <c r="O317" t="s">
        <v>6275</v>
      </c>
      <c r="P317" t="s">
        <v>20393</v>
      </c>
      <c r="Q317" t="s">
        <v>20317</v>
      </c>
      <c r="R317" t="s">
        <v>20322</v>
      </c>
      <c r="S317" t="s">
        <v>21636</v>
      </c>
      <c r="T317" t="s">
        <v>21637</v>
      </c>
      <c r="V317" s="28" t="s">
        <v>9726</v>
      </c>
      <c r="W317" t="s">
        <v>601</v>
      </c>
      <c r="X317" t="s">
        <v>194</v>
      </c>
      <c r="Y317" s="28" t="s">
        <v>9300</v>
      </c>
      <c r="AB317" t="s">
        <v>9311</v>
      </c>
      <c r="AH317" t="s">
        <v>4714</v>
      </c>
      <c r="AI317" t="s">
        <v>9433</v>
      </c>
      <c r="AJ317" s="28" t="str">
        <f t="shared" si="8"/>
        <v>313904</v>
      </c>
      <c r="AK317" s="420">
        <v>1</v>
      </c>
      <c r="AL317" s="420">
        <f t="shared" si="9"/>
        <v>1</v>
      </c>
      <c r="AM317" s="420">
        <v>1</v>
      </c>
      <c r="AN317" t="s">
        <v>17650</v>
      </c>
      <c r="AO317" t="s">
        <v>17651</v>
      </c>
      <c r="AP317" t="s">
        <v>17652</v>
      </c>
      <c r="AQ317" t="s">
        <v>17653</v>
      </c>
      <c r="AR317" t="s">
        <v>1024</v>
      </c>
    </row>
    <row r="318" spans="1:44" x14ac:dyDescent="0.25">
      <c r="A318" t="s">
        <v>581</v>
      </c>
      <c r="B318" t="s">
        <v>21638</v>
      </c>
      <c r="C318" s="410" t="s">
        <v>62</v>
      </c>
      <c r="D318" t="s">
        <v>20338</v>
      </c>
      <c r="E318" t="s">
        <v>217</v>
      </c>
      <c r="F318" s="534">
        <v>1</v>
      </c>
      <c r="G318" t="s">
        <v>193</v>
      </c>
      <c r="H318" t="s">
        <v>194</v>
      </c>
      <c r="I318" t="s">
        <v>20405</v>
      </c>
      <c r="J318" t="s">
        <v>976</v>
      </c>
      <c r="K318" s="28" t="s">
        <v>9309</v>
      </c>
      <c r="L318" t="s">
        <v>6955</v>
      </c>
      <c r="N318" t="s">
        <v>21639</v>
      </c>
      <c r="O318" t="s">
        <v>6363</v>
      </c>
      <c r="P318" t="s">
        <v>21601</v>
      </c>
      <c r="Q318" t="s">
        <v>20596</v>
      </c>
      <c r="R318" t="s">
        <v>20441</v>
      </c>
      <c r="S318" t="s">
        <v>21640</v>
      </c>
      <c r="T318" t="s">
        <v>21641</v>
      </c>
      <c r="W318" t="s">
        <v>601</v>
      </c>
      <c r="X318" t="s">
        <v>193</v>
      </c>
      <c r="Y318" s="28" t="s">
        <v>9310</v>
      </c>
      <c r="AB318" t="s">
        <v>9311</v>
      </c>
      <c r="AH318" t="s">
        <v>4714</v>
      </c>
      <c r="AI318" t="s">
        <v>9433</v>
      </c>
      <c r="AJ318" s="28" t="str">
        <f t="shared" si="8"/>
        <v>313904</v>
      </c>
      <c r="AK318" s="420">
        <v>1</v>
      </c>
      <c r="AL318" s="420">
        <f t="shared" si="9"/>
        <v>1</v>
      </c>
      <c r="AM318" s="420">
        <v>1</v>
      </c>
      <c r="AN318" t="s">
        <v>17650</v>
      </c>
      <c r="AO318" t="s">
        <v>17651</v>
      </c>
      <c r="AP318" t="s">
        <v>17652</v>
      </c>
      <c r="AQ318" t="s">
        <v>17653</v>
      </c>
      <c r="AR318" t="s">
        <v>1024</v>
      </c>
    </row>
    <row r="319" spans="1:44" x14ac:dyDescent="0.25">
      <c r="A319" t="s">
        <v>581</v>
      </c>
      <c r="B319" t="s">
        <v>3873</v>
      </c>
      <c r="C319" s="410" t="s">
        <v>62</v>
      </c>
      <c r="D319" t="s">
        <v>20338</v>
      </c>
      <c r="E319" t="s">
        <v>217</v>
      </c>
      <c r="F319" s="534">
        <v>1</v>
      </c>
      <c r="G319" t="s">
        <v>193</v>
      </c>
      <c r="H319" t="s">
        <v>194</v>
      </c>
      <c r="I319" t="s">
        <v>20405</v>
      </c>
      <c r="J319" t="s">
        <v>976</v>
      </c>
      <c r="K319" s="28" t="s">
        <v>9309</v>
      </c>
      <c r="L319" t="s">
        <v>6955</v>
      </c>
      <c r="N319" t="s">
        <v>21635</v>
      </c>
      <c r="O319" t="s">
        <v>6275</v>
      </c>
      <c r="P319" t="s">
        <v>21601</v>
      </c>
      <c r="Q319" t="s">
        <v>20360</v>
      </c>
      <c r="R319" t="s">
        <v>20322</v>
      </c>
      <c r="S319" t="s">
        <v>21642</v>
      </c>
      <c r="T319" t="s">
        <v>21643</v>
      </c>
      <c r="V319" s="28" t="s">
        <v>9726</v>
      </c>
      <c r="W319" t="s">
        <v>601</v>
      </c>
      <c r="X319" t="s">
        <v>194</v>
      </c>
      <c r="Y319" s="28" t="s">
        <v>9300</v>
      </c>
      <c r="AB319" t="s">
        <v>9311</v>
      </c>
      <c r="AH319" t="s">
        <v>4714</v>
      </c>
      <c r="AI319" t="s">
        <v>9433</v>
      </c>
      <c r="AJ319" s="28" t="str">
        <f t="shared" si="8"/>
        <v>313904</v>
      </c>
      <c r="AK319" s="420">
        <v>1</v>
      </c>
      <c r="AL319" s="420">
        <f t="shared" si="9"/>
        <v>1</v>
      </c>
      <c r="AM319" s="420">
        <v>1</v>
      </c>
      <c r="AN319" t="s">
        <v>17650</v>
      </c>
      <c r="AO319" t="s">
        <v>17651</v>
      </c>
      <c r="AP319" t="s">
        <v>17652</v>
      </c>
      <c r="AQ319" t="s">
        <v>17653</v>
      </c>
      <c r="AR319" t="s">
        <v>1024</v>
      </c>
    </row>
    <row r="320" spans="1:44" x14ac:dyDescent="0.25">
      <c r="A320" t="s">
        <v>11602</v>
      </c>
      <c r="B320" t="s">
        <v>8665</v>
      </c>
      <c r="C320" s="410" t="s">
        <v>62</v>
      </c>
      <c r="D320" t="s">
        <v>20338</v>
      </c>
      <c r="E320" t="s">
        <v>192</v>
      </c>
      <c r="F320" s="534">
        <v>1</v>
      </c>
      <c r="G320" t="s">
        <v>193</v>
      </c>
      <c r="H320" t="s">
        <v>194</v>
      </c>
      <c r="I320" t="s">
        <v>20405</v>
      </c>
      <c r="J320" t="s">
        <v>316</v>
      </c>
      <c r="K320" s="28" t="s">
        <v>9309</v>
      </c>
      <c r="L320" t="s">
        <v>6955</v>
      </c>
      <c r="N320" t="s">
        <v>21644</v>
      </c>
      <c r="O320" t="s">
        <v>6275</v>
      </c>
      <c r="P320" t="s">
        <v>20398</v>
      </c>
      <c r="Q320" t="s">
        <v>20399</v>
      </c>
      <c r="R320" t="s">
        <v>20400</v>
      </c>
      <c r="S320" t="s">
        <v>21645</v>
      </c>
      <c r="T320" t="s">
        <v>21646</v>
      </c>
      <c r="V320" s="28" t="s">
        <v>10012</v>
      </c>
      <c r="W320" t="s">
        <v>601</v>
      </c>
      <c r="X320" t="s">
        <v>194</v>
      </c>
      <c r="Y320" s="28" t="s">
        <v>9300</v>
      </c>
      <c r="AB320" t="s">
        <v>9311</v>
      </c>
      <c r="AH320" t="s">
        <v>4714</v>
      </c>
      <c r="AI320" t="s">
        <v>8665</v>
      </c>
      <c r="AJ320" s="28" t="str">
        <f t="shared" si="8"/>
        <v>313904</v>
      </c>
      <c r="AK320" s="420">
        <v>1</v>
      </c>
      <c r="AL320" s="420">
        <f t="shared" si="9"/>
        <v>1</v>
      </c>
      <c r="AM320" s="420">
        <v>1</v>
      </c>
      <c r="AN320" t="s">
        <v>17650</v>
      </c>
      <c r="AO320" t="s">
        <v>17651</v>
      </c>
      <c r="AP320" t="s">
        <v>17652</v>
      </c>
      <c r="AQ320" t="s">
        <v>17653</v>
      </c>
      <c r="AR320" t="s">
        <v>1024</v>
      </c>
    </row>
    <row r="321" spans="1:44" x14ac:dyDescent="0.25">
      <c r="A321" t="s">
        <v>581</v>
      </c>
      <c r="B321" t="s">
        <v>21638</v>
      </c>
      <c r="C321" s="410" t="s">
        <v>62</v>
      </c>
      <c r="D321" t="s">
        <v>20306</v>
      </c>
      <c r="E321" t="s">
        <v>217</v>
      </c>
      <c r="F321" s="534">
        <v>1</v>
      </c>
      <c r="G321" t="s">
        <v>193</v>
      </c>
      <c r="H321" t="s">
        <v>194</v>
      </c>
      <c r="I321" t="s">
        <v>20307</v>
      </c>
      <c r="J321" t="s">
        <v>976</v>
      </c>
      <c r="K321" s="28" t="s">
        <v>9309</v>
      </c>
      <c r="L321" t="s">
        <v>6955</v>
      </c>
      <c r="N321" t="s">
        <v>21639</v>
      </c>
      <c r="O321" t="s">
        <v>6363</v>
      </c>
      <c r="P321" t="s">
        <v>20688</v>
      </c>
      <c r="Q321" t="s">
        <v>20333</v>
      </c>
      <c r="R321" t="s">
        <v>20441</v>
      </c>
      <c r="S321" t="s">
        <v>21647</v>
      </c>
      <c r="T321" t="s">
        <v>21648</v>
      </c>
      <c r="W321" t="s">
        <v>601</v>
      </c>
      <c r="X321" t="s">
        <v>193</v>
      </c>
      <c r="Y321" s="28" t="s">
        <v>9310</v>
      </c>
      <c r="AB321" t="s">
        <v>9311</v>
      </c>
      <c r="AH321" t="s">
        <v>4714</v>
      </c>
      <c r="AI321" t="s">
        <v>9433</v>
      </c>
      <c r="AJ321" s="28" t="str">
        <f t="shared" si="8"/>
        <v>313904</v>
      </c>
      <c r="AK321" s="420">
        <v>1</v>
      </c>
      <c r="AL321" s="420">
        <f t="shared" si="9"/>
        <v>1</v>
      </c>
      <c r="AM321" s="420">
        <v>1</v>
      </c>
      <c r="AN321" t="s">
        <v>17650</v>
      </c>
      <c r="AO321" t="s">
        <v>17651</v>
      </c>
      <c r="AP321" t="s">
        <v>17652</v>
      </c>
      <c r="AQ321" t="s">
        <v>17653</v>
      </c>
      <c r="AR321" t="s">
        <v>1024</v>
      </c>
    </row>
    <row r="322" spans="1:44" x14ac:dyDescent="0.25">
      <c r="A322" t="s">
        <v>581</v>
      </c>
      <c r="B322" t="s">
        <v>3873</v>
      </c>
      <c r="C322" s="410" t="s">
        <v>62</v>
      </c>
      <c r="D322" t="s">
        <v>20306</v>
      </c>
      <c r="E322" t="s">
        <v>217</v>
      </c>
      <c r="F322" s="534">
        <v>1</v>
      </c>
      <c r="G322" t="s">
        <v>193</v>
      </c>
      <c r="H322" t="s">
        <v>194</v>
      </c>
      <c r="I322" t="s">
        <v>20307</v>
      </c>
      <c r="J322" t="s">
        <v>976</v>
      </c>
      <c r="K322" s="28" t="s">
        <v>9309</v>
      </c>
      <c r="L322" t="s">
        <v>6955</v>
      </c>
      <c r="N322" t="s">
        <v>21635</v>
      </c>
      <c r="O322" t="s">
        <v>6275</v>
      </c>
      <c r="P322" t="s">
        <v>20688</v>
      </c>
      <c r="Q322" t="s">
        <v>20338</v>
      </c>
      <c r="R322" t="s">
        <v>20322</v>
      </c>
      <c r="S322" t="s">
        <v>21649</v>
      </c>
      <c r="T322" t="s">
        <v>21650</v>
      </c>
      <c r="V322" s="28" t="s">
        <v>9726</v>
      </c>
      <c r="W322" t="s">
        <v>601</v>
      </c>
      <c r="X322" t="s">
        <v>194</v>
      </c>
      <c r="Y322" s="28" t="s">
        <v>9300</v>
      </c>
      <c r="AB322" t="s">
        <v>9311</v>
      </c>
      <c r="AH322" t="s">
        <v>4714</v>
      </c>
      <c r="AI322" t="s">
        <v>9433</v>
      </c>
      <c r="AJ322" s="28" t="str">
        <f t="shared" si="8"/>
        <v>313904</v>
      </c>
      <c r="AK322" s="420">
        <v>1</v>
      </c>
      <c r="AL322" s="420">
        <f t="shared" si="9"/>
        <v>1</v>
      </c>
      <c r="AM322" s="420">
        <v>1</v>
      </c>
      <c r="AN322" t="s">
        <v>17650</v>
      </c>
      <c r="AO322" t="s">
        <v>17651</v>
      </c>
      <c r="AP322" t="s">
        <v>17652</v>
      </c>
      <c r="AQ322" t="s">
        <v>17653</v>
      </c>
      <c r="AR322" t="s">
        <v>1024</v>
      </c>
    </row>
    <row r="323" spans="1:44" x14ac:dyDescent="0.25">
      <c r="A323" t="s">
        <v>19537</v>
      </c>
      <c r="B323" t="s">
        <v>21651</v>
      </c>
      <c r="C323" s="410" t="s">
        <v>62</v>
      </c>
      <c r="D323" t="s">
        <v>20306</v>
      </c>
      <c r="E323" t="s">
        <v>192</v>
      </c>
      <c r="F323" s="534">
        <v>1</v>
      </c>
      <c r="G323" t="s">
        <v>193</v>
      </c>
      <c r="H323" t="s">
        <v>194</v>
      </c>
      <c r="I323" t="s">
        <v>20307</v>
      </c>
      <c r="J323" t="s">
        <v>672</v>
      </c>
      <c r="K323" s="28" t="s">
        <v>9309</v>
      </c>
      <c r="L323" t="s">
        <v>6955</v>
      </c>
      <c r="N323" t="s">
        <v>21652</v>
      </c>
      <c r="O323" t="s">
        <v>6275</v>
      </c>
      <c r="P323" t="s">
        <v>20309</v>
      </c>
      <c r="Q323" t="s">
        <v>20310</v>
      </c>
      <c r="R323" t="s">
        <v>20311</v>
      </c>
      <c r="S323" t="s">
        <v>21653</v>
      </c>
      <c r="T323" t="s">
        <v>21654</v>
      </c>
      <c r="V323" s="28" t="s">
        <v>9726</v>
      </c>
      <c r="W323" t="s">
        <v>601</v>
      </c>
      <c r="X323" t="s">
        <v>194</v>
      </c>
      <c r="Y323" s="28" t="s">
        <v>9300</v>
      </c>
      <c r="AB323" t="s">
        <v>9311</v>
      </c>
      <c r="AH323" t="s">
        <v>4714</v>
      </c>
      <c r="AI323" t="s">
        <v>21651</v>
      </c>
      <c r="AJ323" s="28" t="str">
        <f t="shared" ref="AJ323:AJ386" si="10">MID(W323,8,6)</f>
        <v>313904</v>
      </c>
      <c r="AK323" s="420">
        <v>1</v>
      </c>
      <c r="AL323" s="420">
        <f t="shared" ref="AL323:AL386" si="11">F323</f>
        <v>1</v>
      </c>
      <c r="AM323" s="420">
        <v>1</v>
      </c>
      <c r="AN323" t="s">
        <v>17650</v>
      </c>
      <c r="AO323" t="s">
        <v>17651</v>
      </c>
      <c r="AP323" t="s">
        <v>17652</v>
      </c>
      <c r="AQ323" t="s">
        <v>17653</v>
      </c>
      <c r="AR323" t="s">
        <v>1024</v>
      </c>
    </row>
    <row r="324" spans="1:44" x14ac:dyDescent="0.25">
      <c r="A324" t="s">
        <v>1917</v>
      </c>
      <c r="B324" t="s">
        <v>4358</v>
      </c>
      <c r="C324" s="410" t="s">
        <v>62</v>
      </c>
      <c r="D324" t="s">
        <v>20306</v>
      </c>
      <c r="E324" t="s">
        <v>192</v>
      </c>
      <c r="F324" s="534">
        <v>1</v>
      </c>
      <c r="G324" t="s">
        <v>193</v>
      </c>
      <c r="H324" t="s">
        <v>194</v>
      </c>
      <c r="I324" t="s">
        <v>20307</v>
      </c>
      <c r="J324" t="s">
        <v>253</v>
      </c>
      <c r="K324" s="28" t="s">
        <v>9309</v>
      </c>
      <c r="L324" t="s">
        <v>6955</v>
      </c>
      <c r="N324" t="s">
        <v>21655</v>
      </c>
      <c r="O324" t="s">
        <v>6275</v>
      </c>
      <c r="P324" t="s">
        <v>20309</v>
      </c>
      <c r="Q324" t="s">
        <v>20310</v>
      </c>
      <c r="R324" t="s">
        <v>20311</v>
      </c>
      <c r="S324" t="s">
        <v>21656</v>
      </c>
      <c r="T324" t="s">
        <v>21657</v>
      </c>
      <c r="V324" s="28" t="s">
        <v>9468</v>
      </c>
      <c r="W324" t="s">
        <v>601</v>
      </c>
      <c r="X324" t="s">
        <v>194</v>
      </c>
      <c r="Y324" s="28" t="s">
        <v>9300</v>
      </c>
      <c r="AB324" t="s">
        <v>9311</v>
      </c>
      <c r="AH324" t="s">
        <v>4714</v>
      </c>
      <c r="AI324" t="s">
        <v>4358</v>
      </c>
      <c r="AJ324" s="28" t="str">
        <f t="shared" si="10"/>
        <v>313904</v>
      </c>
      <c r="AK324" s="420">
        <v>1</v>
      </c>
      <c r="AL324" s="420">
        <f t="shared" si="11"/>
        <v>1</v>
      </c>
      <c r="AM324" s="420">
        <v>1</v>
      </c>
      <c r="AN324" t="s">
        <v>17650</v>
      </c>
      <c r="AO324" t="s">
        <v>17651</v>
      </c>
      <c r="AP324" t="s">
        <v>17652</v>
      </c>
      <c r="AQ324" t="s">
        <v>17653</v>
      </c>
      <c r="AR324" t="s">
        <v>1024</v>
      </c>
    </row>
    <row r="325" spans="1:44" x14ac:dyDescent="0.25">
      <c r="A325" t="s">
        <v>21658</v>
      </c>
      <c r="B325" t="s">
        <v>2491</v>
      </c>
      <c r="C325" s="410" t="s">
        <v>113</v>
      </c>
      <c r="D325" t="s">
        <v>20326</v>
      </c>
      <c r="E325" t="s">
        <v>233</v>
      </c>
      <c r="F325" s="534">
        <v>1</v>
      </c>
      <c r="G325" t="s">
        <v>193</v>
      </c>
      <c r="H325" t="s">
        <v>194</v>
      </c>
      <c r="I325" t="s">
        <v>20360</v>
      </c>
      <c r="J325" t="s">
        <v>210</v>
      </c>
      <c r="K325" s="28" t="s">
        <v>9309</v>
      </c>
      <c r="L325" t="s">
        <v>6955</v>
      </c>
      <c r="N325" t="s">
        <v>21659</v>
      </c>
      <c r="O325" t="s">
        <v>6249</v>
      </c>
      <c r="P325" t="s">
        <v>20509</v>
      </c>
      <c r="Q325" t="s">
        <v>20510</v>
      </c>
      <c r="R325" t="s">
        <v>20689</v>
      </c>
      <c r="S325" t="s">
        <v>21660</v>
      </c>
      <c r="T325" t="s">
        <v>21661</v>
      </c>
      <c r="V325" s="28" t="s">
        <v>9334</v>
      </c>
      <c r="W325" t="s">
        <v>465</v>
      </c>
      <c r="X325" t="s">
        <v>194</v>
      </c>
      <c r="Y325" s="28" t="s">
        <v>9300</v>
      </c>
      <c r="AB325" t="s">
        <v>9311</v>
      </c>
      <c r="AH325" t="s">
        <v>4714</v>
      </c>
      <c r="AI325" t="s">
        <v>2491</v>
      </c>
      <c r="AJ325" s="28" t="str">
        <f t="shared" si="10"/>
        <v>243302</v>
      </c>
      <c r="AK325" s="420">
        <v>1</v>
      </c>
      <c r="AL325" s="420">
        <f t="shared" si="11"/>
        <v>1</v>
      </c>
      <c r="AM325" s="420">
        <v>1</v>
      </c>
      <c r="AN325" t="s">
        <v>17650</v>
      </c>
      <c r="AO325" t="s">
        <v>17651</v>
      </c>
      <c r="AP325" t="s">
        <v>17652</v>
      </c>
      <c r="AQ325" t="s">
        <v>17653</v>
      </c>
      <c r="AR325" t="s">
        <v>1024</v>
      </c>
    </row>
    <row r="326" spans="1:44" x14ac:dyDescent="0.25">
      <c r="A326" t="s">
        <v>413</v>
      </c>
      <c r="B326" t="s">
        <v>965</v>
      </c>
      <c r="C326" s="410" t="s">
        <v>113</v>
      </c>
      <c r="D326" t="s">
        <v>20326</v>
      </c>
      <c r="E326" t="s">
        <v>192</v>
      </c>
      <c r="F326" s="534">
        <v>1</v>
      </c>
      <c r="G326" t="s">
        <v>193</v>
      </c>
      <c r="H326" t="s">
        <v>194</v>
      </c>
      <c r="I326" t="s">
        <v>20360</v>
      </c>
      <c r="J326" t="s">
        <v>253</v>
      </c>
      <c r="K326" s="28" t="s">
        <v>9309</v>
      </c>
      <c r="L326" t="s">
        <v>6955</v>
      </c>
      <c r="N326" t="s">
        <v>21662</v>
      </c>
      <c r="O326" t="s">
        <v>6254</v>
      </c>
      <c r="P326" t="s">
        <v>20595</v>
      </c>
      <c r="Q326" t="s">
        <v>20329</v>
      </c>
      <c r="R326" t="s">
        <v>20405</v>
      </c>
      <c r="S326" t="s">
        <v>21663</v>
      </c>
      <c r="T326" t="s">
        <v>21664</v>
      </c>
      <c r="V326" s="28" t="s">
        <v>9468</v>
      </c>
      <c r="W326" t="s">
        <v>465</v>
      </c>
      <c r="X326" t="s">
        <v>194</v>
      </c>
      <c r="Y326" s="28" t="s">
        <v>9300</v>
      </c>
      <c r="AB326" t="s">
        <v>9311</v>
      </c>
      <c r="AH326" t="s">
        <v>4714</v>
      </c>
      <c r="AI326" t="s">
        <v>113</v>
      </c>
      <c r="AJ326" s="28" t="str">
        <f t="shared" si="10"/>
        <v>243302</v>
      </c>
      <c r="AK326" s="420">
        <v>1</v>
      </c>
      <c r="AL326" s="420">
        <f t="shared" si="11"/>
        <v>1</v>
      </c>
      <c r="AM326" s="420">
        <v>1</v>
      </c>
      <c r="AN326" t="s">
        <v>17650</v>
      </c>
      <c r="AO326" t="s">
        <v>17651</v>
      </c>
      <c r="AP326" t="s">
        <v>17652</v>
      </c>
      <c r="AQ326" t="s">
        <v>17653</v>
      </c>
      <c r="AR326" t="s">
        <v>1024</v>
      </c>
    </row>
    <row r="327" spans="1:44" x14ac:dyDescent="0.25">
      <c r="A327" t="s">
        <v>1748</v>
      </c>
      <c r="B327" t="s">
        <v>21665</v>
      </c>
      <c r="C327" s="410" t="s">
        <v>113</v>
      </c>
      <c r="D327" t="s">
        <v>20338</v>
      </c>
      <c r="E327" t="s">
        <v>192</v>
      </c>
      <c r="F327" s="534">
        <v>1</v>
      </c>
      <c r="G327" t="s">
        <v>193</v>
      </c>
      <c r="H327" t="s">
        <v>194</v>
      </c>
      <c r="I327" t="s">
        <v>20405</v>
      </c>
      <c r="J327" t="s">
        <v>9302</v>
      </c>
      <c r="K327" s="28" t="s">
        <v>9309</v>
      </c>
      <c r="L327" t="s">
        <v>6955</v>
      </c>
      <c r="N327" t="s">
        <v>21666</v>
      </c>
      <c r="O327" t="s">
        <v>6921</v>
      </c>
      <c r="P327" t="s">
        <v>20398</v>
      </c>
      <c r="Q327" t="s">
        <v>20399</v>
      </c>
      <c r="R327" t="s">
        <v>20400</v>
      </c>
      <c r="S327" t="s">
        <v>21667</v>
      </c>
      <c r="T327" t="s">
        <v>21668</v>
      </c>
      <c r="W327" t="s">
        <v>465</v>
      </c>
      <c r="X327" t="s">
        <v>193</v>
      </c>
      <c r="Y327" s="28" t="s">
        <v>9310</v>
      </c>
      <c r="AB327" t="s">
        <v>9311</v>
      </c>
      <c r="AH327" t="s">
        <v>4714</v>
      </c>
      <c r="AI327" t="s">
        <v>21665</v>
      </c>
      <c r="AJ327" s="28" t="str">
        <f t="shared" si="10"/>
        <v>243302</v>
      </c>
      <c r="AK327" s="420">
        <v>1</v>
      </c>
      <c r="AL327" s="420">
        <f t="shared" si="11"/>
        <v>1</v>
      </c>
      <c r="AM327" s="420">
        <v>1</v>
      </c>
      <c r="AN327" t="s">
        <v>17650</v>
      </c>
      <c r="AO327" t="s">
        <v>17651</v>
      </c>
      <c r="AP327" t="s">
        <v>17652</v>
      </c>
      <c r="AQ327" t="s">
        <v>17653</v>
      </c>
      <c r="AR327" t="s">
        <v>1024</v>
      </c>
    </row>
    <row r="328" spans="1:44" x14ac:dyDescent="0.25">
      <c r="A328" t="s">
        <v>21669</v>
      </c>
      <c r="B328" t="s">
        <v>21670</v>
      </c>
      <c r="C328" s="410" t="s">
        <v>113</v>
      </c>
      <c r="D328" t="s">
        <v>20306</v>
      </c>
      <c r="E328" t="s">
        <v>192</v>
      </c>
      <c r="F328" s="534">
        <v>1</v>
      </c>
      <c r="G328" t="s">
        <v>193</v>
      </c>
      <c r="H328" t="s">
        <v>194</v>
      </c>
      <c r="I328" t="s">
        <v>20441</v>
      </c>
      <c r="J328" t="s">
        <v>9302</v>
      </c>
      <c r="K328" s="28" t="s">
        <v>9309</v>
      </c>
      <c r="L328" t="s">
        <v>6955</v>
      </c>
      <c r="N328" t="s">
        <v>21671</v>
      </c>
      <c r="O328" t="s">
        <v>6921</v>
      </c>
      <c r="P328" t="s">
        <v>20309</v>
      </c>
      <c r="Q328" t="s">
        <v>20310</v>
      </c>
      <c r="R328" t="s">
        <v>20311</v>
      </c>
      <c r="S328" t="s">
        <v>21672</v>
      </c>
      <c r="T328" t="s">
        <v>21673</v>
      </c>
      <c r="W328" t="s">
        <v>465</v>
      </c>
      <c r="X328" t="s">
        <v>193</v>
      </c>
      <c r="Y328" s="28" t="s">
        <v>9310</v>
      </c>
      <c r="AB328" t="s">
        <v>9311</v>
      </c>
      <c r="AH328" t="s">
        <v>5109</v>
      </c>
      <c r="AI328" t="s">
        <v>21670</v>
      </c>
      <c r="AJ328" s="28" t="str">
        <f t="shared" si="10"/>
        <v>243302</v>
      </c>
      <c r="AK328" s="420">
        <v>1</v>
      </c>
      <c r="AL328" s="420">
        <f t="shared" si="11"/>
        <v>1</v>
      </c>
      <c r="AM328" s="420">
        <v>1</v>
      </c>
      <c r="AN328" t="s">
        <v>17650</v>
      </c>
      <c r="AO328" t="s">
        <v>17651</v>
      </c>
      <c r="AP328" t="s">
        <v>17652</v>
      </c>
      <c r="AQ328" t="s">
        <v>17653</v>
      </c>
      <c r="AR328" t="s">
        <v>1024</v>
      </c>
    </row>
    <row r="329" spans="1:44" x14ac:dyDescent="0.25">
      <c r="A329" t="s">
        <v>21674</v>
      </c>
      <c r="B329" t="s">
        <v>21675</v>
      </c>
      <c r="C329" s="410" t="s">
        <v>113</v>
      </c>
      <c r="D329" t="s">
        <v>20306</v>
      </c>
      <c r="E329" t="s">
        <v>192</v>
      </c>
      <c r="F329" s="534">
        <v>1</v>
      </c>
      <c r="G329" t="s">
        <v>193</v>
      </c>
      <c r="H329" t="s">
        <v>194</v>
      </c>
      <c r="I329" t="s">
        <v>20441</v>
      </c>
      <c r="J329" t="s">
        <v>276</v>
      </c>
      <c r="K329" s="28" t="s">
        <v>9309</v>
      </c>
      <c r="L329" t="s">
        <v>6955</v>
      </c>
      <c r="N329" t="s">
        <v>21676</v>
      </c>
      <c r="O329" t="s">
        <v>6254</v>
      </c>
      <c r="P329" t="s">
        <v>20309</v>
      </c>
      <c r="Q329" t="s">
        <v>20310</v>
      </c>
      <c r="R329" t="s">
        <v>20311</v>
      </c>
      <c r="S329" t="s">
        <v>21677</v>
      </c>
      <c r="T329" t="s">
        <v>21678</v>
      </c>
      <c r="V329" s="28" t="s">
        <v>9786</v>
      </c>
      <c r="W329" t="s">
        <v>465</v>
      </c>
      <c r="X329" t="s">
        <v>194</v>
      </c>
      <c r="Y329" s="28" t="s">
        <v>9300</v>
      </c>
      <c r="AB329" t="s">
        <v>9311</v>
      </c>
      <c r="AH329" t="s">
        <v>4714</v>
      </c>
      <c r="AI329" t="s">
        <v>21675</v>
      </c>
      <c r="AJ329" s="28" t="str">
        <f t="shared" si="10"/>
        <v>243302</v>
      </c>
      <c r="AK329" s="420">
        <v>1</v>
      </c>
      <c r="AL329" s="420">
        <f t="shared" si="11"/>
        <v>1</v>
      </c>
      <c r="AM329" s="420">
        <v>1</v>
      </c>
      <c r="AN329" t="s">
        <v>17650</v>
      </c>
      <c r="AO329" t="s">
        <v>17651</v>
      </c>
      <c r="AP329" t="s">
        <v>17652</v>
      </c>
      <c r="AQ329" t="s">
        <v>17653</v>
      </c>
      <c r="AR329" t="s">
        <v>1024</v>
      </c>
    </row>
    <row r="330" spans="1:44" x14ac:dyDescent="0.25">
      <c r="A330" t="s">
        <v>21679</v>
      </c>
      <c r="B330" t="s">
        <v>21680</v>
      </c>
      <c r="C330" s="410" t="s">
        <v>142</v>
      </c>
      <c r="D330" t="s">
        <v>20306</v>
      </c>
      <c r="E330" t="s">
        <v>192</v>
      </c>
      <c r="F330" s="534">
        <v>1</v>
      </c>
      <c r="G330" t="s">
        <v>193</v>
      </c>
      <c r="H330" t="s">
        <v>194</v>
      </c>
      <c r="I330" t="s">
        <v>20307</v>
      </c>
      <c r="J330" t="s">
        <v>210</v>
      </c>
      <c r="K330" s="28" t="s">
        <v>9309</v>
      </c>
      <c r="L330" t="s">
        <v>6955</v>
      </c>
      <c r="N330" t="s">
        <v>21681</v>
      </c>
      <c r="O330" t="s">
        <v>6302</v>
      </c>
      <c r="P330" t="s">
        <v>21682</v>
      </c>
      <c r="Q330" t="s">
        <v>4849</v>
      </c>
      <c r="R330" t="s">
        <v>7703</v>
      </c>
      <c r="S330" t="s">
        <v>21683</v>
      </c>
      <c r="T330" t="s">
        <v>21684</v>
      </c>
      <c r="V330" s="28" t="s">
        <v>9334</v>
      </c>
      <c r="W330" t="s">
        <v>2213</v>
      </c>
      <c r="X330" t="s">
        <v>194</v>
      </c>
      <c r="Y330" s="28" t="s">
        <v>9300</v>
      </c>
      <c r="AB330" t="s">
        <v>9311</v>
      </c>
      <c r="AH330" t="s">
        <v>4714</v>
      </c>
      <c r="AI330" t="s">
        <v>21680</v>
      </c>
      <c r="AJ330" s="28" t="str">
        <f t="shared" si="10"/>
        <v>524402</v>
      </c>
      <c r="AK330" s="420">
        <v>1</v>
      </c>
      <c r="AL330" s="420">
        <f t="shared" si="11"/>
        <v>1</v>
      </c>
      <c r="AM330" s="420">
        <v>1</v>
      </c>
      <c r="AN330" t="s">
        <v>17650</v>
      </c>
      <c r="AO330" t="s">
        <v>17651</v>
      </c>
      <c r="AP330" t="s">
        <v>17652</v>
      </c>
      <c r="AQ330" t="s">
        <v>17653</v>
      </c>
      <c r="AR330" t="s">
        <v>1024</v>
      </c>
    </row>
    <row r="331" spans="1:44" x14ac:dyDescent="0.25">
      <c r="A331" t="s">
        <v>21674</v>
      </c>
      <c r="B331" t="s">
        <v>21685</v>
      </c>
      <c r="C331" s="410" t="s">
        <v>721</v>
      </c>
      <c r="D331" t="s">
        <v>20306</v>
      </c>
      <c r="E331" t="s">
        <v>192</v>
      </c>
      <c r="F331" s="534">
        <v>1</v>
      </c>
      <c r="G331" t="s">
        <v>193</v>
      </c>
      <c r="H331" t="s">
        <v>194</v>
      </c>
      <c r="I331" t="s">
        <v>20441</v>
      </c>
      <c r="J331" t="s">
        <v>276</v>
      </c>
      <c r="K331" s="28" t="s">
        <v>9309</v>
      </c>
      <c r="L331" t="s">
        <v>6955</v>
      </c>
      <c r="N331" t="s">
        <v>21686</v>
      </c>
      <c r="O331" t="s">
        <v>6266</v>
      </c>
      <c r="P331" t="s">
        <v>20309</v>
      </c>
      <c r="Q331" t="s">
        <v>20310</v>
      </c>
      <c r="R331" t="s">
        <v>20311</v>
      </c>
      <c r="S331" t="s">
        <v>21687</v>
      </c>
      <c r="T331" t="s">
        <v>21688</v>
      </c>
      <c r="V331" s="28" t="s">
        <v>9786</v>
      </c>
      <c r="W331" t="s">
        <v>723</v>
      </c>
      <c r="X331" t="s">
        <v>194</v>
      </c>
      <c r="Y331" s="28" t="s">
        <v>9300</v>
      </c>
      <c r="AB331" t="s">
        <v>9311</v>
      </c>
      <c r="AH331" t="s">
        <v>4714</v>
      </c>
      <c r="AI331" t="s">
        <v>21685</v>
      </c>
      <c r="AJ331" s="28" t="str">
        <f t="shared" si="10"/>
        <v>432201</v>
      </c>
      <c r="AK331" s="420">
        <v>1</v>
      </c>
      <c r="AL331" s="420">
        <f t="shared" si="11"/>
        <v>1</v>
      </c>
      <c r="AM331" s="420">
        <v>1</v>
      </c>
      <c r="AN331" t="s">
        <v>17650</v>
      </c>
      <c r="AO331" t="s">
        <v>17651</v>
      </c>
      <c r="AP331" t="s">
        <v>17652</v>
      </c>
      <c r="AQ331" t="s">
        <v>17653</v>
      </c>
      <c r="AR331" t="s">
        <v>1024</v>
      </c>
    </row>
    <row r="332" spans="1:44" x14ac:dyDescent="0.25">
      <c r="A332" t="s">
        <v>21534</v>
      </c>
      <c r="B332" t="s">
        <v>21689</v>
      </c>
      <c r="C332" s="410" t="s">
        <v>17366</v>
      </c>
      <c r="D332" t="s">
        <v>20317</v>
      </c>
      <c r="E332" t="s">
        <v>233</v>
      </c>
      <c r="F332" s="534">
        <v>1</v>
      </c>
      <c r="G332" t="s">
        <v>193</v>
      </c>
      <c r="H332" t="s">
        <v>194</v>
      </c>
      <c r="I332" t="s">
        <v>20333</v>
      </c>
      <c r="J332" t="s">
        <v>21537</v>
      </c>
      <c r="K332" s="28" t="s">
        <v>9309</v>
      </c>
      <c r="L332" t="s">
        <v>6955</v>
      </c>
      <c r="N332" t="s">
        <v>21690</v>
      </c>
      <c r="O332" t="s">
        <v>6343</v>
      </c>
      <c r="P332" t="s">
        <v>20565</v>
      </c>
      <c r="Q332" t="s">
        <v>20566</v>
      </c>
      <c r="R332" t="s">
        <v>20567</v>
      </c>
      <c r="S332" t="s">
        <v>21691</v>
      </c>
      <c r="T332" t="s">
        <v>21692</v>
      </c>
      <c r="V332" s="28" t="s">
        <v>9786</v>
      </c>
      <c r="W332" t="s">
        <v>17367</v>
      </c>
      <c r="X332" t="s">
        <v>194</v>
      </c>
      <c r="Y332" s="28" t="s">
        <v>9300</v>
      </c>
      <c r="AB332" t="s">
        <v>9311</v>
      </c>
      <c r="AH332" t="s">
        <v>4714</v>
      </c>
      <c r="AI332" t="s">
        <v>21689</v>
      </c>
      <c r="AJ332" s="28" t="str">
        <f t="shared" si="10"/>
        <v>941201</v>
      </c>
      <c r="AK332" s="420">
        <v>1</v>
      </c>
      <c r="AL332" s="420">
        <f t="shared" si="11"/>
        <v>1</v>
      </c>
      <c r="AM332" s="420">
        <v>1</v>
      </c>
      <c r="AN332" t="s">
        <v>17650</v>
      </c>
      <c r="AO332" t="s">
        <v>17651</v>
      </c>
      <c r="AP332" t="s">
        <v>17652</v>
      </c>
      <c r="AQ332" t="s">
        <v>17653</v>
      </c>
      <c r="AR332" t="s">
        <v>1024</v>
      </c>
    </row>
    <row r="333" spans="1:44" x14ac:dyDescent="0.25">
      <c r="A333" t="s">
        <v>21693</v>
      </c>
      <c r="B333" t="s">
        <v>21694</v>
      </c>
      <c r="C333" s="410" t="s">
        <v>1325</v>
      </c>
      <c r="D333" t="s">
        <v>20338</v>
      </c>
      <c r="E333" t="s">
        <v>233</v>
      </c>
      <c r="F333" s="534">
        <v>1</v>
      </c>
      <c r="G333" t="s">
        <v>193</v>
      </c>
      <c r="H333" t="s">
        <v>194</v>
      </c>
      <c r="I333" t="s">
        <v>20405</v>
      </c>
      <c r="J333" t="s">
        <v>253</v>
      </c>
      <c r="K333" s="28" t="s">
        <v>9309</v>
      </c>
      <c r="L333" t="s">
        <v>6955</v>
      </c>
      <c r="N333" t="s">
        <v>21695</v>
      </c>
      <c r="O333" t="s">
        <v>6256</v>
      </c>
      <c r="P333" t="s">
        <v>20541</v>
      </c>
      <c r="Q333" t="s">
        <v>20389</v>
      </c>
      <c r="R333" t="s">
        <v>20542</v>
      </c>
      <c r="S333" t="s">
        <v>21696</v>
      </c>
      <c r="T333" t="s">
        <v>21697</v>
      </c>
      <c r="V333" s="28" t="s">
        <v>9468</v>
      </c>
      <c r="W333" t="s">
        <v>1327</v>
      </c>
      <c r="X333" t="s">
        <v>194</v>
      </c>
      <c r="Y333" s="28" t="s">
        <v>9300</v>
      </c>
      <c r="AB333" t="s">
        <v>9311</v>
      </c>
      <c r="AH333" t="s">
        <v>4714</v>
      </c>
      <c r="AI333" t="s">
        <v>21694</v>
      </c>
      <c r="AJ333" s="28" t="str">
        <f t="shared" si="10"/>
        <v>931301</v>
      </c>
      <c r="AK333" s="420">
        <v>1</v>
      </c>
      <c r="AL333" s="420">
        <f t="shared" si="11"/>
        <v>1</v>
      </c>
      <c r="AM333" s="420">
        <v>1</v>
      </c>
      <c r="AN333" t="s">
        <v>17650</v>
      </c>
      <c r="AO333" t="s">
        <v>17651</v>
      </c>
      <c r="AP333" t="s">
        <v>17652</v>
      </c>
      <c r="AQ333" t="s">
        <v>17653</v>
      </c>
      <c r="AR333" t="s">
        <v>1024</v>
      </c>
    </row>
    <row r="334" spans="1:44" x14ac:dyDescent="0.25">
      <c r="A334" t="s">
        <v>3436</v>
      </c>
      <c r="B334" t="s">
        <v>21698</v>
      </c>
      <c r="C334" s="410" t="s">
        <v>5173</v>
      </c>
      <c r="D334" t="s">
        <v>20317</v>
      </c>
      <c r="E334" t="s">
        <v>233</v>
      </c>
      <c r="F334" s="534">
        <v>1</v>
      </c>
      <c r="G334" t="s">
        <v>193</v>
      </c>
      <c r="H334" t="s">
        <v>194</v>
      </c>
      <c r="I334" t="s">
        <v>20333</v>
      </c>
      <c r="J334" t="s">
        <v>210</v>
      </c>
      <c r="K334" s="28" t="s">
        <v>9309</v>
      </c>
      <c r="L334" t="s">
        <v>6955</v>
      </c>
      <c r="N334" t="s">
        <v>21699</v>
      </c>
      <c r="O334" t="s">
        <v>6324</v>
      </c>
      <c r="P334" t="s">
        <v>20565</v>
      </c>
      <c r="Q334" t="s">
        <v>20566</v>
      </c>
      <c r="R334" t="s">
        <v>20567</v>
      </c>
      <c r="S334" t="s">
        <v>21700</v>
      </c>
      <c r="T334" t="s">
        <v>21701</v>
      </c>
      <c r="V334" s="28" t="s">
        <v>9334</v>
      </c>
      <c r="W334" t="s">
        <v>1150</v>
      </c>
      <c r="X334" t="s">
        <v>194</v>
      </c>
      <c r="Y334" s="28" t="s">
        <v>9300</v>
      </c>
      <c r="AB334" t="s">
        <v>9311</v>
      </c>
      <c r="AH334" t="s">
        <v>4714</v>
      </c>
      <c r="AI334" t="s">
        <v>21698</v>
      </c>
      <c r="AJ334" s="28" t="str">
        <f t="shared" si="10"/>
        <v>244001</v>
      </c>
      <c r="AK334" s="420">
        <v>1</v>
      </c>
      <c r="AL334" s="420">
        <f t="shared" si="11"/>
        <v>1</v>
      </c>
      <c r="AM334" s="420">
        <v>1</v>
      </c>
      <c r="AN334" t="s">
        <v>17650</v>
      </c>
      <c r="AO334" t="s">
        <v>17651</v>
      </c>
      <c r="AP334" t="s">
        <v>17652</v>
      </c>
      <c r="AQ334" t="s">
        <v>17653</v>
      </c>
      <c r="AR334" t="s">
        <v>1024</v>
      </c>
    </row>
    <row r="335" spans="1:44" x14ac:dyDescent="0.25">
      <c r="A335" t="s">
        <v>4969</v>
      </c>
      <c r="B335" t="s">
        <v>21702</v>
      </c>
      <c r="C335" s="410" t="s">
        <v>8740</v>
      </c>
      <c r="D335" t="s">
        <v>20317</v>
      </c>
      <c r="E335" t="s">
        <v>192</v>
      </c>
      <c r="F335" s="534">
        <v>1</v>
      </c>
      <c r="G335" t="s">
        <v>193</v>
      </c>
      <c r="H335" t="s">
        <v>194</v>
      </c>
      <c r="I335" t="s">
        <v>20389</v>
      </c>
      <c r="J335" t="s">
        <v>9302</v>
      </c>
      <c r="K335" s="28" t="s">
        <v>9309</v>
      </c>
      <c r="L335" t="s">
        <v>6955</v>
      </c>
      <c r="N335" t="s">
        <v>21703</v>
      </c>
      <c r="O335" t="s">
        <v>6921</v>
      </c>
      <c r="P335" t="s">
        <v>20320</v>
      </c>
      <c r="Q335" t="s">
        <v>20321</v>
      </c>
      <c r="R335" t="s">
        <v>20322</v>
      </c>
      <c r="S335" t="s">
        <v>21704</v>
      </c>
      <c r="T335" t="s">
        <v>21705</v>
      </c>
      <c r="W335" t="s">
        <v>8742</v>
      </c>
      <c r="X335" t="s">
        <v>193</v>
      </c>
      <c r="Y335" s="28" t="s">
        <v>9310</v>
      </c>
      <c r="AB335" t="s">
        <v>9311</v>
      </c>
      <c r="AH335" t="s">
        <v>4714</v>
      </c>
      <c r="AI335" t="s">
        <v>21702</v>
      </c>
      <c r="AJ335" s="28" t="str">
        <f t="shared" si="10"/>
        <v>251490</v>
      </c>
      <c r="AK335" s="420">
        <v>1</v>
      </c>
      <c r="AL335" s="420">
        <f t="shared" si="11"/>
        <v>1</v>
      </c>
      <c r="AM335" s="420">
        <v>1</v>
      </c>
      <c r="AN335" t="s">
        <v>17650</v>
      </c>
      <c r="AO335" t="s">
        <v>17651</v>
      </c>
      <c r="AP335" t="s">
        <v>17652</v>
      </c>
      <c r="AQ335" t="s">
        <v>17653</v>
      </c>
      <c r="AR335" t="s">
        <v>1024</v>
      </c>
    </row>
    <row r="336" spans="1:44" x14ac:dyDescent="0.25">
      <c r="A336" t="s">
        <v>21706</v>
      </c>
      <c r="B336" t="s">
        <v>21707</v>
      </c>
      <c r="C336" s="410" t="s">
        <v>8740</v>
      </c>
      <c r="D336" t="s">
        <v>20317</v>
      </c>
      <c r="E336" t="s">
        <v>192</v>
      </c>
      <c r="F336" s="534">
        <v>1</v>
      </c>
      <c r="G336" t="s">
        <v>193</v>
      </c>
      <c r="H336" t="s">
        <v>194</v>
      </c>
      <c r="I336" t="s">
        <v>20389</v>
      </c>
      <c r="J336" t="s">
        <v>9302</v>
      </c>
      <c r="K336" s="28" t="s">
        <v>9309</v>
      </c>
      <c r="L336" t="s">
        <v>6955</v>
      </c>
      <c r="N336" t="s">
        <v>21708</v>
      </c>
      <c r="O336" t="s">
        <v>6921</v>
      </c>
      <c r="P336" t="s">
        <v>20320</v>
      </c>
      <c r="Q336" t="s">
        <v>20321</v>
      </c>
      <c r="R336" t="s">
        <v>20322</v>
      </c>
      <c r="S336" t="s">
        <v>21709</v>
      </c>
      <c r="T336" t="s">
        <v>21710</v>
      </c>
      <c r="W336" t="s">
        <v>8742</v>
      </c>
      <c r="X336" t="s">
        <v>193</v>
      </c>
      <c r="Y336" s="28" t="s">
        <v>9310</v>
      </c>
      <c r="AB336" t="s">
        <v>9311</v>
      </c>
      <c r="AH336" t="s">
        <v>4714</v>
      </c>
      <c r="AI336" t="s">
        <v>21707</v>
      </c>
      <c r="AJ336" s="28" t="str">
        <f t="shared" si="10"/>
        <v>251490</v>
      </c>
      <c r="AK336" s="420">
        <v>1</v>
      </c>
      <c r="AL336" s="420">
        <f t="shared" si="11"/>
        <v>1</v>
      </c>
      <c r="AM336" s="420">
        <v>1</v>
      </c>
      <c r="AN336" t="s">
        <v>17650</v>
      </c>
      <c r="AO336" t="s">
        <v>17651</v>
      </c>
      <c r="AP336" t="s">
        <v>17652</v>
      </c>
      <c r="AQ336" t="s">
        <v>17653</v>
      </c>
      <c r="AR336" t="s">
        <v>1024</v>
      </c>
    </row>
    <row r="337" spans="1:44" x14ac:dyDescent="0.25">
      <c r="A337" t="s">
        <v>17861</v>
      </c>
      <c r="B337" t="s">
        <v>21711</v>
      </c>
      <c r="C337" s="410" t="s">
        <v>21712</v>
      </c>
      <c r="D337" t="s">
        <v>20317</v>
      </c>
      <c r="E337" t="s">
        <v>192</v>
      </c>
      <c r="F337" s="534">
        <v>1</v>
      </c>
      <c r="G337" t="s">
        <v>193</v>
      </c>
      <c r="H337" t="s">
        <v>194</v>
      </c>
      <c r="I337" t="s">
        <v>20318</v>
      </c>
      <c r="J337" t="s">
        <v>9302</v>
      </c>
      <c r="K337" s="28" t="s">
        <v>9309</v>
      </c>
      <c r="L337" t="s">
        <v>6955</v>
      </c>
      <c r="N337" t="s">
        <v>21713</v>
      </c>
      <c r="O337" t="s">
        <v>6921</v>
      </c>
      <c r="P337" t="s">
        <v>20320</v>
      </c>
      <c r="Q337" t="s">
        <v>20321</v>
      </c>
      <c r="R337" t="s">
        <v>20322</v>
      </c>
      <c r="S337" t="s">
        <v>21714</v>
      </c>
      <c r="T337" t="s">
        <v>21715</v>
      </c>
      <c r="W337" t="s">
        <v>21716</v>
      </c>
      <c r="X337" t="s">
        <v>193</v>
      </c>
      <c r="Y337" s="28" t="s">
        <v>9310</v>
      </c>
      <c r="AB337" t="s">
        <v>9311</v>
      </c>
      <c r="AH337" t="s">
        <v>4714</v>
      </c>
      <c r="AI337" t="s">
        <v>21711</v>
      </c>
      <c r="AJ337" s="28" t="str">
        <f t="shared" si="10"/>
        <v>252190</v>
      </c>
      <c r="AK337" s="420">
        <v>1</v>
      </c>
      <c r="AL337" s="420">
        <f t="shared" si="11"/>
        <v>1</v>
      </c>
      <c r="AM337" s="420">
        <v>1</v>
      </c>
      <c r="AN337" t="s">
        <v>17650</v>
      </c>
      <c r="AO337" t="s">
        <v>17651</v>
      </c>
      <c r="AP337" t="s">
        <v>17652</v>
      </c>
      <c r="AQ337" t="s">
        <v>17653</v>
      </c>
      <c r="AR337" t="s">
        <v>1024</v>
      </c>
    </row>
    <row r="338" spans="1:44" x14ac:dyDescent="0.25">
      <c r="A338" t="s">
        <v>21717</v>
      </c>
      <c r="B338" t="s">
        <v>21718</v>
      </c>
      <c r="C338" s="410" t="s">
        <v>21719</v>
      </c>
      <c r="D338" t="s">
        <v>20306</v>
      </c>
      <c r="E338" t="s">
        <v>192</v>
      </c>
      <c r="F338" s="534">
        <v>1</v>
      </c>
      <c r="G338" t="s">
        <v>193</v>
      </c>
      <c r="H338" t="s">
        <v>194</v>
      </c>
      <c r="I338" t="s">
        <v>20437</v>
      </c>
      <c r="J338" t="s">
        <v>9302</v>
      </c>
      <c r="K338" s="28" t="s">
        <v>9309</v>
      </c>
      <c r="L338" t="s">
        <v>6955</v>
      </c>
      <c r="N338" t="s">
        <v>21720</v>
      </c>
      <c r="O338" t="s">
        <v>6921</v>
      </c>
      <c r="P338" t="s">
        <v>20309</v>
      </c>
      <c r="Q338" t="s">
        <v>20310</v>
      </c>
      <c r="R338" t="s">
        <v>20311</v>
      </c>
      <c r="S338" t="s">
        <v>21721</v>
      </c>
      <c r="T338" t="s">
        <v>21722</v>
      </c>
      <c r="W338" t="s">
        <v>21723</v>
      </c>
      <c r="X338" t="s">
        <v>193</v>
      </c>
      <c r="Y338" s="28" t="s">
        <v>9310</v>
      </c>
      <c r="AB338" t="s">
        <v>9311</v>
      </c>
      <c r="AH338" t="s">
        <v>4714</v>
      </c>
      <c r="AI338" t="s">
        <v>21718</v>
      </c>
      <c r="AJ338" s="28" t="str">
        <f t="shared" si="10"/>
        <v>252990</v>
      </c>
      <c r="AK338" s="420">
        <v>1</v>
      </c>
      <c r="AL338" s="420">
        <f t="shared" si="11"/>
        <v>1</v>
      </c>
      <c r="AM338" s="420">
        <v>1</v>
      </c>
      <c r="AN338" t="s">
        <v>17650</v>
      </c>
      <c r="AO338" t="s">
        <v>17651</v>
      </c>
      <c r="AP338" t="s">
        <v>17652</v>
      </c>
      <c r="AQ338" t="s">
        <v>17653</v>
      </c>
      <c r="AR338" t="s">
        <v>1024</v>
      </c>
    </row>
    <row r="339" spans="1:44" x14ac:dyDescent="0.25">
      <c r="A339" t="s">
        <v>21724</v>
      </c>
      <c r="B339" t="s">
        <v>21725</v>
      </c>
      <c r="C339" s="410" t="s">
        <v>21719</v>
      </c>
      <c r="D339" t="s">
        <v>20306</v>
      </c>
      <c r="E339" t="s">
        <v>192</v>
      </c>
      <c r="F339" s="534">
        <v>1</v>
      </c>
      <c r="G339" t="s">
        <v>193</v>
      </c>
      <c r="H339" t="s">
        <v>194</v>
      </c>
      <c r="I339" t="s">
        <v>20437</v>
      </c>
      <c r="J339" t="s">
        <v>210</v>
      </c>
      <c r="K339" s="28" t="s">
        <v>9309</v>
      </c>
      <c r="L339" t="s">
        <v>6955</v>
      </c>
      <c r="N339" t="s">
        <v>21726</v>
      </c>
      <c r="O339" t="s">
        <v>6921</v>
      </c>
      <c r="P339" t="s">
        <v>20309</v>
      </c>
      <c r="Q339" t="s">
        <v>20310</v>
      </c>
      <c r="R339" t="s">
        <v>20311</v>
      </c>
      <c r="S339" t="s">
        <v>21727</v>
      </c>
      <c r="T339" t="s">
        <v>21728</v>
      </c>
      <c r="V339" s="28" t="s">
        <v>9334</v>
      </c>
      <c r="W339" t="s">
        <v>21723</v>
      </c>
      <c r="X339" t="s">
        <v>194</v>
      </c>
      <c r="Y339" s="28" t="s">
        <v>9300</v>
      </c>
      <c r="AB339" t="s">
        <v>9311</v>
      </c>
      <c r="AH339" t="s">
        <v>4714</v>
      </c>
      <c r="AI339" t="s">
        <v>21725</v>
      </c>
      <c r="AJ339" s="28" t="str">
        <f t="shared" si="10"/>
        <v>252990</v>
      </c>
      <c r="AK339" s="420">
        <v>1</v>
      </c>
      <c r="AL339" s="420">
        <f t="shared" si="11"/>
        <v>1</v>
      </c>
      <c r="AM339" s="420">
        <v>1</v>
      </c>
      <c r="AN339" t="s">
        <v>17650</v>
      </c>
      <c r="AO339" t="s">
        <v>17651</v>
      </c>
      <c r="AP339" t="s">
        <v>17652</v>
      </c>
      <c r="AQ339" t="s">
        <v>17653</v>
      </c>
      <c r="AR339" t="s">
        <v>1024</v>
      </c>
    </row>
    <row r="340" spans="1:44" x14ac:dyDescent="0.25">
      <c r="A340" t="s">
        <v>21137</v>
      </c>
      <c r="B340" t="s">
        <v>21729</v>
      </c>
      <c r="C340" s="410" t="s">
        <v>17460</v>
      </c>
      <c r="D340" t="s">
        <v>20326</v>
      </c>
      <c r="E340" t="s">
        <v>192</v>
      </c>
      <c r="F340" s="534">
        <v>1</v>
      </c>
      <c r="G340" t="s">
        <v>193</v>
      </c>
      <c r="H340" t="s">
        <v>194</v>
      </c>
      <c r="I340" t="s">
        <v>20333</v>
      </c>
      <c r="J340" t="s">
        <v>210</v>
      </c>
      <c r="K340" s="28" t="s">
        <v>9309</v>
      </c>
      <c r="L340" t="s">
        <v>6955</v>
      </c>
      <c r="N340" t="s">
        <v>21730</v>
      </c>
      <c r="O340" t="s">
        <v>6245</v>
      </c>
      <c r="P340" t="s">
        <v>20328</v>
      </c>
      <c r="Q340" t="s">
        <v>20329</v>
      </c>
      <c r="R340" t="s">
        <v>20306</v>
      </c>
      <c r="S340" t="s">
        <v>21731</v>
      </c>
      <c r="T340" t="s">
        <v>21732</v>
      </c>
      <c r="V340" s="28" t="s">
        <v>9334</v>
      </c>
      <c r="W340" t="s">
        <v>17458</v>
      </c>
      <c r="X340" t="s">
        <v>194</v>
      </c>
      <c r="Y340" s="28" t="s">
        <v>9300</v>
      </c>
      <c r="AB340" t="s">
        <v>9311</v>
      </c>
      <c r="AH340" t="s">
        <v>4714</v>
      </c>
      <c r="AI340" t="s">
        <v>21729</v>
      </c>
      <c r="AJ340" s="28" t="str">
        <f t="shared" si="10"/>
        <v>242190</v>
      </c>
      <c r="AK340" s="420">
        <v>1</v>
      </c>
      <c r="AL340" s="420">
        <f t="shared" si="11"/>
        <v>1</v>
      </c>
      <c r="AM340" s="420">
        <v>1</v>
      </c>
      <c r="AN340" t="s">
        <v>17650</v>
      </c>
      <c r="AO340" t="s">
        <v>17651</v>
      </c>
      <c r="AP340" t="s">
        <v>17652</v>
      </c>
      <c r="AQ340" t="s">
        <v>17653</v>
      </c>
      <c r="AR340" t="s">
        <v>1024</v>
      </c>
    </row>
    <row r="341" spans="1:44" x14ac:dyDescent="0.25">
      <c r="A341" t="s">
        <v>15269</v>
      </c>
      <c r="B341" t="s">
        <v>21733</v>
      </c>
      <c r="C341" s="410" t="s">
        <v>21734</v>
      </c>
      <c r="D341" t="s">
        <v>20360</v>
      </c>
      <c r="E341" t="s">
        <v>233</v>
      </c>
      <c r="F341" s="534">
        <v>1</v>
      </c>
      <c r="G341" t="s">
        <v>193</v>
      </c>
      <c r="H341" t="s">
        <v>194</v>
      </c>
      <c r="I341" t="s">
        <v>20318</v>
      </c>
      <c r="J341" t="s">
        <v>210</v>
      </c>
      <c r="K341" s="28" t="s">
        <v>9309</v>
      </c>
      <c r="L341" t="s">
        <v>6955</v>
      </c>
      <c r="N341" t="s">
        <v>21735</v>
      </c>
      <c r="O341" t="s">
        <v>6286</v>
      </c>
      <c r="P341" t="s">
        <v>20522</v>
      </c>
      <c r="Q341" t="s">
        <v>20422</v>
      </c>
      <c r="R341" t="s">
        <v>20483</v>
      </c>
      <c r="S341" t="s">
        <v>21736</v>
      </c>
      <c r="T341" t="s">
        <v>21737</v>
      </c>
      <c r="V341" s="28" t="s">
        <v>9334</v>
      </c>
      <c r="W341" t="s">
        <v>21738</v>
      </c>
      <c r="X341" t="s">
        <v>194</v>
      </c>
      <c r="Y341" s="28" t="s">
        <v>9300</v>
      </c>
      <c r="AB341" t="s">
        <v>9311</v>
      </c>
      <c r="AH341" t="s">
        <v>4714</v>
      </c>
      <c r="AI341" t="s">
        <v>21733</v>
      </c>
      <c r="AJ341" s="28" t="str">
        <f t="shared" si="10"/>
        <v>242390</v>
      </c>
      <c r="AK341" s="420">
        <v>1</v>
      </c>
      <c r="AL341" s="420">
        <f t="shared" si="11"/>
        <v>1</v>
      </c>
      <c r="AM341" s="420">
        <v>1</v>
      </c>
      <c r="AN341" t="s">
        <v>17650</v>
      </c>
      <c r="AO341" t="s">
        <v>17651</v>
      </c>
      <c r="AP341" t="s">
        <v>17652</v>
      </c>
      <c r="AQ341" t="s">
        <v>17653</v>
      </c>
      <c r="AR341" t="s">
        <v>1024</v>
      </c>
    </row>
    <row r="342" spans="1:44" x14ac:dyDescent="0.25">
      <c r="A342" t="s">
        <v>21739</v>
      </c>
      <c r="B342" t="s">
        <v>21740</v>
      </c>
      <c r="C342" s="410" t="s">
        <v>706</v>
      </c>
      <c r="D342" t="s">
        <v>20326</v>
      </c>
      <c r="E342" t="s">
        <v>233</v>
      </c>
      <c r="F342" s="534">
        <v>1</v>
      </c>
      <c r="G342" t="s">
        <v>193</v>
      </c>
      <c r="H342" t="s">
        <v>194</v>
      </c>
      <c r="I342" t="s">
        <v>20360</v>
      </c>
      <c r="J342" t="s">
        <v>9302</v>
      </c>
      <c r="K342" s="28" t="s">
        <v>9309</v>
      </c>
      <c r="L342" t="s">
        <v>6955</v>
      </c>
      <c r="N342" t="s">
        <v>21741</v>
      </c>
      <c r="O342" t="s">
        <v>6290</v>
      </c>
      <c r="P342" t="s">
        <v>20509</v>
      </c>
      <c r="Q342" t="s">
        <v>20510</v>
      </c>
      <c r="R342" t="s">
        <v>20318</v>
      </c>
      <c r="S342" t="s">
        <v>21742</v>
      </c>
      <c r="T342" t="s">
        <v>21743</v>
      </c>
      <c r="W342" t="s">
        <v>707</v>
      </c>
      <c r="X342" t="s">
        <v>193</v>
      </c>
      <c r="Y342" s="28" t="s">
        <v>9310</v>
      </c>
      <c r="AB342" t="s">
        <v>9311</v>
      </c>
      <c r="AH342" t="s">
        <v>4714</v>
      </c>
      <c r="AI342" t="s">
        <v>21740</v>
      </c>
      <c r="AJ342" s="28" t="str">
        <f t="shared" si="10"/>
        <v>422201</v>
      </c>
      <c r="AK342" s="420">
        <v>1</v>
      </c>
      <c r="AL342" s="420">
        <f t="shared" si="11"/>
        <v>1</v>
      </c>
      <c r="AM342" s="420">
        <v>1</v>
      </c>
      <c r="AN342" t="s">
        <v>17650</v>
      </c>
      <c r="AO342" t="s">
        <v>17651</v>
      </c>
      <c r="AP342" t="s">
        <v>17652</v>
      </c>
      <c r="AQ342" t="s">
        <v>17653</v>
      </c>
      <c r="AR342" t="s">
        <v>1024</v>
      </c>
    </row>
    <row r="343" spans="1:44" x14ac:dyDescent="0.25">
      <c r="A343" t="s">
        <v>19404</v>
      </c>
      <c r="B343" t="s">
        <v>19405</v>
      </c>
      <c r="C343" s="410" t="s">
        <v>706</v>
      </c>
      <c r="D343" t="s">
        <v>20326</v>
      </c>
      <c r="E343" t="s">
        <v>192</v>
      </c>
      <c r="F343" s="534">
        <v>1</v>
      </c>
      <c r="G343" t="s">
        <v>193</v>
      </c>
      <c r="H343" t="s">
        <v>194</v>
      </c>
      <c r="I343" t="s">
        <v>20318</v>
      </c>
      <c r="J343" t="s">
        <v>210</v>
      </c>
      <c r="K343" s="28" t="s">
        <v>9309</v>
      </c>
      <c r="L343" t="s">
        <v>6955</v>
      </c>
      <c r="N343" t="s">
        <v>21744</v>
      </c>
      <c r="O343" t="s">
        <v>6251</v>
      </c>
      <c r="P343" t="s">
        <v>20328</v>
      </c>
      <c r="Q343" t="s">
        <v>20329</v>
      </c>
      <c r="R343" t="s">
        <v>20306</v>
      </c>
      <c r="S343" t="s">
        <v>21745</v>
      </c>
      <c r="T343" t="s">
        <v>21746</v>
      </c>
      <c r="V343" s="28" t="s">
        <v>9334</v>
      </c>
      <c r="W343" t="s">
        <v>707</v>
      </c>
      <c r="X343" t="s">
        <v>194</v>
      </c>
      <c r="Y343" s="28" t="s">
        <v>9300</v>
      </c>
      <c r="AB343" t="s">
        <v>9311</v>
      </c>
      <c r="AH343" t="s">
        <v>4714</v>
      </c>
      <c r="AI343" t="s">
        <v>19405</v>
      </c>
      <c r="AJ343" s="28" t="str">
        <f t="shared" si="10"/>
        <v>422201</v>
      </c>
      <c r="AK343" s="420">
        <v>1</v>
      </c>
      <c r="AL343" s="420">
        <f t="shared" si="11"/>
        <v>1</v>
      </c>
      <c r="AM343" s="420">
        <v>1</v>
      </c>
      <c r="AN343" t="s">
        <v>17650</v>
      </c>
      <c r="AO343" t="s">
        <v>17651</v>
      </c>
      <c r="AP343" t="s">
        <v>17652</v>
      </c>
      <c r="AQ343" t="s">
        <v>17653</v>
      </c>
      <c r="AR343" t="s">
        <v>1024</v>
      </c>
    </row>
    <row r="344" spans="1:44" x14ac:dyDescent="0.25">
      <c r="A344" t="s">
        <v>16528</v>
      </c>
      <c r="B344" t="s">
        <v>21747</v>
      </c>
      <c r="C344" s="410" t="s">
        <v>706</v>
      </c>
      <c r="D344" t="s">
        <v>20326</v>
      </c>
      <c r="E344" t="s">
        <v>192</v>
      </c>
      <c r="F344" s="534">
        <v>1</v>
      </c>
      <c r="G344" t="s">
        <v>193</v>
      </c>
      <c r="H344" t="s">
        <v>194</v>
      </c>
      <c r="I344" t="s">
        <v>20399</v>
      </c>
      <c r="J344" t="s">
        <v>210</v>
      </c>
      <c r="K344" s="28" t="s">
        <v>9309</v>
      </c>
      <c r="L344" t="s">
        <v>6955</v>
      </c>
      <c r="N344" t="s">
        <v>21748</v>
      </c>
      <c r="O344" t="s">
        <v>6288</v>
      </c>
      <c r="P344" t="s">
        <v>20328</v>
      </c>
      <c r="Q344" t="s">
        <v>20329</v>
      </c>
      <c r="R344" t="s">
        <v>20306</v>
      </c>
      <c r="S344" t="s">
        <v>21749</v>
      </c>
      <c r="T344" t="s">
        <v>21750</v>
      </c>
      <c r="V344" s="28" t="s">
        <v>9334</v>
      </c>
      <c r="W344" t="s">
        <v>707</v>
      </c>
      <c r="X344" t="s">
        <v>194</v>
      </c>
      <c r="Y344" s="28" t="s">
        <v>9300</v>
      </c>
      <c r="AB344" t="s">
        <v>9311</v>
      </c>
      <c r="AH344" t="s">
        <v>4714</v>
      </c>
      <c r="AI344" t="s">
        <v>21747</v>
      </c>
      <c r="AJ344" s="28" t="str">
        <f t="shared" si="10"/>
        <v>422201</v>
      </c>
      <c r="AK344" s="420">
        <v>1</v>
      </c>
      <c r="AL344" s="420">
        <f t="shared" si="11"/>
        <v>1</v>
      </c>
      <c r="AM344" s="420">
        <v>1</v>
      </c>
      <c r="AN344" t="s">
        <v>17650</v>
      </c>
      <c r="AO344" t="s">
        <v>17651</v>
      </c>
      <c r="AP344" t="s">
        <v>17652</v>
      </c>
      <c r="AQ344" t="s">
        <v>17653</v>
      </c>
      <c r="AR344" t="s">
        <v>1024</v>
      </c>
    </row>
    <row r="345" spans="1:44" x14ac:dyDescent="0.25">
      <c r="A345" t="s">
        <v>21751</v>
      </c>
      <c r="B345" t="s">
        <v>2512</v>
      </c>
      <c r="C345" s="410" t="s">
        <v>706</v>
      </c>
      <c r="D345" t="s">
        <v>20326</v>
      </c>
      <c r="E345" t="s">
        <v>192</v>
      </c>
      <c r="F345" s="534">
        <v>1</v>
      </c>
      <c r="G345" t="s">
        <v>194</v>
      </c>
      <c r="H345" t="s">
        <v>193</v>
      </c>
      <c r="I345" t="s">
        <v>20318</v>
      </c>
      <c r="J345" t="s">
        <v>253</v>
      </c>
      <c r="K345" s="28" t="s">
        <v>9309</v>
      </c>
      <c r="L345" t="s">
        <v>6955</v>
      </c>
      <c r="N345" t="s">
        <v>21752</v>
      </c>
      <c r="O345" t="s">
        <v>6245</v>
      </c>
      <c r="P345" t="s">
        <v>20328</v>
      </c>
      <c r="Q345" t="s">
        <v>20329</v>
      </c>
      <c r="R345" t="s">
        <v>20306</v>
      </c>
      <c r="S345" t="s">
        <v>21753</v>
      </c>
      <c r="T345" t="s">
        <v>21754</v>
      </c>
      <c r="V345" s="28" t="s">
        <v>9311</v>
      </c>
      <c r="W345" t="s">
        <v>707</v>
      </c>
      <c r="X345" t="s">
        <v>194</v>
      </c>
      <c r="Y345" s="28" t="s">
        <v>9946</v>
      </c>
      <c r="AB345" t="s">
        <v>9311</v>
      </c>
      <c r="AH345" t="s">
        <v>4714</v>
      </c>
      <c r="AI345" t="s">
        <v>2512</v>
      </c>
      <c r="AJ345" s="28" t="str">
        <f t="shared" si="10"/>
        <v>422201</v>
      </c>
      <c r="AK345" s="420">
        <v>1</v>
      </c>
      <c r="AL345" s="420">
        <f t="shared" si="11"/>
        <v>1</v>
      </c>
      <c r="AM345" s="420">
        <v>1</v>
      </c>
      <c r="AN345" t="s">
        <v>17650</v>
      </c>
      <c r="AO345" t="s">
        <v>17651</v>
      </c>
      <c r="AP345" t="s">
        <v>17652</v>
      </c>
      <c r="AQ345" t="s">
        <v>17653</v>
      </c>
      <c r="AR345" t="s">
        <v>1024</v>
      </c>
    </row>
    <row r="346" spans="1:44" x14ac:dyDescent="0.25">
      <c r="A346" t="s">
        <v>21751</v>
      </c>
      <c r="B346" t="s">
        <v>2512</v>
      </c>
      <c r="C346" s="410" t="s">
        <v>706</v>
      </c>
      <c r="D346" t="s">
        <v>20326</v>
      </c>
      <c r="E346" t="s">
        <v>192</v>
      </c>
      <c r="F346" s="534">
        <v>1</v>
      </c>
      <c r="G346" t="s">
        <v>194</v>
      </c>
      <c r="H346" t="s">
        <v>193</v>
      </c>
      <c r="I346" t="s">
        <v>20318</v>
      </c>
      <c r="J346" t="s">
        <v>276</v>
      </c>
      <c r="K346" s="28" t="s">
        <v>9309</v>
      </c>
      <c r="L346" t="s">
        <v>6955</v>
      </c>
      <c r="N346" t="s">
        <v>21755</v>
      </c>
      <c r="O346" t="s">
        <v>6245</v>
      </c>
      <c r="P346" t="s">
        <v>20328</v>
      </c>
      <c r="Q346" t="s">
        <v>20329</v>
      </c>
      <c r="R346" t="s">
        <v>20306</v>
      </c>
      <c r="S346" t="s">
        <v>21756</v>
      </c>
      <c r="T346" t="s">
        <v>21757</v>
      </c>
      <c r="W346" t="s">
        <v>707</v>
      </c>
      <c r="X346" t="s">
        <v>194</v>
      </c>
      <c r="Y346" s="28" t="s">
        <v>9946</v>
      </c>
      <c r="AB346" t="s">
        <v>9311</v>
      </c>
      <c r="AH346" t="s">
        <v>4714</v>
      </c>
      <c r="AI346" t="s">
        <v>2512</v>
      </c>
      <c r="AJ346" s="28" t="str">
        <f t="shared" si="10"/>
        <v>422201</v>
      </c>
      <c r="AK346" s="420">
        <v>1</v>
      </c>
      <c r="AL346" s="420">
        <f t="shared" si="11"/>
        <v>1</v>
      </c>
      <c r="AM346" s="420">
        <v>1</v>
      </c>
      <c r="AN346" t="s">
        <v>17650</v>
      </c>
      <c r="AO346" t="s">
        <v>17651</v>
      </c>
      <c r="AP346" t="s">
        <v>17652</v>
      </c>
      <c r="AQ346" t="s">
        <v>17653</v>
      </c>
      <c r="AR346" t="s">
        <v>1024</v>
      </c>
    </row>
    <row r="347" spans="1:44" x14ac:dyDescent="0.25">
      <c r="A347" t="s">
        <v>21758</v>
      </c>
      <c r="B347" t="s">
        <v>21759</v>
      </c>
      <c r="C347" s="410" t="s">
        <v>706</v>
      </c>
      <c r="D347" t="s">
        <v>20317</v>
      </c>
      <c r="E347" t="s">
        <v>192</v>
      </c>
      <c r="F347" s="534">
        <v>1</v>
      </c>
      <c r="G347" t="s">
        <v>193</v>
      </c>
      <c r="H347" t="s">
        <v>194</v>
      </c>
      <c r="I347" t="s">
        <v>20318</v>
      </c>
      <c r="J347" t="s">
        <v>9302</v>
      </c>
      <c r="K347" s="28" t="s">
        <v>9309</v>
      </c>
      <c r="L347" t="s">
        <v>6955</v>
      </c>
      <c r="N347" t="s">
        <v>21760</v>
      </c>
      <c r="O347" t="s">
        <v>6254</v>
      </c>
      <c r="P347" t="s">
        <v>20320</v>
      </c>
      <c r="Q347" t="s">
        <v>20321</v>
      </c>
      <c r="R347" t="s">
        <v>20322</v>
      </c>
      <c r="S347" t="s">
        <v>21761</v>
      </c>
      <c r="T347" t="s">
        <v>21762</v>
      </c>
      <c r="W347" t="s">
        <v>707</v>
      </c>
      <c r="X347" t="s">
        <v>193</v>
      </c>
      <c r="Y347" s="28" t="s">
        <v>9310</v>
      </c>
      <c r="AB347" t="s">
        <v>9311</v>
      </c>
      <c r="AH347" t="s">
        <v>4714</v>
      </c>
      <c r="AI347" t="s">
        <v>21759</v>
      </c>
      <c r="AJ347" s="28" t="str">
        <f t="shared" si="10"/>
        <v>422201</v>
      </c>
      <c r="AK347" s="420">
        <v>1</v>
      </c>
      <c r="AL347" s="420">
        <f t="shared" si="11"/>
        <v>1</v>
      </c>
      <c r="AM347" s="420">
        <v>1</v>
      </c>
      <c r="AN347" t="s">
        <v>17650</v>
      </c>
      <c r="AO347" t="s">
        <v>17651</v>
      </c>
      <c r="AP347" t="s">
        <v>17652</v>
      </c>
      <c r="AQ347" t="s">
        <v>17653</v>
      </c>
      <c r="AR347" t="s">
        <v>1024</v>
      </c>
    </row>
    <row r="348" spans="1:44" x14ac:dyDescent="0.25">
      <c r="A348" t="s">
        <v>12669</v>
      </c>
      <c r="B348" t="s">
        <v>12686</v>
      </c>
      <c r="C348" s="410" t="s">
        <v>706</v>
      </c>
      <c r="D348" t="s">
        <v>20317</v>
      </c>
      <c r="E348" t="s">
        <v>192</v>
      </c>
      <c r="F348" s="534">
        <v>1</v>
      </c>
      <c r="G348" t="s">
        <v>193</v>
      </c>
      <c r="H348" t="s">
        <v>194</v>
      </c>
      <c r="I348" t="s">
        <v>20318</v>
      </c>
      <c r="J348" t="s">
        <v>9302</v>
      </c>
      <c r="K348" s="28" t="s">
        <v>9309</v>
      </c>
      <c r="L348" t="s">
        <v>6955</v>
      </c>
      <c r="N348" t="s">
        <v>21763</v>
      </c>
      <c r="O348" t="s">
        <v>6251</v>
      </c>
      <c r="P348" t="s">
        <v>20320</v>
      </c>
      <c r="Q348" t="s">
        <v>20321</v>
      </c>
      <c r="R348" t="s">
        <v>20322</v>
      </c>
      <c r="S348" t="s">
        <v>21764</v>
      </c>
      <c r="T348" t="s">
        <v>21765</v>
      </c>
      <c r="W348" t="s">
        <v>707</v>
      </c>
      <c r="X348" t="s">
        <v>193</v>
      </c>
      <c r="Y348" s="28" t="s">
        <v>9310</v>
      </c>
      <c r="AB348" t="s">
        <v>9311</v>
      </c>
      <c r="AH348" t="s">
        <v>4714</v>
      </c>
      <c r="AI348" t="s">
        <v>12686</v>
      </c>
      <c r="AJ348" s="28" t="str">
        <f t="shared" si="10"/>
        <v>422201</v>
      </c>
      <c r="AK348" s="420">
        <v>1</v>
      </c>
      <c r="AL348" s="420">
        <f t="shared" si="11"/>
        <v>1</v>
      </c>
      <c r="AM348" s="420">
        <v>1</v>
      </c>
      <c r="AN348" t="s">
        <v>17650</v>
      </c>
      <c r="AO348" t="s">
        <v>17651</v>
      </c>
      <c r="AP348" t="s">
        <v>17652</v>
      </c>
      <c r="AQ348" t="s">
        <v>17653</v>
      </c>
      <c r="AR348" t="s">
        <v>1024</v>
      </c>
    </row>
    <row r="349" spans="1:44" x14ac:dyDescent="0.25">
      <c r="A349" t="s">
        <v>18493</v>
      </c>
      <c r="B349" t="s">
        <v>21766</v>
      </c>
      <c r="C349" s="410" t="s">
        <v>706</v>
      </c>
      <c r="D349" t="s">
        <v>20317</v>
      </c>
      <c r="E349" t="s">
        <v>192</v>
      </c>
      <c r="F349" s="534">
        <v>1</v>
      </c>
      <c r="G349" t="s">
        <v>193</v>
      </c>
      <c r="H349" t="s">
        <v>194</v>
      </c>
      <c r="I349" t="s">
        <v>20333</v>
      </c>
      <c r="J349" t="s">
        <v>9302</v>
      </c>
      <c r="K349" s="28" t="s">
        <v>9309</v>
      </c>
      <c r="L349" t="s">
        <v>6955</v>
      </c>
      <c r="N349" t="s">
        <v>21767</v>
      </c>
      <c r="O349" t="s">
        <v>6254</v>
      </c>
      <c r="P349" t="s">
        <v>20320</v>
      </c>
      <c r="Q349" t="s">
        <v>20321</v>
      </c>
      <c r="R349" t="s">
        <v>20322</v>
      </c>
      <c r="S349" t="s">
        <v>21768</v>
      </c>
      <c r="T349" t="s">
        <v>21769</v>
      </c>
      <c r="W349" t="s">
        <v>707</v>
      </c>
      <c r="X349" t="s">
        <v>193</v>
      </c>
      <c r="Y349" s="28" t="s">
        <v>9310</v>
      </c>
      <c r="AB349" t="s">
        <v>9311</v>
      </c>
      <c r="AH349" t="s">
        <v>4714</v>
      </c>
      <c r="AI349" t="s">
        <v>21766</v>
      </c>
      <c r="AJ349" s="28" t="str">
        <f t="shared" si="10"/>
        <v>422201</v>
      </c>
      <c r="AK349" s="420">
        <v>1</v>
      </c>
      <c r="AL349" s="420">
        <f t="shared" si="11"/>
        <v>1</v>
      </c>
      <c r="AM349" s="420">
        <v>1</v>
      </c>
      <c r="AN349" t="s">
        <v>17650</v>
      </c>
      <c r="AO349" t="s">
        <v>17651</v>
      </c>
      <c r="AP349" t="s">
        <v>17652</v>
      </c>
      <c r="AQ349" t="s">
        <v>17653</v>
      </c>
      <c r="AR349" t="s">
        <v>1024</v>
      </c>
    </row>
    <row r="350" spans="1:44" x14ac:dyDescent="0.25">
      <c r="A350" t="s">
        <v>10467</v>
      </c>
      <c r="B350" t="s">
        <v>21770</v>
      </c>
      <c r="C350" s="410" t="s">
        <v>706</v>
      </c>
      <c r="D350" t="s">
        <v>20317</v>
      </c>
      <c r="E350" t="s">
        <v>192</v>
      </c>
      <c r="F350" s="534">
        <v>1</v>
      </c>
      <c r="G350" t="s">
        <v>193</v>
      </c>
      <c r="H350" t="s">
        <v>194</v>
      </c>
      <c r="I350" t="s">
        <v>20318</v>
      </c>
      <c r="J350" t="s">
        <v>9302</v>
      </c>
      <c r="K350" s="28" t="s">
        <v>9309</v>
      </c>
      <c r="L350" t="s">
        <v>6955</v>
      </c>
      <c r="N350" t="s">
        <v>21771</v>
      </c>
      <c r="O350" t="s">
        <v>6251</v>
      </c>
      <c r="P350" t="s">
        <v>20320</v>
      </c>
      <c r="Q350" t="s">
        <v>20321</v>
      </c>
      <c r="R350" t="s">
        <v>20322</v>
      </c>
      <c r="S350" t="s">
        <v>21772</v>
      </c>
      <c r="T350" t="s">
        <v>21773</v>
      </c>
      <c r="W350" t="s">
        <v>707</v>
      </c>
      <c r="X350" t="s">
        <v>193</v>
      </c>
      <c r="Y350" s="28" t="s">
        <v>9310</v>
      </c>
      <c r="AB350" t="s">
        <v>9311</v>
      </c>
      <c r="AH350" t="s">
        <v>4714</v>
      </c>
      <c r="AI350" t="s">
        <v>21770</v>
      </c>
      <c r="AJ350" s="28" t="str">
        <f t="shared" si="10"/>
        <v>422201</v>
      </c>
      <c r="AK350" s="420">
        <v>1</v>
      </c>
      <c r="AL350" s="420">
        <f t="shared" si="11"/>
        <v>1</v>
      </c>
      <c r="AM350" s="420">
        <v>1</v>
      </c>
      <c r="AN350" t="s">
        <v>17650</v>
      </c>
      <c r="AO350" t="s">
        <v>17651</v>
      </c>
      <c r="AP350" t="s">
        <v>17652</v>
      </c>
      <c r="AQ350" t="s">
        <v>17653</v>
      </c>
      <c r="AR350" t="s">
        <v>1024</v>
      </c>
    </row>
    <row r="351" spans="1:44" x14ac:dyDescent="0.25">
      <c r="A351" t="s">
        <v>16778</v>
      </c>
      <c r="B351" t="s">
        <v>21774</v>
      </c>
      <c r="C351" s="410" t="s">
        <v>706</v>
      </c>
      <c r="D351" t="s">
        <v>20360</v>
      </c>
      <c r="E351" t="s">
        <v>233</v>
      </c>
      <c r="F351" s="534">
        <v>1</v>
      </c>
      <c r="G351" t="s">
        <v>193</v>
      </c>
      <c r="H351" t="s">
        <v>194</v>
      </c>
      <c r="I351" t="s">
        <v>20333</v>
      </c>
      <c r="J351" t="s">
        <v>5967</v>
      </c>
      <c r="K351" s="28" t="s">
        <v>9309</v>
      </c>
      <c r="L351" t="s">
        <v>6955</v>
      </c>
      <c r="N351" t="s">
        <v>21775</v>
      </c>
      <c r="O351" t="s">
        <v>6249</v>
      </c>
      <c r="P351" t="s">
        <v>20522</v>
      </c>
      <c r="Q351" t="s">
        <v>20422</v>
      </c>
      <c r="R351" t="s">
        <v>20483</v>
      </c>
      <c r="S351" t="s">
        <v>21776</v>
      </c>
      <c r="T351" t="s">
        <v>21777</v>
      </c>
      <c r="W351" t="s">
        <v>707</v>
      </c>
      <c r="X351" t="s">
        <v>193</v>
      </c>
      <c r="Y351" s="28" t="s">
        <v>9310</v>
      </c>
      <c r="AB351" t="s">
        <v>9311</v>
      </c>
      <c r="AH351" t="s">
        <v>4714</v>
      </c>
      <c r="AI351" t="s">
        <v>21774</v>
      </c>
      <c r="AJ351" s="28" t="str">
        <f t="shared" si="10"/>
        <v>422201</v>
      </c>
      <c r="AK351" s="420">
        <v>1</v>
      </c>
      <c r="AL351" s="420">
        <f t="shared" si="11"/>
        <v>1</v>
      </c>
      <c r="AM351" s="420">
        <v>1</v>
      </c>
      <c r="AN351" t="s">
        <v>17650</v>
      </c>
      <c r="AO351" t="s">
        <v>17651</v>
      </c>
      <c r="AP351" t="s">
        <v>17652</v>
      </c>
      <c r="AQ351" t="s">
        <v>17653</v>
      </c>
      <c r="AR351" t="s">
        <v>1024</v>
      </c>
    </row>
    <row r="352" spans="1:44" x14ac:dyDescent="0.25">
      <c r="A352" t="s">
        <v>21778</v>
      </c>
      <c r="B352" t="s">
        <v>19405</v>
      </c>
      <c r="C352" s="410" t="s">
        <v>706</v>
      </c>
      <c r="D352" t="s">
        <v>20338</v>
      </c>
      <c r="E352" t="s">
        <v>192</v>
      </c>
      <c r="F352" s="534">
        <v>1</v>
      </c>
      <c r="G352" t="s">
        <v>193</v>
      </c>
      <c r="H352" t="s">
        <v>194</v>
      </c>
      <c r="I352" t="s">
        <v>20310</v>
      </c>
      <c r="J352" t="s">
        <v>210</v>
      </c>
      <c r="K352" s="28" t="s">
        <v>9309</v>
      </c>
      <c r="L352" t="s">
        <v>6955</v>
      </c>
      <c r="N352" t="s">
        <v>21779</v>
      </c>
      <c r="O352" t="s">
        <v>6251</v>
      </c>
      <c r="P352" t="s">
        <v>20398</v>
      </c>
      <c r="Q352" t="s">
        <v>20399</v>
      </c>
      <c r="R352" t="s">
        <v>20400</v>
      </c>
      <c r="S352" t="s">
        <v>21780</v>
      </c>
      <c r="T352" t="s">
        <v>21781</v>
      </c>
      <c r="V352" s="28" t="s">
        <v>9334</v>
      </c>
      <c r="W352" t="s">
        <v>707</v>
      </c>
      <c r="X352" t="s">
        <v>194</v>
      </c>
      <c r="Y352" s="28" t="s">
        <v>9300</v>
      </c>
      <c r="AB352" t="s">
        <v>9311</v>
      </c>
      <c r="AH352" t="s">
        <v>4714</v>
      </c>
      <c r="AI352" t="s">
        <v>19405</v>
      </c>
      <c r="AJ352" s="28" t="str">
        <f t="shared" si="10"/>
        <v>422201</v>
      </c>
      <c r="AK352" s="420">
        <v>1</v>
      </c>
      <c r="AL352" s="420">
        <f t="shared" si="11"/>
        <v>1</v>
      </c>
      <c r="AM352" s="420">
        <v>1</v>
      </c>
      <c r="AN352" t="s">
        <v>17650</v>
      </c>
      <c r="AO352" t="s">
        <v>17651</v>
      </c>
      <c r="AP352" t="s">
        <v>17652</v>
      </c>
      <c r="AQ352" t="s">
        <v>17653</v>
      </c>
      <c r="AR352" t="s">
        <v>1024</v>
      </c>
    </row>
    <row r="353" spans="1:44" x14ac:dyDescent="0.25">
      <c r="A353" t="s">
        <v>13764</v>
      </c>
      <c r="B353" t="s">
        <v>2516</v>
      </c>
      <c r="C353" s="410" t="s">
        <v>706</v>
      </c>
      <c r="D353" t="s">
        <v>20306</v>
      </c>
      <c r="E353" t="s">
        <v>192</v>
      </c>
      <c r="F353" s="534">
        <v>1</v>
      </c>
      <c r="G353" t="s">
        <v>193</v>
      </c>
      <c r="H353" t="s">
        <v>194</v>
      </c>
      <c r="I353" t="s">
        <v>20307</v>
      </c>
      <c r="J353" t="s">
        <v>210</v>
      </c>
      <c r="K353" s="28" t="s">
        <v>9309</v>
      </c>
      <c r="L353" t="s">
        <v>6955</v>
      </c>
      <c r="N353" t="s">
        <v>21782</v>
      </c>
      <c r="O353" t="s">
        <v>6254</v>
      </c>
      <c r="P353" t="s">
        <v>20309</v>
      </c>
      <c r="Q353" t="s">
        <v>20310</v>
      </c>
      <c r="R353" t="s">
        <v>20311</v>
      </c>
      <c r="S353" t="s">
        <v>21783</v>
      </c>
      <c r="T353" t="s">
        <v>21784</v>
      </c>
      <c r="V353" s="28" t="s">
        <v>9334</v>
      </c>
      <c r="W353" t="s">
        <v>707</v>
      </c>
      <c r="X353" t="s">
        <v>194</v>
      </c>
      <c r="Y353" s="28" t="s">
        <v>9300</v>
      </c>
      <c r="AB353" t="s">
        <v>9311</v>
      </c>
      <c r="AH353" t="s">
        <v>4714</v>
      </c>
      <c r="AI353" t="s">
        <v>2516</v>
      </c>
      <c r="AJ353" s="28" t="str">
        <f t="shared" si="10"/>
        <v>422201</v>
      </c>
      <c r="AK353" s="420">
        <v>1</v>
      </c>
      <c r="AL353" s="420">
        <f t="shared" si="11"/>
        <v>1</v>
      </c>
      <c r="AM353" s="420">
        <v>1</v>
      </c>
      <c r="AN353" t="s">
        <v>17650</v>
      </c>
      <c r="AO353" t="s">
        <v>17651</v>
      </c>
      <c r="AP353" t="s">
        <v>17652</v>
      </c>
      <c r="AQ353" t="s">
        <v>17653</v>
      </c>
      <c r="AR353" t="s">
        <v>1024</v>
      </c>
    </row>
    <row r="354" spans="1:44" x14ac:dyDescent="0.25">
      <c r="A354" t="s">
        <v>19404</v>
      </c>
      <c r="B354" t="s">
        <v>19405</v>
      </c>
      <c r="C354" s="410" t="s">
        <v>706</v>
      </c>
      <c r="D354" t="s">
        <v>20306</v>
      </c>
      <c r="E354" t="s">
        <v>192</v>
      </c>
      <c r="F354" s="534">
        <v>1</v>
      </c>
      <c r="G354" t="s">
        <v>193</v>
      </c>
      <c r="H354" t="s">
        <v>194</v>
      </c>
      <c r="I354" t="s">
        <v>20307</v>
      </c>
      <c r="J354" t="s">
        <v>210</v>
      </c>
      <c r="K354" s="28" t="s">
        <v>9309</v>
      </c>
      <c r="L354" t="s">
        <v>6955</v>
      </c>
      <c r="N354" t="s">
        <v>21785</v>
      </c>
      <c r="O354" t="s">
        <v>6251</v>
      </c>
      <c r="P354" t="s">
        <v>20309</v>
      </c>
      <c r="Q354" t="s">
        <v>20310</v>
      </c>
      <c r="R354" t="s">
        <v>20311</v>
      </c>
      <c r="S354" t="s">
        <v>21786</v>
      </c>
      <c r="T354" t="s">
        <v>21787</v>
      </c>
      <c r="V354" s="28" t="s">
        <v>9334</v>
      </c>
      <c r="W354" t="s">
        <v>707</v>
      </c>
      <c r="X354" t="s">
        <v>194</v>
      </c>
      <c r="Y354" s="28" t="s">
        <v>9300</v>
      </c>
      <c r="AB354" t="s">
        <v>9311</v>
      </c>
      <c r="AH354" t="s">
        <v>4714</v>
      </c>
      <c r="AI354" t="s">
        <v>19405</v>
      </c>
      <c r="AJ354" s="28" t="str">
        <f t="shared" si="10"/>
        <v>422201</v>
      </c>
      <c r="AK354" s="420">
        <v>1</v>
      </c>
      <c r="AL354" s="420">
        <f t="shared" si="11"/>
        <v>1</v>
      </c>
      <c r="AM354" s="420">
        <v>1</v>
      </c>
      <c r="AN354" t="s">
        <v>17650</v>
      </c>
      <c r="AO354" t="s">
        <v>17651</v>
      </c>
      <c r="AP354" t="s">
        <v>17652</v>
      </c>
      <c r="AQ354" t="s">
        <v>17653</v>
      </c>
      <c r="AR354" t="s">
        <v>1024</v>
      </c>
    </row>
    <row r="355" spans="1:44" x14ac:dyDescent="0.25">
      <c r="A355" t="s">
        <v>21788</v>
      </c>
      <c r="B355" t="s">
        <v>9894</v>
      </c>
      <c r="C355" s="410" t="s">
        <v>706</v>
      </c>
      <c r="D355" t="s">
        <v>20306</v>
      </c>
      <c r="E355" t="s">
        <v>192</v>
      </c>
      <c r="F355" s="534">
        <v>1</v>
      </c>
      <c r="G355" t="s">
        <v>193</v>
      </c>
      <c r="H355" t="s">
        <v>194</v>
      </c>
      <c r="I355" t="s">
        <v>20307</v>
      </c>
      <c r="J355" t="s">
        <v>210</v>
      </c>
      <c r="K355" s="28" t="s">
        <v>9309</v>
      </c>
      <c r="L355" t="s">
        <v>6955</v>
      </c>
      <c r="N355" t="s">
        <v>21789</v>
      </c>
      <c r="O355" t="s">
        <v>6251</v>
      </c>
      <c r="P355" t="s">
        <v>20309</v>
      </c>
      <c r="Q355" t="s">
        <v>20310</v>
      </c>
      <c r="R355" t="s">
        <v>20311</v>
      </c>
      <c r="S355" t="s">
        <v>21790</v>
      </c>
      <c r="T355" t="s">
        <v>21791</v>
      </c>
      <c r="V355" s="28" t="s">
        <v>9334</v>
      </c>
      <c r="W355" t="s">
        <v>707</v>
      </c>
      <c r="X355" t="s">
        <v>194</v>
      </c>
      <c r="Y355" s="28" t="s">
        <v>9300</v>
      </c>
      <c r="AB355" t="s">
        <v>9311</v>
      </c>
      <c r="AH355" t="s">
        <v>4714</v>
      </c>
      <c r="AI355" t="s">
        <v>9894</v>
      </c>
      <c r="AJ355" s="28" t="str">
        <f t="shared" si="10"/>
        <v>422201</v>
      </c>
      <c r="AK355" s="420">
        <v>1</v>
      </c>
      <c r="AL355" s="420">
        <f t="shared" si="11"/>
        <v>1</v>
      </c>
      <c r="AM355" s="420">
        <v>1</v>
      </c>
      <c r="AN355" t="s">
        <v>17650</v>
      </c>
      <c r="AO355" t="s">
        <v>17651</v>
      </c>
      <c r="AP355" t="s">
        <v>17652</v>
      </c>
      <c r="AQ355" t="s">
        <v>17653</v>
      </c>
      <c r="AR355" t="s">
        <v>1024</v>
      </c>
    </row>
    <row r="356" spans="1:44" x14ac:dyDescent="0.25">
      <c r="A356" t="s">
        <v>21792</v>
      </c>
      <c r="B356" t="s">
        <v>148</v>
      </c>
      <c r="C356" s="410" t="s">
        <v>148</v>
      </c>
      <c r="D356" t="s">
        <v>20338</v>
      </c>
      <c r="E356" t="s">
        <v>233</v>
      </c>
      <c r="F356" s="534">
        <v>1</v>
      </c>
      <c r="G356" t="s">
        <v>193</v>
      </c>
      <c r="H356" t="s">
        <v>194</v>
      </c>
      <c r="I356" t="s">
        <v>20310</v>
      </c>
      <c r="J356" t="s">
        <v>210</v>
      </c>
      <c r="K356" s="28" t="s">
        <v>9309</v>
      </c>
      <c r="L356" t="s">
        <v>6955</v>
      </c>
      <c r="N356" t="s">
        <v>21793</v>
      </c>
      <c r="O356" t="s">
        <v>6266</v>
      </c>
      <c r="P356" t="s">
        <v>20541</v>
      </c>
      <c r="Q356" t="s">
        <v>20389</v>
      </c>
      <c r="R356" t="s">
        <v>20542</v>
      </c>
      <c r="S356" t="s">
        <v>21794</v>
      </c>
      <c r="T356" t="s">
        <v>21795</v>
      </c>
      <c r="V356" s="28" t="s">
        <v>9334</v>
      </c>
      <c r="W356" t="s">
        <v>661</v>
      </c>
      <c r="X356" t="s">
        <v>194</v>
      </c>
      <c r="Y356" s="28" t="s">
        <v>9300</v>
      </c>
      <c r="AB356" t="s">
        <v>9311</v>
      </c>
      <c r="AH356" t="s">
        <v>4714</v>
      </c>
      <c r="AI356" t="s">
        <v>148</v>
      </c>
      <c r="AJ356" s="28" t="str">
        <f t="shared" si="10"/>
        <v>333104</v>
      </c>
      <c r="AK356" s="420">
        <v>1</v>
      </c>
      <c r="AL356" s="420">
        <f t="shared" si="11"/>
        <v>1</v>
      </c>
      <c r="AM356" s="420">
        <v>1</v>
      </c>
      <c r="AN356" t="s">
        <v>17650</v>
      </c>
      <c r="AO356" t="s">
        <v>17651</v>
      </c>
      <c r="AP356" t="s">
        <v>17652</v>
      </c>
      <c r="AQ356" t="s">
        <v>17653</v>
      </c>
      <c r="AR356" t="s">
        <v>1024</v>
      </c>
    </row>
    <row r="357" spans="1:44" x14ac:dyDescent="0.25">
      <c r="A357" t="s">
        <v>21792</v>
      </c>
      <c r="B357" t="s">
        <v>148</v>
      </c>
      <c r="C357" s="410" t="s">
        <v>148</v>
      </c>
      <c r="D357" t="s">
        <v>20306</v>
      </c>
      <c r="E357" t="s">
        <v>233</v>
      </c>
      <c r="F357" s="534">
        <v>1</v>
      </c>
      <c r="G357" t="s">
        <v>193</v>
      </c>
      <c r="H357" t="s">
        <v>194</v>
      </c>
      <c r="I357" t="s">
        <v>20322</v>
      </c>
      <c r="J357" t="s">
        <v>408</v>
      </c>
      <c r="K357" s="28" t="s">
        <v>9309</v>
      </c>
      <c r="L357" t="s">
        <v>6955</v>
      </c>
      <c r="N357" t="s">
        <v>21796</v>
      </c>
      <c r="O357" t="s">
        <v>6266</v>
      </c>
      <c r="P357" t="s">
        <v>20417</v>
      </c>
      <c r="Q357" t="s">
        <v>20405</v>
      </c>
      <c r="R357" t="s">
        <v>20418</v>
      </c>
      <c r="S357" t="s">
        <v>21797</v>
      </c>
      <c r="T357" t="s">
        <v>21798</v>
      </c>
      <c r="V357" s="28" t="s">
        <v>9479</v>
      </c>
      <c r="W357" t="s">
        <v>661</v>
      </c>
      <c r="X357" t="s">
        <v>194</v>
      </c>
      <c r="Y357" s="28" t="s">
        <v>9300</v>
      </c>
      <c r="AB357" t="s">
        <v>9311</v>
      </c>
      <c r="AH357" t="s">
        <v>4714</v>
      </c>
      <c r="AI357" t="s">
        <v>148</v>
      </c>
      <c r="AJ357" s="28" t="str">
        <f t="shared" si="10"/>
        <v>333104</v>
      </c>
      <c r="AK357" s="420">
        <v>1</v>
      </c>
      <c r="AL357" s="420">
        <f t="shared" si="11"/>
        <v>1</v>
      </c>
      <c r="AM357" s="420">
        <v>1</v>
      </c>
      <c r="AN357" t="s">
        <v>17650</v>
      </c>
      <c r="AO357" t="s">
        <v>17651</v>
      </c>
      <c r="AP357" t="s">
        <v>17652</v>
      </c>
      <c r="AQ357" t="s">
        <v>17653</v>
      </c>
      <c r="AR357" t="s">
        <v>1024</v>
      </c>
    </row>
    <row r="358" spans="1:44" x14ac:dyDescent="0.25">
      <c r="A358" t="s">
        <v>21717</v>
      </c>
      <c r="B358" t="s">
        <v>21799</v>
      </c>
      <c r="C358" s="410" t="s">
        <v>117</v>
      </c>
      <c r="D358" t="s">
        <v>20306</v>
      </c>
      <c r="E358" t="s">
        <v>192</v>
      </c>
      <c r="F358" s="534">
        <v>1</v>
      </c>
      <c r="G358" t="s">
        <v>193</v>
      </c>
      <c r="H358" t="s">
        <v>194</v>
      </c>
      <c r="I358" t="s">
        <v>20307</v>
      </c>
      <c r="J358" t="s">
        <v>9302</v>
      </c>
      <c r="K358" s="28" t="s">
        <v>9309</v>
      </c>
      <c r="L358" t="s">
        <v>6955</v>
      </c>
      <c r="N358" t="s">
        <v>21800</v>
      </c>
      <c r="O358" t="s">
        <v>6921</v>
      </c>
      <c r="P358" t="s">
        <v>20309</v>
      </c>
      <c r="Q358" t="s">
        <v>20310</v>
      </c>
      <c r="R358" t="s">
        <v>20311</v>
      </c>
      <c r="S358" t="s">
        <v>21801</v>
      </c>
      <c r="T358" t="s">
        <v>21802</v>
      </c>
      <c r="W358" t="s">
        <v>2242</v>
      </c>
      <c r="X358" t="s">
        <v>193</v>
      </c>
      <c r="Y358" s="28" t="s">
        <v>9310</v>
      </c>
      <c r="AB358" t="s">
        <v>9311</v>
      </c>
      <c r="AH358" t="s">
        <v>4714</v>
      </c>
      <c r="AI358" t="s">
        <v>21799</v>
      </c>
      <c r="AJ358" s="28" t="str">
        <f t="shared" si="10"/>
        <v>431301</v>
      </c>
      <c r="AK358" s="420">
        <v>1</v>
      </c>
      <c r="AL358" s="420">
        <f t="shared" si="11"/>
        <v>1</v>
      </c>
      <c r="AM358" s="420">
        <v>1</v>
      </c>
      <c r="AN358" t="s">
        <v>17650</v>
      </c>
      <c r="AO358" t="s">
        <v>17651</v>
      </c>
      <c r="AP358" t="s">
        <v>17652</v>
      </c>
      <c r="AQ358" t="s">
        <v>17653</v>
      </c>
      <c r="AR358" t="s">
        <v>1024</v>
      </c>
    </row>
    <row r="359" spans="1:44" x14ac:dyDescent="0.25">
      <c r="A359" t="s">
        <v>16431</v>
      </c>
      <c r="B359" t="s">
        <v>21803</v>
      </c>
      <c r="C359" s="410" t="s">
        <v>2999</v>
      </c>
      <c r="D359" t="s">
        <v>20326</v>
      </c>
      <c r="E359" t="s">
        <v>192</v>
      </c>
      <c r="F359" s="534">
        <v>1</v>
      </c>
      <c r="G359" t="s">
        <v>193</v>
      </c>
      <c r="H359" t="s">
        <v>194</v>
      </c>
      <c r="I359" t="s">
        <v>20318</v>
      </c>
      <c r="J359" t="s">
        <v>367</v>
      </c>
      <c r="K359" s="28" t="s">
        <v>9309</v>
      </c>
      <c r="L359" t="s">
        <v>6955</v>
      </c>
      <c r="N359" t="s">
        <v>21804</v>
      </c>
      <c r="O359" t="s">
        <v>6327</v>
      </c>
      <c r="P359" t="s">
        <v>20328</v>
      </c>
      <c r="Q359" t="s">
        <v>20329</v>
      </c>
      <c r="R359" t="s">
        <v>20306</v>
      </c>
      <c r="S359" t="s">
        <v>21805</v>
      </c>
      <c r="T359" t="s">
        <v>21806</v>
      </c>
      <c r="V359" s="28" t="s">
        <v>9974</v>
      </c>
      <c r="W359" t="s">
        <v>18187</v>
      </c>
      <c r="X359" t="s">
        <v>194</v>
      </c>
      <c r="Y359" s="28" t="s">
        <v>9300</v>
      </c>
      <c r="AB359" t="s">
        <v>9311</v>
      </c>
      <c r="AH359" t="s">
        <v>4714</v>
      </c>
      <c r="AI359" t="s">
        <v>21803</v>
      </c>
      <c r="AJ359" s="28" t="str">
        <f t="shared" si="10"/>
        <v>351403</v>
      </c>
      <c r="AK359" s="420">
        <v>1</v>
      </c>
      <c r="AL359" s="420">
        <f t="shared" si="11"/>
        <v>1</v>
      </c>
      <c r="AM359" s="420">
        <v>1</v>
      </c>
      <c r="AN359" t="s">
        <v>17650</v>
      </c>
      <c r="AO359" t="s">
        <v>17651</v>
      </c>
      <c r="AP359" t="s">
        <v>17652</v>
      </c>
      <c r="AQ359" t="s">
        <v>17653</v>
      </c>
      <c r="AR359" t="s">
        <v>1024</v>
      </c>
    </row>
    <row r="360" spans="1:44" x14ac:dyDescent="0.25">
      <c r="A360" t="s">
        <v>16431</v>
      </c>
      <c r="B360" t="s">
        <v>21807</v>
      </c>
      <c r="C360" s="410" t="s">
        <v>2999</v>
      </c>
      <c r="D360" t="s">
        <v>20326</v>
      </c>
      <c r="E360" t="s">
        <v>192</v>
      </c>
      <c r="F360" s="534">
        <v>1</v>
      </c>
      <c r="G360" t="s">
        <v>193</v>
      </c>
      <c r="H360" t="s">
        <v>194</v>
      </c>
      <c r="I360" t="s">
        <v>20318</v>
      </c>
      <c r="J360" t="s">
        <v>367</v>
      </c>
      <c r="K360" s="28" t="s">
        <v>9309</v>
      </c>
      <c r="L360" t="s">
        <v>6955</v>
      </c>
      <c r="N360" t="s">
        <v>21808</v>
      </c>
      <c r="O360" t="s">
        <v>6302</v>
      </c>
      <c r="P360" t="s">
        <v>20328</v>
      </c>
      <c r="Q360" t="s">
        <v>20329</v>
      </c>
      <c r="R360" t="s">
        <v>20306</v>
      </c>
      <c r="S360" t="s">
        <v>21809</v>
      </c>
      <c r="T360" t="s">
        <v>21810</v>
      </c>
      <c r="V360" s="28" t="s">
        <v>9974</v>
      </c>
      <c r="W360" t="s">
        <v>18187</v>
      </c>
      <c r="X360" t="s">
        <v>194</v>
      </c>
      <c r="Y360" s="28" t="s">
        <v>9300</v>
      </c>
      <c r="AB360" t="s">
        <v>9311</v>
      </c>
      <c r="AH360" t="s">
        <v>4714</v>
      </c>
      <c r="AI360" t="s">
        <v>21807</v>
      </c>
      <c r="AJ360" s="28" t="str">
        <f t="shared" si="10"/>
        <v>351403</v>
      </c>
      <c r="AK360" s="420">
        <v>1</v>
      </c>
      <c r="AL360" s="420">
        <f t="shared" si="11"/>
        <v>1</v>
      </c>
      <c r="AM360" s="420">
        <v>1</v>
      </c>
      <c r="AN360" t="s">
        <v>17650</v>
      </c>
      <c r="AO360" t="s">
        <v>17651</v>
      </c>
      <c r="AP360" t="s">
        <v>17652</v>
      </c>
      <c r="AQ360" t="s">
        <v>17653</v>
      </c>
      <c r="AR360" t="s">
        <v>1024</v>
      </c>
    </row>
    <row r="361" spans="1:44" x14ac:dyDescent="0.25">
      <c r="A361" t="s">
        <v>1168</v>
      </c>
      <c r="B361" t="s">
        <v>21811</v>
      </c>
      <c r="C361" s="410" t="s">
        <v>2999</v>
      </c>
      <c r="D361" t="s">
        <v>20306</v>
      </c>
      <c r="E361" t="s">
        <v>192</v>
      </c>
      <c r="F361" s="534">
        <v>1</v>
      </c>
      <c r="G361" t="s">
        <v>193</v>
      </c>
      <c r="H361" t="s">
        <v>194</v>
      </c>
      <c r="I361" t="s">
        <v>20307</v>
      </c>
      <c r="J361" t="s">
        <v>9302</v>
      </c>
      <c r="K361" s="28" t="s">
        <v>9309</v>
      </c>
      <c r="L361" t="s">
        <v>6955</v>
      </c>
      <c r="N361" t="s">
        <v>21812</v>
      </c>
      <c r="O361" t="s">
        <v>6302</v>
      </c>
      <c r="P361" t="s">
        <v>20309</v>
      </c>
      <c r="Q361" t="s">
        <v>20310</v>
      </c>
      <c r="R361" t="s">
        <v>20311</v>
      </c>
      <c r="S361" t="s">
        <v>21813</v>
      </c>
      <c r="T361" t="s">
        <v>21814</v>
      </c>
      <c r="W361" t="s">
        <v>18187</v>
      </c>
      <c r="X361" t="s">
        <v>193</v>
      </c>
      <c r="Y361" s="28" t="s">
        <v>9310</v>
      </c>
      <c r="AB361" t="s">
        <v>9311</v>
      </c>
      <c r="AH361" t="s">
        <v>4714</v>
      </c>
      <c r="AI361" t="s">
        <v>21811</v>
      </c>
      <c r="AJ361" s="28" t="str">
        <f t="shared" si="10"/>
        <v>351403</v>
      </c>
      <c r="AK361" s="420">
        <v>1</v>
      </c>
      <c r="AL361" s="420">
        <f t="shared" si="11"/>
        <v>1</v>
      </c>
      <c r="AM361" s="420">
        <v>1</v>
      </c>
      <c r="AN361" t="s">
        <v>17650</v>
      </c>
      <c r="AO361" t="s">
        <v>17651</v>
      </c>
      <c r="AP361" t="s">
        <v>17652</v>
      </c>
      <c r="AQ361" t="s">
        <v>17653</v>
      </c>
      <c r="AR361" t="s">
        <v>1024</v>
      </c>
    </row>
    <row r="362" spans="1:44" x14ac:dyDescent="0.25">
      <c r="A362" t="s">
        <v>21815</v>
      </c>
      <c r="B362" t="s">
        <v>21816</v>
      </c>
      <c r="C362" s="410" t="s">
        <v>9847</v>
      </c>
      <c r="D362" t="s">
        <v>20306</v>
      </c>
      <c r="E362" t="s">
        <v>192</v>
      </c>
      <c r="F362" s="534">
        <v>1</v>
      </c>
      <c r="G362" t="s">
        <v>193</v>
      </c>
      <c r="H362" t="s">
        <v>194</v>
      </c>
      <c r="I362" t="s">
        <v>20307</v>
      </c>
      <c r="J362" t="s">
        <v>672</v>
      </c>
      <c r="K362" s="28" t="s">
        <v>9309</v>
      </c>
      <c r="L362" t="s">
        <v>6955</v>
      </c>
      <c r="N362" t="s">
        <v>21817</v>
      </c>
      <c r="O362" t="s">
        <v>6275</v>
      </c>
      <c r="P362" t="s">
        <v>20309</v>
      </c>
      <c r="Q362" t="s">
        <v>20310</v>
      </c>
      <c r="R362" t="s">
        <v>20311</v>
      </c>
      <c r="S362" t="s">
        <v>21818</v>
      </c>
      <c r="T362" t="s">
        <v>21819</v>
      </c>
      <c r="V362" s="28" t="s">
        <v>9726</v>
      </c>
      <c r="W362" t="s">
        <v>9851</v>
      </c>
      <c r="X362" t="s">
        <v>194</v>
      </c>
      <c r="Y362" s="28" t="s">
        <v>9300</v>
      </c>
      <c r="AB362" t="s">
        <v>9311</v>
      </c>
      <c r="AH362" t="s">
        <v>4714</v>
      </c>
      <c r="AI362" t="s">
        <v>21816</v>
      </c>
      <c r="AJ362" s="28" t="str">
        <f t="shared" si="10"/>
        <v>432105</v>
      </c>
      <c r="AK362" s="420">
        <v>1</v>
      </c>
      <c r="AL362" s="420">
        <f t="shared" si="11"/>
        <v>1</v>
      </c>
      <c r="AM362" s="420">
        <v>1</v>
      </c>
      <c r="AN362" t="s">
        <v>17650</v>
      </c>
      <c r="AO362" t="s">
        <v>17651</v>
      </c>
      <c r="AP362" t="s">
        <v>17652</v>
      </c>
      <c r="AQ362" t="s">
        <v>17653</v>
      </c>
      <c r="AR362" t="s">
        <v>1024</v>
      </c>
    </row>
    <row r="363" spans="1:44" x14ac:dyDescent="0.25">
      <c r="A363" t="s">
        <v>17666</v>
      </c>
      <c r="B363" t="s">
        <v>496</v>
      </c>
      <c r="C363" s="410" t="s">
        <v>10</v>
      </c>
      <c r="D363" t="s">
        <v>20326</v>
      </c>
      <c r="E363" t="s">
        <v>192</v>
      </c>
      <c r="F363" s="534">
        <v>1</v>
      </c>
      <c r="G363" t="s">
        <v>193</v>
      </c>
      <c r="H363" t="s">
        <v>194</v>
      </c>
      <c r="I363" t="s">
        <v>20389</v>
      </c>
      <c r="J363" t="s">
        <v>9302</v>
      </c>
      <c r="K363" s="28" t="s">
        <v>9309</v>
      </c>
      <c r="L363" t="s">
        <v>6955</v>
      </c>
      <c r="N363" t="s">
        <v>21820</v>
      </c>
      <c r="O363" t="s">
        <v>6261</v>
      </c>
      <c r="P363" t="s">
        <v>20328</v>
      </c>
      <c r="Q363" t="s">
        <v>20329</v>
      </c>
      <c r="R363" t="s">
        <v>20306</v>
      </c>
      <c r="S363" t="s">
        <v>21821</v>
      </c>
      <c r="T363" t="s">
        <v>21822</v>
      </c>
      <c r="W363" t="s">
        <v>484</v>
      </c>
      <c r="X363" t="s">
        <v>193</v>
      </c>
      <c r="Y363" s="28" t="s">
        <v>9310</v>
      </c>
      <c r="AB363" t="s">
        <v>9311</v>
      </c>
      <c r="AH363" t="s">
        <v>4714</v>
      </c>
      <c r="AI363" t="s">
        <v>496</v>
      </c>
      <c r="AJ363" s="28" t="str">
        <f t="shared" si="10"/>
        <v>251401</v>
      </c>
      <c r="AK363" s="420">
        <v>1</v>
      </c>
      <c r="AL363" s="420">
        <f t="shared" si="11"/>
        <v>1</v>
      </c>
      <c r="AM363" s="420">
        <v>1</v>
      </c>
      <c r="AN363" t="s">
        <v>17650</v>
      </c>
      <c r="AO363" t="s">
        <v>17651</v>
      </c>
      <c r="AP363" t="s">
        <v>17652</v>
      </c>
      <c r="AQ363" t="s">
        <v>17653</v>
      </c>
      <c r="AR363" t="s">
        <v>1024</v>
      </c>
    </row>
    <row r="364" spans="1:44" x14ac:dyDescent="0.25">
      <c r="A364" t="s">
        <v>17666</v>
      </c>
      <c r="B364" t="s">
        <v>21823</v>
      </c>
      <c r="C364" s="410" t="s">
        <v>10</v>
      </c>
      <c r="D364" t="s">
        <v>20326</v>
      </c>
      <c r="E364" t="s">
        <v>192</v>
      </c>
      <c r="F364" s="534">
        <v>1</v>
      </c>
      <c r="G364" t="s">
        <v>193</v>
      </c>
      <c r="H364" t="s">
        <v>194</v>
      </c>
      <c r="I364" t="s">
        <v>20333</v>
      </c>
      <c r="J364" t="s">
        <v>9302</v>
      </c>
      <c r="K364" s="28" t="s">
        <v>9309</v>
      </c>
      <c r="L364" t="s">
        <v>6955</v>
      </c>
      <c r="N364" t="s">
        <v>21824</v>
      </c>
      <c r="O364" t="s">
        <v>6261</v>
      </c>
      <c r="P364" t="s">
        <v>20328</v>
      </c>
      <c r="Q364" t="s">
        <v>20329</v>
      </c>
      <c r="R364" t="s">
        <v>20306</v>
      </c>
      <c r="S364" t="s">
        <v>21825</v>
      </c>
      <c r="T364" t="s">
        <v>21826</v>
      </c>
      <c r="W364" t="s">
        <v>484</v>
      </c>
      <c r="X364" t="s">
        <v>193</v>
      </c>
      <c r="Y364" s="28" t="s">
        <v>9310</v>
      </c>
      <c r="AB364" t="s">
        <v>9311</v>
      </c>
      <c r="AH364" t="s">
        <v>4714</v>
      </c>
      <c r="AI364" t="s">
        <v>21823</v>
      </c>
      <c r="AJ364" s="28" t="str">
        <f t="shared" si="10"/>
        <v>251401</v>
      </c>
      <c r="AK364" s="420">
        <v>1</v>
      </c>
      <c r="AL364" s="420">
        <f t="shared" si="11"/>
        <v>1</v>
      </c>
      <c r="AM364" s="420">
        <v>1</v>
      </c>
      <c r="AN364" t="s">
        <v>17650</v>
      </c>
      <c r="AO364" t="s">
        <v>17651</v>
      </c>
      <c r="AP364" t="s">
        <v>17652</v>
      </c>
      <c r="AQ364" t="s">
        <v>17653</v>
      </c>
      <c r="AR364" t="s">
        <v>1024</v>
      </c>
    </row>
    <row r="365" spans="1:44" x14ac:dyDescent="0.25">
      <c r="A365" t="s">
        <v>10076</v>
      </c>
      <c r="B365" t="s">
        <v>2277</v>
      </c>
      <c r="C365" s="410" t="s">
        <v>10</v>
      </c>
      <c r="D365" t="s">
        <v>20326</v>
      </c>
      <c r="E365" t="s">
        <v>192</v>
      </c>
      <c r="F365" s="534">
        <v>1</v>
      </c>
      <c r="G365" t="s">
        <v>193</v>
      </c>
      <c r="H365" t="s">
        <v>194</v>
      </c>
      <c r="I365" t="s">
        <v>20318</v>
      </c>
      <c r="J365" t="s">
        <v>9302</v>
      </c>
      <c r="K365" s="28" t="s">
        <v>9309</v>
      </c>
      <c r="L365" t="s">
        <v>6955</v>
      </c>
      <c r="N365" t="s">
        <v>21827</v>
      </c>
      <c r="O365" t="s">
        <v>6921</v>
      </c>
      <c r="P365" t="s">
        <v>20328</v>
      </c>
      <c r="Q365" t="s">
        <v>20329</v>
      </c>
      <c r="R365" t="s">
        <v>20306</v>
      </c>
      <c r="S365" t="s">
        <v>21828</v>
      </c>
      <c r="T365" t="s">
        <v>21829</v>
      </c>
      <c r="W365" t="s">
        <v>484</v>
      </c>
      <c r="X365" t="s">
        <v>193</v>
      </c>
      <c r="Y365" s="28" t="s">
        <v>9310</v>
      </c>
      <c r="AB365" t="s">
        <v>9311</v>
      </c>
      <c r="AH365" t="s">
        <v>4714</v>
      </c>
      <c r="AI365" t="s">
        <v>2277</v>
      </c>
      <c r="AJ365" s="28" t="str">
        <f t="shared" si="10"/>
        <v>251401</v>
      </c>
      <c r="AK365" s="420">
        <v>1</v>
      </c>
      <c r="AL365" s="420">
        <f t="shared" si="11"/>
        <v>1</v>
      </c>
      <c r="AM365" s="420">
        <v>1</v>
      </c>
      <c r="AN365" t="s">
        <v>17650</v>
      </c>
      <c r="AO365" t="s">
        <v>17651</v>
      </c>
      <c r="AP365" t="s">
        <v>17652</v>
      </c>
      <c r="AQ365" t="s">
        <v>17653</v>
      </c>
      <c r="AR365" t="s">
        <v>1024</v>
      </c>
    </row>
    <row r="366" spans="1:44" x14ac:dyDescent="0.25">
      <c r="A366" t="s">
        <v>493</v>
      </c>
      <c r="B366" t="s">
        <v>2844</v>
      </c>
      <c r="C366" s="410" t="s">
        <v>10</v>
      </c>
      <c r="D366" t="s">
        <v>20326</v>
      </c>
      <c r="E366" t="s">
        <v>192</v>
      </c>
      <c r="F366" s="534">
        <v>1</v>
      </c>
      <c r="G366" t="s">
        <v>193</v>
      </c>
      <c r="H366" t="s">
        <v>194</v>
      </c>
      <c r="I366" t="s">
        <v>20360</v>
      </c>
      <c r="J366" t="s">
        <v>210</v>
      </c>
      <c r="K366" s="28" t="s">
        <v>9309</v>
      </c>
      <c r="L366" t="s">
        <v>6955</v>
      </c>
      <c r="N366" t="s">
        <v>21830</v>
      </c>
      <c r="O366" t="s">
        <v>6261</v>
      </c>
      <c r="P366" t="s">
        <v>20328</v>
      </c>
      <c r="Q366" t="s">
        <v>20329</v>
      </c>
      <c r="R366" t="s">
        <v>20306</v>
      </c>
      <c r="S366" t="s">
        <v>21831</v>
      </c>
      <c r="T366" t="s">
        <v>21832</v>
      </c>
      <c r="V366" s="28" t="s">
        <v>9334</v>
      </c>
      <c r="W366" t="s">
        <v>484</v>
      </c>
      <c r="X366" t="s">
        <v>194</v>
      </c>
      <c r="Y366" s="28" t="s">
        <v>9300</v>
      </c>
      <c r="AB366" t="s">
        <v>9311</v>
      </c>
      <c r="AH366" t="s">
        <v>4714</v>
      </c>
      <c r="AI366" t="s">
        <v>2844</v>
      </c>
      <c r="AJ366" s="28" t="str">
        <f t="shared" si="10"/>
        <v>251401</v>
      </c>
      <c r="AK366" s="420">
        <v>1</v>
      </c>
      <c r="AL366" s="420">
        <f t="shared" si="11"/>
        <v>1</v>
      </c>
      <c r="AM366" s="420">
        <v>1</v>
      </c>
      <c r="AN366" t="s">
        <v>17650</v>
      </c>
      <c r="AO366" t="s">
        <v>17651</v>
      </c>
      <c r="AP366" t="s">
        <v>17652</v>
      </c>
      <c r="AQ366" t="s">
        <v>17653</v>
      </c>
      <c r="AR366" t="s">
        <v>1024</v>
      </c>
    </row>
    <row r="367" spans="1:44" x14ac:dyDescent="0.25">
      <c r="A367" t="s">
        <v>493</v>
      </c>
      <c r="B367" t="s">
        <v>11438</v>
      </c>
      <c r="C367" s="410" t="s">
        <v>10</v>
      </c>
      <c r="D367" t="s">
        <v>20326</v>
      </c>
      <c r="E367" t="s">
        <v>192</v>
      </c>
      <c r="F367" s="534">
        <v>1</v>
      </c>
      <c r="G367" t="s">
        <v>193</v>
      </c>
      <c r="H367" t="s">
        <v>194</v>
      </c>
      <c r="I367" t="s">
        <v>20389</v>
      </c>
      <c r="J367" t="s">
        <v>210</v>
      </c>
      <c r="K367" s="28" t="s">
        <v>9309</v>
      </c>
      <c r="L367" t="s">
        <v>6955</v>
      </c>
      <c r="N367" t="s">
        <v>21833</v>
      </c>
      <c r="O367" t="s">
        <v>6921</v>
      </c>
      <c r="P367" t="s">
        <v>20328</v>
      </c>
      <c r="Q367" t="s">
        <v>20329</v>
      </c>
      <c r="R367" t="s">
        <v>20306</v>
      </c>
      <c r="S367" t="s">
        <v>21834</v>
      </c>
      <c r="T367" t="s">
        <v>21835</v>
      </c>
      <c r="V367" s="28" t="s">
        <v>9334</v>
      </c>
      <c r="W367" t="s">
        <v>484</v>
      </c>
      <c r="X367" t="s">
        <v>194</v>
      </c>
      <c r="Y367" s="28" t="s">
        <v>9300</v>
      </c>
      <c r="AB367" t="s">
        <v>9311</v>
      </c>
      <c r="AH367" t="s">
        <v>4714</v>
      </c>
      <c r="AI367" t="s">
        <v>11438</v>
      </c>
      <c r="AJ367" s="28" t="str">
        <f t="shared" si="10"/>
        <v>251401</v>
      </c>
      <c r="AK367" s="420">
        <v>1</v>
      </c>
      <c r="AL367" s="420">
        <f t="shared" si="11"/>
        <v>1</v>
      </c>
      <c r="AM367" s="420">
        <v>1</v>
      </c>
      <c r="AN367" t="s">
        <v>17650</v>
      </c>
      <c r="AO367" t="s">
        <v>17651</v>
      </c>
      <c r="AP367" t="s">
        <v>17652</v>
      </c>
      <c r="AQ367" t="s">
        <v>17653</v>
      </c>
      <c r="AR367" t="s">
        <v>1024</v>
      </c>
    </row>
    <row r="368" spans="1:44" x14ac:dyDescent="0.25">
      <c r="A368" t="s">
        <v>493</v>
      </c>
      <c r="B368" t="s">
        <v>21836</v>
      </c>
      <c r="C368" s="410" t="s">
        <v>10</v>
      </c>
      <c r="D368" t="s">
        <v>20326</v>
      </c>
      <c r="E368" t="s">
        <v>192</v>
      </c>
      <c r="F368" s="534">
        <v>1</v>
      </c>
      <c r="G368" t="s">
        <v>193</v>
      </c>
      <c r="H368" t="s">
        <v>194</v>
      </c>
      <c r="I368" t="s">
        <v>20389</v>
      </c>
      <c r="J368" t="s">
        <v>210</v>
      </c>
      <c r="K368" s="28" t="s">
        <v>9309</v>
      </c>
      <c r="L368" t="s">
        <v>6955</v>
      </c>
      <c r="N368" t="s">
        <v>21837</v>
      </c>
      <c r="O368" t="s">
        <v>6921</v>
      </c>
      <c r="P368" t="s">
        <v>20328</v>
      </c>
      <c r="Q368" t="s">
        <v>20329</v>
      </c>
      <c r="R368" t="s">
        <v>20306</v>
      </c>
      <c r="S368" t="s">
        <v>21838</v>
      </c>
      <c r="T368" t="s">
        <v>21839</v>
      </c>
      <c r="V368" s="28" t="s">
        <v>9334</v>
      </c>
      <c r="W368" t="s">
        <v>484</v>
      </c>
      <c r="X368" t="s">
        <v>194</v>
      </c>
      <c r="Y368" s="28" t="s">
        <v>9300</v>
      </c>
      <c r="AB368" t="s">
        <v>9311</v>
      </c>
      <c r="AH368" t="s">
        <v>4714</v>
      </c>
      <c r="AI368" t="s">
        <v>21836</v>
      </c>
      <c r="AJ368" s="28" t="str">
        <f t="shared" si="10"/>
        <v>251401</v>
      </c>
      <c r="AK368" s="420">
        <v>1</v>
      </c>
      <c r="AL368" s="420">
        <f t="shared" si="11"/>
        <v>1</v>
      </c>
      <c r="AM368" s="420">
        <v>1</v>
      </c>
      <c r="AN368" t="s">
        <v>17650</v>
      </c>
      <c r="AO368" t="s">
        <v>17651</v>
      </c>
      <c r="AP368" t="s">
        <v>17652</v>
      </c>
      <c r="AQ368" t="s">
        <v>17653</v>
      </c>
      <c r="AR368" t="s">
        <v>1024</v>
      </c>
    </row>
    <row r="369" spans="1:44" x14ac:dyDescent="0.25">
      <c r="A369" t="s">
        <v>16431</v>
      </c>
      <c r="B369" t="s">
        <v>21840</v>
      </c>
      <c r="C369" s="410" t="s">
        <v>10</v>
      </c>
      <c r="D369" t="s">
        <v>20326</v>
      </c>
      <c r="E369" t="s">
        <v>192</v>
      </c>
      <c r="F369" s="534">
        <v>1</v>
      </c>
      <c r="G369" t="s">
        <v>193</v>
      </c>
      <c r="H369" t="s">
        <v>194</v>
      </c>
      <c r="I369" t="s">
        <v>20318</v>
      </c>
      <c r="J369" t="s">
        <v>367</v>
      </c>
      <c r="K369" s="28" t="s">
        <v>9309</v>
      </c>
      <c r="L369" t="s">
        <v>6955</v>
      </c>
      <c r="N369" t="s">
        <v>21841</v>
      </c>
      <c r="O369" t="s">
        <v>6261</v>
      </c>
      <c r="P369" t="s">
        <v>20328</v>
      </c>
      <c r="Q369" t="s">
        <v>20329</v>
      </c>
      <c r="R369" t="s">
        <v>20306</v>
      </c>
      <c r="S369" t="s">
        <v>21842</v>
      </c>
      <c r="T369" t="s">
        <v>21843</v>
      </c>
      <c r="V369" s="28" t="s">
        <v>9974</v>
      </c>
      <c r="W369" t="s">
        <v>484</v>
      </c>
      <c r="X369" t="s">
        <v>194</v>
      </c>
      <c r="Y369" s="28" t="s">
        <v>9300</v>
      </c>
      <c r="AB369" t="s">
        <v>9311</v>
      </c>
      <c r="AH369" t="s">
        <v>4714</v>
      </c>
      <c r="AI369" t="s">
        <v>21840</v>
      </c>
      <c r="AJ369" s="28" t="str">
        <f t="shared" si="10"/>
        <v>251401</v>
      </c>
      <c r="AK369" s="420">
        <v>1</v>
      </c>
      <c r="AL369" s="420">
        <f t="shared" si="11"/>
        <v>1</v>
      </c>
      <c r="AM369" s="420">
        <v>1</v>
      </c>
      <c r="AN369" t="s">
        <v>17650</v>
      </c>
      <c r="AO369" t="s">
        <v>17651</v>
      </c>
      <c r="AP369" t="s">
        <v>17652</v>
      </c>
      <c r="AQ369" t="s">
        <v>17653</v>
      </c>
      <c r="AR369" t="s">
        <v>1024</v>
      </c>
    </row>
    <row r="370" spans="1:44" x14ac:dyDescent="0.25">
      <c r="A370" t="s">
        <v>493</v>
      </c>
      <c r="B370" t="s">
        <v>16846</v>
      </c>
      <c r="C370" s="410" t="s">
        <v>10</v>
      </c>
      <c r="D370" t="s">
        <v>20326</v>
      </c>
      <c r="E370" t="s">
        <v>192</v>
      </c>
      <c r="F370" s="534">
        <v>1</v>
      </c>
      <c r="G370" t="s">
        <v>193</v>
      </c>
      <c r="H370" t="s">
        <v>194</v>
      </c>
      <c r="I370" t="s">
        <v>20333</v>
      </c>
      <c r="J370" t="s">
        <v>210</v>
      </c>
      <c r="K370" s="28" t="s">
        <v>9309</v>
      </c>
      <c r="L370" t="s">
        <v>6955</v>
      </c>
      <c r="N370" t="s">
        <v>21844</v>
      </c>
      <c r="O370" t="s">
        <v>6261</v>
      </c>
      <c r="P370" t="s">
        <v>20328</v>
      </c>
      <c r="Q370" t="s">
        <v>20329</v>
      </c>
      <c r="R370" t="s">
        <v>20306</v>
      </c>
      <c r="S370" t="s">
        <v>21845</v>
      </c>
      <c r="T370" t="s">
        <v>21846</v>
      </c>
      <c r="V370" s="28" t="s">
        <v>9334</v>
      </c>
      <c r="W370" t="s">
        <v>484</v>
      </c>
      <c r="X370" t="s">
        <v>194</v>
      </c>
      <c r="Y370" s="28" t="s">
        <v>9300</v>
      </c>
      <c r="AB370" t="s">
        <v>9311</v>
      </c>
      <c r="AH370" t="s">
        <v>4714</v>
      </c>
      <c r="AI370" t="s">
        <v>16846</v>
      </c>
      <c r="AJ370" s="28" t="str">
        <f t="shared" si="10"/>
        <v>251401</v>
      </c>
      <c r="AK370" s="420">
        <v>1</v>
      </c>
      <c r="AL370" s="420">
        <f t="shared" si="11"/>
        <v>1</v>
      </c>
      <c r="AM370" s="420">
        <v>1</v>
      </c>
      <c r="AN370" t="s">
        <v>17650</v>
      </c>
      <c r="AO370" t="s">
        <v>17651</v>
      </c>
      <c r="AP370" t="s">
        <v>17652</v>
      </c>
      <c r="AQ370" t="s">
        <v>17653</v>
      </c>
      <c r="AR370" t="s">
        <v>1024</v>
      </c>
    </row>
    <row r="371" spans="1:44" x14ac:dyDescent="0.25">
      <c r="A371" t="s">
        <v>18529</v>
      </c>
      <c r="B371" t="s">
        <v>15892</v>
      </c>
      <c r="C371" s="410" t="s">
        <v>10</v>
      </c>
      <c r="D371" t="s">
        <v>20317</v>
      </c>
      <c r="E371" t="s">
        <v>192</v>
      </c>
      <c r="F371" s="534">
        <v>1</v>
      </c>
      <c r="G371" t="s">
        <v>193</v>
      </c>
      <c r="H371" t="s">
        <v>194</v>
      </c>
      <c r="I371" t="s">
        <v>20333</v>
      </c>
      <c r="J371" t="s">
        <v>9302</v>
      </c>
      <c r="K371" s="28" t="s">
        <v>9309</v>
      </c>
      <c r="L371" t="s">
        <v>6955</v>
      </c>
      <c r="N371" t="s">
        <v>21847</v>
      </c>
      <c r="O371" t="s">
        <v>6921</v>
      </c>
      <c r="P371" t="s">
        <v>21848</v>
      </c>
      <c r="Q371" t="s">
        <v>21849</v>
      </c>
      <c r="R371" t="s">
        <v>20715</v>
      </c>
      <c r="S371" t="s">
        <v>21850</v>
      </c>
      <c r="T371" t="s">
        <v>21851</v>
      </c>
      <c r="W371" t="s">
        <v>484</v>
      </c>
      <c r="X371" t="s">
        <v>193</v>
      </c>
      <c r="Y371" s="28" t="s">
        <v>9310</v>
      </c>
      <c r="AB371" t="s">
        <v>9311</v>
      </c>
      <c r="AH371" t="s">
        <v>4714</v>
      </c>
      <c r="AI371" t="s">
        <v>15892</v>
      </c>
      <c r="AJ371" s="28" t="str">
        <f t="shared" si="10"/>
        <v>251401</v>
      </c>
      <c r="AK371" s="420">
        <v>1</v>
      </c>
      <c r="AL371" s="420">
        <f t="shared" si="11"/>
        <v>1</v>
      </c>
      <c r="AM371" s="420">
        <v>1</v>
      </c>
      <c r="AN371" t="s">
        <v>17650</v>
      </c>
      <c r="AO371" t="s">
        <v>17651</v>
      </c>
      <c r="AP371" t="s">
        <v>17652</v>
      </c>
      <c r="AQ371" t="s">
        <v>17653</v>
      </c>
      <c r="AR371" t="s">
        <v>1024</v>
      </c>
    </row>
    <row r="372" spans="1:44" x14ac:dyDescent="0.25">
      <c r="A372" t="s">
        <v>690</v>
      </c>
      <c r="B372" t="s">
        <v>21852</v>
      </c>
      <c r="C372" s="410" t="s">
        <v>10</v>
      </c>
      <c r="D372" t="s">
        <v>20317</v>
      </c>
      <c r="E372" t="s">
        <v>192</v>
      </c>
      <c r="F372" s="534">
        <v>1</v>
      </c>
      <c r="G372" t="s">
        <v>193</v>
      </c>
      <c r="H372" t="s">
        <v>194</v>
      </c>
      <c r="I372" t="s">
        <v>20389</v>
      </c>
      <c r="J372" t="s">
        <v>9302</v>
      </c>
      <c r="K372" s="28" t="s">
        <v>9309</v>
      </c>
      <c r="L372" t="s">
        <v>6955</v>
      </c>
      <c r="N372" t="s">
        <v>21853</v>
      </c>
      <c r="O372" t="s">
        <v>6921</v>
      </c>
      <c r="P372" t="s">
        <v>20320</v>
      </c>
      <c r="Q372" t="s">
        <v>20321</v>
      </c>
      <c r="R372" t="s">
        <v>20322</v>
      </c>
      <c r="S372" t="s">
        <v>21854</v>
      </c>
      <c r="T372" t="s">
        <v>21855</v>
      </c>
      <c r="W372" t="s">
        <v>484</v>
      </c>
      <c r="X372" t="s">
        <v>193</v>
      </c>
      <c r="Y372" s="28" t="s">
        <v>9310</v>
      </c>
      <c r="AB372" t="s">
        <v>9311</v>
      </c>
      <c r="AH372" t="s">
        <v>4714</v>
      </c>
      <c r="AI372" t="s">
        <v>21852</v>
      </c>
      <c r="AJ372" s="28" t="str">
        <f t="shared" si="10"/>
        <v>251401</v>
      </c>
      <c r="AK372" s="420">
        <v>1</v>
      </c>
      <c r="AL372" s="420">
        <f t="shared" si="11"/>
        <v>1</v>
      </c>
      <c r="AM372" s="420">
        <v>1</v>
      </c>
      <c r="AN372" t="s">
        <v>17650</v>
      </c>
      <c r="AO372" t="s">
        <v>17651</v>
      </c>
      <c r="AP372" t="s">
        <v>17652</v>
      </c>
      <c r="AQ372" t="s">
        <v>17653</v>
      </c>
      <c r="AR372" t="s">
        <v>1024</v>
      </c>
    </row>
    <row r="373" spans="1:44" x14ac:dyDescent="0.25">
      <c r="A373" t="s">
        <v>21856</v>
      </c>
      <c r="B373" t="s">
        <v>496</v>
      </c>
      <c r="C373" s="410" t="s">
        <v>10</v>
      </c>
      <c r="D373" t="s">
        <v>20317</v>
      </c>
      <c r="E373" t="s">
        <v>192</v>
      </c>
      <c r="F373" s="534">
        <v>1</v>
      </c>
      <c r="G373" t="s">
        <v>193</v>
      </c>
      <c r="H373" t="s">
        <v>194</v>
      </c>
      <c r="I373" t="s">
        <v>20389</v>
      </c>
      <c r="J373" t="s">
        <v>9302</v>
      </c>
      <c r="K373" s="28" t="s">
        <v>9309</v>
      </c>
      <c r="L373" t="s">
        <v>6955</v>
      </c>
      <c r="N373" t="s">
        <v>21857</v>
      </c>
      <c r="O373" t="s">
        <v>6261</v>
      </c>
      <c r="P373" t="s">
        <v>20320</v>
      </c>
      <c r="Q373" t="s">
        <v>20321</v>
      </c>
      <c r="R373" t="s">
        <v>20385</v>
      </c>
      <c r="S373" t="s">
        <v>21858</v>
      </c>
      <c r="T373" t="s">
        <v>21859</v>
      </c>
      <c r="W373" t="s">
        <v>484</v>
      </c>
      <c r="X373" t="s">
        <v>193</v>
      </c>
      <c r="Y373" s="28" t="s">
        <v>9310</v>
      </c>
      <c r="AB373" t="s">
        <v>9311</v>
      </c>
      <c r="AH373" t="s">
        <v>4714</v>
      </c>
      <c r="AI373" t="s">
        <v>496</v>
      </c>
      <c r="AJ373" s="28" t="str">
        <f t="shared" si="10"/>
        <v>251401</v>
      </c>
      <c r="AK373" s="420">
        <v>1</v>
      </c>
      <c r="AL373" s="420">
        <f t="shared" si="11"/>
        <v>1</v>
      </c>
      <c r="AM373" s="420">
        <v>1</v>
      </c>
      <c r="AN373" t="s">
        <v>17650</v>
      </c>
      <c r="AO373" t="s">
        <v>17651</v>
      </c>
      <c r="AP373" t="s">
        <v>17652</v>
      </c>
      <c r="AQ373" t="s">
        <v>17653</v>
      </c>
      <c r="AR373" t="s">
        <v>1024</v>
      </c>
    </row>
    <row r="374" spans="1:44" x14ac:dyDescent="0.25">
      <c r="A374" t="s">
        <v>4969</v>
      </c>
      <c r="B374" t="s">
        <v>21860</v>
      </c>
      <c r="C374" s="410" t="s">
        <v>10</v>
      </c>
      <c r="D374" t="s">
        <v>20317</v>
      </c>
      <c r="E374" t="s">
        <v>192</v>
      </c>
      <c r="F374" s="534">
        <v>1</v>
      </c>
      <c r="G374" t="s">
        <v>193</v>
      </c>
      <c r="H374" t="s">
        <v>194</v>
      </c>
      <c r="I374" t="s">
        <v>20389</v>
      </c>
      <c r="J374" t="s">
        <v>9302</v>
      </c>
      <c r="K374" s="28" t="s">
        <v>9309</v>
      </c>
      <c r="L374" t="s">
        <v>6955</v>
      </c>
      <c r="N374" t="s">
        <v>21861</v>
      </c>
      <c r="O374" t="s">
        <v>6921</v>
      </c>
      <c r="P374" t="s">
        <v>20320</v>
      </c>
      <c r="Q374" t="s">
        <v>20321</v>
      </c>
      <c r="R374" t="s">
        <v>20322</v>
      </c>
      <c r="S374" t="s">
        <v>21862</v>
      </c>
      <c r="T374" t="s">
        <v>21863</v>
      </c>
      <c r="W374" t="s">
        <v>484</v>
      </c>
      <c r="X374" t="s">
        <v>193</v>
      </c>
      <c r="Y374" s="28" t="s">
        <v>9310</v>
      </c>
      <c r="AB374" t="s">
        <v>9311</v>
      </c>
      <c r="AH374" t="s">
        <v>4714</v>
      </c>
      <c r="AI374" t="s">
        <v>21860</v>
      </c>
      <c r="AJ374" s="28" t="str">
        <f t="shared" si="10"/>
        <v>251401</v>
      </c>
      <c r="AK374" s="420">
        <v>1</v>
      </c>
      <c r="AL374" s="420">
        <f t="shared" si="11"/>
        <v>1</v>
      </c>
      <c r="AM374" s="420">
        <v>1</v>
      </c>
      <c r="AN374" t="s">
        <v>17650</v>
      </c>
      <c r="AO374" t="s">
        <v>17651</v>
      </c>
      <c r="AP374" t="s">
        <v>17652</v>
      </c>
      <c r="AQ374" t="s">
        <v>17653</v>
      </c>
      <c r="AR374" t="s">
        <v>1024</v>
      </c>
    </row>
    <row r="375" spans="1:44" x14ac:dyDescent="0.25">
      <c r="A375" t="s">
        <v>690</v>
      </c>
      <c r="B375" t="s">
        <v>21864</v>
      </c>
      <c r="C375" s="410" t="s">
        <v>10</v>
      </c>
      <c r="D375" t="s">
        <v>20317</v>
      </c>
      <c r="E375" t="s">
        <v>192</v>
      </c>
      <c r="F375" s="534">
        <v>1</v>
      </c>
      <c r="G375" t="s">
        <v>193</v>
      </c>
      <c r="H375" t="s">
        <v>194</v>
      </c>
      <c r="I375" t="s">
        <v>20333</v>
      </c>
      <c r="J375" t="s">
        <v>9302</v>
      </c>
      <c r="K375" s="28" t="s">
        <v>9309</v>
      </c>
      <c r="L375" t="s">
        <v>6955</v>
      </c>
      <c r="N375" t="s">
        <v>21865</v>
      </c>
      <c r="O375" t="s">
        <v>6921</v>
      </c>
      <c r="P375" t="s">
        <v>20320</v>
      </c>
      <c r="Q375" t="s">
        <v>20321</v>
      </c>
      <c r="R375" t="s">
        <v>20322</v>
      </c>
      <c r="S375" t="s">
        <v>21866</v>
      </c>
      <c r="T375" t="s">
        <v>21867</v>
      </c>
      <c r="W375" t="s">
        <v>484</v>
      </c>
      <c r="X375" t="s">
        <v>193</v>
      </c>
      <c r="Y375" s="28" t="s">
        <v>9310</v>
      </c>
      <c r="AB375" t="s">
        <v>9311</v>
      </c>
      <c r="AH375" t="s">
        <v>4714</v>
      </c>
      <c r="AI375" t="s">
        <v>21864</v>
      </c>
      <c r="AJ375" s="28" t="str">
        <f t="shared" si="10"/>
        <v>251401</v>
      </c>
      <c r="AK375" s="420">
        <v>1</v>
      </c>
      <c r="AL375" s="420">
        <f t="shared" si="11"/>
        <v>1</v>
      </c>
      <c r="AM375" s="420">
        <v>1</v>
      </c>
      <c r="AN375" t="s">
        <v>17650</v>
      </c>
      <c r="AO375" t="s">
        <v>17651</v>
      </c>
      <c r="AP375" t="s">
        <v>17652</v>
      </c>
      <c r="AQ375" t="s">
        <v>17653</v>
      </c>
      <c r="AR375" t="s">
        <v>1024</v>
      </c>
    </row>
    <row r="376" spans="1:44" x14ac:dyDescent="0.25">
      <c r="A376" t="s">
        <v>690</v>
      </c>
      <c r="B376" t="s">
        <v>21868</v>
      </c>
      <c r="C376" s="410" t="s">
        <v>10</v>
      </c>
      <c r="D376" t="s">
        <v>20317</v>
      </c>
      <c r="E376" t="s">
        <v>192</v>
      </c>
      <c r="F376" s="534">
        <v>1</v>
      </c>
      <c r="G376" t="s">
        <v>193</v>
      </c>
      <c r="H376" t="s">
        <v>194</v>
      </c>
      <c r="I376" t="s">
        <v>20333</v>
      </c>
      <c r="J376" t="s">
        <v>9302</v>
      </c>
      <c r="K376" s="28" t="s">
        <v>9309</v>
      </c>
      <c r="L376" t="s">
        <v>6955</v>
      </c>
      <c r="N376" t="s">
        <v>21869</v>
      </c>
      <c r="O376" t="s">
        <v>6921</v>
      </c>
      <c r="P376" t="s">
        <v>20320</v>
      </c>
      <c r="Q376" t="s">
        <v>20321</v>
      </c>
      <c r="R376" t="s">
        <v>20322</v>
      </c>
      <c r="S376" t="s">
        <v>21870</v>
      </c>
      <c r="T376" t="s">
        <v>21871</v>
      </c>
      <c r="W376" t="s">
        <v>484</v>
      </c>
      <c r="X376" t="s">
        <v>193</v>
      </c>
      <c r="Y376" s="28" t="s">
        <v>9310</v>
      </c>
      <c r="AB376" t="s">
        <v>9311</v>
      </c>
      <c r="AH376" t="s">
        <v>4714</v>
      </c>
      <c r="AI376" t="s">
        <v>21868</v>
      </c>
      <c r="AJ376" s="28" t="str">
        <f t="shared" si="10"/>
        <v>251401</v>
      </c>
      <c r="AK376" s="420">
        <v>1</v>
      </c>
      <c r="AL376" s="420">
        <f t="shared" si="11"/>
        <v>1</v>
      </c>
      <c r="AM376" s="420">
        <v>1</v>
      </c>
      <c r="AN376" t="s">
        <v>17650</v>
      </c>
      <c r="AO376" t="s">
        <v>17651</v>
      </c>
      <c r="AP376" t="s">
        <v>17652</v>
      </c>
      <c r="AQ376" t="s">
        <v>17653</v>
      </c>
      <c r="AR376" t="s">
        <v>1024</v>
      </c>
    </row>
    <row r="377" spans="1:44" x14ac:dyDescent="0.25">
      <c r="A377" t="s">
        <v>690</v>
      </c>
      <c r="B377" t="s">
        <v>17408</v>
      </c>
      <c r="C377" s="410" t="s">
        <v>10</v>
      </c>
      <c r="D377" t="s">
        <v>20317</v>
      </c>
      <c r="E377" t="s">
        <v>192</v>
      </c>
      <c r="F377" s="534">
        <v>1</v>
      </c>
      <c r="G377" t="s">
        <v>193</v>
      </c>
      <c r="H377" t="s">
        <v>194</v>
      </c>
      <c r="I377" t="s">
        <v>20333</v>
      </c>
      <c r="J377" t="s">
        <v>9302</v>
      </c>
      <c r="K377" s="28" t="s">
        <v>9309</v>
      </c>
      <c r="L377" t="s">
        <v>6955</v>
      </c>
      <c r="N377" t="s">
        <v>21872</v>
      </c>
      <c r="O377" t="s">
        <v>6921</v>
      </c>
      <c r="P377" t="s">
        <v>20320</v>
      </c>
      <c r="Q377" t="s">
        <v>20321</v>
      </c>
      <c r="R377" t="s">
        <v>20322</v>
      </c>
      <c r="S377" t="s">
        <v>21873</v>
      </c>
      <c r="T377" t="s">
        <v>21874</v>
      </c>
      <c r="W377" t="s">
        <v>484</v>
      </c>
      <c r="X377" t="s">
        <v>193</v>
      </c>
      <c r="Y377" s="28" t="s">
        <v>9310</v>
      </c>
      <c r="AB377" t="s">
        <v>9311</v>
      </c>
      <c r="AH377" t="s">
        <v>4714</v>
      </c>
      <c r="AI377" t="s">
        <v>17408</v>
      </c>
      <c r="AJ377" s="28" t="str">
        <f t="shared" si="10"/>
        <v>251401</v>
      </c>
      <c r="AK377" s="420">
        <v>1</v>
      </c>
      <c r="AL377" s="420">
        <f t="shared" si="11"/>
        <v>1</v>
      </c>
      <c r="AM377" s="420">
        <v>1</v>
      </c>
      <c r="AN377" t="s">
        <v>17650</v>
      </c>
      <c r="AO377" t="s">
        <v>17651</v>
      </c>
      <c r="AP377" t="s">
        <v>17652</v>
      </c>
      <c r="AQ377" t="s">
        <v>17653</v>
      </c>
      <c r="AR377" t="s">
        <v>1024</v>
      </c>
    </row>
    <row r="378" spans="1:44" x14ac:dyDescent="0.25">
      <c r="A378" t="s">
        <v>690</v>
      </c>
      <c r="B378" t="s">
        <v>21875</v>
      </c>
      <c r="C378" s="410" t="s">
        <v>10</v>
      </c>
      <c r="D378" t="s">
        <v>20317</v>
      </c>
      <c r="E378" t="s">
        <v>192</v>
      </c>
      <c r="F378" s="534">
        <v>1</v>
      </c>
      <c r="G378" t="s">
        <v>193</v>
      </c>
      <c r="H378" t="s">
        <v>194</v>
      </c>
      <c r="I378" t="s">
        <v>20389</v>
      </c>
      <c r="J378" t="s">
        <v>9302</v>
      </c>
      <c r="K378" s="28" t="s">
        <v>9309</v>
      </c>
      <c r="L378" t="s">
        <v>6955</v>
      </c>
      <c r="N378" t="s">
        <v>21876</v>
      </c>
      <c r="O378" t="s">
        <v>6921</v>
      </c>
      <c r="P378" t="s">
        <v>20320</v>
      </c>
      <c r="Q378" t="s">
        <v>20321</v>
      </c>
      <c r="R378" t="s">
        <v>20322</v>
      </c>
      <c r="S378" t="s">
        <v>21877</v>
      </c>
      <c r="T378" t="s">
        <v>21878</v>
      </c>
      <c r="W378" t="s">
        <v>484</v>
      </c>
      <c r="X378" t="s">
        <v>193</v>
      </c>
      <c r="Y378" s="28" t="s">
        <v>9310</v>
      </c>
      <c r="AB378" t="s">
        <v>9311</v>
      </c>
      <c r="AH378" t="s">
        <v>4714</v>
      </c>
      <c r="AI378" t="s">
        <v>21875</v>
      </c>
      <c r="AJ378" s="28" t="str">
        <f t="shared" si="10"/>
        <v>251401</v>
      </c>
      <c r="AK378" s="420">
        <v>1</v>
      </c>
      <c r="AL378" s="420">
        <f t="shared" si="11"/>
        <v>1</v>
      </c>
      <c r="AM378" s="420">
        <v>1</v>
      </c>
      <c r="AN378" t="s">
        <v>17650</v>
      </c>
      <c r="AO378" t="s">
        <v>17651</v>
      </c>
      <c r="AP378" t="s">
        <v>17652</v>
      </c>
      <c r="AQ378" t="s">
        <v>17653</v>
      </c>
      <c r="AR378" t="s">
        <v>1024</v>
      </c>
    </row>
    <row r="379" spans="1:44" x14ac:dyDescent="0.25">
      <c r="A379" t="s">
        <v>690</v>
      </c>
      <c r="B379" t="s">
        <v>21879</v>
      </c>
      <c r="C379" s="410" t="s">
        <v>10</v>
      </c>
      <c r="D379" t="s">
        <v>20317</v>
      </c>
      <c r="E379" t="s">
        <v>192</v>
      </c>
      <c r="F379" s="534">
        <v>1</v>
      </c>
      <c r="G379" t="s">
        <v>193</v>
      </c>
      <c r="H379" t="s">
        <v>194</v>
      </c>
      <c r="I379" t="s">
        <v>20318</v>
      </c>
      <c r="J379" t="s">
        <v>9302</v>
      </c>
      <c r="K379" s="28" t="s">
        <v>9309</v>
      </c>
      <c r="L379" t="s">
        <v>6955</v>
      </c>
      <c r="N379" t="s">
        <v>21880</v>
      </c>
      <c r="O379" t="s">
        <v>6921</v>
      </c>
      <c r="P379" t="s">
        <v>20320</v>
      </c>
      <c r="Q379" t="s">
        <v>20321</v>
      </c>
      <c r="R379" t="s">
        <v>20322</v>
      </c>
      <c r="S379" t="s">
        <v>21881</v>
      </c>
      <c r="T379" t="s">
        <v>21882</v>
      </c>
      <c r="W379" t="s">
        <v>484</v>
      </c>
      <c r="X379" t="s">
        <v>193</v>
      </c>
      <c r="Y379" s="28" t="s">
        <v>9310</v>
      </c>
      <c r="AB379" t="s">
        <v>9311</v>
      </c>
      <c r="AH379" t="s">
        <v>5109</v>
      </c>
      <c r="AI379" t="s">
        <v>21879</v>
      </c>
      <c r="AJ379" s="28" t="str">
        <f t="shared" si="10"/>
        <v>251401</v>
      </c>
      <c r="AK379" s="420">
        <v>1</v>
      </c>
      <c r="AL379" s="420">
        <f t="shared" si="11"/>
        <v>1</v>
      </c>
      <c r="AM379" s="420">
        <v>1</v>
      </c>
      <c r="AN379" t="s">
        <v>17650</v>
      </c>
      <c r="AO379" t="s">
        <v>17651</v>
      </c>
      <c r="AP379" t="s">
        <v>17652</v>
      </c>
      <c r="AQ379" t="s">
        <v>17653</v>
      </c>
      <c r="AR379" t="s">
        <v>1024</v>
      </c>
    </row>
    <row r="380" spans="1:44" x14ac:dyDescent="0.25">
      <c r="A380" t="s">
        <v>10076</v>
      </c>
      <c r="B380" t="s">
        <v>21883</v>
      </c>
      <c r="C380" s="410" t="s">
        <v>10</v>
      </c>
      <c r="D380" t="s">
        <v>20317</v>
      </c>
      <c r="E380" t="s">
        <v>192</v>
      </c>
      <c r="F380" s="534">
        <v>1</v>
      </c>
      <c r="G380" t="s">
        <v>193</v>
      </c>
      <c r="H380" t="s">
        <v>194</v>
      </c>
      <c r="I380" t="s">
        <v>20399</v>
      </c>
      <c r="J380" t="s">
        <v>9302</v>
      </c>
      <c r="K380" s="28" t="s">
        <v>9309</v>
      </c>
      <c r="L380" t="s">
        <v>6955</v>
      </c>
      <c r="N380" t="s">
        <v>21884</v>
      </c>
      <c r="O380" t="s">
        <v>6261</v>
      </c>
      <c r="P380" t="s">
        <v>20320</v>
      </c>
      <c r="Q380" t="s">
        <v>20321</v>
      </c>
      <c r="R380" t="s">
        <v>20322</v>
      </c>
      <c r="S380" t="s">
        <v>21885</v>
      </c>
      <c r="T380" t="s">
        <v>21886</v>
      </c>
      <c r="W380" t="s">
        <v>484</v>
      </c>
      <c r="X380" t="s">
        <v>193</v>
      </c>
      <c r="Y380" s="28" t="s">
        <v>9310</v>
      </c>
      <c r="AB380" t="s">
        <v>9311</v>
      </c>
      <c r="AH380" t="s">
        <v>4714</v>
      </c>
      <c r="AI380" t="s">
        <v>21883</v>
      </c>
      <c r="AJ380" s="28" t="str">
        <f t="shared" si="10"/>
        <v>251401</v>
      </c>
      <c r="AK380" s="420">
        <v>1</v>
      </c>
      <c r="AL380" s="420">
        <f t="shared" si="11"/>
        <v>1</v>
      </c>
      <c r="AM380" s="420">
        <v>1</v>
      </c>
      <c r="AN380" t="s">
        <v>17650</v>
      </c>
      <c r="AO380" t="s">
        <v>17651</v>
      </c>
      <c r="AP380" t="s">
        <v>17652</v>
      </c>
      <c r="AQ380" t="s">
        <v>17653</v>
      </c>
      <c r="AR380" t="s">
        <v>1024</v>
      </c>
    </row>
    <row r="381" spans="1:44" x14ac:dyDescent="0.25">
      <c r="A381" t="s">
        <v>690</v>
      </c>
      <c r="B381" t="s">
        <v>21887</v>
      </c>
      <c r="C381" s="410" t="s">
        <v>10</v>
      </c>
      <c r="D381" t="s">
        <v>20317</v>
      </c>
      <c r="E381" t="s">
        <v>192</v>
      </c>
      <c r="F381" s="534">
        <v>1</v>
      </c>
      <c r="G381" t="s">
        <v>193</v>
      </c>
      <c r="H381" t="s">
        <v>194</v>
      </c>
      <c r="I381" t="s">
        <v>20389</v>
      </c>
      <c r="J381" t="s">
        <v>9302</v>
      </c>
      <c r="K381" s="28" t="s">
        <v>9309</v>
      </c>
      <c r="L381" t="s">
        <v>6955</v>
      </c>
      <c r="N381" t="s">
        <v>21888</v>
      </c>
      <c r="O381" t="s">
        <v>6921</v>
      </c>
      <c r="P381" t="s">
        <v>20320</v>
      </c>
      <c r="Q381" t="s">
        <v>20321</v>
      </c>
      <c r="R381" t="s">
        <v>20322</v>
      </c>
      <c r="S381" t="s">
        <v>21889</v>
      </c>
      <c r="T381" t="s">
        <v>21890</v>
      </c>
      <c r="W381" t="s">
        <v>484</v>
      </c>
      <c r="X381" t="s">
        <v>193</v>
      </c>
      <c r="Y381" s="28" t="s">
        <v>9310</v>
      </c>
      <c r="AB381" t="s">
        <v>9311</v>
      </c>
      <c r="AH381" t="s">
        <v>4714</v>
      </c>
      <c r="AI381" t="s">
        <v>21887</v>
      </c>
      <c r="AJ381" s="28" t="str">
        <f t="shared" si="10"/>
        <v>251401</v>
      </c>
      <c r="AK381" s="420">
        <v>1</v>
      </c>
      <c r="AL381" s="420">
        <f t="shared" si="11"/>
        <v>1</v>
      </c>
      <c r="AM381" s="420">
        <v>1</v>
      </c>
      <c r="AN381" t="s">
        <v>17650</v>
      </c>
      <c r="AO381" t="s">
        <v>17651</v>
      </c>
      <c r="AP381" t="s">
        <v>17652</v>
      </c>
      <c r="AQ381" t="s">
        <v>17653</v>
      </c>
      <c r="AR381" t="s">
        <v>1024</v>
      </c>
    </row>
    <row r="382" spans="1:44" x14ac:dyDescent="0.25">
      <c r="A382" t="s">
        <v>4969</v>
      </c>
      <c r="B382" t="s">
        <v>1053</v>
      </c>
      <c r="C382" s="410" t="s">
        <v>10</v>
      </c>
      <c r="D382" t="s">
        <v>20317</v>
      </c>
      <c r="E382" t="s">
        <v>192</v>
      </c>
      <c r="F382" s="534">
        <v>1</v>
      </c>
      <c r="G382" t="s">
        <v>193</v>
      </c>
      <c r="H382" t="s">
        <v>194</v>
      </c>
      <c r="I382" t="s">
        <v>20389</v>
      </c>
      <c r="J382" t="s">
        <v>9302</v>
      </c>
      <c r="K382" s="28" t="s">
        <v>9309</v>
      </c>
      <c r="L382" t="s">
        <v>6955</v>
      </c>
      <c r="N382" t="s">
        <v>21891</v>
      </c>
      <c r="O382" t="s">
        <v>6921</v>
      </c>
      <c r="P382" t="s">
        <v>20320</v>
      </c>
      <c r="Q382" t="s">
        <v>20321</v>
      </c>
      <c r="R382" t="s">
        <v>20322</v>
      </c>
      <c r="S382" t="s">
        <v>21892</v>
      </c>
      <c r="T382" t="s">
        <v>21893</v>
      </c>
      <c r="W382" t="s">
        <v>484</v>
      </c>
      <c r="X382" t="s">
        <v>193</v>
      </c>
      <c r="Y382" s="28" t="s">
        <v>9310</v>
      </c>
      <c r="AB382" t="s">
        <v>9311</v>
      </c>
      <c r="AH382" t="s">
        <v>4714</v>
      </c>
      <c r="AI382" t="s">
        <v>1053</v>
      </c>
      <c r="AJ382" s="28" t="str">
        <f t="shared" si="10"/>
        <v>251401</v>
      </c>
      <c r="AK382" s="420">
        <v>1</v>
      </c>
      <c r="AL382" s="420">
        <f t="shared" si="11"/>
        <v>1</v>
      </c>
      <c r="AM382" s="420">
        <v>1</v>
      </c>
      <c r="AN382" t="s">
        <v>17650</v>
      </c>
      <c r="AO382" t="s">
        <v>17651</v>
      </c>
      <c r="AP382" t="s">
        <v>17652</v>
      </c>
      <c r="AQ382" t="s">
        <v>17653</v>
      </c>
      <c r="AR382" t="s">
        <v>1024</v>
      </c>
    </row>
    <row r="383" spans="1:44" x14ac:dyDescent="0.25">
      <c r="A383" t="s">
        <v>1639</v>
      </c>
      <c r="B383" t="s">
        <v>496</v>
      </c>
      <c r="C383" s="410" t="s">
        <v>10</v>
      </c>
      <c r="D383" t="s">
        <v>20317</v>
      </c>
      <c r="E383" t="s">
        <v>192</v>
      </c>
      <c r="F383" s="534">
        <v>1</v>
      </c>
      <c r="G383" t="s">
        <v>193</v>
      </c>
      <c r="H383" t="s">
        <v>194</v>
      </c>
      <c r="I383" t="s">
        <v>20389</v>
      </c>
      <c r="J383" t="s">
        <v>9302</v>
      </c>
      <c r="K383" s="28" t="s">
        <v>9309</v>
      </c>
      <c r="L383" t="s">
        <v>6955</v>
      </c>
      <c r="N383" t="s">
        <v>21894</v>
      </c>
      <c r="O383" t="s">
        <v>6261</v>
      </c>
      <c r="P383" t="s">
        <v>20320</v>
      </c>
      <c r="Q383" t="s">
        <v>20321</v>
      </c>
      <c r="R383" t="s">
        <v>20322</v>
      </c>
      <c r="S383" t="s">
        <v>21895</v>
      </c>
      <c r="T383" t="s">
        <v>21896</v>
      </c>
      <c r="W383" t="s">
        <v>484</v>
      </c>
      <c r="X383" t="s">
        <v>193</v>
      </c>
      <c r="Y383" s="28" t="s">
        <v>9310</v>
      </c>
      <c r="AB383" t="s">
        <v>9311</v>
      </c>
      <c r="AH383" t="s">
        <v>4714</v>
      </c>
      <c r="AI383" t="s">
        <v>496</v>
      </c>
      <c r="AJ383" s="28" t="str">
        <f t="shared" si="10"/>
        <v>251401</v>
      </c>
      <c r="AK383" s="420">
        <v>1</v>
      </c>
      <c r="AL383" s="420">
        <f t="shared" si="11"/>
        <v>1</v>
      </c>
      <c r="AM383" s="420">
        <v>1</v>
      </c>
      <c r="AN383" t="s">
        <v>17650</v>
      </c>
      <c r="AO383" t="s">
        <v>17651</v>
      </c>
      <c r="AP383" t="s">
        <v>17652</v>
      </c>
      <c r="AQ383" t="s">
        <v>17653</v>
      </c>
      <c r="AR383" t="s">
        <v>1024</v>
      </c>
    </row>
    <row r="384" spans="1:44" x14ac:dyDescent="0.25">
      <c r="A384" t="s">
        <v>18568</v>
      </c>
      <c r="B384" t="s">
        <v>1406</v>
      </c>
      <c r="C384" s="410" t="s">
        <v>10</v>
      </c>
      <c r="D384" t="s">
        <v>20317</v>
      </c>
      <c r="E384" t="s">
        <v>192</v>
      </c>
      <c r="F384" s="534">
        <v>1</v>
      </c>
      <c r="G384" t="s">
        <v>193</v>
      </c>
      <c r="H384" t="s">
        <v>194</v>
      </c>
      <c r="I384" t="s">
        <v>20389</v>
      </c>
      <c r="J384" t="s">
        <v>9302</v>
      </c>
      <c r="K384" s="28" t="s">
        <v>9309</v>
      </c>
      <c r="L384" t="s">
        <v>6955</v>
      </c>
      <c r="N384" t="s">
        <v>21897</v>
      </c>
      <c r="O384" t="s">
        <v>6261</v>
      </c>
      <c r="P384" t="s">
        <v>20320</v>
      </c>
      <c r="Q384" t="s">
        <v>20321</v>
      </c>
      <c r="R384" t="s">
        <v>20542</v>
      </c>
      <c r="S384" t="s">
        <v>21898</v>
      </c>
      <c r="T384" t="s">
        <v>21899</v>
      </c>
      <c r="W384" t="s">
        <v>484</v>
      </c>
      <c r="X384" t="s">
        <v>193</v>
      </c>
      <c r="Y384" s="28" t="s">
        <v>9310</v>
      </c>
      <c r="AB384" t="s">
        <v>9311</v>
      </c>
      <c r="AH384" t="s">
        <v>4714</v>
      </c>
      <c r="AI384" t="s">
        <v>1406</v>
      </c>
      <c r="AJ384" s="28" t="str">
        <f t="shared" si="10"/>
        <v>251401</v>
      </c>
      <c r="AK384" s="420">
        <v>1</v>
      </c>
      <c r="AL384" s="420">
        <f t="shared" si="11"/>
        <v>1</v>
      </c>
      <c r="AM384" s="420">
        <v>1</v>
      </c>
      <c r="AN384" t="s">
        <v>17650</v>
      </c>
      <c r="AO384" t="s">
        <v>17651</v>
      </c>
      <c r="AP384" t="s">
        <v>17652</v>
      </c>
      <c r="AQ384" t="s">
        <v>17653</v>
      </c>
      <c r="AR384" t="s">
        <v>1024</v>
      </c>
    </row>
    <row r="385" spans="1:44" x14ac:dyDescent="0.25">
      <c r="A385" t="s">
        <v>9373</v>
      </c>
      <c r="B385" t="s">
        <v>21900</v>
      </c>
      <c r="C385" s="410" t="s">
        <v>10</v>
      </c>
      <c r="D385" t="s">
        <v>20317</v>
      </c>
      <c r="E385" t="s">
        <v>192</v>
      </c>
      <c r="F385" s="534">
        <v>1</v>
      </c>
      <c r="G385" t="s">
        <v>193</v>
      </c>
      <c r="H385" t="s">
        <v>194</v>
      </c>
      <c r="I385" t="s">
        <v>20318</v>
      </c>
      <c r="J385" t="s">
        <v>9302</v>
      </c>
      <c r="K385" s="28" t="s">
        <v>9309</v>
      </c>
      <c r="L385" t="s">
        <v>6955</v>
      </c>
      <c r="N385" t="s">
        <v>21901</v>
      </c>
      <c r="O385" t="s">
        <v>6261</v>
      </c>
      <c r="P385" t="s">
        <v>20320</v>
      </c>
      <c r="Q385" t="s">
        <v>20321</v>
      </c>
      <c r="R385" t="s">
        <v>20322</v>
      </c>
      <c r="S385" t="s">
        <v>21902</v>
      </c>
      <c r="T385" t="s">
        <v>21903</v>
      </c>
      <c r="W385" t="s">
        <v>484</v>
      </c>
      <c r="X385" t="s">
        <v>193</v>
      </c>
      <c r="Y385" s="28" t="s">
        <v>9310</v>
      </c>
      <c r="AB385" t="s">
        <v>9311</v>
      </c>
      <c r="AH385" t="s">
        <v>4714</v>
      </c>
      <c r="AI385" t="s">
        <v>21900</v>
      </c>
      <c r="AJ385" s="28" t="str">
        <f t="shared" si="10"/>
        <v>251401</v>
      </c>
      <c r="AK385" s="420">
        <v>1</v>
      </c>
      <c r="AL385" s="420">
        <f t="shared" si="11"/>
        <v>1</v>
      </c>
      <c r="AM385" s="420">
        <v>1</v>
      </c>
      <c r="AN385" t="s">
        <v>17650</v>
      </c>
      <c r="AO385" t="s">
        <v>17651</v>
      </c>
      <c r="AP385" t="s">
        <v>17652</v>
      </c>
      <c r="AQ385" t="s">
        <v>17653</v>
      </c>
      <c r="AR385" t="s">
        <v>1024</v>
      </c>
    </row>
    <row r="386" spans="1:44" x14ac:dyDescent="0.25">
      <c r="A386" t="s">
        <v>21904</v>
      </c>
      <c r="B386" t="s">
        <v>21905</v>
      </c>
      <c r="C386" s="410" t="s">
        <v>10</v>
      </c>
      <c r="D386" t="s">
        <v>20317</v>
      </c>
      <c r="E386" t="s">
        <v>192</v>
      </c>
      <c r="F386" s="534">
        <v>1</v>
      </c>
      <c r="G386" t="s">
        <v>193</v>
      </c>
      <c r="H386" t="s">
        <v>194</v>
      </c>
      <c r="I386" t="s">
        <v>20333</v>
      </c>
      <c r="J386" t="s">
        <v>9302</v>
      </c>
      <c r="K386" s="28" t="s">
        <v>9309</v>
      </c>
      <c r="L386" t="s">
        <v>6955</v>
      </c>
      <c r="N386" t="s">
        <v>21906</v>
      </c>
      <c r="O386" t="s">
        <v>6921</v>
      </c>
      <c r="P386" t="s">
        <v>20320</v>
      </c>
      <c r="Q386" t="s">
        <v>20321</v>
      </c>
      <c r="R386" t="s">
        <v>20322</v>
      </c>
      <c r="S386" t="s">
        <v>21907</v>
      </c>
      <c r="T386" t="s">
        <v>21908</v>
      </c>
      <c r="W386" t="s">
        <v>484</v>
      </c>
      <c r="X386" t="s">
        <v>193</v>
      </c>
      <c r="Y386" s="28" t="s">
        <v>9310</v>
      </c>
      <c r="AB386" t="s">
        <v>9311</v>
      </c>
      <c r="AH386" t="s">
        <v>4714</v>
      </c>
      <c r="AI386" t="s">
        <v>21905</v>
      </c>
      <c r="AJ386" s="28" t="str">
        <f t="shared" si="10"/>
        <v>251401</v>
      </c>
      <c r="AK386" s="420">
        <v>1</v>
      </c>
      <c r="AL386" s="420">
        <f t="shared" si="11"/>
        <v>1</v>
      </c>
      <c r="AM386" s="420">
        <v>1</v>
      </c>
      <c r="AN386" t="s">
        <v>17650</v>
      </c>
      <c r="AO386" t="s">
        <v>17651</v>
      </c>
      <c r="AP386" t="s">
        <v>17652</v>
      </c>
      <c r="AQ386" t="s">
        <v>17653</v>
      </c>
      <c r="AR386" t="s">
        <v>1024</v>
      </c>
    </row>
    <row r="387" spans="1:44" x14ac:dyDescent="0.25">
      <c r="A387" t="s">
        <v>915</v>
      </c>
      <c r="B387" t="s">
        <v>21909</v>
      </c>
      <c r="C387" s="410" t="s">
        <v>10</v>
      </c>
      <c r="D387" t="s">
        <v>20317</v>
      </c>
      <c r="E387" t="s">
        <v>192</v>
      </c>
      <c r="F387" s="534">
        <v>1</v>
      </c>
      <c r="G387" t="s">
        <v>193</v>
      </c>
      <c r="H387" t="s">
        <v>194</v>
      </c>
      <c r="I387" t="s">
        <v>20389</v>
      </c>
      <c r="J387" t="s">
        <v>9302</v>
      </c>
      <c r="K387" s="28" t="s">
        <v>9309</v>
      </c>
      <c r="L387" t="s">
        <v>6955</v>
      </c>
      <c r="N387" t="s">
        <v>21910</v>
      </c>
      <c r="O387" t="s">
        <v>6921</v>
      </c>
      <c r="P387" t="s">
        <v>20320</v>
      </c>
      <c r="Q387" t="s">
        <v>20321</v>
      </c>
      <c r="R387" t="s">
        <v>20322</v>
      </c>
      <c r="S387" t="s">
        <v>21911</v>
      </c>
      <c r="T387" t="s">
        <v>21912</v>
      </c>
      <c r="W387" t="s">
        <v>484</v>
      </c>
      <c r="X387" t="s">
        <v>193</v>
      </c>
      <c r="Y387" s="28" t="s">
        <v>9310</v>
      </c>
      <c r="AB387" t="s">
        <v>9311</v>
      </c>
      <c r="AH387" t="s">
        <v>4714</v>
      </c>
      <c r="AI387" t="s">
        <v>21909</v>
      </c>
      <c r="AJ387" s="28" t="str">
        <f t="shared" ref="AJ387:AJ450" si="12">MID(W387,8,6)</f>
        <v>251401</v>
      </c>
      <c r="AK387" s="420">
        <v>1</v>
      </c>
      <c r="AL387" s="420">
        <f t="shared" ref="AL387:AL450" si="13">F387</f>
        <v>1</v>
      </c>
      <c r="AM387" s="420">
        <v>1</v>
      </c>
      <c r="AN387" t="s">
        <v>17650</v>
      </c>
      <c r="AO387" t="s">
        <v>17651</v>
      </c>
      <c r="AP387" t="s">
        <v>17652</v>
      </c>
      <c r="AQ387" t="s">
        <v>17653</v>
      </c>
      <c r="AR387" t="s">
        <v>1024</v>
      </c>
    </row>
    <row r="388" spans="1:44" x14ac:dyDescent="0.25">
      <c r="A388" t="s">
        <v>493</v>
      </c>
      <c r="B388" t="s">
        <v>21913</v>
      </c>
      <c r="C388" s="410" t="s">
        <v>10</v>
      </c>
      <c r="D388" t="s">
        <v>20317</v>
      </c>
      <c r="E388" t="s">
        <v>192</v>
      </c>
      <c r="F388" s="534">
        <v>1</v>
      </c>
      <c r="G388" t="s">
        <v>193</v>
      </c>
      <c r="H388" t="s">
        <v>194</v>
      </c>
      <c r="I388" t="s">
        <v>20333</v>
      </c>
      <c r="J388" t="s">
        <v>210</v>
      </c>
      <c r="K388" s="28" t="s">
        <v>9309</v>
      </c>
      <c r="L388" t="s">
        <v>6955</v>
      </c>
      <c r="N388" t="s">
        <v>21914</v>
      </c>
      <c r="O388" t="s">
        <v>6261</v>
      </c>
      <c r="P388" t="s">
        <v>20320</v>
      </c>
      <c r="Q388" t="s">
        <v>20321</v>
      </c>
      <c r="R388" t="s">
        <v>20322</v>
      </c>
      <c r="S388" t="s">
        <v>21915</v>
      </c>
      <c r="T388" t="s">
        <v>21916</v>
      </c>
      <c r="V388" s="28" t="s">
        <v>9334</v>
      </c>
      <c r="W388" t="s">
        <v>484</v>
      </c>
      <c r="X388" t="s">
        <v>194</v>
      </c>
      <c r="Y388" s="28" t="s">
        <v>9300</v>
      </c>
      <c r="AB388" t="s">
        <v>9311</v>
      </c>
      <c r="AH388" t="s">
        <v>4714</v>
      </c>
      <c r="AI388" t="s">
        <v>21913</v>
      </c>
      <c r="AJ388" s="28" t="str">
        <f t="shared" si="12"/>
        <v>251401</v>
      </c>
      <c r="AK388" s="420">
        <v>1</v>
      </c>
      <c r="AL388" s="420">
        <f t="shared" si="13"/>
        <v>1</v>
      </c>
      <c r="AM388" s="420">
        <v>1</v>
      </c>
      <c r="AN388" t="s">
        <v>17650</v>
      </c>
      <c r="AO388" t="s">
        <v>17651</v>
      </c>
      <c r="AP388" t="s">
        <v>17652</v>
      </c>
      <c r="AQ388" t="s">
        <v>17653</v>
      </c>
      <c r="AR388" t="s">
        <v>1024</v>
      </c>
    </row>
    <row r="389" spans="1:44" x14ac:dyDescent="0.25">
      <c r="A389" t="s">
        <v>493</v>
      </c>
      <c r="B389" t="s">
        <v>12935</v>
      </c>
      <c r="C389" s="410" t="s">
        <v>10</v>
      </c>
      <c r="D389" t="s">
        <v>20317</v>
      </c>
      <c r="E389" t="s">
        <v>192</v>
      </c>
      <c r="F389" s="534">
        <v>1</v>
      </c>
      <c r="G389" t="s">
        <v>193</v>
      </c>
      <c r="H389" t="s">
        <v>194</v>
      </c>
      <c r="I389" t="s">
        <v>20389</v>
      </c>
      <c r="J389" t="s">
        <v>210</v>
      </c>
      <c r="K389" s="28" t="s">
        <v>9309</v>
      </c>
      <c r="L389" t="s">
        <v>6955</v>
      </c>
      <c r="N389" t="s">
        <v>21917</v>
      </c>
      <c r="O389" t="s">
        <v>6261</v>
      </c>
      <c r="P389" t="s">
        <v>20320</v>
      </c>
      <c r="Q389" t="s">
        <v>20321</v>
      </c>
      <c r="R389" t="s">
        <v>20322</v>
      </c>
      <c r="S389" t="s">
        <v>21918</v>
      </c>
      <c r="T389" t="s">
        <v>21919</v>
      </c>
      <c r="V389" s="28" t="s">
        <v>9334</v>
      </c>
      <c r="W389" t="s">
        <v>484</v>
      </c>
      <c r="X389" t="s">
        <v>194</v>
      </c>
      <c r="Y389" s="28" t="s">
        <v>9300</v>
      </c>
      <c r="AB389" t="s">
        <v>9311</v>
      </c>
      <c r="AH389" t="s">
        <v>4714</v>
      </c>
      <c r="AI389" t="s">
        <v>12935</v>
      </c>
      <c r="AJ389" s="28" t="str">
        <f t="shared" si="12"/>
        <v>251401</v>
      </c>
      <c r="AK389" s="420">
        <v>1</v>
      </c>
      <c r="AL389" s="420">
        <f t="shared" si="13"/>
        <v>1</v>
      </c>
      <c r="AM389" s="420">
        <v>1</v>
      </c>
      <c r="AN389" t="s">
        <v>17650</v>
      </c>
      <c r="AO389" t="s">
        <v>17651</v>
      </c>
      <c r="AP389" t="s">
        <v>17652</v>
      </c>
      <c r="AQ389" t="s">
        <v>17653</v>
      </c>
      <c r="AR389" t="s">
        <v>1024</v>
      </c>
    </row>
    <row r="390" spans="1:44" x14ac:dyDescent="0.25">
      <c r="A390" t="s">
        <v>493</v>
      </c>
      <c r="B390" t="s">
        <v>9523</v>
      </c>
      <c r="C390" s="410" t="s">
        <v>10</v>
      </c>
      <c r="D390" t="s">
        <v>20317</v>
      </c>
      <c r="E390" t="s">
        <v>192</v>
      </c>
      <c r="F390" s="534">
        <v>1</v>
      </c>
      <c r="G390" t="s">
        <v>193</v>
      </c>
      <c r="H390" t="s">
        <v>194</v>
      </c>
      <c r="I390" t="s">
        <v>20389</v>
      </c>
      <c r="J390" t="s">
        <v>210</v>
      </c>
      <c r="K390" s="28" t="s">
        <v>9309</v>
      </c>
      <c r="L390" t="s">
        <v>6955</v>
      </c>
      <c r="N390" t="s">
        <v>21920</v>
      </c>
      <c r="O390" t="s">
        <v>6261</v>
      </c>
      <c r="P390" t="s">
        <v>20320</v>
      </c>
      <c r="Q390" t="s">
        <v>20321</v>
      </c>
      <c r="R390" t="s">
        <v>20322</v>
      </c>
      <c r="S390" t="s">
        <v>21921</v>
      </c>
      <c r="T390" t="s">
        <v>21922</v>
      </c>
      <c r="V390" s="28" t="s">
        <v>9334</v>
      </c>
      <c r="W390" t="s">
        <v>484</v>
      </c>
      <c r="X390" t="s">
        <v>194</v>
      </c>
      <c r="Y390" s="28" t="s">
        <v>9300</v>
      </c>
      <c r="AB390" t="s">
        <v>9311</v>
      </c>
      <c r="AH390" t="s">
        <v>4714</v>
      </c>
      <c r="AI390" t="s">
        <v>9523</v>
      </c>
      <c r="AJ390" s="28" t="str">
        <f t="shared" si="12"/>
        <v>251401</v>
      </c>
      <c r="AK390" s="420">
        <v>1</v>
      </c>
      <c r="AL390" s="420">
        <f t="shared" si="13"/>
        <v>1</v>
      </c>
      <c r="AM390" s="420">
        <v>1</v>
      </c>
      <c r="AN390" t="s">
        <v>17650</v>
      </c>
      <c r="AO390" t="s">
        <v>17651</v>
      </c>
      <c r="AP390" t="s">
        <v>17652</v>
      </c>
      <c r="AQ390" t="s">
        <v>17653</v>
      </c>
      <c r="AR390" t="s">
        <v>1024</v>
      </c>
    </row>
    <row r="391" spans="1:44" x14ac:dyDescent="0.25">
      <c r="A391" t="s">
        <v>493</v>
      </c>
      <c r="B391" t="s">
        <v>21923</v>
      </c>
      <c r="C391" s="410" t="s">
        <v>10</v>
      </c>
      <c r="D391" t="s">
        <v>20317</v>
      </c>
      <c r="E391" t="s">
        <v>192</v>
      </c>
      <c r="F391" s="534">
        <v>1</v>
      </c>
      <c r="G391" t="s">
        <v>193</v>
      </c>
      <c r="H391" t="s">
        <v>194</v>
      </c>
      <c r="I391" t="s">
        <v>20389</v>
      </c>
      <c r="J391" t="s">
        <v>210</v>
      </c>
      <c r="K391" s="28" t="s">
        <v>9309</v>
      </c>
      <c r="L391" t="s">
        <v>6955</v>
      </c>
      <c r="N391" t="s">
        <v>21924</v>
      </c>
      <c r="O391" t="s">
        <v>6261</v>
      </c>
      <c r="P391" t="s">
        <v>20320</v>
      </c>
      <c r="Q391" t="s">
        <v>20321</v>
      </c>
      <c r="R391" t="s">
        <v>20322</v>
      </c>
      <c r="S391" t="s">
        <v>21925</v>
      </c>
      <c r="T391" t="s">
        <v>21926</v>
      </c>
      <c r="V391" s="28" t="s">
        <v>9334</v>
      </c>
      <c r="W391" t="s">
        <v>484</v>
      </c>
      <c r="X391" t="s">
        <v>194</v>
      </c>
      <c r="Y391" s="28" t="s">
        <v>9300</v>
      </c>
      <c r="AB391" t="s">
        <v>9311</v>
      </c>
      <c r="AH391" t="s">
        <v>4714</v>
      </c>
      <c r="AI391" t="s">
        <v>21923</v>
      </c>
      <c r="AJ391" s="28" t="str">
        <f t="shared" si="12"/>
        <v>251401</v>
      </c>
      <c r="AK391" s="420">
        <v>1</v>
      </c>
      <c r="AL391" s="420">
        <f t="shared" si="13"/>
        <v>1</v>
      </c>
      <c r="AM391" s="420">
        <v>1</v>
      </c>
      <c r="AN391" t="s">
        <v>17650</v>
      </c>
      <c r="AO391" t="s">
        <v>17651</v>
      </c>
      <c r="AP391" t="s">
        <v>17652</v>
      </c>
      <c r="AQ391" t="s">
        <v>17653</v>
      </c>
      <c r="AR391" t="s">
        <v>1024</v>
      </c>
    </row>
    <row r="392" spans="1:44" x14ac:dyDescent="0.25">
      <c r="A392" t="s">
        <v>493</v>
      </c>
      <c r="B392" t="s">
        <v>2276</v>
      </c>
      <c r="C392" s="410" t="s">
        <v>10</v>
      </c>
      <c r="D392" t="s">
        <v>20317</v>
      </c>
      <c r="E392" t="s">
        <v>192</v>
      </c>
      <c r="F392" s="534">
        <v>1</v>
      </c>
      <c r="G392" t="s">
        <v>193</v>
      </c>
      <c r="H392" t="s">
        <v>194</v>
      </c>
      <c r="I392" t="s">
        <v>20318</v>
      </c>
      <c r="J392" t="s">
        <v>210</v>
      </c>
      <c r="K392" s="28" t="s">
        <v>9309</v>
      </c>
      <c r="L392" t="s">
        <v>6955</v>
      </c>
      <c r="N392" t="s">
        <v>21927</v>
      </c>
      <c r="O392" t="s">
        <v>6261</v>
      </c>
      <c r="P392" t="s">
        <v>20320</v>
      </c>
      <c r="Q392" t="s">
        <v>20321</v>
      </c>
      <c r="R392" t="s">
        <v>20322</v>
      </c>
      <c r="S392" t="s">
        <v>21928</v>
      </c>
      <c r="T392" t="s">
        <v>21929</v>
      </c>
      <c r="V392" s="28" t="s">
        <v>9334</v>
      </c>
      <c r="W392" t="s">
        <v>484</v>
      </c>
      <c r="X392" t="s">
        <v>194</v>
      </c>
      <c r="Y392" s="28" t="s">
        <v>9300</v>
      </c>
      <c r="AB392" t="s">
        <v>9311</v>
      </c>
      <c r="AH392" t="s">
        <v>4714</v>
      </c>
      <c r="AI392" t="s">
        <v>2276</v>
      </c>
      <c r="AJ392" s="28" t="str">
        <f t="shared" si="12"/>
        <v>251401</v>
      </c>
      <c r="AK392" s="420">
        <v>1</v>
      </c>
      <c r="AL392" s="420">
        <f t="shared" si="13"/>
        <v>1</v>
      </c>
      <c r="AM392" s="420">
        <v>1</v>
      </c>
      <c r="AN392" t="s">
        <v>17650</v>
      </c>
      <c r="AO392" t="s">
        <v>17651</v>
      </c>
      <c r="AP392" t="s">
        <v>17652</v>
      </c>
      <c r="AQ392" t="s">
        <v>17653</v>
      </c>
      <c r="AR392" t="s">
        <v>1024</v>
      </c>
    </row>
    <row r="393" spans="1:44" x14ac:dyDescent="0.25">
      <c r="A393" t="s">
        <v>16431</v>
      </c>
      <c r="B393" t="s">
        <v>16488</v>
      </c>
      <c r="C393" s="410" t="s">
        <v>10</v>
      </c>
      <c r="D393" t="s">
        <v>20360</v>
      </c>
      <c r="E393" t="s">
        <v>192</v>
      </c>
      <c r="F393" s="534">
        <v>1</v>
      </c>
      <c r="G393" t="s">
        <v>193</v>
      </c>
      <c r="H393" t="s">
        <v>194</v>
      </c>
      <c r="I393" t="s">
        <v>20389</v>
      </c>
      <c r="J393" t="s">
        <v>367</v>
      </c>
      <c r="K393" s="28" t="s">
        <v>9309</v>
      </c>
      <c r="L393" t="s">
        <v>6955</v>
      </c>
      <c r="N393" t="s">
        <v>21930</v>
      </c>
      <c r="O393" t="s">
        <v>6921</v>
      </c>
      <c r="P393" t="s">
        <v>21402</v>
      </c>
      <c r="Q393" t="s">
        <v>21403</v>
      </c>
      <c r="R393" t="s">
        <v>20437</v>
      </c>
      <c r="S393" t="s">
        <v>21931</v>
      </c>
      <c r="T393" t="s">
        <v>21932</v>
      </c>
      <c r="V393" s="28" t="s">
        <v>9974</v>
      </c>
      <c r="W393" t="s">
        <v>484</v>
      </c>
      <c r="X393" t="s">
        <v>194</v>
      </c>
      <c r="Y393" s="28" t="s">
        <v>9300</v>
      </c>
      <c r="AB393" t="s">
        <v>9311</v>
      </c>
      <c r="AH393" t="s">
        <v>4714</v>
      </c>
      <c r="AI393" t="s">
        <v>16488</v>
      </c>
      <c r="AJ393" s="28" t="str">
        <f t="shared" si="12"/>
        <v>251401</v>
      </c>
      <c r="AK393" s="420">
        <v>1</v>
      </c>
      <c r="AL393" s="420">
        <f t="shared" si="13"/>
        <v>1</v>
      </c>
      <c r="AM393" s="420">
        <v>1</v>
      </c>
      <c r="AN393" t="s">
        <v>17650</v>
      </c>
      <c r="AO393" t="s">
        <v>17651</v>
      </c>
      <c r="AP393" t="s">
        <v>17652</v>
      </c>
      <c r="AQ393" t="s">
        <v>17653</v>
      </c>
      <c r="AR393" t="s">
        <v>1024</v>
      </c>
    </row>
    <row r="394" spans="1:44" x14ac:dyDescent="0.25">
      <c r="A394" t="s">
        <v>21933</v>
      </c>
      <c r="B394" t="s">
        <v>21934</v>
      </c>
      <c r="C394" s="410" t="s">
        <v>10</v>
      </c>
      <c r="D394" t="s">
        <v>20338</v>
      </c>
      <c r="E394" t="s">
        <v>192</v>
      </c>
      <c r="F394" s="534">
        <v>1</v>
      </c>
      <c r="G394" t="s">
        <v>193</v>
      </c>
      <c r="H394" t="s">
        <v>194</v>
      </c>
      <c r="I394" t="s">
        <v>20310</v>
      </c>
      <c r="J394" t="s">
        <v>9302</v>
      </c>
      <c r="K394" s="28" t="s">
        <v>9309</v>
      </c>
      <c r="L394" t="s">
        <v>6955</v>
      </c>
      <c r="N394" t="s">
        <v>21935</v>
      </c>
      <c r="O394" t="s">
        <v>6921</v>
      </c>
      <c r="P394" t="s">
        <v>20398</v>
      </c>
      <c r="Q394" t="s">
        <v>20399</v>
      </c>
      <c r="R394" t="s">
        <v>20400</v>
      </c>
      <c r="S394" t="s">
        <v>21936</v>
      </c>
      <c r="T394" t="s">
        <v>21937</v>
      </c>
      <c r="W394" t="s">
        <v>484</v>
      </c>
      <c r="X394" t="s">
        <v>193</v>
      </c>
      <c r="Y394" s="28" t="s">
        <v>9310</v>
      </c>
      <c r="AB394" t="s">
        <v>9311</v>
      </c>
      <c r="AH394" t="s">
        <v>4714</v>
      </c>
      <c r="AI394" t="s">
        <v>21934</v>
      </c>
      <c r="AJ394" s="28" t="str">
        <f t="shared" si="12"/>
        <v>251401</v>
      </c>
      <c r="AK394" s="420">
        <v>1</v>
      </c>
      <c r="AL394" s="420">
        <f t="shared" si="13"/>
        <v>1</v>
      </c>
      <c r="AM394" s="420">
        <v>1</v>
      </c>
      <c r="AN394" t="s">
        <v>17650</v>
      </c>
      <c r="AO394" t="s">
        <v>17651</v>
      </c>
      <c r="AP394" t="s">
        <v>17652</v>
      </c>
      <c r="AQ394" t="s">
        <v>17653</v>
      </c>
      <c r="AR394" t="s">
        <v>1024</v>
      </c>
    </row>
    <row r="395" spans="1:44" x14ac:dyDescent="0.25">
      <c r="A395" t="s">
        <v>14284</v>
      </c>
      <c r="B395" t="s">
        <v>1419</v>
      </c>
      <c r="C395" s="410" t="s">
        <v>10</v>
      </c>
      <c r="D395" t="s">
        <v>20338</v>
      </c>
      <c r="E395" t="s">
        <v>192</v>
      </c>
      <c r="F395" s="534">
        <v>1</v>
      </c>
      <c r="G395" t="s">
        <v>193</v>
      </c>
      <c r="H395" t="s">
        <v>194</v>
      </c>
      <c r="I395" t="s">
        <v>20405</v>
      </c>
      <c r="J395" t="s">
        <v>9302</v>
      </c>
      <c r="K395" s="28" t="s">
        <v>9309</v>
      </c>
      <c r="L395" t="s">
        <v>6955</v>
      </c>
      <c r="N395" t="s">
        <v>21938</v>
      </c>
      <c r="O395" t="s">
        <v>6261</v>
      </c>
      <c r="P395" t="s">
        <v>20398</v>
      </c>
      <c r="Q395" t="s">
        <v>20399</v>
      </c>
      <c r="R395" t="s">
        <v>20400</v>
      </c>
      <c r="S395" t="s">
        <v>21939</v>
      </c>
      <c r="T395" t="s">
        <v>21940</v>
      </c>
      <c r="W395" t="s">
        <v>484</v>
      </c>
      <c r="X395" t="s">
        <v>193</v>
      </c>
      <c r="Y395" s="28" t="s">
        <v>9310</v>
      </c>
      <c r="AB395" t="s">
        <v>9311</v>
      </c>
      <c r="AH395" t="s">
        <v>4714</v>
      </c>
      <c r="AI395" t="s">
        <v>1419</v>
      </c>
      <c r="AJ395" s="28" t="str">
        <f t="shared" si="12"/>
        <v>251401</v>
      </c>
      <c r="AK395" s="420">
        <v>1</v>
      </c>
      <c r="AL395" s="420">
        <f t="shared" si="13"/>
        <v>1</v>
      </c>
      <c r="AM395" s="420">
        <v>1</v>
      </c>
      <c r="AN395" t="s">
        <v>17650</v>
      </c>
      <c r="AO395" t="s">
        <v>17651</v>
      </c>
      <c r="AP395" t="s">
        <v>17652</v>
      </c>
      <c r="AQ395" t="s">
        <v>17653</v>
      </c>
      <c r="AR395" t="s">
        <v>1024</v>
      </c>
    </row>
    <row r="396" spans="1:44" x14ac:dyDescent="0.25">
      <c r="A396" t="s">
        <v>11473</v>
      </c>
      <c r="B396" t="s">
        <v>2276</v>
      </c>
      <c r="C396" s="410" t="s">
        <v>10</v>
      </c>
      <c r="D396" t="s">
        <v>20338</v>
      </c>
      <c r="E396" t="s">
        <v>192</v>
      </c>
      <c r="F396" s="534">
        <v>1</v>
      </c>
      <c r="G396" t="s">
        <v>193</v>
      </c>
      <c r="H396" t="s">
        <v>194</v>
      </c>
      <c r="I396" t="s">
        <v>20310</v>
      </c>
      <c r="J396" t="s">
        <v>9302</v>
      </c>
      <c r="K396" s="28" t="s">
        <v>9309</v>
      </c>
      <c r="L396" t="s">
        <v>6955</v>
      </c>
      <c r="N396" t="s">
        <v>21941</v>
      </c>
      <c r="O396" t="s">
        <v>6261</v>
      </c>
      <c r="P396" t="s">
        <v>20398</v>
      </c>
      <c r="Q396" t="s">
        <v>20399</v>
      </c>
      <c r="R396" t="s">
        <v>20400</v>
      </c>
      <c r="S396" t="s">
        <v>21942</v>
      </c>
      <c r="T396" t="s">
        <v>21943</v>
      </c>
      <c r="W396" t="s">
        <v>484</v>
      </c>
      <c r="X396" t="s">
        <v>193</v>
      </c>
      <c r="Y396" s="28" t="s">
        <v>9310</v>
      </c>
      <c r="AB396" t="s">
        <v>9311</v>
      </c>
      <c r="AH396" t="s">
        <v>4714</v>
      </c>
      <c r="AI396" t="s">
        <v>2276</v>
      </c>
      <c r="AJ396" s="28" t="str">
        <f t="shared" si="12"/>
        <v>251401</v>
      </c>
      <c r="AK396" s="420">
        <v>1</v>
      </c>
      <c r="AL396" s="420">
        <f t="shared" si="13"/>
        <v>1</v>
      </c>
      <c r="AM396" s="420">
        <v>1</v>
      </c>
      <c r="AN396" t="s">
        <v>17650</v>
      </c>
      <c r="AO396" t="s">
        <v>17651</v>
      </c>
      <c r="AP396" t="s">
        <v>17652</v>
      </c>
      <c r="AQ396" t="s">
        <v>17653</v>
      </c>
      <c r="AR396" t="s">
        <v>1024</v>
      </c>
    </row>
    <row r="397" spans="1:44" x14ac:dyDescent="0.25">
      <c r="A397" t="s">
        <v>21944</v>
      </c>
      <c r="B397" t="s">
        <v>21945</v>
      </c>
      <c r="C397" s="410" t="s">
        <v>10</v>
      </c>
      <c r="D397" t="s">
        <v>20338</v>
      </c>
      <c r="E397" t="s">
        <v>192</v>
      </c>
      <c r="F397" s="534">
        <v>1</v>
      </c>
      <c r="G397" t="s">
        <v>193</v>
      </c>
      <c r="H397" t="s">
        <v>194</v>
      </c>
      <c r="I397" t="s">
        <v>20405</v>
      </c>
      <c r="J397" t="s">
        <v>9302</v>
      </c>
      <c r="K397" s="28" t="s">
        <v>9309</v>
      </c>
      <c r="L397" t="s">
        <v>6955</v>
      </c>
      <c r="N397" t="s">
        <v>21946</v>
      </c>
      <c r="O397" t="s">
        <v>6921</v>
      </c>
      <c r="P397" t="s">
        <v>20398</v>
      </c>
      <c r="Q397" t="s">
        <v>20399</v>
      </c>
      <c r="R397" t="s">
        <v>20485</v>
      </c>
      <c r="S397" t="s">
        <v>21947</v>
      </c>
      <c r="T397" t="s">
        <v>21948</v>
      </c>
      <c r="W397" t="s">
        <v>484</v>
      </c>
      <c r="X397" t="s">
        <v>193</v>
      </c>
      <c r="Y397" s="28" t="s">
        <v>9310</v>
      </c>
      <c r="AB397" t="s">
        <v>9311</v>
      </c>
      <c r="AH397" t="s">
        <v>4714</v>
      </c>
      <c r="AI397" t="s">
        <v>21945</v>
      </c>
      <c r="AJ397" s="28" t="str">
        <f t="shared" si="12"/>
        <v>251401</v>
      </c>
      <c r="AK397" s="420">
        <v>1</v>
      </c>
      <c r="AL397" s="420">
        <f t="shared" si="13"/>
        <v>1</v>
      </c>
      <c r="AM397" s="420">
        <v>1</v>
      </c>
      <c r="AN397" t="s">
        <v>17650</v>
      </c>
      <c r="AO397" t="s">
        <v>17651</v>
      </c>
      <c r="AP397" t="s">
        <v>17652</v>
      </c>
      <c r="AQ397" t="s">
        <v>17653</v>
      </c>
      <c r="AR397" t="s">
        <v>1024</v>
      </c>
    </row>
    <row r="398" spans="1:44" x14ac:dyDescent="0.25">
      <c r="A398" t="s">
        <v>11473</v>
      </c>
      <c r="B398" t="s">
        <v>1419</v>
      </c>
      <c r="C398" s="410" t="s">
        <v>10</v>
      </c>
      <c r="D398" t="s">
        <v>20338</v>
      </c>
      <c r="E398" t="s">
        <v>192</v>
      </c>
      <c r="F398" s="534">
        <v>1</v>
      </c>
      <c r="G398" t="s">
        <v>193</v>
      </c>
      <c r="H398" t="s">
        <v>194</v>
      </c>
      <c r="I398" t="s">
        <v>20405</v>
      </c>
      <c r="J398" t="s">
        <v>9302</v>
      </c>
      <c r="K398" s="28" t="s">
        <v>9309</v>
      </c>
      <c r="L398" t="s">
        <v>6955</v>
      </c>
      <c r="N398" t="s">
        <v>21949</v>
      </c>
      <c r="O398" t="s">
        <v>6261</v>
      </c>
      <c r="P398" t="s">
        <v>20398</v>
      </c>
      <c r="Q398" t="s">
        <v>20399</v>
      </c>
      <c r="R398" t="s">
        <v>20400</v>
      </c>
      <c r="S398" t="s">
        <v>21950</v>
      </c>
      <c r="T398" t="s">
        <v>21951</v>
      </c>
      <c r="W398" t="s">
        <v>484</v>
      </c>
      <c r="X398" t="s">
        <v>193</v>
      </c>
      <c r="Y398" s="28" t="s">
        <v>9310</v>
      </c>
      <c r="AB398" t="s">
        <v>9311</v>
      </c>
      <c r="AH398" t="s">
        <v>4714</v>
      </c>
      <c r="AI398" t="s">
        <v>1419</v>
      </c>
      <c r="AJ398" s="28" t="str">
        <f t="shared" si="12"/>
        <v>251401</v>
      </c>
      <c r="AK398" s="420">
        <v>1</v>
      </c>
      <c r="AL398" s="420">
        <f t="shared" si="13"/>
        <v>1</v>
      </c>
      <c r="AM398" s="420">
        <v>1</v>
      </c>
      <c r="AN398" t="s">
        <v>17650</v>
      </c>
      <c r="AO398" t="s">
        <v>17651</v>
      </c>
      <c r="AP398" t="s">
        <v>17652</v>
      </c>
      <c r="AQ398" t="s">
        <v>17653</v>
      </c>
      <c r="AR398" t="s">
        <v>1024</v>
      </c>
    </row>
    <row r="399" spans="1:44" x14ac:dyDescent="0.25">
      <c r="A399" t="s">
        <v>16431</v>
      </c>
      <c r="B399" t="s">
        <v>16491</v>
      </c>
      <c r="C399" s="410" t="s">
        <v>10</v>
      </c>
      <c r="D399" t="s">
        <v>20338</v>
      </c>
      <c r="E399" t="s">
        <v>192</v>
      </c>
      <c r="F399" s="534">
        <v>1</v>
      </c>
      <c r="G399" t="s">
        <v>193</v>
      </c>
      <c r="H399" t="s">
        <v>194</v>
      </c>
      <c r="I399" t="s">
        <v>20405</v>
      </c>
      <c r="J399" t="s">
        <v>367</v>
      </c>
      <c r="K399" s="28" t="s">
        <v>9309</v>
      </c>
      <c r="L399" t="s">
        <v>6955</v>
      </c>
      <c r="N399" t="s">
        <v>21952</v>
      </c>
      <c r="O399" t="s">
        <v>6261</v>
      </c>
      <c r="P399" t="s">
        <v>20398</v>
      </c>
      <c r="Q399" t="s">
        <v>20399</v>
      </c>
      <c r="R399" t="s">
        <v>20400</v>
      </c>
      <c r="S399" t="s">
        <v>21953</v>
      </c>
      <c r="T399" t="s">
        <v>21954</v>
      </c>
      <c r="V399" s="28" t="s">
        <v>9974</v>
      </c>
      <c r="W399" t="s">
        <v>484</v>
      </c>
      <c r="X399" t="s">
        <v>194</v>
      </c>
      <c r="Y399" s="28" t="s">
        <v>9300</v>
      </c>
      <c r="AB399" t="s">
        <v>9311</v>
      </c>
      <c r="AH399" t="s">
        <v>4714</v>
      </c>
      <c r="AI399" t="s">
        <v>16491</v>
      </c>
      <c r="AJ399" s="28" t="str">
        <f t="shared" si="12"/>
        <v>251401</v>
      </c>
      <c r="AK399" s="420">
        <v>1</v>
      </c>
      <c r="AL399" s="420">
        <f t="shared" si="13"/>
        <v>1</v>
      </c>
      <c r="AM399" s="420">
        <v>1</v>
      </c>
      <c r="AN399" t="s">
        <v>17650</v>
      </c>
      <c r="AO399" t="s">
        <v>17651</v>
      </c>
      <c r="AP399" t="s">
        <v>17652</v>
      </c>
      <c r="AQ399" t="s">
        <v>17653</v>
      </c>
      <c r="AR399" t="s">
        <v>1024</v>
      </c>
    </row>
    <row r="400" spans="1:44" x14ac:dyDescent="0.25">
      <c r="A400" t="s">
        <v>493</v>
      </c>
      <c r="B400" t="s">
        <v>21955</v>
      </c>
      <c r="C400" s="410" t="s">
        <v>10</v>
      </c>
      <c r="D400" t="s">
        <v>20338</v>
      </c>
      <c r="E400" t="s">
        <v>192</v>
      </c>
      <c r="F400" s="534">
        <v>1</v>
      </c>
      <c r="G400" t="s">
        <v>193</v>
      </c>
      <c r="H400" t="s">
        <v>194</v>
      </c>
      <c r="I400" t="s">
        <v>20405</v>
      </c>
      <c r="J400" t="s">
        <v>210</v>
      </c>
      <c r="K400" s="28" t="s">
        <v>9309</v>
      </c>
      <c r="L400" t="s">
        <v>6955</v>
      </c>
      <c r="N400" t="s">
        <v>21956</v>
      </c>
      <c r="O400" t="s">
        <v>6261</v>
      </c>
      <c r="P400" t="s">
        <v>20398</v>
      </c>
      <c r="Q400" t="s">
        <v>20399</v>
      </c>
      <c r="R400" t="s">
        <v>20400</v>
      </c>
      <c r="S400" t="s">
        <v>21957</v>
      </c>
      <c r="T400" t="s">
        <v>21958</v>
      </c>
      <c r="V400" s="28" t="s">
        <v>9334</v>
      </c>
      <c r="W400" t="s">
        <v>484</v>
      </c>
      <c r="X400" t="s">
        <v>194</v>
      </c>
      <c r="Y400" s="28" t="s">
        <v>9300</v>
      </c>
      <c r="AB400" t="s">
        <v>9311</v>
      </c>
      <c r="AH400" t="s">
        <v>4714</v>
      </c>
      <c r="AI400" t="s">
        <v>21955</v>
      </c>
      <c r="AJ400" s="28" t="str">
        <f t="shared" si="12"/>
        <v>251401</v>
      </c>
      <c r="AK400" s="420">
        <v>1</v>
      </c>
      <c r="AL400" s="420">
        <f t="shared" si="13"/>
        <v>1</v>
      </c>
      <c r="AM400" s="420">
        <v>1</v>
      </c>
      <c r="AN400" t="s">
        <v>17650</v>
      </c>
      <c r="AO400" t="s">
        <v>17651</v>
      </c>
      <c r="AP400" t="s">
        <v>17652</v>
      </c>
      <c r="AQ400" t="s">
        <v>17653</v>
      </c>
      <c r="AR400" t="s">
        <v>1024</v>
      </c>
    </row>
    <row r="401" spans="1:44" x14ac:dyDescent="0.25">
      <c r="A401" t="s">
        <v>1748</v>
      </c>
      <c r="B401" t="s">
        <v>21959</v>
      </c>
      <c r="C401" s="410" t="s">
        <v>10</v>
      </c>
      <c r="D401" t="s">
        <v>20338</v>
      </c>
      <c r="E401" t="s">
        <v>192</v>
      </c>
      <c r="F401" s="534">
        <v>1</v>
      </c>
      <c r="G401" t="s">
        <v>193</v>
      </c>
      <c r="H401" t="s">
        <v>194</v>
      </c>
      <c r="I401" t="s">
        <v>20483</v>
      </c>
      <c r="J401" t="s">
        <v>210</v>
      </c>
      <c r="K401" s="28" t="s">
        <v>9309</v>
      </c>
      <c r="L401" t="s">
        <v>6955</v>
      </c>
      <c r="N401" t="s">
        <v>21960</v>
      </c>
      <c r="O401" t="s">
        <v>6295</v>
      </c>
      <c r="P401" t="s">
        <v>20398</v>
      </c>
      <c r="Q401" t="s">
        <v>20399</v>
      </c>
      <c r="R401" t="s">
        <v>20400</v>
      </c>
      <c r="S401" t="s">
        <v>21961</v>
      </c>
      <c r="T401" t="s">
        <v>21962</v>
      </c>
      <c r="V401" s="28" t="s">
        <v>9334</v>
      </c>
      <c r="W401" t="s">
        <v>484</v>
      </c>
      <c r="X401" t="s">
        <v>194</v>
      </c>
      <c r="Y401" s="28" t="s">
        <v>9300</v>
      </c>
      <c r="AB401" t="s">
        <v>9311</v>
      </c>
      <c r="AH401" t="s">
        <v>4714</v>
      </c>
      <c r="AI401" t="s">
        <v>21959</v>
      </c>
      <c r="AJ401" s="28" t="str">
        <f t="shared" si="12"/>
        <v>251401</v>
      </c>
      <c r="AK401" s="420">
        <v>1</v>
      </c>
      <c r="AL401" s="420">
        <f t="shared" si="13"/>
        <v>1</v>
      </c>
      <c r="AM401" s="420">
        <v>1</v>
      </c>
      <c r="AN401" t="s">
        <v>17650</v>
      </c>
      <c r="AO401" t="s">
        <v>17651</v>
      </c>
      <c r="AP401" t="s">
        <v>17652</v>
      </c>
      <c r="AQ401" t="s">
        <v>17653</v>
      </c>
      <c r="AR401" t="s">
        <v>1024</v>
      </c>
    </row>
    <row r="402" spans="1:44" x14ac:dyDescent="0.25">
      <c r="A402" t="s">
        <v>21963</v>
      </c>
      <c r="B402" t="s">
        <v>21964</v>
      </c>
      <c r="C402" s="410" t="s">
        <v>10</v>
      </c>
      <c r="D402" t="s">
        <v>20306</v>
      </c>
      <c r="E402" t="s">
        <v>217</v>
      </c>
      <c r="F402" s="534">
        <v>1</v>
      </c>
      <c r="G402" t="s">
        <v>194</v>
      </c>
      <c r="H402" t="s">
        <v>193</v>
      </c>
      <c r="I402" t="s">
        <v>20322</v>
      </c>
      <c r="J402" t="s">
        <v>6080</v>
      </c>
      <c r="K402" s="28" t="s">
        <v>9309</v>
      </c>
      <c r="L402" t="s">
        <v>6955</v>
      </c>
      <c r="N402" t="s">
        <v>21965</v>
      </c>
      <c r="O402" t="s">
        <v>6340</v>
      </c>
      <c r="P402" t="s">
        <v>20688</v>
      </c>
      <c r="Q402" t="s">
        <v>20310</v>
      </c>
      <c r="R402" t="s">
        <v>21966</v>
      </c>
      <c r="S402" t="s">
        <v>21967</v>
      </c>
      <c r="T402" t="s">
        <v>21968</v>
      </c>
      <c r="W402" t="s">
        <v>484</v>
      </c>
      <c r="X402" t="s">
        <v>193</v>
      </c>
      <c r="Y402" s="28" t="s">
        <v>9310</v>
      </c>
      <c r="AB402" t="s">
        <v>9311</v>
      </c>
      <c r="AH402" t="s">
        <v>4714</v>
      </c>
      <c r="AI402" t="s">
        <v>9433</v>
      </c>
      <c r="AJ402" s="28" t="str">
        <f t="shared" si="12"/>
        <v>251401</v>
      </c>
      <c r="AK402" s="420">
        <v>1</v>
      </c>
      <c r="AL402" s="420">
        <f t="shared" si="13"/>
        <v>1</v>
      </c>
      <c r="AM402" s="420">
        <v>1</v>
      </c>
      <c r="AN402" t="s">
        <v>17650</v>
      </c>
      <c r="AO402" t="s">
        <v>17651</v>
      </c>
      <c r="AP402" t="s">
        <v>17652</v>
      </c>
      <c r="AQ402" t="s">
        <v>17653</v>
      </c>
      <c r="AR402" t="s">
        <v>1024</v>
      </c>
    </row>
    <row r="403" spans="1:44" x14ac:dyDescent="0.25">
      <c r="A403" t="s">
        <v>4969</v>
      </c>
      <c r="B403" t="s">
        <v>21969</v>
      </c>
      <c r="C403" s="410" t="s">
        <v>10</v>
      </c>
      <c r="D403" t="s">
        <v>20306</v>
      </c>
      <c r="E403" t="s">
        <v>192</v>
      </c>
      <c r="F403" s="534">
        <v>1</v>
      </c>
      <c r="G403" t="s">
        <v>193</v>
      </c>
      <c r="H403" t="s">
        <v>194</v>
      </c>
      <c r="I403" t="s">
        <v>20437</v>
      </c>
      <c r="J403" t="s">
        <v>9302</v>
      </c>
      <c r="K403" s="28" t="s">
        <v>9309</v>
      </c>
      <c r="L403" t="s">
        <v>6955</v>
      </c>
      <c r="N403" t="s">
        <v>21970</v>
      </c>
      <c r="O403" t="s">
        <v>6261</v>
      </c>
      <c r="P403" t="s">
        <v>20309</v>
      </c>
      <c r="Q403" t="s">
        <v>20310</v>
      </c>
      <c r="R403" t="s">
        <v>20311</v>
      </c>
      <c r="S403" t="s">
        <v>21971</v>
      </c>
      <c r="T403" t="s">
        <v>21972</v>
      </c>
      <c r="W403" t="s">
        <v>484</v>
      </c>
      <c r="X403" t="s">
        <v>193</v>
      </c>
      <c r="Y403" s="28" t="s">
        <v>9310</v>
      </c>
      <c r="AB403" t="s">
        <v>9311</v>
      </c>
      <c r="AH403" t="s">
        <v>4714</v>
      </c>
      <c r="AI403" t="s">
        <v>21969</v>
      </c>
      <c r="AJ403" s="28" t="str">
        <f t="shared" si="12"/>
        <v>251401</v>
      </c>
      <c r="AK403" s="420">
        <v>1</v>
      </c>
      <c r="AL403" s="420">
        <f t="shared" si="13"/>
        <v>1</v>
      </c>
      <c r="AM403" s="420">
        <v>1</v>
      </c>
      <c r="AN403" t="s">
        <v>17650</v>
      </c>
      <c r="AO403" t="s">
        <v>17651</v>
      </c>
      <c r="AP403" t="s">
        <v>17652</v>
      </c>
      <c r="AQ403" t="s">
        <v>17653</v>
      </c>
      <c r="AR403" t="s">
        <v>1024</v>
      </c>
    </row>
    <row r="404" spans="1:44" x14ac:dyDescent="0.25">
      <c r="A404" t="s">
        <v>4969</v>
      </c>
      <c r="B404" t="s">
        <v>21973</v>
      </c>
      <c r="C404" s="410" t="s">
        <v>10</v>
      </c>
      <c r="D404" t="s">
        <v>20306</v>
      </c>
      <c r="E404" t="s">
        <v>192</v>
      </c>
      <c r="F404" s="534">
        <v>1</v>
      </c>
      <c r="G404" t="s">
        <v>193</v>
      </c>
      <c r="H404" t="s">
        <v>194</v>
      </c>
      <c r="I404" t="s">
        <v>20437</v>
      </c>
      <c r="J404" t="s">
        <v>9302</v>
      </c>
      <c r="K404" s="28" t="s">
        <v>9309</v>
      </c>
      <c r="L404" t="s">
        <v>6955</v>
      </c>
      <c r="N404" t="s">
        <v>21974</v>
      </c>
      <c r="O404" t="s">
        <v>6261</v>
      </c>
      <c r="P404" t="s">
        <v>20309</v>
      </c>
      <c r="Q404" t="s">
        <v>20310</v>
      </c>
      <c r="R404" t="s">
        <v>20311</v>
      </c>
      <c r="S404" t="s">
        <v>21975</v>
      </c>
      <c r="T404" t="s">
        <v>21976</v>
      </c>
      <c r="W404" t="s">
        <v>484</v>
      </c>
      <c r="X404" t="s">
        <v>193</v>
      </c>
      <c r="Y404" s="28" t="s">
        <v>9310</v>
      </c>
      <c r="AB404" t="s">
        <v>9311</v>
      </c>
      <c r="AH404" t="s">
        <v>4714</v>
      </c>
      <c r="AI404" t="s">
        <v>21973</v>
      </c>
      <c r="AJ404" s="28" t="str">
        <f t="shared" si="12"/>
        <v>251401</v>
      </c>
      <c r="AK404" s="420">
        <v>1</v>
      </c>
      <c r="AL404" s="420">
        <f t="shared" si="13"/>
        <v>1</v>
      </c>
      <c r="AM404" s="420">
        <v>1</v>
      </c>
      <c r="AN404" t="s">
        <v>17650</v>
      </c>
      <c r="AO404" t="s">
        <v>17651</v>
      </c>
      <c r="AP404" t="s">
        <v>17652</v>
      </c>
      <c r="AQ404" t="s">
        <v>17653</v>
      </c>
      <c r="AR404" t="s">
        <v>1024</v>
      </c>
    </row>
    <row r="405" spans="1:44" x14ac:dyDescent="0.25">
      <c r="A405" t="s">
        <v>11612</v>
      </c>
      <c r="B405" t="s">
        <v>21977</v>
      </c>
      <c r="C405" s="410" t="s">
        <v>10</v>
      </c>
      <c r="D405" t="s">
        <v>20306</v>
      </c>
      <c r="E405" t="s">
        <v>192</v>
      </c>
      <c r="F405" s="534">
        <v>1</v>
      </c>
      <c r="G405" t="s">
        <v>193</v>
      </c>
      <c r="H405" t="s">
        <v>194</v>
      </c>
      <c r="I405" t="s">
        <v>20307</v>
      </c>
      <c r="J405" t="s">
        <v>9302</v>
      </c>
      <c r="K405" s="28" t="s">
        <v>9309</v>
      </c>
      <c r="L405" t="s">
        <v>6955</v>
      </c>
      <c r="N405" t="s">
        <v>21978</v>
      </c>
      <c r="O405" t="s">
        <v>6261</v>
      </c>
      <c r="P405" t="s">
        <v>20309</v>
      </c>
      <c r="Q405" t="s">
        <v>20310</v>
      </c>
      <c r="R405" t="s">
        <v>20311</v>
      </c>
      <c r="S405" t="s">
        <v>21979</v>
      </c>
      <c r="T405" t="s">
        <v>21980</v>
      </c>
      <c r="W405" t="s">
        <v>484</v>
      </c>
      <c r="X405" t="s">
        <v>193</v>
      </c>
      <c r="Y405" s="28" t="s">
        <v>9310</v>
      </c>
      <c r="AB405" t="s">
        <v>9311</v>
      </c>
      <c r="AH405" t="s">
        <v>5109</v>
      </c>
      <c r="AI405" t="s">
        <v>21977</v>
      </c>
      <c r="AJ405" s="28" t="str">
        <f t="shared" si="12"/>
        <v>251401</v>
      </c>
      <c r="AK405" s="420">
        <v>1</v>
      </c>
      <c r="AL405" s="420">
        <f t="shared" si="13"/>
        <v>1</v>
      </c>
      <c r="AM405" s="420">
        <v>1</v>
      </c>
      <c r="AN405" t="s">
        <v>17650</v>
      </c>
      <c r="AO405" t="s">
        <v>17651</v>
      </c>
      <c r="AP405" t="s">
        <v>17652</v>
      </c>
      <c r="AQ405" t="s">
        <v>17653</v>
      </c>
      <c r="AR405" t="s">
        <v>1024</v>
      </c>
    </row>
    <row r="406" spans="1:44" x14ac:dyDescent="0.25">
      <c r="A406" t="s">
        <v>4969</v>
      </c>
      <c r="B406" t="s">
        <v>21981</v>
      </c>
      <c r="C406" s="410" t="s">
        <v>10</v>
      </c>
      <c r="D406" t="s">
        <v>20306</v>
      </c>
      <c r="E406" t="s">
        <v>192</v>
      </c>
      <c r="F406" s="534">
        <v>1</v>
      </c>
      <c r="G406" t="s">
        <v>193</v>
      </c>
      <c r="H406" t="s">
        <v>194</v>
      </c>
      <c r="I406" t="s">
        <v>20483</v>
      </c>
      <c r="J406" t="s">
        <v>9302</v>
      </c>
      <c r="K406" s="28" t="s">
        <v>9309</v>
      </c>
      <c r="L406" t="s">
        <v>6955</v>
      </c>
      <c r="N406" t="s">
        <v>21982</v>
      </c>
      <c r="O406" t="s">
        <v>6921</v>
      </c>
      <c r="P406" t="s">
        <v>20309</v>
      </c>
      <c r="Q406" t="s">
        <v>20310</v>
      </c>
      <c r="R406" t="s">
        <v>20311</v>
      </c>
      <c r="S406" t="s">
        <v>21983</v>
      </c>
      <c r="T406" t="s">
        <v>21984</v>
      </c>
      <c r="W406" t="s">
        <v>484</v>
      </c>
      <c r="X406" t="s">
        <v>193</v>
      </c>
      <c r="Y406" s="28" t="s">
        <v>9310</v>
      </c>
      <c r="AB406" t="s">
        <v>9311</v>
      </c>
      <c r="AH406" t="s">
        <v>4714</v>
      </c>
      <c r="AI406" t="s">
        <v>21981</v>
      </c>
      <c r="AJ406" s="28" t="str">
        <f t="shared" si="12"/>
        <v>251401</v>
      </c>
      <c r="AK406" s="420">
        <v>1</v>
      </c>
      <c r="AL406" s="420">
        <f t="shared" si="13"/>
        <v>1</v>
      </c>
      <c r="AM406" s="420">
        <v>1</v>
      </c>
      <c r="AN406" t="s">
        <v>17650</v>
      </c>
      <c r="AO406" t="s">
        <v>17651</v>
      </c>
      <c r="AP406" t="s">
        <v>17652</v>
      </c>
      <c r="AQ406" t="s">
        <v>17653</v>
      </c>
      <c r="AR406" t="s">
        <v>1024</v>
      </c>
    </row>
    <row r="407" spans="1:44" x14ac:dyDescent="0.25">
      <c r="A407" t="s">
        <v>11473</v>
      </c>
      <c r="B407" t="s">
        <v>21985</v>
      </c>
      <c r="C407" s="410" t="s">
        <v>10</v>
      </c>
      <c r="D407" t="s">
        <v>20306</v>
      </c>
      <c r="E407" t="s">
        <v>192</v>
      </c>
      <c r="F407" s="534">
        <v>1</v>
      </c>
      <c r="G407" t="s">
        <v>193</v>
      </c>
      <c r="H407" t="s">
        <v>194</v>
      </c>
      <c r="I407" t="s">
        <v>20437</v>
      </c>
      <c r="J407" t="s">
        <v>9302</v>
      </c>
      <c r="K407" s="28" t="s">
        <v>9309</v>
      </c>
      <c r="L407" t="s">
        <v>6955</v>
      </c>
      <c r="N407" t="s">
        <v>21986</v>
      </c>
      <c r="O407" t="s">
        <v>6261</v>
      </c>
      <c r="P407" t="s">
        <v>20309</v>
      </c>
      <c r="Q407" t="s">
        <v>20310</v>
      </c>
      <c r="R407" t="s">
        <v>20311</v>
      </c>
      <c r="S407" t="s">
        <v>21987</v>
      </c>
      <c r="T407" t="s">
        <v>21988</v>
      </c>
      <c r="W407" t="s">
        <v>484</v>
      </c>
      <c r="X407" t="s">
        <v>193</v>
      </c>
      <c r="Y407" s="28" t="s">
        <v>9310</v>
      </c>
      <c r="AB407" t="s">
        <v>9311</v>
      </c>
      <c r="AH407" t="s">
        <v>4714</v>
      </c>
      <c r="AI407" t="s">
        <v>21985</v>
      </c>
      <c r="AJ407" s="28" t="str">
        <f t="shared" si="12"/>
        <v>251401</v>
      </c>
      <c r="AK407" s="420">
        <v>1</v>
      </c>
      <c r="AL407" s="420">
        <f t="shared" si="13"/>
        <v>1</v>
      </c>
      <c r="AM407" s="420">
        <v>1</v>
      </c>
      <c r="AN407" t="s">
        <v>17650</v>
      </c>
      <c r="AO407" t="s">
        <v>17651</v>
      </c>
      <c r="AP407" t="s">
        <v>17652</v>
      </c>
      <c r="AQ407" t="s">
        <v>17653</v>
      </c>
      <c r="AR407" t="s">
        <v>1024</v>
      </c>
    </row>
    <row r="408" spans="1:44" x14ac:dyDescent="0.25">
      <c r="A408" t="s">
        <v>14864</v>
      </c>
      <c r="B408" t="s">
        <v>21989</v>
      </c>
      <c r="C408" s="410" t="s">
        <v>10</v>
      </c>
      <c r="D408" t="s">
        <v>20306</v>
      </c>
      <c r="E408" t="s">
        <v>192</v>
      </c>
      <c r="F408" s="534">
        <v>1</v>
      </c>
      <c r="G408" t="s">
        <v>193</v>
      </c>
      <c r="H408" t="s">
        <v>194</v>
      </c>
      <c r="I408" t="s">
        <v>20437</v>
      </c>
      <c r="J408" t="s">
        <v>9302</v>
      </c>
      <c r="K408" s="28" t="s">
        <v>9309</v>
      </c>
      <c r="L408" t="s">
        <v>6955</v>
      </c>
      <c r="N408" t="s">
        <v>21990</v>
      </c>
      <c r="O408" t="s">
        <v>6921</v>
      </c>
      <c r="P408" t="s">
        <v>20309</v>
      </c>
      <c r="Q408" t="s">
        <v>20310</v>
      </c>
      <c r="R408" t="s">
        <v>20311</v>
      </c>
      <c r="S408" t="s">
        <v>21991</v>
      </c>
      <c r="T408" t="s">
        <v>21992</v>
      </c>
      <c r="W408" t="s">
        <v>484</v>
      </c>
      <c r="X408" t="s">
        <v>193</v>
      </c>
      <c r="Y408" s="28" t="s">
        <v>9310</v>
      </c>
      <c r="AB408" t="s">
        <v>9311</v>
      </c>
      <c r="AH408" t="s">
        <v>4714</v>
      </c>
      <c r="AI408" t="s">
        <v>21989</v>
      </c>
      <c r="AJ408" s="28" t="str">
        <f t="shared" si="12"/>
        <v>251401</v>
      </c>
      <c r="AK408" s="420">
        <v>1</v>
      </c>
      <c r="AL408" s="420">
        <f t="shared" si="13"/>
        <v>1</v>
      </c>
      <c r="AM408" s="420">
        <v>1</v>
      </c>
      <c r="AN408" t="s">
        <v>17650</v>
      </c>
      <c r="AO408" t="s">
        <v>17651</v>
      </c>
      <c r="AP408" t="s">
        <v>17652</v>
      </c>
      <c r="AQ408" t="s">
        <v>17653</v>
      </c>
      <c r="AR408" t="s">
        <v>1024</v>
      </c>
    </row>
    <row r="409" spans="1:44" x14ac:dyDescent="0.25">
      <c r="A409" t="s">
        <v>20894</v>
      </c>
      <c r="B409" t="s">
        <v>21993</v>
      </c>
      <c r="C409" s="410" t="s">
        <v>10</v>
      </c>
      <c r="D409" t="s">
        <v>20306</v>
      </c>
      <c r="E409" t="s">
        <v>192</v>
      </c>
      <c r="F409" s="534">
        <v>1</v>
      </c>
      <c r="G409" t="s">
        <v>193</v>
      </c>
      <c r="H409" t="s">
        <v>194</v>
      </c>
      <c r="I409" t="s">
        <v>20322</v>
      </c>
      <c r="J409" t="s">
        <v>9302</v>
      </c>
      <c r="K409" s="28" t="s">
        <v>9309</v>
      </c>
      <c r="L409" t="s">
        <v>6955</v>
      </c>
      <c r="N409" t="s">
        <v>21994</v>
      </c>
      <c r="O409" t="s">
        <v>6261</v>
      </c>
      <c r="P409" t="s">
        <v>20309</v>
      </c>
      <c r="Q409" t="s">
        <v>20310</v>
      </c>
      <c r="R409" t="s">
        <v>20311</v>
      </c>
      <c r="S409" t="s">
        <v>21995</v>
      </c>
      <c r="T409" t="s">
        <v>21996</v>
      </c>
      <c r="W409" t="s">
        <v>484</v>
      </c>
      <c r="X409" t="s">
        <v>193</v>
      </c>
      <c r="Y409" s="28" t="s">
        <v>9310</v>
      </c>
      <c r="AB409" t="s">
        <v>9311</v>
      </c>
      <c r="AH409" t="s">
        <v>4714</v>
      </c>
      <c r="AI409" t="s">
        <v>21993</v>
      </c>
      <c r="AJ409" s="28" t="str">
        <f t="shared" si="12"/>
        <v>251401</v>
      </c>
      <c r="AK409" s="420">
        <v>1</v>
      </c>
      <c r="AL409" s="420">
        <f t="shared" si="13"/>
        <v>1</v>
      </c>
      <c r="AM409" s="420">
        <v>1</v>
      </c>
      <c r="AN409" t="s">
        <v>17650</v>
      </c>
      <c r="AO409" t="s">
        <v>17651</v>
      </c>
      <c r="AP409" t="s">
        <v>17652</v>
      </c>
      <c r="AQ409" t="s">
        <v>17653</v>
      </c>
      <c r="AR409" t="s">
        <v>1024</v>
      </c>
    </row>
    <row r="410" spans="1:44" x14ac:dyDescent="0.25">
      <c r="A410" t="s">
        <v>21856</v>
      </c>
      <c r="B410" t="s">
        <v>21997</v>
      </c>
      <c r="C410" s="410" t="s">
        <v>10</v>
      </c>
      <c r="D410" t="s">
        <v>20306</v>
      </c>
      <c r="E410" t="s">
        <v>192</v>
      </c>
      <c r="F410" s="534">
        <v>1</v>
      </c>
      <c r="G410" t="s">
        <v>193</v>
      </c>
      <c r="H410" t="s">
        <v>194</v>
      </c>
      <c r="I410" t="s">
        <v>20307</v>
      </c>
      <c r="J410" t="s">
        <v>9302</v>
      </c>
      <c r="K410" s="28" t="s">
        <v>9309</v>
      </c>
      <c r="L410" t="s">
        <v>6955</v>
      </c>
      <c r="N410" t="s">
        <v>21998</v>
      </c>
      <c r="O410" t="s">
        <v>6921</v>
      </c>
      <c r="P410" t="s">
        <v>20309</v>
      </c>
      <c r="Q410" t="s">
        <v>20310</v>
      </c>
      <c r="R410" t="s">
        <v>20311</v>
      </c>
      <c r="S410" t="s">
        <v>21999</v>
      </c>
      <c r="T410" t="s">
        <v>22000</v>
      </c>
      <c r="W410" t="s">
        <v>484</v>
      </c>
      <c r="X410" t="s">
        <v>193</v>
      </c>
      <c r="Y410" s="28" t="s">
        <v>9310</v>
      </c>
      <c r="AB410" t="s">
        <v>9311</v>
      </c>
      <c r="AH410" t="s">
        <v>4714</v>
      </c>
      <c r="AI410" t="s">
        <v>21997</v>
      </c>
      <c r="AJ410" s="28" t="str">
        <f t="shared" si="12"/>
        <v>251401</v>
      </c>
      <c r="AK410" s="420">
        <v>1</v>
      </c>
      <c r="AL410" s="420">
        <f t="shared" si="13"/>
        <v>1</v>
      </c>
      <c r="AM410" s="420">
        <v>1</v>
      </c>
      <c r="AN410" t="s">
        <v>17650</v>
      </c>
      <c r="AO410" t="s">
        <v>17651</v>
      </c>
      <c r="AP410" t="s">
        <v>17652</v>
      </c>
      <c r="AQ410" t="s">
        <v>17653</v>
      </c>
      <c r="AR410" t="s">
        <v>1024</v>
      </c>
    </row>
    <row r="411" spans="1:44" x14ac:dyDescent="0.25">
      <c r="A411" t="s">
        <v>22001</v>
      </c>
      <c r="B411" t="s">
        <v>22002</v>
      </c>
      <c r="C411" s="410" t="s">
        <v>10</v>
      </c>
      <c r="D411" t="s">
        <v>20306</v>
      </c>
      <c r="E411" t="s">
        <v>192</v>
      </c>
      <c r="F411" s="534">
        <v>1</v>
      </c>
      <c r="G411" t="s">
        <v>193</v>
      </c>
      <c r="H411" t="s">
        <v>194</v>
      </c>
      <c r="I411" t="s">
        <v>20307</v>
      </c>
      <c r="J411" t="s">
        <v>9302</v>
      </c>
      <c r="K411" s="28" t="s">
        <v>9309</v>
      </c>
      <c r="L411" t="s">
        <v>6955</v>
      </c>
      <c r="N411" t="s">
        <v>22003</v>
      </c>
      <c r="O411" t="s">
        <v>6921</v>
      </c>
      <c r="P411" t="s">
        <v>20309</v>
      </c>
      <c r="Q411" t="s">
        <v>20310</v>
      </c>
      <c r="R411" t="s">
        <v>20311</v>
      </c>
      <c r="S411" t="s">
        <v>22004</v>
      </c>
      <c r="T411" t="s">
        <v>22005</v>
      </c>
      <c r="W411" t="s">
        <v>484</v>
      </c>
      <c r="X411" t="s">
        <v>193</v>
      </c>
      <c r="Y411" s="28" t="s">
        <v>9310</v>
      </c>
      <c r="AB411" t="s">
        <v>9311</v>
      </c>
      <c r="AH411" t="s">
        <v>4714</v>
      </c>
      <c r="AI411" t="s">
        <v>22002</v>
      </c>
      <c r="AJ411" s="28" t="str">
        <f t="shared" si="12"/>
        <v>251401</v>
      </c>
      <c r="AK411" s="420">
        <v>1</v>
      </c>
      <c r="AL411" s="420">
        <f t="shared" si="13"/>
        <v>1</v>
      </c>
      <c r="AM411" s="420">
        <v>1</v>
      </c>
      <c r="AN411" t="s">
        <v>17650</v>
      </c>
      <c r="AO411" t="s">
        <v>17651</v>
      </c>
      <c r="AP411" t="s">
        <v>17652</v>
      </c>
      <c r="AQ411" t="s">
        <v>17653</v>
      </c>
      <c r="AR411" t="s">
        <v>1024</v>
      </c>
    </row>
    <row r="412" spans="1:44" x14ac:dyDescent="0.25">
      <c r="A412" t="s">
        <v>22006</v>
      </c>
      <c r="B412" t="s">
        <v>22007</v>
      </c>
      <c r="C412" s="410" t="s">
        <v>10</v>
      </c>
      <c r="D412" t="s">
        <v>20306</v>
      </c>
      <c r="E412" t="s">
        <v>192</v>
      </c>
      <c r="F412" s="534">
        <v>1</v>
      </c>
      <c r="G412" t="s">
        <v>193</v>
      </c>
      <c r="H412" t="s">
        <v>194</v>
      </c>
      <c r="I412" t="s">
        <v>20307</v>
      </c>
      <c r="J412" t="s">
        <v>210</v>
      </c>
      <c r="K412" s="28" t="s">
        <v>9309</v>
      </c>
      <c r="L412" t="s">
        <v>6955</v>
      </c>
      <c r="N412" t="s">
        <v>22008</v>
      </c>
      <c r="O412" t="s">
        <v>6261</v>
      </c>
      <c r="P412" t="s">
        <v>20309</v>
      </c>
      <c r="Q412" t="s">
        <v>20310</v>
      </c>
      <c r="R412" t="s">
        <v>20311</v>
      </c>
      <c r="S412" t="s">
        <v>22009</v>
      </c>
      <c r="T412" t="s">
        <v>22010</v>
      </c>
      <c r="V412" s="28" t="s">
        <v>9334</v>
      </c>
      <c r="W412" t="s">
        <v>484</v>
      </c>
      <c r="X412" t="s">
        <v>194</v>
      </c>
      <c r="Y412" s="28" t="s">
        <v>9300</v>
      </c>
      <c r="AB412" t="s">
        <v>9311</v>
      </c>
      <c r="AH412" t="s">
        <v>4714</v>
      </c>
      <c r="AI412" t="s">
        <v>22007</v>
      </c>
      <c r="AJ412" s="28" t="str">
        <f t="shared" si="12"/>
        <v>251401</v>
      </c>
      <c r="AK412" s="420">
        <v>1</v>
      </c>
      <c r="AL412" s="420">
        <f t="shared" si="13"/>
        <v>1</v>
      </c>
      <c r="AM412" s="420">
        <v>1</v>
      </c>
      <c r="AN412" t="s">
        <v>17650</v>
      </c>
      <c r="AO412" t="s">
        <v>17651</v>
      </c>
      <c r="AP412" t="s">
        <v>17652</v>
      </c>
      <c r="AQ412" t="s">
        <v>17653</v>
      </c>
      <c r="AR412" t="s">
        <v>1024</v>
      </c>
    </row>
    <row r="413" spans="1:44" x14ac:dyDescent="0.25">
      <c r="A413" t="s">
        <v>22006</v>
      </c>
      <c r="B413" t="s">
        <v>22011</v>
      </c>
      <c r="C413" s="410" t="s">
        <v>10</v>
      </c>
      <c r="D413" t="s">
        <v>20306</v>
      </c>
      <c r="E413" t="s">
        <v>192</v>
      </c>
      <c r="F413" s="534">
        <v>1</v>
      </c>
      <c r="G413" t="s">
        <v>193</v>
      </c>
      <c r="H413" t="s">
        <v>194</v>
      </c>
      <c r="I413" t="s">
        <v>20483</v>
      </c>
      <c r="J413" t="s">
        <v>210</v>
      </c>
      <c r="K413" s="28" t="s">
        <v>9309</v>
      </c>
      <c r="L413" t="s">
        <v>6955</v>
      </c>
      <c r="N413" t="s">
        <v>22012</v>
      </c>
      <c r="O413" t="s">
        <v>6261</v>
      </c>
      <c r="P413" t="s">
        <v>20309</v>
      </c>
      <c r="Q413" t="s">
        <v>20310</v>
      </c>
      <c r="R413" t="s">
        <v>20311</v>
      </c>
      <c r="S413" t="s">
        <v>22013</v>
      </c>
      <c r="T413" t="s">
        <v>22014</v>
      </c>
      <c r="V413" s="28" t="s">
        <v>9334</v>
      </c>
      <c r="W413" t="s">
        <v>484</v>
      </c>
      <c r="X413" t="s">
        <v>194</v>
      </c>
      <c r="Y413" s="28" t="s">
        <v>9300</v>
      </c>
      <c r="AB413" t="s">
        <v>9311</v>
      </c>
      <c r="AH413" t="s">
        <v>4714</v>
      </c>
      <c r="AI413" t="s">
        <v>22011</v>
      </c>
      <c r="AJ413" s="28" t="str">
        <f t="shared" si="12"/>
        <v>251401</v>
      </c>
      <c r="AK413" s="420">
        <v>1</v>
      </c>
      <c r="AL413" s="420">
        <f t="shared" si="13"/>
        <v>1</v>
      </c>
      <c r="AM413" s="420">
        <v>1</v>
      </c>
      <c r="AN413" t="s">
        <v>17650</v>
      </c>
      <c r="AO413" t="s">
        <v>17651</v>
      </c>
      <c r="AP413" t="s">
        <v>17652</v>
      </c>
      <c r="AQ413" t="s">
        <v>17653</v>
      </c>
      <c r="AR413" t="s">
        <v>1024</v>
      </c>
    </row>
    <row r="414" spans="1:44" x14ac:dyDescent="0.25">
      <c r="A414" t="s">
        <v>4077</v>
      </c>
      <c r="B414" t="s">
        <v>22015</v>
      </c>
      <c r="C414" s="410" t="s">
        <v>10</v>
      </c>
      <c r="D414" t="s">
        <v>20306</v>
      </c>
      <c r="E414" t="s">
        <v>192</v>
      </c>
      <c r="F414" s="534">
        <v>1</v>
      </c>
      <c r="G414" t="s">
        <v>193</v>
      </c>
      <c r="H414" t="s">
        <v>194</v>
      </c>
      <c r="I414" t="s">
        <v>20483</v>
      </c>
      <c r="J414" t="s">
        <v>210</v>
      </c>
      <c r="K414" s="28" t="s">
        <v>9309</v>
      </c>
      <c r="L414" t="s">
        <v>6955</v>
      </c>
      <c r="N414" t="s">
        <v>22016</v>
      </c>
      <c r="O414" t="s">
        <v>6295</v>
      </c>
      <c r="P414" t="s">
        <v>20309</v>
      </c>
      <c r="Q414" t="s">
        <v>20310</v>
      </c>
      <c r="R414" t="s">
        <v>20311</v>
      </c>
      <c r="S414" t="s">
        <v>22017</v>
      </c>
      <c r="T414" t="s">
        <v>22018</v>
      </c>
      <c r="V414" s="28" t="s">
        <v>9334</v>
      </c>
      <c r="W414" t="s">
        <v>484</v>
      </c>
      <c r="X414" t="s">
        <v>194</v>
      </c>
      <c r="Y414" s="28" t="s">
        <v>9300</v>
      </c>
      <c r="AB414" t="s">
        <v>9311</v>
      </c>
      <c r="AH414" t="s">
        <v>4714</v>
      </c>
      <c r="AI414" t="s">
        <v>22015</v>
      </c>
      <c r="AJ414" s="28" t="str">
        <f t="shared" si="12"/>
        <v>251401</v>
      </c>
      <c r="AK414" s="420">
        <v>1</v>
      </c>
      <c r="AL414" s="420">
        <f t="shared" si="13"/>
        <v>1</v>
      </c>
      <c r="AM414" s="420">
        <v>1</v>
      </c>
      <c r="AN414" t="s">
        <v>17650</v>
      </c>
      <c r="AO414" t="s">
        <v>17651</v>
      </c>
      <c r="AP414" t="s">
        <v>17652</v>
      </c>
      <c r="AQ414" t="s">
        <v>17653</v>
      </c>
      <c r="AR414" t="s">
        <v>1024</v>
      </c>
    </row>
    <row r="415" spans="1:44" x14ac:dyDescent="0.25">
      <c r="A415" t="s">
        <v>493</v>
      </c>
      <c r="B415" t="s">
        <v>22019</v>
      </c>
      <c r="C415" s="410" t="s">
        <v>10</v>
      </c>
      <c r="D415" t="s">
        <v>20306</v>
      </c>
      <c r="E415" t="s">
        <v>192</v>
      </c>
      <c r="F415" s="534">
        <v>1</v>
      </c>
      <c r="G415" t="s">
        <v>193</v>
      </c>
      <c r="H415" t="s">
        <v>194</v>
      </c>
      <c r="I415" t="s">
        <v>20483</v>
      </c>
      <c r="J415" t="s">
        <v>210</v>
      </c>
      <c r="K415" s="28" t="s">
        <v>9309</v>
      </c>
      <c r="L415" t="s">
        <v>6955</v>
      </c>
      <c r="N415" t="s">
        <v>22020</v>
      </c>
      <c r="O415" t="s">
        <v>6261</v>
      </c>
      <c r="P415" t="s">
        <v>20309</v>
      </c>
      <c r="Q415" t="s">
        <v>20310</v>
      </c>
      <c r="R415" t="s">
        <v>20311</v>
      </c>
      <c r="S415" t="s">
        <v>22021</v>
      </c>
      <c r="T415" t="s">
        <v>22022</v>
      </c>
      <c r="V415" s="28" t="s">
        <v>9334</v>
      </c>
      <c r="W415" t="s">
        <v>484</v>
      </c>
      <c r="X415" t="s">
        <v>194</v>
      </c>
      <c r="Y415" s="28" t="s">
        <v>9300</v>
      </c>
      <c r="AB415" t="s">
        <v>9311</v>
      </c>
      <c r="AH415" t="s">
        <v>4714</v>
      </c>
      <c r="AI415" t="s">
        <v>22019</v>
      </c>
      <c r="AJ415" s="28" t="str">
        <f t="shared" si="12"/>
        <v>251401</v>
      </c>
      <c r="AK415" s="420">
        <v>1</v>
      </c>
      <c r="AL415" s="420">
        <f t="shared" si="13"/>
        <v>1</v>
      </c>
      <c r="AM415" s="420">
        <v>1</v>
      </c>
      <c r="AN415" t="s">
        <v>17650</v>
      </c>
      <c r="AO415" t="s">
        <v>17651</v>
      </c>
      <c r="AP415" t="s">
        <v>17652</v>
      </c>
      <c r="AQ415" t="s">
        <v>17653</v>
      </c>
      <c r="AR415" t="s">
        <v>1024</v>
      </c>
    </row>
    <row r="416" spans="1:44" x14ac:dyDescent="0.25">
      <c r="A416" t="s">
        <v>8074</v>
      </c>
      <c r="B416" t="s">
        <v>22023</v>
      </c>
      <c r="C416" s="410" t="s">
        <v>8953</v>
      </c>
      <c r="D416" t="s">
        <v>20326</v>
      </c>
      <c r="E416" t="s">
        <v>192</v>
      </c>
      <c r="F416" s="534">
        <v>1</v>
      </c>
      <c r="G416" t="s">
        <v>193</v>
      </c>
      <c r="H416" t="s">
        <v>194</v>
      </c>
      <c r="I416" t="s">
        <v>20318</v>
      </c>
      <c r="J416" t="s">
        <v>210</v>
      </c>
      <c r="K416" s="28" t="s">
        <v>9309</v>
      </c>
      <c r="L416" t="s">
        <v>6955</v>
      </c>
      <c r="N416" t="s">
        <v>22024</v>
      </c>
      <c r="O416" t="s">
        <v>6921</v>
      </c>
      <c r="P416" t="s">
        <v>20328</v>
      </c>
      <c r="Q416" t="s">
        <v>20329</v>
      </c>
      <c r="R416" t="s">
        <v>20306</v>
      </c>
      <c r="S416" t="s">
        <v>22025</v>
      </c>
      <c r="T416" t="s">
        <v>22026</v>
      </c>
      <c r="V416" s="28" t="s">
        <v>9334</v>
      </c>
      <c r="W416" t="s">
        <v>8955</v>
      </c>
      <c r="X416" t="s">
        <v>194</v>
      </c>
      <c r="Y416" s="28" t="s">
        <v>9300</v>
      </c>
      <c r="AB416" t="s">
        <v>9311</v>
      </c>
      <c r="AH416" t="s">
        <v>4714</v>
      </c>
      <c r="AI416" t="s">
        <v>22023</v>
      </c>
      <c r="AJ416" s="28" t="str">
        <f t="shared" si="12"/>
        <v>252103</v>
      </c>
      <c r="AK416" s="420">
        <v>1</v>
      </c>
      <c r="AL416" s="420">
        <f t="shared" si="13"/>
        <v>1</v>
      </c>
      <c r="AM416" s="420">
        <v>1</v>
      </c>
      <c r="AN416" t="s">
        <v>17650</v>
      </c>
      <c r="AO416" t="s">
        <v>17651</v>
      </c>
      <c r="AP416" t="s">
        <v>17652</v>
      </c>
      <c r="AQ416" t="s">
        <v>17653</v>
      </c>
      <c r="AR416" t="s">
        <v>1024</v>
      </c>
    </row>
    <row r="417" spans="1:44" x14ac:dyDescent="0.25">
      <c r="A417" t="s">
        <v>8074</v>
      </c>
      <c r="B417" t="s">
        <v>22027</v>
      </c>
      <c r="C417" s="410" t="s">
        <v>8953</v>
      </c>
      <c r="D417" t="s">
        <v>20326</v>
      </c>
      <c r="E417" t="s">
        <v>192</v>
      </c>
      <c r="F417" s="534">
        <v>1</v>
      </c>
      <c r="G417" t="s">
        <v>193</v>
      </c>
      <c r="H417" t="s">
        <v>194</v>
      </c>
      <c r="I417" t="s">
        <v>20338</v>
      </c>
      <c r="J417" t="s">
        <v>210</v>
      </c>
      <c r="K417" s="28" t="s">
        <v>9309</v>
      </c>
      <c r="L417" t="s">
        <v>6955</v>
      </c>
      <c r="N417" t="s">
        <v>22028</v>
      </c>
      <c r="O417" t="s">
        <v>6921</v>
      </c>
      <c r="P417" t="s">
        <v>20328</v>
      </c>
      <c r="Q417" t="s">
        <v>20329</v>
      </c>
      <c r="R417" t="s">
        <v>20306</v>
      </c>
      <c r="S417" t="s">
        <v>22029</v>
      </c>
      <c r="T417" t="s">
        <v>22030</v>
      </c>
      <c r="V417" s="28" t="s">
        <v>9334</v>
      </c>
      <c r="W417" t="s">
        <v>8955</v>
      </c>
      <c r="X417" t="s">
        <v>194</v>
      </c>
      <c r="Y417" s="28" t="s">
        <v>9300</v>
      </c>
      <c r="AB417" t="s">
        <v>9311</v>
      </c>
      <c r="AH417" t="s">
        <v>4714</v>
      </c>
      <c r="AI417" t="s">
        <v>22027</v>
      </c>
      <c r="AJ417" s="28" t="str">
        <f t="shared" si="12"/>
        <v>252103</v>
      </c>
      <c r="AK417" s="420">
        <v>1</v>
      </c>
      <c r="AL417" s="420">
        <f t="shared" si="13"/>
        <v>1</v>
      </c>
      <c r="AM417" s="420">
        <v>1</v>
      </c>
      <c r="AN417" t="s">
        <v>17650</v>
      </c>
      <c r="AO417" t="s">
        <v>17651</v>
      </c>
      <c r="AP417" t="s">
        <v>17652</v>
      </c>
      <c r="AQ417" t="s">
        <v>17653</v>
      </c>
      <c r="AR417" t="s">
        <v>1024</v>
      </c>
    </row>
    <row r="418" spans="1:44" x14ac:dyDescent="0.25">
      <c r="A418" t="s">
        <v>415</v>
      </c>
      <c r="B418" t="s">
        <v>22031</v>
      </c>
      <c r="C418" s="410" t="s">
        <v>8953</v>
      </c>
      <c r="D418" t="s">
        <v>20317</v>
      </c>
      <c r="E418" t="s">
        <v>192</v>
      </c>
      <c r="F418" s="534">
        <v>1</v>
      </c>
      <c r="G418" t="s">
        <v>193</v>
      </c>
      <c r="H418" t="s">
        <v>194</v>
      </c>
      <c r="I418" t="s">
        <v>20338</v>
      </c>
      <c r="J418" t="s">
        <v>9302</v>
      </c>
      <c r="K418" s="28" t="s">
        <v>9309</v>
      </c>
      <c r="L418" t="s">
        <v>6955</v>
      </c>
      <c r="N418" t="s">
        <v>22032</v>
      </c>
      <c r="O418" t="s">
        <v>6261</v>
      </c>
      <c r="P418" t="s">
        <v>20320</v>
      </c>
      <c r="Q418" t="s">
        <v>20321</v>
      </c>
      <c r="R418" t="s">
        <v>20322</v>
      </c>
      <c r="S418" t="s">
        <v>22033</v>
      </c>
      <c r="T418" t="s">
        <v>22034</v>
      </c>
      <c r="W418" t="s">
        <v>8955</v>
      </c>
      <c r="X418" t="s">
        <v>193</v>
      </c>
      <c r="Y418" s="28" t="s">
        <v>9310</v>
      </c>
      <c r="AB418" t="s">
        <v>9311</v>
      </c>
      <c r="AH418" t="s">
        <v>4714</v>
      </c>
      <c r="AI418" t="s">
        <v>22031</v>
      </c>
      <c r="AJ418" s="28" t="str">
        <f t="shared" si="12"/>
        <v>252103</v>
      </c>
      <c r="AK418" s="420">
        <v>1</v>
      </c>
      <c r="AL418" s="420">
        <f t="shared" si="13"/>
        <v>1</v>
      </c>
      <c r="AM418" s="420">
        <v>1</v>
      </c>
      <c r="AN418" t="s">
        <v>17650</v>
      </c>
      <c r="AO418" t="s">
        <v>17651</v>
      </c>
      <c r="AP418" t="s">
        <v>17652</v>
      </c>
      <c r="AQ418" t="s">
        <v>17653</v>
      </c>
      <c r="AR418" t="s">
        <v>1024</v>
      </c>
    </row>
    <row r="419" spans="1:44" x14ac:dyDescent="0.25">
      <c r="A419" t="s">
        <v>17692</v>
      </c>
      <c r="B419" t="s">
        <v>10970</v>
      </c>
      <c r="C419" s="410" t="s">
        <v>8953</v>
      </c>
      <c r="D419" t="s">
        <v>20338</v>
      </c>
      <c r="E419" t="s">
        <v>192</v>
      </c>
      <c r="F419" s="534">
        <v>1</v>
      </c>
      <c r="G419" t="s">
        <v>193</v>
      </c>
      <c r="H419" t="s">
        <v>194</v>
      </c>
      <c r="I419" t="s">
        <v>20405</v>
      </c>
      <c r="J419" t="s">
        <v>9302</v>
      </c>
      <c r="K419" s="28" t="s">
        <v>9309</v>
      </c>
      <c r="L419" t="s">
        <v>6955</v>
      </c>
      <c r="N419" t="s">
        <v>22035</v>
      </c>
      <c r="O419" t="s">
        <v>6921</v>
      </c>
      <c r="P419" t="s">
        <v>20398</v>
      </c>
      <c r="Q419" t="s">
        <v>20399</v>
      </c>
      <c r="R419" t="s">
        <v>20400</v>
      </c>
      <c r="S419" t="s">
        <v>22036</v>
      </c>
      <c r="T419" t="s">
        <v>22037</v>
      </c>
      <c r="W419" t="s">
        <v>8955</v>
      </c>
      <c r="X419" t="s">
        <v>193</v>
      </c>
      <c r="Y419" s="28" t="s">
        <v>9310</v>
      </c>
      <c r="AB419" t="s">
        <v>9311</v>
      </c>
      <c r="AH419" t="s">
        <v>4714</v>
      </c>
      <c r="AI419" t="s">
        <v>10970</v>
      </c>
      <c r="AJ419" s="28" t="str">
        <f t="shared" si="12"/>
        <v>252103</v>
      </c>
      <c r="AK419" s="420">
        <v>1</v>
      </c>
      <c r="AL419" s="420">
        <f t="shared" si="13"/>
        <v>1</v>
      </c>
      <c r="AM419" s="420">
        <v>1</v>
      </c>
      <c r="AN419" t="s">
        <v>17650</v>
      </c>
      <c r="AO419" t="s">
        <v>17651</v>
      </c>
      <c r="AP419" t="s">
        <v>17652</v>
      </c>
      <c r="AQ419" t="s">
        <v>17653</v>
      </c>
      <c r="AR419" t="s">
        <v>1024</v>
      </c>
    </row>
    <row r="420" spans="1:44" x14ac:dyDescent="0.25">
      <c r="A420" t="s">
        <v>1959</v>
      </c>
      <c r="B420" t="s">
        <v>14901</v>
      </c>
      <c r="C420" s="410" t="s">
        <v>8953</v>
      </c>
      <c r="D420" t="s">
        <v>20306</v>
      </c>
      <c r="E420" t="s">
        <v>192</v>
      </c>
      <c r="F420" s="534">
        <v>1</v>
      </c>
      <c r="G420" t="s">
        <v>193</v>
      </c>
      <c r="H420" t="s">
        <v>194</v>
      </c>
      <c r="I420" t="s">
        <v>20307</v>
      </c>
      <c r="J420" t="s">
        <v>9302</v>
      </c>
      <c r="K420" s="28" t="s">
        <v>9309</v>
      </c>
      <c r="L420" t="s">
        <v>6955</v>
      </c>
      <c r="N420" t="s">
        <v>22038</v>
      </c>
      <c r="O420" t="s">
        <v>7531</v>
      </c>
      <c r="P420" t="s">
        <v>20309</v>
      </c>
      <c r="Q420" t="s">
        <v>20310</v>
      </c>
      <c r="R420" t="s">
        <v>20311</v>
      </c>
      <c r="S420" t="s">
        <v>22039</v>
      </c>
      <c r="T420" t="s">
        <v>22040</v>
      </c>
      <c r="W420" t="s">
        <v>8955</v>
      </c>
      <c r="X420" t="s">
        <v>193</v>
      </c>
      <c r="Y420" s="28" t="s">
        <v>9310</v>
      </c>
      <c r="AB420" t="s">
        <v>9311</v>
      </c>
      <c r="AH420" t="s">
        <v>4714</v>
      </c>
      <c r="AI420" t="s">
        <v>14901</v>
      </c>
      <c r="AJ420" s="28" t="str">
        <f t="shared" si="12"/>
        <v>252103</v>
      </c>
      <c r="AK420" s="420">
        <v>1</v>
      </c>
      <c r="AL420" s="420">
        <f t="shared" si="13"/>
        <v>1</v>
      </c>
      <c r="AM420" s="420">
        <v>1</v>
      </c>
      <c r="AN420" t="s">
        <v>17650</v>
      </c>
      <c r="AO420" t="s">
        <v>17651</v>
      </c>
      <c r="AP420" t="s">
        <v>17652</v>
      </c>
      <c r="AQ420" t="s">
        <v>17653</v>
      </c>
      <c r="AR420" t="s">
        <v>1024</v>
      </c>
    </row>
    <row r="421" spans="1:44" x14ac:dyDescent="0.25">
      <c r="A421" t="s">
        <v>247</v>
      </c>
      <c r="B421" t="s">
        <v>16425</v>
      </c>
      <c r="C421" s="410" t="s">
        <v>8953</v>
      </c>
      <c r="D421" t="s">
        <v>20306</v>
      </c>
      <c r="E421" t="s">
        <v>192</v>
      </c>
      <c r="F421" s="534">
        <v>1</v>
      </c>
      <c r="G421" t="s">
        <v>193</v>
      </c>
      <c r="H421" t="s">
        <v>194</v>
      </c>
      <c r="I421" t="s">
        <v>20437</v>
      </c>
      <c r="J421" t="s">
        <v>210</v>
      </c>
      <c r="K421" s="28" t="s">
        <v>9309</v>
      </c>
      <c r="L421" t="s">
        <v>6955</v>
      </c>
      <c r="N421" t="s">
        <v>22041</v>
      </c>
      <c r="O421" t="s">
        <v>6295</v>
      </c>
      <c r="P421" t="s">
        <v>21682</v>
      </c>
      <c r="Q421" t="s">
        <v>4849</v>
      </c>
      <c r="R421" t="s">
        <v>7703</v>
      </c>
      <c r="S421" t="s">
        <v>22042</v>
      </c>
      <c r="T421" t="s">
        <v>22043</v>
      </c>
      <c r="V421" s="28" t="s">
        <v>9334</v>
      </c>
      <c r="W421" t="s">
        <v>8955</v>
      </c>
      <c r="X421" t="s">
        <v>194</v>
      </c>
      <c r="Y421" s="28" t="s">
        <v>9300</v>
      </c>
      <c r="AB421" t="s">
        <v>9311</v>
      </c>
      <c r="AH421" t="s">
        <v>4714</v>
      </c>
      <c r="AI421" t="s">
        <v>16425</v>
      </c>
      <c r="AJ421" s="28" t="str">
        <f t="shared" si="12"/>
        <v>252103</v>
      </c>
      <c r="AK421" s="420">
        <v>1</v>
      </c>
      <c r="AL421" s="420">
        <f t="shared" si="13"/>
        <v>1</v>
      </c>
      <c r="AM421" s="420">
        <v>1</v>
      </c>
      <c r="AN421" t="s">
        <v>17650</v>
      </c>
      <c r="AO421" t="s">
        <v>17651</v>
      </c>
      <c r="AP421" t="s">
        <v>17652</v>
      </c>
      <c r="AQ421" t="s">
        <v>17653</v>
      </c>
      <c r="AR421" t="s">
        <v>1024</v>
      </c>
    </row>
    <row r="422" spans="1:44" x14ac:dyDescent="0.25">
      <c r="A422" t="s">
        <v>22044</v>
      </c>
      <c r="B422" t="s">
        <v>22045</v>
      </c>
      <c r="C422" s="410" t="s">
        <v>1435</v>
      </c>
      <c r="D422" t="s">
        <v>20338</v>
      </c>
      <c r="E422" t="s">
        <v>192</v>
      </c>
      <c r="F422" s="534">
        <v>1</v>
      </c>
      <c r="G422" t="s">
        <v>193</v>
      </c>
      <c r="H422" t="s">
        <v>194</v>
      </c>
      <c r="I422" t="s">
        <v>20310</v>
      </c>
      <c r="J422" t="s">
        <v>22046</v>
      </c>
      <c r="K422" s="28" t="s">
        <v>9309</v>
      </c>
      <c r="L422" t="s">
        <v>6955</v>
      </c>
      <c r="N422" t="s">
        <v>22047</v>
      </c>
      <c r="O422" t="s">
        <v>6245</v>
      </c>
      <c r="P422" t="s">
        <v>20398</v>
      </c>
      <c r="Q422" t="s">
        <v>20399</v>
      </c>
      <c r="R422" t="s">
        <v>20400</v>
      </c>
      <c r="S422" t="s">
        <v>22048</v>
      </c>
      <c r="T422" t="s">
        <v>22049</v>
      </c>
      <c r="V422" s="28" t="s">
        <v>11394</v>
      </c>
      <c r="W422" t="s">
        <v>1436</v>
      </c>
      <c r="X422" t="s">
        <v>194</v>
      </c>
      <c r="Y422" s="28" t="s">
        <v>9300</v>
      </c>
      <c r="AB422" t="s">
        <v>9311</v>
      </c>
      <c r="AH422" t="s">
        <v>4714</v>
      </c>
      <c r="AI422" t="s">
        <v>22045</v>
      </c>
      <c r="AJ422" s="28" t="str">
        <f t="shared" si="12"/>
        <v>216304</v>
      </c>
      <c r="AK422" s="420">
        <v>1</v>
      </c>
      <c r="AL422" s="420">
        <f t="shared" si="13"/>
        <v>1</v>
      </c>
      <c r="AM422" s="420">
        <v>1</v>
      </c>
      <c r="AN422" t="s">
        <v>17650</v>
      </c>
      <c r="AO422" t="s">
        <v>17651</v>
      </c>
      <c r="AP422" t="s">
        <v>17652</v>
      </c>
      <c r="AQ422" t="s">
        <v>17653</v>
      </c>
      <c r="AR422" t="s">
        <v>1024</v>
      </c>
    </row>
    <row r="423" spans="1:44" x14ac:dyDescent="0.25">
      <c r="A423" t="s">
        <v>22050</v>
      </c>
      <c r="B423" t="s">
        <v>22051</v>
      </c>
      <c r="C423" s="410" t="s">
        <v>1435</v>
      </c>
      <c r="D423" t="s">
        <v>20306</v>
      </c>
      <c r="E423" t="s">
        <v>192</v>
      </c>
      <c r="F423" s="534">
        <v>1</v>
      </c>
      <c r="G423" t="s">
        <v>193</v>
      </c>
      <c r="H423" t="s">
        <v>194</v>
      </c>
      <c r="I423" t="s">
        <v>20441</v>
      </c>
      <c r="J423" t="s">
        <v>210</v>
      </c>
      <c r="K423" s="28" t="s">
        <v>9309</v>
      </c>
      <c r="L423" t="s">
        <v>6955</v>
      </c>
      <c r="N423" t="s">
        <v>22052</v>
      </c>
      <c r="O423" t="s">
        <v>6245</v>
      </c>
      <c r="P423" t="s">
        <v>20309</v>
      </c>
      <c r="Q423" t="s">
        <v>20310</v>
      </c>
      <c r="R423" t="s">
        <v>20311</v>
      </c>
      <c r="S423" t="s">
        <v>22053</v>
      </c>
      <c r="T423" t="s">
        <v>22054</v>
      </c>
      <c r="V423" s="28" t="s">
        <v>9334</v>
      </c>
      <c r="W423" t="s">
        <v>1436</v>
      </c>
      <c r="X423" t="s">
        <v>194</v>
      </c>
      <c r="Y423" s="28" t="s">
        <v>9300</v>
      </c>
      <c r="AB423" t="s">
        <v>9311</v>
      </c>
      <c r="AH423" t="s">
        <v>4714</v>
      </c>
      <c r="AI423" t="s">
        <v>22051</v>
      </c>
      <c r="AJ423" s="28" t="str">
        <f t="shared" si="12"/>
        <v>216304</v>
      </c>
      <c r="AK423" s="420">
        <v>1</v>
      </c>
      <c r="AL423" s="420">
        <f t="shared" si="13"/>
        <v>1</v>
      </c>
      <c r="AM423" s="420">
        <v>1</v>
      </c>
      <c r="AN423" t="s">
        <v>17650</v>
      </c>
      <c r="AO423" t="s">
        <v>17651</v>
      </c>
      <c r="AP423" t="s">
        <v>17652</v>
      </c>
      <c r="AQ423" t="s">
        <v>17653</v>
      </c>
      <c r="AR423" t="s">
        <v>1024</v>
      </c>
    </row>
    <row r="424" spans="1:44" x14ac:dyDescent="0.25">
      <c r="A424" t="s">
        <v>22055</v>
      </c>
      <c r="B424" t="s">
        <v>1687</v>
      </c>
      <c r="C424" s="410" t="s">
        <v>17</v>
      </c>
      <c r="D424" t="s">
        <v>20326</v>
      </c>
      <c r="E424" t="s">
        <v>233</v>
      </c>
      <c r="F424" s="534">
        <v>1</v>
      </c>
      <c r="G424" t="s">
        <v>193</v>
      </c>
      <c r="H424" t="s">
        <v>194</v>
      </c>
      <c r="I424" t="s">
        <v>20360</v>
      </c>
      <c r="J424" t="s">
        <v>9302</v>
      </c>
      <c r="K424" s="28" t="s">
        <v>9309</v>
      </c>
      <c r="L424" t="s">
        <v>6955</v>
      </c>
      <c r="N424" t="s">
        <v>22056</v>
      </c>
      <c r="O424" t="s">
        <v>8003</v>
      </c>
      <c r="P424" t="s">
        <v>20509</v>
      </c>
      <c r="Q424" t="s">
        <v>20510</v>
      </c>
      <c r="R424" t="s">
        <v>20318</v>
      </c>
      <c r="S424" t="s">
        <v>22057</v>
      </c>
      <c r="T424" t="s">
        <v>22058</v>
      </c>
      <c r="W424" t="s">
        <v>624</v>
      </c>
      <c r="X424" t="s">
        <v>193</v>
      </c>
      <c r="Y424" s="28" t="s">
        <v>9310</v>
      </c>
      <c r="AB424" t="s">
        <v>9311</v>
      </c>
      <c r="AH424" t="s">
        <v>4714</v>
      </c>
      <c r="AI424" t="s">
        <v>1687</v>
      </c>
      <c r="AJ424" s="28" t="str">
        <f t="shared" si="12"/>
        <v>332203</v>
      </c>
      <c r="AK424" s="420">
        <v>1</v>
      </c>
      <c r="AL424" s="420">
        <f t="shared" si="13"/>
        <v>1</v>
      </c>
      <c r="AM424" s="420">
        <v>1</v>
      </c>
      <c r="AN424" t="s">
        <v>17650</v>
      </c>
      <c r="AO424" t="s">
        <v>17651</v>
      </c>
      <c r="AP424" t="s">
        <v>17652</v>
      </c>
      <c r="AQ424" t="s">
        <v>17653</v>
      </c>
      <c r="AR424" t="s">
        <v>1024</v>
      </c>
    </row>
    <row r="425" spans="1:44" x14ac:dyDescent="0.25">
      <c r="A425" t="s">
        <v>15464</v>
      </c>
      <c r="B425" t="s">
        <v>16319</v>
      </c>
      <c r="C425" s="410" t="s">
        <v>17</v>
      </c>
      <c r="D425" t="s">
        <v>20326</v>
      </c>
      <c r="E425" t="s">
        <v>217</v>
      </c>
      <c r="F425" s="534">
        <v>1</v>
      </c>
      <c r="G425" t="s">
        <v>193</v>
      </c>
      <c r="H425" t="s">
        <v>194</v>
      </c>
      <c r="I425" t="s">
        <v>20360</v>
      </c>
      <c r="J425" t="s">
        <v>210</v>
      </c>
      <c r="K425" s="28" t="s">
        <v>9309</v>
      </c>
      <c r="L425" t="s">
        <v>6955</v>
      </c>
      <c r="N425" t="s">
        <v>22059</v>
      </c>
      <c r="O425" t="s">
        <v>6269</v>
      </c>
      <c r="P425" t="s">
        <v>20372</v>
      </c>
      <c r="Q425" t="s">
        <v>20373</v>
      </c>
      <c r="R425" t="s">
        <v>20338</v>
      </c>
      <c r="S425" t="s">
        <v>22060</v>
      </c>
      <c r="T425" t="s">
        <v>22061</v>
      </c>
      <c r="V425" s="28" t="s">
        <v>9334</v>
      </c>
      <c r="W425" t="s">
        <v>624</v>
      </c>
      <c r="X425" t="s">
        <v>194</v>
      </c>
      <c r="Y425" s="28" t="s">
        <v>9300</v>
      </c>
      <c r="AB425" t="s">
        <v>9311</v>
      </c>
      <c r="AH425" t="s">
        <v>4714</v>
      </c>
      <c r="AI425" t="s">
        <v>9433</v>
      </c>
      <c r="AJ425" s="28" t="str">
        <f t="shared" si="12"/>
        <v>332203</v>
      </c>
      <c r="AK425" s="420">
        <v>1</v>
      </c>
      <c r="AL425" s="420">
        <f t="shared" si="13"/>
        <v>1</v>
      </c>
      <c r="AM425" s="420">
        <v>1</v>
      </c>
      <c r="AN425" t="s">
        <v>17650</v>
      </c>
      <c r="AO425" t="s">
        <v>17651</v>
      </c>
      <c r="AP425" t="s">
        <v>17652</v>
      </c>
      <c r="AQ425" t="s">
        <v>17653</v>
      </c>
      <c r="AR425" t="s">
        <v>1024</v>
      </c>
    </row>
    <row r="426" spans="1:44" x14ac:dyDescent="0.25">
      <c r="A426" t="s">
        <v>22062</v>
      </c>
      <c r="B426" t="s">
        <v>1266</v>
      </c>
      <c r="C426" s="410" t="s">
        <v>17</v>
      </c>
      <c r="D426" t="s">
        <v>20326</v>
      </c>
      <c r="E426" t="s">
        <v>192</v>
      </c>
      <c r="F426" s="534">
        <v>1</v>
      </c>
      <c r="G426" t="s">
        <v>193</v>
      </c>
      <c r="H426" t="s">
        <v>194</v>
      </c>
      <c r="I426" t="s">
        <v>20333</v>
      </c>
      <c r="J426" t="s">
        <v>9302</v>
      </c>
      <c r="K426" s="28" t="s">
        <v>9309</v>
      </c>
      <c r="L426" t="s">
        <v>6955</v>
      </c>
      <c r="N426" t="s">
        <v>22063</v>
      </c>
      <c r="O426" t="s">
        <v>6245</v>
      </c>
      <c r="P426" t="s">
        <v>20328</v>
      </c>
      <c r="Q426" t="s">
        <v>20329</v>
      </c>
      <c r="R426" t="s">
        <v>20306</v>
      </c>
      <c r="S426" t="s">
        <v>22064</v>
      </c>
      <c r="T426" t="s">
        <v>22065</v>
      </c>
      <c r="W426" t="s">
        <v>624</v>
      </c>
      <c r="X426" t="s">
        <v>193</v>
      </c>
      <c r="Y426" s="28" t="s">
        <v>9310</v>
      </c>
      <c r="AB426" t="s">
        <v>9311</v>
      </c>
      <c r="AH426" t="s">
        <v>4714</v>
      </c>
      <c r="AI426" t="s">
        <v>1266</v>
      </c>
      <c r="AJ426" s="28" t="str">
        <f t="shared" si="12"/>
        <v>332203</v>
      </c>
      <c r="AK426" s="420">
        <v>1</v>
      </c>
      <c r="AL426" s="420">
        <f t="shared" si="13"/>
        <v>1</v>
      </c>
      <c r="AM426" s="420">
        <v>1</v>
      </c>
      <c r="AN426" t="s">
        <v>17650</v>
      </c>
      <c r="AO426" t="s">
        <v>17651</v>
      </c>
      <c r="AP426" t="s">
        <v>17652</v>
      </c>
      <c r="AQ426" t="s">
        <v>17653</v>
      </c>
      <c r="AR426" t="s">
        <v>1024</v>
      </c>
    </row>
    <row r="427" spans="1:44" x14ac:dyDescent="0.25">
      <c r="A427" t="s">
        <v>22066</v>
      </c>
      <c r="B427" t="s">
        <v>1586</v>
      </c>
      <c r="C427" s="410" t="s">
        <v>17</v>
      </c>
      <c r="D427" t="s">
        <v>20326</v>
      </c>
      <c r="E427" t="s">
        <v>192</v>
      </c>
      <c r="F427" s="534">
        <v>1</v>
      </c>
      <c r="G427" t="s">
        <v>193</v>
      </c>
      <c r="H427" t="s">
        <v>194</v>
      </c>
      <c r="I427" t="s">
        <v>20389</v>
      </c>
      <c r="J427" t="s">
        <v>9302</v>
      </c>
      <c r="K427" s="28" t="s">
        <v>9309</v>
      </c>
      <c r="L427" t="s">
        <v>6955</v>
      </c>
      <c r="N427" t="s">
        <v>22067</v>
      </c>
      <c r="O427" t="s">
        <v>6245</v>
      </c>
      <c r="P427" t="s">
        <v>20328</v>
      </c>
      <c r="Q427" t="s">
        <v>20329</v>
      </c>
      <c r="R427" t="s">
        <v>20306</v>
      </c>
      <c r="S427" t="s">
        <v>22068</v>
      </c>
      <c r="T427" t="s">
        <v>22069</v>
      </c>
      <c r="W427" t="s">
        <v>624</v>
      </c>
      <c r="X427" t="s">
        <v>193</v>
      </c>
      <c r="Y427" s="28" t="s">
        <v>9310</v>
      </c>
      <c r="AB427" t="s">
        <v>9311</v>
      </c>
      <c r="AH427" t="s">
        <v>4714</v>
      </c>
      <c r="AI427" t="s">
        <v>1586</v>
      </c>
      <c r="AJ427" s="28" t="str">
        <f t="shared" si="12"/>
        <v>332203</v>
      </c>
      <c r="AK427" s="420">
        <v>1</v>
      </c>
      <c r="AL427" s="420">
        <f t="shared" si="13"/>
        <v>1</v>
      </c>
      <c r="AM427" s="420">
        <v>1</v>
      </c>
      <c r="AN427" t="s">
        <v>17650</v>
      </c>
      <c r="AO427" t="s">
        <v>17651</v>
      </c>
      <c r="AP427" t="s">
        <v>17652</v>
      </c>
      <c r="AQ427" t="s">
        <v>17653</v>
      </c>
      <c r="AR427" t="s">
        <v>1024</v>
      </c>
    </row>
    <row r="428" spans="1:44" x14ac:dyDescent="0.25">
      <c r="A428" t="s">
        <v>22070</v>
      </c>
      <c r="B428" t="s">
        <v>2305</v>
      </c>
      <c r="C428" s="410" t="s">
        <v>17</v>
      </c>
      <c r="D428" t="s">
        <v>20326</v>
      </c>
      <c r="E428" t="s">
        <v>192</v>
      </c>
      <c r="F428" s="534">
        <v>1</v>
      </c>
      <c r="G428" t="s">
        <v>193</v>
      </c>
      <c r="H428" t="s">
        <v>194</v>
      </c>
      <c r="I428" t="s">
        <v>20338</v>
      </c>
      <c r="J428" t="s">
        <v>210</v>
      </c>
      <c r="K428" s="28" t="s">
        <v>9309</v>
      </c>
      <c r="L428" t="s">
        <v>6955</v>
      </c>
      <c r="N428" t="s">
        <v>22071</v>
      </c>
      <c r="O428" t="s">
        <v>8003</v>
      </c>
      <c r="P428" t="s">
        <v>20328</v>
      </c>
      <c r="Q428" t="s">
        <v>20329</v>
      </c>
      <c r="R428" t="s">
        <v>20306</v>
      </c>
      <c r="S428" t="s">
        <v>22072</v>
      </c>
      <c r="T428" t="s">
        <v>22073</v>
      </c>
      <c r="V428" s="28" t="s">
        <v>9334</v>
      </c>
      <c r="W428" t="s">
        <v>624</v>
      </c>
      <c r="X428" t="s">
        <v>194</v>
      </c>
      <c r="Y428" s="28" t="s">
        <v>9300</v>
      </c>
      <c r="AB428" t="s">
        <v>9311</v>
      </c>
      <c r="AH428" t="s">
        <v>4714</v>
      </c>
      <c r="AI428" t="s">
        <v>2305</v>
      </c>
      <c r="AJ428" s="28" t="str">
        <f t="shared" si="12"/>
        <v>332203</v>
      </c>
      <c r="AK428" s="420">
        <v>1</v>
      </c>
      <c r="AL428" s="420">
        <f t="shared" si="13"/>
        <v>1</v>
      </c>
      <c r="AM428" s="420">
        <v>1</v>
      </c>
      <c r="AN428" t="s">
        <v>17650</v>
      </c>
      <c r="AO428" t="s">
        <v>17651</v>
      </c>
      <c r="AP428" t="s">
        <v>17652</v>
      </c>
      <c r="AQ428" t="s">
        <v>17653</v>
      </c>
      <c r="AR428" t="s">
        <v>1024</v>
      </c>
    </row>
    <row r="429" spans="1:44" x14ac:dyDescent="0.25">
      <c r="A429" t="s">
        <v>7519</v>
      </c>
      <c r="B429" t="s">
        <v>632</v>
      </c>
      <c r="C429" s="410" t="s">
        <v>17</v>
      </c>
      <c r="D429" t="s">
        <v>20326</v>
      </c>
      <c r="E429" t="s">
        <v>192</v>
      </c>
      <c r="F429" s="534">
        <v>1</v>
      </c>
      <c r="G429" t="s">
        <v>193</v>
      </c>
      <c r="H429" t="s">
        <v>194</v>
      </c>
      <c r="I429" t="s">
        <v>20360</v>
      </c>
      <c r="J429" t="s">
        <v>4751</v>
      </c>
      <c r="K429" s="28" t="s">
        <v>9309</v>
      </c>
      <c r="L429" t="s">
        <v>6955</v>
      </c>
      <c r="N429" t="s">
        <v>22074</v>
      </c>
      <c r="O429" t="s">
        <v>6245</v>
      </c>
      <c r="P429" t="s">
        <v>20595</v>
      </c>
      <c r="Q429" t="s">
        <v>20329</v>
      </c>
      <c r="R429" t="s">
        <v>20306</v>
      </c>
      <c r="S429" t="s">
        <v>22075</v>
      </c>
      <c r="T429" t="s">
        <v>22076</v>
      </c>
      <c r="V429" s="28" t="s">
        <v>9472</v>
      </c>
      <c r="W429" t="s">
        <v>624</v>
      </c>
      <c r="X429" t="s">
        <v>194</v>
      </c>
      <c r="Y429" s="28" t="s">
        <v>9300</v>
      </c>
      <c r="AB429" t="s">
        <v>9311</v>
      </c>
      <c r="AH429" t="s">
        <v>4714</v>
      </c>
      <c r="AI429" t="s">
        <v>17</v>
      </c>
      <c r="AJ429" s="28" t="str">
        <f t="shared" si="12"/>
        <v>332203</v>
      </c>
      <c r="AK429" s="420">
        <v>1</v>
      </c>
      <c r="AL429" s="420">
        <f t="shared" si="13"/>
        <v>1</v>
      </c>
      <c r="AM429" s="420">
        <v>1</v>
      </c>
      <c r="AN429" t="s">
        <v>17650</v>
      </c>
      <c r="AO429" t="s">
        <v>17651</v>
      </c>
      <c r="AP429" t="s">
        <v>17652</v>
      </c>
      <c r="AQ429" t="s">
        <v>17653</v>
      </c>
      <c r="AR429" t="s">
        <v>1024</v>
      </c>
    </row>
    <row r="430" spans="1:44" x14ac:dyDescent="0.25">
      <c r="A430" t="s">
        <v>22077</v>
      </c>
      <c r="B430" t="s">
        <v>632</v>
      </c>
      <c r="C430" s="410" t="s">
        <v>17</v>
      </c>
      <c r="D430" t="s">
        <v>20317</v>
      </c>
      <c r="E430" t="s">
        <v>233</v>
      </c>
      <c r="F430" s="534">
        <v>1</v>
      </c>
      <c r="G430" t="s">
        <v>193</v>
      </c>
      <c r="H430" t="s">
        <v>194</v>
      </c>
      <c r="I430" t="s">
        <v>20360</v>
      </c>
      <c r="J430" t="s">
        <v>9302</v>
      </c>
      <c r="K430" s="28" t="s">
        <v>9309</v>
      </c>
      <c r="L430" t="s">
        <v>6955</v>
      </c>
      <c r="N430" t="s">
        <v>22078</v>
      </c>
      <c r="O430" t="s">
        <v>6249</v>
      </c>
      <c r="P430" t="s">
        <v>20362</v>
      </c>
      <c r="Q430" t="s">
        <v>20321</v>
      </c>
      <c r="R430" t="s">
        <v>20360</v>
      </c>
      <c r="S430" t="s">
        <v>22079</v>
      </c>
      <c r="T430" t="s">
        <v>22080</v>
      </c>
      <c r="W430" t="s">
        <v>624</v>
      </c>
      <c r="X430" t="s">
        <v>193</v>
      </c>
      <c r="Y430" s="28" t="s">
        <v>9310</v>
      </c>
      <c r="AB430" t="s">
        <v>9311</v>
      </c>
      <c r="AH430" t="s">
        <v>4714</v>
      </c>
      <c r="AI430" t="s">
        <v>17</v>
      </c>
      <c r="AJ430" s="28" t="str">
        <f t="shared" si="12"/>
        <v>332203</v>
      </c>
      <c r="AK430" s="420">
        <v>1</v>
      </c>
      <c r="AL430" s="420">
        <f t="shared" si="13"/>
        <v>1</v>
      </c>
      <c r="AM430" s="420">
        <v>1</v>
      </c>
      <c r="AN430" t="s">
        <v>17650</v>
      </c>
      <c r="AO430" t="s">
        <v>17651</v>
      </c>
      <c r="AP430" t="s">
        <v>17652</v>
      </c>
      <c r="AQ430" t="s">
        <v>17653</v>
      </c>
      <c r="AR430" t="s">
        <v>1024</v>
      </c>
    </row>
    <row r="431" spans="1:44" x14ac:dyDescent="0.25">
      <c r="A431" t="s">
        <v>15464</v>
      </c>
      <c r="B431" t="s">
        <v>16319</v>
      </c>
      <c r="C431" s="410" t="s">
        <v>17</v>
      </c>
      <c r="D431" t="s">
        <v>20317</v>
      </c>
      <c r="E431" t="s">
        <v>217</v>
      </c>
      <c r="F431" s="534">
        <v>1</v>
      </c>
      <c r="G431" t="s">
        <v>193</v>
      </c>
      <c r="H431" t="s">
        <v>194</v>
      </c>
      <c r="I431" t="s">
        <v>20389</v>
      </c>
      <c r="J431" t="s">
        <v>210</v>
      </c>
      <c r="K431" s="28" t="s">
        <v>9309</v>
      </c>
      <c r="L431" t="s">
        <v>6955</v>
      </c>
      <c r="N431" t="s">
        <v>22059</v>
      </c>
      <c r="O431" t="s">
        <v>6269</v>
      </c>
      <c r="P431" t="s">
        <v>20376</v>
      </c>
      <c r="Q431" t="s">
        <v>20326</v>
      </c>
      <c r="R431" t="s">
        <v>20338</v>
      </c>
      <c r="S431" t="s">
        <v>22081</v>
      </c>
      <c r="T431" t="s">
        <v>22082</v>
      </c>
      <c r="V431" s="28" t="s">
        <v>9334</v>
      </c>
      <c r="W431" t="s">
        <v>624</v>
      </c>
      <c r="X431" t="s">
        <v>194</v>
      </c>
      <c r="Y431" s="28" t="s">
        <v>9300</v>
      </c>
      <c r="AB431" t="s">
        <v>9311</v>
      </c>
      <c r="AH431" t="s">
        <v>4714</v>
      </c>
      <c r="AI431" t="s">
        <v>9433</v>
      </c>
      <c r="AJ431" s="28" t="str">
        <f t="shared" si="12"/>
        <v>332203</v>
      </c>
      <c r="AK431" s="420">
        <v>1</v>
      </c>
      <c r="AL431" s="420">
        <f t="shared" si="13"/>
        <v>1</v>
      </c>
      <c r="AM431" s="420">
        <v>1</v>
      </c>
      <c r="AN431" t="s">
        <v>17650</v>
      </c>
      <c r="AO431" t="s">
        <v>17651</v>
      </c>
      <c r="AP431" t="s">
        <v>17652</v>
      </c>
      <c r="AQ431" t="s">
        <v>17653</v>
      </c>
      <c r="AR431" t="s">
        <v>1024</v>
      </c>
    </row>
    <row r="432" spans="1:44" x14ac:dyDescent="0.25">
      <c r="A432" t="s">
        <v>22083</v>
      </c>
      <c r="B432" t="s">
        <v>22084</v>
      </c>
      <c r="C432" s="410" t="s">
        <v>17</v>
      </c>
      <c r="D432" t="s">
        <v>20317</v>
      </c>
      <c r="E432" t="s">
        <v>192</v>
      </c>
      <c r="F432" s="534">
        <v>1</v>
      </c>
      <c r="G432" t="s">
        <v>193</v>
      </c>
      <c r="H432" t="s">
        <v>194</v>
      </c>
      <c r="I432" t="s">
        <v>20338</v>
      </c>
      <c r="J432" t="s">
        <v>9302</v>
      </c>
      <c r="K432" s="28" t="s">
        <v>9309</v>
      </c>
      <c r="L432" t="s">
        <v>6955</v>
      </c>
      <c r="N432" t="s">
        <v>22085</v>
      </c>
      <c r="O432" t="s">
        <v>6245</v>
      </c>
      <c r="P432" t="s">
        <v>20320</v>
      </c>
      <c r="Q432" t="s">
        <v>20321</v>
      </c>
      <c r="R432" t="s">
        <v>20322</v>
      </c>
      <c r="S432" t="s">
        <v>22086</v>
      </c>
      <c r="T432" t="s">
        <v>22087</v>
      </c>
      <c r="W432" t="s">
        <v>624</v>
      </c>
      <c r="X432" t="s">
        <v>193</v>
      </c>
      <c r="Y432" s="28" t="s">
        <v>9310</v>
      </c>
      <c r="AB432" t="s">
        <v>9311</v>
      </c>
      <c r="AH432" t="s">
        <v>4714</v>
      </c>
      <c r="AI432" t="s">
        <v>22084</v>
      </c>
      <c r="AJ432" s="28" t="str">
        <f t="shared" si="12"/>
        <v>332203</v>
      </c>
      <c r="AK432" s="420">
        <v>1</v>
      </c>
      <c r="AL432" s="420">
        <f t="shared" si="13"/>
        <v>1</v>
      </c>
      <c r="AM432" s="420">
        <v>1</v>
      </c>
      <c r="AN432" t="s">
        <v>17650</v>
      </c>
      <c r="AO432" t="s">
        <v>17651</v>
      </c>
      <c r="AP432" t="s">
        <v>17652</v>
      </c>
      <c r="AQ432" t="s">
        <v>17653</v>
      </c>
      <c r="AR432" t="s">
        <v>1024</v>
      </c>
    </row>
    <row r="433" spans="1:44" x14ac:dyDescent="0.25">
      <c r="A433" t="s">
        <v>17945</v>
      </c>
      <c r="B433" t="s">
        <v>17946</v>
      </c>
      <c r="C433" s="410" t="s">
        <v>17</v>
      </c>
      <c r="D433" t="s">
        <v>20317</v>
      </c>
      <c r="E433" t="s">
        <v>192</v>
      </c>
      <c r="F433" s="534">
        <v>1</v>
      </c>
      <c r="G433" t="s">
        <v>193</v>
      </c>
      <c r="H433" t="s">
        <v>194</v>
      </c>
      <c r="I433" t="s">
        <v>20389</v>
      </c>
      <c r="J433" t="s">
        <v>9302</v>
      </c>
      <c r="K433" s="28" t="s">
        <v>9309</v>
      </c>
      <c r="L433" t="s">
        <v>6955</v>
      </c>
      <c r="N433" t="s">
        <v>22088</v>
      </c>
      <c r="O433" t="s">
        <v>6245</v>
      </c>
      <c r="P433" t="s">
        <v>20320</v>
      </c>
      <c r="Q433" t="s">
        <v>20321</v>
      </c>
      <c r="R433" t="s">
        <v>20322</v>
      </c>
      <c r="S433" t="s">
        <v>22089</v>
      </c>
      <c r="T433" t="s">
        <v>22090</v>
      </c>
      <c r="W433" t="s">
        <v>624</v>
      </c>
      <c r="X433" t="s">
        <v>193</v>
      </c>
      <c r="Y433" s="28" t="s">
        <v>9310</v>
      </c>
      <c r="AB433" t="s">
        <v>9311</v>
      </c>
      <c r="AH433" t="s">
        <v>4714</v>
      </c>
      <c r="AI433" t="s">
        <v>17946</v>
      </c>
      <c r="AJ433" s="28" t="str">
        <f t="shared" si="12"/>
        <v>332203</v>
      </c>
      <c r="AK433" s="420">
        <v>1</v>
      </c>
      <c r="AL433" s="420">
        <f t="shared" si="13"/>
        <v>1</v>
      </c>
      <c r="AM433" s="420">
        <v>1</v>
      </c>
      <c r="AN433" t="s">
        <v>17650</v>
      </c>
      <c r="AO433" t="s">
        <v>17651</v>
      </c>
      <c r="AP433" t="s">
        <v>17652</v>
      </c>
      <c r="AQ433" t="s">
        <v>17653</v>
      </c>
      <c r="AR433" t="s">
        <v>1024</v>
      </c>
    </row>
    <row r="434" spans="1:44" x14ac:dyDescent="0.25">
      <c r="A434" t="s">
        <v>22091</v>
      </c>
      <c r="B434" t="s">
        <v>22092</v>
      </c>
      <c r="C434" s="410" t="s">
        <v>17</v>
      </c>
      <c r="D434" t="s">
        <v>20317</v>
      </c>
      <c r="E434" t="s">
        <v>192</v>
      </c>
      <c r="F434" s="534">
        <v>1</v>
      </c>
      <c r="G434" t="s">
        <v>193</v>
      </c>
      <c r="H434" t="s">
        <v>194</v>
      </c>
      <c r="I434" t="s">
        <v>20333</v>
      </c>
      <c r="J434" t="s">
        <v>9302</v>
      </c>
      <c r="K434" s="28" t="s">
        <v>9309</v>
      </c>
      <c r="L434" t="s">
        <v>6955</v>
      </c>
      <c r="N434" t="s">
        <v>22093</v>
      </c>
      <c r="O434" t="s">
        <v>6286</v>
      </c>
      <c r="P434" t="s">
        <v>20320</v>
      </c>
      <c r="Q434" t="s">
        <v>20321</v>
      </c>
      <c r="R434" t="s">
        <v>20322</v>
      </c>
      <c r="S434" t="s">
        <v>22094</v>
      </c>
      <c r="T434" t="s">
        <v>22095</v>
      </c>
      <c r="W434" t="s">
        <v>624</v>
      </c>
      <c r="X434" t="s">
        <v>193</v>
      </c>
      <c r="Y434" s="28" t="s">
        <v>9310</v>
      </c>
      <c r="AB434" t="s">
        <v>9311</v>
      </c>
      <c r="AH434" t="s">
        <v>4714</v>
      </c>
      <c r="AI434" t="s">
        <v>22092</v>
      </c>
      <c r="AJ434" s="28" t="str">
        <f t="shared" si="12"/>
        <v>332203</v>
      </c>
      <c r="AK434" s="420">
        <v>1</v>
      </c>
      <c r="AL434" s="420">
        <f t="shared" si="13"/>
        <v>1</v>
      </c>
      <c r="AM434" s="420">
        <v>1</v>
      </c>
      <c r="AN434" t="s">
        <v>17650</v>
      </c>
      <c r="AO434" t="s">
        <v>17651</v>
      </c>
      <c r="AP434" t="s">
        <v>17652</v>
      </c>
      <c r="AQ434" t="s">
        <v>17653</v>
      </c>
      <c r="AR434" t="s">
        <v>1024</v>
      </c>
    </row>
    <row r="435" spans="1:44" x14ac:dyDescent="0.25">
      <c r="A435" t="s">
        <v>22096</v>
      </c>
      <c r="B435" t="s">
        <v>22097</v>
      </c>
      <c r="C435" s="410" t="s">
        <v>17</v>
      </c>
      <c r="D435" t="s">
        <v>20317</v>
      </c>
      <c r="E435" t="s">
        <v>192</v>
      </c>
      <c r="F435" s="534">
        <v>1</v>
      </c>
      <c r="G435" t="s">
        <v>193</v>
      </c>
      <c r="H435" t="s">
        <v>194</v>
      </c>
      <c r="I435" t="s">
        <v>20333</v>
      </c>
      <c r="J435" t="s">
        <v>9302</v>
      </c>
      <c r="K435" s="28" t="s">
        <v>9309</v>
      </c>
      <c r="L435" t="s">
        <v>6955</v>
      </c>
      <c r="N435" t="s">
        <v>22098</v>
      </c>
      <c r="O435" t="s">
        <v>8003</v>
      </c>
      <c r="P435" t="s">
        <v>20320</v>
      </c>
      <c r="Q435" t="s">
        <v>20321</v>
      </c>
      <c r="R435" t="s">
        <v>20322</v>
      </c>
      <c r="S435" t="s">
        <v>22099</v>
      </c>
      <c r="T435" t="s">
        <v>22100</v>
      </c>
      <c r="W435" t="s">
        <v>624</v>
      </c>
      <c r="X435" t="s">
        <v>193</v>
      </c>
      <c r="Y435" s="28" t="s">
        <v>9310</v>
      </c>
      <c r="AB435" t="s">
        <v>9311</v>
      </c>
      <c r="AH435" t="s">
        <v>4714</v>
      </c>
      <c r="AI435" t="s">
        <v>22097</v>
      </c>
      <c r="AJ435" s="28" t="str">
        <f t="shared" si="12"/>
        <v>332203</v>
      </c>
      <c r="AK435" s="420">
        <v>1</v>
      </c>
      <c r="AL435" s="420">
        <f t="shared" si="13"/>
        <v>1</v>
      </c>
      <c r="AM435" s="420">
        <v>1</v>
      </c>
      <c r="AN435" t="s">
        <v>17650</v>
      </c>
      <c r="AO435" t="s">
        <v>17651</v>
      </c>
      <c r="AP435" t="s">
        <v>17652</v>
      </c>
      <c r="AQ435" t="s">
        <v>17653</v>
      </c>
      <c r="AR435" t="s">
        <v>1024</v>
      </c>
    </row>
    <row r="436" spans="1:44" x14ac:dyDescent="0.25">
      <c r="A436" t="s">
        <v>20135</v>
      </c>
      <c r="B436" t="s">
        <v>20136</v>
      </c>
      <c r="C436" s="410" t="s">
        <v>17</v>
      </c>
      <c r="D436" t="s">
        <v>20317</v>
      </c>
      <c r="E436" t="s">
        <v>192</v>
      </c>
      <c r="F436" s="534">
        <v>1</v>
      </c>
      <c r="G436" t="s">
        <v>193</v>
      </c>
      <c r="H436" t="s">
        <v>194</v>
      </c>
      <c r="I436" t="s">
        <v>20389</v>
      </c>
      <c r="J436" t="s">
        <v>210</v>
      </c>
      <c r="K436" s="28" t="s">
        <v>9309</v>
      </c>
      <c r="L436" t="s">
        <v>6955</v>
      </c>
      <c r="N436" t="s">
        <v>22101</v>
      </c>
      <c r="O436" t="s">
        <v>6245</v>
      </c>
      <c r="P436" t="s">
        <v>20320</v>
      </c>
      <c r="Q436" t="s">
        <v>20321</v>
      </c>
      <c r="R436" t="s">
        <v>20385</v>
      </c>
      <c r="S436" t="s">
        <v>22102</v>
      </c>
      <c r="T436" t="s">
        <v>22103</v>
      </c>
      <c r="V436" s="28" t="s">
        <v>9334</v>
      </c>
      <c r="W436" t="s">
        <v>624</v>
      </c>
      <c r="X436" t="s">
        <v>194</v>
      </c>
      <c r="Y436" s="28" t="s">
        <v>9300</v>
      </c>
      <c r="AB436" t="s">
        <v>9311</v>
      </c>
      <c r="AH436" t="s">
        <v>4714</v>
      </c>
      <c r="AI436" t="s">
        <v>20136</v>
      </c>
      <c r="AJ436" s="28" t="str">
        <f t="shared" si="12"/>
        <v>332203</v>
      </c>
      <c r="AK436" s="420">
        <v>1</v>
      </c>
      <c r="AL436" s="420">
        <f t="shared" si="13"/>
        <v>1</v>
      </c>
      <c r="AM436" s="420">
        <v>1</v>
      </c>
      <c r="AN436" t="s">
        <v>17650</v>
      </c>
      <c r="AO436" t="s">
        <v>17651</v>
      </c>
      <c r="AP436" t="s">
        <v>17652</v>
      </c>
      <c r="AQ436" t="s">
        <v>17653</v>
      </c>
      <c r="AR436" t="s">
        <v>1024</v>
      </c>
    </row>
    <row r="437" spans="1:44" x14ac:dyDescent="0.25">
      <c r="A437" t="s">
        <v>20135</v>
      </c>
      <c r="B437" t="s">
        <v>20136</v>
      </c>
      <c r="C437" s="410" t="s">
        <v>17</v>
      </c>
      <c r="D437" t="s">
        <v>20317</v>
      </c>
      <c r="E437" t="s">
        <v>192</v>
      </c>
      <c r="F437" s="534">
        <v>1</v>
      </c>
      <c r="G437" t="s">
        <v>193</v>
      </c>
      <c r="H437" t="s">
        <v>194</v>
      </c>
      <c r="I437" t="s">
        <v>20389</v>
      </c>
      <c r="J437" t="s">
        <v>253</v>
      </c>
      <c r="K437" s="28" t="s">
        <v>9309</v>
      </c>
      <c r="L437" t="s">
        <v>6955</v>
      </c>
      <c r="N437" t="s">
        <v>22104</v>
      </c>
      <c r="O437" t="s">
        <v>6245</v>
      </c>
      <c r="P437" t="s">
        <v>20320</v>
      </c>
      <c r="Q437" t="s">
        <v>20321</v>
      </c>
      <c r="R437" t="s">
        <v>20385</v>
      </c>
      <c r="S437" t="s">
        <v>22105</v>
      </c>
      <c r="T437" t="s">
        <v>22106</v>
      </c>
      <c r="V437" s="28" t="s">
        <v>9468</v>
      </c>
      <c r="W437" t="s">
        <v>624</v>
      </c>
      <c r="X437" t="s">
        <v>194</v>
      </c>
      <c r="Y437" s="28" t="s">
        <v>9300</v>
      </c>
      <c r="AB437" t="s">
        <v>9311</v>
      </c>
      <c r="AH437" t="s">
        <v>4714</v>
      </c>
      <c r="AI437" t="s">
        <v>20136</v>
      </c>
      <c r="AJ437" s="28" t="str">
        <f t="shared" si="12"/>
        <v>332203</v>
      </c>
      <c r="AK437" s="420">
        <v>1</v>
      </c>
      <c r="AL437" s="420">
        <f t="shared" si="13"/>
        <v>1</v>
      </c>
      <c r="AM437" s="420">
        <v>1</v>
      </c>
      <c r="AN437" t="s">
        <v>17650</v>
      </c>
      <c r="AO437" t="s">
        <v>17651</v>
      </c>
      <c r="AP437" t="s">
        <v>17652</v>
      </c>
      <c r="AQ437" t="s">
        <v>17653</v>
      </c>
      <c r="AR437" t="s">
        <v>1024</v>
      </c>
    </row>
    <row r="438" spans="1:44" x14ac:dyDescent="0.25">
      <c r="A438" t="s">
        <v>20135</v>
      </c>
      <c r="B438" t="s">
        <v>20136</v>
      </c>
      <c r="C438" s="410" t="s">
        <v>17</v>
      </c>
      <c r="D438" t="s">
        <v>20317</v>
      </c>
      <c r="E438" t="s">
        <v>192</v>
      </c>
      <c r="F438" s="534">
        <v>1</v>
      </c>
      <c r="G438" t="s">
        <v>193</v>
      </c>
      <c r="H438" t="s">
        <v>194</v>
      </c>
      <c r="I438" t="s">
        <v>20389</v>
      </c>
      <c r="J438" t="s">
        <v>367</v>
      </c>
      <c r="K438" s="28" t="s">
        <v>9309</v>
      </c>
      <c r="L438" t="s">
        <v>6955</v>
      </c>
      <c r="N438" t="s">
        <v>22107</v>
      </c>
      <c r="O438" t="s">
        <v>6245</v>
      </c>
      <c r="P438" t="s">
        <v>20320</v>
      </c>
      <c r="Q438" t="s">
        <v>20321</v>
      </c>
      <c r="R438" t="s">
        <v>20385</v>
      </c>
      <c r="S438" t="s">
        <v>22108</v>
      </c>
      <c r="T438" t="s">
        <v>22109</v>
      </c>
      <c r="V438" s="28" t="s">
        <v>9974</v>
      </c>
      <c r="W438" t="s">
        <v>624</v>
      </c>
      <c r="X438" t="s">
        <v>194</v>
      </c>
      <c r="Y438" s="28" t="s">
        <v>9300</v>
      </c>
      <c r="AB438" t="s">
        <v>9311</v>
      </c>
      <c r="AH438" t="s">
        <v>4714</v>
      </c>
      <c r="AI438" t="s">
        <v>20136</v>
      </c>
      <c r="AJ438" s="28" t="str">
        <f t="shared" si="12"/>
        <v>332203</v>
      </c>
      <c r="AK438" s="420">
        <v>1</v>
      </c>
      <c r="AL438" s="420">
        <f t="shared" si="13"/>
        <v>1</v>
      </c>
      <c r="AM438" s="420">
        <v>1</v>
      </c>
      <c r="AN438" t="s">
        <v>17650</v>
      </c>
      <c r="AO438" t="s">
        <v>17651</v>
      </c>
      <c r="AP438" t="s">
        <v>17652</v>
      </c>
      <c r="AQ438" t="s">
        <v>17653</v>
      </c>
      <c r="AR438" t="s">
        <v>1024</v>
      </c>
    </row>
    <row r="439" spans="1:44" x14ac:dyDescent="0.25">
      <c r="A439" t="s">
        <v>22110</v>
      </c>
      <c r="B439" t="s">
        <v>17</v>
      </c>
      <c r="C439" s="410" t="s">
        <v>17</v>
      </c>
      <c r="D439" t="s">
        <v>20317</v>
      </c>
      <c r="E439" t="s">
        <v>192</v>
      </c>
      <c r="F439" s="534">
        <v>1</v>
      </c>
      <c r="G439" t="s">
        <v>193</v>
      </c>
      <c r="H439" t="s">
        <v>194</v>
      </c>
      <c r="I439" t="s">
        <v>20360</v>
      </c>
      <c r="J439" t="s">
        <v>210</v>
      </c>
      <c r="K439" s="28" t="s">
        <v>9309</v>
      </c>
      <c r="L439" t="s">
        <v>6955</v>
      </c>
      <c r="N439" t="s">
        <v>22111</v>
      </c>
      <c r="O439" t="s">
        <v>6245</v>
      </c>
      <c r="P439" t="s">
        <v>20320</v>
      </c>
      <c r="Q439" t="s">
        <v>20321</v>
      </c>
      <c r="R439" t="s">
        <v>20322</v>
      </c>
      <c r="S439" t="s">
        <v>22112</v>
      </c>
      <c r="T439" t="s">
        <v>22113</v>
      </c>
      <c r="V439" s="28" t="s">
        <v>9334</v>
      </c>
      <c r="W439" t="s">
        <v>624</v>
      </c>
      <c r="X439" t="s">
        <v>194</v>
      </c>
      <c r="Y439" s="28" t="s">
        <v>9300</v>
      </c>
      <c r="AB439" t="s">
        <v>9311</v>
      </c>
      <c r="AH439" t="s">
        <v>4714</v>
      </c>
      <c r="AI439" t="s">
        <v>17</v>
      </c>
      <c r="AJ439" s="28" t="str">
        <f t="shared" si="12"/>
        <v>332203</v>
      </c>
      <c r="AK439" s="420">
        <v>1</v>
      </c>
      <c r="AL439" s="420">
        <f t="shared" si="13"/>
        <v>1</v>
      </c>
      <c r="AM439" s="420">
        <v>1</v>
      </c>
      <c r="AN439" t="s">
        <v>17650</v>
      </c>
      <c r="AO439" t="s">
        <v>17651</v>
      </c>
      <c r="AP439" t="s">
        <v>17652</v>
      </c>
      <c r="AQ439" t="s">
        <v>17653</v>
      </c>
      <c r="AR439" t="s">
        <v>1024</v>
      </c>
    </row>
    <row r="440" spans="1:44" x14ac:dyDescent="0.25">
      <c r="A440" t="s">
        <v>16857</v>
      </c>
      <c r="B440" t="s">
        <v>16855</v>
      </c>
      <c r="C440" s="410" t="s">
        <v>17</v>
      </c>
      <c r="D440" t="s">
        <v>20317</v>
      </c>
      <c r="E440" t="s">
        <v>192</v>
      </c>
      <c r="F440" s="534">
        <v>1</v>
      </c>
      <c r="G440" t="s">
        <v>193</v>
      </c>
      <c r="H440" t="s">
        <v>194</v>
      </c>
      <c r="I440" t="s">
        <v>20333</v>
      </c>
      <c r="J440" t="s">
        <v>210</v>
      </c>
      <c r="K440" s="28" t="s">
        <v>9309</v>
      </c>
      <c r="L440" t="s">
        <v>6955</v>
      </c>
      <c r="N440" t="s">
        <v>22114</v>
      </c>
      <c r="O440" t="s">
        <v>6288</v>
      </c>
      <c r="P440" t="s">
        <v>20320</v>
      </c>
      <c r="Q440" t="s">
        <v>20321</v>
      </c>
      <c r="R440" t="s">
        <v>20322</v>
      </c>
      <c r="S440" t="s">
        <v>22115</v>
      </c>
      <c r="T440" t="s">
        <v>22116</v>
      </c>
      <c r="V440" s="28" t="s">
        <v>9334</v>
      </c>
      <c r="W440" t="s">
        <v>624</v>
      </c>
      <c r="X440" t="s">
        <v>194</v>
      </c>
      <c r="Y440" s="28" t="s">
        <v>9300</v>
      </c>
      <c r="AB440" t="s">
        <v>9311</v>
      </c>
      <c r="AH440" t="s">
        <v>4714</v>
      </c>
      <c r="AI440" t="s">
        <v>16855</v>
      </c>
      <c r="AJ440" s="28" t="str">
        <f t="shared" si="12"/>
        <v>332203</v>
      </c>
      <c r="AK440" s="420">
        <v>1</v>
      </c>
      <c r="AL440" s="420">
        <f t="shared" si="13"/>
        <v>1</v>
      </c>
      <c r="AM440" s="420">
        <v>1</v>
      </c>
      <c r="AN440" t="s">
        <v>17650</v>
      </c>
      <c r="AO440" t="s">
        <v>17651</v>
      </c>
      <c r="AP440" t="s">
        <v>17652</v>
      </c>
      <c r="AQ440" t="s">
        <v>17653</v>
      </c>
      <c r="AR440" t="s">
        <v>1024</v>
      </c>
    </row>
    <row r="441" spans="1:44" x14ac:dyDescent="0.25">
      <c r="A441" t="s">
        <v>13019</v>
      </c>
      <c r="B441" t="s">
        <v>632</v>
      </c>
      <c r="C441" s="410" t="s">
        <v>17</v>
      </c>
      <c r="D441" t="s">
        <v>20360</v>
      </c>
      <c r="E441" t="s">
        <v>233</v>
      </c>
      <c r="F441" s="534">
        <v>1</v>
      </c>
      <c r="G441" t="s">
        <v>193</v>
      </c>
      <c r="H441" t="s">
        <v>194</v>
      </c>
      <c r="I441" t="s">
        <v>20399</v>
      </c>
      <c r="J441" t="s">
        <v>385</v>
      </c>
      <c r="K441" s="28" t="s">
        <v>9309</v>
      </c>
      <c r="L441" t="s">
        <v>6955</v>
      </c>
      <c r="N441" t="s">
        <v>22117</v>
      </c>
      <c r="O441" t="s">
        <v>6249</v>
      </c>
      <c r="P441" t="s">
        <v>20634</v>
      </c>
      <c r="Q441" t="s">
        <v>22118</v>
      </c>
      <c r="R441" t="s">
        <v>20635</v>
      </c>
      <c r="S441" t="s">
        <v>22119</v>
      </c>
      <c r="T441" t="s">
        <v>22120</v>
      </c>
      <c r="V441" s="28" t="s">
        <v>9410</v>
      </c>
      <c r="W441" t="s">
        <v>624</v>
      </c>
      <c r="X441" t="s">
        <v>194</v>
      </c>
      <c r="Y441" s="28" t="s">
        <v>9300</v>
      </c>
      <c r="AB441" t="s">
        <v>9311</v>
      </c>
      <c r="AH441" t="s">
        <v>4714</v>
      </c>
      <c r="AI441" t="s">
        <v>17</v>
      </c>
      <c r="AJ441" s="28" t="str">
        <f t="shared" si="12"/>
        <v>332203</v>
      </c>
      <c r="AK441" s="420">
        <v>1</v>
      </c>
      <c r="AL441" s="420">
        <f t="shared" si="13"/>
        <v>1</v>
      </c>
      <c r="AM441" s="420">
        <v>1</v>
      </c>
      <c r="AN441" t="s">
        <v>17650</v>
      </c>
      <c r="AO441" t="s">
        <v>17651</v>
      </c>
      <c r="AP441" t="s">
        <v>17652</v>
      </c>
      <c r="AQ441" t="s">
        <v>17653</v>
      </c>
      <c r="AR441" t="s">
        <v>1024</v>
      </c>
    </row>
    <row r="442" spans="1:44" x14ac:dyDescent="0.25">
      <c r="A442" t="s">
        <v>13019</v>
      </c>
      <c r="B442" t="s">
        <v>632</v>
      </c>
      <c r="C442" s="410" t="s">
        <v>17</v>
      </c>
      <c r="D442" t="s">
        <v>20360</v>
      </c>
      <c r="E442" t="s">
        <v>233</v>
      </c>
      <c r="F442" s="534">
        <v>1</v>
      </c>
      <c r="G442" t="s">
        <v>194</v>
      </c>
      <c r="H442" t="s">
        <v>193</v>
      </c>
      <c r="I442" t="s">
        <v>20399</v>
      </c>
      <c r="J442" t="s">
        <v>2131</v>
      </c>
      <c r="K442" s="28" t="s">
        <v>9309</v>
      </c>
      <c r="L442" t="s">
        <v>6955</v>
      </c>
      <c r="N442" t="s">
        <v>22121</v>
      </c>
      <c r="O442" t="s">
        <v>6249</v>
      </c>
      <c r="P442" t="s">
        <v>20634</v>
      </c>
      <c r="Q442" t="s">
        <v>22118</v>
      </c>
      <c r="R442" t="s">
        <v>20635</v>
      </c>
      <c r="S442" t="s">
        <v>22122</v>
      </c>
      <c r="T442" t="s">
        <v>22123</v>
      </c>
      <c r="V442" s="28" t="s">
        <v>11154</v>
      </c>
      <c r="W442" t="s">
        <v>624</v>
      </c>
      <c r="X442" t="s">
        <v>194</v>
      </c>
      <c r="Y442" s="28" t="s">
        <v>9300</v>
      </c>
      <c r="AB442" t="s">
        <v>9311</v>
      </c>
      <c r="AH442" t="s">
        <v>4714</v>
      </c>
      <c r="AI442" t="s">
        <v>17</v>
      </c>
      <c r="AJ442" s="28" t="str">
        <f t="shared" si="12"/>
        <v>332203</v>
      </c>
      <c r="AK442" s="420">
        <v>1</v>
      </c>
      <c r="AL442" s="420">
        <f t="shared" si="13"/>
        <v>1</v>
      </c>
      <c r="AM442" s="420">
        <v>1</v>
      </c>
      <c r="AN442" t="s">
        <v>17650</v>
      </c>
      <c r="AO442" t="s">
        <v>17651</v>
      </c>
      <c r="AP442" t="s">
        <v>17652</v>
      </c>
      <c r="AQ442" t="s">
        <v>17653</v>
      </c>
      <c r="AR442" t="s">
        <v>1024</v>
      </c>
    </row>
    <row r="443" spans="1:44" x14ac:dyDescent="0.25">
      <c r="A443" t="s">
        <v>13019</v>
      </c>
      <c r="B443" t="s">
        <v>632</v>
      </c>
      <c r="C443" s="410" t="s">
        <v>17</v>
      </c>
      <c r="D443" t="s">
        <v>20360</v>
      </c>
      <c r="E443" t="s">
        <v>233</v>
      </c>
      <c r="F443" s="534">
        <v>1</v>
      </c>
      <c r="G443" t="s">
        <v>194</v>
      </c>
      <c r="H443" t="s">
        <v>193</v>
      </c>
      <c r="I443" t="s">
        <v>20399</v>
      </c>
      <c r="J443" t="s">
        <v>747</v>
      </c>
      <c r="K443" s="28" t="s">
        <v>9309</v>
      </c>
      <c r="L443" t="s">
        <v>6955</v>
      </c>
      <c r="N443" t="s">
        <v>22124</v>
      </c>
      <c r="O443" t="s">
        <v>6249</v>
      </c>
      <c r="P443" t="s">
        <v>20634</v>
      </c>
      <c r="Q443" t="s">
        <v>22118</v>
      </c>
      <c r="R443" t="s">
        <v>20635</v>
      </c>
      <c r="S443" t="s">
        <v>22125</v>
      </c>
      <c r="T443" t="s">
        <v>22126</v>
      </c>
      <c r="V443" s="28" t="s">
        <v>10397</v>
      </c>
      <c r="W443" t="s">
        <v>624</v>
      </c>
      <c r="X443" t="s">
        <v>194</v>
      </c>
      <c r="Y443" s="28" t="s">
        <v>9300</v>
      </c>
      <c r="AB443" t="s">
        <v>9311</v>
      </c>
      <c r="AH443" t="s">
        <v>4714</v>
      </c>
      <c r="AI443" t="s">
        <v>17</v>
      </c>
      <c r="AJ443" s="28" t="str">
        <f t="shared" si="12"/>
        <v>332203</v>
      </c>
      <c r="AK443" s="420">
        <v>1</v>
      </c>
      <c r="AL443" s="420">
        <f t="shared" si="13"/>
        <v>1</v>
      </c>
      <c r="AM443" s="420">
        <v>1</v>
      </c>
      <c r="AN443" t="s">
        <v>17650</v>
      </c>
      <c r="AO443" t="s">
        <v>17651</v>
      </c>
      <c r="AP443" t="s">
        <v>17652</v>
      </c>
      <c r="AQ443" t="s">
        <v>17653</v>
      </c>
      <c r="AR443" t="s">
        <v>1024</v>
      </c>
    </row>
    <row r="444" spans="1:44" x14ac:dyDescent="0.25">
      <c r="A444" t="s">
        <v>16778</v>
      </c>
      <c r="B444" t="s">
        <v>22127</v>
      </c>
      <c r="C444" s="410" t="s">
        <v>17</v>
      </c>
      <c r="D444" t="s">
        <v>20360</v>
      </c>
      <c r="E444" t="s">
        <v>233</v>
      </c>
      <c r="F444" s="534">
        <v>1</v>
      </c>
      <c r="G444" t="s">
        <v>193</v>
      </c>
      <c r="H444" t="s">
        <v>194</v>
      </c>
      <c r="I444" t="s">
        <v>20389</v>
      </c>
      <c r="J444" t="s">
        <v>210</v>
      </c>
      <c r="K444" s="28" t="s">
        <v>9309</v>
      </c>
      <c r="L444" t="s">
        <v>6955</v>
      </c>
      <c r="N444" t="s">
        <v>22128</v>
      </c>
      <c r="O444" t="s">
        <v>6312</v>
      </c>
      <c r="P444" t="s">
        <v>20522</v>
      </c>
      <c r="Q444" t="s">
        <v>20422</v>
      </c>
      <c r="R444" t="s">
        <v>20483</v>
      </c>
      <c r="S444" t="s">
        <v>22129</v>
      </c>
      <c r="T444" t="s">
        <v>22130</v>
      </c>
      <c r="V444" s="28" t="s">
        <v>9334</v>
      </c>
      <c r="W444" t="s">
        <v>624</v>
      </c>
      <c r="X444" t="s">
        <v>194</v>
      </c>
      <c r="Y444" s="28" t="s">
        <v>9300</v>
      </c>
      <c r="AB444" t="s">
        <v>9311</v>
      </c>
      <c r="AH444" t="s">
        <v>4714</v>
      </c>
      <c r="AI444" t="s">
        <v>22127</v>
      </c>
      <c r="AJ444" s="28" t="str">
        <f t="shared" si="12"/>
        <v>332203</v>
      </c>
      <c r="AK444" s="420">
        <v>1</v>
      </c>
      <c r="AL444" s="420">
        <f t="shared" si="13"/>
        <v>1</v>
      </c>
      <c r="AM444" s="420">
        <v>1</v>
      </c>
      <c r="AN444" t="s">
        <v>17650</v>
      </c>
      <c r="AO444" t="s">
        <v>17651</v>
      </c>
      <c r="AP444" t="s">
        <v>17652</v>
      </c>
      <c r="AQ444" t="s">
        <v>17653</v>
      </c>
      <c r="AR444" t="s">
        <v>1024</v>
      </c>
    </row>
    <row r="445" spans="1:44" x14ac:dyDescent="0.25">
      <c r="A445" t="s">
        <v>15464</v>
      </c>
      <c r="B445" t="s">
        <v>16319</v>
      </c>
      <c r="C445" s="410" t="s">
        <v>17</v>
      </c>
      <c r="D445" t="s">
        <v>20360</v>
      </c>
      <c r="E445" t="s">
        <v>217</v>
      </c>
      <c r="F445" s="534">
        <v>1</v>
      </c>
      <c r="G445" t="s">
        <v>194</v>
      </c>
      <c r="H445" t="s">
        <v>193</v>
      </c>
      <c r="I445" t="s">
        <v>20389</v>
      </c>
      <c r="J445" t="s">
        <v>210</v>
      </c>
      <c r="K445" s="28" t="s">
        <v>9309</v>
      </c>
      <c r="L445" t="s">
        <v>6955</v>
      </c>
      <c r="N445" t="s">
        <v>22059</v>
      </c>
      <c r="O445" t="s">
        <v>6269</v>
      </c>
      <c r="P445" t="s">
        <v>20393</v>
      </c>
      <c r="Q445" t="s">
        <v>20317</v>
      </c>
      <c r="R445" t="s">
        <v>20338</v>
      </c>
      <c r="S445" t="s">
        <v>22131</v>
      </c>
      <c r="T445" t="s">
        <v>22132</v>
      </c>
      <c r="V445" s="28" t="s">
        <v>9334</v>
      </c>
      <c r="W445" t="s">
        <v>624</v>
      </c>
      <c r="X445" t="s">
        <v>194</v>
      </c>
      <c r="Y445" s="28" t="s">
        <v>9300</v>
      </c>
      <c r="AB445" t="s">
        <v>9311</v>
      </c>
      <c r="AH445" t="s">
        <v>4714</v>
      </c>
      <c r="AI445" t="s">
        <v>9433</v>
      </c>
      <c r="AJ445" s="28" t="str">
        <f t="shared" si="12"/>
        <v>332203</v>
      </c>
      <c r="AK445" s="420">
        <v>1</v>
      </c>
      <c r="AL445" s="420">
        <f t="shared" si="13"/>
        <v>1</v>
      </c>
      <c r="AM445" s="420">
        <v>1</v>
      </c>
      <c r="AN445" t="s">
        <v>17650</v>
      </c>
      <c r="AO445" t="s">
        <v>17651</v>
      </c>
      <c r="AP445" t="s">
        <v>17652</v>
      </c>
      <c r="AQ445" t="s">
        <v>17653</v>
      </c>
      <c r="AR445" t="s">
        <v>1024</v>
      </c>
    </row>
    <row r="446" spans="1:44" x14ac:dyDescent="0.25">
      <c r="A446" t="s">
        <v>22133</v>
      </c>
      <c r="B446" t="s">
        <v>22134</v>
      </c>
      <c r="C446" s="410" t="s">
        <v>17</v>
      </c>
      <c r="D446" t="s">
        <v>20360</v>
      </c>
      <c r="E446" t="s">
        <v>192</v>
      </c>
      <c r="F446" s="534">
        <v>1</v>
      </c>
      <c r="G446" t="s">
        <v>193</v>
      </c>
      <c r="H446" t="s">
        <v>194</v>
      </c>
      <c r="I446" t="s">
        <v>20333</v>
      </c>
      <c r="J446" t="s">
        <v>9302</v>
      </c>
      <c r="K446" s="28" t="s">
        <v>9309</v>
      </c>
      <c r="L446" t="s">
        <v>6955</v>
      </c>
      <c r="N446" t="s">
        <v>22135</v>
      </c>
      <c r="O446" t="s">
        <v>6288</v>
      </c>
      <c r="P446" t="s">
        <v>21402</v>
      </c>
      <c r="Q446" t="s">
        <v>21403</v>
      </c>
      <c r="R446" t="s">
        <v>20437</v>
      </c>
      <c r="S446" t="s">
        <v>22136</v>
      </c>
      <c r="T446" t="s">
        <v>22137</v>
      </c>
      <c r="W446" t="s">
        <v>624</v>
      </c>
      <c r="X446" t="s">
        <v>193</v>
      </c>
      <c r="Y446" s="28" t="s">
        <v>9310</v>
      </c>
      <c r="AB446" t="s">
        <v>9311</v>
      </c>
      <c r="AH446" t="s">
        <v>4714</v>
      </c>
      <c r="AI446" t="s">
        <v>22134</v>
      </c>
      <c r="AJ446" s="28" t="str">
        <f t="shared" si="12"/>
        <v>332203</v>
      </c>
      <c r="AK446" s="420">
        <v>1</v>
      </c>
      <c r="AL446" s="420">
        <f t="shared" si="13"/>
        <v>1</v>
      </c>
      <c r="AM446" s="420">
        <v>1</v>
      </c>
      <c r="AN446" t="s">
        <v>17650</v>
      </c>
      <c r="AO446" t="s">
        <v>17651</v>
      </c>
      <c r="AP446" t="s">
        <v>17652</v>
      </c>
      <c r="AQ446" t="s">
        <v>17653</v>
      </c>
      <c r="AR446" t="s">
        <v>1024</v>
      </c>
    </row>
    <row r="447" spans="1:44" x14ac:dyDescent="0.25">
      <c r="A447" t="s">
        <v>22138</v>
      </c>
      <c r="B447" t="s">
        <v>22139</v>
      </c>
      <c r="C447" s="410" t="s">
        <v>17</v>
      </c>
      <c r="D447" t="s">
        <v>20338</v>
      </c>
      <c r="E447" t="s">
        <v>233</v>
      </c>
      <c r="F447" s="534">
        <v>1</v>
      </c>
      <c r="G447" t="s">
        <v>193</v>
      </c>
      <c r="H447" t="s">
        <v>194</v>
      </c>
      <c r="I447" t="s">
        <v>20405</v>
      </c>
      <c r="J447" t="s">
        <v>316</v>
      </c>
      <c r="K447" s="28" t="s">
        <v>9309</v>
      </c>
      <c r="L447" t="s">
        <v>6955</v>
      </c>
      <c r="N447" t="s">
        <v>22140</v>
      </c>
      <c r="O447" t="s">
        <v>6374</v>
      </c>
      <c r="P447" t="s">
        <v>20541</v>
      </c>
      <c r="Q447" t="s">
        <v>20389</v>
      </c>
      <c r="R447" t="s">
        <v>20542</v>
      </c>
      <c r="S447" t="s">
        <v>22141</v>
      </c>
      <c r="T447" t="s">
        <v>22142</v>
      </c>
      <c r="V447" s="28" t="s">
        <v>10012</v>
      </c>
      <c r="W447" t="s">
        <v>624</v>
      </c>
      <c r="X447" t="s">
        <v>194</v>
      </c>
      <c r="Y447" s="28" t="s">
        <v>9300</v>
      </c>
      <c r="AB447" t="s">
        <v>9311</v>
      </c>
      <c r="AH447" t="s">
        <v>4714</v>
      </c>
      <c r="AI447" t="s">
        <v>22139</v>
      </c>
      <c r="AJ447" s="28" t="str">
        <f t="shared" si="12"/>
        <v>332203</v>
      </c>
      <c r="AK447" s="420">
        <v>1</v>
      </c>
      <c r="AL447" s="420">
        <f t="shared" si="13"/>
        <v>1</v>
      </c>
      <c r="AM447" s="420">
        <v>1</v>
      </c>
      <c r="AN447" t="s">
        <v>17650</v>
      </c>
      <c r="AO447" t="s">
        <v>17651</v>
      </c>
      <c r="AP447" t="s">
        <v>17652</v>
      </c>
      <c r="AQ447" t="s">
        <v>17653</v>
      </c>
      <c r="AR447" t="s">
        <v>1024</v>
      </c>
    </row>
    <row r="448" spans="1:44" x14ac:dyDescent="0.25">
      <c r="A448" t="s">
        <v>22143</v>
      </c>
      <c r="B448" t="s">
        <v>22144</v>
      </c>
      <c r="C448" s="410" t="s">
        <v>17</v>
      </c>
      <c r="D448" t="s">
        <v>20338</v>
      </c>
      <c r="E448" t="s">
        <v>192</v>
      </c>
      <c r="F448" s="534">
        <v>1</v>
      </c>
      <c r="G448" t="s">
        <v>193</v>
      </c>
      <c r="H448" t="s">
        <v>194</v>
      </c>
      <c r="I448" t="s">
        <v>20405</v>
      </c>
      <c r="J448" t="s">
        <v>9302</v>
      </c>
      <c r="K448" s="28" t="s">
        <v>9309</v>
      </c>
      <c r="L448" t="s">
        <v>6955</v>
      </c>
      <c r="N448" t="s">
        <v>22145</v>
      </c>
      <c r="O448" t="s">
        <v>6249</v>
      </c>
      <c r="P448" t="s">
        <v>20398</v>
      </c>
      <c r="Q448" t="s">
        <v>20399</v>
      </c>
      <c r="R448" t="s">
        <v>21392</v>
      </c>
      <c r="S448" t="s">
        <v>22146</v>
      </c>
      <c r="T448" t="s">
        <v>22147</v>
      </c>
      <c r="W448" t="s">
        <v>624</v>
      </c>
      <c r="X448" t="s">
        <v>193</v>
      </c>
      <c r="Y448" s="28" t="s">
        <v>9310</v>
      </c>
      <c r="AB448" t="s">
        <v>9311</v>
      </c>
      <c r="AH448" t="s">
        <v>4714</v>
      </c>
      <c r="AI448" t="s">
        <v>22144</v>
      </c>
      <c r="AJ448" s="28" t="str">
        <f t="shared" si="12"/>
        <v>332203</v>
      </c>
      <c r="AK448" s="420">
        <v>1</v>
      </c>
      <c r="AL448" s="420">
        <f t="shared" si="13"/>
        <v>1</v>
      </c>
      <c r="AM448" s="420">
        <v>1</v>
      </c>
      <c r="AN448" t="s">
        <v>17650</v>
      </c>
      <c r="AO448" t="s">
        <v>17651</v>
      </c>
      <c r="AP448" t="s">
        <v>17652</v>
      </c>
      <c r="AQ448" t="s">
        <v>17653</v>
      </c>
      <c r="AR448" t="s">
        <v>1024</v>
      </c>
    </row>
    <row r="449" spans="1:44" x14ac:dyDescent="0.25">
      <c r="A449" t="s">
        <v>22148</v>
      </c>
      <c r="B449" t="s">
        <v>17</v>
      </c>
      <c r="C449" s="410" t="s">
        <v>17</v>
      </c>
      <c r="D449" t="s">
        <v>20338</v>
      </c>
      <c r="E449" t="s">
        <v>192</v>
      </c>
      <c r="F449" s="534">
        <v>1</v>
      </c>
      <c r="G449" t="s">
        <v>193</v>
      </c>
      <c r="H449" t="s">
        <v>194</v>
      </c>
      <c r="I449" t="s">
        <v>20310</v>
      </c>
      <c r="J449" t="s">
        <v>9302</v>
      </c>
      <c r="K449" s="28" t="s">
        <v>9309</v>
      </c>
      <c r="L449" t="s">
        <v>6955</v>
      </c>
      <c r="N449" t="s">
        <v>22149</v>
      </c>
      <c r="O449" t="s">
        <v>6245</v>
      </c>
      <c r="P449" t="s">
        <v>20398</v>
      </c>
      <c r="Q449" t="s">
        <v>20399</v>
      </c>
      <c r="R449" t="s">
        <v>20400</v>
      </c>
      <c r="S449" t="s">
        <v>22150</v>
      </c>
      <c r="T449" t="s">
        <v>22151</v>
      </c>
      <c r="W449" t="s">
        <v>624</v>
      </c>
      <c r="X449" t="s">
        <v>193</v>
      </c>
      <c r="Y449" s="28" t="s">
        <v>9310</v>
      </c>
      <c r="AB449" t="s">
        <v>9311</v>
      </c>
      <c r="AH449" t="s">
        <v>4714</v>
      </c>
      <c r="AI449" t="s">
        <v>17</v>
      </c>
      <c r="AJ449" s="28" t="str">
        <f t="shared" si="12"/>
        <v>332203</v>
      </c>
      <c r="AK449" s="420">
        <v>1</v>
      </c>
      <c r="AL449" s="420">
        <f t="shared" si="13"/>
        <v>1</v>
      </c>
      <c r="AM449" s="420">
        <v>1</v>
      </c>
      <c r="AN449" t="s">
        <v>17650</v>
      </c>
      <c r="AO449" t="s">
        <v>17651</v>
      </c>
      <c r="AP449" t="s">
        <v>17652</v>
      </c>
      <c r="AQ449" t="s">
        <v>17653</v>
      </c>
      <c r="AR449" t="s">
        <v>1024</v>
      </c>
    </row>
    <row r="450" spans="1:44" x14ac:dyDescent="0.25">
      <c r="A450" t="s">
        <v>22152</v>
      </c>
      <c r="B450" t="s">
        <v>22153</v>
      </c>
      <c r="C450" s="410" t="s">
        <v>17</v>
      </c>
      <c r="D450" t="s">
        <v>20338</v>
      </c>
      <c r="E450" t="s">
        <v>192</v>
      </c>
      <c r="F450" s="534">
        <v>1</v>
      </c>
      <c r="G450" t="s">
        <v>193</v>
      </c>
      <c r="H450" t="s">
        <v>194</v>
      </c>
      <c r="I450" t="s">
        <v>20310</v>
      </c>
      <c r="J450" t="s">
        <v>9302</v>
      </c>
      <c r="K450" s="28" t="s">
        <v>9309</v>
      </c>
      <c r="L450" t="s">
        <v>6955</v>
      </c>
      <c r="N450" t="s">
        <v>22154</v>
      </c>
      <c r="O450" t="s">
        <v>6254</v>
      </c>
      <c r="P450" t="s">
        <v>20398</v>
      </c>
      <c r="Q450" t="s">
        <v>20399</v>
      </c>
      <c r="R450" t="s">
        <v>20400</v>
      </c>
      <c r="S450" t="s">
        <v>22155</v>
      </c>
      <c r="T450" t="s">
        <v>22156</v>
      </c>
      <c r="W450" t="s">
        <v>624</v>
      </c>
      <c r="X450" t="s">
        <v>193</v>
      </c>
      <c r="Y450" s="28" t="s">
        <v>9310</v>
      </c>
      <c r="AB450" t="s">
        <v>9311</v>
      </c>
      <c r="AH450" t="s">
        <v>4714</v>
      </c>
      <c r="AI450" t="s">
        <v>22153</v>
      </c>
      <c r="AJ450" s="28" t="str">
        <f t="shared" si="12"/>
        <v>332203</v>
      </c>
      <c r="AK450" s="420">
        <v>1</v>
      </c>
      <c r="AL450" s="420">
        <f t="shared" si="13"/>
        <v>1</v>
      </c>
      <c r="AM450" s="420">
        <v>1</v>
      </c>
      <c r="AN450" t="s">
        <v>17650</v>
      </c>
      <c r="AO450" t="s">
        <v>17651</v>
      </c>
      <c r="AP450" t="s">
        <v>17652</v>
      </c>
      <c r="AQ450" t="s">
        <v>17653</v>
      </c>
      <c r="AR450" t="s">
        <v>1024</v>
      </c>
    </row>
    <row r="451" spans="1:44" x14ac:dyDescent="0.25">
      <c r="A451" t="s">
        <v>14006</v>
      </c>
      <c r="B451" t="s">
        <v>22157</v>
      </c>
      <c r="C451" s="410" t="s">
        <v>17</v>
      </c>
      <c r="D451" t="s">
        <v>20338</v>
      </c>
      <c r="E451" t="s">
        <v>192</v>
      </c>
      <c r="F451" s="534">
        <v>1</v>
      </c>
      <c r="G451" t="s">
        <v>193</v>
      </c>
      <c r="H451" t="s">
        <v>194</v>
      </c>
      <c r="I451" t="s">
        <v>20405</v>
      </c>
      <c r="J451" t="s">
        <v>9302</v>
      </c>
      <c r="K451" s="28" t="s">
        <v>9309</v>
      </c>
      <c r="L451" t="s">
        <v>6955</v>
      </c>
      <c r="N451" t="s">
        <v>22158</v>
      </c>
      <c r="O451" t="s">
        <v>6245</v>
      </c>
      <c r="P451" t="s">
        <v>20398</v>
      </c>
      <c r="Q451" t="s">
        <v>20399</v>
      </c>
      <c r="R451" t="s">
        <v>20400</v>
      </c>
      <c r="S451" t="s">
        <v>22159</v>
      </c>
      <c r="T451" t="s">
        <v>22160</v>
      </c>
      <c r="W451" t="s">
        <v>624</v>
      </c>
      <c r="X451" t="s">
        <v>193</v>
      </c>
      <c r="Y451" s="28" t="s">
        <v>9310</v>
      </c>
      <c r="AB451" t="s">
        <v>9311</v>
      </c>
      <c r="AH451" t="s">
        <v>4714</v>
      </c>
      <c r="AI451" t="s">
        <v>22157</v>
      </c>
      <c r="AJ451" s="28" t="str">
        <f t="shared" ref="AJ451:AJ514" si="14">MID(W451,8,6)</f>
        <v>332203</v>
      </c>
      <c r="AK451" s="420">
        <v>1</v>
      </c>
      <c r="AL451" s="420">
        <f t="shared" ref="AL451:AL514" si="15">F451</f>
        <v>1</v>
      </c>
      <c r="AM451" s="420">
        <v>1</v>
      </c>
      <c r="AN451" t="s">
        <v>17650</v>
      </c>
      <c r="AO451" t="s">
        <v>17651</v>
      </c>
      <c r="AP451" t="s">
        <v>17652</v>
      </c>
      <c r="AQ451" t="s">
        <v>17653</v>
      </c>
      <c r="AR451" t="s">
        <v>1024</v>
      </c>
    </row>
    <row r="452" spans="1:44" x14ac:dyDescent="0.25">
      <c r="A452" t="s">
        <v>22161</v>
      </c>
      <c r="B452" t="s">
        <v>22162</v>
      </c>
      <c r="C452" s="410" t="s">
        <v>17</v>
      </c>
      <c r="D452" t="s">
        <v>20338</v>
      </c>
      <c r="E452" t="s">
        <v>192</v>
      </c>
      <c r="F452" s="534">
        <v>1</v>
      </c>
      <c r="G452" t="s">
        <v>193</v>
      </c>
      <c r="H452" t="s">
        <v>194</v>
      </c>
      <c r="I452" t="s">
        <v>20310</v>
      </c>
      <c r="J452" t="s">
        <v>9302</v>
      </c>
      <c r="K452" s="28" t="s">
        <v>9309</v>
      </c>
      <c r="L452" t="s">
        <v>6955</v>
      </c>
      <c r="N452" t="s">
        <v>22163</v>
      </c>
      <c r="O452" t="s">
        <v>6245</v>
      </c>
      <c r="P452" t="s">
        <v>20398</v>
      </c>
      <c r="Q452" t="s">
        <v>20399</v>
      </c>
      <c r="R452" t="s">
        <v>20400</v>
      </c>
      <c r="S452" t="s">
        <v>22164</v>
      </c>
      <c r="T452" t="s">
        <v>22165</v>
      </c>
      <c r="W452" t="s">
        <v>624</v>
      </c>
      <c r="X452" t="s">
        <v>193</v>
      </c>
      <c r="Y452" s="28" t="s">
        <v>9310</v>
      </c>
      <c r="AB452" t="s">
        <v>9311</v>
      </c>
      <c r="AH452" t="s">
        <v>4714</v>
      </c>
      <c r="AI452" t="s">
        <v>22162</v>
      </c>
      <c r="AJ452" s="28" t="str">
        <f t="shared" si="14"/>
        <v>332203</v>
      </c>
      <c r="AK452" s="420">
        <v>1</v>
      </c>
      <c r="AL452" s="420">
        <f t="shared" si="15"/>
        <v>1</v>
      </c>
      <c r="AM452" s="420">
        <v>1</v>
      </c>
      <c r="AN452" t="s">
        <v>17650</v>
      </c>
      <c r="AO452" t="s">
        <v>17651</v>
      </c>
      <c r="AP452" t="s">
        <v>17652</v>
      </c>
      <c r="AQ452" t="s">
        <v>17653</v>
      </c>
      <c r="AR452" t="s">
        <v>1024</v>
      </c>
    </row>
    <row r="453" spans="1:44" x14ac:dyDescent="0.25">
      <c r="A453" t="s">
        <v>22166</v>
      </c>
      <c r="B453" t="s">
        <v>632</v>
      </c>
      <c r="C453" s="410" t="s">
        <v>17</v>
      </c>
      <c r="D453" t="s">
        <v>20338</v>
      </c>
      <c r="E453" t="s">
        <v>192</v>
      </c>
      <c r="F453" s="534">
        <v>1</v>
      </c>
      <c r="G453" t="s">
        <v>193</v>
      </c>
      <c r="H453" t="s">
        <v>194</v>
      </c>
      <c r="I453" t="s">
        <v>20310</v>
      </c>
      <c r="J453" t="s">
        <v>210</v>
      </c>
      <c r="K453" s="28" t="s">
        <v>9309</v>
      </c>
      <c r="L453" t="s">
        <v>6955</v>
      </c>
      <c r="N453" t="s">
        <v>22167</v>
      </c>
      <c r="O453" t="s">
        <v>6343</v>
      </c>
      <c r="P453" t="s">
        <v>20639</v>
      </c>
      <c r="Q453" t="s">
        <v>20399</v>
      </c>
      <c r="R453" t="s">
        <v>20400</v>
      </c>
      <c r="S453" t="s">
        <v>22168</v>
      </c>
      <c r="T453" t="s">
        <v>22169</v>
      </c>
      <c r="V453" s="28" t="s">
        <v>9334</v>
      </c>
      <c r="W453" t="s">
        <v>624</v>
      </c>
      <c r="X453" t="s">
        <v>194</v>
      </c>
      <c r="Y453" s="28" t="s">
        <v>9300</v>
      </c>
      <c r="AB453" t="s">
        <v>9311</v>
      </c>
      <c r="AH453" t="s">
        <v>4714</v>
      </c>
      <c r="AI453" t="s">
        <v>17</v>
      </c>
      <c r="AJ453" s="28" t="str">
        <f t="shared" si="14"/>
        <v>332203</v>
      </c>
      <c r="AK453" s="420">
        <v>1</v>
      </c>
      <c r="AL453" s="420">
        <f t="shared" si="15"/>
        <v>1</v>
      </c>
      <c r="AM453" s="420">
        <v>1</v>
      </c>
      <c r="AN453" t="s">
        <v>17650</v>
      </c>
      <c r="AO453" t="s">
        <v>17651</v>
      </c>
      <c r="AP453" t="s">
        <v>17652</v>
      </c>
      <c r="AQ453" t="s">
        <v>17653</v>
      </c>
      <c r="AR453" t="s">
        <v>1024</v>
      </c>
    </row>
    <row r="454" spans="1:44" x14ac:dyDescent="0.25">
      <c r="A454" t="s">
        <v>20223</v>
      </c>
      <c r="B454" t="s">
        <v>22139</v>
      </c>
      <c r="C454" s="410" t="s">
        <v>17</v>
      </c>
      <c r="D454" t="s">
        <v>20338</v>
      </c>
      <c r="E454" t="s">
        <v>192</v>
      </c>
      <c r="F454" s="534">
        <v>1</v>
      </c>
      <c r="G454" t="s">
        <v>193</v>
      </c>
      <c r="H454" t="s">
        <v>194</v>
      </c>
      <c r="I454" t="s">
        <v>20405</v>
      </c>
      <c r="J454" t="s">
        <v>276</v>
      </c>
      <c r="K454" s="28" t="s">
        <v>9309</v>
      </c>
      <c r="L454" t="s">
        <v>6955</v>
      </c>
      <c r="N454" t="s">
        <v>22170</v>
      </c>
      <c r="O454" t="s">
        <v>6245</v>
      </c>
      <c r="P454" t="s">
        <v>20398</v>
      </c>
      <c r="Q454" t="s">
        <v>20399</v>
      </c>
      <c r="R454" t="s">
        <v>20400</v>
      </c>
      <c r="S454" t="s">
        <v>22171</v>
      </c>
      <c r="T454" t="s">
        <v>22172</v>
      </c>
      <c r="V454" s="28" t="s">
        <v>9786</v>
      </c>
      <c r="W454" t="s">
        <v>624</v>
      </c>
      <c r="X454" t="s">
        <v>194</v>
      </c>
      <c r="Y454" s="28" t="s">
        <v>9300</v>
      </c>
      <c r="AB454" t="s">
        <v>9311</v>
      </c>
      <c r="AH454" t="s">
        <v>4714</v>
      </c>
      <c r="AI454" t="s">
        <v>22139</v>
      </c>
      <c r="AJ454" s="28" t="str">
        <f t="shared" si="14"/>
        <v>332203</v>
      </c>
      <c r="AK454" s="420">
        <v>1</v>
      </c>
      <c r="AL454" s="420">
        <f t="shared" si="15"/>
        <v>1</v>
      </c>
      <c r="AM454" s="420">
        <v>1</v>
      </c>
      <c r="AN454" t="s">
        <v>17650</v>
      </c>
      <c r="AO454" t="s">
        <v>17651</v>
      </c>
      <c r="AP454" t="s">
        <v>17652</v>
      </c>
      <c r="AQ454" t="s">
        <v>17653</v>
      </c>
      <c r="AR454" t="s">
        <v>1024</v>
      </c>
    </row>
    <row r="455" spans="1:44" x14ac:dyDescent="0.25">
      <c r="A455" t="s">
        <v>20223</v>
      </c>
      <c r="B455" t="s">
        <v>22139</v>
      </c>
      <c r="C455" s="410" t="s">
        <v>17</v>
      </c>
      <c r="D455" t="s">
        <v>20338</v>
      </c>
      <c r="E455" t="s">
        <v>192</v>
      </c>
      <c r="F455" s="534">
        <v>1</v>
      </c>
      <c r="G455" t="s">
        <v>193</v>
      </c>
      <c r="H455" t="s">
        <v>194</v>
      </c>
      <c r="I455" t="s">
        <v>20405</v>
      </c>
      <c r="J455" t="s">
        <v>223</v>
      </c>
      <c r="K455" s="28" t="s">
        <v>9309</v>
      </c>
      <c r="L455" t="s">
        <v>6955</v>
      </c>
      <c r="N455" t="s">
        <v>22173</v>
      </c>
      <c r="O455" t="s">
        <v>6245</v>
      </c>
      <c r="P455" t="s">
        <v>20398</v>
      </c>
      <c r="Q455" t="s">
        <v>20399</v>
      </c>
      <c r="R455" t="s">
        <v>20400</v>
      </c>
      <c r="S455" t="s">
        <v>22174</v>
      </c>
      <c r="T455" t="s">
        <v>22175</v>
      </c>
      <c r="V455" s="28" t="s">
        <v>11163</v>
      </c>
      <c r="W455" t="s">
        <v>624</v>
      </c>
      <c r="X455" t="s">
        <v>194</v>
      </c>
      <c r="Y455" s="28" t="s">
        <v>9300</v>
      </c>
      <c r="AB455" t="s">
        <v>9311</v>
      </c>
      <c r="AH455" t="s">
        <v>4714</v>
      </c>
      <c r="AI455" t="s">
        <v>22139</v>
      </c>
      <c r="AJ455" s="28" t="str">
        <f t="shared" si="14"/>
        <v>332203</v>
      </c>
      <c r="AK455" s="420">
        <v>1</v>
      </c>
      <c r="AL455" s="420">
        <f t="shared" si="15"/>
        <v>1</v>
      </c>
      <c r="AM455" s="420">
        <v>1</v>
      </c>
      <c r="AN455" t="s">
        <v>17650</v>
      </c>
      <c r="AO455" t="s">
        <v>17651</v>
      </c>
      <c r="AP455" t="s">
        <v>17652</v>
      </c>
      <c r="AQ455" t="s">
        <v>17653</v>
      </c>
      <c r="AR455" t="s">
        <v>1024</v>
      </c>
    </row>
    <row r="456" spans="1:44" x14ac:dyDescent="0.25">
      <c r="A456" t="s">
        <v>20223</v>
      </c>
      <c r="B456" t="s">
        <v>22139</v>
      </c>
      <c r="C456" s="410" t="s">
        <v>17</v>
      </c>
      <c r="D456" t="s">
        <v>20338</v>
      </c>
      <c r="E456" t="s">
        <v>192</v>
      </c>
      <c r="F456" s="534">
        <v>1</v>
      </c>
      <c r="G456" t="s">
        <v>193</v>
      </c>
      <c r="H456" t="s">
        <v>194</v>
      </c>
      <c r="I456" t="s">
        <v>20405</v>
      </c>
      <c r="J456" t="s">
        <v>210</v>
      </c>
      <c r="K456" s="28" t="s">
        <v>9309</v>
      </c>
      <c r="L456" t="s">
        <v>6955</v>
      </c>
      <c r="N456" t="s">
        <v>22176</v>
      </c>
      <c r="O456" t="s">
        <v>6245</v>
      </c>
      <c r="P456" t="s">
        <v>20398</v>
      </c>
      <c r="Q456" t="s">
        <v>20399</v>
      </c>
      <c r="R456" t="s">
        <v>20400</v>
      </c>
      <c r="S456" t="s">
        <v>22177</v>
      </c>
      <c r="T456" t="s">
        <v>22178</v>
      </c>
      <c r="V456" s="28" t="s">
        <v>9334</v>
      </c>
      <c r="W456" t="s">
        <v>624</v>
      </c>
      <c r="X456" t="s">
        <v>194</v>
      </c>
      <c r="Y456" s="28" t="s">
        <v>9300</v>
      </c>
      <c r="AB456" t="s">
        <v>9311</v>
      </c>
      <c r="AH456" t="s">
        <v>4714</v>
      </c>
      <c r="AI456" t="s">
        <v>22139</v>
      </c>
      <c r="AJ456" s="28" t="str">
        <f t="shared" si="14"/>
        <v>332203</v>
      </c>
      <c r="AK456" s="420">
        <v>1</v>
      </c>
      <c r="AL456" s="420">
        <f t="shared" si="15"/>
        <v>1</v>
      </c>
      <c r="AM456" s="420">
        <v>1</v>
      </c>
      <c r="AN456" t="s">
        <v>17650</v>
      </c>
      <c r="AO456" t="s">
        <v>17651</v>
      </c>
      <c r="AP456" t="s">
        <v>17652</v>
      </c>
      <c r="AQ456" t="s">
        <v>17653</v>
      </c>
      <c r="AR456" t="s">
        <v>1024</v>
      </c>
    </row>
    <row r="457" spans="1:44" x14ac:dyDescent="0.25">
      <c r="A457" t="s">
        <v>20223</v>
      </c>
      <c r="B457" t="s">
        <v>22139</v>
      </c>
      <c r="C457" s="410" t="s">
        <v>17</v>
      </c>
      <c r="D457" t="s">
        <v>20338</v>
      </c>
      <c r="E457" t="s">
        <v>192</v>
      </c>
      <c r="F457" s="534">
        <v>1</v>
      </c>
      <c r="G457" t="s">
        <v>193</v>
      </c>
      <c r="H457" t="s">
        <v>194</v>
      </c>
      <c r="I457" t="s">
        <v>20405</v>
      </c>
      <c r="J457" t="s">
        <v>316</v>
      </c>
      <c r="K457" s="28" t="s">
        <v>9309</v>
      </c>
      <c r="L457" t="s">
        <v>6955</v>
      </c>
      <c r="N457" t="s">
        <v>22179</v>
      </c>
      <c r="O457" t="s">
        <v>6245</v>
      </c>
      <c r="P457" t="s">
        <v>20398</v>
      </c>
      <c r="Q457" t="s">
        <v>20399</v>
      </c>
      <c r="R457" t="s">
        <v>20400</v>
      </c>
      <c r="S457" t="s">
        <v>22180</v>
      </c>
      <c r="T457" t="s">
        <v>22181</v>
      </c>
      <c r="V457" s="28" t="s">
        <v>10012</v>
      </c>
      <c r="W457" t="s">
        <v>624</v>
      </c>
      <c r="X457" t="s">
        <v>194</v>
      </c>
      <c r="Y457" s="28" t="s">
        <v>9300</v>
      </c>
      <c r="AB457" t="s">
        <v>9311</v>
      </c>
      <c r="AH457" t="s">
        <v>4714</v>
      </c>
      <c r="AI457" t="s">
        <v>22139</v>
      </c>
      <c r="AJ457" s="28" t="str">
        <f t="shared" si="14"/>
        <v>332203</v>
      </c>
      <c r="AK457" s="420">
        <v>1</v>
      </c>
      <c r="AL457" s="420">
        <f t="shared" si="15"/>
        <v>1</v>
      </c>
      <c r="AM457" s="420">
        <v>1</v>
      </c>
      <c r="AN457" t="s">
        <v>17650</v>
      </c>
      <c r="AO457" t="s">
        <v>17651</v>
      </c>
      <c r="AP457" t="s">
        <v>17652</v>
      </c>
      <c r="AQ457" t="s">
        <v>17653</v>
      </c>
      <c r="AR457" t="s">
        <v>1024</v>
      </c>
    </row>
    <row r="458" spans="1:44" x14ac:dyDescent="0.25">
      <c r="A458" t="s">
        <v>22182</v>
      </c>
      <c r="B458" t="s">
        <v>22183</v>
      </c>
      <c r="C458" s="410" t="s">
        <v>17</v>
      </c>
      <c r="D458" t="s">
        <v>20338</v>
      </c>
      <c r="E458" t="s">
        <v>192</v>
      </c>
      <c r="F458" s="534">
        <v>1</v>
      </c>
      <c r="G458" t="s">
        <v>193</v>
      </c>
      <c r="H458" t="s">
        <v>194</v>
      </c>
      <c r="I458" t="s">
        <v>20405</v>
      </c>
      <c r="J458" t="s">
        <v>385</v>
      </c>
      <c r="K458" s="28" t="s">
        <v>9309</v>
      </c>
      <c r="L458" t="s">
        <v>6955</v>
      </c>
      <c r="N458" t="s">
        <v>22184</v>
      </c>
      <c r="O458" t="s">
        <v>6249</v>
      </c>
      <c r="P458" t="s">
        <v>20398</v>
      </c>
      <c r="Q458" t="s">
        <v>20399</v>
      </c>
      <c r="R458" t="s">
        <v>20400</v>
      </c>
      <c r="S458" t="s">
        <v>22185</v>
      </c>
      <c r="T458" t="s">
        <v>22186</v>
      </c>
      <c r="V458" s="28" t="s">
        <v>9410</v>
      </c>
      <c r="W458" t="s">
        <v>624</v>
      </c>
      <c r="X458" t="s">
        <v>194</v>
      </c>
      <c r="Y458" s="28" t="s">
        <v>9300</v>
      </c>
      <c r="AB458" t="s">
        <v>9311</v>
      </c>
      <c r="AH458" t="s">
        <v>4714</v>
      </c>
      <c r="AI458" t="s">
        <v>22183</v>
      </c>
      <c r="AJ458" s="28" t="str">
        <f t="shared" si="14"/>
        <v>332203</v>
      </c>
      <c r="AK458" s="420">
        <v>1</v>
      </c>
      <c r="AL458" s="420">
        <f t="shared" si="15"/>
        <v>1</v>
      </c>
      <c r="AM458" s="420">
        <v>1</v>
      </c>
      <c r="AN458" t="s">
        <v>17650</v>
      </c>
      <c r="AO458" t="s">
        <v>17651</v>
      </c>
      <c r="AP458" t="s">
        <v>17652</v>
      </c>
      <c r="AQ458" t="s">
        <v>17653</v>
      </c>
      <c r="AR458" t="s">
        <v>1024</v>
      </c>
    </row>
    <row r="459" spans="1:44" x14ac:dyDescent="0.25">
      <c r="A459" t="s">
        <v>961</v>
      </c>
      <c r="B459" t="s">
        <v>22187</v>
      </c>
      <c r="C459" s="410" t="s">
        <v>17</v>
      </c>
      <c r="D459" t="s">
        <v>20306</v>
      </c>
      <c r="E459" t="s">
        <v>233</v>
      </c>
      <c r="F459" s="534">
        <v>1</v>
      </c>
      <c r="G459" t="s">
        <v>193</v>
      </c>
      <c r="H459" t="s">
        <v>194</v>
      </c>
      <c r="I459" t="s">
        <v>20441</v>
      </c>
      <c r="J459" t="s">
        <v>210</v>
      </c>
      <c r="K459" s="28" t="s">
        <v>9309</v>
      </c>
      <c r="L459" t="s">
        <v>6955</v>
      </c>
      <c r="N459" t="s">
        <v>22188</v>
      </c>
      <c r="O459" t="s">
        <v>6249</v>
      </c>
      <c r="P459" t="s">
        <v>20417</v>
      </c>
      <c r="Q459" t="s">
        <v>20405</v>
      </c>
      <c r="R459" t="s">
        <v>20418</v>
      </c>
      <c r="S459" t="s">
        <v>22189</v>
      </c>
      <c r="T459" t="s">
        <v>22190</v>
      </c>
      <c r="V459" s="28" t="s">
        <v>9334</v>
      </c>
      <c r="W459" t="s">
        <v>624</v>
      </c>
      <c r="X459" t="s">
        <v>194</v>
      </c>
      <c r="Y459" s="28" t="s">
        <v>9300</v>
      </c>
      <c r="AB459" t="s">
        <v>9311</v>
      </c>
      <c r="AH459" t="s">
        <v>4714</v>
      </c>
      <c r="AI459" t="s">
        <v>22187</v>
      </c>
      <c r="AJ459" s="28" t="str">
        <f t="shared" si="14"/>
        <v>332203</v>
      </c>
      <c r="AK459" s="420">
        <v>1</v>
      </c>
      <c r="AL459" s="420">
        <f t="shared" si="15"/>
        <v>1</v>
      </c>
      <c r="AM459" s="420">
        <v>1</v>
      </c>
      <c r="AN459" t="s">
        <v>17650</v>
      </c>
      <c r="AO459" t="s">
        <v>17651</v>
      </c>
      <c r="AP459" t="s">
        <v>17652</v>
      </c>
      <c r="AQ459" t="s">
        <v>17653</v>
      </c>
      <c r="AR459" t="s">
        <v>1024</v>
      </c>
    </row>
    <row r="460" spans="1:44" x14ac:dyDescent="0.25">
      <c r="A460" t="s">
        <v>15464</v>
      </c>
      <c r="B460" t="s">
        <v>16319</v>
      </c>
      <c r="C460" s="410" t="s">
        <v>17</v>
      </c>
      <c r="D460" t="s">
        <v>20306</v>
      </c>
      <c r="E460" t="s">
        <v>217</v>
      </c>
      <c r="F460" s="534">
        <v>1</v>
      </c>
      <c r="G460" t="s">
        <v>193</v>
      </c>
      <c r="H460" t="s">
        <v>194</v>
      </c>
      <c r="I460" t="s">
        <v>20441</v>
      </c>
      <c r="J460" t="s">
        <v>210</v>
      </c>
      <c r="K460" s="28" t="s">
        <v>9309</v>
      </c>
      <c r="L460" t="s">
        <v>6955</v>
      </c>
      <c r="N460" t="s">
        <v>22191</v>
      </c>
      <c r="O460" t="s">
        <v>6269</v>
      </c>
      <c r="P460" t="s">
        <v>20688</v>
      </c>
      <c r="Q460" t="s">
        <v>20318</v>
      </c>
      <c r="R460" t="s">
        <v>20418</v>
      </c>
      <c r="S460" t="s">
        <v>22192</v>
      </c>
      <c r="T460" t="s">
        <v>22193</v>
      </c>
      <c r="V460" s="28" t="s">
        <v>9334</v>
      </c>
      <c r="W460" t="s">
        <v>624</v>
      </c>
      <c r="X460" t="s">
        <v>194</v>
      </c>
      <c r="Y460" s="28" t="s">
        <v>9300</v>
      </c>
      <c r="AB460" t="s">
        <v>9311</v>
      </c>
      <c r="AH460" t="s">
        <v>4714</v>
      </c>
      <c r="AI460" t="s">
        <v>9433</v>
      </c>
      <c r="AJ460" s="28" t="str">
        <f t="shared" si="14"/>
        <v>332203</v>
      </c>
      <c r="AK460" s="420">
        <v>1</v>
      </c>
      <c r="AL460" s="420">
        <f t="shared" si="15"/>
        <v>1</v>
      </c>
      <c r="AM460" s="420">
        <v>1</v>
      </c>
      <c r="AN460" t="s">
        <v>17650</v>
      </c>
      <c r="AO460" t="s">
        <v>17651</v>
      </c>
      <c r="AP460" t="s">
        <v>17652</v>
      </c>
      <c r="AQ460" t="s">
        <v>17653</v>
      </c>
      <c r="AR460" t="s">
        <v>1024</v>
      </c>
    </row>
    <row r="461" spans="1:44" x14ac:dyDescent="0.25">
      <c r="A461" t="s">
        <v>8994</v>
      </c>
      <c r="B461" t="s">
        <v>632</v>
      </c>
      <c r="C461" s="410" t="s">
        <v>17</v>
      </c>
      <c r="D461" t="s">
        <v>20306</v>
      </c>
      <c r="E461" t="s">
        <v>192</v>
      </c>
      <c r="F461" s="534">
        <v>1</v>
      </c>
      <c r="G461" t="s">
        <v>193</v>
      </c>
      <c r="H461" t="s">
        <v>194</v>
      </c>
      <c r="I461" t="s">
        <v>20322</v>
      </c>
      <c r="J461" t="s">
        <v>9302</v>
      </c>
      <c r="K461" s="28" t="s">
        <v>9309</v>
      </c>
      <c r="L461" t="s">
        <v>6955</v>
      </c>
      <c r="N461" t="s">
        <v>22194</v>
      </c>
      <c r="O461" t="s">
        <v>6374</v>
      </c>
      <c r="P461" t="s">
        <v>20367</v>
      </c>
      <c r="Q461" t="s">
        <v>20310</v>
      </c>
      <c r="R461" t="s">
        <v>20311</v>
      </c>
      <c r="S461" t="s">
        <v>22195</v>
      </c>
      <c r="T461" t="s">
        <v>22196</v>
      </c>
      <c r="W461" t="s">
        <v>624</v>
      </c>
      <c r="X461" t="s">
        <v>193</v>
      </c>
      <c r="Y461" s="28" t="s">
        <v>9310</v>
      </c>
      <c r="AB461" t="s">
        <v>9311</v>
      </c>
      <c r="AH461" t="s">
        <v>4714</v>
      </c>
      <c r="AI461" t="s">
        <v>17</v>
      </c>
      <c r="AJ461" s="28" t="str">
        <f t="shared" si="14"/>
        <v>332203</v>
      </c>
      <c r="AK461" s="420">
        <v>1</v>
      </c>
      <c r="AL461" s="420">
        <f t="shared" si="15"/>
        <v>1</v>
      </c>
      <c r="AM461" s="420">
        <v>1</v>
      </c>
      <c r="AN461" t="s">
        <v>17650</v>
      </c>
      <c r="AO461" t="s">
        <v>17651</v>
      </c>
      <c r="AP461" t="s">
        <v>17652</v>
      </c>
      <c r="AQ461" t="s">
        <v>17653</v>
      </c>
      <c r="AR461" t="s">
        <v>1024</v>
      </c>
    </row>
    <row r="462" spans="1:44" x14ac:dyDescent="0.25">
      <c r="A462" t="s">
        <v>15361</v>
      </c>
      <c r="B462" t="s">
        <v>2333</v>
      </c>
      <c r="C462" s="410" t="s">
        <v>17</v>
      </c>
      <c r="D462" t="s">
        <v>20306</v>
      </c>
      <c r="E462" t="s">
        <v>192</v>
      </c>
      <c r="F462" s="534">
        <v>1</v>
      </c>
      <c r="G462" t="s">
        <v>193</v>
      </c>
      <c r="H462" t="s">
        <v>194</v>
      </c>
      <c r="I462" t="s">
        <v>20307</v>
      </c>
      <c r="J462" t="s">
        <v>9302</v>
      </c>
      <c r="K462" s="28" t="s">
        <v>9309</v>
      </c>
      <c r="L462" t="s">
        <v>6955</v>
      </c>
      <c r="N462" t="s">
        <v>22197</v>
      </c>
      <c r="O462" t="s">
        <v>6288</v>
      </c>
      <c r="P462" t="s">
        <v>20309</v>
      </c>
      <c r="Q462" t="s">
        <v>20310</v>
      </c>
      <c r="R462" t="s">
        <v>20311</v>
      </c>
      <c r="S462" t="s">
        <v>22198</v>
      </c>
      <c r="T462" t="s">
        <v>22199</v>
      </c>
      <c r="W462" t="s">
        <v>624</v>
      </c>
      <c r="X462" t="s">
        <v>193</v>
      </c>
      <c r="Y462" s="28" t="s">
        <v>9310</v>
      </c>
      <c r="AB462" t="s">
        <v>9311</v>
      </c>
      <c r="AH462" t="s">
        <v>4714</v>
      </c>
      <c r="AI462" t="s">
        <v>2333</v>
      </c>
      <c r="AJ462" s="28" t="str">
        <f t="shared" si="14"/>
        <v>332203</v>
      </c>
      <c r="AK462" s="420">
        <v>1</v>
      </c>
      <c r="AL462" s="420">
        <f t="shared" si="15"/>
        <v>1</v>
      </c>
      <c r="AM462" s="420">
        <v>1</v>
      </c>
      <c r="AN462" t="s">
        <v>17650</v>
      </c>
      <c r="AO462" t="s">
        <v>17651</v>
      </c>
      <c r="AP462" t="s">
        <v>17652</v>
      </c>
      <c r="AQ462" t="s">
        <v>17653</v>
      </c>
      <c r="AR462" t="s">
        <v>1024</v>
      </c>
    </row>
    <row r="463" spans="1:44" x14ac:dyDescent="0.25">
      <c r="A463" t="s">
        <v>22200</v>
      </c>
      <c r="B463" t="s">
        <v>22201</v>
      </c>
      <c r="C463" s="410" t="s">
        <v>17</v>
      </c>
      <c r="D463" t="s">
        <v>20306</v>
      </c>
      <c r="E463" t="s">
        <v>192</v>
      </c>
      <c r="F463" s="534">
        <v>1</v>
      </c>
      <c r="G463" t="s">
        <v>193</v>
      </c>
      <c r="H463" t="s">
        <v>194</v>
      </c>
      <c r="I463" t="s">
        <v>20441</v>
      </c>
      <c r="J463" t="s">
        <v>9302</v>
      </c>
      <c r="K463" s="28" t="s">
        <v>9309</v>
      </c>
      <c r="L463" t="s">
        <v>6955</v>
      </c>
      <c r="N463" t="s">
        <v>22202</v>
      </c>
      <c r="O463" t="s">
        <v>6288</v>
      </c>
      <c r="P463" t="s">
        <v>20309</v>
      </c>
      <c r="Q463" t="s">
        <v>20310</v>
      </c>
      <c r="R463" t="s">
        <v>20311</v>
      </c>
      <c r="S463" t="s">
        <v>22203</v>
      </c>
      <c r="T463" t="s">
        <v>22204</v>
      </c>
      <c r="W463" t="s">
        <v>624</v>
      </c>
      <c r="X463" t="s">
        <v>193</v>
      </c>
      <c r="Y463" s="28" t="s">
        <v>9310</v>
      </c>
      <c r="AB463" t="s">
        <v>9311</v>
      </c>
      <c r="AH463" t="s">
        <v>4714</v>
      </c>
      <c r="AI463" t="s">
        <v>22201</v>
      </c>
      <c r="AJ463" s="28" t="str">
        <f t="shared" si="14"/>
        <v>332203</v>
      </c>
      <c r="AK463" s="420">
        <v>1</v>
      </c>
      <c r="AL463" s="420">
        <f t="shared" si="15"/>
        <v>1</v>
      </c>
      <c r="AM463" s="420">
        <v>1</v>
      </c>
      <c r="AN463" t="s">
        <v>17650</v>
      </c>
      <c r="AO463" t="s">
        <v>17651</v>
      </c>
      <c r="AP463" t="s">
        <v>17652</v>
      </c>
      <c r="AQ463" t="s">
        <v>17653</v>
      </c>
      <c r="AR463" t="s">
        <v>1024</v>
      </c>
    </row>
    <row r="464" spans="1:44" x14ac:dyDescent="0.25">
      <c r="A464" t="s">
        <v>22205</v>
      </c>
      <c r="B464" t="s">
        <v>22206</v>
      </c>
      <c r="C464" s="410" t="s">
        <v>17</v>
      </c>
      <c r="D464" t="s">
        <v>20306</v>
      </c>
      <c r="E464" t="s">
        <v>192</v>
      </c>
      <c r="F464" s="534">
        <v>1</v>
      </c>
      <c r="G464" t="s">
        <v>193</v>
      </c>
      <c r="H464" t="s">
        <v>194</v>
      </c>
      <c r="I464" t="s">
        <v>20307</v>
      </c>
      <c r="J464" t="s">
        <v>9302</v>
      </c>
      <c r="K464" s="28" t="s">
        <v>9309</v>
      </c>
      <c r="L464" t="s">
        <v>6955</v>
      </c>
      <c r="N464" t="s">
        <v>22207</v>
      </c>
      <c r="O464" t="s">
        <v>7001</v>
      </c>
      <c r="P464" t="s">
        <v>20309</v>
      </c>
      <c r="Q464" t="s">
        <v>20310</v>
      </c>
      <c r="R464" t="s">
        <v>20311</v>
      </c>
      <c r="S464" t="s">
        <v>22208</v>
      </c>
      <c r="T464" t="s">
        <v>22209</v>
      </c>
      <c r="W464" t="s">
        <v>624</v>
      </c>
      <c r="X464" t="s">
        <v>193</v>
      </c>
      <c r="Y464" s="28" t="s">
        <v>9310</v>
      </c>
      <c r="AB464" t="s">
        <v>9311</v>
      </c>
      <c r="AH464" t="s">
        <v>4714</v>
      </c>
      <c r="AI464" t="s">
        <v>22206</v>
      </c>
      <c r="AJ464" s="28" t="str">
        <f t="shared" si="14"/>
        <v>332203</v>
      </c>
      <c r="AK464" s="420">
        <v>1</v>
      </c>
      <c r="AL464" s="420">
        <f t="shared" si="15"/>
        <v>1</v>
      </c>
      <c r="AM464" s="420">
        <v>1</v>
      </c>
      <c r="AN464" t="s">
        <v>17650</v>
      </c>
      <c r="AO464" t="s">
        <v>17651</v>
      </c>
      <c r="AP464" t="s">
        <v>17652</v>
      </c>
      <c r="AQ464" t="s">
        <v>17653</v>
      </c>
      <c r="AR464" t="s">
        <v>1024</v>
      </c>
    </row>
    <row r="465" spans="1:44" x14ac:dyDescent="0.25">
      <c r="A465" t="s">
        <v>22210</v>
      </c>
      <c r="B465" t="s">
        <v>632</v>
      </c>
      <c r="C465" s="410" t="s">
        <v>17</v>
      </c>
      <c r="D465" t="s">
        <v>20306</v>
      </c>
      <c r="E465" t="s">
        <v>192</v>
      </c>
      <c r="F465" s="534">
        <v>1</v>
      </c>
      <c r="G465" t="s">
        <v>193</v>
      </c>
      <c r="H465" t="s">
        <v>194</v>
      </c>
      <c r="I465" t="s">
        <v>20322</v>
      </c>
      <c r="J465" t="s">
        <v>9302</v>
      </c>
      <c r="K465" s="28" t="s">
        <v>9309</v>
      </c>
      <c r="L465" t="s">
        <v>6955</v>
      </c>
      <c r="N465" t="s">
        <v>22211</v>
      </c>
      <c r="O465" t="s">
        <v>6245</v>
      </c>
      <c r="P465" t="s">
        <v>20367</v>
      </c>
      <c r="Q465" t="s">
        <v>20310</v>
      </c>
      <c r="R465" t="s">
        <v>20311</v>
      </c>
      <c r="S465" t="s">
        <v>22212</v>
      </c>
      <c r="T465" t="s">
        <v>22213</v>
      </c>
      <c r="W465" t="s">
        <v>624</v>
      </c>
      <c r="X465" t="s">
        <v>193</v>
      </c>
      <c r="Y465" s="28" t="s">
        <v>9310</v>
      </c>
      <c r="AB465" t="s">
        <v>9311</v>
      </c>
      <c r="AH465" t="s">
        <v>4714</v>
      </c>
      <c r="AI465" t="s">
        <v>17</v>
      </c>
      <c r="AJ465" s="28" t="str">
        <f t="shared" si="14"/>
        <v>332203</v>
      </c>
      <c r="AK465" s="420">
        <v>1</v>
      </c>
      <c r="AL465" s="420">
        <f t="shared" si="15"/>
        <v>1</v>
      </c>
      <c r="AM465" s="420">
        <v>1</v>
      </c>
      <c r="AN465" t="s">
        <v>17650</v>
      </c>
      <c r="AO465" t="s">
        <v>17651</v>
      </c>
      <c r="AP465" t="s">
        <v>17652</v>
      </c>
      <c r="AQ465" t="s">
        <v>17653</v>
      </c>
      <c r="AR465" t="s">
        <v>1024</v>
      </c>
    </row>
    <row r="466" spans="1:44" x14ac:dyDescent="0.25">
      <c r="A466" t="s">
        <v>16285</v>
      </c>
      <c r="B466" t="s">
        <v>1549</v>
      </c>
      <c r="C466" s="410" t="s">
        <v>17</v>
      </c>
      <c r="D466" t="s">
        <v>20306</v>
      </c>
      <c r="E466" t="s">
        <v>192</v>
      </c>
      <c r="F466" s="534">
        <v>1</v>
      </c>
      <c r="G466" t="s">
        <v>193</v>
      </c>
      <c r="H466" t="s">
        <v>194</v>
      </c>
      <c r="I466" t="s">
        <v>20307</v>
      </c>
      <c r="J466" t="s">
        <v>9302</v>
      </c>
      <c r="K466" s="28" t="s">
        <v>9309</v>
      </c>
      <c r="L466" t="s">
        <v>6955</v>
      </c>
      <c r="N466" t="s">
        <v>22214</v>
      </c>
      <c r="O466" t="s">
        <v>6245</v>
      </c>
      <c r="P466" t="s">
        <v>20309</v>
      </c>
      <c r="Q466" t="s">
        <v>20310</v>
      </c>
      <c r="R466" t="s">
        <v>20311</v>
      </c>
      <c r="S466" t="s">
        <v>22215</v>
      </c>
      <c r="T466" t="s">
        <v>22216</v>
      </c>
      <c r="W466" t="s">
        <v>624</v>
      </c>
      <c r="X466" t="s">
        <v>193</v>
      </c>
      <c r="Y466" s="28" t="s">
        <v>9310</v>
      </c>
      <c r="AB466" t="s">
        <v>9311</v>
      </c>
      <c r="AH466" t="s">
        <v>4714</v>
      </c>
      <c r="AI466" t="s">
        <v>1549</v>
      </c>
      <c r="AJ466" s="28" t="str">
        <f t="shared" si="14"/>
        <v>332203</v>
      </c>
      <c r="AK466" s="420">
        <v>1</v>
      </c>
      <c r="AL466" s="420">
        <f t="shared" si="15"/>
        <v>1</v>
      </c>
      <c r="AM466" s="420">
        <v>1</v>
      </c>
      <c r="AN466" t="s">
        <v>17650</v>
      </c>
      <c r="AO466" t="s">
        <v>17651</v>
      </c>
      <c r="AP466" t="s">
        <v>17652</v>
      </c>
      <c r="AQ466" t="s">
        <v>17653</v>
      </c>
      <c r="AR466" t="s">
        <v>1024</v>
      </c>
    </row>
    <row r="467" spans="1:44" x14ac:dyDescent="0.25">
      <c r="A467" t="s">
        <v>15464</v>
      </c>
      <c r="B467" t="s">
        <v>22217</v>
      </c>
      <c r="C467" s="410" t="s">
        <v>468</v>
      </c>
      <c r="D467" t="s">
        <v>20326</v>
      </c>
      <c r="E467" t="s">
        <v>217</v>
      </c>
      <c r="F467" s="534">
        <v>1</v>
      </c>
      <c r="G467" t="s">
        <v>193</v>
      </c>
      <c r="H467" t="s">
        <v>194</v>
      </c>
      <c r="I467" t="s">
        <v>20389</v>
      </c>
      <c r="J467" t="s">
        <v>210</v>
      </c>
      <c r="K467" s="28" t="s">
        <v>9309</v>
      </c>
      <c r="L467" t="s">
        <v>6955</v>
      </c>
      <c r="N467" t="s">
        <v>22218</v>
      </c>
      <c r="O467" t="s">
        <v>6251</v>
      </c>
      <c r="P467" t="s">
        <v>20372</v>
      </c>
      <c r="Q467" t="s">
        <v>20373</v>
      </c>
      <c r="R467" t="s">
        <v>20338</v>
      </c>
      <c r="S467" t="s">
        <v>22219</v>
      </c>
      <c r="T467" t="s">
        <v>22220</v>
      </c>
      <c r="V467" s="28" t="s">
        <v>9334</v>
      </c>
      <c r="W467" t="s">
        <v>469</v>
      </c>
      <c r="X467" t="s">
        <v>194</v>
      </c>
      <c r="Y467" s="28" t="s">
        <v>9300</v>
      </c>
      <c r="AB467" t="s">
        <v>9311</v>
      </c>
      <c r="AH467" t="s">
        <v>4714</v>
      </c>
      <c r="AI467" t="s">
        <v>9433</v>
      </c>
      <c r="AJ467" s="28" t="str">
        <f t="shared" si="14"/>
        <v>243303</v>
      </c>
      <c r="AK467" s="420">
        <v>1</v>
      </c>
      <c r="AL467" s="420">
        <f t="shared" si="15"/>
        <v>1</v>
      </c>
      <c r="AM467" s="420">
        <v>1</v>
      </c>
      <c r="AN467" t="s">
        <v>17650</v>
      </c>
      <c r="AO467" t="s">
        <v>17651</v>
      </c>
      <c r="AP467" t="s">
        <v>17652</v>
      </c>
      <c r="AQ467" t="s">
        <v>17653</v>
      </c>
      <c r="AR467" t="s">
        <v>1024</v>
      </c>
    </row>
    <row r="468" spans="1:44" x14ac:dyDescent="0.25">
      <c r="A468" t="s">
        <v>22221</v>
      </c>
      <c r="B468" t="s">
        <v>22222</v>
      </c>
      <c r="C468" s="410" t="s">
        <v>468</v>
      </c>
      <c r="D468" t="s">
        <v>20326</v>
      </c>
      <c r="E468" t="s">
        <v>192</v>
      </c>
      <c r="F468" s="534">
        <v>1</v>
      </c>
      <c r="G468" t="s">
        <v>193</v>
      </c>
      <c r="H468" t="s">
        <v>194</v>
      </c>
      <c r="I468" t="s">
        <v>20389</v>
      </c>
      <c r="J468" t="s">
        <v>9302</v>
      </c>
      <c r="K468" s="28" t="s">
        <v>9309</v>
      </c>
      <c r="L468" t="s">
        <v>6955</v>
      </c>
      <c r="N468" t="s">
        <v>22223</v>
      </c>
      <c r="O468" t="s">
        <v>6288</v>
      </c>
      <c r="P468" t="s">
        <v>20328</v>
      </c>
      <c r="Q468" t="s">
        <v>20329</v>
      </c>
      <c r="R468" t="s">
        <v>20306</v>
      </c>
      <c r="S468" t="s">
        <v>22224</v>
      </c>
      <c r="T468" t="s">
        <v>22225</v>
      </c>
      <c r="W468" t="s">
        <v>469</v>
      </c>
      <c r="X468" t="s">
        <v>193</v>
      </c>
      <c r="Y468" s="28" t="s">
        <v>9310</v>
      </c>
      <c r="AB468" t="s">
        <v>9311</v>
      </c>
      <c r="AH468" t="s">
        <v>4714</v>
      </c>
      <c r="AI468" t="s">
        <v>22222</v>
      </c>
      <c r="AJ468" s="28" t="str">
        <f t="shared" si="14"/>
        <v>243303</v>
      </c>
      <c r="AK468" s="420">
        <v>1</v>
      </c>
      <c r="AL468" s="420">
        <f t="shared" si="15"/>
        <v>1</v>
      </c>
      <c r="AM468" s="420">
        <v>1</v>
      </c>
      <c r="AN468" t="s">
        <v>17650</v>
      </c>
      <c r="AO468" t="s">
        <v>17651</v>
      </c>
      <c r="AP468" t="s">
        <v>17652</v>
      </c>
      <c r="AQ468" t="s">
        <v>17653</v>
      </c>
      <c r="AR468" t="s">
        <v>1024</v>
      </c>
    </row>
    <row r="469" spans="1:44" x14ac:dyDescent="0.25">
      <c r="A469" t="s">
        <v>15464</v>
      </c>
      <c r="B469" t="s">
        <v>22217</v>
      </c>
      <c r="C469" s="410" t="s">
        <v>468</v>
      </c>
      <c r="D469" t="s">
        <v>20317</v>
      </c>
      <c r="E469" t="s">
        <v>217</v>
      </c>
      <c r="F469" s="534">
        <v>1</v>
      </c>
      <c r="G469" t="s">
        <v>194</v>
      </c>
      <c r="H469" t="s">
        <v>193</v>
      </c>
      <c r="I469" t="s">
        <v>20389</v>
      </c>
      <c r="J469" t="s">
        <v>210</v>
      </c>
      <c r="K469" s="28" t="s">
        <v>9309</v>
      </c>
      <c r="L469" t="s">
        <v>6955</v>
      </c>
      <c r="N469" t="s">
        <v>22218</v>
      </c>
      <c r="O469" t="s">
        <v>6251</v>
      </c>
      <c r="P469" t="s">
        <v>20376</v>
      </c>
      <c r="Q469" t="s">
        <v>20326</v>
      </c>
      <c r="R469" t="s">
        <v>20338</v>
      </c>
      <c r="S469" t="s">
        <v>22226</v>
      </c>
      <c r="T469" t="s">
        <v>22227</v>
      </c>
      <c r="V469" s="28" t="s">
        <v>9334</v>
      </c>
      <c r="W469" t="s">
        <v>469</v>
      </c>
      <c r="X469" t="s">
        <v>194</v>
      </c>
      <c r="Y469" s="28" t="s">
        <v>9300</v>
      </c>
      <c r="AB469" t="s">
        <v>9311</v>
      </c>
      <c r="AH469" t="s">
        <v>4714</v>
      </c>
      <c r="AI469" t="s">
        <v>9433</v>
      </c>
      <c r="AJ469" s="28" t="str">
        <f t="shared" si="14"/>
        <v>243303</v>
      </c>
      <c r="AK469" s="420">
        <v>1</v>
      </c>
      <c r="AL469" s="420">
        <f t="shared" si="15"/>
        <v>1</v>
      </c>
      <c r="AM469" s="420">
        <v>1</v>
      </c>
      <c r="AN469" t="s">
        <v>17650</v>
      </c>
      <c r="AO469" t="s">
        <v>17651</v>
      </c>
      <c r="AP469" t="s">
        <v>17652</v>
      </c>
      <c r="AQ469" t="s">
        <v>17653</v>
      </c>
      <c r="AR469" t="s">
        <v>1024</v>
      </c>
    </row>
    <row r="470" spans="1:44" x14ac:dyDescent="0.25">
      <c r="A470" t="s">
        <v>5030</v>
      </c>
      <c r="B470" t="s">
        <v>5031</v>
      </c>
      <c r="C470" s="410" t="s">
        <v>468</v>
      </c>
      <c r="D470" t="s">
        <v>20317</v>
      </c>
      <c r="E470" t="s">
        <v>192</v>
      </c>
      <c r="F470" s="534">
        <v>1</v>
      </c>
      <c r="G470" t="s">
        <v>193</v>
      </c>
      <c r="H470" t="s">
        <v>194</v>
      </c>
      <c r="I470" t="s">
        <v>20389</v>
      </c>
      <c r="J470" t="s">
        <v>9302</v>
      </c>
      <c r="K470" s="28" t="s">
        <v>9309</v>
      </c>
      <c r="L470" t="s">
        <v>6955</v>
      </c>
      <c r="N470" t="s">
        <v>22228</v>
      </c>
      <c r="O470" t="s">
        <v>6288</v>
      </c>
      <c r="P470" t="s">
        <v>20320</v>
      </c>
      <c r="Q470" t="s">
        <v>20321</v>
      </c>
      <c r="R470" t="s">
        <v>20322</v>
      </c>
      <c r="S470" t="s">
        <v>22229</v>
      </c>
      <c r="T470" t="s">
        <v>22230</v>
      </c>
      <c r="W470" t="s">
        <v>469</v>
      </c>
      <c r="X470" t="s">
        <v>193</v>
      </c>
      <c r="Y470" s="28" t="s">
        <v>9310</v>
      </c>
      <c r="AB470" t="s">
        <v>9311</v>
      </c>
      <c r="AH470" t="s">
        <v>4714</v>
      </c>
      <c r="AI470" t="s">
        <v>5031</v>
      </c>
      <c r="AJ470" s="28" t="str">
        <f t="shared" si="14"/>
        <v>243303</v>
      </c>
      <c r="AK470" s="420">
        <v>1</v>
      </c>
      <c r="AL470" s="420">
        <f t="shared" si="15"/>
        <v>1</v>
      </c>
      <c r="AM470" s="420">
        <v>1</v>
      </c>
      <c r="AN470" t="s">
        <v>17650</v>
      </c>
      <c r="AO470" t="s">
        <v>17651</v>
      </c>
      <c r="AP470" t="s">
        <v>17652</v>
      </c>
      <c r="AQ470" t="s">
        <v>17653</v>
      </c>
      <c r="AR470" t="s">
        <v>1024</v>
      </c>
    </row>
    <row r="471" spans="1:44" x14ac:dyDescent="0.25">
      <c r="A471" t="s">
        <v>22231</v>
      </c>
      <c r="B471" t="s">
        <v>22232</v>
      </c>
      <c r="C471" s="410" t="s">
        <v>468</v>
      </c>
      <c r="D471" t="s">
        <v>20317</v>
      </c>
      <c r="E471" t="s">
        <v>192</v>
      </c>
      <c r="F471" s="534">
        <v>1</v>
      </c>
      <c r="G471" t="s">
        <v>193</v>
      </c>
      <c r="H471" t="s">
        <v>194</v>
      </c>
      <c r="I471" t="s">
        <v>20389</v>
      </c>
      <c r="J471" t="s">
        <v>9302</v>
      </c>
      <c r="K471" s="28" t="s">
        <v>9309</v>
      </c>
      <c r="L471" t="s">
        <v>6955</v>
      </c>
      <c r="N471" t="s">
        <v>22233</v>
      </c>
      <c r="O471" t="s">
        <v>6288</v>
      </c>
      <c r="P471" t="s">
        <v>20320</v>
      </c>
      <c r="Q471" t="s">
        <v>20321</v>
      </c>
      <c r="R471" t="s">
        <v>20322</v>
      </c>
      <c r="S471" t="s">
        <v>22234</v>
      </c>
      <c r="T471" t="s">
        <v>22235</v>
      </c>
      <c r="W471" t="s">
        <v>469</v>
      </c>
      <c r="X471" t="s">
        <v>193</v>
      </c>
      <c r="Y471" s="28" t="s">
        <v>9310</v>
      </c>
      <c r="AB471" t="s">
        <v>9311</v>
      </c>
      <c r="AH471" t="s">
        <v>4714</v>
      </c>
      <c r="AI471" t="s">
        <v>22232</v>
      </c>
      <c r="AJ471" s="28" t="str">
        <f t="shared" si="14"/>
        <v>243303</v>
      </c>
      <c r="AK471" s="420">
        <v>1</v>
      </c>
      <c r="AL471" s="420">
        <f t="shared" si="15"/>
        <v>1</v>
      </c>
      <c r="AM471" s="420">
        <v>1</v>
      </c>
      <c r="AN471" t="s">
        <v>17650</v>
      </c>
      <c r="AO471" t="s">
        <v>17651</v>
      </c>
      <c r="AP471" t="s">
        <v>17652</v>
      </c>
      <c r="AQ471" t="s">
        <v>17653</v>
      </c>
      <c r="AR471" t="s">
        <v>1024</v>
      </c>
    </row>
    <row r="472" spans="1:44" x14ac:dyDescent="0.25">
      <c r="A472" t="s">
        <v>15464</v>
      </c>
      <c r="B472" t="s">
        <v>22217</v>
      </c>
      <c r="C472" s="410" t="s">
        <v>468</v>
      </c>
      <c r="D472" t="s">
        <v>20360</v>
      </c>
      <c r="E472" t="s">
        <v>217</v>
      </c>
      <c r="F472" s="534">
        <v>1</v>
      </c>
      <c r="G472" t="s">
        <v>194</v>
      </c>
      <c r="H472" t="s">
        <v>193</v>
      </c>
      <c r="I472" t="s">
        <v>20389</v>
      </c>
      <c r="J472" t="s">
        <v>210</v>
      </c>
      <c r="K472" s="28" t="s">
        <v>9309</v>
      </c>
      <c r="L472" t="s">
        <v>6955</v>
      </c>
      <c r="N472" t="s">
        <v>22218</v>
      </c>
      <c r="O472" t="s">
        <v>6251</v>
      </c>
      <c r="P472" t="s">
        <v>20393</v>
      </c>
      <c r="Q472" t="s">
        <v>20317</v>
      </c>
      <c r="R472" t="s">
        <v>20338</v>
      </c>
      <c r="S472" t="s">
        <v>22236</v>
      </c>
      <c r="T472" t="s">
        <v>22237</v>
      </c>
      <c r="V472" s="28" t="s">
        <v>9334</v>
      </c>
      <c r="W472" t="s">
        <v>469</v>
      </c>
      <c r="X472" t="s">
        <v>194</v>
      </c>
      <c r="Y472" s="28" t="s">
        <v>9300</v>
      </c>
      <c r="AB472" t="s">
        <v>9311</v>
      </c>
      <c r="AH472" t="s">
        <v>4714</v>
      </c>
      <c r="AI472" t="s">
        <v>9433</v>
      </c>
      <c r="AJ472" s="28" t="str">
        <f t="shared" si="14"/>
        <v>243303</v>
      </c>
      <c r="AK472" s="420">
        <v>1</v>
      </c>
      <c r="AL472" s="420">
        <f t="shared" si="15"/>
        <v>1</v>
      </c>
      <c r="AM472" s="420">
        <v>1</v>
      </c>
      <c r="AN472" t="s">
        <v>17650</v>
      </c>
      <c r="AO472" t="s">
        <v>17651</v>
      </c>
      <c r="AP472" t="s">
        <v>17652</v>
      </c>
      <c r="AQ472" t="s">
        <v>17653</v>
      </c>
      <c r="AR472" t="s">
        <v>1024</v>
      </c>
    </row>
    <row r="473" spans="1:44" x14ac:dyDescent="0.25">
      <c r="A473" t="s">
        <v>15464</v>
      </c>
      <c r="B473" t="s">
        <v>22217</v>
      </c>
      <c r="C473" s="410" t="s">
        <v>468</v>
      </c>
      <c r="D473" t="s">
        <v>20306</v>
      </c>
      <c r="E473" t="s">
        <v>217</v>
      </c>
      <c r="F473" s="534">
        <v>1</v>
      </c>
      <c r="G473" t="s">
        <v>193</v>
      </c>
      <c r="H473" t="s">
        <v>194</v>
      </c>
      <c r="I473" t="s">
        <v>20307</v>
      </c>
      <c r="J473" t="s">
        <v>210</v>
      </c>
      <c r="K473" s="28" t="s">
        <v>9309</v>
      </c>
      <c r="L473" t="s">
        <v>6955</v>
      </c>
      <c r="N473" t="s">
        <v>22238</v>
      </c>
      <c r="O473" t="s">
        <v>6251</v>
      </c>
      <c r="P473" t="s">
        <v>20688</v>
      </c>
      <c r="Q473" t="s">
        <v>20318</v>
      </c>
      <c r="R473" t="s">
        <v>20418</v>
      </c>
      <c r="S473" t="s">
        <v>22239</v>
      </c>
      <c r="T473" t="s">
        <v>22240</v>
      </c>
      <c r="V473" s="28" t="s">
        <v>9334</v>
      </c>
      <c r="W473" t="s">
        <v>469</v>
      </c>
      <c r="X473" t="s">
        <v>194</v>
      </c>
      <c r="Y473" s="28" t="s">
        <v>9300</v>
      </c>
      <c r="AB473" t="s">
        <v>9311</v>
      </c>
      <c r="AH473" t="s">
        <v>4714</v>
      </c>
      <c r="AI473" t="s">
        <v>9433</v>
      </c>
      <c r="AJ473" s="28" t="str">
        <f t="shared" si="14"/>
        <v>243303</v>
      </c>
      <c r="AK473" s="420">
        <v>1</v>
      </c>
      <c r="AL473" s="420">
        <f t="shared" si="15"/>
        <v>1</v>
      </c>
      <c r="AM473" s="420">
        <v>1</v>
      </c>
      <c r="AN473" t="s">
        <v>17650</v>
      </c>
      <c r="AO473" t="s">
        <v>17651</v>
      </c>
      <c r="AP473" t="s">
        <v>17652</v>
      </c>
      <c r="AQ473" t="s">
        <v>17653</v>
      </c>
      <c r="AR473" t="s">
        <v>1024</v>
      </c>
    </row>
    <row r="474" spans="1:44" x14ac:dyDescent="0.25">
      <c r="A474" t="s">
        <v>7354</v>
      </c>
      <c r="B474" t="s">
        <v>1520</v>
      </c>
      <c r="C474" s="410" t="s">
        <v>101</v>
      </c>
      <c r="D474" t="s">
        <v>20317</v>
      </c>
      <c r="E474" t="s">
        <v>233</v>
      </c>
      <c r="F474" s="534">
        <v>1</v>
      </c>
      <c r="G474" t="s">
        <v>193</v>
      </c>
      <c r="H474" t="s">
        <v>194</v>
      </c>
      <c r="I474" t="s">
        <v>20318</v>
      </c>
      <c r="J474" t="s">
        <v>385</v>
      </c>
      <c r="K474" s="28" t="s">
        <v>9309</v>
      </c>
      <c r="L474" t="s">
        <v>6955</v>
      </c>
      <c r="N474" t="s">
        <v>22241</v>
      </c>
      <c r="O474" t="s">
        <v>6306</v>
      </c>
      <c r="P474" t="s">
        <v>20565</v>
      </c>
      <c r="Q474" t="s">
        <v>20566</v>
      </c>
      <c r="R474" t="s">
        <v>20422</v>
      </c>
      <c r="S474" t="s">
        <v>22242</v>
      </c>
      <c r="T474" t="s">
        <v>22243</v>
      </c>
      <c r="V474" s="28" t="s">
        <v>9410</v>
      </c>
      <c r="W474" t="s">
        <v>519</v>
      </c>
      <c r="X474" t="s">
        <v>194</v>
      </c>
      <c r="Y474" s="28" t="s">
        <v>9300</v>
      </c>
      <c r="AB474" t="s">
        <v>9311</v>
      </c>
      <c r="AH474" t="s">
        <v>4714</v>
      </c>
      <c r="AI474" t="s">
        <v>1520</v>
      </c>
      <c r="AJ474" s="28" t="str">
        <f t="shared" si="14"/>
        <v>261103</v>
      </c>
      <c r="AK474" s="420">
        <v>1</v>
      </c>
      <c r="AL474" s="420">
        <f t="shared" si="15"/>
        <v>1</v>
      </c>
      <c r="AM474" s="420">
        <v>1</v>
      </c>
      <c r="AN474" t="s">
        <v>17650</v>
      </c>
      <c r="AO474" t="s">
        <v>17651</v>
      </c>
      <c r="AP474" t="s">
        <v>17652</v>
      </c>
      <c r="AQ474" t="s">
        <v>17653</v>
      </c>
      <c r="AR474" t="s">
        <v>1024</v>
      </c>
    </row>
    <row r="475" spans="1:44" x14ac:dyDescent="0.25">
      <c r="A475" t="s">
        <v>3998</v>
      </c>
      <c r="B475" t="s">
        <v>22244</v>
      </c>
      <c r="C475" s="410" t="s">
        <v>101</v>
      </c>
      <c r="D475" t="s">
        <v>20317</v>
      </c>
      <c r="E475" t="s">
        <v>192</v>
      </c>
      <c r="F475" s="534">
        <v>1</v>
      </c>
      <c r="G475" t="s">
        <v>193</v>
      </c>
      <c r="H475" t="s">
        <v>194</v>
      </c>
      <c r="I475" t="s">
        <v>20318</v>
      </c>
      <c r="J475" t="s">
        <v>210</v>
      </c>
      <c r="K475" s="28" t="s">
        <v>9309</v>
      </c>
      <c r="L475" t="s">
        <v>6955</v>
      </c>
      <c r="N475" t="s">
        <v>22245</v>
      </c>
      <c r="O475" t="s">
        <v>7406</v>
      </c>
      <c r="P475" t="s">
        <v>20320</v>
      </c>
      <c r="Q475" t="s">
        <v>20321</v>
      </c>
      <c r="R475" t="s">
        <v>20322</v>
      </c>
      <c r="S475" t="s">
        <v>22246</v>
      </c>
      <c r="T475" t="s">
        <v>22247</v>
      </c>
      <c r="V475" s="28" t="s">
        <v>9334</v>
      </c>
      <c r="W475" t="s">
        <v>519</v>
      </c>
      <c r="X475" t="s">
        <v>194</v>
      </c>
      <c r="Y475" s="28" t="s">
        <v>9300</v>
      </c>
      <c r="AB475" t="s">
        <v>9311</v>
      </c>
      <c r="AH475" t="s">
        <v>4714</v>
      </c>
      <c r="AI475" t="s">
        <v>22244</v>
      </c>
      <c r="AJ475" s="28" t="str">
        <f t="shared" si="14"/>
        <v>261103</v>
      </c>
      <c r="AK475" s="420">
        <v>1</v>
      </c>
      <c r="AL475" s="420">
        <f t="shared" si="15"/>
        <v>1</v>
      </c>
      <c r="AM475" s="420">
        <v>1</v>
      </c>
      <c r="AN475" t="s">
        <v>17650</v>
      </c>
      <c r="AO475" t="s">
        <v>17651</v>
      </c>
      <c r="AP475" t="s">
        <v>17652</v>
      </c>
      <c r="AQ475" t="s">
        <v>17653</v>
      </c>
      <c r="AR475" t="s">
        <v>1024</v>
      </c>
    </row>
    <row r="476" spans="1:44" x14ac:dyDescent="0.25">
      <c r="A476" t="s">
        <v>22248</v>
      </c>
      <c r="B476" t="s">
        <v>19222</v>
      </c>
      <c r="C476" s="410" t="s">
        <v>35</v>
      </c>
      <c r="D476" t="s">
        <v>20326</v>
      </c>
      <c r="E476" t="s">
        <v>233</v>
      </c>
      <c r="F476" s="534">
        <v>1</v>
      </c>
      <c r="G476" t="s">
        <v>193</v>
      </c>
      <c r="H476" t="s">
        <v>194</v>
      </c>
      <c r="I476" t="s">
        <v>20360</v>
      </c>
      <c r="J476" t="s">
        <v>210</v>
      </c>
      <c r="K476" s="28" t="s">
        <v>9309</v>
      </c>
      <c r="L476" t="s">
        <v>6955</v>
      </c>
      <c r="N476" t="s">
        <v>22249</v>
      </c>
      <c r="O476" t="s">
        <v>6254</v>
      </c>
      <c r="P476" t="s">
        <v>20509</v>
      </c>
      <c r="Q476" t="s">
        <v>20510</v>
      </c>
      <c r="R476" t="s">
        <v>20689</v>
      </c>
      <c r="S476" t="s">
        <v>22250</v>
      </c>
      <c r="T476" t="s">
        <v>22251</v>
      </c>
      <c r="V476" s="28" t="s">
        <v>9334</v>
      </c>
      <c r="W476" t="s">
        <v>207</v>
      </c>
      <c r="X476" t="s">
        <v>194</v>
      </c>
      <c r="Y476" s="28" t="s">
        <v>9300</v>
      </c>
      <c r="AB476" t="s">
        <v>9311</v>
      </c>
      <c r="AH476" t="s">
        <v>4714</v>
      </c>
      <c r="AI476" t="s">
        <v>19222</v>
      </c>
      <c r="AJ476" s="28" t="str">
        <f t="shared" si="14"/>
        <v>122106</v>
      </c>
      <c r="AK476" s="420">
        <v>1</v>
      </c>
      <c r="AL476" s="420">
        <f t="shared" si="15"/>
        <v>1</v>
      </c>
      <c r="AM476" s="420">
        <v>1</v>
      </c>
      <c r="AN476" t="s">
        <v>17650</v>
      </c>
      <c r="AO476" t="s">
        <v>17651</v>
      </c>
      <c r="AP476" t="s">
        <v>17652</v>
      </c>
      <c r="AQ476" t="s">
        <v>17653</v>
      </c>
      <c r="AR476" t="s">
        <v>1024</v>
      </c>
    </row>
    <row r="477" spans="1:44" x14ac:dyDescent="0.25">
      <c r="A477" t="s">
        <v>22248</v>
      </c>
      <c r="B477" t="s">
        <v>19222</v>
      </c>
      <c r="C477" s="410" t="s">
        <v>35</v>
      </c>
      <c r="D477" t="s">
        <v>20326</v>
      </c>
      <c r="E477" t="s">
        <v>233</v>
      </c>
      <c r="F477" s="534">
        <v>1</v>
      </c>
      <c r="G477" t="s">
        <v>193</v>
      </c>
      <c r="H477" t="s">
        <v>194</v>
      </c>
      <c r="I477" t="s">
        <v>20360</v>
      </c>
      <c r="J477" t="s">
        <v>253</v>
      </c>
      <c r="K477" s="28" t="s">
        <v>9309</v>
      </c>
      <c r="L477" t="s">
        <v>6955</v>
      </c>
      <c r="N477" t="s">
        <v>22252</v>
      </c>
      <c r="O477" t="s">
        <v>6254</v>
      </c>
      <c r="P477" t="s">
        <v>20509</v>
      </c>
      <c r="Q477" t="s">
        <v>20510</v>
      </c>
      <c r="R477" t="s">
        <v>20689</v>
      </c>
      <c r="S477" t="s">
        <v>22253</v>
      </c>
      <c r="T477" t="s">
        <v>22254</v>
      </c>
      <c r="V477" s="28" t="s">
        <v>9468</v>
      </c>
      <c r="W477" t="s">
        <v>207</v>
      </c>
      <c r="X477" t="s">
        <v>194</v>
      </c>
      <c r="Y477" s="28" t="s">
        <v>9300</v>
      </c>
      <c r="AB477" t="s">
        <v>9311</v>
      </c>
      <c r="AH477" t="s">
        <v>4714</v>
      </c>
      <c r="AI477" t="s">
        <v>19222</v>
      </c>
      <c r="AJ477" s="28" t="str">
        <f t="shared" si="14"/>
        <v>122106</v>
      </c>
      <c r="AK477" s="420">
        <v>1</v>
      </c>
      <c r="AL477" s="420">
        <f t="shared" si="15"/>
        <v>1</v>
      </c>
      <c r="AM477" s="420">
        <v>1</v>
      </c>
      <c r="AN477" t="s">
        <v>17650</v>
      </c>
      <c r="AO477" t="s">
        <v>17651</v>
      </c>
      <c r="AP477" t="s">
        <v>17652</v>
      </c>
      <c r="AQ477" t="s">
        <v>17653</v>
      </c>
      <c r="AR477" t="s">
        <v>1024</v>
      </c>
    </row>
    <row r="478" spans="1:44" x14ac:dyDescent="0.25">
      <c r="A478" t="s">
        <v>22248</v>
      </c>
      <c r="B478" t="s">
        <v>19222</v>
      </c>
      <c r="C478" s="410" t="s">
        <v>35</v>
      </c>
      <c r="D478" t="s">
        <v>20326</v>
      </c>
      <c r="E478" t="s">
        <v>233</v>
      </c>
      <c r="F478" s="534">
        <v>1</v>
      </c>
      <c r="G478" t="s">
        <v>193</v>
      </c>
      <c r="H478" t="s">
        <v>194</v>
      </c>
      <c r="I478" t="s">
        <v>20360</v>
      </c>
      <c r="J478" t="s">
        <v>276</v>
      </c>
      <c r="K478" s="28" t="s">
        <v>9309</v>
      </c>
      <c r="L478" t="s">
        <v>6955</v>
      </c>
      <c r="N478" t="s">
        <v>22255</v>
      </c>
      <c r="O478" t="s">
        <v>6254</v>
      </c>
      <c r="P478" t="s">
        <v>20509</v>
      </c>
      <c r="Q478" t="s">
        <v>20510</v>
      </c>
      <c r="R478" t="s">
        <v>20689</v>
      </c>
      <c r="S478" t="s">
        <v>22256</v>
      </c>
      <c r="T478" t="s">
        <v>22257</v>
      </c>
      <c r="V478" s="28" t="s">
        <v>9786</v>
      </c>
      <c r="W478" t="s">
        <v>207</v>
      </c>
      <c r="X478" t="s">
        <v>194</v>
      </c>
      <c r="Y478" s="28" t="s">
        <v>9300</v>
      </c>
      <c r="AB478" t="s">
        <v>9311</v>
      </c>
      <c r="AH478" t="s">
        <v>4714</v>
      </c>
      <c r="AI478" t="s">
        <v>19222</v>
      </c>
      <c r="AJ478" s="28" t="str">
        <f t="shared" si="14"/>
        <v>122106</v>
      </c>
      <c r="AK478" s="420">
        <v>1</v>
      </c>
      <c r="AL478" s="420">
        <f t="shared" si="15"/>
        <v>1</v>
      </c>
      <c r="AM478" s="420">
        <v>1</v>
      </c>
      <c r="AN478" t="s">
        <v>17650</v>
      </c>
      <c r="AO478" t="s">
        <v>17651</v>
      </c>
      <c r="AP478" t="s">
        <v>17652</v>
      </c>
      <c r="AQ478" t="s">
        <v>17653</v>
      </c>
      <c r="AR478" t="s">
        <v>1024</v>
      </c>
    </row>
    <row r="479" spans="1:44" x14ac:dyDescent="0.25">
      <c r="A479" t="s">
        <v>22248</v>
      </c>
      <c r="B479" t="s">
        <v>19222</v>
      </c>
      <c r="C479" s="410" t="s">
        <v>35</v>
      </c>
      <c r="D479" t="s">
        <v>20326</v>
      </c>
      <c r="E479" t="s">
        <v>233</v>
      </c>
      <c r="F479" s="534">
        <v>1</v>
      </c>
      <c r="G479" t="s">
        <v>193</v>
      </c>
      <c r="H479" t="s">
        <v>194</v>
      </c>
      <c r="I479" t="s">
        <v>20360</v>
      </c>
      <c r="J479" t="s">
        <v>385</v>
      </c>
      <c r="K479" s="28" t="s">
        <v>9309</v>
      </c>
      <c r="L479" t="s">
        <v>6955</v>
      </c>
      <c r="N479" t="s">
        <v>22258</v>
      </c>
      <c r="O479" t="s">
        <v>6254</v>
      </c>
      <c r="P479" t="s">
        <v>20509</v>
      </c>
      <c r="Q479" t="s">
        <v>20510</v>
      </c>
      <c r="R479" t="s">
        <v>20689</v>
      </c>
      <c r="S479" t="s">
        <v>22259</v>
      </c>
      <c r="T479" t="s">
        <v>22260</v>
      </c>
      <c r="V479" s="28" t="s">
        <v>9410</v>
      </c>
      <c r="W479" t="s">
        <v>207</v>
      </c>
      <c r="X479" t="s">
        <v>194</v>
      </c>
      <c r="Y479" s="28" t="s">
        <v>9300</v>
      </c>
      <c r="AB479" t="s">
        <v>9311</v>
      </c>
      <c r="AH479" t="s">
        <v>4714</v>
      </c>
      <c r="AI479" t="s">
        <v>19222</v>
      </c>
      <c r="AJ479" s="28" t="str">
        <f t="shared" si="14"/>
        <v>122106</v>
      </c>
      <c r="AK479" s="420">
        <v>1</v>
      </c>
      <c r="AL479" s="420">
        <f t="shared" si="15"/>
        <v>1</v>
      </c>
      <c r="AM479" s="420">
        <v>1</v>
      </c>
      <c r="AN479" t="s">
        <v>17650</v>
      </c>
      <c r="AO479" t="s">
        <v>17651</v>
      </c>
      <c r="AP479" t="s">
        <v>17652</v>
      </c>
      <c r="AQ479" t="s">
        <v>17653</v>
      </c>
      <c r="AR479" t="s">
        <v>1024</v>
      </c>
    </row>
    <row r="480" spans="1:44" x14ac:dyDescent="0.25">
      <c r="A480" t="s">
        <v>22248</v>
      </c>
      <c r="B480" t="s">
        <v>19222</v>
      </c>
      <c r="C480" s="410" t="s">
        <v>35</v>
      </c>
      <c r="D480" t="s">
        <v>20326</v>
      </c>
      <c r="E480" t="s">
        <v>233</v>
      </c>
      <c r="F480" s="534">
        <v>1</v>
      </c>
      <c r="G480" t="s">
        <v>193</v>
      </c>
      <c r="H480" t="s">
        <v>194</v>
      </c>
      <c r="I480" t="s">
        <v>20360</v>
      </c>
      <c r="J480" t="s">
        <v>4751</v>
      </c>
      <c r="K480" s="28" t="s">
        <v>9309</v>
      </c>
      <c r="L480" t="s">
        <v>6955</v>
      </c>
      <c r="N480" t="s">
        <v>22261</v>
      </c>
      <c r="O480" t="s">
        <v>6254</v>
      </c>
      <c r="P480" t="s">
        <v>20509</v>
      </c>
      <c r="Q480" t="s">
        <v>20510</v>
      </c>
      <c r="R480" t="s">
        <v>20689</v>
      </c>
      <c r="S480" t="s">
        <v>22262</v>
      </c>
      <c r="T480" t="s">
        <v>22263</v>
      </c>
      <c r="V480" s="28" t="s">
        <v>9472</v>
      </c>
      <c r="W480" t="s">
        <v>207</v>
      </c>
      <c r="X480" t="s">
        <v>194</v>
      </c>
      <c r="Y480" s="28" t="s">
        <v>9300</v>
      </c>
      <c r="AB480" t="s">
        <v>9311</v>
      </c>
      <c r="AH480" t="s">
        <v>4714</v>
      </c>
      <c r="AI480" t="s">
        <v>19222</v>
      </c>
      <c r="AJ480" s="28" t="str">
        <f t="shared" si="14"/>
        <v>122106</v>
      </c>
      <c r="AK480" s="420">
        <v>1</v>
      </c>
      <c r="AL480" s="420">
        <f t="shared" si="15"/>
        <v>1</v>
      </c>
      <c r="AM480" s="420">
        <v>1</v>
      </c>
      <c r="AN480" t="s">
        <v>17650</v>
      </c>
      <c r="AO480" t="s">
        <v>17651</v>
      </c>
      <c r="AP480" t="s">
        <v>17652</v>
      </c>
      <c r="AQ480" t="s">
        <v>17653</v>
      </c>
      <c r="AR480" t="s">
        <v>1024</v>
      </c>
    </row>
    <row r="481" spans="1:44" x14ac:dyDescent="0.25">
      <c r="A481" t="s">
        <v>22248</v>
      </c>
      <c r="B481" t="s">
        <v>19222</v>
      </c>
      <c r="C481" s="410" t="s">
        <v>35</v>
      </c>
      <c r="D481" t="s">
        <v>20326</v>
      </c>
      <c r="E481" t="s">
        <v>233</v>
      </c>
      <c r="F481" s="534">
        <v>1</v>
      </c>
      <c r="G481" t="s">
        <v>193</v>
      </c>
      <c r="H481" t="s">
        <v>194</v>
      </c>
      <c r="I481" t="s">
        <v>20360</v>
      </c>
      <c r="J481" t="s">
        <v>408</v>
      </c>
      <c r="K481" s="28" t="s">
        <v>9309</v>
      </c>
      <c r="L481" t="s">
        <v>6955</v>
      </c>
      <c r="N481" t="s">
        <v>22264</v>
      </c>
      <c r="O481" t="s">
        <v>6254</v>
      </c>
      <c r="P481" t="s">
        <v>20509</v>
      </c>
      <c r="Q481" t="s">
        <v>20510</v>
      </c>
      <c r="R481" t="s">
        <v>20689</v>
      </c>
      <c r="S481" t="s">
        <v>22265</v>
      </c>
      <c r="T481" t="s">
        <v>22266</v>
      </c>
      <c r="V481" s="28" t="s">
        <v>9479</v>
      </c>
      <c r="W481" t="s">
        <v>207</v>
      </c>
      <c r="X481" t="s">
        <v>194</v>
      </c>
      <c r="Y481" s="28" t="s">
        <v>9300</v>
      </c>
      <c r="AB481" t="s">
        <v>9311</v>
      </c>
      <c r="AH481" t="s">
        <v>4714</v>
      </c>
      <c r="AI481" t="s">
        <v>19222</v>
      </c>
      <c r="AJ481" s="28" t="str">
        <f t="shared" si="14"/>
        <v>122106</v>
      </c>
      <c r="AK481" s="420">
        <v>1</v>
      </c>
      <c r="AL481" s="420">
        <f t="shared" si="15"/>
        <v>1</v>
      </c>
      <c r="AM481" s="420">
        <v>1</v>
      </c>
      <c r="AN481" t="s">
        <v>17650</v>
      </c>
      <c r="AO481" t="s">
        <v>17651</v>
      </c>
      <c r="AP481" t="s">
        <v>17652</v>
      </c>
      <c r="AQ481" t="s">
        <v>17653</v>
      </c>
      <c r="AR481" t="s">
        <v>1024</v>
      </c>
    </row>
    <row r="482" spans="1:44" x14ac:dyDescent="0.25">
      <c r="A482" t="s">
        <v>22248</v>
      </c>
      <c r="B482" t="s">
        <v>19222</v>
      </c>
      <c r="C482" s="410" t="s">
        <v>35</v>
      </c>
      <c r="D482" t="s">
        <v>20326</v>
      </c>
      <c r="E482" t="s">
        <v>233</v>
      </c>
      <c r="F482" s="534">
        <v>1</v>
      </c>
      <c r="G482" t="s">
        <v>193</v>
      </c>
      <c r="H482" t="s">
        <v>194</v>
      </c>
      <c r="I482" t="s">
        <v>20360</v>
      </c>
      <c r="J482" t="s">
        <v>962</v>
      </c>
      <c r="K482" s="28" t="s">
        <v>9309</v>
      </c>
      <c r="L482" t="s">
        <v>6955</v>
      </c>
      <c r="N482" t="s">
        <v>22267</v>
      </c>
      <c r="O482" t="s">
        <v>6254</v>
      </c>
      <c r="P482" t="s">
        <v>20509</v>
      </c>
      <c r="Q482" t="s">
        <v>20510</v>
      </c>
      <c r="R482" t="s">
        <v>20689</v>
      </c>
      <c r="S482" t="s">
        <v>22268</v>
      </c>
      <c r="T482" t="s">
        <v>22269</v>
      </c>
      <c r="V482" s="28" t="s">
        <v>11394</v>
      </c>
      <c r="W482" t="s">
        <v>207</v>
      </c>
      <c r="X482" t="s">
        <v>194</v>
      </c>
      <c r="Y482" s="28" t="s">
        <v>9300</v>
      </c>
      <c r="AB482" t="s">
        <v>9311</v>
      </c>
      <c r="AH482" t="s">
        <v>4714</v>
      </c>
      <c r="AI482" t="s">
        <v>19222</v>
      </c>
      <c r="AJ482" s="28" t="str">
        <f t="shared" si="14"/>
        <v>122106</v>
      </c>
      <c r="AK482" s="420">
        <v>1</v>
      </c>
      <c r="AL482" s="420">
        <f t="shared" si="15"/>
        <v>1</v>
      </c>
      <c r="AM482" s="420">
        <v>1</v>
      </c>
      <c r="AN482" t="s">
        <v>17650</v>
      </c>
      <c r="AO482" t="s">
        <v>17651</v>
      </c>
      <c r="AP482" t="s">
        <v>17652</v>
      </c>
      <c r="AQ482" t="s">
        <v>17653</v>
      </c>
      <c r="AR482" t="s">
        <v>1024</v>
      </c>
    </row>
    <row r="483" spans="1:44" x14ac:dyDescent="0.25">
      <c r="A483" t="s">
        <v>22248</v>
      </c>
      <c r="B483" t="s">
        <v>19222</v>
      </c>
      <c r="C483" s="410" t="s">
        <v>35</v>
      </c>
      <c r="D483" t="s">
        <v>20326</v>
      </c>
      <c r="E483" t="s">
        <v>233</v>
      </c>
      <c r="F483" s="534">
        <v>1</v>
      </c>
      <c r="G483" t="s">
        <v>193</v>
      </c>
      <c r="H483" t="s">
        <v>194</v>
      </c>
      <c r="I483" t="s">
        <v>20360</v>
      </c>
      <c r="J483" t="s">
        <v>285</v>
      </c>
      <c r="K483" s="28" t="s">
        <v>9309</v>
      </c>
      <c r="L483" t="s">
        <v>6955</v>
      </c>
      <c r="N483" t="s">
        <v>22270</v>
      </c>
      <c r="O483" t="s">
        <v>6254</v>
      </c>
      <c r="P483" t="s">
        <v>20509</v>
      </c>
      <c r="Q483" t="s">
        <v>20510</v>
      </c>
      <c r="R483" t="s">
        <v>20689</v>
      </c>
      <c r="S483" t="s">
        <v>22271</v>
      </c>
      <c r="T483" t="s">
        <v>22272</v>
      </c>
      <c r="V483" s="28" t="s">
        <v>9518</v>
      </c>
      <c r="W483" t="s">
        <v>207</v>
      </c>
      <c r="X483" t="s">
        <v>194</v>
      </c>
      <c r="Y483" s="28" t="s">
        <v>9300</v>
      </c>
      <c r="AB483" t="s">
        <v>9311</v>
      </c>
      <c r="AH483" t="s">
        <v>4714</v>
      </c>
      <c r="AI483" t="s">
        <v>19222</v>
      </c>
      <c r="AJ483" s="28" t="str">
        <f t="shared" si="14"/>
        <v>122106</v>
      </c>
      <c r="AK483" s="420">
        <v>1</v>
      </c>
      <c r="AL483" s="420">
        <f t="shared" si="15"/>
        <v>1</v>
      </c>
      <c r="AM483" s="420">
        <v>1</v>
      </c>
      <c r="AN483" t="s">
        <v>17650</v>
      </c>
      <c r="AO483" t="s">
        <v>17651</v>
      </c>
      <c r="AP483" t="s">
        <v>17652</v>
      </c>
      <c r="AQ483" t="s">
        <v>17653</v>
      </c>
      <c r="AR483" t="s">
        <v>1024</v>
      </c>
    </row>
    <row r="484" spans="1:44" x14ac:dyDescent="0.25">
      <c r="A484" t="s">
        <v>22248</v>
      </c>
      <c r="B484" t="s">
        <v>19222</v>
      </c>
      <c r="C484" s="410" t="s">
        <v>35</v>
      </c>
      <c r="D484" t="s">
        <v>20326</v>
      </c>
      <c r="E484" t="s">
        <v>233</v>
      </c>
      <c r="F484" s="534">
        <v>1</v>
      </c>
      <c r="G484" t="s">
        <v>193</v>
      </c>
      <c r="H484" t="s">
        <v>194</v>
      </c>
      <c r="I484" t="s">
        <v>20360</v>
      </c>
      <c r="J484" t="s">
        <v>747</v>
      </c>
      <c r="K484" s="28" t="s">
        <v>9309</v>
      </c>
      <c r="L484" t="s">
        <v>6955</v>
      </c>
      <c r="N484" t="s">
        <v>22273</v>
      </c>
      <c r="O484" t="s">
        <v>6254</v>
      </c>
      <c r="P484" t="s">
        <v>20509</v>
      </c>
      <c r="Q484" t="s">
        <v>20510</v>
      </c>
      <c r="R484" t="s">
        <v>20689</v>
      </c>
      <c r="S484" t="s">
        <v>22274</v>
      </c>
      <c r="T484" t="s">
        <v>22275</v>
      </c>
      <c r="V484" s="28" t="s">
        <v>10397</v>
      </c>
      <c r="W484" t="s">
        <v>207</v>
      </c>
      <c r="X484" t="s">
        <v>194</v>
      </c>
      <c r="Y484" s="28" t="s">
        <v>9300</v>
      </c>
      <c r="AB484" t="s">
        <v>9311</v>
      </c>
      <c r="AH484" t="s">
        <v>4714</v>
      </c>
      <c r="AI484" t="s">
        <v>19222</v>
      </c>
      <c r="AJ484" s="28" t="str">
        <f t="shared" si="14"/>
        <v>122106</v>
      </c>
      <c r="AK484" s="420">
        <v>1</v>
      </c>
      <c r="AL484" s="420">
        <f t="shared" si="15"/>
        <v>1</v>
      </c>
      <c r="AM484" s="420">
        <v>1</v>
      </c>
      <c r="AN484" t="s">
        <v>17650</v>
      </c>
      <c r="AO484" t="s">
        <v>17651</v>
      </c>
      <c r="AP484" t="s">
        <v>17652</v>
      </c>
      <c r="AQ484" t="s">
        <v>17653</v>
      </c>
      <c r="AR484" t="s">
        <v>1024</v>
      </c>
    </row>
    <row r="485" spans="1:44" x14ac:dyDescent="0.25">
      <c r="A485" t="s">
        <v>22248</v>
      </c>
      <c r="B485" t="s">
        <v>19222</v>
      </c>
      <c r="C485" s="410" t="s">
        <v>35</v>
      </c>
      <c r="D485" t="s">
        <v>20326</v>
      </c>
      <c r="E485" t="s">
        <v>233</v>
      </c>
      <c r="F485" s="534">
        <v>1</v>
      </c>
      <c r="G485" t="s">
        <v>193</v>
      </c>
      <c r="H485" t="s">
        <v>194</v>
      </c>
      <c r="I485" t="s">
        <v>20360</v>
      </c>
      <c r="J485" t="s">
        <v>367</v>
      </c>
      <c r="K485" s="28" t="s">
        <v>9309</v>
      </c>
      <c r="L485" t="s">
        <v>6955</v>
      </c>
      <c r="N485" t="s">
        <v>22276</v>
      </c>
      <c r="O485" t="s">
        <v>6254</v>
      </c>
      <c r="P485" t="s">
        <v>20509</v>
      </c>
      <c r="Q485" t="s">
        <v>20510</v>
      </c>
      <c r="R485" t="s">
        <v>20689</v>
      </c>
      <c r="S485" t="s">
        <v>22277</v>
      </c>
      <c r="T485" t="s">
        <v>22278</v>
      </c>
      <c r="V485" s="28" t="s">
        <v>9974</v>
      </c>
      <c r="W485" t="s">
        <v>207</v>
      </c>
      <c r="X485" t="s">
        <v>194</v>
      </c>
      <c r="Y485" s="28" t="s">
        <v>9300</v>
      </c>
      <c r="AB485" t="s">
        <v>9311</v>
      </c>
      <c r="AH485" t="s">
        <v>4714</v>
      </c>
      <c r="AI485" t="s">
        <v>19222</v>
      </c>
      <c r="AJ485" s="28" t="str">
        <f t="shared" si="14"/>
        <v>122106</v>
      </c>
      <c r="AK485" s="420">
        <v>1</v>
      </c>
      <c r="AL485" s="420">
        <f t="shared" si="15"/>
        <v>1</v>
      </c>
      <c r="AM485" s="420">
        <v>1</v>
      </c>
      <c r="AN485" t="s">
        <v>17650</v>
      </c>
      <c r="AO485" t="s">
        <v>17651</v>
      </c>
      <c r="AP485" t="s">
        <v>17652</v>
      </c>
      <c r="AQ485" t="s">
        <v>17653</v>
      </c>
      <c r="AR485" t="s">
        <v>1024</v>
      </c>
    </row>
    <row r="486" spans="1:44" x14ac:dyDescent="0.25">
      <c r="A486" t="s">
        <v>22248</v>
      </c>
      <c r="B486" t="s">
        <v>19222</v>
      </c>
      <c r="C486" s="410" t="s">
        <v>35</v>
      </c>
      <c r="D486" t="s">
        <v>20326</v>
      </c>
      <c r="E486" t="s">
        <v>233</v>
      </c>
      <c r="F486" s="534">
        <v>1</v>
      </c>
      <c r="G486" t="s">
        <v>193</v>
      </c>
      <c r="H486" t="s">
        <v>194</v>
      </c>
      <c r="I486" t="s">
        <v>20360</v>
      </c>
      <c r="J486" t="s">
        <v>301</v>
      </c>
      <c r="K486" s="28" t="s">
        <v>9309</v>
      </c>
      <c r="L486" t="s">
        <v>6955</v>
      </c>
      <c r="N486" t="s">
        <v>22279</v>
      </c>
      <c r="O486" t="s">
        <v>6254</v>
      </c>
      <c r="P486" t="s">
        <v>20509</v>
      </c>
      <c r="Q486" t="s">
        <v>20510</v>
      </c>
      <c r="R486" t="s">
        <v>20689</v>
      </c>
      <c r="S486" t="s">
        <v>22280</v>
      </c>
      <c r="T486" t="s">
        <v>22281</v>
      </c>
      <c r="V486" s="28" t="s">
        <v>9367</v>
      </c>
      <c r="W486" t="s">
        <v>207</v>
      </c>
      <c r="X486" t="s">
        <v>194</v>
      </c>
      <c r="Y486" s="28" t="s">
        <v>9300</v>
      </c>
      <c r="AB486" t="s">
        <v>9311</v>
      </c>
      <c r="AH486" t="s">
        <v>4714</v>
      </c>
      <c r="AI486" t="s">
        <v>19222</v>
      </c>
      <c r="AJ486" s="28" t="str">
        <f t="shared" si="14"/>
        <v>122106</v>
      </c>
      <c r="AK486" s="420">
        <v>1</v>
      </c>
      <c r="AL486" s="420">
        <f t="shared" si="15"/>
        <v>1</v>
      </c>
      <c r="AM486" s="420">
        <v>1</v>
      </c>
      <c r="AN486" t="s">
        <v>17650</v>
      </c>
      <c r="AO486" t="s">
        <v>17651</v>
      </c>
      <c r="AP486" t="s">
        <v>17652</v>
      </c>
      <c r="AQ486" t="s">
        <v>17653</v>
      </c>
      <c r="AR486" t="s">
        <v>1024</v>
      </c>
    </row>
    <row r="487" spans="1:44" x14ac:dyDescent="0.25">
      <c r="A487" t="s">
        <v>22248</v>
      </c>
      <c r="B487" t="s">
        <v>19222</v>
      </c>
      <c r="C487" s="410" t="s">
        <v>35</v>
      </c>
      <c r="D487" t="s">
        <v>20326</v>
      </c>
      <c r="E487" t="s">
        <v>233</v>
      </c>
      <c r="F487" s="534">
        <v>1</v>
      </c>
      <c r="G487" t="s">
        <v>193</v>
      </c>
      <c r="H487" t="s">
        <v>194</v>
      </c>
      <c r="I487" t="s">
        <v>20360</v>
      </c>
      <c r="J487" t="s">
        <v>223</v>
      </c>
      <c r="K487" s="28" t="s">
        <v>9309</v>
      </c>
      <c r="L487" t="s">
        <v>6955</v>
      </c>
      <c r="N487" t="s">
        <v>22282</v>
      </c>
      <c r="O487" t="s">
        <v>6254</v>
      </c>
      <c r="P487" t="s">
        <v>20509</v>
      </c>
      <c r="Q487" t="s">
        <v>20510</v>
      </c>
      <c r="R487" t="s">
        <v>20689</v>
      </c>
      <c r="S487" t="s">
        <v>22283</v>
      </c>
      <c r="T487" t="s">
        <v>22284</v>
      </c>
      <c r="V487" s="28" t="s">
        <v>11163</v>
      </c>
      <c r="W487" t="s">
        <v>207</v>
      </c>
      <c r="X487" t="s">
        <v>194</v>
      </c>
      <c r="Y487" s="28" t="s">
        <v>9300</v>
      </c>
      <c r="AB487" t="s">
        <v>9311</v>
      </c>
      <c r="AH487" t="s">
        <v>4714</v>
      </c>
      <c r="AI487" t="s">
        <v>19222</v>
      </c>
      <c r="AJ487" s="28" t="str">
        <f t="shared" si="14"/>
        <v>122106</v>
      </c>
      <c r="AK487" s="420">
        <v>1</v>
      </c>
      <c r="AL487" s="420">
        <f t="shared" si="15"/>
        <v>1</v>
      </c>
      <c r="AM487" s="420">
        <v>1</v>
      </c>
      <c r="AN487" t="s">
        <v>17650</v>
      </c>
      <c r="AO487" t="s">
        <v>17651</v>
      </c>
      <c r="AP487" t="s">
        <v>17652</v>
      </c>
      <c r="AQ487" t="s">
        <v>17653</v>
      </c>
      <c r="AR487" t="s">
        <v>1024</v>
      </c>
    </row>
    <row r="488" spans="1:44" x14ac:dyDescent="0.25">
      <c r="A488" t="s">
        <v>22248</v>
      </c>
      <c r="B488" t="s">
        <v>19222</v>
      </c>
      <c r="C488" s="410" t="s">
        <v>35</v>
      </c>
      <c r="D488" t="s">
        <v>20326</v>
      </c>
      <c r="E488" t="s">
        <v>233</v>
      </c>
      <c r="F488" s="534">
        <v>1</v>
      </c>
      <c r="G488" t="s">
        <v>193</v>
      </c>
      <c r="H488" t="s">
        <v>194</v>
      </c>
      <c r="I488" t="s">
        <v>20360</v>
      </c>
      <c r="J488" t="s">
        <v>2819</v>
      </c>
      <c r="K488" s="28" t="s">
        <v>9309</v>
      </c>
      <c r="L488" t="s">
        <v>6955</v>
      </c>
      <c r="N488" t="s">
        <v>22285</v>
      </c>
      <c r="O488" t="s">
        <v>6254</v>
      </c>
      <c r="P488" t="s">
        <v>20509</v>
      </c>
      <c r="Q488" t="s">
        <v>20510</v>
      </c>
      <c r="R488" t="s">
        <v>20689</v>
      </c>
      <c r="S488" t="s">
        <v>22286</v>
      </c>
      <c r="T488" t="s">
        <v>22287</v>
      </c>
      <c r="V488" s="28" t="s">
        <v>9786</v>
      </c>
      <c r="W488" t="s">
        <v>207</v>
      </c>
      <c r="X488" t="s">
        <v>194</v>
      </c>
      <c r="Y488" s="28" t="s">
        <v>9300</v>
      </c>
      <c r="AB488" t="s">
        <v>9311</v>
      </c>
      <c r="AH488" t="s">
        <v>4714</v>
      </c>
      <c r="AI488" t="s">
        <v>19222</v>
      </c>
      <c r="AJ488" s="28" t="str">
        <f t="shared" si="14"/>
        <v>122106</v>
      </c>
      <c r="AK488" s="420">
        <v>1</v>
      </c>
      <c r="AL488" s="420">
        <f t="shared" si="15"/>
        <v>1</v>
      </c>
      <c r="AM488" s="420">
        <v>1</v>
      </c>
      <c r="AN488" t="s">
        <v>17650</v>
      </c>
      <c r="AO488" t="s">
        <v>17651</v>
      </c>
      <c r="AP488" t="s">
        <v>17652</v>
      </c>
      <c r="AQ488" t="s">
        <v>17653</v>
      </c>
      <c r="AR488" t="s">
        <v>1024</v>
      </c>
    </row>
    <row r="489" spans="1:44" x14ac:dyDescent="0.25">
      <c r="A489" t="s">
        <v>22288</v>
      </c>
      <c r="B489" t="s">
        <v>22289</v>
      </c>
      <c r="C489" s="410" t="s">
        <v>35</v>
      </c>
      <c r="D489" t="s">
        <v>20326</v>
      </c>
      <c r="E489" t="s">
        <v>192</v>
      </c>
      <c r="F489" s="534">
        <v>1</v>
      </c>
      <c r="G489" t="s">
        <v>193</v>
      </c>
      <c r="H489" t="s">
        <v>194</v>
      </c>
      <c r="I489" t="s">
        <v>20338</v>
      </c>
      <c r="J489" t="s">
        <v>9302</v>
      </c>
      <c r="K489" s="28" t="s">
        <v>9309</v>
      </c>
      <c r="L489" t="s">
        <v>6955</v>
      </c>
      <c r="N489" t="s">
        <v>22290</v>
      </c>
      <c r="O489" t="s">
        <v>6245</v>
      </c>
      <c r="P489" t="s">
        <v>20328</v>
      </c>
      <c r="Q489" t="s">
        <v>20329</v>
      </c>
      <c r="R489" t="s">
        <v>20306</v>
      </c>
      <c r="S489" t="s">
        <v>22291</v>
      </c>
      <c r="T489" t="s">
        <v>22292</v>
      </c>
      <c r="W489" t="s">
        <v>207</v>
      </c>
      <c r="X489" t="s">
        <v>193</v>
      </c>
      <c r="Y489" s="28" t="s">
        <v>9310</v>
      </c>
      <c r="AB489" t="s">
        <v>9311</v>
      </c>
      <c r="AH489" t="s">
        <v>4714</v>
      </c>
      <c r="AI489" t="s">
        <v>22289</v>
      </c>
      <c r="AJ489" s="28" t="str">
        <f t="shared" si="14"/>
        <v>122106</v>
      </c>
      <c r="AK489" s="420">
        <v>1</v>
      </c>
      <c r="AL489" s="420">
        <f t="shared" si="15"/>
        <v>1</v>
      </c>
      <c r="AM489" s="420">
        <v>1</v>
      </c>
      <c r="AN489" t="s">
        <v>17650</v>
      </c>
      <c r="AO489" t="s">
        <v>17651</v>
      </c>
      <c r="AP489" t="s">
        <v>17652</v>
      </c>
      <c r="AQ489" t="s">
        <v>17653</v>
      </c>
      <c r="AR489" t="s">
        <v>1024</v>
      </c>
    </row>
    <row r="490" spans="1:44" x14ac:dyDescent="0.25">
      <c r="A490" t="s">
        <v>16141</v>
      </c>
      <c r="B490" t="s">
        <v>22293</v>
      </c>
      <c r="C490" s="410" t="s">
        <v>35</v>
      </c>
      <c r="D490" t="s">
        <v>20338</v>
      </c>
      <c r="E490" t="s">
        <v>192</v>
      </c>
      <c r="F490" s="534">
        <v>1</v>
      </c>
      <c r="G490" t="s">
        <v>193</v>
      </c>
      <c r="H490" t="s">
        <v>194</v>
      </c>
      <c r="I490" t="s">
        <v>20310</v>
      </c>
      <c r="J490" t="s">
        <v>210</v>
      </c>
      <c r="K490" s="28" t="s">
        <v>9309</v>
      </c>
      <c r="L490" t="s">
        <v>6955</v>
      </c>
      <c r="N490" t="s">
        <v>22294</v>
      </c>
      <c r="O490" t="s">
        <v>8003</v>
      </c>
      <c r="P490" t="s">
        <v>20398</v>
      </c>
      <c r="Q490" t="s">
        <v>20399</v>
      </c>
      <c r="R490" t="s">
        <v>20400</v>
      </c>
      <c r="S490" t="s">
        <v>22295</v>
      </c>
      <c r="T490" t="s">
        <v>22296</v>
      </c>
      <c r="V490" s="28" t="s">
        <v>9334</v>
      </c>
      <c r="W490" t="s">
        <v>207</v>
      </c>
      <c r="X490" t="s">
        <v>194</v>
      </c>
      <c r="Y490" s="28" t="s">
        <v>9300</v>
      </c>
      <c r="AB490" t="s">
        <v>9311</v>
      </c>
      <c r="AH490" t="s">
        <v>4714</v>
      </c>
      <c r="AI490" t="s">
        <v>22293</v>
      </c>
      <c r="AJ490" s="28" t="str">
        <f t="shared" si="14"/>
        <v>122106</v>
      </c>
      <c r="AK490" s="420">
        <v>1</v>
      </c>
      <c r="AL490" s="420">
        <f t="shared" si="15"/>
        <v>1</v>
      </c>
      <c r="AM490" s="420">
        <v>1</v>
      </c>
      <c r="AN490" t="s">
        <v>17650</v>
      </c>
      <c r="AO490" t="s">
        <v>17651</v>
      </c>
      <c r="AP490" t="s">
        <v>17652</v>
      </c>
      <c r="AQ490" t="s">
        <v>17653</v>
      </c>
      <c r="AR490" t="s">
        <v>1024</v>
      </c>
    </row>
    <row r="491" spans="1:44" x14ac:dyDescent="0.25">
      <c r="A491" t="s">
        <v>16141</v>
      </c>
      <c r="B491" t="s">
        <v>22293</v>
      </c>
      <c r="C491" s="410" t="s">
        <v>35</v>
      </c>
      <c r="D491" t="s">
        <v>20338</v>
      </c>
      <c r="E491" t="s">
        <v>192</v>
      </c>
      <c r="F491" s="534">
        <v>1</v>
      </c>
      <c r="G491" t="s">
        <v>193</v>
      </c>
      <c r="H491" t="s">
        <v>194</v>
      </c>
      <c r="I491" t="s">
        <v>20310</v>
      </c>
      <c r="J491" t="s">
        <v>1977</v>
      </c>
      <c r="K491" s="28" t="s">
        <v>9309</v>
      </c>
      <c r="L491" t="s">
        <v>6955</v>
      </c>
      <c r="N491" t="s">
        <v>22297</v>
      </c>
      <c r="O491" t="s">
        <v>8003</v>
      </c>
      <c r="P491" t="s">
        <v>20398</v>
      </c>
      <c r="Q491" t="s">
        <v>20399</v>
      </c>
      <c r="R491" t="s">
        <v>20400</v>
      </c>
      <c r="S491" t="s">
        <v>22298</v>
      </c>
      <c r="T491" t="s">
        <v>22299</v>
      </c>
      <c r="V491" s="28" t="s">
        <v>9506</v>
      </c>
      <c r="W491" t="s">
        <v>207</v>
      </c>
      <c r="X491" t="s">
        <v>194</v>
      </c>
      <c r="Y491" s="28" t="s">
        <v>9300</v>
      </c>
      <c r="AB491" t="s">
        <v>9311</v>
      </c>
      <c r="AH491" t="s">
        <v>4714</v>
      </c>
      <c r="AI491" t="s">
        <v>22293</v>
      </c>
      <c r="AJ491" s="28" t="str">
        <f t="shared" si="14"/>
        <v>122106</v>
      </c>
      <c r="AK491" s="420">
        <v>1</v>
      </c>
      <c r="AL491" s="420">
        <f t="shared" si="15"/>
        <v>1</v>
      </c>
      <c r="AM491" s="420">
        <v>1</v>
      </c>
      <c r="AN491" t="s">
        <v>17650</v>
      </c>
      <c r="AO491" t="s">
        <v>17651</v>
      </c>
      <c r="AP491" t="s">
        <v>17652</v>
      </c>
      <c r="AQ491" t="s">
        <v>17653</v>
      </c>
      <c r="AR491" t="s">
        <v>1024</v>
      </c>
    </row>
    <row r="492" spans="1:44" x14ac:dyDescent="0.25">
      <c r="A492" t="s">
        <v>22300</v>
      </c>
      <c r="B492" t="s">
        <v>22301</v>
      </c>
      <c r="C492" s="410" t="s">
        <v>35</v>
      </c>
      <c r="D492" t="s">
        <v>20306</v>
      </c>
      <c r="E492" t="s">
        <v>192</v>
      </c>
      <c r="F492" s="534">
        <v>1</v>
      </c>
      <c r="G492" t="s">
        <v>193</v>
      </c>
      <c r="H492" t="s">
        <v>194</v>
      </c>
      <c r="I492" t="s">
        <v>20307</v>
      </c>
      <c r="J492" t="s">
        <v>9302</v>
      </c>
      <c r="K492" s="28" t="s">
        <v>9309</v>
      </c>
      <c r="L492" t="s">
        <v>6955</v>
      </c>
      <c r="N492" t="s">
        <v>22302</v>
      </c>
      <c r="O492" t="s">
        <v>6254</v>
      </c>
      <c r="P492" t="s">
        <v>20309</v>
      </c>
      <c r="Q492" t="s">
        <v>20310</v>
      </c>
      <c r="R492" t="s">
        <v>20311</v>
      </c>
      <c r="S492" t="s">
        <v>22303</v>
      </c>
      <c r="T492" t="s">
        <v>22304</v>
      </c>
      <c r="W492" t="s">
        <v>207</v>
      </c>
      <c r="X492" t="s">
        <v>193</v>
      </c>
      <c r="Y492" s="28" t="s">
        <v>9310</v>
      </c>
      <c r="AB492" t="s">
        <v>9311</v>
      </c>
      <c r="AH492" t="s">
        <v>4714</v>
      </c>
      <c r="AI492" t="s">
        <v>22301</v>
      </c>
      <c r="AJ492" s="28" t="str">
        <f t="shared" si="14"/>
        <v>122106</v>
      </c>
      <c r="AK492" s="420">
        <v>1</v>
      </c>
      <c r="AL492" s="420">
        <f t="shared" si="15"/>
        <v>1</v>
      </c>
      <c r="AM492" s="420">
        <v>1</v>
      </c>
      <c r="AN492" t="s">
        <v>17650</v>
      </c>
      <c r="AO492" t="s">
        <v>17651</v>
      </c>
      <c r="AP492" t="s">
        <v>17652</v>
      </c>
      <c r="AQ492" t="s">
        <v>17653</v>
      </c>
      <c r="AR492" t="s">
        <v>1024</v>
      </c>
    </row>
    <row r="493" spans="1:44" x14ac:dyDescent="0.25">
      <c r="A493" t="s">
        <v>11415</v>
      </c>
      <c r="B493" t="s">
        <v>8016</v>
      </c>
      <c r="C493" s="410" t="s">
        <v>99</v>
      </c>
      <c r="D493" t="s">
        <v>20326</v>
      </c>
      <c r="E493" t="s">
        <v>217</v>
      </c>
      <c r="F493" s="534">
        <v>1</v>
      </c>
      <c r="G493" t="s">
        <v>193</v>
      </c>
      <c r="H493" t="s">
        <v>194</v>
      </c>
      <c r="I493" t="s">
        <v>20389</v>
      </c>
      <c r="J493" t="s">
        <v>210</v>
      </c>
      <c r="K493" s="28" t="s">
        <v>9309</v>
      </c>
      <c r="L493" t="s">
        <v>6955</v>
      </c>
      <c r="N493" t="s">
        <v>22305</v>
      </c>
      <c r="O493" t="s">
        <v>6286</v>
      </c>
      <c r="P493" t="s">
        <v>20372</v>
      </c>
      <c r="Q493" t="s">
        <v>20373</v>
      </c>
      <c r="R493" t="s">
        <v>20338</v>
      </c>
      <c r="S493" t="s">
        <v>22306</v>
      </c>
      <c r="T493" t="s">
        <v>22307</v>
      </c>
      <c r="V493" s="28" t="s">
        <v>9334</v>
      </c>
      <c r="W493" t="s">
        <v>2421</v>
      </c>
      <c r="X493" t="s">
        <v>194</v>
      </c>
      <c r="Y493" s="28" t="s">
        <v>9300</v>
      </c>
      <c r="AB493" t="s">
        <v>9311</v>
      </c>
      <c r="AH493" t="s">
        <v>4714</v>
      </c>
      <c r="AI493" t="s">
        <v>9433</v>
      </c>
      <c r="AJ493" s="28" t="str">
        <f t="shared" si="14"/>
        <v>412001</v>
      </c>
      <c r="AK493" s="420">
        <v>1</v>
      </c>
      <c r="AL493" s="420">
        <f t="shared" si="15"/>
        <v>1</v>
      </c>
      <c r="AM493" s="420">
        <v>1</v>
      </c>
      <c r="AN493" t="s">
        <v>17650</v>
      </c>
      <c r="AO493" t="s">
        <v>17651</v>
      </c>
      <c r="AP493" t="s">
        <v>17652</v>
      </c>
      <c r="AQ493" t="s">
        <v>17653</v>
      </c>
      <c r="AR493" t="s">
        <v>1024</v>
      </c>
    </row>
    <row r="494" spans="1:44" x14ac:dyDescent="0.25">
      <c r="A494" t="s">
        <v>11415</v>
      </c>
      <c r="B494" t="s">
        <v>8016</v>
      </c>
      <c r="C494" s="410" t="s">
        <v>99</v>
      </c>
      <c r="D494" t="s">
        <v>20317</v>
      </c>
      <c r="E494" t="s">
        <v>217</v>
      </c>
      <c r="F494" s="534">
        <v>1</v>
      </c>
      <c r="G494" t="s">
        <v>194</v>
      </c>
      <c r="H494" t="s">
        <v>193</v>
      </c>
      <c r="I494" t="s">
        <v>20389</v>
      </c>
      <c r="J494" t="s">
        <v>210</v>
      </c>
      <c r="K494" s="28" t="s">
        <v>9309</v>
      </c>
      <c r="L494" t="s">
        <v>6955</v>
      </c>
      <c r="N494" t="s">
        <v>22305</v>
      </c>
      <c r="O494" t="s">
        <v>6286</v>
      </c>
      <c r="P494" t="s">
        <v>20376</v>
      </c>
      <c r="Q494" t="s">
        <v>20326</v>
      </c>
      <c r="R494" t="s">
        <v>20338</v>
      </c>
      <c r="S494" t="s">
        <v>22308</v>
      </c>
      <c r="T494" t="s">
        <v>22309</v>
      </c>
      <c r="V494" s="28" t="s">
        <v>9334</v>
      </c>
      <c r="W494" t="s">
        <v>2421</v>
      </c>
      <c r="X494" t="s">
        <v>194</v>
      </c>
      <c r="Y494" s="28" t="s">
        <v>9300</v>
      </c>
      <c r="AB494" t="s">
        <v>9311</v>
      </c>
      <c r="AH494" t="s">
        <v>4714</v>
      </c>
      <c r="AI494" t="s">
        <v>9433</v>
      </c>
      <c r="AJ494" s="28" t="str">
        <f t="shared" si="14"/>
        <v>412001</v>
      </c>
      <c r="AK494" s="420">
        <v>1</v>
      </c>
      <c r="AL494" s="420">
        <f t="shared" si="15"/>
        <v>1</v>
      </c>
      <c r="AM494" s="420">
        <v>1</v>
      </c>
      <c r="AN494" t="s">
        <v>17650</v>
      </c>
      <c r="AO494" t="s">
        <v>17651</v>
      </c>
      <c r="AP494" t="s">
        <v>17652</v>
      </c>
      <c r="AQ494" t="s">
        <v>17653</v>
      </c>
      <c r="AR494" t="s">
        <v>1024</v>
      </c>
    </row>
    <row r="495" spans="1:44" x14ac:dyDescent="0.25">
      <c r="A495" t="s">
        <v>11415</v>
      </c>
      <c r="B495" t="s">
        <v>8016</v>
      </c>
      <c r="C495" s="410" t="s">
        <v>99</v>
      </c>
      <c r="D495" t="s">
        <v>20360</v>
      </c>
      <c r="E495" t="s">
        <v>217</v>
      </c>
      <c r="F495" s="534">
        <v>1</v>
      </c>
      <c r="G495" t="s">
        <v>194</v>
      </c>
      <c r="H495" t="s">
        <v>193</v>
      </c>
      <c r="I495" t="s">
        <v>20389</v>
      </c>
      <c r="J495" t="s">
        <v>210</v>
      </c>
      <c r="K495" s="28" t="s">
        <v>9309</v>
      </c>
      <c r="L495" t="s">
        <v>6955</v>
      </c>
      <c r="N495" t="s">
        <v>22305</v>
      </c>
      <c r="O495" t="s">
        <v>6286</v>
      </c>
      <c r="P495" t="s">
        <v>20393</v>
      </c>
      <c r="Q495" t="s">
        <v>20317</v>
      </c>
      <c r="R495" t="s">
        <v>20338</v>
      </c>
      <c r="S495" t="s">
        <v>22310</v>
      </c>
      <c r="T495" t="s">
        <v>22311</v>
      </c>
      <c r="V495" s="28" t="s">
        <v>9334</v>
      </c>
      <c r="W495" t="s">
        <v>2421</v>
      </c>
      <c r="X495" t="s">
        <v>194</v>
      </c>
      <c r="Y495" s="28" t="s">
        <v>9300</v>
      </c>
      <c r="AB495" t="s">
        <v>9311</v>
      </c>
      <c r="AH495" t="s">
        <v>4714</v>
      </c>
      <c r="AI495" t="s">
        <v>9433</v>
      </c>
      <c r="AJ495" s="28" t="str">
        <f t="shared" si="14"/>
        <v>412001</v>
      </c>
      <c r="AK495" s="420">
        <v>1</v>
      </c>
      <c r="AL495" s="420">
        <f t="shared" si="15"/>
        <v>1</v>
      </c>
      <c r="AM495" s="420">
        <v>1</v>
      </c>
      <c r="AN495" t="s">
        <v>17650</v>
      </c>
      <c r="AO495" t="s">
        <v>17651</v>
      </c>
      <c r="AP495" t="s">
        <v>17652</v>
      </c>
      <c r="AQ495" t="s">
        <v>17653</v>
      </c>
      <c r="AR495" t="s">
        <v>1024</v>
      </c>
    </row>
    <row r="496" spans="1:44" x14ac:dyDescent="0.25">
      <c r="A496" t="s">
        <v>11415</v>
      </c>
      <c r="B496" t="s">
        <v>8016</v>
      </c>
      <c r="C496" s="410" t="s">
        <v>99</v>
      </c>
      <c r="D496" t="s">
        <v>20306</v>
      </c>
      <c r="E496" t="s">
        <v>217</v>
      </c>
      <c r="F496" s="534">
        <v>1</v>
      </c>
      <c r="G496" t="s">
        <v>193</v>
      </c>
      <c r="H496" t="s">
        <v>194</v>
      </c>
      <c r="I496" t="s">
        <v>20322</v>
      </c>
      <c r="J496" t="s">
        <v>210</v>
      </c>
      <c r="K496" s="28" t="s">
        <v>9309</v>
      </c>
      <c r="L496" t="s">
        <v>6955</v>
      </c>
      <c r="N496" t="s">
        <v>22312</v>
      </c>
      <c r="O496" t="s">
        <v>6286</v>
      </c>
      <c r="P496" t="s">
        <v>20688</v>
      </c>
      <c r="Q496" t="s">
        <v>20318</v>
      </c>
      <c r="R496" t="s">
        <v>20418</v>
      </c>
      <c r="S496" t="s">
        <v>22313</v>
      </c>
      <c r="T496" t="s">
        <v>22314</v>
      </c>
      <c r="V496" s="28" t="s">
        <v>9334</v>
      </c>
      <c r="W496" t="s">
        <v>2421</v>
      </c>
      <c r="X496" t="s">
        <v>194</v>
      </c>
      <c r="Y496" s="28" t="s">
        <v>9300</v>
      </c>
      <c r="AB496" t="s">
        <v>9311</v>
      </c>
      <c r="AH496" t="s">
        <v>4714</v>
      </c>
      <c r="AI496" t="s">
        <v>9433</v>
      </c>
      <c r="AJ496" s="28" t="str">
        <f t="shared" si="14"/>
        <v>412001</v>
      </c>
      <c r="AK496" s="420">
        <v>1</v>
      </c>
      <c r="AL496" s="420">
        <f t="shared" si="15"/>
        <v>1</v>
      </c>
      <c r="AM496" s="420">
        <v>1</v>
      </c>
      <c r="AN496" t="s">
        <v>17650</v>
      </c>
      <c r="AO496" t="s">
        <v>17651</v>
      </c>
      <c r="AP496" t="s">
        <v>17652</v>
      </c>
      <c r="AQ496" t="s">
        <v>17653</v>
      </c>
      <c r="AR496" t="s">
        <v>1024</v>
      </c>
    </row>
    <row r="497" spans="1:44" x14ac:dyDescent="0.25">
      <c r="A497" t="s">
        <v>694</v>
      </c>
      <c r="B497" t="s">
        <v>695</v>
      </c>
      <c r="C497" s="410" t="s">
        <v>157</v>
      </c>
      <c r="D497" t="s">
        <v>20338</v>
      </c>
      <c r="E497" t="s">
        <v>192</v>
      </c>
      <c r="F497" s="534">
        <v>1</v>
      </c>
      <c r="G497" t="s">
        <v>193</v>
      </c>
      <c r="H497" t="s">
        <v>194</v>
      </c>
      <c r="I497" t="s">
        <v>20437</v>
      </c>
      <c r="J497" t="s">
        <v>253</v>
      </c>
      <c r="K497" s="28" t="s">
        <v>9309</v>
      </c>
      <c r="L497" t="s">
        <v>6955</v>
      </c>
      <c r="N497" t="s">
        <v>22315</v>
      </c>
      <c r="O497" t="s">
        <v>6921</v>
      </c>
      <c r="P497" t="s">
        <v>20398</v>
      </c>
      <c r="Q497" t="s">
        <v>20399</v>
      </c>
      <c r="R497" t="s">
        <v>20400</v>
      </c>
      <c r="S497" t="s">
        <v>22316</v>
      </c>
      <c r="T497" t="s">
        <v>22317</v>
      </c>
      <c r="V497" s="28" t="s">
        <v>9468</v>
      </c>
      <c r="W497" t="s">
        <v>2425</v>
      </c>
      <c r="X497" t="s">
        <v>194</v>
      </c>
      <c r="Y497" s="28" t="s">
        <v>9300</v>
      </c>
      <c r="AB497" t="s">
        <v>9311</v>
      </c>
      <c r="AH497" t="s">
        <v>4714</v>
      </c>
      <c r="AI497" t="s">
        <v>695</v>
      </c>
      <c r="AJ497" s="28" t="str">
        <f t="shared" si="14"/>
        <v>742208</v>
      </c>
      <c r="AK497" s="420">
        <v>1</v>
      </c>
      <c r="AL497" s="420">
        <f t="shared" si="15"/>
        <v>1</v>
      </c>
      <c r="AM497" s="420">
        <v>1</v>
      </c>
      <c r="AN497" t="s">
        <v>17650</v>
      </c>
      <c r="AO497" t="s">
        <v>17651</v>
      </c>
      <c r="AP497" t="s">
        <v>17652</v>
      </c>
      <c r="AQ497" t="s">
        <v>17653</v>
      </c>
      <c r="AR497" t="s">
        <v>1024</v>
      </c>
    </row>
    <row r="498" spans="1:44" x14ac:dyDescent="0.25">
      <c r="A498" t="s">
        <v>690</v>
      </c>
      <c r="B498" t="s">
        <v>22318</v>
      </c>
      <c r="C498" s="410" t="s">
        <v>157</v>
      </c>
      <c r="D498" t="s">
        <v>20306</v>
      </c>
      <c r="E498" t="s">
        <v>192</v>
      </c>
      <c r="F498" s="534">
        <v>1</v>
      </c>
      <c r="G498" t="s">
        <v>193</v>
      </c>
      <c r="H498" t="s">
        <v>194</v>
      </c>
      <c r="I498" t="s">
        <v>20307</v>
      </c>
      <c r="J498" t="s">
        <v>9302</v>
      </c>
      <c r="K498" s="28" t="s">
        <v>9309</v>
      </c>
      <c r="L498" t="s">
        <v>6955</v>
      </c>
      <c r="N498" t="s">
        <v>22319</v>
      </c>
      <c r="O498" t="s">
        <v>6921</v>
      </c>
      <c r="P498" t="s">
        <v>20309</v>
      </c>
      <c r="Q498" t="s">
        <v>20310</v>
      </c>
      <c r="R498" t="s">
        <v>20311</v>
      </c>
      <c r="S498" t="s">
        <v>22320</v>
      </c>
      <c r="T498" t="s">
        <v>22321</v>
      </c>
      <c r="W498" t="s">
        <v>2425</v>
      </c>
      <c r="X498" t="s">
        <v>193</v>
      </c>
      <c r="Y498" s="28" t="s">
        <v>9310</v>
      </c>
      <c r="AB498" t="s">
        <v>9311</v>
      </c>
      <c r="AH498" t="s">
        <v>4714</v>
      </c>
      <c r="AI498" t="s">
        <v>22318</v>
      </c>
      <c r="AJ498" s="28" t="str">
        <f t="shared" si="14"/>
        <v>742208</v>
      </c>
      <c r="AK498" s="420">
        <v>1</v>
      </c>
      <c r="AL498" s="420">
        <f t="shared" si="15"/>
        <v>1</v>
      </c>
      <c r="AM498" s="420">
        <v>1</v>
      </c>
      <c r="AN498" t="s">
        <v>17650</v>
      </c>
      <c r="AO498" t="s">
        <v>17651</v>
      </c>
      <c r="AP498" t="s">
        <v>17652</v>
      </c>
      <c r="AQ498" t="s">
        <v>17653</v>
      </c>
      <c r="AR498" t="s">
        <v>1024</v>
      </c>
    </row>
    <row r="499" spans="1:44" x14ac:dyDescent="0.25">
      <c r="A499" t="s">
        <v>22322</v>
      </c>
      <c r="B499" t="s">
        <v>22323</v>
      </c>
      <c r="C499" s="410" t="s">
        <v>23</v>
      </c>
      <c r="D499" t="s">
        <v>20306</v>
      </c>
      <c r="E499" t="s">
        <v>192</v>
      </c>
      <c r="F499" s="534">
        <v>1</v>
      </c>
      <c r="G499" t="s">
        <v>193</v>
      </c>
      <c r="H499" t="s">
        <v>194</v>
      </c>
      <c r="I499" t="s">
        <v>20441</v>
      </c>
      <c r="J499" t="s">
        <v>9302</v>
      </c>
      <c r="K499" s="28" t="s">
        <v>9309</v>
      </c>
      <c r="L499" t="s">
        <v>6955</v>
      </c>
      <c r="N499" t="s">
        <v>22324</v>
      </c>
      <c r="O499" t="s">
        <v>6266</v>
      </c>
      <c r="P499" t="s">
        <v>20309</v>
      </c>
      <c r="Q499" t="s">
        <v>20310</v>
      </c>
      <c r="R499" t="s">
        <v>20311</v>
      </c>
      <c r="S499" t="s">
        <v>22325</v>
      </c>
      <c r="T499" t="s">
        <v>22326</v>
      </c>
      <c r="W499" t="s">
        <v>985</v>
      </c>
      <c r="X499" t="s">
        <v>193</v>
      </c>
      <c r="Y499" s="28" t="s">
        <v>9310</v>
      </c>
      <c r="AB499" t="s">
        <v>9311</v>
      </c>
      <c r="AH499" t="s">
        <v>4714</v>
      </c>
      <c r="AI499" t="s">
        <v>22323</v>
      </c>
      <c r="AJ499" s="28" t="str">
        <f t="shared" si="14"/>
        <v>263204</v>
      </c>
      <c r="AK499" s="420">
        <v>1</v>
      </c>
      <c r="AL499" s="420">
        <f t="shared" si="15"/>
        <v>1</v>
      </c>
      <c r="AM499" s="420">
        <v>1</v>
      </c>
      <c r="AN499" t="s">
        <v>17650</v>
      </c>
      <c r="AO499" t="s">
        <v>17651</v>
      </c>
      <c r="AP499" t="s">
        <v>17652</v>
      </c>
      <c r="AQ499" t="s">
        <v>17653</v>
      </c>
      <c r="AR499" t="s">
        <v>1024</v>
      </c>
    </row>
    <row r="500" spans="1:44" x14ac:dyDescent="0.25">
      <c r="A500" t="s">
        <v>581</v>
      </c>
      <c r="B500" t="s">
        <v>18332</v>
      </c>
      <c r="C500" s="410" t="s">
        <v>22327</v>
      </c>
      <c r="D500" t="s">
        <v>20326</v>
      </c>
      <c r="E500" t="s">
        <v>217</v>
      </c>
      <c r="F500" s="534">
        <v>1</v>
      </c>
      <c r="G500" t="s">
        <v>193</v>
      </c>
      <c r="H500" t="s">
        <v>194</v>
      </c>
      <c r="I500" t="s">
        <v>20338</v>
      </c>
      <c r="J500" t="s">
        <v>253</v>
      </c>
      <c r="K500" s="28" t="s">
        <v>9309</v>
      </c>
      <c r="L500" t="s">
        <v>6955</v>
      </c>
      <c r="N500" t="s">
        <v>22328</v>
      </c>
      <c r="O500" t="s">
        <v>6275</v>
      </c>
      <c r="P500" t="s">
        <v>20372</v>
      </c>
      <c r="Q500" t="s">
        <v>20329</v>
      </c>
      <c r="R500" t="s">
        <v>20321</v>
      </c>
      <c r="S500" t="s">
        <v>22329</v>
      </c>
      <c r="T500" t="s">
        <v>22330</v>
      </c>
      <c r="V500" s="28" t="s">
        <v>9468</v>
      </c>
      <c r="W500" t="s">
        <v>22331</v>
      </c>
      <c r="X500" t="s">
        <v>194</v>
      </c>
      <c r="Y500" s="28" t="s">
        <v>9300</v>
      </c>
      <c r="AB500" t="s">
        <v>9311</v>
      </c>
      <c r="AH500" t="s">
        <v>4714</v>
      </c>
      <c r="AI500" t="s">
        <v>9433</v>
      </c>
      <c r="AJ500" s="28" t="str">
        <f t="shared" si="14"/>
        <v>961201</v>
      </c>
      <c r="AK500" s="420">
        <v>1</v>
      </c>
      <c r="AL500" s="420">
        <f t="shared" si="15"/>
        <v>1</v>
      </c>
      <c r="AM500" s="420">
        <v>1</v>
      </c>
      <c r="AN500" t="s">
        <v>17650</v>
      </c>
      <c r="AO500" t="s">
        <v>17651</v>
      </c>
      <c r="AP500" t="s">
        <v>17652</v>
      </c>
      <c r="AQ500" t="s">
        <v>17653</v>
      </c>
      <c r="AR500" t="s">
        <v>1024</v>
      </c>
    </row>
    <row r="501" spans="1:44" x14ac:dyDescent="0.25">
      <c r="A501" t="s">
        <v>581</v>
      </c>
      <c r="B501" t="s">
        <v>22332</v>
      </c>
      <c r="C501" s="410" t="s">
        <v>83</v>
      </c>
      <c r="D501" t="s">
        <v>20326</v>
      </c>
      <c r="E501" t="s">
        <v>217</v>
      </c>
      <c r="F501" s="534">
        <v>1</v>
      </c>
      <c r="G501" t="s">
        <v>193</v>
      </c>
      <c r="H501" t="s">
        <v>194</v>
      </c>
      <c r="I501" t="s">
        <v>20360</v>
      </c>
      <c r="J501" t="s">
        <v>253</v>
      </c>
      <c r="K501" s="28" t="s">
        <v>9309</v>
      </c>
      <c r="L501" t="s">
        <v>6955</v>
      </c>
      <c r="N501" t="s">
        <v>22333</v>
      </c>
      <c r="O501" t="s">
        <v>6275</v>
      </c>
      <c r="P501" t="s">
        <v>20372</v>
      </c>
      <c r="Q501" t="s">
        <v>21556</v>
      </c>
      <c r="R501" t="s">
        <v>20422</v>
      </c>
      <c r="S501" t="s">
        <v>22334</v>
      </c>
      <c r="T501" t="s">
        <v>22335</v>
      </c>
      <c r="V501" s="28" t="s">
        <v>9468</v>
      </c>
      <c r="W501" t="s">
        <v>791</v>
      </c>
      <c r="X501" t="s">
        <v>194</v>
      </c>
      <c r="Y501" s="28" t="s">
        <v>9300</v>
      </c>
      <c r="AB501" t="s">
        <v>9311</v>
      </c>
      <c r="AH501" t="s">
        <v>4714</v>
      </c>
      <c r="AI501" t="s">
        <v>9433</v>
      </c>
      <c r="AJ501" s="28" t="str">
        <f t="shared" si="14"/>
        <v>721204</v>
      </c>
      <c r="AK501" s="420">
        <v>1</v>
      </c>
      <c r="AL501" s="420">
        <f t="shared" si="15"/>
        <v>1</v>
      </c>
      <c r="AM501" s="420">
        <v>1</v>
      </c>
      <c r="AN501" t="s">
        <v>17650</v>
      </c>
      <c r="AO501" t="s">
        <v>17651</v>
      </c>
      <c r="AP501" t="s">
        <v>17652</v>
      </c>
      <c r="AQ501" t="s">
        <v>17653</v>
      </c>
      <c r="AR501" t="s">
        <v>1024</v>
      </c>
    </row>
    <row r="502" spans="1:44" x14ac:dyDescent="0.25">
      <c r="A502" t="s">
        <v>581</v>
      </c>
      <c r="B502" t="s">
        <v>22332</v>
      </c>
      <c r="C502" s="410" t="s">
        <v>83</v>
      </c>
      <c r="D502" t="s">
        <v>20317</v>
      </c>
      <c r="E502" t="s">
        <v>217</v>
      </c>
      <c r="F502" s="534">
        <v>1</v>
      </c>
      <c r="G502" t="s">
        <v>193</v>
      </c>
      <c r="H502" t="s">
        <v>194</v>
      </c>
      <c r="I502" t="s">
        <v>20318</v>
      </c>
      <c r="J502" t="s">
        <v>253</v>
      </c>
      <c r="K502" s="28" t="s">
        <v>9309</v>
      </c>
      <c r="L502" t="s">
        <v>6955</v>
      </c>
      <c r="N502" t="s">
        <v>22333</v>
      </c>
      <c r="O502" t="s">
        <v>6275</v>
      </c>
      <c r="P502" t="s">
        <v>20376</v>
      </c>
      <c r="Q502" t="s">
        <v>20510</v>
      </c>
      <c r="R502" t="s">
        <v>20422</v>
      </c>
      <c r="S502" t="s">
        <v>22336</v>
      </c>
      <c r="T502" t="s">
        <v>22337</v>
      </c>
      <c r="V502" s="28" t="s">
        <v>9468</v>
      </c>
      <c r="W502" t="s">
        <v>791</v>
      </c>
      <c r="X502" t="s">
        <v>194</v>
      </c>
      <c r="Y502" s="28" t="s">
        <v>9300</v>
      </c>
      <c r="AB502" t="s">
        <v>9311</v>
      </c>
      <c r="AH502" t="s">
        <v>4714</v>
      </c>
      <c r="AI502" t="s">
        <v>9433</v>
      </c>
      <c r="AJ502" s="28" t="str">
        <f t="shared" si="14"/>
        <v>721204</v>
      </c>
      <c r="AK502" s="420">
        <v>1</v>
      </c>
      <c r="AL502" s="420">
        <f t="shared" si="15"/>
        <v>1</v>
      </c>
      <c r="AM502" s="420">
        <v>1</v>
      </c>
      <c r="AN502" t="s">
        <v>17650</v>
      </c>
      <c r="AO502" t="s">
        <v>17651</v>
      </c>
      <c r="AP502" t="s">
        <v>17652</v>
      </c>
      <c r="AQ502" t="s">
        <v>17653</v>
      </c>
      <c r="AR502" t="s">
        <v>1024</v>
      </c>
    </row>
    <row r="503" spans="1:44" x14ac:dyDescent="0.25">
      <c r="A503" t="s">
        <v>22338</v>
      </c>
      <c r="B503" t="s">
        <v>22339</v>
      </c>
      <c r="C503" s="410" t="s">
        <v>83</v>
      </c>
      <c r="D503" t="s">
        <v>20360</v>
      </c>
      <c r="E503" t="s">
        <v>252</v>
      </c>
      <c r="F503" s="534">
        <v>1</v>
      </c>
      <c r="G503" t="s">
        <v>193</v>
      </c>
      <c r="H503" t="s">
        <v>194</v>
      </c>
      <c r="I503" t="s">
        <v>20318</v>
      </c>
      <c r="J503" t="s">
        <v>210</v>
      </c>
      <c r="K503" s="28" t="s">
        <v>9309</v>
      </c>
      <c r="L503" t="s">
        <v>6955</v>
      </c>
      <c r="N503" t="s">
        <v>22340</v>
      </c>
      <c r="O503" t="s">
        <v>6275</v>
      </c>
      <c r="P503" t="s">
        <v>21632</v>
      </c>
      <c r="Q503" t="s">
        <v>20422</v>
      </c>
      <c r="R503" t="s">
        <v>20307</v>
      </c>
      <c r="S503" t="s">
        <v>22341</v>
      </c>
      <c r="T503" t="s">
        <v>22342</v>
      </c>
      <c r="V503" s="28" t="s">
        <v>9334</v>
      </c>
      <c r="W503" t="s">
        <v>791</v>
      </c>
      <c r="X503" t="s">
        <v>194</v>
      </c>
      <c r="Y503" s="28" t="s">
        <v>9300</v>
      </c>
      <c r="AB503" t="s">
        <v>9311</v>
      </c>
      <c r="AH503" t="s">
        <v>4714</v>
      </c>
      <c r="AI503" t="s">
        <v>9433</v>
      </c>
      <c r="AJ503" s="28" t="str">
        <f t="shared" si="14"/>
        <v>721204</v>
      </c>
      <c r="AK503" s="420">
        <v>1</v>
      </c>
      <c r="AL503" s="420">
        <f t="shared" si="15"/>
        <v>1</v>
      </c>
      <c r="AM503" s="420">
        <v>1</v>
      </c>
      <c r="AN503" t="s">
        <v>17650</v>
      </c>
      <c r="AO503" t="s">
        <v>17651</v>
      </c>
      <c r="AP503" t="s">
        <v>17652</v>
      </c>
      <c r="AQ503" t="s">
        <v>17653</v>
      </c>
      <c r="AR503" t="s">
        <v>1024</v>
      </c>
    </row>
    <row r="504" spans="1:44" x14ac:dyDescent="0.25">
      <c r="A504" t="s">
        <v>22343</v>
      </c>
      <c r="B504" t="s">
        <v>22344</v>
      </c>
      <c r="C504" s="410" t="s">
        <v>4977</v>
      </c>
      <c r="D504" t="s">
        <v>20326</v>
      </c>
      <c r="E504" t="s">
        <v>192</v>
      </c>
      <c r="F504" s="534">
        <v>1</v>
      </c>
      <c r="G504" t="s">
        <v>193</v>
      </c>
      <c r="H504" t="s">
        <v>194</v>
      </c>
      <c r="I504" t="s">
        <v>20333</v>
      </c>
      <c r="J504" t="s">
        <v>210</v>
      </c>
      <c r="K504" s="28" t="s">
        <v>9309</v>
      </c>
      <c r="L504" t="s">
        <v>6955</v>
      </c>
      <c r="N504" t="s">
        <v>22345</v>
      </c>
      <c r="O504" t="s">
        <v>6286</v>
      </c>
      <c r="P504" t="s">
        <v>22346</v>
      </c>
      <c r="Q504" t="s">
        <v>4849</v>
      </c>
      <c r="R504" t="s">
        <v>7703</v>
      </c>
      <c r="S504" t="s">
        <v>22347</v>
      </c>
      <c r="T504" t="s">
        <v>22348</v>
      </c>
      <c r="V504" s="28" t="s">
        <v>9334</v>
      </c>
      <c r="W504" t="s">
        <v>4978</v>
      </c>
      <c r="X504" t="s">
        <v>194</v>
      </c>
      <c r="Y504" s="28" t="s">
        <v>9300</v>
      </c>
      <c r="AB504" t="s">
        <v>9311</v>
      </c>
      <c r="AH504" t="s">
        <v>4714</v>
      </c>
      <c r="AI504" t="s">
        <v>22344</v>
      </c>
      <c r="AJ504" s="28" t="str">
        <f t="shared" si="14"/>
        <v>242217</v>
      </c>
      <c r="AK504" s="420">
        <v>1</v>
      </c>
      <c r="AL504" s="420">
        <f t="shared" si="15"/>
        <v>1</v>
      </c>
      <c r="AM504" s="420">
        <v>1</v>
      </c>
      <c r="AN504" t="s">
        <v>17650</v>
      </c>
      <c r="AO504" t="s">
        <v>17651</v>
      </c>
      <c r="AP504" t="s">
        <v>17652</v>
      </c>
      <c r="AQ504" t="s">
        <v>17653</v>
      </c>
      <c r="AR504" t="s">
        <v>1024</v>
      </c>
    </row>
    <row r="505" spans="1:44" x14ac:dyDescent="0.25">
      <c r="A505" t="s">
        <v>10606</v>
      </c>
      <c r="B505" t="s">
        <v>22349</v>
      </c>
      <c r="C505" s="410" t="s">
        <v>4977</v>
      </c>
      <c r="D505" t="s">
        <v>20326</v>
      </c>
      <c r="E505" t="s">
        <v>192</v>
      </c>
      <c r="F505" s="534">
        <v>1</v>
      </c>
      <c r="G505" t="s">
        <v>193</v>
      </c>
      <c r="H505" t="s">
        <v>194</v>
      </c>
      <c r="I505" t="s">
        <v>20318</v>
      </c>
      <c r="J505" t="s">
        <v>210</v>
      </c>
      <c r="K505" s="28" t="s">
        <v>9309</v>
      </c>
      <c r="L505" t="s">
        <v>6955</v>
      </c>
      <c r="N505" t="s">
        <v>22350</v>
      </c>
      <c r="O505" t="s">
        <v>6286</v>
      </c>
      <c r="P505" t="s">
        <v>20328</v>
      </c>
      <c r="Q505" t="s">
        <v>20329</v>
      </c>
      <c r="R505" t="s">
        <v>20306</v>
      </c>
      <c r="S505" t="s">
        <v>22351</v>
      </c>
      <c r="T505" t="s">
        <v>22352</v>
      </c>
      <c r="V505" s="28" t="s">
        <v>9334</v>
      </c>
      <c r="W505" t="s">
        <v>4978</v>
      </c>
      <c r="X505" t="s">
        <v>194</v>
      </c>
      <c r="Y505" s="28" t="s">
        <v>9300</v>
      </c>
      <c r="AB505" t="s">
        <v>9311</v>
      </c>
      <c r="AH505" t="s">
        <v>5109</v>
      </c>
      <c r="AI505" t="s">
        <v>22349</v>
      </c>
      <c r="AJ505" s="28" t="str">
        <f t="shared" si="14"/>
        <v>242217</v>
      </c>
      <c r="AK505" s="420">
        <v>1</v>
      </c>
      <c r="AL505" s="420">
        <f t="shared" si="15"/>
        <v>1</v>
      </c>
      <c r="AM505" s="420">
        <v>1</v>
      </c>
      <c r="AN505" t="s">
        <v>17650</v>
      </c>
      <c r="AO505" t="s">
        <v>17651</v>
      </c>
      <c r="AP505" t="s">
        <v>17652</v>
      </c>
      <c r="AQ505" t="s">
        <v>17653</v>
      </c>
      <c r="AR505" t="s">
        <v>1024</v>
      </c>
    </row>
    <row r="506" spans="1:44" x14ac:dyDescent="0.25">
      <c r="A506" t="s">
        <v>3335</v>
      </c>
      <c r="B506" t="s">
        <v>22353</v>
      </c>
      <c r="C506" s="410" t="s">
        <v>4966</v>
      </c>
      <c r="D506" t="s">
        <v>20326</v>
      </c>
      <c r="E506" t="s">
        <v>192</v>
      </c>
      <c r="F506" s="534">
        <v>1</v>
      </c>
      <c r="G506" t="s">
        <v>193</v>
      </c>
      <c r="H506" t="s">
        <v>194</v>
      </c>
      <c r="I506" t="s">
        <v>20338</v>
      </c>
      <c r="J506" t="s">
        <v>210</v>
      </c>
      <c r="K506" s="28" t="s">
        <v>9309</v>
      </c>
      <c r="L506" t="s">
        <v>6955</v>
      </c>
      <c r="N506" t="s">
        <v>22354</v>
      </c>
      <c r="O506" t="s">
        <v>6254</v>
      </c>
      <c r="P506" t="s">
        <v>20328</v>
      </c>
      <c r="Q506" t="s">
        <v>20329</v>
      </c>
      <c r="R506" t="s">
        <v>20306</v>
      </c>
      <c r="S506" t="s">
        <v>22355</v>
      </c>
      <c r="T506" t="s">
        <v>22356</v>
      </c>
      <c r="V506" s="28" t="s">
        <v>9334</v>
      </c>
      <c r="W506" t="s">
        <v>405</v>
      </c>
      <c r="X506" t="s">
        <v>194</v>
      </c>
      <c r="Y506" s="28" t="s">
        <v>9300</v>
      </c>
      <c r="AB506" t="s">
        <v>9311</v>
      </c>
      <c r="AH506" t="s">
        <v>4714</v>
      </c>
      <c r="AI506" t="s">
        <v>22353</v>
      </c>
      <c r="AJ506" s="28" t="str">
        <f t="shared" si="14"/>
        <v>241304</v>
      </c>
      <c r="AK506" s="420">
        <v>1</v>
      </c>
      <c r="AL506" s="420">
        <f t="shared" si="15"/>
        <v>1</v>
      </c>
      <c r="AM506" s="420">
        <v>1</v>
      </c>
      <c r="AN506" t="s">
        <v>17650</v>
      </c>
      <c r="AO506" t="s">
        <v>17651</v>
      </c>
      <c r="AP506" t="s">
        <v>17652</v>
      </c>
      <c r="AQ506" t="s">
        <v>17653</v>
      </c>
      <c r="AR506" t="s">
        <v>1024</v>
      </c>
    </row>
    <row r="507" spans="1:44" x14ac:dyDescent="0.25">
      <c r="A507" t="s">
        <v>413</v>
      </c>
      <c r="B507" t="s">
        <v>15281</v>
      </c>
      <c r="C507" s="410" t="s">
        <v>4966</v>
      </c>
      <c r="D507" t="s">
        <v>20326</v>
      </c>
      <c r="E507" t="s">
        <v>192</v>
      </c>
      <c r="F507" s="534">
        <v>1</v>
      </c>
      <c r="G507" t="s">
        <v>193</v>
      </c>
      <c r="H507" t="s">
        <v>194</v>
      </c>
      <c r="I507" t="s">
        <v>20333</v>
      </c>
      <c r="J507" t="s">
        <v>747</v>
      </c>
      <c r="K507" s="28" t="s">
        <v>9309</v>
      </c>
      <c r="L507" t="s">
        <v>6955</v>
      </c>
      <c r="N507" t="s">
        <v>22357</v>
      </c>
      <c r="O507" t="s">
        <v>6286</v>
      </c>
      <c r="P507" t="s">
        <v>20328</v>
      </c>
      <c r="Q507" t="s">
        <v>20329</v>
      </c>
      <c r="R507" t="s">
        <v>20405</v>
      </c>
      <c r="S507" t="s">
        <v>22358</v>
      </c>
      <c r="T507" t="s">
        <v>22359</v>
      </c>
      <c r="V507" s="28" t="s">
        <v>10397</v>
      </c>
      <c r="W507" t="s">
        <v>405</v>
      </c>
      <c r="X507" t="s">
        <v>194</v>
      </c>
      <c r="Y507" s="28" t="s">
        <v>9300</v>
      </c>
      <c r="AB507" t="s">
        <v>9311</v>
      </c>
      <c r="AH507" t="s">
        <v>4714</v>
      </c>
      <c r="AI507" t="s">
        <v>15281</v>
      </c>
      <c r="AJ507" s="28" t="str">
        <f t="shared" si="14"/>
        <v>241304</v>
      </c>
      <c r="AK507" s="420">
        <v>1</v>
      </c>
      <c r="AL507" s="420">
        <f t="shared" si="15"/>
        <v>1</v>
      </c>
      <c r="AM507" s="420">
        <v>1</v>
      </c>
      <c r="AN507" t="s">
        <v>17650</v>
      </c>
      <c r="AO507" t="s">
        <v>17651</v>
      </c>
      <c r="AP507" t="s">
        <v>17652</v>
      </c>
      <c r="AQ507" t="s">
        <v>17653</v>
      </c>
      <c r="AR507" t="s">
        <v>1024</v>
      </c>
    </row>
    <row r="508" spans="1:44" x14ac:dyDescent="0.25">
      <c r="A508" t="s">
        <v>413</v>
      </c>
      <c r="B508" t="s">
        <v>2512</v>
      </c>
      <c r="C508" s="410" t="s">
        <v>4966</v>
      </c>
      <c r="D508" t="s">
        <v>20326</v>
      </c>
      <c r="E508" t="s">
        <v>192</v>
      </c>
      <c r="F508" s="534">
        <v>1</v>
      </c>
      <c r="G508" t="s">
        <v>193</v>
      </c>
      <c r="H508" t="s">
        <v>194</v>
      </c>
      <c r="I508" t="s">
        <v>20338</v>
      </c>
      <c r="J508" t="s">
        <v>253</v>
      </c>
      <c r="K508" s="28" t="s">
        <v>9309</v>
      </c>
      <c r="L508" t="s">
        <v>6955</v>
      </c>
      <c r="N508" t="s">
        <v>22360</v>
      </c>
      <c r="O508" t="s">
        <v>6254</v>
      </c>
      <c r="P508" t="s">
        <v>20328</v>
      </c>
      <c r="Q508" t="s">
        <v>20329</v>
      </c>
      <c r="R508" t="s">
        <v>20405</v>
      </c>
      <c r="S508" t="s">
        <v>22361</v>
      </c>
      <c r="T508" t="s">
        <v>22362</v>
      </c>
      <c r="V508" s="28" t="s">
        <v>9468</v>
      </c>
      <c r="W508" t="s">
        <v>405</v>
      </c>
      <c r="X508" t="s">
        <v>194</v>
      </c>
      <c r="Y508" s="28" t="s">
        <v>9300</v>
      </c>
      <c r="AB508" t="s">
        <v>9311</v>
      </c>
      <c r="AH508" t="s">
        <v>4714</v>
      </c>
      <c r="AI508" t="s">
        <v>2512</v>
      </c>
      <c r="AJ508" s="28" t="str">
        <f t="shared" si="14"/>
        <v>241304</v>
      </c>
      <c r="AK508" s="420">
        <v>1</v>
      </c>
      <c r="AL508" s="420">
        <f t="shared" si="15"/>
        <v>1</v>
      </c>
      <c r="AM508" s="420">
        <v>1</v>
      </c>
      <c r="AN508" t="s">
        <v>17650</v>
      </c>
      <c r="AO508" t="s">
        <v>17651</v>
      </c>
      <c r="AP508" t="s">
        <v>17652</v>
      </c>
      <c r="AQ508" t="s">
        <v>17653</v>
      </c>
      <c r="AR508" t="s">
        <v>1024</v>
      </c>
    </row>
    <row r="509" spans="1:44" x14ac:dyDescent="0.25">
      <c r="A509" t="s">
        <v>3436</v>
      </c>
      <c r="B509" t="s">
        <v>677</v>
      </c>
      <c r="C509" s="410" t="s">
        <v>4966</v>
      </c>
      <c r="D509" t="s">
        <v>20317</v>
      </c>
      <c r="E509" t="s">
        <v>233</v>
      </c>
      <c r="F509" s="534">
        <v>1</v>
      </c>
      <c r="G509" t="s">
        <v>193</v>
      </c>
      <c r="H509" t="s">
        <v>194</v>
      </c>
      <c r="I509" t="s">
        <v>20389</v>
      </c>
      <c r="J509" t="s">
        <v>210</v>
      </c>
      <c r="K509" s="28" t="s">
        <v>9309</v>
      </c>
      <c r="L509" t="s">
        <v>6955</v>
      </c>
      <c r="N509" t="s">
        <v>22363</v>
      </c>
      <c r="O509" t="s">
        <v>6254</v>
      </c>
      <c r="P509" t="s">
        <v>20565</v>
      </c>
      <c r="Q509" t="s">
        <v>20566</v>
      </c>
      <c r="R509" t="s">
        <v>20567</v>
      </c>
      <c r="S509" t="s">
        <v>22364</v>
      </c>
      <c r="T509" t="s">
        <v>22365</v>
      </c>
      <c r="V509" s="28" t="s">
        <v>9334</v>
      </c>
      <c r="W509" t="s">
        <v>405</v>
      </c>
      <c r="X509" t="s">
        <v>194</v>
      </c>
      <c r="Y509" s="28" t="s">
        <v>9300</v>
      </c>
      <c r="AB509" t="s">
        <v>9311</v>
      </c>
      <c r="AH509" t="s">
        <v>4714</v>
      </c>
      <c r="AI509" t="s">
        <v>677</v>
      </c>
      <c r="AJ509" s="28" t="str">
        <f t="shared" si="14"/>
        <v>241304</v>
      </c>
      <c r="AK509" s="420">
        <v>1</v>
      </c>
      <c r="AL509" s="420">
        <f t="shared" si="15"/>
        <v>1</v>
      </c>
      <c r="AM509" s="420">
        <v>1</v>
      </c>
      <c r="AN509" t="s">
        <v>17650</v>
      </c>
      <c r="AO509" t="s">
        <v>17651</v>
      </c>
      <c r="AP509" t="s">
        <v>17652</v>
      </c>
      <c r="AQ509" t="s">
        <v>17653</v>
      </c>
      <c r="AR509" t="s">
        <v>1024</v>
      </c>
    </row>
    <row r="510" spans="1:44" x14ac:dyDescent="0.25">
      <c r="A510" t="s">
        <v>264</v>
      </c>
      <c r="B510" t="s">
        <v>2815</v>
      </c>
      <c r="C510" s="410" t="s">
        <v>4966</v>
      </c>
      <c r="D510" t="s">
        <v>20317</v>
      </c>
      <c r="E510" t="s">
        <v>192</v>
      </c>
      <c r="F510" s="534">
        <v>1</v>
      </c>
      <c r="G510" t="s">
        <v>194</v>
      </c>
      <c r="H510" t="s">
        <v>193</v>
      </c>
      <c r="I510" t="s">
        <v>20389</v>
      </c>
      <c r="J510" t="s">
        <v>210</v>
      </c>
      <c r="K510" s="28" t="s">
        <v>9309</v>
      </c>
      <c r="L510" t="s">
        <v>6955</v>
      </c>
      <c r="N510" t="s">
        <v>22366</v>
      </c>
      <c r="O510" t="s">
        <v>6254</v>
      </c>
      <c r="P510" t="s">
        <v>20320</v>
      </c>
      <c r="Q510" t="s">
        <v>20321</v>
      </c>
      <c r="R510" t="s">
        <v>20322</v>
      </c>
      <c r="S510" t="s">
        <v>22367</v>
      </c>
      <c r="T510" t="s">
        <v>22368</v>
      </c>
      <c r="V510" s="28" t="s">
        <v>9334</v>
      </c>
      <c r="W510" t="s">
        <v>405</v>
      </c>
      <c r="X510" t="s">
        <v>194</v>
      </c>
      <c r="Y510" s="28" t="s">
        <v>9300</v>
      </c>
      <c r="AB510" t="s">
        <v>9311</v>
      </c>
      <c r="AH510" t="s">
        <v>4714</v>
      </c>
      <c r="AI510" t="s">
        <v>2815</v>
      </c>
      <c r="AJ510" s="28" t="str">
        <f t="shared" si="14"/>
        <v>241304</v>
      </c>
      <c r="AK510" s="420">
        <v>1</v>
      </c>
      <c r="AL510" s="420">
        <f t="shared" si="15"/>
        <v>1</v>
      </c>
      <c r="AM510" s="420">
        <v>1</v>
      </c>
      <c r="AN510" t="s">
        <v>17650</v>
      </c>
      <c r="AO510" t="s">
        <v>17651</v>
      </c>
      <c r="AP510" t="s">
        <v>17652</v>
      </c>
      <c r="AQ510" t="s">
        <v>17653</v>
      </c>
      <c r="AR510" t="s">
        <v>1024</v>
      </c>
    </row>
    <row r="511" spans="1:44" x14ac:dyDescent="0.25">
      <c r="A511" t="s">
        <v>1207</v>
      </c>
      <c r="B511" t="s">
        <v>8064</v>
      </c>
      <c r="C511" s="410" t="s">
        <v>4966</v>
      </c>
      <c r="D511" t="s">
        <v>20317</v>
      </c>
      <c r="E511" t="s">
        <v>192</v>
      </c>
      <c r="F511" s="534">
        <v>1</v>
      </c>
      <c r="G511" t="s">
        <v>193</v>
      </c>
      <c r="H511" t="s">
        <v>194</v>
      </c>
      <c r="I511" t="s">
        <v>20333</v>
      </c>
      <c r="J511" t="s">
        <v>4751</v>
      </c>
      <c r="K511" s="28" t="s">
        <v>9309</v>
      </c>
      <c r="L511" t="s">
        <v>6955</v>
      </c>
      <c r="N511" t="s">
        <v>22369</v>
      </c>
      <c r="O511" t="s">
        <v>6254</v>
      </c>
      <c r="P511" t="s">
        <v>20320</v>
      </c>
      <c r="Q511" t="s">
        <v>20321</v>
      </c>
      <c r="R511" t="s">
        <v>20399</v>
      </c>
      <c r="S511" t="s">
        <v>22370</v>
      </c>
      <c r="T511" t="s">
        <v>22371</v>
      </c>
      <c r="V511" s="28" t="s">
        <v>9472</v>
      </c>
      <c r="W511" t="s">
        <v>405</v>
      </c>
      <c r="X511" t="s">
        <v>194</v>
      </c>
      <c r="Y511" s="28" t="s">
        <v>9300</v>
      </c>
      <c r="AB511" t="s">
        <v>9311</v>
      </c>
      <c r="AH511" t="s">
        <v>4714</v>
      </c>
      <c r="AI511" t="s">
        <v>8064</v>
      </c>
      <c r="AJ511" s="28" t="str">
        <f t="shared" si="14"/>
        <v>241304</v>
      </c>
      <c r="AK511" s="420">
        <v>1</v>
      </c>
      <c r="AL511" s="420">
        <f t="shared" si="15"/>
        <v>1</v>
      </c>
      <c r="AM511" s="420">
        <v>1</v>
      </c>
      <c r="AN511" t="s">
        <v>17650</v>
      </c>
      <c r="AO511" t="s">
        <v>17651</v>
      </c>
      <c r="AP511" t="s">
        <v>17652</v>
      </c>
      <c r="AQ511" t="s">
        <v>17653</v>
      </c>
      <c r="AR511" t="s">
        <v>1024</v>
      </c>
    </row>
    <row r="512" spans="1:44" x14ac:dyDescent="0.25">
      <c r="A512" t="s">
        <v>1207</v>
      </c>
      <c r="B512" t="s">
        <v>8064</v>
      </c>
      <c r="C512" s="410" t="s">
        <v>4966</v>
      </c>
      <c r="D512" t="s">
        <v>20338</v>
      </c>
      <c r="E512" t="s">
        <v>192</v>
      </c>
      <c r="F512" s="534">
        <v>1</v>
      </c>
      <c r="G512" t="s">
        <v>193</v>
      </c>
      <c r="H512" t="s">
        <v>194</v>
      </c>
      <c r="I512" t="s">
        <v>20405</v>
      </c>
      <c r="J512" t="s">
        <v>4751</v>
      </c>
      <c r="K512" s="28" t="s">
        <v>9309</v>
      </c>
      <c r="L512" t="s">
        <v>6955</v>
      </c>
      <c r="N512" t="s">
        <v>22372</v>
      </c>
      <c r="O512" t="s">
        <v>6254</v>
      </c>
      <c r="P512" t="s">
        <v>20398</v>
      </c>
      <c r="Q512" t="s">
        <v>20399</v>
      </c>
      <c r="R512" t="s">
        <v>22373</v>
      </c>
      <c r="S512" t="s">
        <v>22374</v>
      </c>
      <c r="T512" t="s">
        <v>22375</v>
      </c>
      <c r="V512" s="28" t="s">
        <v>9472</v>
      </c>
      <c r="W512" t="s">
        <v>405</v>
      </c>
      <c r="X512" t="s">
        <v>194</v>
      </c>
      <c r="Y512" s="28" t="s">
        <v>9300</v>
      </c>
      <c r="AB512" t="s">
        <v>9311</v>
      </c>
      <c r="AH512" t="s">
        <v>4714</v>
      </c>
      <c r="AI512" t="s">
        <v>8064</v>
      </c>
      <c r="AJ512" s="28" t="str">
        <f t="shared" si="14"/>
        <v>241304</v>
      </c>
      <c r="AK512" s="420">
        <v>1</v>
      </c>
      <c r="AL512" s="420">
        <f t="shared" si="15"/>
        <v>1</v>
      </c>
      <c r="AM512" s="420">
        <v>1</v>
      </c>
      <c r="AN512" t="s">
        <v>17650</v>
      </c>
      <c r="AO512" t="s">
        <v>17651</v>
      </c>
      <c r="AP512" t="s">
        <v>17652</v>
      </c>
      <c r="AQ512" t="s">
        <v>17653</v>
      </c>
      <c r="AR512" t="s">
        <v>1024</v>
      </c>
    </row>
    <row r="513" spans="1:44" x14ac:dyDescent="0.25">
      <c r="A513" t="s">
        <v>919</v>
      </c>
      <c r="B513" t="s">
        <v>22376</v>
      </c>
      <c r="C513" s="410" t="s">
        <v>4966</v>
      </c>
      <c r="D513" t="s">
        <v>20306</v>
      </c>
      <c r="E513" t="s">
        <v>192</v>
      </c>
      <c r="F513" s="534">
        <v>1</v>
      </c>
      <c r="G513" t="s">
        <v>193</v>
      </c>
      <c r="H513" t="s">
        <v>194</v>
      </c>
      <c r="I513" t="s">
        <v>20441</v>
      </c>
      <c r="J513" t="s">
        <v>210</v>
      </c>
      <c r="K513" s="28" t="s">
        <v>9309</v>
      </c>
      <c r="L513" t="s">
        <v>6955</v>
      </c>
      <c r="N513" t="s">
        <v>22377</v>
      </c>
      <c r="O513" t="s">
        <v>7531</v>
      </c>
      <c r="P513" t="s">
        <v>20309</v>
      </c>
      <c r="Q513" t="s">
        <v>20310</v>
      </c>
      <c r="R513" t="s">
        <v>20311</v>
      </c>
      <c r="S513" t="s">
        <v>22378</v>
      </c>
      <c r="T513" t="s">
        <v>22379</v>
      </c>
      <c r="V513" s="28" t="s">
        <v>9334</v>
      </c>
      <c r="W513" t="s">
        <v>405</v>
      </c>
      <c r="X513" t="s">
        <v>194</v>
      </c>
      <c r="Y513" s="28" t="s">
        <v>9300</v>
      </c>
      <c r="AB513" t="s">
        <v>9311</v>
      </c>
      <c r="AH513" t="s">
        <v>4714</v>
      </c>
      <c r="AI513" t="s">
        <v>22376</v>
      </c>
      <c r="AJ513" s="28" t="str">
        <f t="shared" si="14"/>
        <v>241304</v>
      </c>
      <c r="AK513" s="420">
        <v>1</v>
      </c>
      <c r="AL513" s="420">
        <f t="shared" si="15"/>
        <v>1</v>
      </c>
      <c r="AM513" s="420">
        <v>1</v>
      </c>
      <c r="AN513" t="s">
        <v>17650</v>
      </c>
      <c r="AO513" t="s">
        <v>17651</v>
      </c>
      <c r="AP513" t="s">
        <v>17652</v>
      </c>
      <c r="AQ513" t="s">
        <v>17653</v>
      </c>
      <c r="AR513" t="s">
        <v>1024</v>
      </c>
    </row>
    <row r="514" spans="1:44" x14ac:dyDescent="0.25">
      <c r="A514" t="s">
        <v>20848</v>
      </c>
      <c r="B514" t="s">
        <v>22380</v>
      </c>
      <c r="C514" s="410" t="s">
        <v>3950</v>
      </c>
      <c r="D514" t="s">
        <v>20326</v>
      </c>
      <c r="E514" t="s">
        <v>192</v>
      </c>
      <c r="F514" s="534">
        <v>1</v>
      </c>
      <c r="G514" t="s">
        <v>193</v>
      </c>
      <c r="H514" t="s">
        <v>194</v>
      </c>
      <c r="I514" t="s">
        <v>20338</v>
      </c>
      <c r="J514" t="s">
        <v>316</v>
      </c>
      <c r="K514" s="28" t="s">
        <v>9309</v>
      </c>
      <c r="L514" t="s">
        <v>6955</v>
      </c>
      <c r="N514" t="s">
        <v>22381</v>
      </c>
      <c r="O514" t="s">
        <v>6327</v>
      </c>
      <c r="P514" t="s">
        <v>20328</v>
      </c>
      <c r="Q514" t="s">
        <v>20329</v>
      </c>
      <c r="R514" t="s">
        <v>20306</v>
      </c>
      <c r="S514" t="s">
        <v>22382</v>
      </c>
      <c r="T514" t="s">
        <v>22383</v>
      </c>
      <c r="V514" s="28" t="s">
        <v>10012</v>
      </c>
      <c r="W514" t="s">
        <v>3951</v>
      </c>
      <c r="X514" t="s">
        <v>194</v>
      </c>
      <c r="Y514" s="28" t="s">
        <v>9300</v>
      </c>
      <c r="AB514" t="s">
        <v>9311</v>
      </c>
      <c r="AH514" t="s">
        <v>4714</v>
      </c>
      <c r="AI514" t="s">
        <v>22380</v>
      </c>
      <c r="AJ514" s="28" t="str">
        <f t="shared" si="14"/>
        <v>229103</v>
      </c>
      <c r="AK514" s="420">
        <v>1</v>
      </c>
      <c r="AL514" s="420">
        <f t="shared" si="15"/>
        <v>1</v>
      </c>
      <c r="AM514" s="420">
        <v>1</v>
      </c>
      <c r="AN514" t="s">
        <v>17650</v>
      </c>
      <c r="AO514" t="s">
        <v>17651</v>
      </c>
      <c r="AP514" t="s">
        <v>17652</v>
      </c>
      <c r="AQ514" t="s">
        <v>17653</v>
      </c>
      <c r="AR514" t="s">
        <v>1024</v>
      </c>
    </row>
    <row r="515" spans="1:44" x14ac:dyDescent="0.25">
      <c r="A515" t="s">
        <v>17861</v>
      </c>
      <c r="B515" t="s">
        <v>22384</v>
      </c>
      <c r="C515" s="410" t="s">
        <v>16281</v>
      </c>
      <c r="D515" t="s">
        <v>20317</v>
      </c>
      <c r="E515" t="s">
        <v>192</v>
      </c>
      <c r="F515" s="534">
        <v>1</v>
      </c>
      <c r="G515" t="s">
        <v>193</v>
      </c>
      <c r="H515" t="s">
        <v>194</v>
      </c>
      <c r="I515" t="s">
        <v>20318</v>
      </c>
      <c r="J515" t="s">
        <v>9302</v>
      </c>
      <c r="K515" s="28" t="s">
        <v>9309</v>
      </c>
      <c r="L515" t="s">
        <v>6955</v>
      </c>
      <c r="N515" t="s">
        <v>22385</v>
      </c>
      <c r="O515" t="s">
        <v>6921</v>
      </c>
      <c r="P515" t="s">
        <v>20320</v>
      </c>
      <c r="Q515" t="s">
        <v>20321</v>
      </c>
      <c r="R515" t="s">
        <v>20322</v>
      </c>
      <c r="S515" t="s">
        <v>22386</v>
      </c>
      <c r="T515" t="s">
        <v>22387</v>
      </c>
      <c r="W515" t="s">
        <v>9002</v>
      </c>
      <c r="X515" t="s">
        <v>193</v>
      </c>
      <c r="Y515" s="28" t="s">
        <v>9310</v>
      </c>
      <c r="AB515" t="s">
        <v>9311</v>
      </c>
      <c r="AH515" t="s">
        <v>4714</v>
      </c>
      <c r="AI515" t="s">
        <v>22384</v>
      </c>
      <c r="AJ515" s="28" t="str">
        <f t="shared" ref="AJ515:AJ578" si="16">MID(W515,8,6)</f>
        <v>252902</v>
      </c>
      <c r="AK515" s="420">
        <v>1</v>
      </c>
      <c r="AL515" s="420">
        <f t="shared" ref="AL515:AL578" si="17">F515</f>
        <v>1</v>
      </c>
      <c r="AM515" s="420">
        <v>1</v>
      </c>
      <c r="AN515" t="s">
        <v>17650</v>
      </c>
      <c r="AO515" t="s">
        <v>17651</v>
      </c>
      <c r="AP515" t="s">
        <v>17652</v>
      </c>
      <c r="AQ515" t="s">
        <v>17653</v>
      </c>
      <c r="AR515" t="s">
        <v>1024</v>
      </c>
    </row>
    <row r="516" spans="1:44" x14ac:dyDescent="0.25">
      <c r="A516" t="s">
        <v>19420</v>
      </c>
      <c r="B516" t="s">
        <v>22388</v>
      </c>
      <c r="C516" s="410" t="s">
        <v>16281</v>
      </c>
      <c r="D516" t="s">
        <v>20317</v>
      </c>
      <c r="E516" t="s">
        <v>192</v>
      </c>
      <c r="F516" s="534">
        <v>1</v>
      </c>
      <c r="G516" t="s">
        <v>193</v>
      </c>
      <c r="H516" t="s">
        <v>194</v>
      </c>
      <c r="I516" t="s">
        <v>20318</v>
      </c>
      <c r="J516" t="s">
        <v>6690</v>
      </c>
      <c r="K516" s="28" t="s">
        <v>9309</v>
      </c>
      <c r="L516" t="s">
        <v>6955</v>
      </c>
      <c r="N516" t="s">
        <v>22389</v>
      </c>
      <c r="O516" t="s">
        <v>6921</v>
      </c>
      <c r="P516" t="s">
        <v>20320</v>
      </c>
      <c r="Q516" t="s">
        <v>20321</v>
      </c>
      <c r="R516" t="s">
        <v>20322</v>
      </c>
      <c r="S516" t="s">
        <v>22390</v>
      </c>
      <c r="T516" t="s">
        <v>22391</v>
      </c>
      <c r="V516" s="28" t="s">
        <v>9440</v>
      </c>
      <c r="W516" t="s">
        <v>9002</v>
      </c>
      <c r="X516" t="s">
        <v>194</v>
      </c>
      <c r="Y516" s="28" t="s">
        <v>9300</v>
      </c>
      <c r="AB516" t="s">
        <v>9311</v>
      </c>
      <c r="AH516" t="s">
        <v>4714</v>
      </c>
      <c r="AI516" t="s">
        <v>22388</v>
      </c>
      <c r="AJ516" s="28" t="str">
        <f t="shared" si="16"/>
        <v>252902</v>
      </c>
      <c r="AK516" s="420">
        <v>1</v>
      </c>
      <c r="AL516" s="420">
        <f t="shared" si="17"/>
        <v>1</v>
      </c>
      <c r="AM516" s="420">
        <v>1</v>
      </c>
      <c r="AN516" t="s">
        <v>17650</v>
      </c>
      <c r="AO516" t="s">
        <v>17651</v>
      </c>
      <c r="AP516" t="s">
        <v>17652</v>
      </c>
      <c r="AQ516" t="s">
        <v>17653</v>
      </c>
      <c r="AR516" t="s">
        <v>1024</v>
      </c>
    </row>
    <row r="517" spans="1:44" x14ac:dyDescent="0.25">
      <c r="A517" t="s">
        <v>11612</v>
      </c>
      <c r="B517" t="s">
        <v>22392</v>
      </c>
      <c r="C517" s="410" t="s">
        <v>16281</v>
      </c>
      <c r="D517" t="s">
        <v>20306</v>
      </c>
      <c r="E517" t="s">
        <v>192</v>
      </c>
      <c r="F517" s="534">
        <v>1</v>
      </c>
      <c r="G517" t="s">
        <v>193</v>
      </c>
      <c r="H517" t="s">
        <v>194</v>
      </c>
      <c r="I517" t="s">
        <v>20307</v>
      </c>
      <c r="J517" t="s">
        <v>9302</v>
      </c>
      <c r="K517" s="28" t="s">
        <v>9309</v>
      </c>
      <c r="L517" t="s">
        <v>6955</v>
      </c>
      <c r="N517" t="s">
        <v>22393</v>
      </c>
      <c r="O517" t="s">
        <v>6921</v>
      </c>
      <c r="P517" t="s">
        <v>20309</v>
      </c>
      <c r="Q517" t="s">
        <v>20310</v>
      </c>
      <c r="R517" t="s">
        <v>20311</v>
      </c>
      <c r="S517" t="s">
        <v>22394</v>
      </c>
      <c r="T517" t="s">
        <v>22395</v>
      </c>
      <c r="W517" t="s">
        <v>9002</v>
      </c>
      <c r="X517" t="s">
        <v>193</v>
      </c>
      <c r="Y517" s="28" t="s">
        <v>9310</v>
      </c>
      <c r="AB517" t="s">
        <v>9311</v>
      </c>
      <c r="AH517" t="s">
        <v>5109</v>
      </c>
      <c r="AI517" t="s">
        <v>22392</v>
      </c>
      <c r="AJ517" s="28" t="str">
        <f t="shared" si="16"/>
        <v>252902</v>
      </c>
      <c r="AK517" s="420">
        <v>1</v>
      </c>
      <c r="AL517" s="420">
        <f t="shared" si="17"/>
        <v>1</v>
      </c>
      <c r="AM517" s="420">
        <v>1</v>
      </c>
      <c r="AN517" t="s">
        <v>17650</v>
      </c>
      <c r="AO517" t="s">
        <v>17651</v>
      </c>
      <c r="AP517" t="s">
        <v>17652</v>
      </c>
      <c r="AQ517" t="s">
        <v>17653</v>
      </c>
      <c r="AR517" t="s">
        <v>1024</v>
      </c>
    </row>
    <row r="518" spans="1:44" x14ac:dyDescent="0.25">
      <c r="A518" t="s">
        <v>14864</v>
      </c>
      <c r="B518" t="s">
        <v>22396</v>
      </c>
      <c r="C518" s="410" t="s">
        <v>16281</v>
      </c>
      <c r="D518" t="s">
        <v>20306</v>
      </c>
      <c r="E518" t="s">
        <v>192</v>
      </c>
      <c r="F518" s="534">
        <v>1</v>
      </c>
      <c r="G518" t="s">
        <v>193</v>
      </c>
      <c r="H518" t="s">
        <v>194</v>
      </c>
      <c r="I518" t="s">
        <v>20307</v>
      </c>
      <c r="J518" t="s">
        <v>9302</v>
      </c>
      <c r="K518" s="28" t="s">
        <v>9309</v>
      </c>
      <c r="L518" t="s">
        <v>6955</v>
      </c>
      <c r="N518" t="s">
        <v>22397</v>
      </c>
      <c r="O518" t="s">
        <v>6921</v>
      </c>
      <c r="P518" t="s">
        <v>20309</v>
      </c>
      <c r="Q518" t="s">
        <v>20310</v>
      </c>
      <c r="R518" t="s">
        <v>20311</v>
      </c>
      <c r="S518" t="s">
        <v>22398</v>
      </c>
      <c r="T518" t="s">
        <v>22399</v>
      </c>
      <c r="W518" t="s">
        <v>9002</v>
      </c>
      <c r="X518" t="s">
        <v>193</v>
      </c>
      <c r="Y518" s="28" t="s">
        <v>9310</v>
      </c>
      <c r="AB518" t="s">
        <v>9311</v>
      </c>
      <c r="AH518" t="s">
        <v>4714</v>
      </c>
      <c r="AI518" t="s">
        <v>22396</v>
      </c>
      <c r="AJ518" s="28" t="str">
        <f t="shared" si="16"/>
        <v>252902</v>
      </c>
      <c r="AK518" s="420">
        <v>1</v>
      </c>
      <c r="AL518" s="420">
        <f t="shared" si="17"/>
        <v>1</v>
      </c>
      <c r="AM518" s="420">
        <v>1</v>
      </c>
      <c r="AN518" t="s">
        <v>17650</v>
      </c>
      <c r="AO518" t="s">
        <v>17651</v>
      </c>
      <c r="AP518" t="s">
        <v>17652</v>
      </c>
      <c r="AQ518" t="s">
        <v>17653</v>
      </c>
      <c r="AR518" t="s">
        <v>1024</v>
      </c>
    </row>
    <row r="519" spans="1:44" x14ac:dyDescent="0.25">
      <c r="A519" t="s">
        <v>11302</v>
      </c>
      <c r="B519" t="s">
        <v>6500</v>
      </c>
      <c r="C519" s="410" t="s">
        <v>27</v>
      </c>
      <c r="D519" t="s">
        <v>20326</v>
      </c>
      <c r="E519" t="s">
        <v>192</v>
      </c>
      <c r="F519" s="534">
        <v>1</v>
      </c>
      <c r="G519" t="s">
        <v>193</v>
      </c>
      <c r="H519" t="s">
        <v>194</v>
      </c>
      <c r="I519" t="s">
        <v>20318</v>
      </c>
      <c r="J519" t="s">
        <v>210</v>
      </c>
      <c r="K519" s="28" t="s">
        <v>9309</v>
      </c>
      <c r="L519" t="s">
        <v>6955</v>
      </c>
      <c r="N519" t="s">
        <v>22400</v>
      </c>
      <c r="O519" t="s">
        <v>6340</v>
      </c>
      <c r="P519" t="s">
        <v>20328</v>
      </c>
      <c r="Q519" t="s">
        <v>20329</v>
      </c>
      <c r="R519" t="s">
        <v>20306</v>
      </c>
      <c r="S519" t="s">
        <v>22401</v>
      </c>
      <c r="T519" t="s">
        <v>22402</v>
      </c>
      <c r="V519" s="28" t="s">
        <v>9334</v>
      </c>
      <c r="W519" t="s">
        <v>440</v>
      </c>
      <c r="X519" t="s">
        <v>194</v>
      </c>
      <c r="Y519" s="28" t="s">
        <v>9300</v>
      </c>
      <c r="AB519" t="s">
        <v>9311</v>
      </c>
      <c r="AH519" t="s">
        <v>4714</v>
      </c>
      <c r="AI519" t="s">
        <v>6500</v>
      </c>
      <c r="AJ519" s="28" t="str">
        <f t="shared" si="16"/>
        <v>242307</v>
      </c>
      <c r="AK519" s="420">
        <v>1</v>
      </c>
      <c r="AL519" s="420">
        <f t="shared" si="17"/>
        <v>1</v>
      </c>
      <c r="AM519" s="420">
        <v>1</v>
      </c>
      <c r="AN519" t="s">
        <v>17650</v>
      </c>
      <c r="AO519" t="s">
        <v>17651</v>
      </c>
      <c r="AP519" t="s">
        <v>17652</v>
      </c>
      <c r="AQ519" t="s">
        <v>17653</v>
      </c>
      <c r="AR519" t="s">
        <v>1024</v>
      </c>
    </row>
    <row r="520" spans="1:44" x14ac:dyDescent="0.25">
      <c r="A520" t="s">
        <v>18534</v>
      </c>
      <c r="B520" t="s">
        <v>22403</v>
      </c>
      <c r="C520" s="410" t="s">
        <v>27</v>
      </c>
      <c r="D520" t="s">
        <v>20317</v>
      </c>
      <c r="E520" t="s">
        <v>192</v>
      </c>
      <c r="F520" s="534">
        <v>1</v>
      </c>
      <c r="G520" t="s">
        <v>193</v>
      </c>
      <c r="H520" t="s">
        <v>194</v>
      </c>
      <c r="I520" t="s">
        <v>20333</v>
      </c>
      <c r="J520" t="s">
        <v>9302</v>
      </c>
      <c r="K520" s="28" t="s">
        <v>9309</v>
      </c>
      <c r="L520" t="s">
        <v>6955</v>
      </c>
      <c r="N520" t="s">
        <v>22404</v>
      </c>
      <c r="O520" t="s">
        <v>6340</v>
      </c>
      <c r="P520" t="s">
        <v>20320</v>
      </c>
      <c r="Q520" t="s">
        <v>20321</v>
      </c>
      <c r="R520" t="s">
        <v>20322</v>
      </c>
      <c r="S520" t="s">
        <v>22405</v>
      </c>
      <c r="T520" t="s">
        <v>22406</v>
      </c>
      <c r="W520" t="s">
        <v>440</v>
      </c>
      <c r="X520" t="s">
        <v>193</v>
      </c>
      <c r="Y520" s="28" t="s">
        <v>9310</v>
      </c>
      <c r="AB520" t="s">
        <v>9311</v>
      </c>
      <c r="AH520" t="s">
        <v>4714</v>
      </c>
      <c r="AI520" t="s">
        <v>22403</v>
      </c>
      <c r="AJ520" s="28" t="str">
        <f t="shared" si="16"/>
        <v>242307</v>
      </c>
      <c r="AK520" s="420">
        <v>1</v>
      </c>
      <c r="AL520" s="420">
        <f t="shared" si="17"/>
        <v>1</v>
      </c>
      <c r="AM520" s="420">
        <v>1</v>
      </c>
      <c r="AN520" t="s">
        <v>17650</v>
      </c>
      <c r="AO520" t="s">
        <v>17651</v>
      </c>
      <c r="AP520" t="s">
        <v>17652</v>
      </c>
      <c r="AQ520" t="s">
        <v>17653</v>
      </c>
      <c r="AR520" t="s">
        <v>1024</v>
      </c>
    </row>
    <row r="521" spans="1:44" x14ac:dyDescent="0.25">
      <c r="A521" t="s">
        <v>974</v>
      </c>
      <c r="B521" t="s">
        <v>22407</v>
      </c>
      <c r="C521" s="410" t="s">
        <v>27</v>
      </c>
      <c r="D521" t="s">
        <v>20317</v>
      </c>
      <c r="E521" t="s">
        <v>192</v>
      </c>
      <c r="F521" s="534">
        <v>1</v>
      </c>
      <c r="G521" t="s">
        <v>193</v>
      </c>
      <c r="H521" t="s">
        <v>194</v>
      </c>
      <c r="I521" t="s">
        <v>20405</v>
      </c>
      <c r="J521" t="s">
        <v>210</v>
      </c>
      <c r="K521" s="28" t="s">
        <v>9309</v>
      </c>
      <c r="L521" t="s">
        <v>6955</v>
      </c>
      <c r="N521" t="s">
        <v>22408</v>
      </c>
      <c r="O521" t="s">
        <v>6286</v>
      </c>
      <c r="P521" t="s">
        <v>20320</v>
      </c>
      <c r="Q521" t="s">
        <v>20321</v>
      </c>
      <c r="R521" t="s">
        <v>20322</v>
      </c>
      <c r="S521" t="s">
        <v>22409</v>
      </c>
      <c r="T521" t="s">
        <v>22410</v>
      </c>
      <c r="V521" s="28" t="s">
        <v>9334</v>
      </c>
      <c r="W521" t="s">
        <v>440</v>
      </c>
      <c r="X521" t="s">
        <v>194</v>
      </c>
      <c r="Y521" s="28" t="s">
        <v>9300</v>
      </c>
      <c r="AB521" t="s">
        <v>9311</v>
      </c>
      <c r="AH521" t="s">
        <v>5109</v>
      </c>
      <c r="AI521" t="s">
        <v>22407</v>
      </c>
      <c r="AJ521" s="28" t="str">
        <f t="shared" si="16"/>
        <v>242307</v>
      </c>
      <c r="AK521" s="420">
        <v>1</v>
      </c>
      <c r="AL521" s="420">
        <f t="shared" si="17"/>
        <v>1</v>
      </c>
      <c r="AM521" s="420">
        <v>1</v>
      </c>
      <c r="AN521" t="s">
        <v>17650</v>
      </c>
      <c r="AO521" t="s">
        <v>17651</v>
      </c>
      <c r="AP521" t="s">
        <v>17652</v>
      </c>
      <c r="AQ521" t="s">
        <v>17653</v>
      </c>
      <c r="AR521" t="s">
        <v>1024</v>
      </c>
    </row>
    <row r="522" spans="1:44" x14ac:dyDescent="0.25">
      <c r="A522" t="s">
        <v>18534</v>
      </c>
      <c r="B522" t="s">
        <v>22411</v>
      </c>
      <c r="C522" s="410" t="s">
        <v>27</v>
      </c>
      <c r="D522" t="s">
        <v>20306</v>
      </c>
      <c r="E522" t="s">
        <v>192</v>
      </c>
      <c r="F522" s="534">
        <v>1</v>
      </c>
      <c r="G522" t="s">
        <v>193</v>
      </c>
      <c r="H522" t="s">
        <v>194</v>
      </c>
      <c r="I522" t="s">
        <v>20307</v>
      </c>
      <c r="J522" t="s">
        <v>9302</v>
      </c>
      <c r="K522" s="28" t="s">
        <v>9309</v>
      </c>
      <c r="L522" t="s">
        <v>6955</v>
      </c>
      <c r="N522" t="s">
        <v>22412</v>
      </c>
      <c r="O522" t="s">
        <v>6340</v>
      </c>
      <c r="P522" t="s">
        <v>20309</v>
      </c>
      <c r="Q522" t="s">
        <v>20310</v>
      </c>
      <c r="R522" t="s">
        <v>20311</v>
      </c>
      <c r="S522" t="s">
        <v>22413</v>
      </c>
      <c r="T522" t="s">
        <v>22414</v>
      </c>
      <c r="W522" t="s">
        <v>440</v>
      </c>
      <c r="X522" t="s">
        <v>193</v>
      </c>
      <c r="Y522" s="28" t="s">
        <v>9310</v>
      </c>
      <c r="AB522" t="s">
        <v>9311</v>
      </c>
      <c r="AH522" t="s">
        <v>4714</v>
      </c>
      <c r="AI522" t="s">
        <v>22411</v>
      </c>
      <c r="AJ522" s="28" t="str">
        <f t="shared" si="16"/>
        <v>242307</v>
      </c>
      <c r="AK522" s="420">
        <v>1</v>
      </c>
      <c r="AL522" s="420">
        <f t="shared" si="17"/>
        <v>1</v>
      </c>
      <c r="AM522" s="420">
        <v>1</v>
      </c>
      <c r="AN522" t="s">
        <v>17650</v>
      </c>
      <c r="AO522" t="s">
        <v>17651</v>
      </c>
      <c r="AP522" t="s">
        <v>17652</v>
      </c>
      <c r="AQ522" t="s">
        <v>17653</v>
      </c>
      <c r="AR522" t="s">
        <v>1024</v>
      </c>
    </row>
    <row r="523" spans="1:44" x14ac:dyDescent="0.25">
      <c r="A523" t="s">
        <v>20580</v>
      </c>
      <c r="B523" t="s">
        <v>1644</v>
      </c>
      <c r="C523" s="410" t="s">
        <v>80</v>
      </c>
      <c r="D523" t="s">
        <v>20326</v>
      </c>
      <c r="E523" t="s">
        <v>192</v>
      </c>
      <c r="F523" s="534">
        <v>1</v>
      </c>
      <c r="G523" t="s">
        <v>193</v>
      </c>
      <c r="H523" t="s">
        <v>194</v>
      </c>
      <c r="I523" t="s">
        <v>20333</v>
      </c>
      <c r="J523" t="s">
        <v>9302</v>
      </c>
      <c r="K523" s="28" t="s">
        <v>9309</v>
      </c>
      <c r="L523" t="s">
        <v>6955</v>
      </c>
      <c r="N523" t="s">
        <v>22415</v>
      </c>
      <c r="O523" t="s">
        <v>6288</v>
      </c>
      <c r="P523" t="s">
        <v>20328</v>
      </c>
      <c r="Q523" t="s">
        <v>20329</v>
      </c>
      <c r="R523" t="s">
        <v>20306</v>
      </c>
      <c r="S523" t="s">
        <v>22416</v>
      </c>
      <c r="T523" t="s">
        <v>22417</v>
      </c>
      <c r="W523" t="s">
        <v>474</v>
      </c>
      <c r="X523" t="s">
        <v>193</v>
      </c>
      <c r="Y523" s="28" t="s">
        <v>9310</v>
      </c>
      <c r="AB523" t="s">
        <v>9311</v>
      </c>
      <c r="AH523" t="s">
        <v>4714</v>
      </c>
      <c r="AI523" t="s">
        <v>1644</v>
      </c>
      <c r="AJ523" s="28" t="str">
        <f t="shared" si="16"/>
        <v>243304</v>
      </c>
      <c r="AK523" s="420">
        <v>1</v>
      </c>
      <c r="AL523" s="420">
        <f t="shared" si="17"/>
        <v>1</v>
      </c>
      <c r="AM523" s="420">
        <v>1</v>
      </c>
      <c r="AN523" t="s">
        <v>17650</v>
      </c>
      <c r="AO523" t="s">
        <v>17651</v>
      </c>
      <c r="AP523" t="s">
        <v>17652</v>
      </c>
      <c r="AQ523" t="s">
        <v>17653</v>
      </c>
      <c r="AR523" t="s">
        <v>1024</v>
      </c>
    </row>
    <row r="524" spans="1:44" x14ac:dyDescent="0.25">
      <c r="A524" t="s">
        <v>22418</v>
      </c>
      <c r="B524" t="s">
        <v>2470</v>
      </c>
      <c r="C524" s="410" t="s">
        <v>80</v>
      </c>
      <c r="D524" t="s">
        <v>20326</v>
      </c>
      <c r="E524" t="s">
        <v>192</v>
      </c>
      <c r="F524" s="534">
        <v>1</v>
      </c>
      <c r="G524" t="s">
        <v>193</v>
      </c>
      <c r="H524" t="s">
        <v>194</v>
      </c>
      <c r="I524" t="s">
        <v>20338</v>
      </c>
      <c r="J524" t="s">
        <v>9302</v>
      </c>
      <c r="K524" s="28" t="s">
        <v>9309</v>
      </c>
      <c r="L524" t="s">
        <v>6955</v>
      </c>
      <c r="N524" t="s">
        <v>22419</v>
      </c>
      <c r="O524" t="s">
        <v>6288</v>
      </c>
      <c r="P524" t="s">
        <v>20328</v>
      </c>
      <c r="Q524" t="s">
        <v>20329</v>
      </c>
      <c r="R524" t="s">
        <v>20306</v>
      </c>
      <c r="S524" t="s">
        <v>22420</v>
      </c>
      <c r="T524" t="s">
        <v>22421</v>
      </c>
      <c r="W524" t="s">
        <v>474</v>
      </c>
      <c r="X524" t="s">
        <v>193</v>
      </c>
      <c r="Y524" s="28" t="s">
        <v>9310</v>
      </c>
      <c r="AB524" t="s">
        <v>9311</v>
      </c>
      <c r="AH524" t="s">
        <v>4714</v>
      </c>
      <c r="AI524" t="s">
        <v>2470</v>
      </c>
      <c r="AJ524" s="28" t="str">
        <f t="shared" si="16"/>
        <v>243304</v>
      </c>
      <c r="AK524" s="420">
        <v>1</v>
      </c>
      <c r="AL524" s="420">
        <f t="shared" si="17"/>
        <v>1</v>
      </c>
      <c r="AM524" s="420">
        <v>1</v>
      </c>
      <c r="AN524" t="s">
        <v>17650</v>
      </c>
      <c r="AO524" t="s">
        <v>17651</v>
      </c>
      <c r="AP524" t="s">
        <v>17652</v>
      </c>
      <c r="AQ524" t="s">
        <v>17653</v>
      </c>
      <c r="AR524" t="s">
        <v>1024</v>
      </c>
    </row>
    <row r="525" spans="1:44" x14ac:dyDescent="0.25">
      <c r="A525" t="s">
        <v>1463</v>
      </c>
      <c r="B525" t="s">
        <v>22422</v>
      </c>
      <c r="C525" s="410" t="s">
        <v>80</v>
      </c>
      <c r="D525" t="s">
        <v>20317</v>
      </c>
      <c r="E525" t="s">
        <v>192</v>
      </c>
      <c r="F525" s="534">
        <v>1</v>
      </c>
      <c r="G525" t="s">
        <v>193</v>
      </c>
      <c r="H525" t="s">
        <v>194</v>
      </c>
      <c r="I525" t="s">
        <v>20318</v>
      </c>
      <c r="J525" t="s">
        <v>9302</v>
      </c>
      <c r="K525" s="28" t="s">
        <v>9309</v>
      </c>
      <c r="L525" t="s">
        <v>6955</v>
      </c>
      <c r="N525" t="s">
        <v>22423</v>
      </c>
      <c r="O525" t="s">
        <v>6288</v>
      </c>
      <c r="P525" t="s">
        <v>20320</v>
      </c>
      <c r="Q525" t="s">
        <v>20321</v>
      </c>
      <c r="R525" t="s">
        <v>20322</v>
      </c>
      <c r="S525" t="s">
        <v>22424</v>
      </c>
      <c r="T525" t="s">
        <v>22425</v>
      </c>
      <c r="W525" t="s">
        <v>474</v>
      </c>
      <c r="X525" t="s">
        <v>193</v>
      </c>
      <c r="Y525" s="28" t="s">
        <v>9310</v>
      </c>
      <c r="AB525" t="s">
        <v>9311</v>
      </c>
      <c r="AH525" t="s">
        <v>4714</v>
      </c>
      <c r="AI525" t="s">
        <v>22422</v>
      </c>
      <c r="AJ525" s="28" t="str">
        <f t="shared" si="16"/>
        <v>243304</v>
      </c>
      <c r="AK525" s="420">
        <v>1</v>
      </c>
      <c r="AL525" s="420">
        <f t="shared" si="17"/>
        <v>1</v>
      </c>
      <c r="AM525" s="420">
        <v>1</v>
      </c>
      <c r="AN525" t="s">
        <v>17650</v>
      </c>
      <c r="AO525" t="s">
        <v>17651</v>
      </c>
      <c r="AP525" t="s">
        <v>17652</v>
      </c>
      <c r="AQ525" t="s">
        <v>17653</v>
      </c>
      <c r="AR525" t="s">
        <v>1024</v>
      </c>
    </row>
    <row r="526" spans="1:44" x14ac:dyDescent="0.25">
      <c r="A526" t="s">
        <v>22426</v>
      </c>
      <c r="B526" t="s">
        <v>1644</v>
      </c>
      <c r="C526" s="410" t="s">
        <v>80</v>
      </c>
      <c r="D526" t="s">
        <v>20360</v>
      </c>
      <c r="E526" t="s">
        <v>233</v>
      </c>
      <c r="F526" s="534">
        <v>1</v>
      </c>
      <c r="G526" t="s">
        <v>193</v>
      </c>
      <c r="H526" t="s">
        <v>194</v>
      </c>
      <c r="I526" t="s">
        <v>20318</v>
      </c>
      <c r="J526" t="s">
        <v>9302</v>
      </c>
      <c r="K526" s="28" t="s">
        <v>9309</v>
      </c>
      <c r="L526" t="s">
        <v>6955</v>
      </c>
      <c r="N526" t="s">
        <v>22427</v>
      </c>
      <c r="O526" t="s">
        <v>6277</v>
      </c>
      <c r="P526" t="s">
        <v>20522</v>
      </c>
      <c r="Q526" t="s">
        <v>20422</v>
      </c>
      <c r="R526" t="s">
        <v>20483</v>
      </c>
      <c r="S526" t="s">
        <v>22428</v>
      </c>
      <c r="T526" t="s">
        <v>22429</v>
      </c>
      <c r="W526" t="s">
        <v>474</v>
      </c>
      <c r="X526" t="s">
        <v>193</v>
      </c>
      <c r="Y526" s="28" t="s">
        <v>9310</v>
      </c>
      <c r="AB526" t="s">
        <v>9311</v>
      </c>
      <c r="AH526" t="s">
        <v>4714</v>
      </c>
      <c r="AI526" t="s">
        <v>1644</v>
      </c>
      <c r="AJ526" s="28" t="str">
        <f t="shared" si="16"/>
        <v>243304</v>
      </c>
      <c r="AK526" s="420">
        <v>1</v>
      </c>
      <c r="AL526" s="420">
        <f t="shared" si="17"/>
        <v>1</v>
      </c>
      <c r="AM526" s="420">
        <v>1</v>
      </c>
      <c r="AN526" t="s">
        <v>17650</v>
      </c>
      <c r="AO526" t="s">
        <v>17651</v>
      </c>
      <c r="AP526" t="s">
        <v>17652</v>
      </c>
      <c r="AQ526" t="s">
        <v>17653</v>
      </c>
      <c r="AR526" t="s">
        <v>1024</v>
      </c>
    </row>
    <row r="527" spans="1:44" x14ac:dyDescent="0.25">
      <c r="A527" t="s">
        <v>5860</v>
      </c>
      <c r="B527" t="s">
        <v>22430</v>
      </c>
      <c r="C527" s="410" t="s">
        <v>80</v>
      </c>
      <c r="D527" t="s">
        <v>20306</v>
      </c>
      <c r="E527" t="s">
        <v>192</v>
      </c>
      <c r="F527" s="534">
        <v>1</v>
      </c>
      <c r="G527" t="s">
        <v>193</v>
      </c>
      <c r="H527" t="s">
        <v>194</v>
      </c>
      <c r="I527" t="s">
        <v>20307</v>
      </c>
      <c r="J527" t="s">
        <v>9302</v>
      </c>
      <c r="K527" s="28" t="s">
        <v>9309</v>
      </c>
      <c r="L527" t="s">
        <v>6955</v>
      </c>
      <c r="N527" t="s">
        <v>22431</v>
      </c>
      <c r="O527" t="s">
        <v>6245</v>
      </c>
      <c r="P527" t="s">
        <v>20309</v>
      </c>
      <c r="Q527" t="s">
        <v>20310</v>
      </c>
      <c r="R527" t="s">
        <v>20311</v>
      </c>
      <c r="S527" t="s">
        <v>22432</v>
      </c>
      <c r="T527" t="s">
        <v>22433</v>
      </c>
      <c r="W527" t="s">
        <v>474</v>
      </c>
      <c r="X527" t="s">
        <v>193</v>
      </c>
      <c r="Y527" s="28" t="s">
        <v>9310</v>
      </c>
      <c r="AB527" t="s">
        <v>9311</v>
      </c>
      <c r="AH527" t="s">
        <v>4714</v>
      </c>
      <c r="AI527" t="s">
        <v>22430</v>
      </c>
      <c r="AJ527" s="28" t="str">
        <f t="shared" si="16"/>
        <v>243304</v>
      </c>
      <c r="AK527" s="420">
        <v>1</v>
      </c>
      <c r="AL527" s="420">
        <f t="shared" si="17"/>
        <v>1</v>
      </c>
      <c r="AM527" s="420">
        <v>1</v>
      </c>
      <c r="AN527" t="s">
        <v>17650</v>
      </c>
      <c r="AO527" t="s">
        <v>17651</v>
      </c>
      <c r="AP527" t="s">
        <v>17652</v>
      </c>
      <c r="AQ527" t="s">
        <v>17653</v>
      </c>
      <c r="AR527" t="s">
        <v>1024</v>
      </c>
    </row>
    <row r="528" spans="1:44" x14ac:dyDescent="0.25">
      <c r="A528" t="s">
        <v>19270</v>
      </c>
      <c r="B528" t="s">
        <v>22434</v>
      </c>
      <c r="C528" s="410" t="s">
        <v>100</v>
      </c>
      <c r="D528" t="s">
        <v>20326</v>
      </c>
      <c r="E528" t="s">
        <v>233</v>
      </c>
      <c r="F528" s="534">
        <v>1</v>
      </c>
      <c r="G528" t="s">
        <v>193</v>
      </c>
      <c r="H528" t="s">
        <v>194</v>
      </c>
      <c r="I528" t="s">
        <v>20360</v>
      </c>
      <c r="J528" t="s">
        <v>19272</v>
      </c>
      <c r="K528" s="28" t="s">
        <v>9309</v>
      </c>
      <c r="L528" t="s">
        <v>6955</v>
      </c>
      <c r="N528" t="s">
        <v>22435</v>
      </c>
      <c r="O528" t="s">
        <v>6245</v>
      </c>
      <c r="P528" t="s">
        <v>20509</v>
      </c>
      <c r="Q528" t="s">
        <v>20510</v>
      </c>
      <c r="R528" t="s">
        <v>20310</v>
      </c>
      <c r="S528" t="s">
        <v>22436</v>
      </c>
      <c r="T528" t="s">
        <v>22437</v>
      </c>
      <c r="W528" t="s">
        <v>429</v>
      </c>
      <c r="X528" t="s">
        <v>193</v>
      </c>
      <c r="Y528" s="28" t="s">
        <v>9310</v>
      </c>
      <c r="AB528" t="s">
        <v>9311</v>
      </c>
      <c r="AH528" t="s">
        <v>4714</v>
      </c>
      <c r="AI528" t="s">
        <v>22434</v>
      </c>
      <c r="AJ528" s="28" t="str">
        <f t="shared" si="16"/>
        <v>242108</v>
      </c>
      <c r="AK528" s="420">
        <v>1</v>
      </c>
      <c r="AL528" s="420">
        <f t="shared" si="17"/>
        <v>1</v>
      </c>
      <c r="AM528" s="420">
        <v>1</v>
      </c>
      <c r="AN528" t="s">
        <v>17650</v>
      </c>
      <c r="AO528" t="s">
        <v>17651</v>
      </c>
      <c r="AP528" t="s">
        <v>17652</v>
      </c>
      <c r="AQ528" t="s">
        <v>17653</v>
      </c>
      <c r="AR528" t="s">
        <v>1024</v>
      </c>
    </row>
    <row r="529" spans="1:44" x14ac:dyDescent="0.25">
      <c r="A529" t="s">
        <v>16431</v>
      </c>
      <c r="B529" t="s">
        <v>22438</v>
      </c>
      <c r="C529" s="410" t="s">
        <v>100</v>
      </c>
      <c r="D529" t="s">
        <v>20326</v>
      </c>
      <c r="E529" t="s">
        <v>192</v>
      </c>
      <c r="F529" s="534">
        <v>1</v>
      </c>
      <c r="G529" t="s">
        <v>193</v>
      </c>
      <c r="H529" t="s">
        <v>194</v>
      </c>
      <c r="I529" t="s">
        <v>20318</v>
      </c>
      <c r="J529" t="s">
        <v>367</v>
      </c>
      <c r="K529" s="28" t="s">
        <v>9309</v>
      </c>
      <c r="L529" t="s">
        <v>6955</v>
      </c>
      <c r="N529" t="s">
        <v>22439</v>
      </c>
      <c r="O529" t="s">
        <v>6266</v>
      </c>
      <c r="P529" t="s">
        <v>20328</v>
      </c>
      <c r="Q529" t="s">
        <v>20329</v>
      </c>
      <c r="R529" t="s">
        <v>20306</v>
      </c>
      <c r="S529" t="s">
        <v>22440</v>
      </c>
      <c r="T529" t="s">
        <v>22441</v>
      </c>
      <c r="V529" s="28" t="s">
        <v>9974</v>
      </c>
      <c r="W529" t="s">
        <v>429</v>
      </c>
      <c r="X529" t="s">
        <v>194</v>
      </c>
      <c r="Y529" s="28" t="s">
        <v>9300</v>
      </c>
      <c r="AB529" t="s">
        <v>9311</v>
      </c>
      <c r="AH529" t="s">
        <v>4714</v>
      </c>
      <c r="AI529" t="s">
        <v>22438</v>
      </c>
      <c r="AJ529" s="28" t="str">
        <f t="shared" si="16"/>
        <v>242108</v>
      </c>
      <c r="AK529" s="420">
        <v>1</v>
      </c>
      <c r="AL529" s="420">
        <f t="shared" si="17"/>
        <v>1</v>
      </c>
      <c r="AM529" s="420">
        <v>1</v>
      </c>
      <c r="AN529" t="s">
        <v>17650</v>
      </c>
      <c r="AO529" t="s">
        <v>17651</v>
      </c>
      <c r="AP529" t="s">
        <v>17652</v>
      </c>
      <c r="AQ529" t="s">
        <v>17653</v>
      </c>
      <c r="AR529" t="s">
        <v>1024</v>
      </c>
    </row>
    <row r="530" spans="1:44" x14ac:dyDescent="0.25">
      <c r="A530" t="s">
        <v>5287</v>
      </c>
      <c r="B530" t="s">
        <v>22442</v>
      </c>
      <c r="C530" s="410" t="s">
        <v>100</v>
      </c>
      <c r="D530" t="s">
        <v>20317</v>
      </c>
      <c r="E530" t="s">
        <v>233</v>
      </c>
      <c r="F530" s="534">
        <v>1</v>
      </c>
      <c r="G530" t="s">
        <v>193</v>
      </c>
      <c r="H530" t="s">
        <v>194</v>
      </c>
      <c r="I530" t="s">
        <v>20318</v>
      </c>
      <c r="J530" t="s">
        <v>367</v>
      </c>
      <c r="K530" s="28" t="s">
        <v>9309</v>
      </c>
      <c r="L530" t="s">
        <v>6955</v>
      </c>
      <c r="N530" t="s">
        <v>22443</v>
      </c>
      <c r="O530" t="s">
        <v>6266</v>
      </c>
      <c r="P530" t="s">
        <v>20565</v>
      </c>
      <c r="Q530" t="s">
        <v>20566</v>
      </c>
      <c r="R530" t="s">
        <v>20567</v>
      </c>
      <c r="S530" t="s">
        <v>22444</v>
      </c>
      <c r="T530" t="s">
        <v>22445</v>
      </c>
      <c r="V530" s="28" t="s">
        <v>9974</v>
      </c>
      <c r="W530" t="s">
        <v>429</v>
      </c>
      <c r="X530" t="s">
        <v>194</v>
      </c>
      <c r="Y530" s="28" t="s">
        <v>9300</v>
      </c>
      <c r="AB530" t="s">
        <v>9311</v>
      </c>
      <c r="AH530" t="s">
        <v>4714</v>
      </c>
      <c r="AI530" t="s">
        <v>22442</v>
      </c>
      <c r="AJ530" s="28" t="str">
        <f t="shared" si="16"/>
        <v>242108</v>
      </c>
      <c r="AK530" s="420">
        <v>1</v>
      </c>
      <c r="AL530" s="420">
        <f t="shared" si="17"/>
        <v>1</v>
      </c>
      <c r="AM530" s="420">
        <v>1</v>
      </c>
      <c r="AN530" t="s">
        <v>17650</v>
      </c>
      <c r="AO530" t="s">
        <v>17651</v>
      </c>
      <c r="AP530" t="s">
        <v>17652</v>
      </c>
      <c r="AQ530" t="s">
        <v>17653</v>
      </c>
      <c r="AR530" t="s">
        <v>1024</v>
      </c>
    </row>
    <row r="531" spans="1:44" x14ac:dyDescent="0.25">
      <c r="A531" t="s">
        <v>5287</v>
      </c>
      <c r="B531" t="s">
        <v>22446</v>
      </c>
      <c r="C531" s="410" t="s">
        <v>100</v>
      </c>
      <c r="D531" t="s">
        <v>20317</v>
      </c>
      <c r="E531" t="s">
        <v>233</v>
      </c>
      <c r="F531" s="534">
        <v>1</v>
      </c>
      <c r="G531" t="s">
        <v>193</v>
      </c>
      <c r="H531" t="s">
        <v>194</v>
      </c>
      <c r="I531" t="s">
        <v>20318</v>
      </c>
      <c r="J531" t="s">
        <v>367</v>
      </c>
      <c r="K531" s="28" t="s">
        <v>9309</v>
      </c>
      <c r="L531" t="s">
        <v>6955</v>
      </c>
      <c r="N531" t="s">
        <v>22447</v>
      </c>
      <c r="O531" t="s">
        <v>6266</v>
      </c>
      <c r="P531" t="s">
        <v>20565</v>
      </c>
      <c r="Q531" t="s">
        <v>20566</v>
      </c>
      <c r="R531" t="s">
        <v>20567</v>
      </c>
      <c r="S531" t="s">
        <v>22448</v>
      </c>
      <c r="T531" t="s">
        <v>22449</v>
      </c>
      <c r="V531" s="28" t="s">
        <v>9974</v>
      </c>
      <c r="W531" t="s">
        <v>429</v>
      </c>
      <c r="X531" t="s">
        <v>194</v>
      </c>
      <c r="Y531" s="28" t="s">
        <v>9300</v>
      </c>
      <c r="AB531" t="s">
        <v>9311</v>
      </c>
      <c r="AH531" t="s">
        <v>4714</v>
      </c>
      <c r="AI531" t="s">
        <v>22446</v>
      </c>
      <c r="AJ531" s="28" t="str">
        <f t="shared" si="16"/>
        <v>242108</v>
      </c>
      <c r="AK531" s="420">
        <v>1</v>
      </c>
      <c r="AL531" s="420">
        <f t="shared" si="17"/>
        <v>1</v>
      </c>
      <c r="AM531" s="420">
        <v>1</v>
      </c>
      <c r="AN531" t="s">
        <v>17650</v>
      </c>
      <c r="AO531" t="s">
        <v>17651</v>
      </c>
      <c r="AP531" t="s">
        <v>17652</v>
      </c>
      <c r="AQ531" t="s">
        <v>17653</v>
      </c>
      <c r="AR531" t="s">
        <v>1024</v>
      </c>
    </row>
    <row r="532" spans="1:44" x14ac:dyDescent="0.25">
      <c r="A532" t="s">
        <v>3712</v>
      </c>
      <c r="B532" t="s">
        <v>17325</v>
      </c>
      <c r="C532" s="410" t="s">
        <v>100</v>
      </c>
      <c r="D532" t="s">
        <v>20338</v>
      </c>
      <c r="E532" t="s">
        <v>192</v>
      </c>
      <c r="F532" s="534">
        <v>1</v>
      </c>
      <c r="G532" t="s">
        <v>193</v>
      </c>
      <c r="H532" t="s">
        <v>194</v>
      </c>
      <c r="I532" t="s">
        <v>20405</v>
      </c>
      <c r="J532" t="s">
        <v>276</v>
      </c>
      <c r="K532" s="28" t="s">
        <v>9309</v>
      </c>
      <c r="L532" t="s">
        <v>6955</v>
      </c>
      <c r="N532" t="s">
        <v>22450</v>
      </c>
      <c r="O532" t="s">
        <v>6266</v>
      </c>
      <c r="P532" t="s">
        <v>20398</v>
      </c>
      <c r="Q532" t="s">
        <v>20399</v>
      </c>
      <c r="R532" t="s">
        <v>20400</v>
      </c>
      <c r="S532" t="s">
        <v>22451</v>
      </c>
      <c r="T532" t="s">
        <v>22452</v>
      </c>
      <c r="V532" s="28" t="s">
        <v>9786</v>
      </c>
      <c r="W532" t="s">
        <v>429</v>
      </c>
      <c r="X532" t="s">
        <v>194</v>
      </c>
      <c r="Y532" s="28" t="s">
        <v>9300</v>
      </c>
      <c r="AB532" t="s">
        <v>9311</v>
      </c>
      <c r="AH532" t="s">
        <v>4714</v>
      </c>
      <c r="AI532" t="s">
        <v>17325</v>
      </c>
      <c r="AJ532" s="28" t="str">
        <f t="shared" si="16"/>
        <v>242108</v>
      </c>
      <c r="AK532" s="420">
        <v>1</v>
      </c>
      <c r="AL532" s="420">
        <f t="shared" si="17"/>
        <v>1</v>
      </c>
      <c r="AM532" s="420">
        <v>1</v>
      </c>
      <c r="AN532" t="s">
        <v>17650</v>
      </c>
      <c r="AO532" t="s">
        <v>17651</v>
      </c>
      <c r="AP532" t="s">
        <v>17652</v>
      </c>
      <c r="AQ532" t="s">
        <v>17653</v>
      </c>
      <c r="AR532" t="s">
        <v>1024</v>
      </c>
    </row>
    <row r="533" spans="1:44" x14ac:dyDescent="0.25">
      <c r="A533" t="s">
        <v>3712</v>
      </c>
      <c r="B533" t="s">
        <v>17325</v>
      </c>
      <c r="C533" s="410" t="s">
        <v>100</v>
      </c>
      <c r="D533" t="s">
        <v>20338</v>
      </c>
      <c r="E533" t="s">
        <v>192</v>
      </c>
      <c r="F533" s="534">
        <v>1</v>
      </c>
      <c r="G533" t="s">
        <v>193</v>
      </c>
      <c r="H533" t="s">
        <v>194</v>
      </c>
      <c r="I533" t="s">
        <v>20405</v>
      </c>
      <c r="J533" t="s">
        <v>367</v>
      </c>
      <c r="K533" s="28" t="s">
        <v>9309</v>
      </c>
      <c r="L533" t="s">
        <v>6955</v>
      </c>
      <c r="N533" t="s">
        <v>22453</v>
      </c>
      <c r="O533" t="s">
        <v>6266</v>
      </c>
      <c r="P533" t="s">
        <v>20398</v>
      </c>
      <c r="Q533" t="s">
        <v>20399</v>
      </c>
      <c r="R533" t="s">
        <v>20400</v>
      </c>
      <c r="S533" t="s">
        <v>22454</v>
      </c>
      <c r="T533" t="s">
        <v>22455</v>
      </c>
      <c r="V533" s="28" t="s">
        <v>9974</v>
      </c>
      <c r="W533" t="s">
        <v>429</v>
      </c>
      <c r="X533" t="s">
        <v>194</v>
      </c>
      <c r="Y533" s="28" t="s">
        <v>9300</v>
      </c>
      <c r="AB533" t="s">
        <v>9311</v>
      </c>
      <c r="AH533" t="s">
        <v>4714</v>
      </c>
      <c r="AI533" t="s">
        <v>17325</v>
      </c>
      <c r="AJ533" s="28" t="str">
        <f t="shared" si="16"/>
        <v>242108</v>
      </c>
      <c r="AK533" s="420">
        <v>1</v>
      </c>
      <c r="AL533" s="420">
        <f t="shared" si="17"/>
        <v>1</v>
      </c>
      <c r="AM533" s="420">
        <v>1</v>
      </c>
      <c r="AN533" t="s">
        <v>17650</v>
      </c>
      <c r="AO533" t="s">
        <v>17651</v>
      </c>
      <c r="AP533" t="s">
        <v>17652</v>
      </c>
      <c r="AQ533" t="s">
        <v>17653</v>
      </c>
      <c r="AR533" t="s">
        <v>1024</v>
      </c>
    </row>
    <row r="534" spans="1:44" x14ac:dyDescent="0.25">
      <c r="A534" t="s">
        <v>3712</v>
      </c>
      <c r="B534" t="s">
        <v>17325</v>
      </c>
      <c r="C534" s="410" t="s">
        <v>100</v>
      </c>
      <c r="D534" t="s">
        <v>20338</v>
      </c>
      <c r="E534" t="s">
        <v>192</v>
      </c>
      <c r="F534" s="534">
        <v>1</v>
      </c>
      <c r="G534" t="s">
        <v>193</v>
      </c>
      <c r="H534" t="s">
        <v>194</v>
      </c>
      <c r="I534" t="s">
        <v>20405</v>
      </c>
      <c r="J534" t="s">
        <v>4751</v>
      </c>
      <c r="K534" s="28" t="s">
        <v>9309</v>
      </c>
      <c r="L534" t="s">
        <v>6955</v>
      </c>
      <c r="N534" t="s">
        <v>22456</v>
      </c>
      <c r="O534" t="s">
        <v>6266</v>
      </c>
      <c r="P534" t="s">
        <v>20398</v>
      </c>
      <c r="Q534" t="s">
        <v>20399</v>
      </c>
      <c r="R534" t="s">
        <v>20400</v>
      </c>
      <c r="S534" t="s">
        <v>22457</v>
      </c>
      <c r="T534" t="s">
        <v>22458</v>
      </c>
      <c r="V534" s="28" t="s">
        <v>9472</v>
      </c>
      <c r="W534" t="s">
        <v>429</v>
      </c>
      <c r="X534" t="s">
        <v>194</v>
      </c>
      <c r="Y534" s="28" t="s">
        <v>9300</v>
      </c>
      <c r="AB534" t="s">
        <v>9311</v>
      </c>
      <c r="AH534" t="s">
        <v>4714</v>
      </c>
      <c r="AI534" t="s">
        <v>17325</v>
      </c>
      <c r="AJ534" s="28" t="str">
        <f t="shared" si="16"/>
        <v>242108</v>
      </c>
      <c r="AK534" s="420">
        <v>1</v>
      </c>
      <c r="AL534" s="420">
        <f t="shared" si="17"/>
        <v>1</v>
      </c>
      <c r="AM534" s="420">
        <v>1</v>
      </c>
      <c r="AN534" t="s">
        <v>17650</v>
      </c>
      <c r="AO534" t="s">
        <v>17651</v>
      </c>
      <c r="AP534" t="s">
        <v>17652</v>
      </c>
      <c r="AQ534" t="s">
        <v>17653</v>
      </c>
      <c r="AR534" t="s">
        <v>1024</v>
      </c>
    </row>
    <row r="535" spans="1:44" x14ac:dyDescent="0.25">
      <c r="A535" t="s">
        <v>3712</v>
      </c>
      <c r="B535" t="s">
        <v>17325</v>
      </c>
      <c r="C535" s="410" t="s">
        <v>100</v>
      </c>
      <c r="D535" t="s">
        <v>20338</v>
      </c>
      <c r="E535" t="s">
        <v>192</v>
      </c>
      <c r="F535" s="534">
        <v>1</v>
      </c>
      <c r="G535" t="s">
        <v>193</v>
      </c>
      <c r="H535" t="s">
        <v>194</v>
      </c>
      <c r="I535" t="s">
        <v>20405</v>
      </c>
      <c r="J535" t="s">
        <v>210</v>
      </c>
      <c r="K535" s="28" t="s">
        <v>9309</v>
      </c>
      <c r="L535" t="s">
        <v>6955</v>
      </c>
      <c r="N535" t="s">
        <v>22459</v>
      </c>
      <c r="O535" t="s">
        <v>6266</v>
      </c>
      <c r="P535" t="s">
        <v>20398</v>
      </c>
      <c r="Q535" t="s">
        <v>20399</v>
      </c>
      <c r="R535" t="s">
        <v>20400</v>
      </c>
      <c r="S535" t="s">
        <v>22460</v>
      </c>
      <c r="T535" t="s">
        <v>22461</v>
      </c>
      <c r="V535" s="28" t="s">
        <v>9334</v>
      </c>
      <c r="W535" t="s">
        <v>429</v>
      </c>
      <c r="X535" t="s">
        <v>194</v>
      </c>
      <c r="Y535" s="28" t="s">
        <v>9300</v>
      </c>
      <c r="AB535" t="s">
        <v>9311</v>
      </c>
      <c r="AH535" t="s">
        <v>4714</v>
      </c>
      <c r="AI535" t="s">
        <v>17325</v>
      </c>
      <c r="AJ535" s="28" t="str">
        <f t="shared" si="16"/>
        <v>242108</v>
      </c>
      <c r="AK535" s="420">
        <v>1</v>
      </c>
      <c r="AL535" s="420">
        <f t="shared" si="17"/>
        <v>1</v>
      </c>
      <c r="AM535" s="420">
        <v>1</v>
      </c>
      <c r="AN535" t="s">
        <v>17650</v>
      </c>
      <c r="AO535" t="s">
        <v>17651</v>
      </c>
      <c r="AP535" t="s">
        <v>17652</v>
      </c>
      <c r="AQ535" t="s">
        <v>17653</v>
      </c>
      <c r="AR535" t="s">
        <v>1024</v>
      </c>
    </row>
    <row r="536" spans="1:44" x14ac:dyDescent="0.25">
      <c r="A536" t="s">
        <v>3712</v>
      </c>
      <c r="B536" t="s">
        <v>17325</v>
      </c>
      <c r="C536" s="410" t="s">
        <v>100</v>
      </c>
      <c r="D536" t="s">
        <v>20338</v>
      </c>
      <c r="E536" t="s">
        <v>192</v>
      </c>
      <c r="F536" s="534">
        <v>1</v>
      </c>
      <c r="G536" t="s">
        <v>193</v>
      </c>
      <c r="H536" t="s">
        <v>194</v>
      </c>
      <c r="I536" t="s">
        <v>20405</v>
      </c>
      <c r="J536" t="s">
        <v>747</v>
      </c>
      <c r="K536" s="28" t="s">
        <v>9309</v>
      </c>
      <c r="L536" t="s">
        <v>6955</v>
      </c>
      <c r="N536" t="s">
        <v>22462</v>
      </c>
      <c r="O536" t="s">
        <v>6266</v>
      </c>
      <c r="P536" t="s">
        <v>20398</v>
      </c>
      <c r="Q536" t="s">
        <v>20399</v>
      </c>
      <c r="R536" t="s">
        <v>20400</v>
      </c>
      <c r="S536" t="s">
        <v>22463</v>
      </c>
      <c r="T536" t="s">
        <v>22464</v>
      </c>
      <c r="V536" s="28" t="s">
        <v>10397</v>
      </c>
      <c r="W536" t="s">
        <v>429</v>
      </c>
      <c r="X536" t="s">
        <v>194</v>
      </c>
      <c r="Y536" s="28" t="s">
        <v>9300</v>
      </c>
      <c r="AB536" t="s">
        <v>9311</v>
      </c>
      <c r="AH536" t="s">
        <v>4714</v>
      </c>
      <c r="AI536" t="s">
        <v>17325</v>
      </c>
      <c r="AJ536" s="28" t="str">
        <f t="shared" si="16"/>
        <v>242108</v>
      </c>
      <c r="AK536" s="420">
        <v>1</v>
      </c>
      <c r="AL536" s="420">
        <f t="shared" si="17"/>
        <v>1</v>
      </c>
      <c r="AM536" s="420">
        <v>1</v>
      </c>
      <c r="AN536" t="s">
        <v>17650</v>
      </c>
      <c r="AO536" t="s">
        <v>17651</v>
      </c>
      <c r="AP536" t="s">
        <v>17652</v>
      </c>
      <c r="AQ536" t="s">
        <v>17653</v>
      </c>
      <c r="AR536" t="s">
        <v>1024</v>
      </c>
    </row>
    <row r="537" spans="1:44" x14ac:dyDescent="0.25">
      <c r="A537" t="s">
        <v>3712</v>
      </c>
      <c r="B537" t="s">
        <v>17325</v>
      </c>
      <c r="C537" s="410" t="s">
        <v>100</v>
      </c>
      <c r="D537" t="s">
        <v>20338</v>
      </c>
      <c r="E537" t="s">
        <v>192</v>
      </c>
      <c r="F537" s="534">
        <v>1</v>
      </c>
      <c r="G537" t="s">
        <v>193</v>
      </c>
      <c r="H537" t="s">
        <v>194</v>
      </c>
      <c r="I537" t="s">
        <v>20405</v>
      </c>
      <c r="J537" t="s">
        <v>316</v>
      </c>
      <c r="K537" s="28" t="s">
        <v>9309</v>
      </c>
      <c r="L537" t="s">
        <v>6955</v>
      </c>
      <c r="N537" t="s">
        <v>22465</v>
      </c>
      <c r="O537" t="s">
        <v>6266</v>
      </c>
      <c r="P537" t="s">
        <v>20398</v>
      </c>
      <c r="Q537" t="s">
        <v>20399</v>
      </c>
      <c r="R537" t="s">
        <v>20400</v>
      </c>
      <c r="S537" t="s">
        <v>22466</v>
      </c>
      <c r="T537" t="s">
        <v>22467</v>
      </c>
      <c r="V537" s="28" t="s">
        <v>10012</v>
      </c>
      <c r="W537" t="s">
        <v>429</v>
      </c>
      <c r="X537" t="s">
        <v>194</v>
      </c>
      <c r="Y537" s="28" t="s">
        <v>9300</v>
      </c>
      <c r="AB537" t="s">
        <v>9311</v>
      </c>
      <c r="AH537" t="s">
        <v>4714</v>
      </c>
      <c r="AI537" t="s">
        <v>17325</v>
      </c>
      <c r="AJ537" s="28" t="str">
        <f t="shared" si="16"/>
        <v>242108</v>
      </c>
      <c r="AK537" s="420">
        <v>1</v>
      </c>
      <c r="AL537" s="420">
        <f t="shared" si="17"/>
        <v>1</v>
      </c>
      <c r="AM537" s="420">
        <v>1</v>
      </c>
      <c r="AN537" t="s">
        <v>17650</v>
      </c>
      <c r="AO537" t="s">
        <v>17651</v>
      </c>
      <c r="AP537" t="s">
        <v>17652</v>
      </c>
      <c r="AQ537" t="s">
        <v>17653</v>
      </c>
      <c r="AR537" t="s">
        <v>1024</v>
      </c>
    </row>
    <row r="538" spans="1:44" x14ac:dyDescent="0.25">
      <c r="A538" t="s">
        <v>9987</v>
      </c>
      <c r="B538" t="s">
        <v>22468</v>
      </c>
      <c r="C538" s="410" t="s">
        <v>100</v>
      </c>
      <c r="D538" t="s">
        <v>20338</v>
      </c>
      <c r="E538" t="s">
        <v>192</v>
      </c>
      <c r="F538" s="534">
        <v>1</v>
      </c>
      <c r="G538" t="s">
        <v>193</v>
      </c>
      <c r="H538" t="s">
        <v>194</v>
      </c>
      <c r="I538" t="s">
        <v>20405</v>
      </c>
      <c r="J538" t="s">
        <v>16866</v>
      </c>
      <c r="K538" s="28" t="s">
        <v>9309</v>
      </c>
      <c r="L538" t="s">
        <v>6955</v>
      </c>
      <c r="N538" t="s">
        <v>22469</v>
      </c>
      <c r="O538" t="s">
        <v>6266</v>
      </c>
      <c r="P538" t="s">
        <v>20398</v>
      </c>
      <c r="Q538" t="s">
        <v>20399</v>
      </c>
      <c r="R538" t="s">
        <v>20400</v>
      </c>
      <c r="S538" t="s">
        <v>22470</v>
      </c>
      <c r="T538" t="s">
        <v>22471</v>
      </c>
      <c r="V538" s="28" t="s">
        <v>9856</v>
      </c>
      <c r="W538" t="s">
        <v>429</v>
      </c>
      <c r="X538" t="s">
        <v>194</v>
      </c>
      <c r="Y538" s="28" t="s">
        <v>9300</v>
      </c>
      <c r="AB538" t="s">
        <v>9311</v>
      </c>
      <c r="AH538" t="s">
        <v>4714</v>
      </c>
      <c r="AI538" t="s">
        <v>22468</v>
      </c>
      <c r="AJ538" s="28" t="str">
        <f t="shared" si="16"/>
        <v>242108</v>
      </c>
      <c r="AK538" s="420">
        <v>1</v>
      </c>
      <c r="AL538" s="420">
        <f t="shared" si="17"/>
        <v>1</v>
      </c>
      <c r="AM538" s="420">
        <v>1</v>
      </c>
      <c r="AN538" t="s">
        <v>17650</v>
      </c>
      <c r="AO538" t="s">
        <v>17651</v>
      </c>
      <c r="AP538" t="s">
        <v>17652</v>
      </c>
      <c r="AQ538" t="s">
        <v>17653</v>
      </c>
      <c r="AR538" t="s">
        <v>1024</v>
      </c>
    </row>
    <row r="539" spans="1:44" x14ac:dyDescent="0.25">
      <c r="A539" t="s">
        <v>20685</v>
      </c>
      <c r="B539" t="s">
        <v>20686</v>
      </c>
      <c r="C539" s="410" t="s">
        <v>43</v>
      </c>
      <c r="D539" t="s">
        <v>20326</v>
      </c>
      <c r="E539" t="s">
        <v>217</v>
      </c>
      <c r="F539" s="534">
        <v>1</v>
      </c>
      <c r="G539" t="s">
        <v>194</v>
      </c>
      <c r="H539" t="s">
        <v>193</v>
      </c>
      <c r="I539" t="s">
        <v>20333</v>
      </c>
      <c r="J539" t="s">
        <v>13284</v>
      </c>
      <c r="K539" s="28" t="s">
        <v>9309</v>
      </c>
      <c r="L539" t="s">
        <v>6955</v>
      </c>
      <c r="N539" t="s">
        <v>20687</v>
      </c>
      <c r="O539" t="s">
        <v>7531</v>
      </c>
      <c r="P539" t="s">
        <v>20372</v>
      </c>
      <c r="Q539" t="s">
        <v>20600</v>
      </c>
      <c r="R539" t="s">
        <v>20689</v>
      </c>
      <c r="S539" t="s">
        <v>22472</v>
      </c>
      <c r="T539" t="s">
        <v>22473</v>
      </c>
      <c r="W539" t="s">
        <v>452</v>
      </c>
      <c r="X539" t="s">
        <v>194</v>
      </c>
      <c r="Y539" s="28" t="s">
        <v>9946</v>
      </c>
      <c r="AB539" t="s">
        <v>9311</v>
      </c>
      <c r="AH539" t="s">
        <v>4714</v>
      </c>
      <c r="AI539" t="s">
        <v>9433</v>
      </c>
      <c r="AJ539" s="28" t="str">
        <f t="shared" si="16"/>
        <v>243106</v>
      </c>
      <c r="AK539" s="420">
        <v>1</v>
      </c>
      <c r="AL539" s="420">
        <f t="shared" si="17"/>
        <v>1</v>
      </c>
      <c r="AM539" s="420">
        <v>1</v>
      </c>
      <c r="AN539" t="s">
        <v>17650</v>
      </c>
      <c r="AO539" t="s">
        <v>17651</v>
      </c>
      <c r="AP539" t="s">
        <v>17652</v>
      </c>
      <c r="AQ539" t="s">
        <v>17653</v>
      </c>
      <c r="AR539" t="s">
        <v>1024</v>
      </c>
    </row>
    <row r="540" spans="1:44" x14ac:dyDescent="0.25">
      <c r="A540" t="s">
        <v>22474</v>
      </c>
      <c r="B540" t="s">
        <v>3222</v>
      </c>
      <c r="C540" s="410" t="s">
        <v>43</v>
      </c>
      <c r="D540" t="s">
        <v>20326</v>
      </c>
      <c r="E540" t="s">
        <v>217</v>
      </c>
      <c r="F540" s="534">
        <v>1</v>
      </c>
      <c r="G540" t="s">
        <v>193</v>
      </c>
      <c r="H540" t="s">
        <v>194</v>
      </c>
      <c r="I540" t="s">
        <v>20318</v>
      </c>
      <c r="J540" t="s">
        <v>22475</v>
      </c>
      <c r="K540" s="28" t="s">
        <v>9309</v>
      </c>
      <c r="L540" t="s">
        <v>6955</v>
      </c>
      <c r="N540" t="s">
        <v>22476</v>
      </c>
      <c r="O540" t="s">
        <v>6302</v>
      </c>
      <c r="P540" t="s">
        <v>20372</v>
      </c>
      <c r="Q540" t="s">
        <v>21580</v>
      </c>
      <c r="R540" t="s">
        <v>21581</v>
      </c>
      <c r="S540" t="s">
        <v>22477</v>
      </c>
      <c r="T540" t="s">
        <v>22478</v>
      </c>
      <c r="V540" s="28" t="s">
        <v>9726</v>
      </c>
      <c r="W540" t="s">
        <v>452</v>
      </c>
      <c r="X540" t="s">
        <v>194</v>
      </c>
      <c r="Y540" s="28" t="s">
        <v>9300</v>
      </c>
      <c r="AB540" t="s">
        <v>9311</v>
      </c>
      <c r="AH540" t="s">
        <v>4714</v>
      </c>
      <c r="AI540" t="s">
        <v>9433</v>
      </c>
      <c r="AJ540" s="28" t="str">
        <f t="shared" si="16"/>
        <v>243106</v>
      </c>
      <c r="AK540" s="420">
        <v>1</v>
      </c>
      <c r="AL540" s="420">
        <f t="shared" si="17"/>
        <v>1</v>
      </c>
      <c r="AM540" s="420">
        <v>1</v>
      </c>
      <c r="AN540" t="s">
        <v>17650</v>
      </c>
      <c r="AO540" t="s">
        <v>17651</v>
      </c>
      <c r="AP540" t="s">
        <v>17652</v>
      </c>
      <c r="AQ540" t="s">
        <v>17653</v>
      </c>
      <c r="AR540" t="s">
        <v>1024</v>
      </c>
    </row>
    <row r="541" spans="1:44" x14ac:dyDescent="0.25">
      <c r="A541" t="s">
        <v>9346</v>
      </c>
      <c r="B541" t="s">
        <v>22479</v>
      </c>
      <c r="C541" s="410" t="s">
        <v>43</v>
      </c>
      <c r="D541" t="s">
        <v>20326</v>
      </c>
      <c r="E541" t="s">
        <v>192</v>
      </c>
      <c r="F541" s="534">
        <v>1</v>
      </c>
      <c r="G541" t="s">
        <v>193</v>
      </c>
      <c r="H541" t="s">
        <v>194</v>
      </c>
      <c r="I541" t="s">
        <v>20389</v>
      </c>
      <c r="J541" t="s">
        <v>210</v>
      </c>
      <c r="K541" s="28" t="s">
        <v>9309</v>
      </c>
      <c r="L541" t="s">
        <v>6955</v>
      </c>
      <c r="N541" t="s">
        <v>22480</v>
      </c>
      <c r="O541" t="s">
        <v>6921</v>
      </c>
      <c r="P541" t="s">
        <v>20328</v>
      </c>
      <c r="Q541" t="s">
        <v>20329</v>
      </c>
      <c r="R541" t="s">
        <v>20306</v>
      </c>
      <c r="S541" t="s">
        <v>22481</v>
      </c>
      <c r="T541" t="s">
        <v>22482</v>
      </c>
      <c r="V541" s="28" t="s">
        <v>9334</v>
      </c>
      <c r="W541" t="s">
        <v>452</v>
      </c>
      <c r="X541" t="s">
        <v>194</v>
      </c>
      <c r="Y541" s="28" t="s">
        <v>9300</v>
      </c>
      <c r="AB541" t="s">
        <v>9311</v>
      </c>
      <c r="AH541" t="s">
        <v>4714</v>
      </c>
      <c r="AI541" t="s">
        <v>22479</v>
      </c>
      <c r="AJ541" s="28" t="str">
        <f t="shared" si="16"/>
        <v>243106</v>
      </c>
      <c r="AK541" s="420">
        <v>1</v>
      </c>
      <c r="AL541" s="420">
        <f t="shared" si="17"/>
        <v>1</v>
      </c>
      <c r="AM541" s="420">
        <v>1</v>
      </c>
      <c r="AN541" t="s">
        <v>17650</v>
      </c>
      <c r="AO541" t="s">
        <v>17651</v>
      </c>
      <c r="AP541" t="s">
        <v>17652</v>
      </c>
      <c r="AQ541" t="s">
        <v>17653</v>
      </c>
      <c r="AR541" t="s">
        <v>1024</v>
      </c>
    </row>
    <row r="542" spans="1:44" x14ac:dyDescent="0.25">
      <c r="A542" t="s">
        <v>8074</v>
      </c>
      <c r="B542" t="s">
        <v>22483</v>
      </c>
      <c r="C542" s="410" t="s">
        <v>43</v>
      </c>
      <c r="D542" t="s">
        <v>20326</v>
      </c>
      <c r="E542" t="s">
        <v>192</v>
      </c>
      <c r="F542" s="534">
        <v>1</v>
      </c>
      <c r="G542" t="s">
        <v>193</v>
      </c>
      <c r="H542" t="s">
        <v>194</v>
      </c>
      <c r="I542" t="s">
        <v>20333</v>
      </c>
      <c r="J542" t="s">
        <v>210</v>
      </c>
      <c r="K542" s="28" t="s">
        <v>9309</v>
      </c>
      <c r="L542" t="s">
        <v>6955</v>
      </c>
      <c r="N542" t="s">
        <v>22484</v>
      </c>
      <c r="O542" t="s">
        <v>6290</v>
      </c>
      <c r="P542" t="s">
        <v>20328</v>
      </c>
      <c r="Q542" t="s">
        <v>20329</v>
      </c>
      <c r="R542" t="s">
        <v>20306</v>
      </c>
      <c r="S542" t="s">
        <v>22485</v>
      </c>
      <c r="T542" t="s">
        <v>22486</v>
      </c>
      <c r="V542" s="28" t="s">
        <v>9334</v>
      </c>
      <c r="W542" t="s">
        <v>452</v>
      </c>
      <c r="X542" t="s">
        <v>194</v>
      </c>
      <c r="Y542" s="28" t="s">
        <v>9300</v>
      </c>
      <c r="AB542" t="s">
        <v>9311</v>
      </c>
      <c r="AH542" t="s">
        <v>4714</v>
      </c>
      <c r="AI542" t="s">
        <v>22483</v>
      </c>
      <c r="AJ542" s="28" t="str">
        <f t="shared" si="16"/>
        <v>243106</v>
      </c>
      <c r="AK542" s="420">
        <v>1</v>
      </c>
      <c r="AL542" s="420">
        <f t="shared" si="17"/>
        <v>1</v>
      </c>
      <c r="AM542" s="420">
        <v>1</v>
      </c>
      <c r="AN542" t="s">
        <v>17650</v>
      </c>
      <c r="AO542" t="s">
        <v>17651</v>
      </c>
      <c r="AP542" t="s">
        <v>17652</v>
      </c>
      <c r="AQ542" t="s">
        <v>17653</v>
      </c>
      <c r="AR542" t="s">
        <v>1024</v>
      </c>
    </row>
    <row r="543" spans="1:44" x14ac:dyDescent="0.25">
      <c r="A543" t="s">
        <v>15985</v>
      </c>
      <c r="B543" t="s">
        <v>22487</v>
      </c>
      <c r="C543" s="410" t="s">
        <v>43</v>
      </c>
      <c r="D543" t="s">
        <v>20317</v>
      </c>
      <c r="E543" t="s">
        <v>233</v>
      </c>
      <c r="F543" s="534">
        <v>1</v>
      </c>
      <c r="G543" t="s">
        <v>193</v>
      </c>
      <c r="H543" t="s">
        <v>194</v>
      </c>
      <c r="I543" t="s">
        <v>20318</v>
      </c>
      <c r="J543" t="s">
        <v>210</v>
      </c>
      <c r="K543" s="28" t="s">
        <v>9309</v>
      </c>
      <c r="L543" t="s">
        <v>6955</v>
      </c>
      <c r="N543" t="s">
        <v>22488</v>
      </c>
      <c r="O543" t="s">
        <v>6290</v>
      </c>
      <c r="P543" t="s">
        <v>20565</v>
      </c>
      <c r="Q543" t="s">
        <v>20566</v>
      </c>
      <c r="R543" t="s">
        <v>20567</v>
      </c>
      <c r="S543" t="s">
        <v>22489</v>
      </c>
      <c r="T543" t="s">
        <v>22490</v>
      </c>
      <c r="V543" s="28" t="s">
        <v>9334</v>
      </c>
      <c r="W543" t="s">
        <v>452</v>
      </c>
      <c r="X543" t="s">
        <v>194</v>
      </c>
      <c r="Y543" s="28" t="s">
        <v>9300</v>
      </c>
      <c r="AB543" t="s">
        <v>9311</v>
      </c>
      <c r="AH543" t="s">
        <v>4714</v>
      </c>
      <c r="AI543" t="s">
        <v>22487</v>
      </c>
      <c r="AJ543" s="28" t="str">
        <f t="shared" si="16"/>
        <v>243106</v>
      </c>
      <c r="AK543" s="420">
        <v>1</v>
      </c>
      <c r="AL543" s="420">
        <f t="shared" si="17"/>
        <v>1</v>
      </c>
      <c r="AM543" s="420">
        <v>1</v>
      </c>
      <c r="AN543" t="s">
        <v>17650</v>
      </c>
      <c r="AO543" t="s">
        <v>17651</v>
      </c>
      <c r="AP543" t="s">
        <v>17652</v>
      </c>
      <c r="AQ543" t="s">
        <v>17653</v>
      </c>
      <c r="AR543" t="s">
        <v>1024</v>
      </c>
    </row>
    <row r="544" spans="1:44" x14ac:dyDescent="0.25">
      <c r="A544" t="s">
        <v>20685</v>
      </c>
      <c r="B544" t="s">
        <v>20686</v>
      </c>
      <c r="C544" s="410" t="s">
        <v>43</v>
      </c>
      <c r="D544" t="s">
        <v>20317</v>
      </c>
      <c r="E544" t="s">
        <v>217</v>
      </c>
      <c r="F544" s="534">
        <v>1</v>
      </c>
      <c r="G544" t="s">
        <v>194</v>
      </c>
      <c r="H544" t="s">
        <v>193</v>
      </c>
      <c r="I544" t="s">
        <v>20333</v>
      </c>
      <c r="J544" t="s">
        <v>13284</v>
      </c>
      <c r="K544" s="28" t="s">
        <v>9309</v>
      </c>
      <c r="L544" t="s">
        <v>6955</v>
      </c>
      <c r="N544" t="s">
        <v>20687</v>
      </c>
      <c r="O544" t="s">
        <v>7531</v>
      </c>
      <c r="P544" t="s">
        <v>20376</v>
      </c>
      <c r="Q544" t="s">
        <v>21622</v>
      </c>
      <c r="R544" t="s">
        <v>20689</v>
      </c>
      <c r="S544" t="s">
        <v>22491</v>
      </c>
      <c r="T544" t="s">
        <v>22492</v>
      </c>
      <c r="W544" t="s">
        <v>452</v>
      </c>
      <c r="X544" t="s">
        <v>194</v>
      </c>
      <c r="Y544" s="28" t="s">
        <v>9946</v>
      </c>
      <c r="AB544" t="s">
        <v>9311</v>
      </c>
      <c r="AH544" t="s">
        <v>4714</v>
      </c>
      <c r="AI544" t="s">
        <v>9433</v>
      </c>
      <c r="AJ544" s="28" t="str">
        <f t="shared" si="16"/>
        <v>243106</v>
      </c>
      <c r="AK544" s="420">
        <v>1</v>
      </c>
      <c r="AL544" s="420">
        <f t="shared" si="17"/>
        <v>1</v>
      </c>
      <c r="AM544" s="420">
        <v>1</v>
      </c>
      <c r="AN544" t="s">
        <v>17650</v>
      </c>
      <c r="AO544" t="s">
        <v>17651</v>
      </c>
      <c r="AP544" t="s">
        <v>17652</v>
      </c>
      <c r="AQ544" t="s">
        <v>17653</v>
      </c>
      <c r="AR544" t="s">
        <v>1024</v>
      </c>
    </row>
    <row r="545" spans="1:44" x14ac:dyDescent="0.25">
      <c r="A545" t="s">
        <v>22474</v>
      </c>
      <c r="B545" t="s">
        <v>3222</v>
      </c>
      <c r="C545" s="410" t="s">
        <v>43</v>
      </c>
      <c r="D545" t="s">
        <v>20317</v>
      </c>
      <c r="E545" t="s">
        <v>217</v>
      </c>
      <c r="F545" s="534">
        <v>1</v>
      </c>
      <c r="G545" t="s">
        <v>194</v>
      </c>
      <c r="H545" t="s">
        <v>193</v>
      </c>
      <c r="I545" t="s">
        <v>20318</v>
      </c>
      <c r="J545" t="s">
        <v>22475</v>
      </c>
      <c r="K545" s="28" t="s">
        <v>9309</v>
      </c>
      <c r="L545" t="s">
        <v>6955</v>
      </c>
      <c r="N545" t="s">
        <v>22476</v>
      </c>
      <c r="O545" t="s">
        <v>6302</v>
      </c>
      <c r="P545" t="s">
        <v>20376</v>
      </c>
      <c r="Q545" t="s">
        <v>21588</v>
      </c>
      <c r="R545" t="s">
        <v>21581</v>
      </c>
      <c r="S545" t="s">
        <v>22493</v>
      </c>
      <c r="T545" t="s">
        <v>22494</v>
      </c>
      <c r="W545" t="s">
        <v>452</v>
      </c>
      <c r="X545" t="s">
        <v>194</v>
      </c>
      <c r="Y545" s="28" t="s">
        <v>9946</v>
      </c>
      <c r="AB545" t="s">
        <v>9311</v>
      </c>
      <c r="AH545" t="s">
        <v>4714</v>
      </c>
      <c r="AI545" t="s">
        <v>9433</v>
      </c>
      <c r="AJ545" s="28" t="str">
        <f t="shared" si="16"/>
        <v>243106</v>
      </c>
      <c r="AK545" s="420">
        <v>1</v>
      </c>
      <c r="AL545" s="420">
        <f t="shared" si="17"/>
        <v>1</v>
      </c>
      <c r="AM545" s="420">
        <v>1</v>
      </c>
      <c r="AN545" t="s">
        <v>17650</v>
      </c>
      <c r="AO545" t="s">
        <v>17651</v>
      </c>
      <c r="AP545" t="s">
        <v>17652</v>
      </c>
      <c r="AQ545" t="s">
        <v>17653</v>
      </c>
      <c r="AR545" t="s">
        <v>1024</v>
      </c>
    </row>
    <row r="546" spans="1:44" x14ac:dyDescent="0.25">
      <c r="A546" t="s">
        <v>18568</v>
      </c>
      <c r="B546" t="s">
        <v>22495</v>
      </c>
      <c r="C546" s="410" t="s">
        <v>43</v>
      </c>
      <c r="D546" t="s">
        <v>20317</v>
      </c>
      <c r="E546" t="s">
        <v>192</v>
      </c>
      <c r="F546" s="534">
        <v>1</v>
      </c>
      <c r="G546" t="s">
        <v>193</v>
      </c>
      <c r="H546" t="s">
        <v>194</v>
      </c>
      <c r="I546" t="s">
        <v>20333</v>
      </c>
      <c r="J546" t="s">
        <v>9302</v>
      </c>
      <c r="K546" s="28" t="s">
        <v>9309</v>
      </c>
      <c r="L546" t="s">
        <v>6955</v>
      </c>
      <c r="N546" t="s">
        <v>22496</v>
      </c>
      <c r="O546" t="s">
        <v>6290</v>
      </c>
      <c r="P546" t="s">
        <v>20320</v>
      </c>
      <c r="Q546" t="s">
        <v>20321</v>
      </c>
      <c r="R546" t="s">
        <v>20322</v>
      </c>
      <c r="S546" t="s">
        <v>22497</v>
      </c>
      <c r="T546" t="s">
        <v>22498</v>
      </c>
      <c r="W546" t="s">
        <v>452</v>
      </c>
      <c r="X546" t="s">
        <v>193</v>
      </c>
      <c r="Y546" s="28" t="s">
        <v>9310</v>
      </c>
      <c r="AB546" t="s">
        <v>9311</v>
      </c>
      <c r="AH546" t="s">
        <v>4714</v>
      </c>
      <c r="AI546" t="s">
        <v>22495</v>
      </c>
      <c r="AJ546" s="28" t="str">
        <f t="shared" si="16"/>
        <v>243106</v>
      </c>
      <c r="AK546" s="420">
        <v>1</v>
      </c>
      <c r="AL546" s="420">
        <f t="shared" si="17"/>
        <v>1</v>
      </c>
      <c r="AM546" s="420">
        <v>1</v>
      </c>
      <c r="AN546" t="s">
        <v>17650</v>
      </c>
      <c r="AO546" t="s">
        <v>17651</v>
      </c>
      <c r="AP546" t="s">
        <v>17652</v>
      </c>
      <c r="AQ546" t="s">
        <v>17653</v>
      </c>
      <c r="AR546" t="s">
        <v>1024</v>
      </c>
    </row>
    <row r="547" spans="1:44" x14ac:dyDescent="0.25">
      <c r="A547" t="s">
        <v>20960</v>
      </c>
      <c r="B547" t="s">
        <v>22499</v>
      </c>
      <c r="C547" s="410" t="s">
        <v>43</v>
      </c>
      <c r="D547" t="s">
        <v>20317</v>
      </c>
      <c r="E547" t="s">
        <v>192</v>
      </c>
      <c r="F547" s="534">
        <v>1</v>
      </c>
      <c r="G547" t="s">
        <v>193</v>
      </c>
      <c r="H547" t="s">
        <v>194</v>
      </c>
      <c r="I547" t="s">
        <v>20318</v>
      </c>
      <c r="J547" t="s">
        <v>210</v>
      </c>
      <c r="K547" s="28" t="s">
        <v>9309</v>
      </c>
      <c r="L547" t="s">
        <v>6955</v>
      </c>
      <c r="N547" t="s">
        <v>22500</v>
      </c>
      <c r="O547" t="s">
        <v>6290</v>
      </c>
      <c r="P547" t="s">
        <v>20320</v>
      </c>
      <c r="Q547" t="s">
        <v>20321</v>
      </c>
      <c r="R547" t="s">
        <v>20322</v>
      </c>
      <c r="S547" t="s">
        <v>22501</v>
      </c>
      <c r="T547" t="s">
        <v>22502</v>
      </c>
      <c r="V547" s="28" t="s">
        <v>9334</v>
      </c>
      <c r="W547" t="s">
        <v>452</v>
      </c>
      <c r="X547" t="s">
        <v>194</v>
      </c>
      <c r="Y547" s="28" t="s">
        <v>9300</v>
      </c>
      <c r="AB547" t="s">
        <v>9311</v>
      </c>
      <c r="AH547" t="s">
        <v>4714</v>
      </c>
      <c r="AI547" t="s">
        <v>22499</v>
      </c>
      <c r="AJ547" s="28" t="str">
        <f t="shared" si="16"/>
        <v>243106</v>
      </c>
      <c r="AK547" s="420">
        <v>1</v>
      </c>
      <c r="AL547" s="420">
        <f t="shared" si="17"/>
        <v>1</v>
      </c>
      <c r="AM547" s="420">
        <v>1</v>
      </c>
      <c r="AN547" t="s">
        <v>17650</v>
      </c>
      <c r="AO547" t="s">
        <v>17651</v>
      </c>
      <c r="AP547" t="s">
        <v>17652</v>
      </c>
      <c r="AQ547" t="s">
        <v>17653</v>
      </c>
      <c r="AR547" t="s">
        <v>1024</v>
      </c>
    </row>
    <row r="548" spans="1:44" x14ac:dyDescent="0.25">
      <c r="A548" t="s">
        <v>20685</v>
      </c>
      <c r="B548" t="s">
        <v>20686</v>
      </c>
      <c r="C548" s="410" t="s">
        <v>43</v>
      </c>
      <c r="D548" t="s">
        <v>20360</v>
      </c>
      <c r="E548" t="s">
        <v>217</v>
      </c>
      <c r="F548" s="534">
        <v>1</v>
      </c>
      <c r="G548" t="s">
        <v>194</v>
      </c>
      <c r="H548" t="s">
        <v>193</v>
      </c>
      <c r="I548" t="s">
        <v>20333</v>
      </c>
      <c r="J548" t="s">
        <v>13284</v>
      </c>
      <c r="K548" s="28" t="s">
        <v>9309</v>
      </c>
      <c r="L548" t="s">
        <v>6955</v>
      </c>
      <c r="N548" t="s">
        <v>20687</v>
      </c>
      <c r="O548" t="s">
        <v>7531</v>
      </c>
      <c r="P548" t="s">
        <v>20393</v>
      </c>
      <c r="Q548" t="s">
        <v>21619</v>
      </c>
      <c r="R548" t="s">
        <v>20689</v>
      </c>
      <c r="S548" t="s">
        <v>22503</v>
      </c>
      <c r="T548" t="s">
        <v>22504</v>
      </c>
      <c r="W548" t="s">
        <v>452</v>
      </c>
      <c r="X548" t="s">
        <v>194</v>
      </c>
      <c r="Y548" s="28" t="s">
        <v>9946</v>
      </c>
      <c r="AB548" t="s">
        <v>9311</v>
      </c>
      <c r="AH548" t="s">
        <v>4714</v>
      </c>
      <c r="AI548" t="s">
        <v>9433</v>
      </c>
      <c r="AJ548" s="28" t="str">
        <f t="shared" si="16"/>
        <v>243106</v>
      </c>
      <c r="AK548" s="420">
        <v>1</v>
      </c>
      <c r="AL548" s="420">
        <f t="shared" si="17"/>
        <v>1</v>
      </c>
      <c r="AM548" s="420">
        <v>1</v>
      </c>
      <c r="AN548" t="s">
        <v>17650</v>
      </c>
      <c r="AO548" t="s">
        <v>17651</v>
      </c>
      <c r="AP548" t="s">
        <v>17652</v>
      </c>
      <c r="AQ548" t="s">
        <v>17653</v>
      </c>
      <c r="AR548" t="s">
        <v>1024</v>
      </c>
    </row>
    <row r="549" spans="1:44" x14ac:dyDescent="0.25">
      <c r="A549" t="s">
        <v>22505</v>
      </c>
      <c r="B549" t="s">
        <v>22506</v>
      </c>
      <c r="C549" s="410" t="s">
        <v>43</v>
      </c>
      <c r="D549" t="s">
        <v>20360</v>
      </c>
      <c r="E549" t="s">
        <v>217</v>
      </c>
      <c r="F549" s="534">
        <v>1</v>
      </c>
      <c r="G549" t="s">
        <v>193</v>
      </c>
      <c r="H549" t="s">
        <v>194</v>
      </c>
      <c r="I549" t="s">
        <v>20389</v>
      </c>
      <c r="J549" t="s">
        <v>22507</v>
      </c>
      <c r="K549" s="28" t="s">
        <v>9309</v>
      </c>
      <c r="L549" t="s">
        <v>6955</v>
      </c>
      <c r="N549" t="s">
        <v>22508</v>
      </c>
      <c r="O549" t="s">
        <v>6302</v>
      </c>
      <c r="P549" t="s">
        <v>20393</v>
      </c>
      <c r="Q549" t="s">
        <v>20566</v>
      </c>
      <c r="R549" t="s">
        <v>22509</v>
      </c>
      <c r="S549" t="s">
        <v>22510</v>
      </c>
      <c r="T549" t="s">
        <v>22511</v>
      </c>
      <c r="V549" s="28" t="s">
        <v>11394</v>
      </c>
      <c r="W549" t="s">
        <v>452</v>
      </c>
      <c r="X549" t="s">
        <v>194</v>
      </c>
      <c r="Y549" s="28" t="s">
        <v>9300</v>
      </c>
      <c r="AB549" t="s">
        <v>9311</v>
      </c>
      <c r="AH549" t="s">
        <v>4714</v>
      </c>
      <c r="AI549" t="s">
        <v>9433</v>
      </c>
      <c r="AJ549" s="28" t="str">
        <f t="shared" si="16"/>
        <v>243106</v>
      </c>
      <c r="AK549" s="420">
        <v>1</v>
      </c>
      <c r="AL549" s="420">
        <f t="shared" si="17"/>
        <v>1</v>
      </c>
      <c r="AM549" s="420">
        <v>1</v>
      </c>
      <c r="AN549" t="s">
        <v>17650</v>
      </c>
      <c r="AO549" t="s">
        <v>17651</v>
      </c>
      <c r="AP549" t="s">
        <v>17652</v>
      </c>
      <c r="AQ549" t="s">
        <v>17653</v>
      </c>
      <c r="AR549" t="s">
        <v>1024</v>
      </c>
    </row>
    <row r="550" spans="1:44" x14ac:dyDescent="0.25">
      <c r="A550" t="s">
        <v>16431</v>
      </c>
      <c r="B550" t="s">
        <v>15828</v>
      </c>
      <c r="C550" s="410" t="s">
        <v>43</v>
      </c>
      <c r="D550" t="s">
        <v>20360</v>
      </c>
      <c r="E550" t="s">
        <v>192</v>
      </c>
      <c r="F550" s="534">
        <v>1</v>
      </c>
      <c r="G550" t="s">
        <v>193</v>
      </c>
      <c r="H550" t="s">
        <v>194</v>
      </c>
      <c r="I550" t="s">
        <v>20318</v>
      </c>
      <c r="J550" t="s">
        <v>367</v>
      </c>
      <c r="K550" s="28" t="s">
        <v>9309</v>
      </c>
      <c r="L550" t="s">
        <v>6955</v>
      </c>
      <c r="N550" t="s">
        <v>22512</v>
      </c>
      <c r="O550" t="s">
        <v>6921</v>
      </c>
      <c r="P550" t="s">
        <v>21402</v>
      </c>
      <c r="Q550" t="s">
        <v>21403</v>
      </c>
      <c r="R550" t="s">
        <v>20437</v>
      </c>
      <c r="S550" t="s">
        <v>22513</v>
      </c>
      <c r="T550" t="s">
        <v>22514</v>
      </c>
      <c r="V550" s="28" t="s">
        <v>9974</v>
      </c>
      <c r="W550" t="s">
        <v>452</v>
      </c>
      <c r="X550" t="s">
        <v>194</v>
      </c>
      <c r="Y550" s="28" t="s">
        <v>9300</v>
      </c>
      <c r="AB550" t="s">
        <v>9311</v>
      </c>
      <c r="AH550" t="s">
        <v>4714</v>
      </c>
      <c r="AI550" t="s">
        <v>15828</v>
      </c>
      <c r="AJ550" s="28" t="str">
        <f t="shared" si="16"/>
        <v>243106</v>
      </c>
      <c r="AK550" s="420">
        <v>1</v>
      </c>
      <c r="AL550" s="420">
        <f t="shared" si="17"/>
        <v>1</v>
      </c>
      <c r="AM550" s="420">
        <v>1</v>
      </c>
      <c r="AN550" t="s">
        <v>17650</v>
      </c>
      <c r="AO550" t="s">
        <v>17651</v>
      </c>
      <c r="AP550" t="s">
        <v>17652</v>
      </c>
      <c r="AQ550" t="s">
        <v>17653</v>
      </c>
      <c r="AR550" t="s">
        <v>1024</v>
      </c>
    </row>
    <row r="551" spans="1:44" x14ac:dyDescent="0.25">
      <c r="A551" t="s">
        <v>22505</v>
      </c>
      <c r="B551" t="s">
        <v>22506</v>
      </c>
      <c r="C551" s="410" t="s">
        <v>43</v>
      </c>
      <c r="D551" t="s">
        <v>20338</v>
      </c>
      <c r="E551" t="s">
        <v>217</v>
      </c>
      <c r="F551" s="534">
        <v>1</v>
      </c>
      <c r="G551" t="s">
        <v>193</v>
      </c>
      <c r="H551" t="s">
        <v>194</v>
      </c>
      <c r="I551" t="s">
        <v>20405</v>
      </c>
      <c r="J551" t="s">
        <v>22507</v>
      </c>
      <c r="K551" s="28" t="s">
        <v>9309</v>
      </c>
      <c r="L551" t="s">
        <v>6955</v>
      </c>
      <c r="N551" t="s">
        <v>22508</v>
      </c>
      <c r="O551" t="s">
        <v>6302</v>
      </c>
      <c r="P551" t="s">
        <v>21601</v>
      </c>
      <c r="Q551" t="s">
        <v>20566</v>
      </c>
      <c r="R551" t="s">
        <v>22509</v>
      </c>
      <c r="S551" t="s">
        <v>22515</v>
      </c>
      <c r="T551" t="s">
        <v>22516</v>
      </c>
      <c r="V551" s="28" t="s">
        <v>11394</v>
      </c>
      <c r="W551" t="s">
        <v>452</v>
      </c>
      <c r="X551" t="s">
        <v>194</v>
      </c>
      <c r="Y551" s="28" t="s">
        <v>9300</v>
      </c>
      <c r="AB551" t="s">
        <v>9311</v>
      </c>
      <c r="AH551" t="s">
        <v>4714</v>
      </c>
      <c r="AI551" t="s">
        <v>9433</v>
      </c>
      <c r="AJ551" s="28" t="str">
        <f t="shared" si="16"/>
        <v>243106</v>
      </c>
      <c r="AK551" s="420">
        <v>1</v>
      </c>
      <c r="AL551" s="420">
        <f t="shared" si="17"/>
        <v>1</v>
      </c>
      <c r="AM551" s="420">
        <v>1</v>
      </c>
      <c r="AN551" t="s">
        <v>17650</v>
      </c>
      <c r="AO551" t="s">
        <v>17651</v>
      </c>
      <c r="AP551" t="s">
        <v>17652</v>
      </c>
      <c r="AQ551" t="s">
        <v>17653</v>
      </c>
      <c r="AR551" t="s">
        <v>1024</v>
      </c>
    </row>
    <row r="552" spans="1:44" x14ac:dyDescent="0.25">
      <c r="A552" t="s">
        <v>11524</v>
      </c>
      <c r="B552" t="s">
        <v>7653</v>
      </c>
      <c r="C552" s="410" t="s">
        <v>43</v>
      </c>
      <c r="D552" t="s">
        <v>20338</v>
      </c>
      <c r="E552" t="s">
        <v>192</v>
      </c>
      <c r="F552" s="534">
        <v>1</v>
      </c>
      <c r="G552" t="s">
        <v>193</v>
      </c>
      <c r="H552" t="s">
        <v>194</v>
      </c>
      <c r="I552" t="s">
        <v>20405</v>
      </c>
      <c r="J552" t="s">
        <v>9302</v>
      </c>
      <c r="K552" s="28" t="s">
        <v>9309</v>
      </c>
      <c r="L552" t="s">
        <v>6955</v>
      </c>
      <c r="N552" t="s">
        <v>22517</v>
      </c>
      <c r="O552" t="s">
        <v>6249</v>
      </c>
      <c r="P552" t="s">
        <v>20398</v>
      </c>
      <c r="Q552" t="s">
        <v>20399</v>
      </c>
      <c r="R552" t="s">
        <v>20400</v>
      </c>
      <c r="S552" t="s">
        <v>22518</v>
      </c>
      <c r="T552" t="s">
        <v>22519</v>
      </c>
      <c r="W552" t="s">
        <v>452</v>
      </c>
      <c r="X552" t="s">
        <v>193</v>
      </c>
      <c r="Y552" s="28" t="s">
        <v>9310</v>
      </c>
      <c r="AB552" t="s">
        <v>9311</v>
      </c>
      <c r="AH552" t="s">
        <v>4714</v>
      </c>
      <c r="AI552" t="s">
        <v>7653</v>
      </c>
      <c r="AJ552" s="28" t="str">
        <f t="shared" si="16"/>
        <v>243106</v>
      </c>
      <c r="AK552" s="420">
        <v>1</v>
      </c>
      <c r="AL552" s="420">
        <f t="shared" si="17"/>
        <v>1</v>
      </c>
      <c r="AM552" s="420">
        <v>1</v>
      </c>
      <c r="AN552" t="s">
        <v>17650</v>
      </c>
      <c r="AO552" t="s">
        <v>17651</v>
      </c>
      <c r="AP552" t="s">
        <v>17652</v>
      </c>
      <c r="AQ552" t="s">
        <v>17653</v>
      </c>
      <c r="AR552" t="s">
        <v>1024</v>
      </c>
    </row>
    <row r="553" spans="1:44" x14ac:dyDescent="0.25">
      <c r="A553" t="s">
        <v>18541</v>
      </c>
      <c r="B553" t="s">
        <v>22520</v>
      </c>
      <c r="C553" s="410" t="s">
        <v>43</v>
      </c>
      <c r="D553" t="s">
        <v>20338</v>
      </c>
      <c r="E553" t="s">
        <v>192</v>
      </c>
      <c r="F553" s="534">
        <v>1</v>
      </c>
      <c r="G553" t="s">
        <v>193</v>
      </c>
      <c r="H553" t="s">
        <v>194</v>
      </c>
      <c r="I553" t="s">
        <v>20405</v>
      </c>
      <c r="J553" t="s">
        <v>9302</v>
      </c>
      <c r="K553" s="28" t="s">
        <v>9309</v>
      </c>
      <c r="L553" t="s">
        <v>6955</v>
      </c>
      <c r="N553" t="s">
        <v>22521</v>
      </c>
      <c r="O553" t="s">
        <v>6290</v>
      </c>
      <c r="P553" t="s">
        <v>20398</v>
      </c>
      <c r="Q553" t="s">
        <v>20399</v>
      </c>
      <c r="R553" t="s">
        <v>20400</v>
      </c>
      <c r="S553" t="s">
        <v>22522</v>
      </c>
      <c r="T553" t="s">
        <v>22523</v>
      </c>
      <c r="W553" t="s">
        <v>452</v>
      </c>
      <c r="X553" t="s">
        <v>193</v>
      </c>
      <c r="Y553" s="28" t="s">
        <v>9310</v>
      </c>
      <c r="AB553" t="s">
        <v>9311</v>
      </c>
      <c r="AH553" t="s">
        <v>4714</v>
      </c>
      <c r="AI553" t="s">
        <v>22520</v>
      </c>
      <c r="AJ553" s="28" t="str">
        <f t="shared" si="16"/>
        <v>243106</v>
      </c>
      <c r="AK553" s="420">
        <v>1</v>
      </c>
      <c r="AL553" s="420">
        <f t="shared" si="17"/>
        <v>1</v>
      </c>
      <c r="AM553" s="420">
        <v>1</v>
      </c>
      <c r="AN553" t="s">
        <v>17650</v>
      </c>
      <c r="AO553" t="s">
        <v>17651</v>
      </c>
      <c r="AP553" t="s">
        <v>17652</v>
      </c>
      <c r="AQ553" t="s">
        <v>17653</v>
      </c>
      <c r="AR553" t="s">
        <v>1024</v>
      </c>
    </row>
    <row r="554" spans="1:44" x14ac:dyDescent="0.25">
      <c r="A554" t="s">
        <v>22524</v>
      </c>
      <c r="B554" t="s">
        <v>22525</v>
      </c>
      <c r="C554" s="410" t="s">
        <v>43</v>
      </c>
      <c r="D554" t="s">
        <v>20338</v>
      </c>
      <c r="E554" t="s">
        <v>192</v>
      </c>
      <c r="F554" s="534">
        <v>1</v>
      </c>
      <c r="G554" t="s">
        <v>193</v>
      </c>
      <c r="H554" t="s">
        <v>194</v>
      </c>
      <c r="I554" t="s">
        <v>20310</v>
      </c>
      <c r="J554" t="s">
        <v>316</v>
      </c>
      <c r="K554" s="28" t="s">
        <v>9309</v>
      </c>
      <c r="L554" t="s">
        <v>6955</v>
      </c>
      <c r="N554" t="s">
        <v>22526</v>
      </c>
      <c r="O554" t="s">
        <v>6288</v>
      </c>
      <c r="P554" t="s">
        <v>20398</v>
      </c>
      <c r="Q554" t="s">
        <v>20399</v>
      </c>
      <c r="R554" t="s">
        <v>20400</v>
      </c>
      <c r="S554" t="s">
        <v>22527</v>
      </c>
      <c r="T554" t="s">
        <v>22528</v>
      </c>
      <c r="V554" s="28" t="s">
        <v>10012</v>
      </c>
      <c r="W554" t="s">
        <v>452</v>
      </c>
      <c r="X554" t="s">
        <v>194</v>
      </c>
      <c r="Y554" s="28" t="s">
        <v>9300</v>
      </c>
      <c r="AB554" t="s">
        <v>9311</v>
      </c>
      <c r="AH554" t="s">
        <v>4714</v>
      </c>
      <c r="AI554" t="s">
        <v>22525</v>
      </c>
      <c r="AJ554" s="28" t="str">
        <f t="shared" si="16"/>
        <v>243106</v>
      </c>
      <c r="AK554" s="420">
        <v>1</v>
      </c>
      <c r="AL554" s="420">
        <f t="shared" si="17"/>
        <v>1</v>
      </c>
      <c r="AM554" s="420">
        <v>1</v>
      </c>
      <c r="AN554" t="s">
        <v>17650</v>
      </c>
      <c r="AO554" t="s">
        <v>17651</v>
      </c>
      <c r="AP554" t="s">
        <v>17652</v>
      </c>
      <c r="AQ554" t="s">
        <v>17653</v>
      </c>
      <c r="AR554" t="s">
        <v>1024</v>
      </c>
    </row>
    <row r="555" spans="1:44" x14ac:dyDescent="0.25">
      <c r="A555" t="s">
        <v>15464</v>
      </c>
      <c r="B555" t="s">
        <v>22529</v>
      </c>
      <c r="C555" s="410" t="s">
        <v>43</v>
      </c>
      <c r="D555" t="s">
        <v>20306</v>
      </c>
      <c r="E555" t="s">
        <v>217</v>
      </c>
      <c r="F555" s="534">
        <v>1</v>
      </c>
      <c r="G555" t="s">
        <v>193</v>
      </c>
      <c r="H555" t="s">
        <v>194</v>
      </c>
      <c r="I555" t="s">
        <v>20307</v>
      </c>
      <c r="J555" t="s">
        <v>15466</v>
      </c>
      <c r="K555" s="28" t="s">
        <v>9309</v>
      </c>
      <c r="L555" t="s">
        <v>6955</v>
      </c>
      <c r="N555" t="s">
        <v>22530</v>
      </c>
      <c r="O555" t="s">
        <v>6302</v>
      </c>
      <c r="P555" t="s">
        <v>20688</v>
      </c>
      <c r="Q555" t="s">
        <v>20318</v>
      </c>
      <c r="R555" t="s">
        <v>20418</v>
      </c>
      <c r="S555" t="s">
        <v>22531</v>
      </c>
      <c r="T555" t="s">
        <v>22532</v>
      </c>
      <c r="W555" t="s">
        <v>452</v>
      </c>
      <c r="X555" t="s">
        <v>193</v>
      </c>
      <c r="Y555" s="28" t="s">
        <v>9310</v>
      </c>
      <c r="AB555" t="s">
        <v>9311</v>
      </c>
      <c r="AH555" t="s">
        <v>5109</v>
      </c>
      <c r="AI555" t="s">
        <v>9433</v>
      </c>
      <c r="AJ555" s="28" t="str">
        <f t="shared" si="16"/>
        <v>243106</v>
      </c>
      <c r="AK555" s="420">
        <v>1</v>
      </c>
      <c r="AL555" s="420">
        <f t="shared" si="17"/>
        <v>1</v>
      </c>
      <c r="AM555" s="420">
        <v>1</v>
      </c>
      <c r="AN555" t="s">
        <v>17650</v>
      </c>
      <c r="AO555" t="s">
        <v>17651</v>
      </c>
      <c r="AP555" t="s">
        <v>17652</v>
      </c>
      <c r="AQ555" t="s">
        <v>17653</v>
      </c>
      <c r="AR555" t="s">
        <v>1024</v>
      </c>
    </row>
    <row r="556" spans="1:44" x14ac:dyDescent="0.25">
      <c r="A556" t="s">
        <v>22505</v>
      </c>
      <c r="B556" t="s">
        <v>22506</v>
      </c>
      <c r="C556" s="410" t="s">
        <v>43</v>
      </c>
      <c r="D556" t="s">
        <v>20306</v>
      </c>
      <c r="E556" t="s">
        <v>217</v>
      </c>
      <c r="F556" s="534">
        <v>1</v>
      </c>
      <c r="G556" t="s">
        <v>193</v>
      </c>
      <c r="H556" t="s">
        <v>194</v>
      </c>
      <c r="I556" t="s">
        <v>20307</v>
      </c>
      <c r="J556" t="s">
        <v>22507</v>
      </c>
      <c r="K556" s="28" t="s">
        <v>9309</v>
      </c>
      <c r="L556" t="s">
        <v>6955</v>
      </c>
      <c r="N556" t="s">
        <v>22508</v>
      </c>
      <c r="O556" t="s">
        <v>6302</v>
      </c>
      <c r="P556" t="s">
        <v>20688</v>
      </c>
      <c r="Q556" t="s">
        <v>20566</v>
      </c>
      <c r="R556" t="s">
        <v>22509</v>
      </c>
      <c r="S556" t="s">
        <v>22533</v>
      </c>
      <c r="T556" t="s">
        <v>22534</v>
      </c>
      <c r="V556" s="28" t="s">
        <v>11394</v>
      </c>
      <c r="W556" t="s">
        <v>452</v>
      </c>
      <c r="X556" t="s">
        <v>194</v>
      </c>
      <c r="Y556" s="28" t="s">
        <v>9300</v>
      </c>
      <c r="AB556" t="s">
        <v>9311</v>
      </c>
      <c r="AH556" t="s">
        <v>4714</v>
      </c>
      <c r="AI556" t="s">
        <v>9433</v>
      </c>
      <c r="AJ556" s="28" t="str">
        <f t="shared" si="16"/>
        <v>243106</v>
      </c>
      <c r="AK556" s="420">
        <v>1</v>
      </c>
      <c r="AL556" s="420">
        <f t="shared" si="17"/>
        <v>1</v>
      </c>
      <c r="AM556" s="420">
        <v>1</v>
      </c>
      <c r="AN556" t="s">
        <v>17650</v>
      </c>
      <c r="AO556" t="s">
        <v>17651</v>
      </c>
      <c r="AP556" t="s">
        <v>17652</v>
      </c>
      <c r="AQ556" t="s">
        <v>17653</v>
      </c>
      <c r="AR556" t="s">
        <v>1024</v>
      </c>
    </row>
    <row r="557" spans="1:44" x14ac:dyDescent="0.25">
      <c r="A557" t="s">
        <v>17477</v>
      </c>
      <c r="B557" t="s">
        <v>22535</v>
      </c>
      <c r="C557" s="410" t="s">
        <v>43</v>
      </c>
      <c r="D557" t="s">
        <v>20306</v>
      </c>
      <c r="E557" t="s">
        <v>192</v>
      </c>
      <c r="F557" s="534">
        <v>1</v>
      </c>
      <c r="G557" t="s">
        <v>193</v>
      </c>
      <c r="H557" t="s">
        <v>194</v>
      </c>
      <c r="I557" t="s">
        <v>20322</v>
      </c>
      <c r="J557" t="s">
        <v>9302</v>
      </c>
      <c r="K557" s="28" t="s">
        <v>9309</v>
      </c>
      <c r="L557" t="s">
        <v>6955</v>
      </c>
      <c r="N557" t="s">
        <v>22536</v>
      </c>
      <c r="O557" t="s">
        <v>6286</v>
      </c>
      <c r="P557" t="s">
        <v>20309</v>
      </c>
      <c r="Q557" t="s">
        <v>20310</v>
      </c>
      <c r="R557" t="s">
        <v>20311</v>
      </c>
      <c r="S557" t="s">
        <v>22537</v>
      </c>
      <c r="T557" t="s">
        <v>22538</v>
      </c>
      <c r="W557" t="s">
        <v>452</v>
      </c>
      <c r="X557" t="s">
        <v>193</v>
      </c>
      <c r="Y557" s="28" t="s">
        <v>9310</v>
      </c>
      <c r="AB557" t="s">
        <v>9311</v>
      </c>
      <c r="AH557" t="s">
        <v>4714</v>
      </c>
      <c r="AI557" t="s">
        <v>22535</v>
      </c>
      <c r="AJ557" s="28" t="str">
        <f t="shared" si="16"/>
        <v>243106</v>
      </c>
      <c r="AK557" s="420">
        <v>1</v>
      </c>
      <c r="AL557" s="420">
        <f t="shared" si="17"/>
        <v>1</v>
      </c>
      <c r="AM557" s="420">
        <v>1</v>
      </c>
      <c r="AN557" t="s">
        <v>17650</v>
      </c>
      <c r="AO557" t="s">
        <v>17651</v>
      </c>
      <c r="AP557" t="s">
        <v>17652</v>
      </c>
      <c r="AQ557" t="s">
        <v>17653</v>
      </c>
      <c r="AR557" t="s">
        <v>1024</v>
      </c>
    </row>
    <row r="558" spans="1:44" x14ac:dyDescent="0.25">
      <c r="A558" t="s">
        <v>18541</v>
      </c>
      <c r="B558" t="s">
        <v>22539</v>
      </c>
      <c r="C558" s="410" t="s">
        <v>43</v>
      </c>
      <c r="D558" t="s">
        <v>20306</v>
      </c>
      <c r="E558" t="s">
        <v>192</v>
      </c>
      <c r="F558" s="534">
        <v>1</v>
      </c>
      <c r="G558" t="s">
        <v>193</v>
      </c>
      <c r="H558" t="s">
        <v>194</v>
      </c>
      <c r="I558" t="s">
        <v>20307</v>
      </c>
      <c r="J558" t="s">
        <v>210</v>
      </c>
      <c r="K558" s="28" t="s">
        <v>9309</v>
      </c>
      <c r="L558" t="s">
        <v>6955</v>
      </c>
      <c r="N558" t="s">
        <v>22540</v>
      </c>
      <c r="O558" t="s">
        <v>6921</v>
      </c>
      <c r="P558" t="s">
        <v>20309</v>
      </c>
      <c r="Q558" t="s">
        <v>20310</v>
      </c>
      <c r="R558" t="s">
        <v>20311</v>
      </c>
      <c r="S558" t="s">
        <v>22541</v>
      </c>
      <c r="T558" t="s">
        <v>22542</v>
      </c>
      <c r="V558" s="28" t="s">
        <v>9334</v>
      </c>
      <c r="W558" t="s">
        <v>452</v>
      </c>
      <c r="X558" t="s">
        <v>194</v>
      </c>
      <c r="Y558" s="28" t="s">
        <v>9300</v>
      </c>
      <c r="AB558" t="s">
        <v>9311</v>
      </c>
      <c r="AH558" t="s">
        <v>4714</v>
      </c>
      <c r="AI558" t="s">
        <v>22539</v>
      </c>
      <c r="AJ558" s="28" t="str">
        <f t="shared" si="16"/>
        <v>243106</v>
      </c>
      <c r="AK558" s="420">
        <v>1</v>
      </c>
      <c r="AL558" s="420">
        <f t="shared" si="17"/>
        <v>1</v>
      </c>
      <c r="AM558" s="420">
        <v>1</v>
      </c>
      <c r="AN558" t="s">
        <v>17650</v>
      </c>
      <c r="AO558" t="s">
        <v>17651</v>
      </c>
      <c r="AP558" t="s">
        <v>17652</v>
      </c>
      <c r="AQ558" t="s">
        <v>17653</v>
      </c>
      <c r="AR558" t="s">
        <v>1024</v>
      </c>
    </row>
    <row r="559" spans="1:44" x14ac:dyDescent="0.25">
      <c r="A559" t="s">
        <v>16069</v>
      </c>
      <c r="B559" t="s">
        <v>2512</v>
      </c>
      <c r="C559" s="410" t="s">
        <v>1402</v>
      </c>
      <c r="D559" t="s">
        <v>20326</v>
      </c>
      <c r="E559" t="s">
        <v>192</v>
      </c>
      <c r="F559" s="534">
        <v>1</v>
      </c>
      <c r="G559" t="s">
        <v>193</v>
      </c>
      <c r="H559" t="s">
        <v>194</v>
      </c>
      <c r="I559" t="s">
        <v>20338</v>
      </c>
      <c r="J559" t="s">
        <v>210</v>
      </c>
      <c r="K559" s="28" t="s">
        <v>9309</v>
      </c>
      <c r="L559" t="s">
        <v>6955</v>
      </c>
      <c r="N559" t="s">
        <v>22543</v>
      </c>
      <c r="O559" t="s">
        <v>6921</v>
      </c>
      <c r="P559" t="s">
        <v>20328</v>
      </c>
      <c r="Q559" t="s">
        <v>20329</v>
      </c>
      <c r="R559" t="s">
        <v>20306</v>
      </c>
      <c r="S559" t="s">
        <v>22544</v>
      </c>
      <c r="T559" t="s">
        <v>22545</v>
      </c>
      <c r="V559" s="28" t="s">
        <v>9334</v>
      </c>
      <c r="W559" t="s">
        <v>1403</v>
      </c>
      <c r="X559" t="s">
        <v>194</v>
      </c>
      <c r="Y559" s="28" t="s">
        <v>9300</v>
      </c>
      <c r="AB559" t="s">
        <v>9311</v>
      </c>
      <c r="AH559" t="s">
        <v>4714</v>
      </c>
      <c r="AI559" t="s">
        <v>2512</v>
      </c>
      <c r="AJ559" s="28" t="str">
        <f t="shared" si="16"/>
        <v>242228</v>
      </c>
      <c r="AK559" s="420">
        <v>1</v>
      </c>
      <c r="AL559" s="420">
        <f t="shared" si="17"/>
        <v>1</v>
      </c>
      <c r="AM559" s="420">
        <v>1</v>
      </c>
      <c r="AN559" t="s">
        <v>17650</v>
      </c>
      <c r="AO559" t="s">
        <v>17651</v>
      </c>
      <c r="AP559" t="s">
        <v>17652</v>
      </c>
      <c r="AQ559" t="s">
        <v>17653</v>
      </c>
      <c r="AR559" t="s">
        <v>1024</v>
      </c>
    </row>
    <row r="560" spans="1:44" x14ac:dyDescent="0.25">
      <c r="A560" t="s">
        <v>19917</v>
      </c>
      <c r="B560" t="s">
        <v>2516</v>
      </c>
      <c r="C560" s="410" t="s">
        <v>1402</v>
      </c>
      <c r="D560" t="s">
        <v>20326</v>
      </c>
      <c r="E560" t="s">
        <v>192</v>
      </c>
      <c r="F560" s="534">
        <v>1</v>
      </c>
      <c r="G560" t="s">
        <v>193</v>
      </c>
      <c r="H560" t="s">
        <v>194</v>
      </c>
      <c r="I560" t="s">
        <v>20338</v>
      </c>
      <c r="J560" t="s">
        <v>210</v>
      </c>
      <c r="K560" s="28" t="s">
        <v>9309</v>
      </c>
      <c r="L560" t="s">
        <v>6955</v>
      </c>
      <c r="N560" t="s">
        <v>22546</v>
      </c>
      <c r="O560" t="s">
        <v>6288</v>
      </c>
      <c r="P560" t="s">
        <v>20328</v>
      </c>
      <c r="Q560" t="s">
        <v>20329</v>
      </c>
      <c r="R560" t="s">
        <v>20306</v>
      </c>
      <c r="S560" t="s">
        <v>22547</v>
      </c>
      <c r="T560" t="s">
        <v>22548</v>
      </c>
      <c r="V560" s="28" t="s">
        <v>9334</v>
      </c>
      <c r="W560" t="s">
        <v>1403</v>
      </c>
      <c r="X560" t="s">
        <v>194</v>
      </c>
      <c r="Y560" s="28" t="s">
        <v>9300</v>
      </c>
      <c r="AB560" t="s">
        <v>9311</v>
      </c>
      <c r="AH560" t="s">
        <v>4714</v>
      </c>
      <c r="AI560" t="s">
        <v>2516</v>
      </c>
      <c r="AJ560" s="28" t="str">
        <f t="shared" si="16"/>
        <v>242228</v>
      </c>
      <c r="AK560" s="420">
        <v>1</v>
      </c>
      <c r="AL560" s="420">
        <f t="shared" si="17"/>
        <v>1</v>
      </c>
      <c r="AM560" s="420">
        <v>1</v>
      </c>
      <c r="AN560" t="s">
        <v>17650</v>
      </c>
      <c r="AO560" t="s">
        <v>17651</v>
      </c>
      <c r="AP560" t="s">
        <v>17652</v>
      </c>
      <c r="AQ560" t="s">
        <v>17653</v>
      </c>
      <c r="AR560" t="s">
        <v>1024</v>
      </c>
    </row>
    <row r="561" spans="1:44" x14ac:dyDescent="0.25">
      <c r="A561" t="s">
        <v>22549</v>
      </c>
      <c r="B561" t="s">
        <v>22550</v>
      </c>
      <c r="C561" s="410" t="s">
        <v>1402</v>
      </c>
      <c r="D561" t="s">
        <v>20360</v>
      </c>
      <c r="E561" t="s">
        <v>192</v>
      </c>
      <c r="F561" s="534">
        <v>1</v>
      </c>
      <c r="G561" t="s">
        <v>193</v>
      </c>
      <c r="H561" t="s">
        <v>194</v>
      </c>
      <c r="I561" t="s">
        <v>20338</v>
      </c>
      <c r="J561" t="s">
        <v>210</v>
      </c>
      <c r="K561" s="28" t="s">
        <v>9309</v>
      </c>
      <c r="L561" t="s">
        <v>6955</v>
      </c>
      <c r="N561" t="s">
        <v>22551</v>
      </c>
      <c r="O561" t="s">
        <v>6266</v>
      </c>
      <c r="P561" t="s">
        <v>21402</v>
      </c>
      <c r="Q561" t="s">
        <v>21403</v>
      </c>
      <c r="R561" t="s">
        <v>20437</v>
      </c>
      <c r="S561" t="s">
        <v>22552</v>
      </c>
      <c r="T561" t="s">
        <v>22553</v>
      </c>
      <c r="V561" s="28" t="s">
        <v>9334</v>
      </c>
      <c r="W561" t="s">
        <v>1403</v>
      </c>
      <c r="X561" t="s">
        <v>194</v>
      </c>
      <c r="Y561" s="28" t="s">
        <v>9300</v>
      </c>
      <c r="AB561" t="s">
        <v>9311</v>
      </c>
      <c r="AH561" t="s">
        <v>4714</v>
      </c>
      <c r="AI561" t="s">
        <v>22550</v>
      </c>
      <c r="AJ561" s="28" t="str">
        <f t="shared" si="16"/>
        <v>242228</v>
      </c>
      <c r="AK561" s="420">
        <v>1</v>
      </c>
      <c r="AL561" s="420">
        <f t="shared" si="17"/>
        <v>1</v>
      </c>
      <c r="AM561" s="420">
        <v>1</v>
      </c>
      <c r="AN561" t="s">
        <v>17650</v>
      </c>
      <c r="AO561" t="s">
        <v>17651</v>
      </c>
      <c r="AP561" t="s">
        <v>17652</v>
      </c>
      <c r="AQ561" t="s">
        <v>17653</v>
      </c>
      <c r="AR561" t="s">
        <v>1024</v>
      </c>
    </row>
    <row r="562" spans="1:44" x14ac:dyDescent="0.25">
      <c r="A562" t="s">
        <v>22549</v>
      </c>
      <c r="B562" t="s">
        <v>22550</v>
      </c>
      <c r="C562" s="410" t="s">
        <v>1402</v>
      </c>
      <c r="D562" t="s">
        <v>20360</v>
      </c>
      <c r="E562" t="s">
        <v>192</v>
      </c>
      <c r="F562" s="534">
        <v>1</v>
      </c>
      <c r="G562" t="s">
        <v>193</v>
      </c>
      <c r="H562" t="s">
        <v>194</v>
      </c>
      <c r="I562" t="s">
        <v>20338</v>
      </c>
      <c r="J562" t="s">
        <v>8129</v>
      </c>
      <c r="K562" s="28" t="s">
        <v>9309</v>
      </c>
      <c r="L562" t="s">
        <v>6955</v>
      </c>
      <c r="N562" t="s">
        <v>22554</v>
      </c>
      <c r="O562" t="s">
        <v>6266</v>
      </c>
      <c r="P562" t="s">
        <v>21402</v>
      </c>
      <c r="Q562" t="s">
        <v>21403</v>
      </c>
      <c r="R562" t="s">
        <v>20437</v>
      </c>
      <c r="S562" t="s">
        <v>22555</v>
      </c>
      <c r="T562" t="s">
        <v>22556</v>
      </c>
      <c r="V562" s="28" t="s">
        <v>9726</v>
      </c>
      <c r="W562" t="s">
        <v>1403</v>
      </c>
      <c r="X562" t="s">
        <v>194</v>
      </c>
      <c r="Y562" s="28" t="s">
        <v>9300</v>
      </c>
      <c r="AB562" t="s">
        <v>9311</v>
      </c>
      <c r="AH562" t="s">
        <v>4714</v>
      </c>
      <c r="AI562" t="s">
        <v>22550</v>
      </c>
      <c r="AJ562" s="28" t="str">
        <f t="shared" si="16"/>
        <v>242228</v>
      </c>
      <c r="AK562" s="420">
        <v>1</v>
      </c>
      <c r="AL562" s="420">
        <f t="shared" si="17"/>
        <v>1</v>
      </c>
      <c r="AM562" s="420">
        <v>1</v>
      </c>
      <c r="AN562" t="s">
        <v>17650</v>
      </c>
      <c r="AO562" t="s">
        <v>17651</v>
      </c>
      <c r="AP562" t="s">
        <v>17652</v>
      </c>
      <c r="AQ562" t="s">
        <v>17653</v>
      </c>
      <c r="AR562" t="s">
        <v>1024</v>
      </c>
    </row>
    <row r="563" spans="1:44" x14ac:dyDescent="0.25">
      <c r="A563" t="s">
        <v>17692</v>
      </c>
      <c r="B563" t="s">
        <v>22557</v>
      </c>
      <c r="C563" s="410" t="s">
        <v>9498</v>
      </c>
      <c r="D563" t="s">
        <v>20317</v>
      </c>
      <c r="E563" t="s">
        <v>192</v>
      </c>
      <c r="F563" s="534">
        <v>1</v>
      </c>
      <c r="G563" t="s">
        <v>193</v>
      </c>
      <c r="H563" t="s">
        <v>194</v>
      </c>
      <c r="I563" t="s">
        <v>20318</v>
      </c>
      <c r="J563" t="s">
        <v>9302</v>
      </c>
      <c r="K563" s="28" t="s">
        <v>9309</v>
      </c>
      <c r="L563" t="s">
        <v>6955</v>
      </c>
      <c r="N563" t="s">
        <v>22558</v>
      </c>
      <c r="O563" t="s">
        <v>6343</v>
      </c>
      <c r="P563" t="s">
        <v>20320</v>
      </c>
      <c r="Q563" t="s">
        <v>20321</v>
      </c>
      <c r="R563" t="s">
        <v>20322</v>
      </c>
      <c r="S563" t="s">
        <v>22559</v>
      </c>
      <c r="T563" t="s">
        <v>22560</v>
      </c>
      <c r="W563" t="s">
        <v>9502</v>
      </c>
      <c r="X563" t="s">
        <v>193</v>
      </c>
      <c r="Y563" s="28" t="s">
        <v>9310</v>
      </c>
      <c r="AB563" t="s">
        <v>9311</v>
      </c>
      <c r="AH563" t="s">
        <v>4714</v>
      </c>
      <c r="AI563" t="s">
        <v>22557</v>
      </c>
      <c r="AJ563" s="28" t="str">
        <f t="shared" si="16"/>
        <v>242113</v>
      </c>
      <c r="AK563" s="420">
        <v>1</v>
      </c>
      <c r="AL563" s="420">
        <f t="shared" si="17"/>
        <v>1</v>
      </c>
      <c r="AM563" s="420">
        <v>1</v>
      </c>
      <c r="AN563" t="s">
        <v>17650</v>
      </c>
      <c r="AO563" t="s">
        <v>17651</v>
      </c>
      <c r="AP563" t="s">
        <v>17652</v>
      </c>
      <c r="AQ563" t="s">
        <v>17653</v>
      </c>
      <c r="AR563" t="s">
        <v>1024</v>
      </c>
    </row>
    <row r="564" spans="1:44" x14ac:dyDescent="0.25">
      <c r="A564" t="s">
        <v>3195</v>
      </c>
      <c r="B564" t="s">
        <v>22561</v>
      </c>
      <c r="C564" s="410" t="s">
        <v>9798</v>
      </c>
      <c r="D564" t="s">
        <v>20326</v>
      </c>
      <c r="E564" t="s">
        <v>192</v>
      </c>
      <c r="F564" s="534">
        <v>1</v>
      </c>
      <c r="G564" t="s">
        <v>193</v>
      </c>
      <c r="H564" t="s">
        <v>194</v>
      </c>
      <c r="I564" t="s">
        <v>20338</v>
      </c>
      <c r="J564" t="s">
        <v>9302</v>
      </c>
      <c r="K564" s="28" t="s">
        <v>9309</v>
      </c>
      <c r="L564" t="s">
        <v>6955</v>
      </c>
      <c r="N564" t="s">
        <v>22562</v>
      </c>
      <c r="O564" t="s">
        <v>6254</v>
      </c>
      <c r="P564" t="s">
        <v>20328</v>
      </c>
      <c r="Q564" t="s">
        <v>20329</v>
      </c>
      <c r="R564" t="s">
        <v>20306</v>
      </c>
      <c r="S564" t="s">
        <v>22563</v>
      </c>
      <c r="T564" t="s">
        <v>22564</v>
      </c>
      <c r="W564" t="s">
        <v>1592</v>
      </c>
      <c r="X564" t="s">
        <v>193</v>
      </c>
      <c r="Y564" s="28" t="s">
        <v>9310</v>
      </c>
      <c r="AB564" t="s">
        <v>9311</v>
      </c>
      <c r="AH564" t="s">
        <v>4714</v>
      </c>
      <c r="AI564" t="s">
        <v>22561</v>
      </c>
      <c r="AJ564" s="28" t="str">
        <f t="shared" si="16"/>
        <v>241103</v>
      </c>
      <c r="AK564" s="420">
        <v>1</v>
      </c>
      <c r="AL564" s="420">
        <f t="shared" si="17"/>
        <v>1</v>
      </c>
      <c r="AM564" s="420">
        <v>1</v>
      </c>
      <c r="AN564" t="s">
        <v>17650</v>
      </c>
      <c r="AO564" t="s">
        <v>17651</v>
      </c>
      <c r="AP564" t="s">
        <v>17652</v>
      </c>
      <c r="AQ564" t="s">
        <v>17653</v>
      </c>
      <c r="AR564" t="s">
        <v>1024</v>
      </c>
    </row>
    <row r="565" spans="1:44" x14ac:dyDescent="0.25">
      <c r="A565" t="s">
        <v>16419</v>
      </c>
      <c r="B565" t="s">
        <v>22565</v>
      </c>
      <c r="C565" s="410" t="s">
        <v>5884</v>
      </c>
      <c r="D565" t="s">
        <v>20317</v>
      </c>
      <c r="E565" t="s">
        <v>192</v>
      </c>
      <c r="F565" s="534">
        <v>1</v>
      </c>
      <c r="G565" t="s">
        <v>193</v>
      </c>
      <c r="H565" t="s">
        <v>194</v>
      </c>
      <c r="I565" t="s">
        <v>20333</v>
      </c>
      <c r="J565" t="s">
        <v>9302</v>
      </c>
      <c r="K565" s="28" t="s">
        <v>9309</v>
      </c>
      <c r="L565" t="s">
        <v>6955</v>
      </c>
      <c r="N565" t="s">
        <v>22566</v>
      </c>
      <c r="O565" t="s">
        <v>6290</v>
      </c>
      <c r="P565" t="s">
        <v>20320</v>
      </c>
      <c r="Q565" t="s">
        <v>20321</v>
      </c>
      <c r="R565" t="s">
        <v>20322</v>
      </c>
      <c r="S565" t="s">
        <v>22567</v>
      </c>
      <c r="T565" t="s">
        <v>22568</v>
      </c>
      <c r="W565" t="s">
        <v>5886</v>
      </c>
      <c r="X565" t="s">
        <v>193</v>
      </c>
      <c r="Y565" s="28" t="s">
        <v>9310</v>
      </c>
      <c r="AB565" t="s">
        <v>9311</v>
      </c>
      <c r="AH565" t="s">
        <v>4714</v>
      </c>
      <c r="AI565" t="s">
        <v>22565</v>
      </c>
      <c r="AJ565" s="28" t="str">
        <f t="shared" si="16"/>
        <v>243107</v>
      </c>
      <c r="AK565" s="420">
        <v>1</v>
      </c>
      <c r="AL565" s="420">
        <f t="shared" si="17"/>
        <v>1</v>
      </c>
      <c r="AM565" s="420">
        <v>1</v>
      </c>
      <c r="AN565" t="s">
        <v>17650</v>
      </c>
      <c r="AO565" t="s">
        <v>17651</v>
      </c>
      <c r="AP565" t="s">
        <v>17652</v>
      </c>
      <c r="AQ565" t="s">
        <v>17653</v>
      </c>
      <c r="AR565" t="s">
        <v>1024</v>
      </c>
    </row>
    <row r="566" spans="1:44" x14ac:dyDescent="0.25">
      <c r="A566" t="s">
        <v>16278</v>
      </c>
      <c r="B566" t="s">
        <v>22569</v>
      </c>
      <c r="C566" s="410" t="s">
        <v>18</v>
      </c>
      <c r="D566" t="s">
        <v>20326</v>
      </c>
      <c r="E566" t="s">
        <v>192</v>
      </c>
      <c r="F566" s="534">
        <v>1</v>
      </c>
      <c r="G566" t="s">
        <v>193</v>
      </c>
      <c r="H566" t="s">
        <v>194</v>
      </c>
      <c r="I566" t="s">
        <v>20333</v>
      </c>
      <c r="J566" t="s">
        <v>9302</v>
      </c>
      <c r="K566" s="28" t="s">
        <v>9309</v>
      </c>
      <c r="L566" t="s">
        <v>6955</v>
      </c>
      <c r="N566" t="s">
        <v>22570</v>
      </c>
      <c r="O566" t="s">
        <v>6340</v>
      </c>
      <c r="P566" t="s">
        <v>20328</v>
      </c>
      <c r="Q566" t="s">
        <v>20329</v>
      </c>
      <c r="R566" t="s">
        <v>20306</v>
      </c>
      <c r="S566" t="s">
        <v>22571</v>
      </c>
      <c r="T566" t="s">
        <v>22572</v>
      </c>
      <c r="W566" t="s">
        <v>1476</v>
      </c>
      <c r="X566" t="s">
        <v>193</v>
      </c>
      <c r="Y566" s="28" t="s">
        <v>9310</v>
      </c>
      <c r="AB566" t="s">
        <v>9311</v>
      </c>
      <c r="AH566" t="s">
        <v>4714</v>
      </c>
      <c r="AI566" t="s">
        <v>22569</v>
      </c>
      <c r="AJ566" s="28" t="str">
        <f t="shared" si="16"/>
        <v>242309</v>
      </c>
      <c r="AK566" s="420">
        <v>1</v>
      </c>
      <c r="AL566" s="420">
        <f t="shared" si="17"/>
        <v>1</v>
      </c>
      <c r="AM566" s="420">
        <v>1</v>
      </c>
      <c r="AN566" t="s">
        <v>17650</v>
      </c>
      <c r="AO566" t="s">
        <v>17651</v>
      </c>
      <c r="AP566" t="s">
        <v>17652</v>
      </c>
      <c r="AQ566" t="s">
        <v>17653</v>
      </c>
      <c r="AR566" t="s">
        <v>1024</v>
      </c>
    </row>
    <row r="567" spans="1:44" x14ac:dyDescent="0.25">
      <c r="A567" t="s">
        <v>16278</v>
      </c>
      <c r="B567" t="s">
        <v>22573</v>
      </c>
      <c r="C567" s="410" t="s">
        <v>18</v>
      </c>
      <c r="D567" t="s">
        <v>20326</v>
      </c>
      <c r="E567" t="s">
        <v>192</v>
      </c>
      <c r="F567" s="534">
        <v>1</v>
      </c>
      <c r="G567" t="s">
        <v>193</v>
      </c>
      <c r="H567" t="s">
        <v>194</v>
      </c>
      <c r="I567" t="s">
        <v>20333</v>
      </c>
      <c r="J567" t="s">
        <v>9302</v>
      </c>
      <c r="K567" s="28" t="s">
        <v>9309</v>
      </c>
      <c r="L567" t="s">
        <v>6955</v>
      </c>
      <c r="N567" t="s">
        <v>22574</v>
      </c>
      <c r="O567" t="s">
        <v>6340</v>
      </c>
      <c r="P567" t="s">
        <v>20328</v>
      </c>
      <c r="Q567" t="s">
        <v>20329</v>
      </c>
      <c r="R567" t="s">
        <v>20306</v>
      </c>
      <c r="S567" t="s">
        <v>22575</v>
      </c>
      <c r="T567" t="s">
        <v>22576</v>
      </c>
      <c r="W567" t="s">
        <v>1476</v>
      </c>
      <c r="X567" t="s">
        <v>193</v>
      </c>
      <c r="Y567" s="28" t="s">
        <v>9310</v>
      </c>
      <c r="AB567" t="s">
        <v>9311</v>
      </c>
      <c r="AH567" t="s">
        <v>4714</v>
      </c>
      <c r="AI567" t="s">
        <v>22573</v>
      </c>
      <c r="AJ567" s="28" t="str">
        <f t="shared" si="16"/>
        <v>242309</v>
      </c>
      <c r="AK567" s="420">
        <v>1</v>
      </c>
      <c r="AL567" s="420">
        <f t="shared" si="17"/>
        <v>1</v>
      </c>
      <c r="AM567" s="420">
        <v>1</v>
      </c>
      <c r="AN567" t="s">
        <v>17650</v>
      </c>
      <c r="AO567" t="s">
        <v>17651</v>
      </c>
      <c r="AP567" t="s">
        <v>17652</v>
      </c>
      <c r="AQ567" t="s">
        <v>17653</v>
      </c>
      <c r="AR567" t="s">
        <v>1024</v>
      </c>
    </row>
    <row r="568" spans="1:44" x14ac:dyDescent="0.25">
      <c r="A568" t="s">
        <v>15827</v>
      </c>
      <c r="B568" t="s">
        <v>22577</v>
      </c>
      <c r="C568" s="410" t="s">
        <v>18</v>
      </c>
      <c r="D568" t="s">
        <v>20326</v>
      </c>
      <c r="E568" t="s">
        <v>192</v>
      </c>
      <c r="F568" s="534">
        <v>1</v>
      </c>
      <c r="G568" t="s">
        <v>193</v>
      </c>
      <c r="H568" t="s">
        <v>194</v>
      </c>
      <c r="I568" t="s">
        <v>20333</v>
      </c>
      <c r="J568" t="s">
        <v>210</v>
      </c>
      <c r="K568" s="28" t="s">
        <v>9309</v>
      </c>
      <c r="L568" t="s">
        <v>6955</v>
      </c>
      <c r="N568" t="s">
        <v>22578</v>
      </c>
      <c r="O568" t="s">
        <v>6921</v>
      </c>
      <c r="P568" t="s">
        <v>20328</v>
      </c>
      <c r="Q568" t="s">
        <v>20329</v>
      </c>
      <c r="R568" t="s">
        <v>20306</v>
      </c>
      <c r="S568" t="s">
        <v>22579</v>
      </c>
      <c r="T568" t="s">
        <v>22580</v>
      </c>
      <c r="V568" s="28" t="s">
        <v>9334</v>
      </c>
      <c r="W568" t="s">
        <v>1476</v>
      </c>
      <c r="X568" t="s">
        <v>194</v>
      </c>
      <c r="Y568" s="28" t="s">
        <v>9300</v>
      </c>
      <c r="AB568" t="s">
        <v>9311</v>
      </c>
      <c r="AH568" t="s">
        <v>4714</v>
      </c>
      <c r="AI568" t="s">
        <v>22577</v>
      </c>
      <c r="AJ568" s="28" t="str">
        <f t="shared" si="16"/>
        <v>242309</v>
      </c>
      <c r="AK568" s="420">
        <v>1</v>
      </c>
      <c r="AL568" s="420">
        <f t="shared" si="17"/>
        <v>1</v>
      </c>
      <c r="AM568" s="420">
        <v>1</v>
      </c>
      <c r="AN568" t="s">
        <v>17650</v>
      </c>
      <c r="AO568" t="s">
        <v>17651</v>
      </c>
      <c r="AP568" t="s">
        <v>17652</v>
      </c>
      <c r="AQ568" t="s">
        <v>17653</v>
      </c>
      <c r="AR568" t="s">
        <v>1024</v>
      </c>
    </row>
    <row r="569" spans="1:44" x14ac:dyDescent="0.25">
      <c r="A569" t="s">
        <v>22581</v>
      </c>
      <c r="B569" t="s">
        <v>10201</v>
      </c>
      <c r="C569" s="410" t="s">
        <v>18</v>
      </c>
      <c r="D569" t="s">
        <v>20317</v>
      </c>
      <c r="E569" t="s">
        <v>192</v>
      </c>
      <c r="F569" s="534">
        <v>1</v>
      </c>
      <c r="G569" t="s">
        <v>193</v>
      </c>
      <c r="H569" t="s">
        <v>194</v>
      </c>
      <c r="I569" t="s">
        <v>20318</v>
      </c>
      <c r="J569" t="s">
        <v>210</v>
      </c>
      <c r="K569" s="28" t="s">
        <v>9309</v>
      </c>
      <c r="L569" t="s">
        <v>6955</v>
      </c>
      <c r="N569" t="s">
        <v>22582</v>
      </c>
      <c r="O569" t="s">
        <v>6340</v>
      </c>
      <c r="P569" t="s">
        <v>20320</v>
      </c>
      <c r="Q569" t="s">
        <v>20321</v>
      </c>
      <c r="R569" t="s">
        <v>20322</v>
      </c>
      <c r="S569" t="s">
        <v>22583</v>
      </c>
      <c r="T569" t="s">
        <v>22584</v>
      </c>
      <c r="V569" s="28" t="s">
        <v>9334</v>
      </c>
      <c r="W569" t="s">
        <v>1476</v>
      </c>
      <c r="X569" t="s">
        <v>194</v>
      </c>
      <c r="Y569" s="28" t="s">
        <v>9300</v>
      </c>
      <c r="AB569" t="s">
        <v>9311</v>
      </c>
      <c r="AH569" t="s">
        <v>4714</v>
      </c>
      <c r="AI569" t="s">
        <v>10201</v>
      </c>
      <c r="AJ569" s="28" t="str">
        <f t="shared" si="16"/>
        <v>242309</v>
      </c>
      <c r="AK569" s="420">
        <v>1</v>
      </c>
      <c r="AL569" s="420">
        <f t="shared" si="17"/>
        <v>1</v>
      </c>
      <c r="AM569" s="420">
        <v>1</v>
      </c>
      <c r="AN569" t="s">
        <v>17650</v>
      </c>
      <c r="AO569" t="s">
        <v>17651</v>
      </c>
      <c r="AP569" t="s">
        <v>17652</v>
      </c>
      <c r="AQ569" t="s">
        <v>17653</v>
      </c>
      <c r="AR569" t="s">
        <v>1024</v>
      </c>
    </row>
    <row r="570" spans="1:44" x14ac:dyDescent="0.25">
      <c r="A570" t="s">
        <v>16278</v>
      </c>
      <c r="B570" t="s">
        <v>22585</v>
      </c>
      <c r="C570" s="410" t="s">
        <v>18</v>
      </c>
      <c r="D570" t="s">
        <v>20338</v>
      </c>
      <c r="E570" t="s">
        <v>192</v>
      </c>
      <c r="F570" s="534">
        <v>1</v>
      </c>
      <c r="G570" t="s">
        <v>193</v>
      </c>
      <c r="H570" t="s">
        <v>194</v>
      </c>
      <c r="I570" t="s">
        <v>20310</v>
      </c>
      <c r="J570" t="s">
        <v>9302</v>
      </c>
      <c r="K570" s="28" t="s">
        <v>9309</v>
      </c>
      <c r="L570" t="s">
        <v>6955</v>
      </c>
      <c r="N570" t="s">
        <v>22586</v>
      </c>
      <c r="O570" t="s">
        <v>6286</v>
      </c>
      <c r="P570" t="s">
        <v>20398</v>
      </c>
      <c r="Q570" t="s">
        <v>20399</v>
      </c>
      <c r="R570" t="s">
        <v>20400</v>
      </c>
      <c r="S570" t="s">
        <v>22587</v>
      </c>
      <c r="T570" t="s">
        <v>22588</v>
      </c>
      <c r="W570" t="s">
        <v>1476</v>
      </c>
      <c r="X570" t="s">
        <v>193</v>
      </c>
      <c r="Y570" s="28" t="s">
        <v>9310</v>
      </c>
      <c r="AB570" t="s">
        <v>9311</v>
      </c>
      <c r="AH570" t="s">
        <v>4714</v>
      </c>
      <c r="AI570" t="s">
        <v>22585</v>
      </c>
      <c r="AJ570" s="28" t="str">
        <f t="shared" si="16"/>
        <v>242309</v>
      </c>
      <c r="AK570" s="420">
        <v>1</v>
      </c>
      <c r="AL570" s="420">
        <f t="shared" si="17"/>
        <v>1</v>
      </c>
      <c r="AM570" s="420">
        <v>1</v>
      </c>
      <c r="AN570" t="s">
        <v>17650</v>
      </c>
      <c r="AO570" t="s">
        <v>17651</v>
      </c>
      <c r="AP570" t="s">
        <v>17652</v>
      </c>
      <c r="AQ570" t="s">
        <v>17653</v>
      </c>
      <c r="AR570" t="s">
        <v>1024</v>
      </c>
    </row>
    <row r="571" spans="1:44" x14ac:dyDescent="0.25">
      <c r="A571" t="s">
        <v>10634</v>
      </c>
      <c r="B571" t="s">
        <v>22589</v>
      </c>
      <c r="C571" s="410" t="s">
        <v>18</v>
      </c>
      <c r="D571" t="s">
        <v>20306</v>
      </c>
      <c r="E571" t="s">
        <v>192</v>
      </c>
      <c r="F571" s="534">
        <v>1</v>
      </c>
      <c r="G571" t="s">
        <v>193</v>
      </c>
      <c r="H571" t="s">
        <v>194</v>
      </c>
      <c r="I571" t="s">
        <v>20307</v>
      </c>
      <c r="J571" t="s">
        <v>9302</v>
      </c>
      <c r="K571" s="28" t="s">
        <v>9309</v>
      </c>
      <c r="L571" t="s">
        <v>6955</v>
      </c>
      <c r="N571" t="s">
        <v>22590</v>
      </c>
      <c r="O571" t="s">
        <v>6340</v>
      </c>
      <c r="P571" t="s">
        <v>20309</v>
      </c>
      <c r="Q571" t="s">
        <v>20310</v>
      </c>
      <c r="R571" t="s">
        <v>20311</v>
      </c>
      <c r="S571" t="s">
        <v>22591</v>
      </c>
      <c r="T571" t="s">
        <v>22592</v>
      </c>
      <c r="W571" t="s">
        <v>1476</v>
      </c>
      <c r="X571" t="s">
        <v>193</v>
      </c>
      <c r="Y571" s="28" t="s">
        <v>9310</v>
      </c>
      <c r="AB571" t="s">
        <v>9311</v>
      </c>
      <c r="AH571" t="s">
        <v>4714</v>
      </c>
      <c r="AI571" t="s">
        <v>22589</v>
      </c>
      <c r="AJ571" s="28" t="str">
        <f t="shared" si="16"/>
        <v>242309</v>
      </c>
      <c r="AK571" s="420">
        <v>1</v>
      </c>
      <c r="AL571" s="420">
        <f t="shared" si="17"/>
        <v>1</v>
      </c>
      <c r="AM571" s="420">
        <v>1</v>
      </c>
      <c r="AN571" t="s">
        <v>17650</v>
      </c>
      <c r="AO571" t="s">
        <v>17651</v>
      </c>
      <c r="AP571" t="s">
        <v>17652</v>
      </c>
      <c r="AQ571" t="s">
        <v>17653</v>
      </c>
      <c r="AR571" t="s">
        <v>1024</v>
      </c>
    </row>
    <row r="572" spans="1:44" x14ac:dyDescent="0.25">
      <c r="A572" t="s">
        <v>16278</v>
      </c>
      <c r="B572" t="s">
        <v>22593</v>
      </c>
      <c r="C572" s="410" t="s">
        <v>18</v>
      </c>
      <c r="D572" t="s">
        <v>20306</v>
      </c>
      <c r="E572" t="s">
        <v>192</v>
      </c>
      <c r="F572" s="534">
        <v>1</v>
      </c>
      <c r="G572" t="s">
        <v>193</v>
      </c>
      <c r="H572" t="s">
        <v>194</v>
      </c>
      <c r="I572" t="s">
        <v>20307</v>
      </c>
      <c r="J572" t="s">
        <v>9302</v>
      </c>
      <c r="K572" s="28" t="s">
        <v>9309</v>
      </c>
      <c r="L572" t="s">
        <v>6955</v>
      </c>
      <c r="N572" t="s">
        <v>22594</v>
      </c>
      <c r="O572" t="s">
        <v>6340</v>
      </c>
      <c r="P572" t="s">
        <v>20309</v>
      </c>
      <c r="Q572" t="s">
        <v>20310</v>
      </c>
      <c r="R572" t="s">
        <v>20311</v>
      </c>
      <c r="S572" t="s">
        <v>22595</v>
      </c>
      <c r="T572" t="s">
        <v>22596</v>
      </c>
      <c r="W572" t="s">
        <v>1476</v>
      </c>
      <c r="X572" t="s">
        <v>193</v>
      </c>
      <c r="Y572" s="28" t="s">
        <v>9310</v>
      </c>
      <c r="AB572" t="s">
        <v>9311</v>
      </c>
      <c r="AH572" t="s">
        <v>4714</v>
      </c>
      <c r="AI572" t="s">
        <v>22593</v>
      </c>
      <c r="AJ572" s="28" t="str">
        <f t="shared" si="16"/>
        <v>242309</v>
      </c>
      <c r="AK572" s="420">
        <v>1</v>
      </c>
      <c r="AL572" s="420">
        <f t="shared" si="17"/>
        <v>1</v>
      </c>
      <c r="AM572" s="420">
        <v>1</v>
      </c>
      <c r="AN572" t="s">
        <v>17650</v>
      </c>
      <c r="AO572" t="s">
        <v>17651</v>
      </c>
      <c r="AP572" t="s">
        <v>17652</v>
      </c>
      <c r="AQ572" t="s">
        <v>17653</v>
      </c>
      <c r="AR572" t="s">
        <v>1024</v>
      </c>
    </row>
    <row r="573" spans="1:44" x14ac:dyDescent="0.25">
      <c r="A573" t="s">
        <v>22597</v>
      </c>
      <c r="B573" t="s">
        <v>22598</v>
      </c>
      <c r="C573" s="410" t="s">
        <v>18</v>
      </c>
      <c r="D573" t="s">
        <v>20306</v>
      </c>
      <c r="E573" t="s">
        <v>192</v>
      </c>
      <c r="F573" s="534">
        <v>1</v>
      </c>
      <c r="G573" t="s">
        <v>193</v>
      </c>
      <c r="H573" t="s">
        <v>194</v>
      </c>
      <c r="I573" t="s">
        <v>20437</v>
      </c>
      <c r="J573" t="s">
        <v>210</v>
      </c>
      <c r="K573" s="28" t="s">
        <v>9309</v>
      </c>
      <c r="L573" t="s">
        <v>6955</v>
      </c>
      <c r="N573" t="s">
        <v>22599</v>
      </c>
      <c r="O573" t="s">
        <v>6340</v>
      </c>
      <c r="P573" t="s">
        <v>20309</v>
      </c>
      <c r="Q573" t="s">
        <v>20310</v>
      </c>
      <c r="R573" t="s">
        <v>20311</v>
      </c>
      <c r="S573" t="s">
        <v>22600</v>
      </c>
      <c r="T573" t="s">
        <v>22601</v>
      </c>
      <c r="V573" s="28" t="s">
        <v>9334</v>
      </c>
      <c r="W573" t="s">
        <v>1476</v>
      </c>
      <c r="X573" t="s">
        <v>194</v>
      </c>
      <c r="Y573" s="28" t="s">
        <v>9300</v>
      </c>
      <c r="AB573" t="s">
        <v>9311</v>
      </c>
      <c r="AH573" t="s">
        <v>4714</v>
      </c>
      <c r="AI573" t="s">
        <v>22598</v>
      </c>
      <c r="AJ573" s="28" t="str">
        <f t="shared" si="16"/>
        <v>242309</v>
      </c>
      <c r="AK573" s="420">
        <v>1</v>
      </c>
      <c r="AL573" s="420">
        <f t="shared" si="17"/>
        <v>1</v>
      </c>
      <c r="AM573" s="420">
        <v>1</v>
      </c>
      <c r="AN573" t="s">
        <v>17650</v>
      </c>
      <c r="AO573" t="s">
        <v>17651</v>
      </c>
      <c r="AP573" t="s">
        <v>17652</v>
      </c>
      <c r="AQ573" t="s">
        <v>17653</v>
      </c>
      <c r="AR573" t="s">
        <v>1024</v>
      </c>
    </row>
    <row r="574" spans="1:44" x14ac:dyDescent="0.25">
      <c r="A574" t="s">
        <v>9312</v>
      </c>
      <c r="B574" t="s">
        <v>22602</v>
      </c>
      <c r="C574" s="410" t="s">
        <v>3427</v>
      </c>
      <c r="D574" t="s">
        <v>20326</v>
      </c>
      <c r="E574" t="s">
        <v>192</v>
      </c>
      <c r="F574" s="534">
        <v>1</v>
      </c>
      <c r="G574" t="s">
        <v>193</v>
      </c>
      <c r="H574" t="s">
        <v>194</v>
      </c>
      <c r="I574" t="s">
        <v>20333</v>
      </c>
      <c r="J574" t="s">
        <v>9302</v>
      </c>
      <c r="K574" s="28" t="s">
        <v>9309</v>
      </c>
      <c r="L574" t="s">
        <v>6955</v>
      </c>
      <c r="N574" t="s">
        <v>22603</v>
      </c>
      <c r="O574" t="s">
        <v>6921</v>
      </c>
      <c r="P574" t="s">
        <v>20328</v>
      </c>
      <c r="Q574" t="s">
        <v>20329</v>
      </c>
      <c r="R574" t="s">
        <v>20306</v>
      </c>
      <c r="S574" t="s">
        <v>22604</v>
      </c>
      <c r="T574" t="s">
        <v>22605</v>
      </c>
      <c r="W574" t="s">
        <v>3428</v>
      </c>
      <c r="X574" t="s">
        <v>193</v>
      </c>
      <c r="Y574" s="28" t="s">
        <v>9310</v>
      </c>
      <c r="AB574" t="s">
        <v>9311</v>
      </c>
      <c r="AH574" t="s">
        <v>4714</v>
      </c>
      <c r="AI574" t="s">
        <v>22602</v>
      </c>
      <c r="AJ574" s="28" t="str">
        <f t="shared" si="16"/>
        <v>251202</v>
      </c>
      <c r="AK574" s="420">
        <v>1</v>
      </c>
      <c r="AL574" s="420">
        <f t="shared" si="17"/>
        <v>1</v>
      </c>
      <c r="AM574" s="420">
        <v>1</v>
      </c>
      <c r="AN574" t="s">
        <v>17650</v>
      </c>
      <c r="AO574" t="s">
        <v>17651</v>
      </c>
      <c r="AP574" t="s">
        <v>17652</v>
      </c>
      <c r="AQ574" t="s">
        <v>17653</v>
      </c>
      <c r="AR574" t="s">
        <v>1024</v>
      </c>
    </row>
    <row r="575" spans="1:44" x14ac:dyDescent="0.25">
      <c r="A575" t="s">
        <v>17076</v>
      </c>
      <c r="B575" t="s">
        <v>22606</v>
      </c>
      <c r="C575" s="410" t="s">
        <v>85</v>
      </c>
      <c r="D575" t="s">
        <v>20317</v>
      </c>
      <c r="E575" t="s">
        <v>192</v>
      </c>
      <c r="F575" s="534">
        <v>1</v>
      </c>
      <c r="G575" t="s">
        <v>193</v>
      </c>
      <c r="H575" t="s">
        <v>194</v>
      </c>
      <c r="I575" t="s">
        <v>20333</v>
      </c>
      <c r="J575" t="s">
        <v>9302</v>
      </c>
      <c r="K575" s="28" t="s">
        <v>9309</v>
      </c>
      <c r="L575" t="s">
        <v>6955</v>
      </c>
      <c r="N575" t="s">
        <v>22607</v>
      </c>
      <c r="O575" t="s">
        <v>7489</v>
      </c>
      <c r="P575" t="s">
        <v>20320</v>
      </c>
      <c r="Q575" t="s">
        <v>20321</v>
      </c>
      <c r="R575" t="s">
        <v>20322</v>
      </c>
      <c r="S575" t="s">
        <v>22608</v>
      </c>
      <c r="T575" t="s">
        <v>22609</v>
      </c>
      <c r="W575" t="s">
        <v>477</v>
      </c>
      <c r="X575" t="s">
        <v>193</v>
      </c>
      <c r="Y575" s="28" t="s">
        <v>9310</v>
      </c>
      <c r="AB575" t="s">
        <v>9311</v>
      </c>
      <c r="AH575" t="s">
        <v>4714</v>
      </c>
      <c r="AI575" t="s">
        <v>22606</v>
      </c>
      <c r="AJ575" s="28" t="str">
        <f t="shared" si="16"/>
        <v>243305</v>
      </c>
      <c r="AK575" s="420">
        <v>1</v>
      </c>
      <c r="AL575" s="420">
        <f t="shared" si="17"/>
        <v>1</v>
      </c>
      <c r="AM575" s="420">
        <v>1</v>
      </c>
      <c r="AN575" t="s">
        <v>17650</v>
      </c>
      <c r="AO575" t="s">
        <v>17651</v>
      </c>
      <c r="AP575" t="s">
        <v>17652</v>
      </c>
      <c r="AQ575" t="s">
        <v>17653</v>
      </c>
      <c r="AR575" t="s">
        <v>1024</v>
      </c>
    </row>
    <row r="576" spans="1:44" x14ac:dyDescent="0.25">
      <c r="A576" t="s">
        <v>22610</v>
      </c>
      <c r="B576" t="s">
        <v>1396</v>
      </c>
      <c r="C576" s="410" t="s">
        <v>85</v>
      </c>
      <c r="D576" t="s">
        <v>20306</v>
      </c>
      <c r="E576" t="s">
        <v>192</v>
      </c>
      <c r="F576" s="534">
        <v>1</v>
      </c>
      <c r="G576" t="s">
        <v>193</v>
      </c>
      <c r="H576" t="s">
        <v>194</v>
      </c>
      <c r="I576" t="s">
        <v>20307</v>
      </c>
      <c r="J576" t="s">
        <v>9302</v>
      </c>
      <c r="K576" s="28" t="s">
        <v>9309</v>
      </c>
      <c r="L576" t="s">
        <v>6955</v>
      </c>
      <c r="N576" t="s">
        <v>22611</v>
      </c>
      <c r="O576" t="s">
        <v>6245</v>
      </c>
      <c r="P576" t="s">
        <v>20309</v>
      </c>
      <c r="Q576" t="s">
        <v>20310</v>
      </c>
      <c r="R576" t="s">
        <v>20311</v>
      </c>
      <c r="S576" t="s">
        <v>22612</v>
      </c>
      <c r="T576" t="s">
        <v>22613</v>
      </c>
      <c r="W576" t="s">
        <v>477</v>
      </c>
      <c r="X576" t="s">
        <v>193</v>
      </c>
      <c r="Y576" s="28" t="s">
        <v>9310</v>
      </c>
      <c r="AB576" t="s">
        <v>9311</v>
      </c>
      <c r="AH576" t="s">
        <v>4714</v>
      </c>
      <c r="AI576" t="s">
        <v>1396</v>
      </c>
      <c r="AJ576" s="28" t="str">
        <f t="shared" si="16"/>
        <v>243305</v>
      </c>
      <c r="AK576" s="420">
        <v>1</v>
      </c>
      <c r="AL576" s="420">
        <f t="shared" si="17"/>
        <v>1</v>
      </c>
      <c r="AM576" s="420">
        <v>1</v>
      </c>
      <c r="AN576" t="s">
        <v>17650</v>
      </c>
      <c r="AO576" t="s">
        <v>17651</v>
      </c>
      <c r="AP576" t="s">
        <v>17652</v>
      </c>
      <c r="AQ576" t="s">
        <v>17653</v>
      </c>
      <c r="AR576" t="s">
        <v>1024</v>
      </c>
    </row>
    <row r="577" spans="1:44" x14ac:dyDescent="0.25">
      <c r="A577" t="s">
        <v>10634</v>
      </c>
      <c r="B577" t="s">
        <v>22614</v>
      </c>
      <c r="C577" s="410" t="s">
        <v>8243</v>
      </c>
      <c r="D577" t="s">
        <v>20306</v>
      </c>
      <c r="E577" t="s">
        <v>192</v>
      </c>
      <c r="F577" s="534">
        <v>1</v>
      </c>
      <c r="G577" t="s">
        <v>193</v>
      </c>
      <c r="H577" t="s">
        <v>194</v>
      </c>
      <c r="I577" t="s">
        <v>20307</v>
      </c>
      <c r="J577" t="s">
        <v>9302</v>
      </c>
      <c r="K577" s="28" t="s">
        <v>9309</v>
      </c>
      <c r="L577" t="s">
        <v>6955</v>
      </c>
      <c r="N577" t="s">
        <v>22615</v>
      </c>
      <c r="O577" t="s">
        <v>6921</v>
      </c>
      <c r="P577" t="s">
        <v>20309</v>
      </c>
      <c r="Q577" t="s">
        <v>20310</v>
      </c>
      <c r="R577" t="s">
        <v>20311</v>
      </c>
      <c r="S577" t="s">
        <v>22616</v>
      </c>
      <c r="T577" t="s">
        <v>22617</v>
      </c>
      <c r="W577" t="s">
        <v>8245</v>
      </c>
      <c r="X577" t="s">
        <v>193</v>
      </c>
      <c r="Y577" s="28" t="s">
        <v>9310</v>
      </c>
      <c r="AB577" t="s">
        <v>9311</v>
      </c>
      <c r="AH577" t="s">
        <v>4714</v>
      </c>
      <c r="AI577" t="s">
        <v>22614</v>
      </c>
      <c r="AJ577" s="28" t="str">
        <f t="shared" si="16"/>
        <v>242225</v>
      </c>
      <c r="AK577" s="420">
        <v>1</v>
      </c>
      <c r="AL577" s="420">
        <f t="shared" si="17"/>
        <v>1</v>
      </c>
      <c r="AM577" s="420">
        <v>1</v>
      </c>
      <c r="AN577" t="s">
        <v>17650</v>
      </c>
      <c r="AO577" t="s">
        <v>17651</v>
      </c>
      <c r="AP577" t="s">
        <v>17652</v>
      </c>
      <c r="AQ577" t="s">
        <v>17653</v>
      </c>
      <c r="AR577" t="s">
        <v>1024</v>
      </c>
    </row>
    <row r="578" spans="1:44" x14ac:dyDescent="0.25">
      <c r="A578" t="s">
        <v>9387</v>
      </c>
      <c r="B578" t="s">
        <v>22618</v>
      </c>
      <c r="C578" s="410" t="s">
        <v>8243</v>
      </c>
      <c r="D578" t="s">
        <v>20306</v>
      </c>
      <c r="E578" t="s">
        <v>192</v>
      </c>
      <c r="F578" s="534">
        <v>1</v>
      </c>
      <c r="G578" t="s">
        <v>193</v>
      </c>
      <c r="H578" t="s">
        <v>194</v>
      </c>
      <c r="I578" t="s">
        <v>20307</v>
      </c>
      <c r="J578" t="s">
        <v>9302</v>
      </c>
      <c r="K578" s="28" t="s">
        <v>9309</v>
      </c>
      <c r="L578" t="s">
        <v>6955</v>
      </c>
      <c r="N578" t="s">
        <v>22619</v>
      </c>
      <c r="O578" t="s">
        <v>7531</v>
      </c>
      <c r="P578" t="s">
        <v>21682</v>
      </c>
      <c r="Q578" t="s">
        <v>4849</v>
      </c>
      <c r="R578" t="s">
        <v>7703</v>
      </c>
      <c r="S578" t="s">
        <v>22620</v>
      </c>
      <c r="T578" t="s">
        <v>22621</v>
      </c>
      <c r="W578" t="s">
        <v>8245</v>
      </c>
      <c r="X578" t="s">
        <v>193</v>
      </c>
      <c r="Y578" s="28" t="s">
        <v>9310</v>
      </c>
      <c r="AB578" t="s">
        <v>9311</v>
      </c>
      <c r="AH578" t="s">
        <v>4714</v>
      </c>
      <c r="AI578" t="s">
        <v>22618</v>
      </c>
      <c r="AJ578" s="28" t="str">
        <f t="shared" si="16"/>
        <v>242225</v>
      </c>
      <c r="AK578" s="420">
        <v>1</v>
      </c>
      <c r="AL578" s="420">
        <f t="shared" si="17"/>
        <v>1</v>
      </c>
      <c r="AM578" s="420">
        <v>1</v>
      </c>
      <c r="AN578" t="s">
        <v>17650</v>
      </c>
      <c r="AO578" t="s">
        <v>17651</v>
      </c>
      <c r="AP578" t="s">
        <v>17652</v>
      </c>
      <c r="AQ578" t="s">
        <v>17653</v>
      </c>
      <c r="AR578" t="s">
        <v>1024</v>
      </c>
    </row>
    <row r="579" spans="1:44" x14ac:dyDescent="0.25">
      <c r="A579" t="s">
        <v>22622</v>
      </c>
      <c r="B579" t="s">
        <v>22623</v>
      </c>
      <c r="C579" s="410" t="s">
        <v>20</v>
      </c>
      <c r="D579" t="s">
        <v>20317</v>
      </c>
      <c r="E579" t="s">
        <v>192</v>
      </c>
      <c r="F579" s="534">
        <v>1</v>
      </c>
      <c r="G579" t="s">
        <v>193</v>
      </c>
      <c r="H579" t="s">
        <v>194</v>
      </c>
      <c r="I579" t="s">
        <v>20333</v>
      </c>
      <c r="J579" t="s">
        <v>9302</v>
      </c>
      <c r="K579" s="28" t="s">
        <v>9309</v>
      </c>
      <c r="L579" t="s">
        <v>6955</v>
      </c>
      <c r="N579" t="s">
        <v>22624</v>
      </c>
      <c r="O579" t="s">
        <v>6295</v>
      </c>
      <c r="P579" t="s">
        <v>20320</v>
      </c>
      <c r="Q579" t="s">
        <v>20321</v>
      </c>
      <c r="R579" t="s">
        <v>20322</v>
      </c>
      <c r="S579" t="s">
        <v>22625</v>
      </c>
      <c r="T579" t="s">
        <v>22626</v>
      </c>
      <c r="W579" t="s">
        <v>286</v>
      </c>
      <c r="X579" t="s">
        <v>193</v>
      </c>
      <c r="Y579" s="28" t="s">
        <v>9310</v>
      </c>
      <c r="AB579" t="s">
        <v>9311</v>
      </c>
      <c r="AH579" t="s">
        <v>4714</v>
      </c>
      <c r="AI579" t="s">
        <v>22623</v>
      </c>
      <c r="AJ579" s="28" t="str">
        <f t="shared" ref="AJ579:AJ642" si="18">MID(W579,8,6)</f>
        <v>214109</v>
      </c>
      <c r="AK579" s="420">
        <v>1</v>
      </c>
      <c r="AL579" s="420">
        <f t="shared" ref="AL579:AL642" si="19">F579</f>
        <v>1</v>
      </c>
      <c r="AM579" s="420">
        <v>1</v>
      </c>
      <c r="AN579" t="s">
        <v>17650</v>
      </c>
      <c r="AO579" t="s">
        <v>17651</v>
      </c>
      <c r="AP579" t="s">
        <v>17652</v>
      </c>
      <c r="AQ579" t="s">
        <v>17653</v>
      </c>
      <c r="AR579" t="s">
        <v>1024</v>
      </c>
    </row>
    <row r="580" spans="1:44" x14ac:dyDescent="0.25">
      <c r="A580" t="s">
        <v>324</v>
      </c>
      <c r="B580" t="s">
        <v>22627</v>
      </c>
      <c r="C580" s="410" t="s">
        <v>20</v>
      </c>
      <c r="D580" t="s">
        <v>20338</v>
      </c>
      <c r="E580" t="s">
        <v>192</v>
      </c>
      <c r="F580" s="534">
        <v>1</v>
      </c>
      <c r="G580" t="s">
        <v>193</v>
      </c>
      <c r="H580" t="s">
        <v>194</v>
      </c>
      <c r="I580" t="s">
        <v>20310</v>
      </c>
      <c r="J580" t="s">
        <v>6145</v>
      </c>
      <c r="K580" s="28" t="s">
        <v>9309</v>
      </c>
      <c r="L580" t="s">
        <v>6955</v>
      </c>
      <c r="N580" t="s">
        <v>22628</v>
      </c>
      <c r="O580" t="s">
        <v>6279</v>
      </c>
      <c r="P580" t="s">
        <v>20398</v>
      </c>
      <c r="Q580" t="s">
        <v>20399</v>
      </c>
      <c r="R580" t="s">
        <v>21392</v>
      </c>
      <c r="S580" t="s">
        <v>22629</v>
      </c>
      <c r="T580" t="s">
        <v>22630</v>
      </c>
      <c r="V580" s="28" t="s">
        <v>9514</v>
      </c>
      <c r="W580" t="s">
        <v>286</v>
      </c>
      <c r="X580" t="s">
        <v>194</v>
      </c>
      <c r="Y580" s="28" t="s">
        <v>9300</v>
      </c>
      <c r="AB580" t="s">
        <v>9311</v>
      </c>
      <c r="AH580" t="s">
        <v>4714</v>
      </c>
      <c r="AI580" t="s">
        <v>22627</v>
      </c>
      <c r="AJ580" s="28" t="str">
        <f t="shared" si="18"/>
        <v>214109</v>
      </c>
      <c r="AK580" s="420">
        <v>1</v>
      </c>
      <c r="AL580" s="420">
        <f t="shared" si="19"/>
        <v>1</v>
      </c>
      <c r="AM580" s="420">
        <v>1</v>
      </c>
      <c r="AN580" t="s">
        <v>17650</v>
      </c>
      <c r="AO580" t="s">
        <v>17651</v>
      </c>
      <c r="AP580" t="s">
        <v>17652</v>
      </c>
      <c r="AQ580" t="s">
        <v>17653</v>
      </c>
      <c r="AR580" t="s">
        <v>1024</v>
      </c>
    </row>
    <row r="581" spans="1:44" x14ac:dyDescent="0.25">
      <c r="A581" t="s">
        <v>324</v>
      </c>
      <c r="B581" t="s">
        <v>22627</v>
      </c>
      <c r="C581" s="410" t="s">
        <v>20</v>
      </c>
      <c r="D581" t="s">
        <v>20338</v>
      </c>
      <c r="E581" t="s">
        <v>192</v>
      </c>
      <c r="F581" s="534">
        <v>1</v>
      </c>
      <c r="G581" t="s">
        <v>193</v>
      </c>
      <c r="H581" t="s">
        <v>194</v>
      </c>
      <c r="I581" t="s">
        <v>20310</v>
      </c>
      <c r="J581" t="s">
        <v>285</v>
      </c>
      <c r="K581" s="28" t="s">
        <v>9309</v>
      </c>
      <c r="L581" t="s">
        <v>6955</v>
      </c>
      <c r="N581" t="s">
        <v>22631</v>
      </c>
      <c r="O581" t="s">
        <v>6279</v>
      </c>
      <c r="P581" t="s">
        <v>20398</v>
      </c>
      <c r="Q581" t="s">
        <v>20399</v>
      </c>
      <c r="R581" t="s">
        <v>21392</v>
      </c>
      <c r="S581" t="s">
        <v>22632</v>
      </c>
      <c r="T581" t="s">
        <v>22633</v>
      </c>
      <c r="V581" s="28" t="s">
        <v>9518</v>
      </c>
      <c r="W581" t="s">
        <v>286</v>
      </c>
      <c r="X581" t="s">
        <v>194</v>
      </c>
      <c r="Y581" s="28" t="s">
        <v>9300</v>
      </c>
      <c r="AB581" t="s">
        <v>9311</v>
      </c>
      <c r="AH581" t="s">
        <v>4714</v>
      </c>
      <c r="AI581" t="s">
        <v>22627</v>
      </c>
      <c r="AJ581" s="28" t="str">
        <f t="shared" si="18"/>
        <v>214109</v>
      </c>
      <c r="AK581" s="420">
        <v>1</v>
      </c>
      <c r="AL581" s="420">
        <f t="shared" si="19"/>
        <v>1</v>
      </c>
      <c r="AM581" s="420">
        <v>1</v>
      </c>
      <c r="AN581" t="s">
        <v>17650</v>
      </c>
      <c r="AO581" t="s">
        <v>17651</v>
      </c>
      <c r="AP581" t="s">
        <v>17652</v>
      </c>
      <c r="AQ581" t="s">
        <v>17653</v>
      </c>
      <c r="AR581" t="s">
        <v>1024</v>
      </c>
    </row>
    <row r="582" spans="1:44" x14ac:dyDescent="0.25">
      <c r="A582" t="s">
        <v>369</v>
      </c>
      <c r="B582" t="s">
        <v>22634</v>
      </c>
      <c r="C582" s="410" t="s">
        <v>20</v>
      </c>
      <c r="D582" t="s">
        <v>20338</v>
      </c>
      <c r="E582" t="s">
        <v>192</v>
      </c>
      <c r="F582" s="534">
        <v>1</v>
      </c>
      <c r="G582" t="s">
        <v>193</v>
      </c>
      <c r="H582" t="s">
        <v>194</v>
      </c>
      <c r="I582" t="s">
        <v>20405</v>
      </c>
      <c r="J582" t="s">
        <v>210</v>
      </c>
      <c r="K582" s="28" t="s">
        <v>9309</v>
      </c>
      <c r="L582" t="s">
        <v>6955</v>
      </c>
      <c r="N582" t="s">
        <v>22635</v>
      </c>
      <c r="O582" t="s">
        <v>6279</v>
      </c>
      <c r="P582" t="s">
        <v>20398</v>
      </c>
      <c r="Q582" t="s">
        <v>20399</v>
      </c>
      <c r="R582" t="s">
        <v>20400</v>
      </c>
      <c r="S582" t="s">
        <v>22636</v>
      </c>
      <c r="T582" t="s">
        <v>22637</v>
      </c>
      <c r="V582" s="28" t="s">
        <v>9334</v>
      </c>
      <c r="W582" t="s">
        <v>286</v>
      </c>
      <c r="X582" t="s">
        <v>194</v>
      </c>
      <c r="Y582" s="28" t="s">
        <v>9300</v>
      </c>
      <c r="AB582" t="s">
        <v>9311</v>
      </c>
      <c r="AH582" t="s">
        <v>4714</v>
      </c>
      <c r="AI582" t="s">
        <v>22634</v>
      </c>
      <c r="AJ582" s="28" t="str">
        <f t="shared" si="18"/>
        <v>214109</v>
      </c>
      <c r="AK582" s="420">
        <v>1</v>
      </c>
      <c r="AL582" s="420">
        <f t="shared" si="19"/>
        <v>1</v>
      </c>
      <c r="AM582" s="420">
        <v>1</v>
      </c>
      <c r="AN582" t="s">
        <v>17650</v>
      </c>
      <c r="AO582" t="s">
        <v>17651</v>
      </c>
      <c r="AP582" t="s">
        <v>17652</v>
      </c>
      <c r="AQ582" t="s">
        <v>17653</v>
      </c>
      <c r="AR582" t="s">
        <v>1024</v>
      </c>
    </row>
    <row r="583" spans="1:44" x14ac:dyDescent="0.25">
      <c r="A583" t="s">
        <v>942</v>
      </c>
      <c r="B583" t="s">
        <v>22638</v>
      </c>
      <c r="C583" s="410" t="s">
        <v>20</v>
      </c>
      <c r="D583" t="s">
        <v>20338</v>
      </c>
      <c r="E583" t="s">
        <v>192</v>
      </c>
      <c r="F583" s="534">
        <v>1</v>
      </c>
      <c r="G583" t="s">
        <v>193</v>
      </c>
      <c r="H583" t="s">
        <v>194</v>
      </c>
      <c r="I583" t="s">
        <v>20405</v>
      </c>
      <c r="J583" t="s">
        <v>210</v>
      </c>
      <c r="K583" s="28" t="s">
        <v>9309</v>
      </c>
      <c r="L583" t="s">
        <v>6955</v>
      </c>
      <c r="N583" t="s">
        <v>22639</v>
      </c>
      <c r="O583" t="s">
        <v>6295</v>
      </c>
      <c r="P583" t="s">
        <v>20398</v>
      </c>
      <c r="Q583" t="s">
        <v>20399</v>
      </c>
      <c r="R583" t="s">
        <v>20400</v>
      </c>
      <c r="S583" t="s">
        <v>22640</v>
      </c>
      <c r="T583" t="s">
        <v>22641</v>
      </c>
      <c r="V583" s="28" t="s">
        <v>9334</v>
      </c>
      <c r="W583" t="s">
        <v>286</v>
      </c>
      <c r="X583" t="s">
        <v>194</v>
      </c>
      <c r="Y583" s="28" t="s">
        <v>9300</v>
      </c>
      <c r="AB583" t="s">
        <v>9311</v>
      </c>
      <c r="AH583" t="s">
        <v>4714</v>
      </c>
      <c r="AI583" t="s">
        <v>22638</v>
      </c>
      <c r="AJ583" s="28" t="str">
        <f t="shared" si="18"/>
        <v>214109</v>
      </c>
      <c r="AK583" s="420">
        <v>1</v>
      </c>
      <c r="AL583" s="420">
        <f t="shared" si="19"/>
        <v>1</v>
      </c>
      <c r="AM583" s="420">
        <v>1</v>
      </c>
      <c r="AN583" t="s">
        <v>17650</v>
      </c>
      <c r="AO583" t="s">
        <v>17651</v>
      </c>
      <c r="AP583" t="s">
        <v>17652</v>
      </c>
      <c r="AQ583" t="s">
        <v>17653</v>
      </c>
      <c r="AR583" t="s">
        <v>1024</v>
      </c>
    </row>
    <row r="584" spans="1:44" x14ac:dyDescent="0.25">
      <c r="A584" t="s">
        <v>14602</v>
      </c>
      <c r="B584" t="s">
        <v>22642</v>
      </c>
      <c r="C584" s="410" t="s">
        <v>20</v>
      </c>
      <c r="D584" t="s">
        <v>20338</v>
      </c>
      <c r="E584" t="s">
        <v>192</v>
      </c>
      <c r="F584" s="534">
        <v>1</v>
      </c>
      <c r="G584" t="s">
        <v>193</v>
      </c>
      <c r="H584" t="s">
        <v>194</v>
      </c>
      <c r="I584" t="s">
        <v>20310</v>
      </c>
      <c r="J584" t="s">
        <v>253</v>
      </c>
      <c r="K584" s="28" t="s">
        <v>9309</v>
      </c>
      <c r="L584" t="s">
        <v>6955</v>
      </c>
      <c r="N584" t="s">
        <v>22643</v>
      </c>
      <c r="O584" t="s">
        <v>6279</v>
      </c>
      <c r="P584" t="s">
        <v>20398</v>
      </c>
      <c r="Q584" t="s">
        <v>20399</v>
      </c>
      <c r="R584" t="s">
        <v>20400</v>
      </c>
      <c r="S584" t="s">
        <v>22644</v>
      </c>
      <c r="T584" t="s">
        <v>22645</v>
      </c>
      <c r="V584" s="28" t="s">
        <v>9468</v>
      </c>
      <c r="W584" t="s">
        <v>286</v>
      </c>
      <c r="X584" t="s">
        <v>194</v>
      </c>
      <c r="Y584" s="28" t="s">
        <v>9300</v>
      </c>
      <c r="AB584" t="s">
        <v>9311</v>
      </c>
      <c r="AH584" t="s">
        <v>4714</v>
      </c>
      <c r="AI584" t="s">
        <v>22642</v>
      </c>
      <c r="AJ584" s="28" t="str">
        <f t="shared" si="18"/>
        <v>214109</v>
      </c>
      <c r="AK584" s="420">
        <v>1</v>
      </c>
      <c r="AL584" s="420">
        <f t="shared" si="19"/>
        <v>1</v>
      </c>
      <c r="AM584" s="420">
        <v>1</v>
      </c>
      <c r="AN584" t="s">
        <v>17650</v>
      </c>
      <c r="AO584" t="s">
        <v>17651</v>
      </c>
      <c r="AP584" t="s">
        <v>17652</v>
      </c>
      <c r="AQ584" t="s">
        <v>17653</v>
      </c>
      <c r="AR584" t="s">
        <v>1024</v>
      </c>
    </row>
    <row r="585" spans="1:44" x14ac:dyDescent="0.25">
      <c r="A585" t="s">
        <v>14602</v>
      </c>
      <c r="B585" t="s">
        <v>22642</v>
      </c>
      <c r="C585" s="410" t="s">
        <v>20</v>
      </c>
      <c r="D585" t="s">
        <v>20338</v>
      </c>
      <c r="E585" t="s">
        <v>192</v>
      </c>
      <c r="F585" s="534">
        <v>1</v>
      </c>
      <c r="G585" t="s">
        <v>193</v>
      </c>
      <c r="H585" t="s">
        <v>194</v>
      </c>
      <c r="I585" t="s">
        <v>20405</v>
      </c>
      <c r="J585" t="s">
        <v>253</v>
      </c>
      <c r="K585" s="28" t="s">
        <v>9309</v>
      </c>
      <c r="L585" t="s">
        <v>6955</v>
      </c>
      <c r="N585" t="s">
        <v>22646</v>
      </c>
      <c r="O585" t="s">
        <v>6279</v>
      </c>
      <c r="P585" t="s">
        <v>20398</v>
      </c>
      <c r="Q585" t="s">
        <v>20399</v>
      </c>
      <c r="R585" t="s">
        <v>20400</v>
      </c>
      <c r="S585" t="s">
        <v>22647</v>
      </c>
      <c r="T585" t="s">
        <v>22648</v>
      </c>
      <c r="V585" s="28" t="s">
        <v>9468</v>
      </c>
      <c r="W585" t="s">
        <v>286</v>
      </c>
      <c r="X585" t="s">
        <v>194</v>
      </c>
      <c r="Y585" s="28" t="s">
        <v>9300</v>
      </c>
      <c r="AB585" t="s">
        <v>9311</v>
      </c>
      <c r="AH585" t="s">
        <v>4714</v>
      </c>
      <c r="AI585" t="s">
        <v>22642</v>
      </c>
      <c r="AJ585" s="28" t="str">
        <f t="shared" si="18"/>
        <v>214109</v>
      </c>
      <c r="AK585" s="420">
        <v>1</v>
      </c>
      <c r="AL585" s="420">
        <f t="shared" si="19"/>
        <v>1</v>
      </c>
      <c r="AM585" s="420">
        <v>1</v>
      </c>
      <c r="AN585" t="s">
        <v>17650</v>
      </c>
      <c r="AO585" t="s">
        <v>17651</v>
      </c>
      <c r="AP585" t="s">
        <v>17652</v>
      </c>
      <c r="AQ585" t="s">
        <v>17653</v>
      </c>
      <c r="AR585" t="s">
        <v>1024</v>
      </c>
    </row>
    <row r="586" spans="1:44" x14ac:dyDescent="0.25">
      <c r="A586" t="s">
        <v>2137</v>
      </c>
      <c r="B586" t="s">
        <v>22649</v>
      </c>
      <c r="C586" s="410" t="s">
        <v>3219</v>
      </c>
      <c r="D586" t="s">
        <v>20326</v>
      </c>
      <c r="E586" t="s">
        <v>192</v>
      </c>
      <c r="F586" s="534">
        <v>1</v>
      </c>
      <c r="G586" t="s">
        <v>193</v>
      </c>
      <c r="H586" t="s">
        <v>194</v>
      </c>
      <c r="I586" t="s">
        <v>20318</v>
      </c>
      <c r="J586" t="s">
        <v>327</v>
      </c>
      <c r="K586" s="28" t="s">
        <v>9309</v>
      </c>
      <c r="L586" t="s">
        <v>6955</v>
      </c>
      <c r="N586" t="s">
        <v>22650</v>
      </c>
      <c r="O586" t="s">
        <v>6261</v>
      </c>
      <c r="P586" t="s">
        <v>20328</v>
      </c>
      <c r="Q586" t="s">
        <v>20329</v>
      </c>
      <c r="R586" t="s">
        <v>20306</v>
      </c>
      <c r="S586" t="s">
        <v>22651</v>
      </c>
      <c r="T586" t="s">
        <v>22652</v>
      </c>
      <c r="V586" s="28" t="s">
        <v>9506</v>
      </c>
      <c r="W586" t="s">
        <v>3620</v>
      </c>
      <c r="X586" t="s">
        <v>194</v>
      </c>
      <c r="Y586" s="28" t="s">
        <v>9300</v>
      </c>
      <c r="AB586" t="s">
        <v>9311</v>
      </c>
      <c r="AH586" t="s">
        <v>4714</v>
      </c>
      <c r="AI586" t="s">
        <v>22649</v>
      </c>
      <c r="AJ586" s="28" t="str">
        <f t="shared" si="18"/>
        <v>243109</v>
      </c>
      <c r="AK586" s="420">
        <v>1</v>
      </c>
      <c r="AL586" s="420">
        <f t="shared" si="19"/>
        <v>1</v>
      </c>
      <c r="AM586" s="420">
        <v>1</v>
      </c>
      <c r="AN586" t="s">
        <v>17650</v>
      </c>
      <c r="AO586" t="s">
        <v>17651</v>
      </c>
      <c r="AP586" t="s">
        <v>17652</v>
      </c>
      <c r="AQ586" t="s">
        <v>17653</v>
      </c>
      <c r="AR586" t="s">
        <v>1024</v>
      </c>
    </row>
    <row r="587" spans="1:44" x14ac:dyDescent="0.25">
      <c r="A587" t="s">
        <v>2137</v>
      </c>
      <c r="B587" t="s">
        <v>22649</v>
      </c>
      <c r="C587" s="410" t="s">
        <v>3219</v>
      </c>
      <c r="D587" t="s">
        <v>20326</v>
      </c>
      <c r="E587" t="s">
        <v>192</v>
      </c>
      <c r="F587" s="534">
        <v>1</v>
      </c>
      <c r="G587" t="s">
        <v>193</v>
      </c>
      <c r="H587" t="s">
        <v>194</v>
      </c>
      <c r="I587" t="s">
        <v>20318</v>
      </c>
      <c r="J587" t="s">
        <v>210</v>
      </c>
      <c r="K587" s="28" t="s">
        <v>9309</v>
      </c>
      <c r="L587" t="s">
        <v>6955</v>
      </c>
      <c r="N587" t="s">
        <v>22653</v>
      </c>
      <c r="O587" t="s">
        <v>6261</v>
      </c>
      <c r="P587" t="s">
        <v>20328</v>
      </c>
      <c r="Q587" t="s">
        <v>20329</v>
      </c>
      <c r="R587" t="s">
        <v>20306</v>
      </c>
      <c r="S587" t="s">
        <v>22654</v>
      </c>
      <c r="T587" t="s">
        <v>22655</v>
      </c>
      <c r="V587" s="28" t="s">
        <v>9334</v>
      </c>
      <c r="W587" t="s">
        <v>3620</v>
      </c>
      <c r="X587" t="s">
        <v>194</v>
      </c>
      <c r="Y587" s="28" t="s">
        <v>9300</v>
      </c>
      <c r="AB587" t="s">
        <v>9311</v>
      </c>
      <c r="AH587" t="s">
        <v>4714</v>
      </c>
      <c r="AI587" t="s">
        <v>22649</v>
      </c>
      <c r="AJ587" s="28" t="str">
        <f t="shared" si="18"/>
        <v>243109</v>
      </c>
      <c r="AK587" s="420">
        <v>1</v>
      </c>
      <c r="AL587" s="420">
        <f t="shared" si="19"/>
        <v>1</v>
      </c>
      <c r="AM587" s="420">
        <v>1</v>
      </c>
      <c r="AN587" t="s">
        <v>17650</v>
      </c>
      <c r="AO587" t="s">
        <v>17651</v>
      </c>
      <c r="AP587" t="s">
        <v>17652</v>
      </c>
      <c r="AQ587" t="s">
        <v>17653</v>
      </c>
      <c r="AR587" t="s">
        <v>1024</v>
      </c>
    </row>
    <row r="588" spans="1:44" x14ac:dyDescent="0.25">
      <c r="A588" t="s">
        <v>2137</v>
      </c>
      <c r="B588" t="s">
        <v>22649</v>
      </c>
      <c r="C588" s="410" t="s">
        <v>3219</v>
      </c>
      <c r="D588" t="s">
        <v>20326</v>
      </c>
      <c r="E588" t="s">
        <v>192</v>
      </c>
      <c r="F588" s="534">
        <v>1</v>
      </c>
      <c r="G588" t="s">
        <v>193</v>
      </c>
      <c r="H588" t="s">
        <v>194</v>
      </c>
      <c r="I588" t="s">
        <v>20318</v>
      </c>
      <c r="J588" t="s">
        <v>253</v>
      </c>
      <c r="K588" s="28" t="s">
        <v>9309</v>
      </c>
      <c r="L588" t="s">
        <v>6955</v>
      </c>
      <c r="N588" t="s">
        <v>22656</v>
      </c>
      <c r="O588" t="s">
        <v>6261</v>
      </c>
      <c r="P588" t="s">
        <v>20328</v>
      </c>
      <c r="Q588" t="s">
        <v>20329</v>
      </c>
      <c r="R588" t="s">
        <v>20306</v>
      </c>
      <c r="S588" t="s">
        <v>22657</v>
      </c>
      <c r="T588" t="s">
        <v>22658</v>
      </c>
      <c r="V588" s="28" t="s">
        <v>9468</v>
      </c>
      <c r="W588" t="s">
        <v>3620</v>
      </c>
      <c r="X588" t="s">
        <v>194</v>
      </c>
      <c r="Y588" s="28" t="s">
        <v>9300</v>
      </c>
      <c r="AB588" t="s">
        <v>9311</v>
      </c>
      <c r="AH588" t="s">
        <v>4714</v>
      </c>
      <c r="AI588" t="s">
        <v>22649</v>
      </c>
      <c r="AJ588" s="28" t="str">
        <f t="shared" si="18"/>
        <v>243109</v>
      </c>
      <c r="AK588" s="420">
        <v>1</v>
      </c>
      <c r="AL588" s="420">
        <f t="shared" si="19"/>
        <v>1</v>
      </c>
      <c r="AM588" s="420">
        <v>1</v>
      </c>
      <c r="AN588" t="s">
        <v>17650</v>
      </c>
      <c r="AO588" t="s">
        <v>17651</v>
      </c>
      <c r="AP588" t="s">
        <v>17652</v>
      </c>
      <c r="AQ588" t="s">
        <v>17653</v>
      </c>
      <c r="AR588" t="s">
        <v>1024</v>
      </c>
    </row>
    <row r="589" spans="1:44" x14ac:dyDescent="0.25">
      <c r="A589" t="s">
        <v>16419</v>
      </c>
      <c r="B589" t="s">
        <v>22659</v>
      </c>
      <c r="C589" s="410" t="s">
        <v>3219</v>
      </c>
      <c r="D589" t="s">
        <v>20317</v>
      </c>
      <c r="E589" t="s">
        <v>192</v>
      </c>
      <c r="F589" s="534">
        <v>1</v>
      </c>
      <c r="G589" t="s">
        <v>193</v>
      </c>
      <c r="H589" t="s">
        <v>194</v>
      </c>
      <c r="I589" t="s">
        <v>20333</v>
      </c>
      <c r="J589" t="s">
        <v>9302</v>
      </c>
      <c r="K589" s="28" t="s">
        <v>9309</v>
      </c>
      <c r="L589" t="s">
        <v>6955</v>
      </c>
      <c r="N589" t="s">
        <v>22660</v>
      </c>
      <c r="O589" t="s">
        <v>6921</v>
      </c>
      <c r="P589" t="s">
        <v>20320</v>
      </c>
      <c r="Q589" t="s">
        <v>20321</v>
      </c>
      <c r="R589" t="s">
        <v>20322</v>
      </c>
      <c r="S589" t="s">
        <v>22661</v>
      </c>
      <c r="T589" t="s">
        <v>22662</v>
      </c>
      <c r="W589" t="s">
        <v>3620</v>
      </c>
      <c r="X589" t="s">
        <v>193</v>
      </c>
      <c r="Y589" s="28" t="s">
        <v>9310</v>
      </c>
      <c r="AB589" t="s">
        <v>9311</v>
      </c>
      <c r="AH589" t="s">
        <v>4714</v>
      </c>
      <c r="AI589" t="s">
        <v>22659</v>
      </c>
      <c r="AJ589" s="28" t="str">
        <f t="shared" si="18"/>
        <v>243109</v>
      </c>
      <c r="AK589" s="420">
        <v>1</v>
      </c>
      <c r="AL589" s="420">
        <f t="shared" si="19"/>
        <v>1</v>
      </c>
      <c r="AM589" s="420">
        <v>1</v>
      </c>
      <c r="AN589" t="s">
        <v>17650</v>
      </c>
      <c r="AO589" t="s">
        <v>17651</v>
      </c>
      <c r="AP589" t="s">
        <v>17652</v>
      </c>
      <c r="AQ589" t="s">
        <v>17653</v>
      </c>
      <c r="AR589" t="s">
        <v>1024</v>
      </c>
    </row>
    <row r="590" spans="1:44" x14ac:dyDescent="0.25">
      <c r="A590" t="s">
        <v>22663</v>
      </c>
      <c r="B590" t="s">
        <v>22664</v>
      </c>
      <c r="C590" s="410" t="s">
        <v>3219</v>
      </c>
      <c r="D590" t="s">
        <v>20338</v>
      </c>
      <c r="E590" t="s">
        <v>192</v>
      </c>
      <c r="F590" s="534">
        <v>1</v>
      </c>
      <c r="G590" t="s">
        <v>193</v>
      </c>
      <c r="H590" t="s">
        <v>194</v>
      </c>
      <c r="I590" t="s">
        <v>20310</v>
      </c>
      <c r="J590" t="s">
        <v>210</v>
      </c>
      <c r="K590" s="28" t="s">
        <v>9309</v>
      </c>
      <c r="L590" t="s">
        <v>6955</v>
      </c>
      <c r="N590" t="s">
        <v>22665</v>
      </c>
      <c r="O590" t="s">
        <v>6302</v>
      </c>
      <c r="P590" t="s">
        <v>20398</v>
      </c>
      <c r="Q590" t="s">
        <v>20399</v>
      </c>
      <c r="R590" t="s">
        <v>20333</v>
      </c>
      <c r="S590" t="s">
        <v>22666</v>
      </c>
      <c r="T590" t="s">
        <v>22667</v>
      </c>
      <c r="V590" s="28" t="s">
        <v>9334</v>
      </c>
      <c r="W590" t="s">
        <v>3620</v>
      </c>
      <c r="X590" t="s">
        <v>194</v>
      </c>
      <c r="Y590" s="28" t="s">
        <v>9300</v>
      </c>
      <c r="AB590" t="s">
        <v>9311</v>
      </c>
      <c r="AH590" t="s">
        <v>4714</v>
      </c>
      <c r="AI590" t="s">
        <v>22664</v>
      </c>
      <c r="AJ590" s="28" t="str">
        <f t="shared" si="18"/>
        <v>243109</v>
      </c>
      <c r="AK590" s="420">
        <v>1</v>
      </c>
      <c r="AL590" s="420">
        <f t="shared" si="19"/>
        <v>1</v>
      </c>
      <c r="AM590" s="420">
        <v>1</v>
      </c>
      <c r="AN590" t="s">
        <v>17650</v>
      </c>
      <c r="AO590" t="s">
        <v>17651</v>
      </c>
      <c r="AP590" t="s">
        <v>17652</v>
      </c>
      <c r="AQ590" t="s">
        <v>17653</v>
      </c>
      <c r="AR590" t="s">
        <v>1024</v>
      </c>
    </row>
    <row r="591" spans="1:44" x14ac:dyDescent="0.25">
      <c r="A591" t="s">
        <v>20435</v>
      </c>
      <c r="B591" t="s">
        <v>22668</v>
      </c>
      <c r="C591" s="410" t="s">
        <v>3219</v>
      </c>
      <c r="D591" t="s">
        <v>20306</v>
      </c>
      <c r="E591" t="s">
        <v>192</v>
      </c>
      <c r="F591" s="534">
        <v>1</v>
      </c>
      <c r="G591" t="s">
        <v>193</v>
      </c>
      <c r="H591" t="s">
        <v>194</v>
      </c>
      <c r="I591" t="s">
        <v>20307</v>
      </c>
      <c r="J591" t="s">
        <v>9302</v>
      </c>
      <c r="K591" s="28" t="s">
        <v>9309</v>
      </c>
      <c r="L591" t="s">
        <v>6955</v>
      </c>
      <c r="N591" t="s">
        <v>22669</v>
      </c>
      <c r="O591" t="s">
        <v>6921</v>
      </c>
      <c r="P591" t="s">
        <v>20309</v>
      </c>
      <c r="Q591" t="s">
        <v>20310</v>
      </c>
      <c r="R591" t="s">
        <v>20311</v>
      </c>
      <c r="S591" t="s">
        <v>22670</v>
      </c>
      <c r="T591" t="s">
        <v>22671</v>
      </c>
      <c r="W591" t="s">
        <v>3620</v>
      </c>
      <c r="X591" t="s">
        <v>193</v>
      </c>
      <c r="Y591" s="28" t="s">
        <v>9310</v>
      </c>
      <c r="AB591" t="s">
        <v>9311</v>
      </c>
      <c r="AH591" t="s">
        <v>5109</v>
      </c>
      <c r="AI591" t="s">
        <v>22668</v>
      </c>
      <c r="AJ591" s="28" t="str">
        <f t="shared" si="18"/>
        <v>243109</v>
      </c>
      <c r="AK591" s="420">
        <v>1</v>
      </c>
      <c r="AL591" s="420">
        <f t="shared" si="19"/>
        <v>1</v>
      </c>
      <c r="AM591" s="420">
        <v>1</v>
      </c>
      <c r="AN591" t="s">
        <v>17650</v>
      </c>
      <c r="AO591" t="s">
        <v>17651</v>
      </c>
      <c r="AP591" t="s">
        <v>17652</v>
      </c>
      <c r="AQ591" t="s">
        <v>17653</v>
      </c>
      <c r="AR591" t="s">
        <v>1024</v>
      </c>
    </row>
    <row r="592" spans="1:44" x14ac:dyDescent="0.25">
      <c r="A592" t="s">
        <v>2009</v>
      </c>
      <c r="B592" t="s">
        <v>22672</v>
      </c>
      <c r="C592" s="410" t="s">
        <v>119</v>
      </c>
      <c r="D592" t="s">
        <v>20326</v>
      </c>
      <c r="E592" t="s">
        <v>192</v>
      </c>
      <c r="F592" s="534">
        <v>1</v>
      </c>
      <c r="G592" t="s">
        <v>193</v>
      </c>
      <c r="H592" t="s">
        <v>194</v>
      </c>
      <c r="I592" t="s">
        <v>20333</v>
      </c>
      <c r="J592" t="s">
        <v>210</v>
      </c>
      <c r="K592" s="28" t="s">
        <v>9309</v>
      </c>
      <c r="L592" t="s">
        <v>6955</v>
      </c>
      <c r="N592" t="s">
        <v>22673</v>
      </c>
      <c r="O592" t="s">
        <v>6266</v>
      </c>
      <c r="P592" t="s">
        <v>20328</v>
      </c>
      <c r="Q592" t="s">
        <v>20329</v>
      </c>
      <c r="R592" t="s">
        <v>20306</v>
      </c>
      <c r="S592" t="s">
        <v>22674</v>
      </c>
      <c r="T592" t="s">
        <v>22675</v>
      </c>
      <c r="V592" s="28" t="s">
        <v>9334</v>
      </c>
      <c r="W592" t="s">
        <v>666</v>
      </c>
      <c r="X592" t="s">
        <v>194</v>
      </c>
      <c r="Y592" s="28" t="s">
        <v>9300</v>
      </c>
      <c r="AB592" t="s">
        <v>9311</v>
      </c>
      <c r="AH592" t="s">
        <v>4714</v>
      </c>
      <c r="AI592" t="s">
        <v>22672</v>
      </c>
      <c r="AJ592" s="28" t="str">
        <f t="shared" si="18"/>
        <v>333105</v>
      </c>
      <c r="AK592" s="420">
        <v>1</v>
      </c>
      <c r="AL592" s="420">
        <f t="shared" si="19"/>
        <v>1</v>
      </c>
      <c r="AM592" s="420">
        <v>1</v>
      </c>
      <c r="AN592" t="s">
        <v>17650</v>
      </c>
      <c r="AO592" t="s">
        <v>17651</v>
      </c>
      <c r="AP592" t="s">
        <v>17652</v>
      </c>
      <c r="AQ592" t="s">
        <v>17653</v>
      </c>
      <c r="AR592" t="s">
        <v>1024</v>
      </c>
    </row>
    <row r="593" spans="1:44" x14ac:dyDescent="0.25">
      <c r="A593" t="s">
        <v>18611</v>
      </c>
      <c r="B593" t="s">
        <v>18612</v>
      </c>
      <c r="C593" s="410" t="s">
        <v>119</v>
      </c>
      <c r="D593" t="s">
        <v>20317</v>
      </c>
      <c r="E593" t="s">
        <v>192</v>
      </c>
      <c r="F593" s="534">
        <v>1</v>
      </c>
      <c r="G593" t="s">
        <v>193</v>
      </c>
      <c r="H593" t="s">
        <v>194</v>
      </c>
      <c r="I593" t="s">
        <v>20333</v>
      </c>
      <c r="J593" t="s">
        <v>253</v>
      </c>
      <c r="K593" s="28" t="s">
        <v>9309</v>
      </c>
      <c r="L593" t="s">
        <v>6955</v>
      </c>
      <c r="N593" t="s">
        <v>22676</v>
      </c>
      <c r="O593" t="s">
        <v>6266</v>
      </c>
      <c r="P593" t="s">
        <v>20320</v>
      </c>
      <c r="Q593" t="s">
        <v>20321</v>
      </c>
      <c r="R593" t="s">
        <v>20322</v>
      </c>
      <c r="S593" t="s">
        <v>22677</v>
      </c>
      <c r="T593" t="s">
        <v>22678</v>
      </c>
      <c r="V593" s="28" t="s">
        <v>9468</v>
      </c>
      <c r="W593" t="s">
        <v>666</v>
      </c>
      <c r="X593" t="s">
        <v>194</v>
      </c>
      <c r="Y593" s="28" t="s">
        <v>9300</v>
      </c>
      <c r="AB593" t="s">
        <v>9311</v>
      </c>
      <c r="AH593" t="s">
        <v>4714</v>
      </c>
      <c r="AI593" t="s">
        <v>18612</v>
      </c>
      <c r="AJ593" s="28" t="str">
        <f t="shared" si="18"/>
        <v>333105</v>
      </c>
      <c r="AK593" s="420">
        <v>1</v>
      </c>
      <c r="AL593" s="420">
        <f t="shared" si="19"/>
        <v>1</v>
      </c>
      <c r="AM593" s="420">
        <v>1</v>
      </c>
      <c r="AN593" t="s">
        <v>17650</v>
      </c>
      <c r="AO593" t="s">
        <v>17651</v>
      </c>
      <c r="AP593" t="s">
        <v>17652</v>
      </c>
      <c r="AQ593" t="s">
        <v>17653</v>
      </c>
      <c r="AR593" t="s">
        <v>1024</v>
      </c>
    </row>
    <row r="594" spans="1:44" x14ac:dyDescent="0.25">
      <c r="A594" t="s">
        <v>16968</v>
      </c>
      <c r="B594" t="s">
        <v>7743</v>
      </c>
      <c r="C594" s="410" t="s">
        <v>119</v>
      </c>
      <c r="D594" t="s">
        <v>20317</v>
      </c>
      <c r="E594" t="s">
        <v>192</v>
      </c>
      <c r="F594" s="534">
        <v>1</v>
      </c>
      <c r="G594" t="s">
        <v>193</v>
      </c>
      <c r="H594" t="s">
        <v>194</v>
      </c>
      <c r="I594" t="s">
        <v>20318</v>
      </c>
      <c r="J594" t="s">
        <v>210</v>
      </c>
      <c r="K594" s="28" t="s">
        <v>9309</v>
      </c>
      <c r="L594" t="s">
        <v>6955</v>
      </c>
      <c r="N594" t="s">
        <v>22679</v>
      </c>
      <c r="O594" t="s">
        <v>6266</v>
      </c>
      <c r="P594" t="s">
        <v>20320</v>
      </c>
      <c r="Q594" t="s">
        <v>20321</v>
      </c>
      <c r="R594" t="s">
        <v>20322</v>
      </c>
      <c r="S594" t="s">
        <v>22680</v>
      </c>
      <c r="T594" t="s">
        <v>22681</v>
      </c>
      <c r="V594" s="28" t="s">
        <v>9334</v>
      </c>
      <c r="W594" t="s">
        <v>666</v>
      </c>
      <c r="X594" t="s">
        <v>194</v>
      </c>
      <c r="Y594" s="28" t="s">
        <v>9300</v>
      </c>
      <c r="AB594" t="s">
        <v>9311</v>
      </c>
      <c r="AH594" t="s">
        <v>4714</v>
      </c>
      <c r="AI594" t="s">
        <v>7743</v>
      </c>
      <c r="AJ594" s="28" t="str">
        <f t="shared" si="18"/>
        <v>333105</v>
      </c>
      <c r="AK594" s="420">
        <v>1</v>
      </c>
      <c r="AL594" s="420">
        <f t="shared" si="19"/>
        <v>1</v>
      </c>
      <c r="AM594" s="420">
        <v>1</v>
      </c>
      <c r="AN594" t="s">
        <v>17650</v>
      </c>
      <c r="AO594" t="s">
        <v>17651</v>
      </c>
      <c r="AP594" t="s">
        <v>17652</v>
      </c>
      <c r="AQ594" t="s">
        <v>17653</v>
      </c>
      <c r="AR594" t="s">
        <v>1024</v>
      </c>
    </row>
    <row r="595" spans="1:44" x14ac:dyDescent="0.25">
      <c r="A595" t="s">
        <v>3712</v>
      </c>
      <c r="B595" t="s">
        <v>908</v>
      </c>
      <c r="C595" s="410" t="s">
        <v>119</v>
      </c>
      <c r="D595" t="s">
        <v>20338</v>
      </c>
      <c r="E595" t="s">
        <v>192</v>
      </c>
      <c r="F595" s="534">
        <v>1</v>
      </c>
      <c r="G595" t="s">
        <v>193</v>
      </c>
      <c r="H595" t="s">
        <v>194</v>
      </c>
      <c r="I595" t="s">
        <v>20310</v>
      </c>
      <c r="J595" t="s">
        <v>276</v>
      </c>
      <c r="K595" s="28" t="s">
        <v>9309</v>
      </c>
      <c r="L595" t="s">
        <v>6955</v>
      </c>
      <c r="N595" t="s">
        <v>22682</v>
      </c>
      <c r="O595" t="s">
        <v>6266</v>
      </c>
      <c r="P595" t="s">
        <v>20398</v>
      </c>
      <c r="Q595" t="s">
        <v>20399</v>
      </c>
      <c r="R595" t="s">
        <v>20400</v>
      </c>
      <c r="S595" t="s">
        <v>22683</v>
      </c>
      <c r="T595" t="s">
        <v>22684</v>
      </c>
      <c r="V595" s="28" t="s">
        <v>9786</v>
      </c>
      <c r="W595" t="s">
        <v>666</v>
      </c>
      <c r="X595" t="s">
        <v>194</v>
      </c>
      <c r="Y595" s="28" t="s">
        <v>9300</v>
      </c>
      <c r="AB595" t="s">
        <v>9311</v>
      </c>
      <c r="AH595" t="s">
        <v>4714</v>
      </c>
      <c r="AI595" t="s">
        <v>908</v>
      </c>
      <c r="AJ595" s="28" t="str">
        <f t="shared" si="18"/>
        <v>333105</v>
      </c>
      <c r="AK595" s="420">
        <v>1</v>
      </c>
      <c r="AL595" s="420">
        <f t="shared" si="19"/>
        <v>1</v>
      </c>
      <c r="AM595" s="420">
        <v>1</v>
      </c>
      <c r="AN595" t="s">
        <v>17650</v>
      </c>
      <c r="AO595" t="s">
        <v>17651</v>
      </c>
      <c r="AP595" t="s">
        <v>17652</v>
      </c>
      <c r="AQ595" t="s">
        <v>17653</v>
      </c>
      <c r="AR595" t="s">
        <v>1024</v>
      </c>
    </row>
    <row r="596" spans="1:44" x14ac:dyDescent="0.25">
      <c r="A596" t="s">
        <v>3712</v>
      </c>
      <c r="B596" t="s">
        <v>908</v>
      </c>
      <c r="C596" s="410" t="s">
        <v>119</v>
      </c>
      <c r="D596" t="s">
        <v>20338</v>
      </c>
      <c r="E596" t="s">
        <v>192</v>
      </c>
      <c r="F596" s="534">
        <v>1</v>
      </c>
      <c r="G596" t="s">
        <v>193</v>
      </c>
      <c r="H596" t="s">
        <v>194</v>
      </c>
      <c r="I596" t="s">
        <v>20310</v>
      </c>
      <c r="J596" t="s">
        <v>367</v>
      </c>
      <c r="K596" s="28" t="s">
        <v>9309</v>
      </c>
      <c r="L596" t="s">
        <v>6955</v>
      </c>
      <c r="N596" t="s">
        <v>22685</v>
      </c>
      <c r="O596" t="s">
        <v>6266</v>
      </c>
      <c r="P596" t="s">
        <v>20398</v>
      </c>
      <c r="Q596" t="s">
        <v>20399</v>
      </c>
      <c r="R596" t="s">
        <v>20400</v>
      </c>
      <c r="S596" t="s">
        <v>22686</v>
      </c>
      <c r="T596" t="s">
        <v>22687</v>
      </c>
      <c r="V596" s="28" t="s">
        <v>9974</v>
      </c>
      <c r="W596" t="s">
        <v>666</v>
      </c>
      <c r="X596" t="s">
        <v>194</v>
      </c>
      <c r="Y596" s="28" t="s">
        <v>9300</v>
      </c>
      <c r="AB596" t="s">
        <v>9311</v>
      </c>
      <c r="AH596" t="s">
        <v>4714</v>
      </c>
      <c r="AI596" t="s">
        <v>908</v>
      </c>
      <c r="AJ596" s="28" t="str">
        <f t="shared" si="18"/>
        <v>333105</v>
      </c>
      <c r="AK596" s="420">
        <v>1</v>
      </c>
      <c r="AL596" s="420">
        <f t="shared" si="19"/>
        <v>1</v>
      </c>
      <c r="AM596" s="420">
        <v>1</v>
      </c>
      <c r="AN596" t="s">
        <v>17650</v>
      </c>
      <c r="AO596" t="s">
        <v>17651</v>
      </c>
      <c r="AP596" t="s">
        <v>17652</v>
      </c>
      <c r="AQ596" t="s">
        <v>17653</v>
      </c>
      <c r="AR596" t="s">
        <v>1024</v>
      </c>
    </row>
    <row r="597" spans="1:44" x14ac:dyDescent="0.25">
      <c r="A597" t="s">
        <v>3712</v>
      </c>
      <c r="B597" t="s">
        <v>908</v>
      </c>
      <c r="C597" s="410" t="s">
        <v>119</v>
      </c>
      <c r="D597" t="s">
        <v>20338</v>
      </c>
      <c r="E597" t="s">
        <v>192</v>
      </c>
      <c r="F597" s="534">
        <v>1</v>
      </c>
      <c r="G597" t="s">
        <v>193</v>
      </c>
      <c r="H597" t="s">
        <v>194</v>
      </c>
      <c r="I597" t="s">
        <v>20310</v>
      </c>
      <c r="J597" t="s">
        <v>4751</v>
      </c>
      <c r="K597" s="28" t="s">
        <v>9309</v>
      </c>
      <c r="L597" t="s">
        <v>6955</v>
      </c>
      <c r="N597" t="s">
        <v>22688</v>
      </c>
      <c r="O597" t="s">
        <v>6266</v>
      </c>
      <c r="P597" t="s">
        <v>20398</v>
      </c>
      <c r="Q597" t="s">
        <v>20399</v>
      </c>
      <c r="R597" t="s">
        <v>20400</v>
      </c>
      <c r="S597" t="s">
        <v>22689</v>
      </c>
      <c r="T597" t="s">
        <v>22690</v>
      </c>
      <c r="V597" s="28" t="s">
        <v>9472</v>
      </c>
      <c r="W597" t="s">
        <v>666</v>
      </c>
      <c r="X597" t="s">
        <v>194</v>
      </c>
      <c r="Y597" s="28" t="s">
        <v>9300</v>
      </c>
      <c r="AB597" t="s">
        <v>9311</v>
      </c>
      <c r="AH597" t="s">
        <v>4714</v>
      </c>
      <c r="AI597" t="s">
        <v>908</v>
      </c>
      <c r="AJ597" s="28" t="str">
        <f t="shared" si="18"/>
        <v>333105</v>
      </c>
      <c r="AK597" s="420">
        <v>1</v>
      </c>
      <c r="AL597" s="420">
        <f t="shared" si="19"/>
        <v>1</v>
      </c>
      <c r="AM597" s="420">
        <v>1</v>
      </c>
      <c r="AN597" t="s">
        <v>17650</v>
      </c>
      <c r="AO597" t="s">
        <v>17651</v>
      </c>
      <c r="AP597" t="s">
        <v>17652</v>
      </c>
      <c r="AQ597" t="s">
        <v>17653</v>
      </c>
      <c r="AR597" t="s">
        <v>1024</v>
      </c>
    </row>
    <row r="598" spans="1:44" x14ac:dyDescent="0.25">
      <c r="A598" t="s">
        <v>3712</v>
      </c>
      <c r="B598" t="s">
        <v>908</v>
      </c>
      <c r="C598" s="410" t="s">
        <v>119</v>
      </c>
      <c r="D598" t="s">
        <v>20338</v>
      </c>
      <c r="E598" t="s">
        <v>192</v>
      </c>
      <c r="F598" s="534">
        <v>1</v>
      </c>
      <c r="G598" t="s">
        <v>193</v>
      </c>
      <c r="H598" t="s">
        <v>194</v>
      </c>
      <c r="I598" t="s">
        <v>20310</v>
      </c>
      <c r="J598" t="s">
        <v>210</v>
      </c>
      <c r="K598" s="28" t="s">
        <v>9309</v>
      </c>
      <c r="L598" t="s">
        <v>6955</v>
      </c>
      <c r="N598" t="s">
        <v>22691</v>
      </c>
      <c r="O598" t="s">
        <v>6266</v>
      </c>
      <c r="P598" t="s">
        <v>20398</v>
      </c>
      <c r="Q598" t="s">
        <v>20399</v>
      </c>
      <c r="R598" t="s">
        <v>20400</v>
      </c>
      <c r="S598" t="s">
        <v>22692</v>
      </c>
      <c r="T598" t="s">
        <v>22693</v>
      </c>
      <c r="V598" s="28" t="s">
        <v>9334</v>
      </c>
      <c r="W598" t="s">
        <v>666</v>
      </c>
      <c r="X598" t="s">
        <v>194</v>
      </c>
      <c r="Y598" s="28" t="s">
        <v>9300</v>
      </c>
      <c r="AB598" t="s">
        <v>9311</v>
      </c>
      <c r="AH598" t="s">
        <v>4714</v>
      </c>
      <c r="AI598" t="s">
        <v>908</v>
      </c>
      <c r="AJ598" s="28" t="str">
        <f t="shared" si="18"/>
        <v>333105</v>
      </c>
      <c r="AK598" s="420">
        <v>1</v>
      </c>
      <c r="AL598" s="420">
        <f t="shared" si="19"/>
        <v>1</v>
      </c>
      <c r="AM598" s="420">
        <v>1</v>
      </c>
      <c r="AN598" t="s">
        <v>17650</v>
      </c>
      <c r="AO598" t="s">
        <v>17651</v>
      </c>
      <c r="AP598" t="s">
        <v>17652</v>
      </c>
      <c r="AQ598" t="s">
        <v>17653</v>
      </c>
      <c r="AR598" t="s">
        <v>1024</v>
      </c>
    </row>
    <row r="599" spans="1:44" x14ac:dyDescent="0.25">
      <c r="A599" t="s">
        <v>3712</v>
      </c>
      <c r="B599" t="s">
        <v>908</v>
      </c>
      <c r="C599" s="410" t="s">
        <v>119</v>
      </c>
      <c r="D599" t="s">
        <v>20338</v>
      </c>
      <c r="E599" t="s">
        <v>192</v>
      </c>
      <c r="F599" s="534">
        <v>1</v>
      </c>
      <c r="G599" t="s">
        <v>193</v>
      </c>
      <c r="H599" t="s">
        <v>194</v>
      </c>
      <c r="I599" t="s">
        <v>20310</v>
      </c>
      <c r="J599" t="s">
        <v>747</v>
      </c>
      <c r="K599" s="28" t="s">
        <v>9309</v>
      </c>
      <c r="L599" t="s">
        <v>6955</v>
      </c>
      <c r="N599" t="s">
        <v>22694</v>
      </c>
      <c r="O599" t="s">
        <v>6266</v>
      </c>
      <c r="P599" t="s">
        <v>20398</v>
      </c>
      <c r="Q599" t="s">
        <v>20399</v>
      </c>
      <c r="R599" t="s">
        <v>20400</v>
      </c>
      <c r="S599" t="s">
        <v>22695</v>
      </c>
      <c r="T599" t="s">
        <v>22696</v>
      </c>
      <c r="V599" s="28" t="s">
        <v>10397</v>
      </c>
      <c r="W599" t="s">
        <v>666</v>
      </c>
      <c r="X599" t="s">
        <v>194</v>
      </c>
      <c r="Y599" s="28" t="s">
        <v>9300</v>
      </c>
      <c r="AB599" t="s">
        <v>9311</v>
      </c>
      <c r="AH599" t="s">
        <v>4714</v>
      </c>
      <c r="AI599" t="s">
        <v>908</v>
      </c>
      <c r="AJ599" s="28" t="str">
        <f t="shared" si="18"/>
        <v>333105</v>
      </c>
      <c r="AK599" s="420">
        <v>1</v>
      </c>
      <c r="AL599" s="420">
        <f t="shared" si="19"/>
        <v>1</v>
      </c>
      <c r="AM599" s="420">
        <v>1</v>
      </c>
      <c r="AN599" t="s">
        <v>17650</v>
      </c>
      <c r="AO599" t="s">
        <v>17651</v>
      </c>
      <c r="AP599" t="s">
        <v>17652</v>
      </c>
      <c r="AQ599" t="s">
        <v>17653</v>
      </c>
      <c r="AR599" t="s">
        <v>1024</v>
      </c>
    </row>
    <row r="600" spans="1:44" x14ac:dyDescent="0.25">
      <c r="A600" t="s">
        <v>3712</v>
      </c>
      <c r="B600" t="s">
        <v>908</v>
      </c>
      <c r="C600" s="410" t="s">
        <v>119</v>
      </c>
      <c r="D600" t="s">
        <v>20338</v>
      </c>
      <c r="E600" t="s">
        <v>192</v>
      </c>
      <c r="F600" s="534">
        <v>1</v>
      </c>
      <c r="G600" t="s">
        <v>193</v>
      </c>
      <c r="H600" t="s">
        <v>194</v>
      </c>
      <c r="I600" t="s">
        <v>20310</v>
      </c>
      <c r="J600" t="s">
        <v>316</v>
      </c>
      <c r="K600" s="28" t="s">
        <v>9309</v>
      </c>
      <c r="L600" t="s">
        <v>6955</v>
      </c>
      <c r="N600" t="s">
        <v>22697</v>
      </c>
      <c r="O600" t="s">
        <v>6266</v>
      </c>
      <c r="P600" t="s">
        <v>20398</v>
      </c>
      <c r="Q600" t="s">
        <v>20399</v>
      </c>
      <c r="R600" t="s">
        <v>20400</v>
      </c>
      <c r="S600" t="s">
        <v>22698</v>
      </c>
      <c r="T600" t="s">
        <v>22699</v>
      </c>
      <c r="V600" s="28" t="s">
        <v>10012</v>
      </c>
      <c r="W600" t="s">
        <v>666</v>
      </c>
      <c r="X600" t="s">
        <v>194</v>
      </c>
      <c r="Y600" s="28" t="s">
        <v>9300</v>
      </c>
      <c r="AB600" t="s">
        <v>9311</v>
      </c>
      <c r="AH600" t="s">
        <v>4714</v>
      </c>
      <c r="AI600" t="s">
        <v>908</v>
      </c>
      <c r="AJ600" s="28" t="str">
        <f t="shared" si="18"/>
        <v>333105</v>
      </c>
      <c r="AK600" s="420">
        <v>1</v>
      </c>
      <c r="AL600" s="420">
        <f t="shared" si="19"/>
        <v>1</v>
      </c>
      <c r="AM600" s="420">
        <v>1</v>
      </c>
      <c r="AN600" t="s">
        <v>17650</v>
      </c>
      <c r="AO600" t="s">
        <v>17651</v>
      </c>
      <c r="AP600" t="s">
        <v>17652</v>
      </c>
      <c r="AQ600" t="s">
        <v>17653</v>
      </c>
      <c r="AR600" t="s">
        <v>1024</v>
      </c>
    </row>
    <row r="601" spans="1:44" x14ac:dyDescent="0.25">
      <c r="A601" t="s">
        <v>1122</v>
      </c>
      <c r="B601" t="s">
        <v>2536</v>
      </c>
      <c r="C601" s="410" t="s">
        <v>119</v>
      </c>
      <c r="D601" t="s">
        <v>20338</v>
      </c>
      <c r="E601" t="s">
        <v>192</v>
      </c>
      <c r="F601" s="534">
        <v>1</v>
      </c>
      <c r="G601" t="s">
        <v>193</v>
      </c>
      <c r="H601" t="s">
        <v>194</v>
      </c>
      <c r="I601" t="s">
        <v>20310</v>
      </c>
      <c r="J601" t="s">
        <v>210</v>
      </c>
      <c r="K601" s="28" t="s">
        <v>9309</v>
      </c>
      <c r="L601" t="s">
        <v>6955</v>
      </c>
      <c r="N601" t="s">
        <v>22700</v>
      </c>
      <c r="O601" t="s">
        <v>6266</v>
      </c>
      <c r="P601" t="s">
        <v>20398</v>
      </c>
      <c r="Q601" t="s">
        <v>20399</v>
      </c>
      <c r="R601" t="s">
        <v>20400</v>
      </c>
      <c r="S601" t="s">
        <v>22701</v>
      </c>
      <c r="T601" t="s">
        <v>22702</v>
      </c>
      <c r="V601" s="28" t="s">
        <v>9334</v>
      </c>
      <c r="W601" t="s">
        <v>666</v>
      </c>
      <c r="X601" t="s">
        <v>194</v>
      </c>
      <c r="Y601" s="28" t="s">
        <v>9300</v>
      </c>
      <c r="AB601" t="s">
        <v>9311</v>
      </c>
      <c r="AH601" t="s">
        <v>4714</v>
      </c>
      <c r="AI601" t="s">
        <v>2536</v>
      </c>
      <c r="AJ601" s="28" t="str">
        <f t="shared" si="18"/>
        <v>333105</v>
      </c>
      <c r="AK601" s="420">
        <v>1</v>
      </c>
      <c r="AL601" s="420">
        <f t="shared" si="19"/>
        <v>1</v>
      </c>
      <c r="AM601" s="420">
        <v>1</v>
      </c>
      <c r="AN601" t="s">
        <v>17650</v>
      </c>
      <c r="AO601" t="s">
        <v>17651</v>
      </c>
      <c r="AP601" t="s">
        <v>17652</v>
      </c>
      <c r="AQ601" t="s">
        <v>17653</v>
      </c>
      <c r="AR601" t="s">
        <v>1024</v>
      </c>
    </row>
    <row r="602" spans="1:44" x14ac:dyDescent="0.25">
      <c r="A602" t="s">
        <v>19270</v>
      </c>
      <c r="B602" t="s">
        <v>22703</v>
      </c>
      <c r="C602" s="410" t="s">
        <v>740</v>
      </c>
      <c r="D602" t="s">
        <v>20326</v>
      </c>
      <c r="E602" t="s">
        <v>233</v>
      </c>
      <c r="F602" s="534">
        <v>1</v>
      </c>
      <c r="G602" t="s">
        <v>193</v>
      </c>
      <c r="H602" t="s">
        <v>194</v>
      </c>
      <c r="I602" t="s">
        <v>20360</v>
      </c>
      <c r="J602" t="s">
        <v>19272</v>
      </c>
      <c r="K602" s="28" t="s">
        <v>9309</v>
      </c>
      <c r="L602" t="s">
        <v>6955</v>
      </c>
      <c r="N602" t="s">
        <v>22704</v>
      </c>
      <c r="O602" t="s">
        <v>6921</v>
      </c>
      <c r="P602" t="s">
        <v>20509</v>
      </c>
      <c r="Q602" t="s">
        <v>20510</v>
      </c>
      <c r="R602" t="s">
        <v>20318</v>
      </c>
      <c r="S602" t="s">
        <v>22705</v>
      </c>
      <c r="T602" t="s">
        <v>22706</v>
      </c>
      <c r="V602" s="28" t="s">
        <v>19276</v>
      </c>
      <c r="W602" t="s">
        <v>741</v>
      </c>
      <c r="X602" t="s">
        <v>194</v>
      </c>
      <c r="Y602" s="28" t="s">
        <v>19277</v>
      </c>
      <c r="AB602" t="s">
        <v>9311</v>
      </c>
      <c r="AH602" t="s">
        <v>4714</v>
      </c>
      <c r="AI602" t="s">
        <v>22703</v>
      </c>
      <c r="AJ602" s="28" t="str">
        <f t="shared" si="18"/>
        <v>522301</v>
      </c>
      <c r="AK602" s="420">
        <v>1</v>
      </c>
      <c r="AL602" s="420">
        <f t="shared" si="19"/>
        <v>1</v>
      </c>
      <c r="AM602" s="420">
        <v>1</v>
      </c>
      <c r="AN602" t="s">
        <v>17650</v>
      </c>
      <c r="AO602" t="s">
        <v>17651</v>
      </c>
      <c r="AP602" t="s">
        <v>17652</v>
      </c>
      <c r="AQ602" t="s">
        <v>17653</v>
      </c>
      <c r="AR602" t="s">
        <v>1024</v>
      </c>
    </row>
    <row r="603" spans="1:44" x14ac:dyDescent="0.25">
      <c r="A603" t="s">
        <v>8187</v>
      </c>
      <c r="B603" t="s">
        <v>5412</v>
      </c>
      <c r="C603" s="410" t="s">
        <v>740</v>
      </c>
      <c r="D603" t="s">
        <v>20326</v>
      </c>
      <c r="E603" t="s">
        <v>192</v>
      </c>
      <c r="F603" s="534">
        <v>1</v>
      </c>
      <c r="G603" t="s">
        <v>193</v>
      </c>
      <c r="H603" t="s">
        <v>194</v>
      </c>
      <c r="I603" t="s">
        <v>20389</v>
      </c>
      <c r="J603" t="s">
        <v>408</v>
      </c>
      <c r="K603" s="28" t="s">
        <v>9309</v>
      </c>
      <c r="L603" t="s">
        <v>6955</v>
      </c>
      <c r="N603" t="s">
        <v>22707</v>
      </c>
      <c r="O603" t="s">
        <v>6251</v>
      </c>
      <c r="P603" t="s">
        <v>20328</v>
      </c>
      <c r="Q603" t="s">
        <v>20329</v>
      </c>
      <c r="R603" t="s">
        <v>21130</v>
      </c>
      <c r="S603" t="s">
        <v>22708</v>
      </c>
      <c r="T603" t="s">
        <v>22709</v>
      </c>
      <c r="V603" s="28" t="s">
        <v>9479</v>
      </c>
      <c r="W603" t="s">
        <v>741</v>
      </c>
      <c r="X603" t="s">
        <v>194</v>
      </c>
      <c r="Y603" s="28" t="s">
        <v>9300</v>
      </c>
      <c r="AB603" t="s">
        <v>9311</v>
      </c>
      <c r="AH603" t="s">
        <v>4714</v>
      </c>
      <c r="AI603" t="s">
        <v>5412</v>
      </c>
      <c r="AJ603" s="28" t="str">
        <f t="shared" si="18"/>
        <v>522301</v>
      </c>
      <c r="AK603" s="420">
        <v>1</v>
      </c>
      <c r="AL603" s="420">
        <f t="shared" si="19"/>
        <v>1</v>
      </c>
      <c r="AM603" s="420">
        <v>1</v>
      </c>
      <c r="AN603" t="s">
        <v>17650</v>
      </c>
      <c r="AO603" t="s">
        <v>17651</v>
      </c>
      <c r="AP603" t="s">
        <v>17652</v>
      </c>
      <c r="AQ603" t="s">
        <v>17653</v>
      </c>
      <c r="AR603" t="s">
        <v>1024</v>
      </c>
    </row>
    <row r="604" spans="1:44" x14ac:dyDescent="0.25">
      <c r="A604" t="s">
        <v>8187</v>
      </c>
      <c r="B604" t="s">
        <v>5412</v>
      </c>
      <c r="C604" s="410" t="s">
        <v>740</v>
      </c>
      <c r="D604" t="s">
        <v>20326</v>
      </c>
      <c r="E604" t="s">
        <v>192</v>
      </c>
      <c r="F604" s="534">
        <v>1</v>
      </c>
      <c r="G604" t="s">
        <v>193</v>
      </c>
      <c r="H604" t="s">
        <v>194</v>
      </c>
      <c r="I604" t="s">
        <v>20389</v>
      </c>
      <c r="J604" t="s">
        <v>385</v>
      </c>
      <c r="K604" s="28" t="s">
        <v>9309</v>
      </c>
      <c r="L604" t="s">
        <v>6955</v>
      </c>
      <c r="N604" t="s">
        <v>22710</v>
      </c>
      <c r="O604" t="s">
        <v>6251</v>
      </c>
      <c r="P604" t="s">
        <v>20328</v>
      </c>
      <c r="Q604" t="s">
        <v>20329</v>
      </c>
      <c r="R604" t="s">
        <v>21130</v>
      </c>
      <c r="S604" t="s">
        <v>22711</v>
      </c>
      <c r="T604" t="s">
        <v>22712</v>
      </c>
      <c r="V604" s="28" t="s">
        <v>9410</v>
      </c>
      <c r="W604" t="s">
        <v>741</v>
      </c>
      <c r="X604" t="s">
        <v>194</v>
      </c>
      <c r="Y604" s="28" t="s">
        <v>9300</v>
      </c>
      <c r="AB604" t="s">
        <v>9311</v>
      </c>
      <c r="AH604" t="s">
        <v>4714</v>
      </c>
      <c r="AI604" t="s">
        <v>5412</v>
      </c>
      <c r="AJ604" s="28" t="str">
        <f t="shared" si="18"/>
        <v>522301</v>
      </c>
      <c r="AK604" s="420">
        <v>1</v>
      </c>
      <c r="AL604" s="420">
        <f t="shared" si="19"/>
        <v>1</v>
      </c>
      <c r="AM604" s="420">
        <v>1</v>
      </c>
      <c r="AN604" t="s">
        <v>17650</v>
      </c>
      <c r="AO604" t="s">
        <v>17651</v>
      </c>
      <c r="AP604" t="s">
        <v>17652</v>
      </c>
      <c r="AQ604" t="s">
        <v>17653</v>
      </c>
      <c r="AR604" t="s">
        <v>1024</v>
      </c>
    </row>
    <row r="605" spans="1:44" x14ac:dyDescent="0.25">
      <c r="A605" t="s">
        <v>8187</v>
      </c>
      <c r="B605" t="s">
        <v>5412</v>
      </c>
      <c r="C605" s="410" t="s">
        <v>740</v>
      </c>
      <c r="D605" t="s">
        <v>20326</v>
      </c>
      <c r="E605" t="s">
        <v>192</v>
      </c>
      <c r="F605" s="534">
        <v>1</v>
      </c>
      <c r="G605" t="s">
        <v>193</v>
      </c>
      <c r="H605" t="s">
        <v>194</v>
      </c>
      <c r="I605" t="s">
        <v>20389</v>
      </c>
      <c r="J605" t="s">
        <v>253</v>
      </c>
      <c r="K605" s="28" t="s">
        <v>9309</v>
      </c>
      <c r="L605" t="s">
        <v>6955</v>
      </c>
      <c r="N605" t="s">
        <v>22713</v>
      </c>
      <c r="O605" t="s">
        <v>6251</v>
      </c>
      <c r="P605" t="s">
        <v>20328</v>
      </c>
      <c r="Q605" t="s">
        <v>20329</v>
      </c>
      <c r="R605" t="s">
        <v>21130</v>
      </c>
      <c r="S605" t="s">
        <v>22714</v>
      </c>
      <c r="T605" t="s">
        <v>22715</v>
      </c>
      <c r="V605" s="28" t="s">
        <v>9468</v>
      </c>
      <c r="W605" t="s">
        <v>741</v>
      </c>
      <c r="X605" t="s">
        <v>194</v>
      </c>
      <c r="Y605" s="28" t="s">
        <v>9300</v>
      </c>
      <c r="AB605" t="s">
        <v>9311</v>
      </c>
      <c r="AH605" t="s">
        <v>4714</v>
      </c>
      <c r="AI605" t="s">
        <v>5412</v>
      </c>
      <c r="AJ605" s="28" t="str">
        <f t="shared" si="18"/>
        <v>522301</v>
      </c>
      <c r="AK605" s="420">
        <v>1</v>
      </c>
      <c r="AL605" s="420">
        <f t="shared" si="19"/>
        <v>1</v>
      </c>
      <c r="AM605" s="420">
        <v>1</v>
      </c>
      <c r="AN605" t="s">
        <v>17650</v>
      </c>
      <c r="AO605" t="s">
        <v>17651</v>
      </c>
      <c r="AP605" t="s">
        <v>17652</v>
      </c>
      <c r="AQ605" t="s">
        <v>17653</v>
      </c>
      <c r="AR605" t="s">
        <v>1024</v>
      </c>
    </row>
    <row r="606" spans="1:44" x14ac:dyDescent="0.25">
      <c r="A606" t="s">
        <v>8187</v>
      </c>
      <c r="B606" t="s">
        <v>5412</v>
      </c>
      <c r="C606" s="410" t="s">
        <v>740</v>
      </c>
      <c r="D606" t="s">
        <v>20326</v>
      </c>
      <c r="E606" t="s">
        <v>192</v>
      </c>
      <c r="F606" s="534">
        <v>1</v>
      </c>
      <c r="G606" t="s">
        <v>193</v>
      </c>
      <c r="H606" t="s">
        <v>194</v>
      </c>
      <c r="I606" t="s">
        <v>20389</v>
      </c>
      <c r="J606" t="s">
        <v>367</v>
      </c>
      <c r="K606" s="28" t="s">
        <v>9309</v>
      </c>
      <c r="L606" t="s">
        <v>6955</v>
      </c>
      <c r="N606" t="s">
        <v>22716</v>
      </c>
      <c r="O606" t="s">
        <v>6251</v>
      </c>
      <c r="P606" t="s">
        <v>20328</v>
      </c>
      <c r="Q606" t="s">
        <v>20329</v>
      </c>
      <c r="R606" t="s">
        <v>21130</v>
      </c>
      <c r="S606" t="s">
        <v>22717</v>
      </c>
      <c r="T606" t="s">
        <v>22718</v>
      </c>
      <c r="V606" s="28" t="s">
        <v>9974</v>
      </c>
      <c r="W606" t="s">
        <v>741</v>
      </c>
      <c r="X606" t="s">
        <v>194</v>
      </c>
      <c r="Y606" s="28" t="s">
        <v>9300</v>
      </c>
      <c r="AB606" t="s">
        <v>9311</v>
      </c>
      <c r="AH606" t="s">
        <v>4714</v>
      </c>
      <c r="AI606" t="s">
        <v>5412</v>
      </c>
      <c r="AJ606" s="28" t="str">
        <f t="shared" si="18"/>
        <v>522301</v>
      </c>
      <c r="AK606" s="420">
        <v>1</v>
      </c>
      <c r="AL606" s="420">
        <f t="shared" si="19"/>
        <v>1</v>
      </c>
      <c r="AM606" s="420">
        <v>1</v>
      </c>
      <c r="AN606" t="s">
        <v>17650</v>
      </c>
      <c r="AO606" t="s">
        <v>17651</v>
      </c>
      <c r="AP606" t="s">
        <v>17652</v>
      </c>
      <c r="AQ606" t="s">
        <v>17653</v>
      </c>
      <c r="AR606" t="s">
        <v>1024</v>
      </c>
    </row>
    <row r="607" spans="1:44" x14ac:dyDescent="0.25">
      <c r="A607" t="s">
        <v>7436</v>
      </c>
      <c r="B607" t="s">
        <v>22719</v>
      </c>
      <c r="C607" s="410" t="s">
        <v>740</v>
      </c>
      <c r="D607" t="s">
        <v>20326</v>
      </c>
      <c r="E607" t="s">
        <v>192</v>
      </c>
      <c r="F607" s="534">
        <v>1</v>
      </c>
      <c r="G607" t="s">
        <v>193</v>
      </c>
      <c r="H607" t="s">
        <v>194</v>
      </c>
      <c r="I607" t="s">
        <v>20318</v>
      </c>
      <c r="J607" t="s">
        <v>210</v>
      </c>
      <c r="K607" s="28" t="s">
        <v>9309</v>
      </c>
      <c r="L607" t="s">
        <v>6955</v>
      </c>
      <c r="N607" t="s">
        <v>22720</v>
      </c>
      <c r="O607" t="s">
        <v>6249</v>
      </c>
      <c r="P607" t="s">
        <v>20328</v>
      </c>
      <c r="Q607" t="s">
        <v>20329</v>
      </c>
      <c r="R607" t="s">
        <v>20306</v>
      </c>
      <c r="S607" t="s">
        <v>22721</v>
      </c>
      <c r="T607" t="s">
        <v>22722</v>
      </c>
      <c r="V607" s="28" t="s">
        <v>9334</v>
      </c>
      <c r="W607" t="s">
        <v>741</v>
      </c>
      <c r="X607" t="s">
        <v>194</v>
      </c>
      <c r="Y607" s="28" t="s">
        <v>9300</v>
      </c>
      <c r="AB607" t="s">
        <v>9311</v>
      </c>
      <c r="AH607" t="s">
        <v>4714</v>
      </c>
      <c r="AI607" t="s">
        <v>22719</v>
      </c>
      <c r="AJ607" s="28" t="str">
        <f t="shared" si="18"/>
        <v>522301</v>
      </c>
      <c r="AK607" s="420">
        <v>1</v>
      </c>
      <c r="AL607" s="420">
        <f t="shared" si="19"/>
        <v>1</v>
      </c>
      <c r="AM607" s="420">
        <v>1</v>
      </c>
      <c r="AN607" t="s">
        <v>17650</v>
      </c>
      <c r="AO607" t="s">
        <v>17651</v>
      </c>
      <c r="AP607" t="s">
        <v>17652</v>
      </c>
      <c r="AQ607" t="s">
        <v>17653</v>
      </c>
      <c r="AR607" t="s">
        <v>1024</v>
      </c>
    </row>
    <row r="608" spans="1:44" x14ac:dyDescent="0.25">
      <c r="A608" t="s">
        <v>8187</v>
      </c>
      <c r="B608" t="s">
        <v>5412</v>
      </c>
      <c r="C608" s="410" t="s">
        <v>740</v>
      </c>
      <c r="D608" t="s">
        <v>20317</v>
      </c>
      <c r="E608" t="s">
        <v>192</v>
      </c>
      <c r="F608" s="534">
        <v>1</v>
      </c>
      <c r="G608" t="s">
        <v>193</v>
      </c>
      <c r="H608" t="s">
        <v>194</v>
      </c>
      <c r="I608" t="s">
        <v>20389</v>
      </c>
      <c r="J608" t="s">
        <v>1059</v>
      </c>
      <c r="K608" s="28" t="s">
        <v>9309</v>
      </c>
      <c r="L608" t="s">
        <v>6955</v>
      </c>
      <c r="N608" t="s">
        <v>22723</v>
      </c>
      <c r="O608" t="s">
        <v>6251</v>
      </c>
      <c r="P608" t="s">
        <v>20320</v>
      </c>
      <c r="Q608" t="s">
        <v>20321</v>
      </c>
      <c r="R608" t="s">
        <v>21403</v>
      </c>
      <c r="S608" t="s">
        <v>22724</v>
      </c>
      <c r="T608" t="s">
        <v>22725</v>
      </c>
      <c r="V608" s="28" t="s">
        <v>9510</v>
      </c>
      <c r="W608" t="s">
        <v>741</v>
      </c>
      <c r="X608" t="s">
        <v>194</v>
      </c>
      <c r="Y608" s="28" t="s">
        <v>9300</v>
      </c>
      <c r="AB608" t="s">
        <v>9311</v>
      </c>
      <c r="AH608" t="s">
        <v>4714</v>
      </c>
      <c r="AI608" t="s">
        <v>5412</v>
      </c>
      <c r="AJ608" s="28" t="str">
        <f t="shared" si="18"/>
        <v>522301</v>
      </c>
      <c r="AK608" s="420">
        <v>1</v>
      </c>
      <c r="AL608" s="420">
        <f t="shared" si="19"/>
        <v>1</v>
      </c>
      <c r="AM608" s="420">
        <v>1</v>
      </c>
      <c r="AN608" t="s">
        <v>17650</v>
      </c>
      <c r="AO608" t="s">
        <v>17651</v>
      </c>
      <c r="AP608" t="s">
        <v>17652</v>
      </c>
      <c r="AQ608" t="s">
        <v>17653</v>
      </c>
      <c r="AR608" t="s">
        <v>1024</v>
      </c>
    </row>
    <row r="609" spans="1:44" x14ac:dyDescent="0.25">
      <c r="A609" t="s">
        <v>8187</v>
      </c>
      <c r="B609" t="s">
        <v>5412</v>
      </c>
      <c r="C609" s="410" t="s">
        <v>740</v>
      </c>
      <c r="D609" t="s">
        <v>20317</v>
      </c>
      <c r="E609" t="s">
        <v>192</v>
      </c>
      <c r="F609" s="534">
        <v>1</v>
      </c>
      <c r="G609" t="s">
        <v>193</v>
      </c>
      <c r="H609" t="s">
        <v>194</v>
      </c>
      <c r="I609" t="s">
        <v>20389</v>
      </c>
      <c r="J609" t="s">
        <v>2183</v>
      </c>
      <c r="K609" s="28" t="s">
        <v>9309</v>
      </c>
      <c r="L609" t="s">
        <v>6955</v>
      </c>
      <c r="N609" t="s">
        <v>22726</v>
      </c>
      <c r="O609" t="s">
        <v>6251</v>
      </c>
      <c r="P609" t="s">
        <v>20320</v>
      </c>
      <c r="Q609" t="s">
        <v>20321</v>
      </c>
      <c r="R609" t="s">
        <v>21403</v>
      </c>
      <c r="S609" t="s">
        <v>22727</v>
      </c>
      <c r="T609" t="s">
        <v>22728</v>
      </c>
      <c r="V609" s="28" t="s">
        <v>9892</v>
      </c>
      <c r="W609" t="s">
        <v>741</v>
      </c>
      <c r="X609" t="s">
        <v>194</v>
      </c>
      <c r="Y609" s="28" t="s">
        <v>9300</v>
      </c>
      <c r="AB609" t="s">
        <v>9311</v>
      </c>
      <c r="AH609" t="s">
        <v>4714</v>
      </c>
      <c r="AI609" t="s">
        <v>5412</v>
      </c>
      <c r="AJ609" s="28" t="str">
        <f t="shared" si="18"/>
        <v>522301</v>
      </c>
      <c r="AK609" s="420">
        <v>1</v>
      </c>
      <c r="AL609" s="420">
        <f t="shared" si="19"/>
        <v>1</v>
      </c>
      <c r="AM609" s="420">
        <v>1</v>
      </c>
      <c r="AN609" t="s">
        <v>17650</v>
      </c>
      <c r="AO609" t="s">
        <v>17651</v>
      </c>
      <c r="AP609" t="s">
        <v>17652</v>
      </c>
      <c r="AQ609" t="s">
        <v>17653</v>
      </c>
      <c r="AR609" t="s">
        <v>1024</v>
      </c>
    </row>
    <row r="610" spans="1:44" x14ac:dyDescent="0.25">
      <c r="A610" t="s">
        <v>8187</v>
      </c>
      <c r="B610" t="s">
        <v>5412</v>
      </c>
      <c r="C610" s="410" t="s">
        <v>740</v>
      </c>
      <c r="D610" t="s">
        <v>20317</v>
      </c>
      <c r="E610" t="s">
        <v>192</v>
      </c>
      <c r="F610" s="534">
        <v>1</v>
      </c>
      <c r="G610" t="s">
        <v>193</v>
      </c>
      <c r="H610" t="s">
        <v>194</v>
      </c>
      <c r="I610" t="s">
        <v>20389</v>
      </c>
      <c r="J610" t="s">
        <v>285</v>
      </c>
      <c r="K610" s="28" t="s">
        <v>9309</v>
      </c>
      <c r="L610" t="s">
        <v>6955</v>
      </c>
      <c r="N610" t="s">
        <v>22729</v>
      </c>
      <c r="O610" t="s">
        <v>6251</v>
      </c>
      <c r="P610" t="s">
        <v>20320</v>
      </c>
      <c r="Q610" t="s">
        <v>20321</v>
      </c>
      <c r="R610" t="s">
        <v>21403</v>
      </c>
      <c r="S610" t="s">
        <v>22730</v>
      </c>
      <c r="T610" t="s">
        <v>22731</v>
      </c>
      <c r="V610" s="28" t="s">
        <v>9518</v>
      </c>
      <c r="W610" t="s">
        <v>741</v>
      </c>
      <c r="X610" t="s">
        <v>194</v>
      </c>
      <c r="Y610" s="28" t="s">
        <v>9300</v>
      </c>
      <c r="AB610" t="s">
        <v>9311</v>
      </c>
      <c r="AH610" t="s">
        <v>4714</v>
      </c>
      <c r="AI610" t="s">
        <v>5412</v>
      </c>
      <c r="AJ610" s="28" t="str">
        <f t="shared" si="18"/>
        <v>522301</v>
      </c>
      <c r="AK610" s="420">
        <v>1</v>
      </c>
      <c r="AL610" s="420">
        <f t="shared" si="19"/>
        <v>1</v>
      </c>
      <c r="AM610" s="420">
        <v>1</v>
      </c>
      <c r="AN610" t="s">
        <v>17650</v>
      </c>
      <c r="AO610" t="s">
        <v>17651</v>
      </c>
      <c r="AP610" t="s">
        <v>17652</v>
      </c>
      <c r="AQ610" t="s">
        <v>17653</v>
      </c>
      <c r="AR610" t="s">
        <v>1024</v>
      </c>
    </row>
    <row r="611" spans="1:44" x14ac:dyDescent="0.25">
      <c r="A611" t="s">
        <v>8187</v>
      </c>
      <c r="B611" t="s">
        <v>5412</v>
      </c>
      <c r="C611" s="410" t="s">
        <v>740</v>
      </c>
      <c r="D611" t="s">
        <v>20317</v>
      </c>
      <c r="E611" t="s">
        <v>192</v>
      </c>
      <c r="F611" s="534">
        <v>1</v>
      </c>
      <c r="G611" t="s">
        <v>193</v>
      </c>
      <c r="H611" t="s">
        <v>194</v>
      </c>
      <c r="I611" t="s">
        <v>20389</v>
      </c>
      <c r="J611" t="s">
        <v>408</v>
      </c>
      <c r="K611" s="28" t="s">
        <v>9309</v>
      </c>
      <c r="L611" t="s">
        <v>6955</v>
      </c>
      <c r="N611" t="s">
        <v>22732</v>
      </c>
      <c r="O611" t="s">
        <v>6251</v>
      </c>
      <c r="P611" t="s">
        <v>20320</v>
      </c>
      <c r="Q611" t="s">
        <v>20321</v>
      </c>
      <c r="R611" t="s">
        <v>21403</v>
      </c>
      <c r="S611" t="s">
        <v>22733</v>
      </c>
      <c r="T611" t="s">
        <v>22734</v>
      </c>
      <c r="V611" s="28" t="s">
        <v>9479</v>
      </c>
      <c r="W611" t="s">
        <v>741</v>
      </c>
      <c r="X611" t="s">
        <v>194</v>
      </c>
      <c r="Y611" s="28" t="s">
        <v>9300</v>
      </c>
      <c r="AB611" t="s">
        <v>9311</v>
      </c>
      <c r="AH611" t="s">
        <v>4714</v>
      </c>
      <c r="AI611" t="s">
        <v>5412</v>
      </c>
      <c r="AJ611" s="28" t="str">
        <f t="shared" si="18"/>
        <v>522301</v>
      </c>
      <c r="AK611" s="420">
        <v>1</v>
      </c>
      <c r="AL611" s="420">
        <f t="shared" si="19"/>
        <v>1</v>
      </c>
      <c r="AM611" s="420">
        <v>1</v>
      </c>
      <c r="AN611" t="s">
        <v>17650</v>
      </c>
      <c r="AO611" t="s">
        <v>17651</v>
      </c>
      <c r="AP611" t="s">
        <v>17652</v>
      </c>
      <c r="AQ611" t="s">
        <v>17653</v>
      </c>
      <c r="AR611" t="s">
        <v>1024</v>
      </c>
    </row>
    <row r="612" spans="1:44" x14ac:dyDescent="0.25">
      <c r="A612" t="s">
        <v>8187</v>
      </c>
      <c r="B612" t="s">
        <v>5412</v>
      </c>
      <c r="C612" s="410" t="s">
        <v>740</v>
      </c>
      <c r="D612" t="s">
        <v>20317</v>
      </c>
      <c r="E612" t="s">
        <v>192</v>
      </c>
      <c r="F612" s="534">
        <v>1</v>
      </c>
      <c r="G612" t="s">
        <v>193</v>
      </c>
      <c r="H612" t="s">
        <v>194</v>
      </c>
      <c r="I612" t="s">
        <v>20389</v>
      </c>
      <c r="J612" t="s">
        <v>259</v>
      </c>
      <c r="K612" s="28" t="s">
        <v>9309</v>
      </c>
      <c r="L612" t="s">
        <v>6955</v>
      </c>
      <c r="N612" t="s">
        <v>22735</v>
      </c>
      <c r="O612" t="s">
        <v>6251</v>
      </c>
      <c r="P612" t="s">
        <v>20320</v>
      </c>
      <c r="Q612" t="s">
        <v>20321</v>
      </c>
      <c r="R612" t="s">
        <v>21403</v>
      </c>
      <c r="S612" t="s">
        <v>22736</v>
      </c>
      <c r="T612" t="s">
        <v>22737</v>
      </c>
      <c r="V612" s="28" t="s">
        <v>10136</v>
      </c>
      <c r="W612" t="s">
        <v>741</v>
      </c>
      <c r="X612" t="s">
        <v>194</v>
      </c>
      <c r="Y612" s="28" t="s">
        <v>9300</v>
      </c>
      <c r="AB612" t="s">
        <v>9311</v>
      </c>
      <c r="AH612" t="s">
        <v>4714</v>
      </c>
      <c r="AI612" t="s">
        <v>5412</v>
      </c>
      <c r="AJ612" s="28" t="str">
        <f t="shared" si="18"/>
        <v>522301</v>
      </c>
      <c r="AK612" s="420">
        <v>1</v>
      </c>
      <c r="AL612" s="420">
        <f t="shared" si="19"/>
        <v>1</v>
      </c>
      <c r="AM612" s="420">
        <v>1</v>
      </c>
      <c r="AN612" t="s">
        <v>17650</v>
      </c>
      <c r="AO612" t="s">
        <v>17651</v>
      </c>
      <c r="AP612" t="s">
        <v>17652</v>
      </c>
      <c r="AQ612" t="s">
        <v>17653</v>
      </c>
      <c r="AR612" t="s">
        <v>1024</v>
      </c>
    </row>
    <row r="613" spans="1:44" x14ac:dyDescent="0.25">
      <c r="A613" t="s">
        <v>8187</v>
      </c>
      <c r="B613" t="s">
        <v>5412</v>
      </c>
      <c r="C613" s="410" t="s">
        <v>740</v>
      </c>
      <c r="D613" t="s">
        <v>20338</v>
      </c>
      <c r="E613" t="s">
        <v>192</v>
      </c>
      <c r="F613" s="534">
        <v>1</v>
      </c>
      <c r="G613" t="s">
        <v>193</v>
      </c>
      <c r="H613" t="s">
        <v>194</v>
      </c>
      <c r="I613" t="s">
        <v>20405</v>
      </c>
      <c r="J613" t="s">
        <v>2183</v>
      </c>
      <c r="K613" s="28" t="s">
        <v>9309</v>
      </c>
      <c r="L613" t="s">
        <v>6955</v>
      </c>
      <c r="N613" t="s">
        <v>22738</v>
      </c>
      <c r="O613" t="s">
        <v>6251</v>
      </c>
      <c r="P613" t="s">
        <v>20398</v>
      </c>
      <c r="Q613" t="s">
        <v>20399</v>
      </c>
      <c r="R613" t="s">
        <v>20310</v>
      </c>
      <c r="S613" t="s">
        <v>22739</v>
      </c>
      <c r="T613" t="s">
        <v>22740</v>
      </c>
      <c r="V613" s="28" t="s">
        <v>9892</v>
      </c>
      <c r="W613" t="s">
        <v>741</v>
      </c>
      <c r="X613" t="s">
        <v>194</v>
      </c>
      <c r="Y613" s="28" t="s">
        <v>9300</v>
      </c>
      <c r="AB613" t="s">
        <v>9311</v>
      </c>
      <c r="AH613" t="s">
        <v>4714</v>
      </c>
      <c r="AI613" t="s">
        <v>5412</v>
      </c>
      <c r="AJ613" s="28" t="str">
        <f t="shared" si="18"/>
        <v>522301</v>
      </c>
      <c r="AK613" s="420">
        <v>1</v>
      </c>
      <c r="AL613" s="420">
        <f t="shared" si="19"/>
        <v>1</v>
      </c>
      <c r="AM613" s="420">
        <v>1</v>
      </c>
      <c r="AN613" t="s">
        <v>17650</v>
      </c>
      <c r="AO613" t="s">
        <v>17651</v>
      </c>
      <c r="AP613" t="s">
        <v>17652</v>
      </c>
      <c r="AQ613" t="s">
        <v>17653</v>
      </c>
      <c r="AR613" t="s">
        <v>1024</v>
      </c>
    </row>
    <row r="614" spans="1:44" x14ac:dyDescent="0.25">
      <c r="A614" t="s">
        <v>8187</v>
      </c>
      <c r="B614" t="s">
        <v>5412</v>
      </c>
      <c r="C614" s="410" t="s">
        <v>740</v>
      </c>
      <c r="D614" t="s">
        <v>20338</v>
      </c>
      <c r="E614" t="s">
        <v>192</v>
      </c>
      <c r="F614" s="534">
        <v>1</v>
      </c>
      <c r="G614" t="s">
        <v>193</v>
      </c>
      <c r="H614" t="s">
        <v>194</v>
      </c>
      <c r="I614" t="s">
        <v>20405</v>
      </c>
      <c r="J614" t="s">
        <v>285</v>
      </c>
      <c r="K614" s="28" t="s">
        <v>9309</v>
      </c>
      <c r="L614" t="s">
        <v>6955</v>
      </c>
      <c r="N614" t="s">
        <v>22741</v>
      </c>
      <c r="O614" t="s">
        <v>6251</v>
      </c>
      <c r="P614" t="s">
        <v>20398</v>
      </c>
      <c r="Q614" t="s">
        <v>20399</v>
      </c>
      <c r="R614" t="s">
        <v>20310</v>
      </c>
      <c r="S614" t="s">
        <v>22742</v>
      </c>
      <c r="T614" t="s">
        <v>22743</v>
      </c>
      <c r="V614" s="28" t="s">
        <v>9518</v>
      </c>
      <c r="W614" t="s">
        <v>741</v>
      </c>
      <c r="X614" t="s">
        <v>194</v>
      </c>
      <c r="Y614" s="28" t="s">
        <v>9300</v>
      </c>
      <c r="AB614" t="s">
        <v>9311</v>
      </c>
      <c r="AH614" t="s">
        <v>4714</v>
      </c>
      <c r="AI614" t="s">
        <v>5412</v>
      </c>
      <c r="AJ614" s="28" t="str">
        <f t="shared" si="18"/>
        <v>522301</v>
      </c>
      <c r="AK614" s="420">
        <v>1</v>
      </c>
      <c r="AL614" s="420">
        <f t="shared" si="19"/>
        <v>1</v>
      </c>
      <c r="AM614" s="420">
        <v>1</v>
      </c>
      <c r="AN614" t="s">
        <v>17650</v>
      </c>
      <c r="AO614" t="s">
        <v>17651</v>
      </c>
      <c r="AP614" t="s">
        <v>17652</v>
      </c>
      <c r="AQ614" t="s">
        <v>17653</v>
      </c>
      <c r="AR614" t="s">
        <v>1024</v>
      </c>
    </row>
    <row r="615" spans="1:44" x14ac:dyDescent="0.25">
      <c r="A615" t="s">
        <v>8187</v>
      </c>
      <c r="B615" t="s">
        <v>5412</v>
      </c>
      <c r="C615" s="410" t="s">
        <v>740</v>
      </c>
      <c r="D615" t="s">
        <v>20338</v>
      </c>
      <c r="E615" t="s">
        <v>192</v>
      </c>
      <c r="F615" s="534">
        <v>1</v>
      </c>
      <c r="G615" t="s">
        <v>193</v>
      </c>
      <c r="H615" t="s">
        <v>194</v>
      </c>
      <c r="I615" t="s">
        <v>20405</v>
      </c>
      <c r="J615" t="s">
        <v>408</v>
      </c>
      <c r="K615" s="28" t="s">
        <v>9309</v>
      </c>
      <c r="L615" t="s">
        <v>6955</v>
      </c>
      <c r="N615" t="s">
        <v>22744</v>
      </c>
      <c r="O615" t="s">
        <v>6251</v>
      </c>
      <c r="P615" t="s">
        <v>20398</v>
      </c>
      <c r="Q615" t="s">
        <v>20399</v>
      </c>
      <c r="R615" t="s">
        <v>20310</v>
      </c>
      <c r="S615" t="s">
        <v>22745</v>
      </c>
      <c r="T615" t="s">
        <v>22746</v>
      </c>
      <c r="V615" s="28" t="s">
        <v>9479</v>
      </c>
      <c r="W615" t="s">
        <v>741</v>
      </c>
      <c r="X615" t="s">
        <v>194</v>
      </c>
      <c r="Y615" s="28" t="s">
        <v>9300</v>
      </c>
      <c r="AB615" t="s">
        <v>9311</v>
      </c>
      <c r="AH615" t="s">
        <v>4714</v>
      </c>
      <c r="AI615" t="s">
        <v>5412</v>
      </c>
      <c r="AJ615" s="28" t="str">
        <f t="shared" si="18"/>
        <v>522301</v>
      </c>
      <c r="AK615" s="420">
        <v>1</v>
      </c>
      <c r="AL615" s="420">
        <f t="shared" si="19"/>
        <v>1</v>
      </c>
      <c r="AM615" s="420">
        <v>1</v>
      </c>
      <c r="AN615" t="s">
        <v>17650</v>
      </c>
      <c r="AO615" t="s">
        <v>17651</v>
      </c>
      <c r="AP615" t="s">
        <v>17652</v>
      </c>
      <c r="AQ615" t="s">
        <v>17653</v>
      </c>
      <c r="AR615" t="s">
        <v>1024</v>
      </c>
    </row>
    <row r="616" spans="1:44" x14ac:dyDescent="0.25">
      <c r="A616" t="s">
        <v>22747</v>
      </c>
      <c r="B616" t="s">
        <v>22748</v>
      </c>
      <c r="C616" s="410" t="s">
        <v>740</v>
      </c>
      <c r="D616" t="s">
        <v>20306</v>
      </c>
      <c r="E616" t="s">
        <v>192</v>
      </c>
      <c r="F616" s="534">
        <v>1</v>
      </c>
      <c r="G616" t="s">
        <v>193</v>
      </c>
      <c r="H616" t="s">
        <v>194</v>
      </c>
      <c r="I616" t="s">
        <v>20307</v>
      </c>
      <c r="J616" t="s">
        <v>276</v>
      </c>
      <c r="K616" s="28" t="s">
        <v>9309</v>
      </c>
      <c r="L616" t="s">
        <v>6955</v>
      </c>
      <c r="N616" t="s">
        <v>22749</v>
      </c>
      <c r="O616" t="s">
        <v>6343</v>
      </c>
      <c r="P616" t="s">
        <v>20309</v>
      </c>
      <c r="Q616" t="s">
        <v>20310</v>
      </c>
      <c r="R616" t="s">
        <v>20311</v>
      </c>
      <c r="S616" t="s">
        <v>22750</v>
      </c>
      <c r="T616" t="s">
        <v>22751</v>
      </c>
      <c r="V616" s="28" t="s">
        <v>9786</v>
      </c>
      <c r="W616" t="s">
        <v>741</v>
      </c>
      <c r="X616" t="s">
        <v>194</v>
      </c>
      <c r="Y616" s="28" t="s">
        <v>9300</v>
      </c>
      <c r="AB616" t="s">
        <v>9311</v>
      </c>
      <c r="AH616" t="s">
        <v>4714</v>
      </c>
      <c r="AI616" t="s">
        <v>22748</v>
      </c>
      <c r="AJ616" s="28" t="str">
        <f t="shared" si="18"/>
        <v>522301</v>
      </c>
      <c r="AK616" s="420">
        <v>1</v>
      </c>
      <c r="AL616" s="420">
        <f t="shared" si="19"/>
        <v>1</v>
      </c>
      <c r="AM616" s="420">
        <v>1</v>
      </c>
      <c r="AN616" t="s">
        <v>17650</v>
      </c>
      <c r="AO616" t="s">
        <v>17651</v>
      </c>
      <c r="AP616" t="s">
        <v>17652</v>
      </c>
      <c r="AQ616" t="s">
        <v>17653</v>
      </c>
      <c r="AR616" t="s">
        <v>1024</v>
      </c>
    </row>
    <row r="617" spans="1:44" x14ac:dyDescent="0.25">
      <c r="A617" t="s">
        <v>8187</v>
      </c>
      <c r="B617" t="s">
        <v>22752</v>
      </c>
      <c r="C617" s="410" t="s">
        <v>740</v>
      </c>
      <c r="D617" t="s">
        <v>20306</v>
      </c>
      <c r="E617" t="s">
        <v>192</v>
      </c>
      <c r="F617" s="534">
        <v>1</v>
      </c>
      <c r="G617" t="s">
        <v>193</v>
      </c>
      <c r="H617" t="s">
        <v>194</v>
      </c>
      <c r="I617" t="s">
        <v>20307</v>
      </c>
      <c r="J617" t="s">
        <v>210</v>
      </c>
      <c r="K617" s="28" t="s">
        <v>9309</v>
      </c>
      <c r="L617" t="s">
        <v>6955</v>
      </c>
      <c r="N617" t="s">
        <v>22753</v>
      </c>
      <c r="O617" t="s">
        <v>6251</v>
      </c>
      <c r="P617" t="s">
        <v>20309</v>
      </c>
      <c r="Q617" t="s">
        <v>20310</v>
      </c>
      <c r="R617" t="s">
        <v>22373</v>
      </c>
      <c r="S617" t="s">
        <v>22754</v>
      </c>
      <c r="T617" t="s">
        <v>22755</v>
      </c>
      <c r="V617" s="28" t="s">
        <v>9334</v>
      </c>
      <c r="W617" t="s">
        <v>741</v>
      </c>
      <c r="X617" t="s">
        <v>194</v>
      </c>
      <c r="Y617" s="28" t="s">
        <v>9300</v>
      </c>
      <c r="AB617" t="s">
        <v>9311</v>
      </c>
      <c r="AH617" t="s">
        <v>4714</v>
      </c>
      <c r="AI617" t="s">
        <v>22752</v>
      </c>
      <c r="AJ617" s="28" t="str">
        <f t="shared" si="18"/>
        <v>522301</v>
      </c>
      <c r="AK617" s="420">
        <v>1</v>
      </c>
      <c r="AL617" s="420">
        <f t="shared" si="19"/>
        <v>1</v>
      </c>
      <c r="AM617" s="420">
        <v>1</v>
      </c>
      <c r="AN617" t="s">
        <v>17650</v>
      </c>
      <c r="AO617" t="s">
        <v>17651</v>
      </c>
      <c r="AP617" t="s">
        <v>17652</v>
      </c>
      <c r="AQ617" t="s">
        <v>17653</v>
      </c>
      <c r="AR617" t="s">
        <v>1024</v>
      </c>
    </row>
    <row r="618" spans="1:44" x14ac:dyDescent="0.25">
      <c r="A618" t="s">
        <v>8187</v>
      </c>
      <c r="B618" t="s">
        <v>5412</v>
      </c>
      <c r="C618" s="410" t="s">
        <v>740</v>
      </c>
      <c r="D618" t="s">
        <v>20306</v>
      </c>
      <c r="E618" t="s">
        <v>192</v>
      </c>
      <c r="F618" s="534">
        <v>1</v>
      </c>
      <c r="G618" t="s">
        <v>193</v>
      </c>
      <c r="H618" t="s">
        <v>194</v>
      </c>
      <c r="I618" t="s">
        <v>20307</v>
      </c>
      <c r="J618" t="s">
        <v>223</v>
      </c>
      <c r="K618" s="28" t="s">
        <v>9309</v>
      </c>
      <c r="L618" t="s">
        <v>6955</v>
      </c>
      <c r="N618" t="s">
        <v>22756</v>
      </c>
      <c r="O618" t="s">
        <v>6251</v>
      </c>
      <c r="P618" t="s">
        <v>20309</v>
      </c>
      <c r="Q618" t="s">
        <v>20310</v>
      </c>
      <c r="R618" t="s">
        <v>22373</v>
      </c>
      <c r="S618" t="s">
        <v>22757</v>
      </c>
      <c r="T618" t="s">
        <v>22758</v>
      </c>
      <c r="V618" s="28" t="s">
        <v>11163</v>
      </c>
      <c r="W618" t="s">
        <v>741</v>
      </c>
      <c r="X618" t="s">
        <v>194</v>
      </c>
      <c r="Y618" s="28" t="s">
        <v>9300</v>
      </c>
      <c r="AB618" t="s">
        <v>9311</v>
      </c>
      <c r="AH618" t="s">
        <v>4714</v>
      </c>
      <c r="AI618" t="s">
        <v>5412</v>
      </c>
      <c r="AJ618" s="28" t="str">
        <f t="shared" si="18"/>
        <v>522301</v>
      </c>
      <c r="AK618" s="420">
        <v>1</v>
      </c>
      <c r="AL618" s="420">
        <f t="shared" si="19"/>
        <v>1</v>
      </c>
      <c r="AM618" s="420">
        <v>1</v>
      </c>
      <c r="AN618" t="s">
        <v>17650</v>
      </c>
      <c r="AO618" t="s">
        <v>17651</v>
      </c>
      <c r="AP618" t="s">
        <v>17652</v>
      </c>
      <c r="AQ618" t="s">
        <v>17653</v>
      </c>
      <c r="AR618" t="s">
        <v>1024</v>
      </c>
    </row>
    <row r="619" spans="1:44" x14ac:dyDescent="0.25">
      <c r="A619" t="s">
        <v>8187</v>
      </c>
      <c r="B619" t="s">
        <v>5412</v>
      </c>
      <c r="C619" s="410" t="s">
        <v>740</v>
      </c>
      <c r="D619" t="s">
        <v>20306</v>
      </c>
      <c r="E619" t="s">
        <v>192</v>
      </c>
      <c r="F619" s="534">
        <v>1</v>
      </c>
      <c r="G619" t="s">
        <v>193</v>
      </c>
      <c r="H619" t="s">
        <v>194</v>
      </c>
      <c r="I619" t="s">
        <v>20307</v>
      </c>
      <c r="J619" t="s">
        <v>1059</v>
      </c>
      <c r="K619" s="28" t="s">
        <v>9309</v>
      </c>
      <c r="L619" t="s">
        <v>6955</v>
      </c>
      <c r="N619" t="s">
        <v>22759</v>
      </c>
      <c r="O619" t="s">
        <v>6251</v>
      </c>
      <c r="P619" t="s">
        <v>20309</v>
      </c>
      <c r="Q619" t="s">
        <v>20310</v>
      </c>
      <c r="R619" t="s">
        <v>22373</v>
      </c>
      <c r="S619" t="s">
        <v>22760</v>
      </c>
      <c r="T619" t="s">
        <v>22761</v>
      </c>
      <c r="V619" s="28" t="s">
        <v>9510</v>
      </c>
      <c r="W619" t="s">
        <v>741</v>
      </c>
      <c r="X619" t="s">
        <v>194</v>
      </c>
      <c r="Y619" s="28" t="s">
        <v>9300</v>
      </c>
      <c r="AB619" t="s">
        <v>9311</v>
      </c>
      <c r="AH619" t="s">
        <v>4714</v>
      </c>
      <c r="AI619" t="s">
        <v>5412</v>
      </c>
      <c r="AJ619" s="28" t="str">
        <f t="shared" si="18"/>
        <v>522301</v>
      </c>
      <c r="AK619" s="420">
        <v>1</v>
      </c>
      <c r="AL619" s="420">
        <f t="shared" si="19"/>
        <v>1</v>
      </c>
      <c r="AM619" s="420">
        <v>1</v>
      </c>
      <c r="AN619" t="s">
        <v>17650</v>
      </c>
      <c r="AO619" t="s">
        <v>17651</v>
      </c>
      <c r="AP619" t="s">
        <v>17652</v>
      </c>
      <c r="AQ619" t="s">
        <v>17653</v>
      </c>
      <c r="AR619" t="s">
        <v>1024</v>
      </c>
    </row>
    <row r="620" spans="1:44" x14ac:dyDescent="0.25">
      <c r="A620" t="s">
        <v>8187</v>
      </c>
      <c r="B620" t="s">
        <v>5412</v>
      </c>
      <c r="C620" s="410" t="s">
        <v>740</v>
      </c>
      <c r="D620" t="s">
        <v>20306</v>
      </c>
      <c r="E620" t="s">
        <v>192</v>
      </c>
      <c r="F620" s="534">
        <v>1</v>
      </c>
      <c r="G620" t="s">
        <v>193</v>
      </c>
      <c r="H620" t="s">
        <v>194</v>
      </c>
      <c r="I620" t="s">
        <v>20307</v>
      </c>
      <c r="J620" t="s">
        <v>285</v>
      </c>
      <c r="K620" s="28" t="s">
        <v>9309</v>
      </c>
      <c r="L620" t="s">
        <v>6955</v>
      </c>
      <c r="N620" t="s">
        <v>22762</v>
      </c>
      <c r="O620" t="s">
        <v>6251</v>
      </c>
      <c r="P620" t="s">
        <v>20309</v>
      </c>
      <c r="Q620" t="s">
        <v>20310</v>
      </c>
      <c r="R620" t="s">
        <v>22373</v>
      </c>
      <c r="S620" t="s">
        <v>22763</v>
      </c>
      <c r="T620" t="s">
        <v>22764</v>
      </c>
      <c r="V620" s="28" t="s">
        <v>9518</v>
      </c>
      <c r="W620" t="s">
        <v>741</v>
      </c>
      <c r="X620" t="s">
        <v>194</v>
      </c>
      <c r="Y620" s="28" t="s">
        <v>9300</v>
      </c>
      <c r="AB620" t="s">
        <v>9311</v>
      </c>
      <c r="AH620" t="s">
        <v>4714</v>
      </c>
      <c r="AI620" t="s">
        <v>5412</v>
      </c>
      <c r="AJ620" s="28" t="str">
        <f t="shared" si="18"/>
        <v>522301</v>
      </c>
      <c r="AK620" s="420">
        <v>1</v>
      </c>
      <c r="AL620" s="420">
        <f t="shared" si="19"/>
        <v>1</v>
      </c>
      <c r="AM620" s="420">
        <v>1</v>
      </c>
      <c r="AN620" t="s">
        <v>17650</v>
      </c>
      <c r="AO620" t="s">
        <v>17651</v>
      </c>
      <c r="AP620" t="s">
        <v>17652</v>
      </c>
      <c r="AQ620" t="s">
        <v>17653</v>
      </c>
      <c r="AR620" t="s">
        <v>1024</v>
      </c>
    </row>
    <row r="621" spans="1:44" x14ac:dyDescent="0.25">
      <c r="A621" t="s">
        <v>8187</v>
      </c>
      <c r="B621" t="s">
        <v>22752</v>
      </c>
      <c r="C621" s="410" t="s">
        <v>740</v>
      </c>
      <c r="D621" t="s">
        <v>20306</v>
      </c>
      <c r="E621" t="s">
        <v>192</v>
      </c>
      <c r="F621" s="534">
        <v>1</v>
      </c>
      <c r="G621" t="s">
        <v>193</v>
      </c>
      <c r="H621" t="s">
        <v>194</v>
      </c>
      <c r="I621" t="s">
        <v>20307</v>
      </c>
      <c r="J621" t="s">
        <v>22765</v>
      </c>
      <c r="K621" s="28" t="s">
        <v>9309</v>
      </c>
      <c r="L621" t="s">
        <v>6955</v>
      </c>
      <c r="N621" t="s">
        <v>22766</v>
      </c>
      <c r="O621" t="s">
        <v>6251</v>
      </c>
      <c r="P621" t="s">
        <v>20309</v>
      </c>
      <c r="Q621" t="s">
        <v>20310</v>
      </c>
      <c r="R621" t="s">
        <v>22373</v>
      </c>
      <c r="S621" t="s">
        <v>22767</v>
      </c>
      <c r="T621" t="s">
        <v>22768</v>
      </c>
      <c r="V621" s="28" t="s">
        <v>11163</v>
      </c>
      <c r="W621" t="s">
        <v>741</v>
      </c>
      <c r="X621" t="s">
        <v>194</v>
      </c>
      <c r="Y621" s="28" t="s">
        <v>9300</v>
      </c>
      <c r="AB621" t="s">
        <v>9311</v>
      </c>
      <c r="AH621" t="s">
        <v>4714</v>
      </c>
      <c r="AI621" t="s">
        <v>22752</v>
      </c>
      <c r="AJ621" s="28" t="str">
        <f t="shared" si="18"/>
        <v>522301</v>
      </c>
      <c r="AK621" s="420">
        <v>1</v>
      </c>
      <c r="AL621" s="420">
        <f t="shared" si="19"/>
        <v>1</v>
      </c>
      <c r="AM621" s="420">
        <v>1</v>
      </c>
      <c r="AN621" t="s">
        <v>17650</v>
      </c>
      <c r="AO621" t="s">
        <v>17651</v>
      </c>
      <c r="AP621" t="s">
        <v>17652</v>
      </c>
      <c r="AQ621" t="s">
        <v>17653</v>
      </c>
      <c r="AR621" t="s">
        <v>1024</v>
      </c>
    </row>
    <row r="622" spans="1:44" x14ac:dyDescent="0.25">
      <c r="A622" t="s">
        <v>22769</v>
      </c>
      <c r="B622" t="s">
        <v>8</v>
      </c>
      <c r="C622" s="410" t="s">
        <v>18431</v>
      </c>
      <c r="D622" t="s">
        <v>20306</v>
      </c>
      <c r="E622" t="s">
        <v>252</v>
      </c>
      <c r="F622" s="534">
        <v>1</v>
      </c>
      <c r="G622" t="s">
        <v>193</v>
      </c>
      <c r="H622" t="s">
        <v>194</v>
      </c>
      <c r="I622" t="s">
        <v>20322</v>
      </c>
      <c r="J622" t="s">
        <v>755</v>
      </c>
      <c r="K622" s="28" t="s">
        <v>9309</v>
      </c>
      <c r="L622" t="s">
        <v>6955</v>
      </c>
      <c r="N622" t="s">
        <v>22770</v>
      </c>
      <c r="O622" t="s">
        <v>6249</v>
      </c>
      <c r="P622" t="s">
        <v>22771</v>
      </c>
      <c r="Q622" t="s">
        <v>22772</v>
      </c>
      <c r="R622" t="s">
        <v>20306</v>
      </c>
      <c r="S622" t="s">
        <v>22773</v>
      </c>
      <c r="T622" t="s">
        <v>22774</v>
      </c>
      <c r="V622" s="28" t="s">
        <v>9726</v>
      </c>
      <c r="W622" t="s">
        <v>18435</v>
      </c>
      <c r="X622" t="s">
        <v>194</v>
      </c>
      <c r="Y622" s="28" t="s">
        <v>9300</v>
      </c>
      <c r="AB622" t="s">
        <v>9311</v>
      </c>
      <c r="AH622" t="s">
        <v>4714</v>
      </c>
      <c r="AI622" t="s">
        <v>8</v>
      </c>
      <c r="AJ622" s="28" t="str">
        <f t="shared" si="18"/>
        <v>524502</v>
      </c>
      <c r="AK622" s="420">
        <v>1</v>
      </c>
      <c r="AL622" s="420">
        <f t="shared" si="19"/>
        <v>1</v>
      </c>
      <c r="AM622" s="420">
        <v>1</v>
      </c>
      <c r="AN622" t="s">
        <v>17650</v>
      </c>
      <c r="AO622" t="s">
        <v>17651</v>
      </c>
      <c r="AP622" t="s">
        <v>17652</v>
      </c>
      <c r="AQ622" t="s">
        <v>17653</v>
      </c>
      <c r="AR622" t="s">
        <v>1024</v>
      </c>
    </row>
    <row r="623" spans="1:44" x14ac:dyDescent="0.25">
      <c r="A623" t="s">
        <v>3262</v>
      </c>
      <c r="B623" t="s">
        <v>22775</v>
      </c>
      <c r="C623" s="410" t="s">
        <v>18431</v>
      </c>
      <c r="D623" t="s">
        <v>20306</v>
      </c>
      <c r="E623" t="s">
        <v>192</v>
      </c>
      <c r="F623" s="534">
        <v>1</v>
      </c>
      <c r="G623" t="s">
        <v>193</v>
      </c>
      <c r="H623" t="s">
        <v>194</v>
      </c>
      <c r="I623" t="s">
        <v>20307</v>
      </c>
      <c r="J623" t="s">
        <v>9302</v>
      </c>
      <c r="K623" s="28" t="s">
        <v>9309</v>
      </c>
      <c r="L623" t="s">
        <v>6955</v>
      </c>
      <c r="N623" t="s">
        <v>22776</v>
      </c>
      <c r="O623" t="s">
        <v>6251</v>
      </c>
      <c r="P623" t="s">
        <v>20309</v>
      </c>
      <c r="Q623" t="s">
        <v>20310</v>
      </c>
      <c r="R623" t="s">
        <v>20418</v>
      </c>
      <c r="S623" t="s">
        <v>22777</v>
      </c>
      <c r="T623" t="s">
        <v>22778</v>
      </c>
      <c r="W623" t="s">
        <v>18435</v>
      </c>
      <c r="X623" t="s">
        <v>193</v>
      </c>
      <c r="Y623" s="28" t="s">
        <v>9310</v>
      </c>
      <c r="AB623" t="s">
        <v>9311</v>
      </c>
      <c r="AH623" t="s">
        <v>4714</v>
      </c>
      <c r="AI623" t="s">
        <v>22775</v>
      </c>
      <c r="AJ623" s="28" t="str">
        <f t="shared" si="18"/>
        <v>524502</v>
      </c>
      <c r="AK623" s="420">
        <v>1</v>
      </c>
      <c r="AL623" s="420">
        <f t="shared" si="19"/>
        <v>1</v>
      </c>
      <c r="AM623" s="420">
        <v>1</v>
      </c>
      <c r="AN623" t="s">
        <v>17650</v>
      </c>
      <c r="AO623" t="s">
        <v>17651</v>
      </c>
      <c r="AP623" t="s">
        <v>17652</v>
      </c>
      <c r="AQ623" t="s">
        <v>17653</v>
      </c>
      <c r="AR623" t="s">
        <v>1024</v>
      </c>
    </row>
    <row r="624" spans="1:44" x14ac:dyDescent="0.25">
      <c r="A624" t="s">
        <v>22779</v>
      </c>
      <c r="B624" t="s">
        <v>22780</v>
      </c>
      <c r="C624" s="410" t="s">
        <v>18431</v>
      </c>
      <c r="D624" t="s">
        <v>20306</v>
      </c>
      <c r="E624" t="s">
        <v>192</v>
      </c>
      <c r="F624" s="534">
        <v>1</v>
      </c>
      <c r="G624" t="s">
        <v>193</v>
      </c>
      <c r="H624" t="s">
        <v>194</v>
      </c>
      <c r="I624" t="s">
        <v>20307</v>
      </c>
      <c r="J624" t="s">
        <v>253</v>
      </c>
      <c r="K624" s="28" t="s">
        <v>9309</v>
      </c>
      <c r="L624" t="s">
        <v>6955</v>
      </c>
      <c r="N624" t="s">
        <v>22781</v>
      </c>
      <c r="O624" t="s">
        <v>6249</v>
      </c>
      <c r="P624" t="s">
        <v>20309</v>
      </c>
      <c r="Q624" t="s">
        <v>20310</v>
      </c>
      <c r="R624" t="s">
        <v>20311</v>
      </c>
      <c r="S624" t="s">
        <v>22782</v>
      </c>
      <c r="T624" t="s">
        <v>22783</v>
      </c>
      <c r="V624" s="28" t="s">
        <v>9468</v>
      </c>
      <c r="W624" t="s">
        <v>18435</v>
      </c>
      <c r="X624" t="s">
        <v>194</v>
      </c>
      <c r="Y624" s="28" t="s">
        <v>9300</v>
      </c>
      <c r="AB624" t="s">
        <v>9311</v>
      </c>
      <c r="AH624" t="s">
        <v>4714</v>
      </c>
      <c r="AI624" t="s">
        <v>22780</v>
      </c>
      <c r="AJ624" s="28" t="str">
        <f t="shared" si="18"/>
        <v>524502</v>
      </c>
      <c r="AK624" s="420">
        <v>1</v>
      </c>
      <c r="AL624" s="420">
        <f t="shared" si="19"/>
        <v>1</v>
      </c>
      <c r="AM624" s="420">
        <v>1</v>
      </c>
      <c r="AN624" t="s">
        <v>17650</v>
      </c>
      <c r="AO624" t="s">
        <v>17651</v>
      </c>
      <c r="AP624" t="s">
        <v>17652</v>
      </c>
      <c r="AQ624" t="s">
        <v>17653</v>
      </c>
      <c r="AR624" t="s">
        <v>1024</v>
      </c>
    </row>
    <row r="625" spans="1:44" x14ac:dyDescent="0.25">
      <c r="A625" t="s">
        <v>14323</v>
      </c>
      <c r="B625" t="s">
        <v>14324</v>
      </c>
      <c r="C625" s="410" t="s">
        <v>4340</v>
      </c>
      <c r="D625" t="s">
        <v>20326</v>
      </c>
      <c r="E625" t="s">
        <v>233</v>
      </c>
      <c r="F625" s="534">
        <v>1</v>
      </c>
      <c r="G625" t="s">
        <v>194</v>
      </c>
      <c r="H625" t="s">
        <v>193</v>
      </c>
      <c r="I625" t="s">
        <v>20360</v>
      </c>
      <c r="J625" t="s">
        <v>9302</v>
      </c>
      <c r="K625" s="28" t="s">
        <v>9309</v>
      </c>
      <c r="L625" t="s">
        <v>6955</v>
      </c>
      <c r="N625" t="s">
        <v>22784</v>
      </c>
      <c r="O625" t="s">
        <v>6256</v>
      </c>
      <c r="P625" t="s">
        <v>20595</v>
      </c>
      <c r="Q625" t="s">
        <v>20373</v>
      </c>
      <c r="R625" t="s">
        <v>20596</v>
      </c>
      <c r="S625" t="s">
        <v>22785</v>
      </c>
      <c r="T625" t="s">
        <v>22786</v>
      </c>
      <c r="W625" t="s">
        <v>4341</v>
      </c>
      <c r="X625" t="s">
        <v>194</v>
      </c>
      <c r="Y625" s="28" t="s">
        <v>9946</v>
      </c>
      <c r="AB625" t="s">
        <v>9311</v>
      </c>
      <c r="AH625" t="s">
        <v>4714</v>
      </c>
      <c r="AI625" t="s">
        <v>4340</v>
      </c>
      <c r="AJ625" s="28" t="str">
        <f t="shared" si="18"/>
        <v>711503</v>
      </c>
      <c r="AK625" s="420">
        <v>1</v>
      </c>
      <c r="AL625" s="420">
        <f t="shared" si="19"/>
        <v>1</v>
      </c>
      <c r="AM625" s="420">
        <v>1</v>
      </c>
      <c r="AN625" t="s">
        <v>17650</v>
      </c>
      <c r="AO625" t="s">
        <v>17651</v>
      </c>
      <c r="AP625" t="s">
        <v>17652</v>
      </c>
      <c r="AQ625" t="s">
        <v>17653</v>
      </c>
      <c r="AR625" t="s">
        <v>1024</v>
      </c>
    </row>
    <row r="626" spans="1:44" x14ac:dyDescent="0.25">
      <c r="A626" t="s">
        <v>22338</v>
      </c>
      <c r="B626" t="s">
        <v>7124</v>
      </c>
      <c r="C626" s="410" t="s">
        <v>814</v>
      </c>
      <c r="D626" t="s">
        <v>20360</v>
      </c>
      <c r="E626" t="s">
        <v>252</v>
      </c>
      <c r="F626" s="534">
        <v>1</v>
      </c>
      <c r="G626" t="s">
        <v>193</v>
      </c>
      <c r="H626" t="s">
        <v>194</v>
      </c>
      <c r="I626" t="s">
        <v>20333</v>
      </c>
      <c r="J626" t="s">
        <v>8527</v>
      </c>
      <c r="K626" s="28" t="s">
        <v>9309</v>
      </c>
      <c r="L626" t="s">
        <v>6955</v>
      </c>
      <c r="N626" t="s">
        <v>22787</v>
      </c>
      <c r="O626" t="s">
        <v>6275</v>
      </c>
      <c r="P626" t="s">
        <v>21632</v>
      </c>
      <c r="Q626" t="s">
        <v>20422</v>
      </c>
      <c r="R626" t="s">
        <v>20307</v>
      </c>
      <c r="S626" t="s">
        <v>22788</v>
      </c>
      <c r="T626" t="s">
        <v>22789</v>
      </c>
      <c r="W626" t="s">
        <v>815</v>
      </c>
      <c r="X626" t="s">
        <v>193</v>
      </c>
      <c r="Y626" s="28" t="s">
        <v>9310</v>
      </c>
      <c r="AB626" t="s">
        <v>9311</v>
      </c>
      <c r="AH626" t="s">
        <v>4714</v>
      </c>
      <c r="AI626" t="s">
        <v>9433</v>
      </c>
      <c r="AJ626" s="28" t="str">
        <f t="shared" si="18"/>
        <v>722312</v>
      </c>
      <c r="AK626" s="420">
        <v>1</v>
      </c>
      <c r="AL626" s="420">
        <f t="shared" si="19"/>
        <v>1</v>
      </c>
      <c r="AM626" s="420">
        <v>1</v>
      </c>
      <c r="AN626" t="s">
        <v>17650</v>
      </c>
      <c r="AO626" t="s">
        <v>17651</v>
      </c>
      <c r="AP626" t="s">
        <v>17652</v>
      </c>
      <c r="AQ626" t="s">
        <v>17653</v>
      </c>
      <c r="AR626" t="s">
        <v>1024</v>
      </c>
    </row>
    <row r="627" spans="1:44" x14ac:dyDescent="0.25">
      <c r="A627" t="s">
        <v>22790</v>
      </c>
      <c r="B627" t="s">
        <v>22791</v>
      </c>
      <c r="C627" s="410" t="s">
        <v>15940</v>
      </c>
      <c r="D627" t="s">
        <v>20306</v>
      </c>
      <c r="E627" t="s">
        <v>192</v>
      </c>
      <c r="F627" s="534">
        <v>1</v>
      </c>
      <c r="G627" t="s">
        <v>193</v>
      </c>
      <c r="H627" t="s">
        <v>194</v>
      </c>
      <c r="I627" t="s">
        <v>20307</v>
      </c>
      <c r="J627" t="s">
        <v>210</v>
      </c>
      <c r="K627" s="28" t="s">
        <v>9309</v>
      </c>
      <c r="L627" t="s">
        <v>6955</v>
      </c>
      <c r="N627" t="s">
        <v>22792</v>
      </c>
      <c r="O627" t="s">
        <v>6275</v>
      </c>
      <c r="P627" t="s">
        <v>20309</v>
      </c>
      <c r="Q627" t="s">
        <v>20310</v>
      </c>
      <c r="R627" t="s">
        <v>20311</v>
      </c>
      <c r="S627" t="s">
        <v>22793</v>
      </c>
      <c r="T627" t="s">
        <v>22794</v>
      </c>
      <c r="V627" s="28" t="s">
        <v>9334</v>
      </c>
      <c r="W627" t="s">
        <v>15944</v>
      </c>
      <c r="X627" t="s">
        <v>194</v>
      </c>
      <c r="Y627" s="28" t="s">
        <v>9300</v>
      </c>
      <c r="AB627" t="s">
        <v>9311</v>
      </c>
      <c r="AH627" t="s">
        <v>4714</v>
      </c>
      <c r="AI627" t="s">
        <v>22791</v>
      </c>
      <c r="AJ627" s="28" t="str">
        <f t="shared" si="18"/>
        <v>753303</v>
      </c>
      <c r="AK627" s="420">
        <v>1</v>
      </c>
      <c r="AL627" s="420">
        <f t="shared" si="19"/>
        <v>1</v>
      </c>
      <c r="AM627" s="420">
        <v>1</v>
      </c>
      <c r="AN627" t="s">
        <v>17650</v>
      </c>
      <c r="AO627" t="s">
        <v>17651</v>
      </c>
      <c r="AP627" t="s">
        <v>17652</v>
      </c>
      <c r="AQ627" t="s">
        <v>17653</v>
      </c>
      <c r="AR627" t="s">
        <v>1024</v>
      </c>
    </row>
    <row r="628" spans="1:44" x14ac:dyDescent="0.25">
      <c r="A628" t="s">
        <v>22795</v>
      </c>
      <c r="B628" t="s">
        <v>22796</v>
      </c>
      <c r="C628" s="410" t="s">
        <v>9085</v>
      </c>
      <c r="D628" t="s">
        <v>20317</v>
      </c>
      <c r="E628" t="s">
        <v>192</v>
      </c>
      <c r="F628" s="539">
        <v>20</v>
      </c>
      <c r="G628" t="s">
        <v>193</v>
      </c>
      <c r="H628" t="s">
        <v>194</v>
      </c>
      <c r="I628" t="s">
        <v>20333</v>
      </c>
      <c r="J628" t="s">
        <v>22797</v>
      </c>
      <c r="K628" s="28" t="s">
        <v>9309</v>
      </c>
      <c r="L628" t="s">
        <v>6955</v>
      </c>
      <c r="N628" t="s">
        <v>22798</v>
      </c>
      <c r="O628" t="s">
        <v>6275</v>
      </c>
      <c r="P628" t="s">
        <v>20320</v>
      </c>
      <c r="Q628" t="s">
        <v>20321</v>
      </c>
      <c r="R628" t="s">
        <v>20322</v>
      </c>
      <c r="S628" t="s">
        <v>22799</v>
      </c>
      <c r="T628" t="s">
        <v>22800</v>
      </c>
      <c r="V628" s="28" t="s">
        <v>18788</v>
      </c>
      <c r="W628" t="s">
        <v>799</v>
      </c>
      <c r="X628" t="s">
        <v>194</v>
      </c>
      <c r="Y628" s="28" t="s">
        <v>9300</v>
      </c>
      <c r="AB628" t="s">
        <v>9311</v>
      </c>
      <c r="AH628" t="s">
        <v>4714</v>
      </c>
      <c r="AI628" t="s">
        <v>22796</v>
      </c>
      <c r="AJ628" s="28" t="str">
        <f t="shared" si="18"/>
        <v>722204</v>
      </c>
      <c r="AK628" s="420">
        <v>1</v>
      </c>
      <c r="AL628" s="540">
        <f>F628</f>
        <v>20</v>
      </c>
      <c r="AM628" s="420">
        <v>1</v>
      </c>
      <c r="AN628" t="s">
        <v>17650</v>
      </c>
      <c r="AO628" t="s">
        <v>17651</v>
      </c>
      <c r="AP628" t="s">
        <v>17652</v>
      </c>
      <c r="AQ628" t="s">
        <v>17653</v>
      </c>
      <c r="AR628" t="s">
        <v>1024</v>
      </c>
    </row>
    <row r="629" spans="1:44" x14ac:dyDescent="0.25">
      <c r="A629" t="s">
        <v>7457</v>
      </c>
      <c r="B629" t="s">
        <v>88</v>
      </c>
      <c r="C629" s="410" t="s">
        <v>9085</v>
      </c>
      <c r="D629" t="s">
        <v>20338</v>
      </c>
      <c r="E629" t="s">
        <v>233</v>
      </c>
      <c r="F629" s="534">
        <v>1</v>
      </c>
      <c r="G629" t="s">
        <v>193</v>
      </c>
      <c r="H629" t="s">
        <v>194</v>
      </c>
      <c r="I629" t="s">
        <v>20310</v>
      </c>
      <c r="J629" t="s">
        <v>385</v>
      </c>
      <c r="K629" s="28" t="s">
        <v>9309</v>
      </c>
      <c r="L629" t="s">
        <v>6955</v>
      </c>
      <c r="N629" t="s">
        <v>22801</v>
      </c>
      <c r="O629" t="s">
        <v>6275</v>
      </c>
      <c r="P629" t="s">
        <v>20541</v>
      </c>
      <c r="Q629" t="s">
        <v>20389</v>
      </c>
      <c r="R629" t="s">
        <v>20542</v>
      </c>
      <c r="S629" t="s">
        <v>22802</v>
      </c>
      <c r="T629" t="s">
        <v>22803</v>
      </c>
      <c r="V629" s="28" t="s">
        <v>9410</v>
      </c>
      <c r="W629" t="s">
        <v>799</v>
      </c>
      <c r="X629" t="s">
        <v>194</v>
      </c>
      <c r="Y629" s="28" t="s">
        <v>9300</v>
      </c>
      <c r="AB629" t="s">
        <v>9311</v>
      </c>
      <c r="AH629" t="s">
        <v>4714</v>
      </c>
      <c r="AI629" t="s">
        <v>88</v>
      </c>
      <c r="AJ629" s="28" t="str">
        <f t="shared" si="18"/>
        <v>722204</v>
      </c>
      <c r="AK629" s="420">
        <v>1</v>
      </c>
      <c r="AL629" s="420">
        <f t="shared" si="19"/>
        <v>1</v>
      </c>
      <c r="AM629" s="420">
        <v>1</v>
      </c>
      <c r="AN629" t="s">
        <v>17650</v>
      </c>
      <c r="AO629" t="s">
        <v>17651</v>
      </c>
      <c r="AP629" t="s">
        <v>17652</v>
      </c>
      <c r="AQ629" t="s">
        <v>17653</v>
      </c>
      <c r="AR629" t="s">
        <v>1024</v>
      </c>
    </row>
    <row r="630" spans="1:44" x14ac:dyDescent="0.25">
      <c r="A630" t="s">
        <v>7457</v>
      </c>
      <c r="B630" t="s">
        <v>22804</v>
      </c>
      <c r="C630" s="410" t="s">
        <v>9085</v>
      </c>
      <c r="D630" t="s">
        <v>20338</v>
      </c>
      <c r="E630" t="s">
        <v>233</v>
      </c>
      <c r="F630" s="534">
        <v>1</v>
      </c>
      <c r="G630" t="s">
        <v>193</v>
      </c>
      <c r="H630" t="s">
        <v>194</v>
      </c>
      <c r="I630" t="s">
        <v>20310</v>
      </c>
      <c r="J630" t="s">
        <v>385</v>
      </c>
      <c r="K630" s="28" t="s">
        <v>9309</v>
      </c>
      <c r="L630" t="s">
        <v>6955</v>
      </c>
      <c r="N630" t="s">
        <v>22805</v>
      </c>
      <c r="O630" t="s">
        <v>6275</v>
      </c>
      <c r="P630" t="s">
        <v>20541</v>
      </c>
      <c r="Q630" t="s">
        <v>20389</v>
      </c>
      <c r="R630" t="s">
        <v>20542</v>
      </c>
      <c r="S630" t="s">
        <v>22806</v>
      </c>
      <c r="T630" t="s">
        <v>22807</v>
      </c>
      <c r="V630" s="28" t="s">
        <v>9410</v>
      </c>
      <c r="W630" t="s">
        <v>799</v>
      </c>
      <c r="X630" t="s">
        <v>194</v>
      </c>
      <c r="Y630" s="28" t="s">
        <v>9300</v>
      </c>
      <c r="AB630" t="s">
        <v>9311</v>
      </c>
      <c r="AH630" t="s">
        <v>4714</v>
      </c>
      <c r="AI630" t="s">
        <v>22804</v>
      </c>
      <c r="AJ630" s="28" t="str">
        <f t="shared" si="18"/>
        <v>722204</v>
      </c>
      <c r="AK630" s="420">
        <v>1</v>
      </c>
      <c r="AL630" s="420">
        <f t="shared" si="19"/>
        <v>1</v>
      </c>
      <c r="AM630" s="420">
        <v>1</v>
      </c>
      <c r="AN630" t="s">
        <v>17650</v>
      </c>
      <c r="AO630" t="s">
        <v>17651</v>
      </c>
      <c r="AP630" t="s">
        <v>17652</v>
      </c>
      <c r="AQ630" t="s">
        <v>17653</v>
      </c>
      <c r="AR630" t="s">
        <v>1024</v>
      </c>
    </row>
    <row r="631" spans="1:44" x14ac:dyDescent="0.25">
      <c r="A631" t="s">
        <v>18808</v>
      </c>
      <c r="B631" t="s">
        <v>9093</v>
      </c>
      <c r="C631" s="410" t="s">
        <v>9093</v>
      </c>
      <c r="D631" t="s">
        <v>20317</v>
      </c>
      <c r="E631" t="s">
        <v>192</v>
      </c>
      <c r="F631" s="534">
        <v>1</v>
      </c>
      <c r="G631" t="s">
        <v>193</v>
      </c>
      <c r="H631" t="s">
        <v>194</v>
      </c>
      <c r="I631" t="s">
        <v>20360</v>
      </c>
      <c r="J631" t="s">
        <v>253</v>
      </c>
      <c r="K631" s="28" t="s">
        <v>9309</v>
      </c>
      <c r="L631" t="s">
        <v>6955</v>
      </c>
      <c r="N631" t="s">
        <v>22808</v>
      </c>
      <c r="O631" t="s">
        <v>6258</v>
      </c>
      <c r="P631" t="s">
        <v>20320</v>
      </c>
      <c r="Q631" t="s">
        <v>20321</v>
      </c>
      <c r="R631" t="s">
        <v>20322</v>
      </c>
      <c r="S631" t="s">
        <v>22809</v>
      </c>
      <c r="T631" t="s">
        <v>22810</v>
      </c>
      <c r="V631" s="28" t="s">
        <v>9468</v>
      </c>
      <c r="W631" t="s">
        <v>9095</v>
      </c>
      <c r="X631" t="s">
        <v>194</v>
      </c>
      <c r="Y631" s="28" t="s">
        <v>9300</v>
      </c>
      <c r="AB631" t="s">
        <v>9311</v>
      </c>
      <c r="AH631" t="s">
        <v>4714</v>
      </c>
      <c r="AI631" t="s">
        <v>9093</v>
      </c>
      <c r="AJ631" s="28" t="str">
        <f t="shared" si="18"/>
        <v>722206</v>
      </c>
      <c r="AK631" s="420">
        <v>1</v>
      </c>
      <c r="AL631" s="420">
        <f t="shared" si="19"/>
        <v>1</v>
      </c>
      <c r="AM631" s="420">
        <v>1</v>
      </c>
      <c r="AN631" t="s">
        <v>17650</v>
      </c>
      <c r="AO631" t="s">
        <v>17651</v>
      </c>
      <c r="AP631" t="s">
        <v>17652</v>
      </c>
      <c r="AQ631" t="s">
        <v>17653</v>
      </c>
      <c r="AR631" t="s">
        <v>1024</v>
      </c>
    </row>
    <row r="632" spans="1:44" x14ac:dyDescent="0.25">
      <c r="A632" t="s">
        <v>22811</v>
      </c>
      <c r="B632" t="s">
        <v>22812</v>
      </c>
      <c r="C632" s="410" t="s">
        <v>3438</v>
      </c>
      <c r="D632" t="s">
        <v>20317</v>
      </c>
      <c r="E632" t="s">
        <v>192</v>
      </c>
      <c r="F632" s="534">
        <v>1</v>
      </c>
      <c r="G632" t="s">
        <v>193</v>
      </c>
      <c r="H632" t="s">
        <v>194</v>
      </c>
      <c r="I632" t="s">
        <v>20338</v>
      </c>
      <c r="J632" t="s">
        <v>210</v>
      </c>
      <c r="K632" s="28" t="s">
        <v>9309</v>
      </c>
      <c r="L632" t="s">
        <v>6955</v>
      </c>
      <c r="N632" t="s">
        <v>22813</v>
      </c>
      <c r="O632" t="s">
        <v>6245</v>
      </c>
      <c r="P632" t="s">
        <v>20320</v>
      </c>
      <c r="Q632" t="s">
        <v>20321</v>
      </c>
      <c r="R632" t="s">
        <v>20322</v>
      </c>
      <c r="S632" t="s">
        <v>22814</v>
      </c>
      <c r="T632" t="s">
        <v>22815</v>
      </c>
      <c r="V632" s="28" t="s">
        <v>9334</v>
      </c>
      <c r="W632" t="s">
        <v>3439</v>
      </c>
      <c r="X632" t="s">
        <v>194</v>
      </c>
      <c r="Y632" s="28" t="s">
        <v>9300</v>
      </c>
      <c r="AB632" t="s">
        <v>9311</v>
      </c>
      <c r="AH632" t="s">
        <v>4714</v>
      </c>
      <c r="AI632" t="s">
        <v>22812</v>
      </c>
      <c r="AJ632" s="28" t="str">
        <f t="shared" si="18"/>
        <v>334306</v>
      </c>
      <c r="AK632" s="420">
        <v>1</v>
      </c>
      <c r="AL632" s="420">
        <f t="shared" si="19"/>
        <v>1</v>
      </c>
      <c r="AM632" s="420">
        <v>1</v>
      </c>
      <c r="AN632" t="s">
        <v>17650</v>
      </c>
      <c r="AO632" t="s">
        <v>17651</v>
      </c>
      <c r="AP632" t="s">
        <v>17652</v>
      </c>
      <c r="AQ632" t="s">
        <v>17653</v>
      </c>
      <c r="AR632" t="s">
        <v>1024</v>
      </c>
    </row>
    <row r="633" spans="1:44" x14ac:dyDescent="0.25">
      <c r="A633" t="s">
        <v>22343</v>
      </c>
      <c r="B633" t="s">
        <v>22816</v>
      </c>
      <c r="C633" s="410" t="s">
        <v>22817</v>
      </c>
      <c r="D633" t="s">
        <v>20326</v>
      </c>
      <c r="E633" t="s">
        <v>192</v>
      </c>
      <c r="F633" s="534">
        <v>1</v>
      </c>
      <c r="G633" t="s">
        <v>193</v>
      </c>
      <c r="H633" t="s">
        <v>194</v>
      </c>
      <c r="I633" t="s">
        <v>20333</v>
      </c>
      <c r="J633" t="s">
        <v>210</v>
      </c>
      <c r="K633" s="28" t="s">
        <v>9309</v>
      </c>
      <c r="L633" t="s">
        <v>6955</v>
      </c>
      <c r="N633" t="s">
        <v>22818</v>
      </c>
      <c r="O633" t="s">
        <v>6286</v>
      </c>
      <c r="P633" t="s">
        <v>20328</v>
      </c>
      <c r="Q633" t="s">
        <v>20329</v>
      </c>
      <c r="R633" t="s">
        <v>20306</v>
      </c>
      <c r="S633" t="s">
        <v>22819</v>
      </c>
      <c r="T633" t="s">
        <v>22820</v>
      </c>
      <c r="V633" s="28" t="s">
        <v>9334</v>
      </c>
      <c r="W633" t="s">
        <v>22821</v>
      </c>
      <c r="X633" t="s">
        <v>194</v>
      </c>
      <c r="Y633" s="28" t="s">
        <v>9300</v>
      </c>
      <c r="AB633" t="s">
        <v>9311</v>
      </c>
      <c r="AH633" t="s">
        <v>4714</v>
      </c>
      <c r="AI633" t="s">
        <v>22816</v>
      </c>
      <c r="AJ633" s="28" t="str">
        <f t="shared" si="18"/>
        <v>321201</v>
      </c>
      <c r="AK633" s="420">
        <v>1</v>
      </c>
      <c r="AL633" s="420">
        <f t="shared" si="19"/>
        <v>1</v>
      </c>
      <c r="AM633" s="420">
        <v>1</v>
      </c>
      <c r="AN633" t="s">
        <v>17650</v>
      </c>
      <c r="AO633" t="s">
        <v>17651</v>
      </c>
      <c r="AP633" t="s">
        <v>17652</v>
      </c>
      <c r="AQ633" t="s">
        <v>17653</v>
      </c>
      <c r="AR633" t="s">
        <v>1024</v>
      </c>
    </row>
    <row r="634" spans="1:44" x14ac:dyDescent="0.25">
      <c r="A634" t="s">
        <v>22822</v>
      </c>
      <c r="B634" t="s">
        <v>22823</v>
      </c>
      <c r="C634" s="410" t="s">
        <v>39</v>
      </c>
      <c r="D634" t="s">
        <v>20326</v>
      </c>
      <c r="E634" t="s">
        <v>192</v>
      </c>
      <c r="F634" s="534">
        <v>1</v>
      </c>
      <c r="G634" t="s">
        <v>193</v>
      </c>
      <c r="H634" t="s">
        <v>194</v>
      </c>
      <c r="I634" t="s">
        <v>20318</v>
      </c>
      <c r="J634" t="s">
        <v>9302</v>
      </c>
      <c r="K634" s="28" t="s">
        <v>9309</v>
      </c>
      <c r="L634" t="s">
        <v>6955</v>
      </c>
      <c r="N634" t="s">
        <v>22824</v>
      </c>
      <c r="O634" t="s">
        <v>6324</v>
      </c>
      <c r="P634" t="s">
        <v>20328</v>
      </c>
      <c r="Q634" t="s">
        <v>20329</v>
      </c>
      <c r="R634" t="s">
        <v>20306</v>
      </c>
      <c r="S634" t="s">
        <v>22825</v>
      </c>
      <c r="T634" t="s">
        <v>22826</v>
      </c>
      <c r="W634" t="s">
        <v>551</v>
      </c>
      <c r="X634" t="s">
        <v>193</v>
      </c>
      <c r="Y634" s="28" t="s">
        <v>9310</v>
      </c>
      <c r="AB634" t="s">
        <v>9311</v>
      </c>
      <c r="AH634" t="s">
        <v>4714</v>
      </c>
      <c r="AI634" t="s">
        <v>22823</v>
      </c>
      <c r="AJ634" s="28" t="str">
        <f t="shared" si="18"/>
        <v>311204</v>
      </c>
      <c r="AK634" s="420">
        <v>1</v>
      </c>
      <c r="AL634" s="420">
        <f t="shared" si="19"/>
        <v>1</v>
      </c>
      <c r="AM634" s="420">
        <v>1</v>
      </c>
      <c r="AN634" t="s">
        <v>17650</v>
      </c>
      <c r="AO634" t="s">
        <v>17651</v>
      </c>
      <c r="AP634" t="s">
        <v>17652</v>
      </c>
      <c r="AQ634" t="s">
        <v>17653</v>
      </c>
      <c r="AR634" t="s">
        <v>1024</v>
      </c>
    </row>
    <row r="635" spans="1:44" x14ac:dyDescent="0.25">
      <c r="A635" t="s">
        <v>2599</v>
      </c>
      <c r="B635" t="s">
        <v>22827</v>
      </c>
      <c r="C635" s="410" t="s">
        <v>39</v>
      </c>
      <c r="D635" t="s">
        <v>20317</v>
      </c>
      <c r="E635" t="s">
        <v>192</v>
      </c>
      <c r="F635" s="534">
        <v>1</v>
      </c>
      <c r="G635" t="s">
        <v>193</v>
      </c>
      <c r="H635" t="s">
        <v>194</v>
      </c>
      <c r="I635" t="s">
        <v>20338</v>
      </c>
      <c r="J635" t="s">
        <v>9302</v>
      </c>
      <c r="K635" s="28" t="s">
        <v>9309</v>
      </c>
      <c r="L635" t="s">
        <v>6955</v>
      </c>
      <c r="N635" t="s">
        <v>22828</v>
      </c>
      <c r="O635" t="s">
        <v>6245</v>
      </c>
      <c r="P635" t="s">
        <v>20320</v>
      </c>
      <c r="Q635" t="s">
        <v>20321</v>
      </c>
      <c r="R635" t="s">
        <v>20322</v>
      </c>
      <c r="S635" t="s">
        <v>22829</v>
      </c>
      <c r="T635" t="s">
        <v>22830</v>
      </c>
      <c r="W635" t="s">
        <v>551</v>
      </c>
      <c r="X635" t="s">
        <v>193</v>
      </c>
      <c r="Y635" s="28" t="s">
        <v>9310</v>
      </c>
      <c r="AB635" t="s">
        <v>9311</v>
      </c>
      <c r="AH635" t="s">
        <v>4714</v>
      </c>
      <c r="AI635" t="s">
        <v>22827</v>
      </c>
      <c r="AJ635" s="28" t="str">
        <f t="shared" si="18"/>
        <v>311204</v>
      </c>
      <c r="AK635" s="420">
        <v>1</v>
      </c>
      <c r="AL635" s="420">
        <f t="shared" si="19"/>
        <v>1</v>
      </c>
      <c r="AM635" s="420">
        <v>1</v>
      </c>
      <c r="AN635" t="s">
        <v>17650</v>
      </c>
      <c r="AO635" t="s">
        <v>17651</v>
      </c>
      <c r="AP635" t="s">
        <v>17652</v>
      </c>
      <c r="AQ635" t="s">
        <v>17653</v>
      </c>
      <c r="AR635" t="s">
        <v>1024</v>
      </c>
    </row>
    <row r="636" spans="1:44" x14ac:dyDescent="0.25">
      <c r="A636" t="s">
        <v>22831</v>
      </c>
      <c r="B636" t="s">
        <v>22832</v>
      </c>
      <c r="C636" s="410" t="s">
        <v>4825</v>
      </c>
      <c r="D636" t="s">
        <v>20306</v>
      </c>
      <c r="E636" t="s">
        <v>192</v>
      </c>
      <c r="F636" s="534">
        <v>1</v>
      </c>
      <c r="G636" t="s">
        <v>193</v>
      </c>
      <c r="H636" t="s">
        <v>194</v>
      </c>
      <c r="I636" t="s">
        <v>20437</v>
      </c>
      <c r="J636" t="s">
        <v>9302</v>
      </c>
      <c r="K636" s="28" t="s">
        <v>9309</v>
      </c>
      <c r="L636" t="s">
        <v>6955</v>
      </c>
      <c r="N636" t="s">
        <v>22833</v>
      </c>
      <c r="O636" t="s">
        <v>6258</v>
      </c>
      <c r="P636" t="s">
        <v>20309</v>
      </c>
      <c r="Q636" t="s">
        <v>20310</v>
      </c>
      <c r="R636" t="s">
        <v>20311</v>
      </c>
      <c r="S636" t="s">
        <v>22834</v>
      </c>
      <c r="T636" t="s">
        <v>22835</v>
      </c>
      <c r="W636" t="s">
        <v>4826</v>
      </c>
      <c r="X636" t="s">
        <v>193</v>
      </c>
      <c r="Y636" s="28" t="s">
        <v>9310</v>
      </c>
      <c r="AB636" t="s">
        <v>9311</v>
      </c>
      <c r="AH636" t="s">
        <v>4714</v>
      </c>
      <c r="AI636" t="s">
        <v>22832</v>
      </c>
      <c r="AJ636" s="28" t="str">
        <f t="shared" si="18"/>
        <v>311929</v>
      </c>
      <c r="AK636" s="420">
        <v>1</v>
      </c>
      <c r="AL636" s="420">
        <f t="shared" si="19"/>
        <v>1</v>
      </c>
      <c r="AM636" s="420">
        <v>1</v>
      </c>
      <c r="AN636" t="s">
        <v>17650</v>
      </c>
      <c r="AO636" t="s">
        <v>17651</v>
      </c>
      <c r="AP636" t="s">
        <v>17652</v>
      </c>
      <c r="AQ636" t="s">
        <v>17653</v>
      </c>
      <c r="AR636" t="s">
        <v>1024</v>
      </c>
    </row>
    <row r="637" spans="1:44" x14ac:dyDescent="0.25">
      <c r="A637" t="s">
        <v>690</v>
      </c>
      <c r="B637" t="s">
        <v>22836</v>
      </c>
      <c r="C637" s="410" t="s">
        <v>560</v>
      </c>
      <c r="D637" t="s">
        <v>20338</v>
      </c>
      <c r="E637" t="s">
        <v>192</v>
      </c>
      <c r="F637" s="534">
        <v>1</v>
      </c>
      <c r="G637" t="s">
        <v>193</v>
      </c>
      <c r="H637" t="s">
        <v>194</v>
      </c>
      <c r="I637" t="s">
        <v>20310</v>
      </c>
      <c r="J637" t="s">
        <v>9302</v>
      </c>
      <c r="K637" s="28" t="s">
        <v>9309</v>
      </c>
      <c r="L637" t="s">
        <v>6955</v>
      </c>
      <c r="N637" t="s">
        <v>22837</v>
      </c>
      <c r="O637" t="s">
        <v>6921</v>
      </c>
      <c r="P637" t="s">
        <v>20398</v>
      </c>
      <c r="Q637" t="s">
        <v>20399</v>
      </c>
      <c r="R637" t="s">
        <v>20400</v>
      </c>
      <c r="S637" t="s">
        <v>22838</v>
      </c>
      <c r="T637" t="s">
        <v>22839</v>
      </c>
      <c r="W637" t="s">
        <v>561</v>
      </c>
      <c r="X637" t="s">
        <v>193</v>
      </c>
      <c r="Y637" s="28" t="s">
        <v>9310</v>
      </c>
      <c r="AB637" t="s">
        <v>9311</v>
      </c>
      <c r="AH637" t="s">
        <v>4714</v>
      </c>
      <c r="AI637" t="s">
        <v>22836</v>
      </c>
      <c r="AJ637" s="28" t="str">
        <f t="shared" si="18"/>
        <v>311408</v>
      </c>
      <c r="AK637" s="420">
        <v>1</v>
      </c>
      <c r="AL637" s="420">
        <f t="shared" si="19"/>
        <v>1</v>
      </c>
      <c r="AM637" s="420">
        <v>1</v>
      </c>
      <c r="AN637" t="s">
        <v>17650</v>
      </c>
      <c r="AO637" t="s">
        <v>17651</v>
      </c>
      <c r="AP637" t="s">
        <v>17652</v>
      </c>
      <c r="AQ637" t="s">
        <v>17653</v>
      </c>
      <c r="AR637" t="s">
        <v>1024</v>
      </c>
    </row>
    <row r="638" spans="1:44" x14ac:dyDescent="0.25">
      <c r="A638" t="s">
        <v>21038</v>
      </c>
      <c r="B638" t="s">
        <v>22840</v>
      </c>
      <c r="C638" s="410" t="s">
        <v>4811</v>
      </c>
      <c r="D638" t="s">
        <v>20306</v>
      </c>
      <c r="E638" t="s">
        <v>233</v>
      </c>
      <c r="F638" s="534">
        <v>1</v>
      </c>
      <c r="G638" t="s">
        <v>193</v>
      </c>
      <c r="H638" t="s">
        <v>194</v>
      </c>
      <c r="I638" t="s">
        <v>20483</v>
      </c>
      <c r="J638" t="s">
        <v>9302</v>
      </c>
      <c r="K638" s="28" t="s">
        <v>9309</v>
      </c>
      <c r="L638" t="s">
        <v>6955</v>
      </c>
      <c r="N638" t="s">
        <v>22841</v>
      </c>
      <c r="O638" t="s">
        <v>6288</v>
      </c>
      <c r="P638" t="s">
        <v>20417</v>
      </c>
      <c r="Q638" t="s">
        <v>20405</v>
      </c>
      <c r="R638" t="s">
        <v>20418</v>
      </c>
      <c r="S638" t="s">
        <v>22842</v>
      </c>
      <c r="T638" t="s">
        <v>22843</v>
      </c>
      <c r="W638" t="s">
        <v>4812</v>
      </c>
      <c r="X638" t="s">
        <v>193</v>
      </c>
      <c r="Y638" s="28" t="s">
        <v>9310</v>
      </c>
      <c r="AB638" t="s">
        <v>9311</v>
      </c>
      <c r="AH638" t="s">
        <v>4714</v>
      </c>
      <c r="AI638" t="s">
        <v>22840</v>
      </c>
      <c r="AJ638" s="28" t="str">
        <f t="shared" si="18"/>
        <v>321103</v>
      </c>
      <c r="AK638" s="420">
        <v>1</v>
      </c>
      <c r="AL638" s="420">
        <f t="shared" si="19"/>
        <v>1</v>
      </c>
      <c r="AM638" s="420">
        <v>1</v>
      </c>
      <c r="AN638" t="s">
        <v>17650</v>
      </c>
      <c r="AO638" t="s">
        <v>17651</v>
      </c>
      <c r="AP638" t="s">
        <v>17652</v>
      </c>
      <c r="AQ638" t="s">
        <v>17653</v>
      </c>
      <c r="AR638" t="s">
        <v>1024</v>
      </c>
    </row>
    <row r="639" spans="1:44" x14ac:dyDescent="0.25">
      <c r="A639" t="s">
        <v>22066</v>
      </c>
      <c r="B639" t="s">
        <v>22844</v>
      </c>
      <c r="C639" s="410" t="s">
        <v>554</v>
      </c>
      <c r="D639" t="s">
        <v>20326</v>
      </c>
      <c r="E639" t="s">
        <v>192</v>
      </c>
      <c r="F639" s="534">
        <v>1</v>
      </c>
      <c r="G639" t="s">
        <v>193</v>
      </c>
      <c r="H639" t="s">
        <v>194</v>
      </c>
      <c r="I639" t="s">
        <v>20333</v>
      </c>
      <c r="J639" t="s">
        <v>9302</v>
      </c>
      <c r="K639" s="28" t="s">
        <v>9309</v>
      </c>
      <c r="L639" t="s">
        <v>6955</v>
      </c>
      <c r="N639" t="s">
        <v>22845</v>
      </c>
      <c r="O639" t="s">
        <v>6258</v>
      </c>
      <c r="P639" t="s">
        <v>20328</v>
      </c>
      <c r="Q639" t="s">
        <v>20329</v>
      </c>
      <c r="R639" t="s">
        <v>20306</v>
      </c>
      <c r="S639" t="s">
        <v>22846</v>
      </c>
      <c r="T639" t="s">
        <v>22847</v>
      </c>
      <c r="W639" t="s">
        <v>555</v>
      </c>
      <c r="X639" t="s">
        <v>193</v>
      </c>
      <c r="Y639" s="28" t="s">
        <v>9310</v>
      </c>
      <c r="AB639" t="s">
        <v>9311</v>
      </c>
      <c r="AH639" t="s">
        <v>4714</v>
      </c>
      <c r="AI639" t="s">
        <v>22844</v>
      </c>
      <c r="AJ639" s="28" t="str">
        <f t="shared" si="18"/>
        <v>311303</v>
      </c>
      <c r="AK639" s="420">
        <v>1</v>
      </c>
      <c r="AL639" s="420">
        <f t="shared" si="19"/>
        <v>1</v>
      </c>
      <c r="AM639" s="420">
        <v>1</v>
      </c>
      <c r="AN639" t="s">
        <v>17650</v>
      </c>
      <c r="AO639" t="s">
        <v>17651</v>
      </c>
      <c r="AP639" t="s">
        <v>17652</v>
      </c>
      <c r="AQ639" t="s">
        <v>17653</v>
      </c>
      <c r="AR639" t="s">
        <v>1024</v>
      </c>
    </row>
    <row r="640" spans="1:44" x14ac:dyDescent="0.25">
      <c r="A640" t="s">
        <v>22848</v>
      </c>
      <c r="B640" t="s">
        <v>22849</v>
      </c>
      <c r="C640" s="410" t="s">
        <v>554</v>
      </c>
      <c r="D640" t="s">
        <v>20326</v>
      </c>
      <c r="E640" t="s">
        <v>192</v>
      </c>
      <c r="F640" s="534">
        <v>1</v>
      </c>
      <c r="G640" t="s">
        <v>193</v>
      </c>
      <c r="H640" t="s">
        <v>194</v>
      </c>
      <c r="I640" t="s">
        <v>20338</v>
      </c>
      <c r="J640" t="s">
        <v>9302</v>
      </c>
      <c r="K640" s="28" t="s">
        <v>9309</v>
      </c>
      <c r="L640" t="s">
        <v>6955</v>
      </c>
      <c r="N640" t="s">
        <v>22850</v>
      </c>
      <c r="O640" t="s">
        <v>6374</v>
      </c>
      <c r="P640" t="s">
        <v>20328</v>
      </c>
      <c r="Q640" t="s">
        <v>20329</v>
      </c>
      <c r="R640" t="s">
        <v>20306</v>
      </c>
      <c r="S640" t="s">
        <v>22851</v>
      </c>
      <c r="T640" t="s">
        <v>22852</v>
      </c>
      <c r="W640" t="s">
        <v>555</v>
      </c>
      <c r="X640" t="s">
        <v>193</v>
      </c>
      <c r="Y640" s="28" t="s">
        <v>9310</v>
      </c>
      <c r="AB640" t="s">
        <v>9311</v>
      </c>
      <c r="AH640" t="s">
        <v>4714</v>
      </c>
      <c r="AI640" t="s">
        <v>22849</v>
      </c>
      <c r="AJ640" s="28" t="str">
        <f t="shared" si="18"/>
        <v>311303</v>
      </c>
      <c r="AK640" s="420">
        <v>1</v>
      </c>
      <c r="AL640" s="420">
        <f>F640</f>
        <v>1</v>
      </c>
      <c r="AM640" s="420">
        <v>1</v>
      </c>
      <c r="AN640" t="s">
        <v>17650</v>
      </c>
      <c r="AO640" t="s">
        <v>17651</v>
      </c>
      <c r="AP640" t="s">
        <v>17652</v>
      </c>
      <c r="AQ640" t="s">
        <v>17653</v>
      </c>
      <c r="AR640" t="s">
        <v>1024</v>
      </c>
    </row>
    <row r="641" spans="1:44" x14ac:dyDescent="0.25">
      <c r="A641" t="s">
        <v>19420</v>
      </c>
      <c r="B641" t="s">
        <v>19421</v>
      </c>
      <c r="C641" s="410" t="s">
        <v>554</v>
      </c>
      <c r="D641" t="s">
        <v>20338</v>
      </c>
      <c r="E641" t="s">
        <v>192</v>
      </c>
      <c r="F641" s="534">
        <v>1</v>
      </c>
      <c r="G641" t="s">
        <v>193</v>
      </c>
      <c r="H641" t="s">
        <v>194</v>
      </c>
      <c r="I641" t="s">
        <v>20405</v>
      </c>
      <c r="J641" t="s">
        <v>22853</v>
      </c>
      <c r="K641" s="28" t="s">
        <v>9309</v>
      </c>
      <c r="L641" t="s">
        <v>6955</v>
      </c>
      <c r="N641" t="s">
        <v>22854</v>
      </c>
      <c r="O641" t="s">
        <v>6258</v>
      </c>
      <c r="P641" t="s">
        <v>20398</v>
      </c>
      <c r="Q641" t="s">
        <v>20399</v>
      </c>
      <c r="R641" t="s">
        <v>20400</v>
      </c>
      <c r="S641" t="s">
        <v>22855</v>
      </c>
      <c r="T641" t="s">
        <v>22856</v>
      </c>
      <c r="V641" s="28" t="s">
        <v>9440</v>
      </c>
      <c r="W641" t="s">
        <v>555</v>
      </c>
      <c r="X641" t="s">
        <v>194</v>
      </c>
      <c r="Y641" s="28" t="s">
        <v>9300</v>
      </c>
      <c r="AB641" t="s">
        <v>9311</v>
      </c>
      <c r="AH641" t="s">
        <v>4714</v>
      </c>
      <c r="AI641" t="s">
        <v>19421</v>
      </c>
      <c r="AJ641" s="28" t="str">
        <f t="shared" si="18"/>
        <v>311303</v>
      </c>
      <c r="AK641" s="420">
        <v>1</v>
      </c>
      <c r="AL641" s="420">
        <f>F641</f>
        <v>1</v>
      </c>
      <c r="AM641" s="420">
        <v>1</v>
      </c>
      <c r="AN641" t="s">
        <v>17650</v>
      </c>
      <c r="AO641" t="s">
        <v>17651</v>
      </c>
      <c r="AP641" t="s">
        <v>17652</v>
      </c>
      <c r="AQ641" t="s">
        <v>17653</v>
      </c>
      <c r="AR641" t="s">
        <v>1024</v>
      </c>
    </row>
    <row r="642" spans="1:44" x14ac:dyDescent="0.25">
      <c r="A642" t="s">
        <v>22857</v>
      </c>
      <c r="B642" t="s">
        <v>5085</v>
      </c>
      <c r="C642" s="410" t="s">
        <v>2644</v>
      </c>
      <c r="D642" t="s">
        <v>20306</v>
      </c>
      <c r="E642" t="s">
        <v>192</v>
      </c>
      <c r="F642" s="534">
        <v>1</v>
      </c>
      <c r="G642" t="s">
        <v>193</v>
      </c>
      <c r="H642" t="s">
        <v>194</v>
      </c>
      <c r="I642" t="s">
        <v>20441</v>
      </c>
      <c r="J642" t="s">
        <v>210</v>
      </c>
      <c r="K642" s="28" t="s">
        <v>9309</v>
      </c>
      <c r="L642" t="s">
        <v>6955</v>
      </c>
      <c r="N642" t="s">
        <v>22858</v>
      </c>
      <c r="O642" t="s">
        <v>6245</v>
      </c>
      <c r="P642" t="s">
        <v>20309</v>
      </c>
      <c r="Q642" t="s">
        <v>20310</v>
      </c>
      <c r="R642" t="s">
        <v>20647</v>
      </c>
      <c r="S642" t="s">
        <v>22859</v>
      </c>
      <c r="T642" t="s">
        <v>22860</v>
      </c>
      <c r="V642" s="28" t="s">
        <v>9334</v>
      </c>
      <c r="W642" t="s">
        <v>2645</v>
      </c>
      <c r="X642" t="s">
        <v>194</v>
      </c>
      <c r="Y642" s="28" t="s">
        <v>9300</v>
      </c>
      <c r="AB642" t="s">
        <v>9311</v>
      </c>
      <c r="AH642" t="s">
        <v>4714</v>
      </c>
      <c r="AI642" t="s">
        <v>5085</v>
      </c>
      <c r="AJ642" s="28" t="str">
        <f t="shared" si="18"/>
        <v>311307</v>
      </c>
      <c r="AK642" s="420">
        <v>1</v>
      </c>
      <c r="AL642" s="420">
        <f t="shared" si="19"/>
        <v>1</v>
      </c>
      <c r="AM642" s="420">
        <v>1</v>
      </c>
      <c r="AN642" t="s">
        <v>17650</v>
      </c>
      <c r="AO642" t="s">
        <v>17651</v>
      </c>
      <c r="AP642" t="s">
        <v>17652</v>
      </c>
      <c r="AQ642" t="s">
        <v>17653</v>
      </c>
      <c r="AR642" t="s">
        <v>1024</v>
      </c>
    </row>
    <row r="643" spans="1:44" x14ac:dyDescent="0.25">
      <c r="A643" t="s">
        <v>4693</v>
      </c>
      <c r="B643" t="s">
        <v>13186</v>
      </c>
      <c r="C643" s="410" t="s">
        <v>944</v>
      </c>
      <c r="D643" t="s">
        <v>20360</v>
      </c>
      <c r="E643" t="s">
        <v>233</v>
      </c>
      <c r="F643" s="534">
        <v>1</v>
      </c>
      <c r="G643" t="s">
        <v>193</v>
      </c>
      <c r="H643" t="s">
        <v>194</v>
      </c>
      <c r="I643" t="s">
        <v>20399</v>
      </c>
      <c r="J643" t="s">
        <v>316</v>
      </c>
      <c r="K643" s="28" t="s">
        <v>9309</v>
      </c>
      <c r="L643" t="s">
        <v>6955</v>
      </c>
      <c r="N643" t="s">
        <v>22861</v>
      </c>
      <c r="O643" t="s">
        <v>6288</v>
      </c>
      <c r="P643" t="s">
        <v>20634</v>
      </c>
      <c r="Q643" t="s">
        <v>20326</v>
      </c>
      <c r="R643" t="s">
        <v>20635</v>
      </c>
      <c r="S643" t="s">
        <v>22862</v>
      </c>
      <c r="T643" t="s">
        <v>22863</v>
      </c>
      <c r="V643" s="28" t="s">
        <v>10012</v>
      </c>
      <c r="W643" t="s">
        <v>945</v>
      </c>
      <c r="X643" t="s">
        <v>194</v>
      </c>
      <c r="Y643" s="28" t="s">
        <v>9300</v>
      </c>
      <c r="AB643" t="s">
        <v>9311</v>
      </c>
      <c r="AH643" t="s">
        <v>4714</v>
      </c>
      <c r="AI643" t="s">
        <v>13190</v>
      </c>
      <c r="AJ643" s="28" t="str">
        <f t="shared" ref="AJ643:AJ704" si="20">MID(W643,8,6)</f>
        <v>321301</v>
      </c>
      <c r="AK643" s="420">
        <v>1</v>
      </c>
      <c r="AL643" s="420">
        <f t="shared" ref="AL643:AL704" si="21">F643</f>
        <v>1</v>
      </c>
      <c r="AM643" s="420">
        <v>1</v>
      </c>
      <c r="AN643" t="s">
        <v>17650</v>
      </c>
      <c r="AO643" t="s">
        <v>17651</v>
      </c>
      <c r="AP643" t="s">
        <v>17652</v>
      </c>
      <c r="AQ643" t="s">
        <v>17653</v>
      </c>
      <c r="AR643" t="s">
        <v>1024</v>
      </c>
    </row>
    <row r="644" spans="1:44" x14ac:dyDescent="0.25">
      <c r="A644" t="s">
        <v>22864</v>
      </c>
      <c r="B644" t="s">
        <v>2491</v>
      </c>
      <c r="C644" s="410" t="s">
        <v>770</v>
      </c>
      <c r="D644" t="s">
        <v>20326</v>
      </c>
      <c r="E644" t="s">
        <v>192</v>
      </c>
      <c r="F644" s="534">
        <v>1</v>
      </c>
      <c r="G644" t="s">
        <v>193</v>
      </c>
      <c r="H644" t="s">
        <v>194</v>
      </c>
      <c r="I644" t="s">
        <v>20338</v>
      </c>
      <c r="J644" t="s">
        <v>9302</v>
      </c>
      <c r="K644" s="28" t="s">
        <v>9309</v>
      </c>
      <c r="L644" t="s">
        <v>6955</v>
      </c>
      <c r="N644" t="s">
        <v>22865</v>
      </c>
      <c r="O644" t="s">
        <v>6245</v>
      </c>
      <c r="P644" t="s">
        <v>20328</v>
      </c>
      <c r="Q644" t="s">
        <v>20329</v>
      </c>
      <c r="R644" t="s">
        <v>20306</v>
      </c>
      <c r="S644" t="s">
        <v>22866</v>
      </c>
      <c r="T644" t="s">
        <v>22867</v>
      </c>
      <c r="W644" t="s">
        <v>772</v>
      </c>
      <c r="X644" t="s">
        <v>193</v>
      </c>
      <c r="Y644" s="28" t="s">
        <v>9310</v>
      </c>
      <c r="AB644" t="s">
        <v>9311</v>
      </c>
      <c r="AH644" t="s">
        <v>4714</v>
      </c>
      <c r="AI644" t="s">
        <v>2491</v>
      </c>
      <c r="AJ644" s="28" t="str">
        <f t="shared" si="20"/>
        <v>522305</v>
      </c>
      <c r="AK644" s="420">
        <v>1</v>
      </c>
      <c r="AL644" s="420">
        <f t="shared" si="21"/>
        <v>1</v>
      </c>
      <c r="AM644" s="420">
        <v>1</v>
      </c>
      <c r="AN644" t="s">
        <v>17650</v>
      </c>
      <c r="AO644" t="s">
        <v>17651</v>
      </c>
      <c r="AP644" t="s">
        <v>17652</v>
      </c>
      <c r="AQ644" t="s">
        <v>17653</v>
      </c>
      <c r="AR644" t="s">
        <v>1024</v>
      </c>
    </row>
    <row r="645" spans="1:44" x14ac:dyDescent="0.25">
      <c r="A645" t="s">
        <v>22868</v>
      </c>
      <c r="B645" t="s">
        <v>22869</v>
      </c>
      <c r="C645" s="410" t="s">
        <v>770</v>
      </c>
      <c r="D645" t="s">
        <v>20338</v>
      </c>
      <c r="E645" t="s">
        <v>192</v>
      </c>
      <c r="F645" s="534">
        <v>1</v>
      </c>
      <c r="G645" t="s">
        <v>193</v>
      </c>
      <c r="H645" t="s">
        <v>194</v>
      </c>
      <c r="I645" t="s">
        <v>20405</v>
      </c>
      <c r="J645" t="s">
        <v>9302</v>
      </c>
      <c r="K645" s="28" t="s">
        <v>9309</v>
      </c>
      <c r="L645" t="s">
        <v>6955</v>
      </c>
      <c r="N645" t="s">
        <v>22870</v>
      </c>
      <c r="O645" t="s">
        <v>6245</v>
      </c>
      <c r="P645" t="s">
        <v>20398</v>
      </c>
      <c r="Q645" t="s">
        <v>20399</v>
      </c>
      <c r="R645" t="s">
        <v>20400</v>
      </c>
      <c r="S645" t="s">
        <v>22871</v>
      </c>
      <c r="T645" t="s">
        <v>22872</v>
      </c>
      <c r="W645" t="s">
        <v>772</v>
      </c>
      <c r="X645" t="s">
        <v>193</v>
      </c>
      <c r="Y645" s="28" t="s">
        <v>9310</v>
      </c>
      <c r="AB645" t="s">
        <v>9311</v>
      </c>
      <c r="AH645" t="s">
        <v>4714</v>
      </c>
      <c r="AI645" t="s">
        <v>22869</v>
      </c>
      <c r="AJ645" s="28" t="str">
        <f t="shared" si="20"/>
        <v>522305</v>
      </c>
      <c r="AK645" s="420">
        <v>1</v>
      </c>
      <c r="AL645" s="420">
        <f t="shared" si="21"/>
        <v>1</v>
      </c>
      <c r="AM645" s="420">
        <v>1</v>
      </c>
      <c r="AN645" t="s">
        <v>17650</v>
      </c>
      <c r="AO645" t="s">
        <v>17651</v>
      </c>
      <c r="AP645" t="s">
        <v>17652</v>
      </c>
      <c r="AQ645" t="s">
        <v>17653</v>
      </c>
      <c r="AR645" t="s">
        <v>1024</v>
      </c>
    </row>
    <row r="646" spans="1:44" x14ac:dyDescent="0.25">
      <c r="A646" t="s">
        <v>5850</v>
      </c>
      <c r="B646" t="s">
        <v>4258</v>
      </c>
      <c r="C646" s="410" t="s">
        <v>22873</v>
      </c>
      <c r="D646" t="s">
        <v>20338</v>
      </c>
      <c r="E646" t="s">
        <v>233</v>
      </c>
      <c r="F646" s="534">
        <v>1</v>
      </c>
      <c r="G646" t="s">
        <v>193</v>
      </c>
      <c r="H646" t="s">
        <v>194</v>
      </c>
      <c r="I646" t="s">
        <v>20310</v>
      </c>
      <c r="J646" t="s">
        <v>408</v>
      </c>
      <c r="K646" s="28" t="s">
        <v>9309</v>
      </c>
      <c r="L646" t="s">
        <v>6955</v>
      </c>
      <c r="N646" t="s">
        <v>22874</v>
      </c>
      <c r="O646" t="s">
        <v>6275</v>
      </c>
      <c r="P646" t="s">
        <v>20541</v>
      </c>
      <c r="Q646" t="s">
        <v>20389</v>
      </c>
      <c r="R646" t="s">
        <v>20542</v>
      </c>
      <c r="S646" t="s">
        <v>22875</v>
      </c>
      <c r="T646" t="s">
        <v>22876</v>
      </c>
      <c r="V646" s="28" t="s">
        <v>9479</v>
      </c>
      <c r="W646" t="s">
        <v>22877</v>
      </c>
      <c r="X646" t="s">
        <v>194</v>
      </c>
      <c r="Y646" s="28" t="s">
        <v>9300</v>
      </c>
      <c r="AB646" t="s">
        <v>9311</v>
      </c>
      <c r="AH646" t="s">
        <v>4714</v>
      </c>
      <c r="AI646" t="s">
        <v>4258</v>
      </c>
      <c r="AJ646" s="28" t="str">
        <f t="shared" si="20"/>
        <v>311107</v>
      </c>
      <c r="AK646" s="420">
        <v>1</v>
      </c>
      <c r="AL646" s="420">
        <f t="shared" si="21"/>
        <v>1</v>
      </c>
      <c r="AM646" s="420">
        <v>1</v>
      </c>
      <c r="AN646" t="s">
        <v>17650</v>
      </c>
      <c r="AO646" t="s">
        <v>17651</v>
      </c>
      <c r="AP646" t="s">
        <v>17652</v>
      </c>
      <c r="AQ646" t="s">
        <v>17653</v>
      </c>
      <c r="AR646" t="s">
        <v>1024</v>
      </c>
    </row>
    <row r="647" spans="1:44" x14ac:dyDescent="0.25">
      <c r="A647" t="s">
        <v>4676</v>
      </c>
      <c r="B647" t="s">
        <v>22878</v>
      </c>
      <c r="C647" s="410" t="s">
        <v>163</v>
      </c>
      <c r="D647" t="s">
        <v>20306</v>
      </c>
      <c r="E647" t="s">
        <v>192</v>
      </c>
      <c r="F647" s="534">
        <v>1</v>
      </c>
      <c r="G647" t="s">
        <v>193</v>
      </c>
      <c r="H647" t="s">
        <v>194</v>
      </c>
      <c r="I647" t="s">
        <v>20307</v>
      </c>
      <c r="J647" t="s">
        <v>9302</v>
      </c>
      <c r="K647" s="28" t="s">
        <v>9309</v>
      </c>
      <c r="L647" t="s">
        <v>6955</v>
      </c>
      <c r="N647" t="s">
        <v>22879</v>
      </c>
      <c r="O647" t="s">
        <v>7531</v>
      </c>
      <c r="P647" t="s">
        <v>20309</v>
      </c>
      <c r="Q647" t="s">
        <v>20310</v>
      </c>
      <c r="R647" t="s">
        <v>20311</v>
      </c>
      <c r="S647" t="s">
        <v>22880</v>
      </c>
      <c r="T647" t="s">
        <v>22881</v>
      </c>
      <c r="W647" t="s">
        <v>697</v>
      </c>
      <c r="X647" t="s">
        <v>193</v>
      </c>
      <c r="Y647" s="28" t="s">
        <v>9310</v>
      </c>
      <c r="AB647" t="s">
        <v>9311</v>
      </c>
      <c r="AH647" t="s">
        <v>4714</v>
      </c>
      <c r="AI647" t="s">
        <v>22878</v>
      </c>
      <c r="AJ647" s="28" t="str">
        <f t="shared" si="20"/>
        <v>351203</v>
      </c>
      <c r="AK647" s="420">
        <v>1</v>
      </c>
      <c r="AL647" s="420">
        <f t="shared" si="21"/>
        <v>1</v>
      </c>
      <c r="AM647" s="420">
        <v>1</v>
      </c>
      <c r="AN647" t="s">
        <v>17650</v>
      </c>
      <c r="AO647" t="s">
        <v>17651</v>
      </c>
      <c r="AP647" t="s">
        <v>17652</v>
      </c>
      <c r="AQ647" t="s">
        <v>17653</v>
      </c>
      <c r="AR647" t="s">
        <v>1024</v>
      </c>
    </row>
    <row r="648" spans="1:44" x14ac:dyDescent="0.25">
      <c r="A648" t="s">
        <v>552</v>
      </c>
      <c r="B648" t="s">
        <v>22882</v>
      </c>
      <c r="C648" s="410" t="s">
        <v>566</v>
      </c>
      <c r="D648" t="s">
        <v>20326</v>
      </c>
      <c r="E648" t="s">
        <v>233</v>
      </c>
      <c r="F648" s="534">
        <v>1</v>
      </c>
      <c r="G648" t="s">
        <v>193</v>
      </c>
      <c r="H648" t="s">
        <v>194</v>
      </c>
      <c r="I648" t="s">
        <v>20360</v>
      </c>
      <c r="J648" t="s">
        <v>253</v>
      </c>
      <c r="K648" s="28" t="s">
        <v>9309</v>
      </c>
      <c r="L648" t="s">
        <v>6955</v>
      </c>
      <c r="N648" t="s">
        <v>22883</v>
      </c>
      <c r="O648" t="s">
        <v>6363</v>
      </c>
      <c r="P648" t="s">
        <v>20509</v>
      </c>
      <c r="Q648" t="s">
        <v>20510</v>
      </c>
      <c r="R648" t="s">
        <v>20318</v>
      </c>
      <c r="S648" t="s">
        <v>22884</v>
      </c>
      <c r="T648" t="s">
        <v>22885</v>
      </c>
      <c r="V648" s="28" t="s">
        <v>9468</v>
      </c>
      <c r="W648" t="s">
        <v>567</v>
      </c>
      <c r="X648" t="s">
        <v>194</v>
      </c>
      <c r="Y648" s="28" t="s">
        <v>9300</v>
      </c>
      <c r="AB648" t="s">
        <v>9311</v>
      </c>
      <c r="AH648" t="s">
        <v>4714</v>
      </c>
      <c r="AI648" t="s">
        <v>22882</v>
      </c>
      <c r="AJ648" s="28" t="str">
        <f t="shared" si="20"/>
        <v>311504</v>
      </c>
      <c r="AK648" s="420">
        <v>1</v>
      </c>
      <c r="AL648" s="420">
        <f t="shared" si="21"/>
        <v>1</v>
      </c>
      <c r="AM648" s="420">
        <v>1</v>
      </c>
      <c r="AN648" t="s">
        <v>17650</v>
      </c>
      <c r="AO648" t="s">
        <v>17651</v>
      </c>
      <c r="AP648" t="s">
        <v>17652</v>
      </c>
      <c r="AQ648" t="s">
        <v>17653</v>
      </c>
      <c r="AR648" t="s">
        <v>1024</v>
      </c>
    </row>
    <row r="649" spans="1:44" x14ac:dyDescent="0.25">
      <c r="A649" t="s">
        <v>581</v>
      </c>
      <c r="B649" t="s">
        <v>22886</v>
      </c>
      <c r="C649" s="410" t="s">
        <v>566</v>
      </c>
      <c r="D649" t="s">
        <v>20326</v>
      </c>
      <c r="E649" t="s">
        <v>217</v>
      </c>
      <c r="F649" s="534">
        <v>1</v>
      </c>
      <c r="G649" t="s">
        <v>193</v>
      </c>
      <c r="H649" t="s">
        <v>194</v>
      </c>
      <c r="I649" t="s">
        <v>20338</v>
      </c>
      <c r="J649" t="s">
        <v>2252</v>
      </c>
      <c r="K649" s="28" t="s">
        <v>9309</v>
      </c>
      <c r="L649" t="s">
        <v>6955</v>
      </c>
      <c r="N649" t="s">
        <v>22887</v>
      </c>
      <c r="O649" t="s">
        <v>6275</v>
      </c>
      <c r="P649" t="s">
        <v>20372</v>
      </c>
      <c r="Q649" t="s">
        <v>20373</v>
      </c>
      <c r="R649" t="s">
        <v>20360</v>
      </c>
      <c r="S649" t="s">
        <v>22888</v>
      </c>
      <c r="T649" t="s">
        <v>22889</v>
      </c>
      <c r="V649" s="28" t="s">
        <v>9726</v>
      </c>
      <c r="W649" t="s">
        <v>567</v>
      </c>
      <c r="X649" t="s">
        <v>194</v>
      </c>
      <c r="Y649" s="28" t="s">
        <v>9300</v>
      </c>
      <c r="AB649" t="s">
        <v>9311</v>
      </c>
      <c r="AH649" t="s">
        <v>4714</v>
      </c>
      <c r="AI649" t="s">
        <v>9433</v>
      </c>
      <c r="AJ649" s="28" t="str">
        <f t="shared" si="20"/>
        <v>311504</v>
      </c>
      <c r="AK649" s="420">
        <v>1</v>
      </c>
      <c r="AL649" s="420">
        <f t="shared" si="21"/>
        <v>1</v>
      </c>
      <c r="AM649" s="420">
        <v>1</v>
      </c>
      <c r="AN649" t="s">
        <v>17650</v>
      </c>
      <c r="AO649" t="s">
        <v>17651</v>
      </c>
      <c r="AP649" t="s">
        <v>17652</v>
      </c>
      <c r="AQ649" t="s">
        <v>17653</v>
      </c>
      <c r="AR649" t="s">
        <v>1024</v>
      </c>
    </row>
    <row r="650" spans="1:44" x14ac:dyDescent="0.25">
      <c r="A650" t="s">
        <v>581</v>
      </c>
      <c r="B650" t="s">
        <v>22886</v>
      </c>
      <c r="C650" s="410" t="s">
        <v>566</v>
      </c>
      <c r="D650" t="s">
        <v>20317</v>
      </c>
      <c r="E650" t="s">
        <v>217</v>
      </c>
      <c r="F650" s="534">
        <v>1</v>
      </c>
      <c r="G650" t="s">
        <v>194</v>
      </c>
      <c r="H650" t="s">
        <v>193</v>
      </c>
      <c r="I650" t="s">
        <v>20338</v>
      </c>
      <c r="J650" t="s">
        <v>2252</v>
      </c>
      <c r="K650" s="28" t="s">
        <v>9309</v>
      </c>
      <c r="L650" t="s">
        <v>6955</v>
      </c>
      <c r="N650" t="s">
        <v>22887</v>
      </c>
      <c r="O650" t="s">
        <v>6275</v>
      </c>
      <c r="P650" t="s">
        <v>20376</v>
      </c>
      <c r="Q650" t="s">
        <v>20326</v>
      </c>
      <c r="R650" t="s">
        <v>20360</v>
      </c>
      <c r="S650" t="s">
        <v>22890</v>
      </c>
      <c r="T650" t="s">
        <v>22891</v>
      </c>
      <c r="V650" s="28" t="s">
        <v>9726</v>
      </c>
      <c r="W650" t="s">
        <v>567</v>
      </c>
      <c r="X650" t="s">
        <v>194</v>
      </c>
      <c r="Y650" s="28" t="s">
        <v>9300</v>
      </c>
      <c r="AB650" t="s">
        <v>9311</v>
      </c>
      <c r="AH650" t="s">
        <v>4714</v>
      </c>
      <c r="AI650" t="s">
        <v>9433</v>
      </c>
      <c r="AJ650" s="28" t="str">
        <f t="shared" si="20"/>
        <v>311504</v>
      </c>
      <c r="AK650" s="420">
        <v>1</v>
      </c>
      <c r="AL650" s="420">
        <f t="shared" si="21"/>
        <v>1</v>
      </c>
      <c r="AM650" s="420">
        <v>1</v>
      </c>
      <c r="AN650" t="s">
        <v>17650</v>
      </c>
      <c r="AO650" t="s">
        <v>17651</v>
      </c>
      <c r="AP650" t="s">
        <v>17652</v>
      </c>
      <c r="AQ650" t="s">
        <v>17653</v>
      </c>
      <c r="AR650" t="s">
        <v>1024</v>
      </c>
    </row>
    <row r="651" spans="1:44" x14ac:dyDescent="0.25">
      <c r="A651" t="s">
        <v>22892</v>
      </c>
      <c r="B651" t="s">
        <v>22893</v>
      </c>
      <c r="C651" s="410" t="s">
        <v>566</v>
      </c>
      <c r="D651" t="s">
        <v>20317</v>
      </c>
      <c r="E651" t="s">
        <v>192</v>
      </c>
      <c r="F651" s="534">
        <v>1</v>
      </c>
      <c r="G651" t="s">
        <v>193</v>
      </c>
      <c r="H651" t="s">
        <v>194</v>
      </c>
      <c r="I651" t="s">
        <v>20338</v>
      </c>
      <c r="J651" t="s">
        <v>316</v>
      </c>
      <c r="K651" s="28" t="s">
        <v>9309</v>
      </c>
      <c r="L651" t="s">
        <v>6955</v>
      </c>
      <c r="N651" t="s">
        <v>22894</v>
      </c>
      <c r="O651" t="s">
        <v>6275</v>
      </c>
      <c r="P651" t="s">
        <v>20320</v>
      </c>
      <c r="Q651" t="s">
        <v>20321</v>
      </c>
      <c r="R651" t="s">
        <v>20322</v>
      </c>
      <c r="S651" t="s">
        <v>22895</v>
      </c>
      <c r="T651" t="s">
        <v>22896</v>
      </c>
      <c r="V651" s="28" t="s">
        <v>10012</v>
      </c>
      <c r="W651" t="s">
        <v>567</v>
      </c>
      <c r="X651" t="s">
        <v>194</v>
      </c>
      <c r="Y651" s="28" t="s">
        <v>9300</v>
      </c>
      <c r="AB651" t="s">
        <v>9311</v>
      </c>
      <c r="AH651" t="s">
        <v>4714</v>
      </c>
      <c r="AI651" t="s">
        <v>22893</v>
      </c>
      <c r="AJ651" s="28" t="str">
        <f t="shared" si="20"/>
        <v>311504</v>
      </c>
      <c r="AK651" s="420">
        <v>1</v>
      </c>
      <c r="AL651" s="420">
        <f t="shared" si="21"/>
        <v>1</v>
      </c>
      <c r="AM651" s="420">
        <v>1</v>
      </c>
      <c r="AN651" t="s">
        <v>17650</v>
      </c>
      <c r="AO651" t="s">
        <v>17651</v>
      </c>
      <c r="AP651" t="s">
        <v>17652</v>
      </c>
      <c r="AQ651" t="s">
        <v>17653</v>
      </c>
      <c r="AR651" t="s">
        <v>1024</v>
      </c>
    </row>
    <row r="652" spans="1:44" x14ac:dyDescent="0.25">
      <c r="A652" t="s">
        <v>22897</v>
      </c>
      <c r="B652" t="s">
        <v>22898</v>
      </c>
      <c r="C652" s="410" t="s">
        <v>566</v>
      </c>
      <c r="D652" t="s">
        <v>20317</v>
      </c>
      <c r="E652" t="s">
        <v>192</v>
      </c>
      <c r="F652" s="534">
        <v>1</v>
      </c>
      <c r="G652" t="s">
        <v>193</v>
      </c>
      <c r="H652" t="s">
        <v>194</v>
      </c>
      <c r="I652" t="s">
        <v>20399</v>
      </c>
      <c r="J652" t="s">
        <v>316</v>
      </c>
      <c r="K652" s="28" t="s">
        <v>9309</v>
      </c>
      <c r="L652" t="s">
        <v>6955</v>
      </c>
      <c r="N652" t="s">
        <v>22899</v>
      </c>
      <c r="O652" t="s">
        <v>6258</v>
      </c>
      <c r="P652" t="s">
        <v>20320</v>
      </c>
      <c r="Q652" t="s">
        <v>20321</v>
      </c>
      <c r="R652" t="s">
        <v>20322</v>
      </c>
      <c r="S652" t="s">
        <v>22900</v>
      </c>
      <c r="T652" t="s">
        <v>22901</v>
      </c>
      <c r="V652" s="28" t="s">
        <v>10012</v>
      </c>
      <c r="W652" t="s">
        <v>567</v>
      </c>
      <c r="X652" t="s">
        <v>194</v>
      </c>
      <c r="Y652" s="28" t="s">
        <v>9300</v>
      </c>
      <c r="AB652" t="s">
        <v>9311</v>
      </c>
      <c r="AH652" t="s">
        <v>4714</v>
      </c>
      <c r="AI652" t="s">
        <v>22898</v>
      </c>
      <c r="AJ652" s="28" t="str">
        <f t="shared" si="20"/>
        <v>311504</v>
      </c>
      <c r="AK652" s="420">
        <v>1</v>
      </c>
      <c r="AL652" s="420">
        <f t="shared" si="21"/>
        <v>1</v>
      </c>
      <c r="AM652" s="420">
        <v>1</v>
      </c>
      <c r="AN652" t="s">
        <v>17650</v>
      </c>
      <c r="AO652" t="s">
        <v>17651</v>
      </c>
      <c r="AP652" t="s">
        <v>17652</v>
      </c>
      <c r="AQ652" t="s">
        <v>17653</v>
      </c>
      <c r="AR652" t="s">
        <v>1024</v>
      </c>
    </row>
    <row r="653" spans="1:44" x14ac:dyDescent="0.25">
      <c r="A653" t="s">
        <v>581</v>
      </c>
      <c r="B653" t="s">
        <v>21638</v>
      </c>
      <c r="C653" s="410" t="s">
        <v>566</v>
      </c>
      <c r="D653" t="s">
        <v>20360</v>
      </c>
      <c r="E653" t="s">
        <v>217</v>
      </c>
      <c r="F653" s="534">
        <v>1</v>
      </c>
      <c r="G653" t="s">
        <v>193</v>
      </c>
      <c r="H653" t="s">
        <v>194</v>
      </c>
      <c r="I653" t="s">
        <v>20338</v>
      </c>
      <c r="J653" t="s">
        <v>976</v>
      </c>
      <c r="K653" s="28" t="s">
        <v>9309</v>
      </c>
      <c r="L653" t="s">
        <v>6955</v>
      </c>
      <c r="N653" t="s">
        <v>21639</v>
      </c>
      <c r="O653" t="s">
        <v>6363</v>
      </c>
      <c r="P653" t="s">
        <v>20393</v>
      </c>
      <c r="Q653" t="s">
        <v>21581</v>
      </c>
      <c r="R653" t="s">
        <v>20441</v>
      </c>
      <c r="S653" t="s">
        <v>22902</v>
      </c>
      <c r="T653" t="s">
        <v>22903</v>
      </c>
      <c r="V653" s="28" t="s">
        <v>9726</v>
      </c>
      <c r="W653" t="s">
        <v>567</v>
      </c>
      <c r="X653" t="s">
        <v>194</v>
      </c>
      <c r="Y653" s="28" t="s">
        <v>9300</v>
      </c>
      <c r="AB653" t="s">
        <v>9311</v>
      </c>
      <c r="AH653" t="s">
        <v>4714</v>
      </c>
      <c r="AI653" t="s">
        <v>9433</v>
      </c>
      <c r="AJ653" s="28" t="str">
        <f t="shared" si="20"/>
        <v>311504</v>
      </c>
      <c r="AK653" s="420">
        <v>1</v>
      </c>
      <c r="AL653" s="420">
        <f t="shared" si="21"/>
        <v>1</v>
      </c>
      <c r="AM653" s="420">
        <v>1</v>
      </c>
      <c r="AN653" t="s">
        <v>17650</v>
      </c>
      <c r="AO653" t="s">
        <v>17651</v>
      </c>
      <c r="AP653" t="s">
        <v>17652</v>
      </c>
      <c r="AQ653" t="s">
        <v>17653</v>
      </c>
      <c r="AR653" t="s">
        <v>1024</v>
      </c>
    </row>
    <row r="654" spans="1:44" x14ac:dyDescent="0.25">
      <c r="A654" t="s">
        <v>8026</v>
      </c>
      <c r="B654" t="s">
        <v>22904</v>
      </c>
      <c r="C654" s="410" t="s">
        <v>566</v>
      </c>
      <c r="D654" t="s">
        <v>20338</v>
      </c>
      <c r="E654" t="s">
        <v>233</v>
      </c>
      <c r="F654" s="534">
        <v>1</v>
      </c>
      <c r="G654" t="s">
        <v>193</v>
      </c>
      <c r="H654" t="s">
        <v>194</v>
      </c>
      <c r="I654" t="s">
        <v>20405</v>
      </c>
      <c r="J654" t="s">
        <v>253</v>
      </c>
      <c r="K654" s="28" t="s">
        <v>9309</v>
      </c>
      <c r="L654" t="s">
        <v>6955</v>
      </c>
      <c r="N654" t="s">
        <v>22905</v>
      </c>
      <c r="O654" t="s">
        <v>6269</v>
      </c>
      <c r="P654" t="s">
        <v>20541</v>
      </c>
      <c r="Q654" t="s">
        <v>20389</v>
      </c>
      <c r="R654" t="s">
        <v>20542</v>
      </c>
      <c r="S654" t="s">
        <v>22906</v>
      </c>
      <c r="T654" t="s">
        <v>22907</v>
      </c>
      <c r="V654" s="28" t="s">
        <v>9468</v>
      </c>
      <c r="W654" t="s">
        <v>567</v>
      </c>
      <c r="X654" t="s">
        <v>194</v>
      </c>
      <c r="Y654" s="28" t="s">
        <v>9300</v>
      </c>
      <c r="AB654" t="s">
        <v>9311</v>
      </c>
      <c r="AH654" t="s">
        <v>4714</v>
      </c>
      <c r="AI654" t="s">
        <v>22904</v>
      </c>
      <c r="AJ654" s="28" t="str">
        <f t="shared" si="20"/>
        <v>311504</v>
      </c>
      <c r="AK654" s="420">
        <v>1</v>
      </c>
      <c r="AL654" s="420">
        <f t="shared" si="21"/>
        <v>1</v>
      </c>
      <c r="AM654" s="420">
        <v>1</v>
      </c>
      <c r="AN654" t="s">
        <v>17650</v>
      </c>
      <c r="AO654" t="s">
        <v>17651</v>
      </c>
      <c r="AP654" t="s">
        <v>17652</v>
      </c>
      <c r="AQ654" t="s">
        <v>17653</v>
      </c>
      <c r="AR654" t="s">
        <v>1024</v>
      </c>
    </row>
    <row r="655" spans="1:44" x14ac:dyDescent="0.25">
      <c r="A655" t="s">
        <v>22908</v>
      </c>
      <c r="B655" t="s">
        <v>22909</v>
      </c>
      <c r="C655" s="410" t="s">
        <v>566</v>
      </c>
      <c r="D655" t="s">
        <v>20338</v>
      </c>
      <c r="E655" t="s">
        <v>192</v>
      </c>
      <c r="F655" s="534">
        <v>1</v>
      </c>
      <c r="G655" t="s">
        <v>193</v>
      </c>
      <c r="H655" t="s">
        <v>194</v>
      </c>
      <c r="I655" t="s">
        <v>20405</v>
      </c>
      <c r="J655" t="s">
        <v>276</v>
      </c>
      <c r="K655" s="28" t="s">
        <v>9309</v>
      </c>
      <c r="L655" t="s">
        <v>6955</v>
      </c>
      <c r="N655" t="s">
        <v>22910</v>
      </c>
      <c r="O655" t="s">
        <v>6245</v>
      </c>
      <c r="P655" t="s">
        <v>20398</v>
      </c>
      <c r="Q655" t="s">
        <v>20399</v>
      </c>
      <c r="R655" t="s">
        <v>20400</v>
      </c>
      <c r="S655" t="s">
        <v>22911</v>
      </c>
      <c r="T655" t="s">
        <v>22912</v>
      </c>
      <c r="V655" s="28" t="s">
        <v>9786</v>
      </c>
      <c r="W655" t="s">
        <v>567</v>
      </c>
      <c r="X655" t="s">
        <v>194</v>
      </c>
      <c r="Y655" s="28" t="s">
        <v>9300</v>
      </c>
      <c r="AB655" t="s">
        <v>9311</v>
      </c>
      <c r="AH655" t="s">
        <v>4714</v>
      </c>
      <c r="AI655" t="s">
        <v>22909</v>
      </c>
      <c r="AJ655" s="28" t="str">
        <f t="shared" si="20"/>
        <v>311504</v>
      </c>
      <c r="AK655" s="420">
        <v>1</v>
      </c>
      <c r="AL655" s="420">
        <f t="shared" si="21"/>
        <v>1</v>
      </c>
      <c r="AM655" s="420">
        <v>1</v>
      </c>
      <c r="AN655" t="s">
        <v>17650</v>
      </c>
      <c r="AO655" t="s">
        <v>17651</v>
      </c>
      <c r="AP655" t="s">
        <v>17652</v>
      </c>
      <c r="AQ655" t="s">
        <v>17653</v>
      </c>
      <c r="AR655" t="s">
        <v>1024</v>
      </c>
    </row>
    <row r="656" spans="1:44" x14ac:dyDescent="0.25">
      <c r="A656" t="s">
        <v>19537</v>
      </c>
      <c r="B656" t="s">
        <v>22913</v>
      </c>
      <c r="C656" s="410" t="s">
        <v>566</v>
      </c>
      <c r="D656" t="s">
        <v>20338</v>
      </c>
      <c r="E656" t="s">
        <v>192</v>
      </c>
      <c r="F656" s="534">
        <v>1</v>
      </c>
      <c r="G656" t="s">
        <v>193</v>
      </c>
      <c r="H656" t="s">
        <v>194</v>
      </c>
      <c r="I656" t="s">
        <v>20405</v>
      </c>
      <c r="J656" t="s">
        <v>672</v>
      </c>
      <c r="K656" s="28" t="s">
        <v>9309</v>
      </c>
      <c r="L656" t="s">
        <v>6955</v>
      </c>
      <c r="N656" t="s">
        <v>22914</v>
      </c>
      <c r="O656" t="s">
        <v>6275</v>
      </c>
      <c r="P656" t="s">
        <v>20398</v>
      </c>
      <c r="Q656" t="s">
        <v>20399</v>
      </c>
      <c r="R656" t="s">
        <v>20400</v>
      </c>
      <c r="S656" t="s">
        <v>22915</v>
      </c>
      <c r="T656" t="s">
        <v>22916</v>
      </c>
      <c r="V656" s="28" t="s">
        <v>9726</v>
      </c>
      <c r="W656" t="s">
        <v>567</v>
      </c>
      <c r="X656" t="s">
        <v>194</v>
      </c>
      <c r="Y656" s="28" t="s">
        <v>9300</v>
      </c>
      <c r="AB656" t="s">
        <v>9311</v>
      </c>
      <c r="AH656" t="s">
        <v>4714</v>
      </c>
      <c r="AI656" t="s">
        <v>22913</v>
      </c>
      <c r="AJ656" s="28" t="str">
        <f t="shared" si="20"/>
        <v>311504</v>
      </c>
      <c r="AK656" s="420">
        <v>1</v>
      </c>
      <c r="AL656" s="420">
        <f t="shared" si="21"/>
        <v>1</v>
      </c>
      <c r="AM656" s="420">
        <v>1</v>
      </c>
      <c r="AN656" t="s">
        <v>17650</v>
      </c>
      <c r="AO656" t="s">
        <v>17651</v>
      </c>
      <c r="AP656" t="s">
        <v>17652</v>
      </c>
      <c r="AQ656" t="s">
        <v>17653</v>
      </c>
      <c r="AR656" t="s">
        <v>1024</v>
      </c>
    </row>
    <row r="657" spans="1:44" x14ac:dyDescent="0.25">
      <c r="A657" t="s">
        <v>22917</v>
      </c>
      <c r="B657" t="s">
        <v>565</v>
      </c>
      <c r="C657" s="410" t="s">
        <v>566</v>
      </c>
      <c r="D657" t="s">
        <v>20338</v>
      </c>
      <c r="E657" t="s">
        <v>192</v>
      </c>
      <c r="F657" s="534">
        <v>1</v>
      </c>
      <c r="G657" t="s">
        <v>193</v>
      </c>
      <c r="H657" t="s">
        <v>194</v>
      </c>
      <c r="I657" t="s">
        <v>20405</v>
      </c>
      <c r="J657" t="s">
        <v>8129</v>
      </c>
      <c r="K657" s="28" t="s">
        <v>9309</v>
      </c>
      <c r="L657" t="s">
        <v>6955</v>
      </c>
      <c r="N657" t="s">
        <v>22918</v>
      </c>
      <c r="O657" t="s">
        <v>6258</v>
      </c>
      <c r="P657" t="s">
        <v>20398</v>
      </c>
      <c r="Q657" t="s">
        <v>20399</v>
      </c>
      <c r="R657" t="s">
        <v>20400</v>
      </c>
      <c r="S657" t="s">
        <v>22919</v>
      </c>
      <c r="T657" t="s">
        <v>22920</v>
      </c>
      <c r="V657" s="28" t="s">
        <v>9726</v>
      </c>
      <c r="W657" t="s">
        <v>567</v>
      </c>
      <c r="X657" t="s">
        <v>194</v>
      </c>
      <c r="Y657" s="28" t="s">
        <v>9300</v>
      </c>
      <c r="AB657" t="s">
        <v>9311</v>
      </c>
      <c r="AH657" t="s">
        <v>4714</v>
      </c>
      <c r="AI657" t="s">
        <v>565</v>
      </c>
      <c r="AJ657" s="28" t="str">
        <f t="shared" si="20"/>
        <v>311504</v>
      </c>
      <c r="AK657" s="420">
        <v>1</v>
      </c>
      <c r="AL657" s="420">
        <f t="shared" si="21"/>
        <v>1</v>
      </c>
      <c r="AM657" s="420">
        <v>1</v>
      </c>
      <c r="AN657" t="s">
        <v>17650</v>
      </c>
      <c r="AO657" t="s">
        <v>17651</v>
      </c>
      <c r="AP657" t="s">
        <v>17652</v>
      </c>
      <c r="AQ657" t="s">
        <v>17653</v>
      </c>
      <c r="AR657" t="s">
        <v>1024</v>
      </c>
    </row>
    <row r="658" spans="1:44" x14ac:dyDescent="0.25">
      <c r="A658" t="s">
        <v>11871</v>
      </c>
      <c r="B658" t="s">
        <v>22921</v>
      </c>
      <c r="C658" s="410" t="s">
        <v>566</v>
      </c>
      <c r="D658" t="s">
        <v>20306</v>
      </c>
      <c r="E658" t="s">
        <v>192</v>
      </c>
      <c r="F658" s="534">
        <v>1</v>
      </c>
      <c r="G658" t="s">
        <v>193</v>
      </c>
      <c r="H658" t="s">
        <v>194</v>
      </c>
      <c r="I658" t="s">
        <v>20307</v>
      </c>
      <c r="J658" t="s">
        <v>672</v>
      </c>
      <c r="K658" s="28" t="s">
        <v>9309</v>
      </c>
      <c r="L658" t="s">
        <v>6955</v>
      </c>
      <c r="N658" t="s">
        <v>22922</v>
      </c>
      <c r="O658" t="s">
        <v>6258</v>
      </c>
      <c r="P658" t="s">
        <v>20309</v>
      </c>
      <c r="Q658" t="s">
        <v>20310</v>
      </c>
      <c r="R658" t="s">
        <v>20311</v>
      </c>
      <c r="S658" t="s">
        <v>22923</v>
      </c>
      <c r="T658" t="s">
        <v>22924</v>
      </c>
      <c r="V658" s="28" t="s">
        <v>9726</v>
      </c>
      <c r="W658" t="s">
        <v>567</v>
      </c>
      <c r="X658" t="s">
        <v>194</v>
      </c>
      <c r="Y658" s="28" t="s">
        <v>9300</v>
      </c>
      <c r="AB658" t="s">
        <v>9311</v>
      </c>
      <c r="AH658" t="s">
        <v>4714</v>
      </c>
      <c r="AI658" t="s">
        <v>22921</v>
      </c>
      <c r="AJ658" s="28" t="str">
        <f t="shared" si="20"/>
        <v>311504</v>
      </c>
      <c r="AK658" s="420">
        <v>1</v>
      </c>
      <c r="AL658" s="420">
        <f t="shared" si="21"/>
        <v>1</v>
      </c>
      <c r="AM658" s="420">
        <v>1</v>
      </c>
      <c r="AN658" t="s">
        <v>17650</v>
      </c>
      <c r="AO658" t="s">
        <v>17651</v>
      </c>
      <c r="AP658" t="s">
        <v>17652</v>
      </c>
      <c r="AQ658" t="s">
        <v>17653</v>
      </c>
      <c r="AR658" t="s">
        <v>1024</v>
      </c>
    </row>
    <row r="659" spans="1:44" x14ac:dyDescent="0.25">
      <c r="A659" t="s">
        <v>11871</v>
      </c>
      <c r="B659" t="s">
        <v>22925</v>
      </c>
      <c r="C659" s="410" t="s">
        <v>566</v>
      </c>
      <c r="D659" t="s">
        <v>20306</v>
      </c>
      <c r="E659" t="s">
        <v>192</v>
      </c>
      <c r="F659" s="534">
        <v>1</v>
      </c>
      <c r="G659" t="s">
        <v>193</v>
      </c>
      <c r="H659" t="s">
        <v>194</v>
      </c>
      <c r="I659" t="s">
        <v>20307</v>
      </c>
      <c r="J659" t="s">
        <v>672</v>
      </c>
      <c r="K659" s="28" t="s">
        <v>9309</v>
      </c>
      <c r="L659" t="s">
        <v>6955</v>
      </c>
      <c r="N659" t="s">
        <v>22926</v>
      </c>
      <c r="O659" t="s">
        <v>6258</v>
      </c>
      <c r="P659" t="s">
        <v>20309</v>
      </c>
      <c r="Q659" t="s">
        <v>20310</v>
      </c>
      <c r="R659" t="s">
        <v>20311</v>
      </c>
      <c r="S659" t="s">
        <v>22927</v>
      </c>
      <c r="T659" t="s">
        <v>22928</v>
      </c>
      <c r="V659" s="28" t="s">
        <v>9726</v>
      </c>
      <c r="W659" t="s">
        <v>567</v>
      </c>
      <c r="X659" t="s">
        <v>194</v>
      </c>
      <c r="Y659" s="28" t="s">
        <v>9300</v>
      </c>
      <c r="AB659" t="s">
        <v>9311</v>
      </c>
      <c r="AH659" t="s">
        <v>4714</v>
      </c>
      <c r="AI659" t="s">
        <v>22925</v>
      </c>
      <c r="AJ659" s="28" t="str">
        <f t="shared" si="20"/>
        <v>311504</v>
      </c>
      <c r="AK659" s="420">
        <v>1</v>
      </c>
      <c r="AL659" s="420">
        <f t="shared" si="21"/>
        <v>1</v>
      </c>
      <c r="AM659" s="420">
        <v>1</v>
      </c>
      <c r="AN659" t="s">
        <v>17650</v>
      </c>
      <c r="AO659" t="s">
        <v>17651</v>
      </c>
      <c r="AP659" t="s">
        <v>17652</v>
      </c>
      <c r="AQ659" t="s">
        <v>17653</v>
      </c>
      <c r="AR659" t="s">
        <v>1024</v>
      </c>
    </row>
    <row r="660" spans="1:44" x14ac:dyDescent="0.25">
      <c r="A660" t="s">
        <v>11871</v>
      </c>
      <c r="B660" t="s">
        <v>11872</v>
      </c>
      <c r="C660" s="410" t="s">
        <v>566</v>
      </c>
      <c r="D660" t="s">
        <v>20306</v>
      </c>
      <c r="E660" t="s">
        <v>192</v>
      </c>
      <c r="F660" s="534">
        <v>1</v>
      </c>
      <c r="G660" t="s">
        <v>193</v>
      </c>
      <c r="H660" t="s">
        <v>194</v>
      </c>
      <c r="I660" t="s">
        <v>20307</v>
      </c>
      <c r="J660" t="s">
        <v>672</v>
      </c>
      <c r="K660" s="28" t="s">
        <v>9309</v>
      </c>
      <c r="L660" t="s">
        <v>6955</v>
      </c>
      <c r="N660" t="s">
        <v>22929</v>
      </c>
      <c r="O660" t="s">
        <v>6258</v>
      </c>
      <c r="P660" t="s">
        <v>20309</v>
      </c>
      <c r="Q660" t="s">
        <v>20310</v>
      </c>
      <c r="R660" t="s">
        <v>20311</v>
      </c>
      <c r="S660" t="s">
        <v>22930</v>
      </c>
      <c r="T660" t="s">
        <v>22931</v>
      </c>
      <c r="V660" s="28" t="s">
        <v>9726</v>
      </c>
      <c r="W660" t="s">
        <v>567</v>
      </c>
      <c r="X660" t="s">
        <v>194</v>
      </c>
      <c r="Y660" s="28" t="s">
        <v>9300</v>
      </c>
      <c r="AB660" t="s">
        <v>9311</v>
      </c>
      <c r="AH660" t="s">
        <v>4714</v>
      </c>
      <c r="AI660" t="s">
        <v>11872</v>
      </c>
      <c r="AJ660" s="28" t="str">
        <f t="shared" si="20"/>
        <v>311504</v>
      </c>
      <c r="AK660" s="420">
        <v>1</v>
      </c>
      <c r="AL660" s="420">
        <f t="shared" si="21"/>
        <v>1</v>
      </c>
      <c r="AM660" s="420">
        <v>1</v>
      </c>
      <c r="AN660" t="s">
        <v>17650</v>
      </c>
      <c r="AO660" t="s">
        <v>17651</v>
      </c>
      <c r="AP660" t="s">
        <v>17652</v>
      </c>
      <c r="AQ660" t="s">
        <v>17653</v>
      </c>
      <c r="AR660" t="s">
        <v>1024</v>
      </c>
    </row>
    <row r="661" spans="1:44" x14ac:dyDescent="0.25">
      <c r="A661" t="s">
        <v>22932</v>
      </c>
      <c r="B661" t="s">
        <v>2889</v>
      </c>
      <c r="C661" s="410" t="s">
        <v>2890</v>
      </c>
      <c r="D661" t="s">
        <v>20326</v>
      </c>
      <c r="E661" t="s">
        <v>192</v>
      </c>
      <c r="F661" s="534">
        <v>1</v>
      </c>
      <c r="G661" t="s">
        <v>193</v>
      </c>
      <c r="H661" t="s">
        <v>194</v>
      </c>
      <c r="I661" t="s">
        <v>20318</v>
      </c>
      <c r="J661" t="s">
        <v>210</v>
      </c>
      <c r="K661" s="28" t="s">
        <v>9309</v>
      </c>
      <c r="L661" t="s">
        <v>6955</v>
      </c>
      <c r="N661" t="s">
        <v>22933</v>
      </c>
      <c r="O661" t="s">
        <v>6343</v>
      </c>
      <c r="P661" t="s">
        <v>20328</v>
      </c>
      <c r="Q661" t="s">
        <v>20329</v>
      </c>
      <c r="R661" t="s">
        <v>20306</v>
      </c>
      <c r="S661" t="s">
        <v>22934</v>
      </c>
      <c r="T661" t="s">
        <v>22935</v>
      </c>
      <c r="V661" s="28" t="s">
        <v>9334</v>
      </c>
      <c r="W661" t="s">
        <v>22936</v>
      </c>
      <c r="X661" t="s">
        <v>194</v>
      </c>
      <c r="Y661" s="28" t="s">
        <v>9300</v>
      </c>
      <c r="AB661" t="s">
        <v>9311</v>
      </c>
      <c r="AH661" t="s">
        <v>4714</v>
      </c>
      <c r="AI661" t="s">
        <v>2889</v>
      </c>
      <c r="AJ661" s="28" t="str">
        <f t="shared" si="20"/>
        <v>422103</v>
      </c>
      <c r="AK661" s="420">
        <v>1</v>
      </c>
      <c r="AL661" s="420">
        <f t="shared" si="21"/>
        <v>1</v>
      </c>
      <c r="AM661" s="420">
        <v>1</v>
      </c>
      <c r="AN661" t="s">
        <v>17650</v>
      </c>
      <c r="AO661" t="s">
        <v>17651</v>
      </c>
      <c r="AP661" t="s">
        <v>17652</v>
      </c>
      <c r="AQ661" t="s">
        <v>17653</v>
      </c>
      <c r="AR661" t="s">
        <v>1024</v>
      </c>
    </row>
    <row r="662" spans="1:44" x14ac:dyDescent="0.25">
      <c r="A662" t="s">
        <v>2663</v>
      </c>
      <c r="B662" t="s">
        <v>22937</v>
      </c>
      <c r="C662" s="410" t="s">
        <v>84</v>
      </c>
      <c r="D662" t="s">
        <v>20338</v>
      </c>
      <c r="E662" t="s">
        <v>192</v>
      </c>
      <c r="F662" s="534">
        <v>1</v>
      </c>
      <c r="G662" t="s">
        <v>193</v>
      </c>
      <c r="H662" t="s">
        <v>194</v>
      </c>
      <c r="I662" t="s">
        <v>20405</v>
      </c>
      <c r="J662" t="s">
        <v>210</v>
      </c>
      <c r="K662" s="28" t="s">
        <v>9309</v>
      </c>
      <c r="L662" t="s">
        <v>6955</v>
      </c>
      <c r="N662" t="s">
        <v>22938</v>
      </c>
      <c r="O662" t="s">
        <v>6275</v>
      </c>
      <c r="P662" t="s">
        <v>20398</v>
      </c>
      <c r="Q662" t="s">
        <v>20399</v>
      </c>
      <c r="R662" t="s">
        <v>20400</v>
      </c>
      <c r="S662" t="s">
        <v>22939</v>
      </c>
      <c r="T662" t="s">
        <v>22940</v>
      </c>
      <c r="V662" s="28" t="s">
        <v>9334</v>
      </c>
      <c r="W662" t="s">
        <v>2665</v>
      </c>
      <c r="X662" t="s">
        <v>194</v>
      </c>
      <c r="Y662" s="28" t="s">
        <v>9300</v>
      </c>
      <c r="AB662" t="s">
        <v>9311</v>
      </c>
      <c r="AH662" t="s">
        <v>4714</v>
      </c>
      <c r="AI662" t="s">
        <v>22937</v>
      </c>
      <c r="AJ662" s="28" t="str">
        <f t="shared" si="20"/>
        <v>541315</v>
      </c>
      <c r="AK662" s="420">
        <v>1</v>
      </c>
      <c r="AL662" s="420">
        <f t="shared" si="21"/>
        <v>1</v>
      </c>
      <c r="AM662" s="420">
        <v>1</v>
      </c>
      <c r="AN662" t="s">
        <v>17650</v>
      </c>
      <c r="AO662" t="s">
        <v>17651</v>
      </c>
      <c r="AP662" t="s">
        <v>17652</v>
      </c>
      <c r="AQ662" t="s">
        <v>17653</v>
      </c>
      <c r="AR662" t="s">
        <v>1024</v>
      </c>
    </row>
    <row r="663" spans="1:44" x14ac:dyDescent="0.25">
      <c r="A663" t="s">
        <v>4762</v>
      </c>
      <c r="B663" t="s">
        <v>1024</v>
      </c>
      <c r="C663" s="410" t="s">
        <v>4763</v>
      </c>
      <c r="D663" t="s">
        <v>20338</v>
      </c>
      <c r="E663" t="s">
        <v>233</v>
      </c>
      <c r="F663" s="534">
        <v>1</v>
      </c>
      <c r="G663" t="s">
        <v>193</v>
      </c>
      <c r="H663" t="s">
        <v>194</v>
      </c>
      <c r="I663" t="s">
        <v>20310</v>
      </c>
      <c r="J663" t="s">
        <v>4751</v>
      </c>
      <c r="K663" s="28" t="s">
        <v>9309</v>
      </c>
      <c r="L663" t="s">
        <v>6955</v>
      </c>
      <c r="N663" t="s">
        <v>22941</v>
      </c>
      <c r="O663" t="s">
        <v>6306</v>
      </c>
      <c r="P663" t="s">
        <v>20541</v>
      </c>
      <c r="Q663" t="s">
        <v>20389</v>
      </c>
      <c r="R663" t="s">
        <v>20385</v>
      </c>
      <c r="S663" t="s">
        <v>22942</v>
      </c>
      <c r="T663" t="s">
        <v>22943</v>
      </c>
      <c r="V663" s="28" t="s">
        <v>9472</v>
      </c>
      <c r="W663" t="s">
        <v>1339</v>
      </c>
      <c r="X663" t="s">
        <v>194</v>
      </c>
      <c r="Y663" s="28" t="s">
        <v>9300</v>
      </c>
      <c r="AB663" t="s">
        <v>9311</v>
      </c>
      <c r="AH663" t="s">
        <v>4714</v>
      </c>
      <c r="AI663" t="s">
        <v>1024</v>
      </c>
      <c r="AJ663" s="28" t="str">
        <f t="shared" si="20"/>
        <v>325511</v>
      </c>
      <c r="AK663" s="420">
        <v>1</v>
      </c>
      <c r="AL663" s="420">
        <f t="shared" si="21"/>
        <v>1</v>
      </c>
      <c r="AM663" s="420">
        <v>1</v>
      </c>
      <c r="AN663" t="s">
        <v>17650</v>
      </c>
      <c r="AO663" t="s">
        <v>17651</v>
      </c>
      <c r="AP663" t="s">
        <v>17652</v>
      </c>
      <c r="AQ663" t="s">
        <v>17653</v>
      </c>
      <c r="AR663" t="s">
        <v>1024</v>
      </c>
    </row>
    <row r="664" spans="1:44" x14ac:dyDescent="0.25">
      <c r="A664" t="s">
        <v>17992</v>
      </c>
      <c r="B664" t="s">
        <v>1638</v>
      </c>
      <c r="C664" s="410" t="s">
        <v>56</v>
      </c>
      <c r="D664" t="s">
        <v>20317</v>
      </c>
      <c r="E664" t="s">
        <v>192</v>
      </c>
      <c r="F664" s="534">
        <v>1</v>
      </c>
      <c r="G664" t="s">
        <v>193</v>
      </c>
      <c r="H664" t="s">
        <v>194</v>
      </c>
      <c r="I664" t="s">
        <v>20333</v>
      </c>
      <c r="J664" t="s">
        <v>399</v>
      </c>
      <c r="K664" s="28" t="s">
        <v>9309</v>
      </c>
      <c r="L664" t="s">
        <v>6955</v>
      </c>
      <c r="N664" t="s">
        <v>22944</v>
      </c>
      <c r="O664" t="s">
        <v>6288</v>
      </c>
      <c r="P664" t="s">
        <v>20320</v>
      </c>
      <c r="Q664" t="s">
        <v>20321</v>
      </c>
      <c r="R664" t="s">
        <v>20322</v>
      </c>
      <c r="S664" t="s">
        <v>22945</v>
      </c>
      <c r="T664" t="s">
        <v>22946</v>
      </c>
      <c r="V664" s="28" t="s">
        <v>11135</v>
      </c>
      <c r="W664" t="s">
        <v>2668</v>
      </c>
      <c r="X664" t="s">
        <v>194</v>
      </c>
      <c r="Y664" s="28" t="s">
        <v>9300</v>
      </c>
      <c r="AB664" t="s">
        <v>9311</v>
      </c>
      <c r="AH664" t="s">
        <v>4714</v>
      </c>
      <c r="AI664" t="s">
        <v>1638</v>
      </c>
      <c r="AJ664" s="28" t="str">
        <f t="shared" si="20"/>
        <v>321403</v>
      </c>
      <c r="AK664" s="420">
        <v>1</v>
      </c>
      <c r="AL664" s="420">
        <f t="shared" si="21"/>
        <v>1</v>
      </c>
      <c r="AM664" s="420">
        <v>1</v>
      </c>
      <c r="AN664" t="s">
        <v>17650</v>
      </c>
      <c r="AO664" t="s">
        <v>17651</v>
      </c>
      <c r="AP664" t="s">
        <v>17652</v>
      </c>
      <c r="AQ664" t="s">
        <v>17653</v>
      </c>
      <c r="AR664" t="s">
        <v>1024</v>
      </c>
    </row>
    <row r="665" spans="1:44" x14ac:dyDescent="0.25">
      <c r="A665" t="s">
        <v>17992</v>
      </c>
      <c r="B665" t="s">
        <v>1638</v>
      </c>
      <c r="C665" s="410" t="s">
        <v>56</v>
      </c>
      <c r="D665" t="s">
        <v>20317</v>
      </c>
      <c r="E665" t="s">
        <v>192</v>
      </c>
      <c r="F665" s="534">
        <v>1</v>
      </c>
      <c r="G665" t="s">
        <v>193</v>
      </c>
      <c r="H665" t="s">
        <v>194</v>
      </c>
      <c r="I665" t="s">
        <v>20333</v>
      </c>
      <c r="J665" t="s">
        <v>385</v>
      </c>
      <c r="K665" s="28" t="s">
        <v>9309</v>
      </c>
      <c r="L665" t="s">
        <v>6955</v>
      </c>
      <c r="N665" t="s">
        <v>22947</v>
      </c>
      <c r="O665" t="s">
        <v>6288</v>
      </c>
      <c r="P665" t="s">
        <v>20320</v>
      </c>
      <c r="Q665" t="s">
        <v>20321</v>
      </c>
      <c r="R665" t="s">
        <v>20322</v>
      </c>
      <c r="S665" t="s">
        <v>22948</v>
      </c>
      <c r="T665" t="s">
        <v>22949</v>
      </c>
      <c r="V665" s="28" t="s">
        <v>9410</v>
      </c>
      <c r="W665" t="s">
        <v>2668</v>
      </c>
      <c r="X665" t="s">
        <v>194</v>
      </c>
      <c r="Y665" s="28" t="s">
        <v>9300</v>
      </c>
      <c r="AB665" t="s">
        <v>9311</v>
      </c>
      <c r="AH665" t="s">
        <v>4714</v>
      </c>
      <c r="AI665" t="s">
        <v>1638</v>
      </c>
      <c r="AJ665" s="28" t="str">
        <f t="shared" si="20"/>
        <v>321403</v>
      </c>
      <c r="AK665" s="420">
        <v>1</v>
      </c>
      <c r="AL665" s="420">
        <f t="shared" si="21"/>
        <v>1</v>
      </c>
      <c r="AM665" s="420">
        <v>1</v>
      </c>
      <c r="AN665" t="s">
        <v>17650</v>
      </c>
      <c r="AO665" t="s">
        <v>17651</v>
      </c>
      <c r="AP665" t="s">
        <v>17652</v>
      </c>
      <c r="AQ665" t="s">
        <v>17653</v>
      </c>
      <c r="AR665" t="s">
        <v>1024</v>
      </c>
    </row>
    <row r="666" spans="1:44" x14ac:dyDescent="0.25">
      <c r="A666" t="s">
        <v>17992</v>
      </c>
      <c r="B666" t="s">
        <v>1638</v>
      </c>
      <c r="C666" s="410" t="s">
        <v>56</v>
      </c>
      <c r="D666" t="s">
        <v>20317</v>
      </c>
      <c r="E666" t="s">
        <v>192</v>
      </c>
      <c r="F666" s="534">
        <v>1</v>
      </c>
      <c r="G666" t="s">
        <v>193</v>
      </c>
      <c r="H666" t="s">
        <v>194</v>
      </c>
      <c r="I666" t="s">
        <v>20333</v>
      </c>
      <c r="J666" t="s">
        <v>316</v>
      </c>
      <c r="K666" s="28" t="s">
        <v>9309</v>
      </c>
      <c r="L666" t="s">
        <v>6955</v>
      </c>
      <c r="N666" t="s">
        <v>22950</v>
      </c>
      <c r="O666" t="s">
        <v>6288</v>
      </c>
      <c r="P666" t="s">
        <v>20320</v>
      </c>
      <c r="Q666" t="s">
        <v>20321</v>
      </c>
      <c r="R666" t="s">
        <v>20322</v>
      </c>
      <c r="S666" t="s">
        <v>22951</v>
      </c>
      <c r="T666" t="s">
        <v>22952</v>
      </c>
      <c r="V666" s="28" t="s">
        <v>10012</v>
      </c>
      <c r="W666" t="s">
        <v>2668</v>
      </c>
      <c r="X666" t="s">
        <v>194</v>
      </c>
      <c r="Y666" s="28" t="s">
        <v>9300</v>
      </c>
      <c r="AB666" t="s">
        <v>9311</v>
      </c>
      <c r="AH666" t="s">
        <v>4714</v>
      </c>
      <c r="AI666" t="s">
        <v>1638</v>
      </c>
      <c r="AJ666" s="28" t="str">
        <f t="shared" si="20"/>
        <v>321403</v>
      </c>
      <c r="AK666" s="420">
        <v>1</v>
      </c>
      <c r="AL666" s="420">
        <f t="shared" si="21"/>
        <v>1</v>
      </c>
      <c r="AM666" s="420">
        <v>1</v>
      </c>
      <c r="AN666" t="s">
        <v>17650</v>
      </c>
      <c r="AO666" t="s">
        <v>17651</v>
      </c>
      <c r="AP666" t="s">
        <v>17652</v>
      </c>
      <c r="AQ666" t="s">
        <v>17653</v>
      </c>
      <c r="AR666" t="s">
        <v>1024</v>
      </c>
    </row>
    <row r="667" spans="1:44" x14ac:dyDescent="0.25">
      <c r="A667" t="s">
        <v>4948</v>
      </c>
      <c r="B667" t="s">
        <v>1000</v>
      </c>
      <c r="C667" s="410" t="s">
        <v>3764</v>
      </c>
      <c r="D667" t="s">
        <v>20338</v>
      </c>
      <c r="E667" t="s">
        <v>233</v>
      </c>
      <c r="F667" s="534">
        <v>1</v>
      </c>
      <c r="G667" t="s">
        <v>193</v>
      </c>
      <c r="H667" t="s">
        <v>194</v>
      </c>
      <c r="I667" t="s">
        <v>20437</v>
      </c>
      <c r="J667" t="s">
        <v>21395</v>
      </c>
      <c r="K667" s="28" t="s">
        <v>9309</v>
      </c>
      <c r="L667" t="s">
        <v>6955</v>
      </c>
      <c r="N667" t="s">
        <v>22953</v>
      </c>
      <c r="O667" t="s">
        <v>6306</v>
      </c>
      <c r="P667" t="s">
        <v>20541</v>
      </c>
      <c r="Q667" t="s">
        <v>20389</v>
      </c>
      <c r="R667" t="s">
        <v>20441</v>
      </c>
      <c r="S667" t="s">
        <v>22954</v>
      </c>
      <c r="T667" t="s">
        <v>22955</v>
      </c>
      <c r="V667" s="28" t="s">
        <v>11163</v>
      </c>
      <c r="W667" t="s">
        <v>3765</v>
      </c>
      <c r="X667" t="s">
        <v>194</v>
      </c>
      <c r="Y667" s="28" t="s">
        <v>9300</v>
      </c>
      <c r="AB667" t="s">
        <v>9311</v>
      </c>
      <c r="AH667" t="s">
        <v>4714</v>
      </c>
      <c r="AI667" t="s">
        <v>1000</v>
      </c>
      <c r="AJ667" s="28" t="str">
        <f t="shared" si="20"/>
        <v>314207</v>
      </c>
      <c r="AK667" s="420">
        <v>1</v>
      </c>
      <c r="AL667" s="420">
        <f t="shared" si="21"/>
        <v>1</v>
      </c>
      <c r="AM667" s="420">
        <v>1</v>
      </c>
      <c r="AN667" t="s">
        <v>17650</v>
      </c>
      <c r="AO667" t="s">
        <v>17651</v>
      </c>
      <c r="AP667" t="s">
        <v>17652</v>
      </c>
      <c r="AQ667" t="s">
        <v>17653</v>
      </c>
      <c r="AR667" t="s">
        <v>1024</v>
      </c>
    </row>
    <row r="668" spans="1:44" x14ac:dyDescent="0.25">
      <c r="A668" t="s">
        <v>11602</v>
      </c>
      <c r="B668" t="s">
        <v>22956</v>
      </c>
      <c r="C668" s="410" t="s">
        <v>4072</v>
      </c>
      <c r="D668" t="s">
        <v>20338</v>
      </c>
      <c r="E668" t="s">
        <v>192</v>
      </c>
      <c r="F668" s="534">
        <v>1</v>
      </c>
      <c r="G668" t="s">
        <v>193</v>
      </c>
      <c r="H668" t="s">
        <v>194</v>
      </c>
      <c r="I668" t="s">
        <v>20405</v>
      </c>
      <c r="J668" t="s">
        <v>316</v>
      </c>
      <c r="K668" s="28" t="s">
        <v>9309</v>
      </c>
      <c r="L668" t="s">
        <v>6955</v>
      </c>
      <c r="N668" t="s">
        <v>22957</v>
      </c>
      <c r="O668" t="s">
        <v>6275</v>
      </c>
      <c r="P668" t="s">
        <v>20398</v>
      </c>
      <c r="Q668" t="s">
        <v>20399</v>
      </c>
      <c r="R668" t="s">
        <v>20400</v>
      </c>
      <c r="S668" t="s">
        <v>22958</v>
      </c>
      <c r="T668" t="s">
        <v>22959</v>
      </c>
      <c r="V668" s="28" t="s">
        <v>10012</v>
      </c>
      <c r="W668" t="s">
        <v>4073</v>
      </c>
      <c r="X668" t="s">
        <v>194</v>
      </c>
      <c r="Y668" s="28" t="s">
        <v>9300</v>
      </c>
      <c r="AB668" t="s">
        <v>9311</v>
      </c>
      <c r="AH668" t="s">
        <v>4714</v>
      </c>
      <c r="AI668" t="s">
        <v>22956</v>
      </c>
      <c r="AJ668" s="28" t="str">
        <f t="shared" si="20"/>
        <v>311603</v>
      </c>
      <c r="AK668" s="420">
        <v>1</v>
      </c>
      <c r="AL668" s="420">
        <f t="shared" si="21"/>
        <v>1</v>
      </c>
      <c r="AM668" s="420">
        <v>1</v>
      </c>
      <c r="AN668" t="s">
        <v>17650</v>
      </c>
      <c r="AO668" t="s">
        <v>17651</v>
      </c>
      <c r="AP668" t="s">
        <v>17652</v>
      </c>
      <c r="AQ668" t="s">
        <v>17653</v>
      </c>
      <c r="AR668" t="s">
        <v>1024</v>
      </c>
    </row>
    <row r="669" spans="1:44" x14ac:dyDescent="0.25">
      <c r="A669" t="s">
        <v>8231</v>
      </c>
      <c r="B669" t="s">
        <v>22960</v>
      </c>
      <c r="C669" s="410" t="s">
        <v>4072</v>
      </c>
      <c r="D669" t="s">
        <v>20338</v>
      </c>
      <c r="E669" t="s">
        <v>192</v>
      </c>
      <c r="F669" s="534">
        <v>1</v>
      </c>
      <c r="G669" t="s">
        <v>193</v>
      </c>
      <c r="H669" t="s">
        <v>194</v>
      </c>
      <c r="I669" t="s">
        <v>20405</v>
      </c>
      <c r="J669" t="s">
        <v>223</v>
      </c>
      <c r="K669" s="28" t="s">
        <v>9309</v>
      </c>
      <c r="L669" t="s">
        <v>6955</v>
      </c>
      <c r="N669" t="s">
        <v>22961</v>
      </c>
      <c r="O669" t="s">
        <v>6258</v>
      </c>
      <c r="P669" t="s">
        <v>20398</v>
      </c>
      <c r="Q669" t="s">
        <v>20399</v>
      </c>
      <c r="R669" t="s">
        <v>20400</v>
      </c>
      <c r="S669" t="s">
        <v>22962</v>
      </c>
      <c r="T669" t="s">
        <v>22963</v>
      </c>
      <c r="V669" s="28" t="s">
        <v>11163</v>
      </c>
      <c r="W669" t="s">
        <v>4073</v>
      </c>
      <c r="X669" t="s">
        <v>194</v>
      </c>
      <c r="Y669" s="28" t="s">
        <v>9300</v>
      </c>
      <c r="AB669" t="s">
        <v>9311</v>
      </c>
      <c r="AH669" t="s">
        <v>4714</v>
      </c>
      <c r="AI669" t="s">
        <v>22960</v>
      </c>
      <c r="AJ669" s="28" t="str">
        <f t="shared" si="20"/>
        <v>311603</v>
      </c>
      <c r="AK669" s="420">
        <v>1</v>
      </c>
      <c r="AL669" s="420">
        <f t="shared" si="21"/>
        <v>1</v>
      </c>
      <c r="AM669" s="420">
        <v>1</v>
      </c>
      <c r="AN669" t="s">
        <v>17650</v>
      </c>
      <c r="AO669" t="s">
        <v>17651</v>
      </c>
      <c r="AP669" t="s">
        <v>17652</v>
      </c>
      <c r="AQ669" t="s">
        <v>17653</v>
      </c>
      <c r="AR669" t="s">
        <v>1024</v>
      </c>
    </row>
    <row r="670" spans="1:44" x14ac:dyDescent="0.25">
      <c r="A670" t="s">
        <v>2315</v>
      </c>
      <c r="B670" t="s">
        <v>7474</v>
      </c>
      <c r="C670" s="410" t="s">
        <v>2781</v>
      </c>
      <c r="D670" t="s">
        <v>20338</v>
      </c>
      <c r="E670" t="s">
        <v>192</v>
      </c>
      <c r="F670" s="534">
        <v>1</v>
      </c>
      <c r="G670" t="s">
        <v>193</v>
      </c>
      <c r="H670" t="s">
        <v>194</v>
      </c>
      <c r="I670" t="s">
        <v>20405</v>
      </c>
      <c r="J670" t="s">
        <v>327</v>
      </c>
      <c r="K670" s="28" t="s">
        <v>9309</v>
      </c>
      <c r="L670" t="s">
        <v>6955</v>
      </c>
      <c r="N670" t="s">
        <v>22964</v>
      </c>
      <c r="O670" t="s">
        <v>6245</v>
      </c>
      <c r="P670" t="s">
        <v>20398</v>
      </c>
      <c r="Q670" t="s">
        <v>20399</v>
      </c>
      <c r="R670" t="s">
        <v>20400</v>
      </c>
      <c r="S670" t="s">
        <v>22965</v>
      </c>
      <c r="T670" t="s">
        <v>22966</v>
      </c>
      <c r="V670" s="28" t="s">
        <v>9506</v>
      </c>
      <c r="W670" t="s">
        <v>7476</v>
      </c>
      <c r="X670" t="s">
        <v>194</v>
      </c>
      <c r="Y670" s="28" t="s">
        <v>9300</v>
      </c>
      <c r="AB670" t="s">
        <v>9311</v>
      </c>
      <c r="AH670" t="s">
        <v>4714</v>
      </c>
      <c r="AI670" t="s">
        <v>7474</v>
      </c>
      <c r="AJ670" s="28" t="str">
        <f t="shared" si="20"/>
        <v>311922</v>
      </c>
      <c r="AK670" s="420">
        <v>1</v>
      </c>
      <c r="AL670" s="420">
        <f t="shared" si="21"/>
        <v>1</v>
      </c>
      <c r="AM670" s="420">
        <v>1</v>
      </c>
      <c r="AN670" t="s">
        <v>17650</v>
      </c>
      <c r="AO670" t="s">
        <v>17651</v>
      </c>
      <c r="AP670" t="s">
        <v>17652</v>
      </c>
      <c r="AQ670" t="s">
        <v>17653</v>
      </c>
      <c r="AR670" t="s">
        <v>1024</v>
      </c>
    </row>
    <row r="671" spans="1:44" x14ac:dyDescent="0.25">
      <c r="A671" t="s">
        <v>2315</v>
      </c>
      <c r="B671" t="s">
        <v>7474</v>
      </c>
      <c r="C671" s="410" t="s">
        <v>2781</v>
      </c>
      <c r="D671" t="s">
        <v>20338</v>
      </c>
      <c r="E671" t="s">
        <v>192</v>
      </c>
      <c r="F671" s="534">
        <v>1</v>
      </c>
      <c r="G671" t="s">
        <v>193</v>
      </c>
      <c r="H671" t="s">
        <v>194</v>
      </c>
      <c r="I671" t="s">
        <v>20405</v>
      </c>
      <c r="J671" t="s">
        <v>253</v>
      </c>
      <c r="K671" s="28" t="s">
        <v>9309</v>
      </c>
      <c r="L671" t="s">
        <v>6955</v>
      </c>
      <c r="N671" t="s">
        <v>22967</v>
      </c>
      <c r="O671" t="s">
        <v>6245</v>
      </c>
      <c r="P671" t="s">
        <v>20398</v>
      </c>
      <c r="Q671" t="s">
        <v>20399</v>
      </c>
      <c r="R671" t="s">
        <v>20400</v>
      </c>
      <c r="S671" t="s">
        <v>22968</v>
      </c>
      <c r="T671" t="s">
        <v>22969</v>
      </c>
      <c r="V671" s="28" t="s">
        <v>9468</v>
      </c>
      <c r="W671" t="s">
        <v>7476</v>
      </c>
      <c r="X671" t="s">
        <v>194</v>
      </c>
      <c r="Y671" s="28" t="s">
        <v>9300</v>
      </c>
      <c r="AB671" t="s">
        <v>9311</v>
      </c>
      <c r="AH671" t="s">
        <v>4714</v>
      </c>
      <c r="AI671" t="s">
        <v>7474</v>
      </c>
      <c r="AJ671" s="28" t="str">
        <f t="shared" si="20"/>
        <v>311922</v>
      </c>
      <c r="AK671" s="420">
        <v>1</v>
      </c>
      <c r="AL671" s="420">
        <f t="shared" si="21"/>
        <v>1</v>
      </c>
      <c r="AM671" s="420">
        <v>1</v>
      </c>
      <c r="AN671" t="s">
        <v>17650</v>
      </c>
      <c r="AO671" t="s">
        <v>17651</v>
      </c>
      <c r="AP671" t="s">
        <v>17652</v>
      </c>
      <c r="AQ671" t="s">
        <v>17653</v>
      </c>
      <c r="AR671" t="s">
        <v>1024</v>
      </c>
    </row>
    <row r="672" spans="1:44" x14ac:dyDescent="0.25">
      <c r="A672" t="s">
        <v>2315</v>
      </c>
      <c r="B672" t="s">
        <v>7474</v>
      </c>
      <c r="C672" s="410" t="s">
        <v>2781</v>
      </c>
      <c r="D672" t="s">
        <v>20338</v>
      </c>
      <c r="E672" t="s">
        <v>192</v>
      </c>
      <c r="F672" s="534">
        <v>1</v>
      </c>
      <c r="G672" t="s">
        <v>193</v>
      </c>
      <c r="H672" t="s">
        <v>194</v>
      </c>
      <c r="I672" t="s">
        <v>20405</v>
      </c>
      <c r="J672" t="s">
        <v>210</v>
      </c>
      <c r="K672" s="28" t="s">
        <v>9309</v>
      </c>
      <c r="L672" t="s">
        <v>6955</v>
      </c>
      <c r="N672" t="s">
        <v>22970</v>
      </c>
      <c r="O672" t="s">
        <v>6245</v>
      </c>
      <c r="P672" t="s">
        <v>20398</v>
      </c>
      <c r="Q672" t="s">
        <v>20399</v>
      </c>
      <c r="R672" t="s">
        <v>20400</v>
      </c>
      <c r="S672" t="s">
        <v>22971</v>
      </c>
      <c r="T672" t="s">
        <v>22972</v>
      </c>
      <c r="V672" s="28" t="s">
        <v>9334</v>
      </c>
      <c r="W672" t="s">
        <v>7476</v>
      </c>
      <c r="X672" t="s">
        <v>194</v>
      </c>
      <c r="Y672" s="28" t="s">
        <v>9300</v>
      </c>
      <c r="AB672" t="s">
        <v>9311</v>
      </c>
      <c r="AH672" t="s">
        <v>4714</v>
      </c>
      <c r="AI672" t="s">
        <v>7474</v>
      </c>
      <c r="AJ672" s="28" t="str">
        <f t="shared" si="20"/>
        <v>311922</v>
      </c>
      <c r="AK672" s="420">
        <v>1</v>
      </c>
      <c r="AL672" s="420">
        <f t="shared" si="21"/>
        <v>1</v>
      </c>
      <c r="AM672" s="420">
        <v>1</v>
      </c>
      <c r="AN672" t="s">
        <v>17650</v>
      </c>
      <c r="AO672" t="s">
        <v>17651</v>
      </c>
      <c r="AP672" t="s">
        <v>17652</v>
      </c>
      <c r="AQ672" t="s">
        <v>17653</v>
      </c>
      <c r="AR672" t="s">
        <v>1024</v>
      </c>
    </row>
    <row r="673" spans="1:44" x14ac:dyDescent="0.25">
      <c r="A673" t="s">
        <v>2315</v>
      </c>
      <c r="B673" t="s">
        <v>7474</v>
      </c>
      <c r="C673" s="410" t="s">
        <v>2781</v>
      </c>
      <c r="D673" t="s">
        <v>20338</v>
      </c>
      <c r="E673" t="s">
        <v>192</v>
      </c>
      <c r="F673" s="534">
        <v>1</v>
      </c>
      <c r="G673" t="s">
        <v>193</v>
      </c>
      <c r="H673" t="s">
        <v>194</v>
      </c>
      <c r="I673" t="s">
        <v>20405</v>
      </c>
      <c r="J673" t="s">
        <v>408</v>
      </c>
      <c r="K673" s="28" t="s">
        <v>9309</v>
      </c>
      <c r="L673" t="s">
        <v>6955</v>
      </c>
      <c r="N673" t="s">
        <v>22973</v>
      </c>
      <c r="O673" t="s">
        <v>6245</v>
      </c>
      <c r="P673" t="s">
        <v>20398</v>
      </c>
      <c r="Q673" t="s">
        <v>20399</v>
      </c>
      <c r="R673" t="s">
        <v>20400</v>
      </c>
      <c r="S673" t="s">
        <v>22974</v>
      </c>
      <c r="T673" t="s">
        <v>22975</v>
      </c>
      <c r="V673" s="28" t="s">
        <v>9479</v>
      </c>
      <c r="W673" t="s">
        <v>7476</v>
      </c>
      <c r="X673" t="s">
        <v>194</v>
      </c>
      <c r="Y673" s="28" t="s">
        <v>9300</v>
      </c>
      <c r="AB673" t="s">
        <v>9311</v>
      </c>
      <c r="AH673" t="s">
        <v>4714</v>
      </c>
      <c r="AI673" t="s">
        <v>7474</v>
      </c>
      <c r="AJ673" s="28" t="str">
        <f t="shared" si="20"/>
        <v>311922</v>
      </c>
      <c r="AK673" s="420">
        <v>1</v>
      </c>
      <c r="AL673" s="420">
        <f t="shared" si="21"/>
        <v>1</v>
      </c>
      <c r="AM673" s="420">
        <v>1</v>
      </c>
      <c r="AN673" t="s">
        <v>17650</v>
      </c>
      <c r="AO673" t="s">
        <v>17651</v>
      </c>
      <c r="AP673" t="s">
        <v>17652</v>
      </c>
      <c r="AQ673" t="s">
        <v>17653</v>
      </c>
      <c r="AR673" t="s">
        <v>1024</v>
      </c>
    </row>
    <row r="674" spans="1:44" x14ac:dyDescent="0.25">
      <c r="A674" t="s">
        <v>19420</v>
      </c>
      <c r="B674" t="s">
        <v>22976</v>
      </c>
      <c r="C674" s="410" t="s">
        <v>10210</v>
      </c>
      <c r="D674" t="s">
        <v>20338</v>
      </c>
      <c r="E674" t="s">
        <v>192</v>
      </c>
      <c r="F674" s="534">
        <v>1</v>
      </c>
      <c r="G674" t="s">
        <v>193</v>
      </c>
      <c r="H674" t="s">
        <v>194</v>
      </c>
      <c r="I674" t="s">
        <v>20405</v>
      </c>
      <c r="J674" t="s">
        <v>22853</v>
      </c>
      <c r="K674" s="28" t="s">
        <v>9309</v>
      </c>
      <c r="L674" t="s">
        <v>6955</v>
      </c>
      <c r="N674" t="s">
        <v>22977</v>
      </c>
      <c r="O674" t="s">
        <v>6258</v>
      </c>
      <c r="P674" t="s">
        <v>20398</v>
      </c>
      <c r="Q674" t="s">
        <v>20399</v>
      </c>
      <c r="R674" t="s">
        <v>20400</v>
      </c>
      <c r="S674" t="s">
        <v>22978</v>
      </c>
      <c r="T674" t="s">
        <v>22979</v>
      </c>
      <c r="V674" s="28" t="s">
        <v>9440</v>
      </c>
      <c r="W674" t="s">
        <v>3450</v>
      </c>
      <c r="X674" t="s">
        <v>194</v>
      </c>
      <c r="Y674" s="28" t="s">
        <v>9300</v>
      </c>
      <c r="AB674" t="s">
        <v>9311</v>
      </c>
      <c r="AH674" t="s">
        <v>4714</v>
      </c>
      <c r="AI674" t="s">
        <v>22976</v>
      </c>
      <c r="AJ674" s="28" t="str">
        <f t="shared" si="20"/>
        <v>311930</v>
      </c>
      <c r="AK674" s="420">
        <v>1</v>
      </c>
      <c r="AL674" s="420">
        <f t="shared" si="21"/>
        <v>1</v>
      </c>
      <c r="AM674" s="420">
        <v>1</v>
      </c>
      <c r="AN674" t="s">
        <v>17650</v>
      </c>
      <c r="AO674" t="s">
        <v>17651</v>
      </c>
      <c r="AP674" t="s">
        <v>17652</v>
      </c>
      <c r="AQ674" t="s">
        <v>17653</v>
      </c>
      <c r="AR674" t="s">
        <v>1024</v>
      </c>
    </row>
    <row r="675" spans="1:44" x14ac:dyDescent="0.25">
      <c r="A675" t="s">
        <v>22980</v>
      </c>
      <c r="B675" t="s">
        <v>22981</v>
      </c>
      <c r="C675" s="410" t="s">
        <v>10210</v>
      </c>
      <c r="D675" t="s">
        <v>20306</v>
      </c>
      <c r="E675" t="s">
        <v>192</v>
      </c>
      <c r="F675" s="534">
        <v>1</v>
      </c>
      <c r="G675" t="s">
        <v>193</v>
      </c>
      <c r="H675" t="s">
        <v>194</v>
      </c>
      <c r="I675" t="s">
        <v>20441</v>
      </c>
      <c r="J675" t="s">
        <v>223</v>
      </c>
      <c r="K675" s="28" t="s">
        <v>9309</v>
      </c>
      <c r="L675" t="s">
        <v>6955</v>
      </c>
      <c r="N675" t="s">
        <v>22982</v>
      </c>
      <c r="O675" t="s">
        <v>6245</v>
      </c>
      <c r="P675" t="s">
        <v>20309</v>
      </c>
      <c r="Q675" t="s">
        <v>20310</v>
      </c>
      <c r="R675" t="s">
        <v>20311</v>
      </c>
      <c r="S675" t="s">
        <v>22983</v>
      </c>
      <c r="T675" t="s">
        <v>22984</v>
      </c>
      <c r="V675" s="28" t="s">
        <v>11163</v>
      </c>
      <c r="W675" t="s">
        <v>3450</v>
      </c>
      <c r="X675" t="s">
        <v>194</v>
      </c>
      <c r="Y675" s="28" t="s">
        <v>9300</v>
      </c>
      <c r="AB675" t="s">
        <v>9311</v>
      </c>
      <c r="AH675" t="s">
        <v>4714</v>
      </c>
      <c r="AI675" t="s">
        <v>22981</v>
      </c>
      <c r="AJ675" s="28" t="str">
        <f t="shared" si="20"/>
        <v>311930</v>
      </c>
      <c r="AK675" s="420">
        <v>1</v>
      </c>
      <c r="AL675" s="420">
        <f t="shared" si="21"/>
        <v>1</v>
      </c>
      <c r="AM675" s="420">
        <v>1</v>
      </c>
      <c r="AN675" t="s">
        <v>17650</v>
      </c>
      <c r="AO675" t="s">
        <v>17651</v>
      </c>
      <c r="AP675" t="s">
        <v>17652</v>
      </c>
      <c r="AQ675" t="s">
        <v>17653</v>
      </c>
      <c r="AR675" t="s">
        <v>1024</v>
      </c>
    </row>
    <row r="676" spans="1:44" x14ac:dyDescent="0.25">
      <c r="A676" t="s">
        <v>22985</v>
      </c>
      <c r="B676" t="s">
        <v>22986</v>
      </c>
      <c r="C676" s="410" t="s">
        <v>10210</v>
      </c>
      <c r="D676" t="s">
        <v>20306</v>
      </c>
      <c r="E676" t="s">
        <v>192</v>
      </c>
      <c r="F676" s="534">
        <v>1</v>
      </c>
      <c r="G676" t="s">
        <v>193</v>
      </c>
      <c r="H676" t="s">
        <v>194</v>
      </c>
      <c r="I676" t="s">
        <v>20441</v>
      </c>
      <c r="J676" t="s">
        <v>210</v>
      </c>
      <c r="K676" s="28" t="s">
        <v>9309</v>
      </c>
      <c r="L676" t="s">
        <v>6955</v>
      </c>
      <c r="N676" t="s">
        <v>22987</v>
      </c>
      <c r="O676" t="s">
        <v>6251</v>
      </c>
      <c r="P676" t="s">
        <v>20309</v>
      </c>
      <c r="Q676" t="s">
        <v>20310</v>
      </c>
      <c r="R676" t="s">
        <v>20311</v>
      </c>
      <c r="S676" t="s">
        <v>22988</v>
      </c>
      <c r="T676" t="s">
        <v>22989</v>
      </c>
      <c r="V676" s="28" t="s">
        <v>9334</v>
      </c>
      <c r="W676" t="s">
        <v>3450</v>
      </c>
      <c r="X676" t="s">
        <v>194</v>
      </c>
      <c r="Y676" s="28" t="s">
        <v>9300</v>
      </c>
      <c r="AB676" t="s">
        <v>9311</v>
      </c>
      <c r="AH676" t="s">
        <v>4714</v>
      </c>
      <c r="AI676" t="s">
        <v>22986</v>
      </c>
      <c r="AJ676" s="28" t="str">
        <f t="shared" si="20"/>
        <v>311930</v>
      </c>
      <c r="AK676" s="420">
        <v>1</v>
      </c>
      <c r="AL676" s="420">
        <f t="shared" si="21"/>
        <v>1</v>
      </c>
      <c r="AM676" s="420">
        <v>1</v>
      </c>
      <c r="AN676" t="s">
        <v>17650</v>
      </c>
      <c r="AO676" t="s">
        <v>17651</v>
      </c>
      <c r="AP676" t="s">
        <v>17652</v>
      </c>
      <c r="AQ676" t="s">
        <v>17653</v>
      </c>
      <c r="AR676" t="s">
        <v>1024</v>
      </c>
    </row>
    <row r="677" spans="1:44" x14ac:dyDescent="0.25">
      <c r="A677" t="s">
        <v>22990</v>
      </c>
      <c r="B677" t="s">
        <v>22991</v>
      </c>
      <c r="C677" s="410" t="s">
        <v>4565</v>
      </c>
      <c r="D677" t="s">
        <v>20338</v>
      </c>
      <c r="E677" t="s">
        <v>192</v>
      </c>
      <c r="F677" s="534">
        <v>1</v>
      </c>
      <c r="G677" t="s">
        <v>193</v>
      </c>
      <c r="H677" t="s">
        <v>194</v>
      </c>
      <c r="I677" t="s">
        <v>20405</v>
      </c>
      <c r="J677" t="s">
        <v>316</v>
      </c>
      <c r="K677" s="28" t="s">
        <v>9309</v>
      </c>
      <c r="L677" t="s">
        <v>6955</v>
      </c>
      <c r="N677" t="s">
        <v>22992</v>
      </c>
      <c r="O677" t="s">
        <v>6245</v>
      </c>
      <c r="P677" t="s">
        <v>20398</v>
      </c>
      <c r="Q677" t="s">
        <v>20399</v>
      </c>
      <c r="R677" t="s">
        <v>20400</v>
      </c>
      <c r="S677" t="s">
        <v>22993</v>
      </c>
      <c r="T677" t="s">
        <v>22994</v>
      </c>
      <c r="V677" s="28" t="s">
        <v>10012</v>
      </c>
      <c r="W677" t="s">
        <v>4566</v>
      </c>
      <c r="X677" t="s">
        <v>194</v>
      </c>
      <c r="Y677" s="28" t="s">
        <v>9300</v>
      </c>
      <c r="AB677" t="s">
        <v>9311</v>
      </c>
      <c r="AH677" t="s">
        <v>4714</v>
      </c>
      <c r="AI677" t="s">
        <v>22991</v>
      </c>
      <c r="AJ677" s="28" t="str">
        <f t="shared" si="20"/>
        <v>311514</v>
      </c>
      <c r="AK677" s="420">
        <v>1</v>
      </c>
      <c r="AL677" s="420">
        <f t="shared" si="21"/>
        <v>1</v>
      </c>
      <c r="AM677" s="420">
        <v>1</v>
      </c>
      <c r="AN677" t="s">
        <v>17650</v>
      </c>
      <c r="AO677" t="s">
        <v>17651</v>
      </c>
      <c r="AP677" t="s">
        <v>17652</v>
      </c>
      <c r="AQ677" t="s">
        <v>17653</v>
      </c>
      <c r="AR677" t="s">
        <v>1024</v>
      </c>
    </row>
    <row r="678" spans="1:44" x14ac:dyDescent="0.25">
      <c r="A678" t="s">
        <v>14077</v>
      </c>
      <c r="B678" t="s">
        <v>22995</v>
      </c>
      <c r="C678" s="410" t="s">
        <v>2861</v>
      </c>
      <c r="D678" t="s">
        <v>20326</v>
      </c>
      <c r="E678" t="s">
        <v>192</v>
      </c>
      <c r="F678" s="534">
        <v>1</v>
      </c>
      <c r="G678" t="s">
        <v>193</v>
      </c>
      <c r="H678" t="s">
        <v>194</v>
      </c>
      <c r="I678" t="s">
        <v>20333</v>
      </c>
      <c r="J678" t="s">
        <v>9302</v>
      </c>
      <c r="K678" s="28" t="s">
        <v>9309</v>
      </c>
      <c r="L678" t="s">
        <v>6955</v>
      </c>
      <c r="N678" t="s">
        <v>22996</v>
      </c>
      <c r="O678" t="s">
        <v>6921</v>
      </c>
      <c r="P678" t="s">
        <v>20328</v>
      </c>
      <c r="Q678" t="s">
        <v>20329</v>
      </c>
      <c r="R678" t="s">
        <v>20306</v>
      </c>
      <c r="S678" t="s">
        <v>22997</v>
      </c>
      <c r="T678" t="s">
        <v>22998</v>
      </c>
      <c r="W678" t="s">
        <v>3629</v>
      </c>
      <c r="X678" t="s">
        <v>193</v>
      </c>
      <c r="Y678" s="28" t="s">
        <v>9310</v>
      </c>
      <c r="AB678" t="s">
        <v>9311</v>
      </c>
      <c r="AH678" t="s">
        <v>4714</v>
      </c>
      <c r="AI678" t="s">
        <v>22995</v>
      </c>
      <c r="AJ678" s="28" t="str">
        <f t="shared" si="20"/>
        <v>251903</v>
      </c>
      <c r="AK678" s="420">
        <v>1</v>
      </c>
      <c r="AL678" s="420">
        <f t="shared" si="21"/>
        <v>1</v>
      </c>
      <c r="AM678" s="420">
        <v>1</v>
      </c>
      <c r="AN678" t="s">
        <v>17650</v>
      </c>
      <c r="AO678" t="s">
        <v>17651</v>
      </c>
      <c r="AP678" t="s">
        <v>17652</v>
      </c>
      <c r="AQ678" t="s">
        <v>17653</v>
      </c>
      <c r="AR678" t="s">
        <v>1024</v>
      </c>
    </row>
    <row r="679" spans="1:44" x14ac:dyDescent="0.25">
      <c r="A679" t="s">
        <v>690</v>
      </c>
      <c r="B679" t="s">
        <v>17929</v>
      </c>
      <c r="C679" s="410" t="s">
        <v>2861</v>
      </c>
      <c r="D679" t="s">
        <v>20326</v>
      </c>
      <c r="E679" t="s">
        <v>192</v>
      </c>
      <c r="F679" s="534">
        <v>1</v>
      </c>
      <c r="G679" t="s">
        <v>193</v>
      </c>
      <c r="H679" t="s">
        <v>194</v>
      </c>
      <c r="I679" t="s">
        <v>20333</v>
      </c>
      <c r="J679" t="s">
        <v>9302</v>
      </c>
      <c r="K679" s="28" t="s">
        <v>9309</v>
      </c>
      <c r="L679" t="s">
        <v>6955</v>
      </c>
      <c r="N679" t="s">
        <v>22999</v>
      </c>
      <c r="O679" t="s">
        <v>6921</v>
      </c>
      <c r="P679" t="s">
        <v>20328</v>
      </c>
      <c r="Q679" t="s">
        <v>20329</v>
      </c>
      <c r="R679" t="s">
        <v>20306</v>
      </c>
      <c r="S679" t="s">
        <v>23000</v>
      </c>
      <c r="T679" t="s">
        <v>23001</v>
      </c>
      <c r="W679" t="s">
        <v>3629</v>
      </c>
      <c r="X679" t="s">
        <v>193</v>
      </c>
      <c r="Y679" s="28" t="s">
        <v>9310</v>
      </c>
      <c r="AB679" t="s">
        <v>9311</v>
      </c>
      <c r="AH679" t="s">
        <v>4714</v>
      </c>
      <c r="AI679" t="s">
        <v>17929</v>
      </c>
      <c r="AJ679" s="28" t="str">
        <f t="shared" si="20"/>
        <v>251903</v>
      </c>
      <c r="AK679" s="420">
        <v>1</v>
      </c>
      <c r="AL679" s="420">
        <f t="shared" si="21"/>
        <v>1</v>
      </c>
      <c r="AM679" s="420">
        <v>1</v>
      </c>
      <c r="AN679" t="s">
        <v>17650</v>
      </c>
      <c r="AO679" t="s">
        <v>17651</v>
      </c>
      <c r="AP679" t="s">
        <v>17652</v>
      </c>
      <c r="AQ679" t="s">
        <v>17653</v>
      </c>
      <c r="AR679" t="s">
        <v>1024</v>
      </c>
    </row>
    <row r="680" spans="1:44" x14ac:dyDescent="0.25">
      <c r="A680" t="s">
        <v>493</v>
      </c>
      <c r="B680" t="s">
        <v>2852</v>
      </c>
      <c r="C680" s="410" t="s">
        <v>2861</v>
      </c>
      <c r="D680" t="s">
        <v>20317</v>
      </c>
      <c r="E680" t="s">
        <v>192</v>
      </c>
      <c r="F680" s="534">
        <v>1</v>
      </c>
      <c r="G680" t="s">
        <v>193</v>
      </c>
      <c r="H680" t="s">
        <v>194</v>
      </c>
      <c r="I680" t="s">
        <v>20318</v>
      </c>
      <c r="J680" t="s">
        <v>210</v>
      </c>
      <c r="K680" s="28" t="s">
        <v>9309</v>
      </c>
      <c r="L680" t="s">
        <v>6955</v>
      </c>
      <c r="N680" t="s">
        <v>23002</v>
      </c>
      <c r="O680" t="s">
        <v>6261</v>
      </c>
      <c r="P680" t="s">
        <v>20320</v>
      </c>
      <c r="Q680" t="s">
        <v>20321</v>
      </c>
      <c r="R680" t="s">
        <v>20322</v>
      </c>
      <c r="S680" t="s">
        <v>23003</v>
      </c>
      <c r="T680" t="s">
        <v>23004</v>
      </c>
      <c r="V680" s="28" t="s">
        <v>9334</v>
      </c>
      <c r="W680" t="s">
        <v>3629</v>
      </c>
      <c r="X680" t="s">
        <v>194</v>
      </c>
      <c r="Y680" s="28" t="s">
        <v>9300</v>
      </c>
      <c r="AB680" t="s">
        <v>9311</v>
      </c>
      <c r="AH680" t="s">
        <v>4714</v>
      </c>
      <c r="AI680" t="s">
        <v>2852</v>
      </c>
      <c r="AJ680" s="28" t="str">
        <f t="shared" si="20"/>
        <v>251903</v>
      </c>
      <c r="AK680" s="420">
        <v>1</v>
      </c>
      <c r="AL680" s="420">
        <f t="shared" si="21"/>
        <v>1</v>
      </c>
      <c r="AM680" s="420">
        <v>1</v>
      </c>
      <c r="AN680" t="s">
        <v>17650</v>
      </c>
      <c r="AO680" t="s">
        <v>17651</v>
      </c>
      <c r="AP680" t="s">
        <v>17652</v>
      </c>
      <c r="AQ680" t="s">
        <v>17653</v>
      </c>
      <c r="AR680" t="s">
        <v>1024</v>
      </c>
    </row>
    <row r="681" spans="1:44" x14ac:dyDescent="0.25">
      <c r="A681" t="s">
        <v>493</v>
      </c>
      <c r="B681" t="s">
        <v>2853</v>
      </c>
      <c r="C681" s="410" t="s">
        <v>2861</v>
      </c>
      <c r="D681" t="s">
        <v>20317</v>
      </c>
      <c r="E681" t="s">
        <v>192</v>
      </c>
      <c r="F681" s="534">
        <v>1</v>
      </c>
      <c r="G681" t="s">
        <v>193</v>
      </c>
      <c r="H681" t="s">
        <v>194</v>
      </c>
      <c r="I681" t="s">
        <v>20399</v>
      </c>
      <c r="J681" t="s">
        <v>210</v>
      </c>
      <c r="K681" s="28" t="s">
        <v>9309</v>
      </c>
      <c r="L681" t="s">
        <v>6955</v>
      </c>
      <c r="N681" t="s">
        <v>23005</v>
      </c>
      <c r="O681" t="s">
        <v>6261</v>
      </c>
      <c r="P681" t="s">
        <v>20320</v>
      </c>
      <c r="Q681" t="s">
        <v>20321</v>
      </c>
      <c r="R681" t="s">
        <v>20322</v>
      </c>
      <c r="S681" t="s">
        <v>23006</v>
      </c>
      <c r="T681" t="s">
        <v>23007</v>
      </c>
      <c r="V681" s="28" t="s">
        <v>9334</v>
      </c>
      <c r="W681" t="s">
        <v>3629</v>
      </c>
      <c r="X681" t="s">
        <v>194</v>
      </c>
      <c r="Y681" s="28" t="s">
        <v>9300</v>
      </c>
      <c r="AB681" t="s">
        <v>9311</v>
      </c>
      <c r="AH681" t="s">
        <v>4714</v>
      </c>
      <c r="AI681" t="s">
        <v>2853</v>
      </c>
      <c r="AJ681" s="28" t="str">
        <f t="shared" si="20"/>
        <v>251903</v>
      </c>
      <c r="AK681" s="420">
        <v>1</v>
      </c>
      <c r="AL681" s="420">
        <f t="shared" si="21"/>
        <v>1</v>
      </c>
      <c r="AM681" s="420">
        <v>1</v>
      </c>
      <c r="AN681" t="s">
        <v>17650</v>
      </c>
      <c r="AO681" t="s">
        <v>17651</v>
      </c>
      <c r="AP681" t="s">
        <v>17652</v>
      </c>
      <c r="AQ681" t="s">
        <v>17653</v>
      </c>
      <c r="AR681" t="s">
        <v>1024</v>
      </c>
    </row>
    <row r="682" spans="1:44" x14ac:dyDescent="0.25">
      <c r="A682" t="s">
        <v>21933</v>
      </c>
      <c r="B682" t="s">
        <v>23008</v>
      </c>
      <c r="C682" s="410" t="s">
        <v>2861</v>
      </c>
      <c r="D682" t="s">
        <v>20338</v>
      </c>
      <c r="E682" t="s">
        <v>192</v>
      </c>
      <c r="F682" s="534">
        <v>1</v>
      </c>
      <c r="G682" t="s">
        <v>193</v>
      </c>
      <c r="H682" t="s">
        <v>194</v>
      </c>
      <c r="I682" t="s">
        <v>20310</v>
      </c>
      <c r="J682" t="s">
        <v>9302</v>
      </c>
      <c r="K682" s="28" t="s">
        <v>9309</v>
      </c>
      <c r="L682" t="s">
        <v>6955</v>
      </c>
      <c r="N682" t="s">
        <v>23009</v>
      </c>
      <c r="O682" t="s">
        <v>6261</v>
      </c>
      <c r="P682" t="s">
        <v>20398</v>
      </c>
      <c r="Q682" t="s">
        <v>20399</v>
      </c>
      <c r="R682" t="s">
        <v>20400</v>
      </c>
      <c r="S682" t="s">
        <v>23010</v>
      </c>
      <c r="T682" t="s">
        <v>23011</v>
      </c>
      <c r="W682" t="s">
        <v>3629</v>
      </c>
      <c r="X682" t="s">
        <v>193</v>
      </c>
      <c r="Y682" s="28" t="s">
        <v>9310</v>
      </c>
      <c r="AB682" t="s">
        <v>9311</v>
      </c>
      <c r="AH682" t="s">
        <v>4714</v>
      </c>
      <c r="AI682" t="s">
        <v>23008</v>
      </c>
      <c r="AJ682" s="28" t="str">
        <f t="shared" si="20"/>
        <v>251903</v>
      </c>
      <c r="AK682" s="420">
        <v>1</v>
      </c>
      <c r="AL682" s="420">
        <f t="shared" si="21"/>
        <v>1</v>
      </c>
      <c r="AM682" s="420">
        <v>1</v>
      </c>
      <c r="AN682" t="s">
        <v>17650</v>
      </c>
      <c r="AO682" t="s">
        <v>17651</v>
      </c>
      <c r="AP682" t="s">
        <v>17652</v>
      </c>
      <c r="AQ682" t="s">
        <v>17653</v>
      </c>
      <c r="AR682" t="s">
        <v>1024</v>
      </c>
    </row>
    <row r="683" spans="1:44" x14ac:dyDescent="0.25">
      <c r="A683" t="s">
        <v>16862</v>
      </c>
      <c r="B683" t="s">
        <v>23012</v>
      </c>
      <c r="C683" s="410" t="s">
        <v>2993</v>
      </c>
      <c r="D683" t="s">
        <v>20326</v>
      </c>
      <c r="E683" t="s">
        <v>192</v>
      </c>
      <c r="F683" s="534">
        <v>1</v>
      </c>
      <c r="G683" t="s">
        <v>193</v>
      </c>
      <c r="H683" t="s">
        <v>194</v>
      </c>
      <c r="I683" t="s">
        <v>20333</v>
      </c>
      <c r="J683" t="s">
        <v>210</v>
      </c>
      <c r="K683" s="28" t="s">
        <v>9309</v>
      </c>
      <c r="L683" t="s">
        <v>6955</v>
      </c>
      <c r="N683" t="s">
        <v>23013</v>
      </c>
      <c r="O683" t="s">
        <v>6340</v>
      </c>
      <c r="P683" t="s">
        <v>20328</v>
      </c>
      <c r="Q683" t="s">
        <v>20329</v>
      </c>
      <c r="R683" t="s">
        <v>20306</v>
      </c>
      <c r="S683" t="s">
        <v>23014</v>
      </c>
      <c r="T683" t="s">
        <v>23015</v>
      </c>
      <c r="V683" s="28" t="s">
        <v>9334</v>
      </c>
      <c r="W683" t="s">
        <v>3793</v>
      </c>
      <c r="X683" t="s">
        <v>194</v>
      </c>
      <c r="Y683" s="28" t="s">
        <v>9300</v>
      </c>
      <c r="AB683" t="s">
        <v>9311</v>
      </c>
      <c r="AH683" t="s">
        <v>4714</v>
      </c>
      <c r="AI683" t="s">
        <v>23012</v>
      </c>
      <c r="AJ683" s="28" t="str">
        <f t="shared" si="20"/>
        <v>251904</v>
      </c>
      <c r="AK683" s="420">
        <v>1</v>
      </c>
      <c r="AL683" s="420">
        <f t="shared" si="21"/>
        <v>1</v>
      </c>
      <c r="AM683" s="420">
        <v>1</v>
      </c>
      <c r="AN683" t="s">
        <v>17650</v>
      </c>
      <c r="AO683" t="s">
        <v>17651</v>
      </c>
      <c r="AP683" t="s">
        <v>17652</v>
      </c>
      <c r="AQ683" t="s">
        <v>17653</v>
      </c>
      <c r="AR683" t="s">
        <v>1024</v>
      </c>
    </row>
    <row r="684" spans="1:44" x14ac:dyDescent="0.25">
      <c r="A684" t="s">
        <v>16069</v>
      </c>
      <c r="B684" t="s">
        <v>23016</v>
      </c>
      <c r="C684" s="410" t="s">
        <v>2993</v>
      </c>
      <c r="D684" t="s">
        <v>20326</v>
      </c>
      <c r="E684" t="s">
        <v>192</v>
      </c>
      <c r="F684" s="534">
        <v>1</v>
      </c>
      <c r="G684" t="s">
        <v>193</v>
      </c>
      <c r="H684" t="s">
        <v>194</v>
      </c>
      <c r="I684" t="s">
        <v>20333</v>
      </c>
      <c r="J684" t="s">
        <v>210</v>
      </c>
      <c r="K684" s="28" t="s">
        <v>9309</v>
      </c>
      <c r="L684" t="s">
        <v>6955</v>
      </c>
      <c r="N684" t="s">
        <v>23017</v>
      </c>
      <c r="O684" t="s">
        <v>6302</v>
      </c>
      <c r="P684" t="s">
        <v>20328</v>
      </c>
      <c r="Q684" t="s">
        <v>20329</v>
      </c>
      <c r="R684" t="s">
        <v>20306</v>
      </c>
      <c r="S684" t="s">
        <v>23018</v>
      </c>
      <c r="T684" t="s">
        <v>23019</v>
      </c>
      <c r="V684" s="28" t="s">
        <v>9334</v>
      </c>
      <c r="W684" t="s">
        <v>3793</v>
      </c>
      <c r="X684" t="s">
        <v>194</v>
      </c>
      <c r="Y684" s="28" t="s">
        <v>9300</v>
      </c>
      <c r="AB684" t="s">
        <v>9311</v>
      </c>
      <c r="AH684" t="s">
        <v>4714</v>
      </c>
      <c r="AI684" t="s">
        <v>23016</v>
      </c>
      <c r="AJ684" s="28" t="str">
        <f t="shared" si="20"/>
        <v>251904</v>
      </c>
      <c r="AK684" s="420">
        <v>1</v>
      </c>
      <c r="AL684" s="420">
        <f t="shared" si="21"/>
        <v>1</v>
      </c>
      <c r="AM684" s="420">
        <v>1</v>
      </c>
      <c r="AN684" t="s">
        <v>17650</v>
      </c>
      <c r="AO684" t="s">
        <v>17651</v>
      </c>
      <c r="AP684" t="s">
        <v>17652</v>
      </c>
      <c r="AQ684" t="s">
        <v>17653</v>
      </c>
      <c r="AR684" t="s">
        <v>1024</v>
      </c>
    </row>
    <row r="685" spans="1:44" x14ac:dyDescent="0.25">
      <c r="A685" t="s">
        <v>14864</v>
      </c>
      <c r="B685" t="s">
        <v>17001</v>
      </c>
      <c r="C685" s="410" t="s">
        <v>2993</v>
      </c>
      <c r="D685" t="s">
        <v>20338</v>
      </c>
      <c r="E685" t="s">
        <v>192</v>
      </c>
      <c r="F685" s="534">
        <v>1</v>
      </c>
      <c r="G685" t="s">
        <v>193</v>
      </c>
      <c r="H685" t="s">
        <v>194</v>
      </c>
      <c r="I685" t="s">
        <v>20307</v>
      </c>
      <c r="J685" t="s">
        <v>9302</v>
      </c>
      <c r="K685" s="28" t="s">
        <v>9309</v>
      </c>
      <c r="L685" t="s">
        <v>6955</v>
      </c>
      <c r="N685" t="s">
        <v>23020</v>
      </c>
      <c r="O685" t="s">
        <v>6921</v>
      </c>
      <c r="P685" t="s">
        <v>20398</v>
      </c>
      <c r="Q685" t="s">
        <v>20399</v>
      </c>
      <c r="R685" t="s">
        <v>20400</v>
      </c>
      <c r="S685" t="s">
        <v>23021</v>
      </c>
      <c r="T685" t="s">
        <v>23022</v>
      </c>
      <c r="W685" t="s">
        <v>3793</v>
      </c>
      <c r="X685" t="s">
        <v>193</v>
      </c>
      <c r="Y685" s="28" t="s">
        <v>9310</v>
      </c>
      <c r="AB685" t="s">
        <v>9311</v>
      </c>
      <c r="AH685" t="s">
        <v>4714</v>
      </c>
      <c r="AI685" t="s">
        <v>17001</v>
      </c>
      <c r="AJ685" s="28" t="str">
        <f t="shared" si="20"/>
        <v>251904</v>
      </c>
      <c r="AK685" s="420">
        <v>1</v>
      </c>
      <c r="AL685" s="420">
        <f t="shared" si="21"/>
        <v>1</v>
      </c>
      <c r="AM685" s="420">
        <v>1</v>
      </c>
      <c r="AN685" t="s">
        <v>17650</v>
      </c>
      <c r="AO685" t="s">
        <v>17651</v>
      </c>
      <c r="AP685" t="s">
        <v>17652</v>
      </c>
      <c r="AQ685" t="s">
        <v>17653</v>
      </c>
      <c r="AR685" t="s">
        <v>1024</v>
      </c>
    </row>
    <row r="686" spans="1:44" x14ac:dyDescent="0.25">
      <c r="A686" t="s">
        <v>14864</v>
      </c>
      <c r="B686" t="s">
        <v>16998</v>
      </c>
      <c r="C686" s="410" t="s">
        <v>2993</v>
      </c>
      <c r="D686" t="s">
        <v>20338</v>
      </c>
      <c r="E686" t="s">
        <v>192</v>
      </c>
      <c r="F686" s="534">
        <v>1</v>
      </c>
      <c r="G686" t="s">
        <v>193</v>
      </c>
      <c r="H686" t="s">
        <v>194</v>
      </c>
      <c r="I686" t="s">
        <v>20307</v>
      </c>
      <c r="J686" t="s">
        <v>9302</v>
      </c>
      <c r="K686" s="28" t="s">
        <v>9309</v>
      </c>
      <c r="L686" t="s">
        <v>6955</v>
      </c>
      <c r="N686" t="s">
        <v>23023</v>
      </c>
      <c r="O686" t="s">
        <v>6921</v>
      </c>
      <c r="P686" t="s">
        <v>20398</v>
      </c>
      <c r="Q686" t="s">
        <v>20399</v>
      </c>
      <c r="R686" t="s">
        <v>20400</v>
      </c>
      <c r="S686" t="s">
        <v>23024</v>
      </c>
      <c r="T686" t="s">
        <v>23025</v>
      </c>
      <c r="W686" t="s">
        <v>3793</v>
      </c>
      <c r="X686" t="s">
        <v>193</v>
      </c>
      <c r="Y686" s="28" t="s">
        <v>9310</v>
      </c>
      <c r="AB686" t="s">
        <v>9311</v>
      </c>
      <c r="AH686" t="s">
        <v>4714</v>
      </c>
      <c r="AI686" t="s">
        <v>16998</v>
      </c>
      <c r="AJ686" s="28" t="str">
        <f t="shared" si="20"/>
        <v>251904</v>
      </c>
      <c r="AK686" s="420">
        <v>1</v>
      </c>
      <c r="AL686" s="420">
        <f t="shared" si="21"/>
        <v>1</v>
      </c>
      <c r="AM686" s="420">
        <v>1</v>
      </c>
      <c r="AN686" t="s">
        <v>17650</v>
      </c>
      <c r="AO686" t="s">
        <v>17651</v>
      </c>
      <c r="AP686" t="s">
        <v>17652</v>
      </c>
      <c r="AQ686" t="s">
        <v>17653</v>
      </c>
      <c r="AR686" t="s">
        <v>1024</v>
      </c>
    </row>
    <row r="687" spans="1:44" x14ac:dyDescent="0.25">
      <c r="A687" t="s">
        <v>12918</v>
      </c>
      <c r="B687" t="s">
        <v>23026</v>
      </c>
      <c r="C687" s="410" t="s">
        <v>2993</v>
      </c>
      <c r="D687" t="s">
        <v>20338</v>
      </c>
      <c r="E687" t="s">
        <v>192</v>
      </c>
      <c r="F687" s="534">
        <v>1</v>
      </c>
      <c r="G687" t="s">
        <v>193</v>
      </c>
      <c r="H687" t="s">
        <v>194</v>
      </c>
      <c r="I687" t="s">
        <v>20307</v>
      </c>
      <c r="J687" t="s">
        <v>210</v>
      </c>
      <c r="K687" s="28" t="s">
        <v>9309</v>
      </c>
      <c r="L687" t="s">
        <v>6955</v>
      </c>
      <c r="N687" t="s">
        <v>23027</v>
      </c>
      <c r="O687" t="s">
        <v>6921</v>
      </c>
      <c r="P687" t="s">
        <v>20398</v>
      </c>
      <c r="Q687" t="s">
        <v>20399</v>
      </c>
      <c r="R687" t="s">
        <v>20400</v>
      </c>
      <c r="S687" t="s">
        <v>23028</v>
      </c>
      <c r="T687" t="s">
        <v>23029</v>
      </c>
      <c r="V687" s="28" t="s">
        <v>9334</v>
      </c>
      <c r="W687" t="s">
        <v>3793</v>
      </c>
      <c r="X687" t="s">
        <v>194</v>
      </c>
      <c r="Y687" s="28" t="s">
        <v>9300</v>
      </c>
      <c r="AB687" t="s">
        <v>9311</v>
      </c>
      <c r="AH687" t="s">
        <v>4714</v>
      </c>
      <c r="AI687" t="s">
        <v>23026</v>
      </c>
      <c r="AJ687" s="28" t="str">
        <f t="shared" si="20"/>
        <v>251904</v>
      </c>
      <c r="AK687" s="420">
        <v>1</v>
      </c>
      <c r="AL687" s="420">
        <f t="shared" si="21"/>
        <v>1</v>
      </c>
      <c r="AM687" s="420">
        <v>1</v>
      </c>
      <c r="AN687" t="s">
        <v>17650</v>
      </c>
      <c r="AO687" t="s">
        <v>17651</v>
      </c>
      <c r="AP687" t="s">
        <v>17652</v>
      </c>
      <c r="AQ687" t="s">
        <v>17653</v>
      </c>
      <c r="AR687" t="s">
        <v>1024</v>
      </c>
    </row>
    <row r="688" spans="1:44" x14ac:dyDescent="0.25">
      <c r="A688" t="s">
        <v>690</v>
      </c>
      <c r="B688" t="s">
        <v>23030</v>
      </c>
      <c r="C688" s="410" t="s">
        <v>2993</v>
      </c>
      <c r="D688" t="s">
        <v>20306</v>
      </c>
      <c r="E688" t="s">
        <v>192</v>
      </c>
      <c r="F688" s="534">
        <v>1</v>
      </c>
      <c r="G688" t="s">
        <v>193</v>
      </c>
      <c r="H688" t="s">
        <v>194</v>
      </c>
      <c r="I688" t="s">
        <v>20307</v>
      </c>
      <c r="J688" t="s">
        <v>9302</v>
      </c>
      <c r="K688" s="28" t="s">
        <v>9309</v>
      </c>
      <c r="L688" t="s">
        <v>6955</v>
      </c>
      <c r="N688" t="s">
        <v>23031</v>
      </c>
      <c r="O688" t="s">
        <v>6921</v>
      </c>
      <c r="P688" t="s">
        <v>20309</v>
      </c>
      <c r="Q688" t="s">
        <v>20310</v>
      </c>
      <c r="R688" t="s">
        <v>20311</v>
      </c>
      <c r="S688" t="s">
        <v>23032</v>
      </c>
      <c r="T688" t="s">
        <v>23033</v>
      </c>
      <c r="W688" t="s">
        <v>3793</v>
      </c>
      <c r="X688" t="s">
        <v>193</v>
      </c>
      <c r="Y688" s="28" t="s">
        <v>9310</v>
      </c>
      <c r="AB688" t="s">
        <v>9311</v>
      </c>
      <c r="AH688" t="s">
        <v>4714</v>
      </c>
      <c r="AI688" t="s">
        <v>23030</v>
      </c>
      <c r="AJ688" s="28" t="str">
        <f t="shared" si="20"/>
        <v>251904</v>
      </c>
      <c r="AK688" s="420">
        <v>1</v>
      </c>
      <c r="AL688" s="420">
        <f t="shared" si="21"/>
        <v>1</v>
      </c>
      <c r="AM688" s="420">
        <v>1</v>
      </c>
      <c r="AN688" t="s">
        <v>17650</v>
      </c>
      <c r="AO688" t="s">
        <v>17651</v>
      </c>
      <c r="AP688" t="s">
        <v>17652</v>
      </c>
      <c r="AQ688" t="s">
        <v>17653</v>
      </c>
      <c r="AR688" t="s">
        <v>1024</v>
      </c>
    </row>
    <row r="689" spans="1:46" x14ac:dyDescent="0.25">
      <c r="A689" t="s">
        <v>15464</v>
      </c>
      <c r="B689" t="s">
        <v>23034</v>
      </c>
      <c r="C689" s="410" t="s">
        <v>542</v>
      </c>
      <c r="D689" t="s">
        <v>20326</v>
      </c>
      <c r="E689" t="s">
        <v>217</v>
      </c>
      <c r="F689" s="534">
        <v>1</v>
      </c>
      <c r="G689" t="s">
        <v>193</v>
      </c>
      <c r="H689" t="s">
        <v>194</v>
      </c>
      <c r="I689" t="s">
        <v>20399</v>
      </c>
      <c r="J689" t="s">
        <v>15466</v>
      </c>
      <c r="K689" s="28" t="s">
        <v>9309</v>
      </c>
      <c r="L689" t="s">
        <v>6955</v>
      </c>
      <c r="N689" t="s">
        <v>23035</v>
      </c>
      <c r="O689" t="s">
        <v>6286</v>
      </c>
      <c r="P689" t="s">
        <v>20372</v>
      </c>
      <c r="Q689" t="s">
        <v>20373</v>
      </c>
      <c r="R689" t="s">
        <v>20338</v>
      </c>
      <c r="S689" t="s">
        <v>23036</v>
      </c>
      <c r="T689" t="s">
        <v>23037</v>
      </c>
      <c r="W689" t="s">
        <v>543</v>
      </c>
      <c r="X689" t="s">
        <v>193</v>
      </c>
      <c r="Y689" s="28" t="s">
        <v>9310</v>
      </c>
      <c r="AB689" t="s">
        <v>9311</v>
      </c>
      <c r="AH689" t="s">
        <v>4714</v>
      </c>
      <c r="AI689" t="s">
        <v>9433</v>
      </c>
      <c r="AJ689" s="28" t="str">
        <f t="shared" si="20"/>
        <v>264304</v>
      </c>
      <c r="AK689" s="420">
        <v>1</v>
      </c>
      <c r="AL689" s="420">
        <f t="shared" si="21"/>
        <v>1</v>
      </c>
      <c r="AM689" s="420">
        <v>1</v>
      </c>
      <c r="AN689" t="s">
        <v>17650</v>
      </c>
      <c r="AO689" t="s">
        <v>17651</v>
      </c>
      <c r="AP689" t="s">
        <v>17652</v>
      </c>
      <c r="AQ689" t="s">
        <v>17653</v>
      </c>
      <c r="AR689" t="s">
        <v>1024</v>
      </c>
    </row>
    <row r="690" spans="1:46" x14ac:dyDescent="0.25">
      <c r="A690" t="s">
        <v>15464</v>
      </c>
      <c r="B690" t="s">
        <v>23034</v>
      </c>
      <c r="C690" s="410" t="s">
        <v>542</v>
      </c>
      <c r="D690" t="s">
        <v>20317</v>
      </c>
      <c r="E690" t="s">
        <v>217</v>
      </c>
      <c r="F690" s="534">
        <v>1</v>
      </c>
      <c r="G690" t="s">
        <v>194</v>
      </c>
      <c r="H690" t="s">
        <v>193</v>
      </c>
      <c r="I690" t="s">
        <v>20399</v>
      </c>
      <c r="J690" t="s">
        <v>15466</v>
      </c>
      <c r="K690" s="28" t="s">
        <v>9309</v>
      </c>
      <c r="L690" t="s">
        <v>6955</v>
      </c>
      <c r="N690" t="s">
        <v>23035</v>
      </c>
      <c r="O690" t="s">
        <v>6286</v>
      </c>
      <c r="P690" t="s">
        <v>20376</v>
      </c>
      <c r="Q690" t="s">
        <v>20326</v>
      </c>
      <c r="R690" t="s">
        <v>20338</v>
      </c>
      <c r="S690" t="s">
        <v>23038</v>
      </c>
      <c r="T690" t="s">
        <v>23039</v>
      </c>
      <c r="W690" t="s">
        <v>543</v>
      </c>
      <c r="X690" t="s">
        <v>193</v>
      </c>
      <c r="Y690" s="28" t="s">
        <v>9310</v>
      </c>
      <c r="AB690" t="s">
        <v>9311</v>
      </c>
      <c r="AH690" t="s">
        <v>4714</v>
      </c>
      <c r="AI690" t="s">
        <v>9433</v>
      </c>
      <c r="AJ690" s="28" t="str">
        <f t="shared" si="20"/>
        <v>264304</v>
      </c>
      <c r="AK690" s="420">
        <v>1</v>
      </c>
      <c r="AL690" s="420">
        <f t="shared" si="21"/>
        <v>1</v>
      </c>
      <c r="AM690" s="420">
        <v>1</v>
      </c>
      <c r="AN690" t="s">
        <v>17650</v>
      </c>
      <c r="AO690" t="s">
        <v>17651</v>
      </c>
      <c r="AP690" t="s">
        <v>17652</v>
      </c>
      <c r="AQ690" t="s">
        <v>17653</v>
      </c>
      <c r="AR690" t="s">
        <v>1024</v>
      </c>
    </row>
    <row r="691" spans="1:46" x14ac:dyDescent="0.25">
      <c r="A691" t="s">
        <v>20027</v>
      </c>
      <c r="B691" t="s">
        <v>23040</v>
      </c>
      <c r="C691" s="410" t="s">
        <v>542</v>
      </c>
      <c r="D691" t="s">
        <v>20360</v>
      </c>
      <c r="E691" t="s">
        <v>233</v>
      </c>
      <c r="F691" s="534">
        <v>1</v>
      </c>
      <c r="G691" t="s">
        <v>193</v>
      </c>
      <c r="H691" t="s">
        <v>194</v>
      </c>
      <c r="I691" t="s">
        <v>20399</v>
      </c>
      <c r="J691" t="s">
        <v>20029</v>
      </c>
      <c r="K691" s="28" t="s">
        <v>9309</v>
      </c>
      <c r="L691" t="s">
        <v>6955</v>
      </c>
      <c r="N691" t="s">
        <v>23041</v>
      </c>
      <c r="O691" t="s">
        <v>6288</v>
      </c>
      <c r="P691" t="s">
        <v>20522</v>
      </c>
      <c r="Q691" t="s">
        <v>20422</v>
      </c>
      <c r="R691" t="s">
        <v>20483</v>
      </c>
      <c r="S691" t="s">
        <v>23042</v>
      </c>
      <c r="T691" t="s">
        <v>23043</v>
      </c>
      <c r="W691" t="s">
        <v>543</v>
      </c>
      <c r="X691" t="s">
        <v>193</v>
      </c>
      <c r="Y691" s="28" t="s">
        <v>9310</v>
      </c>
      <c r="AB691" t="s">
        <v>9311</v>
      </c>
      <c r="AH691" t="s">
        <v>4714</v>
      </c>
      <c r="AI691" t="s">
        <v>23040</v>
      </c>
      <c r="AJ691" s="28" t="str">
        <f t="shared" si="20"/>
        <v>264304</v>
      </c>
      <c r="AK691" s="420">
        <v>1</v>
      </c>
      <c r="AL691" s="420">
        <f t="shared" si="21"/>
        <v>1</v>
      </c>
      <c r="AM691" s="420">
        <v>1</v>
      </c>
      <c r="AN691" t="s">
        <v>17650</v>
      </c>
      <c r="AO691" t="s">
        <v>17651</v>
      </c>
      <c r="AP691" t="s">
        <v>17652</v>
      </c>
      <c r="AQ691" t="s">
        <v>17653</v>
      </c>
      <c r="AR691" t="s">
        <v>1024</v>
      </c>
    </row>
    <row r="692" spans="1:46" x14ac:dyDescent="0.25">
      <c r="A692" t="s">
        <v>15464</v>
      </c>
      <c r="B692" t="s">
        <v>23034</v>
      </c>
      <c r="C692" s="410" t="s">
        <v>542</v>
      </c>
      <c r="D692" t="s">
        <v>20360</v>
      </c>
      <c r="E692" t="s">
        <v>217</v>
      </c>
      <c r="F692" s="534">
        <v>1</v>
      </c>
      <c r="G692" t="s">
        <v>194</v>
      </c>
      <c r="H692" t="s">
        <v>193</v>
      </c>
      <c r="I692" t="s">
        <v>20399</v>
      </c>
      <c r="J692" t="s">
        <v>15466</v>
      </c>
      <c r="K692" s="28" t="s">
        <v>9309</v>
      </c>
      <c r="L692" t="s">
        <v>6955</v>
      </c>
      <c r="N692" t="s">
        <v>23035</v>
      </c>
      <c r="O692" t="s">
        <v>6286</v>
      </c>
      <c r="P692" t="s">
        <v>20393</v>
      </c>
      <c r="Q692" t="s">
        <v>20317</v>
      </c>
      <c r="R692" t="s">
        <v>20338</v>
      </c>
      <c r="S692" t="s">
        <v>23044</v>
      </c>
      <c r="T692" t="s">
        <v>23045</v>
      </c>
      <c r="W692" t="s">
        <v>543</v>
      </c>
      <c r="X692" t="s">
        <v>193</v>
      </c>
      <c r="Y692" s="28" t="s">
        <v>9310</v>
      </c>
      <c r="AB692" t="s">
        <v>9311</v>
      </c>
      <c r="AH692" t="s">
        <v>4714</v>
      </c>
      <c r="AI692" t="s">
        <v>9433</v>
      </c>
      <c r="AJ692" s="28" t="str">
        <f t="shared" si="20"/>
        <v>264304</v>
      </c>
      <c r="AK692" s="420">
        <v>1</v>
      </c>
      <c r="AL692" s="420">
        <f t="shared" si="21"/>
        <v>1</v>
      </c>
      <c r="AM692" s="420">
        <v>1</v>
      </c>
      <c r="AN692" t="s">
        <v>17650</v>
      </c>
      <c r="AO692" t="s">
        <v>17651</v>
      </c>
      <c r="AP692" t="s">
        <v>17652</v>
      </c>
      <c r="AQ692" t="s">
        <v>17653</v>
      </c>
      <c r="AR692" t="s">
        <v>1024</v>
      </c>
    </row>
    <row r="693" spans="1:46" x14ac:dyDescent="0.25">
      <c r="A693" t="s">
        <v>4022</v>
      </c>
      <c r="B693" t="s">
        <v>23046</v>
      </c>
      <c r="C693" s="410" t="s">
        <v>542</v>
      </c>
      <c r="D693" t="s">
        <v>20306</v>
      </c>
      <c r="E693" t="s">
        <v>217</v>
      </c>
      <c r="F693" s="534">
        <v>1</v>
      </c>
      <c r="G693" t="s">
        <v>193</v>
      </c>
      <c r="H693" t="s">
        <v>194</v>
      </c>
      <c r="I693" t="s">
        <v>20322</v>
      </c>
      <c r="J693" t="s">
        <v>15466</v>
      </c>
      <c r="K693" s="28" t="s">
        <v>9309</v>
      </c>
      <c r="L693" t="s">
        <v>6955</v>
      </c>
      <c r="N693" t="s">
        <v>23047</v>
      </c>
      <c r="O693" t="s">
        <v>6286</v>
      </c>
      <c r="P693" t="s">
        <v>20688</v>
      </c>
      <c r="Q693" t="s">
        <v>20318</v>
      </c>
      <c r="R693" t="s">
        <v>20418</v>
      </c>
      <c r="S693" t="s">
        <v>23048</v>
      </c>
      <c r="T693" t="s">
        <v>23049</v>
      </c>
      <c r="W693" t="s">
        <v>543</v>
      </c>
      <c r="X693" t="s">
        <v>193</v>
      </c>
      <c r="Y693" s="28" t="s">
        <v>9310</v>
      </c>
      <c r="AB693" t="s">
        <v>9311</v>
      </c>
      <c r="AH693" t="s">
        <v>4714</v>
      </c>
      <c r="AI693" t="s">
        <v>9433</v>
      </c>
      <c r="AJ693" s="28" t="str">
        <f t="shared" si="20"/>
        <v>264304</v>
      </c>
      <c r="AK693" s="420">
        <v>1</v>
      </c>
      <c r="AL693" s="420">
        <f t="shared" si="21"/>
        <v>1</v>
      </c>
      <c r="AM693" s="420">
        <v>1</v>
      </c>
      <c r="AN693" t="s">
        <v>17650</v>
      </c>
      <c r="AO693" t="s">
        <v>17651</v>
      </c>
      <c r="AP693" t="s">
        <v>17652</v>
      </c>
      <c r="AQ693" t="s">
        <v>17653</v>
      </c>
      <c r="AR693" t="s">
        <v>1024</v>
      </c>
    </row>
    <row r="694" spans="1:46" x14ac:dyDescent="0.25">
      <c r="A694" t="s">
        <v>581</v>
      </c>
      <c r="B694" t="s">
        <v>3873</v>
      </c>
      <c r="C694" s="410" t="s">
        <v>2929</v>
      </c>
      <c r="D694" t="s">
        <v>20326</v>
      </c>
      <c r="E694" t="s">
        <v>217</v>
      </c>
      <c r="F694" s="534">
        <v>1</v>
      </c>
      <c r="G694" t="s">
        <v>193</v>
      </c>
      <c r="H694" t="s">
        <v>194</v>
      </c>
      <c r="I694" t="s">
        <v>20338</v>
      </c>
      <c r="J694" t="s">
        <v>976</v>
      </c>
      <c r="K694" s="28" t="s">
        <v>9309</v>
      </c>
      <c r="L694" t="s">
        <v>6955</v>
      </c>
      <c r="N694" t="s">
        <v>23050</v>
      </c>
      <c r="O694" t="s">
        <v>6275</v>
      </c>
      <c r="P694" t="s">
        <v>20372</v>
      </c>
      <c r="Q694" t="s">
        <v>20600</v>
      </c>
      <c r="R694" t="s">
        <v>21619</v>
      </c>
      <c r="S694" t="s">
        <v>23051</v>
      </c>
      <c r="T694" t="s">
        <v>23052</v>
      </c>
      <c r="V694" s="28" t="s">
        <v>9726</v>
      </c>
      <c r="W694" t="s">
        <v>4696</v>
      </c>
      <c r="X694" t="s">
        <v>194</v>
      </c>
      <c r="Y694" s="28" t="s">
        <v>9300</v>
      </c>
      <c r="AB694" t="s">
        <v>9311</v>
      </c>
      <c r="AH694" t="s">
        <v>4714</v>
      </c>
      <c r="AI694" t="s">
        <v>9433</v>
      </c>
      <c r="AJ694" s="28" t="str">
        <f t="shared" si="20"/>
        <v>722314</v>
      </c>
      <c r="AK694" s="420">
        <v>1</v>
      </c>
      <c r="AL694" s="420">
        <f t="shared" si="21"/>
        <v>1</v>
      </c>
      <c r="AM694" s="420">
        <v>1</v>
      </c>
      <c r="AN694" t="s">
        <v>17650</v>
      </c>
      <c r="AO694" t="s">
        <v>17651</v>
      </c>
      <c r="AP694" t="s">
        <v>17652</v>
      </c>
      <c r="AQ694" t="s">
        <v>17653</v>
      </c>
      <c r="AR694" t="s">
        <v>1024</v>
      </c>
    </row>
    <row r="695" spans="1:46" x14ac:dyDescent="0.25">
      <c r="A695" t="s">
        <v>581</v>
      </c>
      <c r="B695" t="s">
        <v>3873</v>
      </c>
      <c r="C695" s="410" t="s">
        <v>2929</v>
      </c>
      <c r="D695" t="s">
        <v>20317</v>
      </c>
      <c r="E695" t="s">
        <v>217</v>
      </c>
      <c r="F695" s="534">
        <v>1</v>
      </c>
      <c r="G695" t="s">
        <v>193</v>
      </c>
      <c r="H695" t="s">
        <v>194</v>
      </c>
      <c r="I695" t="s">
        <v>20338</v>
      </c>
      <c r="J695" t="s">
        <v>976</v>
      </c>
      <c r="K695" s="28" t="s">
        <v>9309</v>
      </c>
      <c r="L695" t="s">
        <v>6955</v>
      </c>
      <c r="N695" t="s">
        <v>23050</v>
      </c>
      <c r="O695" t="s">
        <v>6275</v>
      </c>
      <c r="P695" t="s">
        <v>20376</v>
      </c>
      <c r="Q695" t="s">
        <v>21622</v>
      </c>
      <c r="R695" t="s">
        <v>21619</v>
      </c>
      <c r="S695" t="s">
        <v>23053</v>
      </c>
      <c r="T695" t="s">
        <v>23054</v>
      </c>
      <c r="V695" s="28" t="s">
        <v>9726</v>
      </c>
      <c r="W695" t="s">
        <v>4696</v>
      </c>
      <c r="X695" t="s">
        <v>194</v>
      </c>
      <c r="Y695" s="28" t="s">
        <v>9300</v>
      </c>
      <c r="AB695" t="s">
        <v>9311</v>
      </c>
      <c r="AH695" t="s">
        <v>4714</v>
      </c>
      <c r="AI695" t="s">
        <v>9433</v>
      </c>
      <c r="AJ695" s="28" t="str">
        <f t="shared" si="20"/>
        <v>722314</v>
      </c>
      <c r="AK695" s="420">
        <v>1</v>
      </c>
      <c r="AL695" s="420">
        <f t="shared" si="21"/>
        <v>1</v>
      </c>
      <c r="AM695" s="420">
        <v>1</v>
      </c>
      <c r="AN695" t="s">
        <v>17650</v>
      </c>
      <c r="AO695" t="s">
        <v>17651</v>
      </c>
      <c r="AP695" t="s">
        <v>17652</v>
      </c>
      <c r="AQ695" t="s">
        <v>17653</v>
      </c>
      <c r="AR695" t="s">
        <v>1024</v>
      </c>
    </row>
    <row r="696" spans="1:46" x14ac:dyDescent="0.25">
      <c r="A696" t="s">
        <v>369</v>
      </c>
      <c r="B696" t="s">
        <v>20258</v>
      </c>
      <c r="C696" s="410" t="s">
        <v>2929</v>
      </c>
      <c r="D696" t="s">
        <v>20317</v>
      </c>
      <c r="E696" t="s">
        <v>192</v>
      </c>
      <c r="F696" s="534">
        <v>1</v>
      </c>
      <c r="G696" t="s">
        <v>193</v>
      </c>
      <c r="H696" t="s">
        <v>194</v>
      </c>
      <c r="I696" t="s">
        <v>20333</v>
      </c>
      <c r="J696" t="s">
        <v>210</v>
      </c>
      <c r="K696" s="28" t="s">
        <v>9309</v>
      </c>
      <c r="L696" t="s">
        <v>6955</v>
      </c>
      <c r="N696" t="s">
        <v>23055</v>
      </c>
      <c r="O696" t="s">
        <v>6275</v>
      </c>
      <c r="P696" t="s">
        <v>20320</v>
      </c>
      <c r="Q696" t="s">
        <v>20321</v>
      </c>
      <c r="R696" t="s">
        <v>20322</v>
      </c>
      <c r="S696" t="s">
        <v>23056</v>
      </c>
      <c r="T696" t="s">
        <v>23057</v>
      </c>
      <c r="V696" s="28" t="s">
        <v>9334</v>
      </c>
      <c r="W696" t="s">
        <v>4696</v>
      </c>
      <c r="X696" t="s">
        <v>194</v>
      </c>
      <c r="Y696" s="28" t="s">
        <v>9300</v>
      </c>
      <c r="AB696" t="s">
        <v>9311</v>
      </c>
      <c r="AH696" t="s">
        <v>4714</v>
      </c>
      <c r="AI696" t="s">
        <v>20258</v>
      </c>
      <c r="AJ696" s="28" t="str">
        <f t="shared" si="20"/>
        <v>722314</v>
      </c>
      <c r="AK696" s="420">
        <v>1</v>
      </c>
      <c r="AL696" s="420">
        <f t="shared" si="21"/>
        <v>1</v>
      </c>
      <c r="AM696" s="420">
        <v>1</v>
      </c>
      <c r="AN696" t="s">
        <v>17650</v>
      </c>
      <c r="AO696" t="s">
        <v>17651</v>
      </c>
      <c r="AP696" t="s">
        <v>17652</v>
      </c>
      <c r="AQ696" t="s">
        <v>17653</v>
      </c>
      <c r="AR696" t="s">
        <v>1024</v>
      </c>
    </row>
    <row r="697" spans="1:46" x14ac:dyDescent="0.25">
      <c r="A697" t="s">
        <v>18808</v>
      </c>
      <c r="B697" t="s">
        <v>23058</v>
      </c>
      <c r="C697" s="410" t="s">
        <v>23059</v>
      </c>
      <c r="D697" t="s">
        <v>20317</v>
      </c>
      <c r="E697" t="s">
        <v>192</v>
      </c>
      <c r="F697" s="539">
        <v>5</v>
      </c>
      <c r="G697" t="s">
        <v>193</v>
      </c>
      <c r="H697" t="s">
        <v>194</v>
      </c>
      <c r="I697" t="s">
        <v>20399</v>
      </c>
      <c r="J697" t="s">
        <v>253</v>
      </c>
      <c r="K697" s="28" t="s">
        <v>9309</v>
      </c>
      <c r="L697" t="s">
        <v>6955</v>
      </c>
      <c r="N697" t="s">
        <v>23060</v>
      </c>
      <c r="O697" t="s">
        <v>6275</v>
      </c>
      <c r="P697" t="s">
        <v>20320</v>
      </c>
      <c r="Q697" t="s">
        <v>20321</v>
      </c>
      <c r="R697" t="s">
        <v>20322</v>
      </c>
      <c r="S697" t="s">
        <v>23061</v>
      </c>
      <c r="T697" t="s">
        <v>23062</v>
      </c>
      <c r="V697" s="28" t="s">
        <v>9468</v>
      </c>
      <c r="W697" t="s">
        <v>23063</v>
      </c>
      <c r="X697" t="s">
        <v>194</v>
      </c>
      <c r="Y697" s="28" t="s">
        <v>9300</v>
      </c>
      <c r="AB697" t="s">
        <v>9311</v>
      </c>
      <c r="AH697" t="s">
        <v>4714</v>
      </c>
      <c r="AI697" t="s">
        <v>23058</v>
      </c>
      <c r="AJ697" s="28" t="str">
        <f t="shared" si="20"/>
        <v>831210</v>
      </c>
      <c r="AK697" s="420">
        <v>1</v>
      </c>
      <c r="AL697" s="540">
        <f>F697</f>
        <v>5</v>
      </c>
      <c r="AM697" s="420">
        <v>1</v>
      </c>
      <c r="AN697" t="s">
        <v>17650</v>
      </c>
      <c r="AO697" t="s">
        <v>17651</v>
      </c>
      <c r="AP697" t="s">
        <v>17652</v>
      </c>
      <c r="AQ697" t="s">
        <v>17653</v>
      </c>
      <c r="AR697" t="s">
        <v>1024</v>
      </c>
    </row>
    <row r="698" spans="1:46" x14ac:dyDescent="0.25">
      <c r="A698" t="s">
        <v>18808</v>
      </c>
      <c r="B698" t="s">
        <v>23058</v>
      </c>
      <c r="C698" s="410" t="s">
        <v>23059</v>
      </c>
      <c r="D698" t="s">
        <v>20317</v>
      </c>
      <c r="E698" t="s">
        <v>192</v>
      </c>
      <c r="F698" s="539">
        <v>5</v>
      </c>
      <c r="G698" t="s">
        <v>194</v>
      </c>
      <c r="H698" t="s">
        <v>193</v>
      </c>
      <c r="I698" t="s">
        <v>20399</v>
      </c>
      <c r="J698" t="s">
        <v>253</v>
      </c>
      <c r="K698" s="28" t="s">
        <v>9309</v>
      </c>
      <c r="L698" t="s">
        <v>6955</v>
      </c>
      <c r="N698" t="s">
        <v>23064</v>
      </c>
      <c r="O698" t="s">
        <v>6275</v>
      </c>
      <c r="P698" t="s">
        <v>20320</v>
      </c>
      <c r="Q698" t="s">
        <v>20321</v>
      </c>
      <c r="R698" t="s">
        <v>20322</v>
      </c>
      <c r="S698" t="s">
        <v>23065</v>
      </c>
      <c r="T698" t="s">
        <v>23066</v>
      </c>
      <c r="V698" s="28" t="s">
        <v>9468</v>
      </c>
      <c r="W698" t="s">
        <v>23063</v>
      </c>
      <c r="X698" t="s">
        <v>194</v>
      </c>
      <c r="Y698" s="28" t="s">
        <v>9300</v>
      </c>
      <c r="AB698" t="s">
        <v>9311</v>
      </c>
      <c r="AH698" t="s">
        <v>4714</v>
      </c>
      <c r="AI698" t="s">
        <v>23058</v>
      </c>
      <c r="AJ698" s="28" t="str">
        <f t="shared" si="20"/>
        <v>831210</v>
      </c>
      <c r="AK698" s="420">
        <v>1</v>
      </c>
      <c r="AL698" s="540">
        <f>F698</f>
        <v>5</v>
      </c>
      <c r="AM698" s="420">
        <v>1</v>
      </c>
      <c r="AN698" t="s">
        <v>17650</v>
      </c>
      <c r="AO698" t="s">
        <v>17651</v>
      </c>
      <c r="AP698" t="s">
        <v>17652</v>
      </c>
      <c r="AQ698" t="s">
        <v>17653</v>
      </c>
      <c r="AR698" t="s">
        <v>1024</v>
      </c>
    </row>
    <row r="699" spans="1:46" x14ac:dyDescent="0.25">
      <c r="A699" t="s">
        <v>23067</v>
      </c>
      <c r="B699" t="s">
        <v>23068</v>
      </c>
      <c r="C699" s="410" t="s">
        <v>4090</v>
      </c>
      <c r="D699" t="s">
        <v>20306</v>
      </c>
      <c r="E699" t="s">
        <v>233</v>
      </c>
      <c r="F699" s="534">
        <v>1</v>
      </c>
      <c r="G699" t="s">
        <v>193</v>
      </c>
      <c r="H699" t="s">
        <v>194</v>
      </c>
      <c r="I699" t="s">
        <v>20307</v>
      </c>
      <c r="J699" t="s">
        <v>23069</v>
      </c>
      <c r="K699" s="28" t="s">
        <v>9309</v>
      </c>
      <c r="L699" t="s">
        <v>6955</v>
      </c>
      <c r="N699" t="s">
        <v>23070</v>
      </c>
      <c r="O699" t="s">
        <v>6254</v>
      </c>
      <c r="P699" t="s">
        <v>20417</v>
      </c>
      <c r="Q699" t="s">
        <v>20405</v>
      </c>
      <c r="R699" t="s">
        <v>20418</v>
      </c>
      <c r="S699" t="s">
        <v>23071</v>
      </c>
      <c r="T699" t="s">
        <v>23072</v>
      </c>
      <c r="V699" s="28" t="s">
        <v>9334</v>
      </c>
      <c r="W699" t="s">
        <v>4091</v>
      </c>
      <c r="X699" t="s">
        <v>194</v>
      </c>
      <c r="Y699" s="28" t="s">
        <v>9300</v>
      </c>
      <c r="AB699" t="s">
        <v>9311</v>
      </c>
      <c r="AH699" t="s">
        <v>4714</v>
      </c>
      <c r="AI699" t="s">
        <v>23068</v>
      </c>
      <c r="AJ699" s="28" t="str">
        <f t="shared" si="20"/>
        <v>421403</v>
      </c>
      <c r="AK699" s="420">
        <v>1</v>
      </c>
      <c r="AL699" s="420">
        <f t="shared" si="21"/>
        <v>1</v>
      </c>
      <c r="AM699" s="420">
        <v>1</v>
      </c>
      <c r="AN699" t="s">
        <v>17650</v>
      </c>
      <c r="AO699" t="s">
        <v>17651</v>
      </c>
      <c r="AP699" t="s">
        <v>17652</v>
      </c>
      <c r="AQ699" t="s">
        <v>17653</v>
      </c>
      <c r="AR699" t="s">
        <v>1024</v>
      </c>
    </row>
    <row r="700" spans="1:46" x14ac:dyDescent="0.25">
      <c r="A700" t="s">
        <v>4726</v>
      </c>
      <c r="B700" t="s">
        <v>4332</v>
      </c>
      <c r="C700" s="410" t="s">
        <v>4090</v>
      </c>
      <c r="D700" t="s">
        <v>20306</v>
      </c>
      <c r="E700" t="s">
        <v>233</v>
      </c>
      <c r="F700" s="534">
        <v>1</v>
      </c>
      <c r="G700" t="s">
        <v>193</v>
      </c>
      <c r="H700" t="s">
        <v>194</v>
      </c>
      <c r="I700" t="s">
        <v>20322</v>
      </c>
      <c r="J700" t="s">
        <v>9302</v>
      </c>
      <c r="K700" s="28" t="s">
        <v>9309</v>
      </c>
      <c r="L700" t="s">
        <v>6955</v>
      </c>
      <c r="N700" t="s">
        <v>23073</v>
      </c>
      <c r="O700" t="s">
        <v>6254</v>
      </c>
      <c r="P700" t="s">
        <v>20417</v>
      </c>
      <c r="Q700" t="s">
        <v>20405</v>
      </c>
      <c r="R700" t="s">
        <v>20418</v>
      </c>
      <c r="S700" t="s">
        <v>23074</v>
      </c>
      <c r="T700" t="s">
        <v>23075</v>
      </c>
      <c r="W700" t="s">
        <v>4091</v>
      </c>
      <c r="X700" t="s">
        <v>193</v>
      </c>
      <c r="Y700" s="28" t="s">
        <v>9310</v>
      </c>
      <c r="AB700" t="s">
        <v>9311</v>
      </c>
      <c r="AH700" t="s">
        <v>4714</v>
      </c>
      <c r="AI700" t="s">
        <v>4332</v>
      </c>
      <c r="AJ700" s="28" t="str">
        <f t="shared" si="20"/>
        <v>421403</v>
      </c>
      <c r="AK700" s="420">
        <v>1</v>
      </c>
      <c r="AL700" s="420">
        <f t="shared" si="21"/>
        <v>1</v>
      </c>
      <c r="AM700" s="420">
        <v>1</v>
      </c>
      <c r="AN700" t="s">
        <v>17650</v>
      </c>
      <c r="AO700" t="s">
        <v>17651</v>
      </c>
      <c r="AP700" t="s">
        <v>17652</v>
      </c>
      <c r="AQ700" t="s">
        <v>17653</v>
      </c>
      <c r="AR700" t="s">
        <v>1024</v>
      </c>
    </row>
    <row r="701" spans="1:46" x14ac:dyDescent="0.25">
      <c r="A701" t="s">
        <v>20848</v>
      </c>
      <c r="B701" t="s">
        <v>23076</v>
      </c>
      <c r="C701" s="410" t="s">
        <v>1384</v>
      </c>
      <c r="D701" t="s">
        <v>20326</v>
      </c>
      <c r="E701" t="s">
        <v>192</v>
      </c>
      <c r="F701" s="534">
        <v>1</v>
      </c>
      <c r="G701" t="s">
        <v>193</v>
      </c>
      <c r="H701" t="s">
        <v>194</v>
      </c>
      <c r="I701" t="s">
        <v>20333</v>
      </c>
      <c r="J701" t="s">
        <v>316</v>
      </c>
      <c r="K701" s="28" t="s">
        <v>9309</v>
      </c>
      <c r="L701" t="s">
        <v>6955</v>
      </c>
      <c r="N701" t="s">
        <v>23077</v>
      </c>
      <c r="O701" t="s">
        <v>6327</v>
      </c>
      <c r="P701" t="s">
        <v>20328</v>
      </c>
      <c r="Q701" t="s">
        <v>20329</v>
      </c>
      <c r="R701" t="s">
        <v>20306</v>
      </c>
      <c r="S701" t="s">
        <v>23078</v>
      </c>
      <c r="T701" t="s">
        <v>23079</v>
      </c>
      <c r="V701" s="28" t="s">
        <v>10012</v>
      </c>
      <c r="W701" t="s">
        <v>1385</v>
      </c>
      <c r="X701" t="s">
        <v>194</v>
      </c>
      <c r="Y701" s="28" t="s">
        <v>9300</v>
      </c>
      <c r="AB701" t="s">
        <v>9311</v>
      </c>
      <c r="AH701" t="s">
        <v>4714</v>
      </c>
      <c r="AI701" t="s">
        <v>23076</v>
      </c>
      <c r="AJ701" s="28" t="str">
        <f t="shared" si="20"/>
        <v>235915</v>
      </c>
      <c r="AK701" s="420">
        <v>1</v>
      </c>
      <c r="AL701" s="420">
        <f t="shared" si="21"/>
        <v>1</v>
      </c>
      <c r="AM701" s="420">
        <v>1</v>
      </c>
      <c r="AN701" t="s">
        <v>17650</v>
      </c>
      <c r="AO701" t="s">
        <v>17651</v>
      </c>
      <c r="AP701" t="s">
        <v>17652</v>
      </c>
      <c r="AQ701" t="s">
        <v>17653</v>
      </c>
      <c r="AR701" t="s">
        <v>1024</v>
      </c>
    </row>
    <row r="702" spans="1:46" x14ac:dyDescent="0.25">
      <c r="A702" t="s">
        <v>12669</v>
      </c>
      <c r="B702" t="s">
        <v>23080</v>
      </c>
      <c r="C702" s="410" t="s">
        <v>1384</v>
      </c>
      <c r="D702" t="s">
        <v>20317</v>
      </c>
      <c r="E702" t="s">
        <v>192</v>
      </c>
      <c r="F702" s="534">
        <v>1</v>
      </c>
      <c r="G702" t="s">
        <v>193</v>
      </c>
      <c r="H702" t="s">
        <v>194</v>
      </c>
      <c r="I702" t="s">
        <v>20405</v>
      </c>
      <c r="J702" t="s">
        <v>210</v>
      </c>
      <c r="K702" s="28" t="s">
        <v>9309</v>
      </c>
      <c r="L702" t="s">
        <v>6955</v>
      </c>
      <c r="N702" t="s">
        <v>23081</v>
      </c>
      <c r="O702" t="s">
        <v>6266</v>
      </c>
      <c r="P702" t="s">
        <v>20320</v>
      </c>
      <c r="Q702" t="s">
        <v>20321</v>
      </c>
      <c r="R702" t="s">
        <v>20322</v>
      </c>
      <c r="S702" t="s">
        <v>23082</v>
      </c>
      <c r="T702" t="s">
        <v>23083</v>
      </c>
      <c r="V702" s="28" t="s">
        <v>9334</v>
      </c>
      <c r="W702" t="s">
        <v>1385</v>
      </c>
      <c r="X702" t="s">
        <v>194</v>
      </c>
      <c r="Y702" s="28" t="s">
        <v>9300</v>
      </c>
      <c r="AB702" t="s">
        <v>9311</v>
      </c>
      <c r="AH702" t="s">
        <v>4714</v>
      </c>
      <c r="AI702" t="s">
        <v>23080</v>
      </c>
      <c r="AJ702" s="28" t="str">
        <f t="shared" si="20"/>
        <v>235915</v>
      </c>
      <c r="AK702" s="420">
        <v>1</v>
      </c>
      <c r="AL702" s="420">
        <f t="shared" si="21"/>
        <v>1</v>
      </c>
      <c r="AM702" s="420">
        <v>1</v>
      </c>
      <c r="AN702" t="s">
        <v>17650</v>
      </c>
      <c r="AO702" t="s">
        <v>17651</v>
      </c>
      <c r="AP702" t="s">
        <v>17652</v>
      </c>
      <c r="AQ702" t="s">
        <v>17653</v>
      </c>
      <c r="AR702" t="s">
        <v>1024</v>
      </c>
    </row>
    <row r="703" spans="1:46" x14ac:dyDescent="0.25">
      <c r="A703" t="s">
        <v>23084</v>
      </c>
      <c r="B703" t="s">
        <v>23085</v>
      </c>
      <c r="C703" s="410" t="s">
        <v>23086</v>
      </c>
      <c r="D703" t="s">
        <v>20338</v>
      </c>
      <c r="E703" t="s">
        <v>192</v>
      </c>
      <c r="F703" s="534">
        <v>1</v>
      </c>
      <c r="G703" t="s">
        <v>193</v>
      </c>
      <c r="H703" t="s">
        <v>194</v>
      </c>
      <c r="I703" t="s">
        <v>20310</v>
      </c>
      <c r="J703" t="s">
        <v>210</v>
      </c>
      <c r="K703" s="28" t="s">
        <v>9309</v>
      </c>
      <c r="L703" t="s">
        <v>6955</v>
      </c>
      <c r="N703" t="s">
        <v>23087</v>
      </c>
      <c r="O703" t="s">
        <v>6324</v>
      </c>
      <c r="P703" t="s">
        <v>23088</v>
      </c>
      <c r="Q703" t="s">
        <v>23089</v>
      </c>
      <c r="R703" t="s">
        <v>23090</v>
      </c>
      <c r="S703" t="s">
        <v>23091</v>
      </c>
      <c r="T703" t="s">
        <v>23092</v>
      </c>
      <c r="V703" s="28" t="s">
        <v>9334</v>
      </c>
      <c r="W703" t="s">
        <v>23093</v>
      </c>
      <c r="X703" t="s">
        <v>194</v>
      </c>
      <c r="Y703" s="28" t="s">
        <v>9300</v>
      </c>
      <c r="AB703" t="s">
        <v>9311</v>
      </c>
      <c r="AH703" t="s">
        <v>4714</v>
      </c>
      <c r="AI703" t="s">
        <v>23086</v>
      </c>
      <c r="AJ703" s="28" t="str">
        <f t="shared" si="20"/>
        <v>244003</v>
      </c>
      <c r="AK703" s="420">
        <v>1</v>
      </c>
      <c r="AL703" s="420">
        <f t="shared" si="21"/>
        <v>1</v>
      </c>
      <c r="AM703" s="420">
        <v>1</v>
      </c>
      <c r="AN703" t="s">
        <v>17650</v>
      </c>
      <c r="AO703" t="s">
        <v>17651</v>
      </c>
      <c r="AP703" t="s">
        <v>17652</v>
      </c>
      <c r="AQ703" t="s">
        <v>17653</v>
      </c>
      <c r="AR703" t="s">
        <v>1024</v>
      </c>
    </row>
    <row r="704" spans="1:46" x14ac:dyDescent="0.25">
      <c r="A704" t="s">
        <v>20670</v>
      </c>
      <c r="B704" t="s">
        <v>20671</v>
      </c>
      <c r="C704" s="410" t="s">
        <v>20672</v>
      </c>
      <c r="D704" t="s">
        <v>20326</v>
      </c>
      <c r="E704" t="s">
        <v>217</v>
      </c>
      <c r="F704" s="534">
        <v>1</v>
      </c>
      <c r="G704" t="s">
        <v>194</v>
      </c>
      <c r="H704" t="s">
        <v>193</v>
      </c>
      <c r="I704" t="s">
        <v>20360</v>
      </c>
      <c r="J704" t="s">
        <v>20673</v>
      </c>
      <c r="K704" s="28" t="s">
        <v>9309</v>
      </c>
      <c r="L704" t="s">
        <v>6955</v>
      </c>
      <c r="N704" t="s">
        <v>20674</v>
      </c>
      <c r="O704" t="s">
        <v>6286</v>
      </c>
      <c r="P704" t="s">
        <v>20372</v>
      </c>
      <c r="Q704" t="s">
        <v>23094</v>
      </c>
      <c r="R704" t="s">
        <v>20389</v>
      </c>
      <c r="S704" t="s">
        <v>23095</v>
      </c>
      <c r="T704" t="s">
        <v>23096</v>
      </c>
      <c r="W704" t="s">
        <v>20677</v>
      </c>
      <c r="X704" t="s">
        <v>194</v>
      </c>
      <c r="Y704" s="28" t="s">
        <v>9946</v>
      </c>
      <c r="AB704" t="s">
        <v>9311</v>
      </c>
      <c r="AH704" t="s">
        <v>4714</v>
      </c>
      <c r="AI704" t="s">
        <v>9433</v>
      </c>
      <c r="AJ704" s="28" t="str">
        <f t="shared" si="20"/>
        <v>134501</v>
      </c>
      <c r="AK704" s="420">
        <v>1</v>
      </c>
      <c r="AL704" s="420">
        <f t="shared" si="21"/>
        <v>1</v>
      </c>
      <c r="AM704" s="420">
        <v>1</v>
      </c>
      <c r="AN704" t="s">
        <v>17650</v>
      </c>
      <c r="AO704" t="s">
        <v>17651</v>
      </c>
      <c r="AP704" t="s">
        <v>17652</v>
      </c>
      <c r="AQ704" t="s">
        <v>17653</v>
      </c>
      <c r="AR704" t="s">
        <v>1024</v>
      </c>
      <c r="AT704" s="28"/>
    </row>
    <row r="705" spans="6:48" x14ac:dyDescent="0.25">
      <c r="F705" s="28">
        <f>SUBTOTAL(9,F2:F704)</f>
        <v>743</v>
      </c>
      <c r="AK705" s="540">
        <f>SUBTOTAL(109,AK2:AK704)</f>
        <v>703</v>
      </c>
      <c r="AL705" s="540">
        <f>SUBTOTAL(9,AL2:AL704)</f>
        <v>743</v>
      </c>
      <c r="AM705" s="540">
        <f>SUBTOTAL(9,AM2:AM704)</f>
        <v>703</v>
      </c>
      <c r="AT705" s="538">
        <f>SUM(AK2:AK704)</f>
        <v>703</v>
      </c>
      <c r="AU705" s="496">
        <f>SUM(AL2:AL704)</f>
        <v>743</v>
      </c>
      <c r="AV705" s="496">
        <f>SUM(AM2:AM704)</f>
        <v>703</v>
      </c>
    </row>
    <row r="706" spans="6:48" x14ac:dyDescent="0.25">
      <c r="AK706" t="s">
        <v>23102</v>
      </c>
      <c r="AT706" s="62">
        <f>SUBTOTAL(9,AK2:AK704)</f>
        <v>703</v>
      </c>
      <c r="AU706" s="62">
        <f>SUBTOTAL(9,AL2:AL704)</f>
        <v>743</v>
      </c>
      <c r="AV706" s="62">
        <f>SUBTOTAL(9,AM2:AM704)</f>
        <v>703</v>
      </c>
    </row>
    <row r="707" spans="6:48" x14ac:dyDescent="0.25">
      <c r="AK707" t="s">
        <v>23103</v>
      </c>
      <c r="AT707" s="28"/>
      <c r="AU707" s="28"/>
      <c r="AV707" s="28"/>
    </row>
    <row r="708" spans="6:48" x14ac:dyDescent="0.25">
      <c r="F708" s="534"/>
      <c r="AK708" s="28"/>
      <c r="AL708" s="28"/>
      <c r="AM708" s="28"/>
    </row>
  </sheetData>
  <autoFilter ref="A1:AR707"/>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801"/>
  <sheetViews>
    <sheetView topLeftCell="Y1" workbookViewId="0">
      <selection activeCell="AJ27" sqref="AJ27"/>
    </sheetView>
  </sheetViews>
  <sheetFormatPr defaultRowHeight="12" x14ac:dyDescent="0.2"/>
  <cols>
    <col min="1" max="5" width="9.140625" style="557"/>
    <col min="6" max="6" width="9.140625" style="560"/>
    <col min="7" max="44" width="9.140625" style="557"/>
    <col min="45" max="45" width="9.140625" style="556"/>
    <col min="46" max="16384" width="9.140625" style="557"/>
  </cols>
  <sheetData>
    <row r="1" spans="1:47" ht="13.5" thickTop="1" x14ac:dyDescent="0.2">
      <c r="A1" s="561" t="s">
        <v>176</v>
      </c>
      <c r="B1" s="561" t="s">
        <v>177</v>
      </c>
      <c r="C1" s="561" t="s">
        <v>178</v>
      </c>
      <c r="D1" s="561" t="s">
        <v>179</v>
      </c>
      <c r="E1" s="561" t="s">
        <v>900</v>
      </c>
      <c r="F1" s="562" t="s">
        <v>181</v>
      </c>
      <c r="G1" s="561" t="s">
        <v>182</v>
      </c>
      <c r="H1" s="561" t="s">
        <v>183</v>
      </c>
      <c r="I1" s="561" t="s">
        <v>184</v>
      </c>
      <c r="J1" s="561" t="s">
        <v>185</v>
      </c>
      <c r="K1" s="561" t="s">
        <v>186</v>
      </c>
      <c r="L1" s="561" t="s">
        <v>6943</v>
      </c>
      <c r="M1" s="561" t="s">
        <v>6942</v>
      </c>
      <c r="N1" s="561" t="s">
        <v>4700</v>
      </c>
      <c r="O1" s="561" t="s">
        <v>6391</v>
      </c>
      <c r="P1" s="561" t="s">
        <v>6930</v>
      </c>
      <c r="Q1" s="561" t="s">
        <v>6931</v>
      </c>
      <c r="R1" s="561" t="s">
        <v>4701</v>
      </c>
      <c r="S1" s="561" t="s">
        <v>6932</v>
      </c>
      <c r="T1" s="561" t="s">
        <v>6933</v>
      </c>
      <c r="U1" s="561" t="s">
        <v>1726</v>
      </c>
      <c r="V1" s="561" t="s">
        <v>4702</v>
      </c>
      <c r="W1" s="561" t="s">
        <v>187</v>
      </c>
      <c r="X1" s="561" t="s">
        <v>6934</v>
      </c>
      <c r="Y1" s="561" t="s">
        <v>4703</v>
      </c>
      <c r="Z1" s="561" t="s">
        <v>6935</v>
      </c>
      <c r="AA1" s="561" t="s">
        <v>4704</v>
      </c>
      <c r="AB1" s="561" t="s">
        <v>6936</v>
      </c>
      <c r="AC1" s="561" t="s">
        <v>6937</v>
      </c>
      <c r="AD1" s="561" t="s">
        <v>6938</v>
      </c>
      <c r="AE1" s="561" t="s">
        <v>6939</v>
      </c>
      <c r="AF1" s="561" t="s">
        <v>6940</v>
      </c>
      <c r="AG1" s="561" t="s">
        <v>4705</v>
      </c>
      <c r="AH1" s="561" t="s">
        <v>4706</v>
      </c>
      <c r="AI1" s="561" t="s">
        <v>6941</v>
      </c>
      <c r="AJ1" s="607" t="s">
        <v>13058</v>
      </c>
      <c r="AK1" s="607" t="s">
        <v>13055</v>
      </c>
      <c r="AL1" s="607" t="s">
        <v>13056</v>
      </c>
      <c r="AM1" s="607" t="s">
        <v>13057</v>
      </c>
      <c r="AN1" s="602" t="s">
        <v>17638</v>
      </c>
      <c r="AO1" s="602" t="s">
        <v>17639</v>
      </c>
      <c r="AP1" s="602" t="s">
        <v>17640</v>
      </c>
      <c r="AQ1" s="602" t="s">
        <v>17641</v>
      </c>
      <c r="AR1" s="602" t="s">
        <v>177</v>
      </c>
    </row>
    <row r="2" spans="1:47" x14ac:dyDescent="0.2">
      <c r="A2" s="558" t="s">
        <v>23125</v>
      </c>
      <c r="B2" s="558" t="s">
        <v>23126</v>
      </c>
      <c r="C2" s="558" t="s">
        <v>1157</v>
      </c>
      <c r="D2" s="558" t="s">
        <v>23127</v>
      </c>
      <c r="E2" s="558" t="s">
        <v>192</v>
      </c>
      <c r="F2" s="563">
        <v>1</v>
      </c>
      <c r="G2" s="558" t="s">
        <v>193</v>
      </c>
      <c r="H2" s="558" t="s">
        <v>194</v>
      </c>
      <c r="I2" s="558" t="s">
        <v>23128</v>
      </c>
      <c r="J2" s="558" t="s">
        <v>253</v>
      </c>
      <c r="K2" s="558" t="s">
        <v>9309</v>
      </c>
      <c r="L2" s="558" t="s">
        <v>6955</v>
      </c>
      <c r="M2" s="558"/>
      <c r="N2" s="558" t="s">
        <v>23129</v>
      </c>
      <c r="O2" s="558" t="s">
        <v>6312</v>
      </c>
      <c r="P2" s="558" t="s">
        <v>23130</v>
      </c>
      <c r="Q2" s="558" t="s">
        <v>23131</v>
      </c>
      <c r="R2" s="558" t="s">
        <v>23132</v>
      </c>
      <c r="S2" s="558" t="s">
        <v>23133</v>
      </c>
      <c r="T2" s="558" t="s">
        <v>23134</v>
      </c>
      <c r="U2" s="558"/>
      <c r="V2" s="558" t="s">
        <v>9468</v>
      </c>
      <c r="W2" s="558" t="s">
        <v>1158</v>
      </c>
      <c r="X2" s="558" t="s">
        <v>194</v>
      </c>
      <c r="Y2" s="558" t="s">
        <v>9300</v>
      </c>
      <c r="Z2" s="558"/>
      <c r="AA2" s="558"/>
      <c r="AB2" s="558" t="s">
        <v>9311</v>
      </c>
      <c r="AC2" s="558"/>
      <c r="AD2" s="558"/>
      <c r="AE2" s="558"/>
      <c r="AF2" s="558"/>
      <c r="AG2" s="558"/>
      <c r="AH2" s="558" t="s">
        <v>4714</v>
      </c>
      <c r="AI2" s="558" t="s">
        <v>23126</v>
      </c>
      <c r="AJ2" s="601" t="str">
        <f>MID(W2,8,6)</f>
        <v>235917</v>
      </c>
      <c r="AK2" s="601">
        <v>1</v>
      </c>
      <c r="AL2" s="601">
        <f>F2</f>
        <v>1</v>
      </c>
      <c r="AM2" s="601">
        <v>1</v>
      </c>
      <c r="AN2" s="603" t="s">
        <v>17650</v>
      </c>
      <c r="AO2" s="603" t="s">
        <v>17651</v>
      </c>
      <c r="AP2" s="603" t="s">
        <v>17652</v>
      </c>
      <c r="AQ2" s="603" t="s">
        <v>17653</v>
      </c>
      <c r="AR2" s="603" t="s">
        <v>1024</v>
      </c>
      <c r="AS2" s="558">
        <v>1</v>
      </c>
      <c r="AU2" s="560"/>
    </row>
    <row r="3" spans="1:47" x14ac:dyDescent="0.2">
      <c r="A3" s="558" t="s">
        <v>23125</v>
      </c>
      <c r="B3" s="558" t="s">
        <v>10049</v>
      </c>
      <c r="C3" s="558" t="s">
        <v>396</v>
      </c>
      <c r="D3" s="558" t="s">
        <v>23127</v>
      </c>
      <c r="E3" s="558" t="s">
        <v>192</v>
      </c>
      <c r="F3" s="563">
        <v>1</v>
      </c>
      <c r="G3" s="558" t="s">
        <v>193</v>
      </c>
      <c r="H3" s="558" t="s">
        <v>194</v>
      </c>
      <c r="I3" s="558" t="s">
        <v>23128</v>
      </c>
      <c r="J3" s="558" t="s">
        <v>253</v>
      </c>
      <c r="K3" s="558" t="s">
        <v>9309</v>
      </c>
      <c r="L3" s="558" t="s">
        <v>6955</v>
      </c>
      <c r="M3" s="558"/>
      <c r="N3" s="558" t="s">
        <v>23135</v>
      </c>
      <c r="O3" s="558" t="s">
        <v>6312</v>
      </c>
      <c r="P3" s="558" t="s">
        <v>23130</v>
      </c>
      <c r="Q3" s="558" t="s">
        <v>23131</v>
      </c>
      <c r="R3" s="558" t="s">
        <v>23132</v>
      </c>
      <c r="S3" s="558" t="s">
        <v>23136</v>
      </c>
      <c r="T3" s="558" t="s">
        <v>23137</v>
      </c>
      <c r="U3" s="558"/>
      <c r="V3" s="558" t="s">
        <v>9468</v>
      </c>
      <c r="W3" s="558" t="s">
        <v>397</v>
      </c>
      <c r="X3" s="558" t="s">
        <v>194</v>
      </c>
      <c r="Y3" s="558" t="s">
        <v>9300</v>
      </c>
      <c r="Z3" s="558"/>
      <c r="AA3" s="558"/>
      <c r="AB3" s="558" t="s">
        <v>9311</v>
      </c>
      <c r="AC3" s="558"/>
      <c r="AD3" s="558"/>
      <c r="AE3" s="558"/>
      <c r="AF3" s="558"/>
      <c r="AG3" s="558"/>
      <c r="AH3" s="558" t="s">
        <v>4714</v>
      </c>
      <c r="AI3" s="558" t="s">
        <v>49</v>
      </c>
      <c r="AJ3" s="601" t="str">
        <f t="shared" ref="AJ3:AJ66" si="0">MID(W3,8,6)</f>
        <v>235301</v>
      </c>
      <c r="AK3" s="601">
        <v>1</v>
      </c>
      <c r="AL3" s="601">
        <f t="shared" ref="AL3:AL66" si="1">F3</f>
        <v>1</v>
      </c>
      <c r="AM3" s="601">
        <v>1</v>
      </c>
      <c r="AN3" s="603" t="s">
        <v>17650</v>
      </c>
      <c r="AO3" s="603" t="s">
        <v>17651</v>
      </c>
      <c r="AP3" s="603" t="s">
        <v>17652</v>
      </c>
      <c r="AQ3" s="603" t="s">
        <v>17653</v>
      </c>
      <c r="AR3" s="603" t="s">
        <v>1024</v>
      </c>
      <c r="AS3" s="558">
        <v>1</v>
      </c>
    </row>
    <row r="4" spans="1:47" x14ac:dyDescent="0.2">
      <c r="A4" s="558" t="s">
        <v>23138</v>
      </c>
      <c r="B4" s="558" t="s">
        <v>1625</v>
      </c>
      <c r="C4" s="558" t="s">
        <v>1626</v>
      </c>
      <c r="D4" s="558" t="s">
        <v>23127</v>
      </c>
      <c r="E4" s="558" t="s">
        <v>192</v>
      </c>
      <c r="F4" s="563">
        <v>1</v>
      </c>
      <c r="G4" s="558" t="s">
        <v>193</v>
      </c>
      <c r="H4" s="558" t="s">
        <v>194</v>
      </c>
      <c r="I4" s="558" t="s">
        <v>23139</v>
      </c>
      <c r="J4" s="558" t="s">
        <v>367</v>
      </c>
      <c r="K4" s="558" t="s">
        <v>9309</v>
      </c>
      <c r="L4" s="558" t="s">
        <v>6955</v>
      </c>
      <c r="M4" s="558"/>
      <c r="N4" s="558" t="s">
        <v>23140</v>
      </c>
      <c r="O4" s="558" t="s">
        <v>6266</v>
      </c>
      <c r="P4" s="558" t="s">
        <v>23130</v>
      </c>
      <c r="Q4" s="558" t="s">
        <v>23131</v>
      </c>
      <c r="R4" s="558" t="s">
        <v>23132</v>
      </c>
      <c r="S4" s="558" t="s">
        <v>23141</v>
      </c>
      <c r="T4" s="558" t="s">
        <v>23142</v>
      </c>
      <c r="U4" s="558"/>
      <c r="V4" s="558" t="s">
        <v>9974</v>
      </c>
      <c r="W4" s="558" t="s">
        <v>1627</v>
      </c>
      <c r="X4" s="558" t="s">
        <v>194</v>
      </c>
      <c r="Y4" s="558" t="s">
        <v>9300</v>
      </c>
      <c r="Z4" s="558"/>
      <c r="AA4" s="558"/>
      <c r="AB4" s="558" t="s">
        <v>9311</v>
      </c>
      <c r="AC4" s="558"/>
      <c r="AD4" s="558"/>
      <c r="AE4" s="558"/>
      <c r="AF4" s="558"/>
      <c r="AG4" s="558"/>
      <c r="AH4" s="558" t="s">
        <v>4714</v>
      </c>
      <c r="AI4" s="558" t="s">
        <v>1625</v>
      </c>
      <c r="AJ4" s="601" t="str">
        <f t="shared" si="0"/>
        <v>833201</v>
      </c>
      <c r="AK4" s="601">
        <v>1</v>
      </c>
      <c r="AL4" s="601">
        <f t="shared" si="1"/>
        <v>1</v>
      </c>
      <c r="AM4" s="601">
        <v>1</v>
      </c>
      <c r="AN4" s="603" t="s">
        <v>17650</v>
      </c>
      <c r="AO4" s="603" t="s">
        <v>17651</v>
      </c>
      <c r="AP4" s="603" t="s">
        <v>17652</v>
      </c>
      <c r="AQ4" s="603" t="s">
        <v>17653</v>
      </c>
      <c r="AR4" s="603" t="s">
        <v>1024</v>
      </c>
      <c r="AS4" s="558">
        <v>1</v>
      </c>
    </row>
    <row r="5" spans="1:47" x14ac:dyDescent="0.2">
      <c r="A5" s="558" t="s">
        <v>23138</v>
      </c>
      <c r="B5" s="558" t="s">
        <v>1625</v>
      </c>
      <c r="C5" s="558" t="s">
        <v>1626</v>
      </c>
      <c r="D5" s="558" t="s">
        <v>23127</v>
      </c>
      <c r="E5" s="558" t="s">
        <v>192</v>
      </c>
      <c r="F5" s="563">
        <v>1</v>
      </c>
      <c r="G5" s="558" t="s">
        <v>193</v>
      </c>
      <c r="H5" s="558" t="s">
        <v>194</v>
      </c>
      <c r="I5" s="558" t="s">
        <v>23139</v>
      </c>
      <c r="J5" s="558" t="s">
        <v>23143</v>
      </c>
      <c r="K5" s="558" t="s">
        <v>9309</v>
      </c>
      <c r="L5" s="558" t="s">
        <v>6955</v>
      </c>
      <c r="M5" s="558"/>
      <c r="N5" s="558" t="s">
        <v>23144</v>
      </c>
      <c r="O5" s="558" t="s">
        <v>6266</v>
      </c>
      <c r="P5" s="558" t="s">
        <v>23130</v>
      </c>
      <c r="Q5" s="558" t="s">
        <v>23131</v>
      </c>
      <c r="R5" s="558" t="s">
        <v>23132</v>
      </c>
      <c r="S5" s="558" t="s">
        <v>23145</v>
      </c>
      <c r="T5" s="558" t="s">
        <v>23146</v>
      </c>
      <c r="U5" s="558"/>
      <c r="V5" s="558" t="s">
        <v>9506</v>
      </c>
      <c r="W5" s="558" t="s">
        <v>1627</v>
      </c>
      <c r="X5" s="558" t="s">
        <v>194</v>
      </c>
      <c r="Y5" s="558" t="s">
        <v>9300</v>
      </c>
      <c r="Z5" s="558"/>
      <c r="AA5" s="558"/>
      <c r="AB5" s="558" t="s">
        <v>9311</v>
      </c>
      <c r="AC5" s="558"/>
      <c r="AD5" s="558"/>
      <c r="AE5" s="558"/>
      <c r="AF5" s="558"/>
      <c r="AG5" s="558"/>
      <c r="AH5" s="558" t="s">
        <v>4714</v>
      </c>
      <c r="AI5" s="558" t="s">
        <v>1625</v>
      </c>
      <c r="AJ5" s="601" t="str">
        <f t="shared" si="0"/>
        <v>833201</v>
      </c>
      <c r="AK5" s="601">
        <v>1</v>
      </c>
      <c r="AL5" s="601">
        <f t="shared" si="1"/>
        <v>1</v>
      </c>
      <c r="AM5" s="601">
        <v>1</v>
      </c>
      <c r="AN5" s="603" t="s">
        <v>17650</v>
      </c>
      <c r="AO5" s="603" t="s">
        <v>17651</v>
      </c>
      <c r="AP5" s="603" t="s">
        <v>17652</v>
      </c>
      <c r="AQ5" s="603" t="s">
        <v>17653</v>
      </c>
      <c r="AR5" s="603" t="s">
        <v>1024</v>
      </c>
      <c r="AS5" s="558">
        <v>1</v>
      </c>
    </row>
    <row r="6" spans="1:47" x14ac:dyDescent="0.2">
      <c r="A6" s="558" t="s">
        <v>23138</v>
      </c>
      <c r="B6" s="558" t="s">
        <v>1625</v>
      </c>
      <c r="C6" s="558" t="s">
        <v>1626</v>
      </c>
      <c r="D6" s="558" t="s">
        <v>23127</v>
      </c>
      <c r="E6" s="558" t="s">
        <v>192</v>
      </c>
      <c r="F6" s="563">
        <v>1</v>
      </c>
      <c r="G6" s="558" t="s">
        <v>193</v>
      </c>
      <c r="H6" s="558" t="s">
        <v>194</v>
      </c>
      <c r="I6" s="558" t="s">
        <v>23139</v>
      </c>
      <c r="J6" s="558" t="s">
        <v>210</v>
      </c>
      <c r="K6" s="558" t="s">
        <v>9309</v>
      </c>
      <c r="L6" s="558" t="s">
        <v>6955</v>
      </c>
      <c r="M6" s="558"/>
      <c r="N6" s="558" t="s">
        <v>23147</v>
      </c>
      <c r="O6" s="558" t="s">
        <v>6266</v>
      </c>
      <c r="P6" s="558" t="s">
        <v>23130</v>
      </c>
      <c r="Q6" s="558" t="s">
        <v>23131</v>
      </c>
      <c r="R6" s="558" t="s">
        <v>23132</v>
      </c>
      <c r="S6" s="558" t="s">
        <v>23148</v>
      </c>
      <c r="T6" s="558" t="s">
        <v>23149</v>
      </c>
      <c r="U6" s="558"/>
      <c r="V6" s="558" t="s">
        <v>9334</v>
      </c>
      <c r="W6" s="558" t="s">
        <v>1627</v>
      </c>
      <c r="X6" s="558" t="s">
        <v>194</v>
      </c>
      <c r="Y6" s="558" t="s">
        <v>9300</v>
      </c>
      <c r="Z6" s="558"/>
      <c r="AA6" s="558"/>
      <c r="AB6" s="558" t="s">
        <v>9311</v>
      </c>
      <c r="AC6" s="558"/>
      <c r="AD6" s="558"/>
      <c r="AE6" s="558"/>
      <c r="AF6" s="558"/>
      <c r="AG6" s="558"/>
      <c r="AH6" s="558" t="s">
        <v>4714</v>
      </c>
      <c r="AI6" s="558" t="s">
        <v>1625</v>
      </c>
      <c r="AJ6" s="601" t="str">
        <f t="shared" si="0"/>
        <v>833201</v>
      </c>
      <c r="AK6" s="601">
        <v>1</v>
      </c>
      <c r="AL6" s="601">
        <f t="shared" si="1"/>
        <v>1</v>
      </c>
      <c r="AM6" s="601">
        <v>1</v>
      </c>
      <c r="AN6" s="603" t="s">
        <v>17650</v>
      </c>
      <c r="AO6" s="603" t="s">
        <v>17651</v>
      </c>
      <c r="AP6" s="603" t="s">
        <v>17652</v>
      </c>
      <c r="AQ6" s="603" t="s">
        <v>17653</v>
      </c>
      <c r="AR6" s="603" t="s">
        <v>1024</v>
      </c>
      <c r="AS6" s="558">
        <v>1</v>
      </c>
    </row>
    <row r="7" spans="1:47" x14ac:dyDescent="0.2">
      <c r="A7" s="558" t="s">
        <v>23150</v>
      </c>
      <c r="B7" s="558" t="s">
        <v>112</v>
      </c>
      <c r="C7" s="558" t="s">
        <v>112</v>
      </c>
      <c r="D7" s="558" t="s">
        <v>23127</v>
      </c>
      <c r="E7" s="558" t="s">
        <v>233</v>
      </c>
      <c r="F7" s="563">
        <v>1</v>
      </c>
      <c r="G7" s="558" t="s">
        <v>193</v>
      </c>
      <c r="H7" s="558" t="s">
        <v>194</v>
      </c>
      <c r="I7" s="558" t="s">
        <v>23151</v>
      </c>
      <c r="J7" s="558" t="s">
        <v>9302</v>
      </c>
      <c r="K7" s="558" t="s">
        <v>9309</v>
      </c>
      <c r="L7" s="558" t="s">
        <v>6955</v>
      </c>
      <c r="M7" s="558"/>
      <c r="N7" s="558" t="s">
        <v>23152</v>
      </c>
      <c r="O7" s="558" t="s">
        <v>6275</v>
      </c>
      <c r="P7" s="558" t="s">
        <v>23153</v>
      </c>
      <c r="Q7" s="558" t="s">
        <v>23154</v>
      </c>
      <c r="R7" s="558" t="s">
        <v>23155</v>
      </c>
      <c r="S7" s="558" t="s">
        <v>23156</v>
      </c>
      <c r="T7" s="558" t="s">
        <v>23157</v>
      </c>
      <c r="U7" s="558"/>
      <c r="V7" s="603"/>
      <c r="W7" s="558" t="s">
        <v>794</v>
      </c>
      <c r="X7" s="558" t="s">
        <v>193</v>
      </c>
      <c r="Y7" s="558" t="s">
        <v>9310</v>
      </c>
      <c r="Z7" s="558"/>
      <c r="AA7" s="558"/>
      <c r="AB7" s="558" t="s">
        <v>9311</v>
      </c>
      <c r="AC7" s="558"/>
      <c r="AD7" s="558"/>
      <c r="AE7" s="558"/>
      <c r="AF7" s="558"/>
      <c r="AG7" s="558"/>
      <c r="AH7" s="558" t="s">
        <v>4714</v>
      </c>
      <c r="AI7" s="558" t="s">
        <v>112</v>
      </c>
      <c r="AJ7" s="601" t="str">
        <f t="shared" si="0"/>
        <v>721404</v>
      </c>
      <c r="AK7" s="601">
        <v>1</v>
      </c>
      <c r="AL7" s="601">
        <f t="shared" si="1"/>
        <v>1</v>
      </c>
      <c r="AM7" s="601">
        <v>1</v>
      </c>
      <c r="AN7" s="603" t="s">
        <v>17650</v>
      </c>
      <c r="AO7" s="603" t="s">
        <v>17651</v>
      </c>
      <c r="AP7" s="603" t="s">
        <v>17652</v>
      </c>
      <c r="AQ7" s="603" t="s">
        <v>17653</v>
      </c>
      <c r="AR7" s="603" t="s">
        <v>1024</v>
      </c>
      <c r="AS7" s="558">
        <v>1</v>
      </c>
    </row>
    <row r="8" spans="1:47" x14ac:dyDescent="0.2">
      <c r="A8" s="558" t="s">
        <v>15250</v>
      </c>
      <c r="B8" s="558" t="s">
        <v>4655</v>
      </c>
      <c r="C8" s="558" t="s">
        <v>43</v>
      </c>
      <c r="D8" s="558" t="s">
        <v>23127</v>
      </c>
      <c r="E8" s="558" t="s">
        <v>233</v>
      </c>
      <c r="F8" s="563">
        <v>1</v>
      </c>
      <c r="G8" s="558" t="s">
        <v>193</v>
      </c>
      <c r="H8" s="558" t="s">
        <v>194</v>
      </c>
      <c r="I8" s="558" t="s">
        <v>23158</v>
      </c>
      <c r="J8" s="558" t="s">
        <v>9302</v>
      </c>
      <c r="K8" s="558" t="s">
        <v>9309</v>
      </c>
      <c r="L8" s="558" t="s">
        <v>6955</v>
      </c>
      <c r="M8" s="558"/>
      <c r="N8" s="558" t="s">
        <v>23159</v>
      </c>
      <c r="O8" s="558" t="s">
        <v>6290</v>
      </c>
      <c r="P8" s="558" t="s">
        <v>23153</v>
      </c>
      <c r="Q8" s="558" t="s">
        <v>23154</v>
      </c>
      <c r="R8" s="558" t="s">
        <v>23160</v>
      </c>
      <c r="S8" s="558" t="s">
        <v>23161</v>
      </c>
      <c r="T8" s="558" t="s">
        <v>23162</v>
      </c>
      <c r="U8" s="558"/>
      <c r="V8" s="603"/>
      <c r="W8" s="558" t="s">
        <v>452</v>
      </c>
      <c r="X8" s="558" t="s">
        <v>193</v>
      </c>
      <c r="Y8" s="558" t="s">
        <v>9310</v>
      </c>
      <c r="Z8" s="558"/>
      <c r="AA8" s="558"/>
      <c r="AB8" s="558" t="s">
        <v>9311</v>
      </c>
      <c r="AC8" s="558"/>
      <c r="AD8" s="558"/>
      <c r="AE8" s="558"/>
      <c r="AF8" s="558"/>
      <c r="AG8" s="558"/>
      <c r="AH8" s="558" t="s">
        <v>4714</v>
      </c>
      <c r="AI8" s="558" t="s">
        <v>4655</v>
      </c>
      <c r="AJ8" s="601" t="str">
        <f t="shared" si="0"/>
        <v>243106</v>
      </c>
      <c r="AK8" s="601">
        <v>1</v>
      </c>
      <c r="AL8" s="601">
        <f t="shared" si="1"/>
        <v>1</v>
      </c>
      <c r="AM8" s="601">
        <v>1</v>
      </c>
      <c r="AN8" s="603" t="s">
        <v>17650</v>
      </c>
      <c r="AO8" s="603" t="s">
        <v>17651</v>
      </c>
      <c r="AP8" s="603" t="s">
        <v>17652</v>
      </c>
      <c r="AQ8" s="603" t="s">
        <v>17653</v>
      </c>
      <c r="AR8" s="603" t="s">
        <v>1024</v>
      </c>
      <c r="AS8" s="558">
        <v>1</v>
      </c>
    </row>
    <row r="9" spans="1:47" x14ac:dyDescent="0.2">
      <c r="A9" s="558" t="s">
        <v>16824</v>
      </c>
      <c r="B9" s="558" t="s">
        <v>23163</v>
      </c>
      <c r="C9" s="558" t="s">
        <v>17</v>
      </c>
      <c r="D9" s="558" t="s">
        <v>23127</v>
      </c>
      <c r="E9" s="558" t="s">
        <v>233</v>
      </c>
      <c r="F9" s="563">
        <v>1</v>
      </c>
      <c r="G9" s="558" t="s">
        <v>193</v>
      </c>
      <c r="H9" s="558" t="s">
        <v>194</v>
      </c>
      <c r="I9" s="558" t="s">
        <v>23164</v>
      </c>
      <c r="J9" s="558" t="s">
        <v>23165</v>
      </c>
      <c r="K9" s="558" t="s">
        <v>9309</v>
      </c>
      <c r="L9" s="558" t="s">
        <v>6955</v>
      </c>
      <c r="M9" s="558"/>
      <c r="N9" s="558" t="s">
        <v>23166</v>
      </c>
      <c r="O9" s="558" t="s">
        <v>6249</v>
      </c>
      <c r="P9" s="558" t="s">
        <v>23153</v>
      </c>
      <c r="Q9" s="558" t="s">
        <v>23154</v>
      </c>
      <c r="R9" s="558" t="s">
        <v>23160</v>
      </c>
      <c r="S9" s="558" t="s">
        <v>23167</v>
      </c>
      <c r="T9" s="558" t="s">
        <v>23168</v>
      </c>
      <c r="U9" s="558"/>
      <c r="V9" s="558" t="s">
        <v>9334</v>
      </c>
      <c r="W9" s="558" t="s">
        <v>624</v>
      </c>
      <c r="X9" s="558" t="s">
        <v>194</v>
      </c>
      <c r="Y9" s="558" t="s">
        <v>9300</v>
      </c>
      <c r="Z9" s="558"/>
      <c r="AA9" s="558"/>
      <c r="AB9" s="558" t="s">
        <v>9311</v>
      </c>
      <c r="AC9" s="558"/>
      <c r="AD9" s="558"/>
      <c r="AE9" s="558"/>
      <c r="AF9" s="558"/>
      <c r="AG9" s="558"/>
      <c r="AH9" s="558" t="s">
        <v>4714</v>
      </c>
      <c r="AI9" s="558" t="s">
        <v>23163</v>
      </c>
      <c r="AJ9" s="601" t="str">
        <f t="shared" si="0"/>
        <v>332203</v>
      </c>
      <c r="AK9" s="601">
        <v>1</v>
      </c>
      <c r="AL9" s="601">
        <f t="shared" si="1"/>
        <v>1</v>
      </c>
      <c r="AM9" s="601">
        <v>1</v>
      </c>
      <c r="AN9" s="603" t="s">
        <v>17650</v>
      </c>
      <c r="AO9" s="603" t="s">
        <v>17651</v>
      </c>
      <c r="AP9" s="603" t="s">
        <v>17652</v>
      </c>
      <c r="AQ9" s="603" t="s">
        <v>17653</v>
      </c>
      <c r="AR9" s="603" t="s">
        <v>1024</v>
      </c>
      <c r="AS9" s="558">
        <v>1</v>
      </c>
    </row>
    <row r="10" spans="1:47" x14ac:dyDescent="0.2">
      <c r="A10" s="558" t="s">
        <v>10430</v>
      </c>
      <c r="B10" s="558" t="s">
        <v>23169</v>
      </c>
      <c r="C10" s="558" t="s">
        <v>3283</v>
      </c>
      <c r="D10" s="558" t="s">
        <v>23127</v>
      </c>
      <c r="E10" s="558" t="s">
        <v>233</v>
      </c>
      <c r="F10" s="563">
        <v>1</v>
      </c>
      <c r="G10" s="558" t="s">
        <v>193</v>
      </c>
      <c r="H10" s="558" t="s">
        <v>194</v>
      </c>
      <c r="I10" s="558" t="s">
        <v>23158</v>
      </c>
      <c r="J10" s="558" t="s">
        <v>23170</v>
      </c>
      <c r="K10" s="558" t="s">
        <v>9309</v>
      </c>
      <c r="L10" s="558" t="s">
        <v>6955</v>
      </c>
      <c r="M10" s="558"/>
      <c r="N10" s="558" t="s">
        <v>23171</v>
      </c>
      <c r="O10" s="558" t="s">
        <v>6266</v>
      </c>
      <c r="P10" s="558" t="s">
        <v>23153</v>
      </c>
      <c r="Q10" s="558" t="s">
        <v>23154</v>
      </c>
      <c r="R10" s="558" t="s">
        <v>23160</v>
      </c>
      <c r="S10" s="558" t="s">
        <v>23172</v>
      </c>
      <c r="T10" s="558" t="s">
        <v>23173</v>
      </c>
      <c r="U10" s="558"/>
      <c r="V10" s="558" t="s">
        <v>9334</v>
      </c>
      <c r="W10" s="558" t="s">
        <v>23174</v>
      </c>
      <c r="X10" s="558" t="s">
        <v>194</v>
      </c>
      <c r="Y10" s="558" t="s">
        <v>9300</v>
      </c>
      <c r="Z10" s="558"/>
      <c r="AA10" s="558"/>
      <c r="AB10" s="558" t="s">
        <v>9311</v>
      </c>
      <c r="AC10" s="558"/>
      <c r="AD10" s="558"/>
      <c r="AE10" s="558"/>
      <c r="AF10" s="558"/>
      <c r="AG10" s="558"/>
      <c r="AH10" s="558" t="s">
        <v>4714</v>
      </c>
      <c r="AI10" s="558" t="s">
        <v>23169</v>
      </c>
      <c r="AJ10" s="601" t="str">
        <f t="shared" si="0"/>
        <v>831104</v>
      </c>
      <c r="AK10" s="601">
        <v>1</v>
      </c>
      <c r="AL10" s="601">
        <f t="shared" si="1"/>
        <v>1</v>
      </c>
      <c r="AM10" s="601">
        <v>1</v>
      </c>
      <c r="AN10" s="603" t="s">
        <v>17650</v>
      </c>
      <c r="AO10" s="603" t="s">
        <v>17651</v>
      </c>
      <c r="AP10" s="603" t="s">
        <v>17652</v>
      </c>
      <c r="AQ10" s="603" t="s">
        <v>17653</v>
      </c>
      <c r="AR10" s="603" t="s">
        <v>1024</v>
      </c>
      <c r="AS10" s="558">
        <v>1</v>
      </c>
    </row>
    <row r="11" spans="1:47" x14ac:dyDescent="0.2">
      <c r="A11" s="558" t="s">
        <v>5287</v>
      </c>
      <c r="B11" s="558" t="s">
        <v>821</v>
      </c>
      <c r="C11" s="558" t="s">
        <v>822</v>
      </c>
      <c r="D11" s="558" t="s">
        <v>23127</v>
      </c>
      <c r="E11" s="558" t="s">
        <v>233</v>
      </c>
      <c r="F11" s="563">
        <v>1</v>
      </c>
      <c r="G11" s="558" t="s">
        <v>193</v>
      </c>
      <c r="H11" s="558" t="s">
        <v>194</v>
      </c>
      <c r="I11" s="558" t="s">
        <v>23139</v>
      </c>
      <c r="J11" s="558" t="s">
        <v>367</v>
      </c>
      <c r="K11" s="558" t="s">
        <v>9309</v>
      </c>
      <c r="L11" s="558" t="s">
        <v>6955</v>
      </c>
      <c r="M11" s="558"/>
      <c r="N11" s="558" t="s">
        <v>23175</v>
      </c>
      <c r="O11" s="558" t="s">
        <v>6363</v>
      </c>
      <c r="P11" s="558" t="s">
        <v>23153</v>
      </c>
      <c r="Q11" s="558" t="s">
        <v>23154</v>
      </c>
      <c r="R11" s="558" t="s">
        <v>23176</v>
      </c>
      <c r="S11" s="558" t="s">
        <v>23177</v>
      </c>
      <c r="T11" s="558" t="s">
        <v>23178</v>
      </c>
      <c r="U11" s="558"/>
      <c r="V11" s="558" t="s">
        <v>9974</v>
      </c>
      <c r="W11" s="558" t="s">
        <v>823</v>
      </c>
      <c r="X11" s="558" t="s">
        <v>194</v>
      </c>
      <c r="Y11" s="558" t="s">
        <v>9300</v>
      </c>
      <c r="Z11" s="558"/>
      <c r="AA11" s="558"/>
      <c r="AB11" s="558" t="s">
        <v>9311</v>
      </c>
      <c r="AC11" s="558"/>
      <c r="AD11" s="558"/>
      <c r="AE11" s="558"/>
      <c r="AF11" s="558"/>
      <c r="AG11" s="558"/>
      <c r="AH11" s="558" t="s">
        <v>4714</v>
      </c>
      <c r="AI11" s="558" t="s">
        <v>821</v>
      </c>
      <c r="AJ11" s="601" t="str">
        <f t="shared" si="0"/>
        <v>741103</v>
      </c>
      <c r="AK11" s="601">
        <v>1</v>
      </c>
      <c r="AL11" s="601">
        <f t="shared" si="1"/>
        <v>1</v>
      </c>
      <c r="AM11" s="601">
        <v>1</v>
      </c>
      <c r="AN11" s="603" t="s">
        <v>17650</v>
      </c>
      <c r="AO11" s="603" t="s">
        <v>17651</v>
      </c>
      <c r="AP11" s="603" t="s">
        <v>17652</v>
      </c>
      <c r="AQ11" s="603" t="s">
        <v>17653</v>
      </c>
      <c r="AR11" s="603" t="s">
        <v>1024</v>
      </c>
      <c r="AS11" s="558">
        <v>1</v>
      </c>
    </row>
    <row r="12" spans="1:47" x14ac:dyDescent="0.2">
      <c r="A12" s="558" t="s">
        <v>5287</v>
      </c>
      <c r="B12" s="558" t="s">
        <v>821</v>
      </c>
      <c r="C12" s="558" t="s">
        <v>822</v>
      </c>
      <c r="D12" s="558" t="s">
        <v>23127</v>
      </c>
      <c r="E12" s="558" t="s">
        <v>233</v>
      </c>
      <c r="F12" s="563">
        <v>1</v>
      </c>
      <c r="G12" s="558" t="s">
        <v>193</v>
      </c>
      <c r="H12" s="558" t="s">
        <v>194</v>
      </c>
      <c r="I12" s="558" t="s">
        <v>23139</v>
      </c>
      <c r="J12" s="558" t="s">
        <v>7463</v>
      </c>
      <c r="K12" s="558" t="s">
        <v>9309</v>
      </c>
      <c r="L12" s="558" t="s">
        <v>6955</v>
      </c>
      <c r="M12" s="558"/>
      <c r="N12" s="558" t="s">
        <v>23179</v>
      </c>
      <c r="O12" s="558" t="s">
        <v>6363</v>
      </c>
      <c r="P12" s="558" t="s">
        <v>23153</v>
      </c>
      <c r="Q12" s="558" t="s">
        <v>23154</v>
      </c>
      <c r="R12" s="558" t="s">
        <v>23176</v>
      </c>
      <c r="S12" s="558" t="s">
        <v>23180</v>
      </c>
      <c r="T12" s="558" t="s">
        <v>23181</v>
      </c>
      <c r="U12" s="558"/>
      <c r="V12" s="558" t="s">
        <v>10397</v>
      </c>
      <c r="W12" s="558" t="s">
        <v>823</v>
      </c>
      <c r="X12" s="558" t="s">
        <v>194</v>
      </c>
      <c r="Y12" s="558" t="s">
        <v>9300</v>
      </c>
      <c r="Z12" s="558"/>
      <c r="AA12" s="558"/>
      <c r="AB12" s="558" t="s">
        <v>9311</v>
      </c>
      <c r="AC12" s="558"/>
      <c r="AD12" s="558"/>
      <c r="AE12" s="558"/>
      <c r="AF12" s="558"/>
      <c r="AG12" s="558"/>
      <c r="AH12" s="558" t="s">
        <v>4714</v>
      </c>
      <c r="AI12" s="558" t="s">
        <v>821</v>
      </c>
      <c r="AJ12" s="601" t="str">
        <f t="shared" si="0"/>
        <v>741103</v>
      </c>
      <c r="AK12" s="601">
        <v>1</v>
      </c>
      <c r="AL12" s="601">
        <f t="shared" si="1"/>
        <v>1</v>
      </c>
      <c r="AM12" s="601">
        <v>1</v>
      </c>
      <c r="AN12" s="603" t="s">
        <v>17650</v>
      </c>
      <c r="AO12" s="603" t="s">
        <v>17651</v>
      </c>
      <c r="AP12" s="603" t="s">
        <v>17652</v>
      </c>
      <c r="AQ12" s="603" t="s">
        <v>17653</v>
      </c>
      <c r="AR12" s="603" t="s">
        <v>1024</v>
      </c>
      <c r="AS12" s="558">
        <v>1</v>
      </c>
    </row>
    <row r="13" spans="1:47" x14ac:dyDescent="0.2">
      <c r="A13" s="558" t="s">
        <v>5287</v>
      </c>
      <c r="B13" s="558" t="s">
        <v>565</v>
      </c>
      <c r="C13" s="558" t="s">
        <v>566</v>
      </c>
      <c r="D13" s="558" t="s">
        <v>23127</v>
      </c>
      <c r="E13" s="558" t="s">
        <v>233</v>
      </c>
      <c r="F13" s="563">
        <v>1</v>
      </c>
      <c r="G13" s="558" t="s">
        <v>193</v>
      </c>
      <c r="H13" s="558" t="s">
        <v>194</v>
      </c>
      <c r="I13" s="558" t="s">
        <v>23158</v>
      </c>
      <c r="J13" s="558" t="s">
        <v>7463</v>
      </c>
      <c r="K13" s="558" t="s">
        <v>9309</v>
      </c>
      <c r="L13" s="558" t="s">
        <v>6955</v>
      </c>
      <c r="M13" s="558"/>
      <c r="N13" s="558" t="s">
        <v>23182</v>
      </c>
      <c r="O13" s="558" t="s">
        <v>6258</v>
      </c>
      <c r="P13" s="558" t="s">
        <v>23153</v>
      </c>
      <c r="Q13" s="558" t="s">
        <v>23154</v>
      </c>
      <c r="R13" s="558" t="s">
        <v>23176</v>
      </c>
      <c r="S13" s="558" t="s">
        <v>23183</v>
      </c>
      <c r="T13" s="558" t="s">
        <v>23184</v>
      </c>
      <c r="U13" s="558"/>
      <c r="V13" s="558" t="s">
        <v>10397</v>
      </c>
      <c r="W13" s="558" t="s">
        <v>567</v>
      </c>
      <c r="X13" s="558" t="s">
        <v>194</v>
      </c>
      <c r="Y13" s="558" t="s">
        <v>9300</v>
      </c>
      <c r="Z13" s="558"/>
      <c r="AA13" s="558"/>
      <c r="AB13" s="558" t="s">
        <v>9311</v>
      </c>
      <c r="AC13" s="558"/>
      <c r="AD13" s="558"/>
      <c r="AE13" s="558"/>
      <c r="AF13" s="558"/>
      <c r="AG13" s="558"/>
      <c r="AH13" s="558" t="s">
        <v>4714</v>
      </c>
      <c r="AI13" s="558" t="s">
        <v>565</v>
      </c>
      <c r="AJ13" s="601" t="str">
        <f t="shared" si="0"/>
        <v>311504</v>
      </c>
      <c r="AK13" s="601">
        <v>1</v>
      </c>
      <c r="AL13" s="601">
        <f t="shared" si="1"/>
        <v>1</v>
      </c>
      <c r="AM13" s="601">
        <v>1</v>
      </c>
      <c r="AN13" s="603" t="s">
        <v>17650</v>
      </c>
      <c r="AO13" s="603" t="s">
        <v>17651</v>
      </c>
      <c r="AP13" s="603" t="s">
        <v>17652</v>
      </c>
      <c r="AQ13" s="603" t="s">
        <v>17653</v>
      </c>
      <c r="AR13" s="603" t="s">
        <v>1024</v>
      </c>
      <c r="AS13" s="558">
        <v>1</v>
      </c>
    </row>
    <row r="14" spans="1:47" x14ac:dyDescent="0.2">
      <c r="A14" s="558" t="s">
        <v>20027</v>
      </c>
      <c r="B14" s="558" t="s">
        <v>23185</v>
      </c>
      <c r="C14" s="558" t="s">
        <v>542</v>
      </c>
      <c r="D14" s="558" t="s">
        <v>23127</v>
      </c>
      <c r="E14" s="558" t="s">
        <v>233</v>
      </c>
      <c r="F14" s="563">
        <v>1</v>
      </c>
      <c r="G14" s="558" t="s">
        <v>193</v>
      </c>
      <c r="H14" s="558" t="s">
        <v>194</v>
      </c>
      <c r="I14" s="558" t="s">
        <v>23186</v>
      </c>
      <c r="J14" s="558" t="s">
        <v>20029</v>
      </c>
      <c r="K14" s="558" t="s">
        <v>9309</v>
      </c>
      <c r="L14" s="558" t="s">
        <v>6955</v>
      </c>
      <c r="M14" s="558"/>
      <c r="N14" s="558" t="s">
        <v>23187</v>
      </c>
      <c r="O14" s="558" t="s">
        <v>7833</v>
      </c>
      <c r="P14" s="558" t="s">
        <v>23153</v>
      </c>
      <c r="Q14" s="558" t="s">
        <v>23154</v>
      </c>
      <c r="R14" s="558" t="s">
        <v>23176</v>
      </c>
      <c r="S14" s="558" t="s">
        <v>23188</v>
      </c>
      <c r="T14" s="558" t="s">
        <v>23189</v>
      </c>
      <c r="U14" s="558"/>
      <c r="V14" s="603"/>
      <c r="W14" s="558" t="s">
        <v>543</v>
      </c>
      <c r="X14" s="558" t="s">
        <v>193</v>
      </c>
      <c r="Y14" s="558" t="s">
        <v>9310</v>
      </c>
      <c r="Z14" s="558"/>
      <c r="AA14" s="558"/>
      <c r="AB14" s="558" t="s">
        <v>9311</v>
      </c>
      <c r="AC14" s="558"/>
      <c r="AD14" s="558"/>
      <c r="AE14" s="558"/>
      <c r="AF14" s="558"/>
      <c r="AG14" s="558"/>
      <c r="AH14" s="558" t="s">
        <v>4714</v>
      </c>
      <c r="AI14" s="558" t="s">
        <v>23185</v>
      </c>
      <c r="AJ14" s="601" t="str">
        <f t="shared" si="0"/>
        <v>264304</v>
      </c>
      <c r="AK14" s="601">
        <v>1</v>
      </c>
      <c r="AL14" s="601">
        <f t="shared" si="1"/>
        <v>1</v>
      </c>
      <c r="AM14" s="601">
        <v>1</v>
      </c>
      <c r="AN14" s="603" t="s">
        <v>17650</v>
      </c>
      <c r="AO14" s="603" t="s">
        <v>17651</v>
      </c>
      <c r="AP14" s="603" t="s">
        <v>17652</v>
      </c>
      <c r="AQ14" s="603" t="s">
        <v>17653</v>
      </c>
      <c r="AR14" s="603" t="s">
        <v>1024</v>
      </c>
      <c r="AS14" s="558">
        <v>1</v>
      </c>
    </row>
    <row r="15" spans="1:47" x14ac:dyDescent="0.2">
      <c r="A15" s="558" t="s">
        <v>8035</v>
      </c>
      <c r="B15" s="558" t="s">
        <v>23190</v>
      </c>
      <c r="C15" s="558" t="s">
        <v>740</v>
      </c>
      <c r="D15" s="558" t="s">
        <v>23127</v>
      </c>
      <c r="E15" s="558" t="s">
        <v>233</v>
      </c>
      <c r="F15" s="563">
        <v>1</v>
      </c>
      <c r="G15" s="558" t="s">
        <v>193</v>
      </c>
      <c r="H15" s="558" t="s">
        <v>194</v>
      </c>
      <c r="I15" s="558" t="s">
        <v>23186</v>
      </c>
      <c r="J15" s="558" t="s">
        <v>23191</v>
      </c>
      <c r="K15" s="558" t="s">
        <v>9309</v>
      </c>
      <c r="L15" s="558" t="s">
        <v>6955</v>
      </c>
      <c r="M15" s="558"/>
      <c r="N15" s="558" t="s">
        <v>23192</v>
      </c>
      <c r="O15" s="558" t="s">
        <v>6249</v>
      </c>
      <c r="P15" s="558" t="s">
        <v>23153</v>
      </c>
      <c r="Q15" s="558" t="s">
        <v>23154</v>
      </c>
      <c r="R15" s="558" t="s">
        <v>23193</v>
      </c>
      <c r="S15" s="558" t="s">
        <v>23194</v>
      </c>
      <c r="T15" s="558" t="s">
        <v>23195</v>
      </c>
      <c r="U15" s="558"/>
      <c r="V15" s="558" t="s">
        <v>9468</v>
      </c>
      <c r="W15" s="558" t="s">
        <v>741</v>
      </c>
      <c r="X15" s="558" t="s">
        <v>194</v>
      </c>
      <c r="Y15" s="558" t="s">
        <v>9300</v>
      </c>
      <c r="Z15" s="558"/>
      <c r="AA15" s="558"/>
      <c r="AB15" s="558" t="s">
        <v>9311</v>
      </c>
      <c r="AC15" s="558"/>
      <c r="AD15" s="558"/>
      <c r="AE15" s="558"/>
      <c r="AF15" s="558"/>
      <c r="AG15" s="558"/>
      <c r="AH15" s="558" t="s">
        <v>4714</v>
      </c>
      <c r="AI15" s="558" t="s">
        <v>23190</v>
      </c>
      <c r="AJ15" s="601" t="str">
        <f t="shared" si="0"/>
        <v>522301</v>
      </c>
      <c r="AK15" s="601">
        <v>1</v>
      </c>
      <c r="AL15" s="601">
        <f t="shared" si="1"/>
        <v>1</v>
      </c>
      <c r="AM15" s="601">
        <v>1</v>
      </c>
      <c r="AN15" s="603" t="s">
        <v>17650</v>
      </c>
      <c r="AO15" s="603" t="s">
        <v>17651</v>
      </c>
      <c r="AP15" s="603" t="s">
        <v>17652</v>
      </c>
      <c r="AQ15" s="603" t="s">
        <v>17653</v>
      </c>
      <c r="AR15" s="603" t="s">
        <v>1024</v>
      </c>
      <c r="AS15" s="558">
        <v>1</v>
      </c>
    </row>
    <row r="16" spans="1:47" x14ac:dyDescent="0.2">
      <c r="A16" s="558" t="s">
        <v>15464</v>
      </c>
      <c r="B16" s="558" t="s">
        <v>22217</v>
      </c>
      <c r="C16" s="558" t="s">
        <v>468</v>
      </c>
      <c r="D16" s="558" t="s">
        <v>23127</v>
      </c>
      <c r="E16" s="558" t="s">
        <v>217</v>
      </c>
      <c r="F16" s="563">
        <v>1</v>
      </c>
      <c r="G16" s="558" t="s">
        <v>193</v>
      </c>
      <c r="H16" s="558" t="s">
        <v>194</v>
      </c>
      <c r="I16" s="558" t="s">
        <v>23164</v>
      </c>
      <c r="J16" s="558" t="s">
        <v>210</v>
      </c>
      <c r="K16" s="558" t="s">
        <v>9309</v>
      </c>
      <c r="L16" s="558" t="s">
        <v>6955</v>
      </c>
      <c r="M16" s="558"/>
      <c r="N16" s="558" t="s">
        <v>22238</v>
      </c>
      <c r="O16" s="558" t="s">
        <v>6251</v>
      </c>
      <c r="P16" s="558" t="s">
        <v>23196</v>
      </c>
      <c r="Q16" s="558" t="s">
        <v>23197</v>
      </c>
      <c r="R16" s="558" t="s">
        <v>23198</v>
      </c>
      <c r="S16" s="558" t="s">
        <v>23199</v>
      </c>
      <c r="T16" s="558" t="s">
        <v>23200</v>
      </c>
      <c r="U16" s="558"/>
      <c r="V16" s="558" t="s">
        <v>9334</v>
      </c>
      <c r="W16" s="558" t="s">
        <v>469</v>
      </c>
      <c r="X16" s="558" t="s">
        <v>194</v>
      </c>
      <c r="Y16" s="558" t="s">
        <v>9300</v>
      </c>
      <c r="Z16" s="558"/>
      <c r="AA16" s="558"/>
      <c r="AB16" s="558" t="s">
        <v>9311</v>
      </c>
      <c r="AC16" s="558"/>
      <c r="AD16" s="558"/>
      <c r="AE16" s="558"/>
      <c r="AF16" s="558"/>
      <c r="AG16" s="558"/>
      <c r="AH16" s="558" t="s">
        <v>4714</v>
      </c>
      <c r="AI16" s="558" t="s">
        <v>9433</v>
      </c>
      <c r="AJ16" s="601" t="str">
        <f t="shared" si="0"/>
        <v>243303</v>
      </c>
      <c r="AK16" s="601">
        <v>1</v>
      </c>
      <c r="AL16" s="601">
        <f t="shared" si="1"/>
        <v>1</v>
      </c>
      <c r="AM16" s="601">
        <v>1</v>
      </c>
      <c r="AN16" s="603" t="s">
        <v>17650</v>
      </c>
      <c r="AO16" s="603" t="s">
        <v>17651</v>
      </c>
      <c r="AP16" s="603" t="s">
        <v>17652</v>
      </c>
      <c r="AQ16" s="603" t="s">
        <v>17653</v>
      </c>
      <c r="AR16" s="603" t="s">
        <v>1024</v>
      </c>
      <c r="AS16" s="558">
        <v>1</v>
      </c>
    </row>
    <row r="17" spans="1:45" x14ac:dyDescent="0.2">
      <c r="A17" s="558" t="s">
        <v>4022</v>
      </c>
      <c r="B17" s="558" t="s">
        <v>23046</v>
      </c>
      <c r="C17" s="558" t="s">
        <v>542</v>
      </c>
      <c r="D17" s="558" t="s">
        <v>23127</v>
      </c>
      <c r="E17" s="558" t="s">
        <v>217</v>
      </c>
      <c r="F17" s="563">
        <v>1</v>
      </c>
      <c r="G17" s="558" t="s">
        <v>193</v>
      </c>
      <c r="H17" s="558" t="s">
        <v>194</v>
      </c>
      <c r="I17" s="558" t="s">
        <v>23164</v>
      </c>
      <c r="J17" s="558" t="s">
        <v>15466</v>
      </c>
      <c r="K17" s="558" t="s">
        <v>9309</v>
      </c>
      <c r="L17" s="558" t="s">
        <v>6955</v>
      </c>
      <c r="M17" s="558"/>
      <c r="N17" s="558" t="s">
        <v>23047</v>
      </c>
      <c r="O17" s="558" t="s">
        <v>6286</v>
      </c>
      <c r="P17" s="558" t="s">
        <v>23196</v>
      </c>
      <c r="Q17" s="558" t="s">
        <v>23197</v>
      </c>
      <c r="R17" s="558" t="s">
        <v>23198</v>
      </c>
      <c r="S17" s="558" t="s">
        <v>23201</v>
      </c>
      <c r="T17" s="558" t="s">
        <v>23202</v>
      </c>
      <c r="U17" s="558"/>
      <c r="V17" s="603"/>
      <c r="W17" s="558" t="s">
        <v>543</v>
      </c>
      <c r="X17" s="558" t="s">
        <v>193</v>
      </c>
      <c r="Y17" s="558" t="s">
        <v>9310</v>
      </c>
      <c r="Z17" s="558"/>
      <c r="AA17" s="558"/>
      <c r="AB17" s="558" t="s">
        <v>9311</v>
      </c>
      <c r="AC17" s="558"/>
      <c r="AD17" s="558"/>
      <c r="AE17" s="558"/>
      <c r="AF17" s="558"/>
      <c r="AG17" s="558"/>
      <c r="AH17" s="558" t="s">
        <v>4714</v>
      </c>
      <c r="AI17" s="558" t="s">
        <v>9433</v>
      </c>
      <c r="AJ17" s="601" t="str">
        <f t="shared" si="0"/>
        <v>264304</v>
      </c>
      <c r="AK17" s="601">
        <v>1</v>
      </c>
      <c r="AL17" s="601">
        <f t="shared" si="1"/>
        <v>1</v>
      </c>
      <c r="AM17" s="601">
        <v>1</v>
      </c>
      <c r="AN17" s="603" t="s">
        <v>17650</v>
      </c>
      <c r="AO17" s="603" t="s">
        <v>17651</v>
      </c>
      <c r="AP17" s="603" t="s">
        <v>17652</v>
      </c>
      <c r="AQ17" s="603" t="s">
        <v>17653</v>
      </c>
      <c r="AR17" s="603" t="s">
        <v>1024</v>
      </c>
      <c r="AS17" s="558">
        <v>1</v>
      </c>
    </row>
    <row r="18" spans="1:45" x14ac:dyDescent="0.2">
      <c r="A18" s="558" t="s">
        <v>23203</v>
      </c>
      <c r="B18" s="558" t="s">
        <v>23204</v>
      </c>
      <c r="C18" s="558" t="s">
        <v>84</v>
      </c>
      <c r="D18" s="558" t="s">
        <v>23127</v>
      </c>
      <c r="E18" s="558" t="s">
        <v>217</v>
      </c>
      <c r="F18" s="563">
        <v>1</v>
      </c>
      <c r="G18" s="558" t="s">
        <v>193</v>
      </c>
      <c r="H18" s="558" t="s">
        <v>194</v>
      </c>
      <c r="I18" s="558" t="s">
        <v>23158</v>
      </c>
      <c r="J18" s="558" t="s">
        <v>23205</v>
      </c>
      <c r="K18" s="558" t="s">
        <v>9309</v>
      </c>
      <c r="L18" s="558" t="s">
        <v>6955</v>
      </c>
      <c r="M18" s="558"/>
      <c r="N18" s="558" t="s">
        <v>23206</v>
      </c>
      <c r="O18" s="558" t="s">
        <v>6269</v>
      </c>
      <c r="P18" s="558" t="s">
        <v>23130</v>
      </c>
      <c r="Q18" s="558" t="s">
        <v>21047</v>
      </c>
      <c r="R18" s="558" t="s">
        <v>23132</v>
      </c>
      <c r="S18" s="558" t="s">
        <v>23207</v>
      </c>
      <c r="T18" s="558" t="s">
        <v>23208</v>
      </c>
      <c r="U18" s="558"/>
      <c r="V18" s="603"/>
      <c r="W18" s="558" t="s">
        <v>2665</v>
      </c>
      <c r="X18" s="558" t="s">
        <v>193</v>
      </c>
      <c r="Y18" s="558" t="s">
        <v>9310</v>
      </c>
      <c r="Z18" s="558"/>
      <c r="AA18" s="558"/>
      <c r="AB18" s="558" t="s">
        <v>9311</v>
      </c>
      <c r="AC18" s="558"/>
      <c r="AD18" s="558"/>
      <c r="AE18" s="558"/>
      <c r="AF18" s="558"/>
      <c r="AG18" s="558"/>
      <c r="AH18" s="558" t="s">
        <v>4714</v>
      </c>
      <c r="AI18" s="558" t="s">
        <v>9433</v>
      </c>
      <c r="AJ18" s="601" t="str">
        <f t="shared" si="0"/>
        <v>541315</v>
      </c>
      <c r="AK18" s="601">
        <v>1</v>
      </c>
      <c r="AL18" s="601">
        <f t="shared" si="1"/>
        <v>1</v>
      </c>
      <c r="AM18" s="601">
        <v>1</v>
      </c>
      <c r="AN18" s="603" t="s">
        <v>17650</v>
      </c>
      <c r="AO18" s="603" t="s">
        <v>17651</v>
      </c>
      <c r="AP18" s="603" t="s">
        <v>17652</v>
      </c>
      <c r="AQ18" s="603" t="s">
        <v>17653</v>
      </c>
      <c r="AR18" s="603" t="s">
        <v>1024</v>
      </c>
      <c r="AS18" s="558">
        <v>1</v>
      </c>
    </row>
    <row r="19" spans="1:45" x14ac:dyDescent="0.2">
      <c r="A19" s="558" t="s">
        <v>9886</v>
      </c>
      <c r="B19" s="558" t="s">
        <v>23209</v>
      </c>
      <c r="C19" s="558" t="s">
        <v>8136</v>
      </c>
      <c r="D19" s="558" t="s">
        <v>23127</v>
      </c>
      <c r="E19" s="558" t="s">
        <v>217</v>
      </c>
      <c r="F19" s="563">
        <v>1</v>
      </c>
      <c r="G19" s="558" t="s">
        <v>194</v>
      </c>
      <c r="H19" s="558" t="s">
        <v>193</v>
      </c>
      <c r="I19" s="558" t="s">
        <v>23186</v>
      </c>
      <c r="J19" s="558" t="s">
        <v>23210</v>
      </c>
      <c r="K19" s="558" t="s">
        <v>9309</v>
      </c>
      <c r="L19" s="558" t="s">
        <v>6955</v>
      </c>
      <c r="M19" s="558"/>
      <c r="N19" s="558" t="s">
        <v>23211</v>
      </c>
      <c r="O19" s="558" t="s">
        <v>6363</v>
      </c>
      <c r="P19" s="558" t="s">
        <v>23196</v>
      </c>
      <c r="Q19" s="558" t="s">
        <v>23212</v>
      </c>
      <c r="R19" s="558" t="s">
        <v>23213</v>
      </c>
      <c r="S19" s="558" t="s">
        <v>23214</v>
      </c>
      <c r="T19" s="558" t="s">
        <v>23215</v>
      </c>
      <c r="U19" s="558"/>
      <c r="V19" s="603"/>
      <c r="W19" s="558" t="s">
        <v>8138</v>
      </c>
      <c r="X19" s="558" t="s">
        <v>194</v>
      </c>
      <c r="Y19" s="558" t="s">
        <v>9946</v>
      </c>
      <c r="Z19" s="558"/>
      <c r="AA19" s="558"/>
      <c r="AB19" s="558" t="s">
        <v>9311</v>
      </c>
      <c r="AC19" s="558"/>
      <c r="AD19" s="558"/>
      <c r="AE19" s="558"/>
      <c r="AF19" s="558"/>
      <c r="AG19" s="558"/>
      <c r="AH19" s="558" t="s">
        <v>4714</v>
      </c>
      <c r="AI19" s="558" t="s">
        <v>9433</v>
      </c>
      <c r="AJ19" s="601" t="str">
        <f t="shared" si="0"/>
        <v>821905</v>
      </c>
      <c r="AK19" s="601">
        <v>1</v>
      </c>
      <c r="AL19" s="601">
        <f t="shared" si="1"/>
        <v>1</v>
      </c>
      <c r="AM19" s="601">
        <v>1</v>
      </c>
      <c r="AN19" s="603" t="s">
        <v>17650</v>
      </c>
      <c r="AO19" s="603" t="s">
        <v>17651</v>
      </c>
      <c r="AP19" s="603" t="s">
        <v>17652</v>
      </c>
      <c r="AQ19" s="603" t="s">
        <v>17653</v>
      </c>
      <c r="AR19" s="603" t="s">
        <v>1024</v>
      </c>
      <c r="AS19" s="558">
        <v>1</v>
      </c>
    </row>
    <row r="20" spans="1:45" x14ac:dyDescent="0.2">
      <c r="A20" s="558" t="s">
        <v>9886</v>
      </c>
      <c r="B20" s="558" t="s">
        <v>23209</v>
      </c>
      <c r="C20" s="558" t="s">
        <v>8136</v>
      </c>
      <c r="D20" s="558" t="s">
        <v>23127</v>
      </c>
      <c r="E20" s="558" t="s">
        <v>217</v>
      </c>
      <c r="F20" s="563">
        <v>1</v>
      </c>
      <c r="G20" s="558" t="s">
        <v>194</v>
      </c>
      <c r="H20" s="558" t="s">
        <v>193</v>
      </c>
      <c r="I20" s="558" t="s">
        <v>23186</v>
      </c>
      <c r="J20" s="558" t="s">
        <v>23216</v>
      </c>
      <c r="K20" s="558" t="s">
        <v>9309</v>
      </c>
      <c r="L20" s="558" t="s">
        <v>6955</v>
      </c>
      <c r="M20" s="558"/>
      <c r="N20" s="558" t="s">
        <v>23217</v>
      </c>
      <c r="O20" s="558" t="s">
        <v>6363</v>
      </c>
      <c r="P20" s="558" t="s">
        <v>23196</v>
      </c>
      <c r="Q20" s="558" t="s">
        <v>23212</v>
      </c>
      <c r="R20" s="558" t="s">
        <v>23213</v>
      </c>
      <c r="S20" s="558" t="s">
        <v>23218</v>
      </c>
      <c r="T20" s="558" t="s">
        <v>23219</v>
      </c>
      <c r="U20" s="558"/>
      <c r="V20" s="603"/>
      <c r="W20" s="558" t="s">
        <v>8138</v>
      </c>
      <c r="X20" s="558" t="s">
        <v>194</v>
      </c>
      <c r="Y20" s="558" t="s">
        <v>9946</v>
      </c>
      <c r="Z20" s="558"/>
      <c r="AA20" s="558"/>
      <c r="AB20" s="558" t="s">
        <v>9311</v>
      </c>
      <c r="AC20" s="558"/>
      <c r="AD20" s="558"/>
      <c r="AE20" s="558"/>
      <c r="AF20" s="558"/>
      <c r="AG20" s="558"/>
      <c r="AH20" s="558" t="s">
        <v>4714</v>
      </c>
      <c r="AI20" s="558" t="s">
        <v>9433</v>
      </c>
      <c r="AJ20" s="601" t="str">
        <f t="shared" si="0"/>
        <v>821905</v>
      </c>
      <c r="AK20" s="601">
        <v>1</v>
      </c>
      <c r="AL20" s="601">
        <f t="shared" si="1"/>
        <v>1</v>
      </c>
      <c r="AM20" s="601">
        <v>1</v>
      </c>
      <c r="AN20" s="603" t="s">
        <v>17650</v>
      </c>
      <c r="AO20" s="603" t="s">
        <v>17651</v>
      </c>
      <c r="AP20" s="603" t="s">
        <v>17652</v>
      </c>
      <c r="AQ20" s="603" t="s">
        <v>17653</v>
      </c>
      <c r="AR20" s="603" t="s">
        <v>1024</v>
      </c>
      <c r="AS20" s="558">
        <v>1</v>
      </c>
    </row>
    <row r="21" spans="1:45" x14ac:dyDescent="0.2">
      <c r="A21" s="558" t="s">
        <v>9886</v>
      </c>
      <c r="B21" s="558" t="s">
        <v>23220</v>
      </c>
      <c r="C21" s="558" t="s">
        <v>62</v>
      </c>
      <c r="D21" s="558" t="s">
        <v>23127</v>
      </c>
      <c r="E21" s="558" t="s">
        <v>217</v>
      </c>
      <c r="F21" s="563">
        <v>1</v>
      </c>
      <c r="G21" s="558" t="s">
        <v>194</v>
      </c>
      <c r="H21" s="558" t="s">
        <v>193</v>
      </c>
      <c r="I21" s="558" t="s">
        <v>23158</v>
      </c>
      <c r="J21" s="558" t="s">
        <v>6080</v>
      </c>
      <c r="K21" s="558" t="s">
        <v>9309</v>
      </c>
      <c r="L21" s="558" t="s">
        <v>6955</v>
      </c>
      <c r="M21" s="558"/>
      <c r="N21" s="558" t="s">
        <v>23221</v>
      </c>
      <c r="O21" s="558" t="s">
        <v>6363</v>
      </c>
      <c r="P21" s="558" t="s">
        <v>23196</v>
      </c>
      <c r="Q21" s="558" t="s">
        <v>23222</v>
      </c>
      <c r="R21" s="558" t="s">
        <v>23155</v>
      </c>
      <c r="S21" s="558" t="s">
        <v>23223</v>
      </c>
      <c r="T21" s="558" t="s">
        <v>23224</v>
      </c>
      <c r="U21" s="558"/>
      <c r="V21" s="603"/>
      <c r="W21" s="558" t="s">
        <v>601</v>
      </c>
      <c r="X21" s="558" t="s">
        <v>194</v>
      </c>
      <c r="Y21" s="558" t="s">
        <v>9946</v>
      </c>
      <c r="Z21" s="558"/>
      <c r="AA21" s="558"/>
      <c r="AB21" s="558" t="s">
        <v>9311</v>
      </c>
      <c r="AC21" s="558"/>
      <c r="AD21" s="558"/>
      <c r="AE21" s="558"/>
      <c r="AF21" s="558"/>
      <c r="AG21" s="558"/>
      <c r="AH21" s="558" t="s">
        <v>4714</v>
      </c>
      <c r="AI21" s="558" t="s">
        <v>9433</v>
      </c>
      <c r="AJ21" s="601" t="str">
        <f t="shared" si="0"/>
        <v>313904</v>
      </c>
      <c r="AK21" s="601">
        <v>1</v>
      </c>
      <c r="AL21" s="601">
        <f t="shared" si="1"/>
        <v>1</v>
      </c>
      <c r="AM21" s="601">
        <v>1</v>
      </c>
      <c r="AN21" s="603" t="s">
        <v>17650</v>
      </c>
      <c r="AO21" s="603" t="s">
        <v>17651</v>
      </c>
      <c r="AP21" s="603" t="s">
        <v>17652</v>
      </c>
      <c r="AQ21" s="603" t="s">
        <v>17653</v>
      </c>
      <c r="AR21" s="603" t="s">
        <v>1024</v>
      </c>
      <c r="AS21" s="558">
        <v>1</v>
      </c>
    </row>
    <row r="22" spans="1:45" x14ac:dyDescent="0.2">
      <c r="A22" s="558" t="s">
        <v>9886</v>
      </c>
      <c r="B22" s="558" t="s">
        <v>7908</v>
      </c>
      <c r="C22" s="558" t="s">
        <v>3837</v>
      </c>
      <c r="D22" s="558" t="s">
        <v>23127</v>
      </c>
      <c r="E22" s="558" t="s">
        <v>217</v>
      </c>
      <c r="F22" s="563">
        <v>1</v>
      </c>
      <c r="G22" s="558" t="s">
        <v>193</v>
      </c>
      <c r="H22" s="558" t="s">
        <v>194</v>
      </c>
      <c r="I22" s="558" t="s">
        <v>23186</v>
      </c>
      <c r="J22" s="558" t="s">
        <v>6080</v>
      </c>
      <c r="K22" s="558" t="s">
        <v>9309</v>
      </c>
      <c r="L22" s="558" t="s">
        <v>6955</v>
      </c>
      <c r="M22" s="558"/>
      <c r="N22" s="558" t="s">
        <v>23225</v>
      </c>
      <c r="O22" s="558" t="s">
        <v>6363</v>
      </c>
      <c r="P22" s="558" t="s">
        <v>23226</v>
      </c>
      <c r="Q22" s="558" t="s">
        <v>23227</v>
      </c>
      <c r="R22" s="558" t="s">
        <v>23228</v>
      </c>
      <c r="S22" s="558" t="s">
        <v>23229</v>
      </c>
      <c r="T22" s="558" t="s">
        <v>23230</v>
      </c>
      <c r="U22" s="558"/>
      <c r="V22" s="603"/>
      <c r="W22" s="558" t="s">
        <v>3839</v>
      </c>
      <c r="X22" s="558" t="s">
        <v>193</v>
      </c>
      <c r="Y22" s="558" t="s">
        <v>9310</v>
      </c>
      <c r="Z22" s="558"/>
      <c r="AA22" s="558"/>
      <c r="AB22" s="558" t="s">
        <v>9311</v>
      </c>
      <c r="AC22" s="558"/>
      <c r="AD22" s="558"/>
      <c r="AE22" s="558"/>
      <c r="AF22" s="558"/>
      <c r="AG22" s="558"/>
      <c r="AH22" s="558" t="s">
        <v>4714</v>
      </c>
      <c r="AI22" s="558" t="s">
        <v>7908</v>
      </c>
      <c r="AJ22" s="601" t="str">
        <f t="shared" si="0"/>
        <v>815301</v>
      </c>
      <c r="AK22" s="601">
        <v>1</v>
      </c>
      <c r="AL22" s="601">
        <f t="shared" si="1"/>
        <v>1</v>
      </c>
      <c r="AM22" s="601">
        <v>1</v>
      </c>
      <c r="AN22" s="603" t="s">
        <v>17650</v>
      </c>
      <c r="AO22" s="603" t="s">
        <v>17651</v>
      </c>
      <c r="AP22" s="603" t="s">
        <v>17652</v>
      </c>
      <c r="AQ22" s="603" t="s">
        <v>17653</v>
      </c>
      <c r="AR22" s="603" t="s">
        <v>1024</v>
      </c>
      <c r="AS22" s="558">
        <v>1</v>
      </c>
    </row>
    <row r="23" spans="1:45" x14ac:dyDescent="0.2">
      <c r="A23" s="558" t="s">
        <v>581</v>
      </c>
      <c r="B23" s="558" t="s">
        <v>23231</v>
      </c>
      <c r="C23" s="558" t="s">
        <v>554</v>
      </c>
      <c r="D23" s="558" t="s">
        <v>23127</v>
      </c>
      <c r="E23" s="558" t="s">
        <v>217</v>
      </c>
      <c r="F23" s="563">
        <v>1</v>
      </c>
      <c r="G23" s="558" t="s">
        <v>193</v>
      </c>
      <c r="H23" s="558" t="s">
        <v>194</v>
      </c>
      <c r="I23" s="558" t="s">
        <v>23128</v>
      </c>
      <c r="J23" s="558" t="s">
        <v>253</v>
      </c>
      <c r="K23" s="558" t="s">
        <v>9309</v>
      </c>
      <c r="L23" s="558" t="s">
        <v>6955</v>
      </c>
      <c r="M23" s="558"/>
      <c r="N23" s="558" t="s">
        <v>23232</v>
      </c>
      <c r="O23" s="558" t="s">
        <v>6363</v>
      </c>
      <c r="P23" s="558" t="s">
        <v>23196</v>
      </c>
      <c r="Q23" s="558" t="s">
        <v>23154</v>
      </c>
      <c r="R23" s="558" t="s">
        <v>23228</v>
      </c>
      <c r="S23" s="558" t="s">
        <v>23233</v>
      </c>
      <c r="T23" s="558" t="s">
        <v>23234</v>
      </c>
      <c r="U23" s="558"/>
      <c r="V23" s="558" t="s">
        <v>9468</v>
      </c>
      <c r="W23" s="558" t="s">
        <v>555</v>
      </c>
      <c r="X23" s="558" t="s">
        <v>194</v>
      </c>
      <c r="Y23" s="558" t="s">
        <v>9300</v>
      </c>
      <c r="Z23" s="558"/>
      <c r="AA23" s="558"/>
      <c r="AB23" s="558" t="s">
        <v>9311</v>
      </c>
      <c r="AC23" s="558"/>
      <c r="AD23" s="558"/>
      <c r="AE23" s="558"/>
      <c r="AF23" s="558"/>
      <c r="AG23" s="558"/>
      <c r="AH23" s="558" t="s">
        <v>4714</v>
      </c>
      <c r="AI23" s="558" t="s">
        <v>9433</v>
      </c>
      <c r="AJ23" s="601" t="str">
        <f t="shared" si="0"/>
        <v>311303</v>
      </c>
      <c r="AK23" s="601">
        <v>1</v>
      </c>
      <c r="AL23" s="601">
        <f t="shared" si="1"/>
        <v>1</v>
      </c>
      <c r="AM23" s="601">
        <v>1</v>
      </c>
      <c r="AN23" s="603" t="s">
        <v>17650</v>
      </c>
      <c r="AO23" s="603" t="s">
        <v>17651</v>
      </c>
      <c r="AP23" s="603" t="s">
        <v>17652</v>
      </c>
      <c r="AQ23" s="603" t="s">
        <v>17653</v>
      </c>
      <c r="AR23" s="603" t="s">
        <v>1024</v>
      </c>
      <c r="AS23" s="558">
        <v>1</v>
      </c>
    </row>
    <row r="24" spans="1:45" x14ac:dyDescent="0.2">
      <c r="A24" s="558" t="s">
        <v>9886</v>
      </c>
      <c r="B24" s="558" t="s">
        <v>23209</v>
      </c>
      <c r="C24" s="558" t="s">
        <v>8136</v>
      </c>
      <c r="D24" s="558" t="s">
        <v>23127</v>
      </c>
      <c r="E24" s="558" t="s">
        <v>217</v>
      </c>
      <c r="F24" s="563">
        <v>1</v>
      </c>
      <c r="G24" s="558" t="s">
        <v>194</v>
      </c>
      <c r="H24" s="558" t="s">
        <v>193</v>
      </c>
      <c r="I24" s="558" t="s">
        <v>23186</v>
      </c>
      <c r="J24" s="558" t="s">
        <v>23205</v>
      </c>
      <c r="K24" s="558" t="s">
        <v>9309</v>
      </c>
      <c r="L24" s="558" t="s">
        <v>6955</v>
      </c>
      <c r="M24" s="558"/>
      <c r="N24" s="558" t="s">
        <v>23235</v>
      </c>
      <c r="O24" s="558" t="s">
        <v>6363</v>
      </c>
      <c r="P24" s="558" t="s">
        <v>23196</v>
      </c>
      <c r="Q24" s="558" t="s">
        <v>23212</v>
      </c>
      <c r="R24" s="558" t="s">
        <v>23213</v>
      </c>
      <c r="S24" s="558" t="s">
        <v>23236</v>
      </c>
      <c r="T24" s="558" t="s">
        <v>23237</v>
      </c>
      <c r="U24" s="558"/>
      <c r="V24" s="603"/>
      <c r="W24" s="558" t="s">
        <v>8138</v>
      </c>
      <c r="X24" s="558" t="s">
        <v>194</v>
      </c>
      <c r="Y24" s="558" t="s">
        <v>9946</v>
      </c>
      <c r="Z24" s="558"/>
      <c r="AA24" s="558"/>
      <c r="AB24" s="558" t="s">
        <v>9311</v>
      </c>
      <c r="AC24" s="558"/>
      <c r="AD24" s="558"/>
      <c r="AE24" s="558"/>
      <c r="AF24" s="558"/>
      <c r="AG24" s="558"/>
      <c r="AH24" s="558" t="s">
        <v>4714</v>
      </c>
      <c r="AI24" s="558" t="s">
        <v>9433</v>
      </c>
      <c r="AJ24" s="601" t="str">
        <f t="shared" si="0"/>
        <v>821905</v>
      </c>
      <c r="AK24" s="601">
        <v>1</v>
      </c>
      <c r="AL24" s="601">
        <f t="shared" si="1"/>
        <v>1</v>
      </c>
      <c r="AM24" s="601">
        <v>1</v>
      </c>
      <c r="AN24" s="603" t="s">
        <v>17650</v>
      </c>
      <c r="AO24" s="603" t="s">
        <v>17651</v>
      </c>
      <c r="AP24" s="603" t="s">
        <v>17652</v>
      </c>
      <c r="AQ24" s="603" t="s">
        <v>17653</v>
      </c>
      <c r="AR24" s="603" t="s">
        <v>1024</v>
      </c>
      <c r="AS24" s="558">
        <v>1</v>
      </c>
    </row>
    <row r="25" spans="1:45" x14ac:dyDescent="0.2">
      <c r="A25" s="558" t="s">
        <v>258</v>
      </c>
      <c r="B25" s="558" t="s">
        <v>7677</v>
      </c>
      <c r="C25" s="558" t="s">
        <v>778</v>
      </c>
      <c r="D25" s="558" t="s">
        <v>23127</v>
      </c>
      <c r="E25" s="558" t="s">
        <v>217</v>
      </c>
      <c r="F25" s="563">
        <v>1</v>
      </c>
      <c r="G25" s="558" t="s">
        <v>193</v>
      </c>
      <c r="H25" s="558" t="s">
        <v>194</v>
      </c>
      <c r="I25" s="558" t="s">
        <v>23151</v>
      </c>
      <c r="J25" s="558" t="s">
        <v>4751</v>
      </c>
      <c r="K25" s="558" t="s">
        <v>9309</v>
      </c>
      <c r="L25" s="558" t="s">
        <v>6955</v>
      </c>
      <c r="M25" s="558"/>
      <c r="N25" s="558" t="s">
        <v>23238</v>
      </c>
      <c r="O25" s="558" t="s">
        <v>6251</v>
      </c>
      <c r="P25" s="558" t="s">
        <v>23226</v>
      </c>
      <c r="Q25" s="558" t="s">
        <v>23239</v>
      </c>
      <c r="R25" s="558" t="s">
        <v>23160</v>
      </c>
      <c r="S25" s="558" t="s">
        <v>23240</v>
      </c>
      <c r="T25" s="558" t="s">
        <v>23241</v>
      </c>
      <c r="U25" s="558"/>
      <c r="V25" s="558" t="s">
        <v>9472</v>
      </c>
      <c r="W25" s="558" t="s">
        <v>779</v>
      </c>
      <c r="X25" s="558" t="s">
        <v>194</v>
      </c>
      <c r="Y25" s="558" t="s">
        <v>9300</v>
      </c>
      <c r="Z25" s="558"/>
      <c r="AA25" s="558"/>
      <c r="AB25" s="558" t="s">
        <v>9311</v>
      </c>
      <c r="AC25" s="558"/>
      <c r="AD25" s="558"/>
      <c r="AE25" s="558"/>
      <c r="AF25" s="558"/>
      <c r="AG25" s="558"/>
      <c r="AH25" s="558" t="s">
        <v>4714</v>
      </c>
      <c r="AI25" s="558" t="s">
        <v>778</v>
      </c>
      <c r="AJ25" s="601" t="str">
        <f t="shared" si="0"/>
        <v>524902</v>
      </c>
      <c r="AK25" s="601">
        <v>1</v>
      </c>
      <c r="AL25" s="601">
        <f t="shared" si="1"/>
        <v>1</v>
      </c>
      <c r="AM25" s="601">
        <v>1</v>
      </c>
      <c r="AN25" s="603" t="s">
        <v>17650</v>
      </c>
      <c r="AO25" s="603" t="s">
        <v>17651</v>
      </c>
      <c r="AP25" s="603" t="s">
        <v>17652</v>
      </c>
      <c r="AQ25" s="603" t="s">
        <v>17653</v>
      </c>
      <c r="AR25" s="603" t="s">
        <v>1024</v>
      </c>
      <c r="AS25" s="558">
        <v>1</v>
      </c>
    </row>
    <row r="26" spans="1:45" x14ac:dyDescent="0.2">
      <c r="A26" s="558" t="s">
        <v>9886</v>
      </c>
      <c r="B26" s="558" t="s">
        <v>821</v>
      </c>
      <c r="C26" s="558" t="s">
        <v>822</v>
      </c>
      <c r="D26" s="558" t="s">
        <v>23127</v>
      </c>
      <c r="E26" s="558" t="s">
        <v>217</v>
      </c>
      <c r="F26" s="563">
        <v>1</v>
      </c>
      <c r="G26" s="558" t="s">
        <v>194</v>
      </c>
      <c r="H26" s="558" t="s">
        <v>193</v>
      </c>
      <c r="I26" s="558" t="s">
        <v>23139</v>
      </c>
      <c r="J26" s="558" t="s">
        <v>6080</v>
      </c>
      <c r="K26" s="558" t="s">
        <v>9309</v>
      </c>
      <c r="L26" s="558" t="s">
        <v>6955</v>
      </c>
      <c r="M26" s="558"/>
      <c r="N26" s="558" t="s">
        <v>23242</v>
      </c>
      <c r="O26" s="558" t="s">
        <v>6275</v>
      </c>
      <c r="P26" s="558" t="s">
        <v>23226</v>
      </c>
      <c r="Q26" s="558" t="s">
        <v>21047</v>
      </c>
      <c r="R26" s="558" t="s">
        <v>23132</v>
      </c>
      <c r="S26" s="558" t="s">
        <v>23243</v>
      </c>
      <c r="T26" s="558" t="s">
        <v>23244</v>
      </c>
      <c r="U26" s="558"/>
      <c r="V26" s="603"/>
      <c r="W26" s="558" t="s">
        <v>823</v>
      </c>
      <c r="X26" s="558" t="s">
        <v>194</v>
      </c>
      <c r="Y26" s="558" t="s">
        <v>9946</v>
      </c>
      <c r="Z26" s="558"/>
      <c r="AA26" s="558"/>
      <c r="AB26" s="558" t="s">
        <v>9311</v>
      </c>
      <c r="AC26" s="558"/>
      <c r="AD26" s="558"/>
      <c r="AE26" s="558"/>
      <c r="AF26" s="558"/>
      <c r="AG26" s="558"/>
      <c r="AH26" s="558" t="s">
        <v>4714</v>
      </c>
      <c r="AI26" s="558" t="s">
        <v>821</v>
      </c>
      <c r="AJ26" s="601" t="str">
        <f t="shared" si="0"/>
        <v>741103</v>
      </c>
      <c r="AK26" s="601">
        <v>1</v>
      </c>
      <c r="AL26" s="601">
        <f t="shared" si="1"/>
        <v>1</v>
      </c>
      <c r="AM26" s="601">
        <v>1</v>
      </c>
      <c r="AN26" s="603" t="s">
        <v>17650</v>
      </c>
      <c r="AO26" s="603" t="s">
        <v>17651</v>
      </c>
      <c r="AP26" s="603" t="s">
        <v>17652</v>
      </c>
      <c r="AQ26" s="603" t="s">
        <v>17653</v>
      </c>
      <c r="AR26" s="603" t="s">
        <v>1024</v>
      </c>
      <c r="AS26" s="558">
        <v>1</v>
      </c>
    </row>
    <row r="27" spans="1:45" x14ac:dyDescent="0.2">
      <c r="A27" s="558" t="s">
        <v>581</v>
      </c>
      <c r="B27" s="558" t="s">
        <v>23245</v>
      </c>
      <c r="C27" s="558" t="s">
        <v>354</v>
      </c>
      <c r="D27" s="558" t="s">
        <v>23127</v>
      </c>
      <c r="E27" s="558" t="s">
        <v>217</v>
      </c>
      <c r="F27" s="563">
        <v>1</v>
      </c>
      <c r="G27" s="558" t="s">
        <v>193</v>
      </c>
      <c r="H27" s="558" t="s">
        <v>194</v>
      </c>
      <c r="I27" s="558" t="s">
        <v>23186</v>
      </c>
      <c r="J27" s="558" t="s">
        <v>253</v>
      </c>
      <c r="K27" s="558" t="s">
        <v>9309</v>
      </c>
      <c r="L27" s="558" t="s">
        <v>6955</v>
      </c>
      <c r="M27" s="558"/>
      <c r="N27" s="558" t="s">
        <v>23246</v>
      </c>
      <c r="O27" s="558" t="s">
        <v>6258</v>
      </c>
      <c r="P27" s="558" t="s">
        <v>23196</v>
      </c>
      <c r="Q27" s="558" t="s">
        <v>23154</v>
      </c>
      <c r="R27" s="558" t="s">
        <v>23228</v>
      </c>
      <c r="S27" s="558" t="s">
        <v>23247</v>
      </c>
      <c r="T27" s="558" t="s">
        <v>23248</v>
      </c>
      <c r="U27" s="558"/>
      <c r="V27" s="558" t="s">
        <v>9468</v>
      </c>
      <c r="W27" s="558" t="s">
        <v>355</v>
      </c>
      <c r="X27" s="558" t="s">
        <v>194</v>
      </c>
      <c r="Y27" s="558" t="s">
        <v>9300</v>
      </c>
      <c r="Z27" s="558"/>
      <c r="AA27" s="558"/>
      <c r="AB27" s="558" t="s">
        <v>9311</v>
      </c>
      <c r="AC27" s="558"/>
      <c r="AD27" s="558"/>
      <c r="AE27" s="558"/>
      <c r="AF27" s="558"/>
      <c r="AG27" s="558"/>
      <c r="AH27" s="558" t="s">
        <v>4714</v>
      </c>
      <c r="AI27" s="558" t="s">
        <v>9433</v>
      </c>
      <c r="AJ27" s="601" t="str">
        <f t="shared" si="0"/>
        <v>215103</v>
      </c>
      <c r="AK27" s="601">
        <v>1</v>
      </c>
      <c r="AL27" s="601">
        <f t="shared" si="1"/>
        <v>1</v>
      </c>
      <c r="AM27" s="601">
        <v>1</v>
      </c>
      <c r="AN27" s="603" t="s">
        <v>17650</v>
      </c>
      <c r="AO27" s="603" t="s">
        <v>17651</v>
      </c>
      <c r="AP27" s="603" t="s">
        <v>17652</v>
      </c>
      <c r="AQ27" s="603" t="s">
        <v>17653</v>
      </c>
      <c r="AR27" s="603" t="s">
        <v>1024</v>
      </c>
      <c r="AS27" s="558">
        <v>1</v>
      </c>
    </row>
    <row r="28" spans="1:45" x14ac:dyDescent="0.2">
      <c r="A28" s="558" t="s">
        <v>9886</v>
      </c>
      <c r="B28" s="558" t="s">
        <v>23209</v>
      </c>
      <c r="C28" s="558" t="s">
        <v>8136</v>
      </c>
      <c r="D28" s="558" t="s">
        <v>23127</v>
      </c>
      <c r="E28" s="558" t="s">
        <v>217</v>
      </c>
      <c r="F28" s="563">
        <v>1</v>
      </c>
      <c r="G28" s="558" t="s">
        <v>194</v>
      </c>
      <c r="H28" s="558" t="s">
        <v>193</v>
      </c>
      <c r="I28" s="558" t="s">
        <v>23186</v>
      </c>
      <c r="J28" s="558" t="s">
        <v>23249</v>
      </c>
      <c r="K28" s="558" t="s">
        <v>9309</v>
      </c>
      <c r="L28" s="558" t="s">
        <v>6955</v>
      </c>
      <c r="M28" s="558"/>
      <c r="N28" s="558" t="s">
        <v>23250</v>
      </c>
      <c r="O28" s="558" t="s">
        <v>6363</v>
      </c>
      <c r="P28" s="558" t="s">
        <v>23196</v>
      </c>
      <c r="Q28" s="558" t="s">
        <v>23212</v>
      </c>
      <c r="R28" s="558" t="s">
        <v>23213</v>
      </c>
      <c r="S28" s="558" t="s">
        <v>23251</v>
      </c>
      <c r="T28" s="558" t="s">
        <v>23252</v>
      </c>
      <c r="U28" s="558"/>
      <c r="V28" s="603"/>
      <c r="W28" s="558" t="s">
        <v>8138</v>
      </c>
      <c r="X28" s="558" t="s">
        <v>194</v>
      </c>
      <c r="Y28" s="558" t="s">
        <v>9946</v>
      </c>
      <c r="Z28" s="558"/>
      <c r="AA28" s="558"/>
      <c r="AB28" s="558" t="s">
        <v>9311</v>
      </c>
      <c r="AC28" s="558"/>
      <c r="AD28" s="558"/>
      <c r="AE28" s="558"/>
      <c r="AF28" s="558"/>
      <c r="AG28" s="558"/>
      <c r="AH28" s="558" t="s">
        <v>4714</v>
      </c>
      <c r="AI28" s="558" t="s">
        <v>9433</v>
      </c>
      <c r="AJ28" s="601" t="str">
        <f t="shared" si="0"/>
        <v>821905</v>
      </c>
      <c r="AK28" s="601">
        <v>1</v>
      </c>
      <c r="AL28" s="601">
        <f t="shared" si="1"/>
        <v>1</v>
      </c>
      <c r="AM28" s="601">
        <v>1</v>
      </c>
      <c r="AN28" s="603" t="s">
        <v>17650</v>
      </c>
      <c r="AO28" s="603" t="s">
        <v>17651</v>
      </c>
      <c r="AP28" s="603" t="s">
        <v>17652</v>
      </c>
      <c r="AQ28" s="603" t="s">
        <v>17653</v>
      </c>
      <c r="AR28" s="603" t="s">
        <v>1024</v>
      </c>
      <c r="AS28" s="558">
        <v>1</v>
      </c>
    </row>
    <row r="29" spans="1:45" x14ac:dyDescent="0.2">
      <c r="A29" s="558" t="s">
        <v>9886</v>
      </c>
      <c r="B29" s="558" t="s">
        <v>23253</v>
      </c>
      <c r="C29" s="558" t="s">
        <v>62</v>
      </c>
      <c r="D29" s="558" t="s">
        <v>23127</v>
      </c>
      <c r="E29" s="558" t="s">
        <v>217</v>
      </c>
      <c r="F29" s="563">
        <v>1</v>
      </c>
      <c r="G29" s="558" t="s">
        <v>194</v>
      </c>
      <c r="H29" s="558" t="s">
        <v>193</v>
      </c>
      <c r="I29" s="558" t="s">
        <v>23186</v>
      </c>
      <c r="J29" s="558" t="s">
        <v>6080</v>
      </c>
      <c r="K29" s="558" t="s">
        <v>9309</v>
      </c>
      <c r="L29" s="558" t="s">
        <v>6955</v>
      </c>
      <c r="M29" s="558"/>
      <c r="N29" s="558" t="s">
        <v>23254</v>
      </c>
      <c r="O29" s="558" t="s">
        <v>6363</v>
      </c>
      <c r="P29" s="558" t="s">
        <v>23196</v>
      </c>
      <c r="Q29" s="558" t="s">
        <v>23255</v>
      </c>
      <c r="R29" s="558" t="s">
        <v>23256</v>
      </c>
      <c r="S29" s="558" t="s">
        <v>23257</v>
      </c>
      <c r="T29" s="558" t="s">
        <v>23258</v>
      </c>
      <c r="U29" s="558"/>
      <c r="V29" s="603"/>
      <c r="W29" s="558" t="s">
        <v>601</v>
      </c>
      <c r="X29" s="558" t="s">
        <v>194</v>
      </c>
      <c r="Y29" s="558" t="s">
        <v>9946</v>
      </c>
      <c r="Z29" s="558"/>
      <c r="AA29" s="558"/>
      <c r="AB29" s="558" t="s">
        <v>9311</v>
      </c>
      <c r="AC29" s="558"/>
      <c r="AD29" s="558"/>
      <c r="AE29" s="558"/>
      <c r="AF29" s="558"/>
      <c r="AG29" s="558"/>
      <c r="AH29" s="558" t="s">
        <v>4714</v>
      </c>
      <c r="AI29" s="558" t="s">
        <v>9433</v>
      </c>
      <c r="AJ29" s="601" t="str">
        <f t="shared" si="0"/>
        <v>313904</v>
      </c>
      <c r="AK29" s="601">
        <v>1</v>
      </c>
      <c r="AL29" s="601">
        <f t="shared" si="1"/>
        <v>1</v>
      </c>
      <c r="AM29" s="601">
        <v>1</v>
      </c>
      <c r="AN29" s="603" t="s">
        <v>17650</v>
      </c>
      <c r="AO29" s="603" t="s">
        <v>17651</v>
      </c>
      <c r="AP29" s="603" t="s">
        <v>17652</v>
      </c>
      <c r="AQ29" s="603" t="s">
        <v>17653</v>
      </c>
      <c r="AR29" s="603" t="s">
        <v>1024</v>
      </c>
      <c r="AS29" s="558">
        <v>1</v>
      </c>
    </row>
    <row r="30" spans="1:45" x14ac:dyDescent="0.2">
      <c r="A30" s="558" t="s">
        <v>9886</v>
      </c>
      <c r="B30" s="558" t="s">
        <v>23253</v>
      </c>
      <c r="C30" s="558" t="s">
        <v>62</v>
      </c>
      <c r="D30" s="558" t="s">
        <v>23127</v>
      </c>
      <c r="E30" s="558" t="s">
        <v>217</v>
      </c>
      <c r="F30" s="563">
        <v>1</v>
      </c>
      <c r="G30" s="558" t="s">
        <v>194</v>
      </c>
      <c r="H30" s="558" t="s">
        <v>193</v>
      </c>
      <c r="I30" s="558" t="s">
        <v>23186</v>
      </c>
      <c r="J30" s="558" t="s">
        <v>23259</v>
      </c>
      <c r="K30" s="558" t="s">
        <v>9309</v>
      </c>
      <c r="L30" s="558" t="s">
        <v>6955</v>
      </c>
      <c r="M30" s="558"/>
      <c r="N30" s="558" t="s">
        <v>23260</v>
      </c>
      <c r="O30" s="558" t="s">
        <v>6363</v>
      </c>
      <c r="P30" s="558" t="s">
        <v>23196</v>
      </c>
      <c r="Q30" s="558" t="s">
        <v>23255</v>
      </c>
      <c r="R30" s="558" t="s">
        <v>23256</v>
      </c>
      <c r="S30" s="558" t="s">
        <v>23261</v>
      </c>
      <c r="T30" s="558" t="s">
        <v>23262</v>
      </c>
      <c r="U30" s="558"/>
      <c r="V30" s="603"/>
      <c r="W30" s="558" t="s">
        <v>601</v>
      </c>
      <c r="X30" s="558" t="s">
        <v>194</v>
      </c>
      <c r="Y30" s="558" t="s">
        <v>9946</v>
      </c>
      <c r="Z30" s="558"/>
      <c r="AA30" s="558"/>
      <c r="AB30" s="558" t="s">
        <v>9311</v>
      </c>
      <c r="AC30" s="558"/>
      <c r="AD30" s="558"/>
      <c r="AE30" s="558"/>
      <c r="AF30" s="558"/>
      <c r="AG30" s="558"/>
      <c r="AH30" s="558" t="s">
        <v>4714</v>
      </c>
      <c r="AI30" s="558" t="s">
        <v>9433</v>
      </c>
      <c r="AJ30" s="601" t="str">
        <f t="shared" si="0"/>
        <v>313904</v>
      </c>
      <c r="AK30" s="601">
        <v>1</v>
      </c>
      <c r="AL30" s="601">
        <f t="shared" si="1"/>
        <v>1</v>
      </c>
      <c r="AM30" s="601">
        <v>1</v>
      </c>
      <c r="AN30" s="603" t="s">
        <v>17650</v>
      </c>
      <c r="AO30" s="603" t="s">
        <v>17651</v>
      </c>
      <c r="AP30" s="603" t="s">
        <v>17652</v>
      </c>
      <c r="AQ30" s="603" t="s">
        <v>17653</v>
      </c>
      <c r="AR30" s="603" t="s">
        <v>1024</v>
      </c>
      <c r="AS30" s="558">
        <v>1</v>
      </c>
    </row>
    <row r="31" spans="1:45" x14ac:dyDescent="0.2">
      <c r="A31" s="558" t="s">
        <v>9886</v>
      </c>
      <c r="B31" s="558" t="s">
        <v>23263</v>
      </c>
      <c r="C31" s="558" t="s">
        <v>62</v>
      </c>
      <c r="D31" s="558" t="s">
        <v>23127</v>
      </c>
      <c r="E31" s="558" t="s">
        <v>217</v>
      </c>
      <c r="F31" s="563">
        <v>1</v>
      </c>
      <c r="G31" s="558" t="s">
        <v>194</v>
      </c>
      <c r="H31" s="558" t="s">
        <v>193</v>
      </c>
      <c r="I31" s="558" t="s">
        <v>23164</v>
      </c>
      <c r="J31" s="558" t="s">
        <v>23210</v>
      </c>
      <c r="K31" s="558" t="s">
        <v>9309</v>
      </c>
      <c r="L31" s="558" t="s">
        <v>6955</v>
      </c>
      <c r="M31" s="558"/>
      <c r="N31" s="558" t="s">
        <v>23264</v>
      </c>
      <c r="O31" s="558" t="s">
        <v>6363</v>
      </c>
      <c r="P31" s="558" t="s">
        <v>23196</v>
      </c>
      <c r="Q31" s="558" t="s">
        <v>23265</v>
      </c>
      <c r="R31" s="558" t="s">
        <v>23266</v>
      </c>
      <c r="S31" s="558" t="s">
        <v>23267</v>
      </c>
      <c r="T31" s="558" t="s">
        <v>23268</v>
      </c>
      <c r="U31" s="558"/>
      <c r="V31" s="603"/>
      <c r="W31" s="558" t="s">
        <v>601</v>
      </c>
      <c r="X31" s="558" t="s">
        <v>193</v>
      </c>
      <c r="Y31" s="558" t="s">
        <v>9310</v>
      </c>
      <c r="Z31" s="558"/>
      <c r="AA31" s="558"/>
      <c r="AB31" s="558" t="s">
        <v>9311</v>
      </c>
      <c r="AC31" s="558"/>
      <c r="AD31" s="558"/>
      <c r="AE31" s="558"/>
      <c r="AF31" s="558"/>
      <c r="AG31" s="558"/>
      <c r="AH31" s="558" t="s">
        <v>4714</v>
      </c>
      <c r="AI31" s="558" t="s">
        <v>9433</v>
      </c>
      <c r="AJ31" s="601" t="str">
        <f t="shared" si="0"/>
        <v>313904</v>
      </c>
      <c r="AK31" s="601">
        <v>1</v>
      </c>
      <c r="AL31" s="601">
        <f t="shared" si="1"/>
        <v>1</v>
      </c>
      <c r="AM31" s="601">
        <v>1</v>
      </c>
      <c r="AN31" s="603" t="s">
        <v>17650</v>
      </c>
      <c r="AO31" s="603" t="s">
        <v>17651</v>
      </c>
      <c r="AP31" s="603" t="s">
        <v>17652</v>
      </c>
      <c r="AQ31" s="603" t="s">
        <v>17653</v>
      </c>
      <c r="AR31" s="603" t="s">
        <v>1024</v>
      </c>
      <c r="AS31" s="558">
        <v>1</v>
      </c>
    </row>
    <row r="32" spans="1:45" x14ac:dyDescent="0.2">
      <c r="A32" s="558" t="s">
        <v>9886</v>
      </c>
      <c r="B32" s="558" t="s">
        <v>23209</v>
      </c>
      <c r="C32" s="558" t="s">
        <v>8136</v>
      </c>
      <c r="D32" s="558" t="s">
        <v>23127</v>
      </c>
      <c r="E32" s="558" t="s">
        <v>217</v>
      </c>
      <c r="F32" s="563">
        <v>1</v>
      </c>
      <c r="G32" s="558" t="s">
        <v>194</v>
      </c>
      <c r="H32" s="558" t="s">
        <v>193</v>
      </c>
      <c r="I32" s="558" t="s">
        <v>23186</v>
      </c>
      <c r="J32" s="558" t="s">
        <v>23269</v>
      </c>
      <c r="K32" s="558" t="s">
        <v>9309</v>
      </c>
      <c r="L32" s="558" t="s">
        <v>6955</v>
      </c>
      <c r="M32" s="558"/>
      <c r="N32" s="558" t="s">
        <v>23270</v>
      </c>
      <c r="O32" s="558" t="s">
        <v>6363</v>
      </c>
      <c r="P32" s="558" t="s">
        <v>23196</v>
      </c>
      <c r="Q32" s="558" t="s">
        <v>23212</v>
      </c>
      <c r="R32" s="558" t="s">
        <v>23213</v>
      </c>
      <c r="S32" s="558" t="s">
        <v>23271</v>
      </c>
      <c r="T32" s="558" t="s">
        <v>23272</v>
      </c>
      <c r="U32" s="558"/>
      <c r="V32" s="603"/>
      <c r="W32" s="558" t="s">
        <v>8138</v>
      </c>
      <c r="X32" s="558" t="s">
        <v>194</v>
      </c>
      <c r="Y32" s="558" t="s">
        <v>9946</v>
      </c>
      <c r="Z32" s="558"/>
      <c r="AA32" s="558"/>
      <c r="AB32" s="558" t="s">
        <v>9311</v>
      </c>
      <c r="AC32" s="558"/>
      <c r="AD32" s="558"/>
      <c r="AE32" s="558"/>
      <c r="AF32" s="558"/>
      <c r="AG32" s="558"/>
      <c r="AH32" s="558" t="s">
        <v>4714</v>
      </c>
      <c r="AI32" s="558" t="s">
        <v>9433</v>
      </c>
      <c r="AJ32" s="601" t="str">
        <f t="shared" si="0"/>
        <v>821905</v>
      </c>
      <c r="AK32" s="601">
        <v>1</v>
      </c>
      <c r="AL32" s="601">
        <f t="shared" si="1"/>
        <v>1</v>
      </c>
      <c r="AM32" s="601">
        <v>1</v>
      </c>
      <c r="AN32" s="603" t="s">
        <v>17650</v>
      </c>
      <c r="AO32" s="603" t="s">
        <v>17651</v>
      </c>
      <c r="AP32" s="603" t="s">
        <v>17652</v>
      </c>
      <c r="AQ32" s="603" t="s">
        <v>17653</v>
      </c>
      <c r="AR32" s="603" t="s">
        <v>1024</v>
      </c>
      <c r="AS32" s="558">
        <v>1</v>
      </c>
    </row>
    <row r="33" spans="1:45" x14ac:dyDescent="0.2">
      <c r="A33" s="558" t="s">
        <v>9886</v>
      </c>
      <c r="B33" s="558" t="s">
        <v>23209</v>
      </c>
      <c r="C33" s="558" t="s">
        <v>8136</v>
      </c>
      <c r="D33" s="558" t="s">
        <v>23127</v>
      </c>
      <c r="E33" s="558" t="s">
        <v>217</v>
      </c>
      <c r="F33" s="563">
        <v>1</v>
      </c>
      <c r="G33" s="558" t="s">
        <v>194</v>
      </c>
      <c r="H33" s="558" t="s">
        <v>193</v>
      </c>
      <c r="I33" s="558" t="s">
        <v>23186</v>
      </c>
      <c r="J33" s="558" t="s">
        <v>23273</v>
      </c>
      <c r="K33" s="558" t="s">
        <v>9309</v>
      </c>
      <c r="L33" s="558" t="s">
        <v>6955</v>
      </c>
      <c r="M33" s="558"/>
      <c r="N33" s="558" t="s">
        <v>23274</v>
      </c>
      <c r="O33" s="558" t="s">
        <v>6363</v>
      </c>
      <c r="P33" s="558" t="s">
        <v>23196</v>
      </c>
      <c r="Q33" s="558" t="s">
        <v>23212</v>
      </c>
      <c r="R33" s="558" t="s">
        <v>23213</v>
      </c>
      <c r="S33" s="558" t="s">
        <v>23275</v>
      </c>
      <c r="T33" s="558" t="s">
        <v>23276</v>
      </c>
      <c r="U33" s="558"/>
      <c r="V33" s="603"/>
      <c r="W33" s="558" t="s">
        <v>8138</v>
      </c>
      <c r="X33" s="558" t="s">
        <v>194</v>
      </c>
      <c r="Y33" s="558" t="s">
        <v>9946</v>
      </c>
      <c r="Z33" s="558"/>
      <c r="AA33" s="558"/>
      <c r="AB33" s="558" t="s">
        <v>9311</v>
      </c>
      <c r="AC33" s="558"/>
      <c r="AD33" s="558"/>
      <c r="AE33" s="558"/>
      <c r="AF33" s="558"/>
      <c r="AG33" s="558"/>
      <c r="AH33" s="558" t="s">
        <v>4714</v>
      </c>
      <c r="AI33" s="558" t="s">
        <v>9433</v>
      </c>
      <c r="AJ33" s="601" t="str">
        <f t="shared" si="0"/>
        <v>821905</v>
      </c>
      <c r="AK33" s="601">
        <v>1</v>
      </c>
      <c r="AL33" s="601">
        <f t="shared" si="1"/>
        <v>1</v>
      </c>
      <c r="AM33" s="601">
        <v>1</v>
      </c>
      <c r="AN33" s="603" t="s">
        <v>17650</v>
      </c>
      <c r="AO33" s="603" t="s">
        <v>17651</v>
      </c>
      <c r="AP33" s="603" t="s">
        <v>17652</v>
      </c>
      <c r="AQ33" s="603" t="s">
        <v>17653</v>
      </c>
      <c r="AR33" s="603" t="s">
        <v>1024</v>
      </c>
      <c r="AS33" s="558">
        <v>1</v>
      </c>
    </row>
    <row r="34" spans="1:45" x14ac:dyDescent="0.2">
      <c r="A34" s="558" t="s">
        <v>258</v>
      </c>
      <c r="B34" s="558" t="s">
        <v>7677</v>
      </c>
      <c r="C34" s="558" t="s">
        <v>778</v>
      </c>
      <c r="D34" s="558" t="s">
        <v>23127</v>
      </c>
      <c r="E34" s="558" t="s">
        <v>217</v>
      </c>
      <c r="F34" s="563">
        <v>1</v>
      </c>
      <c r="G34" s="558" t="s">
        <v>193</v>
      </c>
      <c r="H34" s="558" t="s">
        <v>194</v>
      </c>
      <c r="I34" s="558" t="s">
        <v>23151</v>
      </c>
      <c r="J34" s="558" t="s">
        <v>327</v>
      </c>
      <c r="K34" s="558" t="s">
        <v>9309</v>
      </c>
      <c r="L34" s="558" t="s">
        <v>6955</v>
      </c>
      <c r="M34" s="558"/>
      <c r="N34" s="558" t="s">
        <v>23277</v>
      </c>
      <c r="O34" s="558" t="s">
        <v>6251</v>
      </c>
      <c r="P34" s="558" t="s">
        <v>23226</v>
      </c>
      <c r="Q34" s="558" t="s">
        <v>23278</v>
      </c>
      <c r="R34" s="558" t="s">
        <v>23139</v>
      </c>
      <c r="S34" s="558" t="s">
        <v>23279</v>
      </c>
      <c r="T34" s="558" t="s">
        <v>23280</v>
      </c>
      <c r="U34" s="558"/>
      <c r="V34" s="558" t="s">
        <v>9506</v>
      </c>
      <c r="W34" s="558" t="s">
        <v>779</v>
      </c>
      <c r="X34" s="558" t="s">
        <v>194</v>
      </c>
      <c r="Y34" s="558" t="s">
        <v>9300</v>
      </c>
      <c r="Z34" s="558"/>
      <c r="AA34" s="558"/>
      <c r="AB34" s="558" t="s">
        <v>9311</v>
      </c>
      <c r="AC34" s="558"/>
      <c r="AD34" s="558"/>
      <c r="AE34" s="558"/>
      <c r="AF34" s="558"/>
      <c r="AG34" s="558"/>
      <c r="AH34" s="558" t="s">
        <v>4714</v>
      </c>
      <c r="AI34" s="558" t="s">
        <v>778</v>
      </c>
      <c r="AJ34" s="601" t="str">
        <f t="shared" si="0"/>
        <v>524902</v>
      </c>
      <c r="AK34" s="601">
        <v>1</v>
      </c>
      <c r="AL34" s="601">
        <f t="shared" si="1"/>
        <v>1</v>
      </c>
      <c r="AM34" s="601">
        <v>1</v>
      </c>
      <c r="AN34" s="603" t="s">
        <v>17650</v>
      </c>
      <c r="AO34" s="603" t="s">
        <v>17651</v>
      </c>
      <c r="AP34" s="603" t="s">
        <v>17652</v>
      </c>
      <c r="AQ34" s="603" t="s">
        <v>17653</v>
      </c>
      <c r="AR34" s="603" t="s">
        <v>1024</v>
      </c>
      <c r="AS34" s="558">
        <v>1</v>
      </c>
    </row>
    <row r="35" spans="1:45" x14ac:dyDescent="0.2">
      <c r="A35" s="558" t="s">
        <v>9886</v>
      </c>
      <c r="B35" s="558" t="s">
        <v>23253</v>
      </c>
      <c r="C35" s="558" t="s">
        <v>62</v>
      </c>
      <c r="D35" s="558" t="s">
        <v>23127</v>
      </c>
      <c r="E35" s="558" t="s">
        <v>217</v>
      </c>
      <c r="F35" s="563">
        <v>1</v>
      </c>
      <c r="G35" s="558" t="s">
        <v>194</v>
      </c>
      <c r="H35" s="558" t="s">
        <v>193</v>
      </c>
      <c r="I35" s="558" t="s">
        <v>23186</v>
      </c>
      <c r="J35" s="558" t="s">
        <v>6080</v>
      </c>
      <c r="K35" s="558" t="s">
        <v>9309</v>
      </c>
      <c r="L35" s="558" t="s">
        <v>6955</v>
      </c>
      <c r="M35" s="558"/>
      <c r="N35" s="558" t="s">
        <v>23281</v>
      </c>
      <c r="O35" s="558" t="s">
        <v>6363</v>
      </c>
      <c r="P35" s="558" t="s">
        <v>23196</v>
      </c>
      <c r="Q35" s="558" t="s">
        <v>23265</v>
      </c>
      <c r="R35" s="558" t="s">
        <v>23266</v>
      </c>
      <c r="S35" s="558" t="s">
        <v>23282</v>
      </c>
      <c r="T35" s="558" t="s">
        <v>23283</v>
      </c>
      <c r="U35" s="558"/>
      <c r="V35" s="603"/>
      <c r="W35" s="558" t="s">
        <v>601</v>
      </c>
      <c r="X35" s="558" t="s">
        <v>194</v>
      </c>
      <c r="Y35" s="558" t="s">
        <v>9946</v>
      </c>
      <c r="Z35" s="558"/>
      <c r="AA35" s="558"/>
      <c r="AB35" s="558" t="s">
        <v>9311</v>
      </c>
      <c r="AC35" s="558"/>
      <c r="AD35" s="558"/>
      <c r="AE35" s="558"/>
      <c r="AF35" s="558"/>
      <c r="AG35" s="558"/>
      <c r="AH35" s="558" t="s">
        <v>4714</v>
      </c>
      <c r="AI35" s="558" t="s">
        <v>9433</v>
      </c>
      <c r="AJ35" s="601" t="str">
        <f t="shared" si="0"/>
        <v>313904</v>
      </c>
      <c r="AK35" s="601">
        <v>1</v>
      </c>
      <c r="AL35" s="601">
        <f t="shared" si="1"/>
        <v>1</v>
      </c>
      <c r="AM35" s="601">
        <v>1</v>
      </c>
      <c r="AN35" s="603" t="s">
        <v>17650</v>
      </c>
      <c r="AO35" s="603" t="s">
        <v>17651</v>
      </c>
      <c r="AP35" s="603" t="s">
        <v>17652</v>
      </c>
      <c r="AQ35" s="603" t="s">
        <v>17653</v>
      </c>
      <c r="AR35" s="603" t="s">
        <v>1024</v>
      </c>
      <c r="AS35" s="558">
        <v>1</v>
      </c>
    </row>
    <row r="36" spans="1:45" x14ac:dyDescent="0.2">
      <c r="A36" s="558" t="s">
        <v>9886</v>
      </c>
      <c r="B36" s="558" t="s">
        <v>23284</v>
      </c>
      <c r="C36" s="558" t="s">
        <v>706</v>
      </c>
      <c r="D36" s="558" t="s">
        <v>23127</v>
      </c>
      <c r="E36" s="558" t="s">
        <v>217</v>
      </c>
      <c r="F36" s="563">
        <v>1</v>
      </c>
      <c r="G36" s="558" t="s">
        <v>194</v>
      </c>
      <c r="H36" s="558" t="s">
        <v>193</v>
      </c>
      <c r="I36" s="558" t="s">
        <v>23186</v>
      </c>
      <c r="J36" s="558" t="s">
        <v>6080</v>
      </c>
      <c r="K36" s="558" t="s">
        <v>9309</v>
      </c>
      <c r="L36" s="558" t="s">
        <v>6955</v>
      </c>
      <c r="M36" s="558"/>
      <c r="N36" s="558" t="s">
        <v>23285</v>
      </c>
      <c r="O36" s="558" t="s">
        <v>6327</v>
      </c>
      <c r="P36" s="558" t="s">
        <v>23196</v>
      </c>
      <c r="Q36" s="558" t="s">
        <v>21229</v>
      </c>
      <c r="R36" s="558" t="s">
        <v>23286</v>
      </c>
      <c r="S36" s="558" t="s">
        <v>23287</v>
      </c>
      <c r="T36" s="558" t="s">
        <v>23288</v>
      </c>
      <c r="U36" s="558"/>
      <c r="V36" s="603"/>
      <c r="W36" s="558" t="s">
        <v>707</v>
      </c>
      <c r="X36" s="558" t="s">
        <v>194</v>
      </c>
      <c r="Y36" s="558" t="s">
        <v>9946</v>
      </c>
      <c r="Z36" s="558"/>
      <c r="AA36" s="558"/>
      <c r="AB36" s="558" t="s">
        <v>9311</v>
      </c>
      <c r="AC36" s="558"/>
      <c r="AD36" s="558"/>
      <c r="AE36" s="558"/>
      <c r="AF36" s="558"/>
      <c r="AG36" s="558"/>
      <c r="AH36" s="558" t="s">
        <v>4714</v>
      </c>
      <c r="AI36" s="558" t="s">
        <v>9433</v>
      </c>
      <c r="AJ36" s="601" t="str">
        <f t="shared" si="0"/>
        <v>422201</v>
      </c>
      <c r="AK36" s="601">
        <v>1</v>
      </c>
      <c r="AL36" s="601">
        <f t="shared" si="1"/>
        <v>1</v>
      </c>
      <c r="AM36" s="601">
        <v>1</v>
      </c>
      <c r="AN36" s="603" t="s">
        <v>17650</v>
      </c>
      <c r="AO36" s="603" t="s">
        <v>17651</v>
      </c>
      <c r="AP36" s="603" t="s">
        <v>17652</v>
      </c>
      <c r="AQ36" s="603" t="s">
        <v>17653</v>
      </c>
      <c r="AR36" s="603" t="s">
        <v>1024</v>
      </c>
      <c r="AS36" s="558">
        <v>1</v>
      </c>
    </row>
    <row r="37" spans="1:45" x14ac:dyDescent="0.2">
      <c r="A37" s="558" t="s">
        <v>581</v>
      </c>
      <c r="B37" s="558" t="s">
        <v>23289</v>
      </c>
      <c r="C37" s="558" t="s">
        <v>29</v>
      </c>
      <c r="D37" s="558" t="s">
        <v>23127</v>
      </c>
      <c r="E37" s="558" t="s">
        <v>217</v>
      </c>
      <c r="F37" s="563">
        <v>1</v>
      </c>
      <c r="G37" s="558" t="s">
        <v>193</v>
      </c>
      <c r="H37" s="558" t="s">
        <v>194</v>
      </c>
      <c r="I37" s="558" t="s">
        <v>23158</v>
      </c>
      <c r="J37" s="558" t="s">
        <v>2252</v>
      </c>
      <c r="K37" s="558" t="s">
        <v>9309</v>
      </c>
      <c r="L37" s="558" t="s">
        <v>6955</v>
      </c>
      <c r="M37" s="558"/>
      <c r="N37" s="558" t="s">
        <v>23290</v>
      </c>
      <c r="O37" s="558" t="s">
        <v>6363</v>
      </c>
      <c r="P37" s="558" t="s">
        <v>23196</v>
      </c>
      <c r="Q37" s="558" t="s">
        <v>23278</v>
      </c>
      <c r="R37" s="558" t="s">
        <v>23291</v>
      </c>
      <c r="S37" s="558" t="s">
        <v>23292</v>
      </c>
      <c r="T37" s="558" t="s">
        <v>23293</v>
      </c>
      <c r="U37" s="558"/>
      <c r="V37" s="558" t="s">
        <v>9726</v>
      </c>
      <c r="W37" s="558" t="s">
        <v>808</v>
      </c>
      <c r="X37" s="558" t="s">
        <v>194</v>
      </c>
      <c r="Y37" s="558" t="s">
        <v>9300</v>
      </c>
      <c r="Z37" s="558"/>
      <c r="AA37" s="558"/>
      <c r="AB37" s="558" t="s">
        <v>9311</v>
      </c>
      <c r="AC37" s="558"/>
      <c r="AD37" s="558"/>
      <c r="AE37" s="558"/>
      <c r="AF37" s="558"/>
      <c r="AG37" s="558"/>
      <c r="AH37" s="558" t="s">
        <v>4714</v>
      </c>
      <c r="AI37" s="558" t="s">
        <v>9433</v>
      </c>
      <c r="AJ37" s="601" t="str">
        <f t="shared" si="0"/>
        <v>722308</v>
      </c>
      <c r="AK37" s="601">
        <v>1</v>
      </c>
      <c r="AL37" s="601">
        <f t="shared" si="1"/>
        <v>1</v>
      </c>
      <c r="AM37" s="601">
        <v>1</v>
      </c>
      <c r="AN37" s="603" t="s">
        <v>17650</v>
      </c>
      <c r="AO37" s="603" t="s">
        <v>17651</v>
      </c>
      <c r="AP37" s="603" t="s">
        <v>17652</v>
      </c>
      <c r="AQ37" s="603" t="s">
        <v>17653</v>
      </c>
      <c r="AR37" s="603" t="s">
        <v>1024</v>
      </c>
      <c r="AS37" s="558">
        <v>1</v>
      </c>
    </row>
    <row r="38" spans="1:45" x14ac:dyDescent="0.2">
      <c r="A38" s="558" t="s">
        <v>9886</v>
      </c>
      <c r="B38" s="558" t="s">
        <v>23220</v>
      </c>
      <c r="C38" s="558" t="s">
        <v>62</v>
      </c>
      <c r="D38" s="558" t="s">
        <v>23127</v>
      </c>
      <c r="E38" s="558" t="s">
        <v>217</v>
      </c>
      <c r="F38" s="563">
        <v>1</v>
      </c>
      <c r="G38" s="558" t="s">
        <v>194</v>
      </c>
      <c r="H38" s="558" t="s">
        <v>193</v>
      </c>
      <c r="I38" s="558" t="s">
        <v>23158</v>
      </c>
      <c r="J38" s="558" t="s">
        <v>23269</v>
      </c>
      <c r="K38" s="558" t="s">
        <v>9309</v>
      </c>
      <c r="L38" s="558" t="s">
        <v>6955</v>
      </c>
      <c r="M38" s="558"/>
      <c r="N38" s="558" t="s">
        <v>23294</v>
      </c>
      <c r="O38" s="558" t="s">
        <v>6363</v>
      </c>
      <c r="P38" s="558" t="s">
        <v>23196</v>
      </c>
      <c r="Q38" s="558" t="s">
        <v>23222</v>
      </c>
      <c r="R38" s="558" t="s">
        <v>23155</v>
      </c>
      <c r="S38" s="558" t="s">
        <v>23295</v>
      </c>
      <c r="T38" s="558" t="s">
        <v>23296</v>
      </c>
      <c r="U38" s="558"/>
      <c r="V38" s="603"/>
      <c r="W38" s="558" t="s">
        <v>601</v>
      </c>
      <c r="X38" s="558" t="s">
        <v>194</v>
      </c>
      <c r="Y38" s="558" t="s">
        <v>9946</v>
      </c>
      <c r="Z38" s="558"/>
      <c r="AA38" s="558"/>
      <c r="AB38" s="558" t="s">
        <v>9311</v>
      </c>
      <c r="AC38" s="558"/>
      <c r="AD38" s="558"/>
      <c r="AE38" s="558"/>
      <c r="AF38" s="558"/>
      <c r="AG38" s="558"/>
      <c r="AH38" s="558" t="s">
        <v>4714</v>
      </c>
      <c r="AI38" s="558" t="s">
        <v>9433</v>
      </c>
      <c r="AJ38" s="601" t="str">
        <f t="shared" si="0"/>
        <v>313904</v>
      </c>
      <c r="AK38" s="601">
        <v>1</v>
      </c>
      <c r="AL38" s="601">
        <f t="shared" si="1"/>
        <v>1</v>
      </c>
      <c r="AM38" s="601">
        <v>1</v>
      </c>
      <c r="AN38" s="603" t="s">
        <v>17650</v>
      </c>
      <c r="AO38" s="603" t="s">
        <v>17651</v>
      </c>
      <c r="AP38" s="603" t="s">
        <v>17652</v>
      </c>
      <c r="AQ38" s="603" t="s">
        <v>17653</v>
      </c>
      <c r="AR38" s="603" t="s">
        <v>1024</v>
      </c>
      <c r="AS38" s="558">
        <v>1</v>
      </c>
    </row>
    <row r="39" spans="1:45" x14ac:dyDescent="0.2">
      <c r="A39" s="558" t="s">
        <v>9886</v>
      </c>
      <c r="B39" s="558" t="s">
        <v>23209</v>
      </c>
      <c r="C39" s="558" t="s">
        <v>8136</v>
      </c>
      <c r="D39" s="558" t="s">
        <v>23127</v>
      </c>
      <c r="E39" s="558" t="s">
        <v>217</v>
      </c>
      <c r="F39" s="563">
        <v>1</v>
      </c>
      <c r="G39" s="558" t="s">
        <v>194</v>
      </c>
      <c r="H39" s="558" t="s">
        <v>193</v>
      </c>
      <c r="I39" s="558" t="s">
        <v>23186</v>
      </c>
      <c r="J39" s="558" t="s">
        <v>23297</v>
      </c>
      <c r="K39" s="558" t="s">
        <v>9309</v>
      </c>
      <c r="L39" s="558" t="s">
        <v>6955</v>
      </c>
      <c r="M39" s="558"/>
      <c r="N39" s="558" t="s">
        <v>23298</v>
      </c>
      <c r="O39" s="558" t="s">
        <v>6363</v>
      </c>
      <c r="P39" s="558" t="s">
        <v>23196</v>
      </c>
      <c r="Q39" s="558" t="s">
        <v>23212</v>
      </c>
      <c r="R39" s="558" t="s">
        <v>23213</v>
      </c>
      <c r="S39" s="558" t="s">
        <v>23299</v>
      </c>
      <c r="T39" s="558" t="s">
        <v>23300</v>
      </c>
      <c r="U39" s="558"/>
      <c r="V39" s="603"/>
      <c r="W39" s="558" t="s">
        <v>8138</v>
      </c>
      <c r="X39" s="558" t="s">
        <v>194</v>
      </c>
      <c r="Y39" s="558" t="s">
        <v>9946</v>
      </c>
      <c r="Z39" s="558"/>
      <c r="AA39" s="558"/>
      <c r="AB39" s="558" t="s">
        <v>9311</v>
      </c>
      <c r="AC39" s="558"/>
      <c r="AD39" s="558"/>
      <c r="AE39" s="558"/>
      <c r="AF39" s="558"/>
      <c r="AG39" s="558"/>
      <c r="AH39" s="558" t="s">
        <v>4714</v>
      </c>
      <c r="AI39" s="558" t="s">
        <v>9433</v>
      </c>
      <c r="AJ39" s="601" t="str">
        <f t="shared" si="0"/>
        <v>821905</v>
      </c>
      <c r="AK39" s="601">
        <v>1</v>
      </c>
      <c r="AL39" s="601">
        <f t="shared" si="1"/>
        <v>1</v>
      </c>
      <c r="AM39" s="601">
        <v>1</v>
      </c>
      <c r="AN39" s="603" t="s">
        <v>17650</v>
      </c>
      <c r="AO39" s="603" t="s">
        <v>17651</v>
      </c>
      <c r="AP39" s="603" t="s">
        <v>17652</v>
      </c>
      <c r="AQ39" s="603" t="s">
        <v>17653</v>
      </c>
      <c r="AR39" s="603" t="s">
        <v>1024</v>
      </c>
      <c r="AS39" s="558">
        <v>1</v>
      </c>
    </row>
    <row r="40" spans="1:45" x14ac:dyDescent="0.2">
      <c r="A40" s="558" t="s">
        <v>581</v>
      </c>
      <c r="B40" s="558" t="s">
        <v>3873</v>
      </c>
      <c r="C40" s="558" t="s">
        <v>62</v>
      </c>
      <c r="D40" s="558" t="s">
        <v>23127</v>
      </c>
      <c r="E40" s="558" t="s">
        <v>217</v>
      </c>
      <c r="F40" s="563">
        <v>1</v>
      </c>
      <c r="G40" s="558" t="s">
        <v>193</v>
      </c>
      <c r="H40" s="558" t="s">
        <v>194</v>
      </c>
      <c r="I40" s="558" t="s">
        <v>23158</v>
      </c>
      <c r="J40" s="558" t="s">
        <v>210</v>
      </c>
      <c r="K40" s="558" t="s">
        <v>9309</v>
      </c>
      <c r="L40" s="558" t="s">
        <v>6955</v>
      </c>
      <c r="M40" s="558"/>
      <c r="N40" s="558" t="s">
        <v>23301</v>
      </c>
      <c r="O40" s="558" t="s">
        <v>6275</v>
      </c>
      <c r="P40" s="558" t="s">
        <v>23196</v>
      </c>
      <c r="Q40" s="558" t="s">
        <v>23278</v>
      </c>
      <c r="R40" s="558" t="s">
        <v>23291</v>
      </c>
      <c r="S40" s="558" t="s">
        <v>23302</v>
      </c>
      <c r="T40" s="558" t="s">
        <v>23303</v>
      </c>
      <c r="U40" s="558"/>
      <c r="V40" s="558" t="s">
        <v>9334</v>
      </c>
      <c r="W40" s="558" t="s">
        <v>601</v>
      </c>
      <c r="X40" s="558" t="s">
        <v>194</v>
      </c>
      <c r="Y40" s="558" t="s">
        <v>9300</v>
      </c>
      <c r="Z40" s="558"/>
      <c r="AA40" s="558"/>
      <c r="AB40" s="558" t="s">
        <v>9311</v>
      </c>
      <c r="AC40" s="558"/>
      <c r="AD40" s="558"/>
      <c r="AE40" s="558"/>
      <c r="AF40" s="558"/>
      <c r="AG40" s="558"/>
      <c r="AH40" s="558" t="s">
        <v>4714</v>
      </c>
      <c r="AI40" s="558" t="s">
        <v>9433</v>
      </c>
      <c r="AJ40" s="601" t="str">
        <f t="shared" si="0"/>
        <v>313904</v>
      </c>
      <c r="AK40" s="601">
        <v>1</v>
      </c>
      <c r="AL40" s="601">
        <f t="shared" si="1"/>
        <v>1</v>
      </c>
      <c r="AM40" s="601">
        <v>1</v>
      </c>
      <c r="AN40" s="603" t="s">
        <v>17650</v>
      </c>
      <c r="AO40" s="603" t="s">
        <v>17651</v>
      </c>
      <c r="AP40" s="603" t="s">
        <v>17652</v>
      </c>
      <c r="AQ40" s="603" t="s">
        <v>17653</v>
      </c>
      <c r="AR40" s="603" t="s">
        <v>1024</v>
      </c>
      <c r="AS40" s="558">
        <v>1</v>
      </c>
    </row>
    <row r="41" spans="1:45" x14ac:dyDescent="0.2">
      <c r="A41" s="558" t="s">
        <v>9886</v>
      </c>
      <c r="B41" s="558" t="s">
        <v>821</v>
      </c>
      <c r="C41" s="558" t="s">
        <v>822</v>
      </c>
      <c r="D41" s="558" t="s">
        <v>23127</v>
      </c>
      <c r="E41" s="558" t="s">
        <v>217</v>
      </c>
      <c r="F41" s="563">
        <v>1</v>
      </c>
      <c r="G41" s="558" t="s">
        <v>194</v>
      </c>
      <c r="H41" s="558" t="s">
        <v>193</v>
      </c>
      <c r="I41" s="558" t="s">
        <v>23139</v>
      </c>
      <c r="J41" s="558" t="s">
        <v>23259</v>
      </c>
      <c r="K41" s="558" t="s">
        <v>9309</v>
      </c>
      <c r="L41" s="558" t="s">
        <v>6955</v>
      </c>
      <c r="M41" s="558"/>
      <c r="N41" s="558" t="s">
        <v>23304</v>
      </c>
      <c r="O41" s="558" t="s">
        <v>6275</v>
      </c>
      <c r="P41" s="558" t="s">
        <v>23226</v>
      </c>
      <c r="Q41" s="558" t="s">
        <v>21047</v>
      </c>
      <c r="R41" s="558" t="s">
        <v>23132</v>
      </c>
      <c r="S41" s="558" t="s">
        <v>23305</v>
      </c>
      <c r="T41" s="558" t="s">
        <v>23306</v>
      </c>
      <c r="U41" s="558"/>
      <c r="V41" s="603"/>
      <c r="W41" s="558" t="s">
        <v>823</v>
      </c>
      <c r="X41" s="558" t="s">
        <v>194</v>
      </c>
      <c r="Y41" s="558" t="s">
        <v>9946</v>
      </c>
      <c r="Z41" s="558"/>
      <c r="AA41" s="558"/>
      <c r="AB41" s="558" t="s">
        <v>9311</v>
      </c>
      <c r="AC41" s="558"/>
      <c r="AD41" s="558"/>
      <c r="AE41" s="558"/>
      <c r="AF41" s="558"/>
      <c r="AG41" s="558"/>
      <c r="AH41" s="558" t="s">
        <v>4714</v>
      </c>
      <c r="AI41" s="558" t="s">
        <v>821</v>
      </c>
      <c r="AJ41" s="601" t="str">
        <f t="shared" si="0"/>
        <v>741103</v>
      </c>
      <c r="AK41" s="601">
        <v>1</v>
      </c>
      <c r="AL41" s="601">
        <f t="shared" si="1"/>
        <v>1</v>
      </c>
      <c r="AM41" s="601">
        <v>1</v>
      </c>
      <c r="AN41" s="603" t="s">
        <v>17650</v>
      </c>
      <c r="AO41" s="603" t="s">
        <v>17651</v>
      </c>
      <c r="AP41" s="603" t="s">
        <v>17652</v>
      </c>
      <c r="AQ41" s="603" t="s">
        <v>17653</v>
      </c>
      <c r="AR41" s="603" t="s">
        <v>1024</v>
      </c>
      <c r="AS41" s="558">
        <v>1</v>
      </c>
    </row>
    <row r="42" spans="1:45" x14ac:dyDescent="0.2">
      <c r="A42" s="558" t="s">
        <v>11415</v>
      </c>
      <c r="B42" s="558" t="s">
        <v>8016</v>
      </c>
      <c r="C42" s="558" t="s">
        <v>99</v>
      </c>
      <c r="D42" s="558" t="s">
        <v>23127</v>
      </c>
      <c r="E42" s="558" t="s">
        <v>217</v>
      </c>
      <c r="F42" s="563">
        <v>1</v>
      </c>
      <c r="G42" s="558" t="s">
        <v>193</v>
      </c>
      <c r="H42" s="558" t="s">
        <v>194</v>
      </c>
      <c r="I42" s="558" t="s">
        <v>23307</v>
      </c>
      <c r="J42" s="558" t="s">
        <v>210</v>
      </c>
      <c r="K42" s="558" t="s">
        <v>9309</v>
      </c>
      <c r="L42" s="558" t="s">
        <v>6955</v>
      </c>
      <c r="M42" s="558"/>
      <c r="N42" s="558" t="s">
        <v>22312</v>
      </c>
      <c r="O42" s="558" t="s">
        <v>6286</v>
      </c>
      <c r="P42" s="558" t="s">
        <v>23196</v>
      </c>
      <c r="Q42" s="558" t="s">
        <v>23197</v>
      </c>
      <c r="R42" s="558" t="s">
        <v>23198</v>
      </c>
      <c r="S42" s="558" t="s">
        <v>23308</v>
      </c>
      <c r="T42" s="558" t="s">
        <v>23309</v>
      </c>
      <c r="U42" s="558"/>
      <c r="V42" s="558" t="s">
        <v>9334</v>
      </c>
      <c r="W42" s="558" t="s">
        <v>2421</v>
      </c>
      <c r="X42" s="558" t="s">
        <v>194</v>
      </c>
      <c r="Y42" s="558" t="s">
        <v>9300</v>
      </c>
      <c r="Z42" s="558"/>
      <c r="AA42" s="558"/>
      <c r="AB42" s="558" t="s">
        <v>9311</v>
      </c>
      <c r="AC42" s="558"/>
      <c r="AD42" s="558"/>
      <c r="AE42" s="558"/>
      <c r="AF42" s="558"/>
      <c r="AG42" s="558"/>
      <c r="AH42" s="558" t="s">
        <v>4714</v>
      </c>
      <c r="AI42" s="558" t="s">
        <v>9433</v>
      </c>
      <c r="AJ42" s="601" t="str">
        <f t="shared" si="0"/>
        <v>412001</v>
      </c>
      <c r="AK42" s="601">
        <v>1</v>
      </c>
      <c r="AL42" s="601">
        <f t="shared" si="1"/>
        <v>1</v>
      </c>
      <c r="AM42" s="601">
        <v>1</v>
      </c>
      <c r="AN42" s="603" t="s">
        <v>17650</v>
      </c>
      <c r="AO42" s="603" t="s">
        <v>17651</v>
      </c>
      <c r="AP42" s="603" t="s">
        <v>17652</v>
      </c>
      <c r="AQ42" s="603" t="s">
        <v>17653</v>
      </c>
      <c r="AR42" s="603" t="s">
        <v>1024</v>
      </c>
      <c r="AS42" s="558">
        <v>1</v>
      </c>
    </row>
    <row r="43" spans="1:45" x14ac:dyDescent="0.2">
      <c r="A43" s="558" t="s">
        <v>9886</v>
      </c>
      <c r="B43" s="558" t="s">
        <v>23253</v>
      </c>
      <c r="C43" s="558" t="s">
        <v>62</v>
      </c>
      <c r="D43" s="558" t="s">
        <v>23127</v>
      </c>
      <c r="E43" s="558" t="s">
        <v>217</v>
      </c>
      <c r="F43" s="563">
        <v>1</v>
      </c>
      <c r="G43" s="558" t="s">
        <v>194</v>
      </c>
      <c r="H43" s="558" t="s">
        <v>193</v>
      </c>
      <c r="I43" s="558" t="s">
        <v>23186</v>
      </c>
      <c r="J43" s="558" t="s">
        <v>23216</v>
      </c>
      <c r="K43" s="558" t="s">
        <v>9309</v>
      </c>
      <c r="L43" s="558" t="s">
        <v>6955</v>
      </c>
      <c r="M43" s="558"/>
      <c r="N43" s="558" t="s">
        <v>23310</v>
      </c>
      <c r="O43" s="558" t="s">
        <v>6363</v>
      </c>
      <c r="P43" s="558" t="s">
        <v>23196</v>
      </c>
      <c r="Q43" s="558" t="s">
        <v>23255</v>
      </c>
      <c r="R43" s="558" t="s">
        <v>23256</v>
      </c>
      <c r="S43" s="558" t="s">
        <v>23311</v>
      </c>
      <c r="T43" s="558" t="s">
        <v>23312</v>
      </c>
      <c r="U43" s="558"/>
      <c r="V43" s="603"/>
      <c r="W43" s="558" t="s">
        <v>601</v>
      </c>
      <c r="X43" s="558" t="s">
        <v>194</v>
      </c>
      <c r="Y43" s="558" t="s">
        <v>9946</v>
      </c>
      <c r="Z43" s="558"/>
      <c r="AA43" s="558"/>
      <c r="AB43" s="558" t="s">
        <v>9311</v>
      </c>
      <c r="AC43" s="558"/>
      <c r="AD43" s="558"/>
      <c r="AE43" s="558"/>
      <c r="AF43" s="558"/>
      <c r="AG43" s="558"/>
      <c r="AH43" s="558" t="s">
        <v>4714</v>
      </c>
      <c r="AI43" s="558" t="s">
        <v>9433</v>
      </c>
      <c r="AJ43" s="601" t="str">
        <f t="shared" si="0"/>
        <v>313904</v>
      </c>
      <c r="AK43" s="601">
        <v>1</v>
      </c>
      <c r="AL43" s="601">
        <f t="shared" si="1"/>
        <v>1</v>
      </c>
      <c r="AM43" s="601">
        <v>1</v>
      </c>
      <c r="AN43" s="603" t="s">
        <v>17650</v>
      </c>
      <c r="AO43" s="603" t="s">
        <v>17651</v>
      </c>
      <c r="AP43" s="603" t="s">
        <v>17652</v>
      </c>
      <c r="AQ43" s="603" t="s">
        <v>17653</v>
      </c>
      <c r="AR43" s="603" t="s">
        <v>1024</v>
      </c>
      <c r="AS43" s="558">
        <v>1</v>
      </c>
    </row>
    <row r="44" spans="1:45" x14ac:dyDescent="0.2">
      <c r="A44" s="558" t="s">
        <v>9886</v>
      </c>
      <c r="B44" s="558" t="s">
        <v>23220</v>
      </c>
      <c r="C44" s="558" t="s">
        <v>62</v>
      </c>
      <c r="D44" s="558" t="s">
        <v>23127</v>
      </c>
      <c r="E44" s="558" t="s">
        <v>217</v>
      </c>
      <c r="F44" s="563">
        <v>1</v>
      </c>
      <c r="G44" s="558" t="s">
        <v>194</v>
      </c>
      <c r="H44" s="558" t="s">
        <v>193</v>
      </c>
      <c r="I44" s="558" t="s">
        <v>23158</v>
      </c>
      <c r="J44" s="558" t="s">
        <v>23259</v>
      </c>
      <c r="K44" s="558" t="s">
        <v>9309</v>
      </c>
      <c r="L44" s="558" t="s">
        <v>6955</v>
      </c>
      <c r="M44" s="558"/>
      <c r="N44" s="558" t="s">
        <v>23313</v>
      </c>
      <c r="O44" s="558" t="s">
        <v>6363</v>
      </c>
      <c r="P44" s="558" t="s">
        <v>23196</v>
      </c>
      <c r="Q44" s="558" t="s">
        <v>23222</v>
      </c>
      <c r="R44" s="558" t="s">
        <v>23155</v>
      </c>
      <c r="S44" s="558" t="s">
        <v>23314</v>
      </c>
      <c r="T44" s="558" t="s">
        <v>23315</v>
      </c>
      <c r="U44" s="558"/>
      <c r="V44" s="603"/>
      <c r="W44" s="558" t="s">
        <v>601</v>
      </c>
      <c r="X44" s="558" t="s">
        <v>194</v>
      </c>
      <c r="Y44" s="558" t="s">
        <v>9946</v>
      </c>
      <c r="Z44" s="558"/>
      <c r="AA44" s="558"/>
      <c r="AB44" s="558" t="s">
        <v>9311</v>
      </c>
      <c r="AC44" s="558"/>
      <c r="AD44" s="558"/>
      <c r="AE44" s="558"/>
      <c r="AF44" s="558"/>
      <c r="AG44" s="558"/>
      <c r="AH44" s="558" t="s">
        <v>4714</v>
      </c>
      <c r="AI44" s="558" t="s">
        <v>9433</v>
      </c>
      <c r="AJ44" s="601" t="str">
        <f t="shared" si="0"/>
        <v>313904</v>
      </c>
      <c r="AK44" s="601">
        <v>1</v>
      </c>
      <c r="AL44" s="601">
        <f t="shared" si="1"/>
        <v>1</v>
      </c>
      <c r="AM44" s="601">
        <v>1</v>
      </c>
      <c r="AN44" s="603" t="s">
        <v>17650</v>
      </c>
      <c r="AO44" s="603" t="s">
        <v>17651</v>
      </c>
      <c r="AP44" s="603" t="s">
        <v>17652</v>
      </c>
      <c r="AQ44" s="603" t="s">
        <v>17653</v>
      </c>
      <c r="AR44" s="603" t="s">
        <v>1024</v>
      </c>
      <c r="AS44" s="558">
        <v>1</v>
      </c>
    </row>
    <row r="45" spans="1:45" x14ac:dyDescent="0.2">
      <c r="A45" s="558" t="s">
        <v>258</v>
      </c>
      <c r="B45" s="558" t="s">
        <v>23316</v>
      </c>
      <c r="C45" s="558" t="s">
        <v>778</v>
      </c>
      <c r="D45" s="558" t="s">
        <v>23127</v>
      </c>
      <c r="E45" s="558" t="s">
        <v>217</v>
      </c>
      <c r="F45" s="563">
        <v>1</v>
      </c>
      <c r="G45" s="558" t="s">
        <v>193</v>
      </c>
      <c r="H45" s="558" t="s">
        <v>194</v>
      </c>
      <c r="I45" s="558" t="s">
        <v>23128</v>
      </c>
      <c r="J45" s="558" t="s">
        <v>962</v>
      </c>
      <c r="K45" s="558" t="s">
        <v>9309</v>
      </c>
      <c r="L45" s="558" t="s">
        <v>6955</v>
      </c>
      <c r="M45" s="558"/>
      <c r="N45" s="558" t="s">
        <v>23317</v>
      </c>
      <c r="O45" s="558" t="s">
        <v>6269</v>
      </c>
      <c r="P45" s="558" t="s">
        <v>23196</v>
      </c>
      <c r="Q45" s="558" t="s">
        <v>23318</v>
      </c>
      <c r="R45" s="558" t="s">
        <v>23266</v>
      </c>
      <c r="S45" s="558" t="s">
        <v>23319</v>
      </c>
      <c r="T45" s="558" t="s">
        <v>23320</v>
      </c>
      <c r="U45" s="558"/>
      <c r="V45" s="558" t="s">
        <v>11394</v>
      </c>
      <c r="W45" s="558" t="s">
        <v>779</v>
      </c>
      <c r="X45" s="558" t="s">
        <v>194</v>
      </c>
      <c r="Y45" s="558" t="s">
        <v>9300</v>
      </c>
      <c r="Z45" s="558"/>
      <c r="AA45" s="558"/>
      <c r="AB45" s="558" t="s">
        <v>9311</v>
      </c>
      <c r="AC45" s="558"/>
      <c r="AD45" s="558"/>
      <c r="AE45" s="558"/>
      <c r="AF45" s="558"/>
      <c r="AG45" s="558"/>
      <c r="AH45" s="558" t="s">
        <v>4714</v>
      </c>
      <c r="AI45" s="558" t="s">
        <v>9433</v>
      </c>
      <c r="AJ45" s="601" t="str">
        <f t="shared" si="0"/>
        <v>524902</v>
      </c>
      <c r="AK45" s="601">
        <v>1</v>
      </c>
      <c r="AL45" s="601">
        <f t="shared" si="1"/>
        <v>1</v>
      </c>
      <c r="AM45" s="601">
        <v>1</v>
      </c>
      <c r="AN45" s="603" t="s">
        <v>17650</v>
      </c>
      <c r="AO45" s="603" t="s">
        <v>17651</v>
      </c>
      <c r="AP45" s="603" t="s">
        <v>17652</v>
      </c>
      <c r="AQ45" s="603" t="s">
        <v>17653</v>
      </c>
      <c r="AR45" s="603" t="s">
        <v>1024</v>
      </c>
      <c r="AS45" s="558">
        <v>1</v>
      </c>
    </row>
    <row r="46" spans="1:45" x14ac:dyDescent="0.2">
      <c r="A46" s="558" t="s">
        <v>9886</v>
      </c>
      <c r="B46" s="558" t="s">
        <v>23284</v>
      </c>
      <c r="C46" s="558" t="s">
        <v>706</v>
      </c>
      <c r="D46" s="558" t="s">
        <v>23127</v>
      </c>
      <c r="E46" s="558" t="s">
        <v>217</v>
      </c>
      <c r="F46" s="563">
        <v>1</v>
      </c>
      <c r="G46" s="558" t="s">
        <v>194</v>
      </c>
      <c r="H46" s="558" t="s">
        <v>193</v>
      </c>
      <c r="I46" s="558" t="s">
        <v>23186</v>
      </c>
      <c r="J46" s="558" t="s">
        <v>6080</v>
      </c>
      <c r="K46" s="558" t="s">
        <v>9309</v>
      </c>
      <c r="L46" s="558" t="s">
        <v>6955</v>
      </c>
      <c r="M46" s="558"/>
      <c r="N46" s="558" t="s">
        <v>23321</v>
      </c>
      <c r="O46" s="558" t="s">
        <v>6251</v>
      </c>
      <c r="P46" s="558" t="s">
        <v>23130</v>
      </c>
      <c r="Q46" s="558" t="s">
        <v>23131</v>
      </c>
      <c r="R46" s="558" t="s">
        <v>23132</v>
      </c>
      <c r="S46" s="558" t="s">
        <v>23322</v>
      </c>
      <c r="T46" s="558" t="s">
        <v>23323</v>
      </c>
      <c r="U46" s="558"/>
      <c r="V46" s="603"/>
      <c r="W46" s="558" t="s">
        <v>707</v>
      </c>
      <c r="X46" s="558" t="s">
        <v>194</v>
      </c>
      <c r="Y46" s="558" t="s">
        <v>9946</v>
      </c>
      <c r="Z46" s="558"/>
      <c r="AA46" s="558"/>
      <c r="AB46" s="558" t="s">
        <v>9311</v>
      </c>
      <c r="AC46" s="558"/>
      <c r="AD46" s="558"/>
      <c r="AE46" s="558"/>
      <c r="AF46" s="558"/>
      <c r="AG46" s="558"/>
      <c r="AH46" s="558" t="s">
        <v>4714</v>
      </c>
      <c r="AI46" s="558" t="s">
        <v>9433</v>
      </c>
      <c r="AJ46" s="601" t="str">
        <f t="shared" si="0"/>
        <v>422201</v>
      </c>
      <c r="AK46" s="601">
        <v>1</v>
      </c>
      <c r="AL46" s="601">
        <f t="shared" si="1"/>
        <v>1</v>
      </c>
      <c r="AM46" s="601">
        <v>1</v>
      </c>
      <c r="AN46" s="603" t="s">
        <v>17650</v>
      </c>
      <c r="AO46" s="603" t="s">
        <v>17651</v>
      </c>
      <c r="AP46" s="603" t="s">
        <v>17652</v>
      </c>
      <c r="AQ46" s="603" t="s">
        <v>17653</v>
      </c>
      <c r="AR46" s="603" t="s">
        <v>1024</v>
      </c>
      <c r="AS46" s="558">
        <v>1</v>
      </c>
    </row>
    <row r="47" spans="1:45" x14ac:dyDescent="0.2">
      <c r="A47" s="558" t="s">
        <v>9886</v>
      </c>
      <c r="B47" s="558" t="s">
        <v>23324</v>
      </c>
      <c r="C47" s="558" t="s">
        <v>706</v>
      </c>
      <c r="D47" s="558" t="s">
        <v>23127</v>
      </c>
      <c r="E47" s="558" t="s">
        <v>217</v>
      </c>
      <c r="F47" s="563">
        <v>1</v>
      </c>
      <c r="G47" s="558" t="s">
        <v>193</v>
      </c>
      <c r="H47" s="558" t="s">
        <v>194</v>
      </c>
      <c r="I47" s="558" t="s">
        <v>23186</v>
      </c>
      <c r="J47" s="558" t="s">
        <v>6080</v>
      </c>
      <c r="K47" s="558" t="s">
        <v>9309</v>
      </c>
      <c r="L47" s="558" t="s">
        <v>6955</v>
      </c>
      <c r="M47" s="558"/>
      <c r="N47" s="558" t="s">
        <v>23325</v>
      </c>
      <c r="O47" s="558" t="s">
        <v>6251</v>
      </c>
      <c r="P47" s="558" t="s">
        <v>23196</v>
      </c>
      <c r="Q47" s="558" t="s">
        <v>23326</v>
      </c>
      <c r="R47" s="558" t="s">
        <v>23291</v>
      </c>
      <c r="S47" s="558" t="s">
        <v>23327</v>
      </c>
      <c r="T47" s="558" t="s">
        <v>23328</v>
      </c>
      <c r="U47" s="558"/>
      <c r="V47" s="603"/>
      <c r="W47" s="558" t="s">
        <v>707</v>
      </c>
      <c r="X47" s="558" t="s">
        <v>193</v>
      </c>
      <c r="Y47" s="558" t="s">
        <v>9310</v>
      </c>
      <c r="Z47" s="558"/>
      <c r="AA47" s="558"/>
      <c r="AB47" s="558" t="s">
        <v>9311</v>
      </c>
      <c r="AC47" s="558"/>
      <c r="AD47" s="558"/>
      <c r="AE47" s="558"/>
      <c r="AF47" s="558"/>
      <c r="AG47" s="558"/>
      <c r="AH47" s="558" t="s">
        <v>4714</v>
      </c>
      <c r="AI47" s="558" t="s">
        <v>9433</v>
      </c>
      <c r="AJ47" s="601" t="str">
        <f t="shared" si="0"/>
        <v>422201</v>
      </c>
      <c r="AK47" s="601">
        <v>1</v>
      </c>
      <c r="AL47" s="601">
        <f t="shared" si="1"/>
        <v>1</v>
      </c>
      <c r="AM47" s="601">
        <v>1</v>
      </c>
      <c r="AN47" s="603" t="s">
        <v>17650</v>
      </c>
      <c r="AO47" s="603" t="s">
        <v>17651</v>
      </c>
      <c r="AP47" s="603" t="s">
        <v>17652</v>
      </c>
      <c r="AQ47" s="603" t="s">
        <v>17653</v>
      </c>
      <c r="AR47" s="603" t="s">
        <v>1024</v>
      </c>
      <c r="AS47" s="558">
        <v>1</v>
      </c>
    </row>
    <row r="48" spans="1:45" x14ac:dyDescent="0.2">
      <c r="A48" s="558" t="s">
        <v>23203</v>
      </c>
      <c r="B48" s="558" t="s">
        <v>23329</v>
      </c>
      <c r="C48" s="558" t="s">
        <v>84</v>
      </c>
      <c r="D48" s="558" t="s">
        <v>23127</v>
      </c>
      <c r="E48" s="558" t="s">
        <v>217</v>
      </c>
      <c r="F48" s="563">
        <v>1</v>
      </c>
      <c r="G48" s="558" t="s">
        <v>194</v>
      </c>
      <c r="H48" s="558" t="s">
        <v>193</v>
      </c>
      <c r="I48" s="558" t="s">
        <v>23158</v>
      </c>
      <c r="J48" s="558" t="s">
        <v>6080</v>
      </c>
      <c r="K48" s="558" t="s">
        <v>9309</v>
      </c>
      <c r="L48" s="558" t="s">
        <v>6955</v>
      </c>
      <c r="M48" s="558"/>
      <c r="N48" s="558" t="s">
        <v>23330</v>
      </c>
      <c r="O48" s="558" t="s">
        <v>6269</v>
      </c>
      <c r="P48" s="558" t="s">
        <v>23130</v>
      </c>
      <c r="Q48" s="558" t="s">
        <v>21047</v>
      </c>
      <c r="R48" s="558" t="s">
        <v>23132</v>
      </c>
      <c r="S48" s="558" t="s">
        <v>23331</v>
      </c>
      <c r="T48" s="558" t="s">
        <v>23332</v>
      </c>
      <c r="U48" s="558"/>
      <c r="V48" s="603"/>
      <c r="W48" s="558" t="s">
        <v>2665</v>
      </c>
      <c r="X48" s="558" t="s">
        <v>194</v>
      </c>
      <c r="Y48" s="558" t="s">
        <v>9946</v>
      </c>
      <c r="Z48" s="558"/>
      <c r="AA48" s="558"/>
      <c r="AB48" s="558" t="s">
        <v>9311</v>
      </c>
      <c r="AC48" s="558"/>
      <c r="AD48" s="558"/>
      <c r="AE48" s="558"/>
      <c r="AF48" s="558"/>
      <c r="AG48" s="558"/>
      <c r="AH48" s="558" t="s">
        <v>4714</v>
      </c>
      <c r="AI48" s="558" t="s">
        <v>9433</v>
      </c>
      <c r="AJ48" s="601" t="str">
        <f t="shared" si="0"/>
        <v>541315</v>
      </c>
      <c r="AK48" s="601">
        <v>1</v>
      </c>
      <c r="AL48" s="601">
        <f t="shared" si="1"/>
        <v>1</v>
      </c>
      <c r="AM48" s="601">
        <v>1</v>
      </c>
      <c r="AN48" s="603" t="s">
        <v>17650</v>
      </c>
      <c r="AO48" s="603" t="s">
        <v>17651</v>
      </c>
      <c r="AP48" s="603" t="s">
        <v>17652</v>
      </c>
      <c r="AQ48" s="603" t="s">
        <v>17653</v>
      </c>
      <c r="AR48" s="603" t="s">
        <v>1024</v>
      </c>
      <c r="AS48" s="558">
        <v>1</v>
      </c>
    </row>
    <row r="49" spans="1:45" x14ac:dyDescent="0.2">
      <c r="A49" s="558" t="s">
        <v>9886</v>
      </c>
      <c r="B49" s="558" t="s">
        <v>23253</v>
      </c>
      <c r="C49" s="558" t="s">
        <v>62</v>
      </c>
      <c r="D49" s="558" t="s">
        <v>23127</v>
      </c>
      <c r="E49" s="558" t="s">
        <v>217</v>
      </c>
      <c r="F49" s="563">
        <v>1</v>
      </c>
      <c r="G49" s="558" t="s">
        <v>194</v>
      </c>
      <c r="H49" s="558" t="s">
        <v>193</v>
      </c>
      <c r="I49" s="558" t="s">
        <v>23186</v>
      </c>
      <c r="J49" s="558" t="s">
        <v>23249</v>
      </c>
      <c r="K49" s="558" t="s">
        <v>9309</v>
      </c>
      <c r="L49" s="558" t="s">
        <v>6955</v>
      </c>
      <c r="M49" s="558"/>
      <c r="N49" s="558" t="s">
        <v>23333</v>
      </c>
      <c r="O49" s="558" t="s">
        <v>6363</v>
      </c>
      <c r="P49" s="558" t="s">
        <v>23196</v>
      </c>
      <c r="Q49" s="558" t="s">
        <v>23255</v>
      </c>
      <c r="R49" s="558" t="s">
        <v>23256</v>
      </c>
      <c r="S49" s="558" t="s">
        <v>23334</v>
      </c>
      <c r="T49" s="558" t="s">
        <v>23335</v>
      </c>
      <c r="U49" s="558"/>
      <c r="V49" s="603"/>
      <c r="W49" s="558" t="s">
        <v>601</v>
      </c>
      <c r="X49" s="558" t="s">
        <v>194</v>
      </c>
      <c r="Y49" s="558" t="s">
        <v>9946</v>
      </c>
      <c r="Z49" s="558"/>
      <c r="AA49" s="558"/>
      <c r="AB49" s="558" t="s">
        <v>9311</v>
      </c>
      <c r="AC49" s="558"/>
      <c r="AD49" s="558"/>
      <c r="AE49" s="558"/>
      <c r="AF49" s="558"/>
      <c r="AG49" s="558"/>
      <c r="AH49" s="558" t="s">
        <v>4714</v>
      </c>
      <c r="AI49" s="558" t="s">
        <v>9433</v>
      </c>
      <c r="AJ49" s="601" t="str">
        <f t="shared" si="0"/>
        <v>313904</v>
      </c>
      <c r="AK49" s="601">
        <v>1</v>
      </c>
      <c r="AL49" s="601">
        <f t="shared" si="1"/>
        <v>1</v>
      </c>
      <c r="AM49" s="601">
        <v>1</v>
      </c>
      <c r="AN49" s="603" t="s">
        <v>17650</v>
      </c>
      <c r="AO49" s="603" t="s">
        <v>17651</v>
      </c>
      <c r="AP49" s="603" t="s">
        <v>17652</v>
      </c>
      <c r="AQ49" s="603" t="s">
        <v>17653</v>
      </c>
      <c r="AR49" s="603" t="s">
        <v>1024</v>
      </c>
      <c r="AS49" s="558">
        <v>1</v>
      </c>
    </row>
    <row r="50" spans="1:45" x14ac:dyDescent="0.2">
      <c r="A50" s="558" t="s">
        <v>9886</v>
      </c>
      <c r="B50" s="558" t="s">
        <v>23209</v>
      </c>
      <c r="C50" s="558" t="s">
        <v>8136</v>
      </c>
      <c r="D50" s="558" t="s">
        <v>23127</v>
      </c>
      <c r="E50" s="558" t="s">
        <v>217</v>
      </c>
      <c r="F50" s="563">
        <v>1</v>
      </c>
      <c r="G50" s="558" t="s">
        <v>194</v>
      </c>
      <c r="H50" s="558" t="s">
        <v>193</v>
      </c>
      <c r="I50" s="558" t="s">
        <v>23186</v>
      </c>
      <c r="J50" s="558" t="s">
        <v>23336</v>
      </c>
      <c r="K50" s="558" t="s">
        <v>9309</v>
      </c>
      <c r="L50" s="558" t="s">
        <v>6955</v>
      </c>
      <c r="M50" s="558"/>
      <c r="N50" s="558" t="s">
        <v>23337</v>
      </c>
      <c r="O50" s="558" t="s">
        <v>6363</v>
      </c>
      <c r="P50" s="558" t="s">
        <v>23196</v>
      </c>
      <c r="Q50" s="558" t="s">
        <v>23212</v>
      </c>
      <c r="R50" s="558" t="s">
        <v>23213</v>
      </c>
      <c r="S50" s="558" t="s">
        <v>23338</v>
      </c>
      <c r="T50" s="558" t="s">
        <v>23339</v>
      </c>
      <c r="U50" s="558"/>
      <c r="V50" s="603"/>
      <c r="W50" s="558" t="s">
        <v>8138</v>
      </c>
      <c r="X50" s="558" t="s">
        <v>194</v>
      </c>
      <c r="Y50" s="558" t="s">
        <v>9946</v>
      </c>
      <c r="Z50" s="558"/>
      <c r="AA50" s="558"/>
      <c r="AB50" s="558" t="s">
        <v>9311</v>
      </c>
      <c r="AC50" s="558"/>
      <c r="AD50" s="558"/>
      <c r="AE50" s="558"/>
      <c r="AF50" s="558"/>
      <c r="AG50" s="558"/>
      <c r="AH50" s="558" t="s">
        <v>4714</v>
      </c>
      <c r="AI50" s="558" t="s">
        <v>9433</v>
      </c>
      <c r="AJ50" s="601" t="str">
        <f t="shared" si="0"/>
        <v>821905</v>
      </c>
      <c r="AK50" s="601">
        <v>1</v>
      </c>
      <c r="AL50" s="601">
        <f t="shared" si="1"/>
        <v>1</v>
      </c>
      <c r="AM50" s="601">
        <v>1</v>
      </c>
      <c r="AN50" s="603" t="s">
        <v>17650</v>
      </c>
      <c r="AO50" s="603" t="s">
        <v>17651</v>
      </c>
      <c r="AP50" s="603" t="s">
        <v>17652</v>
      </c>
      <c r="AQ50" s="603" t="s">
        <v>17653</v>
      </c>
      <c r="AR50" s="603" t="s">
        <v>1024</v>
      </c>
      <c r="AS50" s="558">
        <v>1</v>
      </c>
    </row>
    <row r="51" spans="1:45" x14ac:dyDescent="0.2">
      <c r="A51" s="558" t="s">
        <v>581</v>
      </c>
      <c r="B51" s="558" t="s">
        <v>23340</v>
      </c>
      <c r="C51" s="558" t="s">
        <v>574</v>
      </c>
      <c r="D51" s="558" t="s">
        <v>23127</v>
      </c>
      <c r="E51" s="558" t="s">
        <v>217</v>
      </c>
      <c r="F51" s="563">
        <v>1</v>
      </c>
      <c r="G51" s="558" t="s">
        <v>193</v>
      </c>
      <c r="H51" s="558" t="s">
        <v>194</v>
      </c>
      <c r="I51" s="558" t="s">
        <v>23158</v>
      </c>
      <c r="J51" s="558" t="s">
        <v>2252</v>
      </c>
      <c r="K51" s="558" t="s">
        <v>9309</v>
      </c>
      <c r="L51" s="558" t="s">
        <v>6955</v>
      </c>
      <c r="M51" s="558"/>
      <c r="N51" s="558" t="s">
        <v>23341</v>
      </c>
      <c r="O51" s="558" t="s">
        <v>6275</v>
      </c>
      <c r="P51" s="558" t="s">
        <v>23196</v>
      </c>
      <c r="Q51" s="558" t="s">
        <v>23278</v>
      </c>
      <c r="R51" s="558" t="s">
        <v>23291</v>
      </c>
      <c r="S51" s="558" t="s">
        <v>23342</v>
      </c>
      <c r="T51" s="558" t="s">
        <v>23343</v>
      </c>
      <c r="U51" s="558"/>
      <c r="V51" s="558" t="s">
        <v>9726</v>
      </c>
      <c r="W51" s="558" t="s">
        <v>576</v>
      </c>
      <c r="X51" s="558" t="s">
        <v>194</v>
      </c>
      <c r="Y51" s="558" t="s">
        <v>9300</v>
      </c>
      <c r="Z51" s="558"/>
      <c r="AA51" s="558"/>
      <c r="AB51" s="558" t="s">
        <v>9311</v>
      </c>
      <c r="AC51" s="558"/>
      <c r="AD51" s="558"/>
      <c r="AE51" s="558"/>
      <c r="AF51" s="558"/>
      <c r="AG51" s="558"/>
      <c r="AH51" s="558" t="s">
        <v>4714</v>
      </c>
      <c r="AI51" s="558" t="s">
        <v>9433</v>
      </c>
      <c r="AJ51" s="601" t="str">
        <f t="shared" si="0"/>
        <v>311509</v>
      </c>
      <c r="AK51" s="601">
        <v>1</v>
      </c>
      <c r="AL51" s="601">
        <f t="shared" si="1"/>
        <v>1</v>
      </c>
      <c r="AM51" s="601">
        <v>1</v>
      </c>
      <c r="AN51" s="603" t="s">
        <v>17650</v>
      </c>
      <c r="AO51" s="603" t="s">
        <v>17651</v>
      </c>
      <c r="AP51" s="603" t="s">
        <v>17652</v>
      </c>
      <c r="AQ51" s="603" t="s">
        <v>17653</v>
      </c>
      <c r="AR51" s="603" t="s">
        <v>1024</v>
      </c>
      <c r="AS51" s="558">
        <v>1</v>
      </c>
    </row>
    <row r="52" spans="1:45" x14ac:dyDescent="0.2">
      <c r="A52" s="558" t="s">
        <v>9886</v>
      </c>
      <c r="B52" s="558" t="s">
        <v>23209</v>
      </c>
      <c r="C52" s="558" t="s">
        <v>8136</v>
      </c>
      <c r="D52" s="558" t="s">
        <v>23127</v>
      </c>
      <c r="E52" s="558" t="s">
        <v>217</v>
      </c>
      <c r="F52" s="563">
        <v>1</v>
      </c>
      <c r="G52" s="558" t="s">
        <v>194</v>
      </c>
      <c r="H52" s="558" t="s">
        <v>193</v>
      </c>
      <c r="I52" s="558" t="s">
        <v>23186</v>
      </c>
      <c r="J52" s="558" t="s">
        <v>23344</v>
      </c>
      <c r="K52" s="558" t="s">
        <v>9309</v>
      </c>
      <c r="L52" s="558" t="s">
        <v>6955</v>
      </c>
      <c r="M52" s="558"/>
      <c r="N52" s="558" t="s">
        <v>23345</v>
      </c>
      <c r="O52" s="558" t="s">
        <v>6363</v>
      </c>
      <c r="P52" s="558" t="s">
        <v>23196</v>
      </c>
      <c r="Q52" s="558" t="s">
        <v>23212</v>
      </c>
      <c r="R52" s="558" t="s">
        <v>23213</v>
      </c>
      <c r="S52" s="558" t="s">
        <v>23346</v>
      </c>
      <c r="T52" s="558" t="s">
        <v>23347</v>
      </c>
      <c r="U52" s="558"/>
      <c r="V52" s="603"/>
      <c r="W52" s="558" t="s">
        <v>8138</v>
      </c>
      <c r="X52" s="558" t="s">
        <v>194</v>
      </c>
      <c r="Y52" s="558" t="s">
        <v>9946</v>
      </c>
      <c r="Z52" s="558"/>
      <c r="AA52" s="558"/>
      <c r="AB52" s="558" t="s">
        <v>9311</v>
      </c>
      <c r="AC52" s="558"/>
      <c r="AD52" s="558"/>
      <c r="AE52" s="558"/>
      <c r="AF52" s="558"/>
      <c r="AG52" s="558"/>
      <c r="AH52" s="558" t="s">
        <v>4714</v>
      </c>
      <c r="AI52" s="558" t="s">
        <v>9433</v>
      </c>
      <c r="AJ52" s="601" t="str">
        <f t="shared" si="0"/>
        <v>821905</v>
      </c>
      <c r="AK52" s="601">
        <v>1</v>
      </c>
      <c r="AL52" s="601">
        <f t="shared" si="1"/>
        <v>1</v>
      </c>
      <c r="AM52" s="601">
        <v>1</v>
      </c>
      <c r="AN52" s="603" t="s">
        <v>17650</v>
      </c>
      <c r="AO52" s="603" t="s">
        <v>17651</v>
      </c>
      <c r="AP52" s="603" t="s">
        <v>17652</v>
      </c>
      <c r="AQ52" s="603" t="s">
        <v>17653</v>
      </c>
      <c r="AR52" s="603" t="s">
        <v>1024</v>
      </c>
      <c r="AS52" s="558">
        <v>1</v>
      </c>
    </row>
    <row r="53" spans="1:45" x14ac:dyDescent="0.2">
      <c r="A53" s="558" t="s">
        <v>4022</v>
      </c>
      <c r="B53" s="558" t="s">
        <v>8022</v>
      </c>
      <c r="C53" s="558" t="s">
        <v>7617</v>
      </c>
      <c r="D53" s="558" t="s">
        <v>23127</v>
      </c>
      <c r="E53" s="558" t="s">
        <v>217</v>
      </c>
      <c r="F53" s="563">
        <v>1</v>
      </c>
      <c r="G53" s="558" t="s">
        <v>193</v>
      </c>
      <c r="H53" s="558" t="s">
        <v>194</v>
      </c>
      <c r="I53" s="558" t="s">
        <v>23307</v>
      </c>
      <c r="J53" s="558" t="s">
        <v>210</v>
      </c>
      <c r="K53" s="558" t="s">
        <v>9309</v>
      </c>
      <c r="L53" s="558" t="s">
        <v>6955</v>
      </c>
      <c r="M53" s="558"/>
      <c r="N53" s="558" t="s">
        <v>20793</v>
      </c>
      <c r="O53" s="558" t="s">
        <v>6290</v>
      </c>
      <c r="P53" s="558" t="s">
        <v>23196</v>
      </c>
      <c r="Q53" s="558" t="s">
        <v>23197</v>
      </c>
      <c r="R53" s="558" t="s">
        <v>23198</v>
      </c>
      <c r="S53" s="558" t="s">
        <v>23348</v>
      </c>
      <c r="T53" s="558" t="s">
        <v>23349</v>
      </c>
      <c r="U53" s="558"/>
      <c r="V53" s="558" t="s">
        <v>9334</v>
      </c>
      <c r="W53" s="558" t="s">
        <v>7620</v>
      </c>
      <c r="X53" s="558" t="s">
        <v>194</v>
      </c>
      <c r="Y53" s="558" t="s">
        <v>9300</v>
      </c>
      <c r="Z53" s="558"/>
      <c r="AA53" s="558"/>
      <c r="AB53" s="558" t="s">
        <v>9311</v>
      </c>
      <c r="AC53" s="558"/>
      <c r="AD53" s="558"/>
      <c r="AE53" s="558"/>
      <c r="AF53" s="558"/>
      <c r="AG53" s="558"/>
      <c r="AH53" s="558" t="s">
        <v>4714</v>
      </c>
      <c r="AI53" s="558" t="s">
        <v>9433</v>
      </c>
      <c r="AJ53" s="601" t="str">
        <f t="shared" si="0"/>
        <v>516903</v>
      </c>
      <c r="AK53" s="601">
        <v>1</v>
      </c>
      <c r="AL53" s="601">
        <f t="shared" si="1"/>
        <v>1</v>
      </c>
      <c r="AM53" s="601">
        <v>1</v>
      </c>
      <c r="AN53" s="603" t="s">
        <v>17650</v>
      </c>
      <c r="AO53" s="603" t="s">
        <v>17651</v>
      </c>
      <c r="AP53" s="603" t="s">
        <v>17652</v>
      </c>
      <c r="AQ53" s="603" t="s">
        <v>17653</v>
      </c>
      <c r="AR53" s="603" t="s">
        <v>1024</v>
      </c>
      <c r="AS53" s="558">
        <v>1</v>
      </c>
    </row>
    <row r="54" spans="1:45" x14ac:dyDescent="0.2">
      <c r="A54" s="558" t="s">
        <v>581</v>
      </c>
      <c r="B54" s="558" t="s">
        <v>22332</v>
      </c>
      <c r="C54" s="558" t="s">
        <v>83</v>
      </c>
      <c r="D54" s="558" t="s">
        <v>23127</v>
      </c>
      <c r="E54" s="558" t="s">
        <v>217</v>
      </c>
      <c r="F54" s="563">
        <v>1</v>
      </c>
      <c r="G54" s="558" t="s">
        <v>193</v>
      </c>
      <c r="H54" s="558" t="s">
        <v>194</v>
      </c>
      <c r="I54" s="558" t="s">
        <v>23307</v>
      </c>
      <c r="J54" s="558" t="s">
        <v>253</v>
      </c>
      <c r="K54" s="558" t="s">
        <v>9309</v>
      </c>
      <c r="L54" s="558" t="s">
        <v>6955</v>
      </c>
      <c r="M54" s="558"/>
      <c r="N54" s="558" t="s">
        <v>23350</v>
      </c>
      <c r="O54" s="558" t="s">
        <v>6275</v>
      </c>
      <c r="P54" s="558" t="s">
        <v>23196</v>
      </c>
      <c r="Q54" s="558" t="s">
        <v>23197</v>
      </c>
      <c r="R54" s="558" t="s">
        <v>23160</v>
      </c>
      <c r="S54" s="558" t="s">
        <v>23351</v>
      </c>
      <c r="T54" s="558" t="s">
        <v>23352</v>
      </c>
      <c r="U54" s="558"/>
      <c r="V54" s="558" t="s">
        <v>9468</v>
      </c>
      <c r="W54" s="558" t="s">
        <v>791</v>
      </c>
      <c r="X54" s="558" t="s">
        <v>194</v>
      </c>
      <c r="Y54" s="558" t="s">
        <v>9300</v>
      </c>
      <c r="Z54" s="558"/>
      <c r="AA54" s="558"/>
      <c r="AB54" s="558" t="s">
        <v>9311</v>
      </c>
      <c r="AC54" s="558"/>
      <c r="AD54" s="558"/>
      <c r="AE54" s="558"/>
      <c r="AF54" s="558"/>
      <c r="AG54" s="558"/>
      <c r="AH54" s="558" t="s">
        <v>4714</v>
      </c>
      <c r="AI54" s="558" t="s">
        <v>9433</v>
      </c>
      <c r="AJ54" s="601" t="str">
        <f t="shared" si="0"/>
        <v>721204</v>
      </c>
      <c r="AK54" s="601">
        <v>1</v>
      </c>
      <c r="AL54" s="601">
        <f t="shared" si="1"/>
        <v>1</v>
      </c>
      <c r="AM54" s="601">
        <v>1</v>
      </c>
      <c r="AN54" s="603" t="s">
        <v>17650</v>
      </c>
      <c r="AO54" s="603" t="s">
        <v>17651</v>
      </c>
      <c r="AP54" s="603" t="s">
        <v>17652</v>
      </c>
      <c r="AQ54" s="603" t="s">
        <v>17653</v>
      </c>
      <c r="AR54" s="603" t="s">
        <v>1024</v>
      </c>
      <c r="AS54" s="558">
        <v>1</v>
      </c>
    </row>
    <row r="55" spans="1:45" x14ac:dyDescent="0.2">
      <c r="A55" s="558" t="s">
        <v>581</v>
      </c>
      <c r="B55" s="558" t="s">
        <v>23353</v>
      </c>
      <c r="C55" s="558" t="s">
        <v>554</v>
      </c>
      <c r="D55" s="558" t="s">
        <v>23127</v>
      </c>
      <c r="E55" s="558" t="s">
        <v>217</v>
      </c>
      <c r="F55" s="563">
        <v>1</v>
      </c>
      <c r="G55" s="558" t="s">
        <v>193</v>
      </c>
      <c r="H55" s="558" t="s">
        <v>194</v>
      </c>
      <c r="I55" s="558" t="s">
        <v>23158</v>
      </c>
      <c r="J55" s="558" t="s">
        <v>253</v>
      </c>
      <c r="K55" s="558" t="s">
        <v>9309</v>
      </c>
      <c r="L55" s="558" t="s">
        <v>6955</v>
      </c>
      <c r="M55" s="558"/>
      <c r="N55" s="558" t="s">
        <v>23354</v>
      </c>
      <c r="O55" s="558" t="s">
        <v>6258</v>
      </c>
      <c r="P55" s="558" t="s">
        <v>23196</v>
      </c>
      <c r="Q55" s="558" t="s">
        <v>23355</v>
      </c>
      <c r="R55" s="558" t="s">
        <v>23256</v>
      </c>
      <c r="S55" s="558" t="s">
        <v>23356</v>
      </c>
      <c r="T55" s="558" t="s">
        <v>23357</v>
      </c>
      <c r="U55" s="558"/>
      <c r="V55" s="558" t="s">
        <v>9468</v>
      </c>
      <c r="W55" s="558" t="s">
        <v>555</v>
      </c>
      <c r="X55" s="558" t="s">
        <v>194</v>
      </c>
      <c r="Y55" s="558" t="s">
        <v>9300</v>
      </c>
      <c r="Z55" s="558"/>
      <c r="AA55" s="558"/>
      <c r="AB55" s="558" t="s">
        <v>9311</v>
      </c>
      <c r="AC55" s="558"/>
      <c r="AD55" s="558"/>
      <c r="AE55" s="558"/>
      <c r="AF55" s="558"/>
      <c r="AG55" s="558"/>
      <c r="AH55" s="558" t="s">
        <v>4714</v>
      </c>
      <c r="AI55" s="558" t="s">
        <v>9433</v>
      </c>
      <c r="AJ55" s="601" t="str">
        <f t="shared" si="0"/>
        <v>311303</v>
      </c>
      <c r="AK55" s="601">
        <v>1</v>
      </c>
      <c r="AL55" s="601">
        <f t="shared" si="1"/>
        <v>1</v>
      </c>
      <c r="AM55" s="601">
        <v>1</v>
      </c>
      <c r="AN55" s="603" t="s">
        <v>17650</v>
      </c>
      <c r="AO55" s="603" t="s">
        <v>17651</v>
      </c>
      <c r="AP55" s="603" t="s">
        <v>17652</v>
      </c>
      <c r="AQ55" s="603" t="s">
        <v>17653</v>
      </c>
      <c r="AR55" s="603" t="s">
        <v>1024</v>
      </c>
      <c r="AS55" s="558">
        <v>1</v>
      </c>
    </row>
    <row r="56" spans="1:45" x14ac:dyDescent="0.2">
      <c r="A56" s="558" t="s">
        <v>581</v>
      </c>
      <c r="B56" s="558" t="s">
        <v>16322</v>
      </c>
      <c r="C56" s="558" t="s">
        <v>122</v>
      </c>
      <c r="D56" s="558" t="s">
        <v>23127</v>
      </c>
      <c r="E56" s="558" t="s">
        <v>217</v>
      </c>
      <c r="F56" s="563">
        <v>1</v>
      </c>
      <c r="G56" s="558" t="s">
        <v>193</v>
      </c>
      <c r="H56" s="558" t="s">
        <v>194</v>
      </c>
      <c r="I56" s="558" t="s">
        <v>23158</v>
      </c>
      <c r="J56" s="558" t="s">
        <v>210</v>
      </c>
      <c r="K56" s="558" t="s">
        <v>9309</v>
      </c>
      <c r="L56" s="558" t="s">
        <v>6955</v>
      </c>
      <c r="M56" s="558"/>
      <c r="N56" s="558" t="s">
        <v>23358</v>
      </c>
      <c r="O56" s="558" t="s">
        <v>6269</v>
      </c>
      <c r="P56" s="558" t="s">
        <v>23196</v>
      </c>
      <c r="Q56" s="558" t="s">
        <v>23278</v>
      </c>
      <c r="R56" s="558" t="s">
        <v>23359</v>
      </c>
      <c r="S56" s="558" t="s">
        <v>23360</v>
      </c>
      <c r="T56" s="558" t="s">
        <v>23361</v>
      </c>
      <c r="U56" s="558"/>
      <c r="V56" s="558" t="s">
        <v>9334</v>
      </c>
      <c r="W56" s="558" t="s">
        <v>655</v>
      </c>
      <c r="X56" s="558" t="s">
        <v>194</v>
      </c>
      <c r="Y56" s="558" t="s">
        <v>9300</v>
      </c>
      <c r="Z56" s="558"/>
      <c r="AA56" s="558"/>
      <c r="AB56" s="558" t="s">
        <v>9311</v>
      </c>
      <c r="AC56" s="558"/>
      <c r="AD56" s="558"/>
      <c r="AE56" s="558"/>
      <c r="AF56" s="558"/>
      <c r="AG56" s="558"/>
      <c r="AH56" s="558" t="s">
        <v>4714</v>
      </c>
      <c r="AI56" s="558" t="s">
        <v>9433</v>
      </c>
      <c r="AJ56" s="601" t="str">
        <f t="shared" si="0"/>
        <v>332301</v>
      </c>
      <c r="AK56" s="601">
        <v>1</v>
      </c>
      <c r="AL56" s="601">
        <f t="shared" si="1"/>
        <v>1</v>
      </c>
      <c r="AM56" s="601">
        <v>1</v>
      </c>
      <c r="AN56" s="603" t="s">
        <v>17650</v>
      </c>
      <c r="AO56" s="603" t="s">
        <v>17651</v>
      </c>
      <c r="AP56" s="603" t="s">
        <v>17652</v>
      </c>
      <c r="AQ56" s="603" t="s">
        <v>17653</v>
      </c>
      <c r="AR56" s="603" t="s">
        <v>1024</v>
      </c>
      <c r="AS56" s="558">
        <v>1</v>
      </c>
    </row>
    <row r="57" spans="1:45" x14ac:dyDescent="0.2">
      <c r="A57" s="558" t="s">
        <v>9886</v>
      </c>
      <c r="B57" s="558" t="s">
        <v>23209</v>
      </c>
      <c r="C57" s="558" t="s">
        <v>8136</v>
      </c>
      <c r="D57" s="558" t="s">
        <v>23127</v>
      </c>
      <c r="E57" s="558" t="s">
        <v>217</v>
      </c>
      <c r="F57" s="563">
        <v>1</v>
      </c>
      <c r="G57" s="558" t="s">
        <v>194</v>
      </c>
      <c r="H57" s="558" t="s">
        <v>193</v>
      </c>
      <c r="I57" s="558" t="s">
        <v>23186</v>
      </c>
      <c r="J57" s="558" t="s">
        <v>23362</v>
      </c>
      <c r="K57" s="558" t="s">
        <v>9309</v>
      </c>
      <c r="L57" s="558" t="s">
        <v>6955</v>
      </c>
      <c r="M57" s="558"/>
      <c r="N57" s="558" t="s">
        <v>23363</v>
      </c>
      <c r="O57" s="558" t="s">
        <v>6363</v>
      </c>
      <c r="P57" s="558" t="s">
        <v>23196</v>
      </c>
      <c r="Q57" s="558" t="s">
        <v>23212</v>
      </c>
      <c r="R57" s="558" t="s">
        <v>23213</v>
      </c>
      <c r="S57" s="558" t="s">
        <v>23364</v>
      </c>
      <c r="T57" s="558" t="s">
        <v>23365</v>
      </c>
      <c r="U57" s="558"/>
      <c r="V57" s="603"/>
      <c r="W57" s="558" t="s">
        <v>8138</v>
      </c>
      <c r="X57" s="558" t="s">
        <v>194</v>
      </c>
      <c r="Y57" s="558" t="s">
        <v>9946</v>
      </c>
      <c r="Z57" s="558"/>
      <c r="AA57" s="558"/>
      <c r="AB57" s="558" t="s">
        <v>9311</v>
      </c>
      <c r="AC57" s="558"/>
      <c r="AD57" s="558"/>
      <c r="AE57" s="558"/>
      <c r="AF57" s="558"/>
      <c r="AG57" s="558"/>
      <c r="AH57" s="558" t="s">
        <v>4714</v>
      </c>
      <c r="AI57" s="558" t="s">
        <v>9433</v>
      </c>
      <c r="AJ57" s="601" t="str">
        <f t="shared" si="0"/>
        <v>821905</v>
      </c>
      <c r="AK57" s="601">
        <v>1</v>
      </c>
      <c r="AL57" s="601">
        <f t="shared" si="1"/>
        <v>1</v>
      </c>
      <c r="AM57" s="601">
        <v>1</v>
      </c>
      <c r="AN57" s="603" t="s">
        <v>17650</v>
      </c>
      <c r="AO57" s="603" t="s">
        <v>17651</v>
      </c>
      <c r="AP57" s="603" t="s">
        <v>17652</v>
      </c>
      <c r="AQ57" s="603" t="s">
        <v>17653</v>
      </c>
      <c r="AR57" s="603" t="s">
        <v>1024</v>
      </c>
      <c r="AS57" s="558">
        <v>1</v>
      </c>
    </row>
    <row r="58" spans="1:45" x14ac:dyDescent="0.2">
      <c r="A58" s="558" t="s">
        <v>9886</v>
      </c>
      <c r="B58" s="558" t="s">
        <v>23209</v>
      </c>
      <c r="C58" s="558" t="s">
        <v>8136</v>
      </c>
      <c r="D58" s="558" t="s">
        <v>23127</v>
      </c>
      <c r="E58" s="558" t="s">
        <v>217</v>
      </c>
      <c r="F58" s="563">
        <v>1</v>
      </c>
      <c r="G58" s="558" t="s">
        <v>194</v>
      </c>
      <c r="H58" s="558" t="s">
        <v>193</v>
      </c>
      <c r="I58" s="558" t="s">
        <v>23186</v>
      </c>
      <c r="J58" s="558" t="s">
        <v>23259</v>
      </c>
      <c r="K58" s="558" t="s">
        <v>9309</v>
      </c>
      <c r="L58" s="558" t="s">
        <v>6955</v>
      </c>
      <c r="M58" s="558"/>
      <c r="N58" s="558" t="s">
        <v>23366</v>
      </c>
      <c r="O58" s="558" t="s">
        <v>6363</v>
      </c>
      <c r="P58" s="558" t="s">
        <v>23196</v>
      </c>
      <c r="Q58" s="558" t="s">
        <v>23212</v>
      </c>
      <c r="R58" s="558" t="s">
        <v>23213</v>
      </c>
      <c r="S58" s="558" t="s">
        <v>23367</v>
      </c>
      <c r="T58" s="558" t="s">
        <v>23368</v>
      </c>
      <c r="U58" s="558"/>
      <c r="V58" s="603"/>
      <c r="W58" s="558" t="s">
        <v>8138</v>
      </c>
      <c r="X58" s="558" t="s">
        <v>194</v>
      </c>
      <c r="Y58" s="558" t="s">
        <v>9946</v>
      </c>
      <c r="Z58" s="558"/>
      <c r="AA58" s="558"/>
      <c r="AB58" s="558" t="s">
        <v>9311</v>
      </c>
      <c r="AC58" s="558"/>
      <c r="AD58" s="558"/>
      <c r="AE58" s="558"/>
      <c r="AF58" s="558"/>
      <c r="AG58" s="558"/>
      <c r="AH58" s="558" t="s">
        <v>4714</v>
      </c>
      <c r="AI58" s="558" t="s">
        <v>9433</v>
      </c>
      <c r="AJ58" s="601" t="str">
        <f t="shared" si="0"/>
        <v>821905</v>
      </c>
      <c r="AK58" s="601">
        <v>1</v>
      </c>
      <c r="AL58" s="601">
        <f t="shared" si="1"/>
        <v>1</v>
      </c>
      <c r="AM58" s="601">
        <v>1</v>
      </c>
      <c r="AN58" s="603" t="s">
        <v>17650</v>
      </c>
      <c r="AO58" s="603" t="s">
        <v>17651</v>
      </c>
      <c r="AP58" s="603" t="s">
        <v>17652</v>
      </c>
      <c r="AQ58" s="603" t="s">
        <v>17653</v>
      </c>
      <c r="AR58" s="603" t="s">
        <v>1024</v>
      </c>
      <c r="AS58" s="558">
        <v>1</v>
      </c>
    </row>
    <row r="59" spans="1:45" x14ac:dyDescent="0.2">
      <c r="A59" s="558" t="s">
        <v>9886</v>
      </c>
      <c r="B59" s="558" t="s">
        <v>23209</v>
      </c>
      <c r="C59" s="558" t="s">
        <v>8136</v>
      </c>
      <c r="D59" s="558" t="s">
        <v>23127</v>
      </c>
      <c r="E59" s="558" t="s">
        <v>217</v>
      </c>
      <c r="F59" s="563">
        <v>1</v>
      </c>
      <c r="G59" s="558" t="s">
        <v>194</v>
      </c>
      <c r="H59" s="558" t="s">
        <v>193</v>
      </c>
      <c r="I59" s="558" t="s">
        <v>23186</v>
      </c>
      <c r="J59" s="558" t="s">
        <v>23369</v>
      </c>
      <c r="K59" s="558" t="s">
        <v>9309</v>
      </c>
      <c r="L59" s="558" t="s">
        <v>6955</v>
      </c>
      <c r="M59" s="558"/>
      <c r="N59" s="558" t="s">
        <v>23370</v>
      </c>
      <c r="O59" s="558" t="s">
        <v>6363</v>
      </c>
      <c r="P59" s="558" t="s">
        <v>23196</v>
      </c>
      <c r="Q59" s="558" t="s">
        <v>23212</v>
      </c>
      <c r="R59" s="558" t="s">
        <v>23213</v>
      </c>
      <c r="S59" s="558" t="s">
        <v>23371</v>
      </c>
      <c r="T59" s="558" t="s">
        <v>23372</v>
      </c>
      <c r="U59" s="558"/>
      <c r="V59" s="603"/>
      <c r="W59" s="558" t="s">
        <v>8138</v>
      </c>
      <c r="X59" s="558" t="s">
        <v>194</v>
      </c>
      <c r="Y59" s="558" t="s">
        <v>9946</v>
      </c>
      <c r="Z59" s="558"/>
      <c r="AA59" s="558"/>
      <c r="AB59" s="558" t="s">
        <v>9311</v>
      </c>
      <c r="AC59" s="558"/>
      <c r="AD59" s="558"/>
      <c r="AE59" s="558"/>
      <c r="AF59" s="558"/>
      <c r="AG59" s="558"/>
      <c r="AH59" s="558" t="s">
        <v>4714</v>
      </c>
      <c r="AI59" s="558" t="s">
        <v>9433</v>
      </c>
      <c r="AJ59" s="601" t="str">
        <f t="shared" si="0"/>
        <v>821905</v>
      </c>
      <c r="AK59" s="601">
        <v>1</v>
      </c>
      <c r="AL59" s="601">
        <f t="shared" si="1"/>
        <v>1</v>
      </c>
      <c r="AM59" s="601">
        <v>1</v>
      </c>
      <c r="AN59" s="603" t="s">
        <v>17650</v>
      </c>
      <c r="AO59" s="603" t="s">
        <v>17651</v>
      </c>
      <c r="AP59" s="603" t="s">
        <v>17652</v>
      </c>
      <c r="AQ59" s="603" t="s">
        <v>17653</v>
      </c>
      <c r="AR59" s="603" t="s">
        <v>1024</v>
      </c>
      <c r="AS59" s="558">
        <v>1</v>
      </c>
    </row>
    <row r="60" spans="1:45" x14ac:dyDescent="0.2">
      <c r="A60" s="558" t="s">
        <v>9886</v>
      </c>
      <c r="B60" s="558" t="s">
        <v>14955</v>
      </c>
      <c r="C60" s="558" t="s">
        <v>62</v>
      </c>
      <c r="D60" s="558" t="s">
        <v>23127</v>
      </c>
      <c r="E60" s="558" t="s">
        <v>217</v>
      </c>
      <c r="F60" s="563">
        <v>1</v>
      </c>
      <c r="G60" s="558" t="s">
        <v>194</v>
      </c>
      <c r="H60" s="558" t="s">
        <v>193</v>
      </c>
      <c r="I60" s="558" t="s">
        <v>23158</v>
      </c>
      <c r="J60" s="558" t="s">
        <v>6080</v>
      </c>
      <c r="K60" s="558" t="s">
        <v>9309</v>
      </c>
      <c r="L60" s="558" t="s">
        <v>6955</v>
      </c>
      <c r="M60" s="558"/>
      <c r="N60" s="558" t="s">
        <v>23373</v>
      </c>
      <c r="O60" s="558" t="s">
        <v>6363</v>
      </c>
      <c r="P60" s="558" t="s">
        <v>23196</v>
      </c>
      <c r="Q60" s="558" t="s">
        <v>23374</v>
      </c>
      <c r="R60" s="558" t="s">
        <v>23375</v>
      </c>
      <c r="S60" s="558" t="s">
        <v>23376</v>
      </c>
      <c r="T60" s="558" t="s">
        <v>23377</v>
      </c>
      <c r="U60" s="558"/>
      <c r="V60" s="603"/>
      <c r="W60" s="558" t="s">
        <v>601</v>
      </c>
      <c r="X60" s="558" t="s">
        <v>194</v>
      </c>
      <c r="Y60" s="558" t="s">
        <v>9946</v>
      </c>
      <c r="Z60" s="558"/>
      <c r="AA60" s="558"/>
      <c r="AB60" s="558" t="s">
        <v>9311</v>
      </c>
      <c r="AC60" s="558"/>
      <c r="AD60" s="558"/>
      <c r="AE60" s="558"/>
      <c r="AF60" s="558"/>
      <c r="AG60" s="558"/>
      <c r="AH60" s="558" t="s">
        <v>4714</v>
      </c>
      <c r="AI60" s="558" t="s">
        <v>9433</v>
      </c>
      <c r="AJ60" s="601" t="str">
        <f t="shared" si="0"/>
        <v>313904</v>
      </c>
      <c r="AK60" s="601">
        <v>1</v>
      </c>
      <c r="AL60" s="601">
        <f t="shared" si="1"/>
        <v>1</v>
      </c>
      <c r="AM60" s="601">
        <v>1</v>
      </c>
      <c r="AN60" s="603" t="s">
        <v>17650</v>
      </c>
      <c r="AO60" s="603" t="s">
        <v>17651</v>
      </c>
      <c r="AP60" s="603" t="s">
        <v>17652</v>
      </c>
      <c r="AQ60" s="603" t="s">
        <v>17653</v>
      </c>
      <c r="AR60" s="603" t="s">
        <v>1024</v>
      </c>
      <c r="AS60" s="558">
        <v>1</v>
      </c>
    </row>
    <row r="61" spans="1:45" x14ac:dyDescent="0.2">
      <c r="A61" s="558" t="s">
        <v>9886</v>
      </c>
      <c r="B61" s="558" t="s">
        <v>821</v>
      </c>
      <c r="C61" s="558" t="s">
        <v>822</v>
      </c>
      <c r="D61" s="558" t="s">
        <v>23127</v>
      </c>
      <c r="E61" s="558" t="s">
        <v>217</v>
      </c>
      <c r="F61" s="563">
        <v>1</v>
      </c>
      <c r="G61" s="558" t="s">
        <v>194</v>
      </c>
      <c r="H61" s="558" t="s">
        <v>193</v>
      </c>
      <c r="I61" s="558" t="s">
        <v>23139</v>
      </c>
      <c r="J61" s="558" t="s">
        <v>23344</v>
      </c>
      <c r="K61" s="558" t="s">
        <v>9309</v>
      </c>
      <c r="L61" s="558" t="s">
        <v>6955</v>
      </c>
      <c r="M61" s="558"/>
      <c r="N61" s="558" t="s">
        <v>23378</v>
      </c>
      <c r="O61" s="558" t="s">
        <v>6275</v>
      </c>
      <c r="P61" s="558" t="s">
        <v>23226</v>
      </c>
      <c r="Q61" s="558" t="s">
        <v>21047</v>
      </c>
      <c r="R61" s="558" t="s">
        <v>23132</v>
      </c>
      <c r="S61" s="558" t="s">
        <v>23379</v>
      </c>
      <c r="T61" s="558" t="s">
        <v>23380</v>
      </c>
      <c r="U61" s="558"/>
      <c r="V61" s="603"/>
      <c r="W61" s="558" t="s">
        <v>823</v>
      </c>
      <c r="X61" s="558" t="s">
        <v>194</v>
      </c>
      <c r="Y61" s="558" t="s">
        <v>9946</v>
      </c>
      <c r="Z61" s="558"/>
      <c r="AA61" s="558"/>
      <c r="AB61" s="558" t="s">
        <v>9311</v>
      </c>
      <c r="AC61" s="558"/>
      <c r="AD61" s="558"/>
      <c r="AE61" s="558"/>
      <c r="AF61" s="558"/>
      <c r="AG61" s="558"/>
      <c r="AH61" s="558" t="s">
        <v>4714</v>
      </c>
      <c r="AI61" s="558" t="s">
        <v>821</v>
      </c>
      <c r="AJ61" s="601" t="str">
        <f t="shared" si="0"/>
        <v>741103</v>
      </c>
      <c r="AK61" s="601">
        <v>1</v>
      </c>
      <c r="AL61" s="601">
        <f t="shared" si="1"/>
        <v>1</v>
      </c>
      <c r="AM61" s="601">
        <v>1</v>
      </c>
      <c r="AN61" s="603" t="s">
        <v>17650</v>
      </c>
      <c r="AO61" s="603" t="s">
        <v>17651</v>
      </c>
      <c r="AP61" s="603" t="s">
        <v>17652</v>
      </c>
      <c r="AQ61" s="603" t="s">
        <v>17653</v>
      </c>
      <c r="AR61" s="603" t="s">
        <v>1024</v>
      </c>
      <c r="AS61" s="558">
        <v>1</v>
      </c>
    </row>
    <row r="62" spans="1:45" x14ac:dyDescent="0.2">
      <c r="A62" s="558" t="s">
        <v>9886</v>
      </c>
      <c r="B62" s="558" t="s">
        <v>23324</v>
      </c>
      <c r="C62" s="558" t="s">
        <v>706</v>
      </c>
      <c r="D62" s="558" t="s">
        <v>23127</v>
      </c>
      <c r="E62" s="558" t="s">
        <v>217</v>
      </c>
      <c r="F62" s="563">
        <v>1</v>
      </c>
      <c r="G62" s="558" t="s">
        <v>194</v>
      </c>
      <c r="H62" s="558" t="s">
        <v>193</v>
      </c>
      <c r="I62" s="558" t="s">
        <v>23186</v>
      </c>
      <c r="J62" s="558" t="s">
        <v>6080</v>
      </c>
      <c r="K62" s="558" t="s">
        <v>9309</v>
      </c>
      <c r="L62" s="558" t="s">
        <v>6955</v>
      </c>
      <c r="M62" s="558"/>
      <c r="N62" s="558" t="s">
        <v>23381</v>
      </c>
      <c r="O62" s="558" t="s">
        <v>6251</v>
      </c>
      <c r="P62" s="558" t="s">
        <v>23196</v>
      </c>
      <c r="Q62" s="558" t="s">
        <v>21229</v>
      </c>
      <c r="R62" s="558" t="s">
        <v>23286</v>
      </c>
      <c r="S62" s="558" t="s">
        <v>23382</v>
      </c>
      <c r="T62" s="558" t="s">
        <v>23383</v>
      </c>
      <c r="U62" s="558"/>
      <c r="V62" s="603"/>
      <c r="W62" s="558" t="s">
        <v>707</v>
      </c>
      <c r="X62" s="558" t="s">
        <v>193</v>
      </c>
      <c r="Y62" s="558" t="s">
        <v>9310</v>
      </c>
      <c r="Z62" s="558"/>
      <c r="AA62" s="558"/>
      <c r="AB62" s="558" t="s">
        <v>9311</v>
      </c>
      <c r="AC62" s="558"/>
      <c r="AD62" s="558"/>
      <c r="AE62" s="558"/>
      <c r="AF62" s="558"/>
      <c r="AG62" s="558"/>
      <c r="AH62" s="558" t="s">
        <v>4714</v>
      </c>
      <c r="AI62" s="558" t="s">
        <v>9433</v>
      </c>
      <c r="AJ62" s="601" t="str">
        <f t="shared" si="0"/>
        <v>422201</v>
      </c>
      <c r="AK62" s="601">
        <v>1</v>
      </c>
      <c r="AL62" s="601">
        <f t="shared" si="1"/>
        <v>1</v>
      </c>
      <c r="AM62" s="601">
        <v>1</v>
      </c>
      <c r="AN62" s="603" t="s">
        <v>17650</v>
      </c>
      <c r="AO62" s="603" t="s">
        <v>17651</v>
      </c>
      <c r="AP62" s="603" t="s">
        <v>17652</v>
      </c>
      <c r="AQ62" s="603" t="s">
        <v>17653</v>
      </c>
      <c r="AR62" s="603" t="s">
        <v>1024</v>
      </c>
      <c r="AS62" s="558">
        <v>1</v>
      </c>
    </row>
    <row r="63" spans="1:45" x14ac:dyDescent="0.2">
      <c r="A63" s="558" t="s">
        <v>15464</v>
      </c>
      <c r="B63" s="558" t="s">
        <v>16319</v>
      </c>
      <c r="C63" s="558" t="s">
        <v>17</v>
      </c>
      <c r="D63" s="558" t="s">
        <v>23127</v>
      </c>
      <c r="E63" s="558" t="s">
        <v>217</v>
      </c>
      <c r="F63" s="563">
        <v>1</v>
      </c>
      <c r="G63" s="558" t="s">
        <v>193</v>
      </c>
      <c r="H63" s="558" t="s">
        <v>194</v>
      </c>
      <c r="I63" s="558" t="s">
        <v>23139</v>
      </c>
      <c r="J63" s="558" t="s">
        <v>210</v>
      </c>
      <c r="K63" s="558" t="s">
        <v>9309</v>
      </c>
      <c r="L63" s="558" t="s">
        <v>6955</v>
      </c>
      <c r="M63" s="558"/>
      <c r="N63" s="558" t="s">
        <v>22191</v>
      </c>
      <c r="O63" s="558" t="s">
        <v>6269</v>
      </c>
      <c r="P63" s="558" t="s">
        <v>23196</v>
      </c>
      <c r="Q63" s="558" t="s">
        <v>23197</v>
      </c>
      <c r="R63" s="558" t="s">
        <v>23198</v>
      </c>
      <c r="S63" s="558" t="s">
        <v>23384</v>
      </c>
      <c r="T63" s="558" t="s">
        <v>23385</v>
      </c>
      <c r="U63" s="558"/>
      <c r="V63" s="558" t="s">
        <v>9334</v>
      </c>
      <c r="W63" s="558" t="s">
        <v>624</v>
      </c>
      <c r="X63" s="558" t="s">
        <v>194</v>
      </c>
      <c r="Y63" s="558" t="s">
        <v>9300</v>
      </c>
      <c r="Z63" s="558"/>
      <c r="AA63" s="558"/>
      <c r="AB63" s="558" t="s">
        <v>9311</v>
      </c>
      <c r="AC63" s="558"/>
      <c r="AD63" s="558"/>
      <c r="AE63" s="558"/>
      <c r="AF63" s="558"/>
      <c r="AG63" s="558"/>
      <c r="AH63" s="558" t="s">
        <v>4714</v>
      </c>
      <c r="AI63" s="558" t="s">
        <v>9433</v>
      </c>
      <c r="AJ63" s="601" t="str">
        <f t="shared" si="0"/>
        <v>332203</v>
      </c>
      <c r="AK63" s="601">
        <v>1</v>
      </c>
      <c r="AL63" s="601">
        <f t="shared" si="1"/>
        <v>1</v>
      </c>
      <c r="AM63" s="601">
        <v>1</v>
      </c>
      <c r="AN63" s="603" t="s">
        <v>17650</v>
      </c>
      <c r="AO63" s="603" t="s">
        <v>17651</v>
      </c>
      <c r="AP63" s="603" t="s">
        <v>17652</v>
      </c>
      <c r="AQ63" s="603" t="s">
        <v>17653</v>
      </c>
      <c r="AR63" s="603" t="s">
        <v>1024</v>
      </c>
      <c r="AS63" s="558">
        <v>1</v>
      </c>
    </row>
    <row r="64" spans="1:45" x14ac:dyDescent="0.2">
      <c r="A64" s="558" t="s">
        <v>9886</v>
      </c>
      <c r="B64" s="558" t="s">
        <v>23209</v>
      </c>
      <c r="C64" s="558" t="s">
        <v>8136</v>
      </c>
      <c r="D64" s="558" t="s">
        <v>23127</v>
      </c>
      <c r="E64" s="558" t="s">
        <v>217</v>
      </c>
      <c r="F64" s="563">
        <v>1</v>
      </c>
      <c r="G64" s="558" t="s">
        <v>194</v>
      </c>
      <c r="H64" s="558" t="s">
        <v>193</v>
      </c>
      <c r="I64" s="558" t="s">
        <v>23186</v>
      </c>
      <c r="J64" s="558" t="s">
        <v>6080</v>
      </c>
      <c r="K64" s="558" t="s">
        <v>9309</v>
      </c>
      <c r="L64" s="558" t="s">
        <v>6955</v>
      </c>
      <c r="M64" s="558"/>
      <c r="N64" s="558" t="s">
        <v>23386</v>
      </c>
      <c r="O64" s="558" t="s">
        <v>6363</v>
      </c>
      <c r="P64" s="558" t="s">
        <v>23196</v>
      </c>
      <c r="Q64" s="558" t="s">
        <v>23212</v>
      </c>
      <c r="R64" s="558" t="s">
        <v>23213</v>
      </c>
      <c r="S64" s="558" t="s">
        <v>23387</v>
      </c>
      <c r="T64" s="558" t="s">
        <v>23388</v>
      </c>
      <c r="U64" s="558"/>
      <c r="V64" s="603"/>
      <c r="W64" s="558" t="s">
        <v>8138</v>
      </c>
      <c r="X64" s="558" t="s">
        <v>194</v>
      </c>
      <c r="Y64" s="558" t="s">
        <v>9946</v>
      </c>
      <c r="Z64" s="558"/>
      <c r="AA64" s="558"/>
      <c r="AB64" s="558" t="s">
        <v>9311</v>
      </c>
      <c r="AC64" s="558"/>
      <c r="AD64" s="558"/>
      <c r="AE64" s="558"/>
      <c r="AF64" s="558"/>
      <c r="AG64" s="558"/>
      <c r="AH64" s="558" t="s">
        <v>4714</v>
      </c>
      <c r="AI64" s="558" t="s">
        <v>9433</v>
      </c>
      <c r="AJ64" s="601" t="str">
        <f t="shared" si="0"/>
        <v>821905</v>
      </c>
      <c r="AK64" s="601">
        <v>1</v>
      </c>
      <c r="AL64" s="601">
        <f t="shared" si="1"/>
        <v>1</v>
      </c>
      <c r="AM64" s="601">
        <v>1</v>
      </c>
      <c r="AN64" s="603" t="s">
        <v>17650</v>
      </c>
      <c r="AO64" s="603" t="s">
        <v>17651</v>
      </c>
      <c r="AP64" s="603" t="s">
        <v>17652</v>
      </c>
      <c r="AQ64" s="603" t="s">
        <v>17653</v>
      </c>
      <c r="AR64" s="603" t="s">
        <v>1024</v>
      </c>
      <c r="AS64" s="558">
        <v>1</v>
      </c>
    </row>
    <row r="65" spans="1:45" x14ac:dyDescent="0.2">
      <c r="A65" s="558" t="s">
        <v>9886</v>
      </c>
      <c r="B65" s="558" t="s">
        <v>23220</v>
      </c>
      <c r="C65" s="558" t="s">
        <v>62</v>
      </c>
      <c r="D65" s="558" t="s">
        <v>23127</v>
      </c>
      <c r="E65" s="558" t="s">
        <v>217</v>
      </c>
      <c r="F65" s="563">
        <v>1</v>
      </c>
      <c r="G65" s="558" t="s">
        <v>194</v>
      </c>
      <c r="H65" s="558" t="s">
        <v>193</v>
      </c>
      <c r="I65" s="558" t="s">
        <v>23158</v>
      </c>
      <c r="J65" s="558" t="s">
        <v>23249</v>
      </c>
      <c r="K65" s="558" t="s">
        <v>9309</v>
      </c>
      <c r="L65" s="558" t="s">
        <v>6955</v>
      </c>
      <c r="M65" s="558"/>
      <c r="N65" s="558" t="s">
        <v>23389</v>
      </c>
      <c r="O65" s="558" t="s">
        <v>6363</v>
      </c>
      <c r="P65" s="558" t="s">
        <v>23196</v>
      </c>
      <c r="Q65" s="558" t="s">
        <v>23222</v>
      </c>
      <c r="R65" s="558" t="s">
        <v>23155</v>
      </c>
      <c r="S65" s="558" t="s">
        <v>23390</v>
      </c>
      <c r="T65" s="558" t="s">
        <v>23391</v>
      </c>
      <c r="U65" s="558"/>
      <c r="V65" s="603"/>
      <c r="W65" s="558" t="s">
        <v>601</v>
      </c>
      <c r="X65" s="558" t="s">
        <v>194</v>
      </c>
      <c r="Y65" s="558" t="s">
        <v>9946</v>
      </c>
      <c r="Z65" s="558"/>
      <c r="AA65" s="558"/>
      <c r="AB65" s="558" t="s">
        <v>9311</v>
      </c>
      <c r="AC65" s="558"/>
      <c r="AD65" s="558"/>
      <c r="AE65" s="558"/>
      <c r="AF65" s="558"/>
      <c r="AG65" s="558"/>
      <c r="AH65" s="558" t="s">
        <v>4714</v>
      </c>
      <c r="AI65" s="558" t="s">
        <v>9433</v>
      </c>
      <c r="AJ65" s="601" t="str">
        <f t="shared" si="0"/>
        <v>313904</v>
      </c>
      <c r="AK65" s="601">
        <v>1</v>
      </c>
      <c r="AL65" s="601">
        <f t="shared" si="1"/>
        <v>1</v>
      </c>
      <c r="AM65" s="601">
        <v>1</v>
      </c>
      <c r="AN65" s="603" t="s">
        <v>17650</v>
      </c>
      <c r="AO65" s="603" t="s">
        <v>17651</v>
      </c>
      <c r="AP65" s="603" t="s">
        <v>17652</v>
      </c>
      <c r="AQ65" s="603" t="s">
        <v>17653</v>
      </c>
      <c r="AR65" s="603" t="s">
        <v>1024</v>
      </c>
      <c r="AS65" s="558">
        <v>1</v>
      </c>
    </row>
    <row r="66" spans="1:45" x14ac:dyDescent="0.2">
      <c r="A66" s="558" t="s">
        <v>9886</v>
      </c>
      <c r="B66" s="558" t="s">
        <v>23209</v>
      </c>
      <c r="C66" s="558" t="s">
        <v>8136</v>
      </c>
      <c r="D66" s="558" t="s">
        <v>23127</v>
      </c>
      <c r="E66" s="558" t="s">
        <v>217</v>
      </c>
      <c r="F66" s="563">
        <v>1</v>
      </c>
      <c r="G66" s="558" t="s">
        <v>194</v>
      </c>
      <c r="H66" s="558" t="s">
        <v>193</v>
      </c>
      <c r="I66" s="558" t="s">
        <v>23186</v>
      </c>
      <c r="J66" s="558" t="s">
        <v>23392</v>
      </c>
      <c r="K66" s="558" t="s">
        <v>9309</v>
      </c>
      <c r="L66" s="558" t="s">
        <v>6955</v>
      </c>
      <c r="M66" s="558"/>
      <c r="N66" s="558" t="s">
        <v>23393</v>
      </c>
      <c r="O66" s="558" t="s">
        <v>6363</v>
      </c>
      <c r="P66" s="558" t="s">
        <v>23196</v>
      </c>
      <c r="Q66" s="558" t="s">
        <v>23212</v>
      </c>
      <c r="R66" s="558" t="s">
        <v>23213</v>
      </c>
      <c r="S66" s="558" t="s">
        <v>23394</v>
      </c>
      <c r="T66" s="558" t="s">
        <v>23395</v>
      </c>
      <c r="U66" s="558"/>
      <c r="V66" s="603"/>
      <c r="W66" s="558" t="s">
        <v>8138</v>
      </c>
      <c r="X66" s="558" t="s">
        <v>194</v>
      </c>
      <c r="Y66" s="558" t="s">
        <v>9946</v>
      </c>
      <c r="Z66" s="558"/>
      <c r="AA66" s="558"/>
      <c r="AB66" s="558" t="s">
        <v>9311</v>
      </c>
      <c r="AC66" s="558"/>
      <c r="AD66" s="558"/>
      <c r="AE66" s="558"/>
      <c r="AF66" s="558"/>
      <c r="AG66" s="558"/>
      <c r="AH66" s="558" t="s">
        <v>4714</v>
      </c>
      <c r="AI66" s="558" t="s">
        <v>9433</v>
      </c>
      <c r="AJ66" s="601" t="str">
        <f t="shared" si="0"/>
        <v>821905</v>
      </c>
      <c r="AK66" s="601">
        <v>1</v>
      </c>
      <c r="AL66" s="601">
        <f t="shared" si="1"/>
        <v>1</v>
      </c>
      <c r="AM66" s="601">
        <v>1</v>
      </c>
      <c r="AN66" s="603" t="s">
        <v>17650</v>
      </c>
      <c r="AO66" s="603" t="s">
        <v>17651</v>
      </c>
      <c r="AP66" s="603" t="s">
        <v>17652</v>
      </c>
      <c r="AQ66" s="603" t="s">
        <v>17653</v>
      </c>
      <c r="AR66" s="603" t="s">
        <v>1024</v>
      </c>
      <c r="AS66" s="558">
        <v>1</v>
      </c>
    </row>
    <row r="67" spans="1:45" x14ac:dyDescent="0.2">
      <c r="A67" s="558" t="s">
        <v>23396</v>
      </c>
      <c r="B67" s="558" t="s">
        <v>869</v>
      </c>
      <c r="C67" s="558" t="s">
        <v>875</v>
      </c>
      <c r="D67" s="558" t="s">
        <v>23127</v>
      </c>
      <c r="E67" s="558" t="s">
        <v>192</v>
      </c>
      <c r="F67" s="563">
        <v>1</v>
      </c>
      <c r="G67" s="558" t="s">
        <v>193</v>
      </c>
      <c r="H67" s="558" t="s">
        <v>194</v>
      </c>
      <c r="I67" s="558" t="s">
        <v>23139</v>
      </c>
      <c r="J67" s="558" t="s">
        <v>9302</v>
      </c>
      <c r="K67" s="558" t="s">
        <v>9309</v>
      </c>
      <c r="L67" s="558" t="s">
        <v>6955</v>
      </c>
      <c r="M67" s="558"/>
      <c r="N67" s="558" t="s">
        <v>23397</v>
      </c>
      <c r="O67" s="558" t="s">
        <v>6266</v>
      </c>
      <c r="P67" s="558" t="s">
        <v>23398</v>
      </c>
      <c r="Q67" s="558" t="s">
        <v>23318</v>
      </c>
      <c r="R67" s="558" t="s">
        <v>23307</v>
      </c>
      <c r="S67" s="558" t="s">
        <v>23399</v>
      </c>
      <c r="T67" s="558" t="s">
        <v>23400</v>
      </c>
      <c r="U67" s="558"/>
      <c r="V67" s="603"/>
      <c r="W67" s="558" t="s">
        <v>876</v>
      </c>
      <c r="X67" s="558" t="s">
        <v>193</v>
      </c>
      <c r="Y67" s="558" t="s">
        <v>9310</v>
      </c>
      <c r="Z67" s="558"/>
      <c r="AA67" s="558"/>
      <c r="AB67" s="558" t="s">
        <v>9311</v>
      </c>
      <c r="AC67" s="558"/>
      <c r="AD67" s="558"/>
      <c r="AE67" s="558"/>
      <c r="AF67" s="558"/>
      <c r="AG67" s="558"/>
      <c r="AH67" s="558" t="s">
        <v>4714</v>
      </c>
      <c r="AI67" s="558" t="s">
        <v>869</v>
      </c>
      <c r="AJ67" s="601" t="str">
        <f t="shared" ref="AJ67:AJ130" si="2">MID(W67,8,6)</f>
        <v>833203</v>
      </c>
      <c r="AK67" s="601">
        <v>1</v>
      </c>
      <c r="AL67" s="601">
        <f t="shared" ref="AL67:AL130" si="3">F67</f>
        <v>1</v>
      </c>
      <c r="AM67" s="601">
        <v>1</v>
      </c>
      <c r="AN67" s="603" t="s">
        <v>17650</v>
      </c>
      <c r="AO67" s="603" t="s">
        <v>17651</v>
      </c>
      <c r="AP67" s="603" t="s">
        <v>17652</v>
      </c>
      <c r="AQ67" s="603" t="s">
        <v>17653</v>
      </c>
      <c r="AR67" s="603" t="s">
        <v>1024</v>
      </c>
      <c r="AS67" s="558">
        <v>1</v>
      </c>
    </row>
    <row r="68" spans="1:45" x14ac:dyDescent="0.2">
      <c r="A68" s="558" t="s">
        <v>23401</v>
      </c>
      <c r="B68" s="558" t="s">
        <v>20091</v>
      </c>
      <c r="C68" s="558" t="s">
        <v>17</v>
      </c>
      <c r="D68" s="558" t="s">
        <v>23127</v>
      </c>
      <c r="E68" s="558" t="s">
        <v>192</v>
      </c>
      <c r="F68" s="563">
        <v>1</v>
      </c>
      <c r="G68" s="558" t="s">
        <v>193</v>
      </c>
      <c r="H68" s="558" t="s">
        <v>194</v>
      </c>
      <c r="I68" s="558" t="s">
        <v>23139</v>
      </c>
      <c r="J68" s="558" t="s">
        <v>9302</v>
      </c>
      <c r="K68" s="558" t="s">
        <v>9309</v>
      </c>
      <c r="L68" s="558" t="s">
        <v>6955</v>
      </c>
      <c r="M68" s="558"/>
      <c r="N68" s="558" t="s">
        <v>23402</v>
      </c>
      <c r="O68" s="558" t="s">
        <v>6254</v>
      </c>
      <c r="P68" s="558" t="s">
        <v>23398</v>
      </c>
      <c r="Q68" s="558" t="s">
        <v>23318</v>
      </c>
      <c r="R68" s="558" t="s">
        <v>23307</v>
      </c>
      <c r="S68" s="558" t="s">
        <v>23403</v>
      </c>
      <c r="T68" s="558" t="s">
        <v>23404</v>
      </c>
      <c r="U68" s="558"/>
      <c r="V68" s="603"/>
      <c r="W68" s="558" t="s">
        <v>624</v>
      </c>
      <c r="X68" s="558" t="s">
        <v>193</v>
      </c>
      <c r="Y68" s="558" t="s">
        <v>9310</v>
      </c>
      <c r="Z68" s="558"/>
      <c r="AA68" s="558"/>
      <c r="AB68" s="558" t="s">
        <v>9311</v>
      </c>
      <c r="AC68" s="558"/>
      <c r="AD68" s="558"/>
      <c r="AE68" s="558"/>
      <c r="AF68" s="558"/>
      <c r="AG68" s="558"/>
      <c r="AH68" s="558" t="s">
        <v>4714</v>
      </c>
      <c r="AI68" s="558" t="s">
        <v>20091</v>
      </c>
      <c r="AJ68" s="601" t="str">
        <f t="shared" si="2"/>
        <v>332203</v>
      </c>
      <c r="AK68" s="601">
        <v>1</v>
      </c>
      <c r="AL68" s="601">
        <f t="shared" si="3"/>
        <v>1</v>
      </c>
      <c r="AM68" s="601">
        <v>1</v>
      </c>
      <c r="AN68" s="603" t="s">
        <v>17650</v>
      </c>
      <c r="AO68" s="603" t="s">
        <v>17651</v>
      </c>
      <c r="AP68" s="603" t="s">
        <v>17652</v>
      </c>
      <c r="AQ68" s="603" t="s">
        <v>17653</v>
      </c>
      <c r="AR68" s="603" t="s">
        <v>1024</v>
      </c>
      <c r="AS68" s="558">
        <v>1</v>
      </c>
    </row>
    <row r="69" spans="1:45" x14ac:dyDescent="0.2">
      <c r="A69" s="558" t="s">
        <v>23405</v>
      </c>
      <c r="B69" s="558" t="s">
        <v>2491</v>
      </c>
      <c r="C69" s="558" t="s">
        <v>770</v>
      </c>
      <c r="D69" s="558" t="s">
        <v>23127</v>
      </c>
      <c r="E69" s="558" t="s">
        <v>192</v>
      </c>
      <c r="F69" s="563">
        <v>1</v>
      </c>
      <c r="G69" s="558" t="s">
        <v>193</v>
      </c>
      <c r="H69" s="558" t="s">
        <v>194</v>
      </c>
      <c r="I69" s="558" t="s">
        <v>23186</v>
      </c>
      <c r="J69" s="558" t="s">
        <v>9302</v>
      </c>
      <c r="K69" s="558" t="s">
        <v>9309</v>
      </c>
      <c r="L69" s="558" t="s">
        <v>6955</v>
      </c>
      <c r="M69" s="558"/>
      <c r="N69" s="558" t="s">
        <v>23406</v>
      </c>
      <c r="O69" s="558" t="s">
        <v>6249</v>
      </c>
      <c r="P69" s="558" t="s">
        <v>23398</v>
      </c>
      <c r="Q69" s="558" t="s">
        <v>23318</v>
      </c>
      <c r="R69" s="558" t="s">
        <v>23307</v>
      </c>
      <c r="S69" s="558" t="s">
        <v>23407</v>
      </c>
      <c r="T69" s="558" t="s">
        <v>23408</v>
      </c>
      <c r="U69" s="558"/>
      <c r="V69" s="603"/>
      <c r="W69" s="558" t="s">
        <v>772</v>
      </c>
      <c r="X69" s="558" t="s">
        <v>193</v>
      </c>
      <c r="Y69" s="558" t="s">
        <v>9310</v>
      </c>
      <c r="Z69" s="558"/>
      <c r="AA69" s="558"/>
      <c r="AB69" s="558" t="s">
        <v>9311</v>
      </c>
      <c r="AC69" s="558"/>
      <c r="AD69" s="558"/>
      <c r="AE69" s="558"/>
      <c r="AF69" s="558"/>
      <c r="AG69" s="558"/>
      <c r="AH69" s="558" t="s">
        <v>4714</v>
      </c>
      <c r="AI69" s="558" t="s">
        <v>2491</v>
      </c>
      <c r="AJ69" s="601" t="str">
        <f t="shared" si="2"/>
        <v>522305</v>
      </c>
      <c r="AK69" s="601">
        <v>1</v>
      </c>
      <c r="AL69" s="601">
        <f t="shared" si="3"/>
        <v>1</v>
      </c>
      <c r="AM69" s="601">
        <v>1</v>
      </c>
      <c r="AN69" s="603" t="s">
        <v>17650</v>
      </c>
      <c r="AO69" s="603" t="s">
        <v>17651</v>
      </c>
      <c r="AP69" s="603" t="s">
        <v>17652</v>
      </c>
      <c r="AQ69" s="603" t="s">
        <v>17653</v>
      </c>
      <c r="AR69" s="603" t="s">
        <v>1024</v>
      </c>
      <c r="AS69" s="558">
        <v>1</v>
      </c>
    </row>
    <row r="70" spans="1:45" x14ac:dyDescent="0.2">
      <c r="A70" s="558" t="s">
        <v>23409</v>
      </c>
      <c r="B70" s="558" t="s">
        <v>23410</v>
      </c>
      <c r="C70" s="558" t="s">
        <v>43</v>
      </c>
      <c r="D70" s="558" t="s">
        <v>23127</v>
      </c>
      <c r="E70" s="558" t="s">
        <v>192</v>
      </c>
      <c r="F70" s="563">
        <v>1</v>
      </c>
      <c r="G70" s="558" t="s">
        <v>193</v>
      </c>
      <c r="H70" s="558" t="s">
        <v>194</v>
      </c>
      <c r="I70" s="558" t="s">
        <v>23307</v>
      </c>
      <c r="J70" s="558" t="s">
        <v>9302</v>
      </c>
      <c r="K70" s="558" t="s">
        <v>9309</v>
      </c>
      <c r="L70" s="558" t="s">
        <v>6955</v>
      </c>
      <c r="M70" s="558"/>
      <c r="N70" s="558" t="s">
        <v>23411</v>
      </c>
      <c r="O70" s="558" t="s">
        <v>6245</v>
      </c>
      <c r="P70" s="558" t="s">
        <v>23398</v>
      </c>
      <c r="Q70" s="558" t="s">
        <v>23318</v>
      </c>
      <c r="R70" s="558" t="s">
        <v>23307</v>
      </c>
      <c r="S70" s="558" t="s">
        <v>23412</v>
      </c>
      <c r="T70" s="558" t="s">
        <v>23413</v>
      </c>
      <c r="U70" s="558"/>
      <c r="V70" s="603"/>
      <c r="W70" s="558" t="s">
        <v>452</v>
      </c>
      <c r="X70" s="558" t="s">
        <v>193</v>
      </c>
      <c r="Y70" s="558" t="s">
        <v>9310</v>
      </c>
      <c r="Z70" s="558"/>
      <c r="AA70" s="558"/>
      <c r="AB70" s="558" t="s">
        <v>9311</v>
      </c>
      <c r="AC70" s="558"/>
      <c r="AD70" s="558"/>
      <c r="AE70" s="558"/>
      <c r="AF70" s="558"/>
      <c r="AG70" s="558"/>
      <c r="AH70" s="558" t="s">
        <v>4714</v>
      </c>
      <c r="AI70" s="558" t="s">
        <v>23410</v>
      </c>
      <c r="AJ70" s="601" t="str">
        <f t="shared" si="2"/>
        <v>243106</v>
      </c>
      <c r="AK70" s="601">
        <v>1</v>
      </c>
      <c r="AL70" s="601">
        <f t="shared" si="3"/>
        <v>1</v>
      </c>
      <c r="AM70" s="601">
        <v>1</v>
      </c>
      <c r="AN70" s="603" t="s">
        <v>17650</v>
      </c>
      <c r="AO70" s="603" t="s">
        <v>17651</v>
      </c>
      <c r="AP70" s="603" t="s">
        <v>17652</v>
      </c>
      <c r="AQ70" s="603" t="s">
        <v>17653</v>
      </c>
      <c r="AR70" s="603" t="s">
        <v>1024</v>
      </c>
      <c r="AS70" s="558">
        <v>1</v>
      </c>
    </row>
    <row r="71" spans="1:45" x14ac:dyDescent="0.2">
      <c r="A71" s="558" t="s">
        <v>23414</v>
      </c>
      <c r="B71" s="558" t="s">
        <v>1322</v>
      </c>
      <c r="C71" s="558" t="s">
        <v>3367</v>
      </c>
      <c r="D71" s="558" t="s">
        <v>23127</v>
      </c>
      <c r="E71" s="558" t="s">
        <v>192</v>
      </c>
      <c r="F71" s="563">
        <v>1</v>
      </c>
      <c r="G71" s="558" t="s">
        <v>193</v>
      </c>
      <c r="H71" s="558" t="s">
        <v>194</v>
      </c>
      <c r="I71" s="558" t="s">
        <v>23128</v>
      </c>
      <c r="J71" s="558" t="s">
        <v>9302</v>
      </c>
      <c r="K71" s="558" t="s">
        <v>9309</v>
      </c>
      <c r="L71" s="558" t="s">
        <v>6955</v>
      </c>
      <c r="M71" s="558"/>
      <c r="N71" s="558" t="s">
        <v>23415</v>
      </c>
      <c r="O71" s="558" t="s">
        <v>6261</v>
      </c>
      <c r="P71" s="558" t="s">
        <v>23398</v>
      </c>
      <c r="Q71" s="558" t="s">
        <v>23318</v>
      </c>
      <c r="R71" s="558" t="s">
        <v>23416</v>
      </c>
      <c r="S71" s="558" t="s">
        <v>23417</v>
      </c>
      <c r="T71" s="558" t="s">
        <v>23418</v>
      </c>
      <c r="U71" s="558"/>
      <c r="V71" s="603"/>
      <c r="W71" s="558" t="s">
        <v>3368</v>
      </c>
      <c r="X71" s="558" t="s">
        <v>193</v>
      </c>
      <c r="Y71" s="558" t="s">
        <v>9310</v>
      </c>
      <c r="Z71" s="558"/>
      <c r="AA71" s="558"/>
      <c r="AB71" s="558" t="s">
        <v>9311</v>
      </c>
      <c r="AC71" s="558"/>
      <c r="AD71" s="558"/>
      <c r="AE71" s="558"/>
      <c r="AF71" s="558"/>
      <c r="AG71" s="558"/>
      <c r="AH71" s="558" t="s">
        <v>4714</v>
      </c>
      <c r="AI71" s="558" t="s">
        <v>1322</v>
      </c>
      <c r="AJ71" s="601" t="str">
        <f t="shared" si="2"/>
        <v>133001</v>
      </c>
      <c r="AK71" s="601">
        <v>1</v>
      </c>
      <c r="AL71" s="601">
        <f t="shared" si="3"/>
        <v>1</v>
      </c>
      <c r="AM71" s="601">
        <v>1</v>
      </c>
      <c r="AN71" s="603" t="s">
        <v>17650</v>
      </c>
      <c r="AO71" s="603" t="s">
        <v>17651</v>
      </c>
      <c r="AP71" s="603" t="s">
        <v>17652</v>
      </c>
      <c r="AQ71" s="603" t="s">
        <v>17653</v>
      </c>
      <c r="AR71" s="603" t="s">
        <v>1024</v>
      </c>
      <c r="AS71" s="558">
        <v>1</v>
      </c>
    </row>
    <row r="72" spans="1:45" x14ac:dyDescent="0.2">
      <c r="A72" s="558" t="s">
        <v>23414</v>
      </c>
      <c r="B72" s="558" t="s">
        <v>7706</v>
      </c>
      <c r="C72" s="558" t="s">
        <v>2861</v>
      </c>
      <c r="D72" s="558" t="s">
        <v>23127</v>
      </c>
      <c r="E72" s="558" t="s">
        <v>192</v>
      </c>
      <c r="F72" s="565">
        <v>2</v>
      </c>
      <c r="G72" s="558" t="s">
        <v>193</v>
      </c>
      <c r="H72" s="558" t="s">
        <v>194</v>
      </c>
      <c r="I72" s="558" t="s">
        <v>23128</v>
      </c>
      <c r="J72" s="558" t="s">
        <v>9302</v>
      </c>
      <c r="K72" s="558" t="s">
        <v>9309</v>
      </c>
      <c r="L72" s="558" t="s">
        <v>6955</v>
      </c>
      <c r="M72" s="558"/>
      <c r="N72" s="558" t="s">
        <v>23419</v>
      </c>
      <c r="O72" s="558" t="s">
        <v>6261</v>
      </c>
      <c r="P72" s="558" t="s">
        <v>23398</v>
      </c>
      <c r="Q72" s="558" t="s">
        <v>23318</v>
      </c>
      <c r="R72" s="558" t="s">
        <v>23416</v>
      </c>
      <c r="S72" s="558" t="s">
        <v>23420</v>
      </c>
      <c r="T72" s="558" t="s">
        <v>23421</v>
      </c>
      <c r="U72" s="558"/>
      <c r="V72" s="603"/>
      <c r="W72" s="558" t="s">
        <v>3629</v>
      </c>
      <c r="X72" s="558" t="s">
        <v>193</v>
      </c>
      <c r="Y72" s="558" t="s">
        <v>9310</v>
      </c>
      <c r="Z72" s="558"/>
      <c r="AA72" s="558"/>
      <c r="AB72" s="558" t="s">
        <v>9311</v>
      </c>
      <c r="AC72" s="558"/>
      <c r="AD72" s="558"/>
      <c r="AE72" s="558"/>
      <c r="AF72" s="558"/>
      <c r="AG72" s="558"/>
      <c r="AH72" s="558" t="s">
        <v>4714</v>
      </c>
      <c r="AI72" s="558" t="s">
        <v>7706</v>
      </c>
      <c r="AJ72" s="601" t="str">
        <f t="shared" si="2"/>
        <v>251903</v>
      </c>
      <c r="AK72" s="601">
        <v>1</v>
      </c>
      <c r="AL72" s="601">
        <f t="shared" si="3"/>
        <v>2</v>
      </c>
      <c r="AM72" s="601">
        <v>1</v>
      </c>
      <c r="AN72" s="603" t="s">
        <v>17650</v>
      </c>
      <c r="AO72" s="603" t="s">
        <v>17651</v>
      </c>
      <c r="AP72" s="603" t="s">
        <v>17652</v>
      </c>
      <c r="AQ72" s="603" t="s">
        <v>17653</v>
      </c>
      <c r="AR72" s="603" t="s">
        <v>1024</v>
      </c>
      <c r="AS72" s="558">
        <v>1</v>
      </c>
    </row>
    <row r="73" spans="1:45" x14ac:dyDescent="0.2">
      <c r="A73" s="558" t="s">
        <v>23422</v>
      </c>
      <c r="B73" s="558" t="s">
        <v>12935</v>
      </c>
      <c r="C73" s="558" t="s">
        <v>10</v>
      </c>
      <c r="D73" s="558" t="s">
        <v>23127</v>
      </c>
      <c r="E73" s="558" t="s">
        <v>192</v>
      </c>
      <c r="F73" s="563">
        <v>1</v>
      </c>
      <c r="G73" s="558" t="s">
        <v>193</v>
      </c>
      <c r="H73" s="558" t="s">
        <v>194</v>
      </c>
      <c r="I73" s="558" t="s">
        <v>23307</v>
      </c>
      <c r="J73" s="558" t="s">
        <v>9302</v>
      </c>
      <c r="K73" s="558" t="s">
        <v>9309</v>
      </c>
      <c r="L73" s="558" t="s">
        <v>6955</v>
      </c>
      <c r="M73" s="558"/>
      <c r="N73" s="558" t="s">
        <v>23423</v>
      </c>
      <c r="O73" s="558" t="s">
        <v>6261</v>
      </c>
      <c r="P73" s="558" t="s">
        <v>23398</v>
      </c>
      <c r="Q73" s="558" t="s">
        <v>23318</v>
      </c>
      <c r="R73" s="558" t="s">
        <v>23416</v>
      </c>
      <c r="S73" s="558" t="s">
        <v>23424</v>
      </c>
      <c r="T73" s="558" t="s">
        <v>23425</v>
      </c>
      <c r="U73" s="558"/>
      <c r="V73" s="603"/>
      <c r="W73" s="558" t="s">
        <v>484</v>
      </c>
      <c r="X73" s="558" t="s">
        <v>193</v>
      </c>
      <c r="Y73" s="558" t="s">
        <v>9310</v>
      </c>
      <c r="Z73" s="558"/>
      <c r="AA73" s="558"/>
      <c r="AB73" s="558" t="s">
        <v>9311</v>
      </c>
      <c r="AC73" s="558"/>
      <c r="AD73" s="558"/>
      <c r="AE73" s="558"/>
      <c r="AF73" s="558"/>
      <c r="AG73" s="558"/>
      <c r="AH73" s="558" t="s">
        <v>4714</v>
      </c>
      <c r="AI73" s="558" t="s">
        <v>12935</v>
      </c>
      <c r="AJ73" s="601" t="str">
        <f t="shared" si="2"/>
        <v>251401</v>
      </c>
      <c r="AK73" s="601">
        <v>1</v>
      </c>
      <c r="AL73" s="601">
        <f t="shared" si="3"/>
        <v>1</v>
      </c>
      <c r="AM73" s="601">
        <v>1</v>
      </c>
      <c r="AN73" s="603" t="s">
        <v>17650</v>
      </c>
      <c r="AO73" s="603" t="s">
        <v>17651</v>
      </c>
      <c r="AP73" s="603" t="s">
        <v>17652</v>
      </c>
      <c r="AQ73" s="603" t="s">
        <v>17653</v>
      </c>
      <c r="AR73" s="603" t="s">
        <v>1024</v>
      </c>
      <c r="AS73" s="558">
        <v>1</v>
      </c>
    </row>
    <row r="74" spans="1:45" x14ac:dyDescent="0.2">
      <c r="A74" s="558" t="s">
        <v>4969</v>
      </c>
      <c r="B74" s="558" t="s">
        <v>1053</v>
      </c>
      <c r="C74" s="558" t="s">
        <v>46</v>
      </c>
      <c r="D74" s="558" t="s">
        <v>23127</v>
      </c>
      <c r="E74" s="558" t="s">
        <v>192</v>
      </c>
      <c r="F74" s="563">
        <v>1</v>
      </c>
      <c r="G74" s="558" t="s">
        <v>193</v>
      </c>
      <c r="H74" s="558" t="s">
        <v>194</v>
      </c>
      <c r="I74" s="558" t="s">
        <v>23307</v>
      </c>
      <c r="J74" s="558" t="s">
        <v>9302</v>
      </c>
      <c r="K74" s="558" t="s">
        <v>9309</v>
      </c>
      <c r="L74" s="558" t="s">
        <v>6955</v>
      </c>
      <c r="M74" s="558"/>
      <c r="N74" s="558" t="s">
        <v>23426</v>
      </c>
      <c r="O74" s="558" t="s">
        <v>6921</v>
      </c>
      <c r="P74" s="558" t="s">
        <v>23398</v>
      </c>
      <c r="Q74" s="558" t="s">
        <v>23318</v>
      </c>
      <c r="R74" s="558" t="s">
        <v>23307</v>
      </c>
      <c r="S74" s="558" t="s">
        <v>23427</v>
      </c>
      <c r="T74" s="558" t="s">
        <v>23428</v>
      </c>
      <c r="U74" s="558"/>
      <c r="V74" s="603"/>
      <c r="W74" s="558" t="s">
        <v>510</v>
      </c>
      <c r="X74" s="558" t="s">
        <v>193</v>
      </c>
      <c r="Y74" s="558" t="s">
        <v>9310</v>
      </c>
      <c r="Z74" s="558"/>
      <c r="AA74" s="558"/>
      <c r="AB74" s="558" t="s">
        <v>9311</v>
      </c>
      <c r="AC74" s="558"/>
      <c r="AD74" s="558"/>
      <c r="AE74" s="558"/>
      <c r="AF74" s="558"/>
      <c r="AG74" s="558"/>
      <c r="AH74" s="558" t="s">
        <v>4714</v>
      </c>
      <c r="AI74" s="558" t="s">
        <v>1053</v>
      </c>
      <c r="AJ74" s="601" t="str">
        <f t="shared" si="2"/>
        <v>252201</v>
      </c>
      <c r="AK74" s="601">
        <v>1</v>
      </c>
      <c r="AL74" s="601">
        <f t="shared" si="3"/>
        <v>1</v>
      </c>
      <c r="AM74" s="601">
        <v>1</v>
      </c>
      <c r="AN74" s="603" t="s">
        <v>17650</v>
      </c>
      <c r="AO74" s="603" t="s">
        <v>17651</v>
      </c>
      <c r="AP74" s="603" t="s">
        <v>17652</v>
      </c>
      <c r="AQ74" s="603" t="s">
        <v>17653</v>
      </c>
      <c r="AR74" s="603" t="s">
        <v>1024</v>
      </c>
      <c r="AS74" s="558">
        <v>1</v>
      </c>
    </row>
    <row r="75" spans="1:45" x14ac:dyDescent="0.2">
      <c r="A75" s="558" t="s">
        <v>23429</v>
      </c>
      <c r="B75" s="558" t="s">
        <v>1488</v>
      </c>
      <c r="C75" s="558" t="s">
        <v>12</v>
      </c>
      <c r="D75" s="558" t="s">
        <v>23127</v>
      </c>
      <c r="E75" s="558" t="s">
        <v>192</v>
      </c>
      <c r="F75" s="563">
        <v>1</v>
      </c>
      <c r="G75" s="558" t="s">
        <v>193</v>
      </c>
      <c r="H75" s="558" t="s">
        <v>194</v>
      </c>
      <c r="I75" s="558" t="s">
        <v>23139</v>
      </c>
      <c r="J75" s="558" t="s">
        <v>9302</v>
      </c>
      <c r="K75" s="558" t="s">
        <v>9309</v>
      </c>
      <c r="L75" s="558" t="s">
        <v>6955</v>
      </c>
      <c r="M75" s="558"/>
      <c r="N75" s="558" t="s">
        <v>23430</v>
      </c>
      <c r="O75" s="558" t="s">
        <v>6324</v>
      </c>
      <c r="P75" s="558" t="s">
        <v>23226</v>
      </c>
      <c r="Q75" s="558" t="s">
        <v>23318</v>
      </c>
      <c r="R75" s="558" t="s">
        <v>23307</v>
      </c>
      <c r="S75" s="558" t="s">
        <v>23431</v>
      </c>
      <c r="T75" s="558" t="s">
        <v>23432</v>
      </c>
      <c r="U75" s="558"/>
      <c r="V75" s="603"/>
      <c r="W75" s="558" t="s">
        <v>220</v>
      </c>
      <c r="X75" s="558" t="s">
        <v>193</v>
      </c>
      <c r="Y75" s="558" t="s">
        <v>9310</v>
      </c>
      <c r="Z75" s="558"/>
      <c r="AA75" s="558"/>
      <c r="AB75" s="558" t="s">
        <v>9311</v>
      </c>
      <c r="AC75" s="558"/>
      <c r="AD75" s="558"/>
      <c r="AE75" s="558"/>
      <c r="AF75" s="558"/>
      <c r="AG75" s="558"/>
      <c r="AH75" s="558" t="s">
        <v>4714</v>
      </c>
      <c r="AI75" s="558" t="s">
        <v>12</v>
      </c>
      <c r="AJ75" s="601" t="str">
        <f t="shared" si="2"/>
        <v>132301</v>
      </c>
      <c r="AK75" s="601">
        <v>1</v>
      </c>
      <c r="AL75" s="601">
        <f t="shared" si="3"/>
        <v>1</v>
      </c>
      <c r="AM75" s="601">
        <v>1</v>
      </c>
      <c r="AN75" s="603" t="s">
        <v>17650</v>
      </c>
      <c r="AO75" s="603" t="s">
        <v>17651</v>
      </c>
      <c r="AP75" s="603" t="s">
        <v>17652</v>
      </c>
      <c r="AQ75" s="603" t="s">
        <v>17653</v>
      </c>
      <c r="AR75" s="603" t="s">
        <v>1024</v>
      </c>
      <c r="AS75" s="558">
        <v>1</v>
      </c>
    </row>
    <row r="76" spans="1:45" x14ac:dyDescent="0.2">
      <c r="A76" s="558" t="s">
        <v>1523</v>
      </c>
      <c r="B76" s="558" t="s">
        <v>23433</v>
      </c>
      <c r="C76" s="558" t="s">
        <v>4065</v>
      </c>
      <c r="D76" s="558" t="s">
        <v>23127</v>
      </c>
      <c r="E76" s="558" t="s">
        <v>192</v>
      </c>
      <c r="F76" s="563">
        <v>1</v>
      </c>
      <c r="G76" s="558" t="s">
        <v>193</v>
      </c>
      <c r="H76" s="558" t="s">
        <v>194</v>
      </c>
      <c r="I76" s="558" t="s">
        <v>23128</v>
      </c>
      <c r="J76" s="558" t="s">
        <v>9302</v>
      </c>
      <c r="K76" s="558" t="s">
        <v>9309</v>
      </c>
      <c r="L76" s="558" t="s">
        <v>6955</v>
      </c>
      <c r="M76" s="558"/>
      <c r="N76" s="558" t="s">
        <v>23434</v>
      </c>
      <c r="O76" s="558" t="s">
        <v>6327</v>
      </c>
      <c r="P76" s="558" t="s">
        <v>23398</v>
      </c>
      <c r="Q76" s="558" t="s">
        <v>23318</v>
      </c>
      <c r="R76" s="558" t="s">
        <v>23307</v>
      </c>
      <c r="S76" s="558" t="s">
        <v>23435</v>
      </c>
      <c r="T76" s="558" t="s">
        <v>23436</v>
      </c>
      <c r="U76" s="558"/>
      <c r="V76" s="603"/>
      <c r="W76" s="558" t="s">
        <v>4066</v>
      </c>
      <c r="X76" s="558" t="s">
        <v>193</v>
      </c>
      <c r="Y76" s="558" t="s">
        <v>9310</v>
      </c>
      <c r="Z76" s="558"/>
      <c r="AA76" s="558"/>
      <c r="AB76" s="558" t="s">
        <v>9311</v>
      </c>
      <c r="AC76" s="558"/>
      <c r="AD76" s="558"/>
      <c r="AE76" s="558"/>
      <c r="AF76" s="558"/>
      <c r="AG76" s="558"/>
      <c r="AH76" s="558" t="s">
        <v>4714</v>
      </c>
      <c r="AI76" s="558" t="s">
        <v>23433</v>
      </c>
      <c r="AJ76" s="601" t="str">
        <f t="shared" si="2"/>
        <v>832203</v>
      </c>
      <c r="AK76" s="601">
        <v>1</v>
      </c>
      <c r="AL76" s="601">
        <f t="shared" si="3"/>
        <v>1</v>
      </c>
      <c r="AM76" s="601">
        <v>1</v>
      </c>
      <c r="AN76" s="603" t="s">
        <v>17650</v>
      </c>
      <c r="AO76" s="603" t="s">
        <v>17651</v>
      </c>
      <c r="AP76" s="603" t="s">
        <v>17652</v>
      </c>
      <c r="AQ76" s="603" t="s">
        <v>17653</v>
      </c>
      <c r="AR76" s="603" t="s">
        <v>1024</v>
      </c>
      <c r="AS76" s="558">
        <v>1</v>
      </c>
    </row>
    <row r="77" spans="1:45" x14ac:dyDescent="0.2">
      <c r="A77" s="558" t="s">
        <v>6239</v>
      </c>
      <c r="B77" s="558" t="s">
        <v>23437</v>
      </c>
      <c r="C77" s="558" t="s">
        <v>10</v>
      </c>
      <c r="D77" s="558" t="s">
        <v>23127</v>
      </c>
      <c r="E77" s="558" t="s">
        <v>192</v>
      </c>
      <c r="F77" s="563">
        <v>1</v>
      </c>
      <c r="G77" s="558" t="s">
        <v>193</v>
      </c>
      <c r="H77" s="558" t="s">
        <v>194</v>
      </c>
      <c r="I77" s="558" t="s">
        <v>23307</v>
      </c>
      <c r="J77" s="558" t="s">
        <v>9302</v>
      </c>
      <c r="K77" s="558" t="s">
        <v>9309</v>
      </c>
      <c r="L77" s="558" t="s">
        <v>6955</v>
      </c>
      <c r="M77" s="558"/>
      <c r="N77" s="558" t="s">
        <v>23438</v>
      </c>
      <c r="O77" s="558" t="s">
        <v>6261</v>
      </c>
      <c r="P77" s="558" t="s">
        <v>23398</v>
      </c>
      <c r="Q77" s="558" t="s">
        <v>23318</v>
      </c>
      <c r="R77" s="558" t="s">
        <v>23307</v>
      </c>
      <c r="S77" s="558" t="s">
        <v>23439</v>
      </c>
      <c r="T77" s="558" t="s">
        <v>23440</v>
      </c>
      <c r="U77" s="558"/>
      <c r="V77" s="603"/>
      <c r="W77" s="558" t="s">
        <v>484</v>
      </c>
      <c r="X77" s="558" t="s">
        <v>193</v>
      </c>
      <c r="Y77" s="558" t="s">
        <v>9310</v>
      </c>
      <c r="Z77" s="558"/>
      <c r="AA77" s="558"/>
      <c r="AB77" s="558" t="s">
        <v>9311</v>
      </c>
      <c r="AC77" s="558"/>
      <c r="AD77" s="558"/>
      <c r="AE77" s="558"/>
      <c r="AF77" s="558"/>
      <c r="AG77" s="558"/>
      <c r="AH77" s="558" t="s">
        <v>4714</v>
      </c>
      <c r="AI77" s="558" t="s">
        <v>23437</v>
      </c>
      <c r="AJ77" s="601" t="str">
        <f t="shared" si="2"/>
        <v>251401</v>
      </c>
      <c r="AK77" s="601">
        <v>1</v>
      </c>
      <c r="AL77" s="601">
        <f t="shared" si="3"/>
        <v>1</v>
      </c>
      <c r="AM77" s="601">
        <v>1</v>
      </c>
      <c r="AN77" s="603" t="s">
        <v>17650</v>
      </c>
      <c r="AO77" s="603" t="s">
        <v>17651</v>
      </c>
      <c r="AP77" s="603" t="s">
        <v>17652</v>
      </c>
      <c r="AQ77" s="603" t="s">
        <v>17653</v>
      </c>
      <c r="AR77" s="603" t="s">
        <v>1024</v>
      </c>
      <c r="AS77" s="558">
        <v>1</v>
      </c>
    </row>
    <row r="78" spans="1:45" x14ac:dyDescent="0.2">
      <c r="A78" s="558" t="s">
        <v>16923</v>
      </c>
      <c r="B78" s="558" t="s">
        <v>23441</v>
      </c>
      <c r="C78" s="558" t="s">
        <v>136</v>
      </c>
      <c r="D78" s="558" t="s">
        <v>23127</v>
      </c>
      <c r="E78" s="558" t="s">
        <v>192</v>
      </c>
      <c r="F78" s="563">
        <v>1</v>
      </c>
      <c r="G78" s="558" t="s">
        <v>193</v>
      </c>
      <c r="H78" s="558" t="s">
        <v>194</v>
      </c>
      <c r="I78" s="558" t="s">
        <v>23164</v>
      </c>
      <c r="J78" s="558" t="s">
        <v>9302</v>
      </c>
      <c r="K78" s="558" t="s">
        <v>9309</v>
      </c>
      <c r="L78" s="558" t="s">
        <v>6955</v>
      </c>
      <c r="M78" s="558"/>
      <c r="N78" s="558" t="s">
        <v>23442</v>
      </c>
      <c r="O78" s="558" t="s">
        <v>6374</v>
      </c>
      <c r="P78" s="558" t="s">
        <v>23398</v>
      </c>
      <c r="Q78" s="558" t="s">
        <v>23318</v>
      </c>
      <c r="R78" s="558" t="s">
        <v>23307</v>
      </c>
      <c r="S78" s="558" t="s">
        <v>23443</v>
      </c>
      <c r="T78" s="558" t="s">
        <v>23444</v>
      </c>
      <c r="U78" s="558"/>
      <c r="V78" s="603"/>
      <c r="W78" s="558" t="s">
        <v>461</v>
      </c>
      <c r="X78" s="558" t="s">
        <v>193</v>
      </c>
      <c r="Y78" s="558" t="s">
        <v>9310</v>
      </c>
      <c r="Z78" s="558"/>
      <c r="AA78" s="558"/>
      <c r="AB78" s="558" t="s">
        <v>9311</v>
      </c>
      <c r="AC78" s="558"/>
      <c r="AD78" s="558"/>
      <c r="AE78" s="558"/>
      <c r="AF78" s="558"/>
      <c r="AG78" s="558"/>
      <c r="AH78" s="558" t="s">
        <v>4714</v>
      </c>
      <c r="AI78" s="558" t="s">
        <v>23441</v>
      </c>
      <c r="AJ78" s="601" t="str">
        <f t="shared" si="2"/>
        <v>243301</v>
      </c>
      <c r="AK78" s="601">
        <v>1</v>
      </c>
      <c r="AL78" s="601">
        <f t="shared" si="3"/>
        <v>1</v>
      </c>
      <c r="AM78" s="601">
        <v>1</v>
      </c>
      <c r="AN78" s="603" t="s">
        <v>17650</v>
      </c>
      <c r="AO78" s="603" t="s">
        <v>17651</v>
      </c>
      <c r="AP78" s="603" t="s">
        <v>17652</v>
      </c>
      <c r="AQ78" s="603" t="s">
        <v>17653</v>
      </c>
      <c r="AR78" s="603" t="s">
        <v>1024</v>
      </c>
      <c r="AS78" s="558">
        <v>1</v>
      </c>
    </row>
    <row r="79" spans="1:45" x14ac:dyDescent="0.2">
      <c r="A79" s="558" t="s">
        <v>23445</v>
      </c>
      <c r="B79" s="558" t="s">
        <v>23446</v>
      </c>
      <c r="C79" s="558" t="s">
        <v>17</v>
      </c>
      <c r="D79" s="558" t="s">
        <v>23127</v>
      </c>
      <c r="E79" s="558" t="s">
        <v>192</v>
      </c>
      <c r="F79" s="563">
        <v>1</v>
      </c>
      <c r="G79" s="558" t="s">
        <v>193</v>
      </c>
      <c r="H79" s="558" t="s">
        <v>194</v>
      </c>
      <c r="I79" s="558" t="s">
        <v>23164</v>
      </c>
      <c r="J79" s="558" t="s">
        <v>9302</v>
      </c>
      <c r="K79" s="558" t="s">
        <v>9309</v>
      </c>
      <c r="L79" s="558" t="s">
        <v>6955</v>
      </c>
      <c r="M79" s="558"/>
      <c r="N79" s="558" t="s">
        <v>23447</v>
      </c>
      <c r="O79" s="558" t="s">
        <v>6266</v>
      </c>
      <c r="P79" s="558" t="s">
        <v>23398</v>
      </c>
      <c r="Q79" s="558" t="s">
        <v>23318</v>
      </c>
      <c r="R79" s="558" t="s">
        <v>23307</v>
      </c>
      <c r="S79" s="558" t="s">
        <v>23448</v>
      </c>
      <c r="T79" s="558" t="s">
        <v>23449</v>
      </c>
      <c r="U79" s="558"/>
      <c r="V79" s="603"/>
      <c r="W79" s="558" t="s">
        <v>624</v>
      </c>
      <c r="X79" s="558" t="s">
        <v>193</v>
      </c>
      <c r="Y79" s="558" t="s">
        <v>9310</v>
      </c>
      <c r="Z79" s="558"/>
      <c r="AA79" s="558"/>
      <c r="AB79" s="558" t="s">
        <v>9311</v>
      </c>
      <c r="AC79" s="558"/>
      <c r="AD79" s="558"/>
      <c r="AE79" s="558"/>
      <c r="AF79" s="558"/>
      <c r="AG79" s="558"/>
      <c r="AH79" s="558" t="s">
        <v>4714</v>
      </c>
      <c r="AI79" s="558" t="s">
        <v>23446</v>
      </c>
      <c r="AJ79" s="601" t="str">
        <f t="shared" si="2"/>
        <v>332203</v>
      </c>
      <c r="AK79" s="601">
        <v>1</v>
      </c>
      <c r="AL79" s="601">
        <f t="shared" si="3"/>
        <v>1</v>
      </c>
      <c r="AM79" s="601">
        <v>1</v>
      </c>
      <c r="AN79" s="603" t="s">
        <v>17650</v>
      </c>
      <c r="AO79" s="603" t="s">
        <v>17651</v>
      </c>
      <c r="AP79" s="603" t="s">
        <v>17652</v>
      </c>
      <c r="AQ79" s="603" t="s">
        <v>17653</v>
      </c>
      <c r="AR79" s="603" t="s">
        <v>1024</v>
      </c>
      <c r="AS79" s="558">
        <v>1</v>
      </c>
    </row>
    <row r="80" spans="1:45" x14ac:dyDescent="0.2">
      <c r="A80" s="558" t="s">
        <v>415</v>
      </c>
      <c r="B80" s="558" t="s">
        <v>23450</v>
      </c>
      <c r="C80" s="558" t="s">
        <v>1766</v>
      </c>
      <c r="D80" s="558" t="s">
        <v>23127</v>
      </c>
      <c r="E80" s="558" t="s">
        <v>192</v>
      </c>
      <c r="F80" s="563">
        <v>1</v>
      </c>
      <c r="G80" s="558" t="s">
        <v>193</v>
      </c>
      <c r="H80" s="558" t="s">
        <v>194</v>
      </c>
      <c r="I80" s="558" t="s">
        <v>23128</v>
      </c>
      <c r="J80" s="558" t="s">
        <v>9302</v>
      </c>
      <c r="K80" s="558" t="s">
        <v>9309</v>
      </c>
      <c r="L80" s="558" t="s">
        <v>6955</v>
      </c>
      <c r="M80" s="558"/>
      <c r="N80" s="558" t="s">
        <v>23451</v>
      </c>
      <c r="O80" s="558" t="s">
        <v>6921</v>
      </c>
      <c r="P80" s="558" t="s">
        <v>23398</v>
      </c>
      <c r="Q80" s="558" t="s">
        <v>23318</v>
      </c>
      <c r="R80" s="558" t="s">
        <v>23307</v>
      </c>
      <c r="S80" s="558" t="s">
        <v>23452</v>
      </c>
      <c r="T80" s="558" t="s">
        <v>23453</v>
      </c>
      <c r="U80" s="558"/>
      <c r="V80" s="603"/>
      <c r="W80" s="558" t="s">
        <v>1767</v>
      </c>
      <c r="X80" s="558" t="s">
        <v>193</v>
      </c>
      <c r="Y80" s="558" t="s">
        <v>9310</v>
      </c>
      <c r="Z80" s="558"/>
      <c r="AA80" s="558"/>
      <c r="AB80" s="558" t="s">
        <v>9311</v>
      </c>
      <c r="AC80" s="558"/>
      <c r="AD80" s="558"/>
      <c r="AE80" s="558"/>
      <c r="AF80" s="558"/>
      <c r="AG80" s="558"/>
      <c r="AH80" s="558" t="s">
        <v>4714</v>
      </c>
      <c r="AI80" s="558" t="s">
        <v>23450</v>
      </c>
      <c r="AJ80" s="601" t="str">
        <f t="shared" si="2"/>
        <v>242112</v>
      </c>
      <c r="AK80" s="601">
        <v>1</v>
      </c>
      <c r="AL80" s="601">
        <f t="shared" si="3"/>
        <v>1</v>
      </c>
      <c r="AM80" s="601">
        <v>1</v>
      </c>
      <c r="AN80" s="603" t="s">
        <v>17650</v>
      </c>
      <c r="AO80" s="603" t="s">
        <v>17651</v>
      </c>
      <c r="AP80" s="603" t="s">
        <v>17652</v>
      </c>
      <c r="AQ80" s="603" t="s">
        <v>17653</v>
      </c>
      <c r="AR80" s="603" t="s">
        <v>1024</v>
      </c>
      <c r="AS80" s="558">
        <v>1</v>
      </c>
    </row>
    <row r="81" spans="1:45" x14ac:dyDescent="0.2">
      <c r="A81" s="558" t="s">
        <v>22055</v>
      </c>
      <c r="B81" s="558" t="s">
        <v>23454</v>
      </c>
      <c r="C81" s="558" t="s">
        <v>35</v>
      </c>
      <c r="D81" s="558" t="s">
        <v>23127</v>
      </c>
      <c r="E81" s="558" t="s">
        <v>192</v>
      </c>
      <c r="F81" s="563">
        <v>1</v>
      </c>
      <c r="G81" s="558" t="s">
        <v>193</v>
      </c>
      <c r="H81" s="558" t="s">
        <v>194</v>
      </c>
      <c r="I81" s="558" t="s">
        <v>23164</v>
      </c>
      <c r="J81" s="558" t="s">
        <v>9302</v>
      </c>
      <c r="K81" s="558" t="s">
        <v>9309</v>
      </c>
      <c r="L81" s="558" t="s">
        <v>6955</v>
      </c>
      <c r="M81" s="558"/>
      <c r="N81" s="558" t="s">
        <v>23455</v>
      </c>
      <c r="O81" s="558" t="s">
        <v>6245</v>
      </c>
      <c r="P81" s="558" t="s">
        <v>23398</v>
      </c>
      <c r="Q81" s="558" t="s">
        <v>23318</v>
      </c>
      <c r="R81" s="558" t="s">
        <v>23307</v>
      </c>
      <c r="S81" s="558" t="s">
        <v>23456</v>
      </c>
      <c r="T81" s="558" t="s">
        <v>23457</v>
      </c>
      <c r="U81" s="558"/>
      <c r="V81" s="603"/>
      <c r="W81" s="558" t="s">
        <v>207</v>
      </c>
      <c r="X81" s="558" t="s">
        <v>193</v>
      </c>
      <c r="Y81" s="558" t="s">
        <v>9310</v>
      </c>
      <c r="Z81" s="558"/>
      <c r="AA81" s="558"/>
      <c r="AB81" s="558" t="s">
        <v>9311</v>
      </c>
      <c r="AC81" s="558"/>
      <c r="AD81" s="558"/>
      <c r="AE81" s="558"/>
      <c r="AF81" s="558"/>
      <c r="AG81" s="558"/>
      <c r="AH81" s="558" t="s">
        <v>4714</v>
      </c>
      <c r="AI81" s="558" t="s">
        <v>23454</v>
      </c>
      <c r="AJ81" s="601" t="str">
        <f t="shared" si="2"/>
        <v>122106</v>
      </c>
      <c r="AK81" s="601">
        <v>1</v>
      </c>
      <c r="AL81" s="601">
        <f t="shared" si="3"/>
        <v>1</v>
      </c>
      <c r="AM81" s="601">
        <v>1</v>
      </c>
      <c r="AN81" s="603" t="s">
        <v>17650</v>
      </c>
      <c r="AO81" s="603" t="s">
        <v>17651</v>
      </c>
      <c r="AP81" s="603" t="s">
        <v>17652</v>
      </c>
      <c r="AQ81" s="603" t="s">
        <v>17653</v>
      </c>
      <c r="AR81" s="603" t="s">
        <v>1024</v>
      </c>
      <c r="AS81" s="558">
        <v>1</v>
      </c>
    </row>
    <row r="82" spans="1:45" x14ac:dyDescent="0.2">
      <c r="A82" s="558" t="s">
        <v>22055</v>
      </c>
      <c r="B82" s="558" t="s">
        <v>6027</v>
      </c>
      <c r="C82" s="558" t="s">
        <v>17</v>
      </c>
      <c r="D82" s="558" t="s">
        <v>23127</v>
      </c>
      <c r="E82" s="558" t="s">
        <v>192</v>
      </c>
      <c r="F82" s="563">
        <v>1</v>
      </c>
      <c r="G82" s="558" t="s">
        <v>193</v>
      </c>
      <c r="H82" s="558" t="s">
        <v>194</v>
      </c>
      <c r="I82" s="558" t="s">
        <v>23151</v>
      </c>
      <c r="J82" s="558" t="s">
        <v>9302</v>
      </c>
      <c r="K82" s="558" t="s">
        <v>9309</v>
      </c>
      <c r="L82" s="558" t="s">
        <v>6955</v>
      </c>
      <c r="M82" s="558"/>
      <c r="N82" s="558" t="s">
        <v>23458</v>
      </c>
      <c r="O82" s="558" t="s">
        <v>8003</v>
      </c>
      <c r="P82" s="558" t="s">
        <v>23398</v>
      </c>
      <c r="Q82" s="558" t="s">
        <v>23318</v>
      </c>
      <c r="R82" s="558" t="s">
        <v>23307</v>
      </c>
      <c r="S82" s="558" t="s">
        <v>23459</v>
      </c>
      <c r="T82" s="558" t="s">
        <v>23460</v>
      </c>
      <c r="U82" s="558"/>
      <c r="V82" s="603"/>
      <c r="W82" s="558" t="s">
        <v>624</v>
      </c>
      <c r="X82" s="558" t="s">
        <v>193</v>
      </c>
      <c r="Y82" s="558" t="s">
        <v>9310</v>
      </c>
      <c r="Z82" s="558"/>
      <c r="AA82" s="558"/>
      <c r="AB82" s="558" t="s">
        <v>9311</v>
      </c>
      <c r="AC82" s="558"/>
      <c r="AD82" s="558"/>
      <c r="AE82" s="558"/>
      <c r="AF82" s="558"/>
      <c r="AG82" s="558"/>
      <c r="AH82" s="558" t="s">
        <v>4714</v>
      </c>
      <c r="AI82" s="558" t="s">
        <v>6027</v>
      </c>
      <c r="AJ82" s="601" t="str">
        <f t="shared" si="2"/>
        <v>332203</v>
      </c>
      <c r="AK82" s="601">
        <v>1</v>
      </c>
      <c r="AL82" s="601">
        <f t="shared" si="3"/>
        <v>1</v>
      </c>
      <c r="AM82" s="601">
        <v>1</v>
      </c>
      <c r="AN82" s="603" t="s">
        <v>17650</v>
      </c>
      <c r="AO82" s="603" t="s">
        <v>17651</v>
      </c>
      <c r="AP82" s="603" t="s">
        <v>17652</v>
      </c>
      <c r="AQ82" s="603" t="s">
        <v>17653</v>
      </c>
      <c r="AR82" s="603" t="s">
        <v>1024</v>
      </c>
      <c r="AS82" s="558">
        <v>1</v>
      </c>
    </row>
    <row r="83" spans="1:45" x14ac:dyDescent="0.2">
      <c r="A83" s="558" t="s">
        <v>23461</v>
      </c>
      <c r="B83" s="558" t="s">
        <v>23462</v>
      </c>
      <c r="C83" s="558" t="s">
        <v>23463</v>
      </c>
      <c r="D83" s="558" t="s">
        <v>23127</v>
      </c>
      <c r="E83" s="558" t="s">
        <v>192</v>
      </c>
      <c r="F83" s="563">
        <v>1</v>
      </c>
      <c r="G83" s="558" t="s">
        <v>193</v>
      </c>
      <c r="H83" s="558" t="s">
        <v>194</v>
      </c>
      <c r="I83" s="558" t="s">
        <v>23128</v>
      </c>
      <c r="J83" s="558" t="s">
        <v>9302</v>
      </c>
      <c r="K83" s="558" t="s">
        <v>9309</v>
      </c>
      <c r="L83" s="558" t="s">
        <v>6955</v>
      </c>
      <c r="M83" s="558"/>
      <c r="N83" s="558" t="s">
        <v>23464</v>
      </c>
      <c r="O83" s="558" t="s">
        <v>6327</v>
      </c>
      <c r="P83" s="558" t="s">
        <v>23398</v>
      </c>
      <c r="Q83" s="558" t="s">
        <v>23318</v>
      </c>
      <c r="R83" s="558" t="s">
        <v>23307</v>
      </c>
      <c r="S83" s="558" t="s">
        <v>23465</v>
      </c>
      <c r="T83" s="558" t="s">
        <v>23466</v>
      </c>
      <c r="U83" s="558"/>
      <c r="V83" s="603"/>
      <c r="W83" s="558" t="s">
        <v>23467</v>
      </c>
      <c r="X83" s="558" t="s">
        <v>193</v>
      </c>
      <c r="Y83" s="558" t="s">
        <v>9310</v>
      </c>
      <c r="Z83" s="558"/>
      <c r="AA83" s="558"/>
      <c r="AB83" s="558" t="s">
        <v>9311</v>
      </c>
      <c r="AC83" s="558"/>
      <c r="AD83" s="558"/>
      <c r="AE83" s="558"/>
      <c r="AF83" s="558"/>
      <c r="AG83" s="558"/>
      <c r="AH83" s="558" t="s">
        <v>4714</v>
      </c>
      <c r="AI83" s="558" t="s">
        <v>23462</v>
      </c>
      <c r="AJ83" s="601" t="str">
        <f t="shared" si="2"/>
        <v>242106</v>
      </c>
      <c r="AK83" s="601">
        <v>1</v>
      </c>
      <c r="AL83" s="601">
        <f t="shared" si="3"/>
        <v>1</v>
      </c>
      <c r="AM83" s="601">
        <v>1</v>
      </c>
      <c r="AN83" s="603" t="s">
        <v>17650</v>
      </c>
      <c r="AO83" s="603" t="s">
        <v>17651</v>
      </c>
      <c r="AP83" s="603" t="s">
        <v>17652</v>
      </c>
      <c r="AQ83" s="603" t="s">
        <v>17653</v>
      </c>
      <c r="AR83" s="603" t="s">
        <v>1024</v>
      </c>
      <c r="AS83" s="558">
        <v>1</v>
      </c>
    </row>
    <row r="84" spans="1:45" x14ac:dyDescent="0.2">
      <c r="A84" s="558" t="s">
        <v>11524</v>
      </c>
      <c r="B84" s="558" t="s">
        <v>23468</v>
      </c>
      <c r="C84" s="558" t="s">
        <v>17</v>
      </c>
      <c r="D84" s="558" t="s">
        <v>23127</v>
      </c>
      <c r="E84" s="558" t="s">
        <v>192</v>
      </c>
      <c r="F84" s="563">
        <v>1</v>
      </c>
      <c r="G84" s="558" t="s">
        <v>193</v>
      </c>
      <c r="H84" s="558" t="s">
        <v>194</v>
      </c>
      <c r="I84" s="558" t="s">
        <v>23128</v>
      </c>
      <c r="J84" s="558" t="s">
        <v>9302</v>
      </c>
      <c r="K84" s="558" t="s">
        <v>9309</v>
      </c>
      <c r="L84" s="558" t="s">
        <v>6955</v>
      </c>
      <c r="M84" s="558"/>
      <c r="N84" s="558" t="s">
        <v>23469</v>
      </c>
      <c r="O84" s="558" t="s">
        <v>6251</v>
      </c>
      <c r="P84" s="558" t="s">
        <v>23398</v>
      </c>
      <c r="Q84" s="558" t="s">
        <v>23318</v>
      </c>
      <c r="R84" s="558" t="s">
        <v>23307</v>
      </c>
      <c r="S84" s="558" t="s">
        <v>23470</v>
      </c>
      <c r="T84" s="558" t="s">
        <v>23471</v>
      </c>
      <c r="U84" s="558"/>
      <c r="V84" s="603"/>
      <c r="W84" s="558" t="s">
        <v>624</v>
      </c>
      <c r="X84" s="558" t="s">
        <v>193</v>
      </c>
      <c r="Y84" s="558" t="s">
        <v>9310</v>
      </c>
      <c r="Z84" s="558"/>
      <c r="AA84" s="558"/>
      <c r="AB84" s="558" t="s">
        <v>9311</v>
      </c>
      <c r="AC84" s="558"/>
      <c r="AD84" s="558"/>
      <c r="AE84" s="558"/>
      <c r="AF84" s="558"/>
      <c r="AG84" s="558"/>
      <c r="AH84" s="558" t="s">
        <v>4714</v>
      </c>
      <c r="AI84" s="558" t="s">
        <v>23468</v>
      </c>
      <c r="AJ84" s="601" t="str">
        <f t="shared" si="2"/>
        <v>332203</v>
      </c>
      <c r="AK84" s="601">
        <v>1</v>
      </c>
      <c r="AL84" s="601">
        <f t="shared" si="3"/>
        <v>1</v>
      </c>
      <c r="AM84" s="601">
        <v>1</v>
      </c>
      <c r="AN84" s="603" t="s">
        <v>17650</v>
      </c>
      <c r="AO84" s="603" t="s">
        <v>17651</v>
      </c>
      <c r="AP84" s="603" t="s">
        <v>17652</v>
      </c>
      <c r="AQ84" s="603" t="s">
        <v>17653</v>
      </c>
      <c r="AR84" s="603" t="s">
        <v>1024</v>
      </c>
      <c r="AS84" s="558">
        <v>1</v>
      </c>
    </row>
    <row r="85" spans="1:45" x14ac:dyDescent="0.2">
      <c r="A85" s="558" t="s">
        <v>4109</v>
      </c>
      <c r="B85" s="558" t="s">
        <v>23472</v>
      </c>
      <c r="C85" s="558" t="s">
        <v>1402</v>
      </c>
      <c r="D85" s="558" t="s">
        <v>23127</v>
      </c>
      <c r="E85" s="558" t="s">
        <v>192</v>
      </c>
      <c r="F85" s="563">
        <v>1</v>
      </c>
      <c r="G85" s="558" t="s">
        <v>193</v>
      </c>
      <c r="H85" s="558" t="s">
        <v>194</v>
      </c>
      <c r="I85" s="558" t="s">
        <v>23128</v>
      </c>
      <c r="J85" s="558" t="s">
        <v>9302</v>
      </c>
      <c r="K85" s="558" t="s">
        <v>9309</v>
      </c>
      <c r="L85" s="558" t="s">
        <v>6955</v>
      </c>
      <c r="M85" s="558"/>
      <c r="N85" s="558" t="s">
        <v>23473</v>
      </c>
      <c r="O85" s="558" t="s">
        <v>7531</v>
      </c>
      <c r="P85" s="558" t="s">
        <v>23398</v>
      </c>
      <c r="Q85" s="558" t="s">
        <v>23318</v>
      </c>
      <c r="R85" s="558" t="s">
        <v>23307</v>
      </c>
      <c r="S85" s="558" t="s">
        <v>23474</v>
      </c>
      <c r="T85" s="558" t="s">
        <v>23475</v>
      </c>
      <c r="U85" s="558"/>
      <c r="V85" s="603"/>
      <c r="W85" s="558" t="s">
        <v>1403</v>
      </c>
      <c r="X85" s="558" t="s">
        <v>193</v>
      </c>
      <c r="Y85" s="558" t="s">
        <v>9310</v>
      </c>
      <c r="Z85" s="558"/>
      <c r="AA85" s="558"/>
      <c r="AB85" s="558" t="s">
        <v>9311</v>
      </c>
      <c r="AC85" s="558"/>
      <c r="AD85" s="558"/>
      <c r="AE85" s="558"/>
      <c r="AF85" s="558"/>
      <c r="AG85" s="558"/>
      <c r="AH85" s="558" t="s">
        <v>4714</v>
      </c>
      <c r="AI85" s="558" t="s">
        <v>23472</v>
      </c>
      <c r="AJ85" s="601" t="str">
        <f t="shared" si="2"/>
        <v>242228</v>
      </c>
      <c r="AK85" s="601">
        <v>1</v>
      </c>
      <c r="AL85" s="601">
        <f t="shared" si="3"/>
        <v>1</v>
      </c>
      <c r="AM85" s="601">
        <v>1</v>
      </c>
      <c r="AN85" s="603" t="s">
        <v>17650</v>
      </c>
      <c r="AO85" s="603" t="s">
        <v>17651</v>
      </c>
      <c r="AP85" s="603" t="s">
        <v>17652</v>
      </c>
      <c r="AQ85" s="603" t="s">
        <v>17653</v>
      </c>
      <c r="AR85" s="603" t="s">
        <v>1024</v>
      </c>
      <c r="AS85" s="558">
        <v>1</v>
      </c>
    </row>
    <row r="86" spans="1:45" x14ac:dyDescent="0.2">
      <c r="A86" s="558" t="s">
        <v>23476</v>
      </c>
      <c r="B86" s="558" t="s">
        <v>23477</v>
      </c>
      <c r="C86" s="558" t="s">
        <v>6617</v>
      </c>
      <c r="D86" s="558" t="s">
        <v>23127</v>
      </c>
      <c r="E86" s="558" t="s">
        <v>192</v>
      </c>
      <c r="F86" s="563">
        <v>1</v>
      </c>
      <c r="G86" s="558" t="s">
        <v>193</v>
      </c>
      <c r="H86" s="558" t="s">
        <v>194</v>
      </c>
      <c r="I86" s="558" t="s">
        <v>23139</v>
      </c>
      <c r="J86" s="558" t="s">
        <v>9302</v>
      </c>
      <c r="K86" s="558" t="s">
        <v>9309</v>
      </c>
      <c r="L86" s="558" t="s">
        <v>6955</v>
      </c>
      <c r="M86" s="558"/>
      <c r="N86" s="558" t="s">
        <v>23478</v>
      </c>
      <c r="O86" s="558" t="s">
        <v>6266</v>
      </c>
      <c r="P86" s="558" t="s">
        <v>23398</v>
      </c>
      <c r="Q86" s="558" t="s">
        <v>23318</v>
      </c>
      <c r="R86" s="558" t="s">
        <v>23307</v>
      </c>
      <c r="S86" s="558" t="s">
        <v>23479</v>
      </c>
      <c r="T86" s="558" t="s">
        <v>23480</v>
      </c>
      <c r="U86" s="558"/>
      <c r="V86" s="603"/>
      <c r="W86" s="558" t="s">
        <v>990</v>
      </c>
      <c r="X86" s="558" t="s">
        <v>193</v>
      </c>
      <c r="Y86" s="558" t="s">
        <v>9310</v>
      </c>
      <c r="Z86" s="558"/>
      <c r="AA86" s="558"/>
      <c r="AB86" s="558" t="s">
        <v>9311</v>
      </c>
      <c r="AC86" s="558"/>
      <c r="AD86" s="558"/>
      <c r="AE86" s="558"/>
      <c r="AF86" s="558"/>
      <c r="AG86" s="558"/>
      <c r="AH86" s="558" t="s">
        <v>4714</v>
      </c>
      <c r="AI86" s="558" t="s">
        <v>23477</v>
      </c>
      <c r="AJ86" s="601" t="str">
        <f t="shared" si="2"/>
        <v>833202</v>
      </c>
      <c r="AK86" s="601">
        <v>1</v>
      </c>
      <c r="AL86" s="601">
        <f t="shared" si="3"/>
        <v>1</v>
      </c>
      <c r="AM86" s="601">
        <v>1</v>
      </c>
      <c r="AN86" s="603" t="s">
        <v>17650</v>
      </c>
      <c r="AO86" s="603" t="s">
        <v>17651</v>
      </c>
      <c r="AP86" s="603" t="s">
        <v>17652</v>
      </c>
      <c r="AQ86" s="603" t="s">
        <v>17653</v>
      </c>
      <c r="AR86" s="603" t="s">
        <v>1024</v>
      </c>
      <c r="AS86" s="558">
        <v>1</v>
      </c>
    </row>
    <row r="87" spans="1:45" x14ac:dyDescent="0.2">
      <c r="A87" s="558" t="s">
        <v>23481</v>
      </c>
      <c r="B87" s="558" t="s">
        <v>23482</v>
      </c>
      <c r="C87" s="558" t="s">
        <v>10</v>
      </c>
      <c r="D87" s="558" t="s">
        <v>23127</v>
      </c>
      <c r="E87" s="558" t="s">
        <v>192</v>
      </c>
      <c r="F87" s="563">
        <v>1</v>
      </c>
      <c r="G87" s="558" t="s">
        <v>193</v>
      </c>
      <c r="H87" s="558" t="s">
        <v>194</v>
      </c>
      <c r="I87" s="558" t="s">
        <v>23128</v>
      </c>
      <c r="J87" s="558" t="s">
        <v>9302</v>
      </c>
      <c r="K87" s="558" t="s">
        <v>9309</v>
      </c>
      <c r="L87" s="558" t="s">
        <v>6955</v>
      </c>
      <c r="M87" s="558"/>
      <c r="N87" s="558" t="s">
        <v>23483</v>
      </c>
      <c r="O87" s="558" t="s">
        <v>6921</v>
      </c>
      <c r="P87" s="558" t="s">
        <v>23398</v>
      </c>
      <c r="Q87" s="558" t="s">
        <v>23318</v>
      </c>
      <c r="R87" s="558" t="s">
        <v>23307</v>
      </c>
      <c r="S87" s="558" t="s">
        <v>23484</v>
      </c>
      <c r="T87" s="558" t="s">
        <v>23485</v>
      </c>
      <c r="U87" s="558"/>
      <c r="V87" s="603"/>
      <c r="W87" s="558" t="s">
        <v>484</v>
      </c>
      <c r="X87" s="558" t="s">
        <v>193</v>
      </c>
      <c r="Y87" s="558" t="s">
        <v>9310</v>
      </c>
      <c r="Z87" s="558"/>
      <c r="AA87" s="558"/>
      <c r="AB87" s="558" t="s">
        <v>9311</v>
      </c>
      <c r="AC87" s="558"/>
      <c r="AD87" s="558"/>
      <c r="AE87" s="558"/>
      <c r="AF87" s="558"/>
      <c r="AG87" s="558"/>
      <c r="AH87" s="558" t="s">
        <v>4714</v>
      </c>
      <c r="AI87" s="558" t="s">
        <v>23482</v>
      </c>
      <c r="AJ87" s="601" t="str">
        <f t="shared" si="2"/>
        <v>251401</v>
      </c>
      <c r="AK87" s="601">
        <v>1</v>
      </c>
      <c r="AL87" s="601">
        <f t="shared" si="3"/>
        <v>1</v>
      </c>
      <c r="AM87" s="601">
        <v>1</v>
      </c>
      <c r="AN87" s="603" t="s">
        <v>17650</v>
      </c>
      <c r="AO87" s="603" t="s">
        <v>17651</v>
      </c>
      <c r="AP87" s="603" t="s">
        <v>17652</v>
      </c>
      <c r="AQ87" s="603" t="s">
        <v>17653</v>
      </c>
      <c r="AR87" s="603" t="s">
        <v>1024</v>
      </c>
      <c r="AS87" s="558">
        <v>1</v>
      </c>
    </row>
    <row r="88" spans="1:45" x14ac:dyDescent="0.2">
      <c r="A88" s="558" t="s">
        <v>23481</v>
      </c>
      <c r="B88" s="558" t="s">
        <v>23486</v>
      </c>
      <c r="C88" s="558" t="s">
        <v>10</v>
      </c>
      <c r="D88" s="558" t="s">
        <v>23127</v>
      </c>
      <c r="E88" s="558" t="s">
        <v>192</v>
      </c>
      <c r="F88" s="563">
        <v>1</v>
      </c>
      <c r="G88" s="558" t="s">
        <v>193</v>
      </c>
      <c r="H88" s="558" t="s">
        <v>194</v>
      </c>
      <c r="I88" s="558" t="s">
        <v>23128</v>
      </c>
      <c r="J88" s="558" t="s">
        <v>9302</v>
      </c>
      <c r="K88" s="558" t="s">
        <v>9309</v>
      </c>
      <c r="L88" s="558" t="s">
        <v>6955</v>
      </c>
      <c r="M88" s="558"/>
      <c r="N88" s="558" t="s">
        <v>23487</v>
      </c>
      <c r="O88" s="558" t="s">
        <v>6261</v>
      </c>
      <c r="P88" s="558" t="s">
        <v>23398</v>
      </c>
      <c r="Q88" s="558" t="s">
        <v>23318</v>
      </c>
      <c r="R88" s="558" t="s">
        <v>23307</v>
      </c>
      <c r="S88" s="558" t="s">
        <v>23488</v>
      </c>
      <c r="T88" s="558" t="s">
        <v>23489</v>
      </c>
      <c r="U88" s="558"/>
      <c r="V88" s="603"/>
      <c r="W88" s="558" t="s">
        <v>484</v>
      </c>
      <c r="X88" s="558" t="s">
        <v>193</v>
      </c>
      <c r="Y88" s="558" t="s">
        <v>9310</v>
      </c>
      <c r="Z88" s="558"/>
      <c r="AA88" s="558"/>
      <c r="AB88" s="558" t="s">
        <v>9311</v>
      </c>
      <c r="AC88" s="558"/>
      <c r="AD88" s="558"/>
      <c r="AE88" s="558"/>
      <c r="AF88" s="558"/>
      <c r="AG88" s="558"/>
      <c r="AH88" s="558" t="s">
        <v>4714</v>
      </c>
      <c r="AI88" s="558" t="s">
        <v>23486</v>
      </c>
      <c r="AJ88" s="601" t="str">
        <f t="shared" si="2"/>
        <v>251401</v>
      </c>
      <c r="AK88" s="601">
        <v>1</v>
      </c>
      <c r="AL88" s="601">
        <f t="shared" si="3"/>
        <v>1</v>
      </c>
      <c r="AM88" s="601">
        <v>1</v>
      </c>
      <c r="AN88" s="603" t="s">
        <v>17650</v>
      </c>
      <c r="AO88" s="603" t="s">
        <v>17651</v>
      </c>
      <c r="AP88" s="603" t="s">
        <v>17652</v>
      </c>
      <c r="AQ88" s="603" t="s">
        <v>17653</v>
      </c>
      <c r="AR88" s="603" t="s">
        <v>1024</v>
      </c>
      <c r="AS88" s="558">
        <v>1</v>
      </c>
    </row>
    <row r="89" spans="1:45" x14ac:dyDescent="0.2">
      <c r="A89" s="558" t="s">
        <v>23481</v>
      </c>
      <c r="B89" s="558" t="s">
        <v>10970</v>
      </c>
      <c r="C89" s="558" t="s">
        <v>8953</v>
      </c>
      <c r="D89" s="558" t="s">
        <v>23127</v>
      </c>
      <c r="E89" s="558" t="s">
        <v>192</v>
      </c>
      <c r="F89" s="563">
        <v>1</v>
      </c>
      <c r="G89" s="558" t="s">
        <v>193</v>
      </c>
      <c r="H89" s="558" t="s">
        <v>194</v>
      </c>
      <c r="I89" s="558" t="s">
        <v>23128</v>
      </c>
      <c r="J89" s="558" t="s">
        <v>9302</v>
      </c>
      <c r="K89" s="558" t="s">
        <v>9309</v>
      </c>
      <c r="L89" s="558" t="s">
        <v>6955</v>
      </c>
      <c r="M89" s="558"/>
      <c r="N89" s="558" t="s">
        <v>23490</v>
      </c>
      <c r="O89" s="558" t="s">
        <v>6921</v>
      </c>
      <c r="P89" s="558" t="s">
        <v>23398</v>
      </c>
      <c r="Q89" s="558" t="s">
        <v>23318</v>
      </c>
      <c r="R89" s="558" t="s">
        <v>23307</v>
      </c>
      <c r="S89" s="558" t="s">
        <v>23491</v>
      </c>
      <c r="T89" s="558" t="s">
        <v>23492</v>
      </c>
      <c r="U89" s="558"/>
      <c r="V89" s="603"/>
      <c r="W89" s="558" t="s">
        <v>8955</v>
      </c>
      <c r="X89" s="558" t="s">
        <v>193</v>
      </c>
      <c r="Y89" s="558" t="s">
        <v>9310</v>
      </c>
      <c r="Z89" s="558"/>
      <c r="AA89" s="558"/>
      <c r="AB89" s="558" t="s">
        <v>9311</v>
      </c>
      <c r="AC89" s="558"/>
      <c r="AD89" s="558"/>
      <c r="AE89" s="558"/>
      <c r="AF89" s="558"/>
      <c r="AG89" s="558"/>
      <c r="AH89" s="558" t="s">
        <v>4714</v>
      </c>
      <c r="AI89" s="558" t="s">
        <v>10970</v>
      </c>
      <c r="AJ89" s="601" t="str">
        <f t="shared" si="2"/>
        <v>252103</v>
      </c>
      <c r="AK89" s="601">
        <v>1</v>
      </c>
      <c r="AL89" s="601">
        <f t="shared" si="3"/>
        <v>1</v>
      </c>
      <c r="AM89" s="601">
        <v>1</v>
      </c>
      <c r="AN89" s="603" t="s">
        <v>17650</v>
      </c>
      <c r="AO89" s="603" t="s">
        <v>17651</v>
      </c>
      <c r="AP89" s="603" t="s">
        <v>17652</v>
      </c>
      <c r="AQ89" s="603" t="s">
        <v>17653</v>
      </c>
      <c r="AR89" s="603" t="s">
        <v>1024</v>
      </c>
      <c r="AS89" s="558">
        <v>1</v>
      </c>
    </row>
    <row r="90" spans="1:45" x14ac:dyDescent="0.2">
      <c r="A90" s="558" t="s">
        <v>5860</v>
      </c>
      <c r="B90" s="558" t="s">
        <v>23493</v>
      </c>
      <c r="C90" s="558" t="s">
        <v>2098</v>
      </c>
      <c r="D90" s="558" t="s">
        <v>23127</v>
      </c>
      <c r="E90" s="558" t="s">
        <v>192</v>
      </c>
      <c r="F90" s="563">
        <v>1</v>
      </c>
      <c r="G90" s="558" t="s">
        <v>193</v>
      </c>
      <c r="H90" s="558" t="s">
        <v>194</v>
      </c>
      <c r="I90" s="558" t="s">
        <v>23164</v>
      </c>
      <c r="J90" s="558" t="s">
        <v>9302</v>
      </c>
      <c r="K90" s="558" t="s">
        <v>9309</v>
      </c>
      <c r="L90" s="558" t="s">
        <v>6955</v>
      </c>
      <c r="M90" s="558"/>
      <c r="N90" s="558" t="s">
        <v>23494</v>
      </c>
      <c r="O90" s="558" t="s">
        <v>6288</v>
      </c>
      <c r="P90" s="558" t="s">
        <v>23398</v>
      </c>
      <c r="Q90" s="558" t="s">
        <v>23318</v>
      </c>
      <c r="R90" s="558" t="s">
        <v>23307</v>
      </c>
      <c r="S90" s="558" t="s">
        <v>23495</v>
      </c>
      <c r="T90" s="558" t="s">
        <v>23496</v>
      </c>
      <c r="U90" s="558"/>
      <c r="V90" s="603"/>
      <c r="W90" s="558" t="s">
        <v>2099</v>
      </c>
      <c r="X90" s="558" t="s">
        <v>193</v>
      </c>
      <c r="Y90" s="558" t="s">
        <v>9310</v>
      </c>
      <c r="Z90" s="558"/>
      <c r="AA90" s="558"/>
      <c r="AB90" s="558" t="s">
        <v>9311</v>
      </c>
      <c r="AC90" s="558"/>
      <c r="AD90" s="558"/>
      <c r="AE90" s="558"/>
      <c r="AF90" s="558"/>
      <c r="AG90" s="558"/>
      <c r="AH90" s="558" t="s">
        <v>4714</v>
      </c>
      <c r="AI90" s="558" t="s">
        <v>23493</v>
      </c>
      <c r="AJ90" s="601" t="str">
        <f t="shared" si="2"/>
        <v>229903</v>
      </c>
      <c r="AK90" s="601">
        <v>1</v>
      </c>
      <c r="AL90" s="601">
        <f t="shared" si="3"/>
        <v>1</v>
      </c>
      <c r="AM90" s="601">
        <v>1</v>
      </c>
      <c r="AN90" s="603" t="s">
        <v>17650</v>
      </c>
      <c r="AO90" s="603" t="s">
        <v>17651</v>
      </c>
      <c r="AP90" s="603" t="s">
        <v>17652</v>
      </c>
      <c r="AQ90" s="603" t="s">
        <v>17653</v>
      </c>
      <c r="AR90" s="603" t="s">
        <v>1024</v>
      </c>
      <c r="AS90" s="558">
        <v>1</v>
      </c>
    </row>
    <row r="91" spans="1:45" x14ac:dyDescent="0.2">
      <c r="A91" s="558" t="s">
        <v>690</v>
      </c>
      <c r="B91" s="558" t="s">
        <v>23497</v>
      </c>
      <c r="C91" s="558" t="s">
        <v>23498</v>
      </c>
      <c r="D91" s="558" t="s">
        <v>23127</v>
      </c>
      <c r="E91" s="558" t="s">
        <v>192</v>
      </c>
      <c r="F91" s="563">
        <v>1</v>
      </c>
      <c r="G91" s="558" t="s">
        <v>193</v>
      </c>
      <c r="H91" s="558" t="s">
        <v>194</v>
      </c>
      <c r="I91" s="558" t="s">
        <v>23499</v>
      </c>
      <c r="J91" s="558" t="s">
        <v>9302</v>
      </c>
      <c r="K91" s="558" t="s">
        <v>9309</v>
      </c>
      <c r="L91" s="558" t="s">
        <v>6955</v>
      </c>
      <c r="M91" s="558"/>
      <c r="N91" s="558" t="s">
        <v>23500</v>
      </c>
      <c r="O91" s="558" t="s">
        <v>6266</v>
      </c>
      <c r="P91" s="558" t="s">
        <v>23398</v>
      </c>
      <c r="Q91" s="558" t="s">
        <v>23318</v>
      </c>
      <c r="R91" s="558" t="s">
        <v>23307</v>
      </c>
      <c r="S91" s="558" t="s">
        <v>23501</v>
      </c>
      <c r="T91" s="558" t="s">
        <v>23502</v>
      </c>
      <c r="U91" s="558"/>
      <c r="V91" s="603"/>
      <c r="W91" s="558" t="s">
        <v>23503</v>
      </c>
      <c r="X91" s="558" t="s">
        <v>193</v>
      </c>
      <c r="Y91" s="558" t="s">
        <v>9310</v>
      </c>
      <c r="Z91" s="558"/>
      <c r="AA91" s="558"/>
      <c r="AB91" s="558" t="s">
        <v>9311</v>
      </c>
      <c r="AC91" s="558"/>
      <c r="AD91" s="558"/>
      <c r="AE91" s="558"/>
      <c r="AF91" s="558"/>
      <c r="AG91" s="558"/>
      <c r="AH91" s="558" t="s">
        <v>4714</v>
      </c>
      <c r="AI91" s="558" t="s">
        <v>23497</v>
      </c>
      <c r="AJ91" s="601" t="str">
        <f t="shared" si="2"/>
        <v>242223</v>
      </c>
      <c r="AK91" s="601">
        <v>1</v>
      </c>
      <c r="AL91" s="601">
        <f t="shared" si="3"/>
        <v>1</v>
      </c>
      <c r="AM91" s="601">
        <v>1</v>
      </c>
      <c r="AN91" s="603" t="s">
        <v>17650</v>
      </c>
      <c r="AO91" s="603" t="s">
        <v>17651</v>
      </c>
      <c r="AP91" s="603" t="s">
        <v>17652</v>
      </c>
      <c r="AQ91" s="603" t="s">
        <v>17653</v>
      </c>
      <c r="AR91" s="603" t="s">
        <v>1024</v>
      </c>
      <c r="AS91" s="558">
        <v>1</v>
      </c>
    </row>
    <row r="92" spans="1:45" x14ac:dyDescent="0.2">
      <c r="A92" s="558" t="s">
        <v>23504</v>
      </c>
      <c r="B92" s="558" t="s">
        <v>23505</v>
      </c>
      <c r="C92" s="558" t="s">
        <v>69</v>
      </c>
      <c r="D92" s="558" t="s">
        <v>23127</v>
      </c>
      <c r="E92" s="558" t="s">
        <v>192</v>
      </c>
      <c r="F92" s="563">
        <v>1</v>
      </c>
      <c r="G92" s="558" t="s">
        <v>193</v>
      </c>
      <c r="H92" s="558" t="s">
        <v>194</v>
      </c>
      <c r="I92" s="558" t="s">
        <v>23128</v>
      </c>
      <c r="J92" s="558" t="s">
        <v>9302</v>
      </c>
      <c r="K92" s="558" t="s">
        <v>9309</v>
      </c>
      <c r="L92" s="558" t="s">
        <v>6955</v>
      </c>
      <c r="M92" s="558"/>
      <c r="N92" s="558" t="s">
        <v>23506</v>
      </c>
      <c r="O92" s="558" t="s">
        <v>6921</v>
      </c>
      <c r="P92" s="558" t="s">
        <v>23398</v>
      </c>
      <c r="Q92" s="558" t="s">
        <v>23318</v>
      </c>
      <c r="R92" s="558" t="s">
        <v>23416</v>
      </c>
      <c r="S92" s="558" t="s">
        <v>23507</v>
      </c>
      <c r="T92" s="558" t="s">
        <v>23508</v>
      </c>
      <c r="U92" s="558"/>
      <c r="V92" s="603"/>
      <c r="W92" s="558" t="s">
        <v>375</v>
      </c>
      <c r="X92" s="558" t="s">
        <v>193</v>
      </c>
      <c r="Y92" s="558" t="s">
        <v>9310</v>
      </c>
      <c r="Z92" s="558"/>
      <c r="AA92" s="558"/>
      <c r="AB92" s="558" t="s">
        <v>9311</v>
      </c>
      <c r="AC92" s="558"/>
      <c r="AD92" s="558"/>
      <c r="AE92" s="558"/>
      <c r="AF92" s="558"/>
      <c r="AG92" s="558"/>
      <c r="AH92" s="558" t="s">
        <v>4714</v>
      </c>
      <c r="AI92" s="558" t="s">
        <v>23505</v>
      </c>
      <c r="AJ92" s="601" t="str">
        <f t="shared" si="2"/>
        <v>215301</v>
      </c>
      <c r="AK92" s="601">
        <v>1</v>
      </c>
      <c r="AL92" s="601">
        <f t="shared" si="3"/>
        <v>1</v>
      </c>
      <c r="AM92" s="601">
        <v>1</v>
      </c>
      <c r="AN92" s="603" t="s">
        <v>17650</v>
      </c>
      <c r="AO92" s="603" t="s">
        <v>17651</v>
      </c>
      <c r="AP92" s="603" t="s">
        <v>17652</v>
      </c>
      <c r="AQ92" s="603" t="s">
        <v>17653</v>
      </c>
      <c r="AR92" s="603" t="s">
        <v>1024</v>
      </c>
      <c r="AS92" s="558">
        <v>1</v>
      </c>
    </row>
    <row r="93" spans="1:45" x14ac:dyDescent="0.2">
      <c r="A93" s="558" t="s">
        <v>731</v>
      </c>
      <c r="B93" s="558" t="s">
        <v>23509</v>
      </c>
      <c r="C93" s="558" t="s">
        <v>17</v>
      </c>
      <c r="D93" s="558" t="s">
        <v>23127</v>
      </c>
      <c r="E93" s="558" t="s">
        <v>192</v>
      </c>
      <c r="F93" s="563">
        <v>1</v>
      </c>
      <c r="G93" s="558" t="s">
        <v>193</v>
      </c>
      <c r="H93" s="558" t="s">
        <v>194</v>
      </c>
      <c r="I93" s="558" t="s">
        <v>23139</v>
      </c>
      <c r="J93" s="558" t="s">
        <v>9302</v>
      </c>
      <c r="K93" s="558" t="s">
        <v>9309</v>
      </c>
      <c r="L93" s="558" t="s">
        <v>6955</v>
      </c>
      <c r="M93" s="558"/>
      <c r="N93" s="558" t="s">
        <v>23510</v>
      </c>
      <c r="O93" s="558" t="s">
        <v>6288</v>
      </c>
      <c r="P93" s="558" t="s">
        <v>23398</v>
      </c>
      <c r="Q93" s="558" t="s">
        <v>23318</v>
      </c>
      <c r="R93" s="558" t="s">
        <v>23307</v>
      </c>
      <c r="S93" s="558" t="s">
        <v>23511</v>
      </c>
      <c r="T93" s="558" t="s">
        <v>23512</v>
      </c>
      <c r="U93" s="558"/>
      <c r="V93" s="603"/>
      <c r="W93" s="558" t="s">
        <v>624</v>
      </c>
      <c r="X93" s="558" t="s">
        <v>193</v>
      </c>
      <c r="Y93" s="558" t="s">
        <v>9310</v>
      </c>
      <c r="Z93" s="558"/>
      <c r="AA93" s="558"/>
      <c r="AB93" s="558" t="s">
        <v>9311</v>
      </c>
      <c r="AC93" s="558"/>
      <c r="AD93" s="558"/>
      <c r="AE93" s="558"/>
      <c r="AF93" s="558"/>
      <c r="AG93" s="558"/>
      <c r="AH93" s="558" t="s">
        <v>4714</v>
      </c>
      <c r="AI93" s="558" t="s">
        <v>23509</v>
      </c>
      <c r="AJ93" s="601" t="str">
        <f t="shared" si="2"/>
        <v>332203</v>
      </c>
      <c r="AK93" s="601">
        <v>1</v>
      </c>
      <c r="AL93" s="601">
        <f t="shared" si="3"/>
        <v>1</v>
      </c>
      <c r="AM93" s="601">
        <v>1</v>
      </c>
      <c r="AN93" s="603" t="s">
        <v>17650</v>
      </c>
      <c r="AO93" s="603" t="s">
        <v>17651</v>
      </c>
      <c r="AP93" s="603" t="s">
        <v>17652</v>
      </c>
      <c r="AQ93" s="603" t="s">
        <v>17653</v>
      </c>
      <c r="AR93" s="603" t="s">
        <v>1024</v>
      </c>
      <c r="AS93" s="558">
        <v>1</v>
      </c>
    </row>
    <row r="94" spans="1:45" x14ac:dyDescent="0.2">
      <c r="A94" s="558" t="s">
        <v>23513</v>
      </c>
      <c r="B94" s="558" t="s">
        <v>23514</v>
      </c>
      <c r="C94" s="558" t="s">
        <v>3671</v>
      </c>
      <c r="D94" s="558" t="s">
        <v>23127</v>
      </c>
      <c r="E94" s="558" t="s">
        <v>192</v>
      </c>
      <c r="F94" s="563">
        <v>1</v>
      </c>
      <c r="G94" s="558" t="s">
        <v>193</v>
      </c>
      <c r="H94" s="558" t="s">
        <v>194</v>
      </c>
      <c r="I94" s="558" t="s">
        <v>23158</v>
      </c>
      <c r="J94" s="558" t="s">
        <v>9302</v>
      </c>
      <c r="K94" s="558" t="s">
        <v>9309</v>
      </c>
      <c r="L94" s="558" t="s">
        <v>6955</v>
      </c>
      <c r="M94" s="558"/>
      <c r="N94" s="558" t="s">
        <v>23515</v>
      </c>
      <c r="O94" s="558" t="s">
        <v>6245</v>
      </c>
      <c r="P94" s="558" t="s">
        <v>23398</v>
      </c>
      <c r="Q94" s="558" t="s">
        <v>23318</v>
      </c>
      <c r="R94" s="558" t="s">
        <v>23307</v>
      </c>
      <c r="S94" s="558" t="s">
        <v>23516</v>
      </c>
      <c r="T94" s="558" t="s">
        <v>23517</v>
      </c>
      <c r="U94" s="558"/>
      <c r="V94" s="603"/>
      <c r="W94" s="558" t="s">
        <v>3672</v>
      </c>
      <c r="X94" s="558" t="s">
        <v>193</v>
      </c>
      <c r="Y94" s="558" t="s">
        <v>9310</v>
      </c>
      <c r="Z94" s="558"/>
      <c r="AA94" s="558"/>
      <c r="AB94" s="558" t="s">
        <v>9311</v>
      </c>
      <c r="AC94" s="558"/>
      <c r="AD94" s="558"/>
      <c r="AE94" s="558"/>
      <c r="AF94" s="558"/>
      <c r="AG94" s="558"/>
      <c r="AH94" s="558" t="s">
        <v>4714</v>
      </c>
      <c r="AI94" s="558" t="s">
        <v>23514</v>
      </c>
      <c r="AJ94" s="601" t="str">
        <f t="shared" si="2"/>
        <v>522303</v>
      </c>
      <c r="AK94" s="601">
        <v>1</v>
      </c>
      <c r="AL94" s="601">
        <f t="shared" si="3"/>
        <v>1</v>
      </c>
      <c r="AM94" s="601">
        <v>1</v>
      </c>
      <c r="AN94" s="603" t="s">
        <v>17650</v>
      </c>
      <c r="AO94" s="603" t="s">
        <v>17651</v>
      </c>
      <c r="AP94" s="603" t="s">
        <v>17652</v>
      </c>
      <c r="AQ94" s="603" t="s">
        <v>17653</v>
      </c>
      <c r="AR94" s="603" t="s">
        <v>1024</v>
      </c>
      <c r="AS94" s="558">
        <v>1</v>
      </c>
    </row>
    <row r="95" spans="1:45" x14ac:dyDescent="0.2">
      <c r="A95" s="558" t="s">
        <v>23518</v>
      </c>
      <c r="B95" s="558" t="s">
        <v>23519</v>
      </c>
      <c r="C95" s="558" t="s">
        <v>5236</v>
      </c>
      <c r="D95" s="558" t="s">
        <v>23127</v>
      </c>
      <c r="E95" s="558" t="s">
        <v>192</v>
      </c>
      <c r="F95" s="563">
        <v>1</v>
      </c>
      <c r="G95" s="558" t="s">
        <v>193</v>
      </c>
      <c r="H95" s="558" t="s">
        <v>194</v>
      </c>
      <c r="I95" s="558" t="s">
        <v>23128</v>
      </c>
      <c r="J95" s="558" t="s">
        <v>9302</v>
      </c>
      <c r="K95" s="558" t="s">
        <v>9309</v>
      </c>
      <c r="L95" s="558" t="s">
        <v>6955</v>
      </c>
      <c r="M95" s="558"/>
      <c r="N95" s="558" t="s">
        <v>23520</v>
      </c>
      <c r="O95" s="558" t="s">
        <v>6324</v>
      </c>
      <c r="P95" s="558" t="s">
        <v>23398</v>
      </c>
      <c r="Q95" s="558" t="s">
        <v>23318</v>
      </c>
      <c r="R95" s="558" t="s">
        <v>23307</v>
      </c>
      <c r="S95" s="558" t="s">
        <v>23521</v>
      </c>
      <c r="T95" s="558" t="s">
        <v>23522</v>
      </c>
      <c r="U95" s="558"/>
      <c r="V95" s="603"/>
      <c r="W95" s="558" t="s">
        <v>5237</v>
      </c>
      <c r="X95" s="558" t="s">
        <v>193</v>
      </c>
      <c r="Y95" s="558" t="s">
        <v>9310</v>
      </c>
      <c r="Z95" s="558"/>
      <c r="AA95" s="558"/>
      <c r="AB95" s="558" t="s">
        <v>9311</v>
      </c>
      <c r="AC95" s="558"/>
      <c r="AD95" s="558"/>
      <c r="AE95" s="558"/>
      <c r="AF95" s="558"/>
      <c r="AG95" s="558"/>
      <c r="AH95" s="558" t="s">
        <v>4714</v>
      </c>
      <c r="AI95" s="558" t="s">
        <v>23519</v>
      </c>
      <c r="AJ95" s="601" t="str">
        <f t="shared" si="2"/>
        <v>712604</v>
      </c>
      <c r="AK95" s="601">
        <v>1</v>
      </c>
      <c r="AL95" s="601">
        <f t="shared" si="3"/>
        <v>1</v>
      </c>
      <c r="AM95" s="601">
        <v>1</v>
      </c>
      <c r="AN95" s="603" t="s">
        <v>17650</v>
      </c>
      <c r="AO95" s="603" t="s">
        <v>17651</v>
      </c>
      <c r="AP95" s="603" t="s">
        <v>17652</v>
      </c>
      <c r="AQ95" s="603" t="s">
        <v>17653</v>
      </c>
      <c r="AR95" s="603" t="s">
        <v>1024</v>
      </c>
      <c r="AS95" s="558">
        <v>1</v>
      </c>
    </row>
    <row r="96" spans="1:45" x14ac:dyDescent="0.2">
      <c r="A96" s="558" t="s">
        <v>23523</v>
      </c>
      <c r="B96" s="558" t="s">
        <v>23524</v>
      </c>
      <c r="C96" s="558" t="s">
        <v>3654</v>
      </c>
      <c r="D96" s="558" t="s">
        <v>23127</v>
      </c>
      <c r="E96" s="558" t="s">
        <v>192</v>
      </c>
      <c r="F96" s="563">
        <v>1</v>
      </c>
      <c r="G96" s="558" t="s">
        <v>193</v>
      </c>
      <c r="H96" s="558" t="s">
        <v>194</v>
      </c>
      <c r="I96" s="558" t="s">
        <v>23186</v>
      </c>
      <c r="J96" s="558" t="s">
        <v>210</v>
      </c>
      <c r="K96" s="558" t="s">
        <v>9309</v>
      </c>
      <c r="L96" s="558" t="s">
        <v>6955</v>
      </c>
      <c r="M96" s="558"/>
      <c r="N96" s="558" t="s">
        <v>23525</v>
      </c>
      <c r="O96" s="558" t="s">
        <v>6261</v>
      </c>
      <c r="P96" s="558" t="s">
        <v>23398</v>
      </c>
      <c r="Q96" s="558" t="s">
        <v>23318</v>
      </c>
      <c r="R96" s="558" t="s">
        <v>23307</v>
      </c>
      <c r="S96" s="558" t="s">
        <v>23526</v>
      </c>
      <c r="T96" s="558" t="s">
        <v>23527</v>
      </c>
      <c r="U96" s="558"/>
      <c r="V96" s="558" t="s">
        <v>9334</v>
      </c>
      <c r="W96" s="558" t="s">
        <v>3655</v>
      </c>
      <c r="X96" s="558" t="s">
        <v>194</v>
      </c>
      <c r="Y96" s="558" t="s">
        <v>9300</v>
      </c>
      <c r="Z96" s="558"/>
      <c r="AA96" s="558"/>
      <c r="AB96" s="558" t="s">
        <v>9311</v>
      </c>
      <c r="AC96" s="558"/>
      <c r="AD96" s="558"/>
      <c r="AE96" s="558"/>
      <c r="AF96" s="558"/>
      <c r="AG96" s="558"/>
      <c r="AH96" s="558" t="s">
        <v>4714</v>
      </c>
      <c r="AI96" s="558" t="s">
        <v>23524</v>
      </c>
      <c r="AJ96" s="601" t="str">
        <f t="shared" si="2"/>
        <v>122101</v>
      </c>
      <c r="AK96" s="601">
        <v>1</v>
      </c>
      <c r="AL96" s="601">
        <f>F96</f>
        <v>1</v>
      </c>
      <c r="AM96" s="601">
        <v>1</v>
      </c>
      <c r="AN96" s="603" t="s">
        <v>17650</v>
      </c>
      <c r="AO96" s="603" t="s">
        <v>17651</v>
      </c>
      <c r="AP96" s="603" t="s">
        <v>17652</v>
      </c>
      <c r="AQ96" s="603" t="s">
        <v>17653</v>
      </c>
      <c r="AR96" s="603" t="s">
        <v>1024</v>
      </c>
      <c r="AS96" s="558">
        <v>1</v>
      </c>
    </row>
    <row r="97" spans="1:45" x14ac:dyDescent="0.2">
      <c r="A97" s="558" t="s">
        <v>23528</v>
      </c>
      <c r="B97" s="558" t="s">
        <v>23529</v>
      </c>
      <c r="C97" s="558" t="s">
        <v>51</v>
      </c>
      <c r="D97" s="558" t="s">
        <v>23127</v>
      </c>
      <c r="E97" s="558" t="s">
        <v>192</v>
      </c>
      <c r="F97" s="563">
        <v>1</v>
      </c>
      <c r="G97" s="558" t="s">
        <v>193</v>
      </c>
      <c r="H97" s="558" t="s">
        <v>194</v>
      </c>
      <c r="I97" s="558" t="s">
        <v>23151</v>
      </c>
      <c r="J97" s="558" t="s">
        <v>4751</v>
      </c>
      <c r="K97" s="558" t="s">
        <v>9309</v>
      </c>
      <c r="L97" s="558" t="s">
        <v>6955</v>
      </c>
      <c r="M97" s="558"/>
      <c r="N97" s="558" t="s">
        <v>23530</v>
      </c>
      <c r="O97" s="558" t="s">
        <v>6245</v>
      </c>
      <c r="P97" s="558" t="s">
        <v>23398</v>
      </c>
      <c r="Q97" s="558" t="s">
        <v>23318</v>
      </c>
      <c r="R97" s="558" t="s">
        <v>23307</v>
      </c>
      <c r="S97" s="558" t="s">
        <v>23531</v>
      </c>
      <c r="T97" s="558" t="s">
        <v>23532</v>
      </c>
      <c r="U97" s="558"/>
      <c r="V97" s="558" t="s">
        <v>9472</v>
      </c>
      <c r="W97" s="558" t="s">
        <v>904</v>
      </c>
      <c r="X97" s="558" t="s">
        <v>194</v>
      </c>
      <c r="Y97" s="558" t="s">
        <v>9300</v>
      </c>
      <c r="Z97" s="558"/>
      <c r="AA97" s="558"/>
      <c r="AB97" s="558" t="s">
        <v>9311</v>
      </c>
      <c r="AC97" s="558"/>
      <c r="AD97" s="558"/>
      <c r="AE97" s="558"/>
      <c r="AF97" s="558"/>
      <c r="AG97" s="558"/>
      <c r="AH97" s="558" t="s">
        <v>4714</v>
      </c>
      <c r="AI97" s="558" t="s">
        <v>23529</v>
      </c>
      <c r="AJ97" s="601" t="str">
        <f t="shared" si="2"/>
        <v>523002</v>
      </c>
      <c r="AK97" s="601">
        <v>1</v>
      </c>
      <c r="AL97" s="601">
        <f t="shared" si="3"/>
        <v>1</v>
      </c>
      <c r="AM97" s="601">
        <v>1</v>
      </c>
      <c r="AN97" s="603" t="s">
        <v>17650</v>
      </c>
      <c r="AO97" s="603" t="s">
        <v>17651</v>
      </c>
      <c r="AP97" s="603" t="s">
        <v>17652</v>
      </c>
      <c r="AQ97" s="603" t="s">
        <v>17653</v>
      </c>
      <c r="AR97" s="603" t="s">
        <v>1024</v>
      </c>
      <c r="AS97" s="558">
        <v>1</v>
      </c>
    </row>
    <row r="98" spans="1:45" x14ac:dyDescent="0.2">
      <c r="A98" s="558" t="s">
        <v>23533</v>
      </c>
      <c r="B98" s="558" t="s">
        <v>23534</v>
      </c>
      <c r="C98" s="558" t="s">
        <v>7985</v>
      </c>
      <c r="D98" s="558" t="s">
        <v>23127</v>
      </c>
      <c r="E98" s="558" t="s">
        <v>192</v>
      </c>
      <c r="F98" s="563">
        <v>1</v>
      </c>
      <c r="G98" s="558" t="s">
        <v>193</v>
      </c>
      <c r="H98" s="558" t="s">
        <v>194</v>
      </c>
      <c r="I98" s="558" t="s">
        <v>23128</v>
      </c>
      <c r="J98" s="558" t="s">
        <v>210</v>
      </c>
      <c r="K98" s="558" t="s">
        <v>9309</v>
      </c>
      <c r="L98" s="558" t="s">
        <v>6955</v>
      </c>
      <c r="M98" s="558"/>
      <c r="N98" s="558" t="s">
        <v>23535</v>
      </c>
      <c r="O98" s="558" t="s">
        <v>6245</v>
      </c>
      <c r="P98" s="558" t="s">
        <v>23398</v>
      </c>
      <c r="Q98" s="558" t="s">
        <v>23318</v>
      </c>
      <c r="R98" s="558" t="s">
        <v>23307</v>
      </c>
      <c r="S98" s="558" t="s">
        <v>23536</v>
      </c>
      <c r="T98" s="558" t="s">
        <v>23537</v>
      </c>
      <c r="U98" s="558"/>
      <c r="V98" s="558" t="s">
        <v>9334</v>
      </c>
      <c r="W98" s="558" t="s">
        <v>1118</v>
      </c>
      <c r="X98" s="558" t="s">
        <v>194</v>
      </c>
      <c r="Y98" s="558" t="s">
        <v>9300</v>
      </c>
      <c r="Z98" s="558"/>
      <c r="AA98" s="558"/>
      <c r="AB98" s="558" t="s">
        <v>9311</v>
      </c>
      <c r="AC98" s="558"/>
      <c r="AD98" s="558"/>
      <c r="AE98" s="558"/>
      <c r="AF98" s="558"/>
      <c r="AG98" s="558"/>
      <c r="AH98" s="558" t="s">
        <v>4714</v>
      </c>
      <c r="AI98" s="558" t="s">
        <v>23534</v>
      </c>
      <c r="AJ98" s="601" t="str">
        <f t="shared" si="2"/>
        <v>214205</v>
      </c>
      <c r="AK98" s="601">
        <v>1</v>
      </c>
      <c r="AL98" s="601">
        <f t="shared" si="3"/>
        <v>1</v>
      </c>
      <c r="AM98" s="601">
        <v>1</v>
      </c>
      <c r="AN98" s="603" t="s">
        <v>17650</v>
      </c>
      <c r="AO98" s="603" t="s">
        <v>17651</v>
      </c>
      <c r="AP98" s="603" t="s">
        <v>17652</v>
      </c>
      <c r="AQ98" s="603" t="s">
        <v>17653</v>
      </c>
      <c r="AR98" s="603" t="s">
        <v>1024</v>
      </c>
      <c r="AS98" s="558">
        <v>1</v>
      </c>
    </row>
    <row r="99" spans="1:45" x14ac:dyDescent="0.2">
      <c r="A99" s="558" t="s">
        <v>23538</v>
      </c>
      <c r="B99" s="558" t="s">
        <v>23539</v>
      </c>
      <c r="C99" s="558" t="s">
        <v>17</v>
      </c>
      <c r="D99" s="558" t="s">
        <v>23127</v>
      </c>
      <c r="E99" s="558" t="s">
        <v>192</v>
      </c>
      <c r="F99" s="563">
        <v>1</v>
      </c>
      <c r="G99" s="558" t="s">
        <v>193</v>
      </c>
      <c r="H99" s="558" t="s">
        <v>194</v>
      </c>
      <c r="I99" s="558" t="s">
        <v>23164</v>
      </c>
      <c r="J99" s="558" t="s">
        <v>23540</v>
      </c>
      <c r="K99" s="558" t="s">
        <v>9309</v>
      </c>
      <c r="L99" s="558" t="s">
        <v>6955</v>
      </c>
      <c r="M99" s="558"/>
      <c r="N99" s="558" t="s">
        <v>23541</v>
      </c>
      <c r="O99" s="558" t="s">
        <v>6249</v>
      </c>
      <c r="P99" s="558" t="s">
        <v>23398</v>
      </c>
      <c r="Q99" s="558" t="s">
        <v>23318</v>
      </c>
      <c r="R99" s="558" t="s">
        <v>23307</v>
      </c>
      <c r="S99" s="558" t="s">
        <v>23542</v>
      </c>
      <c r="T99" s="558" t="s">
        <v>23543</v>
      </c>
      <c r="U99" s="558"/>
      <c r="V99" s="558" t="s">
        <v>11154</v>
      </c>
      <c r="W99" s="558" t="s">
        <v>624</v>
      </c>
      <c r="X99" s="558" t="s">
        <v>194</v>
      </c>
      <c r="Y99" s="558" t="s">
        <v>9300</v>
      </c>
      <c r="Z99" s="558"/>
      <c r="AA99" s="558"/>
      <c r="AB99" s="558" t="s">
        <v>9311</v>
      </c>
      <c r="AC99" s="558"/>
      <c r="AD99" s="558"/>
      <c r="AE99" s="558"/>
      <c r="AF99" s="558"/>
      <c r="AG99" s="558"/>
      <c r="AH99" s="558" t="s">
        <v>4714</v>
      </c>
      <c r="AI99" s="558" t="s">
        <v>23539</v>
      </c>
      <c r="AJ99" s="601" t="str">
        <f t="shared" si="2"/>
        <v>332203</v>
      </c>
      <c r="AK99" s="601">
        <v>1</v>
      </c>
      <c r="AL99" s="601">
        <f t="shared" si="3"/>
        <v>1</v>
      </c>
      <c r="AM99" s="601">
        <v>1</v>
      </c>
      <c r="AN99" s="603" t="s">
        <v>17650</v>
      </c>
      <c r="AO99" s="603" t="s">
        <v>17651</v>
      </c>
      <c r="AP99" s="603" t="s">
        <v>17652</v>
      </c>
      <c r="AQ99" s="603" t="s">
        <v>17653</v>
      </c>
      <c r="AR99" s="603" t="s">
        <v>1024</v>
      </c>
      <c r="AS99" s="558">
        <v>1</v>
      </c>
    </row>
    <row r="100" spans="1:45" x14ac:dyDescent="0.2">
      <c r="A100" s="558" t="s">
        <v>16091</v>
      </c>
      <c r="B100" s="558" t="s">
        <v>23544</v>
      </c>
      <c r="C100" s="558" t="s">
        <v>740</v>
      </c>
      <c r="D100" s="558" t="s">
        <v>23127</v>
      </c>
      <c r="E100" s="558" t="s">
        <v>192</v>
      </c>
      <c r="F100" s="563">
        <v>1</v>
      </c>
      <c r="G100" s="558" t="s">
        <v>193</v>
      </c>
      <c r="H100" s="558" t="s">
        <v>194</v>
      </c>
      <c r="I100" s="558" t="s">
        <v>23186</v>
      </c>
      <c r="J100" s="558" t="s">
        <v>4786</v>
      </c>
      <c r="K100" s="558" t="s">
        <v>9309</v>
      </c>
      <c r="L100" s="558" t="s">
        <v>6955</v>
      </c>
      <c r="M100" s="558"/>
      <c r="N100" s="558" t="s">
        <v>23545</v>
      </c>
      <c r="O100" s="558" t="s">
        <v>6275</v>
      </c>
      <c r="P100" s="558" t="s">
        <v>23398</v>
      </c>
      <c r="Q100" s="558" t="s">
        <v>23318</v>
      </c>
      <c r="R100" s="558" t="s">
        <v>23307</v>
      </c>
      <c r="S100" s="558" t="s">
        <v>23546</v>
      </c>
      <c r="T100" s="558" t="s">
        <v>23547</v>
      </c>
      <c r="U100" s="558"/>
      <c r="V100" s="558" t="s">
        <v>9726</v>
      </c>
      <c r="W100" s="558" t="s">
        <v>741</v>
      </c>
      <c r="X100" s="558" t="s">
        <v>194</v>
      </c>
      <c r="Y100" s="558" t="s">
        <v>9300</v>
      </c>
      <c r="Z100" s="558"/>
      <c r="AA100" s="558"/>
      <c r="AB100" s="558" t="s">
        <v>9311</v>
      </c>
      <c r="AC100" s="558"/>
      <c r="AD100" s="558"/>
      <c r="AE100" s="558"/>
      <c r="AF100" s="558"/>
      <c r="AG100" s="558"/>
      <c r="AH100" s="558" t="s">
        <v>4714</v>
      </c>
      <c r="AI100" s="558" t="s">
        <v>23544</v>
      </c>
      <c r="AJ100" s="601" t="str">
        <f t="shared" si="2"/>
        <v>522301</v>
      </c>
      <c r="AK100" s="601">
        <v>1</v>
      </c>
      <c r="AL100" s="601">
        <f t="shared" si="3"/>
        <v>1</v>
      </c>
      <c r="AM100" s="601">
        <v>1</v>
      </c>
      <c r="AN100" s="603" t="s">
        <v>17650</v>
      </c>
      <c r="AO100" s="603" t="s">
        <v>17651</v>
      </c>
      <c r="AP100" s="603" t="s">
        <v>17652</v>
      </c>
      <c r="AQ100" s="603" t="s">
        <v>17653</v>
      </c>
      <c r="AR100" s="603" t="s">
        <v>1024</v>
      </c>
      <c r="AS100" s="558">
        <v>1</v>
      </c>
    </row>
    <row r="101" spans="1:45" x14ac:dyDescent="0.2">
      <c r="A101" s="558" t="s">
        <v>10481</v>
      </c>
      <c r="B101" s="558" t="s">
        <v>1462</v>
      </c>
      <c r="C101" s="558" t="s">
        <v>29</v>
      </c>
      <c r="D101" s="558" t="s">
        <v>23127</v>
      </c>
      <c r="E101" s="558" t="s">
        <v>192</v>
      </c>
      <c r="F101" s="563">
        <v>1</v>
      </c>
      <c r="G101" s="558" t="s">
        <v>193</v>
      </c>
      <c r="H101" s="558" t="s">
        <v>194</v>
      </c>
      <c r="I101" s="558" t="s">
        <v>23158</v>
      </c>
      <c r="J101" s="558" t="s">
        <v>10485</v>
      </c>
      <c r="K101" s="558" t="s">
        <v>9309</v>
      </c>
      <c r="L101" s="558" t="s">
        <v>6955</v>
      </c>
      <c r="M101" s="558"/>
      <c r="N101" s="558" t="s">
        <v>23548</v>
      </c>
      <c r="O101" s="558" t="s">
        <v>6363</v>
      </c>
      <c r="P101" s="558" t="s">
        <v>23398</v>
      </c>
      <c r="Q101" s="558" t="s">
        <v>23318</v>
      </c>
      <c r="R101" s="558" t="s">
        <v>23307</v>
      </c>
      <c r="S101" s="558" t="s">
        <v>23549</v>
      </c>
      <c r="T101" s="558" t="s">
        <v>23550</v>
      </c>
      <c r="U101" s="558"/>
      <c r="V101" s="558" t="s">
        <v>9367</v>
      </c>
      <c r="W101" s="558" t="s">
        <v>808</v>
      </c>
      <c r="X101" s="558" t="s">
        <v>194</v>
      </c>
      <c r="Y101" s="558" t="s">
        <v>9300</v>
      </c>
      <c r="Z101" s="558"/>
      <c r="AA101" s="558"/>
      <c r="AB101" s="558" t="s">
        <v>9311</v>
      </c>
      <c r="AC101" s="558"/>
      <c r="AD101" s="558"/>
      <c r="AE101" s="558"/>
      <c r="AF101" s="558"/>
      <c r="AG101" s="558"/>
      <c r="AH101" s="558" t="s">
        <v>4714</v>
      </c>
      <c r="AI101" s="558" t="s">
        <v>1462</v>
      </c>
      <c r="AJ101" s="601" t="str">
        <f t="shared" si="2"/>
        <v>722308</v>
      </c>
      <c r="AK101" s="601">
        <v>1</v>
      </c>
      <c r="AL101" s="601">
        <f t="shared" si="3"/>
        <v>1</v>
      </c>
      <c r="AM101" s="601">
        <v>1</v>
      </c>
      <c r="AN101" s="603" t="s">
        <v>17650</v>
      </c>
      <c r="AO101" s="603" t="s">
        <v>17651</v>
      </c>
      <c r="AP101" s="603" t="s">
        <v>17652</v>
      </c>
      <c r="AQ101" s="603" t="s">
        <v>17653</v>
      </c>
      <c r="AR101" s="603" t="s">
        <v>1024</v>
      </c>
      <c r="AS101" s="558">
        <v>1</v>
      </c>
    </row>
    <row r="102" spans="1:45" x14ac:dyDescent="0.2">
      <c r="A102" s="558" t="s">
        <v>23551</v>
      </c>
      <c r="B102" s="558" t="s">
        <v>23552</v>
      </c>
      <c r="C102" s="558" t="s">
        <v>5173</v>
      </c>
      <c r="D102" s="558" t="s">
        <v>23127</v>
      </c>
      <c r="E102" s="558" t="s">
        <v>192</v>
      </c>
      <c r="F102" s="563">
        <v>1</v>
      </c>
      <c r="G102" s="558" t="s">
        <v>193</v>
      </c>
      <c r="H102" s="558" t="s">
        <v>194</v>
      </c>
      <c r="I102" s="558" t="s">
        <v>23151</v>
      </c>
      <c r="J102" s="558" t="s">
        <v>210</v>
      </c>
      <c r="K102" s="558" t="s">
        <v>9309</v>
      </c>
      <c r="L102" s="558" t="s">
        <v>6955</v>
      </c>
      <c r="M102" s="558"/>
      <c r="N102" s="558" t="s">
        <v>23553</v>
      </c>
      <c r="O102" s="558" t="s">
        <v>6324</v>
      </c>
      <c r="P102" s="558" t="s">
        <v>23398</v>
      </c>
      <c r="Q102" s="558" t="s">
        <v>23318</v>
      </c>
      <c r="R102" s="558" t="s">
        <v>23307</v>
      </c>
      <c r="S102" s="558" t="s">
        <v>23554</v>
      </c>
      <c r="T102" s="558" t="s">
        <v>23555</v>
      </c>
      <c r="U102" s="558"/>
      <c r="V102" s="558" t="s">
        <v>9334</v>
      </c>
      <c r="W102" s="558" t="s">
        <v>1150</v>
      </c>
      <c r="X102" s="558" t="s">
        <v>194</v>
      </c>
      <c r="Y102" s="558" t="s">
        <v>9300</v>
      </c>
      <c r="Z102" s="558"/>
      <c r="AA102" s="558"/>
      <c r="AB102" s="558" t="s">
        <v>9311</v>
      </c>
      <c r="AC102" s="558"/>
      <c r="AD102" s="558"/>
      <c r="AE102" s="558"/>
      <c r="AF102" s="558"/>
      <c r="AG102" s="558"/>
      <c r="AH102" s="558" t="s">
        <v>4714</v>
      </c>
      <c r="AI102" s="558" t="s">
        <v>23552</v>
      </c>
      <c r="AJ102" s="601" t="str">
        <f t="shared" si="2"/>
        <v>244001</v>
      </c>
      <c r="AK102" s="601">
        <v>1</v>
      </c>
      <c r="AL102" s="601">
        <f t="shared" si="3"/>
        <v>1</v>
      </c>
      <c r="AM102" s="601">
        <v>1</v>
      </c>
      <c r="AN102" s="603" t="s">
        <v>17650</v>
      </c>
      <c r="AO102" s="603" t="s">
        <v>17651</v>
      </c>
      <c r="AP102" s="603" t="s">
        <v>17652</v>
      </c>
      <c r="AQ102" s="603" t="s">
        <v>17653</v>
      </c>
      <c r="AR102" s="603" t="s">
        <v>1024</v>
      </c>
      <c r="AS102" s="558">
        <v>1</v>
      </c>
    </row>
    <row r="103" spans="1:45" x14ac:dyDescent="0.2">
      <c r="A103" s="558" t="s">
        <v>23551</v>
      </c>
      <c r="B103" s="558" t="s">
        <v>23552</v>
      </c>
      <c r="C103" s="558" t="s">
        <v>5173</v>
      </c>
      <c r="D103" s="558" t="s">
        <v>23127</v>
      </c>
      <c r="E103" s="558" t="s">
        <v>192</v>
      </c>
      <c r="F103" s="563">
        <v>1</v>
      </c>
      <c r="G103" s="558" t="s">
        <v>193</v>
      </c>
      <c r="H103" s="558" t="s">
        <v>194</v>
      </c>
      <c r="I103" s="558" t="s">
        <v>23151</v>
      </c>
      <c r="J103" s="558" t="s">
        <v>276</v>
      </c>
      <c r="K103" s="558" t="s">
        <v>9309</v>
      </c>
      <c r="L103" s="558" t="s">
        <v>6955</v>
      </c>
      <c r="M103" s="558"/>
      <c r="N103" s="558" t="s">
        <v>23556</v>
      </c>
      <c r="O103" s="558" t="s">
        <v>6324</v>
      </c>
      <c r="P103" s="558" t="s">
        <v>23398</v>
      </c>
      <c r="Q103" s="558" t="s">
        <v>23318</v>
      </c>
      <c r="R103" s="558" t="s">
        <v>23307</v>
      </c>
      <c r="S103" s="558" t="s">
        <v>23557</v>
      </c>
      <c r="T103" s="558" t="s">
        <v>23558</v>
      </c>
      <c r="U103" s="558"/>
      <c r="V103" s="558" t="s">
        <v>9786</v>
      </c>
      <c r="W103" s="558" t="s">
        <v>1150</v>
      </c>
      <c r="X103" s="558" t="s">
        <v>194</v>
      </c>
      <c r="Y103" s="558" t="s">
        <v>9300</v>
      </c>
      <c r="Z103" s="558"/>
      <c r="AA103" s="558"/>
      <c r="AB103" s="558" t="s">
        <v>9311</v>
      </c>
      <c r="AC103" s="558"/>
      <c r="AD103" s="558"/>
      <c r="AE103" s="558"/>
      <c r="AF103" s="558"/>
      <c r="AG103" s="558"/>
      <c r="AH103" s="558" t="s">
        <v>4714</v>
      </c>
      <c r="AI103" s="558" t="s">
        <v>23552</v>
      </c>
      <c r="AJ103" s="601" t="str">
        <f t="shared" si="2"/>
        <v>244001</v>
      </c>
      <c r="AK103" s="601">
        <v>1</v>
      </c>
      <c r="AL103" s="601">
        <f t="shared" si="3"/>
        <v>1</v>
      </c>
      <c r="AM103" s="601">
        <v>1</v>
      </c>
      <c r="AN103" s="603" t="s">
        <v>17650</v>
      </c>
      <c r="AO103" s="603" t="s">
        <v>17651</v>
      </c>
      <c r="AP103" s="603" t="s">
        <v>17652</v>
      </c>
      <c r="AQ103" s="603" t="s">
        <v>17653</v>
      </c>
      <c r="AR103" s="603" t="s">
        <v>1024</v>
      </c>
      <c r="AS103" s="558">
        <v>1</v>
      </c>
    </row>
    <row r="104" spans="1:45" x14ac:dyDescent="0.2">
      <c r="A104" s="558" t="s">
        <v>23551</v>
      </c>
      <c r="B104" s="558" t="s">
        <v>23552</v>
      </c>
      <c r="C104" s="558" t="s">
        <v>5173</v>
      </c>
      <c r="D104" s="558" t="s">
        <v>23127</v>
      </c>
      <c r="E104" s="558" t="s">
        <v>192</v>
      </c>
      <c r="F104" s="563">
        <v>1</v>
      </c>
      <c r="G104" s="558" t="s">
        <v>193</v>
      </c>
      <c r="H104" s="558" t="s">
        <v>194</v>
      </c>
      <c r="I104" s="558" t="s">
        <v>23151</v>
      </c>
      <c r="J104" s="558" t="s">
        <v>385</v>
      </c>
      <c r="K104" s="558" t="s">
        <v>9309</v>
      </c>
      <c r="L104" s="558" t="s">
        <v>6955</v>
      </c>
      <c r="M104" s="558"/>
      <c r="N104" s="558" t="s">
        <v>23559</v>
      </c>
      <c r="O104" s="558" t="s">
        <v>6324</v>
      </c>
      <c r="P104" s="558" t="s">
        <v>23398</v>
      </c>
      <c r="Q104" s="558" t="s">
        <v>23318</v>
      </c>
      <c r="R104" s="558" t="s">
        <v>23307</v>
      </c>
      <c r="S104" s="558" t="s">
        <v>23560</v>
      </c>
      <c r="T104" s="558" t="s">
        <v>23561</v>
      </c>
      <c r="U104" s="558"/>
      <c r="V104" s="558" t="s">
        <v>9410</v>
      </c>
      <c r="W104" s="558" t="s">
        <v>1150</v>
      </c>
      <c r="X104" s="558" t="s">
        <v>194</v>
      </c>
      <c r="Y104" s="558" t="s">
        <v>9300</v>
      </c>
      <c r="Z104" s="558"/>
      <c r="AA104" s="558"/>
      <c r="AB104" s="558" t="s">
        <v>9311</v>
      </c>
      <c r="AC104" s="558"/>
      <c r="AD104" s="558"/>
      <c r="AE104" s="558"/>
      <c r="AF104" s="558"/>
      <c r="AG104" s="558"/>
      <c r="AH104" s="558" t="s">
        <v>4714</v>
      </c>
      <c r="AI104" s="558" t="s">
        <v>23552</v>
      </c>
      <c r="AJ104" s="601" t="str">
        <f t="shared" si="2"/>
        <v>244001</v>
      </c>
      <c r="AK104" s="601">
        <v>1</v>
      </c>
      <c r="AL104" s="601">
        <f t="shared" si="3"/>
        <v>1</v>
      </c>
      <c r="AM104" s="601">
        <v>1</v>
      </c>
      <c r="AN104" s="603" t="s">
        <v>17650</v>
      </c>
      <c r="AO104" s="603" t="s">
        <v>17651</v>
      </c>
      <c r="AP104" s="603" t="s">
        <v>17652</v>
      </c>
      <c r="AQ104" s="603" t="s">
        <v>17653</v>
      </c>
      <c r="AR104" s="603" t="s">
        <v>1024</v>
      </c>
      <c r="AS104" s="558">
        <v>1</v>
      </c>
    </row>
    <row r="105" spans="1:45" x14ac:dyDescent="0.2">
      <c r="A105" s="558" t="s">
        <v>23551</v>
      </c>
      <c r="B105" s="558" t="s">
        <v>23552</v>
      </c>
      <c r="C105" s="558" t="s">
        <v>5173</v>
      </c>
      <c r="D105" s="558" t="s">
        <v>23127</v>
      </c>
      <c r="E105" s="558" t="s">
        <v>192</v>
      </c>
      <c r="F105" s="563">
        <v>1</v>
      </c>
      <c r="G105" s="558" t="s">
        <v>193</v>
      </c>
      <c r="H105" s="558" t="s">
        <v>194</v>
      </c>
      <c r="I105" s="558" t="s">
        <v>23151</v>
      </c>
      <c r="J105" s="558" t="s">
        <v>4751</v>
      </c>
      <c r="K105" s="558" t="s">
        <v>9309</v>
      </c>
      <c r="L105" s="558" t="s">
        <v>6955</v>
      </c>
      <c r="M105" s="558"/>
      <c r="N105" s="558" t="s">
        <v>23562</v>
      </c>
      <c r="O105" s="558" t="s">
        <v>6324</v>
      </c>
      <c r="P105" s="558" t="s">
        <v>23398</v>
      </c>
      <c r="Q105" s="558" t="s">
        <v>23318</v>
      </c>
      <c r="R105" s="558" t="s">
        <v>23307</v>
      </c>
      <c r="S105" s="558" t="s">
        <v>23563</v>
      </c>
      <c r="T105" s="558" t="s">
        <v>23564</v>
      </c>
      <c r="U105" s="558"/>
      <c r="V105" s="558" t="s">
        <v>9472</v>
      </c>
      <c r="W105" s="558" t="s">
        <v>1150</v>
      </c>
      <c r="X105" s="558" t="s">
        <v>194</v>
      </c>
      <c r="Y105" s="558" t="s">
        <v>9300</v>
      </c>
      <c r="Z105" s="558"/>
      <c r="AA105" s="558"/>
      <c r="AB105" s="558" t="s">
        <v>9311</v>
      </c>
      <c r="AC105" s="558"/>
      <c r="AD105" s="558"/>
      <c r="AE105" s="558"/>
      <c r="AF105" s="558"/>
      <c r="AG105" s="558"/>
      <c r="AH105" s="558" t="s">
        <v>4714</v>
      </c>
      <c r="AI105" s="558" t="s">
        <v>23552</v>
      </c>
      <c r="AJ105" s="601" t="str">
        <f t="shared" si="2"/>
        <v>244001</v>
      </c>
      <c r="AK105" s="601">
        <v>1</v>
      </c>
      <c r="AL105" s="601">
        <f t="shared" si="3"/>
        <v>1</v>
      </c>
      <c r="AM105" s="601">
        <v>1</v>
      </c>
      <c r="AN105" s="603" t="s">
        <v>17650</v>
      </c>
      <c r="AO105" s="603" t="s">
        <v>17651</v>
      </c>
      <c r="AP105" s="603" t="s">
        <v>17652</v>
      </c>
      <c r="AQ105" s="603" t="s">
        <v>17653</v>
      </c>
      <c r="AR105" s="603" t="s">
        <v>1024</v>
      </c>
      <c r="AS105" s="558">
        <v>1</v>
      </c>
    </row>
    <row r="106" spans="1:45" x14ac:dyDescent="0.2">
      <c r="A106" s="558" t="s">
        <v>23551</v>
      </c>
      <c r="B106" s="558" t="s">
        <v>23552</v>
      </c>
      <c r="C106" s="558" t="s">
        <v>5173</v>
      </c>
      <c r="D106" s="558" t="s">
        <v>23127</v>
      </c>
      <c r="E106" s="558" t="s">
        <v>192</v>
      </c>
      <c r="F106" s="563">
        <v>1</v>
      </c>
      <c r="G106" s="558" t="s">
        <v>193</v>
      </c>
      <c r="H106" s="558" t="s">
        <v>194</v>
      </c>
      <c r="I106" s="558" t="s">
        <v>23151</v>
      </c>
      <c r="J106" s="558" t="s">
        <v>408</v>
      </c>
      <c r="K106" s="558" t="s">
        <v>9309</v>
      </c>
      <c r="L106" s="558" t="s">
        <v>6955</v>
      </c>
      <c r="M106" s="558"/>
      <c r="N106" s="558" t="s">
        <v>23565</v>
      </c>
      <c r="O106" s="558" t="s">
        <v>6324</v>
      </c>
      <c r="P106" s="558" t="s">
        <v>23398</v>
      </c>
      <c r="Q106" s="558" t="s">
        <v>23318</v>
      </c>
      <c r="R106" s="558" t="s">
        <v>23307</v>
      </c>
      <c r="S106" s="558" t="s">
        <v>23566</v>
      </c>
      <c r="T106" s="558" t="s">
        <v>23567</v>
      </c>
      <c r="U106" s="558"/>
      <c r="V106" s="558" t="s">
        <v>9479</v>
      </c>
      <c r="W106" s="558" t="s">
        <v>1150</v>
      </c>
      <c r="X106" s="558" t="s">
        <v>194</v>
      </c>
      <c r="Y106" s="558" t="s">
        <v>9300</v>
      </c>
      <c r="Z106" s="558"/>
      <c r="AA106" s="558"/>
      <c r="AB106" s="558" t="s">
        <v>9311</v>
      </c>
      <c r="AC106" s="558"/>
      <c r="AD106" s="558"/>
      <c r="AE106" s="558"/>
      <c r="AF106" s="558"/>
      <c r="AG106" s="558"/>
      <c r="AH106" s="558" t="s">
        <v>4714</v>
      </c>
      <c r="AI106" s="558" t="s">
        <v>23552</v>
      </c>
      <c r="AJ106" s="601" t="str">
        <f t="shared" si="2"/>
        <v>244001</v>
      </c>
      <c r="AK106" s="601">
        <v>1</v>
      </c>
      <c r="AL106" s="601">
        <f t="shared" si="3"/>
        <v>1</v>
      </c>
      <c r="AM106" s="601">
        <v>1</v>
      </c>
      <c r="AN106" s="603" t="s">
        <v>17650</v>
      </c>
      <c r="AO106" s="603" t="s">
        <v>17651</v>
      </c>
      <c r="AP106" s="603" t="s">
        <v>17652</v>
      </c>
      <c r="AQ106" s="603" t="s">
        <v>17653</v>
      </c>
      <c r="AR106" s="603" t="s">
        <v>1024</v>
      </c>
      <c r="AS106" s="558">
        <v>1</v>
      </c>
    </row>
    <row r="107" spans="1:45" x14ac:dyDescent="0.2">
      <c r="A107" s="558" t="s">
        <v>2798</v>
      </c>
      <c r="B107" s="558" t="s">
        <v>23568</v>
      </c>
      <c r="C107" s="558" t="s">
        <v>17</v>
      </c>
      <c r="D107" s="558" t="s">
        <v>23127</v>
      </c>
      <c r="E107" s="558" t="s">
        <v>192</v>
      </c>
      <c r="F107" s="563">
        <v>1</v>
      </c>
      <c r="G107" s="558" t="s">
        <v>193</v>
      </c>
      <c r="H107" s="558" t="s">
        <v>194</v>
      </c>
      <c r="I107" s="558" t="s">
        <v>23164</v>
      </c>
      <c r="J107" s="558" t="s">
        <v>1473</v>
      </c>
      <c r="K107" s="558" t="s">
        <v>9309</v>
      </c>
      <c r="L107" s="558" t="s">
        <v>6955</v>
      </c>
      <c r="M107" s="558"/>
      <c r="N107" s="558" t="s">
        <v>23569</v>
      </c>
      <c r="O107" s="558" t="s">
        <v>6245</v>
      </c>
      <c r="P107" s="558" t="s">
        <v>23398</v>
      </c>
      <c r="Q107" s="558" t="s">
        <v>23318</v>
      </c>
      <c r="R107" s="558" t="s">
        <v>23307</v>
      </c>
      <c r="S107" s="558" t="s">
        <v>23570</v>
      </c>
      <c r="T107" s="558" t="s">
        <v>23571</v>
      </c>
      <c r="U107" s="558"/>
      <c r="V107" s="558" t="s">
        <v>9786</v>
      </c>
      <c r="W107" s="558" t="s">
        <v>624</v>
      </c>
      <c r="X107" s="558" t="s">
        <v>194</v>
      </c>
      <c r="Y107" s="558" t="s">
        <v>9300</v>
      </c>
      <c r="Z107" s="558"/>
      <c r="AA107" s="558"/>
      <c r="AB107" s="558" t="s">
        <v>9311</v>
      </c>
      <c r="AC107" s="558"/>
      <c r="AD107" s="558"/>
      <c r="AE107" s="558"/>
      <c r="AF107" s="558"/>
      <c r="AG107" s="558"/>
      <c r="AH107" s="558" t="s">
        <v>4714</v>
      </c>
      <c r="AI107" s="558" t="s">
        <v>23568</v>
      </c>
      <c r="AJ107" s="601" t="str">
        <f t="shared" si="2"/>
        <v>332203</v>
      </c>
      <c r="AK107" s="601">
        <v>1</v>
      </c>
      <c r="AL107" s="601">
        <f t="shared" si="3"/>
        <v>1</v>
      </c>
      <c r="AM107" s="601">
        <v>1</v>
      </c>
      <c r="AN107" s="603" t="s">
        <v>17650</v>
      </c>
      <c r="AO107" s="603" t="s">
        <v>17651</v>
      </c>
      <c r="AP107" s="603" t="s">
        <v>17652</v>
      </c>
      <c r="AQ107" s="603" t="s">
        <v>17653</v>
      </c>
      <c r="AR107" s="603" t="s">
        <v>1024</v>
      </c>
      <c r="AS107" s="558">
        <v>1</v>
      </c>
    </row>
    <row r="108" spans="1:45" x14ac:dyDescent="0.2">
      <c r="A108" s="558" t="s">
        <v>19160</v>
      </c>
      <c r="B108" s="558" t="s">
        <v>23572</v>
      </c>
      <c r="C108" s="558" t="s">
        <v>85</v>
      </c>
      <c r="D108" s="558" t="s">
        <v>23127</v>
      </c>
      <c r="E108" s="558" t="s">
        <v>192</v>
      </c>
      <c r="F108" s="563">
        <v>1</v>
      </c>
      <c r="G108" s="558" t="s">
        <v>193</v>
      </c>
      <c r="H108" s="558" t="s">
        <v>194</v>
      </c>
      <c r="I108" s="558" t="s">
        <v>23139</v>
      </c>
      <c r="J108" s="558" t="s">
        <v>210</v>
      </c>
      <c r="K108" s="558" t="s">
        <v>9309</v>
      </c>
      <c r="L108" s="558" t="s">
        <v>6955</v>
      </c>
      <c r="M108" s="558"/>
      <c r="N108" s="558" t="s">
        <v>23573</v>
      </c>
      <c r="O108" s="558" t="s">
        <v>6249</v>
      </c>
      <c r="P108" s="558" t="s">
        <v>23398</v>
      </c>
      <c r="Q108" s="558" t="s">
        <v>23318</v>
      </c>
      <c r="R108" s="558" t="s">
        <v>23307</v>
      </c>
      <c r="S108" s="558" t="s">
        <v>23574</v>
      </c>
      <c r="T108" s="558" t="s">
        <v>23575</v>
      </c>
      <c r="U108" s="558"/>
      <c r="V108" s="558" t="s">
        <v>9334</v>
      </c>
      <c r="W108" s="558" t="s">
        <v>477</v>
      </c>
      <c r="X108" s="558" t="s">
        <v>194</v>
      </c>
      <c r="Y108" s="558" t="s">
        <v>9300</v>
      </c>
      <c r="Z108" s="558"/>
      <c r="AA108" s="558"/>
      <c r="AB108" s="558" t="s">
        <v>9311</v>
      </c>
      <c r="AC108" s="558"/>
      <c r="AD108" s="558"/>
      <c r="AE108" s="558"/>
      <c r="AF108" s="558"/>
      <c r="AG108" s="558"/>
      <c r="AH108" s="558" t="s">
        <v>4714</v>
      </c>
      <c r="AI108" s="558" t="s">
        <v>23572</v>
      </c>
      <c r="AJ108" s="601" t="str">
        <f t="shared" si="2"/>
        <v>243305</v>
      </c>
      <c r="AK108" s="601">
        <v>1</v>
      </c>
      <c r="AL108" s="601">
        <f t="shared" si="3"/>
        <v>1</v>
      </c>
      <c r="AM108" s="601">
        <v>1</v>
      </c>
      <c r="AN108" s="603" t="s">
        <v>17650</v>
      </c>
      <c r="AO108" s="603" t="s">
        <v>17651</v>
      </c>
      <c r="AP108" s="603" t="s">
        <v>17652</v>
      </c>
      <c r="AQ108" s="603" t="s">
        <v>17653</v>
      </c>
      <c r="AR108" s="603" t="s">
        <v>1024</v>
      </c>
      <c r="AS108" s="558">
        <v>1</v>
      </c>
    </row>
    <row r="109" spans="1:45" x14ac:dyDescent="0.2">
      <c r="A109" s="558" t="s">
        <v>19399</v>
      </c>
      <c r="B109" s="558" t="s">
        <v>19416</v>
      </c>
      <c r="C109" s="558" t="s">
        <v>100</v>
      </c>
      <c r="D109" s="558" t="s">
        <v>23127</v>
      </c>
      <c r="E109" s="558" t="s">
        <v>192</v>
      </c>
      <c r="F109" s="563">
        <v>1</v>
      </c>
      <c r="G109" s="558" t="s">
        <v>193</v>
      </c>
      <c r="H109" s="558" t="s">
        <v>194</v>
      </c>
      <c r="I109" s="558" t="s">
        <v>23158</v>
      </c>
      <c r="J109" s="558" t="s">
        <v>367</v>
      </c>
      <c r="K109" s="558" t="s">
        <v>9309</v>
      </c>
      <c r="L109" s="558" t="s">
        <v>6955</v>
      </c>
      <c r="M109" s="558"/>
      <c r="N109" s="558" t="s">
        <v>23576</v>
      </c>
      <c r="O109" s="558" t="s">
        <v>6266</v>
      </c>
      <c r="P109" s="558" t="s">
        <v>23398</v>
      </c>
      <c r="Q109" s="558" t="s">
        <v>23318</v>
      </c>
      <c r="R109" s="558" t="s">
        <v>23307</v>
      </c>
      <c r="S109" s="558" t="s">
        <v>23577</v>
      </c>
      <c r="T109" s="558" t="s">
        <v>23578</v>
      </c>
      <c r="U109" s="558"/>
      <c r="V109" s="558" t="s">
        <v>9974</v>
      </c>
      <c r="W109" s="558" t="s">
        <v>429</v>
      </c>
      <c r="X109" s="558" t="s">
        <v>194</v>
      </c>
      <c r="Y109" s="558" t="s">
        <v>9300</v>
      </c>
      <c r="Z109" s="558"/>
      <c r="AA109" s="558"/>
      <c r="AB109" s="558" t="s">
        <v>9311</v>
      </c>
      <c r="AC109" s="558"/>
      <c r="AD109" s="558"/>
      <c r="AE109" s="558"/>
      <c r="AF109" s="558"/>
      <c r="AG109" s="558"/>
      <c r="AH109" s="558" t="s">
        <v>4714</v>
      </c>
      <c r="AI109" s="558" t="s">
        <v>19416</v>
      </c>
      <c r="AJ109" s="601" t="str">
        <f t="shared" si="2"/>
        <v>242108</v>
      </c>
      <c r="AK109" s="601">
        <v>1</v>
      </c>
      <c r="AL109" s="601">
        <f t="shared" si="3"/>
        <v>1</v>
      </c>
      <c r="AM109" s="601">
        <v>1</v>
      </c>
      <c r="AN109" s="603" t="s">
        <v>17650</v>
      </c>
      <c r="AO109" s="603" t="s">
        <v>17651</v>
      </c>
      <c r="AP109" s="603" t="s">
        <v>17652</v>
      </c>
      <c r="AQ109" s="603" t="s">
        <v>17653</v>
      </c>
      <c r="AR109" s="603" t="s">
        <v>1024</v>
      </c>
      <c r="AS109" s="558">
        <v>1</v>
      </c>
    </row>
    <row r="110" spans="1:45" x14ac:dyDescent="0.2">
      <c r="A110" s="558" t="s">
        <v>2663</v>
      </c>
      <c r="B110" s="558" t="s">
        <v>22937</v>
      </c>
      <c r="C110" s="558" t="s">
        <v>84</v>
      </c>
      <c r="D110" s="558" t="s">
        <v>23127</v>
      </c>
      <c r="E110" s="558" t="s">
        <v>192</v>
      </c>
      <c r="F110" s="563">
        <v>1</v>
      </c>
      <c r="G110" s="558" t="s">
        <v>193</v>
      </c>
      <c r="H110" s="558" t="s">
        <v>194</v>
      </c>
      <c r="I110" s="558" t="s">
        <v>23158</v>
      </c>
      <c r="J110" s="558" t="s">
        <v>210</v>
      </c>
      <c r="K110" s="558" t="s">
        <v>9309</v>
      </c>
      <c r="L110" s="558" t="s">
        <v>6955</v>
      </c>
      <c r="M110" s="558"/>
      <c r="N110" s="558" t="s">
        <v>23579</v>
      </c>
      <c r="O110" s="558" t="s">
        <v>6275</v>
      </c>
      <c r="P110" s="558" t="s">
        <v>23398</v>
      </c>
      <c r="Q110" s="558" t="s">
        <v>23318</v>
      </c>
      <c r="R110" s="558" t="s">
        <v>23307</v>
      </c>
      <c r="S110" s="558" t="s">
        <v>23580</v>
      </c>
      <c r="T110" s="558" t="s">
        <v>23581</v>
      </c>
      <c r="U110" s="558"/>
      <c r="V110" s="558" t="s">
        <v>9334</v>
      </c>
      <c r="W110" s="558" t="s">
        <v>2665</v>
      </c>
      <c r="X110" s="558" t="s">
        <v>194</v>
      </c>
      <c r="Y110" s="558" t="s">
        <v>9300</v>
      </c>
      <c r="Z110" s="558"/>
      <c r="AA110" s="558"/>
      <c r="AB110" s="558" t="s">
        <v>9311</v>
      </c>
      <c r="AC110" s="558"/>
      <c r="AD110" s="558"/>
      <c r="AE110" s="558"/>
      <c r="AF110" s="558"/>
      <c r="AG110" s="558"/>
      <c r="AH110" s="558" t="s">
        <v>4714</v>
      </c>
      <c r="AI110" s="558" t="s">
        <v>22937</v>
      </c>
      <c r="AJ110" s="601" t="str">
        <f t="shared" si="2"/>
        <v>541315</v>
      </c>
      <c r="AK110" s="601">
        <v>1</v>
      </c>
      <c r="AL110" s="601">
        <f t="shared" si="3"/>
        <v>1</v>
      </c>
      <c r="AM110" s="601">
        <v>1</v>
      </c>
      <c r="AN110" s="603" t="s">
        <v>17650</v>
      </c>
      <c r="AO110" s="603" t="s">
        <v>17651</v>
      </c>
      <c r="AP110" s="603" t="s">
        <v>17652</v>
      </c>
      <c r="AQ110" s="603" t="s">
        <v>17653</v>
      </c>
      <c r="AR110" s="603" t="s">
        <v>1024</v>
      </c>
      <c r="AS110" s="558">
        <v>1</v>
      </c>
    </row>
    <row r="111" spans="1:45" x14ac:dyDescent="0.2">
      <c r="A111" s="558" t="s">
        <v>2663</v>
      </c>
      <c r="B111" s="558" t="s">
        <v>22937</v>
      </c>
      <c r="C111" s="558" t="s">
        <v>84</v>
      </c>
      <c r="D111" s="558" t="s">
        <v>23127</v>
      </c>
      <c r="E111" s="558" t="s">
        <v>192</v>
      </c>
      <c r="F111" s="563">
        <v>1</v>
      </c>
      <c r="G111" s="558" t="s">
        <v>193</v>
      </c>
      <c r="H111" s="558" t="s">
        <v>194</v>
      </c>
      <c r="I111" s="558" t="s">
        <v>23158</v>
      </c>
      <c r="J111" s="558" t="s">
        <v>210</v>
      </c>
      <c r="K111" s="558" t="s">
        <v>9309</v>
      </c>
      <c r="L111" s="558" t="s">
        <v>6955</v>
      </c>
      <c r="M111" s="558"/>
      <c r="N111" s="558" t="s">
        <v>23582</v>
      </c>
      <c r="O111" s="558" t="s">
        <v>6275</v>
      </c>
      <c r="P111" s="558" t="s">
        <v>23398</v>
      </c>
      <c r="Q111" s="558" t="s">
        <v>23318</v>
      </c>
      <c r="R111" s="558" t="s">
        <v>23307</v>
      </c>
      <c r="S111" s="558" t="s">
        <v>23583</v>
      </c>
      <c r="T111" s="558" t="s">
        <v>23584</v>
      </c>
      <c r="U111" s="558"/>
      <c r="V111" s="558" t="s">
        <v>9334</v>
      </c>
      <c r="W111" s="558" t="s">
        <v>2665</v>
      </c>
      <c r="X111" s="558" t="s">
        <v>194</v>
      </c>
      <c r="Y111" s="558" t="s">
        <v>9300</v>
      </c>
      <c r="Z111" s="558"/>
      <c r="AA111" s="558"/>
      <c r="AB111" s="558" t="s">
        <v>9311</v>
      </c>
      <c r="AC111" s="558"/>
      <c r="AD111" s="558"/>
      <c r="AE111" s="558"/>
      <c r="AF111" s="558"/>
      <c r="AG111" s="558"/>
      <c r="AH111" s="558" t="s">
        <v>4714</v>
      </c>
      <c r="AI111" s="558" t="s">
        <v>22937</v>
      </c>
      <c r="AJ111" s="601" t="str">
        <f t="shared" si="2"/>
        <v>541315</v>
      </c>
      <c r="AK111" s="601">
        <v>1</v>
      </c>
      <c r="AL111" s="601">
        <f t="shared" si="3"/>
        <v>1</v>
      </c>
      <c r="AM111" s="601">
        <v>1</v>
      </c>
      <c r="AN111" s="603" t="s">
        <v>17650</v>
      </c>
      <c r="AO111" s="603" t="s">
        <v>17651</v>
      </c>
      <c r="AP111" s="603" t="s">
        <v>17652</v>
      </c>
      <c r="AQ111" s="603" t="s">
        <v>17653</v>
      </c>
      <c r="AR111" s="603" t="s">
        <v>1024</v>
      </c>
      <c r="AS111" s="558">
        <v>1</v>
      </c>
    </row>
    <row r="112" spans="1:45" x14ac:dyDescent="0.2">
      <c r="A112" s="558" t="s">
        <v>16146</v>
      </c>
      <c r="B112" s="558" t="s">
        <v>23585</v>
      </c>
      <c r="C112" s="558" t="s">
        <v>525</v>
      </c>
      <c r="D112" s="558" t="s">
        <v>23127</v>
      </c>
      <c r="E112" s="558" t="s">
        <v>192</v>
      </c>
      <c r="F112" s="563">
        <v>1</v>
      </c>
      <c r="G112" s="558" t="s">
        <v>193</v>
      </c>
      <c r="H112" s="558" t="s">
        <v>194</v>
      </c>
      <c r="I112" s="558" t="s">
        <v>23128</v>
      </c>
      <c r="J112" s="558" t="s">
        <v>5098</v>
      </c>
      <c r="K112" s="558" t="s">
        <v>9309</v>
      </c>
      <c r="L112" s="558" t="s">
        <v>6955</v>
      </c>
      <c r="M112" s="558"/>
      <c r="N112" s="558" t="s">
        <v>23586</v>
      </c>
      <c r="O112" s="558" t="s">
        <v>6286</v>
      </c>
      <c r="P112" s="558" t="s">
        <v>23398</v>
      </c>
      <c r="Q112" s="558" t="s">
        <v>23318</v>
      </c>
      <c r="R112" s="558" t="s">
        <v>23307</v>
      </c>
      <c r="S112" s="558" t="s">
        <v>23587</v>
      </c>
      <c r="T112" s="558" t="s">
        <v>23588</v>
      </c>
      <c r="U112" s="558"/>
      <c r="V112" s="558" t="s">
        <v>9786</v>
      </c>
      <c r="W112" s="558" t="s">
        <v>526</v>
      </c>
      <c r="X112" s="558" t="s">
        <v>194</v>
      </c>
      <c r="Y112" s="558" t="s">
        <v>9300</v>
      </c>
      <c r="Z112" s="558"/>
      <c r="AA112" s="558"/>
      <c r="AB112" s="558" t="s">
        <v>9311</v>
      </c>
      <c r="AC112" s="558"/>
      <c r="AD112" s="558"/>
      <c r="AE112" s="558"/>
      <c r="AF112" s="558"/>
      <c r="AG112" s="558"/>
      <c r="AH112" s="558" t="s">
        <v>4714</v>
      </c>
      <c r="AI112" s="558" t="s">
        <v>23585</v>
      </c>
      <c r="AJ112" s="601" t="str">
        <f t="shared" si="2"/>
        <v>263102</v>
      </c>
      <c r="AK112" s="601">
        <v>1</v>
      </c>
      <c r="AL112" s="601">
        <f t="shared" si="3"/>
        <v>1</v>
      </c>
      <c r="AM112" s="601">
        <v>1</v>
      </c>
      <c r="AN112" s="603" t="s">
        <v>17650</v>
      </c>
      <c r="AO112" s="603" t="s">
        <v>17651</v>
      </c>
      <c r="AP112" s="603" t="s">
        <v>17652</v>
      </c>
      <c r="AQ112" s="603" t="s">
        <v>17653</v>
      </c>
      <c r="AR112" s="603" t="s">
        <v>1024</v>
      </c>
      <c r="AS112" s="558">
        <v>1</v>
      </c>
    </row>
    <row r="113" spans="1:45" x14ac:dyDescent="0.2">
      <c r="A113" s="558" t="s">
        <v>11871</v>
      </c>
      <c r="B113" s="558" t="s">
        <v>8253</v>
      </c>
      <c r="C113" s="558" t="s">
        <v>67</v>
      </c>
      <c r="D113" s="558" t="s">
        <v>23127</v>
      </c>
      <c r="E113" s="558" t="s">
        <v>192</v>
      </c>
      <c r="F113" s="563">
        <v>1</v>
      </c>
      <c r="G113" s="558" t="s">
        <v>193</v>
      </c>
      <c r="H113" s="558" t="s">
        <v>194</v>
      </c>
      <c r="I113" s="558" t="s">
        <v>23164</v>
      </c>
      <c r="J113" s="558" t="s">
        <v>672</v>
      </c>
      <c r="K113" s="558" t="s">
        <v>9309</v>
      </c>
      <c r="L113" s="558" t="s">
        <v>6955</v>
      </c>
      <c r="M113" s="558"/>
      <c r="N113" s="558" t="s">
        <v>23589</v>
      </c>
      <c r="O113" s="558" t="s">
        <v>6266</v>
      </c>
      <c r="P113" s="558" t="s">
        <v>23398</v>
      </c>
      <c r="Q113" s="558" t="s">
        <v>23318</v>
      </c>
      <c r="R113" s="558" t="s">
        <v>23307</v>
      </c>
      <c r="S113" s="558" t="s">
        <v>23590</v>
      </c>
      <c r="T113" s="558" t="s">
        <v>23591</v>
      </c>
      <c r="U113" s="558"/>
      <c r="V113" s="558" t="s">
        <v>9726</v>
      </c>
      <c r="W113" s="558" t="s">
        <v>709</v>
      </c>
      <c r="X113" s="558" t="s">
        <v>194</v>
      </c>
      <c r="Y113" s="558" t="s">
        <v>9300</v>
      </c>
      <c r="Z113" s="558"/>
      <c r="AA113" s="558"/>
      <c r="AB113" s="558" t="s">
        <v>9311</v>
      </c>
      <c r="AC113" s="558"/>
      <c r="AD113" s="558"/>
      <c r="AE113" s="558"/>
      <c r="AF113" s="558"/>
      <c r="AG113" s="558"/>
      <c r="AH113" s="558" t="s">
        <v>4714</v>
      </c>
      <c r="AI113" s="558" t="s">
        <v>8253</v>
      </c>
      <c r="AJ113" s="601" t="str">
        <f t="shared" si="2"/>
        <v>432103</v>
      </c>
      <c r="AK113" s="601">
        <v>1</v>
      </c>
      <c r="AL113" s="601">
        <f t="shared" si="3"/>
        <v>1</v>
      </c>
      <c r="AM113" s="601">
        <v>1</v>
      </c>
      <c r="AN113" s="603" t="s">
        <v>17650</v>
      </c>
      <c r="AO113" s="603" t="s">
        <v>17651</v>
      </c>
      <c r="AP113" s="603" t="s">
        <v>17652</v>
      </c>
      <c r="AQ113" s="603" t="s">
        <v>17653</v>
      </c>
      <c r="AR113" s="603" t="s">
        <v>1024</v>
      </c>
      <c r="AS113" s="558">
        <v>1</v>
      </c>
    </row>
    <row r="114" spans="1:45" x14ac:dyDescent="0.2">
      <c r="A114" s="558" t="s">
        <v>21137</v>
      </c>
      <c r="B114" s="558" t="s">
        <v>23592</v>
      </c>
      <c r="C114" s="558" t="s">
        <v>10</v>
      </c>
      <c r="D114" s="558" t="s">
        <v>23127</v>
      </c>
      <c r="E114" s="558" t="s">
        <v>192</v>
      </c>
      <c r="F114" s="563">
        <v>1</v>
      </c>
      <c r="G114" s="558" t="s">
        <v>193</v>
      </c>
      <c r="H114" s="558" t="s">
        <v>194</v>
      </c>
      <c r="I114" s="558" t="s">
        <v>23307</v>
      </c>
      <c r="J114" s="558" t="s">
        <v>210</v>
      </c>
      <c r="K114" s="558" t="s">
        <v>9309</v>
      </c>
      <c r="L114" s="558" t="s">
        <v>6955</v>
      </c>
      <c r="M114" s="558"/>
      <c r="N114" s="558" t="s">
        <v>23593</v>
      </c>
      <c r="O114" s="558" t="s">
        <v>6921</v>
      </c>
      <c r="P114" s="558" t="s">
        <v>23398</v>
      </c>
      <c r="Q114" s="558" t="s">
        <v>23318</v>
      </c>
      <c r="R114" s="558" t="s">
        <v>23307</v>
      </c>
      <c r="S114" s="558" t="s">
        <v>23594</v>
      </c>
      <c r="T114" s="558" t="s">
        <v>23595</v>
      </c>
      <c r="U114" s="558"/>
      <c r="V114" s="558" t="s">
        <v>9334</v>
      </c>
      <c r="W114" s="558" t="s">
        <v>484</v>
      </c>
      <c r="X114" s="558" t="s">
        <v>194</v>
      </c>
      <c r="Y114" s="558" t="s">
        <v>9300</v>
      </c>
      <c r="Z114" s="558"/>
      <c r="AA114" s="558"/>
      <c r="AB114" s="558" t="s">
        <v>9311</v>
      </c>
      <c r="AC114" s="558"/>
      <c r="AD114" s="558"/>
      <c r="AE114" s="558"/>
      <c r="AF114" s="558"/>
      <c r="AG114" s="558"/>
      <c r="AH114" s="558" t="s">
        <v>4714</v>
      </c>
      <c r="AI114" s="558" t="s">
        <v>23592</v>
      </c>
      <c r="AJ114" s="601" t="str">
        <f t="shared" si="2"/>
        <v>251401</v>
      </c>
      <c r="AK114" s="601">
        <v>1</v>
      </c>
      <c r="AL114" s="601">
        <f t="shared" si="3"/>
        <v>1</v>
      </c>
      <c r="AM114" s="601">
        <v>1</v>
      </c>
      <c r="AN114" s="603" t="s">
        <v>17650</v>
      </c>
      <c r="AO114" s="603" t="s">
        <v>17651</v>
      </c>
      <c r="AP114" s="603" t="s">
        <v>17652</v>
      </c>
      <c r="AQ114" s="603" t="s">
        <v>17653</v>
      </c>
      <c r="AR114" s="603" t="s">
        <v>1024</v>
      </c>
      <c r="AS114" s="558">
        <v>1</v>
      </c>
    </row>
    <row r="115" spans="1:45" x14ac:dyDescent="0.2">
      <c r="A115" s="558" t="s">
        <v>23596</v>
      </c>
      <c r="B115" s="558" t="s">
        <v>353</v>
      </c>
      <c r="C115" s="558" t="s">
        <v>822</v>
      </c>
      <c r="D115" s="558" t="s">
        <v>23127</v>
      </c>
      <c r="E115" s="558" t="s">
        <v>192</v>
      </c>
      <c r="F115" s="563">
        <v>1</v>
      </c>
      <c r="G115" s="558" t="s">
        <v>193</v>
      </c>
      <c r="H115" s="558" t="s">
        <v>194</v>
      </c>
      <c r="I115" s="558" t="s">
        <v>23128</v>
      </c>
      <c r="J115" s="558" t="s">
        <v>210</v>
      </c>
      <c r="K115" s="558" t="s">
        <v>9309</v>
      </c>
      <c r="L115" s="558" t="s">
        <v>6955</v>
      </c>
      <c r="M115" s="558"/>
      <c r="N115" s="558" t="s">
        <v>23597</v>
      </c>
      <c r="O115" s="558" t="s">
        <v>6245</v>
      </c>
      <c r="P115" s="558" t="s">
        <v>23398</v>
      </c>
      <c r="Q115" s="558" t="s">
        <v>23318</v>
      </c>
      <c r="R115" s="558" t="s">
        <v>23307</v>
      </c>
      <c r="S115" s="558" t="s">
        <v>23598</v>
      </c>
      <c r="T115" s="558" t="s">
        <v>23599</v>
      </c>
      <c r="U115" s="558"/>
      <c r="V115" s="558" t="s">
        <v>9334</v>
      </c>
      <c r="W115" s="558" t="s">
        <v>823</v>
      </c>
      <c r="X115" s="558" t="s">
        <v>194</v>
      </c>
      <c r="Y115" s="558" t="s">
        <v>9300</v>
      </c>
      <c r="Z115" s="558"/>
      <c r="AA115" s="558"/>
      <c r="AB115" s="558" t="s">
        <v>9311</v>
      </c>
      <c r="AC115" s="558"/>
      <c r="AD115" s="558"/>
      <c r="AE115" s="558"/>
      <c r="AF115" s="558"/>
      <c r="AG115" s="558"/>
      <c r="AH115" s="558" t="s">
        <v>4714</v>
      </c>
      <c r="AI115" s="558" t="s">
        <v>353</v>
      </c>
      <c r="AJ115" s="601" t="str">
        <f t="shared" si="2"/>
        <v>741103</v>
      </c>
      <c r="AK115" s="601">
        <v>1</v>
      </c>
      <c r="AL115" s="601">
        <f t="shared" si="3"/>
        <v>1</v>
      </c>
      <c r="AM115" s="601">
        <v>1</v>
      </c>
      <c r="AN115" s="603" t="s">
        <v>17650</v>
      </c>
      <c r="AO115" s="603" t="s">
        <v>17651</v>
      </c>
      <c r="AP115" s="603" t="s">
        <v>17652</v>
      </c>
      <c r="AQ115" s="603" t="s">
        <v>17653</v>
      </c>
      <c r="AR115" s="603" t="s">
        <v>1024</v>
      </c>
      <c r="AS115" s="558">
        <v>1</v>
      </c>
    </row>
    <row r="116" spans="1:45" x14ac:dyDescent="0.2">
      <c r="A116" s="558" t="s">
        <v>20254</v>
      </c>
      <c r="B116" s="558" t="s">
        <v>23600</v>
      </c>
      <c r="C116" s="558" t="s">
        <v>4034</v>
      </c>
      <c r="D116" s="558" t="s">
        <v>23127</v>
      </c>
      <c r="E116" s="558" t="s">
        <v>192</v>
      </c>
      <c r="F116" s="563">
        <v>1</v>
      </c>
      <c r="G116" s="558" t="s">
        <v>193</v>
      </c>
      <c r="H116" s="558" t="s">
        <v>194</v>
      </c>
      <c r="I116" s="558" t="s">
        <v>23128</v>
      </c>
      <c r="J116" s="558" t="s">
        <v>210</v>
      </c>
      <c r="K116" s="558" t="s">
        <v>9309</v>
      </c>
      <c r="L116" s="558" t="s">
        <v>6955</v>
      </c>
      <c r="M116" s="558"/>
      <c r="N116" s="558" t="s">
        <v>23601</v>
      </c>
      <c r="O116" s="558" t="s">
        <v>6286</v>
      </c>
      <c r="P116" s="558" t="s">
        <v>23398</v>
      </c>
      <c r="Q116" s="558" t="s">
        <v>23318</v>
      </c>
      <c r="R116" s="558" t="s">
        <v>23307</v>
      </c>
      <c r="S116" s="558" t="s">
        <v>23602</v>
      </c>
      <c r="T116" s="558" t="s">
        <v>23603</v>
      </c>
      <c r="U116" s="558"/>
      <c r="V116" s="558" t="s">
        <v>9334</v>
      </c>
      <c r="W116" s="558" t="s">
        <v>4035</v>
      </c>
      <c r="X116" s="558" t="s">
        <v>194</v>
      </c>
      <c r="Y116" s="558" t="s">
        <v>9300</v>
      </c>
      <c r="Z116" s="558"/>
      <c r="AA116" s="558"/>
      <c r="AB116" s="558" t="s">
        <v>9311</v>
      </c>
      <c r="AC116" s="558"/>
      <c r="AD116" s="558"/>
      <c r="AE116" s="558"/>
      <c r="AF116" s="558"/>
      <c r="AG116" s="558"/>
      <c r="AH116" s="558" t="s">
        <v>4714</v>
      </c>
      <c r="AI116" s="558" t="s">
        <v>23600</v>
      </c>
      <c r="AJ116" s="601" t="str">
        <f t="shared" si="2"/>
        <v>422602</v>
      </c>
      <c r="AK116" s="601">
        <v>1</v>
      </c>
      <c r="AL116" s="601">
        <f t="shared" si="3"/>
        <v>1</v>
      </c>
      <c r="AM116" s="601">
        <v>1</v>
      </c>
      <c r="AN116" s="603" t="s">
        <v>17650</v>
      </c>
      <c r="AO116" s="603" t="s">
        <v>17651</v>
      </c>
      <c r="AP116" s="603" t="s">
        <v>17652</v>
      </c>
      <c r="AQ116" s="603" t="s">
        <v>17653</v>
      </c>
      <c r="AR116" s="603" t="s">
        <v>1024</v>
      </c>
      <c r="AS116" s="558">
        <v>1</v>
      </c>
    </row>
    <row r="117" spans="1:45" x14ac:dyDescent="0.2">
      <c r="A117" s="558" t="s">
        <v>23604</v>
      </c>
      <c r="B117" s="558" t="s">
        <v>23605</v>
      </c>
      <c r="C117" s="558" t="s">
        <v>18</v>
      </c>
      <c r="D117" s="558" t="s">
        <v>23127</v>
      </c>
      <c r="E117" s="558" t="s">
        <v>192</v>
      </c>
      <c r="F117" s="563">
        <v>1</v>
      </c>
      <c r="G117" s="558" t="s">
        <v>193</v>
      </c>
      <c r="H117" s="558" t="s">
        <v>194</v>
      </c>
      <c r="I117" s="558" t="s">
        <v>23128</v>
      </c>
      <c r="J117" s="558" t="s">
        <v>210</v>
      </c>
      <c r="K117" s="558" t="s">
        <v>9309</v>
      </c>
      <c r="L117" s="558" t="s">
        <v>6955</v>
      </c>
      <c r="M117" s="558"/>
      <c r="N117" s="558" t="s">
        <v>23606</v>
      </c>
      <c r="O117" s="558" t="s">
        <v>6286</v>
      </c>
      <c r="P117" s="558" t="s">
        <v>23398</v>
      </c>
      <c r="Q117" s="558" t="s">
        <v>23318</v>
      </c>
      <c r="R117" s="558" t="s">
        <v>23307</v>
      </c>
      <c r="S117" s="558" t="s">
        <v>23607</v>
      </c>
      <c r="T117" s="558" t="s">
        <v>23608</v>
      </c>
      <c r="U117" s="558"/>
      <c r="V117" s="558" t="s">
        <v>9334</v>
      </c>
      <c r="W117" s="558" t="s">
        <v>1476</v>
      </c>
      <c r="X117" s="558" t="s">
        <v>194</v>
      </c>
      <c r="Y117" s="558" t="s">
        <v>9300</v>
      </c>
      <c r="Z117" s="558"/>
      <c r="AA117" s="558"/>
      <c r="AB117" s="558" t="s">
        <v>9311</v>
      </c>
      <c r="AC117" s="558"/>
      <c r="AD117" s="558"/>
      <c r="AE117" s="558"/>
      <c r="AF117" s="558"/>
      <c r="AG117" s="558"/>
      <c r="AH117" s="558" t="s">
        <v>4714</v>
      </c>
      <c r="AI117" s="558" t="s">
        <v>23605</v>
      </c>
      <c r="AJ117" s="601" t="str">
        <f t="shared" si="2"/>
        <v>242309</v>
      </c>
      <c r="AK117" s="601">
        <v>1</v>
      </c>
      <c r="AL117" s="601">
        <f t="shared" si="3"/>
        <v>1</v>
      </c>
      <c r="AM117" s="601">
        <v>1</v>
      </c>
      <c r="AN117" s="603" t="s">
        <v>17650</v>
      </c>
      <c r="AO117" s="603" t="s">
        <v>17651</v>
      </c>
      <c r="AP117" s="603" t="s">
        <v>17652</v>
      </c>
      <c r="AQ117" s="603" t="s">
        <v>17653</v>
      </c>
      <c r="AR117" s="603" t="s">
        <v>1024</v>
      </c>
      <c r="AS117" s="558">
        <v>1</v>
      </c>
    </row>
    <row r="118" spans="1:45" x14ac:dyDescent="0.2">
      <c r="A118" s="558" t="s">
        <v>23596</v>
      </c>
      <c r="B118" s="558" t="s">
        <v>23609</v>
      </c>
      <c r="C118" s="558" t="s">
        <v>1136</v>
      </c>
      <c r="D118" s="558" t="s">
        <v>23127</v>
      </c>
      <c r="E118" s="558" t="s">
        <v>192</v>
      </c>
      <c r="F118" s="563">
        <v>1</v>
      </c>
      <c r="G118" s="558" t="s">
        <v>193</v>
      </c>
      <c r="H118" s="558" t="s">
        <v>194</v>
      </c>
      <c r="I118" s="558" t="s">
        <v>23128</v>
      </c>
      <c r="J118" s="558" t="s">
        <v>210</v>
      </c>
      <c r="K118" s="558" t="s">
        <v>9309</v>
      </c>
      <c r="L118" s="558" t="s">
        <v>6955</v>
      </c>
      <c r="M118" s="558"/>
      <c r="N118" s="558" t="s">
        <v>23610</v>
      </c>
      <c r="O118" s="558" t="s">
        <v>6340</v>
      </c>
      <c r="P118" s="558" t="s">
        <v>23398</v>
      </c>
      <c r="Q118" s="558" t="s">
        <v>23318</v>
      </c>
      <c r="R118" s="558" t="s">
        <v>23307</v>
      </c>
      <c r="S118" s="558" t="s">
        <v>23611</v>
      </c>
      <c r="T118" s="558" t="s">
        <v>23612</v>
      </c>
      <c r="U118" s="558"/>
      <c r="V118" s="558" t="s">
        <v>9334</v>
      </c>
      <c r="W118" s="558" t="s">
        <v>1137</v>
      </c>
      <c r="X118" s="558" t="s">
        <v>194</v>
      </c>
      <c r="Y118" s="558" t="s">
        <v>9300</v>
      </c>
      <c r="Z118" s="558"/>
      <c r="AA118" s="558"/>
      <c r="AB118" s="558" t="s">
        <v>9311</v>
      </c>
      <c r="AC118" s="558"/>
      <c r="AD118" s="558"/>
      <c r="AE118" s="558"/>
      <c r="AF118" s="558"/>
      <c r="AG118" s="558"/>
      <c r="AH118" s="558" t="s">
        <v>4714</v>
      </c>
      <c r="AI118" s="558" t="s">
        <v>23609</v>
      </c>
      <c r="AJ118" s="601" t="str">
        <f t="shared" si="2"/>
        <v>121201</v>
      </c>
      <c r="AK118" s="601">
        <v>1</v>
      </c>
      <c r="AL118" s="601">
        <f t="shared" si="3"/>
        <v>1</v>
      </c>
      <c r="AM118" s="601">
        <v>1</v>
      </c>
      <c r="AN118" s="603" t="s">
        <v>17650</v>
      </c>
      <c r="AO118" s="603" t="s">
        <v>17651</v>
      </c>
      <c r="AP118" s="603" t="s">
        <v>17652</v>
      </c>
      <c r="AQ118" s="603" t="s">
        <v>17653</v>
      </c>
      <c r="AR118" s="603" t="s">
        <v>1024</v>
      </c>
      <c r="AS118" s="558">
        <v>1</v>
      </c>
    </row>
    <row r="119" spans="1:45" x14ac:dyDescent="0.2">
      <c r="A119" s="558" t="s">
        <v>8187</v>
      </c>
      <c r="B119" s="558" t="s">
        <v>22752</v>
      </c>
      <c r="C119" s="558" t="s">
        <v>740</v>
      </c>
      <c r="D119" s="558" t="s">
        <v>23127</v>
      </c>
      <c r="E119" s="558" t="s">
        <v>192</v>
      </c>
      <c r="F119" s="563">
        <v>1</v>
      </c>
      <c r="G119" s="558" t="s">
        <v>193</v>
      </c>
      <c r="H119" s="558" t="s">
        <v>194</v>
      </c>
      <c r="I119" s="558" t="s">
        <v>23186</v>
      </c>
      <c r="J119" s="558" t="s">
        <v>1995</v>
      </c>
      <c r="K119" s="558" t="s">
        <v>9309</v>
      </c>
      <c r="L119" s="558" t="s">
        <v>6955</v>
      </c>
      <c r="M119" s="558"/>
      <c r="N119" s="558" t="s">
        <v>23613</v>
      </c>
      <c r="O119" s="558" t="s">
        <v>6251</v>
      </c>
      <c r="P119" s="558" t="s">
        <v>23398</v>
      </c>
      <c r="Q119" s="558" t="s">
        <v>23318</v>
      </c>
      <c r="R119" s="558" t="s">
        <v>23614</v>
      </c>
      <c r="S119" s="558" t="s">
        <v>23615</v>
      </c>
      <c r="T119" s="558" t="s">
        <v>23616</v>
      </c>
      <c r="U119" s="558"/>
      <c r="V119" s="558" t="s">
        <v>9440</v>
      </c>
      <c r="W119" s="558" t="s">
        <v>741</v>
      </c>
      <c r="X119" s="558" t="s">
        <v>194</v>
      </c>
      <c r="Y119" s="558" t="s">
        <v>9300</v>
      </c>
      <c r="Z119" s="558"/>
      <c r="AA119" s="558"/>
      <c r="AB119" s="558" t="s">
        <v>9311</v>
      </c>
      <c r="AC119" s="558"/>
      <c r="AD119" s="558"/>
      <c r="AE119" s="558"/>
      <c r="AF119" s="558"/>
      <c r="AG119" s="558"/>
      <c r="AH119" s="558" t="s">
        <v>4714</v>
      </c>
      <c r="AI119" s="558" t="s">
        <v>22752</v>
      </c>
      <c r="AJ119" s="601" t="str">
        <f t="shared" si="2"/>
        <v>522301</v>
      </c>
      <c r="AK119" s="601">
        <v>1</v>
      </c>
      <c r="AL119" s="601">
        <f t="shared" si="3"/>
        <v>1</v>
      </c>
      <c r="AM119" s="601">
        <v>1</v>
      </c>
      <c r="AN119" s="603" t="s">
        <v>17650</v>
      </c>
      <c r="AO119" s="603" t="s">
        <v>17651</v>
      </c>
      <c r="AP119" s="603" t="s">
        <v>17652</v>
      </c>
      <c r="AQ119" s="603" t="s">
        <v>17653</v>
      </c>
      <c r="AR119" s="603" t="s">
        <v>1024</v>
      </c>
      <c r="AS119" s="558">
        <v>1</v>
      </c>
    </row>
    <row r="120" spans="1:45" x14ac:dyDescent="0.2">
      <c r="A120" s="558" t="s">
        <v>8187</v>
      </c>
      <c r="B120" s="558" t="s">
        <v>5412</v>
      </c>
      <c r="C120" s="558" t="s">
        <v>740</v>
      </c>
      <c r="D120" s="558" t="s">
        <v>23127</v>
      </c>
      <c r="E120" s="558" t="s">
        <v>192</v>
      </c>
      <c r="F120" s="563">
        <v>1</v>
      </c>
      <c r="G120" s="558" t="s">
        <v>193</v>
      </c>
      <c r="H120" s="558" t="s">
        <v>194</v>
      </c>
      <c r="I120" s="558" t="s">
        <v>23186</v>
      </c>
      <c r="J120" s="558" t="s">
        <v>210</v>
      </c>
      <c r="K120" s="558" t="s">
        <v>9309</v>
      </c>
      <c r="L120" s="558" t="s">
        <v>6955</v>
      </c>
      <c r="M120" s="558"/>
      <c r="N120" s="558" t="s">
        <v>23617</v>
      </c>
      <c r="O120" s="558" t="s">
        <v>6251</v>
      </c>
      <c r="P120" s="558" t="s">
        <v>23398</v>
      </c>
      <c r="Q120" s="558" t="s">
        <v>23318</v>
      </c>
      <c r="R120" s="558" t="s">
        <v>23614</v>
      </c>
      <c r="S120" s="558" t="s">
        <v>23618</v>
      </c>
      <c r="T120" s="558" t="s">
        <v>23619</v>
      </c>
      <c r="U120" s="558"/>
      <c r="V120" s="558" t="s">
        <v>9334</v>
      </c>
      <c r="W120" s="558" t="s">
        <v>741</v>
      </c>
      <c r="X120" s="558" t="s">
        <v>194</v>
      </c>
      <c r="Y120" s="558" t="s">
        <v>9300</v>
      </c>
      <c r="Z120" s="558"/>
      <c r="AA120" s="558"/>
      <c r="AB120" s="558" t="s">
        <v>9311</v>
      </c>
      <c r="AC120" s="558"/>
      <c r="AD120" s="558"/>
      <c r="AE120" s="558"/>
      <c r="AF120" s="558"/>
      <c r="AG120" s="558"/>
      <c r="AH120" s="558" t="s">
        <v>4714</v>
      </c>
      <c r="AI120" s="558" t="s">
        <v>5412</v>
      </c>
      <c r="AJ120" s="601" t="str">
        <f t="shared" si="2"/>
        <v>522301</v>
      </c>
      <c r="AK120" s="601">
        <v>1</v>
      </c>
      <c r="AL120" s="601">
        <f t="shared" si="3"/>
        <v>1</v>
      </c>
      <c r="AM120" s="601">
        <v>1</v>
      </c>
      <c r="AN120" s="603" t="s">
        <v>17650</v>
      </c>
      <c r="AO120" s="603" t="s">
        <v>17651</v>
      </c>
      <c r="AP120" s="603" t="s">
        <v>17652</v>
      </c>
      <c r="AQ120" s="603" t="s">
        <v>17653</v>
      </c>
      <c r="AR120" s="603" t="s">
        <v>1024</v>
      </c>
      <c r="AS120" s="558">
        <v>1</v>
      </c>
    </row>
    <row r="121" spans="1:45" x14ac:dyDescent="0.2">
      <c r="A121" s="558" t="s">
        <v>8187</v>
      </c>
      <c r="B121" s="558" t="s">
        <v>5412</v>
      </c>
      <c r="C121" s="558" t="s">
        <v>740</v>
      </c>
      <c r="D121" s="558" t="s">
        <v>23127</v>
      </c>
      <c r="E121" s="558" t="s">
        <v>192</v>
      </c>
      <c r="F121" s="563">
        <v>1</v>
      </c>
      <c r="G121" s="558" t="s">
        <v>193</v>
      </c>
      <c r="H121" s="558" t="s">
        <v>194</v>
      </c>
      <c r="I121" s="558" t="s">
        <v>23186</v>
      </c>
      <c r="J121" s="558" t="s">
        <v>1995</v>
      </c>
      <c r="K121" s="558" t="s">
        <v>9309</v>
      </c>
      <c r="L121" s="558" t="s">
        <v>6955</v>
      </c>
      <c r="M121" s="558"/>
      <c r="N121" s="558" t="s">
        <v>23620</v>
      </c>
      <c r="O121" s="558" t="s">
        <v>6251</v>
      </c>
      <c r="P121" s="558" t="s">
        <v>23398</v>
      </c>
      <c r="Q121" s="558" t="s">
        <v>23318</v>
      </c>
      <c r="R121" s="558" t="s">
        <v>23614</v>
      </c>
      <c r="S121" s="558" t="s">
        <v>23621</v>
      </c>
      <c r="T121" s="558" t="s">
        <v>23622</v>
      </c>
      <c r="U121" s="558"/>
      <c r="V121" s="558" t="s">
        <v>9440</v>
      </c>
      <c r="W121" s="558" t="s">
        <v>741</v>
      </c>
      <c r="X121" s="558" t="s">
        <v>194</v>
      </c>
      <c r="Y121" s="558" t="s">
        <v>9300</v>
      </c>
      <c r="Z121" s="558"/>
      <c r="AA121" s="558"/>
      <c r="AB121" s="558" t="s">
        <v>9311</v>
      </c>
      <c r="AC121" s="558"/>
      <c r="AD121" s="558"/>
      <c r="AE121" s="558"/>
      <c r="AF121" s="558"/>
      <c r="AG121" s="558"/>
      <c r="AH121" s="558" t="s">
        <v>4714</v>
      </c>
      <c r="AI121" s="558" t="s">
        <v>5412</v>
      </c>
      <c r="AJ121" s="601" t="str">
        <f t="shared" si="2"/>
        <v>522301</v>
      </c>
      <c r="AK121" s="601">
        <v>1</v>
      </c>
      <c r="AL121" s="601">
        <f t="shared" si="3"/>
        <v>1</v>
      </c>
      <c r="AM121" s="601">
        <v>1</v>
      </c>
      <c r="AN121" s="603" t="s">
        <v>17650</v>
      </c>
      <c r="AO121" s="603" t="s">
        <v>17651</v>
      </c>
      <c r="AP121" s="603" t="s">
        <v>17652</v>
      </c>
      <c r="AQ121" s="603" t="s">
        <v>17653</v>
      </c>
      <c r="AR121" s="603" t="s">
        <v>1024</v>
      </c>
      <c r="AS121" s="558">
        <v>1</v>
      </c>
    </row>
    <row r="122" spans="1:45" x14ac:dyDescent="0.2">
      <c r="A122" s="558" t="s">
        <v>8187</v>
      </c>
      <c r="B122" s="558" t="s">
        <v>5412</v>
      </c>
      <c r="C122" s="558" t="s">
        <v>740</v>
      </c>
      <c r="D122" s="558" t="s">
        <v>23127</v>
      </c>
      <c r="E122" s="558" t="s">
        <v>192</v>
      </c>
      <c r="F122" s="563">
        <v>1</v>
      </c>
      <c r="G122" s="558" t="s">
        <v>193</v>
      </c>
      <c r="H122" s="558" t="s">
        <v>194</v>
      </c>
      <c r="I122" s="558" t="s">
        <v>23186</v>
      </c>
      <c r="J122" s="558" t="s">
        <v>4751</v>
      </c>
      <c r="K122" s="558" t="s">
        <v>9309</v>
      </c>
      <c r="L122" s="558" t="s">
        <v>6955</v>
      </c>
      <c r="M122" s="558"/>
      <c r="N122" s="558" t="s">
        <v>23623</v>
      </c>
      <c r="O122" s="558" t="s">
        <v>6251</v>
      </c>
      <c r="P122" s="558" t="s">
        <v>23398</v>
      </c>
      <c r="Q122" s="558" t="s">
        <v>23318</v>
      </c>
      <c r="R122" s="558" t="s">
        <v>23614</v>
      </c>
      <c r="S122" s="558" t="s">
        <v>23624</v>
      </c>
      <c r="T122" s="558" t="s">
        <v>23625</v>
      </c>
      <c r="U122" s="558"/>
      <c r="V122" s="558" t="s">
        <v>9472</v>
      </c>
      <c r="W122" s="558" t="s">
        <v>741</v>
      </c>
      <c r="X122" s="558" t="s">
        <v>194</v>
      </c>
      <c r="Y122" s="558" t="s">
        <v>9300</v>
      </c>
      <c r="Z122" s="558"/>
      <c r="AA122" s="558"/>
      <c r="AB122" s="558" t="s">
        <v>9311</v>
      </c>
      <c r="AC122" s="558"/>
      <c r="AD122" s="558"/>
      <c r="AE122" s="558"/>
      <c r="AF122" s="558"/>
      <c r="AG122" s="558"/>
      <c r="AH122" s="558" t="s">
        <v>4714</v>
      </c>
      <c r="AI122" s="558" t="s">
        <v>5412</v>
      </c>
      <c r="AJ122" s="601" t="str">
        <f t="shared" si="2"/>
        <v>522301</v>
      </c>
      <c r="AK122" s="601">
        <v>1</v>
      </c>
      <c r="AL122" s="601">
        <f t="shared" si="3"/>
        <v>1</v>
      </c>
      <c r="AM122" s="601">
        <v>1</v>
      </c>
      <c r="AN122" s="603" t="s">
        <v>17650</v>
      </c>
      <c r="AO122" s="603" t="s">
        <v>17651</v>
      </c>
      <c r="AP122" s="603" t="s">
        <v>17652</v>
      </c>
      <c r="AQ122" s="603" t="s">
        <v>17653</v>
      </c>
      <c r="AR122" s="603" t="s">
        <v>1024</v>
      </c>
      <c r="AS122" s="558">
        <v>1</v>
      </c>
    </row>
    <row r="123" spans="1:45" x14ac:dyDescent="0.2">
      <c r="A123" s="558" t="s">
        <v>8187</v>
      </c>
      <c r="B123" s="558" t="s">
        <v>5412</v>
      </c>
      <c r="C123" s="558" t="s">
        <v>740</v>
      </c>
      <c r="D123" s="558" t="s">
        <v>23127</v>
      </c>
      <c r="E123" s="558" t="s">
        <v>192</v>
      </c>
      <c r="F123" s="563">
        <v>1</v>
      </c>
      <c r="G123" s="558" t="s">
        <v>193</v>
      </c>
      <c r="H123" s="558" t="s">
        <v>194</v>
      </c>
      <c r="I123" s="558" t="s">
        <v>23186</v>
      </c>
      <c r="J123" s="558" t="s">
        <v>285</v>
      </c>
      <c r="K123" s="558" t="s">
        <v>9309</v>
      </c>
      <c r="L123" s="558" t="s">
        <v>6955</v>
      </c>
      <c r="M123" s="558"/>
      <c r="N123" s="558" t="s">
        <v>23626</v>
      </c>
      <c r="O123" s="558" t="s">
        <v>6251</v>
      </c>
      <c r="P123" s="558" t="s">
        <v>23398</v>
      </c>
      <c r="Q123" s="558" t="s">
        <v>23318</v>
      </c>
      <c r="R123" s="558" t="s">
        <v>23614</v>
      </c>
      <c r="S123" s="558" t="s">
        <v>23627</v>
      </c>
      <c r="T123" s="558" t="s">
        <v>23628</v>
      </c>
      <c r="U123" s="558"/>
      <c r="V123" s="558" t="s">
        <v>9518</v>
      </c>
      <c r="W123" s="558" t="s">
        <v>741</v>
      </c>
      <c r="X123" s="558" t="s">
        <v>194</v>
      </c>
      <c r="Y123" s="558" t="s">
        <v>9300</v>
      </c>
      <c r="Z123" s="558"/>
      <c r="AA123" s="558"/>
      <c r="AB123" s="558" t="s">
        <v>9311</v>
      </c>
      <c r="AC123" s="558"/>
      <c r="AD123" s="558"/>
      <c r="AE123" s="558"/>
      <c r="AF123" s="558"/>
      <c r="AG123" s="558"/>
      <c r="AH123" s="558" t="s">
        <v>4714</v>
      </c>
      <c r="AI123" s="558" t="s">
        <v>5412</v>
      </c>
      <c r="AJ123" s="601" t="str">
        <f t="shared" si="2"/>
        <v>522301</v>
      </c>
      <c r="AK123" s="601">
        <v>1</v>
      </c>
      <c r="AL123" s="601">
        <f t="shared" si="3"/>
        <v>1</v>
      </c>
      <c r="AM123" s="601">
        <v>1</v>
      </c>
      <c r="AN123" s="603" t="s">
        <v>17650</v>
      </c>
      <c r="AO123" s="603" t="s">
        <v>17651</v>
      </c>
      <c r="AP123" s="603" t="s">
        <v>17652</v>
      </c>
      <c r="AQ123" s="603" t="s">
        <v>17653</v>
      </c>
      <c r="AR123" s="603" t="s">
        <v>1024</v>
      </c>
      <c r="AS123" s="558">
        <v>1</v>
      </c>
    </row>
    <row r="124" spans="1:45" x14ac:dyDescent="0.2">
      <c r="A124" s="558" t="s">
        <v>8187</v>
      </c>
      <c r="B124" s="558" t="s">
        <v>5412</v>
      </c>
      <c r="C124" s="558" t="s">
        <v>740</v>
      </c>
      <c r="D124" s="558" t="s">
        <v>23127</v>
      </c>
      <c r="E124" s="558" t="s">
        <v>192</v>
      </c>
      <c r="F124" s="563">
        <v>1</v>
      </c>
      <c r="G124" s="558" t="s">
        <v>193</v>
      </c>
      <c r="H124" s="558" t="s">
        <v>194</v>
      </c>
      <c r="I124" s="558" t="s">
        <v>23186</v>
      </c>
      <c r="J124" s="558" t="s">
        <v>408</v>
      </c>
      <c r="K124" s="558" t="s">
        <v>9309</v>
      </c>
      <c r="L124" s="558" t="s">
        <v>6955</v>
      </c>
      <c r="M124" s="558"/>
      <c r="N124" s="558" t="s">
        <v>23629</v>
      </c>
      <c r="O124" s="558" t="s">
        <v>6251</v>
      </c>
      <c r="P124" s="558" t="s">
        <v>23398</v>
      </c>
      <c r="Q124" s="558" t="s">
        <v>23318</v>
      </c>
      <c r="R124" s="558" t="s">
        <v>23614</v>
      </c>
      <c r="S124" s="558" t="s">
        <v>23630</v>
      </c>
      <c r="T124" s="558" t="s">
        <v>23631</v>
      </c>
      <c r="U124" s="558"/>
      <c r="V124" s="558" t="s">
        <v>9479</v>
      </c>
      <c r="W124" s="558" t="s">
        <v>741</v>
      </c>
      <c r="X124" s="558" t="s">
        <v>194</v>
      </c>
      <c r="Y124" s="558" t="s">
        <v>9300</v>
      </c>
      <c r="Z124" s="558"/>
      <c r="AA124" s="558"/>
      <c r="AB124" s="558" t="s">
        <v>9311</v>
      </c>
      <c r="AC124" s="558"/>
      <c r="AD124" s="558"/>
      <c r="AE124" s="558"/>
      <c r="AF124" s="558"/>
      <c r="AG124" s="558"/>
      <c r="AH124" s="558" t="s">
        <v>4714</v>
      </c>
      <c r="AI124" s="558" t="s">
        <v>5412</v>
      </c>
      <c r="AJ124" s="601" t="str">
        <f t="shared" si="2"/>
        <v>522301</v>
      </c>
      <c r="AK124" s="601">
        <v>1</v>
      </c>
      <c r="AL124" s="601">
        <f t="shared" si="3"/>
        <v>1</v>
      </c>
      <c r="AM124" s="601">
        <v>1</v>
      </c>
      <c r="AN124" s="603" t="s">
        <v>17650</v>
      </c>
      <c r="AO124" s="603" t="s">
        <v>17651</v>
      </c>
      <c r="AP124" s="603" t="s">
        <v>17652</v>
      </c>
      <c r="AQ124" s="603" t="s">
        <v>17653</v>
      </c>
      <c r="AR124" s="603" t="s">
        <v>1024</v>
      </c>
      <c r="AS124" s="558">
        <v>1</v>
      </c>
    </row>
    <row r="125" spans="1:45" x14ac:dyDescent="0.2">
      <c r="A125" s="558" t="s">
        <v>8187</v>
      </c>
      <c r="B125" s="558" t="s">
        <v>5412</v>
      </c>
      <c r="C125" s="558" t="s">
        <v>740</v>
      </c>
      <c r="D125" s="558" t="s">
        <v>23127</v>
      </c>
      <c r="E125" s="558" t="s">
        <v>192</v>
      </c>
      <c r="F125" s="563">
        <v>1</v>
      </c>
      <c r="G125" s="558" t="s">
        <v>193</v>
      </c>
      <c r="H125" s="558" t="s">
        <v>194</v>
      </c>
      <c r="I125" s="558" t="s">
        <v>23186</v>
      </c>
      <c r="J125" s="558" t="s">
        <v>259</v>
      </c>
      <c r="K125" s="558" t="s">
        <v>9309</v>
      </c>
      <c r="L125" s="558" t="s">
        <v>6955</v>
      </c>
      <c r="M125" s="558"/>
      <c r="N125" s="558" t="s">
        <v>23632</v>
      </c>
      <c r="O125" s="558" t="s">
        <v>6251</v>
      </c>
      <c r="P125" s="558" t="s">
        <v>23398</v>
      </c>
      <c r="Q125" s="558" t="s">
        <v>23318</v>
      </c>
      <c r="R125" s="558" t="s">
        <v>23614</v>
      </c>
      <c r="S125" s="558" t="s">
        <v>23633</v>
      </c>
      <c r="T125" s="558" t="s">
        <v>23634</v>
      </c>
      <c r="U125" s="558"/>
      <c r="V125" s="558" t="s">
        <v>10136</v>
      </c>
      <c r="W125" s="558" t="s">
        <v>741</v>
      </c>
      <c r="X125" s="558" t="s">
        <v>194</v>
      </c>
      <c r="Y125" s="558" t="s">
        <v>9300</v>
      </c>
      <c r="Z125" s="558"/>
      <c r="AA125" s="558"/>
      <c r="AB125" s="558" t="s">
        <v>9311</v>
      </c>
      <c r="AC125" s="558"/>
      <c r="AD125" s="558"/>
      <c r="AE125" s="558"/>
      <c r="AF125" s="558"/>
      <c r="AG125" s="558"/>
      <c r="AH125" s="558" t="s">
        <v>4714</v>
      </c>
      <c r="AI125" s="558" t="s">
        <v>5412</v>
      </c>
      <c r="AJ125" s="601" t="str">
        <f t="shared" si="2"/>
        <v>522301</v>
      </c>
      <c r="AK125" s="601">
        <v>1</v>
      </c>
      <c r="AL125" s="601">
        <f t="shared" si="3"/>
        <v>1</v>
      </c>
      <c r="AM125" s="601">
        <v>1</v>
      </c>
      <c r="AN125" s="603" t="s">
        <v>17650</v>
      </c>
      <c r="AO125" s="603" t="s">
        <v>17651</v>
      </c>
      <c r="AP125" s="603" t="s">
        <v>17652</v>
      </c>
      <c r="AQ125" s="603" t="s">
        <v>17653</v>
      </c>
      <c r="AR125" s="603" t="s">
        <v>1024</v>
      </c>
      <c r="AS125" s="558">
        <v>1</v>
      </c>
    </row>
    <row r="126" spans="1:45" x14ac:dyDescent="0.2">
      <c r="A126" s="558" t="s">
        <v>23635</v>
      </c>
      <c r="B126" s="558" t="s">
        <v>23636</v>
      </c>
      <c r="C126" s="558" t="s">
        <v>16281</v>
      </c>
      <c r="D126" s="558" t="s">
        <v>23127</v>
      </c>
      <c r="E126" s="558" t="s">
        <v>192</v>
      </c>
      <c r="F126" s="563">
        <v>1</v>
      </c>
      <c r="G126" s="558" t="s">
        <v>193</v>
      </c>
      <c r="H126" s="558" t="s">
        <v>194</v>
      </c>
      <c r="I126" s="558" t="s">
        <v>23128</v>
      </c>
      <c r="J126" s="558" t="s">
        <v>210</v>
      </c>
      <c r="K126" s="558" t="s">
        <v>9309</v>
      </c>
      <c r="L126" s="558" t="s">
        <v>6955</v>
      </c>
      <c r="M126" s="558"/>
      <c r="N126" s="558" t="s">
        <v>23637</v>
      </c>
      <c r="O126" s="558" t="s">
        <v>6921</v>
      </c>
      <c r="P126" s="558" t="s">
        <v>23398</v>
      </c>
      <c r="Q126" s="558" t="s">
        <v>23318</v>
      </c>
      <c r="R126" s="558" t="s">
        <v>23307</v>
      </c>
      <c r="S126" s="558" t="s">
        <v>23638</v>
      </c>
      <c r="T126" s="558" t="s">
        <v>23639</v>
      </c>
      <c r="U126" s="558"/>
      <c r="V126" s="558" t="s">
        <v>9334</v>
      </c>
      <c r="W126" s="558" t="s">
        <v>9002</v>
      </c>
      <c r="X126" s="558" t="s">
        <v>194</v>
      </c>
      <c r="Y126" s="558" t="s">
        <v>9300</v>
      </c>
      <c r="Z126" s="558"/>
      <c r="AA126" s="558"/>
      <c r="AB126" s="558" t="s">
        <v>9311</v>
      </c>
      <c r="AC126" s="558"/>
      <c r="AD126" s="558"/>
      <c r="AE126" s="558"/>
      <c r="AF126" s="558"/>
      <c r="AG126" s="558"/>
      <c r="AH126" s="558" t="s">
        <v>4714</v>
      </c>
      <c r="AI126" s="558" t="s">
        <v>23636</v>
      </c>
      <c r="AJ126" s="601" t="str">
        <f t="shared" si="2"/>
        <v>252902</v>
      </c>
      <c r="AK126" s="601">
        <v>1</v>
      </c>
      <c r="AL126" s="601">
        <f t="shared" si="3"/>
        <v>1</v>
      </c>
      <c r="AM126" s="601">
        <v>1</v>
      </c>
      <c r="AN126" s="603" t="s">
        <v>17650</v>
      </c>
      <c r="AO126" s="603" t="s">
        <v>17651</v>
      </c>
      <c r="AP126" s="603" t="s">
        <v>17652</v>
      </c>
      <c r="AQ126" s="603" t="s">
        <v>17653</v>
      </c>
      <c r="AR126" s="603" t="s">
        <v>1024</v>
      </c>
      <c r="AS126" s="558">
        <v>1</v>
      </c>
    </row>
    <row r="127" spans="1:45" x14ac:dyDescent="0.2">
      <c r="A127" s="558" t="s">
        <v>19876</v>
      </c>
      <c r="B127" s="558" t="s">
        <v>23640</v>
      </c>
      <c r="C127" s="558" t="s">
        <v>133</v>
      </c>
      <c r="D127" s="558" t="s">
        <v>23127</v>
      </c>
      <c r="E127" s="558" t="s">
        <v>192</v>
      </c>
      <c r="F127" s="563">
        <v>1</v>
      </c>
      <c r="G127" s="558" t="s">
        <v>193</v>
      </c>
      <c r="H127" s="558" t="s">
        <v>194</v>
      </c>
      <c r="I127" s="558" t="s">
        <v>23128</v>
      </c>
      <c r="J127" s="558" t="s">
        <v>210</v>
      </c>
      <c r="K127" s="558" t="s">
        <v>9309</v>
      </c>
      <c r="L127" s="558" t="s">
        <v>6955</v>
      </c>
      <c r="M127" s="558"/>
      <c r="N127" s="558" t="s">
        <v>23641</v>
      </c>
      <c r="O127" s="558" t="s">
        <v>6266</v>
      </c>
      <c r="P127" s="558" t="s">
        <v>23398</v>
      </c>
      <c r="Q127" s="558" t="s">
        <v>23318</v>
      </c>
      <c r="R127" s="558" t="s">
        <v>23307</v>
      </c>
      <c r="S127" s="558" t="s">
        <v>23642</v>
      </c>
      <c r="T127" s="558" t="s">
        <v>23643</v>
      </c>
      <c r="U127" s="558"/>
      <c r="V127" s="558" t="s">
        <v>9334</v>
      </c>
      <c r="W127" s="558" t="s">
        <v>673</v>
      </c>
      <c r="X127" s="558" t="s">
        <v>194</v>
      </c>
      <c r="Y127" s="558" t="s">
        <v>9300</v>
      </c>
      <c r="Z127" s="558"/>
      <c r="AA127" s="558"/>
      <c r="AB127" s="558" t="s">
        <v>9311</v>
      </c>
      <c r="AC127" s="558"/>
      <c r="AD127" s="558"/>
      <c r="AE127" s="558"/>
      <c r="AF127" s="558"/>
      <c r="AG127" s="558"/>
      <c r="AH127" s="558" t="s">
        <v>4714</v>
      </c>
      <c r="AI127" s="558" t="s">
        <v>23640</v>
      </c>
      <c r="AJ127" s="601" t="str">
        <f t="shared" si="2"/>
        <v>333107</v>
      </c>
      <c r="AK127" s="601">
        <v>1</v>
      </c>
      <c r="AL127" s="601">
        <f t="shared" si="3"/>
        <v>1</v>
      </c>
      <c r="AM127" s="601">
        <v>1</v>
      </c>
      <c r="AN127" s="603" t="s">
        <v>17650</v>
      </c>
      <c r="AO127" s="603" t="s">
        <v>17651</v>
      </c>
      <c r="AP127" s="603" t="s">
        <v>17652</v>
      </c>
      <c r="AQ127" s="603" t="s">
        <v>17653</v>
      </c>
      <c r="AR127" s="603" t="s">
        <v>1024</v>
      </c>
      <c r="AS127" s="558">
        <v>1</v>
      </c>
    </row>
    <row r="128" spans="1:45" x14ac:dyDescent="0.2">
      <c r="A128" s="558" t="s">
        <v>3217</v>
      </c>
      <c r="B128" s="558" t="s">
        <v>1756</v>
      </c>
      <c r="C128" s="558" t="s">
        <v>50</v>
      </c>
      <c r="D128" s="558" t="s">
        <v>23127</v>
      </c>
      <c r="E128" s="558" t="s">
        <v>192</v>
      </c>
      <c r="F128" s="563">
        <v>1</v>
      </c>
      <c r="G128" s="558" t="s">
        <v>193</v>
      </c>
      <c r="H128" s="558" t="s">
        <v>194</v>
      </c>
      <c r="I128" s="558" t="s">
        <v>23151</v>
      </c>
      <c r="J128" s="558" t="s">
        <v>15413</v>
      </c>
      <c r="K128" s="558" t="s">
        <v>9309</v>
      </c>
      <c r="L128" s="558" t="s">
        <v>6955</v>
      </c>
      <c r="M128" s="558"/>
      <c r="N128" s="558" t="s">
        <v>23644</v>
      </c>
      <c r="O128" s="558" t="s">
        <v>6266</v>
      </c>
      <c r="P128" s="558" t="s">
        <v>23226</v>
      </c>
      <c r="Q128" s="558" t="s">
        <v>23318</v>
      </c>
      <c r="R128" s="558" t="s">
        <v>23307</v>
      </c>
      <c r="S128" s="558" t="s">
        <v>23645</v>
      </c>
      <c r="T128" s="558" t="s">
        <v>23646</v>
      </c>
      <c r="U128" s="558"/>
      <c r="V128" s="558" t="s">
        <v>9786</v>
      </c>
      <c r="W128" s="558" t="s">
        <v>906</v>
      </c>
      <c r="X128" s="558" t="s">
        <v>194</v>
      </c>
      <c r="Y128" s="558" t="s">
        <v>9300</v>
      </c>
      <c r="Z128" s="558"/>
      <c r="AA128" s="558"/>
      <c r="AB128" s="558" t="s">
        <v>9311</v>
      </c>
      <c r="AC128" s="558"/>
      <c r="AD128" s="558"/>
      <c r="AE128" s="558"/>
      <c r="AF128" s="558"/>
      <c r="AG128" s="558"/>
      <c r="AH128" s="558" t="s">
        <v>4714</v>
      </c>
      <c r="AI128" s="558" t="s">
        <v>50</v>
      </c>
      <c r="AJ128" s="601" t="str">
        <f t="shared" si="2"/>
        <v>333101</v>
      </c>
      <c r="AK128" s="601">
        <v>1</v>
      </c>
      <c r="AL128" s="601">
        <f t="shared" si="3"/>
        <v>1</v>
      </c>
      <c r="AM128" s="601">
        <v>1</v>
      </c>
      <c r="AN128" s="603" t="s">
        <v>17650</v>
      </c>
      <c r="AO128" s="603" t="s">
        <v>17651</v>
      </c>
      <c r="AP128" s="603" t="s">
        <v>17652</v>
      </c>
      <c r="AQ128" s="603" t="s">
        <v>17653</v>
      </c>
      <c r="AR128" s="603" t="s">
        <v>1024</v>
      </c>
      <c r="AS128" s="558">
        <v>1</v>
      </c>
    </row>
    <row r="129" spans="1:45" x14ac:dyDescent="0.2">
      <c r="A129" s="558" t="s">
        <v>8187</v>
      </c>
      <c r="B129" s="558" t="s">
        <v>2935</v>
      </c>
      <c r="C129" s="558" t="s">
        <v>74</v>
      </c>
      <c r="D129" s="558" t="s">
        <v>23127</v>
      </c>
      <c r="E129" s="558" t="s">
        <v>192</v>
      </c>
      <c r="F129" s="563">
        <v>1</v>
      </c>
      <c r="G129" s="558" t="s">
        <v>193</v>
      </c>
      <c r="H129" s="558" t="s">
        <v>194</v>
      </c>
      <c r="I129" s="558" t="s">
        <v>23139</v>
      </c>
      <c r="J129" s="558" t="s">
        <v>1995</v>
      </c>
      <c r="K129" s="558" t="s">
        <v>9309</v>
      </c>
      <c r="L129" s="558" t="s">
        <v>6955</v>
      </c>
      <c r="M129" s="558"/>
      <c r="N129" s="558" t="s">
        <v>23647</v>
      </c>
      <c r="O129" s="558" t="s">
        <v>6249</v>
      </c>
      <c r="P129" s="558" t="s">
        <v>23398</v>
      </c>
      <c r="Q129" s="558" t="s">
        <v>23318</v>
      </c>
      <c r="R129" s="558" t="s">
        <v>23614</v>
      </c>
      <c r="S129" s="558" t="s">
        <v>23648</v>
      </c>
      <c r="T129" s="558" t="s">
        <v>23649</v>
      </c>
      <c r="U129" s="558"/>
      <c r="V129" s="558" t="s">
        <v>9440</v>
      </c>
      <c r="W129" s="558" t="s">
        <v>246</v>
      </c>
      <c r="X129" s="558" t="s">
        <v>194</v>
      </c>
      <c r="Y129" s="558" t="s">
        <v>9300</v>
      </c>
      <c r="Z129" s="558"/>
      <c r="AA129" s="558"/>
      <c r="AB129" s="558" t="s">
        <v>9311</v>
      </c>
      <c r="AC129" s="558"/>
      <c r="AD129" s="558"/>
      <c r="AE129" s="558"/>
      <c r="AF129" s="558"/>
      <c r="AG129" s="558"/>
      <c r="AH129" s="558" t="s">
        <v>4714</v>
      </c>
      <c r="AI129" s="558" t="s">
        <v>2935</v>
      </c>
      <c r="AJ129" s="601" t="str">
        <f t="shared" si="2"/>
        <v>142004</v>
      </c>
      <c r="AK129" s="601">
        <v>1</v>
      </c>
      <c r="AL129" s="601">
        <f t="shared" si="3"/>
        <v>1</v>
      </c>
      <c r="AM129" s="601">
        <v>1</v>
      </c>
      <c r="AN129" s="603" t="s">
        <v>17650</v>
      </c>
      <c r="AO129" s="603" t="s">
        <v>17651</v>
      </c>
      <c r="AP129" s="603" t="s">
        <v>17652</v>
      </c>
      <c r="AQ129" s="603" t="s">
        <v>17653</v>
      </c>
      <c r="AR129" s="603" t="s">
        <v>1024</v>
      </c>
      <c r="AS129" s="558">
        <v>1</v>
      </c>
    </row>
    <row r="130" spans="1:45" x14ac:dyDescent="0.2">
      <c r="A130" s="558" t="s">
        <v>8187</v>
      </c>
      <c r="B130" s="558" t="s">
        <v>2935</v>
      </c>
      <c r="C130" s="558" t="s">
        <v>74</v>
      </c>
      <c r="D130" s="558" t="s">
        <v>23127</v>
      </c>
      <c r="E130" s="558" t="s">
        <v>192</v>
      </c>
      <c r="F130" s="563">
        <v>1</v>
      </c>
      <c r="G130" s="558" t="s">
        <v>193</v>
      </c>
      <c r="H130" s="558" t="s">
        <v>194</v>
      </c>
      <c r="I130" s="558" t="s">
        <v>23139</v>
      </c>
      <c r="J130" s="558" t="s">
        <v>747</v>
      </c>
      <c r="K130" s="558" t="s">
        <v>9309</v>
      </c>
      <c r="L130" s="558" t="s">
        <v>6955</v>
      </c>
      <c r="M130" s="558"/>
      <c r="N130" s="558" t="s">
        <v>23650</v>
      </c>
      <c r="O130" s="558" t="s">
        <v>6249</v>
      </c>
      <c r="P130" s="558" t="s">
        <v>23398</v>
      </c>
      <c r="Q130" s="558" t="s">
        <v>23318</v>
      </c>
      <c r="R130" s="558" t="s">
        <v>23614</v>
      </c>
      <c r="S130" s="558" t="s">
        <v>23651</v>
      </c>
      <c r="T130" s="558" t="s">
        <v>23652</v>
      </c>
      <c r="U130" s="558"/>
      <c r="V130" s="558" t="s">
        <v>10397</v>
      </c>
      <c r="W130" s="558" t="s">
        <v>246</v>
      </c>
      <c r="X130" s="558" t="s">
        <v>194</v>
      </c>
      <c r="Y130" s="558" t="s">
        <v>9300</v>
      </c>
      <c r="Z130" s="558"/>
      <c r="AA130" s="558"/>
      <c r="AB130" s="558" t="s">
        <v>9311</v>
      </c>
      <c r="AC130" s="558"/>
      <c r="AD130" s="558"/>
      <c r="AE130" s="558"/>
      <c r="AF130" s="558"/>
      <c r="AG130" s="558"/>
      <c r="AH130" s="558" t="s">
        <v>4714</v>
      </c>
      <c r="AI130" s="558" t="s">
        <v>2935</v>
      </c>
      <c r="AJ130" s="601" t="str">
        <f t="shared" si="2"/>
        <v>142004</v>
      </c>
      <c r="AK130" s="601">
        <v>1</v>
      </c>
      <c r="AL130" s="601">
        <f t="shared" si="3"/>
        <v>1</v>
      </c>
      <c r="AM130" s="601">
        <v>1</v>
      </c>
      <c r="AN130" s="603" t="s">
        <v>17650</v>
      </c>
      <c r="AO130" s="603" t="s">
        <v>17651</v>
      </c>
      <c r="AP130" s="603" t="s">
        <v>17652</v>
      </c>
      <c r="AQ130" s="603" t="s">
        <v>17653</v>
      </c>
      <c r="AR130" s="603" t="s">
        <v>1024</v>
      </c>
      <c r="AS130" s="558">
        <v>1</v>
      </c>
    </row>
    <row r="131" spans="1:45" x14ac:dyDescent="0.2">
      <c r="A131" s="558" t="s">
        <v>2048</v>
      </c>
      <c r="B131" s="558" t="s">
        <v>23653</v>
      </c>
      <c r="C131" s="558" t="s">
        <v>100</v>
      </c>
      <c r="D131" s="558" t="s">
        <v>23127</v>
      </c>
      <c r="E131" s="558" t="s">
        <v>192</v>
      </c>
      <c r="F131" s="563">
        <v>1</v>
      </c>
      <c r="G131" s="558" t="s">
        <v>193</v>
      </c>
      <c r="H131" s="558" t="s">
        <v>194</v>
      </c>
      <c r="I131" s="558" t="s">
        <v>23128</v>
      </c>
      <c r="J131" s="558" t="s">
        <v>210</v>
      </c>
      <c r="K131" s="558" t="s">
        <v>9309</v>
      </c>
      <c r="L131" s="558" t="s">
        <v>6955</v>
      </c>
      <c r="M131" s="558"/>
      <c r="N131" s="558" t="s">
        <v>23654</v>
      </c>
      <c r="O131" s="558" t="s">
        <v>6266</v>
      </c>
      <c r="P131" s="558" t="s">
        <v>23398</v>
      </c>
      <c r="Q131" s="558" t="s">
        <v>23318</v>
      </c>
      <c r="R131" s="558" t="s">
        <v>23307</v>
      </c>
      <c r="S131" s="558" t="s">
        <v>23655</v>
      </c>
      <c r="T131" s="558" t="s">
        <v>23656</v>
      </c>
      <c r="U131" s="558"/>
      <c r="V131" s="558" t="s">
        <v>9334</v>
      </c>
      <c r="W131" s="558" t="s">
        <v>429</v>
      </c>
      <c r="X131" s="558" t="s">
        <v>194</v>
      </c>
      <c r="Y131" s="558" t="s">
        <v>9300</v>
      </c>
      <c r="Z131" s="558"/>
      <c r="AA131" s="558"/>
      <c r="AB131" s="558" t="s">
        <v>9311</v>
      </c>
      <c r="AC131" s="558"/>
      <c r="AD131" s="558"/>
      <c r="AE131" s="558"/>
      <c r="AF131" s="558"/>
      <c r="AG131" s="558"/>
      <c r="AH131" s="558" t="s">
        <v>4714</v>
      </c>
      <c r="AI131" s="558" t="s">
        <v>23653</v>
      </c>
      <c r="AJ131" s="601" t="str">
        <f t="shared" ref="AJ131:AJ194" si="4">MID(W131,8,6)</f>
        <v>242108</v>
      </c>
      <c r="AK131" s="601">
        <v>1</v>
      </c>
      <c r="AL131" s="601">
        <f t="shared" ref="AL131:AL194" si="5">F131</f>
        <v>1</v>
      </c>
      <c r="AM131" s="601">
        <v>1</v>
      </c>
      <c r="AN131" s="603" t="s">
        <v>17650</v>
      </c>
      <c r="AO131" s="603" t="s">
        <v>17651</v>
      </c>
      <c r="AP131" s="603" t="s">
        <v>17652</v>
      </c>
      <c r="AQ131" s="603" t="s">
        <v>17653</v>
      </c>
      <c r="AR131" s="603" t="s">
        <v>1024</v>
      </c>
      <c r="AS131" s="558">
        <v>1</v>
      </c>
    </row>
    <row r="132" spans="1:45" x14ac:dyDescent="0.2">
      <c r="A132" s="558" t="s">
        <v>23657</v>
      </c>
      <c r="B132" s="558" t="s">
        <v>9764</v>
      </c>
      <c r="C132" s="558" t="s">
        <v>870</v>
      </c>
      <c r="D132" s="558" t="s">
        <v>23127</v>
      </c>
      <c r="E132" s="558" t="s">
        <v>192</v>
      </c>
      <c r="F132" s="563">
        <v>1</v>
      </c>
      <c r="G132" s="558" t="s">
        <v>193</v>
      </c>
      <c r="H132" s="558" t="s">
        <v>194</v>
      </c>
      <c r="I132" s="558" t="s">
        <v>23128</v>
      </c>
      <c r="J132" s="558" t="s">
        <v>385</v>
      </c>
      <c r="K132" s="558" t="s">
        <v>9309</v>
      </c>
      <c r="L132" s="558" t="s">
        <v>6955</v>
      </c>
      <c r="M132" s="558"/>
      <c r="N132" s="558" t="s">
        <v>23658</v>
      </c>
      <c r="O132" s="558" t="s">
        <v>6266</v>
      </c>
      <c r="P132" s="558" t="s">
        <v>23398</v>
      </c>
      <c r="Q132" s="558" t="s">
        <v>23318</v>
      </c>
      <c r="R132" s="558" t="s">
        <v>23307</v>
      </c>
      <c r="S132" s="558" t="s">
        <v>23659</v>
      </c>
      <c r="T132" s="558" t="s">
        <v>23660</v>
      </c>
      <c r="U132" s="558"/>
      <c r="V132" s="558" t="s">
        <v>9410</v>
      </c>
      <c r="W132" s="558" t="s">
        <v>872</v>
      </c>
      <c r="X132" s="558" t="s">
        <v>194</v>
      </c>
      <c r="Y132" s="558" t="s">
        <v>9300</v>
      </c>
      <c r="Z132" s="558"/>
      <c r="AA132" s="558"/>
      <c r="AB132" s="558" t="s">
        <v>9311</v>
      </c>
      <c r="AC132" s="558"/>
      <c r="AD132" s="558"/>
      <c r="AE132" s="558"/>
      <c r="AF132" s="558"/>
      <c r="AG132" s="558"/>
      <c r="AH132" s="558" t="s">
        <v>4714</v>
      </c>
      <c r="AI132" s="558" t="s">
        <v>9764</v>
      </c>
      <c r="AJ132" s="601" t="str">
        <f t="shared" si="4"/>
        <v>832202</v>
      </c>
      <c r="AK132" s="601">
        <v>1</v>
      </c>
      <c r="AL132" s="601">
        <f t="shared" si="5"/>
        <v>1</v>
      </c>
      <c r="AM132" s="601">
        <v>1</v>
      </c>
      <c r="AN132" s="603" t="s">
        <v>17650</v>
      </c>
      <c r="AO132" s="603" t="s">
        <v>17651</v>
      </c>
      <c r="AP132" s="603" t="s">
        <v>17652</v>
      </c>
      <c r="AQ132" s="603" t="s">
        <v>17653</v>
      </c>
      <c r="AR132" s="603" t="s">
        <v>1024</v>
      </c>
      <c r="AS132" s="558">
        <v>1</v>
      </c>
    </row>
    <row r="133" spans="1:45" x14ac:dyDescent="0.2">
      <c r="A133" s="558" t="s">
        <v>23657</v>
      </c>
      <c r="B133" s="558" t="s">
        <v>9764</v>
      </c>
      <c r="C133" s="558" t="s">
        <v>870</v>
      </c>
      <c r="D133" s="558" t="s">
        <v>23127</v>
      </c>
      <c r="E133" s="558" t="s">
        <v>192</v>
      </c>
      <c r="F133" s="563">
        <v>1</v>
      </c>
      <c r="G133" s="558" t="s">
        <v>193</v>
      </c>
      <c r="H133" s="558" t="s">
        <v>194</v>
      </c>
      <c r="I133" s="558" t="s">
        <v>23128</v>
      </c>
      <c r="J133" s="558" t="s">
        <v>23661</v>
      </c>
      <c r="K133" s="558" t="s">
        <v>9309</v>
      </c>
      <c r="L133" s="558" t="s">
        <v>6955</v>
      </c>
      <c r="M133" s="558"/>
      <c r="N133" s="558" t="s">
        <v>23662</v>
      </c>
      <c r="O133" s="558" t="s">
        <v>6266</v>
      </c>
      <c r="P133" s="558" t="s">
        <v>23398</v>
      </c>
      <c r="Q133" s="558" t="s">
        <v>23318</v>
      </c>
      <c r="R133" s="558" t="s">
        <v>23307</v>
      </c>
      <c r="S133" s="558" t="s">
        <v>23663</v>
      </c>
      <c r="T133" s="558" t="s">
        <v>23664</v>
      </c>
      <c r="U133" s="558"/>
      <c r="V133" s="558" t="s">
        <v>18788</v>
      </c>
      <c r="W133" s="558" t="s">
        <v>872</v>
      </c>
      <c r="X133" s="558" t="s">
        <v>194</v>
      </c>
      <c r="Y133" s="558" t="s">
        <v>9300</v>
      </c>
      <c r="Z133" s="558"/>
      <c r="AA133" s="558"/>
      <c r="AB133" s="558" t="s">
        <v>9311</v>
      </c>
      <c r="AC133" s="558"/>
      <c r="AD133" s="558"/>
      <c r="AE133" s="558"/>
      <c r="AF133" s="558"/>
      <c r="AG133" s="558"/>
      <c r="AH133" s="558" t="s">
        <v>4714</v>
      </c>
      <c r="AI133" s="558" t="s">
        <v>9764</v>
      </c>
      <c r="AJ133" s="601" t="str">
        <f t="shared" si="4"/>
        <v>832202</v>
      </c>
      <c r="AK133" s="601">
        <v>1</v>
      </c>
      <c r="AL133" s="601">
        <f t="shared" si="5"/>
        <v>1</v>
      </c>
      <c r="AM133" s="601">
        <v>1</v>
      </c>
      <c r="AN133" s="603" t="s">
        <v>17650</v>
      </c>
      <c r="AO133" s="603" t="s">
        <v>17651</v>
      </c>
      <c r="AP133" s="603" t="s">
        <v>17652</v>
      </c>
      <c r="AQ133" s="603" t="s">
        <v>17653</v>
      </c>
      <c r="AR133" s="603" t="s">
        <v>1024</v>
      </c>
      <c r="AS133" s="558">
        <v>1</v>
      </c>
    </row>
    <row r="134" spans="1:45" x14ac:dyDescent="0.2">
      <c r="A134" s="558" t="s">
        <v>13967</v>
      </c>
      <c r="B134" s="558" t="s">
        <v>23665</v>
      </c>
      <c r="C134" s="558" t="s">
        <v>17</v>
      </c>
      <c r="D134" s="558" t="s">
        <v>23127</v>
      </c>
      <c r="E134" s="558" t="s">
        <v>192</v>
      </c>
      <c r="F134" s="563">
        <v>1</v>
      </c>
      <c r="G134" s="558" t="s">
        <v>193</v>
      </c>
      <c r="H134" s="558" t="s">
        <v>194</v>
      </c>
      <c r="I134" s="558" t="s">
        <v>23139</v>
      </c>
      <c r="J134" s="558" t="s">
        <v>253</v>
      </c>
      <c r="K134" s="558" t="s">
        <v>9309</v>
      </c>
      <c r="L134" s="558" t="s">
        <v>6955</v>
      </c>
      <c r="M134" s="558"/>
      <c r="N134" s="558" t="s">
        <v>23666</v>
      </c>
      <c r="O134" s="558" t="s">
        <v>6245</v>
      </c>
      <c r="P134" s="558" t="s">
        <v>23398</v>
      </c>
      <c r="Q134" s="558" t="s">
        <v>23318</v>
      </c>
      <c r="R134" s="558" t="s">
        <v>23307</v>
      </c>
      <c r="S134" s="558" t="s">
        <v>23667</v>
      </c>
      <c r="T134" s="558" t="s">
        <v>23668</v>
      </c>
      <c r="U134" s="558"/>
      <c r="V134" s="558" t="s">
        <v>9468</v>
      </c>
      <c r="W134" s="558" t="s">
        <v>624</v>
      </c>
      <c r="X134" s="558" t="s">
        <v>194</v>
      </c>
      <c r="Y134" s="558" t="s">
        <v>9300</v>
      </c>
      <c r="Z134" s="558"/>
      <c r="AA134" s="558"/>
      <c r="AB134" s="558" t="s">
        <v>9311</v>
      </c>
      <c r="AC134" s="558"/>
      <c r="AD134" s="558"/>
      <c r="AE134" s="558"/>
      <c r="AF134" s="558"/>
      <c r="AG134" s="558"/>
      <c r="AH134" s="558" t="s">
        <v>4714</v>
      </c>
      <c r="AI134" s="558" t="s">
        <v>23665</v>
      </c>
      <c r="AJ134" s="601" t="str">
        <f t="shared" si="4"/>
        <v>332203</v>
      </c>
      <c r="AK134" s="601">
        <v>1</v>
      </c>
      <c r="AL134" s="601">
        <f t="shared" si="5"/>
        <v>1</v>
      </c>
      <c r="AM134" s="601">
        <v>1</v>
      </c>
      <c r="AN134" s="603" t="s">
        <v>17650</v>
      </c>
      <c r="AO134" s="603" t="s">
        <v>17651</v>
      </c>
      <c r="AP134" s="603" t="s">
        <v>17652</v>
      </c>
      <c r="AQ134" s="603" t="s">
        <v>17653</v>
      </c>
      <c r="AR134" s="603" t="s">
        <v>1024</v>
      </c>
      <c r="AS134" s="558">
        <v>1</v>
      </c>
    </row>
    <row r="135" spans="1:45" x14ac:dyDescent="0.2">
      <c r="A135" s="558" t="s">
        <v>13967</v>
      </c>
      <c r="B135" s="558" t="s">
        <v>23665</v>
      </c>
      <c r="C135" s="558" t="s">
        <v>17</v>
      </c>
      <c r="D135" s="558" t="s">
        <v>23127</v>
      </c>
      <c r="E135" s="558" t="s">
        <v>192</v>
      </c>
      <c r="F135" s="563">
        <v>1</v>
      </c>
      <c r="G135" s="558" t="s">
        <v>193</v>
      </c>
      <c r="H135" s="558" t="s">
        <v>194</v>
      </c>
      <c r="I135" s="558" t="s">
        <v>23139</v>
      </c>
      <c r="J135" s="558" t="s">
        <v>276</v>
      </c>
      <c r="K135" s="558" t="s">
        <v>9309</v>
      </c>
      <c r="L135" s="558" t="s">
        <v>6955</v>
      </c>
      <c r="M135" s="558"/>
      <c r="N135" s="558" t="s">
        <v>23669</v>
      </c>
      <c r="O135" s="558" t="s">
        <v>6245</v>
      </c>
      <c r="P135" s="558" t="s">
        <v>23398</v>
      </c>
      <c r="Q135" s="558" t="s">
        <v>23318</v>
      </c>
      <c r="R135" s="558" t="s">
        <v>23307</v>
      </c>
      <c r="S135" s="558" t="s">
        <v>23670</v>
      </c>
      <c r="T135" s="558" t="s">
        <v>23671</v>
      </c>
      <c r="U135" s="558"/>
      <c r="V135" s="558" t="s">
        <v>9786</v>
      </c>
      <c r="W135" s="558" t="s">
        <v>624</v>
      </c>
      <c r="X135" s="558" t="s">
        <v>194</v>
      </c>
      <c r="Y135" s="558" t="s">
        <v>9300</v>
      </c>
      <c r="Z135" s="558"/>
      <c r="AA135" s="558"/>
      <c r="AB135" s="558" t="s">
        <v>9311</v>
      </c>
      <c r="AC135" s="558"/>
      <c r="AD135" s="558"/>
      <c r="AE135" s="558"/>
      <c r="AF135" s="558"/>
      <c r="AG135" s="558"/>
      <c r="AH135" s="558" t="s">
        <v>4714</v>
      </c>
      <c r="AI135" s="558" t="s">
        <v>23665</v>
      </c>
      <c r="AJ135" s="601" t="str">
        <f t="shared" si="4"/>
        <v>332203</v>
      </c>
      <c r="AK135" s="601">
        <v>1</v>
      </c>
      <c r="AL135" s="601">
        <f t="shared" si="5"/>
        <v>1</v>
      </c>
      <c r="AM135" s="601">
        <v>1</v>
      </c>
      <c r="AN135" s="603" t="s">
        <v>17650</v>
      </c>
      <c r="AO135" s="603" t="s">
        <v>17651</v>
      </c>
      <c r="AP135" s="603" t="s">
        <v>17652</v>
      </c>
      <c r="AQ135" s="603" t="s">
        <v>17653</v>
      </c>
      <c r="AR135" s="603" t="s">
        <v>1024</v>
      </c>
      <c r="AS135" s="558">
        <v>1</v>
      </c>
    </row>
    <row r="136" spans="1:45" x14ac:dyDescent="0.2">
      <c r="A136" s="558" t="s">
        <v>2567</v>
      </c>
      <c r="B136" s="558" t="s">
        <v>1344</v>
      </c>
      <c r="C136" s="558" t="s">
        <v>740</v>
      </c>
      <c r="D136" s="558" t="s">
        <v>23127</v>
      </c>
      <c r="E136" s="558" t="s">
        <v>192</v>
      </c>
      <c r="F136" s="563">
        <v>1</v>
      </c>
      <c r="G136" s="558" t="s">
        <v>193</v>
      </c>
      <c r="H136" s="558" t="s">
        <v>194</v>
      </c>
      <c r="I136" s="558" t="s">
        <v>23307</v>
      </c>
      <c r="J136" s="558" t="s">
        <v>4345</v>
      </c>
      <c r="K136" s="558" t="s">
        <v>9309</v>
      </c>
      <c r="L136" s="558" t="s">
        <v>6955</v>
      </c>
      <c r="M136" s="558"/>
      <c r="N136" s="558" t="s">
        <v>23672</v>
      </c>
      <c r="O136" s="558" t="s">
        <v>6275</v>
      </c>
      <c r="P136" s="558" t="s">
        <v>23398</v>
      </c>
      <c r="Q136" s="558" t="s">
        <v>23318</v>
      </c>
      <c r="R136" s="558" t="s">
        <v>23307</v>
      </c>
      <c r="S136" s="558" t="s">
        <v>23673</v>
      </c>
      <c r="T136" s="558" t="s">
        <v>23674</v>
      </c>
      <c r="U136" s="558"/>
      <c r="V136" s="558" t="s">
        <v>9726</v>
      </c>
      <c r="W136" s="558" t="s">
        <v>741</v>
      </c>
      <c r="X136" s="558" t="s">
        <v>194</v>
      </c>
      <c r="Y136" s="558" t="s">
        <v>9300</v>
      </c>
      <c r="Z136" s="558"/>
      <c r="AA136" s="558"/>
      <c r="AB136" s="558" t="s">
        <v>9311</v>
      </c>
      <c r="AC136" s="558"/>
      <c r="AD136" s="558"/>
      <c r="AE136" s="558"/>
      <c r="AF136" s="558"/>
      <c r="AG136" s="558"/>
      <c r="AH136" s="558" t="s">
        <v>4714</v>
      </c>
      <c r="AI136" s="558" t="s">
        <v>1344</v>
      </c>
      <c r="AJ136" s="601" t="str">
        <f t="shared" si="4"/>
        <v>522301</v>
      </c>
      <c r="AK136" s="601">
        <v>1</v>
      </c>
      <c r="AL136" s="601">
        <f t="shared" si="5"/>
        <v>1</v>
      </c>
      <c r="AM136" s="601">
        <v>1</v>
      </c>
      <c r="AN136" s="603" t="s">
        <v>17650</v>
      </c>
      <c r="AO136" s="603" t="s">
        <v>17651</v>
      </c>
      <c r="AP136" s="603" t="s">
        <v>17652</v>
      </c>
      <c r="AQ136" s="603" t="s">
        <v>17653</v>
      </c>
      <c r="AR136" s="603" t="s">
        <v>1024</v>
      </c>
      <c r="AS136" s="558">
        <v>1</v>
      </c>
    </row>
    <row r="137" spans="1:45" x14ac:dyDescent="0.2">
      <c r="A137" s="558" t="s">
        <v>2567</v>
      </c>
      <c r="B137" s="558" t="s">
        <v>1344</v>
      </c>
      <c r="C137" s="558" t="s">
        <v>740</v>
      </c>
      <c r="D137" s="558" t="s">
        <v>23127</v>
      </c>
      <c r="E137" s="558" t="s">
        <v>192</v>
      </c>
      <c r="F137" s="563">
        <v>1</v>
      </c>
      <c r="G137" s="558" t="s">
        <v>193</v>
      </c>
      <c r="H137" s="558" t="s">
        <v>194</v>
      </c>
      <c r="I137" s="558" t="s">
        <v>23307</v>
      </c>
      <c r="J137" s="558" t="s">
        <v>21350</v>
      </c>
      <c r="K137" s="558" t="s">
        <v>9309</v>
      </c>
      <c r="L137" s="558" t="s">
        <v>6955</v>
      </c>
      <c r="M137" s="558"/>
      <c r="N137" s="558" t="s">
        <v>23675</v>
      </c>
      <c r="O137" s="558" t="s">
        <v>6275</v>
      </c>
      <c r="P137" s="558" t="s">
        <v>23398</v>
      </c>
      <c r="Q137" s="558" t="s">
        <v>23318</v>
      </c>
      <c r="R137" s="558" t="s">
        <v>23307</v>
      </c>
      <c r="S137" s="558" t="s">
        <v>23676</v>
      </c>
      <c r="T137" s="558" t="s">
        <v>23677</v>
      </c>
      <c r="U137" s="558"/>
      <c r="V137" s="558" t="s">
        <v>9726</v>
      </c>
      <c r="W137" s="558" t="s">
        <v>741</v>
      </c>
      <c r="X137" s="558" t="s">
        <v>194</v>
      </c>
      <c r="Y137" s="558" t="s">
        <v>9300</v>
      </c>
      <c r="Z137" s="558"/>
      <c r="AA137" s="558"/>
      <c r="AB137" s="558" t="s">
        <v>9311</v>
      </c>
      <c r="AC137" s="558"/>
      <c r="AD137" s="558"/>
      <c r="AE137" s="558"/>
      <c r="AF137" s="558"/>
      <c r="AG137" s="558"/>
      <c r="AH137" s="558" t="s">
        <v>4714</v>
      </c>
      <c r="AI137" s="558" t="s">
        <v>1344</v>
      </c>
      <c r="AJ137" s="601" t="str">
        <f t="shared" si="4"/>
        <v>522301</v>
      </c>
      <c r="AK137" s="601">
        <v>1</v>
      </c>
      <c r="AL137" s="601">
        <f t="shared" si="5"/>
        <v>1</v>
      </c>
      <c r="AM137" s="601">
        <v>1</v>
      </c>
      <c r="AN137" s="603" t="s">
        <v>17650</v>
      </c>
      <c r="AO137" s="603" t="s">
        <v>17651</v>
      </c>
      <c r="AP137" s="603" t="s">
        <v>17652</v>
      </c>
      <c r="AQ137" s="603" t="s">
        <v>17653</v>
      </c>
      <c r="AR137" s="603" t="s">
        <v>1024</v>
      </c>
      <c r="AS137" s="558">
        <v>1</v>
      </c>
    </row>
    <row r="138" spans="1:45" x14ac:dyDescent="0.2">
      <c r="A138" s="558" t="s">
        <v>13967</v>
      </c>
      <c r="B138" s="558" t="s">
        <v>23665</v>
      </c>
      <c r="C138" s="558" t="s">
        <v>17</v>
      </c>
      <c r="D138" s="558" t="s">
        <v>23127</v>
      </c>
      <c r="E138" s="558" t="s">
        <v>192</v>
      </c>
      <c r="F138" s="563">
        <v>1</v>
      </c>
      <c r="G138" s="558" t="s">
        <v>193</v>
      </c>
      <c r="H138" s="558" t="s">
        <v>194</v>
      </c>
      <c r="I138" s="558" t="s">
        <v>23139</v>
      </c>
      <c r="J138" s="558" t="s">
        <v>223</v>
      </c>
      <c r="K138" s="558" t="s">
        <v>9309</v>
      </c>
      <c r="L138" s="558" t="s">
        <v>6955</v>
      </c>
      <c r="M138" s="558"/>
      <c r="N138" s="558" t="s">
        <v>23678</v>
      </c>
      <c r="O138" s="558" t="s">
        <v>6245</v>
      </c>
      <c r="P138" s="558" t="s">
        <v>23398</v>
      </c>
      <c r="Q138" s="558" t="s">
        <v>23318</v>
      </c>
      <c r="R138" s="558" t="s">
        <v>23307</v>
      </c>
      <c r="S138" s="558" t="s">
        <v>23679</v>
      </c>
      <c r="T138" s="558" t="s">
        <v>23680</v>
      </c>
      <c r="U138" s="558"/>
      <c r="V138" s="558" t="s">
        <v>11163</v>
      </c>
      <c r="W138" s="558" t="s">
        <v>624</v>
      </c>
      <c r="X138" s="558" t="s">
        <v>194</v>
      </c>
      <c r="Y138" s="558" t="s">
        <v>9300</v>
      </c>
      <c r="Z138" s="558"/>
      <c r="AA138" s="558"/>
      <c r="AB138" s="558" t="s">
        <v>9311</v>
      </c>
      <c r="AC138" s="558"/>
      <c r="AD138" s="558"/>
      <c r="AE138" s="558"/>
      <c r="AF138" s="558"/>
      <c r="AG138" s="558"/>
      <c r="AH138" s="558" t="s">
        <v>4714</v>
      </c>
      <c r="AI138" s="558" t="s">
        <v>23665</v>
      </c>
      <c r="AJ138" s="601" t="str">
        <f t="shared" si="4"/>
        <v>332203</v>
      </c>
      <c r="AK138" s="601">
        <v>1</v>
      </c>
      <c r="AL138" s="601">
        <f t="shared" si="5"/>
        <v>1</v>
      </c>
      <c r="AM138" s="601">
        <v>1</v>
      </c>
      <c r="AN138" s="603" t="s">
        <v>17650</v>
      </c>
      <c r="AO138" s="603" t="s">
        <v>17651</v>
      </c>
      <c r="AP138" s="603" t="s">
        <v>17652</v>
      </c>
      <c r="AQ138" s="603" t="s">
        <v>17653</v>
      </c>
      <c r="AR138" s="603" t="s">
        <v>1024</v>
      </c>
      <c r="AS138" s="558">
        <v>1</v>
      </c>
    </row>
    <row r="139" spans="1:45" x14ac:dyDescent="0.2">
      <c r="A139" s="558" t="s">
        <v>13967</v>
      </c>
      <c r="B139" s="558" t="s">
        <v>23665</v>
      </c>
      <c r="C139" s="558" t="s">
        <v>17</v>
      </c>
      <c r="D139" s="558" t="s">
        <v>23127</v>
      </c>
      <c r="E139" s="558" t="s">
        <v>192</v>
      </c>
      <c r="F139" s="563">
        <v>1</v>
      </c>
      <c r="G139" s="558" t="s">
        <v>193</v>
      </c>
      <c r="H139" s="558" t="s">
        <v>194</v>
      </c>
      <c r="I139" s="558" t="s">
        <v>23139</v>
      </c>
      <c r="J139" s="558" t="s">
        <v>408</v>
      </c>
      <c r="K139" s="558" t="s">
        <v>9309</v>
      </c>
      <c r="L139" s="558" t="s">
        <v>6955</v>
      </c>
      <c r="M139" s="558"/>
      <c r="N139" s="558" t="s">
        <v>23681</v>
      </c>
      <c r="O139" s="558" t="s">
        <v>6245</v>
      </c>
      <c r="P139" s="558" t="s">
        <v>23398</v>
      </c>
      <c r="Q139" s="558" t="s">
        <v>23318</v>
      </c>
      <c r="R139" s="558" t="s">
        <v>23307</v>
      </c>
      <c r="S139" s="558" t="s">
        <v>23682</v>
      </c>
      <c r="T139" s="558" t="s">
        <v>23683</v>
      </c>
      <c r="U139" s="558"/>
      <c r="V139" s="558" t="s">
        <v>9479</v>
      </c>
      <c r="W139" s="558" t="s">
        <v>624</v>
      </c>
      <c r="X139" s="558" t="s">
        <v>194</v>
      </c>
      <c r="Y139" s="558" t="s">
        <v>9300</v>
      </c>
      <c r="Z139" s="558"/>
      <c r="AA139" s="558"/>
      <c r="AB139" s="558" t="s">
        <v>9311</v>
      </c>
      <c r="AC139" s="558"/>
      <c r="AD139" s="558"/>
      <c r="AE139" s="558"/>
      <c r="AF139" s="558"/>
      <c r="AG139" s="558"/>
      <c r="AH139" s="558" t="s">
        <v>4714</v>
      </c>
      <c r="AI139" s="558" t="s">
        <v>23665</v>
      </c>
      <c r="AJ139" s="601" t="str">
        <f t="shared" si="4"/>
        <v>332203</v>
      </c>
      <c r="AK139" s="601">
        <v>1</v>
      </c>
      <c r="AL139" s="601">
        <f t="shared" si="5"/>
        <v>1</v>
      </c>
      <c r="AM139" s="601">
        <v>1</v>
      </c>
      <c r="AN139" s="603" t="s">
        <v>17650</v>
      </c>
      <c r="AO139" s="603" t="s">
        <v>17651</v>
      </c>
      <c r="AP139" s="603" t="s">
        <v>17652</v>
      </c>
      <c r="AQ139" s="603" t="s">
        <v>17653</v>
      </c>
      <c r="AR139" s="603" t="s">
        <v>1024</v>
      </c>
      <c r="AS139" s="558">
        <v>1</v>
      </c>
    </row>
    <row r="140" spans="1:45" x14ac:dyDescent="0.2">
      <c r="A140" s="558" t="s">
        <v>13967</v>
      </c>
      <c r="B140" s="558" t="s">
        <v>23665</v>
      </c>
      <c r="C140" s="558" t="s">
        <v>17</v>
      </c>
      <c r="D140" s="558" t="s">
        <v>23127</v>
      </c>
      <c r="E140" s="558" t="s">
        <v>192</v>
      </c>
      <c r="F140" s="563">
        <v>1</v>
      </c>
      <c r="G140" s="558" t="s">
        <v>193</v>
      </c>
      <c r="H140" s="558" t="s">
        <v>194</v>
      </c>
      <c r="I140" s="558" t="s">
        <v>23139</v>
      </c>
      <c r="J140" s="558" t="s">
        <v>316</v>
      </c>
      <c r="K140" s="558" t="s">
        <v>9309</v>
      </c>
      <c r="L140" s="558" t="s">
        <v>6955</v>
      </c>
      <c r="M140" s="558"/>
      <c r="N140" s="558" t="s">
        <v>23684</v>
      </c>
      <c r="O140" s="558" t="s">
        <v>6245</v>
      </c>
      <c r="P140" s="558" t="s">
        <v>23398</v>
      </c>
      <c r="Q140" s="558" t="s">
        <v>23318</v>
      </c>
      <c r="R140" s="558" t="s">
        <v>23307</v>
      </c>
      <c r="S140" s="558" t="s">
        <v>23685</v>
      </c>
      <c r="T140" s="558" t="s">
        <v>23686</v>
      </c>
      <c r="U140" s="558"/>
      <c r="V140" s="558" t="s">
        <v>10012</v>
      </c>
      <c r="W140" s="558" t="s">
        <v>624</v>
      </c>
      <c r="X140" s="558" t="s">
        <v>194</v>
      </c>
      <c r="Y140" s="558" t="s">
        <v>9300</v>
      </c>
      <c r="Z140" s="558"/>
      <c r="AA140" s="558"/>
      <c r="AB140" s="558" t="s">
        <v>9311</v>
      </c>
      <c r="AC140" s="558"/>
      <c r="AD140" s="558"/>
      <c r="AE140" s="558"/>
      <c r="AF140" s="558"/>
      <c r="AG140" s="558"/>
      <c r="AH140" s="558" t="s">
        <v>4714</v>
      </c>
      <c r="AI140" s="558" t="s">
        <v>23665</v>
      </c>
      <c r="AJ140" s="601" t="str">
        <f t="shared" si="4"/>
        <v>332203</v>
      </c>
      <c r="AK140" s="601">
        <v>1</v>
      </c>
      <c r="AL140" s="601">
        <f t="shared" si="5"/>
        <v>1</v>
      </c>
      <c r="AM140" s="601">
        <v>1</v>
      </c>
      <c r="AN140" s="603" t="s">
        <v>17650</v>
      </c>
      <c r="AO140" s="603" t="s">
        <v>17651</v>
      </c>
      <c r="AP140" s="603" t="s">
        <v>17652</v>
      </c>
      <c r="AQ140" s="603" t="s">
        <v>17653</v>
      </c>
      <c r="AR140" s="603" t="s">
        <v>1024</v>
      </c>
      <c r="AS140" s="558">
        <v>1</v>
      </c>
    </row>
    <row r="141" spans="1:45" x14ac:dyDescent="0.2">
      <c r="A141" s="558" t="s">
        <v>13967</v>
      </c>
      <c r="B141" s="558" t="s">
        <v>23665</v>
      </c>
      <c r="C141" s="558" t="s">
        <v>17</v>
      </c>
      <c r="D141" s="558" t="s">
        <v>23127</v>
      </c>
      <c r="E141" s="558" t="s">
        <v>192</v>
      </c>
      <c r="F141" s="563">
        <v>1</v>
      </c>
      <c r="G141" s="558" t="s">
        <v>193</v>
      </c>
      <c r="H141" s="558" t="s">
        <v>194</v>
      </c>
      <c r="I141" s="558" t="s">
        <v>23139</v>
      </c>
      <c r="J141" s="558" t="s">
        <v>747</v>
      </c>
      <c r="K141" s="558" t="s">
        <v>9309</v>
      </c>
      <c r="L141" s="558" t="s">
        <v>6955</v>
      </c>
      <c r="M141" s="558"/>
      <c r="N141" s="558" t="s">
        <v>23687</v>
      </c>
      <c r="O141" s="558" t="s">
        <v>6245</v>
      </c>
      <c r="P141" s="558" t="s">
        <v>23398</v>
      </c>
      <c r="Q141" s="558" t="s">
        <v>23318</v>
      </c>
      <c r="R141" s="558" t="s">
        <v>23307</v>
      </c>
      <c r="S141" s="558" t="s">
        <v>23688</v>
      </c>
      <c r="T141" s="558" t="s">
        <v>23689</v>
      </c>
      <c r="U141" s="558"/>
      <c r="V141" s="558" t="s">
        <v>10397</v>
      </c>
      <c r="W141" s="558" t="s">
        <v>624</v>
      </c>
      <c r="X141" s="558" t="s">
        <v>194</v>
      </c>
      <c r="Y141" s="558" t="s">
        <v>9300</v>
      </c>
      <c r="Z141" s="558"/>
      <c r="AA141" s="558"/>
      <c r="AB141" s="558" t="s">
        <v>9311</v>
      </c>
      <c r="AC141" s="558"/>
      <c r="AD141" s="558"/>
      <c r="AE141" s="558"/>
      <c r="AF141" s="558"/>
      <c r="AG141" s="558"/>
      <c r="AH141" s="558" t="s">
        <v>4714</v>
      </c>
      <c r="AI141" s="558" t="s">
        <v>23665</v>
      </c>
      <c r="AJ141" s="601" t="str">
        <f t="shared" si="4"/>
        <v>332203</v>
      </c>
      <c r="AK141" s="601">
        <v>1</v>
      </c>
      <c r="AL141" s="601">
        <f t="shared" si="5"/>
        <v>1</v>
      </c>
      <c r="AM141" s="601">
        <v>1</v>
      </c>
      <c r="AN141" s="603" t="s">
        <v>17650</v>
      </c>
      <c r="AO141" s="603" t="s">
        <v>17651</v>
      </c>
      <c r="AP141" s="603" t="s">
        <v>17652</v>
      </c>
      <c r="AQ141" s="603" t="s">
        <v>17653</v>
      </c>
      <c r="AR141" s="603" t="s">
        <v>1024</v>
      </c>
      <c r="AS141" s="558">
        <v>1</v>
      </c>
    </row>
    <row r="142" spans="1:45" x14ac:dyDescent="0.2">
      <c r="A142" s="558" t="s">
        <v>13967</v>
      </c>
      <c r="B142" s="558" t="s">
        <v>23665</v>
      </c>
      <c r="C142" s="558" t="s">
        <v>17</v>
      </c>
      <c r="D142" s="558" t="s">
        <v>23127</v>
      </c>
      <c r="E142" s="558" t="s">
        <v>192</v>
      </c>
      <c r="F142" s="563">
        <v>1</v>
      </c>
      <c r="G142" s="558" t="s">
        <v>193</v>
      </c>
      <c r="H142" s="558" t="s">
        <v>194</v>
      </c>
      <c r="I142" s="558" t="s">
        <v>23139</v>
      </c>
      <c r="J142" s="558" t="s">
        <v>210</v>
      </c>
      <c r="K142" s="558" t="s">
        <v>9309</v>
      </c>
      <c r="L142" s="558" t="s">
        <v>6955</v>
      </c>
      <c r="M142" s="558"/>
      <c r="N142" s="558" t="s">
        <v>23690</v>
      </c>
      <c r="O142" s="558" t="s">
        <v>6245</v>
      </c>
      <c r="P142" s="558" t="s">
        <v>23398</v>
      </c>
      <c r="Q142" s="558" t="s">
        <v>23318</v>
      </c>
      <c r="R142" s="558" t="s">
        <v>23307</v>
      </c>
      <c r="S142" s="558" t="s">
        <v>23691</v>
      </c>
      <c r="T142" s="558" t="s">
        <v>23692</v>
      </c>
      <c r="U142" s="558"/>
      <c r="V142" s="558" t="s">
        <v>9334</v>
      </c>
      <c r="W142" s="558" t="s">
        <v>624</v>
      </c>
      <c r="X142" s="558" t="s">
        <v>194</v>
      </c>
      <c r="Y142" s="558" t="s">
        <v>9300</v>
      </c>
      <c r="Z142" s="558"/>
      <c r="AA142" s="558"/>
      <c r="AB142" s="558" t="s">
        <v>9311</v>
      </c>
      <c r="AC142" s="558"/>
      <c r="AD142" s="558"/>
      <c r="AE142" s="558"/>
      <c r="AF142" s="558"/>
      <c r="AG142" s="558"/>
      <c r="AH142" s="558" t="s">
        <v>4714</v>
      </c>
      <c r="AI142" s="558" t="s">
        <v>23665</v>
      </c>
      <c r="AJ142" s="601" t="str">
        <f t="shared" si="4"/>
        <v>332203</v>
      </c>
      <c r="AK142" s="601">
        <v>1</v>
      </c>
      <c r="AL142" s="601">
        <f t="shared" si="5"/>
        <v>1</v>
      </c>
      <c r="AM142" s="601">
        <v>1</v>
      </c>
      <c r="AN142" s="603" t="s">
        <v>17650</v>
      </c>
      <c r="AO142" s="603" t="s">
        <v>17651</v>
      </c>
      <c r="AP142" s="603" t="s">
        <v>17652</v>
      </c>
      <c r="AQ142" s="603" t="s">
        <v>17653</v>
      </c>
      <c r="AR142" s="603" t="s">
        <v>1024</v>
      </c>
      <c r="AS142" s="558">
        <v>1</v>
      </c>
    </row>
    <row r="143" spans="1:45" x14ac:dyDescent="0.2">
      <c r="A143" s="558" t="s">
        <v>13967</v>
      </c>
      <c r="B143" s="558" t="s">
        <v>23665</v>
      </c>
      <c r="C143" s="558" t="s">
        <v>17</v>
      </c>
      <c r="D143" s="558" t="s">
        <v>23127</v>
      </c>
      <c r="E143" s="558" t="s">
        <v>192</v>
      </c>
      <c r="F143" s="563">
        <v>1</v>
      </c>
      <c r="G143" s="558" t="s">
        <v>193</v>
      </c>
      <c r="H143" s="558" t="s">
        <v>194</v>
      </c>
      <c r="I143" s="558" t="s">
        <v>23139</v>
      </c>
      <c r="J143" s="558" t="s">
        <v>305</v>
      </c>
      <c r="K143" s="558" t="s">
        <v>9309</v>
      </c>
      <c r="L143" s="558" t="s">
        <v>6955</v>
      </c>
      <c r="M143" s="558"/>
      <c r="N143" s="558" t="s">
        <v>23693</v>
      </c>
      <c r="O143" s="558" t="s">
        <v>6245</v>
      </c>
      <c r="P143" s="558" t="s">
        <v>23398</v>
      </c>
      <c r="Q143" s="558" t="s">
        <v>23318</v>
      </c>
      <c r="R143" s="558" t="s">
        <v>23307</v>
      </c>
      <c r="S143" s="558" t="s">
        <v>23694</v>
      </c>
      <c r="T143" s="558" t="s">
        <v>23695</v>
      </c>
      <c r="U143" s="558"/>
      <c r="V143" s="558" t="s">
        <v>9753</v>
      </c>
      <c r="W143" s="558" t="s">
        <v>624</v>
      </c>
      <c r="X143" s="558" t="s">
        <v>194</v>
      </c>
      <c r="Y143" s="558" t="s">
        <v>9300</v>
      </c>
      <c r="Z143" s="558"/>
      <c r="AA143" s="558"/>
      <c r="AB143" s="558" t="s">
        <v>9311</v>
      </c>
      <c r="AC143" s="558"/>
      <c r="AD143" s="558"/>
      <c r="AE143" s="558"/>
      <c r="AF143" s="558"/>
      <c r="AG143" s="558"/>
      <c r="AH143" s="558" t="s">
        <v>4714</v>
      </c>
      <c r="AI143" s="558" t="s">
        <v>23665</v>
      </c>
      <c r="AJ143" s="601" t="str">
        <f t="shared" si="4"/>
        <v>332203</v>
      </c>
      <c r="AK143" s="601">
        <v>1</v>
      </c>
      <c r="AL143" s="601">
        <f t="shared" si="5"/>
        <v>1</v>
      </c>
      <c r="AM143" s="601">
        <v>1</v>
      </c>
      <c r="AN143" s="603" t="s">
        <v>17650</v>
      </c>
      <c r="AO143" s="603" t="s">
        <v>17651</v>
      </c>
      <c r="AP143" s="603" t="s">
        <v>17652</v>
      </c>
      <c r="AQ143" s="603" t="s">
        <v>17653</v>
      </c>
      <c r="AR143" s="603" t="s">
        <v>1024</v>
      </c>
      <c r="AS143" s="558">
        <v>1</v>
      </c>
    </row>
    <row r="144" spans="1:45" x14ac:dyDescent="0.2">
      <c r="A144" s="558" t="s">
        <v>13967</v>
      </c>
      <c r="B144" s="558" t="s">
        <v>23665</v>
      </c>
      <c r="C144" s="558" t="s">
        <v>17</v>
      </c>
      <c r="D144" s="558" t="s">
        <v>23127</v>
      </c>
      <c r="E144" s="558" t="s">
        <v>192</v>
      </c>
      <c r="F144" s="563">
        <v>1</v>
      </c>
      <c r="G144" s="558" t="s">
        <v>193</v>
      </c>
      <c r="H144" s="558" t="s">
        <v>194</v>
      </c>
      <c r="I144" s="558" t="s">
        <v>23139</v>
      </c>
      <c r="J144" s="558" t="s">
        <v>4751</v>
      </c>
      <c r="K144" s="558" t="s">
        <v>9309</v>
      </c>
      <c r="L144" s="558" t="s">
        <v>6955</v>
      </c>
      <c r="M144" s="558"/>
      <c r="N144" s="558" t="s">
        <v>23696</v>
      </c>
      <c r="O144" s="558" t="s">
        <v>6245</v>
      </c>
      <c r="P144" s="558" t="s">
        <v>23398</v>
      </c>
      <c r="Q144" s="558" t="s">
        <v>23318</v>
      </c>
      <c r="R144" s="558" t="s">
        <v>23307</v>
      </c>
      <c r="S144" s="558" t="s">
        <v>23697</v>
      </c>
      <c r="T144" s="558" t="s">
        <v>23698</v>
      </c>
      <c r="U144" s="558"/>
      <c r="V144" s="558" t="s">
        <v>9472</v>
      </c>
      <c r="W144" s="558" t="s">
        <v>624</v>
      </c>
      <c r="X144" s="558" t="s">
        <v>194</v>
      </c>
      <c r="Y144" s="558" t="s">
        <v>9300</v>
      </c>
      <c r="Z144" s="558"/>
      <c r="AA144" s="558"/>
      <c r="AB144" s="558" t="s">
        <v>9311</v>
      </c>
      <c r="AC144" s="558"/>
      <c r="AD144" s="558"/>
      <c r="AE144" s="558"/>
      <c r="AF144" s="558"/>
      <c r="AG144" s="558"/>
      <c r="AH144" s="558" t="s">
        <v>4714</v>
      </c>
      <c r="AI144" s="558" t="s">
        <v>23665</v>
      </c>
      <c r="AJ144" s="601" t="str">
        <f t="shared" si="4"/>
        <v>332203</v>
      </c>
      <c r="AK144" s="601">
        <v>1</v>
      </c>
      <c r="AL144" s="601">
        <f t="shared" si="5"/>
        <v>1</v>
      </c>
      <c r="AM144" s="601">
        <v>1</v>
      </c>
      <c r="AN144" s="603" t="s">
        <v>17650</v>
      </c>
      <c r="AO144" s="603" t="s">
        <v>17651</v>
      </c>
      <c r="AP144" s="603" t="s">
        <v>17652</v>
      </c>
      <c r="AQ144" s="603" t="s">
        <v>17653</v>
      </c>
      <c r="AR144" s="603" t="s">
        <v>1024</v>
      </c>
      <c r="AS144" s="558">
        <v>1</v>
      </c>
    </row>
    <row r="145" spans="1:45" x14ac:dyDescent="0.2">
      <c r="A145" s="559" t="s">
        <v>23699</v>
      </c>
      <c r="B145" s="559" t="s">
        <v>1488</v>
      </c>
      <c r="C145" s="559" t="s">
        <v>12</v>
      </c>
      <c r="D145" s="559" t="s">
        <v>23700</v>
      </c>
      <c r="E145" s="559" t="s">
        <v>233</v>
      </c>
      <c r="F145" s="564">
        <v>1</v>
      </c>
      <c r="G145" s="559" t="s">
        <v>193</v>
      </c>
      <c r="H145" s="559" t="s">
        <v>194</v>
      </c>
      <c r="I145" s="559" t="s">
        <v>23139</v>
      </c>
      <c r="J145" s="559" t="s">
        <v>9302</v>
      </c>
      <c r="K145" s="559" t="s">
        <v>9309</v>
      </c>
      <c r="L145" s="559" t="s">
        <v>6955</v>
      </c>
      <c r="M145" s="559"/>
      <c r="N145" s="559" t="s">
        <v>23701</v>
      </c>
      <c r="O145" s="559" t="s">
        <v>6256</v>
      </c>
      <c r="P145" s="559" t="s">
        <v>23702</v>
      </c>
      <c r="Q145" s="559" t="s">
        <v>23127</v>
      </c>
      <c r="R145" s="559" t="s">
        <v>23703</v>
      </c>
      <c r="S145" s="559" t="s">
        <v>23704</v>
      </c>
      <c r="T145" s="559" t="s">
        <v>23705</v>
      </c>
      <c r="U145" s="559"/>
      <c r="V145" s="603"/>
      <c r="W145" s="559" t="s">
        <v>220</v>
      </c>
      <c r="X145" s="559" t="s">
        <v>193</v>
      </c>
      <c r="Y145" s="559" t="s">
        <v>9310</v>
      </c>
      <c r="Z145" s="559"/>
      <c r="AA145" s="559"/>
      <c r="AB145" s="559" t="s">
        <v>9311</v>
      </c>
      <c r="AC145" s="559"/>
      <c r="AD145" s="559"/>
      <c r="AE145" s="559"/>
      <c r="AF145" s="559"/>
      <c r="AG145" s="559"/>
      <c r="AH145" s="559" t="s">
        <v>4714</v>
      </c>
      <c r="AI145" s="559" t="s">
        <v>12</v>
      </c>
      <c r="AJ145" s="601" t="str">
        <f t="shared" si="4"/>
        <v>132301</v>
      </c>
      <c r="AK145" s="601">
        <v>1</v>
      </c>
      <c r="AL145" s="601">
        <f t="shared" si="5"/>
        <v>1</v>
      </c>
      <c r="AM145" s="601">
        <v>1</v>
      </c>
      <c r="AN145" s="603" t="s">
        <v>17650</v>
      </c>
      <c r="AO145" s="603" t="s">
        <v>17651</v>
      </c>
      <c r="AP145" s="603" t="s">
        <v>17652</v>
      </c>
      <c r="AQ145" s="603" t="s">
        <v>17653</v>
      </c>
      <c r="AR145" s="603" t="s">
        <v>1024</v>
      </c>
      <c r="AS145" s="559">
        <v>1</v>
      </c>
    </row>
    <row r="146" spans="1:45" x14ac:dyDescent="0.2">
      <c r="A146" s="559" t="s">
        <v>23706</v>
      </c>
      <c r="B146" s="559" t="s">
        <v>23707</v>
      </c>
      <c r="C146" s="559" t="s">
        <v>27</v>
      </c>
      <c r="D146" s="559" t="s">
        <v>23700</v>
      </c>
      <c r="E146" s="559" t="s">
        <v>233</v>
      </c>
      <c r="F146" s="564">
        <v>1</v>
      </c>
      <c r="G146" s="559" t="s">
        <v>193</v>
      </c>
      <c r="H146" s="559" t="s">
        <v>194</v>
      </c>
      <c r="I146" s="559" t="s">
        <v>23708</v>
      </c>
      <c r="J146" s="559" t="s">
        <v>9302</v>
      </c>
      <c r="K146" s="559" t="s">
        <v>9309</v>
      </c>
      <c r="L146" s="559" t="s">
        <v>6955</v>
      </c>
      <c r="M146" s="559"/>
      <c r="N146" s="559" t="s">
        <v>23709</v>
      </c>
      <c r="O146" s="559" t="s">
        <v>6340</v>
      </c>
      <c r="P146" s="559" t="s">
        <v>23710</v>
      </c>
      <c r="Q146" s="559" t="s">
        <v>23228</v>
      </c>
      <c r="R146" s="559" t="s">
        <v>23711</v>
      </c>
      <c r="S146" s="559" t="s">
        <v>23712</v>
      </c>
      <c r="T146" s="559" t="s">
        <v>23713</v>
      </c>
      <c r="U146" s="559"/>
      <c r="V146" s="603"/>
      <c r="W146" s="559" t="s">
        <v>440</v>
      </c>
      <c r="X146" s="559" t="s">
        <v>193</v>
      </c>
      <c r="Y146" s="559" t="s">
        <v>9310</v>
      </c>
      <c r="Z146" s="559"/>
      <c r="AA146" s="559"/>
      <c r="AB146" s="559" t="s">
        <v>9311</v>
      </c>
      <c r="AC146" s="559"/>
      <c r="AD146" s="559"/>
      <c r="AE146" s="559"/>
      <c r="AF146" s="559"/>
      <c r="AG146" s="559"/>
      <c r="AH146" s="559" t="s">
        <v>4714</v>
      </c>
      <c r="AI146" s="559" t="s">
        <v>23707</v>
      </c>
      <c r="AJ146" s="601" t="str">
        <f t="shared" si="4"/>
        <v>242307</v>
      </c>
      <c r="AK146" s="601">
        <v>1</v>
      </c>
      <c r="AL146" s="601">
        <f t="shared" si="5"/>
        <v>1</v>
      </c>
      <c r="AM146" s="601">
        <v>1</v>
      </c>
      <c r="AN146" s="603" t="s">
        <v>17650</v>
      </c>
      <c r="AO146" s="603" t="s">
        <v>17651</v>
      </c>
      <c r="AP146" s="603" t="s">
        <v>17652</v>
      </c>
      <c r="AQ146" s="603" t="s">
        <v>17653</v>
      </c>
      <c r="AR146" s="603" t="s">
        <v>1024</v>
      </c>
      <c r="AS146" s="559">
        <v>1</v>
      </c>
    </row>
    <row r="147" spans="1:45" x14ac:dyDescent="0.2">
      <c r="A147" s="559" t="s">
        <v>23714</v>
      </c>
      <c r="B147" s="559" t="s">
        <v>23715</v>
      </c>
      <c r="C147" s="559" t="s">
        <v>104</v>
      </c>
      <c r="D147" s="559" t="s">
        <v>23700</v>
      </c>
      <c r="E147" s="559" t="s">
        <v>233</v>
      </c>
      <c r="F147" s="564">
        <v>1</v>
      </c>
      <c r="G147" s="559" t="s">
        <v>193</v>
      </c>
      <c r="H147" s="559" t="s">
        <v>194</v>
      </c>
      <c r="I147" s="559" t="s">
        <v>23307</v>
      </c>
      <c r="J147" s="559" t="s">
        <v>23716</v>
      </c>
      <c r="K147" s="559" t="s">
        <v>9309</v>
      </c>
      <c r="L147" s="559" t="s">
        <v>6955</v>
      </c>
      <c r="M147" s="559"/>
      <c r="N147" s="559" t="s">
        <v>23717</v>
      </c>
      <c r="O147" s="559" t="s">
        <v>6286</v>
      </c>
      <c r="P147" s="559" t="s">
        <v>23710</v>
      </c>
      <c r="Q147" s="559" t="s">
        <v>23228</v>
      </c>
      <c r="R147" s="559" t="s">
        <v>23718</v>
      </c>
      <c r="S147" s="559" t="s">
        <v>23719</v>
      </c>
      <c r="T147" s="559" t="s">
        <v>23720</v>
      </c>
      <c r="U147" s="559"/>
      <c r="V147" s="559" t="s">
        <v>11154</v>
      </c>
      <c r="W147" s="559" t="s">
        <v>703</v>
      </c>
      <c r="X147" s="559" t="s">
        <v>194</v>
      </c>
      <c r="Y147" s="559" t="s">
        <v>9300</v>
      </c>
      <c r="Z147" s="559"/>
      <c r="AA147" s="559"/>
      <c r="AB147" s="559" t="s">
        <v>9311</v>
      </c>
      <c r="AC147" s="559"/>
      <c r="AD147" s="559"/>
      <c r="AE147" s="559"/>
      <c r="AF147" s="559"/>
      <c r="AG147" s="559"/>
      <c r="AH147" s="559" t="s">
        <v>4714</v>
      </c>
      <c r="AI147" s="559" t="s">
        <v>23715</v>
      </c>
      <c r="AJ147" s="601" t="str">
        <f t="shared" si="4"/>
        <v>411004</v>
      </c>
      <c r="AK147" s="601">
        <v>1</v>
      </c>
      <c r="AL147" s="601">
        <f t="shared" si="5"/>
        <v>1</v>
      </c>
      <c r="AM147" s="601">
        <v>1</v>
      </c>
      <c r="AN147" s="603" t="s">
        <v>17650</v>
      </c>
      <c r="AO147" s="603" t="s">
        <v>17651</v>
      </c>
      <c r="AP147" s="603" t="s">
        <v>17652</v>
      </c>
      <c r="AQ147" s="603" t="s">
        <v>17653</v>
      </c>
      <c r="AR147" s="603" t="s">
        <v>1024</v>
      </c>
      <c r="AS147" s="559">
        <v>1</v>
      </c>
    </row>
    <row r="148" spans="1:45" x14ac:dyDescent="0.2">
      <c r="A148" s="559" t="s">
        <v>20011</v>
      </c>
      <c r="B148" s="559" t="s">
        <v>23721</v>
      </c>
      <c r="C148" s="559" t="s">
        <v>48</v>
      </c>
      <c r="D148" s="559" t="s">
        <v>23700</v>
      </c>
      <c r="E148" s="559" t="s">
        <v>233</v>
      </c>
      <c r="F148" s="564">
        <v>1</v>
      </c>
      <c r="G148" s="559" t="s">
        <v>193</v>
      </c>
      <c r="H148" s="559" t="s">
        <v>194</v>
      </c>
      <c r="I148" s="559" t="s">
        <v>23708</v>
      </c>
      <c r="J148" s="559" t="s">
        <v>1059</v>
      </c>
      <c r="K148" s="559" t="s">
        <v>9309</v>
      </c>
      <c r="L148" s="559" t="s">
        <v>6955</v>
      </c>
      <c r="M148" s="559"/>
      <c r="N148" s="559" t="s">
        <v>23722</v>
      </c>
      <c r="O148" s="559" t="s">
        <v>6249</v>
      </c>
      <c r="P148" s="559" t="s">
        <v>23710</v>
      </c>
      <c r="Q148" s="559" t="s">
        <v>23228</v>
      </c>
      <c r="R148" s="559" t="s">
        <v>23718</v>
      </c>
      <c r="S148" s="559" t="s">
        <v>23723</v>
      </c>
      <c r="T148" s="559" t="s">
        <v>23724</v>
      </c>
      <c r="U148" s="559"/>
      <c r="V148" s="559" t="s">
        <v>9510</v>
      </c>
      <c r="W148" s="559" t="s">
        <v>2296</v>
      </c>
      <c r="X148" s="559" t="s">
        <v>194</v>
      </c>
      <c r="Y148" s="559" t="s">
        <v>9300</v>
      </c>
      <c r="Z148" s="559"/>
      <c r="AA148" s="559"/>
      <c r="AB148" s="559" t="s">
        <v>9311</v>
      </c>
      <c r="AC148" s="559"/>
      <c r="AD148" s="559"/>
      <c r="AE148" s="559"/>
      <c r="AF148" s="559"/>
      <c r="AG148" s="559"/>
      <c r="AH148" s="559" t="s">
        <v>4714</v>
      </c>
      <c r="AI148" s="559" t="s">
        <v>23721</v>
      </c>
      <c r="AJ148" s="601" t="str">
        <f t="shared" si="4"/>
        <v>321401</v>
      </c>
      <c r="AK148" s="601">
        <v>1</v>
      </c>
      <c r="AL148" s="601">
        <f t="shared" si="5"/>
        <v>1</v>
      </c>
      <c r="AM148" s="601">
        <v>1</v>
      </c>
      <c r="AN148" s="603" t="s">
        <v>17650</v>
      </c>
      <c r="AO148" s="603" t="s">
        <v>17651</v>
      </c>
      <c r="AP148" s="603" t="s">
        <v>17652</v>
      </c>
      <c r="AQ148" s="603" t="s">
        <v>17653</v>
      </c>
      <c r="AR148" s="603" t="s">
        <v>1024</v>
      </c>
      <c r="AS148" s="559">
        <v>1</v>
      </c>
    </row>
    <row r="149" spans="1:45" x14ac:dyDescent="0.2">
      <c r="A149" s="559" t="s">
        <v>23725</v>
      </c>
      <c r="B149" s="559" t="s">
        <v>23726</v>
      </c>
      <c r="C149" s="559" t="s">
        <v>354</v>
      </c>
      <c r="D149" s="559" t="s">
        <v>23700</v>
      </c>
      <c r="E149" s="559" t="s">
        <v>233</v>
      </c>
      <c r="F149" s="564">
        <v>1</v>
      </c>
      <c r="G149" s="559" t="s">
        <v>193</v>
      </c>
      <c r="H149" s="559" t="s">
        <v>194</v>
      </c>
      <c r="I149" s="559" t="s">
        <v>23708</v>
      </c>
      <c r="J149" s="559" t="s">
        <v>9302</v>
      </c>
      <c r="K149" s="559" t="s">
        <v>9309</v>
      </c>
      <c r="L149" s="559" t="s">
        <v>6955</v>
      </c>
      <c r="M149" s="559"/>
      <c r="N149" s="559" t="s">
        <v>23727</v>
      </c>
      <c r="O149" s="559" t="s">
        <v>6374</v>
      </c>
      <c r="P149" s="559" t="s">
        <v>23710</v>
      </c>
      <c r="Q149" s="559" t="s">
        <v>23228</v>
      </c>
      <c r="R149" s="559" t="s">
        <v>23718</v>
      </c>
      <c r="S149" s="559" t="s">
        <v>23728</v>
      </c>
      <c r="T149" s="559" t="s">
        <v>23729</v>
      </c>
      <c r="U149" s="559"/>
      <c r="V149" s="603"/>
      <c r="W149" s="559" t="s">
        <v>355</v>
      </c>
      <c r="X149" s="559" t="s">
        <v>193</v>
      </c>
      <c r="Y149" s="559" t="s">
        <v>9310</v>
      </c>
      <c r="Z149" s="559"/>
      <c r="AA149" s="559"/>
      <c r="AB149" s="559" t="s">
        <v>9311</v>
      </c>
      <c r="AC149" s="559"/>
      <c r="AD149" s="559"/>
      <c r="AE149" s="559"/>
      <c r="AF149" s="559"/>
      <c r="AG149" s="559"/>
      <c r="AH149" s="559" t="s">
        <v>4714</v>
      </c>
      <c r="AI149" s="559" t="s">
        <v>23726</v>
      </c>
      <c r="AJ149" s="601" t="str">
        <f t="shared" si="4"/>
        <v>215103</v>
      </c>
      <c r="AK149" s="601">
        <v>1</v>
      </c>
      <c r="AL149" s="601">
        <f t="shared" si="5"/>
        <v>1</v>
      </c>
      <c r="AM149" s="601">
        <v>1</v>
      </c>
      <c r="AN149" s="603" t="s">
        <v>17650</v>
      </c>
      <c r="AO149" s="603" t="s">
        <v>17651</v>
      </c>
      <c r="AP149" s="603" t="s">
        <v>17652</v>
      </c>
      <c r="AQ149" s="603" t="s">
        <v>17653</v>
      </c>
      <c r="AR149" s="603" t="s">
        <v>1024</v>
      </c>
      <c r="AS149" s="559">
        <v>1</v>
      </c>
    </row>
    <row r="150" spans="1:45" x14ac:dyDescent="0.2">
      <c r="A150" s="559" t="s">
        <v>5815</v>
      </c>
      <c r="B150" s="559" t="s">
        <v>5816</v>
      </c>
      <c r="C150" s="559" t="s">
        <v>266</v>
      </c>
      <c r="D150" s="559" t="s">
        <v>23700</v>
      </c>
      <c r="E150" s="559" t="s">
        <v>233</v>
      </c>
      <c r="F150" s="564">
        <v>1</v>
      </c>
      <c r="G150" s="559" t="s">
        <v>193</v>
      </c>
      <c r="H150" s="559" t="s">
        <v>194</v>
      </c>
      <c r="I150" s="559" t="s">
        <v>23139</v>
      </c>
      <c r="J150" s="559" t="s">
        <v>9302</v>
      </c>
      <c r="K150" s="559" t="s">
        <v>9309</v>
      </c>
      <c r="L150" s="559" t="s">
        <v>6955</v>
      </c>
      <c r="M150" s="559"/>
      <c r="N150" s="559" t="s">
        <v>23730</v>
      </c>
      <c r="O150" s="559" t="s">
        <v>6249</v>
      </c>
      <c r="P150" s="559" t="s">
        <v>23710</v>
      </c>
      <c r="Q150" s="559" t="s">
        <v>23228</v>
      </c>
      <c r="R150" s="559" t="s">
        <v>23718</v>
      </c>
      <c r="S150" s="559" t="s">
        <v>23731</v>
      </c>
      <c r="T150" s="559" t="s">
        <v>23732</v>
      </c>
      <c r="U150" s="559"/>
      <c r="V150" s="603"/>
      <c r="W150" s="559" t="s">
        <v>268</v>
      </c>
      <c r="X150" s="559" t="s">
        <v>193</v>
      </c>
      <c r="Y150" s="559" t="s">
        <v>9310</v>
      </c>
      <c r="Z150" s="559"/>
      <c r="AA150" s="559"/>
      <c r="AB150" s="559" t="s">
        <v>9311</v>
      </c>
      <c r="AC150" s="559"/>
      <c r="AD150" s="559"/>
      <c r="AE150" s="559"/>
      <c r="AF150" s="559"/>
      <c r="AG150" s="559"/>
      <c r="AH150" s="559" t="s">
        <v>4714</v>
      </c>
      <c r="AI150" s="559" t="s">
        <v>5816</v>
      </c>
      <c r="AJ150" s="601" t="str">
        <f t="shared" si="4"/>
        <v>143905</v>
      </c>
      <c r="AK150" s="601">
        <v>1</v>
      </c>
      <c r="AL150" s="601">
        <f t="shared" si="5"/>
        <v>1</v>
      </c>
      <c r="AM150" s="601">
        <v>1</v>
      </c>
      <c r="AN150" s="603" t="s">
        <v>17650</v>
      </c>
      <c r="AO150" s="603" t="s">
        <v>17651</v>
      </c>
      <c r="AP150" s="603" t="s">
        <v>17652</v>
      </c>
      <c r="AQ150" s="603" t="s">
        <v>17653</v>
      </c>
      <c r="AR150" s="603" t="s">
        <v>1024</v>
      </c>
      <c r="AS150" s="559">
        <v>1</v>
      </c>
    </row>
    <row r="151" spans="1:45" x14ac:dyDescent="0.2">
      <c r="A151" s="559" t="s">
        <v>6036</v>
      </c>
      <c r="B151" s="559" t="s">
        <v>23733</v>
      </c>
      <c r="C151" s="559" t="s">
        <v>72</v>
      </c>
      <c r="D151" s="559" t="s">
        <v>23700</v>
      </c>
      <c r="E151" s="559" t="s">
        <v>233</v>
      </c>
      <c r="F151" s="564">
        <v>1</v>
      </c>
      <c r="G151" s="559" t="s">
        <v>193</v>
      </c>
      <c r="H151" s="559" t="s">
        <v>194</v>
      </c>
      <c r="I151" s="559" t="s">
        <v>23158</v>
      </c>
      <c r="J151" s="559" t="s">
        <v>8667</v>
      </c>
      <c r="K151" s="559" t="s">
        <v>9309</v>
      </c>
      <c r="L151" s="559" t="s">
        <v>6955</v>
      </c>
      <c r="M151" s="559"/>
      <c r="N151" s="559" t="s">
        <v>23734</v>
      </c>
      <c r="O151" s="559" t="s">
        <v>6275</v>
      </c>
      <c r="P151" s="559" t="s">
        <v>23710</v>
      </c>
      <c r="Q151" s="559" t="s">
        <v>23228</v>
      </c>
      <c r="R151" s="559" t="s">
        <v>23718</v>
      </c>
      <c r="S151" s="559" t="s">
        <v>23735</v>
      </c>
      <c r="T151" s="559" t="s">
        <v>23736</v>
      </c>
      <c r="U151" s="559"/>
      <c r="V151" s="559" t="s">
        <v>9726</v>
      </c>
      <c r="W151" s="559" t="s">
        <v>1841</v>
      </c>
      <c r="X151" s="559" t="s">
        <v>194</v>
      </c>
      <c r="Y151" s="559" t="s">
        <v>9300</v>
      </c>
      <c r="Z151" s="559"/>
      <c r="AA151" s="559"/>
      <c r="AB151" s="559" t="s">
        <v>9311</v>
      </c>
      <c r="AC151" s="559"/>
      <c r="AD151" s="559"/>
      <c r="AE151" s="559"/>
      <c r="AF151" s="559"/>
      <c r="AG151" s="559"/>
      <c r="AH151" s="559" t="s">
        <v>4714</v>
      </c>
      <c r="AI151" s="559" t="s">
        <v>23733</v>
      </c>
      <c r="AJ151" s="601" t="str">
        <f t="shared" si="4"/>
        <v>732201</v>
      </c>
      <c r="AK151" s="601">
        <v>1</v>
      </c>
      <c r="AL151" s="601">
        <f t="shared" si="5"/>
        <v>1</v>
      </c>
      <c r="AM151" s="601">
        <v>1</v>
      </c>
      <c r="AN151" s="603" t="s">
        <v>17650</v>
      </c>
      <c r="AO151" s="603" t="s">
        <v>17651</v>
      </c>
      <c r="AP151" s="603" t="s">
        <v>17652</v>
      </c>
      <c r="AQ151" s="603" t="s">
        <v>17653</v>
      </c>
      <c r="AR151" s="603" t="s">
        <v>1024</v>
      </c>
      <c r="AS151" s="559">
        <v>1</v>
      </c>
    </row>
    <row r="152" spans="1:45" x14ac:dyDescent="0.2">
      <c r="A152" s="559" t="s">
        <v>23737</v>
      </c>
      <c r="B152" s="559" t="s">
        <v>23738</v>
      </c>
      <c r="C152" s="559" t="s">
        <v>23739</v>
      </c>
      <c r="D152" s="559" t="s">
        <v>23700</v>
      </c>
      <c r="E152" s="559" t="s">
        <v>233</v>
      </c>
      <c r="F152" s="564">
        <v>1</v>
      </c>
      <c r="G152" s="559" t="s">
        <v>193</v>
      </c>
      <c r="H152" s="559" t="s">
        <v>194</v>
      </c>
      <c r="I152" s="559" t="s">
        <v>23164</v>
      </c>
      <c r="J152" s="559" t="s">
        <v>202</v>
      </c>
      <c r="K152" s="559" t="s">
        <v>9309</v>
      </c>
      <c r="L152" s="559" t="s">
        <v>6955</v>
      </c>
      <c r="M152" s="559"/>
      <c r="N152" s="559" t="s">
        <v>23740</v>
      </c>
      <c r="O152" s="559" t="s">
        <v>6245</v>
      </c>
      <c r="P152" s="559" t="s">
        <v>23710</v>
      </c>
      <c r="Q152" s="559" t="s">
        <v>23228</v>
      </c>
      <c r="R152" s="559" t="s">
        <v>23718</v>
      </c>
      <c r="S152" s="559" t="s">
        <v>23741</v>
      </c>
      <c r="T152" s="559" t="s">
        <v>23742</v>
      </c>
      <c r="U152" s="559"/>
      <c r="V152" s="559" t="s">
        <v>9856</v>
      </c>
      <c r="W152" s="559" t="s">
        <v>23743</v>
      </c>
      <c r="X152" s="559" t="s">
        <v>194</v>
      </c>
      <c r="Y152" s="559" t="s">
        <v>9300</v>
      </c>
      <c r="Z152" s="559"/>
      <c r="AA152" s="559"/>
      <c r="AB152" s="559" t="s">
        <v>9311</v>
      </c>
      <c r="AC152" s="559"/>
      <c r="AD152" s="559"/>
      <c r="AE152" s="559"/>
      <c r="AF152" s="559"/>
      <c r="AG152" s="559"/>
      <c r="AH152" s="559" t="s">
        <v>4714</v>
      </c>
      <c r="AI152" s="559" t="s">
        <v>23738</v>
      </c>
      <c r="AJ152" s="601" t="str">
        <f t="shared" si="4"/>
        <v>313104</v>
      </c>
      <c r="AK152" s="601">
        <v>1</v>
      </c>
      <c r="AL152" s="601">
        <f t="shared" si="5"/>
        <v>1</v>
      </c>
      <c r="AM152" s="601">
        <v>1</v>
      </c>
      <c r="AN152" s="603" t="s">
        <v>17650</v>
      </c>
      <c r="AO152" s="603" t="s">
        <v>17651</v>
      </c>
      <c r="AP152" s="603" t="s">
        <v>17652</v>
      </c>
      <c r="AQ152" s="603" t="s">
        <v>17653</v>
      </c>
      <c r="AR152" s="603" t="s">
        <v>1024</v>
      </c>
      <c r="AS152" s="559">
        <v>1</v>
      </c>
    </row>
    <row r="153" spans="1:45" x14ac:dyDescent="0.2">
      <c r="A153" s="559" t="s">
        <v>23737</v>
      </c>
      <c r="B153" s="559" t="s">
        <v>23738</v>
      </c>
      <c r="C153" s="559" t="s">
        <v>23739</v>
      </c>
      <c r="D153" s="559" t="s">
        <v>23700</v>
      </c>
      <c r="E153" s="559" t="s">
        <v>233</v>
      </c>
      <c r="F153" s="564">
        <v>1</v>
      </c>
      <c r="G153" s="559" t="s">
        <v>193</v>
      </c>
      <c r="H153" s="559" t="s">
        <v>194</v>
      </c>
      <c r="I153" s="559" t="s">
        <v>23164</v>
      </c>
      <c r="J153" s="559" t="s">
        <v>210</v>
      </c>
      <c r="K153" s="559" t="s">
        <v>9309</v>
      </c>
      <c r="L153" s="559" t="s">
        <v>6955</v>
      </c>
      <c r="M153" s="559"/>
      <c r="N153" s="559" t="s">
        <v>23744</v>
      </c>
      <c r="O153" s="559" t="s">
        <v>6245</v>
      </c>
      <c r="P153" s="559" t="s">
        <v>23710</v>
      </c>
      <c r="Q153" s="559" t="s">
        <v>23228</v>
      </c>
      <c r="R153" s="559" t="s">
        <v>23718</v>
      </c>
      <c r="S153" s="559" t="s">
        <v>23745</v>
      </c>
      <c r="T153" s="559" t="s">
        <v>23746</v>
      </c>
      <c r="U153" s="559"/>
      <c r="V153" s="559" t="s">
        <v>9334</v>
      </c>
      <c r="W153" s="559" t="s">
        <v>23743</v>
      </c>
      <c r="X153" s="559" t="s">
        <v>194</v>
      </c>
      <c r="Y153" s="559" t="s">
        <v>9300</v>
      </c>
      <c r="Z153" s="559"/>
      <c r="AA153" s="559"/>
      <c r="AB153" s="559" t="s">
        <v>9311</v>
      </c>
      <c r="AC153" s="559"/>
      <c r="AD153" s="559"/>
      <c r="AE153" s="559"/>
      <c r="AF153" s="559"/>
      <c r="AG153" s="559"/>
      <c r="AH153" s="559" t="s">
        <v>4714</v>
      </c>
      <c r="AI153" s="559" t="s">
        <v>23738</v>
      </c>
      <c r="AJ153" s="601" t="str">
        <f t="shared" si="4"/>
        <v>313104</v>
      </c>
      <c r="AK153" s="601">
        <v>1</v>
      </c>
      <c r="AL153" s="601">
        <f t="shared" si="5"/>
        <v>1</v>
      </c>
      <c r="AM153" s="601">
        <v>1</v>
      </c>
      <c r="AN153" s="603" t="s">
        <v>17650</v>
      </c>
      <c r="AO153" s="603" t="s">
        <v>17651</v>
      </c>
      <c r="AP153" s="603" t="s">
        <v>17652</v>
      </c>
      <c r="AQ153" s="603" t="s">
        <v>17653</v>
      </c>
      <c r="AR153" s="603" t="s">
        <v>1024</v>
      </c>
      <c r="AS153" s="559">
        <v>1</v>
      </c>
    </row>
    <row r="154" spans="1:45" x14ac:dyDescent="0.2">
      <c r="A154" s="559" t="s">
        <v>23737</v>
      </c>
      <c r="B154" s="559" t="s">
        <v>23738</v>
      </c>
      <c r="C154" s="559" t="s">
        <v>23739</v>
      </c>
      <c r="D154" s="559" t="s">
        <v>23700</v>
      </c>
      <c r="E154" s="559" t="s">
        <v>233</v>
      </c>
      <c r="F154" s="564">
        <v>1</v>
      </c>
      <c r="G154" s="559" t="s">
        <v>193</v>
      </c>
      <c r="H154" s="559" t="s">
        <v>194</v>
      </c>
      <c r="I154" s="559" t="s">
        <v>23164</v>
      </c>
      <c r="J154" s="559" t="s">
        <v>23747</v>
      </c>
      <c r="K154" s="559" t="s">
        <v>9309</v>
      </c>
      <c r="L154" s="559" t="s">
        <v>6955</v>
      </c>
      <c r="M154" s="559"/>
      <c r="N154" s="559" t="s">
        <v>23748</v>
      </c>
      <c r="O154" s="559" t="s">
        <v>6245</v>
      </c>
      <c r="P154" s="559" t="s">
        <v>23710</v>
      </c>
      <c r="Q154" s="559" t="s">
        <v>23228</v>
      </c>
      <c r="R154" s="559" t="s">
        <v>23718</v>
      </c>
      <c r="S154" s="559" t="s">
        <v>23749</v>
      </c>
      <c r="T154" s="559" t="s">
        <v>23750</v>
      </c>
      <c r="U154" s="559"/>
      <c r="V154" s="559" t="s">
        <v>11394</v>
      </c>
      <c r="W154" s="559" t="s">
        <v>23743</v>
      </c>
      <c r="X154" s="559" t="s">
        <v>194</v>
      </c>
      <c r="Y154" s="559" t="s">
        <v>9300</v>
      </c>
      <c r="Z154" s="559"/>
      <c r="AA154" s="559"/>
      <c r="AB154" s="559" t="s">
        <v>9311</v>
      </c>
      <c r="AC154" s="559"/>
      <c r="AD154" s="559"/>
      <c r="AE154" s="559"/>
      <c r="AF154" s="559"/>
      <c r="AG154" s="559"/>
      <c r="AH154" s="559" t="s">
        <v>4714</v>
      </c>
      <c r="AI154" s="559" t="s">
        <v>23738</v>
      </c>
      <c r="AJ154" s="601" t="str">
        <f t="shared" si="4"/>
        <v>313104</v>
      </c>
      <c r="AK154" s="601">
        <v>1</v>
      </c>
      <c r="AL154" s="601">
        <f t="shared" si="5"/>
        <v>1</v>
      </c>
      <c r="AM154" s="601">
        <v>1</v>
      </c>
      <c r="AN154" s="603" t="s">
        <v>17650</v>
      </c>
      <c r="AO154" s="603" t="s">
        <v>17651</v>
      </c>
      <c r="AP154" s="603" t="s">
        <v>17652</v>
      </c>
      <c r="AQ154" s="603" t="s">
        <v>17653</v>
      </c>
      <c r="AR154" s="603" t="s">
        <v>1024</v>
      </c>
      <c r="AS154" s="559">
        <v>1</v>
      </c>
    </row>
    <row r="155" spans="1:45" x14ac:dyDescent="0.2">
      <c r="A155" s="559" t="s">
        <v>6631</v>
      </c>
      <c r="B155" s="559" t="s">
        <v>14727</v>
      </c>
      <c r="C155" s="559" t="s">
        <v>21</v>
      </c>
      <c r="D155" s="559" t="s">
        <v>23700</v>
      </c>
      <c r="E155" s="559" t="s">
        <v>233</v>
      </c>
      <c r="F155" s="564">
        <v>1</v>
      </c>
      <c r="G155" s="559" t="s">
        <v>193</v>
      </c>
      <c r="H155" s="559" t="s">
        <v>194</v>
      </c>
      <c r="I155" s="559" t="s">
        <v>23307</v>
      </c>
      <c r="J155" s="559" t="s">
        <v>9302</v>
      </c>
      <c r="K155" s="559" t="s">
        <v>9309</v>
      </c>
      <c r="L155" s="559" t="s">
        <v>6955</v>
      </c>
      <c r="M155" s="559"/>
      <c r="N155" s="559" t="s">
        <v>23751</v>
      </c>
      <c r="O155" s="559" t="s">
        <v>6256</v>
      </c>
      <c r="P155" s="559" t="s">
        <v>23710</v>
      </c>
      <c r="Q155" s="559" t="s">
        <v>23228</v>
      </c>
      <c r="R155" s="559" t="s">
        <v>23718</v>
      </c>
      <c r="S155" s="559" t="s">
        <v>23752</v>
      </c>
      <c r="T155" s="559" t="s">
        <v>23753</v>
      </c>
      <c r="U155" s="559"/>
      <c r="V155" s="603"/>
      <c r="W155" s="559" t="s">
        <v>293</v>
      </c>
      <c r="X155" s="559" t="s">
        <v>193</v>
      </c>
      <c r="Y155" s="559" t="s">
        <v>9310</v>
      </c>
      <c r="Z155" s="559"/>
      <c r="AA155" s="559"/>
      <c r="AB155" s="559" t="s">
        <v>9311</v>
      </c>
      <c r="AC155" s="559"/>
      <c r="AD155" s="559"/>
      <c r="AE155" s="559"/>
      <c r="AF155" s="559"/>
      <c r="AG155" s="559"/>
      <c r="AH155" s="559" t="s">
        <v>4714</v>
      </c>
      <c r="AI155" s="559" t="s">
        <v>14727</v>
      </c>
      <c r="AJ155" s="601" t="str">
        <f t="shared" si="4"/>
        <v>214202</v>
      </c>
      <c r="AK155" s="601">
        <v>1</v>
      </c>
      <c r="AL155" s="601">
        <f t="shared" si="5"/>
        <v>1</v>
      </c>
      <c r="AM155" s="601">
        <v>1</v>
      </c>
      <c r="AN155" s="603" t="s">
        <v>17650</v>
      </c>
      <c r="AO155" s="603" t="s">
        <v>17651</v>
      </c>
      <c r="AP155" s="603" t="s">
        <v>17652</v>
      </c>
      <c r="AQ155" s="603" t="s">
        <v>17653</v>
      </c>
      <c r="AR155" s="603" t="s">
        <v>1024</v>
      </c>
      <c r="AS155" s="559">
        <v>1</v>
      </c>
    </row>
    <row r="156" spans="1:45" x14ac:dyDescent="0.2">
      <c r="A156" s="559" t="s">
        <v>6036</v>
      </c>
      <c r="B156" s="559" t="s">
        <v>356</v>
      </c>
      <c r="C156" s="559" t="s">
        <v>356</v>
      </c>
      <c r="D156" s="559" t="s">
        <v>23700</v>
      </c>
      <c r="E156" s="559" t="s">
        <v>233</v>
      </c>
      <c r="F156" s="564">
        <v>1</v>
      </c>
      <c r="G156" s="559" t="s">
        <v>193</v>
      </c>
      <c r="H156" s="559" t="s">
        <v>194</v>
      </c>
      <c r="I156" s="559" t="s">
        <v>23151</v>
      </c>
      <c r="J156" s="559" t="s">
        <v>23754</v>
      </c>
      <c r="K156" s="559" t="s">
        <v>9309</v>
      </c>
      <c r="L156" s="559" t="s">
        <v>6955</v>
      </c>
      <c r="M156" s="559"/>
      <c r="N156" s="559" t="s">
        <v>23755</v>
      </c>
      <c r="O156" s="559" t="s">
        <v>6363</v>
      </c>
      <c r="P156" s="559" t="s">
        <v>23710</v>
      </c>
      <c r="Q156" s="559" t="s">
        <v>23228</v>
      </c>
      <c r="R156" s="559" t="s">
        <v>23718</v>
      </c>
      <c r="S156" s="559" t="s">
        <v>23756</v>
      </c>
      <c r="T156" s="559" t="s">
        <v>23757</v>
      </c>
      <c r="U156" s="559"/>
      <c r="V156" s="559" t="s">
        <v>9334</v>
      </c>
      <c r="W156" s="559" t="s">
        <v>16081</v>
      </c>
      <c r="X156" s="559" t="s">
        <v>194</v>
      </c>
      <c r="Y156" s="559" t="s">
        <v>9300</v>
      </c>
      <c r="Z156" s="559"/>
      <c r="AA156" s="559"/>
      <c r="AB156" s="559" t="s">
        <v>9311</v>
      </c>
      <c r="AC156" s="559"/>
      <c r="AD156" s="559"/>
      <c r="AE156" s="559"/>
      <c r="AF156" s="559"/>
      <c r="AG156" s="559"/>
      <c r="AH156" s="559" t="s">
        <v>4714</v>
      </c>
      <c r="AI156" s="559" t="s">
        <v>356</v>
      </c>
      <c r="AJ156" s="601" t="str">
        <f t="shared" si="4"/>
        <v>754903</v>
      </c>
      <c r="AK156" s="601">
        <v>1</v>
      </c>
      <c r="AL156" s="601">
        <f t="shared" si="5"/>
        <v>1</v>
      </c>
      <c r="AM156" s="601">
        <v>1</v>
      </c>
      <c r="AN156" s="603" t="s">
        <v>17650</v>
      </c>
      <c r="AO156" s="603" t="s">
        <v>17651</v>
      </c>
      <c r="AP156" s="603" t="s">
        <v>17652</v>
      </c>
      <c r="AQ156" s="603" t="s">
        <v>17653</v>
      </c>
      <c r="AR156" s="603" t="s">
        <v>1024</v>
      </c>
      <c r="AS156" s="559">
        <v>1</v>
      </c>
    </row>
    <row r="157" spans="1:45" x14ac:dyDescent="0.2">
      <c r="A157" s="559" t="s">
        <v>6991</v>
      </c>
      <c r="B157" s="559" t="s">
        <v>6995</v>
      </c>
      <c r="C157" s="559" t="s">
        <v>3645</v>
      </c>
      <c r="D157" s="559" t="s">
        <v>23700</v>
      </c>
      <c r="E157" s="559" t="s">
        <v>233</v>
      </c>
      <c r="F157" s="564">
        <v>1</v>
      </c>
      <c r="G157" s="559" t="s">
        <v>193</v>
      </c>
      <c r="H157" s="559" t="s">
        <v>194</v>
      </c>
      <c r="I157" s="559" t="s">
        <v>23186</v>
      </c>
      <c r="J157" s="559" t="s">
        <v>223</v>
      </c>
      <c r="K157" s="559" t="s">
        <v>9309</v>
      </c>
      <c r="L157" s="559" t="s">
        <v>6955</v>
      </c>
      <c r="M157" s="559"/>
      <c r="N157" s="559" t="s">
        <v>23758</v>
      </c>
      <c r="O157" s="559" t="s">
        <v>6258</v>
      </c>
      <c r="P157" s="559" t="s">
        <v>23710</v>
      </c>
      <c r="Q157" s="559" t="s">
        <v>23228</v>
      </c>
      <c r="R157" s="559" t="s">
        <v>23266</v>
      </c>
      <c r="S157" s="559" t="s">
        <v>23759</v>
      </c>
      <c r="T157" s="559" t="s">
        <v>23760</v>
      </c>
      <c r="U157" s="559"/>
      <c r="V157" s="559" t="s">
        <v>11163</v>
      </c>
      <c r="W157" s="559" t="s">
        <v>3647</v>
      </c>
      <c r="X157" s="559" t="s">
        <v>194</v>
      </c>
      <c r="Y157" s="559" t="s">
        <v>9300</v>
      </c>
      <c r="Z157" s="559"/>
      <c r="AA157" s="559"/>
      <c r="AB157" s="559" t="s">
        <v>9311</v>
      </c>
      <c r="AC157" s="559"/>
      <c r="AD157" s="559"/>
      <c r="AE157" s="559"/>
      <c r="AF157" s="559"/>
      <c r="AG157" s="559"/>
      <c r="AH157" s="559" t="s">
        <v>4714</v>
      </c>
      <c r="AI157" s="559" t="s">
        <v>6995</v>
      </c>
      <c r="AJ157" s="601" t="str">
        <f t="shared" si="4"/>
        <v>741207</v>
      </c>
      <c r="AK157" s="601">
        <v>1</v>
      </c>
      <c r="AL157" s="601">
        <f t="shared" si="5"/>
        <v>1</v>
      </c>
      <c r="AM157" s="601">
        <v>1</v>
      </c>
      <c r="AN157" s="603" t="s">
        <v>17650</v>
      </c>
      <c r="AO157" s="603" t="s">
        <v>17651</v>
      </c>
      <c r="AP157" s="603" t="s">
        <v>17652</v>
      </c>
      <c r="AQ157" s="603" t="s">
        <v>17653</v>
      </c>
      <c r="AR157" s="603" t="s">
        <v>1024</v>
      </c>
      <c r="AS157" s="559">
        <v>1</v>
      </c>
    </row>
    <row r="158" spans="1:45" x14ac:dyDescent="0.2">
      <c r="A158" s="559" t="s">
        <v>23761</v>
      </c>
      <c r="B158" s="559" t="s">
        <v>23762</v>
      </c>
      <c r="C158" s="559" t="s">
        <v>3283</v>
      </c>
      <c r="D158" s="559" t="s">
        <v>23700</v>
      </c>
      <c r="E158" s="559" t="s">
        <v>233</v>
      </c>
      <c r="F158" s="564">
        <v>1</v>
      </c>
      <c r="G158" s="559" t="s">
        <v>193</v>
      </c>
      <c r="H158" s="559" t="s">
        <v>194</v>
      </c>
      <c r="I158" s="559" t="s">
        <v>23708</v>
      </c>
      <c r="J158" s="559" t="s">
        <v>9302</v>
      </c>
      <c r="K158" s="559" t="s">
        <v>9309</v>
      </c>
      <c r="L158" s="559" t="s">
        <v>6955</v>
      </c>
      <c r="M158" s="559"/>
      <c r="N158" s="559" t="s">
        <v>23763</v>
      </c>
      <c r="O158" s="559" t="s">
        <v>6266</v>
      </c>
      <c r="P158" s="559" t="s">
        <v>23710</v>
      </c>
      <c r="Q158" s="559" t="s">
        <v>23228</v>
      </c>
      <c r="R158" s="559" t="s">
        <v>23213</v>
      </c>
      <c r="S158" s="559" t="s">
        <v>23764</v>
      </c>
      <c r="T158" s="559" t="s">
        <v>23765</v>
      </c>
      <c r="U158" s="559"/>
      <c r="V158" s="603"/>
      <c r="W158" s="559" t="s">
        <v>23174</v>
      </c>
      <c r="X158" s="559" t="s">
        <v>193</v>
      </c>
      <c r="Y158" s="559" t="s">
        <v>9310</v>
      </c>
      <c r="Z158" s="559"/>
      <c r="AA158" s="559"/>
      <c r="AB158" s="559" t="s">
        <v>9311</v>
      </c>
      <c r="AC158" s="559"/>
      <c r="AD158" s="559"/>
      <c r="AE158" s="559"/>
      <c r="AF158" s="559"/>
      <c r="AG158" s="559"/>
      <c r="AH158" s="559" t="s">
        <v>4714</v>
      </c>
      <c r="AI158" s="559" t="s">
        <v>23762</v>
      </c>
      <c r="AJ158" s="601" t="str">
        <f t="shared" si="4"/>
        <v>831104</v>
      </c>
      <c r="AK158" s="601">
        <v>1</v>
      </c>
      <c r="AL158" s="601">
        <f t="shared" si="5"/>
        <v>1</v>
      </c>
      <c r="AM158" s="601">
        <v>1</v>
      </c>
      <c r="AN158" s="603" t="s">
        <v>17650</v>
      </c>
      <c r="AO158" s="603" t="s">
        <v>17651</v>
      </c>
      <c r="AP158" s="603" t="s">
        <v>17652</v>
      </c>
      <c r="AQ158" s="603" t="s">
        <v>17653</v>
      </c>
      <c r="AR158" s="603" t="s">
        <v>1024</v>
      </c>
      <c r="AS158" s="559">
        <v>1</v>
      </c>
    </row>
    <row r="159" spans="1:45" x14ac:dyDescent="0.2">
      <c r="A159" s="559" t="s">
        <v>1020</v>
      </c>
      <c r="B159" s="559" t="s">
        <v>18254</v>
      </c>
      <c r="C159" s="559" t="s">
        <v>23766</v>
      </c>
      <c r="D159" s="559" t="s">
        <v>23700</v>
      </c>
      <c r="E159" s="559" t="s">
        <v>233</v>
      </c>
      <c r="F159" s="564">
        <v>1</v>
      </c>
      <c r="G159" s="559" t="s">
        <v>193</v>
      </c>
      <c r="H159" s="559" t="s">
        <v>194</v>
      </c>
      <c r="I159" s="559" t="s">
        <v>23158</v>
      </c>
      <c r="J159" s="559" t="s">
        <v>9302</v>
      </c>
      <c r="K159" s="559" t="s">
        <v>9309</v>
      </c>
      <c r="L159" s="559" t="s">
        <v>6955</v>
      </c>
      <c r="M159" s="559"/>
      <c r="N159" s="559" t="s">
        <v>23767</v>
      </c>
      <c r="O159" s="559" t="s">
        <v>6256</v>
      </c>
      <c r="P159" s="559" t="s">
        <v>23710</v>
      </c>
      <c r="Q159" s="559" t="s">
        <v>23228</v>
      </c>
      <c r="R159" s="559" t="s">
        <v>23718</v>
      </c>
      <c r="S159" s="559" t="s">
        <v>23768</v>
      </c>
      <c r="T159" s="559" t="s">
        <v>23769</v>
      </c>
      <c r="U159" s="559"/>
      <c r="V159" s="603"/>
      <c r="W159" s="559" t="s">
        <v>23770</v>
      </c>
      <c r="X159" s="559" t="s">
        <v>193</v>
      </c>
      <c r="Y159" s="559" t="s">
        <v>9310</v>
      </c>
      <c r="Z159" s="559"/>
      <c r="AA159" s="559"/>
      <c r="AB159" s="559" t="s">
        <v>9311</v>
      </c>
      <c r="AC159" s="559"/>
      <c r="AD159" s="559"/>
      <c r="AE159" s="559"/>
      <c r="AF159" s="559"/>
      <c r="AG159" s="559"/>
      <c r="AH159" s="559" t="s">
        <v>4714</v>
      </c>
      <c r="AI159" s="559" t="s">
        <v>18254</v>
      </c>
      <c r="AJ159" s="601" t="str">
        <f t="shared" si="4"/>
        <v>811407</v>
      </c>
      <c r="AK159" s="601">
        <v>1</v>
      </c>
      <c r="AL159" s="601">
        <f t="shared" si="5"/>
        <v>1</v>
      </c>
      <c r="AM159" s="601">
        <v>1</v>
      </c>
      <c r="AN159" s="603" t="s">
        <v>17650</v>
      </c>
      <c r="AO159" s="603" t="s">
        <v>17651</v>
      </c>
      <c r="AP159" s="603" t="s">
        <v>17652</v>
      </c>
      <c r="AQ159" s="603" t="s">
        <v>17653</v>
      </c>
      <c r="AR159" s="603" t="s">
        <v>1024</v>
      </c>
      <c r="AS159" s="559">
        <v>1</v>
      </c>
    </row>
    <row r="160" spans="1:45" x14ac:dyDescent="0.2">
      <c r="A160" s="559" t="s">
        <v>23771</v>
      </c>
      <c r="B160" s="559" t="s">
        <v>23772</v>
      </c>
      <c r="C160" s="559" t="s">
        <v>1046</v>
      </c>
      <c r="D160" s="559" t="s">
        <v>23700</v>
      </c>
      <c r="E160" s="559" t="s">
        <v>233</v>
      </c>
      <c r="F160" s="564">
        <v>1</v>
      </c>
      <c r="G160" s="559" t="s">
        <v>193</v>
      </c>
      <c r="H160" s="559" t="s">
        <v>194</v>
      </c>
      <c r="I160" s="559" t="s">
        <v>23158</v>
      </c>
      <c r="J160" s="559" t="s">
        <v>210</v>
      </c>
      <c r="K160" s="559" t="s">
        <v>9309</v>
      </c>
      <c r="L160" s="559" t="s">
        <v>6955</v>
      </c>
      <c r="M160" s="559"/>
      <c r="N160" s="559" t="s">
        <v>23773</v>
      </c>
      <c r="O160" s="559" t="s">
        <v>6921</v>
      </c>
      <c r="P160" s="559" t="s">
        <v>23710</v>
      </c>
      <c r="Q160" s="559" t="s">
        <v>23228</v>
      </c>
      <c r="R160" s="559" t="s">
        <v>23718</v>
      </c>
      <c r="S160" s="559" t="s">
        <v>23774</v>
      </c>
      <c r="T160" s="559" t="s">
        <v>23775</v>
      </c>
      <c r="U160" s="559"/>
      <c r="V160" s="559" t="s">
        <v>9334</v>
      </c>
      <c r="W160" s="559" t="s">
        <v>1047</v>
      </c>
      <c r="X160" s="559" t="s">
        <v>194</v>
      </c>
      <c r="Y160" s="559" t="s">
        <v>9300</v>
      </c>
      <c r="Z160" s="559"/>
      <c r="AA160" s="559"/>
      <c r="AB160" s="559" t="s">
        <v>9311</v>
      </c>
      <c r="AC160" s="559"/>
      <c r="AD160" s="559"/>
      <c r="AE160" s="559"/>
      <c r="AF160" s="559"/>
      <c r="AG160" s="559"/>
      <c r="AH160" s="559" t="s">
        <v>4714</v>
      </c>
      <c r="AI160" s="559" t="s">
        <v>23772</v>
      </c>
      <c r="AJ160" s="601" t="str">
        <f t="shared" si="4"/>
        <v>352203</v>
      </c>
      <c r="AK160" s="601">
        <v>1</v>
      </c>
      <c r="AL160" s="601">
        <f t="shared" si="5"/>
        <v>1</v>
      </c>
      <c r="AM160" s="601">
        <v>1</v>
      </c>
      <c r="AN160" s="603" t="s">
        <v>17650</v>
      </c>
      <c r="AO160" s="603" t="s">
        <v>17651</v>
      </c>
      <c r="AP160" s="603" t="s">
        <v>17652</v>
      </c>
      <c r="AQ160" s="603" t="s">
        <v>17653</v>
      </c>
      <c r="AR160" s="603" t="s">
        <v>1024</v>
      </c>
      <c r="AS160" s="559">
        <v>1</v>
      </c>
    </row>
    <row r="161" spans="1:45" x14ac:dyDescent="0.2">
      <c r="A161" s="559" t="s">
        <v>23776</v>
      </c>
      <c r="B161" s="559" t="s">
        <v>23777</v>
      </c>
      <c r="C161" s="559" t="s">
        <v>706</v>
      </c>
      <c r="D161" s="559" t="s">
        <v>23700</v>
      </c>
      <c r="E161" s="559" t="s">
        <v>233</v>
      </c>
      <c r="F161" s="564">
        <v>1</v>
      </c>
      <c r="G161" s="559" t="s">
        <v>193</v>
      </c>
      <c r="H161" s="559" t="s">
        <v>194</v>
      </c>
      <c r="I161" s="559" t="s">
        <v>23158</v>
      </c>
      <c r="J161" s="559" t="s">
        <v>9302</v>
      </c>
      <c r="K161" s="559" t="s">
        <v>9309</v>
      </c>
      <c r="L161" s="559" t="s">
        <v>6955</v>
      </c>
      <c r="M161" s="559"/>
      <c r="N161" s="559" t="s">
        <v>23778</v>
      </c>
      <c r="O161" s="559" t="s">
        <v>6249</v>
      </c>
      <c r="P161" s="559" t="s">
        <v>23710</v>
      </c>
      <c r="Q161" s="559" t="s">
        <v>23228</v>
      </c>
      <c r="R161" s="559" t="s">
        <v>23718</v>
      </c>
      <c r="S161" s="559" t="s">
        <v>23779</v>
      </c>
      <c r="T161" s="559" t="s">
        <v>23780</v>
      </c>
      <c r="U161" s="559"/>
      <c r="V161" s="603"/>
      <c r="W161" s="559" t="s">
        <v>707</v>
      </c>
      <c r="X161" s="559" t="s">
        <v>193</v>
      </c>
      <c r="Y161" s="559" t="s">
        <v>9310</v>
      </c>
      <c r="Z161" s="559"/>
      <c r="AA161" s="559"/>
      <c r="AB161" s="559" t="s">
        <v>9311</v>
      </c>
      <c r="AC161" s="559"/>
      <c r="AD161" s="559"/>
      <c r="AE161" s="559"/>
      <c r="AF161" s="559"/>
      <c r="AG161" s="559"/>
      <c r="AH161" s="559" t="s">
        <v>4714</v>
      </c>
      <c r="AI161" s="559" t="s">
        <v>23777</v>
      </c>
      <c r="AJ161" s="601" t="str">
        <f t="shared" si="4"/>
        <v>422201</v>
      </c>
      <c r="AK161" s="601">
        <v>1</v>
      </c>
      <c r="AL161" s="601">
        <f t="shared" si="5"/>
        <v>1</v>
      </c>
      <c r="AM161" s="601">
        <v>1</v>
      </c>
      <c r="AN161" s="603" t="s">
        <v>17650</v>
      </c>
      <c r="AO161" s="603" t="s">
        <v>17651</v>
      </c>
      <c r="AP161" s="603" t="s">
        <v>17652</v>
      </c>
      <c r="AQ161" s="603" t="s">
        <v>17653</v>
      </c>
      <c r="AR161" s="603" t="s">
        <v>1024</v>
      </c>
      <c r="AS161" s="559">
        <v>1</v>
      </c>
    </row>
    <row r="162" spans="1:45" x14ac:dyDescent="0.2">
      <c r="A162" s="559" t="s">
        <v>4150</v>
      </c>
      <c r="B162" s="559" t="s">
        <v>2124</v>
      </c>
      <c r="C162" s="559" t="s">
        <v>13</v>
      </c>
      <c r="D162" s="559" t="s">
        <v>23700</v>
      </c>
      <c r="E162" s="559" t="s">
        <v>233</v>
      </c>
      <c r="F162" s="564">
        <v>1</v>
      </c>
      <c r="G162" s="559" t="s">
        <v>193</v>
      </c>
      <c r="H162" s="559" t="s">
        <v>194</v>
      </c>
      <c r="I162" s="559" t="s">
        <v>23307</v>
      </c>
      <c r="J162" s="559" t="s">
        <v>1059</v>
      </c>
      <c r="K162" s="559" t="s">
        <v>9309</v>
      </c>
      <c r="L162" s="559" t="s">
        <v>6955</v>
      </c>
      <c r="M162" s="559"/>
      <c r="N162" s="559" t="s">
        <v>23781</v>
      </c>
      <c r="O162" s="559" t="s">
        <v>8003</v>
      </c>
      <c r="P162" s="559" t="s">
        <v>23710</v>
      </c>
      <c r="Q162" s="559" t="s">
        <v>23228</v>
      </c>
      <c r="R162" s="559" t="s">
        <v>23139</v>
      </c>
      <c r="S162" s="559" t="s">
        <v>23782</v>
      </c>
      <c r="T162" s="559" t="s">
        <v>23783</v>
      </c>
      <c r="U162" s="559"/>
      <c r="V162" s="559" t="s">
        <v>9510</v>
      </c>
      <c r="W162" s="559" t="s">
        <v>2125</v>
      </c>
      <c r="X162" s="559" t="s">
        <v>194</v>
      </c>
      <c r="Y162" s="559" t="s">
        <v>9300</v>
      </c>
      <c r="Z162" s="559"/>
      <c r="AA162" s="559"/>
      <c r="AB162" s="559" t="s">
        <v>9311</v>
      </c>
      <c r="AC162" s="559"/>
      <c r="AD162" s="559"/>
      <c r="AE162" s="559"/>
      <c r="AF162" s="559"/>
      <c r="AG162" s="559"/>
      <c r="AH162" s="559" t="s">
        <v>4714</v>
      </c>
      <c r="AI162" s="559" t="s">
        <v>2124</v>
      </c>
      <c r="AJ162" s="601" t="str">
        <f t="shared" si="4"/>
        <v>225101</v>
      </c>
      <c r="AK162" s="601">
        <v>1</v>
      </c>
      <c r="AL162" s="601">
        <f t="shared" si="5"/>
        <v>1</v>
      </c>
      <c r="AM162" s="601">
        <v>1</v>
      </c>
      <c r="AN162" s="603" t="s">
        <v>17650</v>
      </c>
      <c r="AO162" s="603" t="s">
        <v>17651</v>
      </c>
      <c r="AP162" s="603" t="s">
        <v>17652</v>
      </c>
      <c r="AQ162" s="603" t="s">
        <v>17653</v>
      </c>
      <c r="AR162" s="603" t="s">
        <v>1024</v>
      </c>
      <c r="AS162" s="559">
        <v>1</v>
      </c>
    </row>
    <row r="163" spans="1:45" x14ac:dyDescent="0.2">
      <c r="A163" s="559" t="s">
        <v>4150</v>
      </c>
      <c r="B163" s="559" t="s">
        <v>2697</v>
      </c>
      <c r="C163" s="559" t="s">
        <v>23086</v>
      </c>
      <c r="D163" s="559" t="s">
        <v>23700</v>
      </c>
      <c r="E163" s="559" t="s">
        <v>233</v>
      </c>
      <c r="F163" s="564">
        <v>1</v>
      </c>
      <c r="G163" s="559" t="s">
        <v>193</v>
      </c>
      <c r="H163" s="559" t="s">
        <v>194</v>
      </c>
      <c r="I163" s="559" t="s">
        <v>23708</v>
      </c>
      <c r="J163" s="559" t="s">
        <v>1059</v>
      </c>
      <c r="K163" s="559" t="s">
        <v>9309</v>
      </c>
      <c r="L163" s="559" t="s">
        <v>6955</v>
      </c>
      <c r="M163" s="559"/>
      <c r="N163" s="559" t="s">
        <v>23784</v>
      </c>
      <c r="O163" s="559" t="s">
        <v>6306</v>
      </c>
      <c r="P163" s="559" t="s">
        <v>23710</v>
      </c>
      <c r="Q163" s="559" t="s">
        <v>23228</v>
      </c>
      <c r="R163" s="559" t="s">
        <v>23139</v>
      </c>
      <c r="S163" s="559" t="s">
        <v>23785</v>
      </c>
      <c r="T163" s="559" t="s">
        <v>23786</v>
      </c>
      <c r="U163" s="559"/>
      <c r="V163" s="559" t="s">
        <v>9510</v>
      </c>
      <c r="W163" s="559" t="s">
        <v>23093</v>
      </c>
      <c r="X163" s="559" t="s">
        <v>194</v>
      </c>
      <c r="Y163" s="559" t="s">
        <v>9300</v>
      </c>
      <c r="Z163" s="559"/>
      <c r="AA163" s="559"/>
      <c r="AB163" s="559" t="s">
        <v>9311</v>
      </c>
      <c r="AC163" s="559"/>
      <c r="AD163" s="559"/>
      <c r="AE163" s="559"/>
      <c r="AF163" s="559"/>
      <c r="AG163" s="559"/>
      <c r="AH163" s="559" t="s">
        <v>4714</v>
      </c>
      <c r="AI163" s="559" t="s">
        <v>2697</v>
      </c>
      <c r="AJ163" s="601" t="str">
        <f t="shared" si="4"/>
        <v>244003</v>
      </c>
      <c r="AK163" s="601">
        <v>1</v>
      </c>
      <c r="AL163" s="601">
        <f t="shared" si="5"/>
        <v>1</v>
      </c>
      <c r="AM163" s="601">
        <v>1</v>
      </c>
      <c r="AN163" s="603" t="s">
        <v>17650</v>
      </c>
      <c r="AO163" s="603" t="s">
        <v>17651</v>
      </c>
      <c r="AP163" s="603" t="s">
        <v>17652</v>
      </c>
      <c r="AQ163" s="603" t="s">
        <v>17653</v>
      </c>
      <c r="AR163" s="603" t="s">
        <v>1024</v>
      </c>
      <c r="AS163" s="559">
        <v>1</v>
      </c>
    </row>
    <row r="164" spans="1:45" x14ac:dyDescent="0.2">
      <c r="A164" s="559" t="s">
        <v>5302</v>
      </c>
      <c r="B164" s="559" t="s">
        <v>2697</v>
      </c>
      <c r="C164" s="559" t="s">
        <v>2684</v>
      </c>
      <c r="D164" s="559" t="s">
        <v>23700</v>
      </c>
      <c r="E164" s="559" t="s">
        <v>233</v>
      </c>
      <c r="F164" s="564">
        <v>1</v>
      </c>
      <c r="G164" s="559" t="s">
        <v>193</v>
      </c>
      <c r="H164" s="559" t="s">
        <v>194</v>
      </c>
      <c r="I164" s="559" t="s">
        <v>23708</v>
      </c>
      <c r="J164" s="559" t="s">
        <v>305</v>
      </c>
      <c r="K164" s="559" t="s">
        <v>9309</v>
      </c>
      <c r="L164" s="559" t="s">
        <v>6955</v>
      </c>
      <c r="M164" s="559"/>
      <c r="N164" s="559" t="s">
        <v>23787</v>
      </c>
      <c r="O164" s="559" t="s">
        <v>6306</v>
      </c>
      <c r="P164" s="559" t="s">
        <v>23710</v>
      </c>
      <c r="Q164" s="559" t="s">
        <v>23228</v>
      </c>
      <c r="R164" s="559" t="s">
        <v>23139</v>
      </c>
      <c r="S164" s="559" t="s">
        <v>23788</v>
      </c>
      <c r="T164" s="559" t="s">
        <v>23789</v>
      </c>
      <c r="U164" s="559"/>
      <c r="V164" s="559" t="s">
        <v>9753</v>
      </c>
      <c r="W164" s="559" t="s">
        <v>2685</v>
      </c>
      <c r="X164" s="559" t="s">
        <v>194</v>
      </c>
      <c r="Y164" s="559" t="s">
        <v>9300</v>
      </c>
      <c r="Z164" s="559"/>
      <c r="AA164" s="559"/>
      <c r="AB164" s="559" t="s">
        <v>9311</v>
      </c>
      <c r="AC164" s="559"/>
      <c r="AD164" s="559"/>
      <c r="AE164" s="559"/>
      <c r="AF164" s="559"/>
      <c r="AG164" s="559"/>
      <c r="AH164" s="559" t="s">
        <v>4714</v>
      </c>
      <c r="AI164" s="559" t="s">
        <v>2697</v>
      </c>
      <c r="AJ164" s="601" t="str">
        <f t="shared" si="4"/>
        <v>324002</v>
      </c>
      <c r="AK164" s="601">
        <v>1</v>
      </c>
      <c r="AL164" s="601">
        <f t="shared" si="5"/>
        <v>1</v>
      </c>
      <c r="AM164" s="601">
        <v>1</v>
      </c>
      <c r="AN164" s="603" t="s">
        <v>17650</v>
      </c>
      <c r="AO164" s="603" t="s">
        <v>17651</v>
      </c>
      <c r="AP164" s="603" t="s">
        <v>17652</v>
      </c>
      <c r="AQ164" s="603" t="s">
        <v>17653</v>
      </c>
      <c r="AR164" s="603" t="s">
        <v>1024</v>
      </c>
      <c r="AS164" s="559">
        <v>1</v>
      </c>
    </row>
    <row r="165" spans="1:45" x14ac:dyDescent="0.2">
      <c r="A165" s="559" t="s">
        <v>5986</v>
      </c>
      <c r="B165" s="559" t="s">
        <v>2770</v>
      </c>
      <c r="C165" s="559" t="s">
        <v>27</v>
      </c>
      <c r="D165" s="559" t="s">
        <v>23700</v>
      </c>
      <c r="E165" s="559" t="s">
        <v>233</v>
      </c>
      <c r="F165" s="564">
        <v>1</v>
      </c>
      <c r="G165" s="559" t="s">
        <v>193</v>
      </c>
      <c r="H165" s="559" t="s">
        <v>194</v>
      </c>
      <c r="I165" s="559" t="s">
        <v>23158</v>
      </c>
      <c r="J165" s="559" t="s">
        <v>210</v>
      </c>
      <c r="K165" s="559" t="s">
        <v>9309</v>
      </c>
      <c r="L165" s="559" t="s">
        <v>6955</v>
      </c>
      <c r="M165" s="559"/>
      <c r="N165" s="559" t="s">
        <v>23790</v>
      </c>
      <c r="O165" s="559" t="s">
        <v>6306</v>
      </c>
      <c r="P165" s="559" t="s">
        <v>23710</v>
      </c>
      <c r="Q165" s="559" t="s">
        <v>23228</v>
      </c>
      <c r="R165" s="559" t="s">
        <v>23266</v>
      </c>
      <c r="S165" s="559" t="s">
        <v>23791</v>
      </c>
      <c r="T165" s="559" t="s">
        <v>23792</v>
      </c>
      <c r="U165" s="559"/>
      <c r="V165" s="559" t="s">
        <v>9334</v>
      </c>
      <c r="W165" s="559" t="s">
        <v>440</v>
      </c>
      <c r="X165" s="559" t="s">
        <v>194</v>
      </c>
      <c r="Y165" s="559" t="s">
        <v>9300</v>
      </c>
      <c r="Z165" s="559"/>
      <c r="AA165" s="559"/>
      <c r="AB165" s="559" t="s">
        <v>9311</v>
      </c>
      <c r="AC165" s="559"/>
      <c r="AD165" s="559"/>
      <c r="AE165" s="559"/>
      <c r="AF165" s="559"/>
      <c r="AG165" s="559"/>
      <c r="AH165" s="559" t="s">
        <v>4714</v>
      </c>
      <c r="AI165" s="559" t="s">
        <v>2770</v>
      </c>
      <c r="AJ165" s="601" t="str">
        <f t="shared" si="4"/>
        <v>242307</v>
      </c>
      <c r="AK165" s="601">
        <v>1</v>
      </c>
      <c r="AL165" s="601">
        <f t="shared" si="5"/>
        <v>1</v>
      </c>
      <c r="AM165" s="601">
        <v>1</v>
      </c>
      <c r="AN165" s="603" t="s">
        <v>17650</v>
      </c>
      <c r="AO165" s="603" t="s">
        <v>17651</v>
      </c>
      <c r="AP165" s="603" t="s">
        <v>17652</v>
      </c>
      <c r="AQ165" s="603" t="s">
        <v>17653</v>
      </c>
      <c r="AR165" s="603" t="s">
        <v>1024</v>
      </c>
      <c r="AS165" s="559">
        <v>1</v>
      </c>
    </row>
    <row r="166" spans="1:45" x14ac:dyDescent="0.2">
      <c r="A166" s="559" t="s">
        <v>2129</v>
      </c>
      <c r="B166" s="559" t="s">
        <v>2124</v>
      </c>
      <c r="C166" s="559" t="s">
        <v>13</v>
      </c>
      <c r="D166" s="559" t="s">
        <v>23700</v>
      </c>
      <c r="E166" s="559" t="s">
        <v>233</v>
      </c>
      <c r="F166" s="564">
        <v>1</v>
      </c>
      <c r="G166" s="559" t="s">
        <v>193</v>
      </c>
      <c r="H166" s="559" t="s">
        <v>194</v>
      </c>
      <c r="I166" s="559" t="s">
        <v>23307</v>
      </c>
      <c r="J166" s="559" t="s">
        <v>2131</v>
      </c>
      <c r="K166" s="559" t="s">
        <v>9309</v>
      </c>
      <c r="L166" s="559" t="s">
        <v>6955</v>
      </c>
      <c r="M166" s="559"/>
      <c r="N166" s="559" t="s">
        <v>23793</v>
      </c>
      <c r="O166" s="559" t="s">
        <v>8003</v>
      </c>
      <c r="P166" s="559" t="s">
        <v>23710</v>
      </c>
      <c r="Q166" s="559" t="s">
        <v>23228</v>
      </c>
      <c r="R166" s="559" t="s">
        <v>23139</v>
      </c>
      <c r="S166" s="559" t="s">
        <v>23794</v>
      </c>
      <c r="T166" s="559" t="s">
        <v>23795</v>
      </c>
      <c r="U166" s="559"/>
      <c r="V166" s="559" t="s">
        <v>11154</v>
      </c>
      <c r="W166" s="559" t="s">
        <v>2125</v>
      </c>
      <c r="X166" s="559" t="s">
        <v>194</v>
      </c>
      <c r="Y166" s="559" t="s">
        <v>9300</v>
      </c>
      <c r="Z166" s="559"/>
      <c r="AA166" s="559"/>
      <c r="AB166" s="559" t="s">
        <v>9311</v>
      </c>
      <c r="AC166" s="559"/>
      <c r="AD166" s="559"/>
      <c r="AE166" s="559"/>
      <c r="AF166" s="559"/>
      <c r="AG166" s="559"/>
      <c r="AH166" s="559" t="s">
        <v>4714</v>
      </c>
      <c r="AI166" s="559" t="s">
        <v>2124</v>
      </c>
      <c r="AJ166" s="601" t="str">
        <f t="shared" si="4"/>
        <v>225101</v>
      </c>
      <c r="AK166" s="601">
        <v>1</v>
      </c>
      <c r="AL166" s="601">
        <f t="shared" si="5"/>
        <v>1</v>
      </c>
      <c r="AM166" s="601">
        <v>1</v>
      </c>
      <c r="AN166" s="603" t="s">
        <v>17650</v>
      </c>
      <c r="AO166" s="603" t="s">
        <v>17651</v>
      </c>
      <c r="AP166" s="603" t="s">
        <v>17652</v>
      </c>
      <c r="AQ166" s="603" t="s">
        <v>17653</v>
      </c>
      <c r="AR166" s="603" t="s">
        <v>1024</v>
      </c>
      <c r="AS166" s="559">
        <v>1</v>
      </c>
    </row>
    <row r="167" spans="1:45" x14ac:dyDescent="0.2">
      <c r="A167" s="559" t="s">
        <v>2129</v>
      </c>
      <c r="B167" s="559" t="s">
        <v>2124</v>
      </c>
      <c r="C167" s="559" t="s">
        <v>13</v>
      </c>
      <c r="D167" s="559" t="s">
        <v>23700</v>
      </c>
      <c r="E167" s="559" t="s">
        <v>233</v>
      </c>
      <c r="F167" s="564">
        <v>1</v>
      </c>
      <c r="G167" s="559" t="s">
        <v>193</v>
      </c>
      <c r="H167" s="559" t="s">
        <v>194</v>
      </c>
      <c r="I167" s="559" t="s">
        <v>23307</v>
      </c>
      <c r="J167" s="559" t="s">
        <v>2131</v>
      </c>
      <c r="K167" s="559" t="s">
        <v>9309</v>
      </c>
      <c r="L167" s="559" t="s">
        <v>6955</v>
      </c>
      <c r="M167" s="559"/>
      <c r="N167" s="559" t="s">
        <v>23796</v>
      </c>
      <c r="O167" s="559" t="s">
        <v>8003</v>
      </c>
      <c r="P167" s="559" t="s">
        <v>23710</v>
      </c>
      <c r="Q167" s="559" t="s">
        <v>23228</v>
      </c>
      <c r="R167" s="559" t="s">
        <v>23139</v>
      </c>
      <c r="S167" s="559" t="s">
        <v>23797</v>
      </c>
      <c r="T167" s="559" t="s">
        <v>23798</v>
      </c>
      <c r="U167" s="559"/>
      <c r="V167" s="559" t="s">
        <v>11154</v>
      </c>
      <c r="W167" s="559" t="s">
        <v>2125</v>
      </c>
      <c r="X167" s="559" t="s">
        <v>194</v>
      </c>
      <c r="Y167" s="559" t="s">
        <v>9300</v>
      </c>
      <c r="Z167" s="559"/>
      <c r="AA167" s="559"/>
      <c r="AB167" s="559" t="s">
        <v>9311</v>
      </c>
      <c r="AC167" s="559"/>
      <c r="AD167" s="559"/>
      <c r="AE167" s="559"/>
      <c r="AF167" s="559"/>
      <c r="AG167" s="559"/>
      <c r="AH167" s="559" t="s">
        <v>4714</v>
      </c>
      <c r="AI167" s="559" t="s">
        <v>2124</v>
      </c>
      <c r="AJ167" s="601" t="str">
        <f t="shared" si="4"/>
        <v>225101</v>
      </c>
      <c r="AK167" s="601">
        <v>1</v>
      </c>
      <c r="AL167" s="601">
        <f t="shared" si="5"/>
        <v>1</v>
      </c>
      <c r="AM167" s="601">
        <v>1</v>
      </c>
      <c r="AN167" s="603" t="s">
        <v>17650</v>
      </c>
      <c r="AO167" s="603" t="s">
        <v>17651</v>
      </c>
      <c r="AP167" s="603" t="s">
        <v>17652</v>
      </c>
      <c r="AQ167" s="603" t="s">
        <v>17653</v>
      </c>
      <c r="AR167" s="603" t="s">
        <v>1024</v>
      </c>
      <c r="AS167" s="559">
        <v>1</v>
      </c>
    </row>
    <row r="168" spans="1:45" x14ac:dyDescent="0.2">
      <c r="A168" s="559" t="s">
        <v>15464</v>
      </c>
      <c r="B168" s="559" t="s">
        <v>22217</v>
      </c>
      <c r="C168" s="559" t="s">
        <v>468</v>
      </c>
      <c r="D168" s="559" t="s">
        <v>23700</v>
      </c>
      <c r="E168" s="559" t="s">
        <v>217</v>
      </c>
      <c r="F168" s="564">
        <v>1</v>
      </c>
      <c r="G168" s="559" t="s">
        <v>193</v>
      </c>
      <c r="H168" s="559" t="s">
        <v>194</v>
      </c>
      <c r="I168" s="559" t="s">
        <v>23164</v>
      </c>
      <c r="J168" s="559" t="s">
        <v>210</v>
      </c>
      <c r="K168" s="559" t="s">
        <v>9309</v>
      </c>
      <c r="L168" s="559" t="s">
        <v>6955</v>
      </c>
      <c r="M168" s="559"/>
      <c r="N168" s="559" t="s">
        <v>22238</v>
      </c>
      <c r="O168" s="559" t="s">
        <v>6251</v>
      </c>
      <c r="P168" s="559" t="s">
        <v>23799</v>
      </c>
      <c r="Q168" s="559" t="s">
        <v>23800</v>
      </c>
      <c r="R168" s="559" t="s">
        <v>23198</v>
      </c>
      <c r="S168" s="559" t="s">
        <v>23801</v>
      </c>
      <c r="T168" s="559" t="s">
        <v>23802</v>
      </c>
      <c r="U168" s="559"/>
      <c r="V168" s="559" t="s">
        <v>9334</v>
      </c>
      <c r="W168" s="559" t="s">
        <v>469</v>
      </c>
      <c r="X168" s="559" t="s">
        <v>194</v>
      </c>
      <c r="Y168" s="559" t="s">
        <v>9300</v>
      </c>
      <c r="Z168" s="559"/>
      <c r="AA168" s="559"/>
      <c r="AB168" s="559" t="s">
        <v>9311</v>
      </c>
      <c r="AC168" s="559"/>
      <c r="AD168" s="559"/>
      <c r="AE168" s="559"/>
      <c r="AF168" s="559"/>
      <c r="AG168" s="559"/>
      <c r="AH168" s="559" t="s">
        <v>4714</v>
      </c>
      <c r="AI168" s="559" t="s">
        <v>9433</v>
      </c>
      <c r="AJ168" s="601" t="str">
        <f t="shared" si="4"/>
        <v>243303</v>
      </c>
      <c r="AK168" s="601">
        <v>1</v>
      </c>
      <c r="AL168" s="601">
        <f t="shared" si="5"/>
        <v>1</v>
      </c>
      <c r="AM168" s="601">
        <v>1</v>
      </c>
      <c r="AN168" s="603" t="s">
        <v>17650</v>
      </c>
      <c r="AO168" s="603" t="s">
        <v>17651</v>
      </c>
      <c r="AP168" s="603" t="s">
        <v>17652</v>
      </c>
      <c r="AQ168" s="603" t="s">
        <v>17653</v>
      </c>
      <c r="AR168" s="603" t="s">
        <v>1024</v>
      </c>
      <c r="AS168" s="559">
        <v>1</v>
      </c>
    </row>
    <row r="169" spans="1:45" x14ac:dyDescent="0.2">
      <c r="A169" s="559" t="s">
        <v>4022</v>
      </c>
      <c r="B169" s="559" t="s">
        <v>7827</v>
      </c>
      <c r="C169" s="559" t="s">
        <v>542</v>
      </c>
      <c r="D169" s="559" t="s">
        <v>23700</v>
      </c>
      <c r="E169" s="559" t="s">
        <v>217</v>
      </c>
      <c r="F169" s="564">
        <v>1</v>
      </c>
      <c r="G169" s="559" t="s">
        <v>194</v>
      </c>
      <c r="H169" s="559" t="s">
        <v>193</v>
      </c>
      <c r="I169" s="559" t="s">
        <v>23186</v>
      </c>
      <c r="J169" s="559" t="s">
        <v>16331</v>
      </c>
      <c r="K169" s="559" t="s">
        <v>9309</v>
      </c>
      <c r="L169" s="559" t="s">
        <v>6955</v>
      </c>
      <c r="M169" s="559"/>
      <c r="N169" s="559" t="s">
        <v>23803</v>
      </c>
      <c r="O169" s="559" t="s">
        <v>6286</v>
      </c>
      <c r="P169" s="559" t="s">
        <v>23799</v>
      </c>
      <c r="Q169" s="559" t="s">
        <v>23228</v>
      </c>
      <c r="R169" s="559" t="s">
        <v>23804</v>
      </c>
      <c r="S169" s="559" t="s">
        <v>23805</v>
      </c>
      <c r="T169" s="559" t="s">
        <v>23806</v>
      </c>
      <c r="U169" s="559"/>
      <c r="V169" s="603"/>
      <c r="W169" s="559" t="s">
        <v>543</v>
      </c>
      <c r="X169" s="559" t="s">
        <v>193</v>
      </c>
      <c r="Y169" s="559" t="s">
        <v>9310</v>
      </c>
      <c r="Z169" s="559"/>
      <c r="AA169" s="559"/>
      <c r="AB169" s="559" t="s">
        <v>9311</v>
      </c>
      <c r="AC169" s="559"/>
      <c r="AD169" s="559"/>
      <c r="AE169" s="559"/>
      <c r="AF169" s="559"/>
      <c r="AG169" s="559"/>
      <c r="AH169" s="559" t="s">
        <v>4714</v>
      </c>
      <c r="AI169" s="559" t="s">
        <v>9433</v>
      </c>
      <c r="AJ169" s="601" t="str">
        <f t="shared" si="4"/>
        <v>264304</v>
      </c>
      <c r="AK169" s="601">
        <v>1</v>
      </c>
      <c r="AL169" s="601">
        <f t="shared" si="5"/>
        <v>1</v>
      </c>
      <c r="AM169" s="601">
        <v>1</v>
      </c>
      <c r="AN169" s="603" t="s">
        <v>17650</v>
      </c>
      <c r="AO169" s="603" t="s">
        <v>17651</v>
      </c>
      <c r="AP169" s="603" t="s">
        <v>17652</v>
      </c>
      <c r="AQ169" s="603" t="s">
        <v>17653</v>
      </c>
      <c r="AR169" s="603" t="s">
        <v>1024</v>
      </c>
      <c r="AS169" s="559">
        <v>1</v>
      </c>
    </row>
    <row r="170" spans="1:45" x14ac:dyDescent="0.2">
      <c r="A170" s="559" t="s">
        <v>4022</v>
      </c>
      <c r="B170" s="559" t="s">
        <v>23046</v>
      </c>
      <c r="C170" s="559" t="s">
        <v>542</v>
      </c>
      <c r="D170" s="559" t="s">
        <v>23700</v>
      </c>
      <c r="E170" s="559" t="s">
        <v>217</v>
      </c>
      <c r="F170" s="564">
        <v>1</v>
      </c>
      <c r="G170" s="559" t="s">
        <v>194</v>
      </c>
      <c r="H170" s="559" t="s">
        <v>193</v>
      </c>
      <c r="I170" s="559" t="s">
        <v>23164</v>
      </c>
      <c r="J170" s="559" t="s">
        <v>15466</v>
      </c>
      <c r="K170" s="559" t="s">
        <v>9309</v>
      </c>
      <c r="L170" s="559" t="s">
        <v>6955</v>
      </c>
      <c r="M170" s="559"/>
      <c r="N170" s="559" t="s">
        <v>23047</v>
      </c>
      <c r="O170" s="559" t="s">
        <v>6286</v>
      </c>
      <c r="P170" s="559" t="s">
        <v>23799</v>
      </c>
      <c r="Q170" s="559" t="s">
        <v>23800</v>
      </c>
      <c r="R170" s="559" t="s">
        <v>23198</v>
      </c>
      <c r="S170" s="559" t="s">
        <v>23807</v>
      </c>
      <c r="T170" s="559" t="s">
        <v>23808</v>
      </c>
      <c r="U170" s="559"/>
      <c r="V170" s="603"/>
      <c r="W170" s="559" t="s">
        <v>543</v>
      </c>
      <c r="X170" s="559" t="s">
        <v>193</v>
      </c>
      <c r="Y170" s="559" t="s">
        <v>9310</v>
      </c>
      <c r="Z170" s="559"/>
      <c r="AA170" s="559"/>
      <c r="AB170" s="559" t="s">
        <v>9311</v>
      </c>
      <c r="AC170" s="559"/>
      <c r="AD170" s="559"/>
      <c r="AE170" s="559"/>
      <c r="AF170" s="559"/>
      <c r="AG170" s="559"/>
      <c r="AH170" s="559" t="s">
        <v>4714</v>
      </c>
      <c r="AI170" s="559" t="s">
        <v>9433</v>
      </c>
      <c r="AJ170" s="601" t="str">
        <f t="shared" si="4"/>
        <v>264304</v>
      </c>
      <c r="AK170" s="601">
        <v>1</v>
      </c>
      <c r="AL170" s="601">
        <f t="shared" si="5"/>
        <v>1</v>
      </c>
      <c r="AM170" s="601">
        <v>1</v>
      </c>
      <c r="AN170" s="603" t="s">
        <v>17650</v>
      </c>
      <c r="AO170" s="603" t="s">
        <v>17651</v>
      </c>
      <c r="AP170" s="603" t="s">
        <v>17652</v>
      </c>
      <c r="AQ170" s="603" t="s">
        <v>17653</v>
      </c>
      <c r="AR170" s="603" t="s">
        <v>1024</v>
      </c>
      <c r="AS170" s="559">
        <v>1</v>
      </c>
    </row>
    <row r="171" spans="1:45" x14ac:dyDescent="0.2">
      <c r="A171" s="559" t="s">
        <v>9886</v>
      </c>
      <c r="B171" s="559" t="s">
        <v>23209</v>
      </c>
      <c r="C171" s="559" t="s">
        <v>8136</v>
      </c>
      <c r="D171" s="559" t="s">
        <v>23700</v>
      </c>
      <c r="E171" s="559" t="s">
        <v>217</v>
      </c>
      <c r="F171" s="564">
        <v>1</v>
      </c>
      <c r="G171" s="559" t="s">
        <v>194</v>
      </c>
      <c r="H171" s="559" t="s">
        <v>193</v>
      </c>
      <c r="I171" s="559" t="s">
        <v>23186</v>
      </c>
      <c r="J171" s="559" t="s">
        <v>23210</v>
      </c>
      <c r="K171" s="559" t="s">
        <v>9309</v>
      </c>
      <c r="L171" s="559" t="s">
        <v>6955</v>
      </c>
      <c r="M171" s="559"/>
      <c r="N171" s="559" t="s">
        <v>23211</v>
      </c>
      <c r="O171" s="559" t="s">
        <v>6363</v>
      </c>
      <c r="P171" s="559" t="s">
        <v>23799</v>
      </c>
      <c r="Q171" s="559" t="s">
        <v>23212</v>
      </c>
      <c r="R171" s="559" t="s">
        <v>23213</v>
      </c>
      <c r="S171" s="559" t="s">
        <v>23809</v>
      </c>
      <c r="T171" s="559" t="s">
        <v>23810</v>
      </c>
      <c r="U171" s="559"/>
      <c r="V171" s="603"/>
      <c r="W171" s="559" t="s">
        <v>8138</v>
      </c>
      <c r="X171" s="559" t="s">
        <v>194</v>
      </c>
      <c r="Y171" s="559" t="s">
        <v>9946</v>
      </c>
      <c r="Z171" s="559"/>
      <c r="AA171" s="559"/>
      <c r="AB171" s="559" t="s">
        <v>9311</v>
      </c>
      <c r="AC171" s="559"/>
      <c r="AD171" s="559"/>
      <c r="AE171" s="559"/>
      <c r="AF171" s="559"/>
      <c r="AG171" s="559"/>
      <c r="AH171" s="559" t="s">
        <v>4714</v>
      </c>
      <c r="AI171" s="559" t="s">
        <v>9433</v>
      </c>
      <c r="AJ171" s="601" t="str">
        <f t="shared" si="4"/>
        <v>821905</v>
      </c>
      <c r="AK171" s="601">
        <v>1</v>
      </c>
      <c r="AL171" s="601">
        <f t="shared" si="5"/>
        <v>1</v>
      </c>
      <c r="AM171" s="601">
        <v>1</v>
      </c>
      <c r="AN171" s="603" t="s">
        <v>17650</v>
      </c>
      <c r="AO171" s="603" t="s">
        <v>17651</v>
      </c>
      <c r="AP171" s="603" t="s">
        <v>17652</v>
      </c>
      <c r="AQ171" s="603" t="s">
        <v>17653</v>
      </c>
      <c r="AR171" s="603" t="s">
        <v>1024</v>
      </c>
      <c r="AS171" s="559">
        <v>1</v>
      </c>
    </row>
    <row r="172" spans="1:45" x14ac:dyDescent="0.2">
      <c r="A172" s="559" t="s">
        <v>9886</v>
      </c>
      <c r="B172" s="559" t="s">
        <v>23209</v>
      </c>
      <c r="C172" s="559" t="s">
        <v>8136</v>
      </c>
      <c r="D172" s="559" t="s">
        <v>23700</v>
      </c>
      <c r="E172" s="559" t="s">
        <v>217</v>
      </c>
      <c r="F172" s="564">
        <v>1</v>
      </c>
      <c r="G172" s="559" t="s">
        <v>194</v>
      </c>
      <c r="H172" s="559" t="s">
        <v>193</v>
      </c>
      <c r="I172" s="559" t="s">
        <v>23186</v>
      </c>
      <c r="J172" s="559" t="s">
        <v>23216</v>
      </c>
      <c r="K172" s="559" t="s">
        <v>9309</v>
      </c>
      <c r="L172" s="559" t="s">
        <v>6955</v>
      </c>
      <c r="M172" s="559"/>
      <c r="N172" s="559" t="s">
        <v>23217</v>
      </c>
      <c r="O172" s="559" t="s">
        <v>6363</v>
      </c>
      <c r="P172" s="559" t="s">
        <v>23799</v>
      </c>
      <c r="Q172" s="559" t="s">
        <v>23212</v>
      </c>
      <c r="R172" s="559" t="s">
        <v>23213</v>
      </c>
      <c r="S172" s="559" t="s">
        <v>23811</v>
      </c>
      <c r="T172" s="559" t="s">
        <v>23812</v>
      </c>
      <c r="U172" s="559"/>
      <c r="V172" s="603"/>
      <c r="W172" s="559" t="s">
        <v>8138</v>
      </c>
      <c r="X172" s="559" t="s">
        <v>194</v>
      </c>
      <c r="Y172" s="559" t="s">
        <v>9946</v>
      </c>
      <c r="Z172" s="559"/>
      <c r="AA172" s="559"/>
      <c r="AB172" s="559" t="s">
        <v>9311</v>
      </c>
      <c r="AC172" s="559"/>
      <c r="AD172" s="559"/>
      <c r="AE172" s="559"/>
      <c r="AF172" s="559"/>
      <c r="AG172" s="559"/>
      <c r="AH172" s="559" t="s">
        <v>4714</v>
      </c>
      <c r="AI172" s="559" t="s">
        <v>9433</v>
      </c>
      <c r="AJ172" s="601" t="str">
        <f t="shared" si="4"/>
        <v>821905</v>
      </c>
      <c r="AK172" s="601">
        <v>1</v>
      </c>
      <c r="AL172" s="601">
        <f t="shared" si="5"/>
        <v>1</v>
      </c>
      <c r="AM172" s="601">
        <v>1</v>
      </c>
      <c r="AN172" s="603" t="s">
        <v>17650</v>
      </c>
      <c r="AO172" s="603" t="s">
        <v>17651</v>
      </c>
      <c r="AP172" s="603" t="s">
        <v>17652</v>
      </c>
      <c r="AQ172" s="603" t="s">
        <v>17653</v>
      </c>
      <c r="AR172" s="603" t="s">
        <v>1024</v>
      </c>
      <c r="AS172" s="559">
        <v>1</v>
      </c>
    </row>
    <row r="173" spans="1:45" x14ac:dyDescent="0.2">
      <c r="A173" s="559" t="s">
        <v>9886</v>
      </c>
      <c r="B173" s="559" t="s">
        <v>23220</v>
      </c>
      <c r="C173" s="559" t="s">
        <v>62</v>
      </c>
      <c r="D173" s="559" t="s">
        <v>23700</v>
      </c>
      <c r="E173" s="559" t="s">
        <v>217</v>
      </c>
      <c r="F173" s="564">
        <v>1</v>
      </c>
      <c r="G173" s="559" t="s">
        <v>194</v>
      </c>
      <c r="H173" s="559" t="s">
        <v>193</v>
      </c>
      <c r="I173" s="559" t="s">
        <v>23158</v>
      </c>
      <c r="J173" s="559" t="s">
        <v>6080</v>
      </c>
      <c r="K173" s="559" t="s">
        <v>9309</v>
      </c>
      <c r="L173" s="559" t="s">
        <v>6955</v>
      </c>
      <c r="M173" s="559"/>
      <c r="N173" s="559" t="s">
        <v>23221</v>
      </c>
      <c r="O173" s="559" t="s">
        <v>6363</v>
      </c>
      <c r="P173" s="559" t="s">
        <v>23799</v>
      </c>
      <c r="Q173" s="559" t="s">
        <v>23222</v>
      </c>
      <c r="R173" s="559" t="s">
        <v>23155</v>
      </c>
      <c r="S173" s="559" t="s">
        <v>23813</v>
      </c>
      <c r="T173" s="559" t="s">
        <v>23814</v>
      </c>
      <c r="U173" s="559"/>
      <c r="V173" s="603"/>
      <c r="W173" s="559" t="s">
        <v>601</v>
      </c>
      <c r="X173" s="559" t="s">
        <v>194</v>
      </c>
      <c r="Y173" s="559" t="s">
        <v>9946</v>
      </c>
      <c r="Z173" s="559"/>
      <c r="AA173" s="559"/>
      <c r="AB173" s="559" t="s">
        <v>9311</v>
      </c>
      <c r="AC173" s="559"/>
      <c r="AD173" s="559"/>
      <c r="AE173" s="559"/>
      <c r="AF173" s="559"/>
      <c r="AG173" s="559"/>
      <c r="AH173" s="559" t="s">
        <v>4714</v>
      </c>
      <c r="AI173" s="559" t="s">
        <v>9433</v>
      </c>
      <c r="AJ173" s="601" t="str">
        <f t="shared" si="4"/>
        <v>313904</v>
      </c>
      <c r="AK173" s="601">
        <v>1</v>
      </c>
      <c r="AL173" s="601">
        <f t="shared" si="5"/>
        <v>1</v>
      </c>
      <c r="AM173" s="601">
        <v>1</v>
      </c>
      <c r="AN173" s="603" t="s">
        <v>17650</v>
      </c>
      <c r="AO173" s="603" t="s">
        <v>17651</v>
      </c>
      <c r="AP173" s="603" t="s">
        <v>17652</v>
      </c>
      <c r="AQ173" s="603" t="s">
        <v>17653</v>
      </c>
      <c r="AR173" s="603" t="s">
        <v>1024</v>
      </c>
      <c r="AS173" s="559">
        <v>1</v>
      </c>
    </row>
    <row r="174" spans="1:45" x14ac:dyDescent="0.2">
      <c r="A174" s="559" t="s">
        <v>9886</v>
      </c>
      <c r="B174" s="559" t="s">
        <v>23209</v>
      </c>
      <c r="C174" s="559" t="s">
        <v>8136</v>
      </c>
      <c r="D174" s="559" t="s">
        <v>23700</v>
      </c>
      <c r="E174" s="559" t="s">
        <v>217</v>
      </c>
      <c r="F174" s="564">
        <v>1</v>
      </c>
      <c r="G174" s="559" t="s">
        <v>194</v>
      </c>
      <c r="H174" s="559" t="s">
        <v>193</v>
      </c>
      <c r="I174" s="559" t="s">
        <v>23186</v>
      </c>
      <c r="J174" s="559" t="s">
        <v>23205</v>
      </c>
      <c r="K174" s="559" t="s">
        <v>9309</v>
      </c>
      <c r="L174" s="559" t="s">
        <v>6955</v>
      </c>
      <c r="M174" s="559"/>
      <c r="N174" s="559" t="s">
        <v>23235</v>
      </c>
      <c r="O174" s="559" t="s">
        <v>6363</v>
      </c>
      <c r="P174" s="559" t="s">
        <v>23799</v>
      </c>
      <c r="Q174" s="559" t="s">
        <v>23212</v>
      </c>
      <c r="R174" s="559" t="s">
        <v>23213</v>
      </c>
      <c r="S174" s="559" t="s">
        <v>23815</v>
      </c>
      <c r="T174" s="559" t="s">
        <v>23816</v>
      </c>
      <c r="U174" s="559"/>
      <c r="V174" s="603"/>
      <c r="W174" s="559" t="s">
        <v>8138</v>
      </c>
      <c r="X174" s="559" t="s">
        <v>194</v>
      </c>
      <c r="Y174" s="559" t="s">
        <v>9946</v>
      </c>
      <c r="Z174" s="559"/>
      <c r="AA174" s="559"/>
      <c r="AB174" s="559" t="s">
        <v>9311</v>
      </c>
      <c r="AC174" s="559"/>
      <c r="AD174" s="559"/>
      <c r="AE174" s="559"/>
      <c r="AF174" s="559"/>
      <c r="AG174" s="559"/>
      <c r="AH174" s="559" t="s">
        <v>4714</v>
      </c>
      <c r="AI174" s="559" t="s">
        <v>9433</v>
      </c>
      <c r="AJ174" s="601" t="str">
        <f t="shared" si="4"/>
        <v>821905</v>
      </c>
      <c r="AK174" s="601">
        <v>1</v>
      </c>
      <c r="AL174" s="601">
        <f t="shared" si="5"/>
        <v>1</v>
      </c>
      <c r="AM174" s="601">
        <v>1</v>
      </c>
      <c r="AN174" s="603" t="s">
        <v>17650</v>
      </c>
      <c r="AO174" s="603" t="s">
        <v>17651</v>
      </c>
      <c r="AP174" s="603" t="s">
        <v>17652</v>
      </c>
      <c r="AQ174" s="603" t="s">
        <v>17653</v>
      </c>
      <c r="AR174" s="603" t="s">
        <v>1024</v>
      </c>
      <c r="AS174" s="559">
        <v>1</v>
      </c>
    </row>
    <row r="175" spans="1:45" x14ac:dyDescent="0.2">
      <c r="A175" s="559" t="s">
        <v>258</v>
      </c>
      <c r="B175" s="559" t="s">
        <v>7677</v>
      </c>
      <c r="C175" s="559" t="s">
        <v>778</v>
      </c>
      <c r="D175" s="559" t="s">
        <v>23700</v>
      </c>
      <c r="E175" s="559" t="s">
        <v>217</v>
      </c>
      <c r="F175" s="564">
        <v>1</v>
      </c>
      <c r="G175" s="559" t="s">
        <v>193</v>
      </c>
      <c r="H175" s="559" t="s">
        <v>194</v>
      </c>
      <c r="I175" s="559" t="s">
        <v>23151</v>
      </c>
      <c r="J175" s="559" t="s">
        <v>4751</v>
      </c>
      <c r="K175" s="559" t="s">
        <v>9309</v>
      </c>
      <c r="L175" s="559" t="s">
        <v>6955</v>
      </c>
      <c r="M175" s="559"/>
      <c r="N175" s="559" t="s">
        <v>23238</v>
      </c>
      <c r="O175" s="559" t="s">
        <v>6251</v>
      </c>
      <c r="P175" s="559" t="s">
        <v>23702</v>
      </c>
      <c r="Q175" s="559" t="s">
        <v>23800</v>
      </c>
      <c r="R175" s="559" t="s">
        <v>23160</v>
      </c>
      <c r="S175" s="559" t="s">
        <v>23817</v>
      </c>
      <c r="T175" s="559" t="s">
        <v>23818</v>
      </c>
      <c r="U175" s="559"/>
      <c r="V175" s="559" t="s">
        <v>9472</v>
      </c>
      <c r="W175" s="559" t="s">
        <v>779</v>
      </c>
      <c r="X175" s="559" t="s">
        <v>194</v>
      </c>
      <c r="Y175" s="559" t="s">
        <v>9300</v>
      </c>
      <c r="Z175" s="559"/>
      <c r="AA175" s="559"/>
      <c r="AB175" s="559" t="s">
        <v>9311</v>
      </c>
      <c r="AC175" s="559"/>
      <c r="AD175" s="559"/>
      <c r="AE175" s="559"/>
      <c r="AF175" s="559"/>
      <c r="AG175" s="559"/>
      <c r="AH175" s="559" t="s">
        <v>4714</v>
      </c>
      <c r="AI175" s="559" t="s">
        <v>778</v>
      </c>
      <c r="AJ175" s="601" t="str">
        <f t="shared" si="4"/>
        <v>524902</v>
      </c>
      <c r="AK175" s="601">
        <v>1</v>
      </c>
      <c r="AL175" s="601">
        <f t="shared" si="5"/>
        <v>1</v>
      </c>
      <c r="AM175" s="601">
        <v>1</v>
      </c>
      <c r="AN175" s="603" t="s">
        <v>17650</v>
      </c>
      <c r="AO175" s="603" t="s">
        <v>17651</v>
      </c>
      <c r="AP175" s="603" t="s">
        <v>17652</v>
      </c>
      <c r="AQ175" s="603" t="s">
        <v>17653</v>
      </c>
      <c r="AR175" s="603" t="s">
        <v>1024</v>
      </c>
      <c r="AS175" s="559">
        <v>1</v>
      </c>
    </row>
    <row r="176" spans="1:45" x14ac:dyDescent="0.2">
      <c r="A176" s="559" t="s">
        <v>9886</v>
      </c>
      <c r="B176" s="559" t="s">
        <v>23209</v>
      </c>
      <c r="C176" s="559" t="s">
        <v>8136</v>
      </c>
      <c r="D176" s="559" t="s">
        <v>23700</v>
      </c>
      <c r="E176" s="559" t="s">
        <v>217</v>
      </c>
      <c r="F176" s="564">
        <v>1</v>
      </c>
      <c r="G176" s="559" t="s">
        <v>194</v>
      </c>
      <c r="H176" s="559" t="s">
        <v>193</v>
      </c>
      <c r="I176" s="559" t="s">
        <v>23186</v>
      </c>
      <c r="J176" s="559" t="s">
        <v>23249</v>
      </c>
      <c r="K176" s="559" t="s">
        <v>9309</v>
      </c>
      <c r="L176" s="559" t="s">
        <v>6955</v>
      </c>
      <c r="M176" s="559"/>
      <c r="N176" s="559" t="s">
        <v>23250</v>
      </c>
      <c r="O176" s="559" t="s">
        <v>6363</v>
      </c>
      <c r="P176" s="559" t="s">
        <v>23799</v>
      </c>
      <c r="Q176" s="559" t="s">
        <v>23212</v>
      </c>
      <c r="R176" s="559" t="s">
        <v>23213</v>
      </c>
      <c r="S176" s="559" t="s">
        <v>23819</v>
      </c>
      <c r="T176" s="559" t="s">
        <v>23820</v>
      </c>
      <c r="U176" s="559"/>
      <c r="V176" s="603"/>
      <c r="W176" s="559" t="s">
        <v>8138</v>
      </c>
      <c r="X176" s="559" t="s">
        <v>194</v>
      </c>
      <c r="Y176" s="559" t="s">
        <v>9946</v>
      </c>
      <c r="Z176" s="559"/>
      <c r="AA176" s="559"/>
      <c r="AB176" s="559" t="s">
        <v>9311</v>
      </c>
      <c r="AC176" s="559"/>
      <c r="AD176" s="559"/>
      <c r="AE176" s="559"/>
      <c r="AF176" s="559"/>
      <c r="AG176" s="559"/>
      <c r="AH176" s="559" t="s">
        <v>4714</v>
      </c>
      <c r="AI176" s="559" t="s">
        <v>9433</v>
      </c>
      <c r="AJ176" s="601" t="str">
        <f t="shared" si="4"/>
        <v>821905</v>
      </c>
      <c r="AK176" s="601">
        <v>1</v>
      </c>
      <c r="AL176" s="601">
        <f t="shared" si="5"/>
        <v>1</v>
      </c>
      <c r="AM176" s="601">
        <v>1</v>
      </c>
      <c r="AN176" s="603" t="s">
        <v>17650</v>
      </c>
      <c r="AO176" s="603" t="s">
        <v>17651</v>
      </c>
      <c r="AP176" s="603" t="s">
        <v>17652</v>
      </c>
      <c r="AQ176" s="603" t="s">
        <v>17653</v>
      </c>
      <c r="AR176" s="603" t="s">
        <v>1024</v>
      </c>
      <c r="AS176" s="559">
        <v>1</v>
      </c>
    </row>
    <row r="177" spans="1:45" x14ac:dyDescent="0.2">
      <c r="A177" s="559" t="s">
        <v>9886</v>
      </c>
      <c r="B177" s="559" t="s">
        <v>23253</v>
      </c>
      <c r="C177" s="559" t="s">
        <v>62</v>
      </c>
      <c r="D177" s="559" t="s">
        <v>23700</v>
      </c>
      <c r="E177" s="559" t="s">
        <v>217</v>
      </c>
      <c r="F177" s="564">
        <v>1</v>
      </c>
      <c r="G177" s="559" t="s">
        <v>194</v>
      </c>
      <c r="H177" s="559" t="s">
        <v>193</v>
      </c>
      <c r="I177" s="559" t="s">
        <v>23186</v>
      </c>
      <c r="J177" s="559" t="s">
        <v>6080</v>
      </c>
      <c r="K177" s="559" t="s">
        <v>9309</v>
      </c>
      <c r="L177" s="559" t="s">
        <v>6955</v>
      </c>
      <c r="M177" s="559"/>
      <c r="N177" s="559" t="s">
        <v>23254</v>
      </c>
      <c r="O177" s="559" t="s">
        <v>6363</v>
      </c>
      <c r="P177" s="559" t="s">
        <v>23799</v>
      </c>
      <c r="Q177" s="559" t="s">
        <v>23255</v>
      </c>
      <c r="R177" s="559" t="s">
        <v>23256</v>
      </c>
      <c r="S177" s="559" t="s">
        <v>23821</v>
      </c>
      <c r="T177" s="559" t="s">
        <v>23822</v>
      </c>
      <c r="U177" s="559"/>
      <c r="V177" s="603"/>
      <c r="W177" s="559" t="s">
        <v>601</v>
      </c>
      <c r="X177" s="559" t="s">
        <v>194</v>
      </c>
      <c r="Y177" s="559" t="s">
        <v>9946</v>
      </c>
      <c r="Z177" s="559"/>
      <c r="AA177" s="559"/>
      <c r="AB177" s="559" t="s">
        <v>9311</v>
      </c>
      <c r="AC177" s="559"/>
      <c r="AD177" s="559"/>
      <c r="AE177" s="559"/>
      <c r="AF177" s="559"/>
      <c r="AG177" s="559"/>
      <c r="AH177" s="559" t="s">
        <v>4714</v>
      </c>
      <c r="AI177" s="559" t="s">
        <v>9433</v>
      </c>
      <c r="AJ177" s="601" t="str">
        <f t="shared" si="4"/>
        <v>313904</v>
      </c>
      <c r="AK177" s="601">
        <v>1</v>
      </c>
      <c r="AL177" s="601">
        <f>F177</f>
        <v>1</v>
      </c>
      <c r="AM177" s="601">
        <v>1</v>
      </c>
      <c r="AN177" s="603" t="s">
        <v>17650</v>
      </c>
      <c r="AO177" s="603" t="s">
        <v>17651</v>
      </c>
      <c r="AP177" s="603" t="s">
        <v>17652</v>
      </c>
      <c r="AQ177" s="603" t="s">
        <v>17653</v>
      </c>
      <c r="AR177" s="603" t="s">
        <v>1024</v>
      </c>
      <c r="AS177" s="559">
        <v>1</v>
      </c>
    </row>
    <row r="178" spans="1:45" x14ac:dyDescent="0.2">
      <c r="A178" s="559" t="s">
        <v>9886</v>
      </c>
      <c r="B178" s="559" t="s">
        <v>23253</v>
      </c>
      <c r="C178" s="559" t="s">
        <v>62</v>
      </c>
      <c r="D178" s="559" t="s">
        <v>23700</v>
      </c>
      <c r="E178" s="559" t="s">
        <v>217</v>
      </c>
      <c r="F178" s="564">
        <v>1</v>
      </c>
      <c r="G178" s="559" t="s">
        <v>194</v>
      </c>
      <c r="H178" s="559" t="s">
        <v>193</v>
      </c>
      <c r="I178" s="559" t="s">
        <v>23186</v>
      </c>
      <c r="J178" s="559" t="s">
        <v>23259</v>
      </c>
      <c r="K178" s="559" t="s">
        <v>9309</v>
      </c>
      <c r="L178" s="559" t="s">
        <v>6955</v>
      </c>
      <c r="M178" s="559"/>
      <c r="N178" s="559" t="s">
        <v>23260</v>
      </c>
      <c r="O178" s="559" t="s">
        <v>6363</v>
      </c>
      <c r="P178" s="559" t="s">
        <v>23799</v>
      </c>
      <c r="Q178" s="559" t="s">
        <v>23255</v>
      </c>
      <c r="R178" s="559" t="s">
        <v>23256</v>
      </c>
      <c r="S178" s="559" t="s">
        <v>23823</v>
      </c>
      <c r="T178" s="559" t="s">
        <v>23824</v>
      </c>
      <c r="U178" s="559"/>
      <c r="V178" s="603"/>
      <c r="W178" s="559" t="s">
        <v>601</v>
      </c>
      <c r="X178" s="559" t="s">
        <v>194</v>
      </c>
      <c r="Y178" s="559" t="s">
        <v>9946</v>
      </c>
      <c r="Z178" s="559"/>
      <c r="AA178" s="559"/>
      <c r="AB178" s="559" t="s">
        <v>9311</v>
      </c>
      <c r="AC178" s="559"/>
      <c r="AD178" s="559"/>
      <c r="AE178" s="559"/>
      <c r="AF178" s="559"/>
      <c r="AG178" s="559"/>
      <c r="AH178" s="559" t="s">
        <v>4714</v>
      </c>
      <c r="AI178" s="559" t="s">
        <v>9433</v>
      </c>
      <c r="AJ178" s="601" t="str">
        <f t="shared" si="4"/>
        <v>313904</v>
      </c>
      <c r="AK178" s="601">
        <v>1</v>
      </c>
      <c r="AL178" s="601">
        <f t="shared" si="5"/>
        <v>1</v>
      </c>
      <c r="AM178" s="601">
        <v>1</v>
      </c>
      <c r="AN178" s="603" t="s">
        <v>17650</v>
      </c>
      <c r="AO178" s="603" t="s">
        <v>17651</v>
      </c>
      <c r="AP178" s="603" t="s">
        <v>17652</v>
      </c>
      <c r="AQ178" s="603" t="s">
        <v>17653</v>
      </c>
      <c r="AR178" s="603" t="s">
        <v>1024</v>
      </c>
      <c r="AS178" s="559">
        <v>1</v>
      </c>
    </row>
    <row r="179" spans="1:45" x14ac:dyDescent="0.2">
      <c r="A179" s="559" t="s">
        <v>9886</v>
      </c>
      <c r="B179" s="559" t="s">
        <v>23263</v>
      </c>
      <c r="C179" s="559" t="s">
        <v>62</v>
      </c>
      <c r="D179" s="559" t="s">
        <v>23700</v>
      </c>
      <c r="E179" s="559" t="s">
        <v>217</v>
      </c>
      <c r="F179" s="564">
        <v>1</v>
      </c>
      <c r="G179" s="559" t="s">
        <v>194</v>
      </c>
      <c r="H179" s="559" t="s">
        <v>193</v>
      </c>
      <c r="I179" s="559" t="s">
        <v>23164</v>
      </c>
      <c r="J179" s="559" t="s">
        <v>23210</v>
      </c>
      <c r="K179" s="559" t="s">
        <v>9309</v>
      </c>
      <c r="L179" s="559" t="s">
        <v>6955</v>
      </c>
      <c r="M179" s="559"/>
      <c r="N179" s="559" t="s">
        <v>23264</v>
      </c>
      <c r="O179" s="559" t="s">
        <v>6363</v>
      </c>
      <c r="P179" s="559" t="s">
        <v>23799</v>
      </c>
      <c r="Q179" s="559" t="s">
        <v>23265</v>
      </c>
      <c r="R179" s="559" t="s">
        <v>23266</v>
      </c>
      <c r="S179" s="559" t="s">
        <v>23825</v>
      </c>
      <c r="T179" s="559" t="s">
        <v>23826</v>
      </c>
      <c r="U179" s="559"/>
      <c r="V179" s="603"/>
      <c r="W179" s="559" t="s">
        <v>601</v>
      </c>
      <c r="X179" s="559" t="s">
        <v>193</v>
      </c>
      <c r="Y179" s="559" t="s">
        <v>9310</v>
      </c>
      <c r="Z179" s="559"/>
      <c r="AA179" s="559"/>
      <c r="AB179" s="559" t="s">
        <v>9311</v>
      </c>
      <c r="AC179" s="559"/>
      <c r="AD179" s="559"/>
      <c r="AE179" s="559"/>
      <c r="AF179" s="559"/>
      <c r="AG179" s="559"/>
      <c r="AH179" s="559" t="s">
        <v>4714</v>
      </c>
      <c r="AI179" s="559" t="s">
        <v>9433</v>
      </c>
      <c r="AJ179" s="601" t="str">
        <f t="shared" si="4"/>
        <v>313904</v>
      </c>
      <c r="AK179" s="601">
        <v>1</v>
      </c>
      <c r="AL179" s="601">
        <f t="shared" si="5"/>
        <v>1</v>
      </c>
      <c r="AM179" s="601">
        <v>1</v>
      </c>
      <c r="AN179" s="603" t="s">
        <v>17650</v>
      </c>
      <c r="AO179" s="603" t="s">
        <v>17651</v>
      </c>
      <c r="AP179" s="603" t="s">
        <v>17652</v>
      </c>
      <c r="AQ179" s="603" t="s">
        <v>17653</v>
      </c>
      <c r="AR179" s="603" t="s">
        <v>1024</v>
      </c>
      <c r="AS179" s="559">
        <v>1</v>
      </c>
    </row>
    <row r="180" spans="1:45" x14ac:dyDescent="0.2">
      <c r="A180" s="559" t="s">
        <v>9886</v>
      </c>
      <c r="B180" s="559" t="s">
        <v>23209</v>
      </c>
      <c r="C180" s="559" t="s">
        <v>8136</v>
      </c>
      <c r="D180" s="559" t="s">
        <v>23700</v>
      </c>
      <c r="E180" s="559" t="s">
        <v>217</v>
      </c>
      <c r="F180" s="564">
        <v>1</v>
      </c>
      <c r="G180" s="559" t="s">
        <v>194</v>
      </c>
      <c r="H180" s="559" t="s">
        <v>193</v>
      </c>
      <c r="I180" s="559" t="s">
        <v>23186</v>
      </c>
      <c r="J180" s="559" t="s">
        <v>23269</v>
      </c>
      <c r="K180" s="559" t="s">
        <v>9309</v>
      </c>
      <c r="L180" s="559" t="s">
        <v>6955</v>
      </c>
      <c r="M180" s="559"/>
      <c r="N180" s="559" t="s">
        <v>23270</v>
      </c>
      <c r="O180" s="559" t="s">
        <v>6363</v>
      </c>
      <c r="P180" s="559" t="s">
        <v>23799</v>
      </c>
      <c r="Q180" s="559" t="s">
        <v>23212</v>
      </c>
      <c r="R180" s="559" t="s">
        <v>23213</v>
      </c>
      <c r="S180" s="559" t="s">
        <v>23827</v>
      </c>
      <c r="T180" s="559" t="s">
        <v>23828</v>
      </c>
      <c r="U180" s="559"/>
      <c r="V180" s="603"/>
      <c r="W180" s="559" t="s">
        <v>8138</v>
      </c>
      <c r="X180" s="559" t="s">
        <v>194</v>
      </c>
      <c r="Y180" s="559" t="s">
        <v>9946</v>
      </c>
      <c r="Z180" s="559"/>
      <c r="AA180" s="559"/>
      <c r="AB180" s="559" t="s">
        <v>9311</v>
      </c>
      <c r="AC180" s="559"/>
      <c r="AD180" s="559"/>
      <c r="AE180" s="559"/>
      <c r="AF180" s="559"/>
      <c r="AG180" s="559"/>
      <c r="AH180" s="559" t="s">
        <v>4714</v>
      </c>
      <c r="AI180" s="559" t="s">
        <v>9433</v>
      </c>
      <c r="AJ180" s="601" t="str">
        <f t="shared" si="4"/>
        <v>821905</v>
      </c>
      <c r="AK180" s="601">
        <v>1</v>
      </c>
      <c r="AL180" s="601">
        <f t="shared" si="5"/>
        <v>1</v>
      </c>
      <c r="AM180" s="601">
        <v>1</v>
      </c>
      <c r="AN180" s="603" t="s">
        <v>17650</v>
      </c>
      <c r="AO180" s="603" t="s">
        <v>17651</v>
      </c>
      <c r="AP180" s="603" t="s">
        <v>17652</v>
      </c>
      <c r="AQ180" s="603" t="s">
        <v>17653</v>
      </c>
      <c r="AR180" s="603" t="s">
        <v>1024</v>
      </c>
      <c r="AS180" s="559">
        <v>1</v>
      </c>
    </row>
    <row r="181" spans="1:45" x14ac:dyDescent="0.2">
      <c r="A181" s="559" t="s">
        <v>581</v>
      </c>
      <c r="B181" s="559" t="s">
        <v>20370</v>
      </c>
      <c r="C181" s="559" t="s">
        <v>122</v>
      </c>
      <c r="D181" s="559" t="s">
        <v>23700</v>
      </c>
      <c r="E181" s="559" t="s">
        <v>217</v>
      </c>
      <c r="F181" s="564">
        <v>1</v>
      </c>
      <c r="G181" s="559" t="s">
        <v>193</v>
      </c>
      <c r="H181" s="559" t="s">
        <v>194</v>
      </c>
      <c r="I181" s="559" t="s">
        <v>23164</v>
      </c>
      <c r="J181" s="559" t="s">
        <v>210</v>
      </c>
      <c r="K181" s="559" t="s">
        <v>9309</v>
      </c>
      <c r="L181" s="559" t="s">
        <v>6955</v>
      </c>
      <c r="M181" s="559"/>
      <c r="N181" s="559" t="s">
        <v>23829</v>
      </c>
      <c r="O181" s="559" t="s">
        <v>6269</v>
      </c>
      <c r="P181" s="559" t="s">
        <v>23799</v>
      </c>
      <c r="Q181" s="559" t="s">
        <v>23127</v>
      </c>
      <c r="R181" s="559" t="s">
        <v>23307</v>
      </c>
      <c r="S181" s="559" t="s">
        <v>23830</v>
      </c>
      <c r="T181" s="559" t="s">
        <v>23831</v>
      </c>
      <c r="U181" s="559"/>
      <c r="V181" s="559" t="s">
        <v>9334</v>
      </c>
      <c r="W181" s="559" t="s">
        <v>655</v>
      </c>
      <c r="X181" s="559" t="s">
        <v>194</v>
      </c>
      <c r="Y181" s="559" t="s">
        <v>9300</v>
      </c>
      <c r="Z181" s="559"/>
      <c r="AA181" s="559"/>
      <c r="AB181" s="559" t="s">
        <v>9311</v>
      </c>
      <c r="AC181" s="559"/>
      <c r="AD181" s="559"/>
      <c r="AE181" s="559"/>
      <c r="AF181" s="559"/>
      <c r="AG181" s="559"/>
      <c r="AH181" s="559" t="s">
        <v>4714</v>
      </c>
      <c r="AI181" s="559" t="s">
        <v>9433</v>
      </c>
      <c r="AJ181" s="601" t="str">
        <f t="shared" si="4"/>
        <v>332301</v>
      </c>
      <c r="AK181" s="601">
        <v>1</v>
      </c>
      <c r="AL181" s="601">
        <f t="shared" si="5"/>
        <v>1</v>
      </c>
      <c r="AM181" s="601">
        <v>1</v>
      </c>
      <c r="AN181" s="603" t="s">
        <v>17650</v>
      </c>
      <c r="AO181" s="603" t="s">
        <v>17651</v>
      </c>
      <c r="AP181" s="603" t="s">
        <v>17652</v>
      </c>
      <c r="AQ181" s="603" t="s">
        <v>17653</v>
      </c>
      <c r="AR181" s="603" t="s">
        <v>1024</v>
      </c>
      <c r="AS181" s="559">
        <v>1</v>
      </c>
    </row>
    <row r="182" spans="1:45" x14ac:dyDescent="0.2">
      <c r="A182" s="559" t="s">
        <v>9886</v>
      </c>
      <c r="B182" s="559" t="s">
        <v>23209</v>
      </c>
      <c r="C182" s="559" t="s">
        <v>8136</v>
      </c>
      <c r="D182" s="559" t="s">
        <v>23700</v>
      </c>
      <c r="E182" s="559" t="s">
        <v>217</v>
      </c>
      <c r="F182" s="564">
        <v>1</v>
      </c>
      <c r="G182" s="559" t="s">
        <v>194</v>
      </c>
      <c r="H182" s="559" t="s">
        <v>193</v>
      </c>
      <c r="I182" s="559" t="s">
        <v>23186</v>
      </c>
      <c r="J182" s="559" t="s">
        <v>23273</v>
      </c>
      <c r="K182" s="559" t="s">
        <v>9309</v>
      </c>
      <c r="L182" s="559" t="s">
        <v>6955</v>
      </c>
      <c r="M182" s="559"/>
      <c r="N182" s="559" t="s">
        <v>23274</v>
      </c>
      <c r="O182" s="559" t="s">
        <v>6363</v>
      </c>
      <c r="P182" s="559" t="s">
        <v>23799</v>
      </c>
      <c r="Q182" s="559" t="s">
        <v>23212</v>
      </c>
      <c r="R182" s="559" t="s">
        <v>23213</v>
      </c>
      <c r="S182" s="559" t="s">
        <v>23832</v>
      </c>
      <c r="T182" s="559" t="s">
        <v>23833</v>
      </c>
      <c r="U182" s="559"/>
      <c r="V182" s="603"/>
      <c r="W182" s="559" t="s">
        <v>8138</v>
      </c>
      <c r="X182" s="559" t="s">
        <v>194</v>
      </c>
      <c r="Y182" s="559" t="s">
        <v>9946</v>
      </c>
      <c r="Z182" s="559"/>
      <c r="AA182" s="559"/>
      <c r="AB182" s="559" t="s">
        <v>9311</v>
      </c>
      <c r="AC182" s="559"/>
      <c r="AD182" s="559"/>
      <c r="AE182" s="559"/>
      <c r="AF182" s="559"/>
      <c r="AG182" s="559"/>
      <c r="AH182" s="559" t="s">
        <v>4714</v>
      </c>
      <c r="AI182" s="559" t="s">
        <v>9433</v>
      </c>
      <c r="AJ182" s="601" t="str">
        <f t="shared" si="4"/>
        <v>821905</v>
      </c>
      <c r="AK182" s="601">
        <v>1</v>
      </c>
      <c r="AL182" s="601">
        <f t="shared" si="5"/>
        <v>1</v>
      </c>
      <c r="AM182" s="601">
        <v>1</v>
      </c>
      <c r="AN182" s="603" t="s">
        <v>17650</v>
      </c>
      <c r="AO182" s="603" t="s">
        <v>17651</v>
      </c>
      <c r="AP182" s="603" t="s">
        <v>17652</v>
      </c>
      <c r="AQ182" s="603" t="s">
        <v>17653</v>
      </c>
      <c r="AR182" s="603" t="s">
        <v>1024</v>
      </c>
      <c r="AS182" s="559">
        <v>1</v>
      </c>
    </row>
    <row r="183" spans="1:45" x14ac:dyDescent="0.2">
      <c r="A183" s="559" t="s">
        <v>258</v>
      </c>
      <c r="B183" s="559" t="s">
        <v>537</v>
      </c>
      <c r="C183" s="559" t="s">
        <v>778</v>
      </c>
      <c r="D183" s="559" t="s">
        <v>23700</v>
      </c>
      <c r="E183" s="559" t="s">
        <v>217</v>
      </c>
      <c r="F183" s="564">
        <v>1</v>
      </c>
      <c r="G183" s="559" t="s">
        <v>193</v>
      </c>
      <c r="H183" s="559" t="s">
        <v>194</v>
      </c>
      <c r="I183" s="559" t="s">
        <v>23151</v>
      </c>
      <c r="J183" s="559" t="s">
        <v>323</v>
      </c>
      <c r="K183" s="559" t="s">
        <v>9309</v>
      </c>
      <c r="L183" s="559" t="s">
        <v>6955</v>
      </c>
      <c r="M183" s="559"/>
      <c r="N183" s="559" t="s">
        <v>23834</v>
      </c>
      <c r="O183" s="559" t="s">
        <v>6251</v>
      </c>
      <c r="P183" s="559" t="s">
        <v>23702</v>
      </c>
      <c r="Q183" s="559" t="s">
        <v>23228</v>
      </c>
      <c r="R183" s="559" t="s">
        <v>23835</v>
      </c>
      <c r="S183" s="559" t="s">
        <v>23836</v>
      </c>
      <c r="T183" s="559" t="s">
        <v>23837</v>
      </c>
      <c r="U183" s="559"/>
      <c r="V183" s="559" t="s">
        <v>9514</v>
      </c>
      <c r="W183" s="559" t="s">
        <v>779</v>
      </c>
      <c r="X183" s="559" t="s">
        <v>194</v>
      </c>
      <c r="Y183" s="559" t="s">
        <v>9300</v>
      </c>
      <c r="Z183" s="559"/>
      <c r="AA183" s="559"/>
      <c r="AB183" s="559" t="s">
        <v>9311</v>
      </c>
      <c r="AC183" s="559"/>
      <c r="AD183" s="559"/>
      <c r="AE183" s="559"/>
      <c r="AF183" s="559"/>
      <c r="AG183" s="559"/>
      <c r="AH183" s="559" t="s">
        <v>4714</v>
      </c>
      <c r="AI183" s="559" t="s">
        <v>778</v>
      </c>
      <c r="AJ183" s="601" t="str">
        <f t="shared" si="4"/>
        <v>524902</v>
      </c>
      <c r="AK183" s="601">
        <v>1</v>
      </c>
      <c r="AL183" s="601">
        <f t="shared" si="5"/>
        <v>1</v>
      </c>
      <c r="AM183" s="601">
        <v>1</v>
      </c>
      <c r="AN183" s="603" t="s">
        <v>17650</v>
      </c>
      <c r="AO183" s="603" t="s">
        <v>17651</v>
      </c>
      <c r="AP183" s="603" t="s">
        <v>17652</v>
      </c>
      <c r="AQ183" s="603" t="s">
        <v>17653</v>
      </c>
      <c r="AR183" s="603" t="s">
        <v>1024</v>
      </c>
      <c r="AS183" s="559">
        <v>1</v>
      </c>
    </row>
    <row r="184" spans="1:45" x14ac:dyDescent="0.2">
      <c r="A184" s="559" t="s">
        <v>258</v>
      </c>
      <c r="B184" s="559" t="s">
        <v>7677</v>
      </c>
      <c r="C184" s="559" t="s">
        <v>778</v>
      </c>
      <c r="D184" s="559" t="s">
        <v>23700</v>
      </c>
      <c r="E184" s="559" t="s">
        <v>217</v>
      </c>
      <c r="F184" s="564">
        <v>1</v>
      </c>
      <c r="G184" s="559" t="s">
        <v>193</v>
      </c>
      <c r="H184" s="559" t="s">
        <v>194</v>
      </c>
      <c r="I184" s="559" t="s">
        <v>23151</v>
      </c>
      <c r="J184" s="559" t="s">
        <v>327</v>
      </c>
      <c r="K184" s="559" t="s">
        <v>9309</v>
      </c>
      <c r="L184" s="559" t="s">
        <v>6955</v>
      </c>
      <c r="M184" s="559"/>
      <c r="N184" s="559" t="s">
        <v>23277</v>
      </c>
      <c r="O184" s="559" t="s">
        <v>6251</v>
      </c>
      <c r="P184" s="559" t="s">
        <v>23702</v>
      </c>
      <c r="Q184" s="559" t="s">
        <v>23278</v>
      </c>
      <c r="R184" s="559" t="s">
        <v>23139</v>
      </c>
      <c r="S184" s="559" t="s">
        <v>23838</v>
      </c>
      <c r="T184" s="559" t="s">
        <v>23839</v>
      </c>
      <c r="U184" s="559"/>
      <c r="V184" s="559" t="s">
        <v>9506</v>
      </c>
      <c r="W184" s="559" t="s">
        <v>779</v>
      </c>
      <c r="X184" s="559" t="s">
        <v>194</v>
      </c>
      <c r="Y184" s="559" t="s">
        <v>9300</v>
      </c>
      <c r="Z184" s="559"/>
      <c r="AA184" s="559"/>
      <c r="AB184" s="559" t="s">
        <v>9311</v>
      </c>
      <c r="AC184" s="559"/>
      <c r="AD184" s="559"/>
      <c r="AE184" s="559"/>
      <c r="AF184" s="559"/>
      <c r="AG184" s="559"/>
      <c r="AH184" s="559" t="s">
        <v>4714</v>
      </c>
      <c r="AI184" s="559" t="s">
        <v>778</v>
      </c>
      <c r="AJ184" s="601" t="str">
        <f t="shared" si="4"/>
        <v>524902</v>
      </c>
      <c r="AK184" s="601">
        <v>1</v>
      </c>
      <c r="AL184" s="601">
        <f t="shared" si="5"/>
        <v>1</v>
      </c>
      <c r="AM184" s="601">
        <v>1</v>
      </c>
      <c r="AN184" s="603" t="s">
        <v>17650</v>
      </c>
      <c r="AO184" s="603" t="s">
        <v>17651</v>
      </c>
      <c r="AP184" s="603" t="s">
        <v>17652</v>
      </c>
      <c r="AQ184" s="603" t="s">
        <v>17653</v>
      </c>
      <c r="AR184" s="603" t="s">
        <v>1024</v>
      </c>
      <c r="AS184" s="559">
        <v>1</v>
      </c>
    </row>
    <row r="185" spans="1:45" x14ac:dyDescent="0.2">
      <c r="A185" s="559" t="s">
        <v>9886</v>
      </c>
      <c r="B185" s="559" t="s">
        <v>23253</v>
      </c>
      <c r="C185" s="559" t="s">
        <v>62</v>
      </c>
      <c r="D185" s="559" t="s">
        <v>23700</v>
      </c>
      <c r="E185" s="559" t="s">
        <v>217</v>
      </c>
      <c r="F185" s="564">
        <v>1</v>
      </c>
      <c r="G185" s="559" t="s">
        <v>194</v>
      </c>
      <c r="H185" s="559" t="s">
        <v>193</v>
      </c>
      <c r="I185" s="559" t="s">
        <v>23186</v>
      </c>
      <c r="J185" s="559" t="s">
        <v>6080</v>
      </c>
      <c r="K185" s="559" t="s">
        <v>9309</v>
      </c>
      <c r="L185" s="559" t="s">
        <v>6955</v>
      </c>
      <c r="M185" s="559"/>
      <c r="N185" s="559" t="s">
        <v>23281</v>
      </c>
      <c r="O185" s="559" t="s">
        <v>6363</v>
      </c>
      <c r="P185" s="559" t="s">
        <v>23799</v>
      </c>
      <c r="Q185" s="559" t="s">
        <v>23265</v>
      </c>
      <c r="R185" s="559" t="s">
        <v>23266</v>
      </c>
      <c r="S185" s="559" t="s">
        <v>23840</v>
      </c>
      <c r="T185" s="559" t="s">
        <v>23841</v>
      </c>
      <c r="U185" s="559"/>
      <c r="V185" s="603"/>
      <c r="W185" s="559" t="s">
        <v>601</v>
      </c>
      <c r="X185" s="559" t="s">
        <v>194</v>
      </c>
      <c r="Y185" s="559" t="s">
        <v>9946</v>
      </c>
      <c r="Z185" s="559"/>
      <c r="AA185" s="559"/>
      <c r="AB185" s="559" t="s">
        <v>9311</v>
      </c>
      <c r="AC185" s="559"/>
      <c r="AD185" s="559"/>
      <c r="AE185" s="559"/>
      <c r="AF185" s="559"/>
      <c r="AG185" s="559"/>
      <c r="AH185" s="559" t="s">
        <v>4714</v>
      </c>
      <c r="AI185" s="559" t="s">
        <v>9433</v>
      </c>
      <c r="AJ185" s="601" t="str">
        <f t="shared" si="4"/>
        <v>313904</v>
      </c>
      <c r="AK185" s="601">
        <v>1</v>
      </c>
      <c r="AL185" s="601">
        <f t="shared" si="5"/>
        <v>1</v>
      </c>
      <c r="AM185" s="601">
        <v>1</v>
      </c>
      <c r="AN185" s="603" t="s">
        <v>17650</v>
      </c>
      <c r="AO185" s="603" t="s">
        <v>17651</v>
      </c>
      <c r="AP185" s="603" t="s">
        <v>17652</v>
      </c>
      <c r="AQ185" s="603" t="s">
        <v>17653</v>
      </c>
      <c r="AR185" s="603" t="s">
        <v>1024</v>
      </c>
      <c r="AS185" s="559">
        <v>1</v>
      </c>
    </row>
    <row r="186" spans="1:45" x14ac:dyDescent="0.2">
      <c r="A186" s="559" t="s">
        <v>9886</v>
      </c>
      <c r="B186" s="559" t="s">
        <v>23284</v>
      </c>
      <c r="C186" s="559" t="s">
        <v>706</v>
      </c>
      <c r="D186" s="559" t="s">
        <v>23700</v>
      </c>
      <c r="E186" s="559" t="s">
        <v>217</v>
      </c>
      <c r="F186" s="564">
        <v>1</v>
      </c>
      <c r="G186" s="559" t="s">
        <v>194</v>
      </c>
      <c r="H186" s="559" t="s">
        <v>193</v>
      </c>
      <c r="I186" s="559" t="s">
        <v>23186</v>
      </c>
      <c r="J186" s="559" t="s">
        <v>6080</v>
      </c>
      <c r="K186" s="559" t="s">
        <v>9309</v>
      </c>
      <c r="L186" s="559" t="s">
        <v>6955</v>
      </c>
      <c r="M186" s="559"/>
      <c r="N186" s="559" t="s">
        <v>23285</v>
      </c>
      <c r="O186" s="559" t="s">
        <v>6327</v>
      </c>
      <c r="P186" s="559" t="s">
        <v>23799</v>
      </c>
      <c r="Q186" s="559" t="s">
        <v>21229</v>
      </c>
      <c r="R186" s="559" t="s">
        <v>23286</v>
      </c>
      <c r="S186" s="559" t="s">
        <v>23842</v>
      </c>
      <c r="T186" s="559" t="s">
        <v>23843</v>
      </c>
      <c r="U186" s="559"/>
      <c r="V186" s="603"/>
      <c r="W186" s="559" t="s">
        <v>707</v>
      </c>
      <c r="X186" s="559" t="s">
        <v>194</v>
      </c>
      <c r="Y186" s="559" t="s">
        <v>9946</v>
      </c>
      <c r="Z186" s="559"/>
      <c r="AA186" s="559"/>
      <c r="AB186" s="559" t="s">
        <v>9311</v>
      </c>
      <c r="AC186" s="559"/>
      <c r="AD186" s="559"/>
      <c r="AE186" s="559"/>
      <c r="AF186" s="559"/>
      <c r="AG186" s="559"/>
      <c r="AH186" s="559" t="s">
        <v>4714</v>
      </c>
      <c r="AI186" s="559" t="s">
        <v>9433</v>
      </c>
      <c r="AJ186" s="601" t="str">
        <f t="shared" si="4"/>
        <v>422201</v>
      </c>
      <c r="AK186" s="601">
        <v>1</v>
      </c>
      <c r="AL186" s="601">
        <f t="shared" si="5"/>
        <v>1</v>
      </c>
      <c r="AM186" s="601">
        <v>1</v>
      </c>
      <c r="AN186" s="603" t="s">
        <v>17650</v>
      </c>
      <c r="AO186" s="603" t="s">
        <v>17651</v>
      </c>
      <c r="AP186" s="603" t="s">
        <v>17652</v>
      </c>
      <c r="AQ186" s="603" t="s">
        <v>17653</v>
      </c>
      <c r="AR186" s="603" t="s">
        <v>1024</v>
      </c>
      <c r="AS186" s="559">
        <v>1</v>
      </c>
    </row>
    <row r="187" spans="1:45" x14ac:dyDescent="0.2">
      <c r="A187" s="559" t="s">
        <v>581</v>
      </c>
      <c r="B187" s="559" t="s">
        <v>23289</v>
      </c>
      <c r="C187" s="559" t="s">
        <v>29</v>
      </c>
      <c r="D187" s="559" t="s">
        <v>23700</v>
      </c>
      <c r="E187" s="559" t="s">
        <v>217</v>
      </c>
      <c r="F187" s="564">
        <v>1</v>
      </c>
      <c r="G187" s="559" t="s">
        <v>193</v>
      </c>
      <c r="H187" s="559" t="s">
        <v>194</v>
      </c>
      <c r="I187" s="559" t="s">
        <v>23158</v>
      </c>
      <c r="J187" s="559" t="s">
        <v>2252</v>
      </c>
      <c r="K187" s="559" t="s">
        <v>9309</v>
      </c>
      <c r="L187" s="559" t="s">
        <v>6955</v>
      </c>
      <c r="M187" s="559"/>
      <c r="N187" s="559" t="s">
        <v>23290</v>
      </c>
      <c r="O187" s="559" t="s">
        <v>6363</v>
      </c>
      <c r="P187" s="559" t="s">
        <v>23799</v>
      </c>
      <c r="Q187" s="559" t="s">
        <v>23359</v>
      </c>
      <c r="R187" s="559" t="s">
        <v>23291</v>
      </c>
      <c r="S187" s="559" t="s">
        <v>23844</v>
      </c>
      <c r="T187" s="559" t="s">
        <v>23845</v>
      </c>
      <c r="U187" s="559"/>
      <c r="V187" s="559" t="s">
        <v>9726</v>
      </c>
      <c r="W187" s="559" t="s">
        <v>808</v>
      </c>
      <c r="X187" s="559" t="s">
        <v>194</v>
      </c>
      <c r="Y187" s="559" t="s">
        <v>9300</v>
      </c>
      <c r="Z187" s="559"/>
      <c r="AA187" s="559"/>
      <c r="AB187" s="559" t="s">
        <v>9311</v>
      </c>
      <c r="AC187" s="559"/>
      <c r="AD187" s="559"/>
      <c r="AE187" s="559"/>
      <c r="AF187" s="559"/>
      <c r="AG187" s="559"/>
      <c r="AH187" s="559" t="s">
        <v>4714</v>
      </c>
      <c r="AI187" s="559" t="s">
        <v>9433</v>
      </c>
      <c r="AJ187" s="601" t="str">
        <f t="shared" si="4"/>
        <v>722308</v>
      </c>
      <c r="AK187" s="601">
        <v>1</v>
      </c>
      <c r="AL187" s="601">
        <f t="shared" si="5"/>
        <v>1</v>
      </c>
      <c r="AM187" s="601">
        <v>1</v>
      </c>
      <c r="AN187" s="603" t="s">
        <v>17650</v>
      </c>
      <c r="AO187" s="603" t="s">
        <v>17651</v>
      </c>
      <c r="AP187" s="603" t="s">
        <v>17652</v>
      </c>
      <c r="AQ187" s="603" t="s">
        <v>17653</v>
      </c>
      <c r="AR187" s="603" t="s">
        <v>1024</v>
      </c>
      <c r="AS187" s="559">
        <v>1</v>
      </c>
    </row>
    <row r="188" spans="1:45" x14ac:dyDescent="0.2">
      <c r="A188" s="559" t="s">
        <v>23846</v>
      </c>
      <c r="B188" s="559" t="s">
        <v>23847</v>
      </c>
      <c r="C188" s="559" t="s">
        <v>23848</v>
      </c>
      <c r="D188" s="559" t="s">
        <v>23700</v>
      </c>
      <c r="E188" s="559" t="s">
        <v>217</v>
      </c>
      <c r="F188" s="564">
        <v>1</v>
      </c>
      <c r="G188" s="559" t="s">
        <v>193</v>
      </c>
      <c r="H188" s="559" t="s">
        <v>194</v>
      </c>
      <c r="I188" s="559" t="s">
        <v>23151</v>
      </c>
      <c r="J188" s="559" t="s">
        <v>210</v>
      </c>
      <c r="K188" s="559" t="s">
        <v>9309</v>
      </c>
      <c r="L188" s="559" t="s">
        <v>6955</v>
      </c>
      <c r="M188" s="559"/>
      <c r="N188" s="559" t="s">
        <v>23849</v>
      </c>
      <c r="O188" s="559" t="s">
        <v>6254</v>
      </c>
      <c r="P188" s="559" t="s">
        <v>23799</v>
      </c>
      <c r="Q188" s="559" t="s">
        <v>23359</v>
      </c>
      <c r="R188" s="559" t="s">
        <v>23850</v>
      </c>
      <c r="S188" s="559" t="s">
        <v>23851</v>
      </c>
      <c r="T188" s="559" t="s">
        <v>23852</v>
      </c>
      <c r="U188" s="559"/>
      <c r="V188" s="559" t="s">
        <v>9334</v>
      </c>
      <c r="W188" s="559" t="s">
        <v>23853</v>
      </c>
      <c r="X188" s="559" t="s">
        <v>194</v>
      </c>
      <c r="Y188" s="559" t="s">
        <v>9300</v>
      </c>
      <c r="Z188" s="559"/>
      <c r="AA188" s="559"/>
      <c r="AB188" s="559" t="s">
        <v>9311</v>
      </c>
      <c r="AC188" s="559"/>
      <c r="AD188" s="559"/>
      <c r="AE188" s="559"/>
      <c r="AF188" s="559"/>
      <c r="AG188" s="559"/>
      <c r="AH188" s="559" t="s">
        <v>4714</v>
      </c>
      <c r="AI188" s="559" t="s">
        <v>9433</v>
      </c>
      <c r="AJ188" s="601" t="str">
        <f t="shared" si="4"/>
        <v>421301</v>
      </c>
      <c r="AK188" s="601">
        <v>1</v>
      </c>
      <c r="AL188" s="601">
        <f t="shared" si="5"/>
        <v>1</v>
      </c>
      <c r="AM188" s="601">
        <v>1</v>
      </c>
      <c r="AN188" s="603" t="s">
        <v>17650</v>
      </c>
      <c r="AO188" s="603" t="s">
        <v>17651</v>
      </c>
      <c r="AP188" s="603" t="s">
        <v>17652</v>
      </c>
      <c r="AQ188" s="603" t="s">
        <v>17653</v>
      </c>
      <c r="AR188" s="603" t="s">
        <v>1024</v>
      </c>
      <c r="AS188" s="559">
        <v>1</v>
      </c>
    </row>
    <row r="189" spans="1:45" x14ac:dyDescent="0.2">
      <c r="A189" s="559" t="s">
        <v>9886</v>
      </c>
      <c r="B189" s="559" t="s">
        <v>23220</v>
      </c>
      <c r="C189" s="559" t="s">
        <v>62</v>
      </c>
      <c r="D189" s="559" t="s">
        <v>23700</v>
      </c>
      <c r="E189" s="559" t="s">
        <v>217</v>
      </c>
      <c r="F189" s="564">
        <v>1</v>
      </c>
      <c r="G189" s="559" t="s">
        <v>194</v>
      </c>
      <c r="H189" s="559" t="s">
        <v>193</v>
      </c>
      <c r="I189" s="559" t="s">
        <v>23158</v>
      </c>
      <c r="J189" s="559" t="s">
        <v>23269</v>
      </c>
      <c r="K189" s="559" t="s">
        <v>9309</v>
      </c>
      <c r="L189" s="559" t="s">
        <v>6955</v>
      </c>
      <c r="M189" s="559"/>
      <c r="N189" s="559" t="s">
        <v>23294</v>
      </c>
      <c r="O189" s="559" t="s">
        <v>6363</v>
      </c>
      <c r="P189" s="559" t="s">
        <v>23799</v>
      </c>
      <c r="Q189" s="559" t="s">
        <v>23222</v>
      </c>
      <c r="R189" s="559" t="s">
        <v>23155</v>
      </c>
      <c r="S189" s="559" t="s">
        <v>23854</v>
      </c>
      <c r="T189" s="559" t="s">
        <v>23855</v>
      </c>
      <c r="U189" s="559"/>
      <c r="V189" s="603"/>
      <c r="W189" s="559" t="s">
        <v>601</v>
      </c>
      <c r="X189" s="559" t="s">
        <v>194</v>
      </c>
      <c r="Y189" s="559" t="s">
        <v>9946</v>
      </c>
      <c r="Z189" s="559"/>
      <c r="AA189" s="559"/>
      <c r="AB189" s="559" t="s">
        <v>9311</v>
      </c>
      <c r="AC189" s="559"/>
      <c r="AD189" s="559"/>
      <c r="AE189" s="559"/>
      <c r="AF189" s="559"/>
      <c r="AG189" s="559"/>
      <c r="AH189" s="559" t="s">
        <v>4714</v>
      </c>
      <c r="AI189" s="559" t="s">
        <v>9433</v>
      </c>
      <c r="AJ189" s="601" t="str">
        <f t="shared" si="4"/>
        <v>313904</v>
      </c>
      <c r="AK189" s="601">
        <v>1</v>
      </c>
      <c r="AL189" s="601">
        <f t="shared" si="5"/>
        <v>1</v>
      </c>
      <c r="AM189" s="601">
        <v>1</v>
      </c>
      <c r="AN189" s="603" t="s">
        <v>17650</v>
      </c>
      <c r="AO189" s="603" t="s">
        <v>17651</v>
      </c>
      <c r="AP189" s="603" t="s">
        <v>17652</v>
      </c>
      <c r="AQ189" s="603" t="s">
        <v>17653</v>
      </c>
      <c r="AR189" s="603" t="s">
        <v>1024</v>
      </c>
      <c r="AS189" s="559">
        <v>1</v>
      </c>
    </row>
    <row r="190" spans="1:45" x14ac:dyDescent="0.2">
      <c r="A190" s="559" t="s">
        <v>9886</v>
      </c>
      <c r="B190" s="559" t="s">
        <v>23209</v>
      </c>
      <c r="C190" s="559" t="s">
        <v>8136</v>
      </c>
      <c r="D190" s="559" t="s">
        <v>23700</v>
      </c>
      <c r="E190" s="559" t="s">
        <v>217</v>
      </c>
      <c r="F190" s="564">
        <v>1</v>
      </c>
      <c r="G190" s="559" t="s">
        <v>194</v>
      </c>
      <c r="H190" s="559" t="s">
        <v>193</v>
      </c>
      <c r="I190" s="559" t="s">
        <v>23186</v>
      </c>
      <c r="J190" s="559" t="s">
        <v>23297</v>
      </c>
      <c r="K190" s="559" t="s">
        <v>9309</v>
      </c>
      <c r="L190" s="559" t="s">
        <v>6955</v>
      </c>
      <c r="M190" s="559"/>
      <c r="N190" s="559" t="s">
        <v>23298</v>
      </c>
      <c r="O190" s="559" t="s">
        <v>6363</v>
      </c>
      <c r="P190" s="559" t="s">
        <v>23799</v>
      </c>
      <c r="Q190" s="559" t="s">
        <v>23212</v>
      </c>
      <c r="R190" s="559" t="s">
        <v>23213</v>
      </c>
      <c r="S190" s="559" t="s">
        <v>23856</v>
      </c>
      <c r="T190" s="559" t="s">
        <v>23857</v>
      </c>
      <c r="U190" s="559"/>
      <c r="V190" s="603"/>
      <c r="W190" s="559" t="s">
        <v>8138</v>
      </c>
      <c r="X190" s="559" t="s">
        <v>194</v>
      </c>
      <c r="Y190" s="559" t="s">
        <v>9946</v>
      </c>
      <c r="Z190" s="559"/>
      <c r="AA190" s="559"/>
      <c r="AB190" s="559" t="s">
        <v>9311</v>
      </c>
      <c r="AC190" s="559"/>
      <c r="AD190" s="559"/>
      <c r="AE190" s="559"/>
      <c r="AF190" s="559"/>
      <c r="AG190" s="559"/>
      <c r="AH190" s="559" t="s">
        <v>4714</v>
      </c>
      <c r="AI190" s="559" t="s">
        <v>9433</v>
      </c>
      <c r="AJ190" s="601" t="str">
        <f t="shared" si="4"/>
        <v>821905</v>
      </c>
      <c r="AK190" s="601">
        <v>1</v>
      </c>
      <c r="AL190" s="601">
        <f t="shared" si="5"/>
        <v>1</v>
      </c>
      <c r="AM190" s="601">
        <v>1</v>
      </c>
      <c r="AN190" s="603" t="s">
        <v>17650</v>
      </c>
      <c r="AO190" s="603" t="s">
        <v>17651</v>
      </c>
      <c r="AP190" s="603" t="s">
        <v>17652</v>
      </c>
      <c r="AQ190" s="603" t="s">
        <v>17653</v>
      </c>
      <c r="AR190" s="603" t="s">
        <v>1024</v>
      </c>
      <c r="AS190" s="559">
        <v>1</v>
      </c>
    </row>
    <row r="191" spans="1:45" x14ac:dyDescent="0.2">
      <c r="A191" s="559" t="s">
        <v>23858</v>
      </c>
      <c r="B191" s="559" t="s">
        <v>23859</v>
      </c>
      <c r="C191" s="559" t="s">
        <v>110</v>
      </c>
      <c r="D191" s="559" t="s">
        <v>23700</v>
      </c>
      <c r="E191" s="559" t="s">
        <v>217</v>
      </c>
      <c r="F191" s="564">
        <v>1</v>
      </c>
      <c r="G191" s="559" t="s">
        <v>193</v>
      </c>
      <c r="H191" s="559" t="s">
        <v>194</v>
      </c>
      <c r="I191" s="559" t="s">
        <v>23151</v>
      </c>
      <c r="J191" s="559" t="s">
        <v>23860</v>
      </c>
      <c r="K191" s="559" t="s">
        <v>9309</v>
      </c>
      <c r="L191" s="559" t="s">
        <v>6955</v>
      </c>
      <c r="M191" s="559"/>
      <c r="N191" s="559" t="s">
        <v>23861</v>
      </c>
      <c r="O191" s="559" t="s">
        <v>6275</v>
      </c>
      <c r="P191" s="559" t="s">
        <v>23799</v>
      </c>
      <c r="Q191" s="559" t="s">
        <v>23355</v>
      </c>
      <c r="R191" s="559" t="s">
        <v>23307</v>
      </c>
      <c r="S191" s="559" t="s">
        <v>23862</v>
      </c>
      <c r="T191" s="559" t="s">
        <v>23863</v>
      </c>
      <c r="U191" s="559"/>
      <c r="V191" s="559" t="s">
        <v>9468</v>
      </c>
      <c r="W191" s="559" t="s">
        <v>621</v>
      </c>
      <c r="X191" s="559" t="s">
        <v>194</v>
      </c>
      <c r="Y191" s="559" t="s">
        <v>9300</v>
      </c>
      <c r="Z191" s="559"/>
      <c r="AA191" s="559"/>
      <c r="AB191" s="559" t="s">
        <v>9311</v>
      </c>
      <c r="AC191" s="559"/>
      <c r="AD191" s="559"/>
      <c r="AE191" s="559"/>
      <c r="AF191" s="559"/>
      <c r="AG191" s="559"/>
      <c r="AH191" s="559" t="s">
        <v>4714</v>
      </c>
      <c r="AI191" s="559" t="s">
        <v>9433</v>
      </c>
      <c r="AJ191" s="601" t="str">
        <f t="shared" si="4"/>
        <v>332201</v>
      </c>
      <c r="AK191" s="601">
        <v>1</v>
      </c>
      <c r="AL191" s="601">
        <f t="shared" si="5"/>
        <v>1</v>
      </c>
      <c r="AM191" s="601">
        <v>1</v>
      </c>
      <c r="AN191" s="603" t="s">
        <v>17650</v>
      </c>
      <c r="AO191" s="603" t="s">
        <v>17651</v>
      </c>
      <c r="AP191" s="603" t="s">
        <v>17652</v>
      </c>
      <c r="AQ191" s="603" t="s">
        <v>17653</v>
      </c>
      <c r="AR191" s="603" t="s">
        <v>1024</v>
      </c>
      <c r="AS191" s="559">
        <v>1</v>
      </c>
    </row>
    <row r="192" spans="1:45" x14ac:dyDescent="0.2">
      <c r="A192" s="559" t="s">
        <v>581</v>
      </c>
      <c r="B192" s="559" t="s">
        <v>3873</v>
      </c>
      <c r="C192" s="559" t="s">
        <v>62</v>
      </c>
      <c r="D192" s="559" t="s">
        <v>23700</v>
      </c>
      <c r="E192" s="559" t="s">
        <v>217</v>
      </c>
      <c r="F192" s="564">
        <v>1</v>
      </c>
      <c r="G192" s="559" t="s">
        <v>193</v>
      </c>
      <c r="H192" s="559" t="s">
        <v>194</v>
      </c>
      <c r="I192" s="559" t="s">
        <v>23158</v>
      </c>
      <c r="J192" s="559" t="s">
        <v>210</v>
      </c>
      <c r="K192" s="559" t="s">
        <v>9309</v>
      </c>
      <c r="L192" s="559" t="s">
        <v>6955</v>
      </c>
      <c r="M192" s="559"/>
      <c r="N192" s="559" t="s">
        <v>23301</v>
      </c>
      <c r="O192" s="559" t="s">
        <v>6275</v>
      </c>
      <c r="P192" s="559" t="s">
        <v>23799</v>
      </c>
      <c r="Q192" s="559" t="s">
        <v>23359</v>
      </c>
      <c r="R192" s="559" t="s">
        <v>23291</v>
      </c>
      <c r="S192" s="559" t="s">
        <v>23864</v>
      </c>
      <c r="T192" s="559" t="s">
        <v>23865</v>
      </c>
      <c r="U192" s="559"/>
      <c r="V192" s="559" t="s">
        <v>9334</v>
      </c>
      <c r="W192" s="559" t="s">
        <v>601</v>
      </c>
      <c r="X192" s="559" t="s">
        <v>194</v>
      </c>
      <c r="Y192" s="559" t="s">
        <v>9300</v>
      </c>
      <c r="Z192" s="559"/>
      <c r="AA192" s="559"/>
      <c r="AB192" s="559" t="s">
        <v>9311</v>
      </c>
      <c r="AC192" s="559"/>
      <c r="AD192" s="559"/>
      <c r="AE192" s="559"/>
      <c r="AF192" s="559"/>
      <c r="AG192" s="559"/>
      <c r="AH192" s="559" t="s">
        <v>4714</v>
      </c>
      <c r="AI192" s="559" t="s">
        <v>9433</v>
      </c>
      <c r="AJ192" s="601" t="str">
        <f t="shared" si="4"/>
        <v>313904</v>
      </c>
      <c r="AK192" s="601">
        <v>1</v>
      </c>
      <c r="AL192" s="601">
        <f t="shared" si="5"/>
        <v>1</v>
      </c>
      <c r="AM192" s="601">
        <v>1</v>
      </c>
      <c r="AN192" s="603" t="s">
        <v>17650</v>
      </c>
      <c r="AO192" s="603" t="s">
        <v>17651</v>
      </c>
      <c r="AP192" s="603" t="s">
        <v>17652</v>
      </c>
      <c r="AQ192" s="603" t="s">
        <v>17653</v>
      </c>
      <c r="AR192" s="603" t="s">
        <v>1024</v>
      </c>
      <c r="AS192" s="559">
        <v>1</v>
      </c>
    </row>
    <row r="193" spans="1:45" x14ac:dyDescent="0.2">
      <c r="A193" s="559" t="s">
        <v>11415</v>
      </c>
      <c r="B193" s="559" t="s">
        <v>8016</v>
      </c>
      <c r="C193" s="559" t="s">
        <v>99</v>
      </c>
      <c r="D193" s="559" t="s">
        <v>23700</v>
      </c>
      <c r="E193" s="559" t="s">
        <v>217</v>
      </c>
      <c r="F193" s="564">
        <v>1</v>
      </c>
      <c r="G193" s="559" t="s">
        <v>193</v>
      </c>
      <c r="H193" s="559" t="s">
        <v>194</v>
      </c>
      <c r="I193" s="559" t="s">
        <v>23307</v>
      </c>
      <c r="J193" s="559" t="s">
        <v>210</v>
      </c>
      <c r="K193" s="559" t="s">
        <v>9309</v>
      </c>
      <c r="L193" s="559" t="s">
        <v>6955</v>
      </c>
      <c r="M193" s="559"/>
      <c r="N193" s="559" t="s">
        <v>22312</v>
      </c>
      <c r="O193" s="559" t="s">
        <v>6286</v>
      </c>
      <c r="P193" s="559" t="s">
        <v>23799</v>
      </c>
      <c r="Q193" s="559" t="s">
        <v>23800</v>
      </c>
      <c r="R193" s="559" t="s">
        <v>23198</v>
      </c>
      <c r="S193" s="559" t="s">
        <v>23866</v>
      </c>
      <c r="T193" s="559" t="s">
        <v>23867</v>
      </c>
      <c r="U193" s="559"/>
      <c r="V193" s="559" t="s">
        <v>9334</v>
      </c>
      <c r="W193" s="559" t="s">
        <v>2421</v>
      </c>
      <c r="X193" s="559" t="s">
        <v>194</v>
      </c>
      <c r="Y193" s="559" t="s">
        <v>9300</v>
      </c>
      <c r="Z193" s="559"/>
      <c r="AA193" s="559"/>
      <c r="AB193" s="559" t="s">
        <v>9311</v>
      </c>
      <c r="AC193" s="559"/>
      <c r="AD193" s="559"/>
      <c r="AE193" s="559"/>
      <c r="AF193" s="559"/>
      <c r="AG193" s="559"/>
      <c r="AH193" s="559" t="s">
        <v>4714</v>
      </c>
      <c r="AI193" s="559" t="s">
        <v>9433</v>
      </c>
      <c r="AJ193" s="601" t="str">
        <f t="shared" si="4"/>
        <v>412001</v>
      </c>
      <c r="AK193" s="601">
        <v>1</v>
      </c>
      <c r="AL193" s="601">
        <f t="shared" si="5"/>
        <v>1</v>
      </c>
      <c r="AM193" s="601">
        <v>1</v>
      </c>
      <c r="AN193" s="603" t="s">
        <v>17650</v>
      </c>
      <c r="AO193" s="603" t="s">
        <v>17651</v>
      </c>
      <c r="AP193" s="603" t="s">
        <v>17652</v>
      </c>
      <c r="AQ193" s="603" t="s">
        <v>17653</v>
      </c>
      <c r="AR193" s="603" t="s">
        <v>1024</v>
      </c>
      <c r="AS193" s="559">
        <v>1</v>
      </c>
    </row>
    <row r="194" spans="1:45" x14ac:dyDescent="0.2">
      <c r="A194" s="559" t="s">
        <v>9886</v>
      </c>
      <c r="B194" s="559" t="s">
        <v>23253</v>
      </c>
      <c r="C194" s="559" t="s">
        <v>62</v>
      </c>
      <c r="D194" s="559" t="s">
        <v>23700</v>
      </c>
      <c r="E194" s="559" t="s">
        <v>217</v>
      </c>
      <c r="F194" s="564">
        <v>1</v>
      </c>
      <c r="G194" s="559" t="s">
        <v>194</v>
      </c>
      <c r="H194" s="559" t="s">
        <v>193</v>
      </c>
      <c r="I194" s="559" t="s">
        <v>23186</v>
      </c>
      <c r="J194" s="559" t="s">
        <v>23216</v>
      </c>
      <c r="K194" s="559" t="s">
        <v>9309</v>
      </c>
      <c r="L194" s="559" t="s">
        <v>6955</v>
      </c>
      <c r="M194" s="559"/>
      <c r="N194" s="559" t="s">
        <v>23310</v>
      </c>
      <c r="O194" s="559" t="s">
        <v>6363</v>
      </c>
      <c r="P194" s="559" t="s">
        <v>23799</v>
      </c>
      <c r="Q194" s="559" t="s">
        <v>23255</v>
      </c>
      <c r="R194" s="559" t="s">
        <v>23256</v>
      </c>
      <c r="S194" s="559" t="s">
        <v>23868</v>
      </c>
      <c r="T194" s="559" t="s">
        <v>23869</v>
      </c>
      <c r="U194" s="559"/>
      <c r="V194" s="603"/>
      <c r="W194" s="559" t="s">
        <v>601</v>
      </c>
      <c r="X194" s="559" t="s">
        <v>194</v>
      </c>
      <c r="Y194" s="559" t="s">
        <v>9946</v>
      </c>
      <c r="Z194" s="559"/>
      <c r="AA194" s="559"/>
      <c r="AB194" s="559" t="s">
        <v>9311</v>
      </c>
      <c r="AC194" s="559"/>
      <c r="AD194" s="559"/>
      <c r="AE194" s="559"/>
      <c r="AF194" s="559"/>
      <c r="AG194" s="559"/>
      <c r="AH194" s="559" t="s">
        <v>4714</v>
      </c>
      <c r="AI194" s="559" t="s">
        <v>9433</v>
      </c>
      <c r="AJ194" s="601" t="str">
        <f t="shared" si="4"/>
        <v>313904</v>
      </c>
      <c r="AK194" s="601">
        <v>1</v>
      </c>
      <c r="AL194" s="601">
        <f t="shared" si="5"/>
        <v>1</v>
      </c>
      <c r="AM194" s="601">
        <v>1</v>
      </c>
      <c r="AN194" s="603" t="s">
        <v>17650</v>
      </c>
      <c r="AO194" s="603" t="s">
        <v>17651</v>
      </c>
      <c r="AP194" s="603" t="s">
        <v>17652</v>
      </c>
      <c r="AQ194" s="603" t="s">
        <v>17653</v>
      </c>
      <c r="AR194" s="603" t="s">
        <v>1024</v>
      </c>
      <c r="AS194" s="559">
        <v>1</v>
      </c>
    </row>
    <row r="195" spans="1:45" x14ac:dyDescent="0.2">
      <c r="A195" s="559" t="s">
        <v>9886</v>
      </c>
      <c r="B195" s="559" t="s">
        <v>23220</v>
      </c>
      <c r="C195" s="559" t="s">
        <v>62</v>
      </c>
      <c r="D195" s="559" t="s">
        <v>23700</v>
      </c>
      <c r="E195" s="559" t="s">
        <v>217</v>
      </c>
      <c r="F195" s="564">
        <v>1</v>
      </c>
      <c r="G195" s="559" t="s">
        <v>194</v>
      </c>
      <c r="H195" s="559" t="s">
        <v>193</v>
      </c>
      <c r="I195" s="559" t="s">
        <v>23158</v>
      </c>
      <c r="J195" s="559" t="s">
        <v>23259</v>
      </c>
      <c r="K195" s="559" t="s">
        <v>9309</v>
      </c>
      <c r="L195" s="559" t="s">
        <v>6955</v>
      </c>
      <c r="M195" s="559"/>
      <c r="N195" s="559" t="s">
        <v>23313</v>
      </c>
      <c r="O195" s="559" t="s">
        <v>6363</v>
      </c>
      <c r="P195" s="559" t="s">
        <v>23799</v>
      </c>
      <c r="Q195" s="559" t="s">
        <v>23222</v>
      </c>
      <c r="R195" s="559" t="s">
        <v>23155</v>
      </c>
      <c r="S195" s="559" t="s">
        <v>23870</v>
      </c>
      <c r="T195" s="559" t="s">
        <v>23871</v>
      </c>
      <c r="U195" s="559"/>
      <c r="V195" s="603"/>
      <c r="W195" s="559" t="s">
        <v>601</v>
      </c>
      <c r="X195" s="559" t="s">
        <v>194</v>
      </c>
      <c r="Y195" s="559" t="s">
        <v>9946</v>
      </c>
      <c r="Z195" s="559"/>
      <c r="AA195" s="559"/>
      <c r="AB195" s="559" t="s">
        <v>9311</v>
      </c>
      <c r="AC195" s="559"/>
      <c r="AD195" s="559"/>
      <c r="AE195" s="559"/>
      <c r="AF195" s="559"/>
      <c r="AG195" s="559"/>
      <c r="AH195" s="559" t="s">
        <v>4714</v>
      </c>
      <c r="AI195" s="559" t="s">
        <v>9433</v>
      </c>
      <c r="AJ195" s="601" t="str">
        <f t="shared" ref="AJ195:AJ258" si="6">MID(W195,8,6)</f>
        <v>313904</v>
      </c>
      <c r="AK195" s="601">
        <v>1</v>
      </c>
      <c r="AL195" s="601">
        <f t="shared" ref="AL195:AL258" si="7">F195</f>
        <v>1</v>
      </c>
      <c r="AM195" s="601">
        <v>1</v>
      </c>
      <c r="AN195" s="603" t="s">
        <v>17650</v>
      </c>
      <c r="AO195" s="603" t="s">
        <v>17651</v>
      </c>
      <c r="AP195" s="603" t="s">
        <v>17652</v>
      </c>
      <c r="AQ195" s="603" t="s">
        <v>17653</v>
      </c>
      <c r="AR195" s="603" t="s">
        <v>1024</v>
      </c>
      <c r="AS195" s="559">
        <v>1</v>
      </c>
    </row>
    <row r="196" spans="1:45" x14ac:dyDescent="0.2">
      <c r="A196" s="559" t="s">
        <v>258</v>
      </c>
      <c r="B196" s="559" t="s">
        <v>23316</v>
      </c>
      <c r="C196" s="559" t="s">
        <v>778</v>
      </c>
      <c r="D196" s="559" t="s">
        <v>23700</v>
      </c>
      <c r="E196" s="559" t="s">
        <v>217</v>
      </c>
      <c r="F196" s="564">
        <v>1</v>
      </c>
      <c r="G196" s="559" t="s">
        <v>193</v>
      </c>
      <c r="H196" s="559" t="s">
        <v>194</v>
      </c>
      <c r="I196" s="559" t="s">
        <v>23708</v>
      </c>
      <c r="J196" s="559" t="s">
        <v>962</v>
      </c>
      <c r="K196" s="559" t="s">
        <v>9309</v>
      </c>
      <c r="L196" s="559" t="s">
        <v>6955</v>
      </c>
      <c r="M196" s="559"/>
      <c r="N196" s="559" t="s">
        <v>23317</v>
      </c>
      <c r="O196" s="559" t="s">
        <v>6269</v>
      </c>
      <c r="P196" s="559" t="s">
        <v>23799</v>
      </c>
      <c r="Q196" s="559" t="s">
        <v>23318</v>
      </c>
      <c r="R196" s="559" t="s">
        <v>23266</v>
      </c>
      <c r="S196" s="559" t="s">
        <v>23872</v>
      </c>
      <c r="T196" s="559" t="s">
        <v>23873</v>
      </c>
      <c r="U196" s="559"/>
      <c r="V196" s="559" t="s">
        <v>11394</v>
      </c>
      <c r="W196" s="559" t="s">
        <v>779</v>
      </c>
      <c r="X196" s="559" t="s">
        <v>194</v>
      </c>
      <c r="Y196" s="559" t="s">
        <v>9300</v>
      </c>
      <c r="Z196" s="559"/>
      <c r="AA196" s="559"/>
      <c r="AB196" s="559" t="s">
        <v>9311</v>
      </c>
      <c r="AC196" s="559"/>
      <c r="AD196" s="559"/>
      <c r="AE196" s="559"/>
      <c r="AF196" s="559"/>
      <c r="AG196" s="559"/>
      <c r="AH196" s="559" t="s">
        <v>4714</v>
      </c>
      <c r="AI196" s="559" t="s">
        <v>9433</v>
      </c>
      <c r="AJ196" s="601" t="str">
        <f t="shared" si="6"/>
        <v>524902</v>
      </c>
      <c r="AK196" s="601">
        <v>1</v>
      </c>
      <c r="AL196" s="601">
        <f t="shared" si="7"/>
        <v>1</v>
      </c>
      <c r="AM196" s="601">
        <v>1</v>
      </c>
      <c r="AN196" s="603" t="s">
        <v>17650</v>
      </c>
      <c r="AO196" s="603" t="s">
        <v>17651</v>
      </c>
      <c r="AP196" s="603" t="s">
        <v>17652</v>
      </c>
      <c r="AQ196" s="603" t="s">
        <v>17653</v>
      </c>
      <c r="AR196" s="603" t="s">
        <v>1024</v>
      </c>
      <c r="AS196" s="559">
        <v>1</v>
      </c>
    </row>
    <row r="197" spans="1:45" x14ac:dyDescent="0.2">
      <c r="A197" s="559" t="s">
        <v>9886</v>
      </c>
      <c r="B197" s="559" t="s">
        <v>23324</v>
      </c>
      <c r="C197" s="559" t="s">
        <v>706</v>
      </c>
      <c r="D197" s="559" t="s">
        <v>23700</v>
      </c>
      <c r="E197" s="559" t="s">
        <v>217</v>
      </c>
      <c r="F197" s="564">
        <v>1</v>
      </c>
      <c r="G197" s="559" t="s">
        <v>194</v>
      </c>
      <c r="H197" s="559" t="s">
        <v>193</v>
      </c>
      <c r="I197" s="559" t="s">
        <v>23186</v>
      </c>
      <c r="J197" s="559" t="s">
        <v>6080</v>
      </c>
      <c r="K197" s="559" t="s">
        <v>9309</v>
      </c>
      <c r="L197" s="559" t="s">
        <v>6955</v>
      </c>
      <c r="M197" s="559"/>
      <c r="N197" s="559" t="s">
        <v>23325</v>
      </c>
      <c r="O197" s="559" t="s">
        <v>6251</v>
      </c>
      <c r="P197" s="559" t="s">
        <v>23874</v>
      </c>
      <c r="Q197" s="559" t="s">
        <v>23326</v>
      </c>
      <c r="R197" s="559" t="s">
        <v>23875</v>
      </c>
      <c r="S197" s="559" t="s">
        <v>23876</v>
      </c>
      <c r="T197" s="559" t="s">
        <v>23877</v>
      </c>
      <c r="U197" s="559"/>
      <c r="V197" s="603"/>
      <c r="W197" s="559" t="s">
        <v>707</v>
      </c>
      <c r="X197" s="559" t="s">
        <v>193</v>
      </c>
      <c r="Y197" s="559" t="s">
        <v>9310</v>
      </c>
      <c r="Z197" s="559"/>
      <c r="AA197" s="559"/>
      <c r="AB197" s="559" t="s">
        <v>9311</v>
      </c>
      <c r="AC197" s="559"/>
      <c r="AD197" s="559"/>
      <c r="AE197" s="559"/>
      <c r="AF197" s="559"/>
      <c r="AG197" s="559"/>
      <c r="AH197" s="559" t="s">
        <v>4714</v>
      </c>
      <c r="AI197" s="559" t="s">
        <v>9433</v>
      </c>
      <c r="AJ197" s="601" t="str">
        <f t="shared" si="6"/>
        <v>422201</v>
      </c>
      <c r="AK197" s="601">
        <v>1</v>
      </c>
      <c r="AL197" s="601">
        <f t="shared" si="7"/>
        <v>1</v>
      </c>
      <c r="AM197" s="601">
        <v>1</v>
      </c>
      <c r="AN197" s="603" t="s">
        <v>17650</v>
      </c>
      <c r="AO197" s="603" t="s">
        <v>17651</v>
      </c>
      <c r="AP197" s="603" t="s">
        <v>17652</v>
      </c>
      <c r="AQ197" s="603" t="s">
        <v>17653</v>
      </c>
      <c r="AR197" s="603" t="s">
        <v>1024</v>
      </c>
      <c r="AS197" s="559">
        <v>1</v>
      </c>
    </row>
    <row r="198" spans="1:45" x14ac:dyDescent="0.2">
      <c r="A198" s="559" t="s">
        <v>23858</v>
      </c>
      <c r="B198" s="559" t="s">
        <v>23878</v>
      </c>
      <c r="C198" s="559" t="s">
        <v>110</v>
      </c>
      <c r="D198" s="559" t="s">
        <v>23700</v>
      </c>
      <c r="E198" s="559" t="s">
        <v>217</v>
      </c>
      <c r="F198" s="564">
        <v>1</v>
      </c>
      <c r="G198" s="559" t="s">
        <v>193</v>
      </c>
      <c r="H198" s="559" t="s">
        <v>194</v>
      </c>
      <c r="I198" s="559" t="s">
        <v>23151</v>
      </c>
      <c r="J198" s="559" t="s">
        <v>23860</v>
      </c>
      <c r="K198" s="559" t="s">
        <v>9309</v>
      </c>
      <c r="L198" s="559" t="s">
        <v>6955</v>
      </c>
      <c r="M198" s="559"/>
      <c r="N198" s="559" t="s">
        <v>23879</v>
      </c>
      <c r="O198" s="559" t="s">
        <v>6275</v>
      </c>
      <c r="P198" s="559" t="s">
        <v>23799</v>
      </c>
      <c r="Q198" s="559" t="s">
        <v>23355</v>
      </c>
      <c r="R198" s="559" t="s">
        <v>23307</v>
      </c>
      <c r="S198" s="559" t="s">
        <v>23880</v>
      </c>
      <c r="T198" s="559" t="s">
        <v>23881</v>
      </c>
      <c r="U198" s="559"/>
      <c r="V198" s="559" t="s">
        <v>9468</v>
      </c>
      <c r="W198" s="559" t="s">
        <v>621</v>
      </c>
      <c r="X198" s="559" t="s">
        <v>194</v>
      </c>
      <c r="Y198" s="559" t="s">
        <v>9300</v>
      </c>
      <c r="Z198" s="559"/>
      <c r="AA198" s="559"/>
      <c r="AB198" s="559" t="s">
        <v>9311</v>
      </c>
      <c r="AC198" s="559"/>
      <c r="AD198" s="559"/>
      <c r="AE198" s="559"/>
      <c r="AF198" s="559"/>
      <c r="AG198" s="559"/>
      <c r="AH198" s="559" t="s">
        <v>4714</v>
      </c>
      <c r="AI198" s="559" t="s">
        <v>9433</v>
      </c>
      <c r="AJ198" s="601" t="str">
        <f t="shared" si="6"/>
        <v>332201</v>
      </c>
      <c r="AK198" s="601">
        <v>1</v>
      </c>
      <c r="AL198" s="601">
        <f t="shared" si="7"/>
        <v>1</v>
      </c>
      <c r="AM198" s="601">
        <v>1</v>
      </c>
      <c r="AN198" s="603" t="s">
        <v>17650</v>
      </c>
      <c r="AO198" s="603" t="s">
        <v>17651</v>
      </c>
      <c r="AP198" s="603" t="s">
        <v>17652</v>
      </c>
      <c r="AQ198" s="603" t="s">
        <v>17653</v>
      </c>
      <c r="AR198" s="603" t="s">
        <v>1024</v>
      </c>
      <c r="AS198" s="559">
        <v>1</v>
      </c>
    </row>
    <row r="199" spans="1:45" x14ac:dyDescent="0.2">
      <c r="A199" s="559" t="s">
        <v>9886</v>
      </c>
      <c r="B199" s="559" t="s">
        <v>23253</v>
      </c>
      <c r="C199" s="559" t="s">
        <v>62</v>
      </c>
      <c r="D199" s="559" t="s">
        <v>23700</v>
      </c>
      <c r="E199" s="559" t="s">
        <v>217</v>
      </c>
      <c r="F199" s="564">
        <v>1</v>
      </c>
      <c r="G199" s="559" t="s">
        <v>194</v>
      </c>
      <c r="H199" s="559" t="s">
        <v>193</v>
      </c>
      <c r="I199" s="559" t="s">
        <v>23186</v>
      </c>
      <c r="J199" s="559" t="s">
        <v>23249</v>
      </c>
      <c r="K199" s="559" t="s">
        <v>9309</v>
      </c>
      <c r="L199" s="559" t="s">
        <v>6955</v>
      </c>
      <c r="M199" s="559"/>
      <c r="N199" s="559" t="s">
        <v>23333</v>
      </c>
      <c r="O199" s="559" t="s">
        <v>6363</v>
      </c>
      <c r="P199" s="559" t="s">
        <v>23799</v>
      </c>
      <c r="Q199" s="559" t="s">
        <v>23255</v>
      </c>
      <c r="R199" s="559" t="s">
        <v>23256</v>
      </c>
      <c r="S199" s="559" t="s">
        <v>23882</v>
      </c>
      <c r="T199" s="559" t="s">
        <v>23883</v>
      </c>
      <c r="U199" s="559"/>
      <c r="V199" s="603"/>
      <c r="W199" s="559" t="s">
        <v>601</v>
      </c>
      <c r="X199" s="559" t="s">
        <v>194</v>
      </c>
      <c r="Y199" s="559" t="s">
        <v>9946</v>
      </c>
      <c r="Z199" s="559"/>
      <c r="AA199" s="559"/>
      <c r="AB199" s="559" t="s">
        <v>9311</v>
      </c>
      <c r="AC199" s="559"/>
      <c r="AD199" s="559"/>
      <c r="AE199" s="559"/>
      <c r="AF199" s="559"/>
      <c r="AG199" s="559"/>
      <c r="AH199" s="559" t="s">
        <v>4714</v>
      </c>
      <c r="AI199" s="559" t="s">
        <v>9433</v>
      </c>
      <c r="AJ199" s="601" t="str">
        <f t="shared" si="6"/>
        <v>313904</v>
      </c>
      <c r="AK199" s="601">
        <v>1</v>
      </c>
      <c r="AL199" s="601">
        <f t="shared" si="7"/>
        <v>1</v>
      </c>
      <c r="AM199" s="601">
        <v>1</v>
      </c>
      <c r="AN199" s="603" t="s">
        <v>17650</v>
      </c>
      <c r="AO199" s="603" t="s">
        <v>17651</v>
      </c>
      <c r="AP199" s="603" t="s">
        <v>17652</v>
      </c>
      <c r="AQ199" s="603" t="s">
        <v>17653</v>
      </c>
      <c r="AR199" s="603" t="s">
        <v>1024</v>
      </c>
      <c r="AS199" s="559">
        <v>1</v>
      </c>
    </row>
    <row r="200" spans="1:45" x14ac:dyDescent="0.2">
      <c r="A200" s="559" t="s">
        <v>9886</v>
      </c>
      <c r="B200" s="559" t="s">
        <v>23209</v>
      </c>
      <c r="C200" s="559" t="s">
        <v>8136</v>
      </c>
      <c r="D200" s="559" t="s">
        <v>23700</v>
      </c>
      <c r="E200" s="559" t="s">
        <v>217</v>
      </c>
      <c r="F200" s="564">
        <v>1</v>
      </c>
      <c r="G200" s="559" t="s">
        <v>194</v>
      </c>
      <c r="H200" s="559" t="s">
        <v>193</v>
      </c>
      <c r="I200" s="559" t="s">
        <v>23186</v>
      </c>
      <c r="J200" s="559" t="s">
        <v>23336</v>
      </c>
      <c r="K200" s="559" t="s">
        <v>9309</v>
      </c>
      <c r="L200" s="559" t="s">
        <v>6955</v>
      </c>
      <c r="M200" s="559"/>
      <c r="N200" s="559" t="s">
        <v>23337</v>
      </c>
      <c r="O200" s="559" t="s">
        <v>6363</v>
      </c>
      <c r="P200" s="559" t="s">
        <v>23799</v>
      </c>
      <c r="Q200" s="559" t="s">
        <v>23212</v>
      </c>
      <c r="R200" s="559" t="s">
        <v>23213</v>
      </c>
      <c r="S200" s="559" t="s">
        <v>23884</v>
      </c>
      <c r="T200" s="559" t="s">
        <v>23885</v>
      </c>
      <c r="U200" s="559"/>
      <c r="V200" s="603"/>
      <c r="W200" s="559" t="s">
        <v>8138</v>
      </c>
      <c r="X200" s="559" t="s">
        <v>194</v>
      </c>
      <c r="Y200" s="559" t="s">
        <v>9946</v>
      </c>
      <c r="Z200" s="559"/>
      <c r="AA200" s="559"/>
      <c r="AB200" s="559" t="s">
        <v>9311</v>
      </c>
      <c r="AC200" s="559"/>
      <c r="AD200" s="559"/>
      <c r="AE200" s="559"/>
      <c r="AF200" s="559"/>
      <c r="AG200" s="559"/>
      <c r="AH200" s="559" t="s">
        <v>4714</v>
      </c>
      <c r="AI200" s="559" t="s">
        <v>9433</v>
      </c>
      <c r="AJ200" s="601" t="str">
        <f t="shared" si="6"/>
        <v>821905</v>
      </c>
      <c r="AK200" s="601">
        <v>1</v>
      </c>
      <c r="AL200" s="601">
        <f t="shared" si="7"/>
        <v>1</v>
      </c>
      <c r="AM200" s="601">
        <v>1</v>
      </c>
      <c r="AN200" s="603" t="s">
        <v>17650</v>
      </c>
      <c r="AO200" s="603" t="s">
        <v>17651</v>
      </c>
      <c r="AP200" s="603" t="s">
        <v>17652</v>
      </c>
      <c r="AQ200" s="603" t="s">
        <v>17653</v>
      </c>
      <c r="AR200" s="603" t="s">
        <v>1024</v>
      </c>
      <c r="AS200" s="559">
        <v>1</v>
      </c>
    </row>
    <row r="201" spans="1:45" x14ac:dyDescent="0.2">
      <c r="A201" s="559" t="s">
        <v>581</v>
      </c>
      <c r="B201" s="559" t="s">
        <v>23340</v>
      </c>
      <c r="C201" s="559" t="s">
        <v>574</v>
      </c>
      <c r="D201" s="559" t="s">
        <v>23700</v>
      </c>
      <c r="E201" s="559" t="s">
        <v>217</v>
      </c>
      <c r="F201" s="564">
        <v>1</v>
      </c>
      <c r="G201" s="559" t="s">
        <v>193</v>
      </c>
      <c r="H201" s="559" t="s">
        <v>194</v>
      </c>
      <c r="I201" s="559" t="s">
        <v>23158</v>
      </c>
      <c r="J201" s="559" t="s">
        <v>2252</v>
      </c>
      <c r="K201" s="559" t="s">
        <v>9309</v>
      </c>
      <c r="L201" s="559" t="s">
        <v>6955</v>
      </c>
      <c r="M201" s="559"/>
      <c r="N201" s="559" t="s">
        <v>23341</v>
      </c>
      <c r="O201" s="559" t="s">
        <v>6275</v>
      </c>
      <c r="P201" s="559" t="s">
        <v>23799</v>
      </c>
      <c r="Q201" s="559" t="s">
        <v>23359</v>
      </c>
      <c r="R201" s="559" t="s">
        <v>23291</v>
      </c>
      <c r="S201" s="559" t="s">
        <v>23886</v>
      </c>
      <c r="T201" s="559" t="s">
        <v>23887</v>
      </c>
      <c r="U201" s="559"/>
      <c r="V201" s="559" t="s">
        <v>9726</v>
      </c>
      <c r="W201" s="559" t="s">
        <v>576</v>
      </c>
      <c r="X201" s="559" t="s">
        <v>194</v>
      </c>
      <c r="Y201" s="559" t="s">
        <v>9300</v>
      </c>
      <c r="Z201" s="559"/>
      <c r="AA201" s="559"/>
      <c r="AB201" s="559" t="s">
        <v>9311</v>
      </c>
      <c r="AC201" s="559"/>
      <c r="AD201" s="559"/>
      <c r="AE201" s="559"/>
      <c r="AF201" s="559"/>
      <c r="AG201" s="559"/>
      <c r="AH201" s="559" t="s">
        <v>4714</v>
      </c>
      <c r="AI201" s="559" t="s">
        <v>9433</v>
      </c>
      <c r="AJ201" s="601" t="str">
        <f t="shared" si="6"/>
        <v>311509</v>
      </c>
      <c r="AK201" s="601">
        <v>1</v>
      </c>
      <c r="AL201" s="601">
        <f t="shared" si="7"/>
        <v>1</v>
      </c>
      <c r="AM201" s="601">
        <v>1</v>
      </c>
      <c r="AN201" s="603" t="s">
        <v>17650</v>
      </c>
      <c r="AO201" s="603" t="s">
        <v>17651</v>
      </c>
      <c r="AP201" s="603" t="s">
        <v>17652</v>
      </c>
      <c r="AQ201" s="603" t="s">
        <v>17653</v>
      </c>
      <c r="AR201" s="603" t="s">
        <v>1024</v>
      </c>
      <c r="AS201" s="559">
        <v>1</v>
      </c>
    </row>
    <row r="202" spans="1:45" x14ac:dyDescent="0.2">
      <c r="A202" s="559" t="s">
        <v>9886</v>
      </c>
      <c r="B202" s="559" t="s">
        <v>23209</v>
      </c>
      <c r="C202" s="559" t="s">
        <v>8136</v>
      </c>
      <c r="D202" s="559" t="s">
        <v>23700</v>
      </c>
      <c r="E202" s="559" t="s">
        <v>217</v>
      </c>
      <c r="F202" s="564">
        <v>1</v>
      </c>
      <c r="G202" s="559" t="s">
        <v>194</v>
      </c>
      <c r="H202" s="559" t="s">
        <v>193</v>
      </c>
      <c r="I202" s="559" t="s">
        <v>23186</v>
      </c>
      <c r="J202" s="559" t="s">
        <v>23344</v>
      </c>
      <c r="K202" s="559" t="s">
        <v>9309</v>
      </c>
      <c r="L202" s="559" t="s">
        <v>6955</v>
      </c>
      <c r="M202" s="559"/>
      <c r="N202" s="559" t="s">
        <v>23345</v>
      </c>
      <c r="O202" s="559" t="s">
        <v>6363</v>
      </c>
      <c r="P202" s="559" t="s">
        <v>23799</v>
      </c>
      <c r="Q202" s="559" t="s">
        <v>23212</v>
      </c>
      <c r="R202" s="559" t="s">
        <v>23213</v>
      </c>
      <c r="S202" s="559" t="s">
        <v>23888</v>
      </c>
      <c r="T202" s="559" t="s">
        <v>23889</v>
      </c>
      <c r="U202" s="559"/>
      <c r="V202" s="603"/>
      <c r="W202" s="559" t="s">
        <v>8138</v>
      </c>
      <c r="X202" s="559" t="s">
        <v>194</v>
      </c>
      <c r="Y202" s="559" t="s">
        <v>9946</v>
      </c>
      <c r="Z202" s="559"/>
      <c r="AA202" s="559"/>
      <c r="AB202" s="559" t="s">
        <v>9311</v>
      </c>
      <c r="AC202" s="559"/>
      <c r="AD202" s="559"/>
      <c r="AE202" s="559"/>
      <c r="AF202" s="559"/>
      <c r="AG202" s="559"/>
      <c r="AH202" s="559" t="s">
        <v>4714</v>
      </c>
      <c r="AI202" s="559" t="s">
        <v>9433</v>
      </c>
      <c r="AJ202" s="601" t="str">
        <f t="shared" si="6"/>
        <v>821905</v>
      </c>
      <c r="AK202" s="601">
        <v>1</v>
      </c>
      <c r="AL202" s="601">
        <f t="shared" si="7"/>
        <v>1</v>
      </c>
      <c r="AM202" s="601">
        <v>1</v>
      </c>
      <c r="AN202" s="603" t="s">
        <v>17650</v>
      </c>
      <c r="AO202" s="603" t="s">
        <v>17651</v>
      </c>
      <c r="AP202" s="603" t="s">
        <v>17652</v>
      </c>
      <c r="AQ202" s="603" t="s">
        <v>17653</v>
      </c>
      <c r="AR202" s="603" t="s">
        <v>1024</v>
      </c>
      <c r="AS202" s="559">
        <v>1</v>
      </c>
    </row>
    <row r="203" spans="1:45" x14ac:dyDescent="0.2">
      <c r="A203" s="559" t="s">
        <v>4022</v>
      </c>
      <c r="B203" s="559" t="s">
        <v>8022</v>
      </c>
      <c r="C203" s="559" t="s">
        <v>7617</v>
      </c>
      <c r="D203" s="559" t="s">
        <v>23700</v>
      </c>
      <c r="E203" s="559" t="s">
        <v>217</v>
      </c>
      <c r="F203" s="564">
        <v>1</v>
      </c>
      <c r="G203" s="559" t="s">
        <v>193</v>
      </c>
      <c r="H203" s="559" t="s">
        <v>194</v>
      </c>
      <c r="I203" s="559" t="s">
        <v>23307</v>
      </c>
      <c r="J203" s="559" t="s">
        <v>210</v>
      </c>
      <c r="K203" s="559" t="s">
        <v>9309</v>
      </c>
      <c r="L203" s="559" t="s">
        <v>6955</v>
      </c>
      <c r="M203" s="559"/>
      <c r="N203" s="559" t="s">
        <v>20793</v>
      </c>
      <c r="O203" s="559" t="s">
        <v>6290</v>
      </c>
      <c r="P203" s="559" t="s">
        <v>23799</v>
      </c>
      <c r="Q203" s="559" t="s">
        <v>23800</v>
      </c>
      <c r="R203" s="559" t="s">
        <v>23198</v>
      </c>
      <c r="S203" s="559" t="s">
        <v>23890</v>
      </c>
      <c r="T203" s="559" t="s">
        <v>23891</v>
      </c>
      <c r="U203" s="559"/>
      <c r="V203" s="559" t="s">
        <v>9334</v>
      </c>
      <c r="W203" s="559" t="s">
        <v>7620</v>
      </c>
      <c r="X203" s="559" t="s">
        <v>194</v>
      </c>
      <c r="Y203" s="559" t="s">
        <v>9300</v>
      </c>
      <c r="Z203" s="559"/>
      <c r="AA203" s="559"/>
      <c r="AB203" s="559" t="s">
        <v>9311</v>
      </c>
      <c r="AC203" s="559"/>
      <c r="AD203" s="559"/>
      <c r="AE203" s="559"/>
      <c r="AF203" s="559"/>
      <c r="AG203" s="559"/>
      <c r="AH203" s="559" t="s">
        <v>4714</v>
      </c>
      <c r="AI203" s="559" t="s">
        <v>9433</v>
      </c>
      <c r="AJ203" s="601" t="str">
        <f t="shared" si="6"/>
        <v>516903</v>
      </c>
      <c r="AK203" s="601">
        <v>1</v>
      </c>
      <c r="AL203" s="601">
        <f t="shared" si="7"/>
        <v>1</v>
      </c>
      <c r="AM203" s="601">
        <v>1</v>
      </c>
      <c r="AN203" s="603" t="s">
        <v>17650</v>
      </c>
      <c r="AO203" s="603" t="s">
        <v>17651</v>
      </c>
      <c r="AP203" s="603" t="s">
        <v>17652</v>
      </c>
      <c r="AQ203" s="603" t="s">
        <v>17653</v>
      </c>
      <c r="AR203" s="603" t="s">
        <v>1024</v>
      </c>
      <c r="AS203" s="559">
        <v>1</v>
      </c>
    </row>
    <row r="204" spans="1:45" x14ac:dyDescent="0.2">
      <c r="A204" s="559" t="s">
        <v>581</v>
      </c>
      <c r="B204" s="559" t="s">
        <v>22332</v>
      </c>
      <c r="C204" s="559" t="s">
        <v>83</v>
      </c>
      <c r="D204" s="559" t="s">
        <v>23700</v>
      </c>
      <c r="E204" s="559" t="s">
        <v>217</v>
      </c>
      <c r="F204" s="564">
        <v>1</v>
      </c>
      <c r="G204" s="559" t="s">
        <v>193</v>
      </c>
      <c r="H204" s="559" t="s">
        <v>194</v>
      </c>
      <c r="I204" s="559" t="s">
        <v>23307</v>
      </c>
      <c r="J204" s="559" t="s">
        <v>253</v>
      </c>
      <c r="K204" s="559" t="s">
        <v>9309</v>
      </c>
      <c r="L204" s="559" t="s">
        <v>6955</v>
      </c>
      <c r="M204" s="559"/>
      <c r="N204" s="559" t="s">
        <v>23350</v>
      </c>
      <c r="O204" s="559" t="s">
        <v>6275</v>
      </c>
      <c r="P204" s="559" t="s">
        <v>23799</v>
      </c>
      <c r="Q204" s="559" t="s">
        <v>23800</v>
      </c>
      <c r="R204" s="559" t="s">
        <v>23160</v>
      </c>
      <c r="S204" s="559" t="s">
        <v>23892</v>
      </c>
      <c r="T204" s="559" t="s">
        <v>23893</v>
      </c>
      <c r="U204" s="559"/>
      <c r="V204" s="559" t="s">
        <v>9468</v>
      </c>
      <c r="W204" s="559" t="s">
        <v>791</v>
      </c>
      <c r="X204" s="559" t="s">
        <v>194</v>
      </c>
      <c r="Y204" s="559" t="s">
        <v>9300</v>
      </c>
      <c r="Z204" s="559"/>
      <c r="AA204" s="559"/>
      <c r="AB204" s="559" t="s">
        <v>9311</v>
      </c>
      <c r="AC204" s="559"/>
      <c r="AD204" s="559"/>
      <c r="AE204" s="559"/>
      <c r="AF204" s="559"/>
      <c r="AG204" s="559"/>
      <c r="AH204" s="559" t="s">
        <v>4714</v>
      </c>
      <c r="AI204" s="559" t="s">
        <v>9433</v>
      </c>
      <c r="AJ204" s="601" t="str">
        <f t="shared" si="6"/>
        <v>721204</v>
      </c>
      <c r="AK204" s="601">
        <v>1</v>
      </c>
      <c r="AL204" s="601">
        <f t="shared" si="7"/>
        <v>1</v>
      </c>
      <c r="AM204" s="601">
        <v>1</v>
      </c>
      <c r="AN204" s="603" t="s">
        <v>17650</v>
      </c>
      <c r="AO204" s="603" t="s">
        <v>17651</v>
      </c>
      <c r="AP204" s="603" t="s">
        <v>17652</v>
      </c>
      <c r="AQ204" s="603" t="s">
        <v>17653</v>
      </c>
      <c r="AR204" s="603" t="s">
        <v>1024</v>
      </c>
      <c r="AS204" s="559">
        <v>1</v>
      </c>
    </row>
    <row r="205" spans="1:45" x14ac:dyDescent="0.2">
      <c r="A205" s="559" t="s">
        <v>581</v>
      </c>
      <c r="B205" s="559" t="s">
        <v>23353</v>
      </c>
      <c r="C205" s="559" t="s">
        <v>554</v>
      </c>
      <c r="D205" s="559" t="s">
        <v>23700</v>
      </c>
      <c r="E205" s="559" t="s">
        <v>217</v>
      </c>
      <c r="F205" s="564">
        <v>1</v>
      </c>
      <c r="G205" s="559" t="s">
        <v>193</v>
      </c>
      <c r="H205" s="559" t="s">
        <v>194</v>
      </c>
      <c r="I205" s="559" t="s">
        <v>23158</v>
      </c>
      <c r="J205" s="559" t="s">
        <v>253</v>
      </c>
      <c r="K205" s="559" t="s">
        <v>9309</v>
      </c>
      <c r="L205" s="559" t="s">
        <v>6955</v>
      </c>
      <c r="M205" s="559"/>
      <c r="N205" s="559" t="s">
        <v>23354</v>
      </c>
      <c r="O205" s="559" t="s">
        <v>6258</v>
      </c>
      <c r="P205" s="559" t="s">
        <v>23799</v>
      </c>
      <c r="Q205" s="559" t="s">
        <v>23127</v>
      </c>
      <c r="R205" s="559" t="s">
        <v>23256</v>
      </c>
      <c r="S205" s="559" t="s">
        <v>23894</v>
      </c>
      <c r="T205" s="559" t="s">
        <v>23895</v>
      </c>
      <c r="U205" s="559"/>
      <c r="V205" s="559" t="s">
        <v>9468</v>
      </c>
      <c r="W205" s="559" t="s">
        <v>555</v>
      </c>
      <c r="X205" s="559" t="s">
        <v>194</v>
      </c>
      <c r="Y205" s="559" t="s">
        <v>9300</v>
      </c>
      <c r="Z205" s="559"/>
      <c r="AA205" s="559"/>
      <c r="AB205" s="559" t="s">
        <v>9311</v>
      </c>
      <c r="AC205" s="559"/>
      <c r="AD205" s="559"/>
      <c r="AE205" s="559"/>
      <c r="AF205" s="559"/>
      <c r="AG205" s="559"/>
      <c r="AH205" s="559" t="s">
        <v>4714</v>
      </c>
      <c r="AI205" s="559" t="s">
        <v>9433</v>
      </c>
      <c r="AJ205" s="601" t="str">
        <f t="shared" si="6"/>
        <v>311303</v>
      </c>
      <c r="AK205" s="601">
        <v>1</v>
      </c>
      <c r="AL205" s="601">
        <f t="shared" si="7"/>
        <v>1</v>
      </c>
      <c r="AM205" s="601">
        <v>1</v>
      </c>
      <c r="AN205" s="603" t="s">
        <v>17650</v>
      </c>
      <c r="AO205" s="603" t="s">
        <v>17651</v>
      </c>
      <c r="AP205" s="603" t="s">
        <v>17652</v>
      </c>
      <c r="AQ205" s="603" t="s">
        <v>17653</v>
      </c>
      <c r="AR205" s="603" t="s">
        <v>1024</v>
      </c>
      <c r="AS205" s="559">
        <v>1</v>
      </c>
    </row>
    <row r="206" spans="1:45" x14ac:dyDescent="0.2">
      <c r="A206" s="559" t="s">
        <v>9886</v>
      </c>
      <c r="B206" s="559" t="s">
        <v>23209</v>
      </c>
      <c r="C206" s="559" t="s">
        <v>8136</v>
      </c>
      <c r="D206" s="559" t="s">
        <v>23700</v>
      </c>
      <c r="E206" s="559" t="s">
        <v>217</v>
      </c>
      <c r="F206" s="564">
        <v>1</v>
      </c>
      <c r="G206" s="559" t="s">
        <v>194</v>
      </c>
      <c r="H206" s="559" t="s">
        <v>193</v>
      </c>
      <c r="I206" s="559" t="s">
        <v>23186</v>
      </c>
      <c r="J206" s="559" t="s">
        <v>23362</v>
      </c>
      <c r="K206" s="559" t="s">
        <v>9309</v>
      </c>
      <c r="L206" s="559" t="s">
        <v>6955</v>
      </c>
      <c r="M206" s="559"/>
      <c r="N206" s="559" t="s">
        <v>23363</v>
      </c>
      <c r="O206" s="559" t="s">
        <v>6363</v>
      </c>
      <c r="P206" s="559" t="s">
        <v>23799</v>
      </c>
      <c r="Q206" s="559" t="s">
        <v>23212</v>
      </c>
      <c r="R206" s="559" t="s">
        <v>23213</v>
      </c>
      <c r="S206" s="559" t="s">
        <v>23896</v>
      </c>
      <c r="T206" s="559" t="s">
        <v>23897</v>
      </c>
      <c r="U206" s="559"/>
      <c r="V206" s="603"/>
      <c r="W206" s="559" t="s">
        <v>8138</v>
      </c>
      <c r="X206" s="559" t="s">
        <v>194</v>
      </c>
      <c r="Y206" s="559" t="s">
        <v>9946</v>
      </c>
      <c r="Z206" s="559"/>
      <c r="AA206" s="559"/>
      <c r="AB206" s="559" t="s">
        <v>9311</v>
      </c>
      <c r="AC206" s="559"/>
      <c r="AD206" s="559"/>
      <c r="AE206" s="559"/>
      <c r="AF206" s="559"/>
      <c r="AG206" s="559"/>
      <c r="AH206" s="559" t="s">
        <v>4714</v>
      </c>
      <c r="AI206" s="559" t="s">
        <v>9433</v>
      </c>
      <c r="AJ206" s="601" t="str">
        <f t="shared" si="6"/>
        <v>821905</v>
      </c>
      <c r="AK206" s="601">
        <v>1</v>
      </c>
      <c r="AL206" s="601">
        <f t="shared" si="7"/>
        <v>1</v>
      </c>
      <c r="AM206" s="601">
        <v>1</v>
      </c>
      <c r="AN206" s="603" t="s">
        <v>17650</v>
      </c>
      <c r="AO206" s="603" t="s">
        <v>17651</v>
      </c>
      <c r="AP206" s="603" t="s">
        <v>17652</v>
      </c>
      <c r="AQ206" s="603" t="s">
        <v>17653</v>
      </c>
      <c r="AR206" s="603" t="s">
        <v>1024</v>
      </c>
      <c r="AS206" s="559">
        <v>1</v>
      </c>
    </row>
    <row r="207" spans="1:45" x14ac:dyDescent="0.2">
      <c r="A207" s="559" t="s">
        <v>9886</v>
      </c>
      <c r="B207" s="559" t="s">
        <v>23209</v>
      </c>
      <c r="C207" s="559" t="s">
        <v>8136</v>
      </c>
      <c r="D207" s="559" t="s">
        <v>23700</v>
      </c>
      <c r="E207" s="559" t="s">
        <v>217</v>
      </c>
      <c r="F207" s="564">
        <v>1</v>
      </c>
      <c r="G207" s="559" t="s">
        <v>194</v>
      </c>
      <c r="H207" s="559" t="s">
        <v>193</v>
      </c>
      <c r="I207" s="559" t="s">
        <v>23186</v>
      </c>
      <c r="J207" s="559" t="s">
        <v>23259</v>
      </c>
      <c r="K207" s="559" t="s">
        <v>9309</v>
      </c>
      <c r="L207" s="559" t="s">
        <v>6955</v>
      </c>
      <c r="M207" s="559"/>
      <c r="N207" s="559" t="s">
        <v>23366</v>
      </c>
      <c r="O207" s="559" t="s">
        <v>6363</v>
      </c>
      <c r="P207" s="559" t="s">
        <v>23799</v>
      </c>
      <c r="Q207" s="559" t="s">
        <v>23212</v>
      </c>
      <c r="R207" s="559" t="s">
        <v>23213</v>
      </c>
      <c r="S207" s="559" t="s">
        <v>23898</v>
      </c>
      <c r="T207" s="559" t="s">
        <v>23899</v>
      </c>
      <c r="U207" s="559"/>
      <c r="V207" s="603"/>
      <c r="W207" s="559" t="s">
        <v>8138</v>
      </c>
      <c r="X207" s="559" t="s">
        <v>194</v>
      </c>
      <c r="Y207" s="559" t="s">
        <v>9946</v>
      </c>
      <c r="Z207" s="559"/>
      <c r="AA207" s="559"/>
      <c r="AB207" s="559" t="s">
        <v>9311</v>
      </c>
      <c r="AC207" s="559"/>
      <c r="AD207" s="559"/>
      <c r="AE207" s="559"/>
      <c r="AF207" s="559"/>
      <c r="AG207" s="559"/>
      <c r="AH207" s="559" t="s">
        <v>4714</v>
      </c>
      <c r="AI207" s="559" t="s">
        <v>9433</v>
      </c>
      <c r="AJ207" s="601" t="str">
        <f t="shared" si="6"/>
        <v>821905</v>
      </c>
      <c r="AK207" s="601">
        <v>1</v>
      </c>
      <c r="AL207" s="601">
        <f t="shared" si="7"/>
        <v>1</v>
      </c>
      <c r="AM207" s="601">
        <v>1</v>
      </c>
      <c r="AN207" s="603" t="s">
        <v>17650</v>
      </c>
      <c r="AO207" s="603" t="s">
        <v>17651</v>
      </c>
      <c r="AP207" s="603" t="s">
        <v>17652</v>
      </c>
      <c r="AQ207" s="603" t="s">
        <v>17653</v>
      </c>
      <c r="AR207" s="603" t="s">
        <v>1024</v>
      </c>
      <c r="AS207" s="559">
        <v>1</v>
      </c>
    </row>
    <row r="208" spans="1:45" x14ac:dyDescent="0.2">
      <c r="A208" s="559" t="s">
        <v>9886</v>
      </c>
      <c r="B208" s="559" t="s">
        <v>23209</v>
      </c>
      <c r="C208" s="559" t="s">
        <v>8136</v>
      </c>
      <c r="D208" s="559" t="s">
        <v>23700</v>
      </c>
      <c r="E208" s="559" t="s">
        <v>217</v>
      </c>
      <c r="F208" s="564">
        <v>1</v>
      </c>
      <c r="G208" s="559" t="s">
        <v>194</v>
      </c>
      <c r="H208" s="559" t="s">
        <v>193</v>
      </c>
      <c r="I208" s="559" t="s">
        <v>23186</v>
      </c>
      <c r="J208" s="559" t="s">
        <v>23369</v>
      </c>
      <c r="K208" s="559" t="s">
        <v>9309</v>
      </c>
      <c r="L208" s="559" t="s">
        <v>6955</v>
      </c>
      <c r="M208" s="559"/>
      <c r="N208" s="559" t="s">
        <v>23370</v>
      </c>
      <c r="O208" s="559" t="s">
        <v>6363</v>
      </c>
      <c r="P208" s="559" t="s">
        <v>23799</v>
      </c>
      <c r="Q208" s="559" t="s">
        <v>23212</v>
      </c>
      <c r="R208" s="559" t="s">
        <v>23213</v>
      </c>
      <c r="S208" s="559" t="s">
        <v>23900</v>
      </c>
      <c r="T208" s="559" t="s">
        <v>23901</v>
      </c>
      <c r="U208" s="559"/>
      <c r="V208" s="603"/>
      <c r="W208" s="559" t="s">
        <v>8138</v>
      </c>
      <c r="X208" s="559" t="s">
        <v>194</v>
      </c>
      <c r="Y208" s="559" t="s">
        <v>9946</v>
      </c>
      <c r="Z208" s="559"/>
      <c r="AA208" s="559"/>
      <c r="AB208" s="559" t="s">
        <v>9311</v>
      </c>
      <c r="AC208" s="559"/>
      <c r="AD208" s="559"/>
      <c r="AE208" s="559"/>
      <c r="AF208" s="559"/>
      <c r="AG208" s="559"/>
      <c r="AH208" s="559" t="s">
        <v>4714</v>
      </c>
      <c r="AI208" s="559" t="s">
        <v>9433</v>
      </c>
      <c r="AJ208" s="601" t="str">
        <f t="shared" si="6"/>
        <v>821905</v>
      </c>
      <c r="AK208" s="601">
        <v>1</v>
      </c>
      <c r="AL208" s="601">
        <f t="shared" si="7"/>
        <v>1</v>
      </c>
      <c r="AM208" s="601">
        <v>1</v>
      </c>
      <c r="AN208" s="603" t="s">
        <v>17650</v>
      </c>
      <c r="AO208" s="603" t="s">
        <v>17651</v>
      </c>
      <c r="AP208" s="603" t="s">
        <v>17652</v>
      </c>
      <c r="AQ208" s="603" t="s">
        <v>17653</v>
      </c>
      <c r="AR208" s="603" t="s">
        <v>1024</v>
      </c>
      <c r="AS208" s="559">
        <v>1</v>
      </c>
    </row>
    <row r="209" spans="1:45" x14ac:dyDescent="0.2">
      <c r="A209" s="559" t="s">
        <v>9886</v>
      </c>
      <c r="B209" s="559" t="s">
        <v>14955</v>
      </c>
      <c r="C209" s="559" t="s">
        <v>62</v>
      </c>
      <c r="D209" s="559" t="s">
        <v>23700</v>
      </c>
      <c r="E209" s="559" t="s">
        <v>217</v>
      </c>
      <c r="F209" s="564">
        <v>1</v>
      </c>
      <c r="G209" s="559" t="s">
        <v>194</v>
      </c>
      <c r="H209" s="559" t="s">
        <v>193</v>
      </c>
      <c r="I209" s="559" t="s">
        <v>23158</v>
      </c>
      <c r="J209" s="559" t="s">
        <v>6080</v>
      </c>
      <c r="K209" s="559" t="s">
        <v>9309</v>
      </c>
      <c r="L209" s="559" t="s">
        <v>6955</v>
      </c>
      <c r="M209" s="559"/>
      <c r="N209" s="559" t="s">
        <v>23373</v>
      </c>
      <c r="O209" s="559" t="s">
        <v>6363</v>
      </c>
      <c r="P209" s="559" t="s">
        <v>23799</v>
      </c>
      <c r="Q209" s="559" t="s">
        <v>23374</v>
      </c>
      <c r="R209" s="559" t="s">
        <v>23375</v>
      </c>
      <c r="S209" s="559" t="s">
        <v>23902</v>
      </c>
      <c r="T209" s="559" t="s">
        <v>23903</v>
      </c>
      <c r="U209" s="559"/>
      <c r="V209" s="603"/>
      <c r="W209" s="559" t="s">
        <v>601</v>
      </c>
      <c r="X209" s="559" t="s">
        <v>194</v>
      </c>
      <c r="Y209" s="559" t="s">
        <v>9946</v>
      </c>
      <c r="Z209" s="559"/>
      <c r="AA209" s="559"/>
      <c r="AB209" s="559" t="s">
        <v>9311</v>
      </c>
      <c r="AC209" s="559"/>
      <c r="AD209" s="559"/>
      <c r="AE209" s="559"/>
      <c r="AF209" s="559"/>
      <c r="AG209" s="559"/>
      <c r="AH209" s="559" t="s">
        <v>4714</v>
      </c>
      <c r="AI209" s="559" t="s">
        <v>9433</v>
      </c>
      <c r="AJ209" s="601" t="str">
        <f t="shared" si="6"/>
        <v>313904</v>
      </c>
      <c r="AK209" s="601">
        <v>1</v>
      </c>
      <c r="AL209" s="601">
        <f t="shared" si="7"/>
        <v>1</v>
      </c>
      <c r="AM209" s="601">
        <v>1</v>
      </c>
      <c r="AN209" s="603" t="s">
        <v>17650</v>
      </c>
      <c r="AO209" s="603" t="s">
        <v>17651</v>
      </c>
      <c r="AP209" s="603" t="s">
        <v>17652</v>
      </c>
      <c r="AQ209" s="603" t="s">
        <v>17653</v>
      </c>
      <c r="AR209" s="603" t="s">
        <v>1024</v>
      </c>
      <c r="AS209" s="559">
        <v>1</v>
      </c>
    </row>
    <row r="210" spans="1:45" x14ac:dyDescent="0.2">
      <c r="A210" s="559" t="s">
        <v>9886</v>
      </c>
      <c r="B210" s="559" t="s">
        <v>23324</v>
      </c>
      <c r="C210" s="559" t="s">
        <v>706</v>
      </c>
      <c r="D210" s="559" t="s">
        <v>23700</v>
      </c>
      <c r="E210" s="559" t="s">
        <v>217</v>
      </c>
      <c r="F210" s="564">
        <v>1</v>
      </c>
      <c r="G210" s="559" t="s">
        <v>194</v>
      </c>
      <c r="H210" s="559" t="s">
        <v>193</v>
      </c>
      <c r="I210" s="559" t="s">
        <v>23186</v>
      </c>
      <c r="J210" s="559" t="s">
        <v>6080</v>
      </c>
      <c r="K210" s="559" t="s">
        <v>9309</v>
      </c>
      <c r="L210" s="559" t="s">
        <v>6955</v>
      </c>
      <c r="M210" s="559"/>
      <c r="N210" s="559" t="s">
        <v>23381</v>
      </c>
      <c r="O210" s="559" t="s">
        <v>6251</v>
      </c>
      <c r="P210" s="559" t="s">
        <v>23799</v>
      </c>
      <c r="Q210" s="559" t="s">
        <v>21229</v>
      </c>
      <c r="R210" s="559" t="s">
        <v>23286</v>
      </c>
      <c r="S210" s="559" t="s">
        <v>23904</v>
      </c>
      <c r="T210" s="559" t="s">
        <v>23905</v>
      </c>
      <c r="U210" s="559"/>
      <c r="V210" s="603"/>
      <c r="W210" s="559" t="s">
        <v>707</v>
      </c>
      <c r="X210" s="559" t="s">
        <v>193</v>
      </c>
      <c r="Y210" s="559" t="s">
        <v>9310</v>
      </c>
      <c r="Z210" s="559"/>
      <c r="AA210" s="559"/>
      <c r="AB210" s="559" t="s">
        <v>9311</v>
      </c>
      <c r="AC210" s="559"/>
      <c r="AD210" s="559"/>
      <c r="AE210" s="559"/>
      <c r="AF210" s="559"/>
      <c r="AG210" s="559"/>
      <c r="AH210" s="559" t="s">
        <v>4714</v>
      </c>
      <c r="AI210" s="559" t="s">
        <v>9433</v>
      </c>
      <c r="AJ210" s="601" t="str">
        <f t="shared" si="6"/>
        <v>422201</v>
      </c>
      <c r="AK210" s="601">
        <v>1</v>
      </c>
      <c r="AL210" s="601">
        <f t="shared" si="7"/>
        <v>1</v>
      </c>
      <c r="AM210" s="601">
        <v>1</v>
      </c>
      <c r="AN210" s="603" t="s">
        <v>17650</v>
      </c>
      <c r="AO210" s="603" t="s">
        <v>17651</v>
      </c>
      <c r="AP210" s="603" t="s">
        <v>17652</v>
      </c>
      <c r="AQ210" s="603" t="s">
        <v>17653</v>
      </c>
      <c r="AR210" s="603" t="s">
        <v>1024</v>
      </c>
      <c r="AS210" s="559">
        <v>1</v>
      </c>
    </row>
    <row r="211" spans="1:45" x14ac:dyDescent="0.2">
      <c r="A211" s="559" t="s">
        <v>15464</v>
      </c>
      <c r="B211" s="559" t="s">
        <v>16319</v>
      </c>
      <c r="C211" s="559" t="s">
        <v>17</v>
      </c>
      <c r="D211" s="559" t="s">
        <v>23700</v>
      </c>
      <c r="E211" s="559" t="s">
        <v>217</v>
      </c>
      <c r="F211" s="564">
        <v>1</v>
      </c>
      <c r="G211" s="559" t="s">
        <v>193</v>
      </c>
      <c r="H211" s="559" t="s">
        <v>194</v>
      </c>
      <c r="I211" s="559" t="s">
        <v>23139</v>
      </c>
      <c r="J211" s="559" t="s">
        <v>210</v>
      </c>
      <c r="K211" s="559" t="s">
        <v>9309</v>
      </c>
      <c r="L211" s="559" t="s">
        <v>6955</v>
      </c>
      <c r="M211" s="559"/>
      <c r="N211" s="559" t="s">
        <v>22191</v>
      </c>
      <c r="O211" s="559" t="s">
        <v>6269</v>
      </c>
      <c r="P211" s="559" t="s">
        <v>23799</v>
      </c>
      <c r="Q211" s="559" t="s">
        <v>23800</v>
      </c>
      <c r="R211" s="559" t="s">
        <v>23198</v>
      </c>
      <c r="S211" s="559" t="s">
        <v>23906</v>
      </c>
      <c r="T211" s="559" t="s">
        <v>23907</v>
      </c>
      <c r="U211" s="559"/>
      <c r="V211" s="559" t="s">
        <v>9334</v>
      </c>
      <c r="W211" s="559" t="s">
        <v>624</v>
      </c>
      <c r="X211" s="559" t="s">
        <v>194</v>
      </c>
      <c r="Y211" s="559" t="s">
        <v>9300</v>
      </c>
      <c r="Z211" s="559"/>
      <c r="AA211" s="559"/>
      <c r="AB211" s="559" t="s">
        <v>9311</v>
      </c>
      <c r="AC211" s="559"/>
      <c r="AD211" s="559"/>
      <c r="AE211" s="559"/>
      <c r="AF211" s="559"/>
      <c r="AG211" s="559"/>
      <c r="AH211" s="559" t="s">
        <v>4714</v>
      </c>
      <c r="AI211" s="559" t="s">
        <v>9433</v>
      </c>
      <c r="AJ211" s="601" t="str">
        <f t="shared" si="6"/>
        <v>332203</v>
      </c>
      <c r="AK211" s="601">
        <v>1</v>
      </c>
      <c r="AL211" s="601">
        <f t="shared" si="7"/>
        <v>1</v>
      </c>
      <c r="AM211" s="601">
        <v>1</v>
      </c>
      <c r="AN211" s="603" t="s">
        <v>17650</v>
      </c>
      <c r="AO211" s="603" t="s">
        <v>17651</v>
      </c>
      <c r="AP211" s="603" t="s">
        <v>17652</v>
      </c>
      <c r="AQ211" s="603" t="s">
        <v>17653</v>
      </c>
      <c r="AR211" s="603" t="s">
        <v>1024</v>
      </c>
      <c r="AS211" s="559">
        <v>1</v>
      </c>
    </row>
    <row r="212" spans="1:45" x14ac:dyDescent="0.2">
      <c r="A212" s="559" t="s">
        <v>9886</v>
      </c>
      <c r="B212" s="559" t="s">
        <v>23209</v>
      </c>
      <c r="C212" s="559" t="s">
        <v>8136</v>
      </c>
      <c r="D212" s="559" t="s">
        <v>23700</v>
      </c>
      <c r="E212" s="559" t="s">
        <v>217</v>
      </c>
      <c r="F212" s="564">
        <v>1</v>
      </c>
      <c r="G212" s="559" t="s">
        <v>194</v>
      </c>
      <c r="H212" s="559" t="s">
        <v>193</v>
      </c>
      <c r="I212" s="559" t="s">
        <v>23186</v>
      </c>
      <c r="J212" s="559" t="s">
        <v>6080</v>
      </c>
      <c r="K212" s="559" t="s">
        <v>9309</v>
      </c>
      <c r="L212" s="559" t="s">
        <v>6955</v>
      </c>
      <c r="M212" s="559"/>
      <c r="N212" s="559" t="s">
        <v>23386</v>
      </c>
      <c r="O212" s="559" t="s">
        <v>6363</v>
      </c>
      <c r="P212" s="559" t="s">
        <v>23799</v>
      </c>
      <c r="Q212" s="559" t="s">
        <v>23212</v>
      </c>
      <c r="R212" s="559" t="s">
        <v>23213</v>
      </c>
      <c r="S212" s="559" t="s">
        <v>23908</v>
      </c>
      <c r="T212" s="559" t="s">
        <v>23909</v>
      </c>
      <c r="U212" s="559"/>
      <c r="V212" s="603"/>
      <c r="W212" s="559" t="s">
        <v>8138</v>
      </c>
      <c r="X212" s="559" t="s">
        <v>194</v>
      </c>
      <c r="Y212" s="559" t="s">
        <v>9946</v>
      </c>
      <c r="Z212" s="559"/>
      <c r="AA212" s="559"/>
      <c r="AB212" s="559" t="s">
        <v>9311</v>
      </c>
      <c r="AC212" s="559"/>
      <c r="AD212" s="559"/>
      <c r="AE212" s="559"/>
      <c r="AF212" s="559"/>
      <c r="AG212" s="559"/>
      <c r="AH212" s="559" t="s">
        <v>4714</v>
      </c>
      <c r="AI212" s="559" t="s">
        <v>9433</v>
      </c>
      <c r="AJ212" s="601" t="str">
        <f t="shared" si="6"/>
        <v>821905</v>
      </c>
      <c r="AK212" s="601">
        <v>1</v>
      </c>
      <c r="AL212" s="601">
        <f t="shared" si="7"/>
        <v>1</v>
      </c>
      <c r="AM212" s="601">
        <v>1</v>
      </c>
      <c r="AN212" s="603" t="s">
        <v>17650</v>
      </c>
      <c r="AO212" s="603" t="s">
        <v>17651</v>
      </c>
      <c r="AP212" s="603" t="s">
        <v>17652</v>
      </c>
      <c r="AQ212" s="603" t="s">
        <v>17653</v>
      </c>
      <c r="AR212" s="603" t="s">
        <v>1024</v>
      </c>
      <c r="AS212" s="559">
        <v>1</v>
      </c>
    </row>
    <row r="213" spans="1:45" x14ac:dyDescent="0.2">
      <c r="A213" s="559" t="s">
        <v>9886</v>
      </c>
      <c r="B213" s="559" t="s">
        <v>23220</v>
      </c>
      <c r="C213" s="559" t="s">
        <v>62</v>
      </c>
      <c r="D213" s="559" t="s">
        <v>23700</v>
      </c>
      <c r="E213" s="559" t="s">
        <v>217</v>
      </c>
      <c r="F213" s="564">
        <v>1</v>
      </c>
      <c r="G213" s="559" t="s">
        <v>194</v>
      </c>
      <c r="H213" s="559" t="s">
        <v>193</v>
      </c>
      <c r="I213" s="559" t="s">
        <v>23158</v>
      </c>
      <c r="J213" s="559" t="s">
        <v>23249</v>
      </c>
      <c r="K213" s="559" t="s">
        <v>9309</v>
      </c>
      <c r="L213" s="559" t="s">
        <v>6955</v>
      </c>
      <c r="M213" s="559"/>
      <c r="N213" s="559" t="s">
        <v>23389</v>
      </c>
      <c r="O213" s="559" t="s">
        <v>6363</v>
      </c>
      <c r="P213" s="559" t="s">
        <v>23799</v>
      </c>
      <c r="Q213" s="559" t="s">
        <v>23222</v>
      </c>
      <c r="R213" s="559" t="s">
        <v>23155</v>
      </c>
      <c r="S213" s="559" t="s">
        <v>23910</v>
      </c>
      <c r="T213" s="559" t="s">
        <v>23911</v>
      </c>
      <c r="U213" s="559"/>
      <c r="V213" s="603"/>
      <c r="W213" s="559" t="s">
        <v>601</v>
      </c>
      <c r="X213" s="559" t="s">
        <v>194</v>
      </c>
      <c r="Y213" s="559" t="s">
        <v>9946</v>
      </c>
      <c r="Z213" s="559"/>
      <c r="AA213" s="559"/>
      <c r="AB213" s="559" t="s">
        <v>9311</v>
      </c>
      <c r="AC213" s="559"/>
      <c r="AD213" s="559"/>
      <c r="AE213" s="559"/>
      <c r="AF213" s="559"/>
      <c r="AG213" s="559"/>
      <c r="AH213" s="559" t="s">
        <v>4714</v>
      </c>
      <c r="AI213" s="559" t="s">
        <v>9433</v>
      </c>
      <c r="AJ213" s="601" t="str">
        <f t="shared" si="6"/>
        <v>313904</v>
      </c>
      <c r="AK213" s="601">
        <v>1</v>
      </c>
      <c r="AL213" s="601">
        <f t="shared" si="7"/>
        <v>1</v>
      </c>
      <c r="AM213" s="601">
        <v>1</v>
      </c>
      <c r="AN213" s="603" t="s">
        <v>17650</v>
      </c>
      <c r="AO213" s="603" t="s">
        <v>17651</v>
      </c>
      <c r="AP213" s="603" t="s">
        <v>17652</v>
      </c>
      <c r="AQ213" s="603" t="s">
        <v>17653</v>
      </c>
      <c r="AR213" s="603" t="s">
        <v>1024</v>
      </c>
      <c r="AS213" s="559">
        <v>1</v>
      </c>
    </row>
    <row r="214" spans="1:45" x14ac:dyDescent="0.2">
      <c r="A214" s="559" t="s">
        <v>9886</v>
      </c>
      <c r="B214" s="559" t="s">
        <v>23209</v>
      </c>
      <c r="C214" s="559" t="s">
        <v>8136</v>
      </c>
      <c r="D214" s="559" t="s">
        <v>23700</v>
      </c>
      <c r="E214" s="559" t="s">
        <v>217</v>
      </c>
      <c r="F214" s="564">
        <v>1</v>
      </c>
      <c r="G214" s="559" t="s">
        <v>194</v>
      </c>
      <c r="H214" s="559" t="s">
        <v>193</v>
      </c>
      <c r="I214" s="559" t="s">
        <v>23186</v>
      </c>
      <c r="J214" s="559" t="s">
        <v>23392</v>
      </c>
      <c r="K214" s="559" t="s">
        <v>9309</v>
      </c>
      <c r="L214" s="559" t="s">
        <v>6955</v>
      </c>
      <c r="M214" s="559"/>
      <c r="N214" s="559" t="s">
        <v>23393</v>
      </c>
      <c r="O214" s="559" t="s">
        <v>6363</v>
      </c>
      <c r="P214" s="559" t="s">
        <v>23799</v>
      </c>
      <c r="Q214" s="559" t="s">
        <v>23212</v>
      </c>
      <c r="R214" s="559" t="s">
        <v>23213</v>
      </c>
      <c r="S214" s="559" t="s">
        <v>23912</v>
      </c>
      <c r="T214" s="559" t="s">
        <v>23913</v>
      </c>
      <c r="U214" s="559"/>
      <c r="V214" s="603"/>
      <c r="W214" s="559" t="s">
        <v>8138</v>
      </c>
      <c r="X214" s="559" t="s">
        <v>194</v>
      </c>
      <c r="Y214" s="559" t="s">
        <v>9946</v>
      </c>
      <c r="Z214" s="559"/>
      <c r="AA214" s="559"/>
      <c r="AB214" s="559" t="s">
        <v>9311</v>
      </c>
      <c r="AC214" s="559"/>
      <c r="AD214" s="559"/>
      <c r="AE214" s="559"/>
      <c r="AF214" s="559"/>
      <c r="AG214" s="559"/>
      <c r="AH214" s="559" t="s">
        <v>4714</v>
      </c>
      <c r="AI214" s="559" t="s">
        <v>9433</v>
      </c>
      <c r="AJ214" s="601" t="str">
        <f t="shared" si="6"/>
        <v>821905</v>
      </c>
      <c r="AK214" s="601">
        <v>1</v>
      </c>
      <c r="AL214" s="601">
        <f t="shared" si="7"/>
        <v>1</v>
      </c>
      <c r="AM214" s="601">
        <v>1</v>
      </c>
      <c r="AN214" s="603" t="s">
        <v>17650</v>
      </c>
      <c r="AO214" s="603" t="s">
        <v>17651</v>
      </c>
      <c r="AP214" s="603" t="s">
        <v>17652</v>
      </c>
      <c r="AQ214" s="603" t="s">
        <v>17653</v>
      </c>
      <c r="AR214" s="603" t="s">
        <v>1024</v>
      </c>
      <c r="AS214" s="559">
        <v>1</v>
      </c>
    </row>
    <row r="215" spans="1:45" x14ac:dyDescent="0.2">
      <c r="A215" s="559" t="s">
        <v>4969</v>
      </c>
      <c r="B215" s="559" t="s">
        <v>23914</v>
      </c>
      <c r="C215" s="559" t="s">
        <v>10</v>
      </c>
      <c r="D215" s="559" t="s">
        <v>23700</v>
      </c>
      <c r="E215" s="559" t="s">
        <v>192</v>
      </c>
      <c r="F215" s="564">
        <v>1</v>
      </c>
      <c r="G215" s="559" t="s">
        <v>193</v>
      </c>
      <c r="H215" s="559" t="s">
        <v>194</v>
      </c>
      <c r="I215" s="559" t="s">
        <v>23307</v>
      </c>
      <c r="J215" s="559" t="s">
        <v>9302</v>
      </c>
      <c r="K215" s="559" t="s">
        <v>9309</v>
      </c>
      <c r="L215" s="559" t="s">
        <v>6955</v>
      </c>
      <c r="M215" s="559"/>
      <c r="N215" s="559" t="s">
        <v>23915</v>
      </c>
      <c r="O215" s="559" t="s">
        <v>6261</v>
      </c>
      <c r="P215" s="559" t="s">
        <v>23916</v>
      </c>
      <c r="Q215" s="559" t="s">
        <v>23614</v>
      </c>
      <c r="R215" s="559" t="s">
        <v>23917</v>
      </c>
      <c r="S215" s="559" t="s">
        <v>23918</v>
      </c>
      <c r="T215" s="559" t="s">
        <v>23919</v>
      </c>
      <c r="U215" s="559"/>
      <c r="V215" s="603"/>
      <c r="W215" s="559" t="s">
        <v>484</v>
      </c>
      <c r="X215" s="559" t="s">
        <v>193</v>
      </c>
      <c r="Y215" s="559" t="s">
        <v>9310</v>
      </c>
      <c r="Z215" s="559"/>
      <c r="AA215" s="559"/>
      <c r="AB215" s="559" t="s">
        <v>9311</v>
      </c>
      <c r="AC215" s="559"/>
      <c r="AD215" s="559"/>
      <c r="AE215" s="559"/>
      <c r="AF215" s="559"/>
      <c r="AG215" s="559"/>
      <c r="AH215" s="559" t="s">
        <v>4714</v>
      </c>
      <c r="AI215" s="559" t="s">
        <v>23914</v>
      </c>
      <c r="AJ215" s="601" t="str">
        <f t="shared" si="6"/>
        <v>251401</v>
      </c>
      <c r="AK215" s="601">
        <v>1</v>
      </c>
      <c r="AL215" s="601">
        <f t="shared" si="7"/>
        <v>1</v>
      </c>
      <c r="AM215" s="601">
        <v>1</v>
      </c>
      <c r="AN215" s="603" t="s">
        <v>17650</v>
      </c>
      <c r="AO215" s="603" t="s">
        <v>17651</v>
      </c>
      <c r="AP215" s="603" t="s">
        <v>17652</v>
      </c>
      <c r="AQ215" s="603" t="s">
        <v>17653</v>
      </c>
      <c r="AR215" s="603" t="s">
        <v>1024</v>
      </c>
      <c r="AS215" s="559">
        <v>1</v>
      </c>
    </row>
    <row r="216" spans="1:45" x14ac:dyDescent="0.2">
      <c r="A216" s="559" t="s">
        <v>23920</v>
      </c>
      <c r="B216" s="559" t="s">
        <v>23921</v>
      </c>
      <c r="C216" s="559" t="s">
        <v>10</v>
      </c>
      <c r="D216" s="559" t="s">
        <v>23700</v>
      </c>
      <c r="E216" s="559" t="s">
        <v>192</v>
      </c>
      <c r="F216" s="564">
        <v>1</v>
      </c>
      <c r="G216" s="559" t="s">
        <v>193</v>
      </c>
      <c r="H216" s="559" t="s">
        <v>194</v>
      </c>
      <c r="I216" s="559" t="s">
        <v>23307</v>
      </c>
      <c r="J216" s="559" t="s">
        <v>9302</v>
      </c>
      <c r="K216" s="559" t="s">
        <v>9309</v>
      </c>
      <c r="L216" s="559" t="s">
        <v>6955</v>
      </c>
      <c r="M216" s="559"/>
      <c r="N216" s="559" t="s">
        <v>23922</v>
      </c>
      <c r="O216" s="559" t="s">
        <v>6921</v>
      </c>
      <c r="P216" s="559" t="s">
        <v>23916</v>
      </c>
      <c r="Q216" s="559" t="s">
        <v>23614</v>
      </c>
      <c r="R216" s="559" t="s">
        <v>23917</v>
      </c>
      <c r="S216" s="559" t="s">
        <v>23923</v>
      </c>
      <c r="T216" s="559" t="s">
        <v>23924</v>
      </c>
      <c r="U216" s="559"/>
      <c r="V216" s="603"/>
      <c r="W216" s="559" t="s">
        <v>484</v>
      </c>
      <c r="X216" s="559" t="s">
        <v>193</v>
      </c>
      <c r="Y216" s="559" t="s">
        <v>9310</v>
      </c>
      <c r="Z216" s="559"/>
      <c r="AA216" s="559"/>
      <c r="AB216" s="559" t="s">
        <v>9311</v>
      </c>
      <c r="AC216" s="559"/>
      <c r="AD216" s="559"/>
      <c r="AE216" s="559"/>
      <c r="AF216" s="559"/>
      <c r="AG216" s="559"/>
      <c r="AH216" s="559" t="s">
        <v>4714</v>
      </c>
      <c r="AI216" s="559" t="s">
        <v>23921</v>
      </c>
      <c r="AJ216" s="601" t="str">
        <f t="shared" si="6"/>
        <v>251401</v>
      </c>
      <c r="AK216" s="601">
        <v>1</v>
      </c>
      <c r="AL216" s="601">
        <f t="shared" si="7"/>
        <v>1</v>
      </c>
      <c r="AM216" s="601">
        <v>1</v>
      </c>
      <c r="AN216" s="603" t="s">
        <v>17650</v>
      </c>
      <c r="AO216" s="603" t="s">
        <v>17651</v>
      </c>
      <c r="AP216" s="603" t="s">
        <v>17652</v>
      </c>
      <c r="AQ216" s="603" t="s">
        <v>17653</v>
      </c>
      <c r="AR216" s="603" t="s">
        <v>1024</v>
      </c>
      <c r="AS216" s="559">
        <v>1</v>
      </c>
    </row>
    <row r="217" spans="1:45" x14ac:dyDescent="0.2">
      <c r="A217" s="559" t="s">
        <v>23925</v>
      </c>
      <c r="B217" s="559" t="s">
        <v>2516</v>
      </c>
      <c r="C217" s="559" t="s">
        <v>706</v>
      </c>
      <c r="D217" s="559" t="s">
        <v>23700</v>
      </c>
      <c r="E217" s="559" t="s">
        <v>192</v>
      </c>
      <c r="F217" s="564">
        <v>1</v>
      </c>
      <c r="G217" s="559" t="s">
        <v>193</v>
      </c>
      <c r="H217" s="559" t="s">
        <v>194</v>
      </c>
      <c r="I217" s="559" t="s">
        <v>23164</v>
      </c>
      <c r="J217" s="559" t="s">
        <v>9302</v>
      </c>
      <c r="K217" s="559" t="s">
        <v>9309</v>
      </c>
      <c r="L217" s="559" t="s">
        <v>6955</v>
      </c>
      <c r="M217" s="559"/>
      <c r="N217" s="559" t="s">
        <v>23926</v>
      </c>
      <c r="O217" s="559" t="s">
        <v>6288</v>
      </c>
      <c r="P217" s="559" t="s">
        <v>23916</v>
      </c>
      <c r="Q217" s="559" t="s">
        <v>23614</v>
      </c>
      <c r="R217" s="559" t="s">
        <v>23927</v>
      </c>
      <c r="S217" s="559" t="s">
        <v>23928</v>
      </c>
      <c r="T217" s="559" t="s">
        <v>23929</v>
      </c>
      <c r="U217" s="559"/>
      <c r="V217" s="603"/>
      <c r="W217" s="559" t="s">
        <v>707</v>
      </c>
      <c r="X217" s="559" t="s">
        <v>193</v>
      </c>
      <c r="Y217" s="559" t="s">
        <v>9310</v>
      </c>
      <c r="Z217" s="559"/>
      <c r="AA217" s="559"/>
      <c r="AB217" s="559" t="s">
        <v>9311</v>
      </c>
      <c r="AC217" s="559"/>
      <c r="AD217" s="559"/>
      <c r="AE217" s="559"/>
      <c r="AF217" s="559"/>
      <c r="AG217" s="559"/>
      <c r="AH217" s="559" t="s">
        <v>4714</v>
      </c>
      <c r="AI217" s="559" t="s">
        <v>2516</v>
      </c>
      <c r="AJ217" s="601" t="str">
        <f t="shared" si="6"/>
        <v>422201</v>
      </c>
      <c r="AK217" s="601">
        <v>1</v>
      </c>
      <c r="AL217" s="601">
        <f t="shared" si="7"/>
        <v>1</v>
      </c>
      <c r="AM217" s="601">
        <v>1</v>
      </c>
      <c r="AN217" s="603" t="s">
        <v>17650</v>
      </c>
      <c r="AO217" s="603" t="s">
        <v>17651</v>
      </c>
      <c r="AP217" s="603" t="s">
        <v>17652</v>
      </c>
      <c r="AQ217" s="603" t="s">
        <v>17653</v>
      </c>
      <c r="AR217" s="603" t="s">
        <v>1024</v>
      </c>
      <c r="AS217" s="559">
        <v>1</v>
      </c>
    </row>
    <row r="218" spans="1:45" x14ac:dyDescent="0.2">
      <c r="A218" s="559" t="s">
        <v>23930</v>
      </c>
      <c r="B218" s="559" t="s">
        <v>23931</v>
      </c>
      <c r="C218" s="559" t="s">
        <v>4065</v>
      </c>
      <c r="D218" s="559" t="s">
        <v>23700</v>
      </c>
      <c r="E218" s="559" t="s">
        <v>192</v>
      </c>
      <c r="F218" s="564">
        <v>1</v>
      </c>
      <c r="G218" s="559" t="s">
        <v>193</v>
      </c>
      <c r="H218" s="559" t="s">
        <v>194</v>
      </c>
      <c r="I218" s="559" t="s">
        <v>23139</v>
      </c>
      <c r="J218" s="559" t="s">
        <v>9302</v>
      </c>
      <c r="K218" s="559" t="s">
        <v>9309</v>
      </c>
      <c r="L218" s="559" t="s">
        <v>6955</v>
      </c>
      <c r="M218" s="559"/>
      <c r="N218" s="559" t="s">
        <v>23932</v>
      </c>
      <c r="O218" s="559" t="s">
        <v>6266</v>
      </c>
      <c r="P218" s="559" t="s">
        <v>23916</v>
      </c>
      <c r="Q218" s="559" t="s">
        <v>23614</v>
      </c>
      <c r="R218" s="559" t="s">
        <v>23933</v>
      </c>
      <c r="S218" s="559" t="s">
        <v>23934</v>
      </c>
      <c r="T218" s="559" t="s">
        <v>23935</v>
      </c>
      <c r="U218" s="559"/>
      <c r="V218" s="603"/>
      <c r="W218" s="559" t="s">
        <v>4066</v>
      </c>
      <c r="X218" s="559" t="s">
        <v>193</v>
      </c>
      <c r="Y218" s="559" t="s">
        <v>9310</v>
      </c>
      <c r="Z218" s="559"/>
      <c r="AA218" s="559"/>
      <c r="AB218" s="559" t="s">
        <v>9311</v>
      </c>
      <c r="AC218" s="559"/>
      <c r="AD218" s="559"/>
      <c r="AE218" s="559"/>
      <c r="AF218" s="559"/>
      <c r="AG218" s="559"/>
      <c r="AH218" s="559" t="s">
        <v>4714</v>
      </c>
      <c r="AI218" s="559" t="s">
        <v>23931</v>
      </c>
      <c r="AJ218" s="601" t="str">
        <f t="shared" si="6"/>
        <v>832203</v>
      </c>
      <c r="AK218" s="601">
        <v>1</v>
      </c>
      <c r="AL218" s="601">
        <f t="shared" si="7"/>
        <v>1</v>
      </c>
      <c r="AM218" s="601">
        <v>1</v>
      </c>
      <c r="AN218" s="603" t="s">
        <v>17650</v>
      </c>
      <c r="AO218" s="603" t="s">
        <v>17651</v>
      </c>
      <c r="AP218" s="603" t="s">
        <v>17652</v>
      </c>
      <c r="AQ218" s="603" t="s">
        <v>17653</v>
      </c>
      <c r="AR218" s="603" t="s">
        <v>1024</v>
      </c>
      <c r="AS218" s="559">
        <v>1</v>
      </c>
    </row>
    <row r="219" spans="1:45" x14ac:dyDescent="0.2">
      <c r="A219" s="559" t="s">
        <v>4887</v>
      </c>
      <c r="B219" s="559" t="s">
        <v>23936</v>
      </c>
      <c r="C219" s="559" t="s">
        <v>43</v>
      </c>
      <c r="D219" s="559" t="s">
        <v>23700</v>
      </c>
      <c r="E219" s="559" t="s">
        <v>192</v>
      </c>
      <c r="F219" s="564">
        <v>1</v>
      </c>
      <c r="G219" s="559" t="s">
        <v>193</v>
      </c>
      <c r="H219" s="559" t="s">
        <v>194</v>
      </c>
      <c r="I219" s="559" t="s">
        <v>23151</v>
      </c>
      <c r="J219" s="559" t="s">
        <v>9302</v>
      </c>
      <c r="K219" s="559" t="s">
        <v>9309</v>
      </c>
      <c r="L219" s="559" t="s">
        <v>6955</v>
      </c>
      <c r="M219" s="559"/>
      <c r="N219" s="559" t="s">
        <v>23937</v>
      </c>
      <c r="O219" s="559" t="s">
        <v>6245</v>
      </c>
      <c r="P219" s="559" t="s">
        <v>23916</v>
      </c>
      <c r="Q219" s="559" t="s">
        <v>23614</v>
      </c>
      <c r="R219" s="559" t="s">
        <v>23917</v>
      </c>
      <c r="S219" s="559" t="s">
        <v>23938</v>
      </c>
      <c r="T219" s="559" t="s">
        <v>23939</v>
      </c>
      <c r="U219" s="559"/>
      <c r="V219" s="603"/>
      <c r="W219" s="559" t="s">
        <v>452</v>
      </c>
      <c r="X219" s="559" t="s">
        <v>193</v>
      </c>
      <c r="Y219" s="559" t="s">
        <v>9310</v>
      </c>
      <c r="Z219" s="559"/>
      <c r="AA219" s="559"/>
      <c r="AB219" s="559" t="s">
        <v>9311</v>
      </c>
      <c r="AC219" s="559"/>
      <c r="AD219" s="559"/>
      <c r="AE219" s="559"/>
      <c r="AF219" s="559"/>
      <c r="AG219" s="559"/>
      <c r="AH219" s="559" t="s">
        <v>4714</v>
      </c>
      <c r="AI219" s="559" t="s">
        <v>23936</v>
      </c>
      <c r="AJ219" s="601" t="str">
        <f t="shared" si="6"/>
        <v>243106</v>
      </c>
      <c r="AK219" s="601">
        <v>1</v>
      </c>
      <c r="AL219" s="601">
        <f t="shared" si="7"/>
        <v>1</v>
      </c>
      <c r="AM219" s="601">
        <v>1</v>
      </c>
      <c r="AN219" s="603" t="s">
        <v>17650</v>
      </c>
      <c r="AO219" s="603" t="s">
        <v>17651</v>
      </c>
      <c r="AP219" s="603" t="s">
        <v>17652</v>
      </c>
      <c r="AQ219" s="603" t="s">
        <v>17653</v>
      </c>
      <c r="AR219" s="603" t="s">
        <v>1024</v>
      </c>
      <c r="AS219" s="559">
        <v>1</v>
      </c>
    </row>
    <row r="220" spans="1:45" x14ac:dyDescent="0.2">
      <c r="A220" s="559" t="s">
        <v>23940</v>
      </c>
      <c r="B220" s="559" t="s">
        <v>23941</v>
      </c>
      <c r="C220" s="559" t="s">
        <v>61</v>
      </c>
      <c r="D220" s="559" t="s">
        <v>23700</v>
      </c>
      <c r="E220" s="559" t="s">
        <v>192</v>
      </c>
      <c r="F220" s="564">
        <v>1</v>
      </c>
      <c r="G220" s="559" t="s">
        <v>193</v>
      </c>
      <c r="H220" s="559" t="s">
        <v>194</v>
      </c>
      <c r="I220" s="559" t="s">
        <v>23708</v>
      </c>
      <c r="J220" s="559" t="s">
        <v>9302</v>
      </c>
      <c r="K220" s="559" t="s">
        <v>9309</v>
      </c>
      <c r="L220" s="559" t="s">
        <v>6955</v>
      </c>
      <c r="M220" s="559"/>
      <c r="N220" s="559" t="s">
        <v>23942</v>
      </c>
      <c r="O220" s="559" t="s">
        <v>6921</v>
      </c>
      <c r="P220" s="559" t="s">
        <v>23916</v>
      </c>
      <c r="Q220" s="559" t="s">
        <v>23614</v>
      </c>
      <c r="R220" s="559" t="s">
        <v>23917</v>
      </c>
      <c r="S220" s="559" t="s">
        <v>23943</v>
      </c>
      <c r="T220" s="559" t="s">
        <v>23944</v>
      </c>
      <c r="U220" s="559"/>
      <c r="V220" s="603"/>
      <c r="W220" s="559" t="s">
        <v>2282</v>
      </c>
      <c r="X220" s="559" t="s">
        <v>193</v>
      </c>
      <c r="Y220" s="559" t="s">
        <v>9310</v>
      </c>
      <c r="Z220" s="559"/>
      <c r="AA220" s="559"/>
      <c r="AB220" s="559" t="s">
        <v>9311</v>
      </c>
      <c r="AC220" s="559"/>
      <c r="AD220" s="559"/>
      <c r="AE220" s="559"/>
      <c r="AF220" s="559"/>
      <c r="AG220" s="559"/>
      <c r="AH220" s="559" t="s">
        <v>4714</v>
      </c>
      <c r="AI220" s="559" t="s">
        <v>23941</v>
      </c>
      <c r="AJ220" s="601" t="str">
        <f t="shared" si="6"/>
        <v>251103</v>
      </c>
      <c r="AK220" s="601">
        <v>1</v>
      </c>
      <c r="AL220" s="601">
        <f t="shared" si="7"/>
        <v>1</v>
      </c>
      <c r="AM220" s="601">
        <v>1</v>
      </c>
      <c r="AN220" s="603" t="s">
        <v>17650</v>
      </c>
      <c r="AO220" s="603" t="s">
        <v>17651</v>
      </c>
      <c r="AP220" s="603" t="s">
        <v>17652</v>
      </c>
      <c r="AQ220" s="603" t="s">
        <v>17653</v>
      </c>
      <c r="AR220" s="603" t="s">
        <v>1024</v>
      </c>
      <c r="AS220" s="559">
        <v>1</v>
      </c>
    </row>
    <row r="221" spans="1:45" x14ac:dyDescent="0.2">
      <c r="A221" s="559" t="s">
        <v>10076</v>
      </c>
      <c r="B221" s="559" t="s">
        <v>23945</v>
      </c>
      <c r="C221" s="559" t="s">
        <v>37</v>
      </c>
      <c r="D221" s="559" t="s">
        <v>23700</v>
      </c>
      <c r="E221" s="559" t="s">
        <v>192</v>
      </c>
      <c r="F221" s="564">
        <v>1</v>
      </c>
      <c r="G221" s="559" t="s">
        <v>193</v>
      </c>
      <c r="H221" s="559" t="s">
        <v>194</v>
      </c>
      <c r="I221" s="559" t="s">
        <v>23708</v>
      </c>
      <c r="J221" s="559" t="s">
        <v>9302</v>
      </c>
      <c r="K221" s="559" t="s">
        <v>9309</v>
      </c>
      <c r="L221" s="559" t="s">
        <v>6955</v>
      </c>
      <c r="M221" s="559"/>
      <c r="N221" s="559" t="s">
        <v>23946</v>
      </c>
      <c r="O221" s="559" t="s">
        <v>6921</v>
      </c>
      <c r="P221" s="559" t="s">
        <v>23916</v>
      </c>
      <c r="Q221" s="559" t="s">
        <v>23614</v>
      </c>
      <c r="R221" s="559" t="s">
        <v>23917</v>
      </c>
      <c r="S221" s="559" t="s">
        <v>23947</v>
      </c>
      <c r="T221" s="559" t="s">
        <v>23948</v>
      </c>
      <c r="U221" s="559"/>
      <c r="V221" s="603"/>
      <c r="W221" s="559" t="s">
        <v>516</v>
      </c>
      <c r="X221" s="559" t="s">
        <v>193</v>
      </c>
      <c r="Y221" s="559" t="s">
        <v>9310</v>
      </c>
      <c r="Z221" s="559"/>
      <c r="AA221" s="559"/>
      <c r="AB221" s="559" t="s">
        <v>9311</v>
      </c>
      <c r="AC221" s="559"/>
      <c r="AD221" s="559"/>
      <c r="AE221" s="559"/>
      <c r="AF221" s="559"/>
      <c r="AG221" s="559"/>
      <c r="AH221" s="559" t="s">
        <v>4714</v>
      </c>
      <c r="AI221" s="559" t="s">
        <v>23945</v>
      </c>
      <c r="AJ221" s="601" t="str">
        <f t="shared" si="6"/>
        <v>252302</v>
      </c>
      <c r="AK221" s="601">
        <v>1</v>
      </c>
      <c r="AL221" s="601">
        <f t="shared" si="7"/>
        <v>1</v>
      </c>
      <c r="AM221" s="601">
        <v>1</v>
      </c>
      <c r="AN221" s="603" t="s">
        <v>17650</v>
      </c>
      <c r="AO221" s="603" t="s">
        <v>17651</v>
      </c>
      <c r="AP221" s="603" t="s">
        <v>17652</v>
      </c>
      <c r="AQ221" s="603" t="s">
        <v>17653</v>
      </c>
      <c r="AR221" s="603" t="s">
        <v>1024</v>
      </c>
      <c r="AS221" s="559">
        <v>1</v>
      </c>
    </row>
    <row r="222" spans="1:45" x14ac:dyDescent="0.2">
      <c r="A222" s="559" t="s">
        <v>15222</v>
      </c>
      <c r="B222" s="559" t="s">
        <v>467</v>
      </c>
      <c r="C222" s="559" t="s">
        <v>468</v>
      </c>
      <c r="D222" s="559" t="s">
        <v>23700</v>
      </c>
      <c r="E222" s="559" t="s">
        <v>192</v>
      </c>
      <c r="F222" s="564">
        <v>1</v>
      </c>
      <c r="G222" s="559" t="s">
        <v>193</v>
      </c>
      <c r="H222" s="559" t="s">
        <v>194</v>
      </c>
      <c r="I222" s="559" t="s">
        <v>23139</v>
      </c>
      <c r="J222" s="559" t="s">
        <v>9302</v>
      </c>
      <c r="K222" s="559" t="s">
        <v>9309</v>
      </c>
      <c r="L222" s="559" t="s">
        <v>6955</v>
      </c>
      <c r="M222" s="559"/>
      <c r="N222" s="559" t="s">
        <v>23949</v>
      </c>
      <c r="O222" s="559" t="s">
        <v>6288</v>
      </c>
      <c r="P222" s="559" t="s">
        <v>23916</v>
      </c>
      <c r="Q222" s="559" t="s">
        <v>23614</v>
      </c>
      <c r="R222" s="559" t="s">
        <v>23917</v>
      </c>
      <c r="S222" s="559" t="s">
        <v>23950</v>
      </c>
      <c r="T222" s="559" t="s">
        <v>23951</v>
      </c>
      <c r="U222" s="559"/>
      <c r="V222" s="603"/>
      <c r="W222" s="559" t="s">
        <v>469</v>
      </c>
      <c r="X222" s="559" t="s">
        <v>193</v>
      </c>
      <c r="Y222" s="559" t="s">
        <v>9310</v>
      </c>
      <c r="Z222" s="559"/>
      <c r="AA222" s="559"/>
      <c r="AB222" s="559" t="s">
        <v>9311</v>
      </c>
      <c r="AC222" s="559"/>
      <c r="AD222" s="559"/>
      <c r="AE222" s="559"/>
      <c r="AF222" s="559"/>
      <c r="AG222" s="559"/>
      <c r="AH222" s="559" t="s">
        <v>4714</v>
      </c>
      <c r="AI222" s="559" t="s">
        <v>467</v>
      </c>
      <c r="AJ222" s="601" t="str">
        <f t="shared" si="6"/>
        <v>243303</v>
      </c>
      <c r="AK222" s="601">
        <v>1</v>
      </c>
      <c r="AL222" s="601">
        <f t="shared" si="7"/>
        <v>1</v>
      </c>
      <c r="AM222" s="601">
        <v>1</v>
      </c>
      <c r="AN222" s="603" t="s">
        <v>17650</v>
      </c>
      <c r="AO222" s="603" t="s">
        <v>17651</v>
      </c>
      <c r="AP222" s="603" t="s">
        <v>17652</v>
      </c>
      <c r="AQ222" s="603" t="s">
        <v>17653</v>
      </c>
      <c r="AR222" s="603" t="s">
        <v>1024</v>
      </c>
      <c r="AS222" s="559">
        <v>1</v>
      </c>
    </row>
    <row r="223" spans="1:45" x14ac:dyDescent="0.2">
      <c r="A223" s="559" t="s">
        <v>23952</v>
      </c>
      <c r="B223" s="559" t="s">
        <v>1114</v>
      </c>
      <c r="C223" s="559" t="s">
        <v>12</v>
      </c>
      <c r="D223" s="559" t="s">
        <v>23700</v>
      </c>
      <c r="E223" s="559" t="s">
        <v>192</v>
      </c>
      <c r="F223" s="564">
        <v>1</v>
      </c>
      <c r="G223" s="559" t="s">
        <v>193</v>
      </c>
      <c r="H223" s="559" t="s">
        <v>194</v>
      </c>
      <c r="I223" s="559" t="s">
        <v>23139</v>
      </c>
      <c r="J223" s="559" t="s">
        <v>9302</v>
      </c>
      <c r="K223" s="559" t="s">
        <v>9309</v>
      </c>
      <c r="L223" s="559" t="s">
        <v>6955</v>
      </c>
      <c r="M223" s="559"/>
      <c r="N223" s="559" t="s">
        <v>23953</v>
      </c>
      <c r="O223" s="559" t="s">
        <v>6245</v>
      </c>
      <c r="P223" s="559" t="s">
        <v>23916</v>
      </c>
      <c r="Q223" s="559" t="s">
        <v>23614</v>
      </c>
      <c r="R223" s="559" t="s">
        <v>23917</v>
      </c>
      <c r="S223" s="559" t="s">
        <v>23954</v>
      </c>
      <c r="T223" s="559" t="s">
        <v>23955</v>
      </c>
      <c r="U223" s="559"/>
      <c r="V223" s="603"/>
      <c r="W223" s="559" t="s">
        <v>220</v>
      </c>
      <c r="X223" s="559" t="s">
        <v>193</v>
      </c>
      <c r="Y223" s="559" t="s">
        <v>9310</v>
      </c>
      <c r="Z223" s="559"/>
      <c r="AA223" s="559"/>
      <c r="AB223" s="559" t="s">
        <v>9311</v>
      </c>
      <c r="AC223" s="559"/>
      <c r="AD223" s="559"/>
      <c r="AE223" s="559"/>
      <c r="AF223" s="559"/>
      <c r="AG223" s="559"/>
      <c r="AH223" s="559" t="s">
        <v>4714</v>
      </c>
      <c r="AI223" s="559" t="s">
        <v>1114</v>
      </c>
      <c r="AJ223" s="601" t="str">
        <f t="shared" si="6"/>
        <v>132301</v>
      </c>
      <c r="AK223" s="601">
        <v>1</v>
      </c>
      <c r="AL223" s="601">
        <f t="shared" si="7"/>
        <v>1</v>
      </c>
      <c r="AM223" s="601">
        <v>1</v>
      </c>
      <c r="AN223" s="603" t="s">
        <v>17650</v>
      </c>
      <c r="AO223" s="603" t="s">
        <v>17651</v>
      </c>
      <c r="AP223" s="603" t="s">
        <v>17652</v>
      </c>
      <c r="AQ223" s="603" t="s">
        <v>17653</v>
      </c>
      <c r="AR223" s="603" t="s">
        <v>1024</v>
      </c>
      <c r="AS223" s="559">
        <v>1</v>
      </c>
    </row>
    <row r="224" spans="1:45" x14ac:dyDescent="0.2">
      <c r="A224" s="559" t="s">
        <v>23952</v>
      </c>
      <c r="B224" s="559" t="s">
        <v>23956</v>
      </c>
      <c r="C224" s="559" t="s">
        <v>12</v>
      </c>
      <c r="D224" s="559" t="s">
        <v>23700</v>
      </c>
      <c r="E224" s="559" t="s">
        <v>192</v>
      </c>
      <c r="F224" s="564">
        <v>1</v>
      </c>
      <c r="G224" s="559" t="s">
        <v>193</v>
      </c>
      <c r="H224" s="559" t="s">
        <v>194</v>
      </c>
      <c r="I224" s="559" t="s">
        <v>23139</v>
      </c>
      <c r="J224" s="559" t="s">
        <v>9302</v>
      </c>
      <c r="K224" s="559" t="s">
        <v>9309</v>
      </c>
      <c r="L224" s="559" t="s">
        <v>6955</v>
      </c>
      <c r="M224" s="559"/>
      <c r="N224" s="559" t="s">
        <v>23957</v>
      </c>
      <c r="O224" s="559" t="s">
        <v>6324</v>
      </c>
      <c r="P224" s="559" t="s">
        <v>23916</v>
      </c>
      <c r="Q224" s="559" t="s">
        <v>23614</v>
      </c>
      <c r="R224" s="559" t="s">
        <v>23917</v>
      </c>
      <c r="S224" s="559" t="s">
        <v>23958</v>
      </c>
      <c r="T224" s="559" t="s">
        <v>23959</v>
      </c>
      <c r="U224" s="559"/>
      <c r="V224" s="603"/>
      <c r="W224" s="559" t="s">
        <v>220</v>
      </c>
      <c r="X224" s="559" t="s">
        <v>193</v>
      </c>
      <c r="Y224" s="559" t="s">
        <v>9310</v>
      </c>
      <c r="Z224" s="559"/>
      <c r="AA224" s="559"/>
      <c r="AB224" s="559" t="s">
        <v>9311</v>
      </c>
      <c r="AC224" s="559"/>
      <c r="AD224" s="559"/>
      <c r="AE224" s="559"/>
      <c r="AF224" s="559"/>
      <c r="AG224" s="559"/>
      <c r="AH224" s="559" t="s">
        <v>4714</v>
      </c>
      <c r="AI224" s="559" t="s">
        <v>23956</v>
      </c>
      <c r="AJ224" s="601" t="str">
        <f t="shared" si="6"/>
        <v>132301</v>
      </c>
      <c r="AK224" s="601">
        <v>1</v>
      </c>
      <c r="AL224" s="601">
        <f t="shared" si="7"/>
        <v>1</v>
      </c>
      <c r="AM224" s="601">
        <v>1</v>
      </c>
      <c r="AN224" s="603" t="s">
        <v>17650</v>
      </c>
      <c r="AO224" s="603" t="s">
        <v>17651</v>
      </c>
      <c r="AP224" s="603" t="s">
        <v>17652</v>
      </c>
      <c r="AQ224" s="603" t="s">
        <v>17653</v>
      </c>
      <c r="AR224" s="603" t="s">
        <v>1024</v>
      </c>
      <c r="AS224" s="559">
        <v>1</v>
      </c>
    </row>
    <row r="225" spans="1:45" x14ac:dyDescent="0.2">
      <c r="A225" s="559" t="s">
        <v>21386</v>
      </c>
      <c r="B225" s="559" t="s">
        <v>23960</v>
      </c>
      <c r="C225" s="559" t="s">
        <v>2999</v>
      </c>
      <c r="D225" s="559" t="s">
        <v>23700</v>
      </c>
      <c r="E225" s="559" t="s">
        <v>192</v>
      </c>
      <c r="F225" s="564">
        <v>1</v>
      </c>
      <c r="G225" s="559" t="s">
        <v>193</v>
      </c>
      <c r="H225" s="559" t="s">
        <v>194</v>
      </c>
      <c r="I225" s="559" t="s">
        <v>23708</v>
      </c>
      <c r="J225" s="559" t="s">
        <v>9302</v>
      </c>
      <c r="K225" s="559" t="s">
        <v>9309</v>
      </c>
      <c r="L225" s="559" t="s">
        <v>6955</v>
      </c>
      <c r="M225" s="559"/>
      <c r="N225" s="559" t="s">
        <v>23961</v>
      </c>
      <c r="O225" s="559" t="s">
        <v>6302</v>
      </c>
      <c r="P225" s="559" t="s">
        <v>23916</v>
      </c>
      <c r="Q225" s="559" t="s">
        <v>23614</v>
      </c>
      <c r="R225" s="559" t="s">
        <v>23917</v>
      </c>
      <c r="S225" s="559" t="s">
        <v>23962</v>
      </c>
      <c r="T225" s="559" t="s">
        <v>23963</v>
      </c>
      <c r="U225" s="559"/>
      <c r="V225" s="603"/>
      <c r="W225" s="559" t="s">
        <v>18187</v>
      </c>
      <c r="X225" s="559" t="s">
        <v>193</v>
      </c>
      <c r="Y225" s="559" t="s">
        <v>9310</v>
      </c>
      <c r="Z225" s="559"/>
      <c r="AA225" s="559"/>
      <c r="AB225" s="559" t="s">
        <v>9311</v>
      </c>
      <c r="AC225" s="559"/>
      <c r="AD225" s="559"/>
      <c r="AE225" s="559"/>
      <c r="AF225" s="559"/>
      <c r="AG225" s="559"/>
      <c r="AH225" s="559" t="s">
        <v>4714</v>
      </c>
      <c r="AI225" s="559" t="s">
        <v>23960</v>
      </c>
      <c r="AJ225" s="601" t="str">
        <f t="shared" si="6"/>
        <v>351403</v>
      </c>
      <c r="AK225" s="601">
        <v>1</v>
      </c>
      <c r="AL225" s="601">
        <f t="shared" si="7"/>
        <v>1</v>
      </c>
      <c r="AM225" s="601">
        <v>1</v>
      </c>
      <c r="AN225" s="603" t="s">
        <v>17650</v>
      </c>
      <c r="AO225" s="603" t="s">
        <v>17651</v>
      </c>
      <c r="AP225" s="603" t="s">
        <v>17652</v>
      </c>
      <c r="AQ225" s="603" t="s">
        <v>17653</v>
      </c>
      <c r="AR225" s="603" t="s">
        <v>1024</v>
      </c>
      <c r="AS225" s="559">
        <v>1</v>
      </c>
    </row>
    <row r="226" spans="1:45" x14ac:dyDescent="0.2">
      <c r="A226" s="559" t="s">
        <v>23964</v>
      </c>
      <c r="B226" s="559" t="s">
        <v>647</v>
      </c>
      <c r="C226" s="559" t="s">
        <v>17</v>
      </c>
      <c r="D226" s="559" t="s">
        <v>23700</v>
      </c>
      <c r="E226" s="559" t="s">
        <v>192</v>
      </c>
      <c r="F226" s="564">
        <v>1</v>
      </c>
      <c r="G226" s="559" t="s">
        <v>193</v>
      </c>
      <c r="H226" s="559" t="s">
        <v>194</v>
      </c>
      <c r="I226" s="559" t="s">
        <v>23164</v>
      </c>
      <c r="J226" s="559" t="s">
        <v>9302</v>
      </c>
      <c r="K226" s="559" t="s">
        <v>9309</v>
      </c>
      <c r="L226" s="559" t="s">
        <v>6955</v>
      </c>
      <c r="M226" s="559"/>
      <c r="N226" s="559" t="s">
        <v>23965</v>
      </c>
      <c r="O226" s="559" t="s">
        <v>6245</v>
      </c>
      <c r="P226" s="559" t="s">
        <v>23916</v>
      </c>
      <c r="Q226" s="559" t="s">
        <v>23614</v>
      </c>
      <c r="R226" s="559" t="s">
        <v>23917</v>
      </c>
      <c r="S226" s="559" t="s">
        <v>23966</v>
      </c>
      <c r="T226" s="559" t="s">
        <v>23967</v>
      </c>
      <c r="U226" s="559"/>
      <c r="V226" s="603"/>
      <c r="W226" s="559" t="s">
        <v>624</v>
      </c>
      <c r="X226" s="559" t="s">
        <v>193</v>
      </c>
      <c r="Y226" s="559" t="s">
        <v>9310</v>
      </c>
      <c r="Z226" s="559"/>
      <c r="AA226" s="559"/>
      <c r="AB226" s="559" t="s">
        <v>9311</v>
      </c>
      <c r="AC226" s="559"/>
      <c r="AD226" s="559"/>
      <c r="AE226" s="559"/>
      <c r="AF226" s="559"/>
      <c r="AG226" s="559"/>
      <c r="AH226" s="559" t="s">
        <v>4714</v>
      </c>
      <c r="AI226" s="559" t="s">
        <v>647</v>
      </c>
      <c r="AJ226" s="601" t="str">
        <f t="shared" si="6"/>
        <v>332203</v>
      </c>
      <c r="AK226" s="601">
        <v>1</v>
      </c>
      <c r="AL226" s="601">
        <f t="shared" si="7"/>
        <v>1</v>
      </c>
      <c r="AM226" s="601">
        <v>1</v>
      </c>
      <c r="AN226" s="603" t="s">
        <v>17650</v>
      </c>
      <c r="AO226" s="603" t="s">
        <v>17651</v>
      </c>
      <c r="AP226" s="603" t="s">
        <v>17652</v>
      </c>
      <c r="AQ226" s="603" t="s">
        <v>17653</v>
      </c>
      <c r="AR226" s="603" t="s">
        <v>1024</v>
      </c>
      <c r="AS226" s="559">
        <v>1</v>
      </c>
    </row>
    <row r="227" spans="1:45" x14ac:dyDescent="0.2">
      <c r="A227" s="559" t="s">
        <v>23968</v>
      </c>
      <c r="B227" s="559" t="s">
        <v>23969</v>
      </c>
      <c r="C227" s="559" t="s">
        <v>17</v>
      </c>
      <c r="D227" s="559" t="s">
        <v>23700</v>
      </c>
      <c r="E227" s="559" t="s">
        <v>192</v>
      </c>
      <c r="F227" s="564">
        <v>1</v>
      </c>
      <c r="G227" s="559" t="s">
        <v>193</v>
      </c>
      <c r="H227" s="559" t="s">
        <v>194</v>
      </c>
      <c r="I227" s="559" t="s">
        <v>23708</v>
      </c>
      <c r="J227" s="559" t="s">
        <v>9302</v>
      </c>
      <c r="K227" s="559" t="s">
        <v>9309</v>
      </c>
      <c r="L227" s="559" t="s">
        <v>6955</v>
      </c>
      <c r="M227" s="559"/>
      <c r="N227" s="559" t="s">
        <v>23970</v>
      </c>
      <c r="O227" s="559" t="s">
        <v>6245</v>
      </c>
      <c r="P227" s="559" t="s">
        <v>23916</v>
      </c>
      <c r="Q227" s="559" t="s">
        <v>23614</v>
      </c>
      <c r="R227" s="559" t="s">
        <v>23917</v>
      </c>
      <c r="S227" s="559" t="s">
        <v>23971</v>
      </c>
      <c r="T227" s="559" t="s">
        <v>23972</v>
      </c>
      <c r="U227" s="559"/>
      <c r="V227" s="603"/>
      <c r="W227" s="559" t="s">
        <v>624</v>
      </c>
      <c r="X227" s="559" t="s">
        <v>193</v>
      </c>
      <c r="Y227" s="559" t="s">
        <v>9310</v>
      </c>
      <c r="Z227" s="559"/>
      <c r="AA227" s="559"/>
      <c r="AB227" s="559" t="s">
        <v>9311</v>
      </c>
      <c r="AC227" s="559"/>
      <c r="AD227" s="559"/>
      <c r="AE227" s="559"/>
      <c r="AF227" s="559"/>
      <c r="AG227" s="559"/>
      <c r="AH227" s="559" t="s">
        <v>4714</v>
      </c>
      <c r="AI227" s="559" t="s">
        <v>23969</v>
      </c>
      <c r="AJ227" s="601" t="str">
        <f t="shared" si="6"/>
        <v>332203</v>
      </c>
      <c r="AK227" s="601">
        <v>1</v>
      </c>
      <c r="AL227" s="601">
        <f t="shared" si="7"/>
        <v>1</v>
      </c>
      <c r="AM227" s="601">
        <v>1</v>
      </c>
      <c r="AN227" s="603" t="s">
        <v>17650</v>
      </c>
      <c r="AO227" s="603" t="s">
        <v>17651</v>
      </c>
      <c r="AP227" s="603" t="s">
        <v>17652</v>
      </c>
      <c r="AQ227" s="603" t="s">
        <v>17653</v>
      </c>
      <c r="AR227" s="603" t="s">
        <v>1024</v>
      </c>
      <c r="AS227" s="559">
        <v>1</v>
      </c>
    </row>
    <row r="228" spans="1:45" x14ac:dyDescent="0.2">
      <c r="A228" s="559" t="s">
        <v>23973</v>
      </c>
      <c r="B228" s="559" t="s">
        <v>23974</v>
      </c>
      <c r="C228" s="559" t="s">
        <v>778</v>
      </c>
      <c r="D228" s="559" t="s">
        <v>23700</v>
      </c>
      <c r="E228" s="559" t="s">
        <v>192</v>
      </c>
      <c r="F228" s="564">
        <v>1</v>
      </c>
      <c r="G228" s="559" t="s">
        <v>193</v>
      </c>
      <c r="H228" s="559" t="s">
        <v>194</v>
      </c>
      <c r="I228" s="559" t="s">
        <v>23708</v>
      </c>
      <c r="J228" s="559" t="s">
        <v>9302</v>
      </c>
      <c r="K228" s="559" t="s">
        <v>9309</v>
      </c>
      <c r="L228" s="559" t="s">
        <v>6955</v>
      </c>
      <c r="M228" s="559"/>
      <c r="N228" s="559" t="s">
        <v>23975</v>
      </c>
      <c r="O228" s="559" t="s">
        <v>6327</v>
      </c>
      <c r="P228" s="559" t="s">
        <v>23916</v>
      </c>
      <c r="Q228" s="559" t="s">
        <v>23614</v>
      </c>
      <c r="R228" s="559" t="s">
        <v>23917</v>
      </c>
      <c r="S228" s="559" t="s">
        <v>23976</v>
      </c>
      <c r="T228" s="559" t="s">
        <v>23977</v>
      </c>
      <c r="U228" s="559"/>
      <c r="V228" s="603"/>
      <c r="W228" s="559" t="s">
        <v>779</v>
      </c>
      <c r="X228" s="559" t="s">
        <v>193</v>
      </c>
      <c r="Y228" s="559" t="s">
        <v>9310</v>
      </c>
      <c r="Z228" s="559"/>
      <c r="AA228" s="559"/>
      <c r="AB228" s="559" t="s">
        <v>9311</v>
      </c>
      <c r="AC228" s="559"/>
      <c r="AD228" s="559"/>
      <c r="AE228" s="559"/>
      <c r="AF228" s="559"/>
      <c r="AG228" s="559"/>
      <c r="AH228" s="559" t="s">
        <v>4714</v>
      </c>
      <c r="AI228" s="559" t="s">
        <v>23974</v>
      </c>
      <c r="AJ228" s="601" t="str">
        <f t="shared" si="6"/>
        <v>524902</v>
      </c>
      <c r="AK228" s="601">
        <v>1</v>
      </c>
      <c r="AL228" s="601">
        <f t="shared" si="7"/>
        <v>1</v>
      </c>
      <c r="AM228" s="601">
        <v>1</v>
      </c>
      <c r="AN228" s="603" t="s">
        <v>17650</v>
      </c>
      <c r="AO228" s="603" t="s">
        <v>17651</v>
      </c>
      <c r="AP228" s="603" t="s">
        <v>17652</v>
      </c>
      <c r="AQ228" s="603" t="s">
        <v>17653</v>
      </c>
      <c r="AR228" s="603" t="s">
        <v>1024</v>
      </c>
      <c r="AS228" s="559">
        <v>1</v>
      </c>
    </row>
    <row r="229" spans="1:45" x14ac:dyDescent="0.2">
      <c r="A229" s="559" t="s">
        <v>2897</v>
      </c>
      <c r="B229" s="559" t="s">
        <v>23978</v>
      </c>
      <c r="C229" s="559" t="s">
        <v>2993</v>
      </c>
      <c r="D229" s="559" t="s">
        <v>23700</v>
      </c>
      <c r="E229" s="559" t="s">
        <v>192</v>
      </c>
      <c r="F229" s="564">
        <v>1</v>
      </c>
      <c r="G229" s="559" t="s">
        <v>193</v>
      </c>
      <c r="H229" s="559" t="s">
        <v>194</v>
      </c>
      <c r="I229" s="559" t="s">
        <v>23186</v>
      </c>
      <c r="J229" s="559" t="s">
        <v>9302</v>
      </c>
      <c r="K229" s="559" t="s">
        <v>9309</v>
      </c>
      <c r="L229" s="559" t="s">
        <v>6955</v>
      </c>
      <c r="M229" s="559"/>
      <c r="N229" s="559" t="s">
        <v>23979</v>
      </c>
      <c r="O229" s="559" t="s">
        <v>6921</v>
      </c>
      <c r="P229" s="559" t="s">
        <v>23916</v>
      </c>
      <c r="Q229" s="559" t="s">
        <v>23614</v>
      </c>
      <c r="R229" s="559" t="s">
        <v>23917</v>
      </c>
      <c r="S229" s="559" t="s">
        <v>23980</v>
      </c>
      <c r="T229" s="559" t="s">
        <v>23981</v>
      </c>
      <c r="U229" s="559"/>
      <c r="V229" s="603"/>
      <c r="W229" s="559" t="s">
        <v>3793</v>
      </c>
      <c r="X229" s="559" t="s">
        <v>193</v>
      </c>
      <c r="Y229" s="559" t="s">
        <v>9310</v>
      </c>
      <c r="Z229" s="559"/>
      <c r="AA229" s="559"/>
      <c r="AB229" s="559" t="s">
        <v>9311</v>
      </c>
      <c r="AC229" s="559"/>
      <c r="AD229" s="559"/>
      <c r="AE229" s="559"/>
      <c r="AF229" s="559"/>
      <c r="AG229" s="559"/>
      <c r="AH229" s="559" t="s">
        <v>4714</v>
      </c>
      <c r="AI229" s="559" t="s">
        <v>23978</v>
      </c>
      <c r="AJ229" s="601" t="str">
        <f t="shared" si="6"/>
        <v>251904</v>
      </c>
      <c r="AK229" s="601">
        <v>1</v>
      </c>
      <c r="AL229" s="601">
        <f t="shared" si="7"/>
        <v>1</v>
      </c>
      <c r="AM229" s="601">
        <v>1</v>
      </c>
      <c r="AN229" s="603" t="s">
        <v>17650</v>
      </c>
      <c r="AO229" s="603" t="s">
        <v>17651</v>
      </c>
      <c r="AP229" s="603" t="s">
        <v>17652</v>
      </c>
      <c r="AQ229" s="603" t="s">
        <v>17653</v>
      </c>
      <c r="AR229" s="603" t="s">
        <v>1024</v>
      </c>
      <c r="AS229" s="559">
        <v>1</v>
      </c>
    </row>
    <row r="230" spans="1:45" x14ac:dyDescent="0.2">
      <c r="A230" s="559" t="s">
        <v>9373</v>
      </c>
      <c r="B230" s="559" t="s">
        <v>14911</v>
      </c>
      <c r="C230" s="559" t="s">
        <v>10</v>
      </c>
      <c r="D230" s="559" t="s">
        <v>23700</v>
      </c>
      <c r="E230" s="559" t="s">
        <v>192</v>
      </c>
      <c r="F230" s="564">
        <v>1</v>
      </c>
      <c r="G230" s="559" t="s">
        <v>193</v>
      </c>
      <c r="H230" s="559" t="s">
        <v>194</v>
      </c>
      <c r="I230" s="559" t="s">
        <v>23307</v>
      </c>
      <c r="J230" s="559" t="s">
        <v>9302</v>
      </c>
      <c r="K230" s="559" t="s">
        <v>9309</v>
      </c>
      <c r="L230" s="559" t="s">
        <v>6955</v>
      </c>
      <c r="M230" s="559"/>
      <c r="N230" s="559" t="s">
        <v>23982</v>
      </c>
      <c r="O230" s="559" t="s">
        <v>6921</v>
      </c>
      <c r="P230" s="559" t="s">
        <v>23916</v>
      </c>
      <c r="Q230" s="559" t="s">
        <v>23614</v>
      </c>
      <c r="R230" s="559" t="s">
        <v>23917</v>
      </c>
      <c r="S230" s="559" t="s">
        <v>23983</v>
      </c>
      <c r="T230" s="559" t="s">
        <v>23984</v>
      </c>
      <c r="U230" s="559"/>
      <c r="V230" s="603"/>
      <c r="W230" s="559" t="s">
        <v>484</v>
      </c>
      <c r="X230" s="559" t="s">
        <v>193</v>
      </c>
      <c r="Y230" s="559" t="s">
        <v>9310</v>
      </c>
      <c r="Z230" s="559"/>
      <c r="AA230" s="559"/>
      <c r="AB230" s="559" t="s">
        <v>9311</v>
      </c>
      <c r="AC230" s="559"/>
      <c r="AD230" s="559"/>
      <c r="AE230" s="559"/>
      <c r="AF230" s="559"/>
      <c r="AG230" s="559"/>
      <c r="AH230" s="559" t="s">
        <v>4714</v>
      </c>
      <c r="AI230" s="559" t="s">
        <v>14911</v>
      </c>
      <c r="AJ230" s="601" t="str">
        <f t="shared" si="6"/>
        <v>251401</v>
      </c>
      <c r="AK230" s="601">
        <v>1</v>
      </c>
      <c r="AL230" s="601">
        <f t="shared" si="7"/>
        <v>1</v>
      </c>
      <c r="AM230" s="601">
        <v>1</v>
      </c>
      <c r="AN230" s="603" t="s">
        <v>17650</v>
      </c>
      <c r="AO230" s="603" t="s">
        <v>17651</v>
      </c>
      <c r="AP230" s="603" t="s">
        <v>17652</v>
      </c>
      <c r="AQ230" s="603" t="s">
        <v>17653</v>
      </c>
      <c r="AR230" s="603" t="s">
        <v>1024</v>
      </c>
      <c r="AS230" s="559">
        <v>1</v>
      </c>
    </row>
    <row r="231" spans="1:45" x14ac:dyDescent="0.2">
      <c r="A231" s="559" t="s">
        <v>23985</v>
      </c>
      <c r="B231" s="559" t="s">
        <v>23986</v>
      </c>
      <c r="C231" s="559" t="s">
        <v>17</v>
      </c>
      <c r="D231" s="559" t="s">
        <v>23700</v>
      </c>
      <c r="E231" s="559" t="s">
        <v>192</v>
      </c>
      <c r="F231" s="564">
        <v>1</v>
      </c>
      <c r="G231" s="559" t="s">
        <v>193</v>
      </c>
      <c r="H231" s="559" t="s">
        <v>194</v>
      </c>
      <c r="I231" s="559" t="s">
        <v>23307</v>
      </c>
      <c r="J231" s="559" t="s">
        <v>9302</v>
      </c>
      <c r="K231" s="559" t="s">
        <v>9309</v>
      </c>
      <c r="L231" s="559" t="s">
        <v>6955</v>
      </c>
      <c r="M231" s="559"/>
      <c r="N231" s="559" t="s">
        <v>23987</v>
      </c>
      <c r="O231" s="559" t="s">
        <v>6245</v>
      </c>
      <c r="P231" s="559" t="s">
        <v>23916</v>
      </c>
      <c r="Q231" s="559" t="s">
        <v>23614</v>
      </c>
      <c r="R231" s="559" t="s">
        <v>23917</v>
      </c>
      <c r="S231" s="559" t="s">
        <v>23988</v>
      </c>
      <c r="T231" s="559" t="s">
        <v>23989</v>
      </c>
      <c r="U231" s="559"/>
      <c r="V231" s="603"/>
      <c r="W231" s="559" t="s">
        <v>624</v>
      </c>
      <c r="X231" s="559" t="s">
        <v>193</v>
      </c>
      <c r="Y231" s="559" t="s">
        <v>9310</v>
      </c>
      <c r="Z231" s="559"/>
      <c r="AA231" s="559"/>
      <c r="AB231" s="559" t="s">
        <v>9311</v>
      </c>
      <c r="AC231" s="559"/>
      <c r="AD231" s="559"/>
      <c r="AE231" s="559"/>
      <c r="AF231" s="559"/>
      <c r="AG231" s="559"/>
      <c r="AH231" s="559" t="s">
        <v>4714</v>
      </c>
      <c r="AI231" s="559" t="s">
        <v>23986</v>
      </c>
      <c r="AJ231" s="601" t="str">
        <f t="shared" si="6"/>
        <v>332203</v>
      </c>
      <c r="AK231" s="601">
        <v>1</v>
      </c>
      <c r="AL231" s="601">
        <f t="shared" si="7"/>
        <v>1</v>
      </c>
      <c r="AM231" s="601">
        <v>1</v>
      </c>
      <c r="AN231" s="603" t="s">
        <v>17650</v>
      </c>
      <c r="AO231" s="603" t="s">
        <v>17651</v>
      </c>
      <c r="AP231" s="603" t="s">
        <v>17652</v>
      </c>
      <c r="AQ231" s="603" t="s">
        <v>17653</v>
      </c>
      <c r="AR231" s="603" t="s">
        <v>1024</v>
      </c>
      <c r="AS231" s="559">
        <v>1</v>
      </c>
    </row>
    <row r="232" spans="1:45" x14ac:dyDescent="0.2">
      <c r="A232" s="559" t="s">
        <v>23990</v>
      </c>
      <c r="B232" s="559" t="s">
        <v>496</v>
      </c>
      <c r="C232" s="559" t="s">
        <v>10</v>
      </c>
      <c r="D232" s="559" t="s">
        <v>23700</v>
      </c>
      <c r="E232" s="559" t="s">
        <v>192</v>
      </c>
      <c r="F232" s="564">
        <v>1</v>
      </c>
      <c r="G232" s="559" t="s">
        <v>193</v>
      </c>
      <c r="H232" s="559" t="s">
        <v>194</v>
      </c>
      <c r="I232" s="559" t="s">
        <v>23917</v>
      </c>
      <c r="J232" s="559" t="s">
        <v>9302</v>
      </c>
      <c r="K232" s="559" t="s">
        <v>9309</v>
      </c>
      <c r="L232" s="559" t="s">
        <v>6955</v>
      </c>
      <c r="M232" s="559"/>
      <c r="N232" s="559" t="s">
        <v>23991</v>
      </c>
      <c r="O232" s="559" t="s">
        <v>6261</v>
      </c>
      <c r="P232" s="559" t="s">
        <v>23916</v>
      </c>
      <c r="Q232" s="559" t="s">
        <v>23614</v>
      </c>
      <c r="R232" s="559" t="s">
        <v>23917</v>
      </c>
      <c r="S232" s="559" t="s">
        <v>23992</v>
      </c>
      <c r="T232" s="559" t="s">
        <v>23993</v>
      </c>
      <c r="U232" s="559"/>
      <c r="V232" s="603"/>
      <c r="W232" s="559" t="s">
        <v>484</v>
      </c>
      <c r="X232" s="559" t="s">
        <v>193</v>
      </c>
      <c r="Y232" s="559" t="s">
        <v>9310</v>
      </c>
      <c r="Z232" s="559"/>
      <c r="AA232" s="559"/>
      <c r="AB232" s="559" t="s">
        <v>9311</v>
      </c>
      <c r="AC232" s="559"/>
      <c r="AD232" s="559"/>
      <c r="AE232" s="559"/>
      <c r="AF232" s="559"/>
      <c r="AG232" s="559"/>
      <c r="AH232" s="559" t="s">
        <v>4714</v>
      </c>
      <c r="AI232" s="559" t="s">
        <v>496</v>
      </c>
      <c r="AJ232" s="601" t="str">
        <f t="shared" si="6"/>
        <v>251401</v>
      </c>
      <c r="AK232" s="601">
        <v>1</v>
      </c>
      <c r="AL232" s="601">
        <f t="shared" si="7"/>
        <v>1</v>
      </c>
      <c r="AM232" s="601">
        <v>1</v>
      </c>
      <c r="AN232" s="603" t="s">
        <v>17650</v>
      </c>
      <c r="AO232" s="603" t="s">
        <v>17651</v>
      </c>
      <c r="AP232" s="603" t="s">
        <v>17652</v>
      </c>
      <c r="AQ232" s="603" t="s">
        <v>17653</v>
      </c>
      <c r="AR232" s="603" t="s">
        <v>1024</v>
      </c>
      <c r="AS232" s="559">
        <v>1</v>
      </c>
    </row>
    <row r="233" spans="1:45" x14ac:dyDescent="0.2">
      <c r="A233" s="559" t="s">
        <v>23990</v>
      </c>
      <c r="B233" s="559" t="s">
        <v>23994</v>
      </c>
      <c r="C233" s="559" t="s">
        <v>10</v>
      </c>
      <c r="D233" s="559" t="s">
        <v>23700</v>
      </c>
      <c r="E233" s="559" t="s">
        <v>192</v>
      </c>
      <c r="F233" s="564">
        <v>1</v>
      </c>
      <c r="G233" s="559" t="s">
        <v>193</v>
      </c>
      <c r="H233" s="559" t="s">
        <v>194</v>
      </c>
      <c r="I233" s="559" t="s">
        <v>23917</v>
      </c>
      <c r="J233" s="559" t="s">
        <v>9302</v>
      </c>
      <c r="K233" s="559" t="s">
        <v>9309</v>
      </c>
      <c r="L233" s="559" t="s">
        <v>6955</v>
      </c>
      <c r="M233" s="559"/>
      <c r="N233" s="559" t="s">
        <v>23995</v>
      </c>
      <c r="O233" s="559" t="s">
        <v>6261</v>
      </c>
      <c r="P233" s="559" t="s">
        <v>23916</v>
      </c>
      <c r="Q233" s="559" t="s">
        <v>23614</v>
      </c>
      <c r="R233" s="559" t="s">
        <v>23917</v>
      </c>
      <c r="S233" s="559" t="s">
        <v>23996</v>
      </c>
      <c r="T233" s="559" t="s">
        <v>23997</v>
      </c>
      <c r="U233" s="559"/>
      <c r="V233" s="603"/>
      <c r="W233" s="559" t="s">
        <v>484</v>
      </c>
      <c r="X233" s="559" t="s">
        <v>193</v>
      </c>
      <c r="Y233" s="559" t="s">
        <v>9310</v>
      </c>
      <c r="Z233" s="559"/>
      <c r="AA233" s="559"/>
      <c r="AB233" s="559" t="s">
        <v>9311</v>
      </c>
      <c r="AC233" s="559"/>
      <c r="AD233" s="559"/>
      <c r="AE233" s="559"/>
      <c r="AF233" s="559"/>
      <c r="AG233" s="559"/>
      <c r="AH233" s="559" t="s">
        <v>4714</v>
      </c>
      <c r="AI233" s="559" t="s">
        <v>23994</v>
      </c>
      <c r="AJ233" s="601" t="str">
        <f t="shared" si="6"/>
        <v>251401</v>
      </c>
      <c r="AK233" s="601">
        <v>1</v>
      </c>
      <c r="AL233" s="601">
        <f t="shared" si="7"/>
        <v>1</v>
      </c>
      <c r="AM233" s="601">
        <v>1</v>
      </c>
      <c r="AN233" s="603" t="s">
        <v>17650</v>
      </c>
      <c r="AO233" s="603" t="s">
        <v>17651</v>
      </c>
      <c r="AP233" s="603" t="s">
        <v>17652</v>
      </c>
      <c r="AQ233" s="603" t="s">
        <v>17653</v>
      </c>
      <c r="AR233" s="603" t="s">
        <v>1024</v>
      </c>
      <c r="AS233" s="559">
        <v>1</v>
      </c>
    </row>
    <row r="234" spans="1:45" x14ac:dyDescent="0.2">
      <c r="A234" s="559" t="s">
        <v>23990</v>
      </c>
      <c r="B234" s="559" t="s">
        <v>23998</v>
      </c>
      <c r="C234" s="559" t="s">
        <v>10</v>
      </c>
      <c r="D234" s="559" t="s">
        <v>23700</v>
      </c>
      <c r="E234" s="559" t="s">
        <v>192</v>
      </c>
      <c r="F234" s="564">
        <v>1</v>
      </c>
      <c r="G234" s="559" t="s">
        <v>193</v>
      </c>
      <c r="H234" s="559" t="s">
        <v>194</v>
      </c>
      <c r="I234" s="559" t="s">
        <v>23917</v>
      </c>
      <c r="J234" s="559" t="s">
        <v>9302</v>
      </c>
      <c r="K234" s="559" t="s">
        <v>9309</v>
      </c>
      <c r="L234" s="559" t="s">
        <v>6955</v>
      </c>
      <c r="M234" s="559"/>
      <c r="N234" s="559" t="s">
        <v>23999</v>
      </c>
      <c r="O234" s="559" t="s">
        <v>6261</v>
      </c>
      <c r="P234" s="559" t="s">
        <v>23916</v>
      </c>
      <c r="Q234" s="559" t="s">
        <v>23614</v>
      </c>
      <c r="R234" s="559" t="s">
        <v>23917</v>
      </c>
      <c r="S234" s="559" t="s">
        <v>24000</v>
      </c>
      <c r="T234" s="559" t="s">
        <v>24001</v>
      </c>
      <c r="U234" s="559"/>
      <c r="V234" s="603"/>
      <c r="W234" s="559" t="s">
        <v>484</v>
      </c>
      <c r="X234" s="559" t="s">
        <v>193</v>
      </c>
      <c r="Y234" s="559" t="s">
        <v>9310</v>
      </c>
      <c r="Z234" s="559"/>
      <c r="AA234" s="559"/>
      <c r="AB234" s="559" t="s">
        <v>9311</v>
      </c>
      <c r="AC234" s="559"/>
      <c r="AD234" s="559"/>
      <c r="AE234" s="559"/>
      <c r="AF234" s="559"/>
      <c r="AG234" s="559"/>
      <c r="AH234" s="559" t="s">
        <v>4714</v>
      </c>
      <c r="AI234" s="559" t="s">
        <v>23998</v>
      </c>
      <c r="AJ234" s="601" t="str">
        <f t="shared" si="6"/>
        <v>251401</v>
      </c>
      <c r="AK234" s="601">
        <v>1</v>
      </c>
      <c r="AL234" s="601">
        <f t="shared" si="7"/>
        <v>1</v>
      </c>
      <c r="AM234" s="601">
        <v>1</v>
      </c>
      <c r="AN234" s="603" t="s">
        <v>17650</v>
      </c>
      <c r="AO234" s="603" t="s">
        <v>17651</v>
      </c>
      <c r="AP234" s="603" t="s">
        <v>17652</v>
      </c>
      <c r="AQ234" s="603" t="s">
        <v>17653</v>
      </c>
      <c r="AR234" s="603" t="s">
        <v>1024</v>
      </c>
      <c r="AS234" s="559">
        <v>1</v>
      </c>
    </row>
    <row r="235" spans="1:45" x14ac:dyDescent="0.2">
      <c r="A235" s="559" t="s">
        <v>24002</v>
      </c>
      <c r="B235" s="559" t="s">
        <v>212</v>
      </c>
      <c r="C235" s="559" t="s">
        <v>35</v>
      </c>
      <c r="D235" s="559" t="s">
        <v>23700</v>
      </c>
      <c r="E235" s="559" t="s">
        <v>192</v>
      </c>
      <c r="F235" s="564">
        <v>1</v>
      </c>
      <c r="G235" s="559" t="s">
        <v>193</v>
      </c>
      <c r="H235" s="559" t="s">
        <v>194</v>
      </c>
      <c r="I235" s="559" t="s">
        <v>23151</v>
      </c>
      <c r="J235" s="559" t="s">
        <v>9302</v>
      </c>
      <c r="K235" s="559" t="s">
        <v>9309</v>
      </c>
      <c r="L235" s="559" t="s">
        <v>6955</v>
      </c>
      <c r="M235" s="559"/>
      <c r="N235" s="559" t="s">
        <v>24003</v>
      </c>
      <c r="O235" s="559" t="s">
        <v>6245</v>
      </c>
      <c r="P235" s="559" t="s">
        <v>23916</v>
      </c>
      <c r="Q235" s="559" t="s">
        <v>23614</v>
      </c>
      <c r="R235" s="559" t="s">
        <v>23917</v>
      </c>
      <c r="S235" s="559" t="s">
        <v>24004</v>
      </c>
      <c r="T235" s="559" t="s">
        <v>24005</v>
      </c>
      <c r="U235" s="559"/>
      <c r="V235" s="603"/>
      <c r="W235" s="559" t="s">
        <v>207</v>
      </c>
      <c r="X235" s="559" t="s">
        <v>193</v>
      </c>
      <c r="Y235" s="559" t="s">
        <v>9310</v>
      </c>
      <c r="Z235" s="559"/>
      <c r="AA235" s="559"/>
      <c r="AB235" s="559" t="s">
        <v>9311</v>
      </c>
      <c r="AC235" s="559"/>
      <c r="AD235" s="559"/>
      <c r="AE235" s="559"/>
      <c r="AF235" s="559"/>
      <c r="AG235" s="559"/>
      <c r="AH235" s="559" t="s">
        <v>4714</v>
      </c>
      <c r="AI235" s="559" t="s">
        <v>212</v>
      </c>
      <c r="AJ235" s="601" t="str">
        <f t="shared" si="6"/>
        <v>122106</v>
      </c>
      <c r="AK235" s="601">
        <v>1</v>
      </c>
      <c r="AL235" s="601">
        <f t="shared" si="7"/>
        <v>1</v>
      </c>
      <c r="AM235" s="601">
        <v>1</v>
      </c>
      <c r="AN235" s="603" t="s">
        <v>17650</v>
      </c>
      <c r="AO235" s="603" t="s">
        <v>17651</v>
      </c>
      <c r="AP235" s="603" t="s">
        <v>17652</v>
      </c>
      <c r="AQ235" s="603" t="s">
        <v>17653</v>
      </c>
      <c r="AR235" s="603" t="s">
        <v>1024</v>
      </c>
      <c r="AS235" s="559">
        <v>1</v>
      </c>
    </row>
    <row r="236" spans="1:45" x14ac:dyDescent="0.2">
      <c r="A236" s="559" t="s">
        <v>10911</v>
      </c>
      <c r="B236" s="559" t="s">
        <v>10201</v>
      </c>
      <c r="C236" s="559" t="s">
        <v>18</v>
      </c>
      <c r="D236" s="559" t="s">
        <v>23700</v>
      </c>
      <c r="E236" s="559" t="s">
        <v>192</v>
      </c>
      <c r="F236" s="564">
        <v>1</v>
      </c>
      <c r="G236" s="559" t="s">
        <v>193</v>
      </c>
      <c r="H236" s="559" t="s">
        <v>194</v>
      </c>
      <c r="I236" s="559" t="s">
        <v>23158</v>
      </c>
      <c r="J236" s="559" t="s">
        <v>9302</v>
      </c>
      <c r="K236" s="559" t="s">
        <v>9309</v>
      </c>
      <c r="L236" s="559" t="s">
        <v>6955</v>
      </c>
      <c r="M236" s="559"/>
      <c r="N236" s="559" t="s">
        <v>24006</v>
      </c>
      <c r="O236" s="559" t="s">
        <v>6340</v>
      </c>
      <c r="P236" s="559" t="s">
        <v>23916</v>
      </c>
      <c r="Q236" s="559" t="s">
        <v>23614</v>
      </c>
      <c r="R236" s="559" t="s">
        <v>23917</v>
      </c>
      <c r="S236" s="559" t="s">
        <v>24007</v>
      </c>
      <c r="T236" s="559" t="s">
        <v>24008</v>
      </c>
      <c r="U236" s="559"/>
      <c r="V236" s="603"/>
      <c r="W236" s="559" t="s">
        <v>1476</v>
      </c>
      <c r="X236" s="559" t="s">
        <v>193</v>
      </c>
      <c r="Y236" s="559" t="s">
        <v>9310</v>
      </c>
      <c r="Z236" s="559"/>
      <c r="AA236" s="559"/>
      <c r="AB236" s="559" t="s">
        <v>9311</v>
      </c>
      <c r="AC236" s="559"/>
      <c r="AD236" s="559"/>
      <c r="AE236" s="559"/>
      <c r="AF236" s="559"/>
      <c r="AG236" s="559"/>
      <c r="AH236" s="559" t="s">
        <v>4714</v>
      </c>
      <c r="AI236" s="559" t="s">
        <v>10201</v>
      </c>
      <c r="AJ236" s="601" t="str">
        <f t="shared" si="6"/>
        <v>242309</v>
      </c>
      <c r="AK236" s="601">
        <v>1</v>
      </c>
      <c r="AL236" s="601">
        <f t="shared" si="7"/>
        <v>1</v>
      </c>
      <c r="AM236" s="601">
        <v>1</v>
      </c>
      <c r="AN236" s="603" t="s">
        <v>17650</v>
      </c>
      <c r="AO236" s="603" t="s">
        <v>17651</v>
      </c>
      <c r="AP236" s="603" t="s">
        <v>17652</v>
      </c>
      <c r="AQ236" s="603" t="s">
        <v>17653</v>
      </c>
      <c r="AR236" s="603" t="s">
        <v>1024</v>
      </c>
      <c r="AS236" s="559">
        <v>1</v>
      </c>
    </row>
    <row r="237" spans="1:45" x14ac:dyDescent="0.2">
      <c r="A237" s="559" t="s">
        <v>18541</v>
      </c>
      <c r="B237" s="559" t="s">
        <v>24009</v>
      </c>
      <c r="C237" s="559" t="s">
        <v>24010</v>
      </c>
      <c r="D237" s="559" t="s">
        <v>23700</v>
      </c>
      <c r="E237" s="559" t="s">
        <v>192</v>
      </c>
      <c r="F237" s="564">
        <v>1</v>
      </c>
      <c r="G237" s="559" t="s">
        <v>193</v>
      </c>
      <c r="H237" s="559" t="s">
        <v>194</v>
      </c>
      <c r="I237" s="559" t="s">
        <v>23708</v>
      </c>
      <c r="J237" s="559" t="s">
        <v>9302</v>
      </c>
      <c r="K237" s="559" t="s">
        <v>9309</v>
      </c>
      <c r="L237" s="559" t="s">
        <v>6955</v>
      </c>
      <c r="M237" s="559"/>
      <c r="N237" s="559" t="s">
        <v>24011</v>
      </c>
      <c r="O237" s="559" t="s">
        <v>6290</v>
      </c>
      <c r="P237" s="559" t="s">
        <v>23916</v>
      </c>
      <c r="Q237" s="559" t="s">
        <v>23614</v>
      </c>
      <c r="R237" s="559" t="s">
        <v>23917</v>
      </c>
      <c r="S237" s="559" t="s">
        <v>24012</v>
      </c>
      <c r="T237" s="559" t="s">
        <v>24013</v>
      </c>
      <c r="U237" s="559"/>
      <c r="V237" s="603"/>
      <c r="W237" s="559" t="s">
        <v>24014</v>
      </c>
      <c r="X237" s="559" t="s">
        <v>193</v>
      </c>
      <c r="Y237" s="559" t="s">
        <v>9310</v>
      </c>
      <c r="Z237" s="559"/>
      <c r="AA237" s="559"/>
      <c r="AB237" s="559" t="s">
        <v>9311</v>
      </c>
      <c r="AC237" s="559"/>
      <c r="AD237" s="559"/>
      <c r="AE237" s="559"/>
      <c r="AF237" s="559"/>
      <c r="AG237" s="559"/>
      <c r="AH237" s="559" t="s">
        <v>4714</v>
      </c>
      <c r="AI237" s="559" t="s">
        <v>24009</v>
      </c>
      <c r="AJ237" s="601" t="str">
        <f t="shared" si="6"/>
        <v>112010</v>
      </c>
      <c r="AK237" s="601">
        <v>1</v>
      </c>
      <c r="AL237" s="601">
        <f t="shared" si="7"/>
        <v>1</v>
      </c>
      <c r="AM237" s="601">
        <v>1</v>
      </c>
      <c r="AN237" s="603" t="s">
        <v>17650</v>
      </c>
      <c r="AO237" s="603" t="s">
        <v>17651</v>
      </c>
      <c r="AP237" s="603" t="s">
        <v>17652</v>
      </c>
      <c r="AQ237" s="603" t="s">
        <v>17653</v>
      </c>
      <c r="AR237" s="603" t="s">
        <v>1024</v>
      </c>
      <c r="AS237" s="559">
        <v>1</v>
      </c>
    </row>
    <row r="238" spans="1:45" x14ac:dyDescent="0.2">
      <c r="A238" s="559" t="s">
        <v>23920</v>
      </c>
      <c r="B238" s="559" t="s">
        <v>16213</v>
      </c>
      <c r="C238" s="559" t="s">
        <v>61</v>
      </c>
      <c r="D238" s="559" t="s">
        <v>23700</v>
      </c>
      <c r="E238" s="559" t="s">
        <v>192</v>
      </c>
      <c r="F238" s="564">
        <v>1</v>
      </c>
      <c r="G238" s="559" t="s">
        <v>193</v>
      </c>
      <c r="H238" s="559" t="s">
        <v>194</v>
      </c>
      <c r="I238" s="559" t="s">
        <v>23708</v>
      </c>
      <c r="J238" s="559" t="s">
        <v>9302</v>
      </c>
      <c r="K238" s="559" t="s">
        <v>9309</v>
      </c>
      <c r="L238" s="559" t="s">
        <v>6955</v>
      </c>
      <c r="M238" s="559"/>
      <c r="N238" s="559" t="s">
        <v>24015</v>
      </c>
      <c r="O238" s="559" t="s">
        <v>6261</v>
      </c>
      <c r="P238" s="559" t="s">
        <v>23916</v>
      </c>
      <c r="Q238" s="559" t="s">
        <v>23614</v>
      </c>
      <c r="R238" s="559" t="s">
        <v>23917</v>
      </c>
      <c r="S238" s="559" t="s">
        <v>24016</v>
      </c>
      <c r="T238" s="559" t="s">
        <v>24017</v>
      </c>
      <c r="U238" s="559"/>
      <c r="V238" s="603"/>
      <c r="W238" s="559" t="s">
        <v>2282</v>
      </c>
      <c r="X238" s="559" t="s">
        <v>193</v>
      </c>
      <c r="Y238" s="559" t="s">
        <v>9310</v>
      </c>
      <c r="Z238" s="559"/>
      <c r="AA238" s="559"/>
      <c r="AB238" s="559" t="s">
        <v>9311</v>
      </c>
      <c r="AC238" s="559"/>
      <c r="AD238" s="559"/>
      <c r="AE238" s="559"/>
      <c r="AF238" s="559"/>
      <c r="AG238" s="559"/>
      <c r="AH238" s="559" t="s">
        <v>4714</v>
      </c>
      <c r="AI238" s="559" t="s">
        <v>16213</v>
      </c>
      <c r="AJ238" s="601" t="str">
        <f t="shared" si="6"/>
        <v>251103</v>
      </c>
      <c r="AK238" s="601">
        <v>1</v>
      </c>
      <c r="AL238" s="601">
        <f t="shared" si="7"/>
        <v>1</v>
      </c>
      <c r="AM238" s="601">
        <v>1</v>
      </c>
      <c r="AN238" s="603" t="s">
        <v>17650</v>
      </c>
      <c r="AO238" s="603" t="s">
        <v>17651</v>
      </c>
      <c r="AP238" s="603" t="s">
        <v>17652</v>
      </c>
      <c r="AQ238" s="603" t="s">
        <v>17653</v>
      </c>
      <c r="AR238" s="603" t="s">
        <v>1024</v>
      </c>
      <c r="AS238" s="559">
        <v>1</v>
      </c>
    </row>
    <row r="239" spans="1:45" x14ac:dyDescent="0.2">
      <c r="A239" s="559" t="s">
        <v>14490</v>
      </c>
      <c r="B239" s="559" t="s">
        <v>22598</v>
      </c>
      <c r="C239" s="559" t="s">
        <v>18</v>
      </c>
      <c r="D239" s="559" t="s">
        <v>23700</v>
      </c>
      <c r="E239" s="559" t="s">
        <v>192</v>
      </c>
      <c r="F239" s="564">
        <v>1</v>
      </c>
      <c r="G239" s="559" t="s">
        <v>193</v>
      </c>
      <c r="H239" s="559" t="s">
        <v>194</v>
      </c>
      <c r="I239" s="559" t="s">
        <v>23708</v>
      </c>
      <c r="J239" s="559" t="s">
        <v>9302</v>
      </c>
      <c r="K239" s="559" t="s">
        <v>9309</v>
      </c>
      <c r="L239" s="559" t="s">
        <v>6955</v>
      </c>
      <c r="M239" s="559"/>
      <c r="N239" s="559" t="s">
        <v>24018</v>
      </c>
      <c r="O239" s="559" t="s">
        <v>6340</v>
      </c>
      <c r="P239" s="559" t="s">
        <v>23916</v>
      </c>
      <c r="Q239" s="559" t="s">
        <v>23614</v>
      </c>
      <c r="R239" s="559" t="s">
        <v>23917</v>
      </c>
      <c r="S239" s="559" t="s">
        <v>24019</v>
      </c>
      <c r="T239" s="559" t="s">
        <v>24020</v>
      </c>
      <c r="U239" s="559"/>
      <c r="V239" s="603"/>
      <c r="W239" s="559" t="s">
        <v>1476</v>
      </c>
      <c r="X239" s="559" t="s">
        <v>193</v>
      </c>
      <c r="Y239" s="559" t="s">
        <v>9310</v>
      </c>
      <c r="Z239" s="559"/>
      <c r="AA239" s="559"/>
      <c r="AB239" s="559" t="s">
        <v>9311</v>
      </c>
      <c r="AC239" s="559"/>
      <c r="AD239" s="559"/>
      <c r="AE239" s="559"/>
      <c r="AF239" s="559"/>
      <c r="AG239" s="559"/>
      <c r="AH239" s="559" t="s">
        <v>4714</v>
      </c>
      <c r="AI239" s="559" t="s">
        <v>22598</v>
      </c>
      <c r="AJ239" s="601" t="str">
        <f t="shared" si="6"/>
        <v>242309</v>
      </c>
      <c r="AK239" s="601">
        <v>1</v>
      </c>
      <c r="AL239" s="601">
        <f t="shared" si="7"/>
        <v>1</v>
      </c>
      <c r="AM239" s="601">
        <v>1</v>
      </c>
      <c r="AN239" s="603" t="s">
        <v>17650</v>
      </c>
      <c r="AO239" s="603" t="s">
        <v>17651</v>
      </c>
      <c r="AP239" s="603" t="s">
        <v>17652</v>
      </c>
      <c r="AQ239" s="603" t="s">
        <v>17653</v>
      </c>
      <c r="AR239" s="603" t="s">
        <v>1024</v>
      </c>
      <c r="AS239" s="559">
        <v>1</v>
      </c>
    </row>
    <row r="240" spans="1:45" x14ac:dyDescent="0.2">
      <c r="A240" s="559" t="s">
        <v>24021</v>
      </c>
      <c r="B240" s="559" t="s">
        <v>24022</v>
      </c>
      <c r="C240" s="559" t="s">
        <v>133</v>
      </c>
      <c r="D240" s="559" t="s">
        <v>23700</v>
      </c>
      <c r="E240" s="559" t="s">
        <v>192</v>
      </c>
      <c r="F240" s="564">
        <v>1</v>
      </c>
      <c r="G240" s="559" t="s">
        <v>193</v>
      </c>
      <c r="H240" s="559" t="s">
        <v>194</v>
      </c>
      <c r="I240" s="559" t="s">
        <v>23708</v>
      </c>
      <c r="J240" s="559" t="s">
        <v>9302</v>
      </c>
      <c r="K240" s="559" t="s">
        <v>9309</v>
      </c>
      <c r="L240" s="559" t="s">
        <v>6955</v>
      </c>
      <c r="M240" s="559"/>
      <c r="N240" s="559" t="s">
        <v>24023</v>
      </c>
      <c r="O240" s="559" t="s">
        <v>6266</v>
      </c>
      <c r="P240" s="559" t="s">
        <v>23916</v>
      </c>
      <c r="Q240" s="559" t="s">
        <v>23614</v>
      </c>
      <c r="R240" s="559" t="s">
        <v>23917</v>
      </c>
      <c r="S240" s="559" t="s">
        <v>24024</v>
      </c>
      <c r="T240" s="559" t="s">
        <v>24025</v>
      </c>
      <c r="U240" s="559"/>
      <c r="V240" s="603"/>
      <c r="W240" s="559" t="s">
        <v>673</v>
      </c>
      <c r="X240" s="559" t="s">
        <v>193</v>
      </c>
      <c r="Y240" s="559" t="s">
        <v>9310</v>
      </c>
      <c r="Z240" s="559"/>
      <c r="AA240" s="559"/>
      <c r="AB240" s="559" t="s">
        <v>9311</v>
      </c>
      <c r="AC240" s="559"/>
      <c r="AD240" s="559"/>
      <c r="AE240" s="559"/>
      <c r="AF240" s="559"/>
      <c r="AG240" s="559"/>
      <c r="AH240" s="559" t="s">
        <v>4714</v>
      </c>
      <c r="AI240" s="559" t="s">
        <v>24022</v>
      </c>
      <c r="AJ240" s="601" t="str">
        <f t="shared" si="6"/>
        <v>333107</v>
      </c>
      <c r="AK240" s="601">
        <v>1</v>
      </c>
      <c r="AL240" s="601">
        <f t="shared" si="7"/>
        <v>1</v>
      </c>
      <c r="AM240" s="601">
        <v>1</v>
      </c>
      <c r="AN240" s="603" t="s">
        <v>17650</v>
      </c>
      <c r="AO240" s="603" t="s">
        <v>17651</v>
      </c>
      <c r="AP240" s="603" t="s">
        <v>17652</v>
      </c>
      <c r="AQ240" s="603" t="s">
        <v>17653</v>
      </c>
      <c r="AR240" s="603" t="s">
        <v>1024</v>
      </c>
      <c r="AS240" s="559">
        <v>1</v>
      </c>
    </row>
    <row r="241" spans="1:45" x14ac:dyDescent="0.2">
      <c r="A241" s="559" t="s">
        <v>24026</v>
      </c>
      <c r="B241" s="559" t="s">
        <v>3283</v>
      </c>
      <c r="C241" s="559" t="s">
        <v>3283</v>
      </c>
      <c r="D241" s="559" t="s">
        <v>23700</v>
      </c>
      <c r="E241" s="559" t="s">
        <v>192</v>
      </c>
      <c r="F241" s="564">
        <v>1</v>
      </c>
      <c r="G241" s="559" t="s">
        <v>193</v>
      </c>
      <c r="H241" s="559" t="s">
        <v>194</v>
      </c>
      <c r="I241" s="559" t="s">
        <v>23151</v>
      </c>
      <c r="J241" s="559" t="s">
        <v>9302</v>
      </c>
      <c r="K241" s="559" t="s">
        <v>9309</v>
      </c>
      <c r="L241" s="559" t="s">
        <v>6955</v>
      </c>
      <c r="M241" s="559"/>
      <c r="N241" s="559" t="s">
        <v>24027</v>
      </c>
      <c r="O241" s="559" t="s">
        <v>6266</v>
      </c>
      <c r="P241" s="559" t="s">
        <v>23916</v>
      </c>
      <c r="Q241" s="559" t="s">
        <v>23614</v>
      </c>
      <c r="R241" s="559" t="s">
        <v>23917</v>
      </c>
      <c r="S241" s="559" t="s">
        <v>24028</v>
      </c>
      <c r="T241" s="559" t="s">
        <v>24029</v>
      </c>
      <c r="U241" s="559"/>
      <c r="V241" s="603"/>
      <c r="W241" s="559" t="s">
        <v>23174</v>
      </c>
      <c r="X241" s="559" t="s">
        <v>193</v>
      </c>
      <c r="Y241" s="559" t="s">
        <v>9310</v>
      </c>
      <c r="Z241" s="559"/>
      <c r="AA241" s="559"/>
      <c r="AB241" s="559" t="s">
        <v>9311</v>
      </c>
      <c r="AC241" s="559"/>
      <c r="AD241" s="559"/>
      <c r="AE241" s="559"/>
      <c r="AF241" s="559"/>
      <c r="AG241" s="559"/>
      <c r="AH241" s="559" t="s">
        <v>4714</v>
      </c>
      <c r="AI241" s="559" t="s">
        <v>3283</v>
      </c>
      <c r="AJ241" s="601" t="str">
        <f t="shared" si="6"/>
        <v>831104</v>
      </c>
      <c r="AK241" s="601">
        <v>1</v>
      </c>
      <c r="AL241" s="601">
        <f t="shared" si="7"/>
        <v>1</v>
      </c>
      <c r="AM241" s="601">
        <v>1</v>
      </c>
      <c r="AN241" s="603" t="s">
        <v>17650</v>
      </c>
      <c r="AO241" s="603" t="s">
        <v>17651</v>
      </c>
      <c r="AP241" s="603" t="s">
        <v>17652</v>
      </c>
      <c r="AQ241" s="603" t="s">
        <v>17653</v>
      </c>
      <c r="AR241" s="603" t="s">
        <v>1024</v>
      </c>
      <c r="AS241" s="559">
        <v>1</v>
      </c>
    </row>
    <row r="242" spans="1:45" x14ac:dyDescent="0.2">
      <c r="A242" s="559" t="s">
        <v>2357</v>
      </c>
      <c r="B242" s="559" t="s">
        <v>24030</v>
      </c>
      <c r="C242" s="559" t="s">
        <v>80</v>
      </c>
      <c r="D242" s="559" t="s">
        <v>23700</v>
      </c>
      <c r="E242" s="559" t="s">
        <v>192</v>
      </c>
      <c r="F242" s="564">
        <v>1</v>
      </c>
      <c r="G242" s="559" t="s">
        <v>193</v>
      </c>
      <c r="H242" s="559" t="s">
        <v>194</v>
      </c>
      <c r="I242" s="559" t="s">
        <v>23186</v>
      </c>
      <c r="J242" s="559" t="s">
        <v>9302</v>
      </c>
      <c r="K242" s="559" t="s">
        <v>9309</v>
      </c>
      <c r="L242" s="559" t="s">
        <v>6955</v>
      </c>
      <c r="M242" s="559"/>
      <c r="N242" s="559" t="s">
        <v>24031</v>
      </c>
      <c r="O242" s="559" t="s">
        <v>6288</v>
      </c>
      <c r="P242" s="559" t="s">
        <v>23916</v>
      </c>
      <c r="Q242" s="559" t="s">
        <v>23614</v>
      </c>
      <c r="R242" s="559" t="s">
        <v>23917</v>
      </c>
      <c r="S242" s="559" t="s">
        <v>24032</v>
      </c>
      <c r="T242" s="559" t="s">
        <v>24033</v>
      </c>
      <c r="U242" s="559"/>
      <c r="V242" s="603"/>
      <c r="W242" s="559" t="s">
        <v>474</v>
      </c>
      <c r="X242" s="559" t="s">
        <v>193</v>
      </c>
      <c r="Y242" s="559" t="s">
        <v>9310</v>
      </c>
      <c r="Z242" s="559"/>
      <c r="AA242" s="559"/>
      <c r="AB242" s="559" t="s">
        <v>9311</v>
      </c>
      <c r="AC242" s="559"/>
      <c r="AD242" s="559"/>
      <c r="AE242" s="559"/>
      <c r="AF242" s="559"/>
      <c r="AG242" s="559"/>
      <c r="AH242" s="559" t="s">
        <v>4714</v>
      </c>
      <c r="AI242" s="559" t="s">
        <v>24030</v>
      </c>
      <c r="AJ242" s="601" t="str">
        <f t="shared" si="6"/>
        <v>243304</v>
      </c>
      <c r="AK242" s="601">
        <v>1</v>
      </c>
      <c r="AL242" s="601">
        <f t="shared" si="7"/>
        <v>1</v>
      </c>
      <c r="AM242" s="601">
        <v>1</v>
      </c>
      <c r="AN242" s="603" t="s">
        <v>17650</v>
      </c>
      <c r="AO242" s="603" t="s">
        <v>17651</v>
      </c>
      <c r="AP242" s="603" t="s">
        <v>17652</v>
      </c>
      <c r="AQ242" s="603" t="s">
        <v>17653</v>
      </c>
      <c r="AR242" s="603" t="s">
        <v>1024</v>
      </c>
      <c r="AS242" s="559">
        <v>1</v>
      </c>
    </row>
    <row r="243" spans="1:45" x14ac:dyDescent="0.2">
      <c r="A243" s="559" t="s">
        <v>12017</v>
      </c>
      <c r="B243" s="559" t="s">
        <v>24034</v>
      </c>
      <c r="C243" s="559" t="s">
        <v>133</v>
      </c>
      <c r="D243" s="559" t="s">
        <v>23700</v>
      </c>
      <c r="E243" s="559" t="s">
        <v>192</v>
      </c>
      <c r="F243" s="564">
        <v>1</v>
      </c>
      <c r="G243" s="559" t="s">
        <v>193</v>
      </c>
      <c r="H243" s="559" t="s">
        <v>194</v>
      </c>
      <c r="I243" s="559" t="s">
        <v>23708</v>
      </c>
      <c r="J243" s="559" t="s">
        <v>9302</v>
      </c>
      <c r="K243" s="559" t="s">
        <v>9309</v>
      </c>
      <c r="L243" s="559" t="s">
        <v>6955</v>
      </c>
      <c r="M243" s="559"/>
      <c r="N243" s="559" t="s">
        <v>24035</v>
      </c>
      <c r="O243" s="559" t="s">
        <v>6266</v>
      </c>
      <c r="P243" s="559" t="s">
        <v>23916</v>
      </c>
      <c r="Q243" s="559" t="s">
        <v>23614</v>
      </c>
      <c r="R243" s="559" t="s">
        <v>23933</v>
      </c>
      <c r="S243" s="559" t="s">
        <v>24036</v>
      </c>
      <c r="T243" s="559" t="s">
        <v>24037</v>
      </c>
      <c r="U243" s="559"/>
      <c r="V243" s="603"/>
      <c r="W243" s="559" t="s">
        <v>673</v>
      </c>
      <c r="X243" s="559" t="s">
        <v>193</v>
      </c>
      <c r="Y243" s="559" t="s">
        <v>9310</v>
      </c>
      <c r="Z243" s="559"/>
      <c r="AA243" s="559"/>
      <c r="AB243" s="559" t="s">
        <v>9311</v>
      </c>
      <c r="AC243" s="559"/>
      <c r="AD243" s="559"/>
      <c r="AE243" s="559"/>
      <c r="AF243" s="559"/>
      <c r="AG243" s="559"/>
      <c r="AH243" s="559" t="s">
        <v>4714</v>
      </c>
      <c r="AI243" s="559" t="s">
        <v>24034</v>
      </c>
      <c r="AJ243" s="601" t="str">
        <f t="shared" si="6"/>
        <v>333107</v>
      </c>
      <c r="AK243" s="601">
        <v>1</v>
      </c>
      <c r="AL243" s="601">
        <f t="shared" si="7"/>
        <v>1</v>
      </c>
      <c r="AM243" s="601">
        <v>1</v>
      </c>
      <c r="AN243" s="603" t="s">
        <v>17650</v>
      </c>
      <c r="AO243" s="603" t="s">
        <v>17651</v>
      </c>
      <c r="AP243" s="603" t="s">
        <v>17652</v>
      </c>
      <c r="AQ243" s="603" t="s">
        <v>17653</v>
      </c>
      <c r="AR243" s="603" t="s">
        <v>1024</v>
      </c>
      <c r="AS243" s="559">
        <v>1</v>
      </c>
    </row>
    <row r="244" spans="1:45" x14ac:dyDescent="0.2">
      <c r="A244" s="559" t="s">
        <v>4969</v>
      </c>
      <c r="B244" s="559" t="s">
        <v>24038</v>
      </c>
      <c r="C244" s="559" t="s">
        <v>10</v>
      </c>
      <c r="D244" s="559" t="s">
        <v>23700</v>
      </c>
      <c r="E244" s="559" t="s">
        <v>192</v>
      </c>
      <c r="F244" s="564">
        <v>1</v>
      </c>
      <c r="G244" s="559" t="s">
        <v>193</v>
      </c>
      <c r="H244" s="559" t="s">
        <v>194</v>
      </c>
      <c r="I244" s="559" t="s">
        <v>23307</v>
      </c>
      <c r="J244" s="559" t="s">
        <v>9302</v>
      </c>
      <c r="K244" s="559" t="s">
        <v>9309</v>
      </c>
      <c r="L244" s="559" t="s">
        <v>6955</v>
      </c>
      <c r="M244" s="559"/>
      <c r="N244" s="559" t="s">
        <v>24039</v>
      </c>
      <c r="O244" s="559" t="s">
        <v>6261</v>
      </c>
      <c r="P244" s="559" t="s">
        <v>23916</v>
      </c>
      <c r="Q244" s="559" t="s">
        <v>23614</v>
      </c>
      <c r="R244" s="559" t="s">
        <v>23917</v>
      </c>
      <c r="S244" s="559" t="s">
        <v>24040</v>
      </c>
      <c r="T244" s="559" t="s">
        <v>24041</v>
      </c>
      <c r="U244" s="559"/>
      <c r="V244" s="603"/>
      <c r="W244" s="559" t="s">
        <v>484</v>
      </c>
      <c r="X244" s="559" t="s">
        <v>193</v>
      </c>
      <c r="Y244" s="559" t="s">
        <v>9310</v>
      </c>
      <c r="Z244" s="559"/>
      <c r="AA244" s="559"/>
      <c r="AB244" s="559" t="s">
        <v>9311</v>
      </c>
      <c r="AC244" s="559"/>
      <c r="AD244" s="559"/>
      <c r="AE244" s="559"/>
      <c r="AF244" s="559"/>
      <c r="AG244" s="559"/>
      <c r="AH244" s="559" t="s">
        <v>4714</v>
      </c>
      <c r="AI244" s="559" t="s">
        <v>24038</v>
      </c>
      <c r="AJ244" s="601" t="str">
        <f t="shared" si="6"/>
        <v>251401</v>
      </c>
      <c r="AK244" s="601">
        <v>1</v>
      </c>
      <c r="AL244" s="601">
        <f t="shared" si="7"/>
        <v>1</v>
      </c>
      <c r="AM244" s="601">
        <v>1</v>
      </c>
      <c r="AN244" s="603" t="s">
        <v>17650</v>
      </c>
      <c r="AO244" s="603" t="s">
        <v>17651</v>
      </c>
      <c r="AP244" s="603" t="s">
        <v>17652</v>
      </c>
      <c r="AQ244" s="603" t="s">
        <v>17653</v>
      </c>
      <c r="AR244" s="603" t="s">
        <v>1024</v>
      </c>
      <c r="AS244" s="559">
        <v>1</v>
      </c>
    </row>
    <row r="245" spans="1:45" x14ac:dyDescent="0.2">
      <c r="A245" s="559" t="s">
        <v>24042</v>
      </c>
      <c r="B245" s="559" t="s">
        <v>24043</v>
      </c>
      <c r="C245" s="559" t="s">
        <v>6617</v>
      </c>
      <c r="D245" s="559" t="s">
        <v>23700</v>
      </c>
      <c r="E245" s="559" t="s">
        <v>192</v>
      </c>
      <c r="F245" s="564">
        <v>1</v>
      </c>
      <c r="G245" s="559" t="s">
        <v>193</v>
      </c>
      <c r="H245" s="559" t="s">
        <v>194</v>
      </c>
      <c r="I245" s="559" t="s">
        <v>23139</v>
      </c>
      <c r="J245" s="559" t="s">
        <v>9302</v>
      </c>
      <c r="K245" s="559" t="s">
        <v>9309</v>
      </c>
      <c r="L245" s="559" t="s">
        <v>6955</v>
      </c>
      <c r="M245" s="559"/>
      <c r="N245" s="559" t="s">
        <v>24044</v>
      </c>
      <c r="O245" s="559" t="s">
        <v>6266</v>
      </c>
      <c r="P245" s="559" t="s">
        <v>23916</v>
      </c>
      <c r="Q245" s="559" t="s">
        <v>23614</v>
      </c>
      <c r="R245" s="559" t="s">
        <v>23917</v>
      </c>
      <c r="S245" s="559" t="s">
        <v>24045</v>
      </c>
      <c r="T245" s="559" t="s">
        <v>24046</v>
      </c>
      <c r="U245" s="559"/>
      <c r="V245" s="603"/>
      <c r="W245" s="559" t="s">
        <v>990</v>
      </c>
      <c r="X245" s="559" t="s">
        <v>193</v>
      </c>
      <c r="Y245" s="559" t="s">
        <v>9310</v>
      </c>
      <c r="Z245" s="559"/>
      <c r="AA245" s="559"/>
      <c r="AB245" s="559" t="s">
        <v>9311</v>
      </c>
      <c r="AC245" s="559"/>
      <c r="AD245" s="559"/>
      <c r="AE245" s="559"/>
      <c r="AF245" s="559"/>
      <c r="AG245" s="559"/>
      <c r="AH245" s="559" t="s">
        <v>4714</v>
      </c>
      <c r="AI245" s="559" t="s">
        <v>24043</v>
      </c>
      <c r="AJ245" s="601" t="str">
        <f t="shared" si="6"/>
        <v>833202</v>
      </c>
      <c r="AK245" s="601">
        <v>1</v>
      </c>
      <c r="AL245" s="601">
        <f t="shared" si="7"/>
        <v>1</v>
      </c>
      <c r="AM245" s="601">
        <v>1</v>
      </c>
      <c r="AN245" s="603" t="s">
        <v>17650</v>
      </c>
      <c r="AO245" s="603" t="s">
        <v>17651</v>
      </c>
      <c r="AP245" s="603" t="s">
        <v>17652</v>
      </c>
      <c r="AQ245" s="603" t="s">
        <v>17653</v>
      </c>
      <c r="AR245" s="603" t="s">
        <v>1024</v>
      </c>
      <c r="AS245" s="559">
        <v>1</v>
      </c>
    </row>
    <row r="246" spans="1:45" x14ac:dyDescent="0.2">
      <c r="A246" s="559" t="s">
        <v>16597</v>
      </c>
      <c r="B246" s="559" t="s">
        <v>2024</v>
      </c>
      <c r="C246" s="559" t="s">
        <v>12</v>
      </c>
      <c r="D246" s="559" t="s">
        <v>23700</v>
      </c>
      <c r="E246" s="559" t="s">
        <v>192</v>
      </c>
      <c r="F246" s="564">
        <v>1</v>
      </c>
      <c r="G246" s="559" t="s">
        <v>193</v>
      </c>
      <c r="H246" s="559" t="s">
        <v>194</v>
      </c>
      <c r="I246" s="559" t="s">
        <v>23139</v>
      </c>
      <c r="J246" s="559" t="s">
        <v>9302</v>
      </c>
      <c r="K246" s="559" t="s">
        <v>9309</v>
      </c>
      <c r="L246" s="559" t="s">
        <v>6955</v>
      </c>
      <c r="M246" s="559"/>
      <c r="N246" s="559" t="s">
        <v>24047</v>
      </c>
      <c r="O246" s="559" t="s">
        <v>6324</v>
      </c>
      <c r="P246" s="559" t="s">
        <v>23916</v>
      </c>
      <c r="Q246" s="559" t="s">
        <v>23614</v>
      </c>
      <c r="R246" s="559" t="s">
        <v>23917</v>
      </c>
      <c r="S246" s="559" t="s">
        <v>24048</v>
      </c>
      <c r="T246" s="559" t="s">
        <v>24049</v>
      </c>
      <c r="U246" s="559"/>
      <c r="V246" s="603"/>
      <c r="W246" s="559" t="s">
        <v>220</v>
      </c>
      <c r="X246" s="559" t="s">
        <v>193</v>
      </c>
      <c r="Y246" s="559" t="s">
        <v>9310</v>
      </c>
      <c r="Z246" s="559"/>
      <c r="AA246" s="559"/>
      <c r="AB246" s="559" t="s">
        <v>9311</v>
      </c>
      <c r="AC246" s="559"/>
      <c r="AD246" s="559"/>
      <c r="AE246" s="559"/>
      <c r="AF246" s="559"/>
      <c r="AG246" s="559"/>
      <c r="AH246" s="559" t="s">
        <v>4714</v>
      </c>
      <c r="AI246" s="559" t="s">
        <v>2024</v>
      </c>
      <c r="AJ246" s="601" t="str">
        <f t="shared" si="6"/>
        <v>132301</v>
      </c>
      <c r="AK246" s="601">
        <v>1</v>
      </c>
      <c r="AL246" s="601">
        <f t="shared" si="7"/>
        <v>1</v>
      </c>
      <c r="AM246" s="601">
        <v>1</v>
      </c>
      <c r="AN246" s="603" t="s">
        <v>17650</v>
      </c>
      <c r="AO246" s="603" t="s">
        <v>17651</v>
      </c>
      <c r="AP246" s="603" t="s">
        <v>17652</v>
      </c>
      <c r="AQ246" s="603" t="s">
        <v>17653</v>
      </c>
      <c r="AR246" s="603" t="s">
        <v>1024</v>
      </c>
      <c r="AS246" s="559">
        <v>1</v>
      </c>
    </row>
    <row r="247" spans="1:45" x14ac:dyDescent="0.2">
      <c r="A247" s="559" t="s">
        <v>24050</v>
      </c>
      <c r="B247" s="559" t="s">
        <v>24051</v>
      </c>
      <c r="C247" s="559" t="s">
        <v>2993</v>
      </c>
      <c r="D247" s="559" t="s">
        <v>23700</v>
      </c>
      <c r="E247" s="559" t="s">
        <v>192</v>
      </c>
      <c r="F247" s="564">
        <v>1</v>
      </c>
      <c r="G247" s="559" t="s">
        <v>193</v>
      </c>
      <c r="H247" s="559" t="s">
        <v>194</v>
      </c>
      <c r="I247" s="559" t="s">
        <v>23708</v>
      </c>
      <c r="J247" s="559" t="s">
        <v>9302</v>
      </c>
      <c r="K247" s="559" t="s">
        <v>9309</v>
      </c>
      <c r="L247" s="559" t="s">
        <v>6955</v>
      </c>
      <c r="M247" s="559"/>
      <c r="N247" s="559" t="s">
        <v>24052</v>
      </c>
      <c r="O247" s="559" t="s">
        <v>6261</v>
      </c>
      <c r="P247" s="559" t="s">
        <v>24053</v>
      </c>
      <c r="Q247" s="559" t="s">
        <v>4849</v>
      </c>
      <c r="R247" s="559" t="s">
        <v>7703</v>
      </c>
      <c r="S247" s="559" t="s">
        <v>24054</v>
      </c>
      <c r="T247" s="559" t="s">
        <v>24055</v>
      </c>
      <c r="U247" s="559"/>
      <c r="V247" s="603"/>
      <c r="W247" s="559" t="s">
        <v>3793</v>
      </c>
      <c r="X247" s="559" t="s">
        <v>193</v>
      </c>
      <c r="Y247" s="559" t="s">
        <v>9310</v>
      </c>
      <c r="Z247" s="559"/>
      <c r="AA247" s="559"/>
      <c r="AB247" s="559" t="s">
        <v>9311</v>
      </c>
      <c r="AC247" s="559"/>
      <c r="AD247" s="559"/>
      <c r="AE247" s="559"/>
      <c r="AF247" s="559"/>
      <c r="AG247" s="559"/>
      <c r="AH247" s="559" t="s">
        <v>4714</v>
      </c>
      <c r="AI247" s="559" t="s">
        <v>24051</v>
      </c>
      <c r="AJ247" s="601" t="str">
        <f t="shared" si="6"/>
        <v>251904</v>
      </c>
      <c r="AK247" s="601">
        <v>1</v>
      </c>
      <c r="AL247" s="601">
        <f t="shared" si="7"/>
        <v>1</v>
      </c>
      <c r="AM247" s="601">
        <v>1</v>
      </c>
      <c r="AN247" s="603" t="s">
        <v>17650</v>
      </c>
      <c r="AO247" s="603" t="s">
        <v>17651</v>
      </c>
      <c r="AP247" s="603" t="s">
        <v>17652</v>
      </c>
      <c r="AQ247" s="603" t="s">
        <v>17653</v>
      </c>
      <c r="AR247" s="603" t="s">
        <v>1024</v>
      </c>
      <c r="AS247" s="559">
        <v>1</v>
      </c>
    </row>
    <row r="248" spans="1:45" x14ac:dyDescent="0.2">
      <c r="A248" s="559" t="s">
        <v>16278</v>
      </c>
      <c r="B248" s="559" t="s">
        <v>24056</v>
      </c>
      <c r="C248" s="559" t="s">
        <v>420</v>
      </c>
      <c r="D248" s="559" t="s">
        <v>23700</v>
      </c>
      <c r="E248" s="559" t="s">
        <v>192</v>
      </c>
      <c r="F248" s="564">
        <v>1</v>
      </c>
      <c r="G248" s="559" t="s">
        <v>193</v>
      </c>
      <c r="H248" s="559" t="s">
        <v>194</v>
      </c>
      <c r="I248" s="559" t="s">
        <v>23708</v>
      </c>
      <c r="J248" s="559" t="s">
        <v>9302</v>
      </c>
      <c r="K248" s="559" t="s">
        <v>9309</v>
      </c>
      <c r="L248" s="559" t="s">
        <v>6955</v>
      </c>
      <c r="M248" s="559"/>
      <c r="N248" s="559" t="s">
        <v>24057</v>
      </c>
      <c r="O248" s="559" t="s">
        <v>7531</v>
      </c>
      <c r="P248" s="559" t="s">
        <v>23916</v>
      </c>
      <c r="Q248" s="559" t="s">
        <v>23614</v>
      </c>
      <c r="R248" s="559" t="s">
        <v>23917</v>
      </c>
      <c r="S248" s="559" t="s">
        <v>24058</v>
      </c>
      <c r="T248" s="559" t="s">
        <v>24059</v>
      </c>
      <c r="U248" s="559"/>
      <c r="V248" s="603"/>
      <c r="W248" s="559" t="s">
        <v>421</v>
      </c>
      <c r="X248" s="559" t="s">
        <v>193</v>
      </c>
      <c r="Y248" s="559" t="s">
        <v>9310</v>
      </c>
      <c r="Z248" s="559"/>
      <c r="AA248" s="559"/>
      <c r="AB248" s="559" t="s">
        <v>9311</v>
      </c>
      <c r="AC248" s="559"/>
      <c r="AD248" s="559"/>
      <c r="AE248" s="559"/>
      <c r="AF248" s="559"/>
      <c r="AG248" s="559"/>
      <c r="AH248" s="559" t="s">
        <v>4714</v>
      </c>
      <c r="AI248" s="559" t="s">
        <v>24056</v>
      </c>
      <c r="AJ248" s="601" t="str">
        <f t="shared" si="6"/>
        <v>241306</v>
      </c>
      <c r="AK248" s="601">
        <v>1</v>
      </c>
      <c r="AL248" s="601">
        <f t="shared" si="7"/>
        <v>1</v>
      </c>
      <c r="AM248" s="601">
        <v>1</v>
      </c>
      <c r="AN248" s="603" t="s">
        <v>17650</v>
      </c>
      <c r="AO248" s="603" t="s">
        <v>17651</v>
      </c>
      <c r="AP248" s="603" t="s">
        <v>17652</v>
      </c>
      <c r="AQ248" s="603" t="s">
        <v>17653</v>
      </c>
      <c r="AR248" s="603" t="s">
        <v>1024</v>
      </c>
      <c r="AS248" s="559">
        <v>1</v>
      </c>
    </row>
    <row r="249" spans="1:45" x14ac:dyDescent="0.2">
      <c r="A249" s="559" t="s">
        <v>24060</v>
      </c>
      <c r="B249" s="559" t="s">
        <v>24061</v>
      </c>
      <c r="C249" s="559" t="s">
        <v>5173</v>
      </c>
      <c r="D249" s="559" t="s">
        <v>23700</v>
      </c>
      <c r="E249" s="559" t="s">
        <v>192</v>
      </c>
      <c r="F249" s="564">
        <v>1</v>
      </c>
      <c r="G249" s="559" t="s">
        <v>193</v>
      </c>
      <c r="H249" s="559" t="s">
        <v>194</v>
      </c>
      <c r="I249" s="559" t="s">
        <v>23708</v>
      </c>
      <c r="J249" s="559" t="s">
        <v>9302</v>
      </c>
      <c r="K249" s="559" t="s">
        <v>9309</v>
      </c>
      <c r="L249" s="559" t="s">
        <v>6955</v>
      </c>
      <c r="M249" s="559"/>
      <c r="N249" s="559" t="s">
        <v>24062</v>
      </c>
      <c r="O249" s="559" t="s">
        <v>7001</v>
      </c>
      <c r="P249" s="559" t="s">
        <v>23916</v>
      </c>
      <c r="Q249" s="559" t="s">
        <v>23614</v>
      </c>
      <c r="R249" s="559" t="s">
        <v>23917</v>
      </c>
      <c r="S249" s="559" t="s">
        <v>24063</v>
      </c>
      <c r="T249" s="559" t="s">
        <v>24064</v>
      </c>
      <c r="U249" s="559"/>
      <c r="V249" s="603"/>
      <c r="W249" s="559" t="s">
        <v>1150</v>
      </c>
      <c r="X249" s="559" t="s">
        <v>193</v>
      </c>
      <c r="Y249" s="559" t="s">
        <v>9310</v>
      </c>
      <c r="Z249" s="559"/>
      <c r="AA249" s="559"/>
      <c r="AB249" s="559" t="s">
        <v>9311</v>
      </c>
      <c r="AC249" s="559"/>
      <c r="AD249" s="559"/>
      <c r="AE249" s="559"/>
      <c r="AF249" s="559"/>
      <c r="AG249" s="559"/>
      <c r="AH249" s="559" t="s">
        <v>4714</v>
      </c>
      <c r="AI249" s="559" t="s">
        <v>24061</v>
      </c>
      <c r="AJ249" s="601" t="str">
        <f t="shared" si="6"/>
        <v>244001</v>
      </c>
      <c r="AK249" s="601">
        <v>1</v>
      </c>
      <c r="AL249" s="601">
        <f t="shared" si="7"/>
        <v>1</v>
      </c>
      <c r="AM249" s="601">
        <v>1</v>
      </c>
      <c r="AN249" s="603" t="s">
        <v>17650</v>
      </c>
      <c r="AO249" s="603" t="s">
        <v>17651</v>
      </c>
      <c r="AP249" s="603" t="s">
        <v>17652</v>
      </c>
      <c r="AQ249" s="603" t="s">
        <v>17653</v>
      </c>
      <c r="AR249" s="603" t="s">
        <v>1024</v>
      </c>
      <c r="AS249" s="559">
        <v>1</v>
      </c>
    </row>
    <row r="250" spans="1:45" x14ac:dyDescent="0.2">
      <c r="A250" s="559" t="s">
        <v>24065</v>
      </c>
      <c r="B250" s="559" t="s">
        <v>24066</v>
      </c>
      <c r="C250" s="559" t="s">
        <v>6617</v>
      </c>
      <c r="D250" s="559" t="s">
        <v>23700</v>
      </c>
      <c r="E250" s="559" t="s">
        <v>192</v>
      </c>
      <c r="F250" s="564">
        <v>1</v>
      </c>
      <c r="G250" s="559" t="s">
        <v>193</v>
      </c>
      <c r="H250" s="559" t="s">
        <v>194</v>
      </c>
      <c r="I250" s="559" t="s">
        <v>23139</v>
      </c>
      <c r="J250" s="559" t="s">
        <v>9302</v>
      </c>
      <c r="K250" s="559" t="s">
        <v>9309</v>
      </c>
      <c r="L250" s="559" t="s">
        <v>6955</v>
      </c>
      <c r="M250" s="559"/>
      <c r="N250" s="559" t="s">
        <v>24067</v>
      </c>
      <c r="O250" s="559" t="s">
        <v>6266</v>
      </c>
      <c r="P250" s="559" t="s">
        <v>23916</v>
      </c>
      <c r="Q250" s="559" t="s">
        <v>23614</v>
      </c>
      <c r="R250" s="559" t="s">
        <v>23933</v>
      </c>
      <c r="S250" s="559" t="s">
        <v>24068</v>
      </c>
      <c r="T250" s="559" t="s">
        <v>24069</v>
      </c>
      <c r="U250" s="559"/>
      <c r="V250" s="603"/>
      <c r="W250" s="559" t="s">
        <v>990</v>
      </c>
      <c r="X250" s="559" t="s">
        <v>193</v>
      </c>
      <c r="Y250" s="559" t="s">
        <v>9310</v>
      </c>
      <c r="Z250" s="559"/>
      <c r="AA250" s="559"/>
      <c r="AB250" s="559" t="s">
        <v>9311</v>
      </c>
      <c r="AC250" s="559"/>
      <c r="AD250" s="559"/>
      <c r="AE250" s="559"/>
      <c r="AF250" s="559"/>
      <c r="AG250" s="559"/>
      <c r="AH250" s="559" t="s">
        <v>4714</v>
      </c>
      <c r="AI250" s="559" t="s">
        <v>24066</v>
      </c>
      <c r="AJ250" s="601" t="str">
        <f t="shared" si="6"/>
        <v>833202</v>
      </c>
      <c r="AK250" s="601">
        <v>1</v>
      </c>
      <c r="AL250" s="601">
        <f t="shared" si="7"/>
        <v>1</v>
      </c>
      <c r="AM250" s="601">
        <v>1</v>
      </c>
      <c r="AN250" s="603" t="s">
        <v>17650</v>
      </c>
      <c r="AO250" s="603" t="s">
        <v>17651</v>
      </c>
      <c r="AP250" s="603" t="s">
        <v>17652</v>
      </c>
      <c r="AQ250" s="603" t="s">
        <v>17653</v>
      </c>
      <c r="AR250" s="603" t="s">
        <v>1024</v>
      </c>
      <c r="AS250" s="559">
        <v>1</v>
      </c>
    </row>
    <row r="251" spans="1:45" x14ac:dyDescent="0.2">
      <c r="A251" s="559" t="s">
        <v>23422</v>
      </c>
      <c r="B251" s="559" t="s">
        <v>11684</v>
      </c>
      <c r="C251" s="559" t="s">
        <v>10</v>
      </c>
      <c r="D251" s="559" t="s">
        <v>23700</v>
      </c>
      <c r="E251" s="559" t="s">
        <v>192</v>
      </c>
      <c r="F251" s="564">
        <v>1</v>
      </c>
      <c r="G251" s="559" t="s">
        <v>193</v>
      </c>
      <c r="H251" s="559" t="s">
        <v>194</v>
      </c>
      <c r="I251" s="559" t="s">
        <v>23307</v>
      </c>
      <c r="J251" s="559" t="s">
        <v>9302</v>
      </c>
      <c r="K251" s="559" t="s">
        <v>9309</v>
      </c>
      <c r="L251" s="559" t="s">
        <v>6955</v>
      </c>
      <c r="M251" s="559"/>
      <c r="N251" s="559" t="s">
        <v>24070</v>
      </c>
      <c r="O251" s="559" t="s">
        <v>6261</v>
      </c>
      <c r="P251" s="559" t="s">
        <v>23916</v>
      </c>
      <c r="Q251" s="559" t="s">
        <v>23614</v>
      </c>
      <c r="R251" s="559" t="s">
        <v>23933</v>
      </c>
      <c r="S251" s="559" t="s">
        <v>24071</v>
      </c>
      <c r="T251" s="559" t="s">
        <v>24072</v>
      </c>
      <c r="U251" s="559"/>
      <c r="V251" s="603"/>
      <c r="W251" s="559" t="s">
        <v>484</v>
      </c>
      <c r="X251" s="559" t="s">
        <v>193</v>
      </c>
      <c r="Y251" s="559" t="s">
        <v>9310</v>
      </c>
      <c r="Z251" s="559"/>
      <c r="AA251" s="559"/>
      <c r="AB251" s="559" t="s">
        <v>9311</v>
      </c>
      <c r="AC251" s="559"/>
      <c r="AD251" s="559"/>
      <c r="AE251" s="559"/>
      <c r="AF251" s="559"/>
      <c r="AG251" s="559"/>
      <c r="AH251" s="559" t="s">
        <v>4714</v>
      </c>
      <c r="AI251" s="559" t="s">
        <v>11684</v>
      </c>
      <c r="AJ251" s="601" t="str">
        <f t="shared" si="6"/>
        <v>251401</v>
      </c>
      <c r="AK251" s="601">
        <v>1</v>
      </c>
      <c r="AL251" s="601">
        <f t="shared" si="7"/>
        <v>1</v>
      </c>
      <c r="AM251" s="601">
        <v>1</v>
      </c>
      <c r="AN251" s="603" t="s">
        <v>17650</v>
      </c>
      <c r="AO251" s="603" t="s">
        <v>17651</v>
      </c>
      <c r="AP251" s="603" t="s">
        <v>17652</v>
      </c>
      <c r="AQ251" s="603" t="s">
        <v>17653</v>
      </c>
      <c r="AR251" s="603" t="s">
        <v>1024</v>
      </c>
      <c r="AS251" s="559">
        <v>1</v>
      </c>
    </row>
    <row r="252" spans="1:45" x14ac:dyDescent="0.2">
      <c r="A252" s="559" t="s">
        <v>23422</v>
      </c>
      <c r="B252" s="559" t="s">
        <v>24073</v>
      </c>
      <c r="C252" s="559" t="s">
        <v>46</v>
      </c>
      <c r="D252" s="559" t="s">
        <v>23700</v>
      </c>
      <c r="E252" s="559" t="s">
        <v>192</v>
      </c>
      <c r="F252" s="564">
        <v>1</v>
      </c>
      <c r="G252" s="559" t="s">
        <v>193</v>
      </c>
      <c r="H252" s="559" t="s">
        <v>194</v>
      </c>
      <c r="I252" s="559" t="s">
        <v>23307</v>
      </c>
      <c r="J252" s="559" t="s">
        <v>9302</v>
      </c>
      <c r="K252" s="559" t="s">
        <v>9309</v>
      </c>
      <c r="L252" s="559" t="s">
        <v>6955</v>
      </c>
      <c r="M252" s="559"/>
      <c r="N252" s="559" t="s">
        <v>24074</v>
      </c>
      <c r="O252" s="559" t="s">
        <v>6921</v>
      </c>
      <c r="P252" s="559" t="s">
        <v>23916</v>
      </c>
      <c r="Q252" s="559" t="s">
        <v>23614</v>
      </c>
      <c r="R252" s="559" t="s">
        <v>23933</v>
      </c>
      <c r="S252" s="559" t="s">
        <v>24075</v>
      </c>
      <c r="T252" s="559" t="s">
        <v>24076</v>
      </c>
      <c r="U252" s="559"/>
      <c r="V252" s="603"/>
      <c r="W252" s="559" t="s">
        <v>510</v>
      </c>
      <c r="X252" s="559" t="s">
        <v>193</v>
      </c>
      <c r="Y252" s="559" t="s">
        <v>9310</v>
      </c>
      <c r="Z252" s="559"/>
      <c r="AA252" s="559"/>
      <c r="AB252" s="559" t="s">
        <v>9311</v>
      </c>
      <c r="AC252" s="559"/>
      <c r="AD252" s="559"/>
      <c r="AE252" s="559"/>
      <c r="AF252" s="559"/>
      <c r="AG252" s="559"/>
      <c r="AH252" s="559" t="s">
        <v>4714</v>
      </c>
      <c r="AI252" s="559" t="s">
        <v>24073</v>
      </c>
      <c r="AJ252" s="601" t="str">
        <f t="shared" si="6"/>
        <v>252201</v>
      </c>
      <c r="AK252" s="601">
        <v>1</v>
      </c>
      <c r="AL252" s="601">
        <f t="shared" si="7"/>
        <v>1</v>
      </c>
      <c r="AM252" s="601">
        <v>1</v>
      </c>
      <c r="AN252" s="603" t="s">
        <v>17650</v>
      </c>
      <c r="AO252" s="603" t="s">
        <v>17651</v>
      </c>
      <c r="AP252" s="603" t="s">
        <v>17652</v>
      </c>
      <c r="AQ252" s="603" t="s">
        <v>17653</v>
      </c>
      <c r="AR252" s="603" t="s">
        <v>1024</v>
      </c>
      <c r="AS252" s="559">
        <v>1</v>
      </c>
    </row>
    <row r="253" spans="1:45" x14ac:dyDescent="0.2">
      <c r="A253" s="559" t="s">
        <v>24077</v>
      </c>
      <c r="B253" s="559" t="s">
        <v>496</v>
      </c>
      <c r="C253" s="559" t="s">
        <v>10</v>
      </c>
      <c r="D253" s="559" t="s">
        <v>23700</v>
      </c>
      <c r="E253" s="559" t="s">
        <v>192</v>
      </c>
      <c r="F253" s="564">
        <v>1</v>
      </c>
      <c r="G253" s="559" t="s">
        <v>193</v>
      </c>
      <c r="H253" s="559" t="s">
        <v>194</v>
      </c>
      <c r="I253" s="559" t="s">
        <v>23917</v>
      </c>
      <c r="J253" s="559" t="s">
        <v>9302</v>
      </c>
      <c r="K253" s="559" t="s">
        <v>9309</v>
      </c>
      <c r="L253" s="559" t="s">
        <v>6955</v>
      </c>
      <c r="M253" s="559"/>
      <c r="N253" s="559" t="s">
        <v>24078</v>
      </c>
      <c r="O253" s="559" t="s">
        <v>6261</v>
      </c>
      <c r="P253" s="559" t="s">
        <v>23916</v>
      </c>
      <c r="Q253" s="559" t="s">
        <v>23614</v>
      </c>
      <c r="R253" s="559" t="s">
        <v>23917</v>
      </c>
      <c r="S253" s="559" t="s">
        <v>24079</v>
      </c>
      <c r="T253" s="559" t="s">
        <v>24080</v>
      </c>
      <c r="U253" s="559"/>
      <c r="V253" s="603"/>
      <c r="W253" s="559" t="s">
        <v>484</v>
      </c>
      <c r="X253" s="559" t="s">
        <v>193</v>
      </c>
      <c r="Y253" s="559" t="s">
        <v>9310</v>
      </c>
      <c r="Z253" s="559"/>
      <c r="AA253" s="559"/>
      <c r="AB253" s="559" t="s">
        <v>9311</v>
      </c>
      <c r="AC253" s="559"/>
      <c r="AD253" s="559"/>
      <c r="AE253" s="559"/>
      <c r="AF253" s="559"/>
      <c r="AG253" s="559"/>
      <c r="AH253" s="559" t="s">
        <v>4714</v>
      </c>
      <c r="AI253" s="559" t="s">
        <v>496</v>
      </c>
      <c r="AJ253" s="601" t="str">
        <f t="shared" si="6"/>
        <v>251401</v>
      </c>
      <c r="AK253" s="601">
        <v>1</v>
      </c>
      <c r="AL253" s="601">
        <f t="shared" si="7"/>
        <v>1</v>
      </c>
      <c r="AM253" s="601">
        <v>1</v>
      </c>
      <c r="AN253" s="603" t="s">
        <v>17650</v>
      </c>
      <c r="AO253" s="603" t="s">
        <v>17651</v>
      </c>
      <c r="AP253" s="603" t="s">
        <v>17652</v>
      </c>
      <c r="AQ253" s="603" t="s">
        <v>17653</v>
      </c>
      <c r="AR253" s="603" t="s">
        <v>1024</v>
      </c>
      <c r="AS253" s="559">
        <v>1</v>
      </c>
    </row>
    <row r="254" spans="1:45" x14ac:dyDescent="0.2">
      <c r="A254" s="559" t="s">
        <v>23422</v>
      </c>
      <c r="B254" s="559" t="s">
        <v>24081</v>
      </c>
      <c r="C254" s="559" t="s">
        <v>19</v>
      </c>
      <c r="D254" s="559" t="s">
        <v>23700</v>
      </c>
      <c r="E254" s="559" t="s">
        <v>192</v>
      </c>
      <c r="F254" s="564">
        <v>1</v>
      </c>
      <c r="G254" s="559" t="s">
        <v>193</v>
      </c>
      <c r="H254" s="559" t="s">
        <v>194</v>
      </c>
      <c r="I254" s="559" t="s">
        <v>23708</v>
      </c>
      <c r="J254" s="559" t="s">
        <v>9302</v>
      </c>
      <c r="K254" s="559" t="s">
        <v>9309</v>
      </c>
      <c r="L254" s="559" t="s">
        <v>6955</v>
      </c>
      <c r="M254" s="559"/>
      <c r="N254" s="559" t="s">
        <v>24082</v>
      </c>
      <c r="O254" s="559" t="s">
        <v>6921</v>
      </c>
      <c r="P254" s="559" t="s">
        <v>23916</v>
      </c>
      <c r="Q254" s="559" t="s">
        <v>23614</v>
      </c>
      <c r="R254" s="559" t="s">
        <v>23933</v>
      </c>
      <c r="S254" s="559" t="s">
        <v>24083</v>
      </c>
      <c r="T254" s="559" t="s">
        <v>24084</v>
      </c>
      <c r="U254" s="559"/>
      <c r="V254" s="603"/>
      <c r="W254" s="559" t="s">
        <v>337</v>
      </c>
      <c r="X254" s="559" t="s">
        <v>193</v>
      </c>
      <c r="Y254" s="559" t="s">
        <v>9310</v>
      </c>
      <c r="Z254" s="559"/>
      <c r="AA254" s="559"/>
      <c r="AB254" s="559" t="s">
        <v>9311</v>
      </c>
      <c r="AC254" s="559"/>
      <c r="AD254" s="559"/>
      <c r="AE254" s="559"/>
      <c r="AF254" s="559"/>
      <c r="AG254" s="559"/>
      <c r="AH254" s="559" t="s">
        <v>4714</v>
      </c>
      <c r="AI254" s="559" t="s">
        <v>24081</v>
      </c>
      <c r="AJ254" s="601" t="str">
        <f t="shared" si="6"/>
        <v>214903</v>
      </c>
      <c r="AK254" s="601">
        <v>1</v>
      </c>
      <c r="AL254" s="601">
        <f t="shared" si="7"/>
        <v>1</v>
      </c>
      <c r="AM254" s="601">
        <v>1</v>
      </c>
      <c r="AN254" s="603" t="s">
        <v>17650</v>
      </c>
      <c r="AO254" s="603" t="s">
        <v>17651</v>
      </c>
      <c r="AP254" s="603" t="s">
        <v>17652</v>
      </c>
      <c r="AQ254" s="603" t="s">
        <v>17653</v>
      </c>
      <c r="AR254" s="603" t="s">
        <v>1024</v>
      </c>
      <c r="AS254" s="559">
        <v>1</v>
      </c>
    </row>
    <row r="255" spans="1:45" x14ac:dyDescent="0.2">
      <c r="A255" s="559" t="s">
        <v>23422</v>
      </c>
      <c r="B255" s="559" t="s">
        <v>24085</v>
      </c>
      <c r="C255" s="559" t="s">
        <v>10</v>
      </c>
      <c r="D255" s="559" t="s">
        <v>23700</v>
      </c>
      <c r="E255" s="559" t="s">
        <v>192</v>
      </c>
      <c r="F255" s="564">
        <v>1</v>
      </c>
      <c r="G255" s="559" t="s">
        <v>193</v>
      </c>
      <c r="H255" s="559" t="s">
        <v>194</v>
      </c>
      <c r="I255" s="559" t="s">
        <v>23708</v>
      </c>
      <c r="J255" s="559" t="s">
        <v>9302</v>
      </c>
      <c r="K255" s="559" t="s">
        <v>9309</v>
      </c>
      <c r="L255" s="559" t="s">
        <v>6955</v>
      </c>
      <c r="M255" s="559"/>
      <c r="N255" s="559" t="s">
        <v>24086</v>
      </c>
      <c r="O255" s="559" t="s">
        <v>6261</v>
      </c>
      <c r="P255" s="559" t="s">
        <v>23916</v>
      </c>
      <c r="Q255" s="559" t="s">
        <v>23614</v>
      </c>
      <c r="R255" s="559" t="s">
        <v>23933</v>
      </c>
      <c r="S255" s="559" t="s">
        <v>24087</v>
      </c>
      <c r="T255" s="559" t="s">
        <v>24088</v>
      </c>
      <c r="U255" s="559"/>
      <c r="V255" s="603"/>
      <c r="W255" s="559" t="s">
        <v>484</v>
      </c>
      <c r="X255" s="559" t="s">
        <v>193</v>
      </c>
      <c r="Y255" s="559" t="s">
        <v>9310</v>
      </c>
      <c r="Z255" s="559"/>
      <c r="AA255" s="559"/>
      <c r="AB255" s="559" t="s">
        <v>9311</v>
      </c>
      <c r="AC255" s="559"/>
      <c r="AD255" s="559"/>
      <c r="AE255" s="559"/>
      <c r="AF255" s="559"/>
      <c r="AG255" s="559"/>
      <c r="AH255" s="559" t="s">
        <v>4714</v>
      </c>
      <c r="AI255" s="559" t="s">
        <v>24085</v>
      </c>
      <c r="AJ255" s="601" t="str">
        <f t="shared" si="6"/>
        <v>251401</v>
      </c>
      <c r="AK255" s="601">
        <v>1</v>
      </c>
      <c r="AL255" s="601">
        <f t="shared" si="7"/>
        <v>1</v>
      </c>
      <c r="AM255" s="601">
        <v>1</v>
      </c>
      <c r="AN255" s="603" t="s">
        <v>17650</v>
      </c>
      <c r="AO255" s="603" t="s">
        <v>17651</v>
      </c>
      <c r="AP255" s="603" t="s">
        <v>17652</v>
      </c>
      <c r="AQ255" s="603" t="s">
        <v>17653</v>
      </c>
      <c r="AR255" s="603" t="s">
        <v>1024</v>
      </c>
      <c r="AS255" s="559">
        <v>1</v>
      </c>
    </row>
    <row r="256" spans="1:45" x14ac:dyDescent="0.2">
      <c r="A256" s="559" t="s">
        <v>23422</v>
      </c>
      <c r="B256" s="559" t="s">
        <v>24089</v>
      </c>
      <c r="C256" s="559" t="s">
        <v>2861</v>
      </c>
      <c r="D256" s="559" t="s">
        <v>23700</v>
      </c>
      <c r="E256" s="559" t="s">
        <v>192</v>
      </c>
      <c r="F256" s="564">
        <v>1</v>
      </c>
      <c r="G256" s="559" t="s">
        <v>193</v>
      </c>
      <c r="H256" s="559" t="s">
        <v>194</v>
      </c>
      <c r="I256" s="559" t="s">
        <v>23708</v>
      </c>
      <c r="J256" s="559" t="s">
        <v>9302</v>
      </c>
      <c r="K256" s="559" t="s">
        <v>9309</v>
      </c>
      <c r="L256" s="559" t="s">
        <v>6955</v>
      </c>
      <c r="M256" s="559"/>
      <c r="N256" s="559" t="s">
        <v>24090</v>
      </c>
      <c r="O256" s="559" t="s">
        <v>6921</v>
      </c>
      <c r="P256" s="559" t="s">
        <v>23916</v>
      </c>
      <c r="Q256" s="559" t="s">
        <v>23614</v>
      </c>
      <c r="R256" s="559" t="s">
        <v>23933</v>
      </c>
      <c r="S256" s="559" t="s">
        <v>24091</v>
      </c>
      <c r="T256" s="559" t="s">
        <v>24092</v>
      </c>
      <c r="U256" s="559"/>
      <c r="V256" s="603"/>
      <c r="W256" s="559" t="s">
        <v>3629</v>
      </c>
      <c r="X256" s="559" t="s">
        <v>193</v>
      </c>
      <c r="Y256" s="559" t="s">
        <v>9310</v>
      </c>
      <c r="Z256" s="559"/>
      <c r="AA256" s="559"/>
      <c r="AB256" s="559" t="s">
        <v>9311</v>
      </c>
      <c r="AC256" s="559"/>
      <c r="AD256" s="559"/>
      <c r="AE256" s="559"/>
      <c r="AF256" s="559"/>
      <c r="AG256" s="559"/>
      <c r="AH256" s="559" t="s">
        <v>4714</v>
      </c>
      <c r="AI256" s="559" t="s">
        <v>24089</v>
      </c>
      <c r="AJ256" s="601" t="str">
        <f t="shared" si="6"/>
        <v>251903</v>
      </c>
      <c r="AK256" s="601">
        <v>1</v>
      </c>
      <c r="AL256" s="601">
        <f t="shared" si="7"/>
        <v>1</v>
      </c>
      <c r="AM256" s="601">
        <v>1</v>
      </c>
      <c r="AN256" s="603" t="s">
        <v>17650</v>
      </c>
      <c r="AO256" s="603" t="s">
        <v>17651</v>
      </c>
      <c r="AP256" s="603" t="s">
        <v>17652</v>
      </c>
      <c r="AQ256" s="603" t="s">
        <v>17653</v>
      </c>
      <c r="AR256" s="603" t="s">
        <v>1024</v>
      </c>
      <c r="AS256" s="559">
        <v>1</v>
      </c>
    </row>
    <row r="257" spans="1:45" x14ac:dyDescent="0.2">
      <c r="A257" s="559" t="s">
        <v>23422</v>
      </c>
      <c r="B257" s="559" t="s">
        <v>24093</v>
      </c>
      <c r="C257" s="559" t="s">
        <v>10</v>
      </c>
      <c r="D257" s="559" t="s">
        <v>23700</v>
      </c>
      <c r="E257" s="559" t="s">
        <v>192</v>
      </c>
      <c r="F257" s="564">
        <v>1</v>
      </c>
      <c r="G257" s="559" t="s">
        <v>193</v>
      </c>
      <c r="H257" s="559" t="s">
        <v>194</v>
      </c>
      <c r="I257" s="559" t="s">
        <v>23158</v>
      </c>
      <c r="J257" s="559" t="s">
        <v>9302</v>
      </c>
      <c r="K257" s="559" t="s">
        <v>9309</v>
      </c>
      <c r="L257" s="559" t="s">
        <v>6955</v>
      </c>
      <c r="M257" s="559"/>
      <c r="N257" s="559" t="s">
        <v>24094</v>
      </c>
      <c r="O257" s="559" t="s">
        <v>6921</v>
      </c>
      <c r="P257" s="559" t="s">
        <v>23916</v>
      </c>
      <c r="Q257" s="559" t="s">
        <v>23614</v>
      </c>
      <c r="R257" s="559" t="s">
        <v>23933</v>
      </c>
      <c r="S257" s="559" t="s">
        <v>24095</v>
      </c>
      <c r="T257" s="559" t="s">
        <v>24096</v>
      </c>
      <c r="U257" s="559"/>
      <c r="V257" s="603"/>
      <c r="W257" s="559" t="s">
        <v>484</v>
      </c>
      <c r="X257" s="559" t="s">
        <v>193</v>
      </c>
      <c r="Y257" s="559" t="s">
        <v>9310</v>
      </c>
      <c r="Z257" s="559"/>
      <c r="AA257" s="559"/>
      <c r="AB257" s="559" t="s">
        <v>9311</v>
      </c>
      <c r="AC257" s="559"/>
      <c r="AD257" s="559"/>
      <c r="AE257" s="559"/>
      <c r="AF257" s="559"/>
      <c r="AG257" s="559"/>
      <c r="AH257" s="559" t="s">
        <v>4714</v>
      </c>
      <c r="AI257" s="559" t="s">
        <v>24093</v>
      </c>
      <c r="AJ257" s="601" t="str">
        <f t="shared" si="6"/>
        <v>251401</v>
      </c>
      <c r="AK257" s="601">
        <v>1</v>
      </c>
      <c r="AL257" s="601">
        <f t="shared" si="7"/>
        <v>1</v>
      </c>
      <c r="AM257" s="601">
        <v>1</v>
      </c>
      <c r="AN257" s="603" t="s">
        <v>17650</v>
      </c>
      <c r="AO257" s="603" t="s">
        <v>17651</v>
      </c>
      <c r="AP257" s="603" t="s">
        <v>17652</v>
      </c>
      <c r="AQ257" s="603" t="s">
        <v>17653</v>
      </c>
      <c r="AR257" s="603" t="s">
        <v>1024</v>
      </c>
      <c r="AS257" s="559">
        <v>1</v>
      </c>
    </row>
    <row r="258" spans="1:45" x14ac:dyDescent="0.2">
      <c r="A258" s="559" t="s">
        <v>23422</v>
      </c>
      <c r="B258" s="559" t="s">
        <v>24097</v>
      </c>
      <c r="C258" s="559" t="s">
        <v>10</v>
      </c>
      <c r="D258" s="559" t="s">
        <v>23700</v>
      </c>
      <c r="E258" s="559" t="s">
        <v>192</v>
      </c>
      <c r="F258" s="564">
        <v>1</v>
      </c>
      <c r="G258" s="559" t="s">
        <v>193</v>
      </c>
      <c r="H258" s="559" t="s">
        <v>194</v>
      </c>
      <c r="I258" s="559" t="s">
        <v>23307</v>
      </c>
      <c r="J258" s="559" t="s">
        <v>9302</v>
      </c>
      <c r="K258" s="559" t="s">
        <v>9309</v>
      </c>
      <c r="L258" s="559" t="s">
        <v>6955</v>
      </c>
      <c r="M258" s="559"/>
      <c r="N258" s="559" t="s">
        <v>24098</v>
      </c>
      <c r="O258" s="559" t="s">
        <v>6921</v>
      </c>
      <c r="P258" s="559" t="s">
        <v>23916</v>
      </c>
      <c r="Q258" s="559" t="s">
        <v>23614</v>
      </c>
      <c r="R258" s="559" t="s">
        <v>23933</v>
      </c>
      <c r="S258" s="559" t="s">
        <v>24099</v>
      </c>
      <c r="T258" s="559" t="s">
        <v>24100</v>
      </c>
      <c r="U258" s="559"/>
      <c r="V258" s="603"/>
      <c r="W258" s="559" t="s">
        <v>484</v>
      </c>
      <c r="X258" s="559" t="s">
        <v>193</v>
      </c>
      <c r="Y258" s="559" t="s">
        <v>9310</v>
      </c>
      <c r="Z258" s="559"/>
      <c r="AA258" s="559"/>
      <c r="AB258" s="559" t="s">
        <v>9311</v>
      </c>
      <c r="AC258" s="559"/>
      <c r="AD258" s="559"/>
      <c r="AE258" s="559"/>
      <c r="AF258" s="559"/>
      <c r="AG258" s="559"/>
      <c r="AH258" s="559" t="s">
        <v>4714</v>
      </c>
      <c r="AI258" s="559" t="s">
        <v>24097</v>
      </c>
      <c r="AJ258" s="601" t="str">
        <f t="shared" si="6"/>
        <v>251401</v>
      </c>
      <c r="AK258" s="601">
        <v>1</v>
      </c>
      <c r="AL258" s="601">
        <f t="shared" si="7"/>
        <v>1</v>
      </c>
      <c r="AM258" s="601">
        <v>1</v>
      </c>
      <c r="AN258" s="603" t="s">
        <v>17650</v>
      </c>
      <c r="AO258" s="603" t="s">
        <v>17651</v>
      </c>
      <c r="AP258" s="603" t="s">
        <v>17652</v>
      </c>
      <c r="AQ258" s="603" t="s">
        <v>17653</v>
      </c>
      <c r="AR258" s="603" t="s">
        <v>1024</v>
      </c>
      <c r="AS258" s="559">
        <v>1</v>
      </c>
    </row>
    <row r="259" spans="1:45" x14ac:dyDescent="0.2">
      <c r="A259" s="559" t="s">
        <v>23422</v>
      </c>
      <c r="B259" s="559" t="s">
        <v>24101</v>
      </c>
      <c r="C259" s="559" t="s">
        <v>10</v>
      </c>
      <c r="D259" s="559" t="s">
        <v>23700</v>
      </c>
      <c r="E259" s="559" t="s">
        <v>192</v>
      </c>
      <c r="F259" s="564">
        <v>1</v>
      </c>
      <c r="G259" s="559" t="s">
        <v>193</v>
      </c>
      <c r="H259" s="559" t="s">
        <v>194</v>
      </c>
      <c r="I259" s="559" t="s">
        <v>23307</v>
      </c>
      <c r="J259" s="559" t="s">
        <v>9302</v>
      </c>
      <c r="K259" s="559" t="s">
        <v>9309</v>
      </c>
      <c r="L259" s="559" t="s">
        <v>6955</v>
      </c>
      <c r="M259" s="559"/>
      <c r="N259" s="559" t="s">
        <v>24102</v>
      </c>
      <c r="O259" s="559" t="s">
        <v>6261</v>
      </c>
      <c r="P259" s="559" t="s">
        <v>23916</v>
      </c>
      <c r="Q259" s="559" t="s">
        <v>23614</v>
      </c>
      <c r="R259" s="559" t="s">
        <v>23933</v>
      </c>
      <c r="S259" s="559" t="s">
        <v>24103</v>
      </c>
      <c r="T259" s="559" t="s">
        <v>24104</v>
      </c>
      <c r="U259" s="559"/>
      <c r="V259" s="603"/>
      <c r="W259" s="559" t="s">
        <v>484</v>
      </c>
      <c r="X259" s="559" t="s">
        <v>193</v>
      </c>
      <c r="Y259" s="559" t="s">
        <v>9310</v>
      </c>
      <c r="Z259" s="559"/>
      <c r="AA259" s="559"/>
      <c r="AB259" s="559" t="s">
        <v>9311</v>
      </c>
      <c r="AC259" s="559"/>
      <c r="AD259" s="559"/>
      <c r="AE259" s="559"/>
      <c r="AF259" s="559"/>
      <c r="AG259" s="559"/>
      <c r="AH259" s="559" t="s">
        <v>4714</v>
      </c>
      <c r="AI259" s="559" t="s">
        <v>24101</v>
      </c>
      <c r="AJ259" s="601" t="str">
        <f t="shared" ref="AJ259:AJ322" si="8">MID(W259,8,6)</f>
        <v>251401</v>
      </c>
      <c r="AK259" s="601">
        <v>1</v>
      </c>
      <c r="AL259" s="601">
        <f t="shared" ref="AL259:AL322" si="9">F259</f>
        <v>1</v>
      </c>
      <c r="AM259" s="601">
        <v>1</v>
      </c>
      <c r="AN259" s="603" t="s">
        <v>17650</v>
      </c>
      <c r="AO259" s="603" t="s">
        <v>17651</v>
      </c>
      <c r="AP259" s="603" t="s">
        <v>17652</v>
      </c>
      <c r="AQ259" s="603" t="s">
        <v>17653</v>
      </c>
      <c r="AR259" s="603" t="s">
        <v>1024</v>
      </c>
      <c r="AS259" s="559">
        <v>1</v>
      </c>
    </row>
    <row r="260" spans="1:45" x14ac:dyDescent="0.2">
      <c r="A260" s="559" t="s">
        <v>1892</v>
      </c>
      <c r="B260" s="559" t="s">
        <v>24105</v>
      </c>
      <c r="C260" s="559" t="s">
        <v>18</v>
      </c>
      <c r="D260" s="559" t="s">
        <v>23700</v>
      </c>
      <c r="E260" s="559" t="s">
        <v>192</v>
      </c>
      <c r="F260" s="564">
        <v>1</v>
      </c>
      <c r="G260" s="559" t="s">
        <v>193</v>
      </c>
      <c r="H260" s="559" t="s">
        <v>194</v>
      </c>
      <c r="I260" s="559" t="s">
        <v>23708</v>
      </c>
      <c r="J260" s="559" t="s">
        <v>9302</v>
      </c>
      <c r="K260" s="559" t="s">
        <v>9309</v>
      </c>
      <c r="L260" s="559" t="s">
        <v>6955</v>
      </c>
      <c r="M260" s="559"/>
      <c r="N260" s="559" t="s">
        <v>24106</v>
      </c>
      <c r="O260" s="559" t="s">
        <v>6340</v>
      </c>
      <c r="P260" s="559" t="s">
        <v>23916</v>
      </c>
      <c r="Q260" s="559" t="s">
        <v>23614</v>
      </c>
      <c r="R260" s="559" t="s">
        <v>23917</v>
      </c>
      <c r="S260" s="559" t="s">
        <v>24107</v>
      </c>
      <c r="T260" s="559" t="s">
        <v>24108</v>
      </c>
      <c r="U260" s="559"/>
      <c r="V260" s="603"/>
      <c r="W260" s="559" t="s">
        <v>1476</v>
      </c>
      <c r="X260" s="559" t="s">
        <v>193</v>
      </c>
      <c r="Y260" s="559" t="s">
        <v>9310</v>
      </c>
      <c r="Z260" s="559"/>
      <c r="AA260" s="559"/>
      <c r="AB260" s="559" t="s">
        <v>9311</v>
      </c>
      <c r="AC260" s="559"/>
      <c r="AD260" s="559"/>
      <c r="AE260" s="559"/>
      <c r="AF260" s="559"/>
      <c r="AG260" s="559"/>
      <c r="AH260" s="559" t="s">
        <v>4714</v>
      </c>
      <c r="AI260" s="559" t="s">
        <v>24105</v>
      </c>
      <c r="AJ260" s="601" t="str">
        <f t="shared" si="8"/>
        <v>242309</v>
      </c>
      <c r="AK260" s="601">
        <v>1</v>
      </c>
      <c r="AL260" s="601">
        <f t="shared" si="9"/>
        <v>1</v>
      </c>
      <c r="AM260" s="601">
        <v>1</v>
      </c>
      <c r="AN260" s="603" t="s">
        <v>17650</v>
      </c>
      <c r="AO260" s="603" t="s">
        <v>17651</v>
      </c>
      <c r="AP260" s="603" t="s">
        <v>17652</v>
      </c>
      <c r="AQ260" s="603" t="s">
        <v>17653</v>
      </c>
      <c r="AR260" s="603" t="s">
        <v>1024</v>
      </c>
      <c r="AS260" s="559">
        <v>1</v>
      </c>
    </row>
    <row r="261" spans="1:45" x14ac:dyDescent="0.2">
      <c r="A261" s="559" t="s">
        <v>502</v>
      </c>
      <c r="B261" s="559" t="s">
        <v>24109</v>
      </c>
      <c r="C261" s="559" t="s">
        <v>10</v>
      </c>
      <c r="D261" s="559" t="s">
        <v>23700</v>
      </c>
      <c r="E261" s="559" t="s">
        <v>192</v>
      </c>
      <c r="F261" s="564">
        <v>1</v>
      </c>
      <c r="G261" s="559" t="s">
        <v>193</v>
      </c>
      <c r="H261" s="559" t="s">
        <v>194</v>
      </c>
      <c r="I261" s="559" t="s">
        <v>23307</v>
      </c>
      <c r="J261" s="559" t="s">
        <v>9302</v>
      </c>
      <c r="K261" s="559" t="s">
        <v>9309</v>
      </c>
      <c r="L261" s="559" t="s">
        <v>6955</v>
      </c>
      <c r="M261" s="559"/>
      <c r="N261" s="559" t="s">
        <v>24110</v>
      </c>
      <c r="O261" s="559" t="s">
        <v>6261</v>
      </c>
      <c r="P261" s="559" t="s">
        <v>23916</v>
      </c>
      <c r="Q261" s="559" t="s">
        <v>23614</v>
      </c>
      <c r="R261" s="559" t="s">
        <v>23917</v>
      </c>
      <c r="S261" s="559" t="s">
        <v>24111</v>
      </c>
      <c r="T261" s="559" t="s">
        <v>24112</v>
      </c>
      <c r="U261" s="559"/>
      <c r="V261" s="603"/>
      <c r="W261" s="559" t="s">
        <v>484</v>
      </c>
      <c r="X261" s="559" t="s">
        <v>193</v>
      </c>
      <c r="Y261" s="559" t="s">
        <v>9310</v>
      </c>
      <c r="Z261" s="559"/>
      <c r="AA261" s="559"/>
      <c r="AB261" s="559" t="s">
        <v>9311</v>
      </c>
      <c r="AC261" s="559"/>
      <c r="AD261" s="559"/>
      <c r="AE261" s="559"/>
      <c r="AF261" s="559"/>
      <c r="AG261" s="559"/>
      <c r="AH261" s="559" t="s">
        <v>4714</v>
      </c>
      <c r="AI261" s="559" t="s">
        <v>24109</v>
      </c>
      <c r="AJ261" s="601" t="str">
        <f t="shared" si="8"/>
        <v>251401</v>
      </c>
      <c r="AK261" s="601">
        <v>1</v>
      </c>
      <c r="AL261" s="601">
        <f t="shared" si="9"/>
        <v>1</v>
      </c>
      <c r="AM261" s="601">
        <v>1</v>
      </c>
      <c r="AN261" s="603" t="s">
        <v>17650</v>
      </c>
      <c r="AO261" s="603" t="s">
        <v>17651</v>
      </c>
      <c r="AP261" s="603" t="s">
        <v>17652</v>
      </c>
      <c r="AQ261" s="603" t="s">
        <v>17653</v>
      </c>
      <c r="AR261" s="603" t="s">
        <v>1024</v>
      </c>
      <c r="AS261" s="559">
        <v>1</v>
      </c>
    </row>
    <row r="262" spans="1:45" x14ac:dyDescent="0.2">
      <c r="A262" s="559" t="s">
        <v>23422</v>
      </c>
      <c r="B262" s="559" t="s">
        <v>10970</v>
      </c>
      <c r="C262" s="559" t="s">
        <v>8953</v>
      </c>
      <c r="D262" s="559" t="s">
        <v>23700</v>
      </c>
      <c r="E262" s="559" t="s">
        <v>192</v>
      </c>
      <c r="F262" s="564">
        <v>1</v>
      </c>
      <c r="G262" s="559" t="s">
        <v>193</v>
      </c>
      <c r="H262" s="559" t="s">
        <v>194</v>
      </c>
      <c r="I262" s="559" t="s">
        <v>23708</v>
      </c>
      <c r="J262" s="559" t="s">
        <v>9302</v>
      </c>
      <c r="K262" s="559" t="s">
        <v>9309</v>
      </c>
      <c r="L262" s="559" t="s">
        <v>6955</v>
      </c>
      <c r="M262" s="559"/>
      <c r="N262" s="559" t="s">
        <v>24113</v>
      </c>
      <c r="O262" s="559" t="s">
        <v>6921</v>
      </c>
      <c r="P262" s="559" t="s">
        <v>23916</v>
      </c>
      <c r="Q262" s="559" t="s">
        <v>23614</v>
      </c>
      <c r="R262" s="559" t="s">
        <v>23933</v>
      </c>
      <c r="S262" s="559" t="s">
        <v>24114</v>
      </c>
      <c r="T262" s="559" t="s">
        <v>24115</v>
      </c>
      <c r="U262" s="559"/>
      <c r="V262" s="603"/>
      <c r="W262" s="559" t="s">
        <v>8955</v>
      </c>
      <c r="X262" s="559" t="s">
        <v>193</v>
      </c>
      <c r="Y262" s="559" t="s">
        <v>9310</v>
      </c>
      <c r="Z262" s="559"/>
      <c r="AA262" s="559"/>
      <c r="AB262" s="559" t="s">
        <v>9311</v>
      </c>
      <c r="AC262" s="559"/>
      <c r="AD262" s="559"/>
      <c r="AE262" s="559"/>
      <c r="AF262" s="559"/>
      <c r="AG262" s="559"/>
      <c r="AH262" s="559" t="s">
        <v>4714</v>
      </c>
      <c r="AI262" s="559" t="s">
        <v>10970</v>
      </c>
      <c r="AJ262" s="601" t="str">
        <f t="shared" si="8"/>
        <v>252103</v>
      </c>
      <c r="AK262" s="601">
        <v>1</v>
      </c>
      <c r="AL262" s="601">
        <f t="shared" si="9"/>
        <v>1</v>
      </c>
      <c r="AM262" s="601">
        <v>1</v>
      </c>
      <c r="AN262" s="603" t="s">
        <v>17650</v>
      </c>
      <c r="AO262" s="603" t="s">
        <v>17651</v>
      </c>
      <c r="AP262" s="603" t="s">
        <v>17652</v>
      </c>
      <c r="AQ262" s="603" t="s">
        <v>17653</v>
      </c>
      <c r="AR262" s="603" t="s">
        <v>1024</v>
      </c>
      <c r="AS262" s="559">
        <v>1</v>
      </c>
    </row>
    <row r="263" spans="1:45" x14ac:dyDescent="0.2">
      <c r="A263" s="559" t="s">
        <v>23422</v>
      </c>
      <c r="B263" s="559" t="s">
        <v>24116</v>
      </c>
      <c r="C263" s="559" t="s">
        <v>10</v>
      </c>
      <c r="D263" s="559" t="s">
        <v>23700</v>
      </c>
      <c r="E263" s="559" t="s">
        <v>192</v>
      </c>
      <c r="F263" s="564">
        <v>1</v>
      </c>
      <c r="G263" s="559" t="s">
        <v>193</v>
      </c>
      <c r="H263" s="559" t="s">
        <v>194</v>
      </c>
      <c r="I263" s="559" t="s">
        <v>23708</v>
      </c>
      <c r="J263" s="559" t="s">
        <v>9302</v>
      </c>
      <c r="K263" s="559" t="s">
        <v>9309</v>
      </c>
      <c r="L263" s="559" t="s">
        <v>6955</v>
      </c>
      <c r="M263" s="559"/>
      <c r="N263" s="559" t="s">
        <v>24117</v>
      </c>
      <c r="O263" s="559" t="s">
        <v>6921</v>
      </c>
      <c r="P263" s="559" t="s">
        <v>23916</v>
      </c>
      <c r="Q263" s="559" t="s">
        <v>23614</v>
      </c>
      <c r="R263" s="559" t="s">
        <v>23933</v>
      </c>
      <c r="S263" s="559" t="s">
        <v>24118</v>
      </c>
      <c r="T263" s="559" t="s">
        <v>24119</v>
      </c>
      <c r="U263" s="559"/>
      <c r="V263" s="603"/>
      <c r="W263" s="559" t="s">
        <v>484</v>
      </c>
      <c r="X263" s="559" t="s">
        <v>193</v>
      </c>
      <c r="Y263" s="559" t="s">
        <v>9310</v>
      </c>
      <c r="Z263" s="559"/>
      <c r="AA263" s="559"/>
      <c r="AB263" s="559" t="s">
        <v>9311</v>
      </c>
      <c r="AC263" s="559"/>
      <c r="AD263" s="559"/>
      <c r="AE263" s="559"/>
      <c r="AF263" s="559"/>
      <c r="AG263" s="559"/>
      <c r="AH263" s="559" t="s">
        <v>4714</v>
      </c>
      <c r="AI263" s="559" t="s">
        <v>24116</v>
      </c>
      <c r="AJ263" s="601" t="str">
        <f t="shared" si="8"/>
        <v>251401</v>
      </c>
      <c r="AK263" s="601">
        <v>1</v>
      </c>
      <c r="AL263" s="601">
        <f t="shared" si="9"/>
        <v>1</v>
      </c>
      <c r="AM263" s="601">
        <v>1</v>
      </c>
      <c r="AN263" s="603" t="s">
        <v>17650</v>
      </c>
      <c r="AO263" s="603" t="s">
        <v>17651</v>
      </c>
      <c r="AP263" s="603" t="s">
        <v>17652</v>
      </c>
      <c r="AQ263" s="603" t="s">
        <v>17653</v>
      </c>
      <c r="AR263" s="603" t="s">
        <v>1024</v>
      </c>
      <c r="AS263" s="559">
        <v>1</v>
      </c>
    </row>
    <row r="264" spans="1:45" x14ac:dyDescent="0.2">
      <c r="A264" s="559" t="s">
        <v>24120</v>
      </c>
      <c r="B264" s="559" t="s">
        <v>24121</v>
      </c>
      <c r="C264" s="559" t="s">
        <v>17</v>
      </c>
      <c r="D264" s="559" t="s">
        <v>23700</v>
      </c>
      <c r="E264" s="559" t="s">
        <v>192</v>
      </c>
      <c r="F264" s="564">
        <v>1</v>
      </c>
      <c r="G264" s="559" t="s">
        <v>193</v>
      </c>
      <c r="H264" s="559" t="s">
        <v>194</v>
      </c>
      <c r="I264" s="559" t="s">
        <v>23708</v>
      </c>
      <c r="J264" s="559" t="s">
        <v>9302</v>
      </c>
      <c r="K264" s="559" t="s">
        <v>9309</v>
      </c>
      <c r="L264" s="559" t="s">
        <v>6955</v>
      </c>
      <c r="M264" s="559"/>
      <c r="N264" s="559" t="s">
        <v>24122</v>
      </c>
      <c r="O264" s="559" t="s">
        <v>6245</v>
      </c>
      <c r="P264" s="559" t="s">
        <v>23916</v>
      </c>
      <c r="Q264" s="559" t="s">
        <v>23614</v>
      </c>
      <c r="R264" s="559" t="s">
        <v>23917</v>
      </c>
      <c r="S264" s="559" t="s">
        <v>24123</v>
      </c>
      <c r="T264" s="559" t="s">
        <v>24124</v>
      </c>
      <c r="U264" s="559"/>
      <c r="V264" s="603"/>
      <c r="W264" s="559" t="s">
        <v>624</v>
      </c>
      <c r="X264" s="559" t="s">
        <v>193</v>
      </c>
      <c r="Y264" s="559" t="s">
        <v>9310</v>
      </c>
      <c r="Z264" s="559"/>
      <c r="AA264" s="559"/>
      <c r="AB264" s="559" t="s">
        <v>9311</v>
      </c>
      <c r="AC264" s="559"/>
      <c r="AD264" s="559"/>
      <c r="AE264" s="559"/>
      <c r="AF264" s="559"/>
      <c r="AG264" s="559"/>
      <c r="AH264" s="559" t="s">
        <v>4714</v>
      </c>
      <c r="AI264" s="559" t="s">
        <v>24121</v>
      </c>
      <c r="AJ264" s="601" t="str">
        <f t="shared" si="8"/>
        <v>332203</v>
      </c>
      <c r="AK264" s="601">
        <v>1</v>
      </c>
      <c r="AL264" s="601">
        <f t="shared" si="9"/>
        <v>1</v>
      </c>
      <c r="AM264" s="601">
        <v>1</v>
      </c>
      <c r="AN264" s="603" t="s">
        <v>17650</v>
      </c>
      <c r="AO264" s="603" t="s">
        <v>17651</v>
      </c>
      <c r="AP264" s="603" t="s">
        <v>17652</v>
      </c>
      <c r="AQ264" s="603" t="s">
        <v>17653</v>
      </c>
      <c r="AR264" s="603" t="s">
        <v>1024</v>
      </c>
      <c r="AS264" s="559">
        <v>1</v>
      </c>
    </row>
    <row r="265" spans="1:45" x14ac:dyDescent="0.2">
      <c r="A265" s="559" t="s">
        <v>23422</v>
      </c>
      <c r="B265" s="559" t="s">
        <v>9664</v>
      </c>
      <c r="C265" s="559" t="s">
        <v>24125</v>
      </c>
      <c r="D265" s="559" t="s">
        <v>23700</v>
      </c>
      <c r="E265" s="559" t="s">
        <v>192</v>
      </c>
      <c r="F265" s="564">
        <v>1</v>
      </c>
      <c r="G265" s="559" t="s">
        <v>193</v>
      </c>
      <c r="H265" s="559" t="s">
        <v>194</v>
      </c>
      <c r="I265" s="559" t="s">
        <v>23708</v>
      </c>
      <c r="J265" s="559" t="s">
        <v>9302</v>
      </c>
      <c r="K265" s="559" t="s">
        <v>9309</v>
      </c>
      <c r="L265" s="559" t="s">
        <v>6955</v>
      </c>
      <c r="M265" s="559"/>
      <c r="N265" s="559" t="s">
        <v>24126</v>
      </c>
      <c r="O265" s="559" t="s">
        <v>6261</v>
      </c>
      <c r="P265" s="559" t="s">
        <v>23916</v>
      </c>
      <c r="Q265" s="559" t="s">
        <v>23614</v>
      </c>
      <c r="R265" s="559" t="s">
        <v>23933</v>
      </c>
      <c r="S265" s="559" t="s">
        <v>24127</v>
      </c>
      <c r="T265" s="559" t="s">
        <v>24128</v>
      </c>
      <c r="U265" s="559"/>
      <c r="V265" s="603"/>
      <c r="W265" s="559" t="s">
        <v>24129</v>
      </c>
      <c r="X265" s="559" t="s">
        <v>193</v>
      </c>
      <c r="Y265" s="559" t="s">
        <v>9310</v>
      </c>
      <c r="Z265" s="559"/>
      <c r="AA265" s="559"/>
      <c r="AB265" s="559" t="s">
        <v>9311</v>
      </c>
      <c r="AC265" s="559"/>
      <c r="AD265" s="559"/>
      <c r="AE265" s="559"/>
      <c r="AF265" s="559"/>
      <c r="AG265" s="559"/>
      <c r="AH265" s="559" t="s">
        <v>4714</v>
      </c>
      <c r="AI265" s="559" t="s">
        <v>9664</v>
      </c>
      <c r="AJ265" s="601" t="str">
        <f t="shared" si="8"/>
        <v>351401</v>
      </c>
      <c r="AK265" s="601">
        <v>1</v>
      </c>
      <c r="AL265" s="601">
        <f t="shared" si="9"/>
        <v>1</v>
      </c>
      <c r="AM265" s="601">
        <v>1</v>
      </c>
      <c r="AN265" s="603" t="s">
        <v>17650</v>
      </c>
      <c r="AO265" s="603" t="s">
        <v>17651</v>
      </c>
      <c r="AP265" s="603" t="s">
        <v>17652</v>
      </c>
      <c r="AQ265" s="603" t="s">
        <v>17653</v>
      </c>
      <c r="AR265" s="603" t="s">
        <v>1024</v>
      </c>
      <c r="AS265" s="559">
        <v>1</v>
      </c>
    </row>
    <row r="266" spans="1:45" x14ac:dyDescent="0.2">
      <c r="A266" s="559" t="s">
        <v>23422</v>
      </c>
      <c r="B266" s="559" t="s">
        <v>1322</v>
      </c>
      <c r="C266" s="559" t="s">
        <v>3367</v>
      </c>
      <c r="D266" s="559" t="s">
        <v>23700</v>
      </c>
      <c r="E266" s="559" t="s">
        <v>192</v>
      </c>
      <c r="F266" s="564">
        <v>1</v>
      </c>
      <c r="G266" s="559" t="s">
        <v>193</v>
      </c>
      <c r="H266" s="559" t="s">
        <v>194</v>
      </c>
      <c r="I266" s="559" t="s">
        <v>23708</v>
      </c>
      <c r="J266" s="559" t="s">
        <v>9302</v>
      </c>
      <c r="K266" s="559" t="s">
        <v>9309</v>
      </c>
      <c r="L266" s="559" t="s">
        <v>6955</v>
      </c>
      <c r="M266" s="559"/>
      <c r="N266" s="559" t="s">
        <v>24130</v>
      </c>
      <c r="O266" s="559" t="s">
        <v>6921</v>
      </c>
      <c r="P266" s="559" t="s">
        <v>23916</v>
      </c>
      <c r="Q266" s="559" t="s">
        <v>23614</v>
      </c>
      <c r="R266" s="559" t="s">
        <v>23933</v>
      </c>
      <c r="S266" s="559" t="s">
        <v>24131</v>
      </c>
      <c r="T266" s="559" t="s">
        <v>24132</v>
      </c>
      <c r="U266" s="559"/>
      <c r="V266" s="603"/>
      <c r="W266" s="559" t="s">
        <v>3368</v>
      </c>
      <c r="X266" s="559" t="s">
        <v>193</v>
      </c>
      <c r="Y266" s="559" t="s">
        <v>9310</v>
      </c>
      <c r="Z266" s="559"/>
      <c r="AA266" s="559"/>
      <c r="AB266" s="559" t="s">
        <v>9311</v>
      </c>
      <c r="AC266" s="559"/>
      <c r="AD266" s="559"/>
      <c r="AE266" s="559"/>
      <c r="AF266" s="559"/>
      <c r="AG266" s="559"/>
      <c r="AH266" s="559" t="s">
        <v>4714</v>
      </c>
      <c r="AI266" s="559" t="s">
        <v>1322</v>
      </c>
      <c r="AJ266" s="601" t="str">
        <f t="shared" si="8"/>
        <v>133001</v>
      </c>
      <c r="AK266" s="601">
        <v>1</v>
      </c>
      <c r="AL266" s="601">
        <f t="shared" si="9"/>
        <v>1</v>
      </c>
      <c r="AM266" s="601">
        <v>1</v>
      </c>
      <c r="AN266" s="603" t="s">
        <v>17650</v>
      </c>
      <c r="AO266" s="603" t="s">
        <v>17651</v>
      </c>
      <c r="AP266" s="603" t="s">
        <v>17652</v>
      </c>
      <c r="AQ266" s="603" t="s">
        <v>17653</v>
      </c>
      <c r="AR266" s="603" t="s">
        <v>1024</v>
      </c>
      <c r="AS266" s="559">
        <v>1</v>
      </c>
    </row>
    <row r="267" spans="1:45" x14ac:dyDescent="0.2">
      <c r="A267" s="559" t="s">
        <v>6422</v>
      </c>
      <c r="B267" s="559" t="s">
        <v>10716</v>
      </c>
      <c r="C267" s="559" t="s">
        <v>10</v>
      </c>
      <c r="D267" s="559" t="s">
        <v>23700</v>
      </c>
      <c r="E267" s="559" t="s">
        <v>192</v>
      </c>
      <c r="F267" s="564">
        <v>1</v>
      </c>
      <c r="G267" s="559" t="s">
        <v>193</v>
      </c>
      <c r="H267" s="559" t="s">
        <v>194</v>
      </c>
      <c r="I267" s="559" t="s">
        <v>23917</v>
      </c>
      <c r="J267" s="559" t="s">
        <v>9302</v>
      </c>
      <c r="K267" s="559" t="s">
        <v>9309</v>
      </c>
      <c r="L267" s="559" t="s">
        <v>6955</v>
      </c>
      <c r="M267" s="559"/>
      <c r="N267" s="559" t="s">
        <v>24133</v>
      </c>
      <c r="O267" s="559" t="s">
        <v>6261</v>
      </c>
      <c r="P267" s="559" t="s">
        <v>23916</v>
      </c>
      <c r="Q267" s="559" t="s">
        <v>23614</v>
      </c>
      <c r="R267" s="559" t="s">
        <v>23917</v>
      </c>
      <c r="S267" s="559" t="s">
        <v>24134</v>
      </c>
      <c r="T267" s="559" t="s">
        <v>24135</v>
      </c>
      <c r="U267" s="559"/>
      <c r="V267" s="603"/>
      <c r="W267" s="559" t="s">
        <v>484</v>
      </c>
      <c r="X267" s="559" t="s">
        <v>193</v>
      </c>
      <c r="Y267" s="559" t="s">
        <v>9310</v>
      </c>
      <c r="Z267" s="559"/>
      <c r="AA267" s="559"/>
      <c r="AB267" s="559" t="s">
        <v>9311</v>
      </c>
      <c r="AC267" s="559"/>
      <c r="AD267" s="559"/>
      <c r="AE267" s="559"/>
      <c r="AF267" s="559"/>
      <c r="AG267" s="559"/>
      <c r="AH267" s="559" t="s">
        <v>4714</v>
      </c>
      <c r="AI267" s="559" t="s">
        <v>10716</v>
      </c>
      <c r="AJ267" s="601" t="str">
        <f t="shared" si="8"/>
        <v>251401</v>
      </c>
      <c r="AK267" s="601">
        <v>1</v>
      </c>
      <c r="AL267" s="601">
        <f t="shared" si="9"/>
        <v>1</v>
      </c>
      <c r="AM267" s="601">
        <v>1</v>
      </c>
      <c r="AN267" s="603" t="s">
        <v>17650</v>
      </c>
      <c r="AO267" s="603" t="s">
        <v>17651</v>
      </c>
      <c r="AP267" s="603" t="s">
        <v>17652</v>
      </c>
      <c r="AQ267" s="603" t="s">
        <v>17653</v>
      </c>
      <c r="AR267" s="603" t="s">
        <v>1024</v>
      </c>
      <c r="AS267" s="559">
        <v>1</v>
      </c>
    </row>
    <row r="268" spans="1:45" x14ac:dyDescent="0.2">
      <c r="A268" s="559" t="s">
        <v>218</v>
      </c>
      <c r="B268" s="559" t="s">
        <v>24136</v>
      </c>
      <c r="C268" s="559" t="s">
        <v>554</v>
      </c>
      <c r="D268" s="559" t="s">
        <v>23700</v>
      </c>
      <c r="E268" s="559" t="s">
        <v>192</v>
      </c>
      <c r="F268" s="564">
        <v>1</v>
      </c>
      <c r="G268" s="559" t="s">
        <v>193</v>
      </c>
      <c r="H268" s="559" t="s">
        <v>194</v>
      </c>
      <c r="I268" s="559" t="s">
        <v>23307</v>
      </c>
      <c r="J268" s="559" t="s">
        <v>9302</v>
      </c>
      <c r="K268" s="559" t="s">
        <v>9309</v>
      </c>
      <c r="L268" s="559" t="s">
        <v>6955</v>
      </c>
      <c r="M268" s="559"/>
      <c r="N268" s="559" t="s">
        <v>24137</v>
      </c>
      <c r="O268" s="559" t="s">
        <v>6245</v>
      </c>
      <c r="P268" s="559" t="s">
        <v>23916</v>
      </c>
      <c r="Q268" s="559" t="s">
        <v>23614</v>
      </c>
      <c r="R268" s="559" t="s">
        <v>23917</v>
      </c>
      <c r="S268" s="559" t="s">
        <v>24138</v>
      </c>
      <c r="T268" s="559" t="s">
        <v>24139</v>
      </c>
      <c r="U268" s="559"/>
      <c r="V268" s="603"/>
      <c r="W268" s="559" t="s">
        <v>555</v>
      </c>
      <c r="X268" s="559" t="s">
        <v>193</v>
      </c>
      <c r="Y268" s="559" t="s">
        <v>9310</v>
      </c>
      <c r="Z268" s="559"/>
      <c r="AA268" s="559"/>
      <c r="AB268" s="559" t="s">
        <v>9311</v>
      </c>
      <c r="AC268" s="559"/>
      <c r="AD268" s="559"/>
      <c r="AE268" s="559"/>
      <c r="AF268" s="559"/>
      <c r="AG268" s="559"/>
      <c r="AH268" s="559" t="s">
        <v>4714</v>
      </c>
      <c r="AI268" s="559" t="s">
        <v>24136</v>
      </c>
      <c r="AJ268" s="601" t="str">
        <f t="shared" si="8"/>
        <v>311303</v>
      </c>
      <c r="AK268" s="601">
        <v>1</v>
      </c>
      <c r="AL268" s="601">
        <f t="shared" si="9"/>
        <v>1</v>
      </c>
      <c r="AM268" s="601">
        <v>1</v>
      </c>
      <c r="AN268" s="603" t="s">
        <v>17650</v>
      </c>
      <c r="AO268" s="603" t="s">
        <v>17651</v>
      </c>
      <c r="AP268" s="603" t="s">
        <v>17652</v>
      </c>
      <c r="AQ268" s="603" t="s">
        <v>17653</v>
      </c>
      <c r="AR268" s="603" t="s">
        <v>1024</v>
      </c>
      <c r="AS268" s="559">
        <v>1</v>
      </c>
    </row>
    <row r="269" spans="1:45" x14ac:dyDescent="0.2">
      <c r="A269" s="559" t="s">
        <v>218</v>
      </c>
      <c r="B269" s="559" t="s">
        <v>2911</v>
      </c>
      <c r="C269" s="559" t="s">
        <v>5445</v>
      </c>
      <c r="D269" s="559" t="s">
        <v>23700</v>
      </c>
      <c r="E269" s="559" t="s">
        <v>192</v>
      </c>
      <c r="F269" s="564">
        <v>1</v>
      </c>
      <c r="G269" s="559" t="s">
        <v>193</v>
      </c>
      <c r="H269" s="559" t="s">
        <v>194</v>
      </c>
      <c r="I269" s="559" t="s">
        <v>23139</v>
      </c>
      <c r="J269" s="559" t="s">
        <v>9302</v>
      </c>
      <c r="K269" s="559" t="s">
        <v>9309</v>
      </c>
      <c r="L269" s="559" t="s">
        <v>6955</v>
      </c>
      <c r="M269" s="559"/>
      <c r="N269" s="559" t="s">
        <v>24140</v>
      </c>
      <c r="O269" s="559" t="s">
        <v>6324</v>
      </c>
      <c r="P269" s="559" t="s">
        <v>23916</v>
      </c>
      <c r="Q269" s="559" t="s">
        <v>23614</v>
      </c>
      <c r="R269" s="559" t="s">
        <v>23917</v>
      </c>
      <c r="S269" s="559" t="s">
        <v>24141</v>
      </c>
      <c r="T269" s="559" t="s">
        <v>24142</v>
      </c>
      <c r="U269" s="559"/>
      <c r="V269" s="603"/>
      <c r="W269" s="559" t="s">
        <v>1571</v>
      </c>
      <c r="X269" s="559" t="s">
        <v>193</v>
      </c>
      <c r="Y269" s="559" t="s">
        <v>9310</v>
      </c>
      <c r="Z269" s="559"/>
      <c r="AA269" s="559"/>
      <c r="AB269" s="559" t="s">
        <v>9311</v>
      </c>
      <c r="AC269" s="559"/>
      <c r="AD269" s="559"/>
      <c r="AE269" s="559"/>
      <c r="AF269" s="559"/>
      <c r="AG269" s="559"/>
      <c r="AH269" s="559" t="s">
        <v>4714</v>
      </c>
      <c r="AI269" s="559" t="s">
        <v>2911</v>
      </c>
      <c r="AJ269" s="601" t="str">
        <f t="shared" si="8"/>
        <v>214303</v>
      </c>
      <c r="AK269" s="601">
        <v>1</v>
      </c>
      <c r="AL269" s="601">
        <f t="shared" si="9"/>
        <v>1</v>
      </c>
      <c r="AM269" s="601">
        <v>1</v>
      </c>
      <c r="AN269" s="603" t="s">
        <v>17650</v>
      </c>
      <c r="AO269" s="603" t="s">
        <v>17651</v>
      </c>
      <c r="AP269" s="603" t="s">
        <v>17652</v>
      </c>
      <c r="AQ269" s="603" t="s">
        <v>17653</v>
      </c>
      <c r="AR269" s="603" t="s">
        <v>1024</v>
      </c>
      <c r="AS269" s="559">
        <v>1</v>
      </c>
    </row>
    <row r="270" spans="1:45" x14ac:dyDescent="0.2">
      <c r="A270" s="559" t="s">
        <v>562</v>
      </c>
      <c r="B270" s="559" t="s">
        <v>20828</v>
      </c>
      <c r="C270" s="559" t="s">
        <v>7597</v>
      </c>
      <c r="D270" s="559" t="s">
        <v>23700</v>
      </c>
      <c r="E270" s="559" t="s">
        <v>192</v>
      </c>
      <c r="F270" s="564">
        <v>1</v>
      </c>
      <c r="G270" s="559" t="s">
        <v>193</v>
      </c>
      <c r="H270" s="559" t="s">
        <v>194</v>
      </c>
      <c r="I270" s="559" t="s">
        <v>23708</v>
      </c>
      <c r="J270" s="559" t="s">
        <v>9302</v>
      </c>
      <c r="K270" s="559" t="s">
        <v>9309</v>
      </c>
      <c r="L270" s="559" t="s">
        <v>6955</v>
      </c>
      <c r="M270" s="559"/>
      <c r="N270" s="559" t="s">
        <v>24143</v>
      </c>
      <c r="O270" s="559" t="s">
        <v>6261</v>
      </c>
      <c r="P270" s="559" t="s">
        <v>23916</v>
      </c>
      <c r="Q270" s="559" t="s">
        <v>23614</v>
      </c>
      <c r="R270" s="559" t="s">
        <v>23917</v>
      </c>
      <c r="S270" s="559" t="s">
        <v>24144</v>
      </c>
      <c r="T270" s="559" t="s">
        <v>24145</v>
      </c>
      <c r="U270" s="559"/>
      <c r="V270" s="603"/>
      <c r="W270" s="559" t="s">
        <v>7599</v>
      </c>
      <c r="X270" s="559" t="s">
        <v>193</v>
      </c>
      <c r="Y270" s="559" t="s">
        <v>9310</v>
      </c>
      <c r="Z270" s="559"/>
      <c r="AA270" s="559"/>
      <c r="AB270" s="559" t="s">
        <v>9311</v>
      </c>
      <c r="AC270" s="559"/>
      <c r="AD270" s="559"/>
      <c r="AE270" s="559"/>
      <c r="AF270" s="559"/>
      <c r="AG270" s="559"/>
      <c r="AH270" s="559" t="s">
        <v>4714</v>
      </c>
      <c r="AI270" s="559" t="s">
        <v>20828</v>
      </c>
      <c r="AJ270" s="601" t="str">
        <f t="shared" si="8"/>
        <v>214403</v>
      </c>
      <c r="AK270" s="601">
        <v>1</v>
      </c>
      <c r="AL270" s="601">
        <f t="shared" si="9"/>
        <v>1</v>
      </c>
      <c r="AM270" s="601">
        <v>1</v>
      </c>
      <c r="AN270" s="603" t="s">
        <v>17650</v>
      </c>
      <c r="AO270" s="603" t="s">
        <v>17651</v>
      </c>
      <c r="AP270" s="603" t="s">
        <v>17652</v>
      </c>
      <c r="AQ270" s="603" t="s">
        <v>17653</v>
      </c>
      <c r="AR270" s="603" t="s">
        <v>1024</v>
      </c>
      <c r="AS270" s="559">
        <v>1</v>
      </c>
    </row>
    <row r="271" spans="1:45" x14ac:dyDescent="0.2">
      <c r="A271" s="559" t="s">
        <v>24146</v>
      </c>
      <c r="B271" s="559" t="s">
        <v>24147</v>
      </c>
      <c r="C271" s="559" t="s">
        <v>6050</v>
      </c>
      <c r="D271" s="559" t="s">
        <v>23700</v>
      </c>
      <c r="E271" s="559" t="s">
        <v>192</v>
      </c>
      <c r="F271" s="564">
        <v>1</v>
      </c>
      <c r="G271" s="559" t="s">
        <v>193</v>
      </c>
      <c r="H271" s="559" t="s">
        <v>194</v>
      </c>
      <c r="I271" s="559" t="s">
        <v>23708</v>
      </c>
      <c r="J271" s="559" t="s">
        <v>9302</v>
      </c>
      <c r="K271" s="559" t="s">
        <v>9309</v>
      </c>
      <c r="L271" s="559" t="s">
        <v>6955</v>
      </c>
      <c r="M271" s="559"/>
      <c r="N271" s="559" t="s">
        <v>24148</v>
      </c>
      <c r="O271" s="559" t="s">
        <v>6921</v>
      </c>
      <c r="P271" s="559" t="s">
        <v>23916</v>
      </c>
      <c r="Q271" s="559" t="s">
        <v>23614</v>
      </c>
      <c r="R271" s="559" t="s">
        <v>23917</v>
      </c>
      <c r="S271" s="559" t="s">
        <v>24149</v>
      </c>
      <c r="T271" s="559" t="s">
        <v>24150</v>
      </c>
      <c r="U271" s="559"/>
      <c r="V271" s="603"/>
      <c r="W271" s="559" t="s">
        <v>6052</v>
      </c>
      <c r="X271" s="559" t="s">
        <v>193</v>
      </c>
      <c r="Y271" s="559" t="s">
        <v>9310</v>
      </c>
      <c r="Z271" s="559"/>
      <c r="AA271" s="559"/>
      <c r="AB271" s="559" t="s">
        <v>9311</v>
      </c>
      <c r="AC271" s="559"/>
      <c r="AD271" s="559"/>
      <c r="AE271" s="559"/>
      <c r="AF271" s="559"/>
      <c r="AG271" s="559"/>
      <c r="AH271" s="559" t="s">
        <v>4714</v>
      </c>
      <c r="AI271" s="559" t="s">
        <v>24147</v>
      </c>
      <c r="AJ271" s="601" t="str">
        <f t="shared" si="8"/>
        <v>251101</v>
      </c>
      <c r="AK271" s="601">
        <v>1</v>
      </c>
      <c r="AL271" s="601">
        <f t="shared" si="9"/>
        <v>1</v>
      </c>
      <c r="AM271" s="601">
        <v>1</v>
      </c>
      <c r="AN271" s="603" t="s">
        <v>17650</v>
      </c>
      <c r="AO271" s="603" t="s">
        <v>17651</v>
      </c>
      <c r="AP271" s="603" t="s">
        <v>17652</v>
      </c>
      <c r="AQ271" s="603" t="s">
        <v>17653</v>
      </c>
      <c r="AR271" s="603" t="s">
        <v>1024</v>
      </c>
      <c r="AS271" s="559">
        <v>1</v>
      </c>
    </row>
    <row r="272" spans="1:45" x14ac:dyDescent="0.2">
      <c r="A272" s="559" t="s">
        <v>9373</v>
      </c>
      <c r="B272" s="559" t="s">
        <v>21900</v>
      </c>
      <c r="C272" s="559" t="s">
        <v>10</v>
      </c>
      <c r="D272" s="559" t="s">
        <v>23700</v>
      </c>
      <c r="E272" s="559" t="s">
        <v>192</v>
      </c>
      <c r="F272" s="564">
        <v>1</v>
      </c>
      <c r="G272" s="559" t="s">
        <v>193</v>
      </c>
      <c r="H272" s="559" t="s">
        <v>194</v>
      </c>
      <c r="I272" s="559" t="s">
        <v>23307</v>
      </c>
      <c r="J272" s="559" t="s">
        <v>9302</v>
      </c>
      <c r="K272" s="559" t="s">
        <v>9309</v>
      </c>
      <c r="L272" s="559" t="s">
        <v>6955</v>
      </c>
      <c r="M272" s="559"/>
      <c r="N272" s="559" t="s">
        <v>24151</v>
      </c>
      <c r="O272" s="559" t="s">
        <v>6261</v>
      </c>
      <c r="P272" s="559" t="s">
        <v>23916</v>
      </c>
      <c r="Q272" s="559" t="s">
        <v>23614</v>
      </c>
      <c r="R272" s="559" t="s">
        <v>23917</v>
      </c>
      <c r="S272" s="559" t="s">
        <v>24152</v>
      </c>
      <c r="T272" s="559" t="s">
        <v>24153</v>
      </c>
      <c r="U272" s="559"/>
      <c r="V272" s="603"/>
      <c r="W272" s="559" t="s">
        <v>484</v>
      </c>
      <c r="X272" s="559" t="s">
        <v>193</v>
      </c>
      <c r="Y272" s="559" t="s">
        <v>9310</v>
      </c>
      <c r="Z272" s="559"/>
      <c r="AA272" s="559"/>
      <c r="AB272" s="559" t="s">
        <v>9311</v>
      </c>
      <c r="AC272" s="559"/>
      <c r="AD272" s="559"/>
      <c r="AE272" s="559"/>
      <c r="AF272" s="559"/>
      <c r="AG272" s="559"/>
      <c r="AH272" s="559" t="s">
        <v>4714</v>
      </c>
      <c r="AI272" s="559" t="s">
        <v>21900</v>
      </c>
      <c r="AJ272" s="601" t="str">
        <f t="shared" si="8"/>
        <v>251401</v>
      </c>
      <c r="AK272" s="601">
        <v>1</v>
      </c>
      <c r="AL272" s="601">
        <f t="shared" si="9"/>
        <v>1</v>
      </c>
      <c r="AM272" s="601">
        <v>1</v>
      </c>
      <c r="AN272" s="603" t="s">
        <v>17650</v>
      </c>
      <c r="AO272" s="603" t="s">
        <v>17651</v>
      </c>
      <c r="AP272" s="603" t="s">
        <v>17652</v>
      </c>
      <c r="AQ272" s="603" t="s">
        <v>17653</v>
      </c>
      <c r="AR272" s="603" t="s">
        <v>1024</v>
      </c>
      <c r="AS272" s="559">
        <v>1</v>
      </c>
    </row>
    <row r="273" spans="1:45" x14ac:dyDescent="0.2">
      <c r="A273" s="559" t="s">
        <v>1748</v>
      </c>
      <c r="B273" s="559" t="s">
        <v>24154</v>
      </c>
      <c r="C273" s="559" t="s">
        <v>36</v>
      </c>
      <c r="D273" s="559" t="s">
        <v>23700</v>
      </c>
      <c r="E273" s="559" t="s">
        <v>192</v>
      </c>
      <c r="F273" s="564">
        <v>1</v>
      </c>
      <c r="G273" s="559" t="s">
        <v>193</v>
      </c>
      <c r="H273" s="559" t="s">
        <v>194</v>
      </c>
      <c r="I273" s="559" t="s">
        <v>23708</v>
      </c>
      <c r="J273" s="559" t="s">
        <v>9302</v>
      </c>
      <c r="K273" s="559" t="s">
        <v>9309</v>
      </c>
      <c r="L273" s="559" t="s">
        <v>6955</v>
      </c>
      <c r="M273" s="559"/>
      <c r="N273" s="559" t="s">
        <v>24155</v>
      </c>
      <c r="O273" s="559" t="s">
        <v>7531</v>
      </c>
      <c r="P273" s="559" t="s">
        <v>23916</v>
      </c>
      <c r="Q273" s="559" t="s">
        <v>23614</v>
      </c>
      <c r="R273" s="559" t="s">
        <v>23917</v>
      </c>
      <c r="S273" s="559" t="s">
        <v>24156</v>
      </c>
      <c r="T273" s="559" t="s">
        <v>24157</v>
      </c>
      <c r="U273" s="559"/>
      <c r="V273" s="603"/>
      <c r="W273" s="559" t="s">
        <v>609</v>
      </c>
      <c r="X273" s="559" t="s">
        <v>193</v>
      </c>
      <c r="Y273" s="559" t="s">
        <v>9310</v>
      </c>
      <c r="Z273" s="559"/>
      <c r="AA273" s="559"/>
      <c r="AB273" s="559" t="s">
        <v>9311</v>
      </c>
      <c r="AC273" s="559"/>
      <c r="AD273" s="559"/>
      <c r="AE273" s="559"/>
      <c r="AF273" s="559"/>
      <c r="AG273" s="559"/>
      <c r="AH273" s="559" t="s">
        <v>4714</v>
      </c>
      <c r="AI273" s="559" t="s">
        <v>24154</v>
      </c>
      <c r="AJ273" s="601" t="str">
        <f t="shared" si="8"/>
        <v>331301</v>
      </c>
      <c r="AK273" s="601">
        <v>1</v>
      </c>
      <c r="AL273" s="601">
        <f t="shared" si="9"/>
        <v>1</v>
      </c>
      <c r="AM273" s="601">
        <v>1</v>
      </c>
      <c r="AN273" s="603" t="s">
        <v>17650</v>
      </c>
      <c r="AO273" s="603" t="s">
        <v>17651</v>
      </c>
      <c r="AP273" s="603" t="s">
        <v>17652</v>
      </c>
      <c r="AQ273" s="603" t="s">
        <v>17653</v>
      </c>
      <c r="AR273" s="603" t="s">
        <v>1024</v>
      </c>
      <c r="AS273" s="559">
        <v>1</v>
      </c>
    </row>
    <row r="274" spans="1:45" x14ac:dyDescent="0.2">
      <c r="A274" s="559" t="s">
        <v>24158</v>
      </c>
      <c r="B274" s="559" t="s">
        <v>17</v>
      </c>
      <c r="C274" s="559" t="s">
        <v>17</v>
      </c>
      <c r="D274" s="559" t="s">
        <v>23700</v>
      </c>
      <c r="E274" s="559" t="s">
        <v>192</v>
      </c>
      <c r="F274" s="564">
        <v>1</v>
      </c>
      <c r="G274" s="559" t="s">
        <v>193</v>
      </c>
      <c r="H274" s="559" t="s">
        <v>194</v>
      </c>
      <c r="I274" s="559" t="s">
        <v>23139</v>
      </c>
      <c r="J274" s="559" t="s">
        <v>210</v>
      </c>
      <c r="K274" s="559" t="s">
        <v>9309</v>
      </c>
      <c r="L274" s="559" t="s">
        <v>6955</v>
      </c>
      <c r="M274" s="559"/>
      <c r="N274" s="559" t="s">
        <v>24159</v>
      </c>
      <c r="O274" s="559" t="s">
        <v>6245</v>
      </c>
      <c r="P274" s="559" t="s">
        <v>23916</v>
      </c>
      <c r="Q274" s="559" t="s">
        <v>23614</v>
      </c>
      <c r="R274" s="559" t="s">
        <v>23917</v>
      </c>
      <c r="S274" s="559" t="s">
        <v>24160</v>
      </c>
      <c r="T274" s="559" t="s">
        <v>24161</v>
      </c>
      <c r="U274" s="559"/>
      <c r="V274" s="559" t="s">
        <v>9334</v>
      </c>
      <c r="W274" s="559" t="s">
        <v>624</v>
      </c>
      <c r="X274" s="559" t="s">
        <v>194</v>
      </c>
      <c r="Y274" s="559" t="s">
        <v>9300</v>
      </c>
      <c r="Z274" s="559"/>
      <c r="AA274" s="559"/>
      <c r="AB274" s="559" t="s">
        <v>9311</v>
      </c>
      <c r="AC274" s="559"/>
      <c r="AD274" s="559"/>
      <c r="AE274" s="559"/>
      <c r="AF274" s="559"/>
      <c r="AG274" s="559"/>
      <c r="AH274" s="559" t="s">
        <v>4714</v>
      </c>
      <c r="AI274" s="559" t="s">
        <v>17</v>
      </c>
      <c r="AJ274" s="601" t="str">
        <f t="shared" si="8"/>
        <v>332203</v>
      </c>
      <c r="AK274" s="601">
        <v>1</v>
      </c>
      <c r="AL274" s="601">
        <f t="shared" si="9"/>
        <v>1</v>
      </c>
      <c r="AM274" s="601">
        <v>1</v>
      </c>
      <c r="AN274" s="603" t="s">
        <v>17650</v>
      </c>
      <c r="AO274" s="603" t="s">
        <v>17651</v>
      </c>
      <c r="AP274" s="603" t="s">
        <v>17652</v>
      </c>
      <c r="AQ274" s="603" t="s">
        <v>17653</v>
      </c>
      <c r="AR274" s="603" t="s">
        <v>1024</v>
      </c>
      <c r="AS274" s="559">
        <v>1</v>
      </c>
    </row>
    <row r="275" spans="1:45" x14ac:dyDescent="0.2">
      <c r="A275" s="559" t="s">
        <v>5860</v>
      </c>
      <c r="B275" s="559" t="s">
        <v>3929</v>
      </c>
      <c r="C275" s="559" t="s">
        <v>36</v>
      </c>
      <c r="D275" s="559" t="s">
        <v>23700</v>
      </c>
      <c r="E275" s="559" t="s">
        <v>192</v>
      </c>
      <c r="F275" s="564">
        <v>1</v>
      </c>
      <c r="G275" s="559" t="s">
        <v>193</v>
      </c>
      <c r="H275" s="559" t="s">
        <v>194</v>
      </c>
      <c r="I275" s="559" t="s">
        <v>23186</v>
      </c>
      <c r="J275" s="559" t="s">
        <v>210</v>
      </c>
      <c r="K275" s="559" t="s">
        <v>9309</v>
      </c>
      <c r="L275" s="559" t="s">
        <v>6955</v>
      </c>
      <c r="M275" s="559"/>
      <c r="N275" s="559" t="s">
        <v>24162</v>
      </c>
      <c r="O275" s="559" t="s">
        <v>7531</v>
      </c>
      <c r="P275" s="559" t="s">
        <v>23916</v>
      </c>
      <c r="Q275" s="559" t="s">
        <v>23614</v>
      </c>
      <c r="R275" s="559" t="s">
        <v>23917</v>
      </c>
      <c r="S275" s="559" t="s">
        <v>24163</v>
      </c>
      <c r="T275" s="559" t="s">
        <v>24164</v>
      </c>
      <c r="U275" s="559"/>
      <c r="V275" s="559" t="s">
        <v>9334</v>
      </c>
      <c r="W275" s="559" t="s">
        <v>609</v>
      </c>
      <c r="X275" s="559" t="s">
        <v>194</v>
      </c>
      <c r="Y275" s="559" t="s">
        <v>9300</v>
      </c>
      <c r="Z275" s="559"/>
      <c r="AA275" s="559"/>
      <c r="AB275" s="559" t="s">
        <v>9311</v>
      </c>
      <c r="AC275" s="559"/>
      <c r="AD275" s="559"/>
      <c r="AE275" s="559"/>
      <c r="AF275" s="559"/>
      <c r="AG275" s="559"/>
      <c r="AH275" s="559" t="s">
        <v>4714</v>
      </c>
      <c r="AI275" s="559" t="s">
        <v>3929</v>
      </c>
      <c r="AJ275" s="601" t="str">
        <f t="shared" si="8"/>
        <v>331301</v>
      </c>
      <c r="AK275" s="601">
        <v>1</v>
      </c>
      <c r="AL275" s="601">
        <f>F275</f>
        <v>1</v>
      </c>
      <c r="AM275" s="601">
        <v>1</v>
      </c>
      <c r="AN275" s="603" t="s">
        <v>17650</v>
      </c>
      <c r="AO275" s="603" t="s">
        <v>17651</v>
      </c>
      <c r="AP275" s="603" t="s">
        <v>17652</v>
      </c>
      <c r="AQ275" s="603" t="s">
        <v>17653</v>
      </c>
      <c r="AR275" s="603" t="s">
        <v>1024</v>
      </c>
      <c r="AS275" s="559">
        <v>1</v>
      </c>
    </row>
    <row r="276" spans="1:45" x14ac:dyDescent="0.2">
      <c r="A276" s="559" t="s">
        <v>1358</v>
      </c>
      <c r="B276" s="559" t="s">
        <v>24165</v>
      </c>
      <c r="C276" s="559" t="s">
        <v>19</v>
      </c>
      <c r="D276" s="559" t="s">
        <v>23700</v>
      </c>
      <c r="E276" s="559" t="s">
        <v>192</v>
      </c>
      <c r="F276" s="564">
        <v>1</v>
      </c>
      <c r="G276" s="559" t="s">
        <v>193</v>
      </c>
      <c r="H276" s="559" t="s">
        <v>194</v>
      </c>
      <c r="I276" s="559" t="s">
        <v>23917</v>
      </c>
      <c r="J276" s="559" t="s">
        <v>408</v>
      </c>
      <c r="K276" s="559" t="s">
        <v>9309</v>
      </c>
      <c r="L276" s="559" t="s">
        <v>6955</v>
      </c>
      <c r="M276" s="559"/>
      <c r="N276" s="559" t="s">
        <v>24166</v>
      </c>
      <c r="O276" s="559" t="s">
        <v>6245</v>
      </c>
      <c r="P276" s="559" t="s">
        <v>23916</v>
      </c>
      <c r="Q276" s="559" t="s">
        <v>23614</v>
      </c>
      <c r="R276" s="559" t="s">
        <v>23917</v>
      </c>
      <c r="S276" s="559" t="s">
        <v>24167</v>
      </c>
      <c r="T276" s="559" t="s">
        <v>24168</v>
      </c>
      <c r="U276" s="559"/>
      <c r="V276" s="559" t="s">
        <v>9479</v>
      </c>
      <c r="W276" s="559" t="s">
        <v>337</v>
      </c>
      <c r="X276" s="559" t="s">
        <v>194</v>
      </c>
      <c r="Y276" s="559" t="s">
        <v>9300</v>
      </c>
      <c r="Z276" s="559"/>
      <c r="AA276" s="559"/>
      <c r="AB276" s="559" t="s">
        <v>9311</v>
      </c>
      <c r="AC276" s="559"/>
      <c r="AD276" s="559"/>
      <c r="AE276" s="559"/>
      <c r="AF276" s="559"/>
      <c r="AG276" s="559"/>
      <c r="AH276" s="559" t="s">
        <v>4714</v>
      </c>
      <c r="AI276" s="559" t="s">
        <v>24165</v>
      </c>
      <c r="AJ276" s="601" t="str">
        <f t="shared" si="8"/>
        <v>214903</v>
      </c>
      <c r="AK276" s="601">
        <v>1</v>
      </c>
      <c r="AL276" s="601">
        <f t="shared" si="9"/>
        <v>1</v>
      </c>
      <c r="AM276" s="601">
        <v>1</v>
      </c>
      <c r="AN276" s="603" t="s">
        <v>17650</v>
      </c>
      <c r="AO276" s="603" t="s">
        <v>17651</v>
      </c>
      <c r="AP276" s="603" t="s">
        <v>17652</v>
      </c>
      <c r="AQ276" s="603" t="s">
        <v>17653</v>
      </c>
      <c r="AR276" s="603" t="s">
        <v>1024</v>
      </c>
      <c r="AS276" s="559">
        <v>1</v>
      </c>
    </row>
    <row r="277" spans="1:45" x14ac:dyDescent="0.2">
      <c r="A277" s="559" t="s">
        <v>1390</v>
      </c>
      <c r="B277" s="559" t="s">
        <v>67</v>
      </c>
      <c r="C277" s="559" t="s">
        <v>67</v>
      </c>
      <c r="D277" s="559" t="s">
        <v>23700</v>
      </c>
      <c r="E277" s="559" t="s">
        <v>192</v>
      </c>
      <c r="F277" s="564">
        <v>1</v>
      </c>
      <c r="G277" s="559" t="s">
        <v>193</v>
      </c>
      <c r="H277" s="559" t="s">
        <v>194</v>
      </c>
      <c r="I277" s="559" t="s">
        <v>23151</v>
      </c>
      <c r="J277" s="559" t="s">
        <v>1392</v>
      </c>
      <c r="K277" s="559" t="s">
        <v>9309</v>
      </c>
      <c r="L277" s="559" t="s">
        <v>6955</v>
      </c>
      <c r="M277" s="559"/>
      <c r="N277" s="559" t="s">
        <v>24169</v>
      </c>
      <c r="O277" s="559" t="s">
        <v>6266</v>
      </c>
      <c r="P277" s="559" t="s">
        <v>23916</v>
      </c>
      <c r="Q277" s="559" t="s">
        <v>23614</v>
      </c>
      <c r="R277" s="559" t="s">
        <v>23917</v>
      </c>
      <c r="S277" s="559" t="s">
        <v>24170</v>
      </c>
      <c r="T277" s="559" t="s">
        <v>24171</v>
      </c>
      <c r="U277" s="559"/>
      <c r="V277" s="559" t="s">
        <v>9753</v>
      </c>
      <c r="W277" s="559" t="s">
        <v>709</v>
      </c>
      <c r="X277" s="559" t="s">
        <v>194</v>
      </c>
      <c r="Y277" s="559" t="s">
        <v>9300</v>
      </c>
      <c r="Z277" s="559"/>
      <c r="AA277" s="559"/>
      <c r="AB277" s="559" t="s">
        <v>9311</v>
      </c>
      <c r="AC277" s="559"/>
      <c r="AD277" s="559"/>
      <c r="AE277" s="559"/>
      <c r="AF277" s="559"/>
      <c r="AG277" s="559"/>
      <c r="AH277" s="559" t="s">
        <v>4714</v>
      </c>
      <c r="AI277" s="559" t="s">
        <v>67</v>
      </c>
      <c r="AJ277" s="601" t="str">
        <f t="shared" si="8"/>
        <v>432103</v>
      </c>
      <c r="AK277" s="601">
        <v>1</v>
      </c>
      <c r="AL277" s="601">
        <f t="shared" si="9"/>
        <v>1</v>
      </c>
      <c r="AM277" s="601">
        <v>1</v>
      </c>
      <c r="AN277" s="603" t="s">
        <v>17650</v>
      </c>
      <c r="AO277" s="603" t="s">
        <v>17651</v>
      </c>
      <c r="AP277" s="603" t="s">
        <v>17652</v>
      </c>
      <c r="AQ277" s="603" t="s">
        <v>17653</v>
      </c>
      <c r="AR277" s="603" t="s">
        <v>1024</v>
      </c>
      <c r="AS277" s="559">
        <v>1</v>
      </c>
    </row>
    <row r="278" spans="1:45" x14ac:dyDescent="0.2">
      <c r="A278" s="559" t="s">
        <v>751</v>
      </c>
      <c r="B278" s="559" t="s">
        <v>1135</v>
      </c>
      <c r="C278" s="559" t="s">
        <v>740</v>
      </c>
      <c r="D278" s="559" t="s">
        <v>23700</v>
      </c>
      <c r="E278" s="559" t="s">
        <v>192</v>
      </c>
      <c r="F278" s="564">
        <v>1</v>
      </c>
      <c r="G278" s="559" t="s">
        <v>193</v>
      </c>
      <c r="H278" s="559" t="s">
        <v>194</v>
      </c>
      <c r="I278" s="559" t="s">
        <v>23186</v>
      </c>
      <c r="J278" s="559" t="s">
        <v>305</v>
      </c>
      <c r="K278" s="559" t="s">
        <v>9309</v>
      </c>
      <c r="L278" s="559" t="s">
        <v>6955</v>
      </c>
      <c r="M278" s="559"/>
      <c r="N278" s="559" t="s">
        <v>24172</v>
      </c>
      <c r="O278" s="559" t="s">
        <v>6921</v>
      </c>
      <c r="P278" s="559" t="s">
        <v>23916</v>
      </c>
      <c r="Q278" s="559" t="s">
        <v>23614</v>
      </c>
      <c r="R278" s="559" t="s">
        <v>23917</v>
      </c>
      <c r="S278" s="559" t="s">
        <v>24173</v>
      </c>
      <c r="T278" s="559" t="s">
        <v>24174</v>
      </c>
      <c r="U278" s="559"/>
      <c r="V278" s="559" t="s">
        <v>9753</v>
      </c>
      <c r="W278" s="559" t="s">
        <v>741</v>
      </c>
      <c r="X278" s="559" t="s">
        <v>194</v>
      </c>
      <c r="Y278" s="559" t="s">
        <v>9300</v>
      </c>
      <c r="Z278" s="559"/>
      <c r="AA278" s="559"/>
      <c r="AB278" s="559" t="s">
        <v>9311</v>
      </c>
      <c r="AC278" s="559"/>
      <c r="AD278" s="559"/>
      <c r="AE278" s="559"/>
      <c r="AF278" s="559"/>
      <c r="AG278" s="559"/>
      <c r="AH278" s="559" t="s">
        <v>4714</v>
      </c>
      <c r="AI278" s="559" t="s">
        <v>1135</v>
      </c>
      <c r="AJ278" s="601" t="str">
        <f t="shared" si="8"/>
        <v>522301</v>
      </c>
      <c r="AK278" s="601">
        <v>1</v>
      </c>
      <c r="AL278" s="601">
        <f t="shared" si="9"/>
        <v>1</v>
      </c>
      <c r="AM278" s="601">
        <v>1</v>
      </c>
      <c r="AN278" s="603" t="s">
        <v>17650</v>
      </c>
      <c r="AO278" s="603" t="s">
        <v>17651</v>
      </c>
      <c r="AP278" s="603" t="s">
        <v>17652</v>
      </c>
      <c r="AQ278" s="603" t="s">
        <v>17653</v>
      </c>
      <c r="AR278" s="603" t="s">
        <v>1024</v>
      </c>
      <c r="AS278" s="559">
        <v>1</v>
      </c>
    </row>
    <row r="279" spans="1:45" x14ac:dyDescent="0.2">
      <c r="A279" s="559" t="s">
        <v>24175</v>
      </c>
      <c r="B279" s="559" t="s">
        <v>24176</v>
      </c>
      <c r="C279" s="559" t="s">
        <v>133</v>
      </c>
      <c r="D279" s="559" t="s">
        <v>23700</v>
      </c>
      <c r="E279" s="559" t="s">
        <v>192</v>
      </c>
      <c r="F279" s="564">
        <v>1</v>
      </c>
      <c r="G279" s="559" t="s">
        <v>193</v>
      </c>
      <c r="H279" s="559" t="s">
        <v>194</v>
      </c>
      <c r="I279" s="559" t="s">
        <v>23708</v>
      </c>
      <c r="J279" s="559" t="s">
        <v>210</v>
      </c>
      <c r="K279" s="559" t="s">
        <v>9309</v>
      </c>
      <c r="L279" s="559" t="s">
        <v>6955</v>
      </c>
      <c r="M279" s="559"/>
      <c r="N279" s="559" t="s">
        <v>24177</v>
      </c>
      <c r="O279" s="559" t="s">
        <v>6921</v>
      </c>
      <c r="P279" s="559" t="s">
        <v>23916</v>
      </c>
      <c r="Q279" s="559" t="s">
        <v>23614</v>
      </c>
      <c r="R279" s="559" t="s">
        <v>23917</v>
      </c>
      <c r="S279" s="559" t="s">
        <v>24178</v>
      </c>
      <c r="T279" s="559" t="s">
        <v>24179</v>
      </c>
      <c r="U279" s="559"/>
      <c r="V279" s="559" t="s">
        <v>9334</v>
      </c>
      <c r="W279" s="559" t="s">
        <v>673</v>
      </c>
      <c r="X279" s="559" t="s">
        <v>194</v>
      </c>
      <c r="Y279" s="559" t="s">
        <v>9300</v>
      </c>
      <c r="Z279" s="559"/>
      <c r="AA279" s="559"/>
      <c r="AB279" s="559" t="s">
        <v>9311</v>
      </c>
      <c r="AC279" s="559"/>
      <c r="AD279" s="559"/>
      <c r="AE279" s="559"/>
      <c r="AF279" s="559"/>
      <c r="AG279" s="559"/>
      <c r="AH279" s="559" t="s">
        <v>4714</v>
      </c>
      <c r="AI279" s="559" t="s">
        <v>24176</v>
      </c>
      <c r="AJ279" s="601" t="str">
        <f t="shared" si="8"/>
        <v>333107</v>
      </c>
      <c r="AK279" s="601">
        <v>1</v>
      </c>
      <c r="AL279" s="601">
        <f t="shared" si="9"/>
        <v>1</v>
      </c>
      <c r="AM279" s="601">
        <v>1</v>
      </c>
      <c r="AN279" s="603" t="s">
        <v>17650</v>
      </c>
      <c r="AO279" s="603" t="s">
        <v>17651</v>
      </c>
      <c r="AP279" s="603" t="s">
        <v>17652</v>
      </c>
      <c r="AQ279" s="603" t="s">
        <v>17653</v>
      </c>
      <c r="AR279" s="603" t="s">
        <v>1024</v>
      </c>
      <c r="AS279" s="559">
        <v>1</v>
      </c>
    </row>
    <row r="280" spans="1:45" x14ac:dyDescent="0.2">
      <c r="A280" s="559" t="s">
        <v>16412</v>
      </c>
      <c r="B280" s="559" t="s">
        <v>24180</v>
      </c>
      <c r="C280" s="559" t="s">
        <v>727</v>
      </c>
      <c r="D280" s="559" t="s">
        <v>23700</v>
      </c>
      <c r="E280" s="559" t="s">
        <v>192</v>
      </c>
      <c r="F280" s="564">
        <v>1</v>
      </c>
      <c r="G280" s="559" t="s">
        <v>193</v>
      </c>
      <c r="H280" s="559" t="s">
        <v>194</v>
      </c>
      <c r="I280" s="559" t="s">
        <v>23708</v>
      </c>
      <c r="J280" s="559" t="s">
        <v>210</v>
      </c>
      <c r="K280" s="559" t="s">
        <v>9309</v>
      </c>
      <c r="L280" s="559" t="s">
        <v>6955</v>
      </c>
      <c r="M280" s="559"/>
      <c r="N280" s="559" t="s">
        <v>24181</v>
      </c>
      <c r="O280" s="559" t="s">
        <v>6343</v>
      </c>
      <c r="P280" s="559" t="s">
        <v>23916</v>
      </c>
      <c r="Q280" s="559" t="s">
        <v>23614</v>
      </c>
      <c r="R280" s="559" t="s">
        <v>23917</v>
      </c>
      <c r="S280" s="559" t="s">
        <v>24182</v>
      </c>
      <c r="T280" s="559" t="s">
        <v>24183</v>
      </c>
      <c r="U280" s="559"/>
      <c r="V280" s="559" t="s">
        <v>9334</v>
      </c>
      <c r="W280" s="559" t="s">
        <v>728</v>
      </c>
      <c r="X280" s="559" t="s">
        <v>194</v>
      </c>
      <c r="Y280" s="559" t="s">
        <v>9300</v>
      </c>
      <c r="Z280" s="559"/>
      <c r="AA280" s="559"/>
      <c r="AB280" s="559" t="s">
        <v>9311</v>
      </c>
      <c r="AC280" s="559"/>
      <c r="AD280" s="559"/>
      <c r="AE280" s="559"/>
      <c r="AF280" s="559"/>
      <c r="AG280" s="559"/>
      <c r="AH280" s="559" t="s">
        <v>4714</v>
      </c>
      <c r="AI280" s="559" t="s">
        <v>24180</v>
      </c>
      <c r="AJ280" s="601" t="str">
        <f t="shared" si="8"/>
        <v>512001</v>
      </c>
      <c r="AK280" s="601">
        <v>1</v>
      </c>
      <c r="AL280" s="601">
        <f t="shared" si="9"/>
        <v>1</v>
      </c>
      <c r="AM280" s="601">
        <v>1</v>
      </c>
      <c r="AN280" s="603" t="s">
        <v>17650</v>
      </c>
      <c r="AO280" s="603" t="s">
        <v>17651</v>
      </c>
      <c r="AP280" s="603" t="s">
        <v>17652</v>
      </c>
      <c r="AQ280" s="603" t="s">
        <v>17653</v>
      </c>
      <c r="AR280" s="603" t="s">
        <v>1024</v>
      </c>
      <c r="AS280" s="559">
        <v>1</v>
      </c>
    </row>
    <row r="281" spans="1:45" x14ac:dyDescent="0.2">
      <c r="A281" s="559" t="s">
        <v>2567</v>
      </c>
      <c r="B281" s="559" t="s">
        <v>1057</v>
      </c>
      <c r="C281" s="559" t="s">
        <v>74</v>
      </c>
      <c r="D281" s="559" t="s">
        <v>23700</v>
      </c>
      <c r="E281" s="559" t="s">
        <v>192</v>
      </c>
      <c r="F281" s="564">
        <v>1</v>
      </c>
      <c r="G281" s="559" t="s">
        <v>193</v>
      </c>
      <c r="H281" s="559" t="s">
        <v>194</v>
      </c>
      <c r="I281" s="559" t="s">
        <v>23139</v>
      </c>
      <c r="J281" s="559" t="s">
        <v>210</v>
      </c>
      <c r="K281" s="559" t="s">
        <v>9309</v>
      </c>
      <c r="L281" s="559" t="s">
        <v>6955</v>
      </c>
      <c r="M281" s="559"/>
      <c r="N281" s="559" t="s">
        <v>24184</v>
      </c>
      <c r="O281" s="559" t="s">
        <v>6249</v>
      </c>
      <c r="P281" s="559" t="s">
        <v>23916</v>
      </c>
      <c r="Q281" s="559" t="s">
        <v>23614</v>
      </c>
      <c r="R281" s="559" t="s">
        <v>23927</v>
      </c>
      <c r="S281" s="559" t="s">
        <v>24185</v>
      </c>
      <c r="T281" s="559" t="s">
        <v>24186</v>
      </c>
      <c r="U281" s="559"/>
      <c r="V281" s="559" t="s">
        <v>9334</v>
      </c>
      <c r="W281" s="559" t="s">
        <v>246</v>
      </c>
      <c r="X281" s="559" t="s">
        <v>194</v>
      </c>
      <c r="Y281" s="559" t="s">
        <v>9300</v>
      </c>
      <c r="Z281" s="559"/>
      <c r="AA281" s="559"/>
      <c r="AB281" s="559" t="s">
        <v>9311</v>
      </c>
      <c r="AC281" s="559"/>
      <c r="AD281" s="559"/>
      <c r="AE281" s="559"/>
      <c r="AF281" s="559"/>
      <c r="AG281" s="559"/>
      <c r="AH281" s="559" t="s">
        <v>4714</v>
      </c>
      <c r="AI281" s="559" t="s">
        <v>1057</v>
      </c>
      <c r="AJ281" s="601" t="str">
        <f t="shared" si="8"/>
        <v>142004</v>
      </c>
      <c r="AK281" s="601">
        <v>1</v>
      </c>
      <c r="AL281" s="601">
        <f t="shared" si="9"/>
        <v>1</v>
      </c>
      <c r="AM281" s="601">
        <v>1</v>
      </c>
      <c r="AN281" s="603" t="s">
        <v>17650</v>
      </c>
      <c r="AO281" s="603" t="s">
        <v>17651</v>
      </c>
      <c r="AP281" s="603" t="s">
        <v>17652</v>
      </c>
      <c r="AQ281" s="603" t="s">
        <v>17653</v>
      </c>
      <c r="AR281" s="603" t="s">
        <v>1024</v>
      </c>
      <c r="AS281" s="559">
        <v>1</v>
      </c>
    </row>
    <row r="282" spans="1:45" x14ac:dyDescent="0.2">
      <c r="A282" s="559" t="s">
        <v>2567</v>
      </c>
      <c r="B282" s="559" t="s">
        <v>1057</v>
      </c>
      <c r="C282" s="559" t="s">
        <v>74</v>
      </c>
      <c r="D282" s="559" t="s">
        <v>23700</v>
      </c>
      <c r="E282" s="559" t="s">
        <v>192</v>
      </c>
      <c r="F282" s="564">
        <v>1</v>
      </c>
      <c r="G282" s="559" t="s">
        <v>193</v>
      </c>
      <c r="H282" s="559" t="s">
        <v>194</v>
      </c>
      <c r="I282" s="559" t="s">
        <v>23139</v>
      </c>
      <c r="J282" s="559" t="s">
        <v>253</v>
      </c>
      <c r="K282" s="559" t="s">
        <v>9309</v>
      </c>
      <c r="L282" s="559" t="s">
        <v>6955</v>
      </c>
      <c r="M282" s="559"/>
      <c r="N282" s="559" t="s">
        <v>24187</v>
      </c>
      <c r="O282" s="559" t="s">
        <v>6249</v>
      </c>
      <c r="P282" s="559" t="s">
        <v>23916</v>
      </c>
      <c r="Q282" s="559" t="s">
        <v>23614</v>
      </c>
      <c r="R282" s="559" t="s">
        <v>23927</v>
      </c>
      <c r="S282" s="559" t="s">
        <v>24188</v>
      </c>
      <c r="T282" s="559" t="s">
        <v>24189</v>
      </c>
      <c r="U282" s="559"/>
      <c r="V282" s="559" t="s">
        <v>9468</v>
      </c>
      <c r="W282" s="559" t="s">
        <v>246</v>
      </c>
      <c r="X282" s="559" t="s">
        <v>194</v>
      </c>
      <c r="Y282" s="559" t="s">
        <v>9300</v>
      </c>
      <c r="Z282" s="559"/>
      <c r="AA282" s="559"/>
      <c r="AB282" s="559" t="s">
        <v>9311</v>
      </c>
      <c r="AC282" s="559"/>
      <c r="AD282" s="559"/>
      <c r="AE282" s="559"/>
      <c r="AF282" s="559"/>
      <c r="AG282" s="559"/>
      <c r="AH282" s="559" t="s">
        <v>4714</v>
      </c>
      <c r="AI282" s="559" t="s">
        <v>1057</v>
      </c>
      <c r="AJ282" s="601" t="str">
        <f t="shared" si="8"/>
        <v>142004</v>
      </c>
      <c r="AK282" s="601">
        <v>1</v>
      </c>
      <c r="AL282" s="601">
        <f t="shared" si="9"/>
        <v>1</v>
      </c>
      <c r="AM282" s="601">
        <v>1</v>
      </c>
      <c r="AN282" s="603" t="s">
        <v>17650</v>
      </c>
      <c r="AO282" s="603" t="s">
        <v>17651</v>
      </c>
      <c r="AP282" s="603" t="s">
        <v>17652</v>
      </c>
      <c r="AQ282" s="603" t="s">
        <v>17653</v>
      </c>
      <c r="AR282" s="603" t="s">
        <v>1024</v>
      </c>
      <c r="AS282" s="559">
        <v>1</v>
      </c>
    </row>
    <row r="283" spans="1:45" x14ac:dyDescent="0.2">
      <c r="A283" s="559" t="s">
        <v>2567</v>
      </c>
      <c r="B283" s="559" t="s">
        <v>1057</v>
      </c>
      <c r="C283" s="559" t="s">
        <v>74</v>
      </c>
      <c r="D283" s="559" t="s">
        <v>23700</v>
      </c>
      <c r="E283" s="559" t="s">
        <v>192</v>
      </c>
      <c r="F283" s="564">
        <v>1</v>
      </c>
      <c r="G283" s="559" t="s">
        <v>193</v>
      </c>
      <c r="H283" s="559" t="s">
        <v>194</v>
      </c>
      <c r="I283" s="559" t="s">
        <v>23139</v>
      </c>
      <c r="J283" s="559" t="s">
        <v>15543</v>
      </c>
      <c r="K283" s="559" t="s">
        <v>9309</v>
      </c>
      <c r="L283" s="559" t="s">
        <v>6955</v>
      </c>
      <c r="M283" s="559"/>
      <c r="N283" s="559" t="s">
        <v>24190</v>
      </c>
      <c r="O283" s="559" t="s">
        <v>6249</v>
      </c>
      <c r="P283" s="559" t="s">
        <v>23916</v>
      </c>
      <c r="Q283" s="559" t="s">
        <v>23614</v>
      </c>
      <c r="R283" s="559" t="s">
        <v>23927</v>
      </c>
      <c r="S283" s="559" t="s">
        <v>24191</v>
      </c>
      <c r="T283" s="559" t="s">
        <v>24192</v>
      </c>
      <c r="U283" s="559"/>
      <c r="V283" s="559" t="s">
        <v>9468</v>
      </c>
      <c r="W283" s="559" t="s">
        <v>246</v>
      </c>
      <c r="X283" s="559" t="s">
        <v>194</v>
      </c>
      <c r="Y283" s="559" t="s">
        <v>9300</v>
      </c>
      <c r="Z283" s="559"/>
      <c r="AA283" s="559"/>
      <c r="AB283" s="559" t="s">
        <v>9311</v>
      </c>
      <c r="AC283" s="559"/>
      <c r="AD283" s="559"/>
      <c r="AE283" s="559"/>
      <c r="AF283" s="559"/>
      <c r="AG283" s="559"/>
      <c r="AH283" s="559" t="s">
        <v>4714</v>
      </c>
      <c r="AI283" s="559" t="s">
        <v>1057</v>
      </c>
      <c r="AJ283" s="601" t="str">
        <f t="shared" si="8"/>
        <v>142004</v>
      </c>
      <c r="AK283" s="601">
        <v>1</v>
      </c>
      <c r="AL283" s="601">
        <f t="shared" si="9"/>
        <v>1</v>
      </c>
      <c r="AM283" s="601">
        <v>1</v>
      </c>
      <c r="AN283" s="603" t="s">
        <v>17650</v>
      </c>
      <c r="AO283" s="603" t="s">
        <v>17651</v>
      </c>
      <c r="AP283" s="603" t="s">
        <v>17652</v>
      </c>
      <c r="AQ283" s="603" t="s">
        <v>17653</v>
      </c>
      <c r="AR283" s="603" t="s">
        <v>1024</v>
      </c>
      <c r="AS283" s="559">
        <v>1</v>
      </c>
    </row>
    <row r="284" spans="1:45" x14ac:dyDescent="0.2">
      <c r="A284" s="559" t="s">
        <v>2567</v>
      </c>
      <c r="B284" s="559" t="s">
        <v>1057</v>
      </c>
      <c r="C284" s="559" t="s">
        <v>74</v>
      </c>
      <c r="D284" s="559" t="s">
        <v>23700</v>
      </c>
      <c r="E284" s="559" t="s">
        <v>192</v>
      </c>
      <c r="F284" s="564">
        <v>1</v>
      </c>
      <c r="G284" s="559" t="s">
        <v>193</v>
      </c>
      <c r="H284" s="559" t="s">
        <v>194</v>
      </c>
      <c r="I284" s="559" t="s">
        <v>23139</v>
      </c>
      <c r="J284" s="559" t="s">
        <v>249</v>
      </c>
      <c r="K284" s="559" t="s">
        <v>9309</v>
      </c>
      <c r="L284" s="559" t="s">
        <v>6955</v>
      </c>
      <c r="M284" s="559"/>
      <c r="N284" s="559" t="s">
        <v>24193</v>
      </c>
      <c r="O284" s="559" t="s">
        <v>6249</v>
      </c>
      <c r="P284" s="559" t="s">
        <v>23916</v>
      </c>
      <c r="Q284" s="559" t="s">
        <v>23614</v>
      </c>
      <c r="R284" s="559" t="s">
        <v>23927</v>
      </c>
      <c r="S284" s="559" t="s">
        <v>24194</v>
      </c>
      <c r="T284" s="559" t="s">
        <v>24195</v>
      </c>
      <c r="U284" s="559"/>
      <c r="V284" s="559" t="s">
        <v>9726</v>
      </c>
      <c r="W284" s="559" t="s">
        <v>246</v>
      </c>
      <c r="X284" s="559" t="s">
        <v>194</v>
      </c>
      <c r="Y284" s="559" t="s">
        <v>9300</v>
      </c>
      <c r="Z284" s="559"/>
      <c r="AA284" s="559"/>
      <c r="AB284" s="559" t="s">
        <v>9311</v>
      </c>
      <c r="AC284" s="559"/>
      <c r="AD284" s="559"/>
      <c r="AE284" s="559"/>
      <c r="AF284" s="559"/>
      <c r="AG284" s="559"/>
      <c r="AH284" s="559" t="s">
        <v>4714</v>
      </c>
      <c r="AI284" s="559" t="s">
        <v>1057</v>
      </c>
      <c r="AJ284" s="601" t="str">
        <f t="shared" si="8"/>
        <v>142004</v>
      </c>
      <c r="AK284" s="601">
        <v>1</v>
      </c>
      <c r="AL284" s="601">
        <f t="shared" si="9"/>
        <v>1</v>
      </c>
      <c r="AM284" s="601">
        <v>1</v>
      </c>
      <c r="AN284" s="603" t="s">
        <v>17650</v>
      </c>
      <c r="AO284" s="603" t="s">
        <v>17651</v>
      </c>
      <c r="AP284" s="603" t="s">
        <v>17652</v>
      </c>
      <c r="AQ284" s="603" t="s">
        <v>17653</v>
      </c>
      <c r="AR284" s="603" t="s">
        <v>1024</v>
      </c>
      <c r="AS284" s="559">
        <v>1</v>
      </c>
    </row>
    <row r="285" spans="1:45" x14ac:dyDescent="0.2">
      <c r="A285" s="559" t="s">
        <v>2567</v>
      </c>
      <c r="B285" s="559" t="s">
        <v>1057</v>
      </c>
      <c r="C285" s="559" t="s">
        <v>74</v>
      </c>
      <c r="D285" s="559" t="s">
        <v>23700</v>
      </c>
      <c r="E285" s="559" t="s">
        <v>192</v>
      </c>
      <c r="F285" s="564">
        <v>1</v>
      </c>
      <c r="G285" s="559" t="s">
        <v>193</v>
      </c>
      <c r="H285" s="559" t="s">
        <v>194</v>
      </c>
      <c r="I285" s="559" t="s">
        <v>23139</v>
      </c>
      <c r="J285" s="559" t="s">
        <v>21346</v>
      </c>
      <c r="K285" s="559" t="s">
        <v>9309</v>
      </c>
      <c r="L285" s="559" t="s">
        <v>6955</v>
      </c>
      <c r="M285" s="559"/>
      <c r="N285" s="559" t="s">
        <v>24196</v>
      </c>
      <c r="O285" s="559" t="s">
        <v>6249</v>
      </c>
      <c r="P285" s="559" t="s">
        <v>23916</v>
      </c>
      <c r="Q285" s="559" t="s">
        <v>23614</v>
      </c>
      <c r="R285" s="559" t="s">
        <v>23927</v>
      </c>
      <c r="S285" s="559" t="s">
        <v>24197</v>
      </c>
      <c r="T285" s="559" t="s">
        <v>24198</v>
      </c>
      <c r="U285" s="559"/>
      <c r="V285" s="559" t="s">
        <v>9726</v>
      </c>
      <c r="W285" s="559" t="s">
        <v>246</v>
      </c>
      <c r="X285" s="559" t="s">
        <v>194</v>
      </c>
      <c r="Y285" s="559" t="s">
        <v>9300</v>
      </c>
      <c r="Z285" s="559"/>
      <c r="AA285" s="559"/>
      <c r="AB285" s="559" t="s">
        <v>9311</v>
      </c>
      <c r="AC285" s="559"/>
      <c r="AD285" s="559"/>
      <c r="AE285" s="559"/>
      <c r="AF285" s="559"/>
      <c r="AG285" s="559"/>
      <c r="AH285" s="559" t="s">
        <v>4714</v>
      </c>
      <c r="AI285" s="559" t="s">
        <v>1057</v>
      </c>
      <c r="AJ285" s="601" t="str">
        <f t="shared" si="8"/>
        <v>142004</v>
      </c>
      <c r="AK285" s="601">
        <v>1</v>
      </c>
      <c r="AL285" s="601">
        <f t="shared" si="9"/>
        <v>1</v>
      </c>
      <c r="AM285" s="601">
        <v>1</v>
      </c>
      <c r="AN285" s="603" t="s">
        <v>17650</v>
      </c>
      <c r="AO285" s="603" t="s">
        <v>17651</v>
      </c>
      <c r="AP285" s="603" t="s">
        <v>17652</v>
      </c>
      <c r="AQ285" s="603" t="s">
        <v>17653</v>
      </c>
      <c r="AR285" s="603" t="s">
        <v>1024</v>
      </c>
      <c r="AS285" s="559">
        <v>1</v>
      </c>
    </row>
    <row r="286" spans="1:45" x14ac:dyDescent="0.2">
      <c r="A286" s="559" t="s">
        <v>2567</v>
      </c>
      <c r="B286" s="559" t="s">
        <v>1057</v>
      </c>
      <c r="C286" s="559" t="s">
        <v>74</v>
      </c>
      <c r="D286" s="559" t="s">
        <v>23700</v>
      </c>
      <c r="E286" s="559" t="s">
        <v>192</v>
      </c>
      <c r="F286" s="564">
        <v>1</v>
      </c>
      <c r="G286" s="559" t="s">
        <v>193</v>
      </c>
      <c r="H286" s="559" t="s">
        <v>194</v>
      </c>
      <c r="I286" s="559" t="s">
        <v>23139</v>
      </c>
      <c r="J286" s="559" t="s">
        <v>21350</v>
      </c>
      <c r="K286" s="559" t="s">
        <v>9309</v>
      </c>
      <c r="L286" s="559" t="s">
        <v>6955</v>
      </c>
      <c r="M286" s="559"/>
      <c r="N286" s="559" t="s">
        <v>24199</v>
      </c>
      <c r="O286" s="559" t="s">
        <v>6249</v>
      </c>
      <c r="P286" s="559" t="s">
        <v>23916</v>
      </c>
      <c r="Q286" s="559" t="s">
        <v>23614</v>
      </c>
      <c r="R286" s="559" t="s">
        <v>23927</v>
      </c>
      <c r="S286" s="559" t="s">
        <v>24200</v>
      </c>
      <c r="T286" s="559" t="s">
        <v>24201</v>
      </c>
      <c r="U286" s="559"/>
      <c r="V286" s="559" t="s">
        <v>9726</v>
      </c>
      <c r="W286" s="559" t="s">
        <v>246</v>
      </c>
      <c r="X286" s="559" t="s">
        <v>194</v>
      </c>
      <c r="Y286" s="559" t="s">
        <v>9300</v>
      </c>
      <c r="Z286" s="559"/>
      <c r="AA286" s="559"/>
      <c r="AB286" s="559" t="s">
        <v>9311</v>
      </c>
      <c r="AC286" s="559"/>
      <c r="AD286" s="559"/>
      <c r="AE286" s="559"/>
      <c r="AF286" s="559"/>
      <c r="AG286" s="559"/>
      <c r="AH286" s="559" t="s">
        <v>4714</v>
      </c>
      <c r="AI286" s="559" t="s">
        <v>1057</v>
      </c>
      <c r="AJ286" s="601" t="str">
        <f t="shared" si="8"/>
        <v>142004</v>
      </c>
      <c r="AK286" s="601">
        <v>1</v>
      </c>
      <c r="AL286" s="601">
        <f t="shared" si="9"/>
        <v>1</v>
      </c>
      <c r="AM286" s="601">
        <v>1</v>
      </c>
      <c r="AN286" s="603" t="s">
        <v>17650</v>
      </c>
      <c r="AO286" s="603" t="s">
        <v>17651</v>
      </c>
      <c r="AP286" s="603" t="s">
        <v>17652</v>
      </c>
      <c r="AQ286" s="603" t="s">
        <v>17653</v>
      </c>
      <c r="AR286" s="603" t="s">
        <v>1024</v>
      </c>
      <c r="AS286" s="559">
        <v>1</v>
      </c>
    </row>
    <row r="287" spans="1:45" x14ac:dyDescent="0.2">
      <c r="A287" s="559" t="s">
        <v>1490</v>
      </c>
      <c r="B287" s="559" t="s">
        <v>7643</v>
      </c>
      <c r="C287" s="559" t="s">
        <v>5440</v>
      </c>
      <c r="D287" s="559" t="s">
        <v>23700</v>
      </c>
      <c r="E287" s="559" t="s">
        <v>192</v>
      </c>
      <c r="F287" s="564">
        <v>1</v>
      </c>
      <c r="G287" s="559" t="s">
        <v>193</v>
      </c>
      <c r="H287" s="559" t="s">
        <v>194</v>
      </c>
      <c r="I287" s="559" t="s">
        <v>23708</v>
      </c>
      <c r="J287" s="559" t="s">
        <v>575</v>
      </c>
      <c r="K287" s="559" t="s">
        <v>9309</v>
      </c>
      <c r="L287" s="559" t="s">
        <v>6955</v>
      </c>
      <c r="M287" s="559"/>
      <c r="N287" s="559" t="s">
        <v>24202</v>
      </c>
      <c r="O287" s="559" t="s">
        <v>6245</v>
      </c>
      <c r="P287" s="559" t="s">
        <v>23916</v>
      </c>
      <c r="Q287" s="559" t="s">
        <v>23614</v>
      </c>
      <c r="R287" s="559" t="s">
        <v>23917</v>
      </c>
      <c r="S287" s="559" t="s">
        <v>24203</v>
      </c>
      <c r="T287" s="559" t="s">
        <v>24204</v>
      </c>
      <c r="U287" s="559"/>
      <c r="V287" s="559" t="s">
        <v>9726</v>
      </c>
      <c r="W287" s="559" t="s">
        <v>310</v>
      </c>
      <c r="X287" s="559" t="s">
        <v>194</v>
      </c>
      <c r="Y287" s="559" t="s">
        <v>9300</v>
      </c>
      <c r="Z287" s="559"/>
      <c r="AA287" s="559"/>
      <c r="AB287" s="559" t="s">
        <v>9311</v>
      </c>
      <c r="AC287" s="559"/>
      <c r="AD287" s="559"/>
      <c r="AE287" s="559"/>
      <c r="AF287" s="559"/>
      <c r="AG287" s="559"/>
      <c r="AH287" s="559" t="s">
        <v>4714</v>
      </c>
      <c r="AI287" s="559" t="s">
        <v>7643</v>
      </c>
      <c r="AJ287" s="601" t="str">
        <f t="shared" si="8"/>
        <v>214404</v>
      </c>
      <c r="AK287" s="601">
        <v>1</v>
      </c>
      <c r="AL287" s="601">
        <f t="shared" si="9"/>
        <v>1</v>
      </c>
      <c r="AM287" s="601">
        <v>1</v>
      </c>
      <c r="AN287" s="603" t="s">
        <v>17650</v>
      </c>
      <c r="AO287" s="603" t="s">
        <v>17651</v>
      </c>
      <c r="AP287" s="603" t="s">
        <v>17652</v>
      </c>
      <c r="AQ287" s="603" t="s">
        <v>17653</v>
      </c>
      <c r="AR287" s="603" t="s">
        <v>1024</v>
      </c>
      <c r="AS287" s="559">
        <v>1</v>
      </c>
    </row>
    <row r="288" spans="1:45" x14ac:dyDescent="0.2">
      <c r="A288" s="559" t="s">
        <v>24205</v>
      </c>
      <c r="B288" s="559" t="s">
        <v>24206</v>
      </c>
      <c r="C288" s="559" t="s">
        <v>1492</v>
      </c>
      <c r="D288" s="559" t="s">
        <v>23700</v>
      </c>
      <c r="E288" s="559" t="s">
        <v>192</v>
      </c>
      <c r="F288" s="564">
        <v>1</v>
      </c>
      <c r="G288" s="559" t="s">
        <v>193</v>
      </c>
      <c r="H288" s="559" t="s">
        <v>194</v>
      </c>
      <c r="I288" s="559" t="s">
        <v>23139</v>
      </c>
      <c r="J288" s="559" t="s">
        <v>316</v>
      </c>
      <c r="K288" s="559" t="s">
        <v>9309</v>
      </c>
      <c r="L288" s="559" t="s">
        <v>6955</v>
      </c>
      <c r="M288" s="559"/>
      <c r="N288" s="559" t="s">
        <v>24207</v>
      </c>
      <c r="O288" s="559" t="s">
        <v>6266</v>
      </c>
      <c r="P288" s="559" t="s">
        <v>23916</v>
      </c>
      <c r="Q288" s="559" t="s">
        <v>23614</v>
      </c>
      <c r="R288" s="559" t="s">
        <v>23917</v>
      </c>
      <c r="S288" s="559" t="s">
        <v>24208</v>
      </c>
      <c r="T288" s="559" t="s">
        <v>24209</v>
      </c>
      <c r="U288" s="559"/>
      <c r="V288" s="559" t="s">
        <v>10012</v>
      </c>
      <c r="W288" s="559" t="s">
        <v>1493</v>
      </c>
      <c r="X288" s="559" t="s">
        <v>194</v>
      </c>
      <c r="Y288" s="559" t="s">
        <v>9300</v>
      </c>
      <c r="Z288" s="559"/>
      <c r="AA288" s="559"/>
      <c r="AB288" s="559" t="s">
        <v>9311</v>
      </c>
      <c r="AC288" s="559"/>
      <c r="AD288" s="559"/>
      <c r="AE288" s="559"/>
      <c r="AF288" s="559"/>
      <c r="AG288" s="559"/>
      <c r="AH288" s="559" t="s">
        <v>4714</v>
      </c>
      <c r="AI288" s="559" t="s">
        <v>24206</v>
      </c>
      <c r="AJ288" s="601" t="str">
        <f t="shared" si="8"/>
        <v>214104</v>
      </c>
      <c r="AK288" s="601">
        <v>1</v>
      </c>
      <c r="AL288" s="601">
        <f t="shared" si="9"/>
        <v>1</v>
      </c>
      <c r="AM288" s="601">
        <v>1</v>
      </c>
      <c r="AN288" s="603" t="s">
        <v>17650</v>
      </c>
      <c r="AO288" s="603" t="s">
        <v>17651</v>
      </c>
      <c r="AP288" s="603" t="s">
        <v>17652</v>
      </c>
      <c r="AQ288" s="603" t="s">
        <v>17653</v>
      </c>
      <c r="AR288" s="603" t="s">
        <v>1024</v>
      </c>
      <c r="AS288" s="559">
        <v>1</v>
      </c>
    </row>
    <row r="289" spans="1:45" x14ac:dyDescent="0.2">
      <c r="A289" s="559" t="s">
        <v>24210</v>
      </c>
      <c r="B289" s="559" t="s">
        <v>24211</v>
      </c>
      <c r="C289" s="559" t="s">
        <v>875</v>
      </c>
      <c r="D289" s="559" t="s">
        <v>23700</v>
      </c>
      <c r="E289" s="559" t="s">
        <v>192</v>
      </c>
      <c r="F289" s="564">
        <v>1</v>
      </c>
      <c r="G289" s="559" t="s">
        <v>193</v>
      </c>
      <c r="H289" s="559" t="s">
        <v>194</v>
      </c>
      <c r="I289" s="559" t="s">
        <v>23139</v>
      </c>
      <c r="J289" s="559" t="s">
        <v>223</v>
      </c>
      <c r="K289" s="559" t="s">
        <v>9309</v>
      </c>
      <c r="L289" s="559" t="s">
        <v>6955</v>
      </c>
      <c r="M289" s="559"/>
      <c r="N289" s="559" t="s">
        <v>24212</v>
      </c>
      <c r="O289" s="559" t="s">
        <v>6324</v>
      </c>
      <c r="P289" s="559" t="s">
        <v>23916</v>
      </c>
      <c r="Q289" s="559" t="s">
        <v>23614</v>
      </c>
      <c r="R289" s="559" t="s">
        <v>23917</v>
      </c>
      <c r="S289" s="559" t="s">
        <v>24213</v>
      </c>
      <c r="T289" s="559" t="s">
        <v>24214</v>
      </c>
      <c r="U289" s="559"/>
      <c r="V289" s="559" t="s">
        <v>11163</v>
      </c>
      <c r="W289" s="559" t="s">
        <v>876</v>
      </c>
      <c r="X289" s="559" t="s">
        <v>194</v>
      </c>
      <c r="Y289" s="559" t="s">
        <v>9300</v>
      </c>
      <c r="Z289" s="559"/>
      <c r="AA289" s="559"/>
      <c r="AB289" s="559" t="s">
        <v>9311</v>
      </c>
      <c r="AC289" s="559"/>
      <c r="AD289" s="559"/>
      <c r="AE289" s="559"/>
      <c r="AF289" s="559"/>
      <c r="AG289" s="559"/>
      <c r="AH289" s="559" t="s">
        <v>4714</v>
      </c>
      <c r="AI289" s="559" t="s">
        <v>24211</v>
      </c>
      <c r="AJ289" s="601" t="str">
        <f t="shared" si="8"/>
        <v>833203</v>
      </c>
      <c r="AK289" s="601">
        <v>1</v>
      </c>
      <c r="AL289" s="601">
        <f t="shared" si="9"/>
        <v>1</v>
      </c>
      <c r="AM289" s="601">
        <v>1</v>
      </c>
      <c r="AN289" s="603" t="s">
        <v>17650</v>
      </c>
      <c r="AO289" s="603" t="s">
        <v>17651</v>
      </c>
      <c r="AP289" s="603" t="s">
        <v>17652</v>
      </c>
      <c r="AQ289" s="603" t="s">
        <v>17653</v>
      </c>
      <c r="AR289" s="603" t="s">
        <v>1024</v>
      </c>
      <c r="AS289" s="559">
        <v>1</v>
      </c>
    </row>
    <row r="290" spans="1:45" x14ac:dyDescent="0.2">
      <c r="A290" s="559" t="s">
        <v>2009</v>
      </c>
      <c r="B290" s="559" t="s">
        <v>24215</v>
      </c>
      <c r="C290" s="559" t="s">
        <v>129</v>
      </c>
      <c r="D290" s="559" t="s">
        <v>23700</v>
      </c>
      <c r="E290" s="559" t="s">
        <v>192</v>
      </c>
      <c r="F290" s="564">
        <v>1</v>
      </c>
      <c r="G290" s="559" t="s">
        <v>193</v>
      </c>
      <c r="H290" s="559" t="s">
        <v>194</v>
      </c>
      <c r="I290" s="559" t="s">
        <v>23139</v>
      </c>
      <c r="J290" s="559" t="s">
        <v>210</v>
      </c>
      <c r="K290" s="559" t="s">
        <v>9309</v>
      </c>
      <c r="L290" s="559" t="s">
        <v>6955</v>
      </c>
      <c r="M290" s="559"/>
      <c r="N290" s="559" t="s">
        <v>24216</v>
      </c>
      <c r="O290" s="559" t="s">
        <v>6374</v>
      </c>
      <c r="P290" s="559" t="s">
        <v>23916</v>
      </c>
      <c r="Q290" s="559" t="s">
        <v>23614</v>
      </c>
      <c r="R290" s="559" t="s">
        <v>23917</v>
      </c>
      <c r="S290" s="559" t="s">
        <v>24217</v>
      </c>
      <c r="T290" s="559" t="s">
        <v>24218</v>
      </c>
      <c r="U290" s="559"/>
      <c r="V290" s="559" t="s">
        <v>9334</v>
      </c>
      <c r="W290" s="559" t="s">
        <v>203</v>
      </c>
      <c r="X290" s="559" t="s">
        <v>194</v>
      </c>
      <c r="Y290" s="559" t="s">
        <v>9300</v>
      </c>
      <c r="Z290" s="559"/>
      <c r="AA290" s="559"/>
      <c r="AB290" s="559" t="s">
        <v>9311</v>
      </c>
      <c r="AC290" s="559"/>
      <c r="AD290" s="559"/>
      <c r="AE290" s="559"/>
      <c r="AF290" s="559"/>
      <c r="AG290" s="559"/>
      <c r="AH290" s="559" t="s">
        <v>4714</v>
      </c>
      <c r="AI290" s="559" t="s">
        <v>24215</v>
      </c>
      <c r="AJ290" s="601" t="str">
        <f t="shared" si="8"/>
        <v>121904</v>
      </c>
      <c r="AK290" s="601">
        <v>1</v>
      </c>
      <c r="AL290" s="601">
        <f t="shared" si="9"/>
        <v>1</v>
      </c>
      <c r="AM290" s="601">
        <v>1</v>
      </c>
      <c r="AN290" s="603" t="s">
        <v>17650</v>
      </c>
      <c r="AO290" s="603" t="s">
        <v>17651</v>
      </c>
      <c r="AP290" s="603" t="s">
        <v>17652</v>
      </c>
      <c r="AQ290" s="603" t="s">
        <v>17653</v>
      </c>
      <c r="AR290" s="603" t="s">
        <v>1024</v>
      </c>
      <c r="AS290" s="559">
        <v>1</v>
      </c>
    </row>
    <row r="291" spans="1:45" x14ac:dyDescent="0.2">
      <c r="A291" s="559" t="s">
        <v>1490</v>
      </c>
      <c r="B291" s="559" t="s">
        <v>18952</v>
      </c>
      <c r="C291" s="559" t="s">
        <v>721</v>
      </c>
      <c r="D291" s="559" t="s">
        <v>23700</v>
      </c>
      <c r="E291" s="559" t="s">
        <v>192</v>
      </c>
      <c r="F291" s="564">
        <v>1</v>
      </c>
      <c r="G291" s="559" t="s">
        <v>193</v>
      </c>
      <c r="H291" s="559" t="s">
        <v>194</v>
      </c>
      <c r="I291" s="559" t="s">
        <v>23708</v>
      </c>
      <c r="J291" s="559" t="s">
        <v>575</v>
      </c>
      <c r="K291" s="559" t="s">
        <v>9309</v>
      </c>
      <c r="L291" s="559" t="s">
        <v>6955</v>
      </c>
      <c r="M291" s="559"/>
      <c r="N291" s="559" t="s">
        <v>24219</v>
      </c>
      <c r="O291" s="559" t="s">
        <v>6921</v>
      </c>
      <c r="P291" s="559" t="s">
        <v>23916</v>
      </c>
      <c r="Q291" s="559" t="s">
        <v>23614</v>
      </c>
      <c r="R291" s="559" t="s">
        <v>23917</v>
      </c>
      <c r="S291" s="559" t="s">
        <v>24220</v>
      </c>
      <c r="T291" s="559" t="s">
        <v>24221</v>
      </c>
      <c r="U291" s="559"/>
      <c r="V291" s="559" t="s">
        <v>9726</v>
      </c>
      <c r="W291" s="559" t="s">
        <v>723</v>
      </c>
      <c r="X291" s="559" t="s">
        <v>194</v>
      </c>
      <c r="Y291" s="559" t="s">
        <v>9300</v>
      </c>
      <c r="Z291" s="559"/>
      <c r="AA291" s="559"/>
      <c r="AB291" s="559" t="s">
        <v>9311</v>
      </c>
      <c r="AC291" s="559"/>
      <c r="AD291" s="559"/>
      <c r="AE291" s="559"/>
      <c r="AF291" s="559"/>
      <c r="AG291" s="559"/>
      <c r="AH291" s="559" t="s">
        <v>4714</v>
      </c>
      <c r="AI291" s="559" t="s">
        <v>18952</v>
      </c>
      <c r="AJ291" s="601" t="str">
        <f t="shared" si="8"/>
        <v>432201</v>
      </c>
      <c r="AK291" s="601">
        <v>1</v>
      </c>
      <c r="AL291" s="601">
        <f t="shared" si="9"/>
        <v>1</v>
      </c>
      <c r="AM291" s="601">
        <v>1</v>
      </c>
      <c r="AN291" s="603" t="s">
        <v>17650</v>
      </c>
      <c r="AO291" s="603" t="s">
        <v>17651</v>
      </c>
      <c r="AP291" s="603" t="s">
        <v>17652</v>
      </c>
      <c r="AQ291" s="603" t="s">
        <v>17653</v>
      </c>
      <c r="AR291" s="603" t="s">
        <v>1024</v>
      </c>
      <c r="AS291" s="559">
        <v>1</v>
      </c>
    </row>
    <row r="292" spans="1:45" x14ac:dyDescent="0.2">
      <c r="A292" s="559" t="s">
        <v>18645</v>
      </c>
      <c r="B292" s="559" t="s">
        <v>17222</v>
      </c>
      <c r="C292" s="559" t="s">
        <v>5440</v>
      </c>
      <c r="D292" s="559" t="s">
        <v>23700</v>
      </c>
      <c r="E292" s="559" t="s">
        <v>192</v>
      </c>
      <c r="F292" s="564">
        <v>1</v>
      </c>
      <c r="G292" s="559" t="s">
        <v>193</v>
      </c>
      <c r="H292" s="559" t="s">
        <v>194</v>
      </c>
      <c r="I292" s="559" t="s">
        <v>23708</v>
      </c>
      <c r="J292" s="559" t="s">
        <v>253</v>
      </c>
      <c r="K292" s="559" t="s">
        <v>9309</v>
      </c>
      <c r="L292" s="559" t="s">
        <v>6955</v>
      </c>
      <c r="M292" s="559"/>
      <c r="N292" s="559" t="s">
        <v>24222</v>
      </c>
      <c r="O292" s="559" t="s">
        <v>6286</v>
      </c>
      <c r="P292" s="559" t="s">
        <v>23916</v>
      </c>
      <c r="Q292" s="559" t="s">
        <v>23614</v>
      </c>
      <c r="R292" s="559" t="s">
        <v>23917</v>
      </c>
      <c r="S292" s="559" t="s">
        <v>24223</v>
      </c>
      <c r="T292" s="559" t="s">
        <v>24224</v>
      </c>
      <c r="U292" s="559"/>
      <c r="V292" s="559" t="s">
        <v>9468</v>
      </c>
      <c r="W292" s="559" t="s">
        <v>310</v>
      </c>
      <c r="X292" s="559" t="s">
        <v>194</v>
      </c>
      <c r="Y292" s="559" t="s">
        <v>9300</v>
      </c>
      <c r="Z292" s="559"/>
      <c r="AA292" s="559"/>
      <c r="AB292" s="559" t="s">
        <v>9311</v>
      </c>
      <c r="AC292" s="559"/>
      <c r="AD292" s="559"/>
      <c r="AE292" s="559"/>
      <c r="AF292" s="559"/>
      <c r="AG292" s="559"/>
      <c r="AH292" s="559" t="s">
        <v>4714</v>
      </c>
      <c r="AI292" s="559" t="s">
        <v>17222</v>
      </c>
      <c r="AJ292" s="601" t="str">
        <f t="shared" si="8"/>
        <v>214404</v>
      </c>
      <c r="AK292" s="601">
        <v>1</v>
      </c>
      <c r="AL292" s="601">
        <f t="shared" si="9"/>
        <v>1</v>
      </c>
      <c r="AM292" s="601">
        <v>1</v>
      </c>
      <c r="AN292" s="603" t="s">
        <v>17650</v>
      </c>
      <c r="AO292" s="603" t="s">
        <v>17651</v>
      </c>
      <c r="AP292" s="603" t="s">
        <v>17652</v>
      </c>
      <c r="AQ292" s="603" t="s">
        <v>17653</v>
      </c>
      <c r="AR292" s="603" t="s">
        <v>1024</v>
      </c>
      <c r="AS292" s="559">
        <v>1</v>
      </c>
    </row>
    <row r="293" spans="1:45" x14ac:dyDescent="0.2">
      <c r="A293" s="559" t="s">
        <v>24225</v>
      </c>
      <c r="B293" s="559" t="s">
        <v>632</v>
      </c>
      <c r="C293" s="559" t="s">
        <v>17</v>
      </c>
      <c r="D293" s="559" t="s">
        <v>23700</v>
      </c>
      <c r="E293" s="559" t="s">
        <v>192</v>
      </c>
      <c r="F293" s="564">
        <v>1</v>
      </c>
      <c r="G293" s="559" t="s">
        <v>193</v>
      </c>
      <c r="H293" s="559" t="s">
        <v>194</v>
      </c>
      <c r="I293" s="559" t="s">
        <v>23151</v>
      </c>
      <c r="J293" s="559" t="s">
        <v>210</v>
      </c>
      <c r="K293" s="559" t="s">
        <v>9309</v>
      </c>
      <c r="L293" s="559" t="s">
        <v>6955</v>
      </c>
      <c r="M293" s="559"/>
      <c r="N293" s="559" t="s">
        <v>24226</v>
      </c>
      <c r="O293" s="559" t="s">
        <v>6245</v>
      </c>
      <c r="P293" s="559" t="s">
        <v>23702</v>
      </c>
      <c r="Q293" s="559" t="s">
        <v>23614</v>
      </c>
      <c r="R293" s="559" t="s">
        <v>23917</v>
      </c>
      <c r="S293" s="559" t="s">
        <v>24227</v>
      </c>
      <c r="T293" s="559" t="s">
        <v>24228</v>
      </c>
      <c r="U293" s="559"/>
      <c r="V293" s="559" t="s">
        <v>9334</v>
      </c>
      <c r="W293" s="559" t="s">
        <v>624</v>
      </c>
      <c r="X293" s="559" t="s">
        <v>194</v>
      </c>
      <c r="Y293" s="559" t="s">
        <v>9300</v>
      </c>
      <c r="Z293" s="559"/>
      <c r="AA293" s="559"/>
      <c r="AB293" s="559" t="s">
        <v>9311</v>
      </c>
      <c r="AC293" s="559"/>
      <c r="AD293" s="559"/>
      <c r="AE293" s="559"/>
      <c r="AF293" s="559"/>
      <c r="AG293" s="559"/>
      <c r="AH293" s="559" t="s">
        <v>4714</v>
      </c>
      <c r="AI293" s="559" t="s">
        <v>17</v>
      </c>
      <c r="AJ293" s="601" t="str">
        <f t="shared" si="8"/>
        <v>332203</v>
      </c>
      <c r="AK293" s="601">
        <v>1</v>
      </c>
      <c r="AL293" s="601">
        <f t="shared" si="9"/>
        <v>1</v>
      </c>
      <c r="AM293" s="601">
        <v>1</v>
      </c>
      <c r="AN293" s="603" t="s">
        <v>17650</v>
      </c>
      <c r="AO293" s="603" t="s">
        <v>17651</v>
      </c>
      <c r="AP293" s="603" t="s">
        <v>17652</v>
      </c>
      <c r="AQ293" s="603" t="s">
        <v>17653</v>
      </c>
      <c r="AR293" s="603" t="s">
        <v>1024</v>
      </c>
      <c r="AS293" s="559">
        <v>1</v>
      </c>
    </row>
    <row r="294" spans="1:45" x14ac:dyDescent="0.2">
      <c r="A294" s="559" t="s">
        <v>24210</v>
      </c>
      <c r="B294" s="559" t="s">
        <v>5911</v>
      </c>
      <c r="C294" s="559" t="s">
        <v>21</v>
      </c>
      <c r="D294" s="559" t="s">
        <v>23700</v>
      </c>
      <c r="E294" s="559" t="s">
        <v>192</v>
      </c>
      <c r="F294" s="564">
        <v>1</v>
      </c>
      <c r="G294" s="559" t="s">
        <v>193</v>
      </c>
      <c r="H294" s="559" t="s">
        <v>194</v>
      </c>
      <c r="I294" s="559" t="s">
        <v>23708</v>
      </c>
      <c r="J294" s="559" t="s">
        <v>223</v>
      </c>
      <c r="K294" s="559" t="s">
        <v>9309</v>
      </c>
      <c r="L294" s="559" t="s">
        <v>6955</v>
      </c>
      <c r="M294" s="559"/>
      <c r="N294" s="559" t="s">
        <v>24229</v>
      </c>
      <c r="O294" s="559" t="s">
        <v>6324</v>
      </c>
      <c r="P294" s="559" t="s">
        <v>23916</v>
      </c>
      <c r="Q294" s="559" t="s">
        <v>23614</v>
      </c>
      <c r="R294" s="559" t="s">
        <v>23917</v>
      </c>
      <c r="S294" s="559" t="s">
        <v>24230</v>
      </c>
      <c r="T294" s="559" t="s">
        <v>24231</v>
      </c>
      <c r="U294" s="559"/>
      <c r="V294" s="559" t="s">
        <v>11163</v>
      </c>
      <c r="W294" s="559" t="s">
        <v>293</v>
      </c>
      <c r="X294" s="559" t="s">
        <v>194</v>
      </c>
      <c r="Y294" s="559" t="s">
        <v>9300</v>
      </c>
      <c r="Z294" s="559"/>
      <c r="AA294" s="559"/>
      <c r="AB294" s="559" t="s">
        <v>9311</v>
      </c>
      <c r="AC294" s="559"/>
      <c r="AD294" s="559"/>
      <c r="AE294" s="559"/>
      <c r="AF294" s="559"/>
      <c r="AG294" s="559"/>
      <c r="AH294" s="559" t="s">
        <v>4714</v>
      </c>
      <c r="AI294" s="559" t="s">
        <v>5911</v>
      </c>
      <c r="AJ294" s="601" t="str">
        <f t="shared" si="8"/>
        <v>214202</v>
      </c>
      <c r="AK294" s="601">
        <v>1</v>
      </c>
      <c r="AL294" s="601">
        <f t="shared" si="9"/>
        <v>1</v>
      </c>
      <c r="AM294" s="601">
        <v>1</v>
      </c>
      <c r="AN294" s="603" t="s">
        <v>17650</v>
      </c>
      <c r="AO294" s="603" t="s">
        <v>17651</v>
      </c>
      <c r="AP294" s="603" t="s">
        <v>17652</v>
      </c>
      <c r="AQ294" s="603" t="s">
        <v>17653</v>
      </c>
      <c r="AR294" s="603" t="s">
        <v>1024</v>
      </c>
      <c r="AS294" s="559">
        <v>1</v>
      </c>
    </row>
    <row r="295" spans="1:45" x14ac:dyDescent="0.2">
      <c r="A295" s="559" t="s">
        <v>369</v>
      </c>
      <c r="B295" s="559" t="s">
        <v>22634</v>
      </c>
      <c r="C295" s="559" t="s">
        <v>5326</v>
      </c>
      <c r="D295" s="559" t="s">
        <v>23700</v>
      </c>
      <c r="E295" s="559" t="s">
        <v>192</v>
      </c>
      <c r="F295" s="564">
        <v>1</v>
      </c>
      <c r="G295" s="559" t="s">
        <v>193</v>
      </c>
      <c r="H295" s="559" t="s">
        <v>194</v>
      </c>
      <c r="I295" s="559" t="s">
        <v>23708</v>
      </c>
      <c r="J295" s="559" t="s">
        <v>210</v>
      </c>
      <c r="K295" s="559" t="s">
        <v>9309</v>
      </c>
      <c r="L295" s="559" t="s">
        <v>6955</v>
      </c>
      <c r="M295" s="559"/>
      <c r="N295" s="559" t="s">
        <v>24232</v>
      </c>
      <c r="O295" s="559" t="s">
        <v>6279</v>
      </c>
      <c r="P295" s="559" t="s">
        <v>23916</v>
      </c>
      <c r="Q295" s="559" t="s">
        <v>23614</v>
      </c>
      <c r="R295" s="559" t="s">
        <v>23917</v>
      </c>
      <c r="S295" s="559" t="s">
        <v>24233</v>
      </c>
      <c r="T295" s="559" t="s">
        <v>24234</v>
      </c>
      <c r="U295" s="559"/>
      <c r="V295" s="559" t="s">
        <v>9334</v>
      </c>
      <c r="W295" s="559" t="s">
        <v>584</v>
      </c>
      <c r="X295" s="559" t="s">
        <v>194</v>
      </c>
      <c r="Y295" s="559" t="s">
        <v>9300</v>
      </c>
      <c r="Z295" s="559"/>
      <c r="AA295" s="559"/>
      <c r="AB295" s="559" t="s">
        <v>9311</v>
      </c>
      <c r="AC295" s="559"/>
      <c r="AD295" s="559"/>
      <c r="AE295" s="559"/>
      <c r="AF295" s="559"/>
      <c r="AG295" s="559"/>
      <c r="AH295" s="559" t="s">
        <v>4714</v>
      </c>
      <c r="AI295" s="559" t="s">
        <v>22634</v>
      </c>
      <c r="AJ295" s="601" t="str">
        <f t="shared" si="8"/>
        <v>311937</v>
      </c>
      <c r="AK295" s="601">
        <v>1</v>
      </c>
      <c r="AL295" s="601">
        <f t="shared" si="9"/>
        <v>1</v>
      </c>
      <c r="AM295" s="601">
        <v>1</v>
      </c>
      <c r="AN295" s="603" t="s">
        <v>17650</v>
      </c>
      <c r="AO295" s="603" t="s">
        <v>17651</v>
      </c>
      <c r="AP295" s="603" t="s">
        <v>17652</v>
      </c>
      <c r="AQ295" s="603" t="s">
        <v>17653</v>
      </c>
      <c r="AR295" s="603" t="s">
        <v>1024</v>
      </c>
      <c r="AS295" s="559">
        <v>1</v>
      </c>
    </row>
    <row r="296" spans="1:45" x14ac:dyDescent="0.2">
      <c r="A296" s="559" t="s">
        <v>369</v>
      </c>
      <c r="B296" s="559" t="s">
        <v>1429</v>
      </c>
      <c r="C296" s="559" t="s">
        <v>1378</v>
      </c>
      <c r="D296" s="559" t="s">
        <v>23700</v>
      </c>
      <c r="E296" s="559" t="s">
        <v>192</v>
      </c>
      <c r="F296" s="564">
        <v>1</v>
      </c>
      <c r="G296" s="559" t="s">
        <v>193</v>
      </c>
      <c r="H296" s="559" t="s">
        <v>194</v>
      </c>
      <c r="I296" s="559" t="s">
        <v>23158</v>
      </c>
      <c r="J296" s="559" t="s">
        <v>210</v>
      </c>
      <c r="K296" s="559" t="s">
        <v>9309</v>
      </c>
      <c r="L296" s="559" t="s">
        <v>6955</v>
      </c>
      <c r="M296" s="559"/>
      <c r="N296" s="559" t="s">
        <v>24235</v>
      </c>
      <c r="O296" s="559" t="s">
        <v>6275</v>
      </c>
      <c r="P296" s="559" t="s">
        <v>23916</v>
      </c>
      <c r="Q296" s="559" t="s">
        <v>23614</v>
      </c>
      <c r="R296" s="559" t="s">
        <v>23917</v>
      </c>
      <c r="S296" s="559" t="s">
        <v>24236</v>
      </c>
      <c r="T296" s="559" t="s">
        <v>24237</v>
      </c>
      <c r="U296" s="559"/>
      <c r="V296" s="559" t="s">
        <v>9334</v>
      </c>
      <c r="W296" s="559" t="s">
        <v>1380</v>
      </c>
      <c r="X296" s="559" t="s">
        <v>194</v>
      </c>
      <c r="Y296" s="559" t="s">
        <v>9300</v>
      </c>
      <c r="Z296" s="559"/>
      <c r="AA296" s="559"/>
      <c r="AB296" s="559" t="s">
        <v>9311</v>
      </c>
      <c r="AC296" s="559"/>
      <c r="AD296" s="559"/>
      <c r="AE296" s="559"/>
      <c r="AF296" s="559"/>
      <c r="AG296" s="559"/>
      <c r="AH296" s="559" t="s">
        <v>4714</v>
      </c>
      <c r="AI296" s="559" t="s">
        <v>1429</v>
      </c>
      <c r="AJ296" s="601" t="str">
        <f t="shared" si="8"/>
        <v>713201</v>
      </c>
      <c r="AK296" s="601">
        <v>1</v>
      </c>
      <c r="AL296" s="601">
        <f t="shared" si="9"/>
        <v>1</v>
      </c>
      <c r="AM296" s="601">
        <v>1</v>
      </c>
      <c r="AN296" s="603" t="s">
        <v>17650</v>
      </c>
      <c r="AO296" s="603" t="s">
        <v>17651</v>
      </c>
      <c r="AP296" s="603" t="s">
        <v>17652</v>
      </c>
      <c r="AQ296" s="603" t="s">
        <v>17653</v>
      </c>
      <c r="AR296" s="603" t="s">
        <v>1024</v>
      </c>
      <c r="AS296" s="559">
        <v>1</v>
      </c>
    </row>
    <row r="297" spans="1:45" x14ac:dyDescent="0.2">
      <c r="A297" s="559" t="s">
        <v>369</v>
      </c>
      <c r="B297" s="559" t="s">
        <v>83</v>
      </c>
      <c r="C297" s="559" t="s">
        <v>83</v>
      </c>
      <c r="D297" s="559" t="s">
        <v>23700</v>
      </c>
      <c r="E297" s="559" t="s">
        <v>192</v>
      </c>
      <c r="F297" s="564">
        <v>1</v>
      </c>
      <c r="G297" s="559" t="s">
        <v>193</v>
      </c>
      <c r="H297" s="559" t="s">
        <v>194</v>
      </c>
      <c r="I297" s="559" t="s">
        <v>23151</v>
      </c>
      <c r="J297" s="559" t="s">
        <v>210</v>
      </c>
      <c r="K297" s="559" t="s">
        <v>9309</v>
      </c>
      <c r="L297" s="559" t="s">
        <v>6955</v>
      </c>
      <c r="M297" s="559"/>
      <c r="N297" s="559" t="s">
        <v>24238</v>
      </c>
      <c r="O297" s="559" t="s">
        <v>6258</v>
      </c>
      <c r="P297" s="559" t="s">
        <v>23916</v>
      </c>
      <c r="Q297" s="559" t="s">
        <v>23614</v>
      </c>
      <c r="R297" s="559" t="s">
        <v>23917</v>
      </c>
      <c r="S297" s="559" t="s">
        <v>24239</v>
      </c>
      <c r="T297" s="559" t="s">
        <v>24240</v>
      </c>
      <c r="U297" s="559"/>
      <c r="V297" s="559" t="s">
        <v>9334</v>
      </c>
      <c r="W297" s="559" t="s">
        <v>791</v>
      </c>
      <c r="X297" s="559" t="s">
        <v>194</v>
      </c>
      <c r="Y297" s="559" t="s">
        <v>9300</v>
      </c>
      <c r="Z297" s="559"/>
      <c r="AA297" s="559"/>
      <c r="AB297" s="559" t="s">
        <v>9311</v>
      </c>
      <c r="AC297" s="559"/>
      <c r="AD297" s="559"/>
      <c r="AE297" s="559"/>
      <c r="AF297" s="559"/>
      <c r="AG297" s="559"/>
      <c r="AH297" s="559" t="s">
        <v>4714</v>
      </c>
      <c r="AI297" s="559" t="s">
        <v>83</v>
      </c>
      <c r="AJ297" s="601" t="str">
        <f t="shared" si="8"/>
        <v>721204</v>
      </c>
      <c r="AK297" s="601">
        <v>1</v>
      </c>
      <c r="AL297" s="601">
        <f t="shared" si="9"/>
        <v>1</v>
      </c>
      <c r="AM297" s="601">
        <v>1</v>
      </c>
      <c r="AN297" s="603" t="s">
        <v>17650</v>
      </c>
      <c r="AO297" s="603" t="s">
        <v>17651</v>
      </c>
      <c r="AP297" s="603" t="s">
        <v>17652</v>
      </c>
      <c r="AQ297" s="603" t="s">
        <v>17653</v>
      </c>
      <c r="AR297" s="603" t="s">
        <v>1024</v>
      </c>
      <c r="AS297" s="559">
        <v>1</v>
      </c>
    </row>
    <row r="298" spans="1:45" x14ac:dyDescent="0.2">
      <c r="A298" s="559" t="s">
        <v>24241</v>
      </c>
      <c r="B298" s="559" t="s">
        <v>15100</v>
      </c>
      <c r="C298" s="559" t="s">
        <v>85</v>
      </c>
      <c r="D298" s="559" t="s">
        <v>23700</v>
      </c>
      <c r="E298" s="559" t="s">
        <v>192</v>
      </c>
      <c r="F298" s="564">
        <v>1</v>
      </c>
      <c r="G298" s="559" t="s">
        <v>193</v>
      </c>
      <c r="H298" s="559" t="s">
        <v>194</v>
      </c>
      <c r="I298" s="559" t="s">
        <v>23139</v>
      </c>
      <c r="J298" s="559" t="s">
        <v>276</v>
      </c>
      <c r="K298" s="559" t="s">
        <v>9309</v>
      </c>
      <c r="L298" s="559" t="s">
        <v>6955</v>
      </c>
      <c r="M298" s="559"/>
      <c r="N298" s="559" t="s">
        <v>24242</v>
      </c>
      <c r="O298" s="559" t="s">
        <v>6254</v>
      </c>
      <c r="P298" s="559" t="s">
        <v>23916</v>
      </c>
      <c r="Q298" s="559" t="s">
        <v>23614</v>
      </c>
      <c r="R298" s="559" t="s">
        <v>23917</v>
      </c>
      <c r="S298" s="559" t="s">
        <v>24243</v>
      </c>
      <c r="T298" s="559" t="s">
        <v>24244</v>
      </c>
      <c r="U298" s="559"/>
      <c r="V298" s="559" t="s">
        <v>9786</v>
      </c>
      <c r="W298" s="559" t="s">
        <v>477</v>
      </c>
      <c r="X298" s="559" t="s">
        <v>194</v>
      </c>
      <c r="Y298" s="559" t="s">
        <v>9300</v>
      </c>
      <c r="Z298" s="559"/>
      <c r="AA298" s="559"/>
      <c r="AB298" s="559" t="s">
        <v>9311</v>
      </c>
      <c r="AC298" s="559"/>
      <c r="AD298" s="559"/>
      <c r="AE298" s="559"/>
      <c r="AF298" s="559"/>
      <c r="AG298" s="559"/>
      <c r="AH298" s="559" t="s">
        <v>4714</v>
      </c>
      <c r="AI298" s="559" t="s">
        <v>15100</v>
      </c>
      <c r="AJ298" s="601" t="str">
        <f t="shared" si="8"/>
        <v>243305</v>
      </c>
      <c r="AK298" s="601">
        <v>1</v>
      </c>
      <c r="AL298" s="601">
        <f t="shared" si="9"/>
        <v>1</v>
      </c>
      <c r="AM298" s="601">
        <v>1</v>
      </c>
      <c r="AN298" s="603" t="s">
        <v>17650</v>
      </c>
      <c r="AO298" s="603" t="s">
        <v>17651</v>
      </c>
      <c r="AP298" s="603" t="s">
        <v>17652</v>
      </c>
      <c r="AQ298" s="603" t="s">
        <v>17653</v>
      </c>
      <c r="AR298" s="603" t="s">
        <v>1024</v>
      </c>
      <c r="AS298" s="559">
        <v>1</v>
      </c>
    </row>
    <row r="299" spans="1:45" x14ac:dyDescent="0.2">
      <c r="A299" s="559" t="s">
        <v>24241</v>
      </c>
      <c r="B299" s="559" t="s">
        <v>15100</v>
      </c>
      <c r="C299" s="559" t="s">
        <v>85</v>
      </c>
      <c r="D299" s="559" t="s">
        <v>23700</v>
      </c>
      <c r="E299" s="559" t="s">
        <v>192</v>
      </c>
      <c r="F299" s="564">
        <v>1</v>
      </c>
      <c r="G299" s="559" t="s">
        <v>193</v>
      </c>
      <c r="H299" s="559" t="s">
        <v>194</v>
      </c>
      <c r="I299" s="559" t="s">
        <v>23139</v>
      </c>
      <c r="J299" s="559" t="s">
        <v>385</v>
      </c>
      <c r="K299" s="559" t="s">
        <v>9309</v>
      </c>
      <c r="L299" s="559" t="s">
        <v>6955</v>
      </c>
      <c r="M299" s="559"/>
      <c r="N299" s="559" t="s">
        <v>24245</v>
      </c>
      <c r="O299" s="559" t="s">
        <v>6254</v>
      </c>
      <c r="P299" s="559" t="s">
        <v>23916</v>
      </c>
      <c r="Q299" s="559" t="s">
        <v>23614</v>
      </c>
      <c r="R299" s="559" t="s">
        <v>23917</v>
      </c>
      <c r="S299" s="559" t="s">
        <v>24246</v>
      </c>
      <c r="T299" s="559" t="s">
        <v>24247</v>
      </c>
      <c r="U299" s="559"/>
      <c r="V299" s="559" t="s">
        <v>9410</v>
      </c>
      <c r="W299" s="559" t="s">
        <v>477</v>
      </c>
      <c r="X299" s="559" t="s">
        <v>194</v>
      </c>
      <c r="Y299" s="559" t="s">
        <v>9300</v>
      </c>
      <c r="Z299" s="559"/>
      <c r="AA299" s="559"/>
      <c r="AB299" s="559" t="s">
        <v>9311</v>
      </c>
      <c r="AC299" s="559"/>
      <c r="AD299" s="559"/>
      <c r="AE299" s="559"/>
      <c r="AF299" s="559"/>
      <c r="AG299" s="559"/>
      <c r="AH299" s="559" t="s">
        <v>4714</v>
      </c>
      <c r="AI299" s="559" t="s">
        <v>15100</v>
      </c>
      <c r="AJ299" s="601" t="str">
        <f t="shared" si="8"/>
        <v>243305</v>
      </c>
      <c r="AK299" s="601">
        <v>1</v>
      </c>
      <c r="AL299" s="601">
        <f t="shared" si="9"/>
        <v>1</v>
      </c>
      <c r="AM299" s="601">
        <v>1</v>
      </c>
      <c r="AN299" s="603" t="s">
        <v>17650</v>
      </c>
      <c r="AO299" s="603" t="s">
        <v>17651</v>
      </c>
      <c r="AP299" s="603" t="s">
        <v>17652</v>
      </c>
      <c r="AQ299" s="603" t="s">
        <v>17653</v>
      </c>
      <c r="AR299" s="603" t="s">
        <v>1024</v>
      </c>
      <c r="AS299" s="559">
        <v>1</v>
      </c>
    </row>
    <row r="300" spans="1:45" x14ac:dyDescent="0.2">
      <c r="A300" s="559" t="s">
        <v>24241</v>
      </c>
      <c r="B300" s="559" t="s">
        <v>15100</v>
      </c>
      <c r="C300" s="559" t="s">
        <v>85</v>
      </c>
      <c r="D300" s="559" t="s">
        <v>23700</v>
      </c>
      <c r="E300" s="559" t="s">
        <v>192</v>
      </c>
      <c r="F300" s="564">
        <v>1</v>
      </c>
      <c r="G300" s="559" t="s">
        <v>193</v>
      </c>
      <c r="H300" s="559" t="s">
        <v>194</v>
      </c>
      <c r="I300" s="559" t="s">
        <v>23139</v>
      </c>
      <c r="J300" s="559" t="s">
        <v>253</v>
      </c>
      <c r="K300" s="559" t="s">
        <v>9309</v>
      </c>
      <c r="L300" s="559" t="s">
        <v>6955</v>
      </c>
      <c r="M300" s="559"/>
      <c r="N300" s="559" t="s">
        <v>24248</v>
      </c>
      <c r="O300" s="559" t="s">
        <v>6254</v>
      </c>
      <c r="P300" s="559" t="s">
        <v>23916</v>
      </c>
      <c r="Q300" s="559" t="s">
        <v>23614</v>
      </c>
      <c r="R300" s="559" t="s">
        <v>23917</v>
      </c>
      <c r="S300" s="559" t="s">
        <v>24249</v>
      </c>
      <c r="T300" s="559" t="s">
        <v>24250</v>
      </c>
      <c r="U300" s="559"/>
      <c r="V300" s="559" t="s">
        <v>9468</v>
      </c>
      <c r="W300" s="559" t="s">
        <v>477</v>
      </c>
      <c r="X300" s="559" t="s">
        <v>194</v>
      </c>
      <c r="Y300" s="559" t="s">
        <v>9300</v>
      </c>
      <c r="Z300" s="559"/>
      <c r="AA300" s="559"/>
      <c r="AB300" s="559" t="s">
        <v>9311</v>
      </c>
      <c r="AC300" s="559"/>
      <c r="AD300" s="559"/>
      <c r="AE300" s="559"/>
      <c r="AF300" s="559"/>
      <c r="AG300" s="559"/>
      <c r="AH300" s="559" t="s">
        <v>4714</v>
      </c>
      <c r="AI300" s="559" t="s">
        <v>15100</v>
      </c>
      <c r="AJ300" s="601" t="str">
        <f t="shared" si="8"/>
        <v>243305</v>
      </c>
      <c r="AK300" s="601">
        <v>1</v>
      </c>
      <c r="AL300" s="601">
        <f t="shared" si="9"/>
        <v>1</v>
      </c>
      <c r="AM300" s="601">
        <v>1</v>
      </c>
      <c r="AN300" s="603" t="s">
        <v>17650</v>
      </c>
      <c r="AO300" s="603" t="s">
        <v>17651</v>
      </c>
      <c r="AP300" s="603" t="s">
        <v>17652</v>
      </c>
      <c r="AQ300" s="603" t="s">
        <v>17653</v>
      </c>
      <c r="AR300" s="603" t="s">
        <v>1024</v>
      </c>
      <c r="AS300" s="559">
        <v>1</v>
      </c>
    </row>
    <row r="301" spans="1:45" x14ac:dyDescent="0.2">
      <c r="A301" s="559" t="s">
        <v>24241</v>
      </c>
      <c r="B301" s="559" t="s">
        <v>15100</v>
      </c>
      <c r="C301" s="559" t="s">
        <v>85</v>
      </c>
      <c r="D301" s="559" t="s">
        <v>23700</v>
      </c>
      <c r="E301" s="559" t="s">
        <v>192</v>
      </c>
      <c r="F301" s="564">
        <v>1</v>
      </c>
      <c r="G301" s="559" t="s">
        <v>193</v>
      </c>
      <c r="H301" s="559" t="s">
        <v>194</v>
      </c>
      <c r="I301" s="559" t="s">
        <v>23139</v>
      </c>
      <c r="J301" s="559" t="s">
        <v>4751</v>
      </c>
      <c r="K301" s="559" t="s">
        <v>9309</v>
      </c>
      <c r="L301" s="559" t="s">
        <v>6955</v>
      </c>
      <c r="M301" s="559"/>
      <c r="N301" s="559" t="s">
        <v>24251</v>
      </c>
      <c r="O301" s="559" t="s">
        <v>6254</v>
      </c>
      <c r="P301" s="559" t="s">
        <v>23916</v>
      </c>
      <c r="Q301" s="559" t="s">
        <v>23614</v>
      </c>
      <c r="R301" s="559" t="s">
        <v>23917</v>
      </c>
      <c r="S301" s="559" t="s">
        <v>24252</v>
      </c>
      <c r="T301" s="559" t="s">
        <v>24253</v>
      </c>
      <c r="U301" s="559"/>
      <c r="V301" s="559" t="s">
        <v>9472</v>
      </c>
      <c r="W301" s="559" t="s">
        <v>477</v>
      </c>
      <c r="X301" s="559" t="s">
        <v>194</v>
      </c>
      <c r="Y301" s="559" t="s">
        <v>9300</v>
      </c>
      <c r="Z301" s="559"/>
      <c r="AA301" s="559"/>
      <c r="AB301" s="559" t="s">
        <v>9311</v>
      </c>
      <c r="AC301" s="559"/>
      <c r="AD301" s="559"/>
      <c r="AE301" s="559"/>
      <c r="AF301" s="559"/>
      <c r="AG301" s="559"/>
      <c r="AH301" s="559" t="s">
        <v>4714</v>
      </c>
      <c r="AI301" s="559" t="s">
        <v>15100</v>
      </c>
      <c r="AJ301" s="601" t="str">
        <f t="shared" si="8"/>
        <v>243305</v>
      </c>
      <c r="AK301" s="601">
        <v>1</v>
      </c>
      <c r="AL301" s="601">
        <f t="shared" si="9"/>
        <v>1</v>
      </c>
      <c r="AM301" s="601">
        <v>1</v>
      </c>
      <c r="AN301" s="603" t="s">
        <v>17650</v>
      </c>
      <c r="AO301" s="603" t="s">
        <v>17651</v>
      </c>
      <c r="AP301" s="603" t="s">
        <v>17652</v>
      </c>
      <c r="AQ301" s="603" t="s">
        <v>17653</v>
      </c>
      <c r="AR301" s="603" t="s">
        <v>1024</v>
      </c>
      <c r="AS301" s="559">
        <v>1</v>
      </c>
    </row>
    <row r="302" spans="1:45" x14ac:dyDescent="0.2">
      <c r="A302" s="559" t="s">
        <v>24241</v>
      </c>
      <c r="B302" s="559" t="s">
        <v>15100</v>
      </c>
      <c r="C302" s="559" t="s">
        <v>85</v>
      </c>
      <c r="D302" s="559" t="s">
        <v>23700</v>
      </c>
      <c r="E302" s="559" t="s">
        <v>192</v>
      </c>
      <c r="F302" s="564">
        <v>1</v>
      </c>
      <c r="G302" s="559" t="s">
        <v>193</v>
      </c>
      <c r="H302" s="559" t="s">
        <v>194</v>
      </c>
      <c r="I302" s="559" t="s">
        <v>23139</v>
      </c>
      <c r="J302" s="559" t="s">
        <v>210</v>
      </c>
      <c r="K302" s="559" t="s">
        <v>9309</v>
      </c>
      <c r="L302" s="559" t="s">
        <v>6955</v>
      </c>
      <c r="M302" s="559"/>
      <c r="N302" s="559" t="s">
        <v>24254</v>
      </c>
      <c r="O302" s="559" t="s">
        <v>6254</v>
      </c>
      <c r="P302" s="559" t="s">
        <v>23916</v>
      </c>
      <c r="Q302" s="559" t="s">
        <v>23614</v>
      </c>
      <c r="R302" s="559" t="s">
        <v>23917</v>
      </c>
      <c r="S302" s="559" t="s">
        <v>24255</v>
      </c>
      <c r="T302" s="559" t="s">
        <v>24256</v>
      </c>
      <c r="U302" s="559"/>
      <c r="V302" s="559" t="s">
        <v>9334</v>
      </c>
      <c r="W302" s="559" t="s">
        <v>477</v>
      </c>
      <c r="X302" s="559" t="s">
        <v>194</v>
      </c>
      <c r="Y302" s="559" t="s">
        <v>9300</v>
      </c>
      <c r="Z302" s="559"/>
      <c r="AA302" s="559"/>
      <c r="AB302" s="559" t="s">
        <v>9311</v>
      </c>
      <c r="AC302" s="559"/>
      <c r="AD302" s="559"/>
      <c r="AE302" s="559"/>
      <c r="AF302" s="559"/>
      <c r="AG302" s="559"/>
      <c r="AH302" s="559" t="s">
        <v>4714</v>
      </c>
      <c r="AI302" s="559" t="s">
        <v>15100</v>
      </c>
      <c r="AJ302" s="601" t="str">
        <f t="shared" si="8"/>
        <v>243305</v>
      </c>
      <c r="AK302" s="601">
        <v>1</v>
      </c>
      <c r="AL302" s="601">
        <f t="shared" si="9"/>
        <v>1</v>
      </c>
      <c r="AM302" s="601">
        <v>1</v>
      </c>
      <c r="AN302" s="603" t="s">
        <v>17650</v>
      </c>
      <c r="AO302" s="603" t="s">
        <v>17651</v>
      </c>
      <c r="AP302" s="603" t="s">
        <v>17652</v>
      </c>
      <c r="AQ302" s="603" t="s">
        <v>17653</v>
      </c>
      <c r="AR302" s="603" t="s">
        <v>1024</v>
      </c>
      <c r="AS302" s="559">
        <v>1</v>
      </c>
    </row>
    <row r="303" spans="1:45" x14ac:dyDescent="0.2">
      <c r="A303" s="559" t="s">
        <v>24241</v>
      </c>
      <c r="B303" s="559" t="s">
        <v>15100</v>
      </c>
      <c r="C303" s="559" t="s">
        <v>85</v>
      </c>
      <c r="D303" s="559" t="s">
        <v>23700</v>
      </c>
      <c r="E303" s="559" t="s">
        <v>192</v>
      </c>
      <c r="F303" s="564">
        <v>1</v>
      </c>
      <c r="G303" s="559" t="s">
        <v>193</v>
      </c>
      <c r="H303" s="559" t="s">
        <v>194</v>
      </c>
      <c r="I303" s="559" t="s">
        <v>23139</v>
      </c>
      <c r="J303" s="559" t="s">
        <v>316</v>
      </c>
      <c r="K303" s="559" t="s">
        <v>9309</v>
      </c>
      <c r="L303" s="559" t="s">
        <v>6955</v>
      </c>
      <c r="M303" s="559"/>
      <c r="N303" s="559" t="s">
        <v>24257</v>
      </c>
      <c r="O303" s="559" t="s">
        <v>6254</v>
      </c>
      <c r="P303" s="559" t="s">
        <v>23916</v>
      </c>
      <c r="Q303" s="559" t="s">
        <v>23614</v>
      </c>
      <c r="R303" s="559" t="s">
        <v>23917</v>
      </c>
      <c r="S303" s="559" t="s">
        <v>24258</v>
      </c>
      <c r="T303" s="559" t="s">
        <v>24259</v>
      </c>
      <c r="U303" s="559"/>
      <c r="V303" s="559" t="s">
        <v>10012</v>
      </c>
      <c r="W303" s="559" t="s">
        <v>477</v>
      </c>
      <c r="X303" s="559" t="s">
        <v>194</v>
      </c>
      <c r="Y303" s="559" t="s">
        <v>9300</v>
      </c>
      <c r="Z303" s="559"/>
      <c r="AA303" s="559"/>
      <c r="AB303" s="559" t="s">
        <v>9311</v>
      </c>
      <c r="AC303" s="559"/>
      <c r="AD303" s="559"/>
      <c r="AE303" s="559"/>
      <c r="AF303" s="559"/>
      <c r="AG303" s="559"/>
      <c r="AH303" s="559" t="s">
        <v>4714</v>
      </c>
      <c r="AI303" s="559" t="s">
        <v>15100</v>
      </c>
      <c r="AJ303" s="601" t="str">
        <f t="shared" si="8"/>
        <v>243305</v>
      </c>
      <c r="AK303" s="601">
        <v>1</v>
      </c>
      <c r="AL303" s="601">
        <f t="shared" si="9"/>
        <v>1</v>
      </c>
      <c r="AM303" s="601">
        <v>1</v>
      </c>
      <c r="AN303" s="603" t="s">
        <v>17650</v>
      </c>
      <c r="AO303" s="603" t="s">
        <v>17651</v>
      </c>
      <c r="AP303" s="603" t="s">
        <v>17652</v>
      </c>
      <c r="AQ303" s="603" t="s">
        <v>17653</v>
      </c>
      <c r="AR303" s="603" t="s">
        <v>1024</v>
      </c>
      <c r="AS303" s="559">
        <v>1</v>
      </c>
    </row>
    <row r="304" spans="1:45" x14ac:dyDescent="0.2">
      <c r="A304" s="559" t="s">
        <v>18002</v>
      </c>
      <c r="B304" s="559" t="s">
        <v>24260</v>
      </c>
      <c r="C304" s="559" t="s">
        <v>727</v>
      </c>
      <c r="D304" s="559" t="s">
        <v>23700</v>
      </c>
      <c r="E304" s="559" t="s">
        <v>192</v>
      </c>
      <c r="F304" s="564">
        <v>1</v>
      </c>
      <c r="G304" s="559" t="s">
        <v>193</v>
      </c>
      <c r="H304" s="559" t="s">
        <v>194</v>
      </c>
      <c r="I304" s="559" t="s">
        <v>23158</v>
      </c>
      <c r="J304" s="559" t="s">
        <v>309</v>
      </c>
      <c r="K304" s="559" t="s">
        <v>9309</v>
      </c>
      <c r="L304" s="559" t="s">
        <v>6955</v>
      </c>
      <c r="M304" s="559"/>
      <c r="N304" s="559" t="s">
        <v>24261</v>
      </c>
      <c r="O304" s="559" t="s">
        <v>6343</v>
      </c>
      <c r="P304" s="559" t="s">
        <v>23916</v>
      </c>
      <c r="Q304" s="559" t="s">
        <v>23614</v>
      </c>
      <c r="R304" s="559" t="s">
        <v>23917</v>
      </c>
      <c r="S304" s="559" t="s">
        <v>24262</v>
      </c>
      <c r="T304" s="559" t="s">
        <v>24263</v>
      </c>
      <c r="U304" s="559"/>
      <c r="V304" s="559" t="s">
        <v>9518</v>
      </c>
      <c r="W304" s="559" t="s">
        <v>728</v>
      </c>
      <c r="X304" s="559" t="s">
        <v>194</v>
      </c>
      <c r="Y304" s="559" t="s">
        <v>9300</v>
      </c>
      <c r="Z304" s="559"/>
      <c r="AA304" s="559"/>
      <c r="AB304" s="559" t="s">
        <v>9311</v>
      </c>
      <c r="AC304" s="559"/>
      <c r="AD304" s="559"/>
      <c r="AE304" s="559"/>
      <c r="AF304" s="559"/>
      <c r="AG304" s="559"/>
      <c r="AH304" s="559" t="s">
        <v>4714</v>
      </c>
      <c r="AI304" s="559" t="s">
        <v>24260</v>
      </c>
      <c r="AJ304" s="601" t="str">
        <f t="shared" si="8"/>
        <v>512001</v>
      </c>
      <c r="AK304" s="601">
        <v>1</v>
      </c>
      <c r="AL304" s="601">
        <f t="shared" si="9"/>
        <v>1</v>
      </c>
      <c r="AM304" s="601">
        <v>1</v>
      </c>
      <c r="AN304" s="603" t="s">
        <v>17650</v>
      </c>
      <c r="AO304" s="603" t="s">
        <v>17651</v>
      </c>
      <c r="AP304" s="603" t="s">
        <v>17652</v>
      </c>
      <c r="AQ304" s="603" t="s">
        <v>17653</v>
      </c>
      <c r="AR304" s="603" t="s">
        <v>1024</v>
      </c>
      <c r="AS304" s="559">
        <v>1</v>
      </c>
    </row>
    <row r="305" spans="1:45" x14ac:dyDescent="0.2">
      <c r="A305" s="559" t="s">
        <v>5393</v>
      </c>
      <c r="B305" s="559" t="s">
        <v>24264</v>
      </c>
      <c r="C305" s="559" t="s">
        <v>1851</v>
      </c>
      <c r="D305" s="559" t="s">
        <v>23700</v>
      </c>
      <c r="E305" s="559" t="s">
        <v>192</v>
      </c>
      <c r="F305" s="564">
        <v>1</v>
      </c>
      <c r="G305" s="559" t="s">
        <v>193</v>
      </c>
      <c r="H305" s="559" t="s">
        <v>194</v>
      </c>
      <c r="I305" s="559" t="s">
        <v>23307</v>
      </c>
      <c r="J305" s="559" t="s">
        <v>210</v>
      </c>
      <c r="K305" s="559" t="s">
        <v>9309</v>
      </c>
      <c r="L305" s="559" t="s">
        <v>6955</v>
      </c>
      <c r="M305" s="559"/>
      <c r="N305" s="559" t="s">
        <v>24265</v>
      </c>
      <c r="O305" s="559" t="s">
        <v>6254</v>
      </c>
      <c r="P305" s="559" t="s">
        <v>23916</v>
      </c>
      <c r="Q305" s="559" t="s">
        <v>23614</v>
      </c>
      <c r="R305" s="559" t="s">
        <v>23917</v>
      </c>
      <c r="S305" s="559" t="s">
        <v>24266</v>
      </c>
      <c r="T305" s="559" t="s">
        <v>24267</v>
      </c>
      <c r="U305" s="559"/>
      <c r="V305" s="559" t="s">
        <v>9334</v>
      </c>
      <c r="W305" s="559" t="s">
        <v>1852</v>
      </c>
      <c r="X305" s="559" t="s">
        <v>194</v>
      </c>
      <c r="Y305" s="559" t="s">
        <v>9300</v>
      </c>
      <c r="Z305" s="559"/>
      <c r="AA305" s="559"/>
      <c r="AB305" s="559" t="s">
        <v>9311</v>
      </c>
      <c r="AC305" s="559"/>
      <c r="AD305" s="559"/>
      <c r="AE305" s="559"/>
      <c r="AF305" s="559"/>
      <c r="AG305" s="559"/>
      <c r="AH305" s="559" t="s">
        <v>4714</v>
      </c>
      <c r="AI305" s="559" t="s">
        <v>24264</v>
      </c>
      <c r="AJ305" s="601" t="str">
        <f t="shared" si="8"/>
        <v>112014</v>
      </c>
      <c r="AK305" s="601">
        <v>1</v>
      </c>
      <c r="AL305" s="601">
        <f t="shared" si="9"/>
        <v>1</v>
      </c>
      <c r="AM305" s="601">
        <v>1</v>
      </c>
      <c r="AN305" s="603" t="s">
        <v>17650</v>
      </c>
      <c r="AO305" s="603" t="s">
        <v>17651</v>
      </c>
      <c r="AP305" s="603" t="s">
        <v>17652</v>
      </c>
      <c r="AQ305" s="603" t="s">
        <v>17653</v>
      </c>
      <c r="AR305" s="603" t="s">
        <v>1024</v>
      </c>
      <c r="AS305" s="559">
        <v>1</v>
      </c>
    </row>
    <row r="306" spans="1:45" x14ac:dyDescent="0.2">
      <c r="A306" s="559" t="s">
        <v>5393</v>
      </c>
      <c r="B306" s="559" t="s">
        <v>24264</v>
      </c>
      <c r="C306" s="559" t="s">
        <v>1851</v>
      </c>
      <c r="D306" s="559" t="s">
        <v>23700</v>
      </c>
      <c r="E306" s="559" t="s">
        <v>192</v>
      </c>
      <c r="F306" s="564">
        <v>1</v>
      </c>
      <c r="G306" s="559" t="s">
        <v>193</v>
      </c>
      <c r="H306" s="559" t="s">
        <v>194</v>
      </c>
      <c r="I306" s="559" t="s">
        <v>23307</v>
      </c>
      <c r="J306" s="559" t="s">
        <v>316</v>
      </c>
      <c r="K306" s="559" t="s">
        <v>9309</v>
      </c>
      <c r="L306" s="559" t="s">
        <v>6955</v>
      </c>
      <c r="M306" s="559"/>
      <c r="N306" s="559" t="s">
        <v>24268</v>
      </c>
      <c r="O306" s="559" t="s">
        <v>6254</v>
      </c>
      <c r="P306" s="559" t="s">
        <v>23916</v>
      </c>
      <c r="Q306" s="559" t="s">
        <v>23614</v>
      </c>
      <c r="R306" s="559" t="s">
        <v>23917</v>
      </c>
      <c r="S306" s="559" t="s">
        <v>24269</v>
      </c>
      <c r="T306" s="559" t="s">
        <v>24270</v>
      </c>
      <c r="U306" s="559"/>
      <c r="V306" s="559" t="s">
        <v>10012</v>
      </c>
      <c r="W306" s="559" t="s">
        <v>1852</v>
      </c>
      <c r="X306" s="559" t="s">
        <v>194</v>
      </c>
      <c r="Y306" s="559" t="s">
        <v>9300</v>
      </c>
      <c r="Z306" s="559"/>
      <c r="AA306" s="559"/>
      <c r="AB306" s="559" t="s">
        <v>9311</v>
      </c>
      <c r="AC306" s="559"/>
      <c r="AD306" s="559"/>
      <c r="AE306" s="559"/>
      <c r="AF306" s="559"/>
      <c r="AG306" s="559"/>
      <c r="AH306" s="559" t="s">
        <v>4714</v>
      </c>
      <c r="AI306" s="559" t="s">
        <v>24264</v>
      </c>
      <c r="AJ306" s="601" t="str">
        <f t="shared" si="8"/>
        <v>112014</v>
      </c>
      <c r="AK306" s="601">
        <v>1</v>
      </c>
      <c r="AL306" s="601">
        <f t="shared" si="9"/>
        <v>1</v>
      </c>
      <c r="AM306" s="601">
        <v>1</v>
      </c>
      <c r="AN306" s="603" t="s">
        <v>17650</v>
      </c>
      <c r="AO306" s="603" t="s">
        <v>17651</v>
      </c>
      <c r="AP306" s="603" t="s">
        <v>17652</v>
      </c>
      <c r="AQ306" s="603" t="s">
        <v>17653</v>
      </c>
      <c r="AR306" s="603" t="s">
        <v>1024</v>
      </c>
      <c r="AS306" s="559">
        <v>1</v>
      </c>
    </row>
    <row r="307" spans="1:45" x14ac:dyDescent="0.2">
      <c r="A307" s="559" t="s">
        <v>5393</v>
      </c>
      <c r="B307" s="559" t="s">
        <v>24264</v>
      </c>
      <c r="C307" s="559" t="s">
        <v>1851</v>
      </c>
      <c r="D307" s="559" t="s">
        <v>23700</v>
      </c>
      <c r="E307" s="559" t="s">
        <v>192</v>
      </c>
      <c r="F307" s="564">
        <v>1</v>
      </c>
      <c r="G307" s="559" t="s">
        <v>193</v>
      </c>
      <c r="H307" s="559" t="s">
        <v>194</v>
      </c>
      <c r="I307" s="559" t="s">
        <v>23307</v>
      </c>
      <c r="J307" s="559" t="s">
        <v>408</v>
      </c>
      <c r="K307" s="559" t="s">
        <v>9309</v>
      </c>
      <c r="L307" s="559" t="s">
        <v>6955</v>
      </c>
      <c r="M307" s="559"/>
      <c r="N307" s="559" t="s">
        <v>24271</v>
      </c>
      <c r="O307" s="559" t="s">
        <v>6254</v>
      </c>
      <c r="P307" s="559" t="s">
        <v>23916</v>
      </c>
      <c r="Q307" s="559" t="s">
        <v>23614</v>
      </c>
      <c r="R307" s="559" t="s">
        <v>23917</v>
      </c>
      <c r="S307" s="559" t="s">
        <v>24272</v>
      </c>
      <c r="T307" s="559" t="s">
        <v>24273</v>
      </c>
      <c r="U307" s="559"/>
      <c r="V307" s="559" t="s">
        <v>9479</v>
      </c>
      <c r="W307" s="559" t="s">
        <v>1852</v>
      </c>
      <c r="X307" s="559" t="s">
        <v>194</v>
      </c>
      <c r="Y307" s="559" t="s">
        <v>9300</v>
      </c>
      <c r="Z307" s="559"/>
      <c r="AA307" s="559"/>
      <c r="AB307" s="559" t="s">
        <v>9311</v>
      </c>
      <c r="AC307" s="559"/>
      <c r="AD307" s="559"/>
      <c r="AE307" s="559"/>
      <c r="AF307" s="559"/>
      <c r="AG307" s="559"/>
      <c r="AH307" s="559" t="s">
        <v>4714</v>
      </c>
      <c r="AI307" s="559" t="s">
        <v>24264</v>
      </c>
      <c r="AJ307" s="601" t="str">
        <f t="shared" si="8"/>
        <v>112014</v>
      </c>
      <c r="AK307" s="601">
        <v>1</v>
      </c>
      <c r="AL307" s="601">
        <f t="shared" si="9"/>
        <v>1</v>
      </c>
      <c r="AM307" s="601">
        <v>1</v>
      </c>
      <c r="AN307" s="603" t="s">
        <v>17650</v>
      </c>
      <c r="AO307" s="603" t="s">
        <v>17651</v>
      </c>
      <c r="AP307" s="603" t="s">
        <v>17652</v>
      </c>
      <c r="AQ307" s="603" t="s">
        <v>17653</v>
      </c>
      <c r="AR307" s="603" t="s">
        <v>1024</v>
      </c>
      <c r="AS307" s="559">
        <v>1</v>
      </c>
    </row>
    <row r="308" spans="1:45" x14ac:dyDescent="0.2">
      <c r="A308" s="559" t="s">
        <v>18002</v>
      </c>
      <c r="B308" s="559" t="s">
        <v>24274</v>
      </c>
      <c r="C308" s="559" t="s">
        <v>727</v>
      </c>
      <c r="D308" s="559" t="s">
        <v>23700</v>
      </c>
      <c r="E308" s="559" t="s">
        <v>192</v>
      </c>
      <c r="F308" s="564">
        <v>1</v>
      </c>
      <c r="G308" s="559" t="s">
        <v>193</v>
      </c>
      <c r="H308" s="559" t="s">
        <v>194</v>
      </c>
      <c r="I308" s="559" t="s">
        <v>23158</v>
      </c>
      <c r="J308" s="559" t="s">
        <v>316</v>
      </c>
      <c r="K308" s="559" t="s">
        <v>9309</v>
      </c>
      <c r="L308" s="559" t="s">
        <v>6955</v>
      </c>
      <c r="M308" s="559"/>
      <c r="N308" s="559" t="s">
        <v>24275</v>
      </c>
      <c r="O308" s="559" t="s">
        <v>6343</v>
      </c>
      <c r="P308" s="559" t="s">
        <v>23916</v>
      </c>
      <c r="Q308" s="559" t="s">
        <v>23614</v>
      </c>
      <c r="R308" s="559" t="s">
        <v>23917</v>
      </c>
      <c r="S308" s="559" t="s">
        <v>24276</v>
      </c>
      <c r="T308" s="559" t="s">
        <v>24277</v>
      </c>
      <c r="U308" s="559"/>
      <c r="V308" s="559" t="s">
        <v>10012</v>
      </c>
      <c r="W308" s="559" t="s">
        <v>728</v>
      </c>
      <c r="X308" s="559" t="s">
        <v>194</v>
      </c>
      <c r="Y308" s="559" t="s">
        <v>9300</v>
      </c>
      <c r="Z308" s="559"/>
      <c r="AA308" s="559"/>
      <c r="AB308" s="559" t="s">
        <v>9311</v>
      </c>
      <c r="AC308" s="559"/>
      <c r="AD308" s="559"/>
      <c r="AE308" s="559"/>
      <c r="AF308" s="559"/>
      <c r="AG308" s="559"/>
      <c r="AH308" s="559" t="s">
        <v>4714</v>
      </c>
      <c r="AI308" s="559" t="s">
        <v>24274</v>
      </c>
      <c r="AJ308" s="601" t="str">
        <f t="shared" si="8"/>
        <v>512001</v>
      </c>
      <c r="AK308" s="601">
        <v>1</v>
      </c>
      <c r="AL308" s="601">
        <f t="shared" si="9"/>
        <v>1</v>
      </c>
      <c r="AM308" s="601">
        <v>1</v>
      </c>
      <c r="AN308" s="603" t="s">
        <v>17650</v>
      </c>
      <c r="AO308" s="603" t="s">
        <v>17651</v>
      </c>
      <c r="AP308" s="603" t="s">
        <v>17652</v>
      </c>
      <c r="AQ308" s="603" t="s">
        <v>17653</v>
      </c>
      <c r="AR308" s="603" t="s">
        <v>1024</v>
      </c>
      <c r="AS308" s="559">
        <v>1</v>
      </c>
    </row>
    <row r="309" spans="1:45" x14ac:dyDescent="0.2">
      <c r="A309" s="559" t="s">
        <v>24278</v>
      </c>
      <c r="B309" s="559" t="s">
        <v>24279</v>
      </c>
      <c r="C309" s="559" t="s">
        <v>133</v>
      </c>
      <c r="D309" s="559" t="s">
        <v>23700</v>
      </c>
      <c r="E309" s="559" t="s">
        <v>192</v>
      </c>
      <c r="F309" s="564">
        <v>1</v>
      </c>
      <c r="G309" s="559" t="s">
        <v>193</v>
      </c>
      <c r="H309" s="559" t="s">
        <v>194</v>
      </c>
      <c r="I309" s="559" t="s">
        <v>23164</v>
      </c>
      <c r="J309" s="559" t="s">
        <v>210</v>
      </c>
      <c r="K309" s="559" t="s">
        <v>9309</v>
      </c>
      <c r="L309" s="559" t="s">
        <v>6955</v>
      </c>
      <c r="M309" s="559"/>
      <c r="N309" s="559" t="s">
        <v>24280</v>
      </c>
      <c r="O309" s="559" t="s">
        <v>6275</v>
      </c>
      <c r="P309" s="559" t="s">
        <v>23916</v>
      </c>
      <c r="Q309" s="559" t="s">
        <v>23614</v>
      </c>
      <c r="R309" s="559" t="s">
        <v>23917</v>
      </c>
      <c r="S309" s="559" t="s">
        <v>24281</v>
      </c>
      <c r="T309" s="559" t="s">
        <v>24282</v>
      </c>
      <c r="U309" s="559"/>
      <c r="V309" s="559" t="s">
        <v>9334</v>
      </c>
      <c r="W309" s="559" t="s">
        <v>673</v>
      </c>
      <c r="X309" s="559" t="s">
        <v>194</v>
      </c>
      <c r="Y309" s="559" t="s">
        <v>9300</v>
      </c>
      <c r="Z309" s="559"/>
      <c r="AA309" s="559"/>
      <c r="AB309" s="559" t="s">
        <v>9311</v>
      </c>
      <c r="AC309" s="559"/>
      <c r="AD309" s="559"/>
      <c r="AE309" s="559"/>
      <c r="AF309" s="559"/>
      <c r="AG309" s="559"/>
      <c r="AH309" s="559" t="s">
        <v>4714</v>
      </c>
      <c r="AI309" s="559" t="s">
        <v>24279</v>
      </c>
      <c r="AJ309" s="601" t="str">
        <f t="shared" si="8"/>
        <v>333107</v>
      </c>
      <c r="AK309" s="601">
        <v>1</v>
      </c>
      <c r="AL309" s="601">
        <f t="shared" si="9"/>
        <v>1</v>
      </c>
      <c r="AM309" s="601">
        <v>1</v>
      </c>
      <c r="AN309" s="603" t="s">
        <v>17650</v>
      </c>
      <c r="AO309" s="603" t="s">
        <v>17651</v>
      </c>
      <c r="AP309" s="603" t="s">
        <v>17652</v>
      </c>
      <c r="AQ309" s="603" t="s">
        <v>17653</v>
      </c>
      <c r="AR309" s="603" t="s">
        <v>1024</v>
      </c>
      <c r="AS309" s="559">
        <v>1</v>
      </c>
    </row>
    <row r="310" spans="1:45" x14ac:dyDescent="0.2">
      <c r="A310" s="559" t="s">
        <v>7376</v>
      </c>
      <c r="B310" s="559" t="s">
        <v>24283</v>
      </c>
      <c r="C310" s="559" t="s">
        <v>17</v>
      </c>
      <c r="D310" s="559" t="s">
        <v>23700</v>
      </c>
      <c r="E310" s="559" t="s">
        <v>192</v>
      </c>
      <c r="F310" s="564">
        <v>1</v>
      </c>
      <c r="G310" s="559" t="s">
        <v>193</v>
      </c>
      <c r="H310" s="559" t="s">
        <v>194</v>
      </c>
      <c r="I310" s="559" t="s">
        <v>23139</v>
      </c>
      <c r="J310" s="559" t="s">
        <v>7378</v>
      </c>
      <c r="K310" s="559" t="s">
        <v>9309</v>
      </c>
      <c r="L310" s="559" t="s">
        <v>6955</v>
      </c>
      <c r="M310" s="559"/>
      <c r="N310" s="559" t="s">
        <v>24284</v>
      </c>
      <c r="O310" s="559" t="s">
        <v>6921</v>
      </c>
      <c r="P310" s="559" t="s">
        <v>23916</v>
      </c>
      <c r="Q310" s="559" t="s">
        <v>23614</v>
      </c>
      <c r="R310" s="559" t="s">
        <v>23917</v>
      </c>
      <c r="S310" s="559" t="s">
        <v>24285</v>
      </c>
      <c r="T310" s="559" t="s">
        <v>24286</v>
      </c>
      <c r="U310" s="559"/>
      <c r="V310" s="559" t="s">
        <v>9892</v>
      </c>
      <c r="W310" s="559" t="s">
        <v>624</v>
      </c>
      <c r="X310" s="559" t="s">
        <v>194</v>
      </c>
      <c r="Y310" s="559" t="s">
        <v>9300</v>
      </c>
      <c r="Z310" s="559"/>
      <c r="AA310" s="559"/>
      <c r="AB310" s="559" t="s">
        <v>9311</v>
      </c>
      <c r="AC310" s="559"/>
      <c r="AD310" s="559"/>
      <c r="AE310" s="559"/>
      <c r="AF310" s="559"/>
      <c r="AG310" s="559"/>
      <c r="AH310" s="559" t="s">
        <v>4714</v>
      </c>
      <c r="AI310" s="559" t="s">
        <v>24283</v>
      </c>
      <c r="AJ310" s="601" t="str">
        <f t="shared" si="8"/>
        <v>332203</v>
      </c>
      <c r="AK310" s="601">
        <v>1</v>
      </c>
      <c r="AL310" s="601">
        <f t="shared" si="9"/>
        <v>1</v>
      </c>
      <c r="AM310" s="601">
        <v>1</v>
      </c>
      <c r="AN310" s="603" t="s">
        <v>17650</v>
      </c>
      <c r="AO310" s="603" t="s">
        <v>17651</v>
      </c>
      <c r="AP310" s="603" t="s">
        <v>17652</v>
      </c>
      <c r="AQ310" s="603" t="s">
        <v>17653</v>
      </c>
      <c r="AR310" s="603" t="s">
        <v>1024</v>
      </c>
      <c r="AS310" s="559">
        <v>1</v>
      </c>
    </row>
    <row r="311" spans="1:45" x14ac:dyDescent="0.2">
      <c r="A311" s="559" t="s">
        <v>24287</v>
      </c>
      <c r="B311" s="559" t="s">
        <v>24288</v>
      </c>
      <c r="C311" s="559" t="s">
        <v>43</v>
      </c>
      <c r="D311" s="559" t="s">
        <v>23700</v>
      </c>
      <c r="E311" s="559" t="s">
        <v>192</v>
      </c>
      <c r="F311" s="564">
        <v>1</v>
      </c>
      <c r="G311" s="559" t="s">
        <v>193</v>
      </c>
      <c r="H311" s="559" t="s">
        <v>194</v>
      </c>
      <c r="I311" s="559" t="s">
        <v>23708</v>
      </c>
      <c r="J311" s="559" t="s">
        <v>210</v>
      </c>
      <c r="K311" s="559" t="s">
        <v>9309</v>
      </c>
      <c r="L311" s="559" t="s">
        <v>6955</v>
      </c>
      <c r="M311" s="559"/>
      <c r="N311" s="559" t="s">
        <v>24289</v>
      </c>
      <c r="O311" s="559" t="s">
        <v>6290</v>
      </c>
      <c r="P311" s="559" t="s">
        <v>24053</v>
      </c>
      <c r="Q311" s="559" t="s">
        <v>4849</v>
      </c>
      <c r="R311" s="559" t="s">
        <v>7703</v>
      </c>
      <c r="S311" s="559" t="s">
        <v>24290</v>
      </c>
      <c r="T311" s="559" t="s">
        <v>24291</v>
      </c>
      <c r="U311" s="559"/>
      <c r="V311" s="559" t="s">
        <v>9334</v>
      </c>
      <c r="W311" s="559" t="s">
        <v>452</v>
      </c>
      <c r="X311" s="559" t="s">
        <v>194</v>
      </c>
      <c r="Y311" s="559" t="s">
        <v>9300</v>
      </c>
      <c r="Z311" s="559"/>
      <c r="AA311" s="559"/>
      <c r="AB311" s="559" t="s">
        <v>9311</v>
      </c>
      <c r="AC311" s="559"/>
      <c r="AD311" s="559"/>
      <c r="AE311" s="559"/>
      <c r="AF311" s="559"/>
      <c r="AG311" s="559"/>
      <c r="AH311" s="559" t="s">
        <v>4714</v>
      </c>
      <c r="AI311" s="559" t="s">
        <v>24288</v>
      </c>
      <c r="AJ311" s="601" t="str">
        <f t="shared" si="8"/>
        <v>243106</v>
      </c>
      <c r="AK311" s="601">
        <v>1</v>
      </c>
      <c r="AL311" s="601">
        <f t="shared" si="9"/>
        <v>1</v>
      </c>
      <c r="AM311" s="601">
        <v>1</v>
      </c>
      <c r="AN311" s="603" t="s">
        <v>17650</v>
      </c>
      <c r="AO311" s="603" t="s">
        <v>17651</v>
      </c>
      <c r="AP311" s="603" t="s">
        <v>17652</v>
      </c>
      <c r="AQ311" s="603" t="s">
        <v>17653</v>
      </c>
      <c r="AR311" s="603" t="s">
        <v>1024</v>
      </c>
      <c r="AS311" s="559">
        <v>1</v>
      </c>
    </row>
    <row r="312" spans="1:45" x14ac:dyDescent="0.2">
      <c r="A312" s="559" t="s">
        <v>24292</v>
      </c>
      <c r="B312" s="559" t="s">
        <v>24293</v>
      </c>
      <c r="C312" s="559" t="s">
        <v>5445</v>
      </c>
      <c r="D312" s="559" t="s">
        <v>23700</v>
      </c>
      <c r="E312" s="559" t="s">
        <v>192</v>
      </c>
      <c r="F312" s="564">
        <v>1</v>
      </c>
      <c r="G312" s="559" t="s">
        <v>193</v>
      </c>
      <c r="H312" s="559" t="s">
        <v>194</v>
      </c>
      <c r="I312" s="559" t="s">
        <v>23708</v>
      </c>
      <c r="J312" s="559" t="s">
        <v>210</v>
      </c>
      <c r="K312" s="559" t="s">
        <v>9309</v>
      </c>
      <c r="L312" s="559" t="s">
        <v>6955</v>
      </c>
      <c r="M312" s="559"/>
      <c r="N312" s="559" t="s">
        <v>24294</v>
      </c>
      <c r="O312" s="559" t="s">
        <v>6245</v>
      </c>
      <c r="P312" s="559" t="s">
        <v>23916</v>
      </c>
      <c r="Q312" s="559" t="s">
        <v>23614</v>
      </c>
      <c r="R312" s="559" t="s">
        <v>23917</v>
      </c>
      <c r="S312" s="559" t="s">
        <v>24295</v>
      </c>
      <c r="T312" s="559" t="s">
        <v>24296</v>
      </c>
      <c r="U312" s="559"/>
      <c r="V312" s="559" t="s">
        <v>9334</v>
      </c>
      <c r="W312" s="559" t="s">
        <v>1571</v>
      </c>
      <c r="X312" s="559" t="s">
        <v>194</v>
      </c>
      <c r="Y312" s="559" t="s">
        <v>9300</v>
      </c>
      <c r="Z312" s="559"/>
      <c r="AA312" s="559"/>
      <c r="AB312" s="559" t="s">
        <v>9311</v>
      </c>
      <c r="AC312" s="559"/>
      <c r="AD312" s="559"/>
      <c r="AE312" s="559"/>
      <c r="AF312" s="559"/>
      <c r="AG312" s="559"/>
      <c r="AH312" s="559" t="s">
        <v>4714</v>
      </c>
      <c r="AI312" s="559" t="s">
        <v>24293</v>
      </c>
      <c r="AJ312" s="601" t="str">
        <f t="shared" si="8"/>
        <v>214303</v>
      </c>
      <c r="AK312" s="601">
        <v>1</v>
      </c>
      <c r="AL312" s="601">
        <f t="shared" si="9"/>
        <v>1</v>
      </c>
      <c r="AM312" s="601">
        <v>1</v>
      </c>
      <c r="AN312" s="603" t="s">
        <v>17650</v>
      </c>
      <c r="AO312" s="603" t="s">
        <v>17651</v>
      </c>
      <c r="AP312" s="603" t="s">
        <v>17652</v>
      </c>
      <c r="AQ312" s="603" t="s">
        <v>17653</v>
      </c>
      <c r="AR312" s="603" t="s">
        <v>1024</v>
      </c>
      <c r="AS312" s="559">
        <v>1</v>
      </c>
    </row>
    <row r="313" spans="1:45" x14ac:dyDescent="0.2">
      <c r="A313" s="559" t="s">
        <v>14046</v>
      </c>
      <c r="B313" s="559" t="s">
        <v>24297</v>
      </c>
      <c r="C313" s="559" t="s">
        <v>61</v>
      </c>
      <c r="D313" s="559" t="s">
        <v>23700</v>
      </c>
      <c r="E313" s="559" t="s">
        <v>192</v>
      </c>
      <c r="F313" s="564">
        <v>1</v>
      </c>
      <c r="G313" s="559" t="s">
        <v>193</v>
      </c>
      <c r="H313" s="559" t="s">
        <v>194</v>
      </c>
      <c r="I313" s="559" t="s">
        <v>23186</v>
      </c>
      <c r="J313" s="559" t="s">
        <v>210</v>
      </c>
      <c r="K313" s="559" t="s">
        <v>9309</v>
      </c>
      <c r="L313" s="559" t="s">
        <v>6955</v>
      </c>
      <c r="M313" s="559"/>
      <c r="N313" s="559" t="s">
        <v>24298</v>
      </c>
      <c r="O313" s="559" t="s">
        <v>6921</v>
      </c>
      <c r="P313" s="559" t="s">
        <v>23916</v>
      </c>
      <c r="Q313" s="559" t="s">
        <v>23614</v>
      </c>
      <c r="R313" s="559" t="s">
        <v>23917</v>
      </c>
      <c r="S313" s="559" t="s">
        <v>24299</v>
      </c>
      <c r="T313" s="559" t="s">
        <v>24300</v>
      </c>
      <c r="U313" s="559"/>
      <c r="V313" s="559" t="s">
        <v>9334</v>
      </c>
      <c r="W313" s="559" t="s">
        <v>2282</v>
      </c>
      <c r="X313" s="559" t="s">
        <v>194</v>
      </c>
      <c r="Y313" s="559" t="s">
        <v>9300</v>
      </c>
      <c r="Z313" s="559"/>
      <c r="AA313" s="559"/>
      <c r="AB313" s="559" t="s">
        <v>9311</v>
      </c>
      <c r="AC313" s="559"/>
      <c r="AD313" s="559"/>
      <c r="AE313" s="559"/>
      <c r="AF313" s="559"/>
      <c r="AG313" s="559"/>
      <c r="AH313" s="559" t="s">
        <v>4714</v>
      </c>
      <c r="AI313" s="559" t="s">
        <v>24297</v>
      </c>
      <c r="AJ313" s="601" t="str">
        <f t="shared" si="8"/>
        <v>251103</v>
      </c>
      <c r="AK313" s="601">
        <v>1</v>
      </c>
      <c r="AL313" s="601">
        <f t="shared" si="9"/>
        <v>1</v>
      </c>
      <c r="AM313" s="601">
        <v>1</v>
      </c>
      <c r="AN313" s="603" t="s">
        <v>17650</v>
      </c>
      <c r="AO313" s="603" t="s">
        <v>17651</v>
      </c>
      <c r="AP313" s="603" t="s">
        <v>17652</v>
      </c>
      <c r="AQ313" s="603" t="s">
        <v>17653</v>
      </c>
      <c r="AR313" s="603" t="s">
        <v>1024</v>
      </c>
      <c r="AS313" s="559">
        <v>1</v>
      </c>
    </row>
    <row r="314" spans="1:45" x14ac:dyDescent="0.2">
      <c r="A314" s="559" t="s">
        <v>413</v>
      </c>
      <c r="B314" s="559" t="s">
        <v>24301</v>
      </c>
      <c r="C314" s="559" t="s">
        <v>4966</v>
      </c>
      <c r="D314" s="559" t="s">
        <v>23700</v>
      </c>
      <c r="E314" s="559" t="s">
        <v>192</v>
      </c>
      <c r="F314" s="564">
        <v>1</v>
      </c>
      <c r="G314" s="559" t="s">
        <v>193</v>
      </c>
      <c r="H314" s="559" t="s">
        <v>194</v>
      </c>
      <c r="I314" s="559" t="s">
        <v>23186</v>
      </c>
      <c r="J314" s="559" t="s">
        <v>210</v>
      </c>
      <c r="K314" s="559" t="s">
        <v>9309</v>
      </c>
      <c r="L314" s="559" t="s">
        <v>6955</v>
      </c>
      <c r="M314" s="559"/>
      <c r="N314" s="559" t="s">
        <v>24302</v>
      </c>
      <c r="O314" s="559" t="s">
        <v>6254</v>
      </c>
      <c r="P314" s="559" t="s">
        <v>23916</v>
      </c>
      <c r="Q314" s="559" t="s">
        <v>23614</v>
      </c>
      <c r="R314" s="559" t="s">
        <v>23927</v>
      </c>
      <c r="S314" s="559" t="s">
        <v>24303</v>
      </c>
      <c r="T314" s="559" t="s">
        <v>24304</v>
      </c>
      <c r="U314" s="559"/>
      <c r="V314" s="559" t="s">
        <v>9334</v>
      </c>
      <c r="W314" s="559" t="s">
        <v>405</v>
      </c>
      <c r="X314" s="559" t="s">
        <v>194</v>
      </c>
      <c r="Y314" s="559" t="s">
        <v>9300</v>
      </c>
      <c r="Z314" s="559"/>
      <c r="AA314" s="559"/>
      <c r="AB314" s="559" t="s">
        <v>9311</v>
      </c>
      <c r="AC314" s="559"/>
      <c r="AD314" s="559"/>
      <c r="AE314" s="559"/>
      <c r="AF314" s="559"/>
      <c r="AG314" s="559"/>
      <c r="AH314" s="559" t="s">
        <v>4714</v>
      </c>
      <c r="AI314" s="559" t="s">
        <v>24301</v>
      </c>
      <c r="AJ314" s="601" t="str">
        <f t="shared" si="8"/>
        <v>241304</v>
      </c>
      <c r="AK314" s="601">
        <v>1</v>
      </c>
      <c r="AL314" s="601">
        <f t="shared" si="9"/>
        <v>1</v>
      </c>
      <c r="AM314" s="601">
        <v>1</v>
      </c>
      <c r="AN314" s="603" t="s">
        <v>17650</v>
      </c>
      <c r="AO314" s="603" t="s">
        <v>17651</v>
      </c>
      <c r="AP314" s="603" t="s">
        <v>17652</v>
      </c>
      <c r="AQ314" s="603" t="s">
        <v>17653</v>
      </c>
      <c r="AR314" s="603" t="s">
        <v>1024</v>
      </c>
      <c r="AS314" s="559">
        <v>1</v>
      </c>
    </row>
    <row r="315" spans="1:45" x14ac:dyDescent="0.2">
      <c r="A315" s="559" t="s">
        <v>1750</v>
      </c>
      <c r="B315" s="559" t="s">
        <v>488</v>
      </c>
      <c r="C315" s="559" t="s">
        <v>10</v>
      </c>
      <c r="D315" s="559" t="s">
        <v>23700</v>
      </c>
      <c r="E315" s="559" t="s">
        <v>192</v>
      </c>
      <c r="F315" s="564">
        <v>1</v>
      </c>
      <c r="G315" s="559" t="s">
        <v>193</v>
      </c>
      <c r="H315" s="559" t="s">
        <v>194</v>
      </c>
      <c r="I315" s="559" t="s">
        <v>23917</v>
      </c>
      <c r="J315" s="559" t="s">
        <v>210</v>
      </c>
      <c r="K315" s="559" t="s">
        <v>9309</v>
      </c>
      <c r="L315" s="559" t="s">
        <v>6955</v>
      </c>
      <c r="M315" s="559"/>
      <c r="N315" s="559" t="s">
        <v>24305</v>
      </c>
      <c r="O315" s="559" t="s">
        <v>6921</v>
      </c>
      <c r="P315" s="559" t="s">
        <v>23916</v>
      </c>
      <c r="Q315" s="559" t="s">
        <v>23614</v>
      </c>
      <c r="R315" s="559" t="s">
        <v>23917</v>
      </c>
      <c r="S315" s="559" t="s">
        <v>24306</v>
      </c>
      <c r="T315" s="559" t="s">
        <v>24307</v>
      </c>
      <c r="U315" s="559"/>
      <c r="V315" s="559" t="s">
        <v>9334</v>
      </c>
      <c r="W315" s="559" t="s">
        <v>484</v>
      </c>
      <c r="X315" s="559" t="s">
        <v>194</v>
      </c>
      <c r="Y315" s="559" t="s">
        <v>9300</v>
      </c>
      <c r="Z315" s="559"/>
      <c r="AA315" s="559"/>
      <c r="AB315" s="559" t="s">
        <v>9311</v>
      </c>
      <c r="AC315" s="559"/>
      <c r="AD315" s="559"/>
      <c r="AE315" s="559"/>
      <c r="AF315" s="559"/>
      <c r="AG315" s="559"/>
      <c r="AH315" s="559" t="s">
        <v>4714</v>
      </c>
      <c r="AI315" s="559" t="s">
        <v>488</v>
      </c>
      <c r="AJ315" s="601" t="str">
        <f t="shared" si="8"/>
        <v>251401</v>
      </c>
      <c r="AK315" s="601">
        <v>1</v>
      </c>
      <c r="AL315" s="601">
        <f t="shared" si="9"/>
        <v>1</v>
      </c>
      <c r="AM315" s="601">
        <v>1</v>
      </c>
      <c r="AN315" s="603" t="s">
        <v>17650</v>
      </c>
      <c r="AO315" s="603" t="s">
        <v>17651</v>
      </c>
      <c r="AP315" s="603" t="s">
        <v>17652</v>
      </c>
      <c r="AQ315" s="603" t="s">
        <v>17653</v>
      </c>
      <c r="AR315" s="603" t="s">
        <v>1024</v>
      </c>
      <c r="AS315" s="559">
        <v>1</v>
      </c>
    </row>
    <row r="316" spans="1:45" x14ac:dyDescent="0.2">
      <c r="A316" s="559" t="s">
        <v>1750</v>
      </c>
      <c r="B316" s="559" t="s">
        <v>488</v>
      </c>
      <c r="C316" s="559" t="s">
        <v>10</v>
      </c>
      <c r="D316" s="559" t="s">
        <v>23700</v>
      </c>
      <c r="E316" s="559" t="s">
        <v>192</v>
      </c>
      <c r="F316" s="564">
        <v>1</v>
      </c>
      <c r="G316" s="559" t="s">
        <v>193</v>
      </c>
      <c r="H316" s="559" t="s">
        <v>194</v>
      </c>
      <c r="I316" s="559" t="s">
        <v>23917</v>
      </c>
      <c r="J316" s="559" t="s">
        <v>385</v>
      </c>
      <c r="K316" s="559" t="s">
        <v>9309</v>
      </c>
      <c r="L316" s="559" t="s">
        <v>6955</v>
      </c>
      <c r="M316" s="559"/>
      <c r="N316" s="559" t="s">
        <v>24308</v>
      </c>
      <c r="O316" s="559" t="s">
        <v>6921</v>
      </c>
      <c r="P316" s="559" t="s">
        <v>23916</v>
      </c>
      <c r="Q316" s="559" t="s">
        <v>23614</v>
      </c>
      <c r="R316" s="559" t="s">
        <v>23917</v>
      </c>
      <c r="S316" s="559" t="s">
        <v>24309</v>
      </c>
      <c r="T316" s="559" t="s">
        <v>24310</v>
      </c>
      <c r="U316" s="559"/>
      <c r="V316" s="559" t="s">
        <v>9410</v>
      </c>
      <c r="W316" s="559" t="s">
        <v>484</v>
      </c>
      <c r="X316" s="559" t="s">
        <v>194</v>
      </c>
      <c r="Y316" s="559" t="s">
        <v>9300</v>
      </c>
      <c r="Z316" s="559"/>
      <c r="AA316" s="559"/>
      <c r="AB316" s="559" t="s">
        <v>9311</v>
      </c>
      <c r="AC316" s="559"/>
      <c r="AD316" s="559"/>
      <c r="AE316" s="559"/>
      <c r="AF316" s="559"/>
      <c r="AG316" s="559"/>
      <c r="AH316" s="559" t="s">
        <v>4714</v>
      </c>
      <c r="AI316" s="559" t="s">
        <v>488</v>
      </c>
      <c r="AJ316" s="601" t="str">
        <f t="shared" si="8"/>
        <v>251401</v>
      </c>
      <c r="AK316" s="601">
        <v>1</v>
      </c>
      <c r="AL316" s="601">
        <f t="shared" si="9"/>
        <v>1</v>
      </c>
      <c r="AM316" s="601">
        <v>1</v>
      </c>
      <c r="AN316" s="603" t="s">
        <v>17650</v>
      </c>
      <c r="AO316" s="603" t="s">
        <v>17651</v>
      </c>
      <c r="AP316" s="603" t="s">
        <v>17652</v>
      </c>
      <c r="AQ316" s="603" t="s">
        <v>17653</v>
      </c>
      <c r="AR316" s="603" t="s">
        <v>1024</v>
      </c>
      <c r="AS316" s="559">
        <v>1</v>
      </c>
    </row>
    <row r="317" spans="1:45" x14ac:dyDescent="0.2">
      <c r="A317" s="559" t="s">
        <v>369</v>
      </c>
      <c r="B317" s="559" t="s">
        <v>24311</v>
      </c>
      <c r="C317" s="559" t="s">
        <v>371</v>
      </c>
      <c r="D317" s="559" t="s">
        <v>23700</v>
      </c>
      <c r="E317" s="559" t="s">
        <v>192</v>
      </c>
      <c r="F317" s="564">
        <v>1</v>
      </c>
      <c r="G317" s="559" t="s">
        <v>193</v>
      </c>
      <c r="H317" s="559" t="s">
        <v>194</v>
      </c>
      <c r="I317" s="559" t="s">
        <v>23186</v>
      </c>
      <c r="J317" s="559" t="s">
        <v>210</v>
      </c>
      <c r="K317" s="559" t="s">
        <v>9309</v>
      </c>
      <c r="L317" s="559" t="s">
        <v>6955</v>
      </c>
      <c r="M317" s="559"/>
      <c r="N317" s="559" t="s">
        <v>24312</v>
      </c>
      <c r="O317" s="559" t="s">
        <v>6245</v>
      </c>
      <c r="P317" s="559" t="s">
        <v>23916</v>
      </c>
      <c r="Q317" s="559" t="s">
        <v>23614</v>
      </c>
      <c r="R317" s="559" t="s">
        <v>23917</v>
      </c>
      <c r="S317" s="559" t="s">
        <v>24313</v>
      </c>
      <c r="T317" s="559" t="s">
        <v>24314</v>
      </c>
      <c r="U317" s="559"/>
      <c r="V317" s="559" t="s">
        <v>9334</v>
      </c>
      <c r="W317" s="559" t="s">
        <v>372</v>
      </c>
      <c r="X317" s="559" t="s">
        <v>194</v>
      </c>
      <c r="Y317" s="559" t="s">
        <v>9300</v>
      </c>
      <c r="Z317" s="559"/>
      <c r="AA317" s="559"/>
      <c r="AB317" s="559" t="s">
        <v>9311</v>
      </c>
      <c r="AC317" s="559"/>
      <c r="AD317" s="559"/>
      <c r="AE317" s="559"/>
      <c r="AF317" s="559"/>
      <c r="AG317" s="559"/>
      <c r="AH317" s="559" t="s">
        <v>4714</v>
      </c>
      <c r="AI317" s="559" t="s">
        <v>24311</v>
      </c>
      <c r="AJ317" s="601" t="str">
        <f t="shared" si="8"/>
        <v>215202</v>
      </c>
      <c r="AK317" s="601">
        <v>1</v>
      </c>
      <c r="AL317" s="601">
        <f t="shared" si="9"/>
        <v>1</v>
      </c>
      <c r="AM317" s="601">
        <v>1</v>
      </c>
      <c r="AN317" s="603" t="s">
        <v>17650</v>
      </c>
      <c r="AO317" s="603" t="s">
        <v>17651</v>
      </c>
      <c r="AP317" s="603" t="s">
        <v>17652</v>
      </c>
      <c r="AQ317" s="603" t="s">
        <v>17653</v>
      </c>
      <c r="AR317" s="603" t="s">
        <v>1024</v>
      </c>
      <c r="AS317" s="559">
        <v>1</v>
      </c>
    </row>
    <row r="318" spans="1:45" x14ac:dyDescent="0.2">
      <c r="A318" s="559" t="s">
        <v>24315</v>
      </c>
      <c r="B318" s="559" t="s">
        <v>24316</v>
      </c>
      <c r="C318" s="559" t="s">
        <v>319</v>
      </c>
      <c r="D318" s="559" t="s">
        <v>23700</v>
      </c>
      <c r="E318" s="559" t="s">
        <v>192</v>
      </c>
      <c r="F318" s="564">
        <v>1</v>
      </c>
      <c r="G318" s="559" t="s">
        <v>193</v>
      </c>
      <c r="H318" s="559" t="s">
        <v>194</v>
      </c>
      <c r="I318" s="559" t="s">
        <v>23186</v>
      </c>
      <c r="J318" s="559" t="s">
        <v>276</v>
      </c>
      <c r="K318" s="559" t="s">
        <v>9309</v>
      </c>
      <c r="L318" s="559" t="s">
        <v>6955</v>
      </c>
      <c r="M318" s="559"/>
      <c r="N318" s="559" t="s">
        <v>24317</v>
      </c>
      <c r="O318" s="559" t="s">
        <v>6245</v>
      </c>
      <c r="P318" s="559" t="s">
        <v>23916</v>
      </c>
      <c r="Q318" s="559" t="s">
        <v>23614</v>
      </c>
      <c r="R318" s="559" t="s">
        <v>23917</v>
      </c>
      <c r="S318" s="559" t="s">
        <v>24318</v>
      </c>
      <c r="T318" s="559" t="s">
        <v>24319</v>
      </c>
      <c r="U318" s="559"/>
      <c r="V318" s="559" t="s">
        <v>9786</v>
      </c>
      <c r="W318" s="559" t="s">
        <v>320</v>
      </c>
      <c r="X318" s="559" t="s">
        <v>194</v>
      </c>
      <c r="Y318" s="559" t="s">
        <v>9300</v>
      </c>
      <c r="Z318" s="559"/>
      <c r="AA318" s="559"/>
      <c r="AB318" s="559" t="s">
        <v>9311</v>
      </c>
      <c r="AC318" s="559"/>
      <c r="AD318" s="559"/>
      <c r="AE318" s="559"/>
      <c r="AF318" s="559"/>
      <c r="AG318" s="559"/>
      <c r="AH318" s="559" t="s">
        <v>4714</v>
      </c>
      <c r="AI318" s="559" t="s">
        <v>24316</v>
      </c>
      <c r="AJ318" s="601" t="str">
        <f t="shared" si="8"/>
        <v>214407</v>
      </c>
      <c r="AK318" s="601">
        <v>1</v>
      </c>
      <c r="AL318" s="601">
        <f t="shared" si="9"/>
        <v>1</v>
      </c>
      <c r="AM318" s="601">
        <v>1</v>
      </c>
      <c r="AN318" s="603" t="s">
        <v>17650</v>
      </c>
      <c r="AO318" s="603" t="s">
        <v>17651</v>
      </c>
      <c r="AP318" s="603" t="s">
        <v>17652</v>
      </c>
      <c r="AQ318" s="603" t="s">
        <v>17653</v>
      </c>
      <c r="AR318" s="603" t="s">
        <v>1024</v>
      </c>
      <c r="AS318" s="559">
        <v>1</v>
      </c>
    </row>
    <row r="319" spans="1:45" x14ac:dyDescent="0.2">
      <c r="A319" s="559" t="s">
        <v>24320</v>
      </c>
      <c r="B319" s="559" t="s">
        <v>13376</v>
      </c>
      <c r="C319" s="559" t="s">
        <v>420</v>
      </c>
      <c r="D319" s="559" t="s">
        <v>23700</v>
      </c>
      <c r="E319" s="559" t="s">
        <v>192</v>
      </c>
      <c r="F319" s="564">
        <v>1</v>
      </c>
      <c r="G319" s="559" t="s">
        <v>193</v>
      </c>
      <c r="H319" s="559" t="s">
        <v>194</v>
      </c>
      <c r="I319" s="559" t="s">
        <v>23708</v>
      </c>
      <c r="J319" s="559" t="s">
        <v>210</v>
      </c>
      <c r="K319" s="559" t="s">
        <v>9309</v>
      </c>
      <c r="L319" s="559" t="s">
        <v>6955</v>
      </c>
      <c r="M319" s="559"/>
      <c r="N319" s="559" t="s">
        <v>24321</v>
      </c>
      <c r="O319" s="559" t="s">
        <v>7531</v>
      </c>
      <c r="P319" s="559" t="s">
        <v>23916</v>
      </c>
      <c r="Q319" s="559" t="s">
        <v>23614</v>
      </c>
      <c r="R319" s="559" t="s">
        <v>23917</v>
      </c>
      <c r="S319" s="559" t="s">
        <v>24322</v>
      </c>
      <c r="T319" s="559" t="s">
        <v>24323</v>
      </c>
      <c r="U319" s="559"/>
      <c r="V319" s="559" t="s">
        <v>9334</v>
      </c>
      <c r="W319" s="559" t="s">
        <v>421</v>
      </c>
      <c r="X319" s="559" t="s">
        <v>194</v>
      </c>
      <c r="Y319" s="559" t="s">
        <v>9300</v>
      </c>
      <c r="Z319" s="559"/>
      <c r="AA319" s="559"/>
      <c r="AB319" s="559" t="s">
        <v>9311</v>
      </c>
      <c r="AC319" s="559"/>
      <c r="AD319" s="559"/>
      <c r="AE319" s="559"/>
      <c r="AF319" s="559"/>
      <c r="AG319" s="559"/>
      <c r="AH319" s="559" t="s">
        <v>4714</v>
      </c>
      <c r="AI319" s="559" t="s">
        <v>13376</v>
      </c>
      <c r="AJ319" s="601" t="str">
        <f t="shared" si="8"/>
        <v>241306</v>
      </c>
      <c r="AK319" s="601">
        <v>1</v>
      </c>
      <c r="AL319" s="601">
        <f t="shared" si="9"/>
        <v>1</v>
      </c>
      <c r="AM319" s="601">
        <v>1</v>
      </c>
      <c r="AN319" s="603" t="s">
        <v>17650</v>
      </c>
      <c r="AO319" s="603" t="s">
        <v>17651</v>
      </c>
      <c r="AP319" s="603" t="s">
        <v>17652</v>
      </c>
      <c r="AQ319" s="603" t="s">
        <v>17653</v>
      </c>
      <c r="AR319" s="603" t="s">
        <v>1024</v>
      </c>
      <c r="AS319" s="559">
        <v>1</v>
      </c>
    </row>
    <row r="320" spans="1:45" x14ac:dyDescent="0.2">
      <c r="A320" s="559" t="s">
        <v>24324</v>
      </c>
      <c r="B320" s="559" t="s">
        <v>1760</v>
      </c>
      <c r="C320" s="559" t="s">
        <v>122</v>
      </c>
      <c r="D320" s="559" t="s">
        <v>23700</v>
      </c>
      <c r="E320" s="559" t="s">
        <v>192</v>
      </c>
      <c r="F320" s="564">
        <v>1</v>
      </c>
      <c r="G320" s="559" t="s">
        <v>193</v>
      </c>
      <c r="H320" s="559" t="s">
        <v>194</v>
      </c>
      <c r="I320" s="559" t="s">
        <v>23164</v>
      </c>
      <c r="J320" s="559" t="s">
        <v>305</v>
      </c>
      <c r="K320" s="559" t="s">
        <v>9309</v>
      </c>
      <c r="L320" s="559" t="s">
        <v>6955</v>
      </c>
      <c r="M320" s="559"/>
      <c r="N320" s="559" t="s">
        <v>24325</v>
      </c>
      <c r="O320" s="559" t="s">
        <v>7489</v>
      </c>
      <c r="P320" s="559" t="s">
        <v>23916</v>
      </c>
      <c r="Q320" s="559" t="s">
        <v>23614</v>
      </c>
      <c r="R320" s="559" t="s">
        <v>23917</v>
      </c>
      <c r="S320" s="559" t="s">
        <v>24326</v>
      </c>
      <c r="T320" s="559" t="s">
        <v>24327</v>
      </c>
      <c r="U320" s="559"/>
      <c r="V320" s="559" t="s">
        <v>9753</v>
      </c>
      <c r="W320" s="559" t="s">
        <v>655</v>
      </c>
      <c r="X320" s="559" t="s">
        <v>194</v>
      </c>
      <c r="Y320" s="559" t="s">
        <v>9300</v>
      </c>
      <c r="Z320" s="559"/>
      <c r="AA320" s="559"/>
      <c r="AB320" s="559" t="s">
        <v>9311</v>
      </c>
      <c r="AC320" s="559"/>
      <c r="AD320" s="559"/>
      <c r="AE320" s="559"/>
      <c r="AF320" s="559"/>
      <c r="AG320" s="559"/>
      <c r="AH320" s="559" t="s">
        <v>4714</v>
      </c>
      <c r="AI320" s="559" t="s">
        <v>1760</v>
      </c>
      <c r="AJ320" s="601" t="str">
        <f t="shared" si="8"/>
        <v>332301</v>
      </c>
      <c r="AK320" s="601">
        <v>1</v>
      </c>
      <c r="AL320" s="601">
        <f t="shared" si="9"/>
        <v>1</v>
      </c>
      <c r="AM320" s="601">
        <v>1</v>
      </c>
      <c r="AN320" s="603" t="s">
        <v>17650</v>
      </c>
      <c r="AO320" s="603" t="s">
        <v>17651</v>
      </c>
      <c r="AP320" s="603" t="s">
        <v>17652</v>
      </c>
      <c r="AQ320" s="603" t="s">
        <v>17653</v>
      </c>
      <c r="AR320" s="603" t="s">
        <v>1024</v>
      </c>
      <c r="AS320" s="559">
        <v>1</v>
      </c>
    </row>
    <row r="321" spans="1:45" x14ac:dyDescent="0.2">
      <c r="A321" s="559" t="s">
        <v>5527</v>
      </c>
      <c r="B321" s="559" t="s">
        <v>24328</v>
      </c>
      <c r="C321" s="559" t="s">
        <v>4966</v>
      </c>
      <c r="D321" s="559" t="s">
        <v>23700</v>
      </c>
      <c r="E321" s="559" t="s">
        <v>192</v>
      </c>
      <c r="F321" s="564">
        <v>1</v>
      </c>
      <c r="G321" s="559" t="s">
        <v>193</v>
      </c>
      <c r="H321" s="559" t="s">
        <v>194</v>
      </c>
      <c r="I321" s="559" t="s">
        <v>23151</v>
      </c>
      <c r="J321" s="559" t="s">
        <v>210</v>
      </c>
      <c r="K321" s="559" t="s">
        <v>9309</v>
      </c>
      <c r="L321" s="559" t="s">
        <v>6955</v>
      </c>
      <c r="M321" s="559"/>
      <c r="N321" s="559" t="s">
        <v>24329</v>
      </c>
      <c r="O321" s="559" t="s">
        <v>6254</v>
      </c>
      <c r="P321" s="559" t="s">
        <v>23916</v>
      </c>
      <c r="Q321" s="559" t="s">
        <v>23614</v>
      </c>
      <c r="R321" s="559" t="s">
        <v>23917</v>
      </c>
      <c r="S321" s="559" t="s">
        <v>24330</v>
      </c>
      <c r="T321" s="559" t="s">
        <v>24331</v>
      </c>
      <c r="U321" s="559"/>
      <c r="V321" s="559" t="s">
        <v>9334</v>
      </c>
      <c r="W321" s="559" t="s">
        <v>405</v>
      </c>
      <c r="X321" s="559" t="s">
        <v>194</v>
      </c>
      <c r="Y321" s="559" t="s">
        <v>9300</v>
      </c>
      <c r="Z321" s="559"/>
      <c r="AA321" s="559"/>
      <c r="AB321" s="559" t="s">
        <v>9311</v>
      </c>
      <c r="AC321" s="559"/>
      <c r="AD321" s="559"/>
      <c r="AE321" s="559"/>
      <c r="AF321" s="559"/>
      <c r="AG321" s="559"/>
      <c r="AH321" s="559" t="s">
        <v>4714</v>
      </c>
      <c r="AI321" s="559" t="s">
        <v>24328</v>
      </c>
      <c r="AJ321" s="601" t="str">
        <f t="shared" si="8"/>
        <v>241304</v>
      </c>
      <c r="AK321" s="601">
        <v>1</v>
      </c>
      <c r="AL321" s="601">
        <f t="shared" si="9"/>
        <v>1</v>
      </c>
      <c r="AM321" s="601">
        <v>1</v>
      </c>
      <c r="AN321" s="603" t="s">
        <v>17650</v>
      </c>
      <c r="AO321" s="603" t="s">
        <v>17651</v>
      </c>
      <c r="AP321" s="603" t="s">
        <v>17652</v>
      </c>
      <c r="AQ321" s="603" t="s">
        <v>17653</v>
      </c>
      <c r="AR321" s="603" t="s">
        <v>1024</v>
      </c>
      <c r="AS321" s="559">
        <v>1</v>
      </c>
    </row>
    <row r="322" spans="1:45" x14ac:dyDescent="0.2">
      <c r="A322" s="559" t="s">
        <v>16063</v>
      </c>
      <c r="B322" s="559" t="s">
        <v>67</v>
      </c>
      <c r="C322" s="559" t="s">
        <v>67</v>
      </c>
      <c r="D322" s="559" t="s">
        <v>23700</v>
      </c>
      <c r="E322" s="559" t="s">
        <v>192</v>
      </c>
      <c r="F322" s="564">
        <v>1</v>
      </c>
      <c r="G322" s="559" t="s">
        <v>193</v>
      </c>
      <c r="H322" s="559" t="s">
        <v>194</v>
      </c>
      <c r="I322" s="559" t="s">
        <v>23151</v>
      </c>
      <c r="J322" s="559" t="s">
        <v>672</v>
      </c>
      <c r="K322" s="559" t="s">
        <v>9309</v>
      </c>
      <c r="L322" s="559" t="s">
        <v>6955</v>
      </c>
      <c r="M322" s="559"/>
      <c r="N322" s="559" t="s">
        <v>24332</v>
      </c>
      <c r="O322" s="559" t="s">
        <v>6275</v>
      </c>
      <c r="P322" s="559" t="s">
        <v>23916</v>
      </c>
      <c r="Q322" s="559" t="s">
        <v>23614</v>
      </c>
      <c r="R322" s="559" t="s">
        <v>23917</v>
      </c>
      <c r="S322" s="559" t="s">
        <v>24333</v>
      </c>
      <c r="T322" s="559" t="s">
        <v>24334</v>
      </c>
      <c r="U322" s="559"/>
      <c r="V322" s="559" t="s">
        <v>9726</v>
      </c>
      <c r="W322" s="559" t="s">
        <v>709</v>
      </c>
      <c r="X322" s="559" t="s">
        <v>194</v>
      </c>
      <c r="Y322" s="559" t="s">
        <v>9300</v>
      </c>
      <c r="Z322" s="559"/>
      <c r="AA322" s="559"/>
      <c r="AB322" s="559" t="s">
        <v>9311</v>
      </c>
      <c r="AC322" s="559"/>
      <c r="AD322" s="559"/>
      <c r="AE322" s="559"/>
      <c r="AF322" s="559"/>
      <c r="AG322" s="559"/>
      <c r="AH322" s="559" t="s">
        <v>4714</v>
      </c>
      <c r="AI322" s="559" t="s">
        <v>67</v>
      </c>
      <c r="AJ322" s="601" t="str">
        <f t="shared" si="8"/>
        <v>432103</v>
      </c>
      <c r="AK322" s="601">
        <v>1</v>
      </c>
      <c r="AL322" s="601">
        <f t="shared" si="9"/>
        <v>1</v>
      </c>
      <c r="AM322" s="601">
        <v>1</v>
      </c>
      <c r="AN322" s="603" t="s">
        <v>17650</v>
      </c>
      <c r="AO322" s="603" t="s">
        <v>17651</v>
      </c>
      <c r="AP322" s="603" t="s">
        <v>17652</v>
      </c>
      <c r="AQ322" s="603" t="s">
        <v>17653</v>
      </c>
      <c r="AR322" s="603" t="s">
        <v>1024</v>
      </c>
      <c r="AS322" s="559">
        <v>1</v>
      </c>
    </row>
    <row r="323" spans="1:45" x14ac:dyDescent="0.2">
      <c r="A323" s="559" t="s">
        <v>615</v>
      </c>
      <c r="B323" s="559" t="s">
        <v>537</v>
      </c>
      <c r="C323" s="559" t="s">
        <v>778</v>
      </c>
      <c r="D323" s="559" t="s">
        <v>23700</v>
      </c>
      <c r="E323" s="559" t="s">
        <v>192</v>
      </c>
      <c r="F323" s="564">
        <v>1</v>
      </c>
      <c r="G323" s="559" t="s">
        <v>193</v>
      </c>
      <c r="H323" s="559" t="s">
        <v>194</v>
      </c>
      <c r="I323" s="559" t="s">
        <v>23151</v>
      </c>
      <c r="J323" s="559" t="s">
        <v>253</v>
      </c>
      <c r="K323" s="559" t="s">
        <v>9309</v>
      </c>
      <c r="L323" s="559" t="s">
        <v>6955</v>
      </c>
      <c r="M323" s="559"/>
      <c r="N323" s="559" t="s">
        <v>24335</v>
      </c>
      <c r="O323" s="559" t="s">
        <v>6254</v>
      </c>
      <c r="P323" s="559" t="s">
        <v>23702</v>
      </c>
      <c r="Q323" s="559" t="s">
        <v>23614</v>
      </c>
      <c r="R323" s="559" t="s">
        <v>23917</v>
      </c>
      <c r="S323" s="559" t="s">
        <v>24336</v>
      </c>
      <c r="T323" s="559" t="s">
        <v>24337</v>
      </c>
      <c r="U323" s="559"/>
      <c r="V323" s="559" t="s">
        <v>9468</v>
      </c>
      <c r="W323" s="559" t="s">
        <v>779</v>
      </c>
      <c r="X323" s="559" t="s">
        <v>194</v>
      </c>
      <c r="Y323" s="559" t="s">
        <v>9300</v>
      </c>
      <c r="Z323" s="559"/>
      <c r="AA323" s="559"/>
      <c r="AB323" s="559" t="s">
        <v>9311</v>
      </c>
      <c r="AC323" s="559"/>
      <c r="AD323" s="559"/>
      <c r="AE323" s="559"/>
      <c r="AF323" s="559"/>
      <c r="AG323" s="559"/>
      <c r="AH323" s="559" t="s">
        <v>4714</v>
      </c>
      <c r="AI323" s="559" t="s">
        <v>778</v>
      </c>
      <c r="AJ323" s="601" t="str">
        <f t="shared" ref="AJ323:AJ386" si="10">MID(W323,8,6)</f>
        <v>524902</v>
      </c>
      <c r="AK323" s="601">
        <v>1</v>
      </c>
      <c r="AL323" s="601">
        <f t="shared" ref="AL323:AL386" si="11">F323</f>
        <v>1</v>
      </c>
      <c r="AM323" s="601">
        <v>1</v>
      </c>
      <c r="AN323" s="603" t="s">
        <v>17650</v>
      </c>
      <c r="AO323" s="603" t="s">
        <v>17651</v>
      </c>
      <c r="AP323" s="603" t="s">
        <v>17652</v>
      </c>
      <c r="AQ323" s="603" t="s">
        <v>17653</v>
      </c>
      <c r="AR323" s="603" t="s">
        <v>1024</v>
      </c>
      <c r="AS323" s="559">
        <v>1</v>
      </c>
    </row>
    <row r="324" spans="1:45" x14ac:dyDescent="0.2">
      <c r="A324" s="559" t="s">
        <v>615</v>
      </c>
      <c r="B324" s="559" t="s">
        <v>537</v>
      </c>
      <c r="C324" s="559" t="s">
        <v>778</v>
      </c>
      <c r="D324" s="559" t="s">
        <v>23700</v>
      </c>
      <c r="E324" s="559" t="s">
        <v>192</v>
      </c>
      <c r="F324" s="564">
        <v>1</v>
      </c>
      <c r="G324" s="559" t="s">
        <v>193</v>
      </c>
      <c r="H324" s="559" t="s">
        <v>194</v>
      </c>
      <c r="I324" s="559" t="s">
        <v>23151</v>
      </c>
      <c r="J324" s="559" t="s">
        <v>385</v>
      </c>
      <c r="K324" s="559" t="s">
        <v>9309</v>
      </c>
      <c r="L324" s="559" t="s">
        <v>6955</v>
      </c>
      <c r="M324" s="559"/>
      <c r="N324" s="559" t="s">
        <v>24338</v>
      </c>
      <c r="O324" s="559" t="s">
        <v>6254</v>
      </c>
      <c r="P324" s="559" t="s">
        <v>23702</v>
      </c>
      <c r="Q324" s="559" t="s">
        <v>23614</v>
      </c>
      <c r="R324" s="559" t="s">
        <v>23917</v>
      </c>
      <c r="S324" s="559" t="s">
        <v>24339</v>
      </c>
      <c r="T324" s="559" t="s">
        <v>24340</v>
      </c>
      <c r="U324" s="559"/>
      <c r="V324" s="559" t="s">
        <v>9410</v>
      </c>
      <c r="W324" s="559" t="s">
        <v>779</v>
      </c>
      <c r="X324" s="559" t="s">
        <v>194</v>
      </c>
      <c r="Y324" s="559" t="s">
        <v>9300</v>
      </c>
      <c r="Z324" s="559"/>
      <c r="AA324" s="559"/>
      <c r="AB324" s="559" t="s">
        <v>9311</v>
      </c>
      <c r="AC324" s="559"/>
      <c r="AD324" s="559"/>
      <c r="AE324" s="559"/>
      <c r="AF324" s="559"/>
      <c r="AG324" s="559"/>
      <c r="AH324" s="559" t="s">
        <v>4714</v>
      </c>
      <c r="AI324" s="559" t="s">
        <v>778</v>
      </c>
      <c r="AJ324" s="601" t="str">
        <f t="shared" si="10"/>
        <v>524902</v>
      </c>
      <c r="AK324" s="601">
        <v>1</v>
      </c>
      <c r="AL324" s="601">
        <f t="shared" si="11"/>
        <v>1</v>
      </c>
      <c r="AM324" s="601">
        <v>1</v>
      </c>
      <c r="AN324" s="603" t="s">
        <v>17650</v>
      </c>
      <c r="AO324" s="603" t="s">
        <v>17651</v>
      </c>
      <c r="AP324" s="603" t="s">
        <v>17652</v>
      </c>
      <c r="AQ324" s="603" t="s">
        <v>17653</v>
      </c>
      <c r="AR324" s="603" t="s">
        <v>1024</v>
      </c>
      <c r="AS324" s="559">
        <v>1</v>
      </c>
    </row>
    <row r="325" spans="1:45" x14ac:dyDescent="0.2">
      <c r="A325" s="559" t="s">
        <v>615</v>
      </c>
      <c r="B325" s="559" t="s">
        <v>537</v>
      </c>
      <c r="C325" s="559" t="s">
        <v>778</v>
      </c>
      <c r="D325" s="559" t="s">
        <v>23700</v>
      </c>
      <c r="E325" s="559" t="s">
        <v>192</v>
      </c>
      <c r="F325" s="564">
        <v>1</v>
      </c>
      <c r="G325" s="559" t="s">
        <v>193</v>
      </c>
      <c r="H325" s="559" t="s">
        <v>194</v>
      </c>
      <c r="I325" s="559" t="s">
        <v>23151</v>
      </c>
      <c r="J325" s="559" t="s">
        <v>4751</v>
      </c>
      <c r="K325" s="559" t="s">
        <v>9309</v>
      </c>
      <c r="L325" s="559" t="s">
        <v>6955</v>
      </c>
      <c r="M325" s="559"/>
      <c r="N325" s="559" t="s">
        <v>24341</v>
      </c>
      <c r="O325" s="559" t="s">
        <v>6254</v>
      </c>
      <c r="P325" s="559" t="s">
        <v>23702</v>
      </c>
      <c r="Q325" s="559" t="s">
        <v>23614</v>
      </c>
      <c r="R325" s="559" t="s">
        <v>23917</v>
      </c>
      <c r="S325" s="559" t="s">
        <v>24342</v>
      </c>
      <c r="T325" s="559" t="s">
        <v>24343</v>
      </c>
      <c r="U325" s="559"/>
      <c r="V325" s="559" t="s">
        <v>9472</v>
      </c>
      <c r="W325" s="559" t="s">
        <v>779</v>
      </c>
      <c r="X325" s="559" t="s">
        <v>194</v>
      </c>
      <c r="Y325" s="559" t="s">
        <v>9300</v>
      </c>
      <c r="Z325" s="559"/>
      <c r="AA325" s="559"/>
      <c r="AB325" s="559" t="s">
        <v>9311</v>
      </c>
      <c r="AC325" s="559"/>
      <c r="AD325" s="559"/>
      <c r="AE325" s="559"/>
      <c r="AF325" s="559"/>
      <c r="AG325" s="559"/>
      <c r="AH325" s="559" t="s">
        <v>4714</v>
      </c>
      <c r="AI325" s="559" t="s">
        <v>778</v>
      </c>
      <c r="AJ325" s="601" t="str">
        <f t="shared" si="10"/>
        <v>524902</v>
      </c>
      <c r="AK325" s="601">
        <v>1</v>
      </c>
      <c r="AL325" s="601">
        <f t="shared" si="11"/>
        <v>1</v>
      </c>
      <c r="AM325" s="601">
        <v>1</v>
      </c>
      <c r="AN325" s="603" t="s">
        <v>17650</v>
      </c>
      <c r="AO325" s="603" t="s">
        <v>17651</v>
      </c>
      <c r="AP325" s="603" t="s">
        <v>17652</v>
      </c>
      <c r="AQ325" s="603" t="s">
        <v>17653</v>
      </c>
      <c r="AR325" s="603" t="s">
        <v>1024</v>
      </c>
      <c r="AS325" s="559">
        <v>1</v>
      </c>
    </row>
    <row r="326" spans="1:45" x14ac:dyDescent="0.2">
      <c r="A326" s="559" t="s">
        <v>615</v>
      </c>
      <c r="B326" s="559" t="s">
        <v>537</v>
      </c>
      <c r="C326" s="559" t="s">
        <v>778</v>
      </c>
      <c r="D326" s="559" t="s">
        <v>23700</v>
      </c>
      <c r="E326" s="559" t="s">
        <v>192</v>
      </c>
      <c r="F326" s="564">
        <v>1</v>
      </c>
      <c r="G326" s="559" t="s">
        <v>193</v>
      </c>
      <c r="H326" s="559" t="s">
        <v>194</v>
      </c>
      <c r="I326" s="559" t="s">
        <v>23151</v>
      </c>
      <c r="J326" s="559" t="s">
        <v>276</v>
      </c>
      <c r="K326" s="559" t="s">
        <v>9309</v>
      </c>
      <c r="L326" s="559" t="s">
        <v>6955</v>
      </c>
      <c r="M326" s="559"/>
      <c r="N326" s="559" t="s">
        <v>24344</v>
      </c>
      <c r="O326" s="559" t="s">
        <v>6254</v>
      </c>
      <c r="P326" s="559" t="s">
        <v>23702</v>
      </c>
      <c r="Q326" s="559" t="s">
        <v>23614</v>
      </c>
      <c r="R326" s="559" t="s">
        <v>23917</v>
      </c>
      <c r="S326" s="559" t="s">
        <v>24345</v>
      </c>
      <c r="T326" s="559" t="s">
        <v>24346</v>
      </c>
      <c r="U326" s="559"/>
      <c r="V326" s="559" t="s">
        <v>9786</v>
      </c>
      <c r="W326" s="559" t="s">
        <v>779</v>
      </c>
      <c r="X326" s="559" t="s">
        <v>194</v>
      </c>
      <c r="Y326" s="559" t="s">
        <v>9300</v>
      </c>
      <c r="Z326" s="559"/>
      <c r="AA326" s="559"/>
      <c r="AB326" s="559" t="s">
        <v>9311</v>
      </c>
      <c r="AC326" s="559"/>
      <c r="AD326" s="559"/>
      <c r="AE326" s="559"/>
      <c r="AF326" s="559"/>
      <c r="AG326" s="559"/>
      <c r="AH326" s="559" t="s">
        <v>4714</v>
      </c>
      <c r="AI326" s="559" t="s">
        <v>778</v>
      </c>
      <c r="AJ326" s="601" t="str">
        <f t="shared" si="10"/>
        <v>524902</v>
      </c>
      <c r="AK326" s="601">
        <v>1</v>
      </c>
      <c r="AL326" s="601">
        <f t="shared" si="11"/>
        <v>1</v>
      </c>
      <c r="AM326" s="601">
        <v>1</v>
      </c>
      <c r="AN326" s="603" t="s">
        <v>17650</v>
      </c>
      <c r="AO326" s="603" t="s">
        <v>17651</v>
      </c>
      <c r="AP326" s="603" t="s">
        <v>17652</v>
      </c>
      <c r="AQ326" s="603" t="s">
        <v>17653</v>
      </c>
      <c r="AR326" s="603" t="s">
        <v>1024</v>
      </c>
      <c r="AS326" s="559">
        <v>1</v>
      </c>
    </row>
    <row r="327" spans="1:45" x14ac:dyDescent="0.2">
      <c r="A327" s="559" t="s">
        <v>615</v>
      </c>
      <c r="B327" s="559" t="s">
        <v>537</v>
      </c>
      <c r="C327" s="559" t="s">
        <v>778</v>
      </c>
      <c r="D327" s="559" t="s">
        <v>23700</v>
      </c>
      <c r="E327" s="559" t="s">
        <v>192</v>
      </c>
      <c r="F327" s="564">
        <v>1</v>
      </c>
      <c r="G327" s="559" t="s">
        <v>193</v>
      </c>
      <c r="H327" s="559" t="s">
        <v>194</v>
      </c>
      <c r="I327" s="559" t="s">
        <v>23151</v>
      </c>
      <c r="J327" s="559" t="s">
        <v>210</v>
      </c>
      <c r="K327" s="559" t="s">
        <v>9309</v>
      </c>
      <c r="L327" s="559" t="s">
        <v>6955</v>
      </c>
      <c r="M327" s="559"/>
      <c r="N327" s="559" t="s">
        <v>24347</v>
      </c>
      <c r="O327" s="559" t="s">
        <v>6254</v>
      </c>
      <c r="P327" s="559" t="s">
        <v>23702</v>
      </c>
      <c r="Q327" s="559" t="s">
        <v>23614</v>
      </c>
      <c r="R327" s="559" t="s">
        <v>23917</v>
      </c>
      <c r="S327" s="559" t="s">
        <v>24348</v>
      </c>
      <c r="T327" s="559" t="s">
        <v>24349</v>
      </c>
      <c r="U327" s="559"/>
      <c r="V327" s="559" t="s">
        <v>9334</v>
      </c>
      <c r="W327" s="559" t="s">
        <v>779</v>
      </c>
      <c r="X327" s="559" t="s">
        <v>194</v>
      </c>
      <c r="Y327" s="559" t="s">
        <v>9300</v>
      </c>
      <c r="Z327" s="559"/>
      <c r="AA327" s="559"/>
      <c r="AB327" s="559" t="s">
        <v>9311</v>
      </c>
      <c r="AC327" s="559"/>
      <c r="AD327" s="559"/>
      <c r="AE327" s="559"/>
      <c r="AF327" s="559"/>
      <c r="AG327" s="559"/>
      <c r="AH327" s="559" t="s">
        <v>4714</v>
      </c>
      <c r="AI327" s="559" t="s">
        <v>778</v>
      </c>
      <c r="AJ327" s="601" t="str">
        <f t="shared" si="10"/>
        <v>524902</v>
      </c>
      <c r="AK327" s="601">
        <v>1</v>
      </c>
      <c r="AL327" s="601">
        <f t="shared" si="11"/>
        <v>1</v>
      </c>
      <c r="AM327" s="601">
        <v>1</v>
      </c>
      <c r="AN327" s="603" t="s">
        <v>17650</v>
      </c>
      <c r="AO327" s="603" t="s">
        <v>17651</v>
      </c>
      <c r="AP327" s="603" t="s">
        <v>17652</v>
      </c>
      <c r="AQ327" s="603" t="s">
        <v>17653</v>
      </c>
      <c r="AR327" s="603" t="s">
        <v>1024</v>
      </c>
      <c r="AS327" s="559">
        <v>1</v>
      </c>
    </row>
    <row r="328" spans="1:45" x14ac:dyDescent="0.2">
      <c r="A328" s="559" t="s">
        <v>615</v>
      </c>
      <c r="B328" s="559" t="s">
        <v>537</v>
      </c>
      <c r="C328" s="559" t="s">
        <v>778</v>
      </c>
      <c r="D328" s="559" t="s">
        <v>23700</v>
      </c>
      <c r="E328" s="559" t="s">
        <v>192</v>
      </c>
      <c r="F328" s="564">
        <v>1</v>
      </c>
      <c r="G328" s="559" t="s">
        <v>193</v>
      </c>
      <c r="H328" s="559" t="s">
        <v>194</v>
      </c>
      <c r="I328" s="559" t="s">
        <v>23151</v>
      </c>
      <c r="J328" s="559" t="s">
        <v>316</v>
      </c>
      <c r="K328" s="559" t="s">
        <v>9309</v>
      </c>
      <c r="L328" s="559" t="s">
        <v>6955</v>
      </c>
      <c r="M328" s="559"/>
      <c r="N328" s="559" t="s">
        <v>24350</v>
      </c>
      <c r="O328" s="559" t="s">
        <v>6254</v>
      </c>
      <c r="P328" s="559" t="s">
        <v>23702</v>
      </c>
      <c r="Q328" s="559" t="s">
        <v>23614</v>
      </c>
      <c r="R328" s="559" t="s">
        <v>23917</v>
      </c>
      <c r="S328" s="559" t="s">
        <v>24351</v>
      </c>
      <c r="T328" s="559" t="s">
        <v>24352</v>
      </c>
      <c r="U328" s="559"/>
      <c r="V328" s="559" t="s">
        <v>10012</v>
      </c>
      <c r="W328" s="559" t="s">
        <v>779</v>
      </c>
      <c r="X328" s="559" t="s">
        <v>194</v>
      </c>
      <c r="Y328" s="559" t="s">
        <v>9300</v>
      </c>
      <c r="Z328" s="559"/>
      <c r="AA328" s="559"/>
      <c r="AB328" s="559" t="s">
        <v>9311</v>
      </c>
      <c r="AC328" s="559"/>
      <c r="AD328" s="559"/>
      <c r="AE328" s="559"/>
      <c r="AF328" s="559"/>
      <c r="AG328" s="559"/>
      <c r="AH328" s="559" t="s">
        <v>4714</v>
      </c>
      <c r="AI328" s="559" t="s">
        <v>778</v>
      </c>
      <c r="AJ328" s="601" t="str">
        <f t="shared" si="10"/>
        <v>524902</v>
      </c>
      <c r="AK328" s="601">
        <v>1</v>
      </c>
      <c r="AL328" s="601">
        <f t="shared" si="11"/>
        <v>1</v>
      </c>
      <c r="AM328" s="601">
        <v>1</v>
      </c>
      <c r="AN328" s="603" t="s">
        <v>17650</v>
      </c>
      <c r="AO328" s="603" t="s">
        <v>17651</v>
      </c>
      <c r="AP328" s="603" t="s">
        <v>17652</v>
      </c>
      <c r="AQ328" s="603" t="s">
        <v>17653</v>
      </c>
      <c r="AR328" s="603" t="s">
        <v>1024</v>
      </c>
      <c r="AS328" s="559">
        <v>1</v>
      </c>
    </row>
    <row r="329" spans="1:45" x14ac:dyDescent="0.2">
      <c r="A329" s="559" t="s">
        <v>615</v>
      </c>
      <c r="B329" s="559" t="s">
        <v>537</v>
      </c>
      <c r="C329" s="559" t="s">
        <v>778</v>
      </c>
      <c r="D329" s="559" t="s">
        <v>23700</v>
      </c>
      <c r="E329" s="559" t="s">
        <v>192</v>
      </c>
      <c r="F329" s="564">
        <v>1</v>
      </c>
      <c r="G329" s="559" t="s">
        <v>193</v>
      </c>
      <c r="H329" s="559" t="s">
        <v>194</v>
      </c>
      <c r="I329" s="559" t="s">
        <v>23151</v>
      </c>
      <c r="J329" s="559" t="s">
        <v>367</v>
      </c>
      <c r="K329" s="559" t="s">
        <v>9309</v>
      </c>
      <c r="L329" s="559" t="s">
        <v>6955</v>
      </c>
      <c r="M329" s="559"/>
      <c r="N329" s="559" t="s">
        <v>24353</v>
      </c>
      <c r="O329" s="559" t="s">
        <v>6254</v>
      </c>
      <c r="P329" s="559" t="s">
        <v>23702</v>
      </c>
      <c r="Q329" s="559" t="s">
        <v>23614</v>
      </c>
      <c r="R329" s="559" t="s">
        <v>23917</v>
      </c>
      <c r="S329" s="559" t="s">
        <v>24354</v>
      </c>
      <c r="T329" s="559" t="s">
        <v>24355</v>
      </c>
      <c r="U329" s="559"/>
      <c r="V329" s="559" t="s">
        <v>9974</v>
      </c>
      <c r="W329" s="559" t="s">
        <v>779</v>
      </c>
      <c r="X329" s="559" t="s">
        <v>194</v>
      </c>
      <c r="Y329" s="559" t="s">
        <v>9300</v>
      </c>
      <c r="Z329" s="559"/>
      <c r="AA329" s="559"/>
      <c r="AB329" s="559" t="s">
        <v>9311</v>
      </c>
      <c r="AC329" s="559"/>
      <c r="AD329" s="559"/>
      <c r="AE329" s="559"/>
      <c r="AF329" s="559"/>
      <c r="AG329" s="559"/>
      <c r="AH329" s="559" t="s">
        <v>4714</v>
      </c>
      <c r="AI329" s="559" t="s">
        <v>778</v>
      </c>
      <c r="AJ329" s="601" t="str">
        <f t="shared" si="10"/>
        <v>524902</v>
      </c>
      <c r="AK329" s="601">
        <v>1</v>
      </c>
      <c r="AL329" s="601">
        <f t="shared" si="11"/>
        <v>1</v>
      </c>
      <c r="AM329" s="601">
        <v>1</v>
      </c>
      <c r="AN329" s="603" t="s">
        <v>17650</v>
      </c>
      <c r="AO329" s="603" t="s">
        <v>17651</v>
      </c>
      <c r="AP329" s="603" t="s">
        <v>17652</v>
      </c>
      <c r="AQ329" s="603" t="s">
        <v>17653</v>
      </c>
      <c r="AR329" s="603" t="s">
        <v>1024</v>
      </c>
      <c r="AS329" s="559">
        <v>1</v>
      </c>
    </row>
    <row r="330" spans="1:45" x14ac:dyDescent="0.2">
      <c r="A330" s="559" t="s">
        <v>615</v>
      </c>
      <c r="B330" s="559" t="s">
        <v>537</v>
      </c>
      <c r="C330" s="559" t="s">
        <v>778</v>
      </c>
      <c r="D330" s="559" t="s">
        <v>23700</v>
      </c>
      <c r="E330" s="559" t="s">
        <v>192</v>
      </c>
      <c r="F330" s="564">
        <v>1</v>
      </c>
      <c r="G330" s="559" t="s">
        <v>193</v>
      </c>
      <c r="H330" s="559" t="s">
        <v>194</v>
      </c>
      <c r="I330" s="559" t="s">
        <v>23151</v>
      </c>
      <c r="J330" s="559" t="s">
        <v>223</v>
      </c>
      <c r="K330" s="559" t="s">
        <v>9309</v>
      </c>
      <c r="L330" s="559" t="s">
        <v>6955</v>
      </c>
      <c r="M330" s="559"/>
      <c r="N330" s="559" t="s">
        <v>24356</v>
      </c>
      <c r="O330" s="559" t="s">
        <v>6254</v>
      </c>
      <c r="P330" s="559" t="s">
        <v>23702</v>
      </c>
      <c r="Q330" s="559" t="s">
        <v>23614</v>
      </c>
      <c r="R330" s="559" t="s">
        <v>23917</v>
      </c>
      <c r="S330" s="559" t="s">
        <v>24357</v>
      </c>
      <c r="T330" s="559" t="s">
        <v>24358</v>
      </c>
      <c r="U330" s="559"/>
      <c r="V330" s="559" t="s">
        <v>11163</v>
      </c>
      <c r="W330" s="559" t="s">
        <v>779</v>
      </c>
      <c r="X330" s="559" t="s">
        <v>194</v>
      </c>
      <c r="Y330" s="559" t="s">
        <v>9300</v>
      </c>
      <c r="Z330" s="559"/>
      <c r="AA330" s="559"/>
      <c r="AB330" s="559" t="s">
        <v>9311</v>
      </c>
      <c r="AC330" s="559"/>
      <c r="AD330" s="559"/>
      <c r="AE330" s="559"/>
      <c r="AF330" s="559"/>
      <c r="AG330" s="559"/>
      <c r="AH330" s="559" t="s">
        <v>4714</v>
      </c>
      <c r="AI330" s="559" t="s">
        <v>778</v>
      </c>
      <c r="AJ330" s="601" t="str">
        <f t="shared" si="10"/>
        <v>524902</v>
      </c>
      <c r="AK330" s="601">
        <v>1</v>
      </c>
      <c r="AL330" s="601">
        <f t="shared" si="11"/>
        <v>1</v>
      </c>
      <c r="AM330" s="601">
        <v>1</v>
      </c>
      <c r="AN330" s="603" t="s">
        <v>17650</v>
      </c>
      <c r="AO330" s="603" t="s">
        <v>17651</v>
      </c>
      <c r="AP330" s="603" t="s">
        <v>17652</v>
      </c>
      <c r="AQ330" s="603" t="s">
        <v>17653</v>
      </c>
      <c r="AR330" s="603" t="s">
        <v>1024</v>
      </c>
      <c r="AS330" s="559">
        <v>1</v>
      </c>
    </row>
    <row r="331" spans="1:45" x14ac:dyDescent="0.2">
      <c r="A331" s="559" t="s">
        <v>615</v>
      </c>
      <c r="B331" s="559" t="s">
        <v>4623</v>
      </c>
      <c r="C331" s="559" t="s">
        <v>111</v>
      </c>
      <c r="D331" s="559" t="s">
        <v>23700</v>
      </c>
      <c r="E331" s="559" t="s">
        <v>192</v>
      </c>
      <c r="F331" s="564">
        <v>1</v>
      </c>
      <c r="G331" s="559" t="s">
        <v>193</v>
      </c>
      <c r="H331" s="559" t="s">
        <v>194</v>
      </c>
      <c r="I331" s="559" t="s">
        <v>23139</v>
      </c>
      <c r="J331" s="559" t="s">
        <v>223</v>
      </c>
      <c r="K331" s="559" t="s">
        <v>9309</v>
      </c>
      <c r="L331" s="559" t="s">
        <v>6955</v>
      </c>
      <c r="M331" s="559"/>
      <c r="N331" s="559" t="s">
        <v>24359</v>
      </c>
      <c r="O331" s="559" t="s">
        <v>6254</v>
      </c>
      <c r="P331" s="559" t="s">
        <v>23916</v>
      </c>
      <c r="Q331" s="559" t="s">
        <v>23614</v>
      </c>
      <c r="R331" s="559" t="s">
        <v>23917</v>
      </c>
      <c r="S331" s="559" t="s">
        <v>24360</v>
      </c>
      <c r="T331" s="559" t="s">
        <v>24361</v>
      </c>
      <c r="U331" s="559"/>
      <c r="V331" s="559" t="s">
        <v>11163</v>
      </c>
      <c r="W331" s="559" t="s">
        <v>612</v>
      </c>
      <c r="X331" s="559" t="s">
        <v>194</v>
      </c>
      <c r="Y331" s="559" t="s">
        <v>9300</v>
      </c>
      <c r="Z331" s="559"/>
      <c r="AA331" s="559"/>
      <c r="AB331" s="559" t="s">
        <v>9311</v>
      </c>
      <c r="AC331" s="559"/>
      <c r="AD331" s="559"/>
      <c r="AE331" s="559"/>
      <c r="AF331" s="559"/>
      <c r="AG331" s="559"/>
      <c r="AH331" s="559" t="s">
        <v>4714</v>
      </c>
      <c r="AI331" s="559" t="s">
        <v>4623</v>
      </c>
      <c r="AJ331" s="601" t="str">
        <f t="shared" si="10"/>
        <v>332101</v>
      </c>
      <c r="AK331" s="601">
        <v>1</v>
      </c>
      <c r="AL331" s="601">
        <f t="shared" si="11"/>
        <v>1</v>
      </c>
      <c r="AM331" s="601">
        <v>1</v>
      </c>
      <c r="AN331" s="603" t="s">
        <v>17650</v>
      </c>
      <c r="AO331" s="603" t="s">
        <v>17651</v>
      </c>
      <c r="AP331" s="603" t="s">
        <v>17652</v>
      </c>
      <c r="AQ331" s="603" t="s">
        <v>17653</v>
      </c>
      <c r="AR331" s="603" t="s">
        <v>1024</v>
      </c>
      <c r="AS331" s="559">
        <v>1</v>
      </c>
    </row>
    <row r="332" spans="1:45" x14ac:dyDescent="0.2">
      <c r="A332" s="559" t="s">
        <v>615</v>
      </c>
      <c r="B332" s="559" t="s">
        <v>4623</v>
      </c>
      <c r="C332" s="559" t="s">
        <v>111</v>
      </c>
      <c r="D332" s="559" t="s">
        <v>23700</v>
      </c>
      <c r="E332" s="559" t="s">
        <v>192</v>
      </c>
      <c r="F332" s="564">
        <v>1</v>
      </c>
      <c r="G332" s="559" t="s">
        <v>193</v>
      </c>
      <c r="H332" s="559" t="s">
        <v>194</v>
      </c>
      <c r="I332" s="559" t="s">
        <v>23139</v>
      </c>
      <c r="J332" s="559" t="s">
        <v>367</v>
      </c>
      <c r="K332" s="559" t="s">
        <v>9309</v>
      </c>
      <c r="L332" s="559" t="s">
        <v>6955</v>
      </c>
      <c r="M332" s="559"/>
      <c r="N332" s="559" t="s">
        <v>24362</v>
      </c>
      <c r="O332" s="559" t="s">
        <v>6254</v>
      </c>
      <c r="P332" s="559" t="s">
        <v>23916</v>
      </c>
      <c r="Q332" s="559" t="s">
        <v>23614</v>
      </c>
      <c r="R332" s="559" t="s">
        <v>23917</v>
      </c>
      <c r="S332" s="559" t="s">
        <v>24363</v>
      </c>
      <c r="T332" s="559" t="s">
        <v>24364</v>
      </c>
      <c r="U332" s="559"/>
      <c r="V332" s="559" t="s">
        <v>9974</v>
      </c>
      <c r="W332" s="559" t="s">
        <v>612</v>
      </c>
      <c r="X332" s="559" t="s">
        <v>194</v>
      </c>
      <c r="Y332" s="559" t="s">
        <v>9300</v>
      </c>
      <c r="Z332" s="559"/>
      <c r="AA332" s="559"/>
      <c r="AB332" s="559" t="s">
        <v>9311</v>
      </c>
      <c r="AC332" s="559"/>
      <c r="AD332" s="559"/>
      <c r="AE332" s="559"/>
      <c r="AF332" s="559"/>
      <c r="AG332" s="559"/>
      <c r="AH332" s="559" t="s">
        <v>4714</v>
      </c>
      <c r="AI332" s="559" t="s">
        <v>4623</v>
      </c>
      <c r="AJ332" s="601" t="str">
        <f t="shared" si="10"/>
        <v>332101</v>
      </c>
      <c r="AK332" s="601">
        <v>1</v>
      </c>
      <c r="AL332" s="601">
        <f t="shared" si="11"/>
        <v>1</v>
      </c>
      <c r="AM332" s="601">
        <v>1</v>
      </c>
      <c r="AN332" s="603" t="s">
        <v>17650</v>
      </c>
      <c r="AO332" s="603" t="s">
        <v>17651</v>
      </c>
      <c r="AP332" s="603" t="s">
        <v>17652</v>
      </c>
      <c r="AQ332" s="603" t="s">
        <v>17653</v>
      </c>
      <c r="AR332" s="603" t="s">
        <v>1024</v>
      </c>
      <c r="AS332" s="559">
        <v>1</v>
      </c>
    </row>
    <row r="333" spans="1:45" x14ac:dyDescent="0.2">
      <c r="A333" s="559" t="s">
        <v>615</v>
      </c>
      <c r="B333" s="559" t="s">
        <v>4623</v>
      </c>
      <c r="C333" s="559" t="s">
        <v>111</v>
      </c>
      <c r="D333" s="559" t="s">
        <v>23700</v>
      </c>
      <c r="E333" s="559" t="s">
        <v>192</v>
      </c>
      <c r="F333" s="564">
        <v>1</v>
      </c>
      <c r="G333" s="559" t="s">
        <v>193</v>
      </c>
      <c r="H333" s="559" t="s">
        <v>194</v>
      </c>
      <c r="I333" s="559" t="s">
        <v>23139</v>
      </c>
      <c r="J333" s="559" t="s">
        <v>2131</v>
      </c>
      <c r="K333" s="559" t="s">
        <v>9309</v>
      </c>
      <c r="L333" s="559" t="s">
        <v>6955</v>
      </c>
      <c r="M333" s="559"/>
      <c r="N333" s="559" t="s">
        <v>24365</v>
      </c>
      <c r="O333" s="559" t="s">
        <v>6254</v>
      </c>
      <c r="P333" s="559" t="s">
        <v>23916</v>
      </c>
      <c r="Q333" s="559" t="s">
        <v>23614</v>
      </c>
      <c r="R333" s="559" t="s">
        <v>23917</v>
      </c>
      <c r="S333" s="559" t="s">
        <v>24366</v>
      </c>
      <c r="T333" s="559" t="s">
        <v>24367</v>
      </c>
      <c r="U333" s="559"/>
      <c r="V333" s="559" t="s">
        <v>11154</v>
      </c>
      <c r="W333" s="559" t="s">
        <v>612</v>
      </c>
      <c r="X333" s="559" t="s">
        <v>194</v>
      </c>
      <c r="Y333" s="559" t="s">
        <v>9300</v>
      </c>
      <c r="Z333" s="559"/>
      <c r="AA333" s="559"/>
      <c r="AB333" s="559" t="s">
        <v>9311</v>
      </c>
      <c r="AC333" s="559"/>
      <c r="AD333" s="559"/>
      <c r="AE333" s="559"/>
      <c r="AF333" s="559"/>
      <c r="AG333" s="559"/>
      <c r="AH333" s="559" t="s">
        <v>4714</v>
      </c>
      <c r="AI333" s="559" t="s">
        <v>4623</v>
      </c>
      <c r="AJ333" s="601" t="str">
        <f t="shared" si="10"/>
        <v>332101</v>
      </c>
      <c r="AK333" s="601">
        <v>1</v>
      </c>
      <c r="AL333" s="601">
        <f t="shared" si="11"/>
        <v>1</v>
      </c>
      <c r="AM333" s="601">
        <v>1</v>
      </c>
      <c r="AN333" s="603" t="s">
        <v>17650</v>
      </c>
      <c r="AO333" s="603" t="s">
        <v>17651</v>
      </c>
      <c r="AP333" s="603" t="s">
        <v>17652</v>
      </c>
      <c r="AQ333" s="603" t="s">
        <v>17653</v>
      </c>
      <c r="AR333" s="603" t="s">
        <v>1024</v>
      </c>
      <c r="AS333" s="559">
        <v>1</v>
      </c>
    </row>
    <row r="334" spans="1:45" x14ac:dyDescent="0.2">
      <c r="A334" s="559" t="s">
        <v>615</v>
      </c>
      <c r="B334" s="559" t="s">
        <v>4623</v>
      </c>
      <c r="C334" s="559" t="s">
        <v>111</v>
      </c>
      <c r="D334" s="559" t="s">
        <v>23700</v>
      </c>
      <c r="E334" s="559" t="s">
        <v>192</v>
      </c>
      <c r="F334" s="564">
        <v>1</v>
      </c>
      <c r="G334" s="559" t="s">
        <v>193</v>
      </c>
      <c r="H334" s="559" t="s">
        <v>194</v>
      </c>
      <c r="I334" s="559" t="s">
        <v>23139</v>
      </c>
      <c r="J334" s="559" t="s">
        <v>316</v>
      </c>
      <c r="K334" s="559" t="s">
        <v>9309</v>
      </c>
      <c r="L334" s="559" t="s">
        <v>6955</v>
      </c>
      <c r="M334" s="559"/>
      <c r="N334" s="559" t="s">
        <v>24368</v>
      </c>
      <c r="O334" s="559" t="s">
        <v>6254</v>
      </c>
      <c r="P334" s="559" t="s">
        <v>23916</v>
      </c>
      <c r="Q334" s="559" t="s">
        <v>23614</v>
      </c>
      <c r="R334" s="559" t="s">
        <v>23917</v>
      </c>
      <c r="S334" s="559" t="s">
        <v>24369</v>
      </c>
      <c r="T334" s="559" t="s">
        <v>24370</v>
      </c>
      <c r="U334" s="559"/>
      <c r="V334" s="559" t="s">
        <v>10012</v>
      </c>
      <c r="W334" s="559" t="s">
        <v>612</v>
      </c>
      <c r="X334" s="559" t="s">
        <v>194</v>
      </c>
      <c r="Y334" s="559" t="s">
        <v>9300</v>
      </c>
      <c r="Z334" s="559"/>
      <c r="AA334" s="559"/>
      <c r="AB334" s="559" t="s">
        <v>9311</v>
      </c>
      <c r="AC334" s="559"/>
      <c r="AD334" s="559"/>
      <c r="AE334" s="559"/>
      <c r="AF334" s="559"/>
      <c r="AG334" s="559"/>
      <c r="AH334" s="559" t="s">
        <v>4714</v>
      </c>
      <c r="AI334" s="559" t="s">
        <v>4623</v>
      </c>
      <c r="AJ334" s="601" t="str">
        <f t="shared" si="10"/>
        <v>332101</v>
      </c>
      <c r="AK334" s="601">
        <v>1</v>
      </c>
      <c r="AL334" s="601">
        <f t="shared" si="11"/>
        <v>1</v>
      </c>
      <c r="AM334" s="601">
        <v>1</v>
      </c>
      <c r="AN334" s="603" t="s">
        <v>17650</v>
      </c>
      <c r="AO334" s="603" t="s">
        <v>17651</v>
      </c>
      <c r="AP334" s="603" t="s">
        <v>17652</v>
      </c>
      <c r="AQ334" s="603" t="s">
        <v>17653</v>
      </c>
      <c r="AR334" s="603" t="s">
        <v>1024</v>
      </c>
      <c r="AS334" s="559">
        <v>1</v>
      </c>
    </row>
    <row r="335" spans="1:45" x14ac:dyDescent="0.2">
      <c r="A335" s="559" t="s">
        <v>615</v>
      </c>
      <c r="B335" s="559" t="s">
        <v>4623</v>
      </c>
      <c r="C335" s="559" t="s">
        <v>111</v>
      </c>
      <c r="D335" s="559" t="s">
        <v>23700</v>
      </c>
      <c r="E335" s="559" t="s">
        <v>192</v>
      </c>
      <c r="F335" s="564">
        <v>1</v>
      </c>
      <c r="G335" s="559" t="s">
        <v>193</v>
      </c>
      <c r="H335" s="559" t="s">
        <v>194</v>
      </c>
      <c r="I335" s="559" t="s">
        <v>23139</v>
      </c>
      <c r="J335" s="559" t="s">
        <v>4751</v>
      </c>
      <c r="K335" s="559" t="s">
        <v>9309</v>
      </c>
      <c r="L335" s="559" t="s">
        <v>6955</v>
      </c>
      <c r="M335" s="559"/>
      <c r="N335" s="559" t="s">
        <v>24371</v>
      </c>
      <c r="O335" s="559" t="s">
        <v>6254</v>
      </c>
      <c r="P335" s="559" t="s">
        <v>23916</v>
      </c>
      <c r="Q335" s="559" t="s">
        <v>23614</v>
      </c>
      <c r="R335" s="559" t="s">
        <v>23917</v>
      </c>
      <c r="S335" s="559" t="s">
        <v>24372</v>
      </c>
      <c r="T335" s="559" t="s">
        <v>24373</v>
      </c>
      <c r="U335" s="559"/>
      <c r="V335" s="559" t="s">
        <v>9472</v>
      </c>
      <c r="W335" s="559" t="s">
        <v>612</v>
      </c>
      <c r="X335" s="559" t="s">
        <v>194</v>
      </c>
      <c r="Y335" s="559" t="s">
        <v>9300</v>
      </c>
      <c r="Z335" s="559"/>
      <c r="AA335" s="559"/>
      <c r="AB335" s="559" t="s">
        <v>9311</v>
      </c>
      <c r="AC335" s="559"/>
      <c r="AD335" s="559"/>
      <c r="AE335" s="559"/>
      <c r="AF335" s="559"/>
      <c r="AG335" s="559"/>
      <c r="AH335" s="559" t="s">
        <v>4714</v>
      </c>
      <c r="AI335" s="559" t="s">
        <v>4623</v>
      </c>
      <c r="AJ335" s="601" t="str">
        <f t="shared" si="10"/>
        <v>332101</v>
      </c>
      <c r="AK335" s="601">
        <v>1</v>
      </c>
      <c r="AL335" s="601">
        <f t="shared" si="11"/>
        <v>1</v>
      </c>
      <c r="AM335" s="601">
        <v>1</v>
      </c>
      <c r="AN335" s="603" t="s">
        <v>17650</v>
      </c>
      <c r="AO335" s="603" t="s">
        <v>17651</v>
      </c>
      <c r="AP335" s="603" t="s">
        <v>17652</v>
      </c>
      <c r="AQ335" s="603" t="s">
        <v>17653</v>
      </c>
      <c r="AR335" s="603" t="s">
        <v>1024</v>
      </c>
      <c r="AS335" s="559">
        <v>1</v>
      </c>
    </row>
    <row r="336" spans="1:45" x14ac:dyDescent="0.2">
      <c r="A336" s="559" t="s">
        <v>615</v>
      </c>
      <c r="B336" s="559" t="s">
        <v>4623</v>
      </c>
      <c r="C336" s="559" t="s">
        <v>111</v>
      </c>
      <c r="D336" s="559" t="s">
        <v>23700</v>
      </c>
      <c r="E336" s="559" t="s">
        <v>192</v>
      </c>
      <c r="F336" s="564">
        <v>1</v>
      </c>
      <c r="G336" s="559" t="s">
        <v>193</v>
      </c>
      <c r="H336" s="559" t="s">
        <v>194</v>
      </c>
      <c r="I336" s="559" t="s">
        <v>23139</v>
      </c>
      <c r="J336" s="559" t="s">
        <v>385</v>
      </c>
      <c r="K336" s="559" t="s">
        <v>9309</v>
      </c>
      <c r="L336" s="559" t="s">
        <v>6955</v>
      </c>
      <c r="M336" s="559"/>
      <c r="N336" s="559" t="s">
        <v>24374</v>
      </c>
      <c r="O336" s="559" t="s">
        <v>6254</v>
      </c>
      <c r="P336" s="559" t="s">
        <v>23916</v>
      </c>
      <c r="Q336" s="559" t="s">
        <v>23614</v>
      </c>
      <c r="R336" s="559" t="s">
        <v>23917</v>
      </c>
      <c r="S336" s="559" t="s">
        <v>24375</v>
      </c>
      <c r="T336" s="559" t="s">
        <v>24376</v>
      </c>
      <c r="U336" s="559"/>
      <c r="V336" s="559" t="s">
        <v>9410</v>
      </c>
      <c r="W336" s="559" t="s">
        <v>612</v>
      </c>
      <c r="X336" s="559" t="s">
        <v>194</v>
      </c>
      <c r="Y336" s="559" t="s">
        <v>9300</v>
      </c>
      <c r="Z336" s="559"/>
      <c r="AA336" s="559"/>
      <c r="AB336" s="559" t="s">
        <v>9311</v>
      </c>
      <c r="AC336" s="559"/>
      <c r="AD336" s="559"/>
      <c r="AE336" s="559"/>
      <c r="AF336" s="559"/>
      <c r="AG336" s="559"/>
      <c r="AH336" s="559" t="s">
        <v>4714</v>
      </c>
      <c r="AI336" s="559" t="s">
        <v>4623</v>
      </c>
      <c r="AJ336" s="601" t="str">
        <f t="shared" si="10"/>
        <v>332101</v>
      </c>
      <c r="AK336" s="601">
        <v>1</v>
      </c>
      <c r="AL336" s="601">
        <f t="shared" si="11"/>
        <v>1</v>
      </c>
      <c r="AM336" s="601">
        <v>1</v>
      </c>
      <c r="AN336" s="603" t="s">
        <v>17650</v>
      </c>
      <c r="AO336" s="603" t="s">
        <v>17651</v>
      </c>
      <c r="AP336" s="603" t="s">
        <v>17652</v>
      </c>
      <c r="AQ336" s="603" t="s">
        <v>17653</v>
      </c>
      <c r="AR336" s="603" t="s">
        <v>1024</v>
      </c>
      <c r="AS336" s="559">
        <v>1</v>
      </c>
    </row>
    <row r="337" spans="1:45" x14ac:dyDescent="0.2">
      <c r="A337" s="559" t="s">
        <v>615</v>
      </c>
      <c r="B337" s="559" t="s">
        <v>4623</v>
      </c>
      <c r="C337" s="559" t="s">
        <v>111</v>
      </c>
      <c r="D337" s="559" t="s">
        <v>23700</v>
      </c>
      <c r="E337" s="559" t="s">
        <v>192</v>
      </c>
      <c r="F337" s="564">
        <v>1</v>
      </c>
      <c r="G337" s="559" t="s">
        <v>193</v>
      </c>
      <c r="H337" s="559" t="s">
        <v>194</v>
      </c>
      <c r="I337" s="559" t="s">
        <v>23139</v>
      </c>
      <c r="J337" s="559" t="s">
        <v>210</v>
      </c>
      <c r="K337" s="559" t="s">
        <v>9309</v>
      </c>
      <c r="L337" s="559" t="s">
        <v>6955</v>
      </c>
      <c r="M337" s="559"/>
      <c r="N337" s="559" t="s">
        <v>24377</v>
      </c>
      <c r="O337" s="559" t="s">
        <v>6254</v>
      </c>
      <c r="P337" s="559" t="s">
        <v>23916</v>
      </c>
      <c r="Q337" s="559" t="s">
        <v>23614</v>
      </c>
      <c r="R337" s="559" t="s">
        <v>23917</v>
      </c>
      <c r="S337" s="559" t="s">
        <v>24378</v>
      </c>
      <c r="T337" s="559" t="s">
        <v>24379</v>
      </c>
      <c r="U337" s="559"/>
      <c r="V337" s="559" t="s">
        <v>9334</v>
      </c>
      <c r="W337" s="559" t="s">
        <v>612</v>
      </c>
      <c r="X337" s="559" t="s">
        <v>194</v>
      </c>
      <c r="Y337" s="559" t="s">
        <v>9300</v>
      </c>
      <c r="Z337" s="559"/>
      <c r="AA337" s="559"/>
      <c r="AB337" s="559" t="s">
        <v>9311</v>
      </c>
      <c r="AC337" s="559"/>
      <c r="AD337" s="559"/>
      <c r="AE337" s="559"/>
      <c r="AF337" s="559"/>
      <c r="AG337" s="559"/>
      <c r="AH337" s="559" t="s">
        <v>4714</v>
      </c>
      <c r="AI337" s="559" t="s">
        <v>4623</v>
      </c>
      <c r="AJ337" s="601" t="str">
        <f t="shared" si="10"/>
        <v>332101</v>
      </c>
      <c r="AK337" s="601">
        <v>1</v>
      </c>
      <c r="AL337" s="601">
        <f t="shared" si="11"/>
        <v>1</v>
      </c>
      <c r="AM337" s="601">
        <v>1</v>
      </c>
      <c r="AN337" s="603" t="s">
        <v>17650</v>
      </c>
      <c r="AO337" s="603" t="s">
        <v>17651</v>
      </c>
      <c r="AP337" s="603" t="s">
        <v>17652</v>
      </c>
      <c r="AQ337" s="603" t="s">
        <v>17653</v>
      </c>
      <c r="AR337" s="603" t="s">
        <v>1024</v>
      </c>
      <c r="AS337" s="559">
        <v>1</v>
      </c>
    </row>
    <row r="338" spans="1:45" x14ac:dyDescent="0.2">
      <c r="A338" s="559" t="s">
        <v>615</v>
      </c>
      <c r="B338" s="559" t="s">
        <v>4623</v>
      </c>
      <c r="C338" s="559" t="s">
        <v>111</v>
      </c>
      <c r="D338" s="559" t="s">
        <v>23700</v>
      </c>
      <c r="E338" s="559" t="s">
        <v>192</v>
      </c>
      <c r="F338" s="564">
        <v>1</v>
      </c>
      <c r="G338" s="559" t="s">
        <v>193</v>
      </c>
      <c r="H338" s="559" t="s">
        <v>194</v>
      </c>
      <c r="I338" s="559" t="s">
        <v>23139</v>
      </c>
      <c r="J338" s="559" t="s">
        <v>747</v>
      </c>
      <c r="K338" s="559" t="s">
        <v>9309</v>
      </c>
      <c r="L338" s="559" t="s">
        <v>6955</v>
      </c>
      <c r="M338" s="559"/>
      <c r="N338" s="559" t="s">
        <v>24380</v>
      </c>
      <c r="O338" s="559" t="s">
        <v>6254</v>
      </c>
      <c r="P338" s="559" t="s">
        <v>23916</v>
      </c>
      <c r="Q338" s="559" t="s">
        <v>23614</v>
      </c>
      <c r="R338" s="559" t="s">
        <v>23917</v>
      </c>
      <c r="S338" s="559" t="s">
        <v>24381</v>
      </c>
      <c r="T338" s="559" t="s">
        <v>24382</v>
      </c>
      <c r="U338" s="559"/>
      <c r="V338" s="559" t="s">
        <v>10397</v>
      </c>
      <c r="W338" s="559" t="s">
        <v>612</v>
      </c>
      <c r="X338" s="559" t="s">
        <v>194</v>
      </c>
      <c r="Y338" s="559" t="s">
        <v>9300</v>
      </c>
      <c r="Z338" s="559"/>
      <c r="AA338" s="559"/>
      <c r="AB338" s="559" t="s">
        <v>9311</v>
      </c>
      <c r="AC338" s="559"/>
      <c r="AD338" s="559"/>
      <c r="AE338" s="559"/>
      <c r="AF338" s="559"/>
      <c r="AG338" s="559"/>
      <c r="AH338" s="559" t="s">
        <v>4714</v>
      </c>
      <c r="AI338" s="559" t="s">
        <v>4623</v>
      </c>
      <c r="AJ338" s="601" t="str">
        <f t="shared" si="10"/>
        <v>332101</v>
      </c>
      <c r="AK338" s="601">
        <v>1</v>
      </c>
      <c r="AL338" s="601">
        <f t="shared" si="11"/>
        <v>1</v>
      </c>
      <c r="AM338" s="601">
        <v>1</v>
      </c>
      <c r="AN338" s="603" t="s">
        <v>17650</v>
      </c>
      <c r="AO338" s="603" t="s">
        <v>17651</v>
      </c>
      <c r="AP338" s="603" t="s">
        <v>17652</v>
      </c>
      <c r="AQ338" s="603" t="s">
        <v>17653</v>
      </c>
      <c r="AR338" s="603" t="s">
        <v>1024</v>
      </c>
      <c r="AS338" s="559">
        <v>1</v>
      </c>
    </row>
    <row r="339" spans="1:45" x14ac:dyDescent="0.2">
      <c r="A339" s="559" t="s">
        <v>24383</v>
      </c>
      <c r="B339" s="559" t="s">
        <v>24384</v>
      </c>
      <c r="C339" s="559" t="s">
        <v>80</v>
      </c>
      <c r="D339" s="559" t="s">
        <v>23700</v>
      </c>
      <c r="E339" s="559" t="s">
        <v>192</v>
      </c>
      <c r="F339" s="564">
        <v>1</v>
      </c>
      <c r="G339" s="559" t="s">
        <v>193</v>
      </c>
      <c r="H339" s="559" t="s">
        <v>194</v>
      </c>
      <c r="I339" s="559" t="s">
        <v>23708</v>
      </c>
      <c r="J339" s="559" t="s">
        <v>210</v>
      </c>
      <c r="K339" s="559" t="s">
        <v>9309</v>
      </c>
      <c r="L339" s="559" t="s">
        <v>6955</v>
      </c>
      <c r="M339" s="559"/>
      <c r="N339" s="559" t="s">
        <v>24385</v>
      </c>
      <c r="O339" s="559" t="s">
        <v>6374</v>
      </c>
      <c r="P339" s="559" t="s">
        <v>23916</v>
      </c>
      <c r="Q339" s="559" t="s">
        <v>23614</v>
      </c>
      <c r="R339" s="559" t="s">
        <v>23917</v>
      </c>
      <c r="S339" s="559" t="s">
        <v>24386</v>
      </c>
      <c r="T339" s="559" t="s">
        <v>24387</v>
      </c>
      <c r="U339" s="559"/>
      <c r="V339" s="559" t="s">
        <v>9334</v>
      </c>
      <c r="W339" s="559" t="s">
        <v>474</v>
      </c>
      <c r="X339" s="559" t="s">
        <v>194</v>
      </c>
      <c r="Y339" s="559" t="s">
        <v>9300</v>
      </c>
      <c r="Z339" s="559"/>
      <c r="AA339" s="559"/>
      <c r="AB339" s="559" t="s">
        <v>9311</v>
      </c>
      <c r="AC339" s="559"/>
      <c r="AD339" s="559"/>
      <c r="AE339" s="559"/>
      <c r="AF339" s="559"/>
      <c r="AG339" s="559"/>
      <c r="AH339" s="559" t="s">
        <v>4714</v>
      </c>
      <c r="AI339" s="559" t="s">
        <v>24384</v>
      </c>
      <c r="AJ339" s="601" t="str">
        <f t="shared" si="10"/>
        <v>243304</v>
      </c>
      <c r="AK339" s="601">
        <v>1</v>
      </c>
      <c r="AL339" s="601">
        <f t="shared" si="11"/>
        <v>1</v>
      </c>
      <c r="AM339" s="601">
        <v>1</v>
      </c>
      <c r="AN339" s="603" t="s">
        <v>17650</v>
      </c>
      <c r="AO339" s="603" t="s">
        <v>17651</v>
      </c>
      <c r="AP339" s="603" t="s">
        <v>17652</v>
      </c>
      <c r="AQ339" s="603" t="s">
        <v>17653</v>
      </c>
      <c r="AR339" s="603" t="s">
        <v>1024</v>
      </c>
      <c r="AS339" s="559">
        <v>1</v>
      </c>
    </row>
    <row r="340" spans="1:45" x14ac:dyDescent="0.2">
      <c r="A340" s="559" t="s">
        <v>409</v>
      </c>
      <c r="B340" s="559" t="s">
        <v>24388</v>
      </c>
      <c r="C340" s="559" t="s">
        <v>420</v>
      </c>
      <c r="D340" s="559" t="s">
        <v>23700</v>
      </c>
      <c r="E340" s="559" t="s">
        <v>192</v>
      </c>
      <c r="F340" s="564">
        <v>1</v>
      </c>
      <c r="G340" s="559" t="s">
        <v>193</v>
      </c>
      <c r="H340" s="559" t="s">
        <v>194</v>
      </c>
      <c r="I340" s="559" t="s">
        <v>23186</v>
      </c>
      <c r="J340" s="559" t="s">
        <v>210</v>
      </c>
      <c r="K340" s="559" t="s">
        <v>9309</v>
      </c>
      <c r="L340" s="559" t="s">
        <v>6955</v>
      </c>
      <c r="M340" s="559"/>
      <c r="N340" s="559" t="s">
        <v>24389</v>
      </c>
      <c r="O340" s="559" t="s">
        <v>7531</v>
      </c>
      <c r="P340" s="559" t="s">
        <v>23916</v>
      </c>
      <c r="Q340" s="559" t="s">
        <v>23614</v>
      </c>
      <c r="R340" s="559" t="s">
        <v>23917</v>
      </c>
      <c r="S340" s="559" t="s">
        <v>24390</v>
      </c>
      <c r="T340" s="559" t="s">
        <v>24391</v>
      </c>
      <c r="U340" s="559"/>
      <c r="V340" s="559" t="s">
        <v>9334</v>
      </c>
      <c r="W340" s="559" t="s">
        <v>421</v>
      </c>
      <c r="X340" s="559" t="s">
        <v>194</v>
      </c>
      <c r="Y340" s="559" t="s">
        <v>9300</v>
      </c>
      <c r="Z340" s="559"/>
      <c r="AA340" s="559"/>
      <c r="AB340" s="559" t="s">
        <v>9311</v>
      </c>
      <c r="AC340" s="559"/>
      <c r="AD340" s="559"/>
      <c r="AE340" s="559"/>
      <c r="AF340" s="559"/>
      <c r="AG340" s="559"/>
      <c r="AH340" s="559" t="s">
        <v>4714</v>
      </c>
      <c r="AI340" s="559" t="s">
        <v>24388</v>
      </c>
      <c r="AJ340" s="601" t="str">
        <f t="shared" si="10"/>
        <v>241306</v>
      </c>
      <c r="AK340" s="601">
        <v>1</v>
      </c>
      <c r="AL340" s="601">
        <f t="shared" si="11"/>
        <v>1</v>
      </c>
      <c r="AM340" s="601">
        <v>1</v>
      </c>
      <c r="AN340" s="603" t="s">
        <v>17650</v>
      </c>
      <c r="AO340" s="603" t="s">
        <v>17651</v>
      </c>
      <c r="AP340" s="603" t="s">
        <v>17652</v>
      </c>
      <c r="AQ340" s="603" t="s">
        <v>17653</v>
      </c>
      <c r="AR340" s="603" t="s">
        <v>1024</v>
      </c>
      <c r="AS340" s="559">
        <v>1</v>
      </c>
    </row>
    <row r="341" spans="1:45" x14ac:dyDescent="0.2">
      <c r="A341" s="559" t="s">
        <v>1748</v>
      </c>
      <c r="B341" s="559" t="s">
        <v>24392</v>
      </c>
      <c r="C341" s="559" t="s">
        <v>27</v>
      </c>
      <c r="D341" s="559" t="s">
        <v>23700</v>
      </c>
      <c r="E341" s="559" t="s">
        <v>192</v>
      </c>
      <c r="F341" s="564">
        <v>1</v>
      </c>
      <c r="G341" s="559" t="s">
        <v>193</v>
      </c>
      <c r="H341" s="559" t="s">
        <v>194</v>
      </c>
      <c r="I341" s="559" t="s">
        <v>23708</v>
      </c>
      <c r="J341" s="559" t="s">
        <v>210</v>
      </c>
      <c r="K341" s="559" t="s">
        <v>9309</v>
      </c>
      <c r="L341" s="559" t="s">
        <v>6955</v>
      </c>
      <c r="M341" s="559"/>
      <c r="N341" s="559" t="s">
        <v>24393</v>
      </c>
      <c r="O341" s="559" t="s">
        <v>6340</v>
      </c>
      <c r="P341" s="559" t="s">
        <v>23916</v>
      </c>
      <c r="Q341" s="559" t="s">
        <v>23614</v>
      </c>
      <c r="R341" s="559" t="s">
        <v>23917</v>
      </c>
      <c r="S341" s="559" t="s">
        <v>24394</v>
      </c>
      <c r="T341" s="559" t="s">
        <v>24395</v>
      </c>
      <c r="U341" s="559"/>
      <c r="V341" s="559" t="s">
        <v>9334</v>
      </c>
      <c r="W341" s="559" t="s">
        <v>440</v>
      </c>
      <c r="X341" s="559" t="s">
        <v>194</v>
      </c>
      <c r="Y341" s="559" t="s">
        <v>9300</v>
      </c>
      <c r="Z341" s="559"/>
      <c r="AA341" s="559"/>
      <c r="AB341" s="559" t="s">
        <v>9311</v>
      </c>
      <c r="AC341" s="559"/>
      <c r="AD341" s="559"/>
      <c r="AE341" s="559"/>
      <c r="AF341" s="559"/>
      <c r="AG341" s="559"/>
      <c r="AH341" s="559" t="s">
        <v>4714</v>
      </c>
      <c r="AI341" s="559" t="s">
        <v>24392</v>
      </c>
      <c r="AJ341" s="601" t="str">
        <f t="shared" si="10"/>
        <v>242307</v>
      </c>
      <c r="AK341" s="601">
        <v>1</v>
      </c>
      <c r="AL341" s="601">
        <f t="shared" si="11"/>
        <v>1</v>
      </c>
      <c r="AM341" s="601">
        <v>1</v>
      </c>
      <c r="AN341" s="603" t="s">
        <v>17650</v>
      </c>
      <c r="AO341" s="603" t="s">
        <v>17651</v>
      </c>
      <c r="AP341" s="603" t="s">
        <v>17652</v>
      </c>
      <c r="AQ341" s="603" t="s">
        <v>17653</v>
      </c>
      <c r="AR341" s="603" t="s">
        <v>1024</v>
      </c>
      <c r="AS341" s="559">
        <v>1</v>
      </c>
    </row>
    <row r="342" spans="1:45" x14ac:dyDescent="0.2">
      <c r="A342" s="559" t="s">
        <v>14950</v>
      </c>
      <c r="B342" s="559" t="s">
        <v>1057</v>
      </c>
      <c r="C342" s="559" t="s">
        <v>74</v>
      </c>
      <c r="D342" s="559" t="s">
        <v>23700</v>
      </c>
      <c r="E342" s="559" t="s">
        <v>192</v>
      </c>
      <c r="F342" s="564">
        <v>1</v>
      </c>
      <c r="G342" s="559" t="s">
        <v>193</v>
      </c>
      <c r="H342" s="559" t="s">
        <v>194</v>
      </c>
      <c r="I342" s="559" t="s">
        <v>23139</v>
      </c>
      <c r="J342" s="559" t="s">
        <v>4347</v>
      </c>
      <c r="K342" s="559" t="s">
        <v>9309</v>
      </c>
      <c r="L342" s="559" t="s">
        <v>6955</v>
      </c>
      <c r="M342" s="559"/>
      <c r="N342" s="559" t="s">
        <v>24396</v>
      </c>
      <c r="O342" s="559" t="s">
        <v>6251</v>
      </c>
      <c r="P342" s="559" t="s">
        <v>23916</v>
      </c>
      <c r="Q342" s="559" t="s">
        <v>23614</v>
      </c>
      <c r="R342" s="559" t="s">
        <v>23917</v>
      </c>
      <c r="S342" s="559" t="s">
        <v>24397</v>
      </c>
      <c r="T342" s="559" t="s">
        <v>24398</v>
      </c>
      <c r="U342" s="559"/>
      <c r="V342" s="559" t="s">
        <v>10397</v>
      </c>
      <c r="W342" s="559" t="s">
        <v>246</v>
      </c>
      <c r="X342" s="559" t="s">
        <v>194</v>
      </c>
      <c r="Y342" s="559" t="s">
        <v>9300</v>
      </c>
      <c r="Z342" s="559"/>
      <c r="AA342" s="559"/>
      <c r="AB342" s="559" t="s">
        <v>9311</v>
      </c>
      <c r="AC342" s="559"/>
      <c r="AD342" s="559"/>
      <c r="AE342" s="559"/>
      <c r="AF342" s="559"/>
      <c r="AG342" s="559"/>
      <c r="AH342" s="559" t="s">
        <v>4714</v>
      </c>
      <c r="AI342" s="559" t="s">
        <v>1057</v>
      </c>
      <c r="AJ342" s="601" t="str">
        <f t="shared" si="10"/>
        <v>142004</v>
      </c>
      <c r="AK342" s="601">
        <v>1</v>
      </c>
      <c r="AL342" s="601">
        <f t="shared" si="11"/>
        <v>1</v>
      </c>
      <c r="AM342" s="601">
        <v>1</v>
      </c>
      <c r="AN342" s="603" t="s">
        <v>17650</v>
      </c>
      <c r="AO342" s="603" t="s">
        <v>17651</v>
      </c>
      <c r="AP342" s="603" t="s">
        <v>17652</v>
      </c>
      <c r="AQ342" s="603" t="s">
        <v>17653</v>
      </c>
      <c r="AR342" s="603" t="s">
        <v>1024</v>
      </c>
      <c r="AS342" s="559">
        <v>1</v>
      </c>
    </row>
    <row r="343" spans="1:45" x14ac:dyDescent="0.2">
      <c r="A343" s="559" t="s">
        <v>11149</v>
      </c>
      <c r="B343" s="559" t="s">
        <v>24399</v>
      </c>
      <c r="C343" s="559" t="s">
        <v>4571</v>
      </c>
      <c r="D343" s="559" t="s">
        <v>23700</v>
      </c>
      <c r="E343" s="559" t="s">
        <v>192</v>
      </c>
      <c r="F343" s="564">
        <v>1</v>
      </c>
      <c r="G343" s="559" t="s">
        <v>193</v>
      </c>
      <c r="H343" s="559" t="s">
        <v>194</v>
      </c>
      <c r="I343" s="559" t="s">
        <v>23917</v>
      </c>
      <c r="J343" s="559" t="s">
        <v>11150</v>
      </c>
      <c r="K343" s="559" t="s">
        <v>9309</v>
      </c>
      <c r="L343" s="559" t="s">
        <v>6955</v>
      </c>
      <c r="M343" s="559"/>
      <c r="N343" s="559" t="s">
        <v>24400</v>
      </c>
      <c r="O343" s="559" t="s">
        <v>6245</v>
      </c>
      <c r="P343" s="559" t="s">
        <v>23916</v>
      </c>
      <c r="Q343" s="559" t="s">
        <v>23614</v>
      </c>
      <c r="R343" s="559" t="s">
        <v>23917</v>
      </c>
      <c r="S343" s="559" t="s">
        <v>24401</v>
      </c>
      <c r="T343" s="559" t="s">
        <v>24402</v>
      </c>
      <c r="U343" s="559"/>
      <c r="V343" s="559" t="s">
        <v>11154</v>
      </c>
      <c r="W343" s="559" t="s">
        <v>4572</v>
      </c>
      <c r="X343" s="559" t="s">
        <v>194</v>
      </c>
      <c r="Y343" s="559" t="s">
        <v>9300</v>
      </c>
      <c r="Z343" s="559"/>
      <c r="AA343" s="559"/>
      <c r="AB343" s="559" t="s">
        <v>9311</v>
      </c>
      <c r="AC343" s="559"/>
      <c r="AD343" s="559"/>
      <c r="AE343" s="559"/>
      <c r="AF343" s="559"/>
      <c r="AG343" s="559"/>
      <c r="AH343" s="559" t="s">
        <v>4714</v>
      </c>
      <c r="AI343" s="559" t="s">
        <v>24399</v>
      </c>
      <c r="AJ343" s="601" t="str">
        <f t="shared" si="10"/>
        <v>214922</v>
      </c>
      <c r="AK343" s="601">
        <v>1</v>
      </c>
      <c r="AL343" s="601">
        <f t="shared" si="11"/>
        <v>1</v>
      </c>
      <c r="AM343" s="601">
        <v>1</v>
      </c>
      <c r="AN343" s="603" t="s">
        <v>17650</v>
      </c>
      <c r="AO343" s="603" t="s">
        <v>17651</v>
      </c>
      <c r="AP343" s="603" t="s">
        <v>17652</v>
      </c>
      <c r="AQ343" s="603" t="s">
        <v>17653</v>
      </c>
      <c r="AR343" s="603" t="s">
        <v>1024</v>
      </c>
      <c r="AS343" s="559">
        <v>1</v>
      </c>
    </row>
    <row r="344" spans="1:45" x14ac:dyDescent="0.2">
      <c r="A344" s="559" t="s">
        <v>16063</v>
      </c>
      <c r="B344" s="559" t="s">
        <v>4358</v>
      </c>
      <c r="C344" s="559" t="s">
        <v>566</v>
      </c>
      <c r="D344" s="559" t="s">
        <v>23700</v>
      </c>
      <c r="E344" s="559" t="s">
        <v>192</v>
      </c>
      <c r="F344" s="564">
        <v>1</v>
      </c>
      <c r="G344" s="559" t="s">
        <v>193</v>
      </c>
      <c r="H344" s="559" t="s">
        <v>194</v>
      </c>
      <c r="I344" s="559" t="s">
        <v>23158</v>
      </c>
      <c r="J344" s="559" t="s">
        <v>672</v>
      </c>
      <c r="K344" s="559" t="s">
        <v>9309</v>
      </c>
      <c r="L344" s="559" t="s">
        <v>6955</v>
      </c>
      <c r="M344" s="559"/>
      <c r="N344" s="559" t="s">
        <v>24403</v>
      </c>
      <c r="O344" s="559" t="s">
        <v>6275</v>
      </c>
      <c r="P344" s="559" t="s">
        <v>23916</v>
      </c>
      <c r="Q344" s="559" t="s">
        <v>23614</v>
      </c>
      <c r="R344" s="559" t="s">
        <v>23917</v>
      </c>
      <c r="S344" s="559" t="s">
        <v>24404</v>
      </c>
      <c r="T344" s="559" t="s">
        <v>24405</v>
      </c>
      <c r="U344" s="559"/>
      <c r="V344" s="559" t="s">
        <v>9726</v>
      </c>
      <c r="W344" s="559" t="s">
        <v>567</v>
      </c>
      <c r="X344" s="559" t="s">
        <v>194</v>
      </c>
      <c r="Y344" s="559" t="s">
        <v>9300</v>
      </c>
      <c r="Z344" s="559"/>
      <c r="AA344" s="559"/>
      <c r="AB344" s="559" t="s">
        <v>9311</v>
      </c>
      <c r="AC344" s="559"/>
      <c r="AD344" s="559"/>
      <c r="AE344" s="559"/>
      <c r="AF344" s="559"/>
      <c r="AG344" s="559"/>
      <c r="AH344" s="559" t="s">
        <v>4714</v>
      </c>
      <c r="AI344" s="559" t="s">
        <v>4358</v>
      </c>
      <c r="AJ344" s="601" t="str">
        <f t="shared" si="10"/>
        <v>311504</v>
      </c>
      <c r="AK344" s="601">
        <v>1</v>
      </c>
      <c r="AL344" s="601">
        <f t="shared" si="11"/>
        <v>1</v>
      </c>
      <c r="AM344" s="601">
        <v>1</v>
      </c>
      <c r="AN344" s="603" t="s">
        <v>17650</v>
      </c>
      <c r="AO344" s="603" t="s">
        <v>17651</v>
      </c>
      <c r="AP344" s="603" t="s">
        <v>17652</v>
      </c>
      <c r="AQ344" s="603" t="s">
        <v>17653</v>
      </c>
      <c r="AR344" s="603" t="s">
        <v>1024</v>
      </c>
      <c r="AS344" s="559">
        <v>1</v>
      </c>
    </row>
    <row r="345" spans="1:45" x14ac:dyDescent="0.2">
      <c r="A345" s="559" t="s">
        <v>24406</v>
      </c>
      <c r="B345" s="559" t="s">
        <v>2426</v>
      </c>
      <c r="C345" s="559" t="s">
        <v>27</v>
      </c>
      <c r="D345" s="559" t="s">
        <v>23700</v>
      </c>
      <c r="E345" s="559" t="s">
        <v>192</v>
      </c>
      <c r="F345" s="564">
        <v>1</v>
      </c>
      <c r="G345" s="559" t="s">
        <v>193</v>
      </c>
      <c r="H345" s="559" t="s">
        <v>194</v>
      </c>
      <c r="I345" s="559" t="s">
        <v>23708</v>
      </c>
      <c r="J345" s="559" t="s">
        <v>305</v>
      </c>
      <c r="K345" s="559" t="s">
        <v>9309</v>
      </c>
      <c r="L345" s="559" t="s">
        <v>6955</v>
      </c>
      <c r="M345" s="559"/>
      <c r="N345" s="559" t="s">
        <v>24407</v>
      </c>
      <c r="O345" s="559" t="s">
        <v>6340</v>
      </c>
      <c r="P345" s="559" t="s">
        <v>23916</v>
      </c>
      <c r="Q345" s="559" t="s">
        <v>23614</v>
      </c>
      <c r="R345" s="559" t="s">
        <v>23917</v>
      </c>
      <c r="S345" s="559" t="s">
        <v>24408</v>
      </c>
      <c r="T345" s="559" t="s">
        <v>24409</v>
      </c>
      <c r="U345" s="559"/>
      <c r="V345" s="559" t="s">
        <v>9753</v>
      </c>
      <c r="W345" s="559" t="s">
        <v>440</v>
      </c>
      <c r="X345" s="559" t="s">
        <v>194</v>
      </c>
      <c r="Y345" s="559" t="s">
        <v>9300</v>
      </c>
      <c r="Z345" s="559"/>
      <c r="AA345" s="559"/>
      <c r="AB345" s="559" t="s">
        <v>9311</v>
      </c>
      <c r="AC345" s="559"/>
      <c r="AD345" s="559"/>
      <c r="AE345" s="559"/>
      <c r="AF345" s="559"/>
      <c r="AG345" s="559"/>
      <c r="AH345" s="559" t="s">
        <v>4714</v>
      </c>
      <c r="AI345" s="559" t="s">
        <v>2426</v>
      </c>
      <c r="AJ345" s="601" t="str">
        <f t="shared" si="10"/>
        <v>242307</v>
      </c>
      <c r="AK345" s="601">
        <v>1</v>
      </c>
      <c r="AL345" s="601">
        <f t="shared" si="11"/>
        <v>1</v>
      </c>
      <c r="AM345" s="601">
        <v>1</v>
      </c>
      <c r="AN345" s="603" t="s">
        <v>17650</v>
      </c>
      <c r="AO345" s="603" t="s">
        <v>17651</v>
      </c>
      <c r="AP345" s="603" t="s">
        <v>17652</v>
      </c>
      <c r="AQ345" s="603" t="s">
        <v>17653</v>
      </c>
      <c r="AR345" s="603" t="s">
        <v>1024</v>
      </c>
      <c r="AS345" s="559">
        <v>1</v>
      </c>
    </row>
    <row r="346" spans="1:45" x14ac:dyDescent="0.2">
      <c r="A346" s="559" t="s">
        <v>17966</v>
      </c>
      <c r="B346" s="559" t="s">
        <v>24410</v>
      </c>
      <c r="C346" s="559" t="s">
        <v>17</v>
      </c>
      <c r="D346" s="559" t="s">
        <v>23700</v>
      </c>
      <c r="E346" s="559" t="s">
        <v>192</v>
      </c>
      <c r="F346" s="564">
        <v>1</v>
      </c>
      <c r="G346" s="559" t="s">
        <v>193</v>
      </c>
      <c r="H346" s="559" t="s">
        <v>194</v>
      </c>
      <c r="I346" s="559" t="s">
        <v>23164</v>
      </c>
      <c r="J346" s="559" t="s">
        <v>210</v>
      </c>
      <c r="K346" s="559" t="s">
        <v>9309</v>
      </c>
      <c r="L346" s="559" t="s">
        <v>6955</v>
      </c>
      <c r="M346" s="559"/>
      <c r="N346" s="559" t="s">
        <v>24411</v>
      </c>
      <c r="O346" s="559" t="s">
        <v>6251</v>
      </c>
      <c r="P346" s="559" t="s">
        <v>23916</v>
      </c>
      <c r="Q346" s="559" t="s">
        <v>23614</v>
      </c>
      <c r="R346" s="559" t="s">
        <v>23917</v>
      </c>
      <c r="S346" s="559" t="s">
        <v>24412</v>
      </c>
      <c r="T346" s="559" t="s">
        <v>24413</v>
      </c>
      <c r="U346" s="559"/>
      <c r="V346" s="559" t="s">
        <v>9334</v>
      </c>
      <c r="W346" s="559" t="s">
        <v>624</v>
      </c>
      <c r="X346" s="559" t="s">
        <v>194</v>
      </c>
      <c r="Y346" s="559" t="s">
        <v>9300</v>
      </c>
      <c r="Z346" s="559"/>
      <c r="AA346" s="559"/>
      <c r="AB346" s="559" t="s">
        <v>9311</v>
      </c>
      <c r="AC346" s="559"/>
      <c r="AD346" s="559"/>
      <c r="AE346" s="559"/>
      <c r="AF346" s="559"/>
      <c r="AG346" s="559"/>
      <c r="AH346" s="559" t="s">
        <v>4714</v>
      </c>
      <c r="AI346" s="559" t="s">
        <v>24410</v>
      </c>
      <c r="AJ346" s="601" t="str">
        <f t="shared" si="10"/>
        <v>332203</v>
      </c>
      <c r="AK346" s="601">
        <v>1</v>
      </c>
      <c r="AL346" s="601">
        <f t="shared" si="11"/>
        <v>1</v>
      </c>
      <c r="AM346" s="601">
        <v>1</v>
      </c>
      <c r="AN346" s="603" t="s">
        <v>17650</v>
      </c>
      <c r="AO346" s="603" t="s">
        <v>17651</v>
      </c>
      <c r="AP346" s="603" t="s">
        <v>17652</v>
      </c>
      <c r="AQ346" s="603" t="s">
        <v>17653</v>
      </c>
      <c r="AR346" s="603" t="s">
        <v>1024</v>
      </c>
      <c r="AS346" s="559">
        <v>1</v>
      </c>
    </row>
    <row r="347" spans="1:45" x14ac:dyDescent="0.2">
      <c r="A347" s="559" t="s">
        <v>835</v>
      </c>
      <c r="B347" s="559" t="s">
        <v>885</v>
      </c>
      <c r="C347" s="559" t="s">
        <v>886</v>
      </c>
      <c r="D347" s="559" t="s">
        <v>23700</v>
      </c>
      <c r="E347" s="559" t="s">
        <v>192</v>
      </c>
      <c r="F347" s="564">
        <v>1</v>
      </c>
      <c r="G347" s="559" t="s">
        <v>193</v>
      </c>
      <c r="H347" s="559" t="s">
        <v>194</v>
      </c>
      <c r="I347" s="559" t="s">
        <v>23158</v>
      </c>
      <c r="J347" s="559" t="s">
        <v>276</v>
      </c>
      <c r="K347" s="559" t="s">
        <v>9309</v>
      </c>
      <c r="L347" s="559" t="s">
        <v>6955</v>
      </c>
      <c r="M347" s="559"/>
      <c r="N347" s="559" t="s">
        <v>24414</v>
      </c>
      <c r="O347" s="559" t="s">
        <v>6275</v>
      </c>
      <c r="P347" s="559" t="s">
        <v>23916</v>
      </c>
      <c r="Q347" s="559" t="s">
        <v>23614</v>
      </c>
      <c r="R347" s="559" t="s">
        <v>23917</v>
      </c>
      <c r="S347" s="559" t="s">
        <v>24415</v>
      </c>
      <c r="T347" s="559" t="s">
        <v>24416</v>
      </c>
      <c r="U347" s="559"/>
      <c r="V347" s="559" t="s">
        <v>9786</v>
      </c>
      <c r="W347" s="559" t="s">
        <v>887</v>
      </c>
      <c r="X347" s="559" t="s">
        <v>194</v>
      </c>
      <c r="Y347" s="559" t="s">
        <v>9300</v>
      </c>
      <c r="Z347" s="559"/>
      <c r="AA347" s="559"/>
      <c r="AB347" s="559" t="s">
        <v>9311</v>
      </c>
      <c r="AC347" s="559"/>
      <c r="AD347" s="559"/>
      <c r="AE347" s="559"/>
      <c r="AF347" s="559"/>
      <c r="AG347" s="559"/>
      <c r="AH347" s="559" t="s">
        <v>4714</v>
      </c>
      <c r="AI347" s="559" t="s">
        <v>885</v>
      </c>
      <c r="AJ347" s="601" t="str">
        <f t="shared" si="10"/>
        <v>834401</v>
      </c>
      <c r="AK347" s="601">
        <v>1</v>
      </c>
      <c r="AL347" s="601">
        <f t="shared" si="11"/>
        <v>1</v>
      </c>
      <c r="AM347" s="601">
        <v>1</v>
      </c>
      <c r="AN347" s="603" t="s">
        <v>17650</v>
      </c>
      <c r="AO347" s="603" t="s">
        <v>17651</v>
      </c>
      <c r="AP347" s="603" t="s">
        <v>17652</v>
      </c>
      <c r="AQ347" s="603" t="s">
        <v>17653</v>
      </c>
      <c r="AR347" s="603" t="s">
        <v>1024</v>
      </c>
      <c r="AS347" s="559">
        <v>1</v>
      </c>
    </row>
    <row r="348" spans="1:45" x14ac:dyDescent="0.2">
      <c r="A348" s="559" t="s">
        <v>17966</v>
      </c>
      <c r="B348" s="559" t="s">
        <v>17967</v>
      </c>
      <c r="C348" s="559" t="s">
        <v>100</v>
      </c>
      <c r="D348" s="559" t="s">
        <v>23700</v>
      </c>
      <c r="E348" s="559" t="s">
        <v>192</v>
      </c>
      <c r="F348" s="564">
        <v>1</v>
      </c>
      <c r="G348" s="559" t="s">
        <v>193</v>
      </c>
      <c r="H348" s="559" t="s">
        <v>194</v>
      </c>
      <c r="I348" s="559" t="s">
        <v>23708</v>
      </c>
      <c r="J348" s="559" t="s">
        <v>210</v>
      </c>
      <c r="K348" s="559" t="s">
        <v>9309</v>
      </c>
      <c r="L348" s="559" t="s">
        <v>6955</v>
      </c>
      <c r="M348" s="559"/>
      <c r="N348" s="559" t="s">
        <v>24417</v>
      </c>
      <c r="O348" s="559" t="s">
        <v>6266</v>
      </c>
      <c r="P348" s="559" t="s">
        <v>23916</v>
      </c>
      <c r="Q348" s="559" t="s">
        <v>23614</v>
      </c>
      <c r="R348" s="559" t="s">
        <v>23917</v>
      </c>
      <c r="S348" s="559" t="s">
        <v>24418</v>
      </c>
      <c r="T348" s="559" t="s">
        <v>24419</v>
      </c>
      <c r="U348" s="559"/>
      <c r="V348" s="559" t="s">
        <v>9334</v>
      </c>
      <c r="W348" s="559" t="s">
        <v>429</v>
      </c>
      <c r="X348" s="559" t="s">
        <v>194</v>
      </c>
      <c r="Y348" s="559" t="s">
        <v>9300</v>
      </c>
      <c r="Z348" s="559"/>
      <c r="AA348" s="559"/>
      <c r="AB348" s="559" t="s">
        <v>9311</v>
      </c>
      <c r="AC348" s="559"/>
      <c r="AD348" s="559"/>
      <c r="AE348" s="559"/>
      <c r="AF348" s="559"/>
      <c r="AG348" s="559"/>
      <c r="AH348" s="559" t="s">
        <v>4714</v>
      </c>
      <c r="AI348" s="559" t="s">
        <v>17967</v>
      </c>
      <c r="AJ348" s="601" t="str">
        <f t="shared" si="10"/>
        <v>242108</v>
      </c>
      <c r="AK348" s="601">
        <v>1</v>
      </c>
      <c r="AL348" s="601">
        <f t="shared" si="11"/>
        <v>1</v>
      </c>
      <c r="AM348" s="601">
        <v>1</v>
      </c>
      <c r="AN348" s="603" t="s">
        <v>17650</v>
      </c>
      <c r="AO348" s="603" t="s">
        <v>17651</v>
      </c>
      <c r="AP348" s="603" t="s">
        <v>17652</v>
      </c>
      <c r="AQ348" s="603" t="s">
        <v>17653</v>
      </c>
      <c r="AR348" s="603" t="s">
        <v>1024</v>
      </c>
      <c r="AS348" s="559">
        <v>1</v>
      </c>
    </row>
    <row r="349" spans="1:45" x14ac:dyDescent="0.2">
      <c r="A349" s="559" t="s">
        <v>11602</v>
      </c>
      <c r="B349" s="559" t="s">
        <v>24420</v>
      </c>
      <c r="C349" s="559" t="s">
        <v>1133</v>
      </c>
      <c r="D349" s="559" t="s">
        <v>23700</v>
      </c>
      <c r="E349" s="559" t="s">
        <v>192</v>
      </c>
      <c r="F349" s="564">
        <v>1</v>
      </c>
      <c r="G349" s="559" t="s">
        <v>193</v>
      </c>
      <c r="H349" s="559" t="s">
        <v>194</v>
      </c>
      <c r="I349" s="559" t="s">
        <v>23186</v>
      </c>
      <c r="J349" s="559" t="s">
        <v>210</v>
      </c>
      <c r="K349" s="559" t="s">
        <v>9309</v>
      </c>
      <c r="L349" s="559" t="s">
        <v>6955</v>
      </c>
      <c r="M349" s="559"/>
      <c r="N349" s="559" t="s">
        <v>24421</v>
      </c>
      <c r="O349" s="559" t="s">
        <v>6245</v>
      </c>
      <c r="P349" s="559" t="s">
        <v>23916</v>
      </c>
      <c r="Q349" s="559" t="s">
        <v>23614</v>
      </c>
      <c r="R349" s="559" t="s">
        <v>23917</v>
      </c>
      <c r="S349" s="559" t="s">
        <v>24422</v>
      </c>
      <c r="T349" s="559" t="s">
        <v>24423</v>
      </c>
      <c r="U349" s="559"/>
      <c r="V349" s="559" t="s">
        <v>9334</v>
      </c>
      <c r="W349" s="559" t="s">
        <v>1134</v>
      </c>
      <c r="X349" s="559" t="s">
        <v>194</v>
      </c>
      <c r="Y349" s="559" t="s">
        <v>9300</v>
      </c>
      <c r="Z349" s="559"/>
      <c r="AA349" s="559"/>
      <c r="AB349" s="559" t="s">
        <v>9311</v>
      </c>
      <c r="AC349" s="559"/>
      <c r="AD349" s="559"/>
      <c r="AE349" s="559"/>
      <c r="AF349" s="559"/>
      <c r="AG349" s="559"/>
      <c r="AH349" s="559" t="s">
        <v>4714</v>
      </c>
      <c r="AI349" s="559" t="s">
        <v>24420</v>
      </c>
      <c r="AJ349" s="601" t="str">
        <f t="shared" si="10"/>
        <v>112008</v>
      </c>
      <c r="AK349" s="601">
        <v>1</v>
      </c>
      <c r="AL349" s="601">
        <f t="shared" si="11"/>
        <v>1</v>
      </c>
      <c r="AM349" s="601">
        <v>1</v>
      </c>
      <c r="AN349" s="603" t="s">
        <v>17650</v>
      </c>
      <c r="AO349" s="603" t="s">
        <v>17651</v>
      </c>
      <c r="AP349" s="603" t="s">
        <v>17652</v>
      </c>
      <c r="AQ349" s="603" t="s">
        <v>17653</v>
      </c>
      <c r="AR349" s="603" t="s">
        <v>1024</v>
      </c>
      <c r="AS349" s="559">
        <v>1</v>
      </c>
    </row>
    <row r="350" spans="1:45" x14ac:dyDescent="0.2">
      <c r="A350" s="559" t="s">
        <v>10644</v>
      </c>
      <c r="B350" s="559" t="s">
        <v>24424</v>
      </c>
      <c r="C350" s="559" t="s">
        <v>2920</v>
      </c>
      <c r="D350" s="559" t="s">
        <v>23700</v>
      </c>
      <c r="E350" s="559" t="s">
        <v>192</v>
      </c>
      <c r="F350" s="564">
        <v>1</v>
      </c>
      <c r="G350" s="559" t="s">
        <v>193</v>
      </c>
      <c r="H350" s="559" t="s">
        <v>194</v>
      </c>
      <c r="I350" s="559" t="s">
        <v>23708</v>
      </c>
      <c r="J350" s="559" t="s">
        <v>575</v>
      </c>
      <c r="K350" s="559" t="s">
        <v>9309</v>
      </c>
      <c r="L350" s="559" t="s">
        <v>6955</v>
      </c>
      <c r="M350" s="559"/>
      <c r="N350" s="559" t="s">
        <v>24425</v>
      </c>
      <c r="O350" s="559" t="s">
        <v>6327</v>
      </c>
      <c r="P350" s="559" t="s">
        <v>23916</v>
      </c>
      <c r="Q350" s="559" t="s">
        <v>23614</v>
      </c>
      <c r="R350" s="559" t="s">
        <v>23917</v>
      </c>
      <c r="S350" s="559" t="s">
        <v>24426</v>
      </c>
      <c r="T350" s="559" t="s">
        <v>24427</v>
      </c>
      <c r="U350" s="559"/>
      <c r="V350" s="559" t="s">
        <v>9726</v>
      </c>
      <c r="W350" s="559" t="s">
        <v>24428</v>
      </c>
      <c r="X350" s="559" t="s">
        <v>194</v>
      </c>
      <c r="Y350" s="559" t="s">
        <v>9300</v>
      </c>
      <c r="Z350" s="559"/>
      <c r="AA350" s="559"/>
      <c r="AB350" s="559" t="s">
        <v>9311</v>
      </c>
      <c r="AC350" s="559"/>
      <c r="AD350" s="559"/>
      <c r="AE350" s="559"/>
      <c r="AF350" s="559"/>
      <c r="AG350" s="559"/>
      <c r="AH350" s="559" t="s">
        <v>4714</v>
      </c>
      <c r="AI350" s="559" t="s">
        <v>24424</v>
      </c>
      <c r="AJ350" s="601" t="str">
        <f t="shared" si="10"/>
        <v>214101</v>
      </c>
      <c r="AK350" s="601">
        <v>1</v>
      </c>
      <c r="AL350" s="601">
        <f t="shared" si="11"/>
        <v>1</v>
      </c>
      <c r="AM350" s="601">
        <v>1</v>
      </c>
      <c r="AN350" s="603" t="s">
        <v>17650</v>
      </c>
      <c r="AO350" s="603" t="s">
        <v>17651</v>
      </c>
      <c r="AP350" s="603" t="s">
        <v>17652</v>
      </c>
      <c r="AQ350" s="603" t="s">
        <v>17653</v>
      </c>
      <c r="AR350" s="603" t="s">
        <v>1024</v>
      </c>
      <c r="AS350" s="559">
        <v>1</v>
      </c>
    </row>
    <row r="351" spans="1:45" x14ac:dyDescent="0.2">
      <c r="A351" s="559" t="s">
        <v>23596</v>
      </c>
      <c r="B351" s="559" t="s">
        <v>24429</v>
      </c>
      <c r="C351" s="559" t="s">
        <v>10</v>
      </c>
      <c r="D351" s="559" t="s">
        <v>23700</v>
      </c>
      <c r="E351" s="559" t="s">
        <v>192</v>
      </c>
      <c r="F351" s="564">
        <v>1</v>
      </c>
      <c r="G351" s="559" t="s">
        <v>193</v>
      </c>
      <c r="H351" s="559" t="s">
        <v>194</v>
      </c>
      <c r="I351" s="559" t="s">
        <v>23307</v>
      </c>
      <c r="J351" s="559" t="s">
        <v>210</v>
      </c>
      <c r="K351" s="559" t="s">
        <v>9309</v>
      </c>
      <c r="L351" s="559" t="s">
        <v>6955</v>
      </c>
      <c r="M351" s="559"/>
      <c r="N351" s="559" t="s">
        <v>24430</v>
      </c>
      <c r="O351" s="559" t="s">
        <v>6261</v>
      </c>
      <c r="P351" s="559" t="s">
        <v>23916</v>
      </c>
      <c r="Q351" s="559" t="s">
        <v>23614</v>
      </c>
      <c r="R351" s="559" t="s">
        <v>23917</v>
      </c>
      <c r="S351" s="559" t="s">
        <v>24431</v>
      </c>
      <c r="T351" s="559" t="s">
        <v>24432</v>
      </c>
      <c r="U351" s="559"/>
      <c r="V351" s="559" t="s">
        <v>9334</v>
      </c>
      <c r="W351" s="559" t="s">
        <v>484</v>
      </c>
      <c r="X351" s="559" t="s">
        <v>194</v>
      </c>
      <c r="Y351" s="559" t="s">
        <v>9300</v>
      </c>
      <c r="Z351" s="559"/>
      <c r="AA351" s="559"/>
      <c r="AB351" s="559" t="s">
        <v>9311</v>
      </c>
      <c r="AC351" s="559"/>
      <c r="AD351" s="559"/>
      <c r="AE351" s="559"/>
      <c r="AF351" s="559"/>
      <c r="AG351" s="559"/>
      <c r="AH351" s="559" t="s">
        <v>4714</v>
      </c>
      <c r="AI351" s="559" t="s">
        <v>24429</v>
      </c>
      <c r="AJ351" s="601" t="str">
        <f t="shared" si="10"/>
        <v>251401</v>
      </c>
      <c r="AK351" s="601">
        <v>1</v>
      </c>
      <c r="AL351" s="601">
        <f t="shared" si="11"/>
        <v>1</v>
      </c>
      <c r="AM351" s="601">
        <v>1</v>
      </c>
      <c r="AN351" s="603" t="s">
        <v>17650</v>
      </c>
      <c r="AO351" s="603" t="s">
        <v>17651</v>
      </c>
      <c r="AP351" s="603" t="s">
        <v>17652</v>
      </c>
      <c r="AQ351" s="603" t="s">
        <v>17653</v>
      </c>
      <c r="AR351" s="603" t="s">
        <v>1024</v>
      </c>
      <c r="AS351" s="559">
        <v>1</v>
      </c>
    </row>
    <row r="352" spans="1:45" x14ac:dyDescent="0.2">
      <c r="A352" s="559" t="s">
        <v>24433</v>
      </c>
      <c r="B352" s="559" t="s">
        <v>24434</v>
      </c>
      <c r="C352" s="559" t="s">
        <v>17</v>
      </c>
      <c r="D352" s="559" t="s">
        <v>23700</v>
      </c>
      <c r="E352" s="559" t="s">
        <v>192</v>
      </c>
      <c r="F352" s="564">
        <v>1</v>
      </c>
      <c r="G352" s="559" t="s">
        <v>193</v>
      </c>
      <c r="H352" s="559" t="s">
        <v>194</v>
      </c>
      <c r="I352" s="559" t="s">
        <v>23139</v>
      </c>
      <c r="J352" s="559" t="s">
        <v>367</v>
      </c>
      <c r="K352" s="559" t="s">
        <v>9309</v>
      </c>
      <c r="L352" s="559" t="s">
        <v>6955</v>
      </c>
      <c r="M352" s="559"/>
      <c r="N352" s="559" t="s">
        <v>24435</v>
      </c>
      <c r="O352" s="559" t="s">
        <v>6249</v>
      </c>
      <c r="P352" s="559" t="s">
        <v>23916</v>
      </c>
      <c r="Q352" s="559" t="s">
        <v>23614</v>
      </c>
      <c r="R352" s="559" t="s">
        <v>23917</v>
      </c>
      <c r="S352" s="559" t="s">
        <v>24436</v>
      </c>
      <c r="T352" s="559" t="s">
        <v>24437</v>
      </c>
      <c r="U352" s="559"/>
      <c r="V352" s="559" t="s">
        <v>9974</v>
      </c>
      <c r="W352" s="559" t="s">
        <v>624</v>
      </c>
      <c r="X352" s="559" t="s">
        <v>194</v>
      </c>
      <c r="Y352" s="559" t="s">
        <v>9300</v>
      </c>
      <c r="Z352" s="559"/>
      <c r="AA352" s="559"/>
      <c r="AB352" s="559" t="s">
        <v>9311</v>
      </c>
      <c r="AC352" s="559"/>
      <c r="AD352" s="559"/>
      <c r="AE352" s="559"/>
      <c r="AF352" s="559"/>
      <c r="AG352" s="559"/>
      <c r="AH352" s="559" t="s">
        <v>4714</v>
      </c>
      <c r="AI352" s="559" t="s">
        <v>24434</v>
      </c>
      <c r="AJ352" s="601" t="str">
        <f t="shared" si="10"/>
        <v>332203</v>
      </c>
      <c r="AK352" s="601">
        <v>1</v>
      </c>
      <c r="AL352" s="601">
        <f t="shared" si="11"/>
        <v>1</v>
      </c>
      <c r="AM352" s="601">
        <v>1</v>
      </c>
      <c r="AN352" s="603" t="s">
        <v>17650</v>
      </c>
      <c r="AO352" s="603" t="s">
        <v>17651</v>
      </c>
      <c r="AP352" s="603" t="s">
        <v>17652</v>
      </c>
      <c r="AQ352" s="603" t="s">
        <v>17653</v>
      </c>
      <c r="AR352" s="603" t="s">
        <v>1024</v>
      </c>
      <c r="AS352" s="559">
        <v>1</v>
      </c>
    </row>
    <row r="353" spans="1:45" x14ac:dyDescent="0.2">
      <c r="A353" s="559" t="s">
        <v>24433</v>
      </c>
      <c r="B353" s="559" t="s">
        <v>24434</v>
      </c>
      <c r="C353" s="559" t="s">
        <v>17</v>
      </c>
      <c r="D353" s="559" t="s">
        <v>23700</v>
      </c>
      <c r="E353" s="559" t="s">
        <v>192</v>
      </c>
      <c r="F353" s="564">
        <v>1</v>
      </c>
      <c r="G353" s="559" t="s">
        <v>193</v>
      </c>
      <c r="H353" s="559" t="s">
        <v>194</v>
      </c>
      <c r="I353" s="559" t="s">
        <v>23139</v>
      </c>
      <c r="J353" s="559" t="s">
        <v>385</v>
      </c>
      <c r="K353" s="559" t="s">
        <v>9309</v>
      </c>
      <c r="L353" s="559" t="s">
        <v>6955</v>
      </c>
      <c r="M353" s="559"/>
      <c r="N353" s="559" t="s">
        <v>24438</v>
      </c>
      <c r="O353" s="559" t="s">
        <v>6249</v>
      </c>
      <c r="P353" s="559" t="s">
        <v>23916</v>
      </c>
      <c r="Q353" s="559" t="s">
        <v>23614</v>
      </c>
      <c r="R353" s="559" t="s">
        <v>23917</v>
      </c>
      <c r="S353" s="559" t="s">
        <v>24439</v>
      </c>
      <c r="T353" s="559" t="s">
        <v>24440</v>
      </c>
      <c r="U353" s="559"/>
      <c r="V353" s="559" t="s">
        <v>9410</v>
      </c>
      <c r="W353" s="559" t="s">
        <v>624</v>
      </c>
      <c r="X353" s="559" t="s">
        <v>194</v>
      </c>
      <c r="Y353" s="559" t="s">
        <v>9300</v>
      </c>
      <c r="Z353" s="559"/>
      <c r="AA353" s="559"/>
      <c r="AB353" s="559" t="s">
        <v>9311</v>
      </c>
      <c r="AC353" s="559"/>
      <c r="AD353" s="559"/>
      <c r="AE353" s="559"/>
      <c r="AF353" s="559"/>
      <c r="AG353" s="559"/>
      <c r="AH353" s="559" t="s">
        <v>4714</v>
      </c>
      <c r="AI353" s="559" t="s">
        <v>24434</v>
      </c>
      <c r="AJ353" s="601" t="str">
        <f t="shared" si="10"/>
        <v>332203</v>
      </c>
      <c r="AK353" s="601">
        <v>1</v>
      </c>
      <c r="AL353" s="601">
        <f t="shared" si="11"/>
        <v>1</v>
      </c>
      <c r="AM353" s="601">
        <v>1</v>
      </c>
      <c r="AN353" s="603" t="s">
        <v>17650</v>
      </c>
      <c r="AO353" s="603" t="s">
        <v>17651</v>
      </c>
      <c r="AP353" s="603" t="s">
        <v>17652</v>
      </c>
      <c r="AQ353" s="603" t="s">
        <v>17653</v>
      </c>
      <c r="AR353" s="603" t="s">
        <v>1024</v>
      </c>
      <c r="AS353" s="559">
        <v>1</v>
      </c>
    </row>
    <row r="354" spans="1:45" x14ac:dyDescent="0.2">
      <c r="A354" s="559" t="s">
        <v>24433</v>
      </c>
      <c r="B354" s="559" t="s">
        <v>24434</v>
      </c>
      <c r="C354" s="559" t="s">
        <v>17</v>
      </c>
      <c r="D354" s="559" t="s">
        <v>23700</v>
      </c>
      <c r="E354" s="559" t="s">
        <v>192</v>
      </c>
      <c r="F354" s="564">
        <v>1</v>
      </c>
      <c r="G354" s="559" t="s">
        <v>193</v>
      </c>
      <c r="H354" s="559" t="s">
        <v>194</v>
      </c>
      <c r="I354" s="559" t="s">
        <v>23139</v>
      </c>
      <c r="J354" s="559" t="s">
        <v>24441</v>
      </c>
      <c r="K354" s="559" t="s">
        <v>9309</v>
      </c>
      <c r="L354" s="559" t="s">
        <v>6955</v>
      </c>
      <c r="M354" s="559"/>
      <c r="N354" s="559" t="s">
        <v>24442</v>
      </c>
      <c r="O354" s="559" t="s">
        <v>6249</v>
      </c>
      <c r="P354" s="559" t="s">
        <v>23916</v>
      </c>
      <c r="Q354" s="559" t="s">
        <v>23614</v>
      </c>
      <c r="R354" s="559" t="s">
        <v>23917</v>
      </c>
      <c r="S354" s="559" t="s">
        <v>24443</v>
      </c>
      <c r="T354" s="559" t="s">
        <v>24444</v>
      </c>
      <c r="U354" s="559"/>
      <c r="V354" s="559" t="s">
        <v>9856</v>
      </c>
      <c r="W354" s="559" t="s">
        <v>624</v>
      </c>
      <c r="X354" s="559" t="s">
        <v>194</v>
      </c>
      <c r="Y354" s="559" t="s">
        <v>9300</v>
      </c>
      <c r="Z354" s="559"/>
      <c r="AA354" s="559"/>
      <c r="AB354" s="559" t="s">
        <v>9311</v>
      </c>
      <c r="AC354" s="559"/>
      <c r="AD354" s="559"/>
      <c r="AE354" s="559"/>
      <c r="AF354" s="559"/>
      <c r="AG354" s="559"/>
      <c r="AH354" s="559" t="s">
        <v>4714</v>
      </c>
      <c r="AI354" s="559" t="s">
        <v>24434</v>
      </c>
      <c r="AJ354" s="601" t="str">
        <f t="shared" si="10"/>
        <v>332203</v>
      </c>
      <c r="AK354" s="601">
        <v>1</v>
      </c>
      <c r="AL354" s="601">
        <f t="shared" si="11"/>
        <v>1</v>
      </c>
      <c r="AM354" s="601">
        <v>1</v>
      </c>
      <c r="AN354" s="603" t="s">
        <v>17650</v>
      </c>
      <c r="AO354" s="603" t="s">
        <v>17651</v>
      </c>
      <c r="AP354" s="603" t="s">
        <v>17652</v>
      </c>
      <c r="AQ354" s="603" t="s">
        <v>17653</v>
      </c>
      <c r="AR354" s="603" t="s">
        <v>1024</v>
      </c>
      <c r="AS354" s="559">
        <v>1</v>
      </c>
    </row>
    <row r="355" spans="1:45" x14ac:dyDescent="0.2">
      <c r="A355" s="559" t="s">
        <v>24433</v>
      </c>
      <c r="B355" s="559" t="s">
        <v>24434</v>
      </c>
      <c r="C355" s="559" t="s">
        <v>17</v>
      </c>
      <c r="D355" s="559" t="s">
        <v>23700</v>
      </c>
      <c r="E355" s="559" t="s">
        <v>192</v>
      </c>
      <c r="F355" s="564">
        <v>1</v>
      </c>
      <c r="G355" s="559" t="s">
        <v>193</v>
      </c>
      <c r="H355" s="559" t="s">
        <v>194</v>
      </c>
      <c r="I355" s="559" t="s">
        <v>23139</v>
      </c>
      <c r="J355" s="559" t="s">
        <v>24445</v>
      </c>
      <c r="K355" s="559" t="s">
        <v>9309</v>
      </c>
      <c r="L355" s="559" t="s">
        <v>6955</v>
      </c>
      <c r="M355" s="559"/>
      <c r="N355" s="559" t="s">
        <v>24446</v>
      </c>
      <c r="O355" s="559" t="s">
        <v>6249</v>
      </c>
      <c r="P355" s="559" t="s">
        <v>23916</v>
      </c>
      <c r="Q355" s="559" t="s">
        <v>23614</v>
      </c>
      <c r="R355" s="559" t="s">
        <v>23917</v>
      </c>
      <c r="S355" s="559" t="s">
        <v>24447</v>
      </c>
      <c r="T355" s="559" t="s">
        <v>24448</v>
      </c>
      <c r="U355" s="559"/>
      <c r="V355" s="559" t="s">
        <v>9974</v>
      </c>
      <c r="W355" s="559" t="s">
        <v>624</v>
      </c>
      <c r="X355" s="559" t="s">
        <v>194</v>
      </c>
      <c r="Y355" s="559" t="s">
        <v>9300</v>
      </c>
      <c r="Z355" s="559"/>
      <c r="AA355" s="559"/>
      <c r="AB355" s="559" t="s">
        <v>9311</v>
      </c>
      <c r="AC355" s="559"/>
      <c r="AD355" s="559"/>
      <c r="AE355" s="559"/>
      <c r="AF355" s="559"/>
      <c r="AG355" s="559"/>
      <c r="AH355" s="559" t="s">
        <v>4714</v>
      </c>
      <c r="AI355" s="559" t="s">
        <v>24434</v>
      </c>
      <c r="AJ355" s="601" t="str">
        <f t="shared" si="10"/>
        <v>332203</v>
      </c>
      <c r="AK355" s="601">
        <v>1</v>
      </c>
      <c r="AL355" s="601">
        <f t="shared" si="11"/>
        <v>1</v>
      </c>
      <c r="AM355" s="601">
        <v>1</v>
      </c>
      <c r="AN355" s="603" t="s">
        <v>17650</v>
      </c>
      <c r="AO355" s="603" t="s">
        <v>17651</v>
      </c>
      <c r="AP355" s="603" t="s">
        <v>17652</v>
      </c>
      <c r="AQ355" s="603" t="s">
        <v>17653</v>
      </c>
      <c r="AR355" s="603" t="s">
        <v>1024</v>
      </c>
      <c r="AS355" s="559">
        <v>1</v>
      </c>
    </row>
    <row r="356" spans="1:45" x14ac:dyDescent="0.2">
      <c r="A356" s="559" t="s">
        <v>24449</v>
      </c>
      <c r="B356" s="559" t="s">
        <v>67</v>
      </c>
      <c r="C356" s="559" t="s">
        <v>67</v>
      </c>
      <c r="D356" s="559" t="s">
        <v>23700</v>
      </c>
      <c r="E356" s="559" t="s">
        <v>192</v>
      </c>
      <c r="F356" s="564">
        <v>1</v>
      </c>
      <c r="G356" s="559" t="s">
        <v>193</v>
      </c>
      <c r="H356" s="559" t="s">
        <v>194</v>
      </c>
      <c r="I356" s="559" t="s">
        <v>23151</v>
      </c>
      <c r="J356" s="559" t="s">
        <v>210</v>
      </c>
      <c r="K356" s="559" t="s">
        <v>9309</v>
      </c>
      <c r="L356" s="559" t="s">
        <v>6955</v>
      </c>
      <c r="M356" s="559"/>
      <c r="N356" s="559" t="s">
        <v>24450</v>
      </c>
      <c r="O356" s="559" t="s">
        <v>6266</v>
      </c>
      <c r="P356" s="559" t="s">
        <v>23916</v>
      </c>
      <c r="Q356" s="559" t="s">
        <v>23614</v>
      </c>
      <c r="R356" s="559" t="s">
        <v>23917</v>
      </c>
      <c r="S356" s="559" t="s">
        <v>24451</v>
      </c>
      <c r="T356" s="559" t="s">
        <v>24452</v>
      </c>
      <c r="U356" s="559"/>
      <c r="V356" s="559" t="s">
        <v>9334</v>
      </c>
      <c r="W356" s="559" t="s">
        <v>709</v>
      </c>
      <c r="X356" s="559" t="s">
        <v>194</v>
      </c>
      <c r="Y356" s="559" t="s">
        <v>9300</v>
      </c>
      <c r="Z356" s="559"/>
      <c r="AA356" s="559"/>
      <c r="AB356" s="559" t="s">
        <v>9311</v>
      </c>
      <c r="AC356" s="559"/>
      <c r="AD356" s="559"/>
      <c r="AE356" s="559"/>
      <c r="AF356" s="559"/>
      <c r="AG356" s="559"/>
      <c r="AH356" s="559" t="s">
        <v>4714</v>
      </c>
      <c r="AI356" s="559" t="s">
        <v>67</v>
      </c>
      <c r="AJ356" s="601" t="str">
        <f t="shared" si="10"/>
        <v>432103</v>
      </c>
      <c r="AK356" s="601">
        <v>1</v>
      </c>
      <c r="AL356" s="601">
        <f t="shared" si="11"/>
        <v>1</v>
      </c>
      <c r="AM356" s="601">
        <v>1</v>
      </c>
      <c r="AN356" s="603" t="s">
        <v>17650</v>
      </c>
      <c r="AO356" s="603" t="s">
        <v>17651</v>
      </c>
      <c r="AP356" s="603" t="s">
        <v>17652</v>
      </c>
      <c r="AQ356" s="603" t="s">
        <v>17653</v>
      </c>
      <c r="AR356" s="603" t="s">
        <v>1024</v>
      </c>
      <c r="AS356" s="559">
        <v>1</v>
      </c>
    </row>
    <row r="357" spans="1:45" x14ac:dyDescent="0.2">
      <c r="A357" s="559" t="s">
        <v>8231</v>
      </c>
      <c r="B357" s="559" t="s">
        <v>3389</v>
      </c>
      <c r="C357" s="559" t="s">
        <v>113</v>
      </c>
      <c r="D357" s="559" t="s">
        <v>23700</v>
      </c>
      <c r="E357" s="559" t="s">
        <v>192</v>
      </c>
      <c r="F357" s="564">
        <v>1</v>
      </c>
      <c r="G357" s="559" t="s">
        <v>193</v>
      </c>
      <c r="H357" s="559" t="s">
        <v>194</v>
      </c>
      <c r="I357" s="559" t="s">
        <v>23708</v>
      </c>
      <c r="J357" s="559" t="s">
        <v>223</v>
      </c>
      <c r="K357" s="559" t="s">
        <v>9309</v>
      </c>
      <c r="L357" s="559" t="s">
        <v>6955</v>
      </c>
      <c r="M357" s="559"/>
      <c r="N357" s="559" t="s">
        <v>24453</v>
      </c>
      <c r="O357" s="559" t="s">
        <v>6245</v>
      </c>
      <c r="P357" s="559" t="s">
        <v>23916</v>
      </c>
      <c r="Q357" s="559" t="s">
        <v>23614</v>
      </c>
      <c r="R357" s="559" t="s">
        <v>23917</v>
      </c>
      <c r="S357" s="559" t="s">
        <v>24454</v>
      </c>
      <c r="T357" s="559" t="s">
        <v>24455</v>
      </c>
      <c r="U357" s="559"/>
      <c r="V357" s="559" t="s">
        <v>11163</v>
      </c>
      <c r="W357" s="559" t="s">
        <v>465</v>
      </c>
      <c r="X357" s="559" t="s">
        <v>194</v>
      </c>
      <c r="Y357" s="559" t="s">
        <v>9300</v>
      </c>
      <c r="Z357" s="559"/>
      <c r="AA357" s="559"/>
      <c r="AB357" s="559" t="s">
        <v>9311</v>
      </c>
      <c r="AC357" s="559"/>
      <c r="AD357" s="559"/>
      <c r="AE357" s="559"/>
      <c r="AF357" s="559"/>
      <c r="AG357" s="559"/>
      <c r="AH357" s="559" t="s">
        <v>4714</v>
      </c>
      <c r="AI357" s="559" t="s">
        <v>3389</v>
      </c>
      <c r="AJ357" s="601" t="str">
        <f t="shared" si="10"/>
        <v>243302</v>
      </c>
      <c r="AK357" s="601">
        <v>1</v>
      </c>
      <c r="AL357" s="601">
        <f t="shared" si="11"/>
        <v>1</v>
      </c>
      <c r="AM357" s="601">
        <v>1</v>
      </c>
      <c r="AN357" s="603" t="s">
        <v>17650</v>
      </c>
      <c r="AO357" s="603" t="s">
        <v>17651</v>
      </c>
      <c r="AP357" s="603" t="s">
        <v>17652</v>
      </c>
      <c r="AQ357" s="603" t="s">
        <v>17653</v>
      </c>
      <c r="AR357" s="603" t="s">
        <v>1024</v>
      </c>
      <c r="AS357" s="559">
        <v>1</v>
      </c>
    </row>
    <row r="358" spans="1:45" x14ac:dyDescent="0.2">
      <c r="A358" s="559" t="s">
        <v>1490</v>
      </c>
      <c r="B358" s="559" t="s">
        <v>24456</v>
      </c>
      <c r="C358" s="559" t="s">
        <v>24457</v>
      </c>
      <c r="D358" s="559" t="s">
        <v>23700</v>
      </c>
      <c r="E358" s="559" t="s">
        <v>192</v>
      </c>
      <c r="F358" s="564">
        <v>1</v>
      </c>
      <c r="G358" s="559" t="s">
        <v>193</v>
      </c>
      <c r="H358" s="559" t="s">
        <v>194</v>
      </c>
      <c r="I358" s="559" t="s">
        <v>23708</v>
      </c>
      <c r="J358" s="559" t="s">
        <v>575</v>
      </c>
      <c r="K358" s="559" t="s">
        <v>9309</v>
      </c>
      <c r="L358" s="559" t="s">
        <v>6955</v>
      </c>
      <c r="M358" s="559"/>
      <c r="N358" s="559" t="s">
        <v>24458</v>
      </c>
      <c r="O358" s="559" t="s">
        <v>6327</v>
      </c>
      <c r="P358" s="559" t="s">
        <v>23916</v>
      </c>
      <c r="Q358" s="559" t="s">
        <v>23614</v>
      </c>
      <c r="R358" s="559" t="s">
        <v>23917</v>
      </c>
      <c r="S358" s="559" t="s">
        <v>24459</v>
      </c>
      <c r="T358" s="559" t="s">
        <v>24460</v>
      </c>
      <c r="U358" s="559"/>
      <c r="V358" s="559" t="s">
        <v>9726</v>
      </c>
      <c r="W358" s="559" t="s">
        <v>24461</v>
      </c>
      <c r="X358" s="559" t="s">
        <v>194</v>
      </c>
      <c r="Y358" s="559" t="s">
        <v>9300</v>
      </c>
      <c r="Z358" s="559"/>
      <c r="AA358" s="559"/>
      <c r="AB358" s="559" t="s">
        <v>9311</v>
      </c>
      <c r="AC358" s="559"/>
      <c r="AD358" s="559"/>
      <c r="AE358" s="559"/>
      <c r="AF358" s="559"/>
      <c r="AG358" s="559"/>
      <c r="AH358" s="559" t="s">
        <v>4714</v>
      </c>
      <c r="AI358" s="559" t="s">
        <v>24456</v>
      </c>
      <c r="AJ358" s="601" t="str">
        <f t="shared" si="10"/>
        <v>214108</v>
      </c>
      <c r="AK358" s="601">
        <v>1</v>
      </c>
      <c r="AL358" s="601">
        <f t="shared" si="11"/>
        <v>1</v>
      </c>
      <c r="AM358" s="601">
        <v>1</v>
      </c>
      <c r="AN358" s="603" t="s">
        <v>17650</v>
      </c>
      <c r="AO358" s="603" t="s">
        <v>17651</v>
      </c>
      <c r="AP358" s="603" t="s">
        <v>17652</v>
      </c>
      <c r="AQ358" s="603" t="s">
        <v>17653</v>
      </c>
      <c r="AR358" s="603" t="s">
        <v>1024</v>
      </c>
      <c r="AS358" s="559">
        <v>1</v>
      </c>
    </row>
    <row r="359" spans="1:45" x14ac:dyDescent="0.2">
      <c r="A359" s="559" t="s">
        <v>23596</v>
      </c>
      <c r="B359" s="559" t="s">
        <v>24462</v>
      </c>
      <c r="C359" s="559" t="s">
        <v>10</v>
      </c>
      <c r="D359" s="559" t="s">
        <v>23700</v>
      </c>
      <c r="E359" s="559" t="s">
        <v>192</v>
      </c>
      <c r="F359" s="564">
        <v>1</v>
      </c>
      <c r="G359" s="559" t="s">
        <v>193</v>
      </c>
      <c r="H359" s="559" t="s">
        <v>194</v>
      </c>
      <c r="I359" s="559" t="s">
        <v>23307</v>
      </c>
      <c r="J359" s="559" t="s">
        <v>210</v>
      </c>
      <c r="K359" s="559" t="s">
        <v>9309</v>
      </c>
      <c r="L359" s="559" t="s">
        <v>6955</v>
      </c>
      <c r="M359" s="559"/>
      <c r="N359" s="559" t="s">
        <v>24463</v>
      </c>
      <c r="O359" s="559" t="s">
        <v>6261</v>
      </c>
      <c r="P359" s="559" t="s">
        <v>23916</v>
      </c>
      <c r="Q359" s="559" t="s">
        <v>23614</v>
      </c>
      <c r="R359" s="559" t="s">
        <v>23917</v>
      </c>
      <c r="S359" s="559" t="s">
        <v>24464</v>
      </c>
      <c r="T359" s="559" t="s">
        <v>24465</v>
      </c>
      <c r="U359" s="559"/>
      <c r="V359" s="559" t="s">
        <v>9334</v>
      </c>
      <c r="W359" s="559" t="s">
        <v>484</v>
      </c>
      <c r="X359" s="559" t="s">
        <v>194</v>
      </c>
      <c r="Y359" s="559" t="s">
        <v>9300</v>
      </c>
      <c r="Z359" s="559"/>
      <c r="AA359" s="559"/>
      <c r="AB359" s="559" t="s">
        <v>9311</v>
      </c>
      <c r="AC359" s="559"/>
      <c r="AD359" s="559"/>
      <c r="AE359" s="559"/>
      <c r="AF359" s="559"/>
      <c r="AG359" s="559"/>
      <c r="AH359" s="559" t="s">
        <v>4714</v>
      </c>
      <c r="AI359" s="559" t="s">
        <v>24462</v>
      </c>
      <c r="AJ359" s="601" t="str">
        <f t="shared" si="10"/>
        <v>251401</v>
      </c>
      <c r="AK359" s="601">
        <v>1</v>
      </c>
      <c r="AL359" s="601">
        <f t="shared" si="11"/>
        <v>1</v>
      </c>
      <c r="AM359" s="601">
        <v>1</v>
      </c>
      <c r="AN359" s="603" t="s">
        <v>17650</v>
      </c>
      <c r="AO359" s="603" t="s">
        <v>17651</v>
      </c>
      <c r="AP359" s="603" t="s">
        <v>17652</v>
      </c>
      <c r="AQ359" s="603" t="s">
        <v>17653</v>
      </c>
      <c r="AR359" s="603" t="s">
        <v>1024</v>
      </c>
      <c r="AS359" s="559">
        <v>1</v>
      </c>
    </row>
    <row r="360" spans="1:45" x14ac:dyDescent="0.2">
      <c r="A360" s="559" t="s">
        <v>24466</v>
      </c>
      <c r="B360" s="559" t="s">
        <v>67</v>
      </c>
      <c r="C360" s="559" t="s">
        <v>67</v>
      </c>
      <c r="D360" s="559" t="s">
        <v>23700</v>
      </c>
      <c r="E360" s="559" t="s">
        <v>192</v>
      </c>
      <c r="F360" s="564">
        <v>1</v>
      </c>
      <c r="G360" s="559" t="s">
        <v>193</v>
      </c>
      <c r="H360" s="559" t="s">
        <v>194</v>
      </c>
      <c r="I360" s="559" t="s">
        <v>23151</v>
      </c>
      <c r="J360" s="559" t="s">
        <v>826</v>
      </c>
      <c r="K360" s="559" t="s">
        <v>9309</v>
      </c>
      <c r="L360" s="559" t="s">
        <v>6955</v>
      </c>
      <c r="M360" s="559"/>
      <c r="N360" s="559" t="s">
        <v>24467</v>
      </c>
      <c r="O360" s="559" t="s">
        <v>6266</v>
      </c>
      <c r="P360" s="559" t="s">
        <v>24053</v>
      </c>
      <c r="Q360" s="559" t="s">
        <v>4849</v>
      </c>
      <c r="R360" s="559" t="s">
        <v>7703</v>
      </c>
      <c r="S360" s="559" t="s">
        <v>24468</v>
      </c>
      <c r="T360" s="559" t="s">
        <v>24469</v>
      </c>
      <c r="U360" s="559"/>
      <c r="V360" s="559" t="s">
        <v>9726</v>
      </c>
      <c r="W360" s="559" t="s">
        <v>709</v>
      </c>
      <c r="X360" s="559" t="s">
        <v>194</v>
      </c>
      <c r="Y360" s="559" t="s">
        <v>9300</v>
      </c>
      <c r="Z360" s="559"/>
      <c r="AA360" s="559"/>
      <c r="AB360" s="559" t="s">
        <v>9311</v>
      </c>
      <c r="AC360" s="559"/>
      <c r="AD360" s="559"/>
      <c r="AE360" s="559"/>
      <c r="AF360" s="559"/>
      <c r="AG360" s="559"/>
      <c r="AH360" s="559" t="s">
        <v>4714</v>
      </c>
      <c r="AI360" s="559" t="s">
        <v>67</v>
      </c>
      <c r="AJ360" s="601" t="str">
        <f t="shared" si="10"/>
        <v>432103</v>
      </c>
      <c r="AK360" s="601">
        <v>1</v>
      </c>
      <c r="AL360" s="601">
        <f t="shared" si="11"/>
        <v>1</v>
      </c>
      <c r="AM360" s="601">
        <v>1</v>
      </c>
      <c r="AN360" s="603" t="s">
        <v>17650</v>
      </c>
      <c r="AO360" s="603" t="s">
        <v>17651</v>
      </c>
      <c r="AP360" s="603" t="s">
        <v>17652</v>
      </c>
      <c r="AQ360" s="603" t="s">
        <v>17653</v>
      </c>
      <c r="AR360" s="603" t="s">
        <v>1024</v>
      </c>
      <c r="AS360" s="559">
        <v>1</v>
      </c>
    </row>
    <row r="361" spans="1:45" x14ac:dyDescent="0.2">
      <c r="A361" s="559" t="s">
        <v>24466</v>
      </c>
      <c r="B361" s="559" t="s">
        <v>24470</v>
      </c>
      <c r="C361" s="559" t="s">
        <v>778</v>
      </c>
      <c r="D361" s="559" t="s">
        <v>23700</v>
      </c>
      <c r="E361" s="559" t="s">
        <v>192</v>
      </c>
      <c r="F361" s="564">
        <v>1</v>
      </c>
      <c r="G361" s="559" t="s">
        <v>193</v>
      </c>
      <c r="H361" s="559" t="s">
        <v>194</v>
      </c>
      <c r="I361" s="559" t="s">
        <v>23708</v>
      </c>
      <c r="J361" s="559" t="s">
        <v>826</v>
      </c>
      <c r="K361" s="559" t="s">
        <v>9309</v>
      </c>
      <c r="L361" s="559" t="s">
        <v>6955</v>
      </c>
      <c r="M361" s="559"/>
      <c r="N361" s="559" t="s">
        <v>24471</v>
      </c>
      <c r="O361" s="559" t="s">
        <v>6286</v>
      </c>
      <c r="P361" s="559" t="s">
        <v>24053</v>
      </c>
      <c r="Q361" s="559" t="s">
        <v>4849</v>
      </c>
      <c r="R361" s="559" t="s">
        <v>7703</v>
      </c>
      <c r="S361" s="559" t="s">
        <v>24472</v>
      </c>
      <c r="T361" s="559" t="s">
        <v>24473</v>
      </c>
      <c r="U361" s="559"/>
      <c r="V361" s="559" t="s">
        <v>9726</v>
      </c>
      <c r="W361" s="559" t="s">
        <v>779</v>
      </c>
      <c r="X361" s="559" t="s">
        <v>194</v>
      </c>
      <c r="Y361" s="559" t="s">
        <v>9300</v>
      </c>
      <c r="Z361" s="559"/>
      <c r="AA361" s="559"/>
      <c r="AB361" s="559" t="s">
        <v>9311</v>
      </c>
      <c r="AC361" s="559"/>
      <c r="AD361" s="559"/>
      <c r="AE361" s="559"/>
      <c r="AF361" s="559"/>
      <c r="AG361" s="559"/>
      <c r="AH361" s="559" t="s">
        <v>4714</v>
      </c>
      <c r="AI361" s="559" t="s">
        <v>24470</v>
      </c>
      <c r="AJ361" s="601" t="str">
        <f t="shared" si="10"/>
        <v>524902</v>
      </c>
      <c r="AK361" s="601">
        <v>1</v>
      </c>
      <c r="AL361" s="601">
        <f t="shared" si="11"/>
        <v>1</v>
      </c>
      <c r="AM361" s="601">
        <v>1</v>
      </c>
      <c r="AN361" s="603" t="s">
        <v>17650</v>
      </c>
      <c r="AO361" s="603" t="s">
        <v>17651</v>
      </c>
      <c r="AP361" s="603" t="s">
        <v>17652</v>
      </c>
      <c r="AQ361" s="603" t="s">
        <v>17653</v>
      </c>
      <c r="AR361" s="603" t="s">
        <v>1024</v>
      </c>
      <c r="AS361" s="559">
        <v>1</v>
      </c>
    </row>
    <row r="362" spans="1:45" x14ac:dyDescent="0.2">
      <c r="A362" s="559" t="s">
        <v>23596</v>
      </c>
      <c r="B362" s="559" t="s">
        <v>24474</v>
      </c>
      <c r="C362" s="559" t="s">
        <v>2861</v>
      </c>
      <c r="D362" s="559" t="s">
        <v>23700</v>
      </c>
      <c r="E362" s="559" t="s">
        <v>192</v>
      </c>
      <c r="F362" s="564">
        <v>1</v>
      </c>
      <c r="G362" s="559" t="s">
        <v>193</v>
      </c>
      <c r="H362" s="559" t="s">
        <v>194</v>
      </c>
      <c r="I362" s="559" t="s">
        <v>23307</v>
      </c>
      <c r="J362" s="559" t="s">
        <v>210</v>
      </c>
      <c r="K362" s="559" t="s">
        <v>9309</v>
      </c>
      <c r="L362" s="559" t="s">
        <v>6955</v>
      </c>
      <c r="M362" s="559"/>
      <c r="N362" s="559" t="s">
        <v>24475</v>
      </c>
      <c r="O362" s="559" t="s">
        <v>6921</v>
      </c>
      <c r="P362" s="559" t="s">
        <v>23916</v>
      </c>
      <c r="Q362" s="559" t="s">
        <v>23614</v>
      </c>
      <c r="R362" s="559" t="s">
        <v>23917</v>
      </c>
      <c r="S362" s="559" t="s">
        <v>24476</v>
      </c>
      <c r="T362" s="559" t="s">
        <v>24477</v>
      </c>
      <c r="U362" s="559"/>
      <c r="V362" s="559" t="s">
        <v>9334</v>
      </c>
      <c r="W362" s="559" t="s">
        <v>3629</v>
      </c>
      <c r="X362" s="559" t="s">
        <v>194</v>
      </c>
      <c r="Y362" s="559" t="s">
        <v>9300</v>
      </c>
      <c r="Z362" s="559"/>
      <c r="AA362" s="559"/>
      <c r="AB362" s="559" t="s">
        <v>9311</v>
      </c>
      <c r="AC362" s="559"/>
      <c r="AD362" s="559"/>
      <c r="AE362" s="559"/>
      <c r="AF362" s="559"/>
      <c r="AG362" s="559"/>
      <c r="AH362" s="559" t="s">
        <v>4714</v>
      </c>
      <c r="AI362" s="559" t="s">
        <v>24474</v>
      </c>
      <c r="AJ362" s="601" t="str">
        <f t="shared" si="10"/>
        <v>251903</v>
      </c>
      <c r="AK362" s="601">
        <v>1</v>
      </c>
      <c r="AL362" s="601">
        <f t="shared" si="11"/>
        <v>1</v>
      </c>
      <c r="AM362" s="601">
        <v>1</v>
      </c>
      <c r="AN362" s="603" t="s">
        <v>17650</v>
      </c>
      <c r="AO362" s="603" t="s">
        <v>17651</v>
      </c>
      <c r="AP362" s="603" t="s">
        <v>17652</v>
      </c>
      <c r="AQ362" s="603" t="s">
        <v>17653</v>
      </c>
      <c r="AR362" s="603" t="s">
        <v>1024</v>
      </c>
      <c r="AS362" s="559">
        <v>1</v>
      </c>
    </row>
    <row r="363" spans="1:45" x14ac:dyDescent="0.2">
      <c r="A363" s="559" t="s">
        <v>23596</v>
      </c>
      <c r="B363" s="559" t="s">
        <v>24478</v>
      </c>
      <c r="C363" s="559" t="s">
        <v>19</v>
      </c>
      <c r="D363" s="559" t="s">
        <v>23700</v>
      </c>
      <c r="E363" s="559" t="s">
        <v>192</v>
      </c>
      <c r="F363" s="564">
        <v>1</v>
      </c>
      <c r="G363" s="559" t="s">
        <v>193</v>
      </c>
      <c r="H363" s="559" t="s">
        <v>194</v>
      </c>
      <c r="I363" s="559" t="s">
        <v>23917</v>
      </c>
      <c r="J363" s="559" t="s">
        <v>210</v>
      </c>
      <c r="K363" s="559" t="s">
        <v>9309</v>
      </c>
      <c r="L363" s="559" t="s">
        <v>6955</v>
      </c>
      <c r="M363" s="559"/>
      <c r="N363" s="559" t="s">
        <v>24479</v>
      </c>
      <c r="O363" s="559" t="s">
        <v>6261</v>
      </c>
      <c r="P363" s="559" t="s">
        <v>23916</v>
      </c>
      <c r="Q363" s="559" t="s">
        <v>23614</v>
      </c>
      <c r="R363" s="559" t="s">
        <v>23917</v>
      </c>
      <c r="S363" s="559" t="s">
        <v>24480</v>
      </c>
      <c r="T363" s="559" t="s">
        <v>24481</v>
      </c>
      <c r="U363" s="559"/>
      <c r="V363" s="559" t="s">
        <v>9334</v>
      </c>
      <c r="W363" s="559" t="s">
        <v>337</v>
      </c>
      <c r="X363" s="559" t="s">
        <v>194</v>
      </c>
      <c r="Y363" s="559" t="s">
        <v>9300</v>
      </c>
      <c r="Z363" s="559"/>
      <c r="AA363" s="559"/>
      <c r="AB363" s="559" t="s">
        <v>9311</v>
      </c>
      <c r="AC363" s="559"/>
      <c r="AD363" s="559"/>
      <c r="AE363" s="559"/>
      <c r="AF363" s="559"/>
      <c r="AG363" s="559"/>
      <c r="AH363" s="559" t="s">
        <v>4714</v>
      </c>
      <c r="AI363" s="559" t="s">
        <v>24478</v>
      </c>
      <c r="AJ363" s="601" t="str">
        <f t="shared" si="10"/>
        <v>214903</v>
      </c>
      <c r="AK363" s="601">
        <v>1</v>
      </c>
      <c r="AL363" s="601">
        <f t="shared" si="11"/>
        <v>1</v>
      </c>
      <c r="AM363" s="601">
        <v>1</v>
      </c>
      <c r="AN363" s="603" t="s">
        <v>17650</v>
      </c>
      <c r="AO363" s="603" t="s">
        <v>17651</v>
      </c>
      <c r="AP363" s="603" t="s">
        <v>17652</v>
      </c>
      <c r="AQ363" s="603" t="s">
        <v>17653</v>
      </c>
      <c r="AR363" s="603" t="s">
        <v>1024</v>
      </c>
      <c r="AS363" s="559">
        <v>1</v>
      </c>
    </row>
    <row r="364" spans="1:45" x14ac:dyDescent="0.2">
      <c r="A364" s="559" t="s">
        <v>1935</v>
      </c>
      <c r="B364" s="559" t="s">
        <v>24482</v>
      </c>
      <c r="C364" s="559" t="s">
        <v>122</v>
      </c>
      <c r="D364" s="559" t="s">
        <v>23700</v>
      </c>
      <c r="E364" s="559" t="s">
        <v>192</v>
      </c>
      <c r="F364" s="564">
        <v>1</v>
      </c>
      <c r="G364" s="559" t="s">
        <v>193</v>
      </c>
      <c r="H364" s="559" t="s">
        <v>194</v>
      </c>
      <c r="I364" s="559" t="s">
        <v>23164</v>
      </c>
      <c r="J364" s="559" t="s">
        <v>253</v>
      </c>
      <c r="K364" s="559" t="s">
        <v>9309</v>
      </c>
      <c r="L364" s="559" t="s">
        <v>6955</v>
      </c>
      <c r="M364" s="559"/>
      <c r="N364" s="559" t="s">
        <v>24483</v>
      </c>
      <c r="O364" s="559" t="s">
        <v>7489</v>
      </c>
      <c r="P364" s="559" t="s">
        <v>23916</v>
      </c>
      <c r="Q364" s="559" t="s">
        <v>23614</v>
      </c>
      <c r="R364" s="559" t="s">
        <v>23917</v>
      </c>
      <c r="S364" s="559" t="s">
        <v>24484</v>
      </c>
      <c r="T364" s="559" t="s">
        <v>24485</v>
      </c>
      <c r="U364" s="559"/>
      <c r="V364" s="559" t="s">
        <v>9468</v>
      </c>
      <c r="W364" s="559" t="s">
        <v>655</v>
      </c>
      <c r="X364" s="559" t="s">
        <v>194</v>
      </c>
      <c r="Y364" s="559" t="s">
        <v>9300</v>
      </c>
      <c r="Z364" s="559"/>
      <c r="AA364" s="559"/>
      <c r="AB364" s="559" t="s">
        <v>9311</v>
      </c>
      <c r="AC364" s="559"/>
      <c r="AD364" s="559"/>
      <c r="AE364" s="559"/>
      <c r="AF364" s="559"/>
      <c r="AG364" s="559"/>
      <c r="AH364" s="559" t="s">
        <v>4714</v>
      </c>
      <c r="AI364" s="559" t="s">
        <v>24482</v>
      </c>
      <c r="AJ364" s="601" t="str">
        <f t="shared" si="10"/>
        <v>332301</v>
      </c>
      <c r="AK364" s="601">
        <v>1</v>
      </c>
      <c r="AL364" s="601">
        <f t="shared" si="11"/>
        <v>1</v>
      </c>
      <c r="AM364" s="601">
        <v>1</v>
      </c>
      <c r="AN364" s="603" t="s">
        <v>17650</v>
      </c>
      <c r="AO364" s="603" t="s">
        <v>17651</v>
      </c>
      <c r="AP364" s="603" t="s">
        <v>17652</v>
      </c>
      <c r="AQ364" s="603" t="s">
        <v>17653</v>
      </c>
      <c r="AR364" s="603" t="s">
        <v>1024</v>
      </c>
      <c r="AS364" s="559">
        <v>1</v>
      </c>
    </row>
    <row r="365" spans="1:45" x14ac:dyDescent="0.2">
      <c r="A365" s="559" t="s">
        <v>23596</v>
      </c>
      <c r="B365" s="559" t="s">
        <v>21548</v>
      </c>
      <c r="C365" s="559" t="s">
        <v>24486</v>
      </c>
      <c r="D365" s="559" t="s">
        <v>23700</v>
      </c>
      <c r="E365" s="559" t="s">
        <v>192</v>
      </c>
      <c r="F365" s="564">
        <v>1</v>
      </c>
      <c r="G365" s="559" t="s">
        <v>193</v>
      </c>
      <c r="H365" s="559" t="s">
        <v>194</v>
      </c>
      <c r="I365" s="559" t="s">
        <v>23708</v>
      </c>
      <c r="J365" s="559" t="s">
        <v>210</v>
      </c>
      <c r="K365" s="559" t="s">
        <v>9309</v>
      </c>
      <c r="L365" s="559" t="s">
        <v>6955</v>
      </c>
      <c r="M365" s="559"/>
      <c r="N365" s="559" t="s">
        <v>24487</v>
      </c>
      <c r="O365" s="559" t="s">
        <v>6258</v>
      </c>
      <c r="P365" s="559" t="s">
        <v>23916</v>
      </c>
      <c r="Q365" s="559" t="s">
        <v>23614</v>
      </c>
      <c r="R365" s="559" t="s">
        <v>23917</v>
      </c>
      <c r="S365" s="559" t="s">
        <v>24488</v>
      </c>
      <c r="T365" s="559" t="s">
        <v>24489</v>
      </c>
      <c r="U365" s="559"/>
      <c r="V365" s="559" t="s">
        <v>9334</v>
      </c>
      <c r="W365" s="559" t="s">
        <v>2155</v>
      </c>
      <c r="X365" s="559" t="s">
        <v>194</v>
      </c>
      <c r="Y365" s="559" t="s">
        <v>9300</v>
      </c>
      <c r="Z365" s="559"/>
      <c r="AA365" s="559"/>
      <c r="AB365" s="559" t="s">
        <v>9311</v>
      </c>
      <c r="AC365" s="559"/>
      <c r="AD365" s="559"/>
      <c r="AE365" s="559"/>
      <c r="AF365" s="559"/>
      <c r="AG365" s="559"/>
      <c r="AH365" s="559" t="s">
        <v>4714</v>
      </c>
      <c r="AI365" s="559" t="s">
        <v>21548</v>
      </c>
      <c r="AJ365" s="601" t="str">
        <f t="shared" si="10"/>
        <v>821105</v>
      </c>
      <c r="AK365" s="601">
        <v>1</v>
      </c>
      <c r="AL365" s="601">
        <f t="shared" si="11"/>
        <v>1</v>
      </c>
      <c r="AM365" s="601">
        <v>1</v>
      </c>
      <c r="AN365" s="603" t="s">
        <v>17650</v>
      </c>
      <c r="AO365" s="603" t="s">
        <v>17651</v>
      </c>
      <c r="AP365" s="603" t="s">
        <v>17652</v>
      </c>
      <c r="AQ365" s="603" t="s">
        <v>17653</v>
      </c>
      <c r="AR365" s="603" t="s">
        <v>1024</v>
      </c>
      <c r="AS365" s="559">
        <v>1</v>
      </c>
    </row>
    <row r="366" spans="1:45" x14ac:dyDescent="0.2">
      <c r="A366" s="559" t="s">
        <v>24490</v>
      </c>
      <c r="B366" s="559" t="s">
        <v>24491</v>
      </c>
      <c r="C366" s="559" t="s">
        <v>37</v>
      </c>
      <c r="D366" s="559" t="s">
        <v>23700</v>
      </c>
      <c r="E366" s="559" t="s">
        <v>192</v>
      </c>
      <c r="F366" s="564">
        <v>1</v>
      </c>
      <c r="G366" s="559" t="s">
        <v>193</v>
      </c>
      <c r="H366" s="559" t="s">
        <v>194</v>
      </c>
      <c r="I366" s="559" t="s">
        <v>23708</v>
      </c>
      <c r="J366" s="559" t="s">
        <v>4751</v>
      </c>
      <c r="K366" s="559" t="s">
        <v>9309</v>
      </c>
      <c r="L366" s="559" t="s">
        <v>6955</v>
      </c>
      <c r="M366" s="559"/>
      <c r="N366" s="559" t="s">
        <v>24492</v>
      </c>
      <c r="O366" s="559" t="s">
        <v>6921</v>
      </c>
      <c r="P366" s="559" t="s">
        <v>23916</v>
      </c>
      <c r="Q366" s="559" t="s">
        <v>23614</v>
      </c>
      <c r="R366" s="559" t="s">
        <v>23917</v>
      </c>
      <c r="S366" s="559" t="s">
        <v>24493</v>
      </c>
      <c r="T366" s="559" t="s">
        <v>24494</v>
      </c>
      <c r="U366" s="559"/>
      <c r="V366" s="559" t="s">
        <v>9472</v>
      </c>
      <c r="W366" s="559" t="s">
        <v>516</v>
      </c>
      <c r="X366" s="559" t="s">
        <v>194</v>
      </c>
      <c r="Y366" s="559" t="s">
        <v>9300</v>
      </c>
      <c r="Z366" s="559"/>
      <c r="AA366" s="559"/>
      <c r="AB366" s="559" t="s">
        <v>9311</v>
      </c>
      <c r="AC366" s="559"/>
      <c r="AD366" s="559"/>
      <c r="AE366" s="559"/>
      <c r="AF366" s="559"/>
      <c r="AG366" s="559"/>
      <c r="AH366" s="559" t="s">
        <v>4714</v>
      </c>
      <c r="AI366" s="559" t="s">
        <v>24491</v>
      </c>
      <c r="AJ366" s="601" t="str">
        <f t="shared" si="10"/>
        <v>252302</v>
      </c>
      <c r="AK366" s="601">
        <v>1</v>
      </c>
      <c r="AL366" s="601">
        <f t="shared" si="11"/>
        <v>1</v>
      </c>
      <c r="AM366" s="601">
        <v>1</v>
      </c>
      <c r="AN366" s="603" t="s">
        <v>17650</v>
      </c>
      <c r="AO366" s="603" t="s">
        <v>17651</v>
      </c>
      <c r="AP366" s="603" t="s">
        <v>17652</v>
      </c>
      <c r="AQ366" s="603" t="s">
        <v>17653</v>
      </c>
      <c r="AR366" s="603" t="s">
        <v>1024</v>
      </c>
      <c r="AS366" s="559">
        <v>1</v>
      </c>
    </row>
    <row r="367" spans="1:45" x14ac:dyDescent="0.2">
      <c r="A367" s="559" t="s">
        <v>24490</v>
      </c>
      <c r="B367" s="559" t="s">
        <v>24491</v>
      </c>
      <c r="C367" s="559" t="s">
        <v>37</v>
      </c>
      <c r="D367" s="559" t="s">
        <v>23700</v>
      </c>
      <c r="E367" s="559" t="s">
        <v>192</v>
      </c>
      <c r="F367" s="564">
        <v>1</v>
      </c>
      <c r="G367" s="559" t="s">
        <v>193</v>
      </c>
      <c r="H367" s="559" t="s">
        <v>194</v>
      </c>
      <c r="I367" s="559" t="s">
        <v>23708</v>
      </c>
      <c r="J367" s="559" t="s">
        <v>210</v>
      </c>
      <c r="K367" s="559" t="s">
        <v>9309</v>
      </c>
      <c r="L367" s="559" t="s">
        <v>6955</v>
      </c>
      <c r="M367" s="559"/>
      <c r="N367" s="559" t="s">
        <v>24495</v>
      </c>
      <c r="O367" s="559" t="s">
        <v>6921</v>
      </c>
      <c r="P367" s="559" t="s">
        <v>23916</v>
      </c>
      <c r="Q367" s="559" t="s">
        <v>23614</v>
      </c>
      <c r="R367" s="559" t="s">
        <v>23917</v>
      </c>
      <c r="S367" s="559" t="s">
        <v>24496</v>
      </c>
      <c r="T367" s="559" t="s">
        <v>24497</v>
      </c>
      <c r="U367" s="559"/>
      <c r="V367" s="559" t="s">
        <v>9334</v>
      </c>
      <c r="W367" s="559" t="s">
        <v>516</v>
      </c>
      <c r="X367" s="559" t="s">
        <v>194</v>
      </c>
      <c r="Y367" s="559" t="s">
        <v>9300</v>
      </c>
      <c r="Z367" s="559"/>
      <c r="AA367" s="559"/>
      <c r="AB367" s="559" t="s">
        <v>9311</v>
      </c>
      <c r="AC367" s="559"/>
      <c r="AD367" s="559"/>
      <c r="AE367" s="559"/>
      <c r="AF367" s="559"/>
      <c r="AG367" s="559"/>
      <c r="AH367" s="559" t="s">
        <v>4714</v>
      </c>
      <c r="AI367" s="559" t="s">
        <v>24491</v>
      </c>
      <c r="AJ367" s="601" t="str">
        <f t="shared" si="10"/>
        <v>252302</v>
      </c>
      <c r="AK367" s="601">
        <v>1</v>
      </c>
      <c r="AL367" s="601">
        <f t="shared" si="11"/>
        <v>1</v>
      </c>
      <c r="AM367" s="601">
        <v>1</v>
      </c>
      <c r="AN367" s="603" t="s">
        <v>17650</v>
      </c>
      <c r="AO367" s="603" t="s">
        <v>17651</v>
      </c>
      <c r="AP367" s="603" t="s">
        <v>17652</v>
      </c>
      <c r="AQ367" s="603" t="s">
        <v>17653</v>
      </c>
      <c r="AR367" s="603" t="s">
        <v>1024</v>
      </c>
      <c r="AS367" s="559">
        <v>1</v>
      </c>
    </row>
    <row r="368" spans="1:45" x14ac:dyDescent="0.2">
      <c r="A368" s="559" t="s">
        <v>24498</v>
      </c>
      <c r="B368" s="559" t="s">
        <v>2113</v>
      </c>
      <c r="C368" s="559" t="s">
        <v>727</v>
      </c>
      <c r="D368" s="559" t="s">
        <v>23700</v>
      </c>
      <c r="E368" s="559" t="s">
        <v>192</v>
      </c>
      <c r="F368" s="564">
        <v>1</v>
      </c>
      <c r="G368" s="559" t="s">
        <v>193</v>
      </c>
      <c r="H368" s="559" t="s">
        <v>194</v>
      </c>
      <c r="I368" s="559" t="s">
        <v>23186</v>
      </c>
      <c r="J368" s="559" t="s">
        <v>210</v>
      </c>
      <c r="K368" s="559" t="s">
        <v>9309</v>
      </c>
      <c r="L368" s="559" t="s">
        <v>6955</v>
      </c>
      <c r="M368" s="559"/>
      <c r="N368" s="559" t="s">
        <v>24499</v>
      </c>
      <c r="O368" s="559" t="s">
        <v>6343</v>
      </c>
      <c r="P368" s="559" t="s">
        <v>23916</v>
      </c>
      <c r="Q368" s="559" t="s">
        <v>23614</v>
      </c>
      <c r="R368" s="559" t="s">
        <v>23917</v>
      </c>
      <c r="S368" s="559" t="s">
        <v>24500</v>
      </c>
      <c r="T368" s="559" t="s">
        <v>24501</v>
      </c>
      <c r="U368" s="559"/>
      <c r="V368" s="559" t="s">
        <v>9334</v>
      </c>
      <c r="W368" s="559" t="s">
        <v>728</v>
      </c>
      <c r="X368" s="559" t="s">
        <v>194</v>
      </c>
      <c r="Y368" s="559" t="s">
        <v>9300</v>
      </c>
      <c r="Z368" s="559"/>
      <c r="AA368" s="559"/>
      <c r="AB368" s="559" t="s">
        <v>9311</v>
      </c>
      <c r="AC368" s="559"/>
      <c r="AD368" s="559"/>
      <c r="AE368" s="559"/>
      <c r="AF368" s="559"/>
      <c r="AG368" s="559"/>
      <c r="AH368" s="559" t="s">
        <v>4714</v>
      </c>
      <c r="AI368" s="559" t="s">
        <v>2113</v>
      </c>
      <c r="AJ368" s="601" t="str">
        <f t="shared" si="10"/>
        <v>512001</v>
      </c>
      <c r="AK368" s="601">
        <v>1</v>
      </c>
      <c r="AL368" s="601">
        <f t="shared" si="11"/>
        <v>1</v>
      </c>
      <c r="AM368" s="601">
        <v>1</v>
      </c>
      <c r="AN368" s="603" t="s">
        <v>17650</v>
      </c>
      <c r="AO368" s="603" t="s">
        <v>17651</v>
      </c>
      <c r="AP368" s="603" t="s">
        <v>17652</v>
      </c>
      <c r="AQ368" s="603" t="s">
        <v>17653</v>
      </c>
      <c r="AR368" s="603" t="s">
        <v>1024</v>
      </c>
      <c r="AS368" s="559">
        <v>1</v>
      </c>
    </row>
    <row r="369" spans="1:45" x14ac:dyDescent="0.2">
      <c r="A369" s="559" t="s">
        <v>23596</v>
      </c>
      <c r="B369" s="559" t="s">
        <v>24502</v>
      </c>
      <c r="C369" s="559" t="s">
        <v>2861</v>
      </c>
      <c r="D369" s="559" t="s">
        <v>23700</v>
      </c>
      <c r="E369" s="559" t="s">
        <v>192</v>
      </c>
      <c r="F369" s="564">
        <v>1</v>
      </c>
      <c r="G369" s="559" t="s">
        <v>193</v>
      </c>
      <c r="H369" s="559" t="s">
        <v>194</v>
      </c>
      <c r="I369" s="559" t="s">
        <v>23307</v>
      </c>
      <c r="J369" s="559" t="s">
        <v>210</v>
      </c>
      <c r="K369" s="559" t="s">
        <v>9309</v>
      </c>
      <c r="L369" s="559" t="s">
        <v>6955</v>
      </c>
      <c r="M369" s="559"/>
      <c r="N369" s="559" t="s">
        <v>24503</v>
      </c>
      <c r="O369" s="559" t="s">
        <v>6261</v>
      </c>
      <c r="P369" s="559" t="s">
        <v>23916</v>
      </c>
      <c r="Q369" s="559" t="s">
        <v>23614</v>
      </c>
      <c r="R369" s="559" t="s">
        <v>23917</v>
      </c>
      <c r="S369" s="559" t="s">
        <v>24504</v>
      </c>
      <c r="T369" s="559" t="s">
        <v>24505</v>
      </c>
      <c r="U369" s="559"/>
      <c r="V369" s="559" t="s">
        <v>9334</v>
      </c>
      <c r="W369" s="559" t="s">
        <v>3629</v>
      </c>
      <c r="X369" s="559" t="s">
        <v>194</v>
      </c>
      <c r="Y369" s="559" t="s">
        <v>9300</v>
      </c>
      <c r="Z369" s="559"/>
      <c r="AA369" s="559"/>
      <c r="AB369" s="559" t="s">
        <v>9311</v>
      </c>
      <c r="AC369" s="559"/>
      <c r="AD369" s="559"/>
      <c r="AE369" s="559"/>
      <c r="AF369" s="559"/>
      <c r="AG369" s="559"/>
      <c r="AH369" s="559" t="s">
        <v>4714</v>
      </c>
      <c r="AI369" s="559" t="s">
        <v>24502</v>
      </c>
      <c r="AJ369" s="601" t="str">
        <f t="shared" si="10"/>
        <v>251903</v>
      </c>
      <c r="AK369" s="601">
        <v>1</v>
      </c>
      <c r="AL369" s="601">
        <f t="shared" si="11"/>
        <v>1</v>
      </c>
      <c r="AM369" s="601">
        <v>1</v>
      </c>
      <c r="AN369" s="603" t="s">
        <v>17650</v>
      </c>
      <c r="AO369" s="603" t="s">
        <v>17651</v>
      </c>
      <c r="AP369" s="603" t="s">
        <v>17652</v>
      </c>
      <c r="AQ369" s="603" t="s">
        <v>17653</v>
      </c>
      <c r="AR369" s="603" t="s">
        <v>1024</v>
      </c>
      <c r="AS369" s="559">
        <v>1</v>
      </c>
    </row>
    <row r="370" spans="1:45" x14ac:dyDescent="0.2">
      <c r="A370" s="559" t="s">
        <v>24506</v>
      </c>
      <c r="B370" s="559" t="s">
        <v>1652</v>
      </c>
      <c r="C370" s="559" t="s">
        <v>1652</v>
      </c>
      <c r="D370" s="559" t="s">
        <v>23700</v>
      </c>
      <c r="E370" s="559" t="s">
        <v>192</v>
      </c>
      <c r="F370" s="564">
        <v>1</v>
      </c>
      <c r="G370" s="559" t="s">
        <v>193</v>
      </c>
      <c r="H370" s="559" t="s">
        <v>194</v>
      </c>
      <c r="I370" s="559" t="s">
        <v>23151</v>
      </c>
      <c r="J370" s="559" t="s">
        <v>210</v>
      </c>
      <c r="K370" s="559" t="s">
        <v>9309</v>
      </c>
      <c r="L370" s="559" t="s">
        <v>6955</v>
      </c>
      <c r="M370" s="559"/>
      <c r="N370" s="559" t="s">
        <v>24507</v>
      </c>
      <c r="O370" s="559" t="s">
        <v>6266</v>
      </c>
      <c r="P370" s="559" t="s">
        <v>23916</v>
      </c>
      <c r="Q370" s="559" t="s">
        <v>23614</v>
      </c>
      <c r="R370" s="559" t="s">
        <v>23917</v>
      </c>
      <c r="S370" s="559" t="s">
        <v>24508</v>
      </c>
      <c r="T370" s="559" t="s">
        <v>24509</v>
      </c>
      <c r="U370" s="559"/>
      <c r="V370" s="559" t="s">
        <v>9334</v>
      </c>
      <c r="W370" s="559" t="s">
        <v>1653</v>
      </c>
      <c r="X370" s="559" t="s">
        <v>194</v>
      </c>
      <c r="Y370" s="559" t="s">
        <v>9300</v>
      </c>
      <c r="Z370" s="559"/>
      <c r="AA370" s="559"/>
      <c r="AB370" s="559" t="s">
        <v>9311</v>
      </c>
      <c r="AC370" s="559"/>
      <c r="AD370" s="559"/>
      <c r="AE370" s="559"/>
      <c r="AF370" s="559"/>
      <c r="AG370" s="559"/>
      <c r="AH370" s="559" t="s">
        <v>4714</v>
      </c>
      <c r="AI370" s="559" t="s">
        <v>1652</v>
      </c>
      <c r="AJ370" s="601" t="str">
        <f t="shared" si="10"/>
        <v>441202</v>
      </c>
      <c r="AK370" s="601">
        <v>1</v>
      </c>
      <c r="AL370" s="601">
        <f t="shared" si="11"/>
        <v>1</v>
      </c>
      <c r="AM370" s="601">
        <v>1</v>
      </c>
      <c r="AN370" s="603" t="s">
        <v>17650</v>
      </c>
      <c r="AO370" s="603" t="s">
        <v>17651</v>
      </c>
      <c r="AP370" s="603" t="s">
        <v>17652</v>
      </c>
      <c r="AQ370" s="603" t="s">
        <v>17653</v>
      </c>
      <c r="AR370" s="603" t="s">
        <v>1024</v>
      </c>
      <c r="AS370" s="559">
        <v>1</v>
      </c>
    </row>
    <row r="371" spans="1:45" x14ac:dyDescent="0.2">
      <c r="A371" s="559" t="s">
        <v>19116</v>
      </c>
      <c r="B371" s="559" t="s">
        <v>24510</v>
      </c>
      <c r="C371" s="559" t="s">
        <v>19</v>
      </c>
      <c r="D371" s="559" t="s">
        <v>23700</v>
      </c>
      <c r="E371" s="559" t="s">
        <v>192</v>
      </c>
      <c r="F371" s="564">
        <v>1</v>
      </c>
      <c r="G371" s="559" t="s">
        <v>193</v>
      </c>
      <c r="H371" s="559" t="s">
        <v>194</v>
      </c>
      <c r="I371" s="559" t="s">
        <v>23917</v>
      </c>
      <c r="J371" s="559" t="s">
        <v>210</v>
      </c>
      <c r="K371" s="559" t="s">
        <v>9309</v>
      </c>
      <c r="L371" s="559" t="s">
        <v>6955</v>
      </c>
      <c r="M371" s="559"/>
      <c r="N371" s="559" t="s">
        <v>24511</v>
      </c>
      <c r="O371" s="559" t="s">
        <v>6245</v>
      </c>
      <c r="P371" s="559" t="s">
        <v>23916</v>
      </c>
      <c r="Q371" s="559" t="s">
        <v>23614</v>
      </c>
      <c r="R371" s="559" t="s">
        <v>23917</v>
      </c>
      <c r="S371" s="559" t="s">
        <v>24512</v>
      </c>
      <c r="T371" s="559" t="s">
        <v>24513</v>
      </c>
      <c r="U371" s="559"/>
      <c r="V371" s="559" t="s">
        <v>9334</v>
      </c>
      <c r="W371" s="559" t="s">
        <v>337</v>
      </c>
      <c r="X371" s="559" t="s">
        <v>194</v>
      </c>
      <c r="Y371" s="559" t="s">
        <v>9300</v>
      </c>
      <c r="Z371" s="559"/>
      <c r="AA371" s="559"/>
      <c r="AB371" s="559" t="s">
        <v>9311</v>
      </c>
      <c r="AC371" s="559"/>
      <c r="AD371" s="559"/>
      <c r="AE371" s="559"/>
      <c r="AF371" s="559"/>
      <c r="AG371" s="559"/>
      <c r="AH371" s="559" t="s">
        <v>4714</v>
      </c>
      <c r="AI371" s="559" t="s">
        <v>24510</v>
      </c>
      <c r="AJ371" s="601" t="str">
        <f t="shared" si="10"/>
        <v>214903</v>
      </c>
      <c r="AK371" s="601">
        <v>1</v>
      </c>
      <c r="AL371" s="601">
        <f t="shared" si="11"/>
        <v>1</v>
      </c>
      <c r="AM371" s="601">
        <v>1</v>
      </c>
      <c r="AN371" s="603" t="s">
        <v>17650</v>
      </c>
      <c r="AO371" s="603" t="s">
        <v>17651</v>
      </c>
      <c r="AP371" s="603" t="s">
        <v>17652</v>
      </c>
      <c r="AQ371" s="603" t="s">
        <v>17653</v>
      </c>
      <c r="AR371" s="603" t="s">
        <v>1024</v>
      </c>
      <c r="AS371" s="559">
        <v>1</v>
      </c>
    </row>
    <row r="372" spans="1:45" x14ac:dyDescent="0.2">
      <c r="A372" s="559" t="s">
        <v>6154</v>
      </c>
      <c r="B372" s="559" t="s">
        <v>18437</v>
      </c>
      <c r="C372" s="559" t="s">
        <v>706</v>
      </c>
      <c r="D372" s="559" t="s">
        <v>23700</v>
      </c>
      <c r="E372" s="559" t="s">
        <v>192</v>
      </c>
      <c r="F372" s="564">
        <v>1</v>
      </c>
      <c r="G372" s="559" t="s">
        <v>193</v>
      </c>
      <c r="H372" s="559" t="s">
        <v>194</v>
      </c>
      <c r="I372" s="559" t="s">
        <v>23186</v>
      </c>
      <c r="J372" s="559" t="s">
        <v>210</v>
      </c>
      <c r="K372" s="559" t="s">
        <v>9309</v>
      </c>
      <c r="L372" s="559" t="s">
        <v>6955</v>
      </c>
      <c r="M372" s="559"/>
      <c r="N372" s="559" t="s">
        <v>24514</v>
      </c>
      <c r="O372" s="559" t="s">
        <v>6254</v>
      </c>
      <c r="P372" s="559" t="s">
        <v>23916</v>
      </c>
      <c r="Q372" s="559" t="s">
        <v>23614</v>
      </c>
      <c r="R372" s="559" t="s">
        <v>23917</v>
      </c>
      <c r="S372" s="559" t="s">
        <v>24515</v>
      </c>
      <c r="T372" s="559" t="s">
        <v>24516</v>
      </c>
      <c r="U372" s="559"/>
      <c r="V372" s="559" t="s">
        <v>9334</v>
      </c>
      <c r="W372" s="559" t="s">
        <v>707</v>
      </c>
      <c r="X372" s="559" t="s">
        <v>194</v>
      </c>
      <c r="Y372" s="559" t="s">
        <v>9300</v>
      </c>
      <c r="Z372" s="559"/>
      <c r="AA372" s="559"/>
      <c r="AB372" s="559" t="s">
        <v>9311</v>
      </c>
      <c r="AC372" s="559"/>
      <c r="AD372" s="559"/>
      <c r="AE372" s="559"/>
      <c r="AF372" s="559"/>
      <c r="AG372" s="559"/>
      <c r="AH372" s="559" t="s">
        <v>4714</v>
      </c>
      <c r="AI372" s="559" t="s">
        <v>18437</v>
      </c>
      <c r="AJ372" s="601" t="str">
        <f t="shared" si="10"/>
        <v>422201</v>
      </c>
      <c r="AK372" s="601">
        <v>1</v>
      </c>
      <c r="AL372" s="601">
        <f t="shared" si="11"/>
        <v>1</v>
      </c>
      <c r="AM372" s="601">
        <v>1</v>
      </c>
      <c r="AN372" s="603" t="s">
        <v>17650</v>
      </c>
      <c r="AO372" s="603" t="s">
        <v>17651</v>
      </c>
      <c r="AP372" s="603" t="s">
        <v>17652</v>
      </c>
      <c r="AQ372" s="603" t="s">
        <v>17653</v>
      </c>
      <c r="AR372" s="603" t="s">
        <v>1024</v>
      </c>
      <c r="AS372" s="559">
        <v>1</v>
      </c>
    </row>
    <row r="373" spans="1:45" x14ac:dyDescent="0.2">
      <c r="A373" s="559" t="s">
        <v>15061</v>
      </c>
      <c r="B373" s="559" t="s">
        <v>15067</v>
      </c>
      <c r="C373" s="559" t="s">
        <v>396</v>
      </c>
      <c r="D373" s="559" t="s">
        <v>23700</v>
      </c>
      <c r="E373" s="559" t="s">
        <v>192</v>
      </c>
      <c r="F373" s="564">
        <v>1</v>
      </c>
      <c r="G373" s="559" t="s">
        <v>193</v>
      </c>
      <c r="H373" s="559" t="s">
        <v>194</v>
      </c>
      <c r="I373" s="559" t="s">
        <v>23499</v>
      </c>
      <c r="J373" s="559" t="s">
        <v>253</v>
      </c>
      <c r="K373" s="559" t="s">
        <v>9309</v>
      </c>
      <c r="L373" s="559" t="s">
        <v>6955</v>
      </c>
      <c r="M373" s="559"/>
      <c r="N373" s="559" t="s">
        <v>24517</v>
      </c>
      <c r="O373" s="559" t="s">
        <v>7001</v>
      </c>
      <c r="P373" s="559" t="s">
        <v>23916</v>
      </c>
      <c r="Q373" s="559" t="s">
        <v>23614</v>
      </c>
      <c r="R373" s="559" t="s">
        <v>23917</v>
      </c>
      <c r="S373" s="559" t="s">
        <v>24518</v>
      </c>
      <c r="T373" s="559" t="s">
        <v>24519</v>
      </c>
      <c r="U373" s="559"/>
      <c r="V373" s="559" t="s">
        <v>9468</v>
      </c>
      <c r="W373" s="559" t="s">
        <v>397</v>
      </c>
      <c r="X373" s="559" t="s">
        <v>194</v>
      </c>
      <c r="Y373" s="559" t="s">
        <v>9300</v>
      </c>
      <c r="Z373" s="559"/>
      <c r="AA373" s="559"/>
      <c r="AB373" s="559" t="s">
        <v>9311</v>
      </c>
      <c r="AC373" s="559"/>
      <c r="AD373" s="559"/>
      <c r="AE373" s="559"/>
      <c r="AF373" s="559"/>
      <c r="AG373" s="559"/>
      <c r="AH373" s="559" t="s">
        <v>4714</v>
      </c>
      <c r="AI373" s="559" t="s">
        <v>15067</v>
      </c>
      <c r="AJ373" s="601" t="str">
        <f t="shared" si="10"/>
        <v>235301</v>
      </c>
      <c r="AK373" s="601">
        <v>1</v>
      </c>
      <c r="AL373" s="601">
        <f t="shared" si="11"/>
        <v>1</v>
      </c>
      <c r="AM373" s="601">
        <v>1</v>
      </c>
      <c r="AN373" s="603" t="s">
        <v>17650</v>
      </c>
      <c r="AO373" s="603" t="s">
        <v>17651</v>
      </c>
      <c r="AP373" s="603" t="s">
        <v>17652</v>
      </c>
      <c r="AQ373" s="603" t="s">
        <v>17653</v>
      </c>
      <c r="AR373" s="603" t="s">
        <v>1024</v>
      </c>
      <c r="AS373" s="559">
        <v>1</v>
      </c>
    </row>
    <row r="374" spans="1:45" x14ac:dyDescent="0.2">
      <c r="A374" s="559" t="s">
        <v>15061</v>
      </c>
      <c r="B374" s="559" t="s">
        <v>15067</v>
      </c>
      <c r="C374" s="559" t="s">
        <v>396</v>
      </c>
      <c r="D374" s="559" t="s">
        <v>23700</v>
      </c>
      <c r="E374" s="559" t="s">
        <v>192</v>
      </c>
      <c r="F374" s="564">
        <v>1</v>
      </c>
      <c r="G374" s="559" t="s">
        <v>193</v>
      </c>
      <c r="H374" s="559" t="s">
        <v>194</v>
      </c>
      <c r="I374" s="559" t="s">
        <v>23499</v>
      </c>
      <c r="J374" s="559" t="s">
        <v>408</v>
      </c>
      <c r="K374" s="559" t="s">
        <v>9309</v>
      </c>
      <c r="L374" s="559" t="s">
        <v>6955</v>
      </c>
      <c r="M374" s="559"/>
      <c r="N374" s="559" t="s">
        <v>24520</v>
      </c>
      <c r="O374" s="559" t="s">
        <v>7001</v>
      </c>
      <c r="P374" s="559" t="s">
        <v>23916</v>
      </c>
      <c r="Q374" s="559" t="s">
        <v>23614</v>
      </c>
      <c r="R374" s="559" t="s">
        <v>23917</v>
      </c>
      <c r="S374" s="559" t="s">
        <v>24521</v>
      </c>
      <c r="T374" s="559" t="s">
        <v>24522</v>
      </c>
      <c r="U374" s="559"/>
      <c r="V374" s="559" t="s">
        <v>9479</v>
      </c>
      <c r="W374" s="559" t="s">
        <v>397</v>
      </c>
      <c r="X374" s="559" t="s">
        <v>194</v>
      </c>
      <c r="Y374" s="559" t="s">
        <v>9300</v>
      </c>
      <c r="Z374" s="559"/>
      <c r="AA374" s="559"/>
      <c r="AB374" s="559" t="s">
        <v>9311</v>
      </c>
      <c r="AC374" s="559"/>
      <c r="AD374" s="559"/>
      <c r="AE374" s="559"/>
      <c r="AF374" s="559"/>
      <c r="AG374" s="559"/>
      <c r="AH374" s="559" t="s">
        <v>4714</v>
      </c>
      <c r="AI374" s="559" t="s">
        <v>15067</v>
      </c>
      <c r="AJ374" s="601" t="str">
        <f t="shared" si="10"/>
        <v>235301</v>
      </c>
      <c r="AK374" s="601">
        <v>1</v>
      </c>
      <c r="AL374" s="601">
        <f t="shared" si="11"/>
        <v>1</v>
      </c>
      <c r="AM374" s="601">
        <v>1</v>
      </c>
      <c r="AN374" s="603" t="s">
        <v>17650</v>
      </c>
      <c r="AO374" s="603" t="s">
        <v>17651</v>
      </c>
      <c r="AP374" s="603" t="s">
        <v>17652</v>
      </c>
      <c r="AQ374" s="603" t="s">
        <v>17653</v>
      </c>
      <c r="AR374" s="603" t="s">
        <v>1024</v>
      </c>
      <c r="AS374" s="559">
        <v>1</v>
      </c>
    </row>
    <row r="375" spans="1:45" x14ac:dyDescent="0.2">
      <c r="A375" s="559" t="s">
        <v>15061</v>
      </c>
      <c r="B375" s="559" t="s">
        <v>15067</v>
      </c>
      <c r="C375" s="559" t="s">
        <v>396</v>
      </c>
      <c r="D375" s="559" t="s">
        <v>23700</v>
      </c>
      <c r="E375" s="559" t="s">
        <v>192</v>
      </c>
      <c r="F375" s="564">
        <v>1</v>
      </c>
      <c r="G375" s="559" t="s">
        <v>193</v>
      </c>
      <c r="H375" s="559" t="s">
        <v>194</v>
      </c>
      <c r="I375" s="559" t="s">
        <v>23499</v>
      </c>
      <c r="J375" s="559" t="s">
        <v>301</v>
      </c>
      <c r="K375" s="559" t="s">
        <v>9309</v>
      </c>
      <c r="L375" s="559" t="s">
        <v>6955</v>
      </c>
      <c r="M375" s="559"/>
      <c r="N375" s="559" t="s">
        <v>24523</v>
      </c>
      <c r="O375" s="559" t="s">
        <v>7001</v>
      </c>
      <c r="P375" s="559" t="s">
        <v>23916</v>
      </c>
      <c r="Q375" s="559" t="s">
        <v>23614</v>
      </c>
      <c r="R375" s="559" t="s">
        <v>23917</v>
      </c>
      <c r="S375" s="559" t="s">
        <v>24524</v>
      </c>
      <c r="T375" s="559" t="s">
        <v>24525</v>
      </c>
      <c r="U375" s="559"/>
      <c r="V375" s="559" t="s">
        <v>9367</v>
      </c>
      <c r="W375" s="559" t="s">
        <v>397</v>
      </c>
      <c r="X375" s="559" t="s">
        <v>194</v>
      </c>
      <c r="Y375" s="559" t="s">
        <v>9300</v>
      </c>
      <c r="Z375" s="559"/>
      <c r="AA375" s="559"/>
      <c r="AB375" s="559" t="s">
        <v>9311</v>
      </c>
      <c r="AC375" s="559"/>
      <c r="AD375" s="559"/>
      <c r="AE375" s="559"/>
      <c r="AF375" s="559"/>
      <c r="AG375" s="559"/>
      <c r="AH375" s="559" t="s">
        <v>4714</v>
      </c>
      <c r="AI375" s="559" t="s">
        <v>15067</v>
      </c>
      <c r="AJ375" s="601" t="str">
        <f t="shared" si="10"/>
        <v>235301</v>
      </c>
      <c r="AK375" s="601">
        <v>1</v>
      </c>
      <c r="AL375" s="601">
        <f t="shared" si="11"/>
        <v>1</v>
      </c>
      <c r="AM375" s="601">
        <v>1</v>
      </c>
      <c r="AN375" s="603" t="s">
        <v>17650</v>
      </c>
      <c r="AO375" s="603" t="s">
        <v>17651</v>
      </c>
      <c r="AP375" s="603" t="s">
        <v>17652</v>
      </c>
      <c r="AQ375" s="603" t="s">
        <v>17653</v>
      </c>
      <c r="AR375" s="603" t="s">
        <v>1024</v>
      </c>
      <c r="AS375" s="559">
        <v>1</v>
      </c>
    </row>
    <row r="376" spans="1:45" x14ac:dyDescent="0.2">
      <c r="A376" s="559" t="s">
        <v>15061</v>
      </c>
      <c r="B376" s="559" t="s">
        <v>15067</v>
      </c>
      <c r="C376" s="559" t="s">
        <v>396</v>
      </c>
      <c r="D376" s="559" t="s">
        <v>23700</v>
      </c>
      <c r="E376" s="559" t="s">
        <v>192</v>
      </c>
      <c r="F376" s="564">
        <v>1</v>
      </c>
      <c r="G376" s="559" t="s">
        <v>193</v>
      </c>
      <c r="H376" s="559" t="s">
        <v>194</v>
      </c>
      <c r="I376" s="559" t="s">
        <v>23499</v>
      </c>
      <c r="J376" s="559" t="s">
        <v>4751</v>
      </c>
      <c r="K376" s="559" t="s">
        <v>9309</v>
      </c>
      <c r="L376" s="559" t="s">
        <v>6955</v>
      </c>
      <c r="M376" s="559"/>
      <c r="N376" s="559" t="s">
        <v>24526</v>
      </c>
      <c r="O376" s="559" t="s">
        <v>7001</v>
      </c>
      <c r="P376" s="559" t="s">
        <v>23916</v>
      </c>
      <c r="Q376" s="559" t="s">
        <v>23614</v>
      </c>
      <c r="R376" s="559" t="s">
        <v>23917</v>
      </c>
      <c r="S376" s="559" t="s">
        <v>24527</v>
      </c>
      <c r="T376" s="559" t="s">
        <v>24528</v>
      </c>
      <c r="U376" s="559"/>
      <c r="V376" s="559" t="s">
        <v>9472</v>
      </c>
      <c r="W376" s="559" t="s">
        <v>397</v>
      </c>
      <c r="X376" s="559" t="s">
        <v>194</v>
      </c>
      <c r="Y376" s="559" t="s">
        <v>9300</v>
      </c>
      <c r="Z376" s="559"/>
      <c r="AA376" s="559"/>
      <c r="AB376" s="559" t="s">
        <v>9311</v>
      </c>
      <c r="AC376" s="559"/>
      <c r="AD376" s="559"/>
      <c r="AE376" s="559"/>
      <c r="AF376" s="559"/>
      <c r="AG376" s="559"/>
      <c r="AH376" s="559" t="s">
        <v>4714</v>
      </c>
      <c r="AI376" s="559" t="s">
        <v>15067</v>
      </c>
      <c r="AJ376" s="601" t="str">
        <f t="shared" si="10"/>
        <v>235301</v>
      </c>
      <c r="AK376" s="601">
        <v>1</v>
      </c>
      <c r="AL376" s="601">
        <f t="shared" si="11"/>
        <v>1</v>
      </c>
      <c r="AM376" s="601">
        <v>1</v>
      </c>
      <c r="AN376" s="603" t="s">
        <v>17650</v>
      </c>
      <c r="AO376" s="603" t="s">
        <v>17651</v>
      </c>
      <c r="AP376" s="603" t="s">
        <v>17652</v>
      </c>
      <c r="AQ376" s="603" t="s">
        <v>17653</v>
      </c>
      <c r="AR376" s="603" t="s">
        <v>1024</v>
      </c>
      <c r="AS376" s="559">
        <v>1</v>
      </c>
    </row>
    <row r="377" spans="1:45" x14ac:dyDescent="0.2">
      <c r="A377" s="559" t="s">
        <v>6154</v>
      </c>
      <c r="B377" s="559" t="s">
        <v>24529</v>
      </c>
      <c r="C377" s="559" t="s">
        <v>43</v>
      </c>
      <c r="D377" s="559" t="s">
        <v>23700</v>
      </c>
      <c r="E377" s="559" t="s">
        <v>192</v>
      </c>
      <c r="F377" s="564">
        <v>1</v>
      </c>
      <c r="G377" s="559" t="s">
        <v>193</v>
      </c>
      <c r="H377" s="559" t="s">
        <v>194</v>
      </c>
      <c r="I377" s="559" t="s">
        <v>23151</v>
      </c>
      <c r="J377" s="559" t="s">
        <v>210</v>
      </c>
      <c r="K377" s="559" t="s">
        <v>9309</v>
      </c>
      <c r="L377" s="559" t="s">
        <v>6955</v>
      </c>
      <c r="M377" s="559"/>
      <c r="N377" s="559" t="s">
        <v>24530</v>
      </c>
      <c r="O377" s="559" t="s">
        <v>6254</v>
      </c>
      <c r="P377" s="559" t="s">
        <v>23916</v>
      </c>
      <c r="Q377" s="559" t="s">
        <v>23614</v>
      </c>
      <c r="R377" s="559" t="s">
        <v>23917</v>
      </c>
      <c r="S377" s="559" t="s">
        <v>24531</v>
      </c>
      <c r="T377" s="559" t="s">
        <v>24532</v>
      </c>
      <c r="U377" s="559"/>
      <c r="V377" s="559" t="s">
        <v>9334</v>
      </c>
      <c r="W377" s="559" t="s">
        <v>452</v>
      </c>
      <c r="X377" s="559" t="s">
        <v>194</v>
      </c>
      <c r="Y377" s="559" t="s">
        <v>9300</v>
      </c>
      <c r="Z377" s="559"/>
      <c r="AA377" s="559"/>
      <c r="AB377" s="559" t="s">
        <v>9311</v>
      </c>
      <c r="AC377" s="559"/>
      <c r="AD377" s="559"/>
      <c r="AE377" s="559"/>
      <c r="AF377" s="559"/>
      <c r="AG377" s="559"/>
      <c r="AH377" s="559" t="s">
        <v>4714</v>
      </c>
      <c r="AI377" s="559" t="s">
        <v>24529</v>
      </c>
      <c r="AJ377" s="601" t="str">
        <f t="shared" si="10"/>
        <v>243106</v>
      </c>
      <c r="AK377" s="601">
        <v>1</v>
      </c>
      <c r="AL377" s="601">
        <f t="shared" si="11"/>
        <v>1</v>
      </c>
      <c r="AM377" s="601">
        <v>1</v>
      </c>
      <c r="AN377" s="603" t="s">
        <v>17650</v>
      </c>
      <c r="AO377" s="603" t="s">
        <v>17651</v>
      </c>
      <c r="AP377" s="603" t="s">
        <v>17652</v>
      </c>
      <c r="AQ377" s="603" t="s">
        <v>17653</v>
      </c>
      <c r="AR377" s="603" t="s">
        <v>1024</v>
      </c>
      <c r="AS377" s="559">
        <v>1</v>
      </c>
    </row>
    <row r="378" spans="1:45" x14ac:dyDescent="0.2">
      <c r="A378" s="558" t="s">
        <v>24533</v>
      </c>
      <c r="B378" s="558" t="s">
        <v>24534</v>
      </c>
      <c r="C378" s="558" t="s">
        <v>6617</v>
      </c>
      <c r="D378" s="558" t="s">
        <v>23256</v>
      </c>
      <c r="E378" s="558" t="s">
        <v>192</v>
      </c>
      <c r="F378" s="563">
        <v>1</v>
      </c>
      <c r="G378" s="558" t="s">
        <v>193</v>
      </c>
      <c r="H378" s="558" t="s">
        <v>194</v>
      </c>
      <c r="I378" s="558" t="s">
        <v>23499</v>
      </c>
      <c r="J378" s="558" t="s">
        <v>9302</v>
      </c>
      <c r="K378" s="558" t="s">
        <v>9309</v>
      </c>
      <c r="L378" s="558" t="s">
        <v>6955</v>
      </c>
      <c r="M378" s="558"/>
      <c r="N378" s="558" t="s">
        <v>24535</v>
      </c>
      <c r="O378" s="558" t="s">
        <v>6266</v>
      </c>
      <c r="P378" s="558" t="s">
        <v>24536</v>
      </c>
      <c r="Q378" s="558" t="s">
        <v>24537</v>
      </c>
      <c r="R378" s="558" t="s">
        <v>24538</v>
      </c>
      <c r="S378" s="558" t="s">
        <v>24539</v>
      </c>
      <c r="T378" s="558" t="s">
        <v>24540</v>
      </c>
      <c r="U378" s="558"/>
      <c r="V378" s="603"/>
      <c r="W378" s="558" t="s">
        <v>990</v>
      </c>
      <c r="X378" s="558" t="s">
        <v>193</v>
      </c>
      <c r="Y378" s="558" t="s">
        <v>9310</v>
      </c>
      <c r="Z378" s="558"/>
      <c r="AA378" s="558"/>
      <c r="AB378" s="558" t="s">
        <v>9311</v>
      </c>
      <c r="AC378" s="558"/>
      <c r="AD378" s="558"/>
      <c r="AE378" s="558"/>
      <c r="AF378" s="558"/>
      <c r="AG378" s="558"/>
      <c r="AH378" s="558" t="s">
        <v>4714</v>
      </c>
      <c r="AI378" s="558" t="s">
        <v>24534</v>
      </c>
      <c r="AJ378" s="601" t="str">
        <f t="shared" si="10"/>
        <v>833202</v>
      </c>
      <c r="AK378" s="601">
        <v>1</v>
      </c>
      <c r="AL378" s="601">
        <f t="shared" si="11"/>
        <v>1</v>
      </c>
      <c r="AM378" s="601">
        <v>1</v>
      </c>
      <c r="AN378" s="603" t="s">
        <v>17650</v>
      </c>
      <c r="AO378" s="603" t="s">
        <v>17651</v>
      </c>
      <c r="AP378" s="603" t="s">
        <v>17652</v>
      </c>
      <c r="AQ378" s="603" t="s">
        <v>17653</v>
      </c>
      <c r="AR378" s="603" t="s">
        <v>1024</v>
      </c>
      <c r="AS378" s="558">
        <v>1</v>
      </c>
    </row>
    <row r="379" spans="1:45" x14ac:dyDescent="0.2">
      <c r="A379" s="558" t="s">
        <v>258</v>
      </c>
      <c r="B379" s="558" t="s">
        <v>537</v>
      </c>
      <c r="C379" s="558" t="s">
        <v>778</v>
      </c>
      <c r="D379" s="558" t="s">
        <v>23256</v>
      </c>
      <c r="E379" s="558" t="s">
        <v>233</v>
      </c>
      <c r="F379" s="563">
        <v>1</v>
      </c>
      <c r="G379" s="558" t="s">
        <v>193</v>
      </c>
      <c r="H379" s="558" t="s">
        <v>194</v>
      </c>
      <c r="I379" s="558" t="s">
        <v>23151</v>
      </c>
      <c r="J379" s="558" t="s">
        <v>4751</v>
      </c>
      <c r="K379" s="558" t="s">
        <v>9309</v>
      </c>
      <c r="L379" s="558" t="s">
        <v>6955</v>
      </c>
      <c r="M379" s="558"/>
      <c r="N379" s="558" t="s">
        <v>24541</v>
      </c>
      <c r="O379" s="558" t="s">
        <v>6249</v>
      </c>
      <c r="P379" s="558" t="s">
        <v>24542</v>
      </c>
      <c r="Q379" s="558" t="s">
        <v>24543</v>
      </c>
      <c r="R379" s="558" t="s">
        <v>23186</v>
      </c>
      <c r="S379" s="558" t="s">
        <v>24544</v>
      </c>
      <c r="T379" s="558" t="s">
        <v>24545</v>
      </c>
      <c r="U379" s="558"/>
      <c r="V379" s="558" t="s">
        <v>9472</v>
      </c>
      <c r="W379" s="558" t="s">
        <v>779</v>
      </c>
      <c r="X379" s="558" t="s">
        <v>194</v>
      </c>
      <c r="Y379" s="558" t="s">
        <v>9300</v>
      </c>
      <c r="Z379" s="558"/>
      <c r="AA379" s="558"/>
      <c r="AB379" s="558" t="s">
        <v>9311</v>
      </c>
      <c r="AC379" s="558"/>
      <c r="AD379" s="558"/>
      <c r="AE379" s="558"/>
      <c r="AF379" s="558"/>
      <c r="AG379" s="558"/>
      <c r="AH379" s="558" t="s">
        <v>4714</v>
      </c>
      <c r="AI379" s="558" t="s">
        <v>778</v>
      </c>
      <c r="AJ379" s="601" t="str">
        <f t="shared" si="10"/>
        <v>524902</v>
      </c>
      <c r="AK379" s="601">
        <v>1</v>
      </c>
      <c r="AL379" s="601">
        <f t="shared" si="11"/>
        <v>1</v>
      </c>
      <c r="AM379" s="601">
        <v>1</v>
      </c>
      <c r="AN379" s="603" t="s">
        <v>17650</v>
      </c>
      <c r="AO379" s="603" t="s">
        <v>17651</v>
      </c>
      <c r="AP379" s="603" t="s">
        <v>17652</v>
      </c>
      <c r="AQ379" s="603" t="s">
        <v>17653</v>
      </c>
      <c r="AR379" s="603" t="s">
        <v>1024</v>
      </c>
      <c r="AS379" s="558">
        <v>1</v>
      </c>
    </row>
    <row r="380" spans="1:45" x14ac:dyDescent="0.2">
      <c r="A380" s="558" t="s">
        <v>835</v>
      </c>
      <c r="B380" s="558" t="s">
        <v>4610</v>
      </c>
      <c r="C380" s="558" t="s">
        <v>67</v>
      </c>
      <c r="D380" s="558" t="s">
        <v>23256</v>
      </c>
      <c r="E380" s="558" t="s">
        <v>233</v>
      </c>
      <c r="F380" s="563">
        <v>1</v>
      </c>
      <c r="G380" s="558" t="s">
        <v>193</v>
      </c>
      <c r="H380" s="558" t="s">
        <v>194</v>
      </c>
      <c r="I380" s="558" t="s">
        <v>23158</v>
      </c>
      <c r="J380" s="558" t="s">
        <v>276</v>
      </c>
      <c r="K380" s="558" t="s">
        <v>9309</v>
      </c>
      <c r="L380" s="558" t="s">
        <v>6955</v>
      </c>
      <c r="M380" s="558"/>
      <c r="N380" s="558" t="s">
        <v>24546</v>
      </c>
      <c r="O380" s="558" t="s">
        <v>6275</v>
      </c>
      <c r="P380" s="558" t="s">
        <v>24547</v>
      </c>
      <c r="Q380" s="558" t="s">
        <v>23375</v>
      </c>
      <c r="R380" s="558" t="s">
        <v>23416</v>
      </c>
      <c r="S380" s="558" t="s">
        <v>24548</v>
      </c>
      <c r="T380" s="558" t="s">
        <v>24549</v>
      </c>
      <c r="U380" s="558"/>
      <c r="V380" s="558" t="s">
        <v>9786</v>
      </c>
      <c r="W380" s="558" t="s">
        <v>709</v>
      </c>
      <c r="X380" s="558" t="s">
        <v>194</v>
      </c>
      <c r="Y380" s="558" t="s">
        <v>9300</v>
      </c>
      <c r="Z380" s="558"/>
      <c r="AA380" s="558"/>
      <c r="AB380" s="558" t="s">
        <v>9311</v>
      </c>
      <c r="AC380" s="558"/>
      <c r="AD380" s="558"/>
      <c r="AE380" s="558"/>
      <c r="AF380" s="558"/>
      <c r="AG380" s="558"/>
      <c r="AH380" s="558" t="s">
        <v>4714</v>
      </c>
      <c r="AI380" s="558" t="s">
        <v>4610</v>
      </c>
      <c r="AJ380" s="601" t="str">
        <f t="shared" si="10"/>
        <v>432103</v>
      </c>
      <c r="AK380" s="601">
        <v>1</v>
      </c>
      <c r="AL380" s="601">
        <f t="shared" si="11"/>
        <v>1</v>
      </c>
      <c r="AM380" s="601">
        <v>1</v>
      </c>
      <c r="AN380" s="603" t="s">
        <v>17650</v>
      </c>
      <c r="AO380" s="603" t="s">
        <v>17651</v>
      </c>
      <c r="AP380" s="603" t="s">
        <v>17652</v>
      </c>
      <c r="AQ380" s="603" t="s">
        <v>17653</v>
      </c>
      <c r="AR380" s="603" t="s">
        <v>1024</v>
      </c>
      <c r="AS380" s="558">
        <v>1</v>
      </c>
    </row>
    <row r="381" spans="1:45" x14ac:dyDescent="0.2">
      <c r="A381" s="558" t="s">
        <v>24550</v>
      </c>
      <c r="B381" s="558" t="s">
        <v>4089</v>
      </c>
      <c r="C381" s="558" t="s">
        <v>4090</v>
      </c>
      <c r="D381" s="558" t="s">
        <v>23256</v>
      </c>
      <c r="E381" s="558" t="s">
        <v>233</v>
      </c>
      <c r="F381" s="563">
        <v>1</v>
      </c>
      <c r="G381" s="558" t="s">
        <v>193</v>
      </c>
      <c r="H381" s="558" t="s">
        <v>194</v>
      </c>
      <c r="I381" s="558" t="s">
        <v>24551</v>
      </c>
      <c r="J381" s="558" t="s">
        <v>9302</v>
      </c>
      <c r="K381" s="558" t="s">
        <v>9309</v>
      </c>
      <c r="L381" s="558" t="s">
        <v>6955</v>
      </c>
      <c r="M381" s="558"/>
      <c r="N381" s="558" t="s">
        <v>24552</v>
      </c>
      <c r="O381" s="558" t="s">
        <v>6249</v>
      </c>
      <c r="P381" s="558" t="s">
        <v>24547</v>
      </c>
      <c r="Q381" s="558" t="s">
        <v>23375</v>
      </c>
      <c r="R381" s="558" t="s">
        <v>23416</v>
      </c>
      <c r="S381" s="558" t="s">
        <v>24553</v>
      </c>
      <c r="T381" s="558" t="s">
        <v>24554</v>
      </c>
      <c r="U381" s="558"/>
      <c r="V381" s="603"/>
      <c r="W381" s="558" t="s">
        <v>4091</v>
      </c>
      <c r="X381" s="558" t="s">
        <v>193</v>
      </c>
      <c r="Y381" s="558" t="s">
        <v>9310</v>
      </c>
      <c r="Z381" s="558"/>
      <c r="AA381" s="558"/>
      <c r="AB381" s="558" t="s">
        <v>9311</v>
      </c>
      <c r="AC381" s="558"/>
      <c r="AD381" s="558"/>
      <c r="AE381" s="558"/>
      <c r="AF381" s="558"/>
      <c r="AG381" s="558"/>
      <c r="AH381" s="558" t="s">
        <v>4714</v>
      </c>
      <c r="AI381" s="558" t="s">
        <v>4089</v>
      </c>
      <c r="AJ381" s="601" t="str">
        <f t="shared" si="10"/>
        <v>421403</v>
      </c>
      <c r="AK381" s="601">
        <v>1</v>
      </c>
      <c r="AL381" s="601">
        <f t="shared" si="11"/>
        <v>1</v>
      </c>
      <c r="AM381" s="601">
        <v>1</v>
      </c>
      <c r="AN381" s="603" t="s">
        <v>17650</v>
      </c>
      <c r="AO381" s="603" t="s">
        <v>17651</v>
      </c>
      <c r="AP381" s="603" t="s">
        <v>17652</v>
      </c>
      <c r="AQ381" s="603" t="s">
        <v>17653</v>
      </c>
      <c r="AR381" s="603" t="s">
        <v>1024</v>
      </c>
      <c r="AS381" s="558">
        <v>1</v>
      </c>
    </row>
    <row r="382" spans="1:45" x14ac:dyDescent="0.2">
      <c r="A382" s="558" t="s">
        <v>6171</v>
      </c>
      <c r="B382" s="558" t="s">
        <v>24555</v>
      </c>
      <c r="C382" s="558" t="s">
        <v>69</v>
      </c>
      <c r="D382" s="558" t="s">
        <v>23256</v>
      </c>
      <c r="E382" s="558" t="s">
        <v>233</v>
      </c>
      <c r="F382" s="563">
        <v>1</v>
      </c>
      <c r="G382" s="558" t="s">
        <v>193</v>
      </c>
      <c r="H382" s="558" t="s">
        <v>194</v>
      </c>
      <c r="I382" s="558" t="s">
        <v>24556</v>
      </c>
      <c r="J382" s="558" t="s">
        <v>9302</v>
      </c>
      <c r="K382" s="558" t="s">
        <v>9309</v>
      </c>
      <c r="L382" s="558" t="s">
        <v>6955</v>
      </c>
      <c r="M382" s="558"/>
      <c r="N382" s="558" t="s">
        <v>24557</v>
      </c>
      <c r="O382" s="558" t="s">
        <v>6249</v>
      </c>
      <c r="P382" s="558" t="s">
        <v>24547</v>
      </c>
      <c r="Q382" s="558" t="s">
        <v>23375</v>
      </c>
      <c r="R382" s="558" t="s">
        <v>23416</v>
      </c>
      <c r="S382" s="558" t="s">
        <v>24558</v>
      </c>
      <c r="T382" s="558" t="s">
        <v>24559</v>
      </c>
      <c r="U382" s="558"/>
      <c r="V382" s="603"/>
      <c r="W382" s="558" t="s">
        <v>375</v>
      </c>
      <c r="X382" s="558" t="s">
        <v>193</v>
      </c>
      <c r="Y382" s="558" t="s">
        <v>9310</v>
      </c>
      <c r="Z382" s="558"/>
      <c r="AA382" s="558"/>
      <c r="AB382" s="558" t="s">
        <v>9311</v>
      </c>
      <c r="AC382" s="558"/>
      <c r="AD382" s="558"/>
      <c r="AE382" s="558"/>
      <c r="AF382" s="558"/>
      <c r="AG382" s="558"/>
      <c r="AH382" s="558" t="s">
        <v>4714</v>
      </c>
      <c r="AI382" s="558" t="s">
        <v>24555</v>
      </c>
      <c r="AJ382" s="601" t="str">
        <f t="shared" si="10"/>
        <v>215301</v>
      </c>
      <c r="AK382" s="601">
        <v>1</v>
      </c>
      <c r="AL382" s="601">
        <f t="shared" si="11"/>
        <v>1</v>
      </c>
      <c r="AM382" s="601">
        <v>1</v>
      </c>
      <c r="AN382" s="603" t="s">
        <v>17650</v>
      </c>
      <c r="AO382" s="603" t="s">
        <v>17651</v>
      </c>
      <c r="AP382" s="603" t="s">
        <v>17652</v>
      </c>
      <c r="AQ382" s="603" t="s">
        <v>17653</v>
      </c>
      <c r="AR382" s="603" t="s">
        <v>1024</v>
      </c>
      <c r="AS382" s="558">
        <v>1</v>
      </c>
    </row>
    <row r="383" spans="1:45" x14ac:dyDescent="0.2">
      <c r="A383" s="558" t="s">
        <v>15269</v>
      </c>
      <c r="B383" s="558" t="s">
        <v>24560</v>
      </c>
      <c r="C383" s="558" t="s">
        <v>2926</v>
      </c>
      <c r="D383" s="558" t="s">
        <v>23256</v>
      </c>
      <c r="E383" s="558" t="s">
        <v>233</v>
      </c>
      <c r="F383" s="563">
        <v>1</v>
      </c>
      <c r="G383" s="558" t="s">
        <v>193</v>
      </c>
      <c r="H383" s="558" t="s">
        <v>194</v>
      </c>
      <c r="I383" s="558" t="s">
        <v>24556</v>
      </c>
      <c r="J383" s="558" t="s">
        <v>976</v>
      </c>
      <c r="K383" s="558" t="s">
        <v>9309</v>
      </c>
      <c r="L383" s="558" t="s">
        <v>6955</v>
      </c>
      <c r="M383" s="558"/>
      <c r="N383" s="558" t="s">
        <v>24561</v>
      </c>
      <c r="O383" s="558" t="s">
        <v>6245</v>
      </c>
      <c r="P383" s="558" t="s">
        <v>24547</v>
      </c>
      <c r="Q383" s="558" t="s">
        <v>23375</v>
      </c>
      <c r="R383" s="558" t="s">
        <v>23416</v>
      </c>
      <c r="S383" s="558" t="s">
        <v>24562</v>
      </c>
      <c r="T383" s="558" t="s">
        <v>24563</v>
      </c>
      <c r="U383" s="558"/>
      <c r="V383" s="558" t="s">
        <v>9726</v>
      </c>
      <c r="W383" s="558" t="s">
        <v>6411</v>
      </c>
      <c r="X383" s="558" t="s">
        <v>194</v>
      </c>
      <c r="Y383" s="558" t="s">
        <v>9300</v>
      </c>
      <c r="Z383" s="558"/>
      <c r="AA383" s="558"/>
      <c r="AB383" s="558" t="s">
        <v>9311</v>
      </c>
      <c r="AC383" s="558"/>
      <c r="AD383" s="558"/>
      <c r="AE383" s="558"/>
      <c r="AF383" s="558"/>
      <c r="AG383" s="558"/>
      <c r="AH383" s="558" t="s">
        <v>4714</v>
      </c>
      <c r="AI383" s="558" t="s">
        <v>24560</v>
      </c>
      <c r="AJ383" s="601" t="str">
        <f t="shared" si="10"/>
        <v>215101</v>
      </c>
      <c r="AK383" s="601">
        <v>1</v>
      </c>
      <c r="AL383" s="601">
        <f t="shared" si="11"/>
        <v>1</v>
      </c>
      <c r="AM383" s="601">
        <v>1</v>
      </c>
      <c r="AN383" s="603" t="s">
        <v>17650</v>
      </c>
      <c r="AO383" s="603" t="s">
        <v>17651</v>
      </c>
      <c r="AP383" s="603" t="s">
        <v>17652</v>
      </c>
      <c r="AQ383" s="603" t="s">
        <v>17653</v>
      </c>
      <c r="AR383" s="603" t="s">
        <v>1024</v>
      </c>
      <c r="AS383" s="558">
        <v>1</v>
      </c>
    </row>
    <row r="384" spans="1:45" x14ac:dyDescent="0.2">
      <c r="A384" s="558" t="s">
        <v>21081</v>
      </c>
      <c r="B384" s="558" t="s">
        <v>24564</v>
      </c>
      <c r="C384" s="558" t="s">
        <v>62</v>
      </c>
      <c r="D384" s="558" t="s">
        <v>23256</v>
      </c>
      <c r="E384" s="558" t="s">
        <v>233</v>
      </c>
      <c r="F384" s="563">
        <v>1</v>
      </c>
      <c r="G384" s="558" t="s">
        <v>193</v>
      </c>
      <c r="H384" s="558" t="s">
        <v>194</v>
      </c>
      <c r="I384" s="558" t="s">
        <v>23158</v>
      </c>
      <c r="J384" s="558" t="s">
        <v>367</v>
      </c>
      <c r="K384" s="558" t="s">
        <v>9309</v>
      </c>
      <c r="L384" s="558" t="s">
        <v>6955</v>
      </c>
      <c r="M384" s="558"/>
      <c r="N384" s="558" t="s">
        <v>24565</v>
      </c>
      <c r="O384" s="558" t="s">
        <v>6363</v>
      </c>
      <c r="P384" s="558" t="s">
        <v>24547</v>
      </c>
      <c r="Q384" s="558" t="s">
        <v>23375</v>
      </c>
      <c r="R384" s="558" t="s">
        <v>23416</v>
      </c>
      <c r="S384" s="558" t="s">
        <v>24566</v>
      </c>
      <c r="T384" s="558" t="s">
        <v>24567</v>
      </c>
      <c r="U384" s="558"/>
      <c r="V384" s="558" t="s">
        <v>9974</v>
      </c>
      <c r="W384" s="558" t="s">
        <v>601</v>
      </c>
      <c r="X384" s="558" t="s">
        <v>194</v>
      </c>
      <c r="Y384" s="558" t="s">
        <v>9300</v>
      </c>
      <c r="Z384" s="558"/>
      <c r="AA384" s="558"/>
      <c r="AB384" s="558" t="s">
        <v>9311</v>
      </c>
      <c r="AC384" s="558"/>
      <c r="AD384" s="558"/>
      <c r="AE384" s="558"/>
      <c r="AF384" s="558"/>
      <c r="AG384" s="558"/>
      <c r="AH384" s="558" t="s">
        <v>4714</v>
      </c>
      <c r="AI384" s="558" t="s">
        <v>24564</v>
      </c>
      <c r="AJ384" s="601" t="str">
        <f t="shared" si="10"/>
        <v>313904</v>
      </c>
      <c r="AK384" s="601">
        <v>1</v>
      </c>
      <c r="AL384" s="601">
        <f t="shared" si="11"/>
        <v>1</v>
      </c>
      <c r="AM384" s="601">
        <v>1</v>
      </c>
      <c r="AN384" s="603" t="s">
        <v>17650</v>
      </c>
      <c r="AO384" s="603" t="s">
        <v>17651</v>
      </c>
      <c r="AP384" s="603" t="s">
        <v>17652</v>
      </c>
      <c r="AQ384" s="603" t="s">
        <v>17653</v>
      </c>
      <c r="AR384" s="603" t="s">
        <v>1024</v>
      </c>
      <c r="AS384" s="558">
        <v>1</v>
      </c>
    </row>
    <row r="385" spans="1:45" x14ac:dyDescent="0.2">
      <c r="A385" s="558" t="s">
        <v>21009</v>
      </c>
      <c r="B385" s="558" t="s">
        <v>2373</v>
      </c>
      <c r="C385" s="558" t="s">
        <v>21</v>
      </c>
      <c r="D385" s="558" t="s">
        <v>23256</v>
      </c>
      <c r="E385" s="558" t="s">
        <v>233</v>
      </c>
      <c r="F385" s="563">
        <v>1</v>
      </c>
      <c r="G385" s="558" t="s">
        <v>193</v>
      </c>
      <c r="H385" s="558" t="s">
        <v>194</v>
      </c>
      <c r="I385" s="558" t="s">
        <v>23186</v>
      </c>
      <c r="J385" s="558" t="s">
        <v>9302</v>
      </c>
      <c r="K385" s="558" t="s">
        <v>9309</v>
      </c>
      <c r="L385" s="558" t="s">
        <v>6955</v>
      </c>
      <c r="M385" s="558"/>
      <c r="N385" s="558" t="s">
        <v>24568</v>
      </c>
      <c r="O385" s="558" t="s">
        <v>6324</v>
      </c>
      <c r="P385" s="558" t="s">
        <v>24547</v>
      </c>
      <c r="Q385" s="558" t="s">
        <v>23375</v>
      </c>
      <c r="R385" s="558" t="s">
        <v>23416</v>
      </c>
      <c r="S385" s="558" t="s">
        <v>24569</v>
      </c>
      <c r="T385" s="558" t="s">
        <v>24570</v>
      </c>
      <c r="U385" s="558"/>
      <c r="V385" s="603"/>
      <c r="W385" s="558" t="s">
        <v>293</v>
      </c>
      <c r="X385" s="558" t="s">
        <v>193</v>
      </c>
      <c r="Y385" s="558" t="s">
        <v>9310</v>
      </c>
      <c r="Z385" s="558"/>
      <c r="AA385" s="558"/>
      <c r="AB385" s="558" t="s">
        <v>9311</v>
      </c>
      <c r="AC385" s="558"/>
      <c r="AD385" s="558"/>
      <c r="AE385" s="558"/>
      <c r="AF385" s="558"/>
      <c r="AG385" s="558"/>
      <c r="AH385" s="558" t="s">
        <v>4714</v>
      </c>
      <c r="AI385" s="558" t="s">
        <v>2373</v>
      </c>
      <c r="AJ385" s="601" t="str">
        <f t="shared" si="10"/>
        <v>214202</v>
      </c>
      <c r="AK385" s="601">
        <v>1</v>
      </c>
      <c r="AL385" s="601">
        <f t="shared" si="11"/>
        <v>1</v>
      </c>
      <c r="AM385" s="601">
        <v>1</v>
      </c>
      <c r="AN385" s="603" t="s">
        <v>17650</v>
      </c>
      <c r="AO385" s="603" t="s">
        <v>17651</v>
      </c>
      <c r="AP385" s="603" t="s">
        <v>17652</v>
      </c>
      <c r="AQ385" s="603" t="s">
        <v>17653</v>
      </c>
      <c r="AR385" s="603" t="s">
        <v>1024</v>
      </c>
      <c r="AS385" s="558">
        <v>1</v>
      </c>
    </row>
    <row r="386" spans="1:45" x14ac:dyDescent="0.2">
      <c r="A386" s="558" t="s">
        <v>2093</v>
      </c>
      <c r="B386" s="558" t="s">
        <v>2770</v>
      </c>
      <c r="C386" s="558" t="s">
        <v>7</v>
      </c>
      <c r="D386" s="558" t="s">
        <v>23256</v>
      </c>
      <c r="E386" s="558" t="s">
        <v>233</v>
      </c>
      <c r="F386" s="563">
        <v>1</v>
      </c>
      <c r="G386" s="558" t="s">
        <v>193</v>
      </c>
      <c r="H386" s="558" t="s">
        <v>194</v>
      </c>
      <c r="I386" s="558" t="s">
        <v>24556</v>
      </c>
      <c r="J386" s="558" t="s">
        <v>210</v>
      </c>
      <c r="K386" s="558" t="s">
        <v>9309</v>
      </c>
      <c r="L386" s="558" t="s">
        <v>6955</v>
      </c>
      <c r="M386" s="558"/>
      <c r="N386" s="558" t="s">
        <v>24571</v>
      </c>
      <c r="O386" s="558" t="s">
        <v>6306</v>
      </c>
      <c r="P386" s="558" t="s">
        <v>24547</v>
      </c>
      <c r="Q386" s="558" t="s">
        <v>23375</v>
      </c>
      <c r="R386" s="558" t="s">
        <v>23703</v>
      </c>
      <c r="S386" s="558" t="s">
        <v>24572</v>
      </c>
      <c r="T386" s="558" t="s">
        <v>24573</v>
      </c>
      <c r="U386" s="558"/>
      <c r="V386" s="558" t="s">
        <v>9334</v>
      </c>
      <c r="W386" s="558" t="s">
        <v>2698</v>
      </c>
      <c r="X386" s="558" t="s">
        <v>194</v>
      </c>
      <c r="Y386" s="558" t="s">
        <v>9300</v>
      </c>
      <c r="Z386" s="558"/>
      <c r="AA386" s="558"/>
      <c r="AB386" s="558" t="s">
        <v>9311</v>
      </c>
      <c r="AC386" s="558"/>
      <c r="AD386" s="558"/>
      <c r="AE386" s="558"/>
      <c r="AF386" s="558"/>
      <c r="AG386" s="558"/>
      <c r="AH386" s="558" t="s">
        <v>4714</v>
      </c>
      <c r="AI386" s="558" t="s">
        <v>2770</v>
      </c>
      <c r="AJ386" s="601" t="str">
        <f t="shared" si="10"/>
        <v>335203</v>
      </c>
      <c r="AK386" s="601">
        <v>1</v>
      </c>
      <c r="AL386" s="601">
        <f t="shared" si="11"/>
        <v>1</v>
      </c>
      <c r="AM386" s="601">
        <v>1</v>
      </c>
      <c r="AN386" s="603" t="s">
        <v>17650</v>
      </c>
      <c r="AO386" s="603" t="s">
        <v>17651</v>
      </c>
      <c r="AP386" s="603" t="s">
        <v>17652</v>
      </c>
      <c r="AQ386" s="603" t="s">
        <v>17653</v>
      </c>
      <c r="AR386" s="603" t="s">
        <v>1024</v>
      </c>
      <c r="AS386" s="558">
        <v>1</v>
      </c>
    </row>
    <row r="387" spans="1:45" x14ac:dyDescent="0.2">
      <c r="A387" s="558" t="s">
        <v>24574</v>
      </c>
      <c r="B387" s="558" t="s">
        <v>2697</v>
      </c>
      <c r="C387" s="558" t="s">
        <v>2684</v>
      </c>
      <c r="D387" s="558" t="s">
        <v>23256</v>
      </c>
      <c r="E387" s="558" t="s">
        <v>233</v>
      </c>
      <c r="F387" s="563">
        <v>1</v>
      </c>
      <c r="G387" s="558" t="s">
        <v>193</v>
      </c>
      <c r="H387" s="558" t="s">
        <v>194</v>
      </c>
      <c r="I387" s="558" t="s">
        <v>24556</v>
      </c>
      <c r="J387" s="558" t="s">
        <v>4751</v>
      </c>
      <c r="K387" s="558" t="s">
        <v>9309</v>
      </c>
      <c r="L387" s="558" t="s">
        <v>6955</v>
      </c>
      <c r="M387" s="558"/>
      <c r="N387" s="558" t="s">
        <v>24575</v>
      </c>
      <c r="O387" s="558" t="s">
        <v>6306</v>
      </c>
      <c r="P387" s="558" t="s">
        <v>24547</v>
      </c>
      <c r="Q387" s="558" t="s">
        <v>23375</v>
      </c>
      <c r="R387" s="558" t="s">
        <v>23703</v>
      </c>
      <c r="S387" s="558" t="s">
        <v>24576</v>
      </c>
      <c r="T387" s="558" t="s">
        <v>24577</v>
      </c>
      <c r="U387" s="558"/>
      <c r="V387" s="558" t="s">
        <v>9472</v>
      </c>
      <c r="W387" s="558" t="s">
        <v>2685</v>
      </c>
      <c r="X387" s="558" t="s">
        <v>194</v>
      </c>
      <c r="Y387" s="558" t="s">
        <v>9300</v>
      </c>
      <c r="Z387" s="558"/>
      <c r="AA387" s="558"/>
      <c r="AB387" s="558" t="s">
        <v>9311</v>
      </c>
      <c r="AC387" s="558"/>
      <c r="AD387" s="558"/>
      <c r="AE387" s="558"/>
      <c r="AF387" s="558"/>
      <c r="AG387" s="558"/>
      <c r="AH387" s="558" t="s">
        <v>4714</v>
      </c>
      <c r="AI387" s="558" t="s">
        <v>2697</v>
      </c>
      <c r="AJ387" s="601" t="str">
        <f t="shared" ref="AJ387:AJ450" si="12">MID(W387,8,6)</f>
        <v>324002</v>
      </c>
      <c r="AK387" s="601">
        <v>1</v>
      </c>
      <c r="AL387" s="601">
        <f t="shared" ref="AL387:AL450" si="13">F387</f>
        <v>1</v>
      </c>
      <c r="AM387" s="601">
        <v>1</v>
      </c>
      <c r="AN387" s="603" t="s">
        <v>17650</v>
      </c>
      <c r="AO387" s="603" t="s">
        <v>17651</v>
      </c>
      <c r="AP387" s="603" t="s">
        <v>17652</v>
      </c>
      <c r="AQ387" s="603" t="s">
        <v>17653</v>
      </c>
      <c r="AR387" s="603" t="s">
        <v>1024</v>
      </c>
      <c r="AS387" s="558">
        <v>1</v>
      </c>
    </row>
    <row r="388" spans="1:45" x14ac:dyDescent="0.2">
      <c r="A388" s="558" t="s">
        <v>24574</v>
      </c>
      <c r="B388" s="558" t="s">
        <v>2124</v>
      </c>
      <c r="C388" s="558" t="s">
        <v>13</v>
      </c>
      <c r="D388" s="558" t="s">
        <v>23256</v>
      </c>
      <c r="E388" s="558" t="s">
        <v>233</v>
      </c>
      <c r="F388" s="563">
        <v>1</v>
      </c>
      <c r="G388" s="558" t="s">
        <v>193</v>
      </c>
      <c r="H388" s="558" t="s">
        <v>194</v>
      </c>
      <c r="I388" s="558" t="s">
        <v>23307</v>
      </c>
      <c r="J388" s="558" t="s">
        <v>4751</v>
      </c>
      <c r="K388" s="558" t="s">
        <v>9309</v>
      </c>
      <c r="L388" s="558" t="s">
        <v>6955</v>
      </c>
      <c r="M388" s="558"/>
      <c r="N388" s="558" t="s">
        <v>24578</v>
      </c>
      <c r="O388" s="558" t="s">
        <v>8003</v>
      </c>
      <c r="P388" s="558" t="s">
        <v>24547</v>
      </c>
      <c r="Q388" s="558" t="s">
        <v>23375</v>
      </c>
      <c r="R388" s="558" t="s">
        <v>23703</v>
      </c>
      <c r="S388" s="558" t="s">
        <v>24579</v>
      </c>
      <c r="T388" s="558" t="s">
        <v>24580</v>
      </c>
      <c r="U388" s="558"/>
      <c r="V388" s="558" t="s">
        <v>9472</v>
      </c>
      <c r="W388" s="558" t="s">
        <v>2125</v>
      </c>
      <c r="X388" s="558" t="s">
        <v>194</v>
      </c>
      <c r="Y388" s="558" t="s">
        <v>9300</v>
      </c>
      <c r="Z388" s="558"/>
      <c r="AA388" s="558"/>
      <c r="AB388" s="558" t="s">
        <v>9311</v>
      </c>
      <c r="AC388" s="558"/>
      <c r="AD388" s="558"/>
      <c r="AE388" s="558"/>
      <c r="AF388" s="558"/>
      <c r="AG388" s="558"/>
      <c r="AH388" s="558" t="s">
        <v>4714</v>
      </c>
      <c r="AI388" s="558" t="s">
        <v>2124</v>
      </c>
      <c r="AJ388" s="601" t="str">
        <f t="shared" si="12"/>
        <v>225101</v>
      </c>
      <c r="AK388" s="601">
        <v>1</v>
      </c>
      <c r="AL388" s="601">
        <f t="shared" si="13"/>
        <v>1</v>
      </c>
      <c r="AM388" s="601">
        <v>1</v>
      </c>
      <c r="AN388" s="603" t="s">
        <v>17650</v>
      </c>
      <c r="AO388" s="603" t="s">
        <v>17651</v>
      </c>
      <c r="AP388" s="603" t="s">
        <v>17652</v>
      </c>
      <c r="AQ388" s="603" t="s">
        <v>17653</v>
      </c>
      <c r="AR388" s="603" t="s">
        <v>1024</v>
      </c>
      <c r="AS388" s="558">
        <v>1</v>
      </c>
    </row>
    <row r="389" spans="1:45" x14ac:dyDescent="0.2">
      <c r="A389" s="558" t="s">
        <v>7354</v>
      </c>
      <c r="B389" s="558" t="s">
        <v>1000</v>
      </c>
      <c r="C389" s="558" t="s">
        <v>4977</v>
      </c>
      <c r="D389" s="558" t="s">
        <v>23256</v>
      </c>
      <c r="E389" s="558" t="s">
        <v>233</v>
      </c>
      <c r="F389" s="563">
        <v>1</v>
      </c>
      <c r="G389" s="558" t="s">
        <v>193</v>
      </c>
      <c r="H389" s="558" t="s">
        <v>194</v>
      </c>
      <c r="I389" s="558" t="s">
        <v>24556</v>
      </c>
      <c r="J389" s="558" t="s">
        <v>385</v>
      </c>
      <c r="K389" s="558" t="s">
        <v>9309</v>
      </c>
      <c r="L389" s="558" t="s">
        <v>6955</v>
      </c>
      <c r="M389" s="558"/>
      <c r="N389" s="558" t="s">
        <v>24581</v>
      </c>
      <c r="O389" s="558" t="s">
        <v>6306</v>
      </c>
      <c r="P389" s="558" t="s">
        <v>24547</v>
      </c>
      <c r="Q389" s="558" t="s">
        <v>23375</v>
      </c>
      <c r="R389" s="558" t="s">
        <v>23703</v>
      </c>
      <c r="S389" s="558" t="s">
        <v>24582</v>
      </c>
      <c r="T389" s="558" t="s">
        <v>24583</v>
      </c>
      <c r="U389" s="558"/>
      <c r="V389" s="558" t="s">
        <v>9410</v>
      </c>
      <c r="W389" s="558" t="s">
        <v>4978</v>
      </c>
      <c r="X389" s="558" t="s">
        <v>194</v>
      </c>
      <c r="Y389" s="558" t="s">
        <v>9300</v>
      </c>
      <c r="Z389" s="558"/>
      <c r="AA389" s="558"/>
      <c r="AB389" s="558" t="s">
        <v>9311</v>
      </c>
      <c r="AC389" s="558"/>
      <c r="AD389" s="558"/>
      <c r="AE389" s="558"/>
      <c r="AF389" s="558"/>
      <c r="AG389" s="558"/>
      <c r="AH389" s="558" t="s">
        <v>4714</v>
      </c>
      <c r="AI389" s="558" t="s">
        <v>1000</v>
      </c>
      <c r="AJ389" s="601" t="str">
        <f t="shared" si="12"/>
        <v>242217</v>
      </c>
      <c r="AK389" s="601">
        <v>1</v>
      </c>
      <c r="AL389" s="601">
        <f t="shared" si="13"/>
        <v>1</v>
      </c>
      <c r="AM389" s="601">
        <v>1</v>
      </c>
      <c r="AN389" s="603" t="s">
        <v>17650</v>
      </c>
      <c r="AO389" s="603" t="s">
        <v>17651</v>
      </c>
      <c r="AP389" s="603" t="s">
        <v>17652</v>
      </c>
      <c r="AQ389" s="603" t="s">
        <v>17653</v>
      </c>
      <c r="AR389" s="603" t="s">
        <v>1024</v>
      </c>
      <c r="AS389" s="558">
        <v>1</v>
      </c>
    </row>
    <row r="390" spans="1:45" x14ac:dyDescent="0.2">
      <c r="A390" s="558" t="s">
        <v>24574</v>
      </c>
      <c r="B390" s="558" t="s">
        <v>2124</v>
      </c>
      <c r="C390" s="558" t="s">
        <v>13</v>
      </c>
      <c r="D390" s="558" t="s">
        <v>23256</v>
      </c>
      <c r="E390" s="558" t="s">
        <v>233</v>
      </c>
      <c r="F390" s="563">
        <v>1</v>
      </c>
      <c r="G390" s="558" t="s">
        <v>193</v>
      </c>
      <c r="H390" s="558" t="s">
        <v>194</v>
      </c>
      <c r="I390" s="558" t="s">
        <v>23307</v>
      </c>
      <c r="J390" s="558" t="s">
        <v>4751</v>
      </c>
      <c r="K390" s="558" t="s">
        <v>9309</v>
      </c>
      <c r="L390" s="558" t="s">
        <v>6955</v>
      </c>
      <c r="M390" s="558"/>
      <c r="N390" s="558" t="s">
        <v>24584</v>
      </c>
      <c r="O390" s="558" t="s">
        <v>8003</v>
      </c>
      <c r="P390" s="558" t="s">
        <v>24547</v>
      </c>
      <c r="Q390" s="558" t="s">
        <v>23375</v>
      </c>
      <c r="R390" s="558" t="s">
        <v>23703</v>
      </c>
      <c r="S390" s="558" t="s">
        <v>24585</v>
      </c>
      <c r="T390" s="558" t="s">
        <v>24586</v>
      </c>
      <c r="U390" s="558"/>
      <c r="V390" s="558" t="s">
        <v>9472</v>
      </c>
      <c r="W390" s="558" t="s">
        <v>2125</v>
      </c>
      <c r="X390" s="558" t="s">
        <v>194</v>
      </c>
      <c r="Y390" s="558" t="s">
        <v>9300</v>
      </c>
      <c r="Z390" s="558"/>
      <c r="AA390" s="558"/>
      <c r="AB390" s="558" t="s">
        <v>9311</v>
      </c>
      <c r="AC390" s="558"/>
      <c r="AD390" s="558"/>
      <c r="AE390" s="558"/>
      <c r="AF390" s="558"/>
      <c r="AG390" s="558"/>
      <c r="AH390" s="558" t="s">
        <v>4714</v>
      </c>
      <c r="AI390" s="558" t="s">
        <v>2124</v>
      </c>
      <c r="AJ390" s="601" t="str">
        <f t="shared" si="12"/>
        <v>225101</v>
      </c>
      <c r="AK390" s="601">
        <v>1</v>
      </c>
      <c r="AL390" s="601">
        <f t="shared" si="13"/>
        <v>1</v>
      </c>
      <c r="AM390" s="601">
        <v>1</v>
      </c>
      <c r="AN390" s="603" t="s">
        <v>17650</v>
      </c>
      <c r="AO390" s="603" t="s">
        <v>17651</v>
      </c>
      <c r="AP390" s="603" t="s">
        <v>17652</v>
      </c>
      <c r="AQ390" s="603" t="s">
        <v>17653</v>
      </c>
      <c r="AR390" s="603" t="s">
        <v>1024</v>
      </c>
      <c r="AS390" s="558">
        <v>1</v>
      </c>
    </row>
    <row r="391" spans="1:45" x14ac:dyDescent="0.2">
      <c r="A391" s="558" t="s">
        <v>2123</v>
      </c>
      <c r="B391" s="558" t="s">
        <v>2124</v>
      </c>
      <c r="C391" s="558" t="s">
        <v>13</v>
      </c>
      <c r="D391" s="558" t="s">
        <v>23256</v>
      </c>
      <c r="E391" s="558" t="s">
        <v>233</v>
      </c>
      <c r="F391" s="563">
        <v>1</v>
      </c>
      <c r="G391" s="558" t="s">
        <v>193</v>
      </c>
      <c r="H391" s="558" t="s">
        <v>194</v>
      </c>
      <c r="I391" s="558" t="s">
        <v>23307</v>
      </c>
      <c r="J391" s="558" t="s">
        <v>210</v>
      </c>
      <c r="K391" s="558" t="s">
        <v>9309</v>
      </c>
      <c r="L391" s="558" t="s">
        <v>6955</v>
      </c>
      <c r="M391" s="558"/>
      <c r="N391" s="558" t="s">
        <v>24587</v>
      </c>
      <c r="O391" s="558" t="s">
        <v>8003</v>
      </c>
      <c r="P391" s="558" t="s">
        <v>24547</v>
      </c>
      <c r="Q391" s="558" t="s">
        <v>23375</v>
      </c>
      <c r="R391" s="558" t="s">
        <v>23703</v>
      </c>
      <c r="S391" s="558" t="s">
        <v>24588</v>
      </c>
      <c r="T391" s="558" t="s">
        <v>24589</v>
      </c>
      <c r="U391" s="558"/>
      <c r="V391" s="558" t="s">
        <v>9334</v>
      </c>
      <c r="W391" s="558" t="s">
        <v>2125</v>
      </c>
      <c r="X391" s="558" t="s">
        <v>194</v>
      </c>
      <c r="Y391" s="558" t="s">
        <v>9300</v>
      </c>
      <c r="Z391" s="558"/>
      <c r="AA391" s="558"/>
      <c r="AB391" s="558" t="s">
        <v>9311</v>
      </c>
      <c r="AC391" s="558"/>
      <c r="AD391" s="558"/>
      <c r="AE391" s="558"/>
      <c r="AF391" s="558"/>
      <c r="AG391" s="558"/>
      <c r="AH391" s="558" t="s">
        <v>4714</v>
      </c>
      <c r="AI391" s="558" t="s">
        <v>2124</v>
      </c>
      <c r="AJ391" s="601" t="str">
        <f t="shared" si="12"/>
        <v>225101</v>
      </c>
      <c r="AK391" s="601">
        <v>1</v>
      </c>
      <c r="AL391" s="601">
        <f t="shared" si="13"/>
        <v>1</v>
      </c>
      <c r="AM391" s="601">
        <v>1</v>
      </c>
      <c r="AN391" s="603" t="s">
        <v>17650</v>
      </c>
      <c r="AO391" s="603" t="s">
        <v>17651</v>
      </c>
      <c r="AP391" s="603" t="s">
        <v>17652</v>
      </c>
      <c r="AQ391" s="603" t="s">
        <v>17653</v>
      </c>
      <c r="AR391" s="603" t="s">
        <v>1024</v>
      </c>
      <c r="AS391" s="558">
        <v>1</v>
      </c>
    </row>
    <row r="392" spans="1:45" x14ac:dyDescent="0.2">
      <c r="A392" s="558" t="s">
        <v>15464</v>
      </c>
      <c r="B392" s="558" t="s">
        <v>22217</v>
      </c>
      <c r="C392" s="558" t="s">
        <v>468</v>
      </c>
      <c r="D392" s="558" t="s">
        <v>23256</v>
      </c>
      <c r="E392" s="558" t="s">
        <v>217</v>
      </c>
      <c r="F392" s="563">
        <v>1</v>
      </c>
      <c r="G392" s="558" t="s">
        <v>193</v>
      </c>
      <c r="H392" s="558" t="s">
        <v>194</v>
      </c>
      <c r="I392" s="558" t="s">
        <v>23164</v>
      </c>
      <c r="J392" s="558" t="s">
        <v>210</v>
      </c>
      <c r="K392" s="558" t="s">
        <v>9309</v>
      </c>
      <c r="L392" s="558" t="s">
        <v>6955</v>
      </c>
      <c r="M392" s="558"/>
      <c r="N392" s="558" t="s">
        <v>22238</v>
      </c>
      <c r="O392" s="558" t="s">
        <v>6251</v>
      </c>
      <c r="P392" s="558" t="s">
        <v>24590</v>
      </c>
      <c r="Q392" s="558" t="s">
        <v>23711</v>
      </c>
      <c r="R392" s="558" t="s">
        <v>23198</v>
      </c>
      <c r="S392" s="558" t="s">
        <v>24591</v>
      </c>
      <c r="T392" s="558" t="s">
        <v>24592</v>
      </c>
      <c r="U392" s="558"/>
      <c r="V392" s="558" t="s">
        <v>9334</v>
      </c>
      <c r="W392" s="558" t="s">
        <v>469</v>
      </c>
      <c r="X392" s="558" t="s">
        <v>194</v>
      </c>
      <c r="Y392" s="558" t="s">
        <v>9300</v>
      </c>
      <c r="Z392" s="558"/>
      <c r="AA392" s="558"/>
      <c r="AB392" s="558" t="s">
        <v>9311</v>
      </c>
      <c r="AC392" s="558"/>
      <c r="AD392" s="558"/>
      <c r="AE392" s="558"/>
      <c r="AF392" s="558"/>
      <c r="AG392" s="558"/>
      <c r="AH392" s="558" t="s">
        <v>4714</v>
      </c>
      <c r="AI392" s="558" t="s">
        <v>9433</v>
      </c>
      <c r="AJ392" s="601" t="str">
        <f t="shared" si="12"/>
        <v>243303</v>
      </c>
      <c r="AK392" s="601">
        <v>1</v>
      </c>
      <c r="AL392" s="601">
        <f t="shared" si="13"/>
        <v>1</v>
      </c>
      <c r="AM392" s="601">
        <v>1</v>
      </c>
      <c r="AN392" s="603" t="s">
        <v>17650</v>
      </c>
      <c r="AO392" s="603" t="s">
        <v>17651</v>
      </c>
      <c r="AP392" s="603" t="s">
        <v>17652</v>
      </c>
      <c r="AQ392" s="603" t="s">
        <v>17653</v>
      </c>
      <c r="AR392" s="603" t="s">
        <v>1024</v>
      </c>
      <c r="AS392" s="558">
        <v>1</v>
      </c>
    </row>
    <row r="393" spans="1:45" x14ac:dyDescent="0.2">
      <c r="A393" s="558" t="s">
        <v>4022</v>
      </c>
      <c r="B393" s="558" t="s">
        <v>7827</v>
      </c>
      <c r="C393" s="558" t="s">
        <v>542</v>
      </c>
      <c r="D393" s="558" t="s">
        <v>23256</v>
      </c>
      <c r="E393" s="558" t="s">
        <v>217</v>
      </c>
      <c r="F393" s="563">
        <v>1</v>
      </c>
      <c r="G393" s="558" t="s">
        <v>194</v>
      </c>
      <c r="H393" s="558" t="s">
        <v>193</v>
      </c>
      <c r="I393" s="558" t="s">
        <v>23186</v>
      </c>
      <c r="J393" s="558" t="s">
        <v>16331</v>
      </c>
      <c r="K393" s="558" t="s">
        <v>9309</v>
      </c>
      <c r="L393" s="558" t="s">
        <v>6955</v>
      </c>
      <c r="M393" s="558"/>
      <c r="N393" s="558" t="s">
        <v>23803</v>
      </c>
      <c r="O393" s="558" t="s">
        <v>6286</v>
      </c>
      <c r="P393" s="558" t="s">
        <v>24590</v>
      </c>
      <c r="Q393" s="558" t="s">
        <v>23711</v>
      </c>
      <c r="R393" s="558" t="s">
        <v>23804</v>
      </c>
      <c r="S393" s="558" t="s">
        <v>24593</v>
      </c>
      <c r="T393" s="558" t="s">
        <v>24594</v>
      </c>
      <c r="U393" s="558"/>
      <c r="V393" s="603"/>
      <c r="W393" s="558" t="s">
        <v>543</v>
      </c>
      <c r="X393" s="558" t="s">
        <v>194</v>
      </c>
      <c r="Y393" s="558" t="s">
        <v>9946</v>
      </c>
      <c r="Z393" s="558"/>
      <c r="AA393" s="558"/>
      <c r="AB393" s="558" t="s">
        <v>9311</v>
      </c>
      <c r="AC393" s="558"/>
      <c r="AD393" s="558"/>
      <c r="AE393" s="558"/>
      <c r="AF393" s="558"/>
      <c r="AG393" s="558"/>
      <c r="AH393" s="558" t="s">
        <v>4714</v>
      </c>
      <c r="AI393" s="558" t="s">
        <v>9433</v>
      </c>
      <c r="AJ393" s="601" t="str">
        <f t="shared" si="12"/>
        <v>264304</v>
      </c>
      <c r="AK393" s="601">
        <v>1</v>
      </c>
      <c r="AL393" s="601">
        <f t="shared" si="13"/>
        <v>1</v>
      </c>
      <c r="AM393" s="601">
        <v>1</v>
      </c>
      <c r="AN393" s="603" t="s">
        <v>17650</v>
      </c>
      <c r="AO393" s="603" t="s">
        <v>17651</v>
      </c>
      <c r="AP393" s="603" t="s">
        <v>17652</v>
      </c>
      <c r="AQ393" s="603" t="s">
        <v>17653</v>
      </c>
      <c r="AR393" s="603" t="s">
        <v>1024</v>
      </c>
      <c r="AS393" s="558">
        <v>1</v>
      </c>
    </row>
    <row r="394" spans="1:45" x14ac:dyDescent="0.2">
      <c r="A394" s="558" t="s">
        <v>4022</v>
      </c>
      <c r="B394" s="558" t="s">
        <v>23046</v>
      </c>
      <c r="C394" s="558" t="s">
        <v>542</v>
      </c>
      <c r="D394" s="558" t="s">
        <v>23256</v>
      </c>
      <c r="E394" s="558" t="s">
        <v>217</v>
      </c>
      <c r="F394" s="563">
        <v>1</v>
      </c>
      <c r="G394" s="558" t="s">
        <v>194</v>
      </c>
      <c r="H394" s="558" t="s">
        <v>193</v>
      </c>
      <c r="I394" s="558" t="s">
        <v>23164</v>
      </c>
      <c r="J394" s="558" t="s">
        <v>15466</v>
      </c>
      <c r="K394" s="558" t="s">
        <v>9309</v>
      </c>
      <c r="L394" s="558" t="s">
        <v>6955</v>
      </c>
      <c r="M394" s="558"/>
      <c r="N394" s="558" t="s">
        <v>23047</v>
      </c>
      <c r="O394" s="558" t="s">
        <v>6286</v>
      </c>
      <c r="P394" s="558" t="s">
        <v>24590</v>
      </c>
      <c r="Q394" s="558" t="s">
        <v>23711</v>
      </c>
      <c r="R394" s="558" t="s">
        <v>23198</v>
      </c>
      <c r="S394" s="558" t="s">
        <v>24595</v>
      </c>
      <c r="T394" s="558" t="s">
        <v>24596</v>
      </c>
      <c r="U394" s="558"/>
      <c r="V394" s="603"/>
      <c r="W394" s="558" t="s">
        <v>543</v>
      </c>
      <c r="X394" s="558" t="s">
        <v>193</v>
      </c>
      <c r="Y394" s="558" t="s">
        <v>9310</v>
      </c>
      <c r="Z394" s="558"/>
      <c r="AA394" s="558"/>
      <c r="AB394" s="558" t="s">
        <v>9311</v>
      </c>
      <c r="AC394" s="558"/>
      <c r="AD394" s="558"/>
      <c r="AE394" s="558"/>
      <c r="AF394" s="558"/>
      <c r="AG394" s="558"/>
      <c r="AH394" s="558" t="s">
        <v>4714</v>
      </c>
      <c r="AI394" s="558" t="s">
        <v>9433</v>
      </c>
      <c r="AJ394" s="601" t="str">
        <f t="shared" si="12"/>
        <v>264304</v>
      </c>
      <c r="AK394" s="601">
        <v>1</v>
      </c>
      <c r="AL394" s="601">
        <f t="shared" si="13"/>
        <v>1</v>
      </c>
      <c r="AM394" s="601">
        <v>1</v>
      </c>
      <c r="AN394" s="603" t="s">
        <v>17650</v>
      </c>
      <c r="AO394" s="603" t="s">
        <v>17651</v>
      </c>
      <c r="AP394" s="603" t="s">
        <v>17652</v>
      </c>
      <c r="AQ394" s="603" t="s">
        <v>17653</v>
      </c>
      <c r="AR394" s="603" t="s">
        <v>1024</v>
      </c>
      <c r="AS394" s="558">
        <v>1</v>
      </c>
    </row>
    <row r="395" spans="1:45" x14ac:dyDescent="0.2">
      <c r="A395" s="558" t="s">
        <v>9886</v>
      </c>
      <c r="B395" s="558" t="s">
        <v>23209</v>
      </c>
      <c r="C395" s="558" t="s">
        <v>8136</v>
      </c>
      <c r="D395" s="558" t="s">
        <v>23256</v>
      </c>
      <c r="E395" s="558" t="s">
        <v>217</v>
      </c>
      <c r="F395" s="563">
        <v>1</v>
      </c>
      <c r="G395" s="558" t="s">
        <v>194</v>
      </c>
      <c r="H395" s="558" t="s">
        <v>193</v>
      </c>
      <c r="I395" s="558" t="s">
        <v>23186</v>
      </c>
      <c r="J395" s="558" t="s">
        <v>23210</v>
      </c>
      <c r="K395" s="558" t="s">
        <v>9309</v>
      </c>
      <c r="L395" s="558" t="s">
        <v>6955</v>
      </c>
      <c r="M395" s="558"/>
      <c r="N395" s="558" t="s">
        <v>23211</v>
      </c>
      <c r="O395" s="558" t="s">
        <v>6363</v>
      </c>
      <c r="P395" s="558" t="s">
        <v>24590</v>
      </c>
      <c r="Q395" s="558" t="s">
        <v>23212</v>
      </c>
      <c r="R395" s="558" t="s">
        <v>23213</v>
      </c>
      <c r="S395" s="558" t="s">
        <v>24597</v>
      </c>
      <c r="T395" s="558" t="s">
        <v>24598</v>
      </c>
      <c r="U395" s="558"/>
      <c r="V395" s="603"/>
      <c r="W395" s="558" t="s">
        <v>8138</v>
      </c>
      <c r="X395" s="558" t="s">
        <v>194</v>
      </c>
      <c r="Y395" s="558" t="s">
        <v>9946</v>
      </c>
      <c r="Z395" s="558"/>
      <c r="AA395" s="558"/>
      <c r="AB395" s="558" t="s">
        <v>9311</v>
      </c>
      <c r="AC395" s="558"/>
      <c r="AD395" s="558"/>
      <c r="AE395" s="558"/>
      <c r="AF395" s="558"/>
      <c r="AG395" s="558"/>
      <c r="AH395" s="558" t="s">
        <v>4714</v>
      </c>
      <c r="AI395" s="558" t="s">
        <v>9433</v>
      </c>
      <c r="AJ395" s="601" t="str">
        <f t="shared" si="12"/>
        <v>821905</v>
      </c>
      <c r="AK395" s="601">
        <v>1</v>
      </c>
      <c r="AL395" s="601">
        <f t="shared" si="13"/>
        <v>1</v>
      </c>
      <c r="AM395" s="601">
        <v>1</v>
      </c>
      <c r="AN395" s="603" t="s">
        <v>17650</v>
      </c>
      <c r="AO395" s="603" t="s">
        <v>17651</v>
      </c>
      <c r="AP395" s="603" t="s">
        <v>17652</v>
      </c>
      <c r="AQ395" s="603" t="s">
        <v>17653</v>
      </c>
      <c r="AR395" s="603" t="s">
        <v>1024</v>
      </c>
      <c r="AS395" s="558">
        <v>1</v>
      </c>
    </row>
    <row r="396" spans="1:45" x14ac:dyDescent="0.2">
      <c r="A396" s="558" t="s">
        <v>9886</v>
      </c>
      <c r="B396" s="558" t="s">
        <v>23209</v>
      </c>
      <c r="C396" s="558" t="s">
        <v>8136</v>
      </c>
      <c r="D396" s="558" t="s">
        <v>23256</v>
      </c>
      <c r="E396" s="558" t="s">
        <v>217</v>
      </c>
      <c r="F396" s="563">
        <v>1</v>
      </c>
      <c r="G396" s="558" t="s">
        <v>194</v>
      </c>
      <c r="H396" s="558" t="s">
        <v>193</v>
      </c>
      <c r="I396" s="558" t="s">
        <v>23186</v>
      </c>
      <c r="J396" s="558" t="s">
        <v>23216</v>
      </c>
      <c r="K396" s="558" t="s">
        <v>9309</v>
      </c>
      <c r="L396" s="558" t="s">
        <v>6955</v>
      </c>
      <c r="M396" s="558"/>
      <c r="N396" s="558" t="s">
        <v>23217</v>
      </c>
      <c r="O396" s="558" t="s">
        <v>6363</v>
      </c>
      <c r="P396" s="558" t="s">
        <v>24590</v>
      </c>
      <c r="Q396" s="558" t="s">
        <v>23212</v>
      </c>
      <c r="R396" s="558" t="s">
        <v>23213</v>
      </c>
      <c r="S396" s="558" t="s">
        <v>24599</v>
      </c>
      <c r="T396" s="558" t="s">
        <v>24600</v>
      </c>
      <c r="U396" s="558"/>
      <c r="V396" s="603"/>
      <c r="W396" s="558" t="s">
        <v>8138</v>
      </c>
      <c r="X396" s="558" t="s">
        <v>194</v>
      </c>
      <c r="Y396" s="558" t="s">
        <v>9946</v>
      </c>
      <c r="Z396" s="558"/>
      <c r="AA396" s="558"/>
      <c r="AB396" s="558" t="s">
        <v>9311</v>
      </c>
      <c r="AC396" s="558"/>
      <c r="AD396" s="558"/>
      <c r="AE396" s="558"/>
      <c r="AF396" s="558"/>
      <c r="AG396" s="558"/>
      <c r="AH396" s="558" t="s">
        <v>4714</v>
      </c>
      <c r="AI396" s="558" t="s">
        <v>9433</v>
      </c>
      <c r="AJ396" s="601" t="str">
        <f t="shared" si="12"/>
        <v>821905</v>
      </c>
      <c r="AK396" s="601">
        <v>1</v>
      </c>
      <c r="AL396" s="601">
        <f t="shared" si="13"/>
        <v>1</v>
      </c>
      <c r="AM396" s="601">
        <v>1</v>
      </c>
      <c r="AN396" s="603" t="s">
        <v>17650</v>
      </c>
      <c r="AO396" s="603" t="s">
        <v>17651</v>
      </c>
      <c r="AP396" s="603" t="s">
        <v>17652</v>
      </c>
      <c r="AQ396" s="603" t="s">
        <v>17653</v>
      </c>
      <c r="AR396" s="603" t="s">
        <v>1024</v>
      </c>
      <c r="AS396" s="558">
        <v>1</v>
      </c>
    </row>
    <row r="397" spans="1:45" x14ac:dyDescent="0.2">
      <c r="A397" s="558" t="s">
        <v>9886</v>
      </c>
      <c r="B397" s="558" t="s">
        <v>23220</v>
      </c>
      <c r="C397" s="558" t="s">
        <v>62</v>
      </c>
      <c r="D397" s="558" t="s">
        <v>23256</v>
      </c>
      <c r="E397" s="558" t="s">
        <v>217</v>
      </c>
      <c r="F397" s="563">
        <v>1</v>
      </c>
      <c r="G397" s="558" t="s">
        <v>194</v>
      </c>
      <c r="H397" s="558" t="s">
        <v>193</v>
      </c>
      <c r="I397" s="558" t="s">
        <v>23158</v>
      </c>
      <c r="J397" s="558" t="s">
        <v>6080</v>
      </c>
      <c r="K397" s="558" t="s">
        <v>9309</v>
      </c>
      <c r="L397" s="558" t="s">
        <v>6955</v>
      </c>
      <c r="M397" s="558"/>
      <c r="N397" s="558" t="s">
        <v>23221</v>
      </c>
      <c r="O397" s="558" t="s">
        <v>6363</v>
      </c>
      <c r="P397" s="558" t="s">
        <v>24590</v>
      </c>
      <c r="Q397" s="558" t="s">
        <v>23222</v>
      </c>
      <c r="R397" s="558" t="s">
        <v>23155</v>
      </c>
      <c r="S397" s="558" t="s">
        <v>24601</v>
      </c>
      <c r="T397" s="558" t="s">
        <v>24602</v>
      </c>
      <c r="U397" s="558"/>
      <c r="V397" s="603"/>
      <c r="W397" s="558" t="s">
        <v>601</v>
      </c>
      <c r="X397" s="558" t="s">
        <v>194</v>
      </c>
      <c r="Y397" s="558" t="s">
        <v>9946</v>
      </c>
      <c r="Z397" s="558"/>
      <c r="AA397" s="558"/>
      <c r="AB397" s="558" t="s">
        <v>9311</v>
      </c>
      <c r="AC397" s="558"/>
      <c r="AD397" s="558"/>
      <c r="AE397" s="558"/>
      <c r="AF397" s="558"/>
      <c r="AG397" s="558"/>
      <c r="AH397" s="558" t="s">
        <v>4714</v>
      </c>
      <c r="AI397" s="558" t="s">
        <v>9433</v>
      </c>
      <c r="AJ397" s="601" t="str">
        <f t="shared" si="12"/>
        <v>313904</v>
      </c>
      <c r="AK397" s="601">
        <v>1</v>
      </c>
      <c r="AL397" s="601">
        <f t="shared" si="13"/>
        <v>1</v>
      </c>
      <c r="AM397" s="601">
        <v>1</v>
      </c>
      <c r="AN397" s="603" t="s">
        <v>17650</v>
      </c>
      <c r="AO397" s="603" t="s">
        <v>17651</v>
      </c>
      <c r="AP397" s="603" t="s">
        <v>17652</v>
      </c>
      <c r="AQ397" s="603" t="s">
        <v>17653</v>
      </c>
      <c r="AR397" s="603" t="s">
        <v>1024</v>
      </c>
      <c r="AS397" s="558">
        <v>1</v>
      </c>
    </row>
    <row r="398" spans="1:45" x14ac:dyDescent="0.2">
      <c r="A398" s="558" t="s">
        <v>9886</v>
      </c>
      <c r="B398" s="558" t="s">
        <v>23209</v>
      </c>
      <c r="C398" s="558" t="s">
        <v>8136</v>
      </c>
      <c r="D398" s="558" t="s">
        <v>23256</v>
      </c>
      <c r="E398" s="558" t="s">
        <v>217</v>
      </c>
      <c r="F398" s="563">
        <v>1</v>
      </c>
      <c r="G398" s="558" t="s">
        <v>194</v>
      </c>
      <c r="H398" s="558" t="s">
        <v>193</v>
      </c>
      <c r="I398" s="558" t="s">
        <v>23186</v>
      </c>
      <c r="J398" s="558" t="s">
        <v>23205</v>
      </c>
      <c r="K398" s="558" t="s">
        <v>9309</v>
      </c>
      <c r="L398" s="558" t="s">
        <v>6955</v>
      </c>
      <c r="M398" s="558"/>
      <c r="N398" s="558" t="s">
        <v>23235</v>
      </c>
      <c r="O398" s="558" t="s">
        <v>6363</v>
      </c>
      <c r="P398" s="558" t="s">
        <v>24590</v>
      </c>
      <c r="Q398" s="558" t="s">
        <v>23212</v>
      </c>
      <c r="R398" s="558" t="s">
        <v>23213</v>
      </c>
      <c r="S398" s="558" t="s">
        <v>24603</v>
      </c>
      <c r="T398" s="558" t="s">
        <v>24604</v>
      </c>
      <c r="U398" s="558"/>
      <c r="V398" s="603"/>
      <c r="W398" s="558" t="s">
        <v>8138</v>
      </c>
      <c r="X398" s="558" t="s">
        <v>194</v>
      </c>
      <c r="Y398" s="558" t="s">
        <v>9946</v>
      </c>
      <c r="Z398" s="558"/>
      <c r="AA398" s="558"/>
      <c r="AB398" s="558" t="s">
        <v>9311</v>
      </c>
      <c r="AC398" s="558"/>
      <c r="AD398" s="558"/>
      <c r="AE398" s="558"/>
      <c r="AF398" s="558"/>
      <c r="AG398" s="558"/>
      <c r="AH398" s="558" t="s">
        <v>4714</v>
      </c>
      <c r="AI398" s="558" t="s">
        <v>9433</v>
      </c>
      <c r="AJ398" s="601" t="str">
        <f t="shared" si="12"/>
        <v>821905</v>
      </c>
      <c r="AK398" s="601">
        <v>1</v>
      </c>
      <c r="AL398" s="601">
        <f t="shared" si="13"/>
        <v>1</v>
      </c>
      <c r="AM398" s="601">
        <v>1</v>
      </c>
      <c r="AN398" s="603" t="s">
        <v>17650</v>
      </c>
      <c r="AO398" s="603" t="s">
        <v>17651</v>
      </c>
      <c r="AP398" s="603" t="s">
        <v>17652</v>
      </c>
      <c r="AQ398" s="603" t="s">
        <v>17653</v>
      </c>
      <c r="AR398" s="603" t="s">
        <v>1024</v>
      </c>
      <c r="AS398" s="558">
        <v>1</v>
      </c>
    </row>
    <row r="399" spans="1:45" x14ac:dyDescent="0.2">
      <c r="A399" s="558" t="s">
        <v>258</v>
      </c>
      <c r="B399" s="558" t="s">
        <v>7677</v>
      </c>
      <c r="C399" s="558" t="s">
        <v>778</v>
      </c>
      <c r="D399" s="558" t="s">
        <v>23256</v>
      </c>
      <c r="E399" s="558" t="s">
        <v>217</v>
      </c>
      <c r="F399" s="563">
        <v>1</v>
      </c>
      <c r="G399" s="558" t="s">
        <v>193</v>
      </c>
      <c r="H399" s="558" t="s">
        <v>194</v>
      </c>
      <c r="I399" s="558" t="s">
        <v>23151</v>
      </c>
      <c r="J399" s="558" t="s">
        <v>4751</v>
      </c>
      <c r="K399" s="558" t="s">
        <v>9309</v>
      </c>
      <c r="L399" s="558" t="s">
        <v>6955</v>
      </c>
      <c r="M399" s="558"/>
      <c r="N399" s="558" t="s">
        <v>23238</v>
      </c>
      <c r="O399" s="558" t="s">
        <v>6251</v>
      </c>
      <c r="P399" s="558" t="s">
        <v>24542</v>
      </c>
      <c r="Q399" s="558" t="s">
        <v>23800</v>
      </c>
      <c r="R399" s="558" t="s">
        <v>23160</v>
      </c>
      <c r="S399" s="558" t="s">
        <v>24605</v>
      </c>
      <c r="T399" s="558" t="s">
        <v>24606</v>
      </c>
      <c r="U399" s="558"/>
      <c r="V399" s="558" t="s">
        <v>9472</v>
      </c>
      <c r="W399" s="558" t="s">
        <v>779</v>
      </c>
      <c r="X399" s="558" t="s">
        <v>194</v>
      </c>
      <c r="Y399" s="558" t="s">
        <v>9300</v>
      </c>
      <c r="Z399" s="558"/>
      <c r="AA399" s="558"/>
      <c r="AB399" s="558" t="s">
        <v>9311</v>
      </c>
      <c r="AC399" s="558"/>
      <c r="AD399" s="558"/>
      <c r="AE399" s="558"/>
      <c r="AF399" s="558"/>
      <c r="AG399" s="558"/>
      <c r="AH399" s="558" t="s">
        <v>4714</v>
      </c>
      <c r="AI399" s="558" t="s">
        <v>778</v>
      </c>
      <c r="AJ399" s="601" t="str">
        <f t="shared" si="12"/>
        <v>524902</v>
      </c>
      <c r="AK399" s="601">
        <v>1</v>
      </c>
      <c r="AL399" s="601">
        <f t="shared" si="13"/>
        <v>1</v>
      </c>
      <c r="AM399" s="601">
        <v>1</v>
      </c>
      <c r="AN399" s="603" t="s">
        <v>17650</v>
      </c>
      <c r="AO399" s="603" t="s">
        <v>17651</v>
      </c>
      <c r="AP399" s="603" t="s">
        <v>17652</v>
      </c>
      <c r="AQ399" s="603" t="s">
        <v>17653</v>
      </c>
      <c r="AR399" s="603" t="s">
        <v>1024</v>
      </c>
      <c r="AS399" s="558">
        <v>1</v>
      </c>
    </row>
    <row r="400" spans="1:45" x14ac:dyDescent="0.2">
      <c r="A400" s="558" t="s">
        <v>9886</v>
      </c>
      <c r="B400" s="558" t="s">
        <v>23209</v>
      </c>
      <c r="C400" s="558" t="s">
        <v>8136</v>
      </c>
      <c r="D400" s="558" t="s">
        <v>23256</v>
      </c>
      <c r="E400" s="558" t="s">
        <v>217</v>
      </c>
      <c r="F400" s="563">
        <v>1</v>
      </c>
      <c r="G400" s="558" t="s">
        <v>194</v>
      </c>
      <c r="H400" s="558" t="s">
        <v>193</v>
      </c>
      <c r="I400" s="558" t="s">
        <v>23186</v>
      </c>
      <c r="J400" s="558" t="s">
        <v>23249</v>
      </c>
      <c r="K400" s="558" t="s">
        <v>9309</v>
      </c>
      <c r="L400" s="558" t="s">
        <v>6955</v>
      </c>
      <c r="M400" s="558"/>
      <c r="N400" s="558" t="s">
        <v>23250</v>
      </c>
      <c r="O400" s="558" t="s">
        <v>6363</v>
      </c>
      <c r="P400" s="558" t="s">
        <v>24590</v>
      </c>
      <c r="Q400" s="558" t="s">
        <v>23212</v>
      </c>
      <c r="R400" s="558" t="s">
        <v>23213</v>
      </c>
      <c r="S400" s="558" t="s">
        <v>24607</v>
      </c>
      <c r="T400" s="558" t="s">
        <v>24608</v>
      </c>
      <c r="U400" s="558"/>
      <c r="V400" s="603"/>
      <c r="W400" s="558" t="s">
        <v>8138</v>
      </c>
      <c r="X400" s="558" t="s">
        <v>194</v>
      </c>
      <c r="Y400" s="558" t="s">
        <v>9946</v>
      </c>
      <c r="Z400" s="558"/>
      <c r="AA400" s="558"/>
      <c r="AB400" s="558" t="s">
        <v>9311</v>
      </c>
      <c r="AC400" s="558"/>
      <c r="AD400" s="558"/>
      <c r="AE400" s="558"/>
      <c r="AF400" s="558"/>
      <c r="AG400" s="558"/>
      <c r="AH400" s="558" t="s">
        <v>4714</v>
      </c>
      <c r="AI400" s="558" t="s">
        <v>9433</v>
      </c>
      <c r="AJ400" s="601" t="str">
        <f t="shared" si="12"/>
        <v>821905</v>
      </c>
      <c r="AK400" s="601">
        <v>1</v>
      </c>
      <c r="AL400" s="601">
        <f t="shared" si="13"/>
        <v>1</v>
      </c>
      <c r="AM400" s="601">
        <v>1</v>
      </c>
      <c r="AN400" s="603" t="s">
        <v>17650</v>
      </c>
      <c r="AO400" s="603" t="s">
        <v>17651</v>
      </c>
      <c r="AP400" s="603" t="s">
        <v>17652</v>
      </c>
      <c r="AQ400" s="603" t="s">
        <v>17653</v>
      </c>
      <c r="AR400" s="603" t="s">
        <v>1024</v>
      </c>
      <c r="AS400" s="558">
        <v>1</v>
      </c>
    </row>
    <row r="401" spans="1:45" x14ac:dyDescent="0.2">
      <c r="A401" s="558" t="s">
        <v>9886</v>
      </c>
      <c r="B401" s="558" t="s">
        <v>23263</v>
      </c>
      <c r="C401" s="558" t="s">
        <v>62</v>
      </c>
      <c r="D401" s="558" t="s">
        <v>23256</v>
      </c>
      <c r="E401" s="558" t="s">
        <v>217</v>
      </c>
      <c r="F401" s="563">
        <v>1</v>
      </c>
      <c r="G401" s="558" t="s">
        <v>194</v>
      </c>
      <c r="H401" s="558" t="s">
        <v>193</v>
      </c>
      <c r="I401" s="558" t="s">
        <v>23164</v>
      </c>
      <c r="J401" s="558" t="s">
        <v>23210</v>
      </c>
      <c r="K401" s="558" t="s">
        <v>9309</v>
      </c>
      <c r="L401" s="558" t="s">
        <v>6955</v>
      </c>
      <c r="M401" s="558"/>
      <c r="N401" s="558" t="s">
        <v>23264</v>
      </c>
      <c r="O401" s="558" t="s">
        <v>6363</v>
      </c>
      <c r="P401" s="558" t="s">
        <v>24590</v>
      </c>
      <c r="Q401" s="558" t="s">
        <v>23265</v>
      </c>
      <c r="R401" s="558" t="s">
        <v>23266</v>
      </c>
      <c r="S401" s="558" t="s">
        <v>24609</v>
      </c>
      <c r="T401" s="558" t="s">
        <v>24610</v>
      </c>
      <c r="U401" s="558"/>
      <c r="V401" s="603"/>
      <c r="W401" s="558" t="s">
        <v>601</v>
      </c>
      <c r="X401" s="558" t="s">
        <v>194</v>
      </c>
      <c r="Y401" s="558" t="s">
        <v>9946</v>
      </c>
      <c r="Z401" s="558"/>
      <c r="AA401" s="558"/>
      <c r="AB401" s="558" t="s">
        <v>9311</v>
      </c>
      <c r="AC401" s="558"/>
      <c r="AD401" s="558"/>
      <c r="AE401" s="558"/>
      <c r="AF401" s="558"/>
      <c r="AG401" s="558"/>
      <c r="AH401" s="558" t="s">
        <v>4714</v>
      </c>
      <c r="AI401" s="558" t="s">
        <v>9433</v>
      </c>
      <c r="AJ401" s="601" t="str">
        <f t="shared" si="12"/>
        <v>313904</v>
      </c>
      <c r="AK401" s="601">
        <v>1</v>
      </c>
      <c r="AL401" s="601">
        <f t="shared" si="13"/>
        <v>1</v>
      </c>
      <c r="AM401" s="601">
        <v>1</v>
      </c>
      <c r="AN401" s="603" t="s">
        <v>17650</v>
      </c>
      <c r="AO401" s="603" t="s">
        <v>17651</v>
      </c>
      <c r="AP401" s="603" t="s">
        <v>17652</v>
      </c>
      <c r="AQ401" s="603" t="s">
        <v>17653</v>
      </c>
      <c r="AR401" s="603" t="s">
        <v>1024</v>
      </c>
      <c r="AS401" s="558">
        <v>1</v>
      </c>
    </row>
    <row r="402" spans="1:45" x14ac:dyDescent="0.2">
      <c r="A402" s="558" t="s">
        <v>9886</v>
      </c>
      <c r="B402" s="558" t="s">
        <v>23209</v>
      </c>
      <c r="C402" s="558" t="s">
        <v>8136</v>
      </c>
      <c r="D402" s="558" t="s">
        <v>23256</v>
      </c>
      <c r="E402" s="558" t="s">
        <v>217</v>
      </c>
      <c r="F402" s="563">
        <v>1</v>
      </c>
      <c r="G402" s="558" t="s">
        <v>194</v>
      </c>
      <c r="H402" s="558" t="s">
        <v>193</v>
      </c>
      <c r="I402" s="558" t="s">
        <v>23186</v>
      </c>
      <c r="J402" s="558" t="s">
        <v>23269</v>
      </c>
      <c r="K402" s="558" t="s">
        <v>9309</v>
      </c>
      <c r="L402" s="558" t="s">
        <v>6955</v>
      </c>
      <c r="M402" s="558"/>
      <c r="N402" s="558" t="s">
        <v>23270</v>
      </c>
      <c r="O402" s="558" t="s">
        <v>6363</v>
      </c>
      <c r="P402" s="558" t="s">
        <v>24590</v>
      </c>
      <c r="Q402" s="558" t="s">
        <v>23212</v>
      </c>
      <c r="R402" s="558" t="s">
        <v>23213</v>
      </c>
      <c r="S402" s="558" t="s">
        <v>24611</v>
      </c>
      <c r="T402" s="558" t="s">
        <v>24612</v>
      </c>
      <c r="U402" s="558"/>
      <c r="V402" s="603"/>
      <c r="W402" s="558" t="s">
        <v>8138</v>
      </c>
      <c r="X402" s="558" t="s">
        <v>194</v>
      </c>
      <c r="Y402" s="558" t="s">
        <v>9946</v>
      </c>
      <c r="Z402" s="558"/>
      <c r="AA402" s="558"/>
      <c r="AB402" s="558" t="s">
        <v>9311</v>
      </c>
      <c r="AC402" s="558"/>
      <c r="AD402" s="558"/>
      <c r="AE402" s="558"/>
      <c r="AF402" s="558"/>
      <c r="AG402" s="558"/>
      <c r="AH402" s="558" t="s">
        <v>4714</v>
      </c>
      <c r="AI402" s="558" t="s">
        <v>9433</v>
      </c>
      <c r="AJ402" s="601" t="str">
        <f t="shared" si="12"/>
        <v>821905</v>
      </c>
      <c r="AK402" s="601">
        <v>1</v>
      </c>
      <c r="AL402" s="601">
        <f t="shared" si="13"/>
        <v>1</v>
      </c>
      <c r="AM402" s="601">
        <v>1</v>
      </c>
      <c r="AN402" s="603" t="s">
        <v>17650</v>
      </c>
      <c r="AO402" s="603" t="s">
        <v>17651</v>
      </c>
      <c r="AP402" s="603" t="s">
        <v>17652</v>
      </c>
      <c r="AQ402" s="603" t="s">
        <v>17653</v>
      </c>
      <c r="AR402" s="603" t="s">
        <v>1024</v>
      </c>
      <c r="AS402" s="558">
        <v>1</v>
      </c>
    </row>
    <row r="403" spans="1:45" x14ac:dyDescent="0.2">
      <c r="A403" s="558" t="s">
        <v>581</v>
      </c>
      <c r="B403" s="558" t="s">
        <v>20370</v>
      </c>
      <c r="C403" s="558" t="s">
        <v>122</v>
      </c>
      <c r="D403" s="558" t="s">
        <v>23256</v>
      </c>
      <c r="E403" s="558" t="s">
        <v>217</v>
      </c>
      <c r="F403" s="563">
        <v>1</v>
      </c>
      <c r="G403" s="558" t="s">
        <v>193</v>
      </c>
      <c r="H403" s="558" t="s">
        <v>194</v>
      </c>
      <c r="I403" s="558" t="s">
        <v>23164</v>
      </c>
      <c r="J403" s="558" t="s">
        <v>210</v>
      </c>
      <c r="K403" s="558" t="s">
        <v>9309</v>
      </c>
      <c r="L403" s="558" t="s">
        <v>6955</v>
      </c>
      <c r="M403" s="558"/>
      <c r="N403" s="558" t="s">
        <v>23829</v>
      </c>
      <c r="O403" s="558" t="s">
        <v>6269</v>
      </c>
      <c r="P403" s="558" t="s">
        <v>24590</v>
      </c>
      <c r="Q403" s="558" t="s">
        <v>23700</v>
      </c>
      <c r="R403" s="558" t="s">
        <v>23307</v>
      </c>
      <c r="S403" s="558" t="s">
        <v>24613</v>
      </c>
      <c r="T403" s="558" t="s">
        <v>24614</v>
      </c>
      <c r="U403" s="558"/>
      <c r="V403" s="558" t="s">
        <v>9334</v>
      </c>
      <c r="W403" s="558" t="s">
        <v>655</v>
      </c>
      <c r="X403" s="558" t="s">
        <v>194</v>
      </c>
      <c r="Y403" s="558" t="s">
        <v>9300</v>
      </c>
      <c r="Z403" s="558"/>
      <c r="AA403" s="558"/>
      <c r="AB403" s="558" t="s">
        <v>9311</v>
      </c>
      <c r="AC403" s="558"/>
      <c r="AD403" s="558"/>
      <c r="AE403" s="558"/>
      <c r="AF403" s="558"/>
      <c r="AG403" s="558"/>
      <c r="AH403" s="558" t="s">
        <v>4714</v>
      </c>
      <c r="AI403" s="558" t="s">
        <v>9433</v>
      </c>
      <c r="AJ403" s="601" t="str">
        <f t="shared" si="12"/>
        <v>332301</v>
      </c>
      <c r="AK403" s="601">
        <v>1</v>
      </c>
      <c r="AL403" s="601">
        <f t="shared" si="13"/>
        <v>1</v>
      </c>
      <c r="AM403" s="601">
        <v>1</v>
      </c>
      <c r="AN403" s="603" t="s">
        <v>17650</v>
      </c>
      <c r="AO403" s="603" t="s">
        <v>17651</v>
      </c>
      <c r="AP403" s="603" t="s">
        <v>17652</v>
      </c>
      <c r="AQ403" s="603" t="s">
        <v>17653</v>
      </c>
      <c r="AR403" s="603" t="s">
        <v>1024</v>
      </c>
      <c r="AS403" s="558">
        <v>1</v>
      </c>
    </row>
    <row r="404" spans="1:45" x14ac:dyDescent="0.2">
      <c r="A404" s="558" t="s">
        <v>9886</v>
      </c>
      <c r="B404" s="558" t="s">
        <v>23209</v>
      </c>
      <c r="C404" s="558" t="s">
        <v>8136</v>
      </c>
      <c r="D404" s="558" t="s">
        <v>23256</v>
      </c>
      <c r="E404" s="558" t="s">
        <v>217</v>
      </c>
      <c r="F404" s="563">
        <v>1</v>
      </c>
      <c r="G404" s="558" t="s">
        <v>194</v>
      </c>
      <c r="H404" s="558" t="s">
        <v>193</v>
      </c>
      <c r="I404" s="558" t="s">
        <v>23186</v>
      </c>
      <c r="J404" s="558" t="s">
        <v>23273</v>
      </c>
      <c r="K404" s="558" t="s">
        <v>9309</v>
      </c>
      <c r="L404" s="558" t="s">
        <v>6955</v>
      </c>
      <c r="M404" s="558"/>
      <c r="N404" s="558" t="s">
        <v>23274</v>
      </c>
      <c r="O404" s="558" t="s">
        <v>6363</v>
      </c>
      <c r="P404" s="558" t="s">
        <v>24590</v>
      </c>
      <c r="Q404" s="558" t="s">
        <v>23212</v>
      </c>
      <c r="R404" s="558" t="s">
        <v>23213</v>
      </c>
      <c r="S404" s="558" t="s">
        <v>24615</v>
      </c>
      <c r="T404" s="558" t="s">
        <v>24616</v>
      </c>
      <c r="U404" s="558"/>
      <c r="V404" s="603"/>
      <c r="W404" s="558" t="s">
        <v>8138</v>
      </c>
      <c r="X404" s="558" t="s">
        <v>194</v>
      </c>
      <c r="Y404" s="558" t="s">
        <v>9946</v>
      </c>
      <c r="Z404" s="558"/>
      <c r="AA404" s="558"/>
      <c r="AB404" s="558" t="s">
        <v>9311</v>
      </c>
      <c r="AC404" s="558"/>
      <c r="AD404" s="558"/>
      <c r="AE404" s="558"/>
      <c r="AF404" s="558"/>
      <c r="AG404" s="558"/>
      <c r="AH404" s="558" t="s">
        <v>4714</v>
      </c>
      <c r="AI404" s="558" t="s">
        <v>9433</v>
      </c>
      <c r="AJ404" s="601" t="str">
        <f t="shared" si="12"/>
        <v>821905</v>
      </c>
      <c r="AK404" s="601">
        <v>1</v>
      </c>
      <c r="AL404" s="601">
        <f t="shared" si="13"/>
        <v>1</v>
      </c>
      <c r="AM404" s="601">
        <v>1</v>
      </c>
      <c r="AN404" s="603" t="s">
        <v>17650</v>
      </c>
      <c r="AO404" s="603" t="s">
        <v>17651</v>
      </c>
      <c r="AP404" s="603" t="s">
        <v>17652</v>
      </c>
      <c r="AQ404" s="603" t="s">
        <v>17653</v>
      </c>
      <c r="AR404" s="603" t="s">
        <v>1024</v>
      </c>
      <c r="AS404" s="558">
        <v>1</v>
      </c>
    </row>
    <row r="405" spans="1:45" x14ac:dyDescent="0.2">
      <c r="A405" s="558" t="s">
        <v>9886</v>
      </c>
      <c r="B405" s="558" t="s">
        <v>821</v>
      </c>
      <c r="C405" s="558" t="s">
        <v>822</v>
      </c>
      <c r="D405" s="558" t="s">
        <v>23256</v>
      </c>
      <c r="E405" s="558" t="s">
        <v>217</v>
      </c>
      <c r="F405" s="563">
        <v>1</v>
      </c>
      <c r="G405" s="558" t="s">
        <v>193</v>
      </c>
      <c r="H405" s="558" t="s">
        <v>194</v>
      </c>
      <c r="I405" s="558" t="s">
        <v>23151</v>
      </c>
      <c r="J405" s="558" t="s">
        <v>23259</v>
      </c>
      <c r="K405" s="558" t="s">
        <v>9309</v>
      </c>
      <c r="L405" s="558" t="s">
        <v>6955</v>
      </c>
      <c r="M405" s="558"/>
      <c r="N405" s="558" t="s">
        <v>24617</v>
      </c>
      <c r="O405" s="558" t="s">
        <v>6275</v>
      </c>
      <c r="P405" s="558" t="s">
        <v>24542</v>
      </c>
      <c r="Q405" s="558" t="s">
        <v>24618</v>
      </c>
      <c r="R405" s="558" t="s">
        <v>24619</v>
      </c>
      <c r="S405" s="558" t="s">
        <v>24620</v>
      </c>
      <c r="T405" s="558" t="s">
        <v>24621</v>
      </c>
      <c r="U405" s="558"/>
      <c r="V405" s="558" t="s">
        <v>9753</v>
      </c>
      <c r="W405" s="558" t="s">
        <v>823</v>
      </c>
      <c r="X405" s="558" t="s">
        <v>194</v>
      </c>
      <c r="Y405" s="558" t="s">
        <v>9300</v>
      </c>
      <c r="Z405" s="558"/>
      <c r="AA405" s="558"/>
      <c r="AB405" s="558" t="s">
        <v>9311</v>
      </c>
      <c r="AC405" s="558"/>
      <c r="AD405" s="558"/>
      <c r="AE405" s="558"/>
      <c r="AF405" s="558"/>
      <c r="AG405" s="558"/>
      <c r="AH405" s="558" t="s">
        <v>4714</v>
      </c>
      <c r="AI405" s="558" t="s">
        <v>821</v>
      </c>
      <c r="AJ405" s="601" t="str">
        <f t="shared" si="12"/>
        <v>741103</v>
      </c>
      <c r="AK405" s="601">
        <v>1</v>
      </c>
      <c r="AL405" s="601">
        <f t="shared" si="13"/>
        <v>1</v>
      </c>
      <c r="AM405" s="601">
        <v>1</v>
      </c>
      <c r="AN405" s="603" t="s">
        <v>17650</v>
      </c>
      <c r="AO405" s="603" t="s">
        <v>17651</v>
      </c>
      <c r="AP405" s="603" t="s">
        <v>17652</v>
      </c>
      <c r="AQ405" s="603" t="s">
        <v>17653</v>
      </c>
      <c r="AR405" s="603" t="s">
        <v>1024</v>
      </c>
      <c r="AS405" s="558">
        <v>1</v>
      </c>
    </row>
    <row r="406" spans="1:45" x14ac:dyDescent="0.2">
      <c r="A406" s="558" t="s">
        <v>258</v>
      </c>
      <c r="B406" s="558" t="s">
        <v>537</v>
      </c>
      <c r="C406" s="558" t="s">
        <v>778</v>
      </c>
      <c r="D406" s="558" t="s">
        <v>23256</v>
      </c>
      <c r="E406" s="558" t="s">
        <v>217</v>
      </c>
      <c r="F406" s="563">
        <v>1</v>
      </c>
      <c r="G406" s="558" t="s">
        <v>193</v>
      </c>
      <c r="H406" s="558" t="s">
        <v>194</v>
      </c>
      <c r="I406" s="558" t="s">
        <v>23151</v>
      </c>
      <c r="J406" s="558" t="s">
        <v>323</v>
      </c>
      <c r="K406" s="558" t="s">
        <v>9309</v>
      </c>
      <c r="L406" s="558" t="s">
        <v>6955</v>
      </c>
      <c r="M406" s="558"/>
      <c r="N406" s="558" t="s">
        <v>23834</v>
      </c>
      <c r="O406" s="558" t="s">
        <v>6251</v>
      </c>
      <c r="P406" s="558" t="s">
        <v>24542</v>
      </c>
      <c r="Q406" s="558" t="s">
        <v>23228</v>
      </c>
      <c r="R406" s="558" t="s">
        <v>23835</v>
      </c>
      <c r="S406" s="558" t="s">
        <v>24622</v>
      </c>
      <c r="T406" s="558" t="s">
        <v>24623</v>
      </c>
      <c r="U406" s="558"/>
      <c r="V406" s="558" t="s">
        <v>9514</v>
      </c>
      <c r="W406" s="558" t="s">
        <v>779</v>
      </c>
      <c r="X406" s="558" t="s">
        <v>194</v>
      </c>
      <c r="Y406" s="558" t="s">
        <v>9300</v>
      </c>
      <c r="Z406" s="558"/>
      <c r="AA406" s="558"/>
      <c r="AB406" s="558" t="s">
        <v>9311</v>
      </c>
      <c r="AC406" s="558"/>
      <c r="AD406" s="558"/>
      <c r="AE406" s="558"/>
      <c r="AF406" s="558"/>
      <c r="AG406" s="558"/>
      <c r="AH406" s="558" t="s">
        <v>4714</v>
      </c>
      <c r="AI406" s="558" t="s">
        <v>778</v>
      </c>
      <c r="AJ406" s="601" t="str">
        <f t="shared" si="12"/>
        <v>524902</v>
      </c>
      <c r="AK406" s="601">
        <v>1</v>
      </c>
      <c r="AL406" s="601">
        <f t="shared" si="13"/>
        <v>1</v>
      </c>
      <c r="AM406" s="601">
        <v>1</v>
      </c>
      <c r="AN406" s="603" t="s">
        <v>17650</v>
      </c>
      <c r="AO406" s="603" t="s">
        <v>17651</v>
      </c>
      <c r="AP406" s="603" t="s">
        <v>17652</v>
      </c>
      <c r="AQ406" s="603" t="s">
        <v>17653</v>
      </c>
      <c r="AR406" s="603" t="s">
        <v>1024</v>
      </c>
      <c r="AS406" s="558">
        <v>1</v>
      </c>
    </row>
    <row r="407" spans="1:45" x14ac:dyDescent="0.2">
      <c r="A407" s="558" t="s">
        <v>258</v>
      </c>
      <c r="B407" s="558" t="s">
        <v>7677</v>
      </c>
      <c r="C407" s="558" t="s">
        <v>778</v>
      </c>
      <c r="D407" s="558" t="s">
        <v>23256</v>
      </c>
      <c r="E407" s="558" t="s">
        <v>217</v>
      </c>
      <c r="F407" s="563">
        <v>1</v>
      </c>
      <c r="G407" s="558" t="s">
        <v>193</v>
      </c>
      <c r="H407" s="558" t="s">
        <v>194</v>
      </c>
      <c r="I407" s="558" t="s">
        <v>23151</v>
      </c>
      <c r="J407" s="558" t="s">
        <v>327</v>
      </c>
      <c r="K407" s="558" t="s">
        <v>9309</v>
      </c>
      <c r="L407" s="558" t="s">
        <v>6955</v>
      </c>
      <c r="M407" s="558"/>
      <c r="N407" s="558" t="s">
        <v>23277</v>
      </c>
      <c r="O407" s="558" t="s">
        <v>6251</v>
      </c>
      <c r="P407" s="558" t="s">
        <v>24542</v>
      </c>
      <c r="Q407" s="558" t="s">
        <v>23278</v>
      </c>
      <c r="R407" s="558" t="s">
        <v>23139</v>
      </c>
      <c r="S407" s="558" t="s">
        <v>24624</v>
      </c>
      <c r="T407" s="558" t="s">
        <v>24625</v>
      </c>
      <c r="U407" s="558"/>
      <c r="V407" s="558" t="s">
        <v>9506</v>
      </c>
      <c r="W407" s="558" t="s">
        <v>779</v>
      </c>
      <c r="X407" s="558" t="s">
        <v>194</v>
      </c>
      <c r="Y407" s="558" t="s">
        <v>9300</v>
      </c>
      <c r="Z407" s="558"/>
      <c r="AA407" s="558"/>
      <c r="AB407" s="558" t="s">
        <v>9311</v>
      </c>
      <c r="AC407" s="558"/>
      <c r="AD407" s="558"/>
      <c r="AE407" s="558"/>
      <c r="AF407" s="558"/>
      <c r="AG407" s="558"/>
      <c r="AH407" s="558" t="s">
        <v>4714</v>
      </c>
      <c r="AI407" s="558" t="s">
        <v>778</v>
      </c>
      <c r="AJ407" s="601" t="str">
        <f t="shared" si="12"/>
        <v>524902</v>
      </c>
      <c r="AK407" s="601">
        <v>1</v>
      </c>
      <c r="AL407" s="601">
        <f t="shared" si="13"/>
        <v>1</v>
      </c>
      <c r="AM407" s="601">
        <v>1</v>
      </c>
      <c r="AN407" s="603" t="s">
        <v>17650</v>
      </c>
      <c r="AO407" s="603" t="s">
        <v>17651</v>
      </c>
      <c r="AP407" s="603" t="s">
        <v>17652</v>
      </c>
      <c r="AQ407" s="603" t="s">
        <v>17653</v>
      </c>
      <c r="AR407" s="603" t="s">
        <v>1024</v>
      </c>
      <c r="AS407" s="558">
        <v>1</v>
      </c>
    </row>
    <row r="408" spans="1:45" x14ac:dyDescent="0.2">
      <c r="A408" s="558" t="s">
        <v>9886</v>
      </c>
      <c r="B408" s="558" t="s">
        <v>23253</v>
      </c>
      <c r="C408" s="558" t="s">
        <v>62</v>
      </c>
      <c r="D408" s="558" t="s">
        <v>23256</v>
      </c>
      <c r="E408" s="558" t="s">
        <v>217</v>
      </c>
      <c r="F408" s="563">
        <v>1</v>
      </c>
      <c r="G408" s="558" t="s">
        <v>194</v>
      </c>
      <c r="H408" s="558" t="s">
        <v>193</v>
      </c>
      <c r="I408" s="558" t="s">
        <v>23186</v>
      </c>
      <c r="J408" s="558" t="s">
        <v>6080</v>
      </c>
      <c r="K408" s="558" t="s">
        <v>9309</v>
      </c>
      <c r="L408" s="558" t="s">
        <v>6955</v>
      </c>
      <c r="M408" s="558"/>
      <c r="N408" s="558" t="s">
        <v>23281</v>
      </c>
      <c r="O408" s="558" t="s">
        <v>6363</v>
      </c>
      <c r="P408" s="558" t="s">
        <v>24590</v>
      </c>
      <c r="Q408" s="558" t="s">
        <v>23265</v>
      </c>
      <c r="R408" s="558" t="s">
        <v>23266</v>
      </c>
      <c r="S408" s="558" t="s">
        <v>24626</v>
      </c>
      <c r="T408" s="558" t="s">
        <v>24627</v>
      </c>
      <c r="U408" s="558"/>
      <c r="V408" s="603"/>
      <c r="W408" s="558" t="s">
        <v>601</v>
      </c>
      <c r="X408" s="558" t="s">
        <v>194</v>
      </c>
      <c r="Y408" s="558" t="s">
        <v>9946</v>
      </c>
      <c r="Z408" s="558"/>
      <c r="AA408" s="558"/>
      <c r="AB408" s="558" t="s">
        <v>9311</v>
      </c>
      <c r="AC408" s="558"/>
      <c r="AD408" s="558"/>
      <c r="AE408" s="558"/>
      <c r="AF408" s="558"/>
      <c r="AG408" s="558"/>
      <c r="AH408" s="558" t="s">
        <v>4714</v>
      </c>
      <c r="AI408" s="558" t="s">
        <v>9433</v>
      </c>
      <c r="AJ408" s="601" t="str">
        <f t="shared" si="12"/>
        <v>313904</v>
      </c>
      <c r="AK408" s="601">
        <v>1</v>
      </c>
      <c r="AL408" s="601">
        <f t="shared" si="13"/>
        <v>1</v>
      </c>
      <c r="AM408" s="601">
        <v>1</v>
      </c>
      <c r="AN408" s="603" t="s">
        <v>17650</v>
      </c>
      <c r="AO408" s="603" t="s">
        <v>17651</v>
      </c>
      <c r="AP408" s="603" t="s">
        <v>17652</v>
      </c>
      <c r="AQ408" s="603" t="s">
        <v>17653</v>
      </c>
      <c r="AR408" s="603" t="s">
        <v>1024</v>
      </c>
      <c r="AS408" s="558">
        <v>1</v>
      </c>
    </row>
    <row r="409" spans="1:45" x14ac:dyDescent="0.2">
      <c r="A409" s="558" t="s">
        <v>9886</v>
      </c>
      <c r="B409" s="558" t="s">
        <v>23284</v>
      </c>
      <c r="C409" s="558" t="s">
        <v>706</v>
      </c>
      <c r="D409" s="558" t="s">
        <v>23256</v>
      </c>
      <c r="E409" s="558" t="s">
        <v>217</v>
      </c>
      <c r="F409" s="563">
        <v>1</v>
      </c>
      <c r="G409" s="558" t="s">
        <v>194</v>
      </c>
      <c r="H409" s="558" t="s">
        <v>193</v>
      </c>
      <c r="I409" s="558" t="s">
        <v>23186</v>
      </c>
      <c r="J409" s="558" t="s">
        <v>6080</v>
      </c>
      <c r="K409" s="558" t="s">
        <v>9309</v>
      </c>
      <c r="L409" s="558" t="s">
        <v>6955</v>
      </c>
      <c r="M409" s="558"/>
      <c r="N409" s="558" t="s">
        <v>23285</v>
      </c>
      <c r="O409" s="558" t="s">
        <v>6327</v>
      </c>
      <c r="P409" s="558" t="s">
        <v>24536</v>
      </c>
      <c r="Q409" s="558" t="s">
        <v>21229</v>
      </c>
      <c r="R409" s="558" t="s">
        <v>24538</v>
      </c>
      <c r="S409" s="558" t="s">
        <v>24628</v>
      </c>
      <c r="T409" s="558" t="s">
        <v>24629</v>
      </c>
      <c r="U409" s="558"/>
      <c r="V409" s="603"/>
      <c r="W409" s="558" t="s">
        <v>707</v>
      </c>
      <c r="X409" s="558" t="s">
        <v>193</v>
      </c>
      <c r="Y409" s="558" t="s">
        <v>9310</v>
      </c>
      <c r="Z409" s="558"/>
      <c r="AA409" s="558"/>
      <c r="AB409" s="558" t="s">
        <v>9311</v>
      </c>
      <c r="AC409" s="558"/>
      <c r="AD409" s="558"/>
      <c r="AE409" s="558"/>
      <c r="AF409" s="558"/>
      <c r="AG409" s="558"/>
      <c r="AH409" s="558" t="s">
        <v>4714</v>
      </c>
      <c r="AI409" s="558" t="s">
        <v>9433</v>
      </c>
      <c r="AJ409" s="601" t="str">
        <f t="shared" si="12"/>
        <v>422201</v>
      </c>
      <c r="AK409" s="601">
        <v>1</v>
      </c>
      <c r="AL409" s="601">
        <f t="shared" si="13"/>
        <v>1</v>
      </c>
      <c r="AM409" s="601">
        <v>1</v>
      </c>
      <c r="AN409" s="603" t="s">
        <v>17650</v>
      </c>
      <c r="AO409" s="603" t="s">
        <v>17651</v>
      </c>
      <c r="AP409" s="603" t="s">
        <v>17652</v>
      </c>
      <c r="AQ409" s="603" t="s">
        <v>17653</v>
      </c>
      <c r="AR409" s="603" t="s">
        <v>1024</v>
      </c>
      <c r="AS409" s="558">
        <v>1</v>
      </c>
    </row>
    <row r="410" spans="1:45" x14ac:dyDescent="0.2">
      <c r="A410" s="558" t="s">
        <v>23846</v>
      </c>
      <c r="B410" s="558" t="s">
        <v>23847</v>
      </c>
      <c r="C410" s="558" t="s">
        <v>23848</v>
      </c>
      <c r="D410" s="558" t="s">
        <v>23256</v>
      </c>
      <c r="E410" s="558" t="s">
        <v>217</v>
      </c>
      <c r="F410" s="563">
        <v>1</v>
      </c>
      <c r="G410" s="558" t="s">
        <v>193</v>
      </c>
      <c r="H410" s="558" t="s">
        <v>194</v>
      </c>
      <c r="I410" s="558" t="s">
        <v>23151</v>
      </c>
      <c r="J410" s="558" t="s">
        <v>210</v>
      </c>
      <c r="K410" s="558" t="s">
        <v>9309</v>
      </c>
      <c r="L410" s="558" t="s">
        <v>6955</v>
      </c>
      <c r="M410" s="558"/>
      <c r="N410" s="558" t="s">
        <v>23849</v>
      </c>
      <c r="O410" s="558" t="s">
        <v>6254</v>
      </c>
      <c r="P410" s="558" t="s">
        <v>24590</v>
      </c>
      <c r="Q410" s="558" t="s">
        <v>23291</v>
      </c>
      <c r="R410" s="558" t="s">
        <v>23850</v>
      </c>
      <c r="S410" s="558" t="s">
        <v>24630</v>
      </c>
      <c r="T410" s="558" t="s">
        <v>24631</v>
      </c>
      <c r="U410" s="558"/>
      <c r="V410" s="558" t="s">
        <v>9334</v>
      </c>
      <c r="W410" s="558" t="s">
        <v>23853</v>
      </c>
      <c r="X410" s="558" t="s">
        <v>194</v>
      </c>
      <c r="Y410" s="558" t="s">
        <v>9300</v>
      </c>
      <c r="Z410" s="558"/>
      <c r="AA410" s="558"/>
      <c r="AB410" s="558" t="s">
        <v>9311</v>
      </c>
      <c r="AC410" s="558"/>
      <c r="AD410" s="558"/>
      <c r="AE410" s="558"/>
      <c r="AF410" s="558"/>
      <c r="AG410" s="558"/>
      <c r="AH410" s="558" t="s">
        <v>4714</v>
      </c>
      <c r="AI410" s="558" t="s">
        <v>9433</v>
      </c>
      <c r="AJ410" s="601" t="str">
        <f t="shared" si="12"/>
        <v>421301</v>
      </c>
      <c r="AK410" s="601">
        <v>1</v>
      </c>
      <c r="AL410" s="601">
        <f t="shared" si="13"/>
        <v>1</v>
      </c>
      <c r="AM410" s="601">
        <v>1</v>
      </c>
      <c r="AN410" s="603" t="s">
        <v>17650</v>
      </c>
      <c r="AO410" s="603" t="s">
        <v>17651</v>
      </c>
      <c r="AP410" s="603" t="s">
        <v>17652</v>
      </c>
      <c r="AQ410" s="603" t="s">
        <v>17653</v>
      </c>
      <c r="AR410" s="603" t="s">
        <v>1024</v>
      </c>
      <c r="AS410" s="558">
        <v>1</v>
      </c>
    </row>
    <row r="411" spans="1:45" x14ac:dyDescent="0.2">
      <c r="A411" s="558" t="s">
        <v>9886</v>
      </c>
      <c r="B411" s="558" t="s">
        <v>23220</v>
      </c>
      <c r="C411" s="558" t="s">
        <v>62</v>
      </c>
      <c r="D411" s="558" t="s">
        <v>23256</v>
      </c>
      <c r="E411" s="558" t="s">
        <v>217</v>
      </c>
      <c r="F411" s="563">
        <v>1</v>
      </c>
      <c r="G411" s="558" t="s">
        <v>194</v>
      </c>
      <c r="H411" s="558" t="s">
        <v>193</v>
      </c>
      <c r="I411" s="558" t="s">
        <v>23158</v>
      </c>
      <c r="J411" s="558" t="s">
        <v>23269</v>
      </c>
      <c r="K411" s="558" t="s">
        <v>9309</v>
      </c>
      <c r="L411" s="558" t="s">
        <v>6955</v>
      </c>
      <c r="M411" s="558"/>
      <c r="N411" s="558" t="s">
        <v>23294</v>
      </c>
      <c r="O411" s="558" t="s">
        <v>6363</v>
      </c>
      <c r="P411" s="558" t="s">
        <v>24590</v>
      </c>
      <c r="Q411" s="558" t="s">
        <v>23222</v>
      </c>
      <c r="R411" s="558" t="s">
        <v>23155</v>
      </c>
      <c r="S411" s="558" t="s">
        <v>24632</v>
      </c>
      <c r="T411" s="558" t="s">
        <v>24633</v>
      </c>
      <c r="U411" s="558"/>
      <c r="V411" s="603"/>
      <c r="W411" s="558" t="s">
        <v>601</v>
      </c>
      <c r="X411" s="558" t="s">
        <v>194</v>
      </c>
      <c r="Y411" s="558" t="s">
        <v>9946</v>
      </c>
      <c r="Z411" s="558"/>
      <c r="AA411" s="558"/>
      <c r="AB411" s="558" t="s">
        <v>9311</v>
      </c>
      <c r="AC411" s="558"/>
      <c r="AD411" s="558"/>
      <c r="AE411" s="558"/>
      <c r="AF411" s="558"/>
      <c r="AG411" s="558"/>
      <c r="AH411" s="558" t="s">
        <v>4714</v>
      </c>
      <c r="AI411" s="558" t="s">
        <v>9433</v>
      </c>
      <c r="AJ411" s="601" t="str">
        <f t="shared" si="12"/>
        <v>313904</v>
      </c>
      <c r="AK411" s="601">
        <v>1</v>
      </c>
      <c r="AL411" s="601">
        <f t="shared" si="13"/>
        <v>1</v>
      </c>
      <c r="AM411" s="601">
        <v>1</v>
      </c>
      <c r="AN411" s="603" t="s">
        <v>17650</v>
      </c>
      <c r="AO411" s="603" t="s">
        <v>17651</v>
      </c>
      <c r="AP411" s="603" t="s">
        <v>17652</v>
      </c>
      <c r="AQ411" s="603" t="s">
        <v>17653</v>
      </c>
      <c r="AR411" s="603" t="s">
        <v>1024</v>
      </c>
      <c r="AS411" s="558">
        <v>1</v>
      </c>
    </row>
    <row r="412" spans="1:45" x14ac:dyDescent="0.2">
      <c r="A412" s="558" t="s">
        <v>9886</v>
      </c>
      <c r="B412" s="558" t="s">
        <v>23209</v>
      </c>
      <c r="C412" s="558" t="s">
        <v>8136</v>
      </c>
      <c r="D412" s="558" t="s">
        <v>23256</v>
      </c>
      <c r="E412" s="558" t="s">
        <v>217</v>
      </c>
      <c r="F412" s="563">
        <v>1</v>
      </c>
      <c r="G412" s="558" t="s">
        <v>194</v>
      </c>
      <c r="H412" s="558" t="s">
        <v>193</v>
      </c>
      <c r="I412" s="558" t="s">
        <v>23186</v>
      </c>
      <c r="J412" s="558" t="s">
        <v>23297</v>
      </c>
      <c r="K412" s="558" t="s">
        <v>9309</v>
      </c>
      <c r="L412" s="558" t="s">
        <v>6955</v>
      </c>
      <c r="M412" s="558"/>
      <c r="N412" s="558" t="s">
        <v>23298</v>
      </c>
      <c r="O412" s="558" t="s">
        <v>6363</v>
      </c>
      <c r="P412" s="558" t="s">
        <v>24590</v>
      </c>
      <c r="Q412" s="558" t="s">
        <v>23212</v>
      </c>
      <c r="R412" s="558" t="s">
        <v>23213</v>
      </c>
      <c r="S412" s="558" t="s">
        <v>24634</v>
      </c>
      <c r="T412" s="558" t="s">
        <v>24635</v>
      </c>
      <c r="U412" s="558"/>
      <c r="V412" s="603"/>
      <c r="W412" s="558" t="s">
        <v>8138</v>
      </c>
      <c r="X412" s="558" t="s">
        <v>194</v>
      </c>
      <c r="Y412" s="558" t="s">
        <v>9946</v>
      </c>
      <c r="Z412" s="558"/>
      <c r="AA412" s="558"/>
      <c r="AB412" s="558" t="s">
        <v>9311</v>
      </c>
      <c r="AC412" s="558"/>
      <c r="AD412" s="558"/>
      <c r="AE412" s="558"/>
      <c r="AF412" s="558"/>
      <c r="AG412" s="558"/>
      <c r="AH412" s="558" t="s">
        <v>4714</v>
      </c>
      <c r="AI412" s="558" t="s">
        <v>9433</v>
      </c>
      <c r="AJ412" s="601" t="str">
        <f t="shared" si="12"/>
        <v>821905</v>
      </c>
      <c r="AK412" s="601">
        <v>1</v>
      </c>
      <c r="AL412" s="601">
        <f t="shared" si="13"/>
        <v>1</v>
      </c>
      <c r="AM412" s="601">
        <v>1</v>
      </c>
      <c r="AN412" s="603" t="s">
        <v>17650</v>
      </c>
      <c r="AO412" s="603" t="s">
        <v>17651</v>
      </c>
      <c r="AP412" s="603" t="s">
        <v>17652</v>
      </c>
      <c r="AQ412" s="603" t="s">
        <v>17653</v>
      </c>
      <c r="AR412" s="603" t="s">
        <v>1024</v>
      </c>
      <c r="AS412" s="558">
        <v>1</v>
      </c>
    </row>
    <row r="413" spans="1:45" x14ac:dyDescent="0.2">
      <c r="A413" s="558" t="s">
        <v>11415</v>
      </c>
      <c r="B413" s="558" t="s">
        <v>8016</v>
      </c>
      <c r="C413" s="558" t="s">
        <v>99</v>
      </c>
      <c r="D413" s="558" t="s">
        <v>23256</v>
      </c>
      <c r="E413" s="558" t="s">
        <v>217</v>
      </c>
      <c r="F413" s="563">
        <v>1</v>
      </c>
      <c r="G413" s="558" t="s">
        <v>193</v>
      </c>
      <c r="H413" s="558" t="s">
        <v>194</v>
      </c>
      <c r="I413" s="558" t="s">
        <v>23307</v>
      </c>
      <c r="J413" s="558" t="s">
        <v>210</v>
      </c>
      <c r="K413" s="558" t="s">
        <v>9309</v>
      </c>
      <c r="L413" s="558" t="s">
        <v>6955</v>
      </c>
      <c r="M413" s="558"/>
      <c r="N413" s="558" t="s">
        <v>22312</v>
      </c>
      <c r="O413" s="558" t="s">
        <v>6286</v>
      </c>
      <c r="P413" s="558" t="s">
        <v>24590</v>
      </c>
      <c r="Q413" s="558" t="s">
        <v>23711</v>
      </c>
      <c r="R413" s="558" t="s">
        <v>23198</v>
      </c>
      <c r="S413" s="558" t="s">
        <v>24636</v>
      </c>
      <c r="T413" s="558" t="s">
        <v>24637</v>
      </c>
      <c r="U413" s="558"/>
      <c r="V413" s="558" t="s">
        <v>9334</v>
      </c>
      <c r="W413" s="558" t="s">
        <v>2421</v>
      </c>
      <c r="X413" s="558" t="s">
        <v>194</v>
      </c>
      <c r="Y413" s="558" t="s">
        <v>9300</v>
      </c>
      <c r="Z413" s="558"/>
      <c r="AA413" s="558"/>
      <c r="AB413" s="558" t="s">
        <v>9311</v>
      </c>
      <c r="AC413" s="558"/>
      <c r="AD413" s="558"/>
      <c r="AE413" s="558"/>
      <c r="AF413" s="558"/>
      <c r="AG413" s="558"/>
      <c r="AH413" s="558" t="s">
        <v>4714</v>
      </c>
      <c r="AI413" s="558" t="s">
        <v>9433</v>
      </c>
      <c r="AJ413" s="601" t="str">
        <f t="shared" si="12"/>
        <v>412001</v>
      </c>
      <c r="AK413" s="601">
        <v>1</v>
      </c>
      <c r="AL413" s="601">
        <f t="shared" si="13"/>
        <v>1</v>
      </c>
      <c r="AM413" s="601">
        <v>1</v>
      </c>
      <c r="AN413" s="603" t="s">
        <v>17650</v>
      </c>
      <c r="AO413" s="603" t="s">
        <v>17651</v>
      </c>
      <c r="AP413" s="603" t="s">
        <v>17652</v>
      </c>
      <c r="AQ413" s="603" t="s">
        <v>17653</v>
      </c>
      <c r="AR413" s="603" t="s">
        <v>1024</v>
      </c>
      <c r="AS413" s="558">
        <v>1</v>
      </c>
    </row>
    <row r="414" spans="1:45" x14ac:dyDescent="0.2">
      <c r="A414" s="558" t="s">
        <v>581</v>
      </c>
      <c r="B414" s="558" t="s">
        <v>23340</v>
      </c>
      <c r="C414" s="558" t="s">
        <v>574</v>
      </c>
      <c r="D414" s="558" t="s">
        <v>23256</v>
      </c>
      <c r="E414" s="558" t="s">
        <v>217</v>
      </c>
      <c r="F414" s="563">
        <v>1</v>
      </c>
      <c r="G414" s="558" t="s">
        <v>193</v>
      </c>
      <c r="H414" s="558" t="s">
        <v>194</v>
      </c>
      <c r="I414" s="558" t="s">
        <v>23158</v>
      </c>
      <c r="J414" s="558" t="s">
        <v>2252</v>
      </c>
      <c r="K414" s="558" t="s">
        <v>9309</v>
      </c>
      <c r="L414" s="558" t="s">
        <v>6955</v>
      </c>
      <c r="M414" s="558"/>
      <c r="N414" s="558" t="s">
        <v>24638</v>
      </c>
      <c r="O414" s="558" t="s">
        <v>6275</v>
      </c>
      <c r="P414" s="558" t="s">
        <v>24590</v>
      </c>
      <c r="Q414" s="558" t="s">
        <v>24618</v>
      </c>
      <c r="R414" s="558" t="s">
        <v>24639</v>
      </c>
      <c r="S414" s="558" t="s">
        <v>24640</v>
      </c>
      <c r="T414" s="558" t="s">
        <v>24641</v>
      </c>
      <c r="U414" s="558"/>
      <c r="V414" s="558" t="s">
        <v>9726</v>
      </c>
      <c r="W414" s="558" t="s">
        <v>576</v>
      </c>
      <c r="X414" s="558" t="s">
        <v>194</v>
      </c>
      <c r="Y414" s="558" t="s">
        <v>9300</v>
      </c>
      <c r="Z414" s="558"/>
      <c r="AA414" s="558"/>
      <c r="AB414" s="558" t="s">
        <v>9311</v>
      </c>
      <c r="AC414" s="558"/>
      <c r="AD414" s="558"/>
      <c r="AE414" s="558"/>
      <c r="AF414" s="558"/>
      <c r="AG414" s="558"/>
      <c r="AH414" s="558" t="s">
        <v>4714</v>
      </c>
      <c r="AI414" s="558" t="s">
        <v>9433</v>
      </c>
      <c r="AJ414" s="601" t="str">
        <f t="shared" si="12"/>
        <v>311509</v>
      </c>
      <c r="AK414" s="601">
        <v>1</v>
      </c>
      <c r="AL414" s="601">
        <f t="shared" si="13"/>
        <v>1</v>
      </c>
      <c r="AM414" s="601">
        <v>1</v>
      </c>
      <c r="AN414" s="603" t="s">
        <v>17650</v>
      </c>
      <c r="AO414" s="603" t="s">
        <v>17651</v>
      </c>
      <c r="AP414" s="603" t="s">
        <v>17652</v>
      </c>
      <c r="AQ414" s="603" t="s">
        <v>17653</v>
      </c>
      <c r="AR414" s="603" t="s">
        <v>1024</v>
      </c>
      <c r="AS414" s="558">
        <v>1</v>
      </c>
    </row>
    <row r="415" spans="1:45" x14ac:dyDescent="0.2">
      <c r="A415" s="558" t="s">
        <v>9886</v>
      </c>
      <c r="B415" s="558" t="s">
        <v>821</v>
      </c>
      <c r="C415" s="558" t="s">
        <v>822</v>
      </c>
      <c r="D415" s="558" t="s">
        <v>23256</v>
      </c>
      <c r="E415" s="558" t="s">
        <v>217</v>
      </c>
      <c r="F415" s="563">
        <v>1</v>
      </c>
      <c r="G415" s="558" t="s">
        <v>194</v>
      </c>
      <c r="H415" s="558" t="s">
        <v>193</v>
      </c>
      <c r="I415" s="558" t="s">
        <v>23151</v>
      </c>
      <c r="J415" s="558" t="s">
        <v>6080</v>
      </c>
      <c r="K415" s="558" t="s">
        <v>9309</v>
      </c>
      <c r="L415" s="558" t="s">
        <v>6955</v>
      </c>
      <c r="M415" s="558"/>
      <c r="N415" s="558" t="s">
        <v>24642</v>
      </c>
      <c r="O415" s="558" t="s">
        <v>6275</v>
      </c>
      <c r="P415" s="558" t="s">
        <v>24542</v>
      </c>
      <c r="Q415" s="558" t="s">
        <v>24618</v>
      </c>
      <c r="R415" s="558" t="s">
        <v>24619</v>
      </c>
      <c r="S415" s="558" t="s">
        <v>24643</v>
      </c>
      <c r="T415" s="558" t="s">
        <v>24644</v>
      </c>
      <c r="U415" s="558"/>
      <c r="V415" s="603"/>
      <c r="W415" s="558" t="s">
        <v>823</v>
      </c>
      <c r="X415" s="558" t="s">
        <v>194</v>
      </c>
      <c r="Y415" s="558" t="s">
        <v>9946</v>
      </c>
      <c r="Z415" s="558"/>
      <c r="AA415" s="558"/>
      <c r="AB415" s="558" t="s">
        <v>9311</v>
      </c>
      <c r="AC415" s="558"/>
      <c r="AD415" s="558"/>
      <c r="AE415" s="558"/>
      <c r="AF415" s="558"/>
      <c r="AG415" s="558"/>
      <c r="AH415" s="558" t="s">
        <v>4714</v>
      </c>
      <c r="AI415" s="558" t="s">
        <v>821</v>
      </c>
      <c r="AJ415" s="601" t="str">
        <f t="shared" si="12"/>
        <v>741103</v>
      </c>
      <c r="AK415" s="601">
        <v>1</v>
      </c>
      <c r="AL415" s="601">
        <f t="shared" si="13"/>
        <v>1</v>
      </c>
      <c r="AM415" s="601">
        <v>1</v>
      </c>
      <c r="AN415" s="603" t="s">
        <v>17650</v>
      </c>
      <c r="AO415" s="603" t="s">
        <v>17651</v>
      </c>
      <c r="AP415" s="603" t="s">
        <v>17652</v>
      </c>
      <c r="AQ415" s="603" t="s">
        <v>17653</v>
      </c>
      <c r="AR415" s="603" t="s">
        <v>1024</v>
      </c>
      <c r="AS415" s="558">
        <v>1</v>
      </c>
    </row>
    <row r="416" spans="1:45" x14ac:dyDescent="0.2">
      <c r="A416" s="558" t="s">
        <v>9886</v>
      </c>
      <c r="B416" s="558" t="s">
        <v>23220</v>
      </c>
      <c r="C416" s="558" t="s">
        <v>62</v>
      </c>
      <c r="D416" s="558" t="s">
        <v>23256</v>
      </c>
      <c r="E416" s="558" t="s">
        <v>217</v>
      </c>
      <c r="F416" s="563">
        <v>1</v>
      </c>
      <c r="G416" s="558" t="s">
        <v>194</v>
      </c>
      <c r="H416" s="558" t="s">
        <v>193</v>
      </c>
      <c r="I416" s="558" t="s">
        <v>23158</v>
      </c>
      <c r="J416" s="558" t="s">
        <v>23259</v>
      </c>
      <c r="K416" s="558" t="s">
        <v>9309</v>
      </c>
      <c r="L416" s="558" t="s">
        <v>6955</v>
      </c>
      <c r="M416" s="558"/>
      <c r="N416" s="558" t="s">
        <v>23313</v>
      </c>
      <c r="O416" s="558" t="s">
        <v>6363</v>
      </c>
      <c r="P416" s="558" t="s">
        <v>24590</v>
      </c>
      <c r="Q416" s="558" t="s">
        <v>23222</v>
      </c>
      <c r="R416" s="558" t="s">
        <v>23155</v>
      </c>
      <c r="S416" s="558" t="s">
        <v>24645</v>
      </c>
      <c r="T416" s="558" t="s">
        <v>24646</v>
      </c>
      <c r="U416" s="558"/>
      <c r="V416" s="603"/>
      <c r="W416" s="558" t="s">
        <v>601</v>
      </c>
      <c r="X416" s="558" t="s">
        <v>194</v>
      </c>
      <c r="Y416" s="558" t="s">
        <v>9946</v>
      </c>
      <c r="Z416" s="558"/>
      <c r="AA416" s="558"/>
      <c r="AB416" s="558" t="s">
        <v>9311</v>
      </c>
      <c r="AC416" s="558"/>
      <c r="AD416" s="558"/>
      <c r="AE416" s="558"/>
      <c r="AF416" s="558"/>
      <c r="AG416" s="558"/>
      <c r="AH416" s="558" t="s">
        <v>4714</v>
      </c>
      <c r="AI416" s="558" t="s">
        <v>9433</v>
      </c>
      <c r="AJ416" s="601" t="str">
        <f t="shared" si="12"/>
        <v>313904</v>
      </c>
      <c r="AK416" s="601">
        <v>1</v>
      </c>
      <c r="AL416" s="601">
        <f t="shared" si="13"/>
        <v>1</v>
      </c>
      <c r="AM416" s="601">
        <v>1</v>
      </c>
      <c r="AN416" s="603" t="s">
        <v>17650</v>
      </c>
      <c r="AO416" s="603" t="s">
        <v>17651</v>
      </c>
      <c r="AP416" s="603" t="s">
        <v>17652</v>
      </c>
      <c r="AQ416" s="603" t="s">
        <v>17653</v>
      </c>
      <c r="AR416" s="603" t="s">
        <v>1024</v>
      </c>
      <c r="AS416" s="558">
        <v>1</v>
      </c>
    </row>
    <row r="417" spans="1:45" x14ac:dyDescent="0.2">
      <c r="A417" s="558" t="s">
        <v>258</v>
      </c>
      <c r="B417" s="558" t="s">
        <v>23316</v>
      </c>
      <c r="C417" s="558" t="s">
        <v>778</v>
      </c>
      <c r="D417" s="558" t="s">
        <v>23256</v>
      </c>
      <c r="E417" s="558" t="s">
        <v>217</v>
      </c>
      <c r="F417" s="563">
        <v>1</v>
      </c>
      <c r="G417" s="558" t="s">
        <v>193</v>
      </c>
      <c r="H417" s="558" t="s">
        <v>194</v>
      </c>
      <c r="I417" s="558" t="s">
        <v>24556</v>
      </c>
      <c r="J417" s="558" t="s">
        <v>962</v>
      </c>
      <c r="K417" s="558" t="s">
        <v>9309</v>
      </c>
      <c r="L417" s="558" t="s">
        <v>6955</v>
      </c>
      <c r="M417" s="558"/>
      <c r="N417" s="558" t="s">
        <v>23317</v>
      </c>
      <c r="O417" s="558" t="s">
        <v>6269</v>
      </c>
      <c r="P417" s="558" t="s">
        <v>24590</v>
      </c>
      <c r="Q417" s="558" t="s">
        <v>23318</v>
      </c>
      <c r="R417" s="558" t="s">
        <v>23266</v>
      </c>
      <c r="S417" s="558" t="s">
        <v>24647</v>
      </c>
      <c r="T417" s="558" t="s">
        <v>24648</v>
      </c>
      <c r="U417" s="558"/>
      <c r="V417" s="558" t="s">
        <v>11394</v>
      </c>
      <c r="W417" s="558" t="s">
        <v>779</v>
      </c>
      <c r="X417" s="558" t="s">
        <v>194</v>
      </c>
      <c r="Y417" s="558" t="s">
        <v>9300</v>
      </c>
      <c r="Z417" s="558"/>
      <c r="AA417" s="558"/>
      <c r="AB417" s="558" t="s">
        <v>9311</v>
      </c>
      <c r="AC417" s="558"/>
      <c r="AD417" s="558"/>
      <c r="AE417" s="558"/>
      <c r="AF417" s="558"/>
      <c r="AG417" s="558"/>
      <c r="AH417" s="558" t="s">
        <v>4714</v>
      </c>
      <c r="AI417" s="558" t="s">
        <v>9433</v>
      </c>
      <c r="AJ417" s="601" t="str">
        <f t="shared" si="12"/>
        <v>524902</v>
      </c>
      <c r="AK417" s="601">
        <v>1</v>
      </c>
      <c r="AL417" s="601">
        <f t="shared" si="13"/>
        <v>1</v>
      </c>
      <c r="AM417" s="601">
        <v>1</v>
      </c>
      <c r="AN417" s="603" t="s">
        <v>17650</v>
      </c>
      <c r="AO417" s="603" t="s">
        <v>17651</v>
      </c>
      <c r="AP417" s="603" t="s">
        <v>17652</v>
      </c>
      <c r="AQ417" s="603" t="s">
        <v>17653</v>
      </c>
      <c r="AR417" s="603" t="s">
        <v>1024</v>
      </c>
      <c r="AS417" s="558">
        <v>1</v>
      </c>
    </row>
    <row r="418" spans="1:45" x14ac:dyDescent="0.2">
      <c r="A418" s="558" t="s">
        <v>9886</v>
      </c>
      <c r="B418" s="558" t="s">
        <v>23209</v>
      </c>
      <c r="C418" s="558" t="s">
        <v>8136</v>
      </c>
      <c r="D418" s="558" t="s">
        <v>23256</v>
      </c>
      <c r="E418" s="558" t="s">
        <v>217</v>
      </c>
      <c r="F418" s="563">
        <v>1</v>
      </c>
      <c r="G418" s="558" t="s">
        <v>194</v>
      </c>
      <c r="H418" s="558" t="s">
        <v>193</v>
      </c>
      <c r="I418" s="558" t="s">
        <v>23186</v>
      </c>
      <c r="J418" s="558" t="s">
        <v>23336</v>
      </c>
      <c r="K418" s="558" t="s">
        <v>9309</v>
      </c>
      <c r="L418" s="558" t="s">
        <v>6955</v>
      </c>
      <c r="M418" s="558"/>
      <c r="N418" s="558" t="s">
        <v>23337</v>
      </c>
      <c r="O418" s="558" t="s">
        <v>6363</v>
      </c>
      <c r="P418" s="558" t="s">
        <v>24590</v>
      </c>
      <c r="Q418" s="558" t="s">
        <v>23212</v>
      </c>
      <c r="R418" s="558" t="s">
        <v>23213</v>
      </c>
      <c r="S418" s="558" t="s">
        <v>24649</v>
      </c>
      <c r="T418" s="558" t="s">
        <v>24650</v>
      </c>
      <c r="U418" s="558"/>
      <c r="V418" s="603"/>
      <c r="W418" s="558" t="s">
        <v>8138</v>
      </c>
      <c r="X418" s="558" t="s">
        <v>194</v>
      </c>
      <c r="Y418" s="558" t="s">
        <v>9946</v>
      </c>
      <c r="Z418" s="558"/>
      <c r="AA418" s="558"/>
      <c r="AB418" s="558" t="s">
        <v>9311</v>
      </c>
      <c r="AC418" s="558"/>
      <c r="AD418" s="558"/>
      <c r="AE418" s="558"/>
      <c r="AF418" s="558"/>
      <c r="AG418" s="558"/>
      <c r="AH418" s="558" t="s">
        <v>4714</v>
      </c>
      <c r="AI418" s="558" t="s">
        <v>9433</v>
      </c>
      <c r="AJ418" s="601" t="str">
        <f t="shared" si="12"/>
        <v>821905</v>
      </c>
      <c r="AK418" s="601">
        <v>1</v>
      </c>
      <c r="AL418" s="601">
        <f t="shared" si="13"/>
        <v>1</v>
      </c>
      <c r="AM418" s="601">
        <v>1</v>
      </c>
      <c r="AN418" s="603" t="s">
        <v>17650</v>
      </c>
      <c r="AO418" s="603" t="s">
        <v>17651</v>
      </c>
      <c r="AP418" s="603" t="s">
        <v>17652</v>
      </c>
      <c r="AQ418" s="603" t="s">
        <v>17653</v>
      </c>
      <c r="AR418" s="603" t="s">
        <v>1024</v>
      </c>
      <c r="AS418" s="558">
        <v>1</v>
      </c>
    </row>
    <row r="419" spans="1:45" x14ac:dyDescent="0.2">
      <c r="A419" s="558" t="s">
        <v>9886</v>
      </c>
      <c r="B419" s="558" t="s">
        <v>23209</v>
      </c>
      <c r="C419" s="558" t="s">
        <v>8136</v>
      </c>
      <c r="D419" s="558" t="s">
        <v>23256</v>
      </c>
      <c r="E419" s="558" t="s">
        <v>217</v>
      </c>
      <c r="F419" s="563">
        <v>1</v>
      </c>
      <c r="G419" s="558" t="s">
        <v>194</v>
      </c>
      <c r="H419" s="558" t="s">
        <v>193</v>
      </c>
      <c r="I419" s="558" t="s">
        <v>23186</v>
      </c>
      <c r="J419" s="558" t="s">
        <v>23344</v>
      </c>
      <c r="K419" s="558" t="s">
        <v>9309</v>
      </c>
      <c r="L419" s="558" t="s">
        <v>6955</v>
      </c>
      <c r="M419" s="558"/>
      <c r="N419" s="558" t="s">
        <v>23345</v>
      </c>
      <c r="O419" s="558" t="s">
        <v>6363</v>
      </c>
      <c r="P419" s="558" t="s">
        <v>24590</v>
      </c>
      <c r="Q419" s="558" t="s">
        <v>23212</v>
      </c>
      <c r="R419" s="558" t="s">
        <v>23213</v>
      </c>
      <c r="S419" s="558" t="s">
        <v>24651</v>
      </c>
      <c r="T419" s="558" t="s">
        <v>24652</v>
      </c>
      <c r="U419" s="558"/>
      <c r="V419" s="603"/>
      <c r="W419" s="558" t="s">
        <v>8138</v>
      </c>
      <c r="X419" s="558" t="s">
        <v>194</v>
      </c>
      <c r="Y419" s="558" t="s">
        <v>9946</v>
      </c>
      <c r="Z419" s="558"/>
      <c r="AA419" s="558"/>
      <c r="AB419" s="558" t="s">
        <v>9311</v>
      </c>
      <c r="AC419" s="558"/>
      <c r="AD419" s="558"/>
      <c r="AE419" s="558"/>
      <c r="AF419" s="558"/>
      <c r="AG419" s="558"/>
      <c r="AH419" s="558" t="s">
        <v>4714</v>
      </c>
      <c r="AI419" s="558" t="s">
        <v>9433</v>
      </c>
      <c r="AJ419" s="601" t="str">
        <f t="shared" si="12"/>
        <v>821905</v>
      </c>
      <c r="AK419" s="601">
        <v>1</v>
      </c>
      <c r="AL419" s="601">
        <f t="shared" si="13"/>
        <v>1</v>
      </c>
      <c r="AM419" s="601">
        <v>1</v>
      </c>
      <c r="AN419" s="603" t="s">
        <v>17650</v>
      </c>
      <c r="AO419" s="603" t="s">
        <v>17651</v>
      </c>
      <c r="AP419" s="603" t="s">
        <v>17652</v>
      </c>
      <c r="AQ419" s="603" t="s">
        <v>17653</v>
      </c>
      <c r="AR419" s="603" t="s">
        <v>1024</v>
      </c>
      <c r="AS419" s="558">
        <v>1</v>
      </c>
    </row>
    <row r="420" spans="1:45" x14ac:dyDescent="0.2">
      <c r="A420" s="558" t="s">
        <v>4022</v>
      </c>
      <c r="B420" s="558" t="s">
        <v>8022</v>
      </c>
      <c r="C420" s="558" t="s">
        <v>7617</v>
      </c>
      <c r="D420" s="558" t="s">
        <v>23256</v>
      </c>
      <c r="E420" s="558" t="s">
        <v>217</v>
      </c>
      <c r="F420" s="563">
        <v>1</v>
      </c>
      <c r="G420" s="558" t="s">
        <v>193</v>
      </c>
      <c r="H420" s="558" t="s">
        <v>194</v>
      </c>
      <c r="I420" s="558" t="s">
        <v>23307</v>
      </c>
      <c r="J420" s="558" t="s">
        <v>210</v>
      </c>
      <c r="K420" s="558" t="s">
        <v>9309</v>
      </c>
      <c r="L420" s="558" t="s">
        <v>6955</v>
      </c>
      <c r="M420" s="558"/>
      <c r="N420" s="558" t="s">
        <v>20793</v>
      </c>
      <c r="O420" s="558" t="s">
        <v>6290</v>
      </c>
      <c r="P420" s="558" t="s">
        <v>24590</v>
      </c>
      <c r="Q420" s="558" t="s">
        <v>23711</v>
      </c>
      <c r="R420" s="558" t="s">
        <v>23198</v>
      </c>
      <c r="S420" s="558" t="s">
        <v>24653</v>
      </c>
      <c r="T420" s="558" t="s">
        <v>24654</v>
      </c>
      <c r="U420" s="558"/>
      <c r="V420" s="558" t="s">
        <v>9334</v>
      </c>
      <c r="W420" s="558" t="s">
        <v>7620</v>
      </c>
      <c r="X420" s="558" t="s">
        <v>194</v>
      </c>
      <c r="Y420" s="558" t="s">
        <v>9300</v>
      </c>
      <c r="Z420" s="558"/>
      <c r="AA420" s="558"/>
      <c r="AB420" s="558" t="s">
        <v>9311</v>
      </c>
      <c r="AC420" s="558"/>
      <c r="AD420" s="558"/>
      <c r="AE420" s="558"/>
      <c r="AF420" s="558"/>
      <c r="AG420" s="558"/>
      <c r="AH420" s="558" t="s">
        <v>4714</v>
      </c>
      <c r="AI420" s="558" t="s">
        <v>9433</v>
      </c>
      <c r="AJ420" s="601" t="str">
        <f t="shared" si="12"/>
        <v>516903</v>
      </c>
      <c r="AK420" s="601">
        <v>1</v>
      </c>
      <c r="AL420" s="601">
        <f t="shared" si="13"/>
        <v>1</v>
      </c>
      <c r="AM420" s="601">
        <v>1</v>
      </c>
      <c r="AN420" s="603" t="s">
        <v>17650</v>
      </c>
      <c r="AO420" s="603" t="s">
        <v>17651</v>
      </c>
      <c r="AP420" s="603" t="s">
        <v>17652</v>
      </c>
      <c r="AQ420" s="603" t="s">
        <v>17653</v>
      </c>
      <c r="AR420" s="603" t="s">
        <v>1024</v>
      </c>
      <c r="AS420" s="558">
        <v>1</v>
      </c>
    </row>
    <row r="421" spans="1:45" x14ac:dyDescent="0.2">
      <c r="A421" s="558" t="s">
        <v>581</v>
      </c>
      <c r="B421" s="558" t="s">
        <v>22332</v>
      </c>
      <c r="C421" s="558" t="s">
        <v>83</v>
      </c>
      <c r="D421" s="558" t="s">
        <v>23256</v>
      </c>
      <c r="E421" s="558" t="s">
        <v>217</v>
      </c>
      <c r="F421" s="563">
        <v>1</v>
      </c>
      <c r="G421" s="558" t="s">
        <v>193</v>
      </c>
      <c r="H421" s="558" t="s">
        <v>194</v>
      </c>
      <c r="I421" s="558" t="s">
        <v>23307</v>
      </c>
      <c r="J421" s="558" t="s">
        <v>253</v>
      </c>
      <c r="K421" s="558" t="s">
        <v>9309</v>
      </c>
      <c r="L421" s="558" t="s">
        <v>6955</v>
      </c>
      <c r="M421" s="558"/>
      <c r="N421" s="558" t="s">
        <v>23350</v>
      </c>
      <c r="O421" s="558" t="s">
        <v>6275</v>
      </c>
      <c r="P421" s="558" t="s">
        <v>24590</v>
      </c>
      <c r="Q421" s="558" t="s">
        <v>23711</v>
      </c>
      <c r="R421" s="558" t="s">
        <v>23160</v>
      </c>
      <c r="S421" s="558" t="s">
        <v>24655</v>
      </c>
      <c r="T421" s="558" t="s">
        <v>24656</v>
      </c>
      <c r="U421" s="558"/>
      <c r="V421" s="558" t="s">
        <v>9468</v>
      </c>
      <c r="W421" s="558" t="s">
        <v>791</v>
      </c>
      <c r="X421" s="558" t="s">
        <v>194</v>
      </c>
      <c r="Y421" s="558" t="s">
        <v>9300</v>
      </c>
      <c r="Z421" s="558"/>
      <c r="AA421" s="558"/>
      <c r="AB421" s="558" t="s">
        <v>9311</v>
      </c>
      <c r="AC421" s="558"/>
      <c r="AD421" s="558"/>
      <c r="AE421" s="558"/>
      <c r="AF421" s="558"/>
      <c r="AG421" s="558"/>
      <c r="AH421" s="558" t="s">
        <v>4714</v>
      </c>
      <c r="AI421" s="558" t="s">
        <v>9433</v>
      </c>
      <c r="AJ421" s="601" t="str">
        <f t="shared" si="12"/>
        <v>721204</v>
      </c>
      <c r="AK421" s="601">
        <v>1</v>
      </c>
      <c r="AL421" s="601">
        <f t="shared" si="13"/>
        <v>1</v>
      </c>
      <c r="AM421" s="601">
        <v>1</v>
      </c>
      <c r="AN421" s="603" t="s">
        <v>17650</v>
      </c>
      <c r="AO421" s="603" t="s">
        <v>17651</v>
      </c>
      <c r="AP421" s="603" t="s">
        <v>17652</v>
      </c>
      <c r="AQ421" s="603" t="s">
        <v>17653</v>
      </c>
      <c r="AR421" s="603" t="s">
        <v>1024</v>
      </c>
      <c r="AS421" s="558">
        <v>1</v>
      </c>
    </row>
    <row r="422" spans="1:45" x14ac:dyDescent="0.2">
      <c r="A422" s="558" t="s">
        <v>9886</v>
      </c>
      <c r="B422" s="558" t="s">
        <v>821</v>
      </c>
      <c r="C422" s="558" t="s">
        <v>822</v>
      </c>
      <c r="D422" s="558" t="s">
        <v>23256</v>
      </c>
      <c r="E422" s="558" t="s">
        <v>217</v>
      </c>
      <c r="F422" s="563">
        <v>1</v>
      </c>
      <c r="G422" s="558" t="s">
        <v>194</v>
      </c>
      <c r="H422" s="558" t="s">
        <v>193</v>
      </c>
      <c r="I422" s="558" t="s">
        <v>23151</v>
      </c>
      <c r="J422" s="558" t="s">
        <v>23344</v>
      </c>
      <c r="K422" s="558" t="s">
        <v>9309</v>
      </c>
      <c r="L422" s="558" t="s">
        <v>6955</v>
      </c>
      <c r="M422" s="558"/>
      <c r="N422" s="558" t="s">
        <v>24657</v>
      </c>
      <c r="O422" s="558" t="s">
        <v>6275</v>
      </c>
      <c r="P422" s="558" t="s">
        <v>24542</v>
      </c>
      <c r="Q422" s="558" t="s">
        <v>24618</v>
      </c>
      <c r="R422" s="558" t="s">
        <v>24619</v>
      </c>
      <c r="S422" s="558" t="s">
        <v>24658</v>
      </c>
      <c r="T422" s="558" t="s">
        <v>24659</v>
      </c>
      <c r="U422" s="558"/>
      <c r="V422" s="603"/>
      <c r="W422" s="558" t="s">
        <v>823</v>
      </c>
      <c r="X422" s="558" t="s">
        <v>194</v>
      </c>
      <c r="Y422" s="558" t="s">
        <v>9946</v>
      </c>
      <c r="Z422" s="558"/>
      <c r="AA422" s="558"/>
      <c r="AB422" s="558" t="s">
        <v>9311</v>
      </c>
      <c r="AC422" s="558"/>
      <c r="AD422" s="558"/>
      <c r="AE422" s="558"/>
      <c r="AF422" s="558"/>
      <c r="AG422" s="558"/>
      <c r="AH422" s="558" t="s">
        <v>4714</v>
      </c>
      <c r="AI422" s="558" t="s">
        <v>821</v>
      </c>
      <c r="AJ422" s="601" t="str">
        <f t="shared" si="12"/>
        <v>741103</v>
      </c>
      <c r="AK422" s="601">
        <v>1</v>
      </c>
      <c r="AL422" s="601">
        <f t="shared" si="13"/>
        <v>1</v>
      </c>
      <c r="AM422" s="601">
        <v>1</v>
      </c>
      <c r="AN422" s="603" t="s">
        <v>17650</v>
      </c>
      <c r="AO422" s="603" t="s">
        <v>17651</v>
      </c>
      <c r="AP422" s="603" t="s">
        <v>17652</v>
      </c>
      <c r="AQ422" s="603" t="s">
        <v>17653</v>
      </c>
      <c r="AR422" s="603" t="s">
        <v>1024</v>
      </c>
      <c r="AS422" s="558">
        <v>1</v>
      </c>
    </row>
    <row r="423" spans="1:45" x14ac:dyDescent="0.2">
      <c r="A423" s="558" t="s">
        <v>9886</v>
      </c>
      <c r="B423" s="558" t="s">
        <v>23209</v>
      </c>
      <c r="C423" s="558" t="s">
        <v>8136</v>
      </c>
      <c r="D423" s="558" t="s">
        <v>23256</v>
      </c>
      <c r="E423" s="558" t="s">
        <v>217</v>
      </c>
      <c r="F423" s="563">
        <v>1</v>
      </c>
      <c r="G423" s="558" t="s">
        <v>194</v>
      </c>
      <c r="H423" s="558" t="s">
        <v>193</v>
      </c>
      <c r="I423" s="558" t="s">
        <v>23186</v>
      </c>
      <c r="J423" s="558" t="s">
        <v>23362</v>
      </c>
      <c r="K423" s="558" t="s">
        <v>9309</v>
      </c>
      <c r="L423" s="558" t="s">
        <v>6955</v>
      </c>
      <c r="M423" s="558"/>
      <c r="N423" s="558" t="s">
        <v>23363</v>
      </c>
      <c r="O423" s="558" t="s">
        <v>6363</v>
      </c>
      <c r="P423" s="558" t="s">
        <v>24590</v>
      </c>
      <c r="Q423" s="558" t="s">
        <v>23212</v>
      </c>
      <c r="R423" s="558" t="s">
        <v>23213</v>
      </c>
      <c r="S423" s="558" t="s">
        <v>24660</v>
      </c>
      <c r="T423" s="558" t="s">
        <v>24661</v>
      </c>
      <c r="U423" s="558"/>
      <c r="V423" s="603"/>
      <c r="W423" s="558" t="s">
        <v>8138</v>
      </c>
      <c r="X423" s="558" t="s">
        <v>194</v>
      </c>
      <c r="Y423" s="558" t="s">
        <v>9946</v>
      </c>
      <c r="Z423" s="558"/>
      <c r="AA423" s="558"/>
      <c r="AB423" s="558" t="s">
        <v>9311</v>
      </c>
      <c r="AC423" s="558"/>
      <c r="AD423" s="558"/>
      <c r="AE423" s="558"/>
      <c r="AF423" s="558"/>
      <c r="AG423" s="558"/>
      <c r="AH423" s="558" t="s">
        <v>4714</v>
      </c>
      <c r="AI423" s="558" t="s">
        <v>9433</v>
      </c>
      <c r="AJ423" s="601" t="str">
        <f t="shared" si="12"/>
        <v>821905</v>
      </c>
      <c r="AK423" s="601">
        <v>1</v>
      </c>
      <c r="AL423" s="601">
        <f t="shared" si="13"/>
        <v>1</v>
      </c>
      <c r="AM423" s="601">
        <v>1</v>
      </c>
      <c r="AN423" s="603" t="s">
        <v>17650</v>
      </c>
      <c r="AO423" s="603" t="s">
        <v>17651</v>
      </c>
      <c r="AP423" s="603" t="s">
        <v>17652</v>
      </c>
      <c r="AQ423" s="603" t="s">
        <v>17653</v>
      </c>
      <c r="AR423" s="603" t="s">
        <v>1024</v>
      </c>
      <c r="AS423" s="558">
        <v>1</v>
      </c>
    </row>
    <row r="424" spans="1:45" x14ac:dyDescent="0.2">
      <c r="A424" s="558" t="s">
        <v>9886</v>
      </c>
      <c r="B424" s="558" t="s">
        <v>23209</v>
      </c>
      <c r="C424" s="558" t="s">
        <v>8136</v>
      </c>
      <c r="D424" s="558" t="s">
        <v>23256</v>
      </c>
      <c r="E424" s="558" t="s">
        <v>217</v>
      </c>
      <c r="F424" s="563">
        <v>1</v>
      </c>
      <c r="G424" s="558" t="s">
        <v>194</v>
      </c>
      <c r="H424" s="558" t="s">
        <v>193</v>
      </c>
      <c r="I424" s="558" t="s">
        <v>23186</v>
      </c>
      <c r="J424" s="558" t="s">
        <v>23259</v>
      </c>
      <c r="K424" s="558" t="s">
        <v>9309</v>
      </c>
      <c r="L424" s="558" t="s">
        <v>6955</v>
      </c>
      <c r="M424" s="558"/>
      <c r="N424" s="558" t="s">
        <v>23366</v>
      </c>
      <c r="O424" s="558" t="s">
        <v>6363</v>
      </c>
      <c r="P424" s="558" t="s">
        <v>24590</v>
      </c>
      <c r="Q424" s="558" t="s">
        <v>23212</v>
      </c>
      <c r="R424" s="558" t="s">
        <v>23213</v>
      </c>
      <c r="S424" s="558" t="s">
        <v>24662</v>
      </c>
      <c r="T424" s="558" t="s">
        <v>24663</v>
      </c>
      <c r="U424" s="558"/>
      <c r="V424" s="603"/>
      <c r="W424" s="558" t="s">
        <v>8138</v>
      </c>
      <c r="X424" s="558" t="s">
        <v>194</v>
      </c>
      <c r="Y424" s="558" t="s">
        <v>9946</v>
      </c>
      <c r="Z424" s="558"/>
      <c r="AA424" s="558"/>
      <c r="AB424" s="558" t="s">
        <v>9311</v>
      </c>
      <c r="AC424" s="558"/>
      <c r="AD424" s="558"/>
      <c r="AE424" s="558"/>
      <c r="AF424" s="558"/>
      <c r="AG424" s="558"/>
      <c r="AH424" s="558" t="s">
        <v>4714</v>
      </c>
      <c r="AI424" s="558" t="s">
        <v>9433</v>
      </c>
      <c r="AJ424" s="601" t="str">
        <f t="shared" si="12"/>
        <v>821905</v>
      </c>
      <c r="AK424" s="601">
        <v>1</v>
      </c>
      <c r="AL424" s="601">
        <f t="shared" si="13"/>
        <v>1</v>
      </c>
      <c r="AM424" s="601">
        <v>1</v>
      </c>
      <c r="AN424" s="603" t="s">
        <v>17650</v>
      </c>
      <c r="AO424" s="603" t="s">
        <v>17651</v>
      </c>
      <c r="AP424" s="603" t="s">
        <v>17652</v>
      </c>
      <c r="AQ424" s="603" t="s">
        <v>17653</v>
      </c>
      <c r="AR424" s="603" t="s">
        <v>1024</v>
      </c>
      <c r="AS424" s="558">
        <v>1</v>
      </c>
    </row>
    <row r="425" spans="1:45" x14ac:dyDescent="0.2">
      <c r="A425" s="558" t="s">
        <v>9886</v>
      </c>
      <c r="B425" s="558" t="s">
        <v>23209</v>
      </c>
      <c r="C425" s="558" t="s">
        <v>8136</v>
      </c>
      <c r="D425" s="558" t="s">
        <v>23256</v>
      </c>
      <c r="E425" s="558" t="s">
        <v>217</v>
      </c>
      <c r="F425" s="563">
        <v>1</v>
      </c>
      <c r="G425" s="558" t="s">
        <v>194</v>
      </c>
      <c r="H425" s="558" t="s">
        <v>193</v>
      </c>
      <c r="I425" s="558" t="s">
        <v>23186</v>
      </c>
      <c r="J425" s="558" t="s">
        <v>23369</v>
      </c>
      <c r="K425" s="558" t="s">
        <v>9309</v>
      </c>
      <c r="L425" s="558" t="s">
        <v>6955</v>
      </c>
      <c r="M425" s="558"/>
      <c r="N425" s="558" t="s">
        <v>23370</v>
      </c>
      <c r="O425" s="558" t="s">
        <v>6363</v>
      </c>
      <c r="P425" s="558" t="s">
        <v>24590</v>
      </c>
      <c r="Q425" s="558" t="s">
        <v>23212</v>
      </c>
      <c r="R425" s="558" t="s">
        <v>23213</v>
      </c>
      <c r="S425" s="558" t="s">
        <v>24664</v>
      </c>
      <c r="T425" s="558" t="s">
        <v>24665</v>
      </c>
      <c r="U425" s="558"/>
      <c r="V425" s="603"/>
      <c r="W425" s="558" t="s">
        <v>8138</v>
      </c>
      <c r="X425" s="558" t="s">
        <v>194</v>
      </c>
      <c r="Y425" s="558" t="s">
        <v>9946</v>
      </c>
      <c r="Z425" s="558"/>
      <c r="AA425" s="558"/>
      <c r="AB425" s="558" t="s">
        <v>9311</v>
      </c>
      <c r="AC425" s="558"/>
      <c r="AD425" s="558"/>
      <c r="AE425" s="558"/>
      <c r="AF425" s="558"/>
      <c r="AG425" s="558"/>
      <c r="AH425" s="558" t="s">
        <v>4714</v>
      </c>
      <c r="AI425" s="558" t="s">
        <v>9433</v>
      </c>
      <c r="AJ425" s="601" t="str">
        <f t="shared" si="12"/>
        <v>821905</v>
      </c>
      <c r="AK425" s="601">
        <v>1</v>
      </c>
      <c r="AL425" s="601">
        <f t="shared" si="13"/>
        <v>1</v>
      </c>
      <c r="AM425" s="601">
        <v>1</v>
      </c>
      <c r="AN425" s="603" t="s">
        <v>17650</v>
      </c>
      <c r="AO425" s="603" t="s">
        <v>17651</v>
      </c>
      <c r="AP425" s="603" t="s">
        <v>17652</v>
      </c>
      <c r="AQ425" s="603" t="s">
        <v>17653</v>
      </c>
      <c r="AR425" s="603" t="s">
        <v>1024</v>
      </c>
      <c r="AS425" s="558">
        <v>1</v>
      </c>
    </row>
    <row r="426" spans="1:45" x14ac:dyDescent="0.2">
      <c r="A426" s="558" t="s">
        <v>9886</v>
      </c>
      <c r="B426" s="558" t="s">
        <v>23324</v>
      </c>
      <c r="C426" s="558" t="s">
        <v>706</v>
      </c>
      <c r="D426" s="558" t="s">
        <v>23256</v>
      </c>
      <c r="E426" s="558" t="s">
        <v>217</v>
      </c>
      <c r="F426" s="563">
        <v>1</v>
      </c>
      <c r="G426" s="558" t="s">
        <v>194</v>
      </c>
      <c r="H426" s="558" t="s">
        <v>193</v>
      </c>
      <c r="I426" s="558" t="s">
        <v>23186</v>
      </c>
      <c r="J426" s="558" t="s">
        <v>6080</v>
      </c>
      <c r="K426" s="558" t="s">
        <v>9309</v>
      </c>
      <c r="L426" s="558" t="s">
        <v>6955</v>
      </c>
      <c r="M426" s="558"/>
      <c r="N426" s="558" t="s">
        <v>23381</v>
      </c>
      <c r="O426" s="558" t="s">
        <v>6251</v>
      </c>
      <c r="P426" s="558" t="s">
        <v>24536</v>
      </c>
      <c r="Q426" s="558" t="s">
        <v>21229</v>
      </c>
      <c r="R426" s="558" t="s">
        <v>24538</v>
      </c>
      <c r="S426" s="558" t="s">
        <v>24666</v>
      </c>
      <c r="T426" s="558" t="s">
        <v>24667</v>
      </c>
      <c r="U426" s="558"/>
      <c r="V426" s="603"/>
      <c r="W426" s="558" t="s">
        <v>707</v>
      </c>
      <c r="X426" s="558" t="s">
        <v>193</v>
      </c>
      <c r="Y426" s="558" t="s">
        <v>9310</v>
      </c>
      <c r="Z426" s="558"/>
      <c r="AA426" s="558"/>
      <c r="AB426" s="558" t="s">
        <v>9311</v>
      </c>
      <c r="AC426" s="558"/>
      <c r="AD426" s="558"/>
      <c r="AE426" s="558"/>
      <c r="AF426" s="558"/>
      <c r="AG426" s="558"/>
      <c r="AH426" s="558" t="s">
        <v>4714</v>
      </c>
      <c r="AI426" s="558" t="s">
        <v>9433</v>
      </c>
      <c r="AJ426" s="601" t="str">
        <f t="shared" si="12"/>
        <v>422201</v>
      </c>
      <c r="AK426" s="601">
        <v>1</v>
      </c>
      <c r="AL426" s="601">
        <f t="shared" si="13"/>
        <v>1</v>
      </c>
      <c r="AM426" s="601">
        <v>1</v>
      </c>
      <c r="AN426" s="603" t="s">
        <v>17650</v>
      </c>
      <c r="AO426" s="603" t="s">
        <v>17651</v>
      </c>
      <c r="AP426" s="603" t="s">
        <v>17652</v>
      </c>
      <c r="AQ426" s="603" t="s">
        <v>17653</v>
      </c>
      <c r="AR426" s="603" t="s">
        <v>1024</v>
      </c>
      <c r="AS426" s="558">
        <v>1</v>
      </c>
    </row>
    <row r="427" spans="1:45" x14ac:dyDescent="0.2">
      <c r="A427" s="558" t="s">
        <v>15464</v>
      </c>
      <c r="B427" s="558" t="s">
        <v>16319</v>
      </c>
      <c r="C427" s="558" t="s">
        <v>80</v>
      </c>
      <c r="D427" s="558" t="s">
        <v>23256</v>
      </c>
      <c r="E427" s="558" t="s">
        <v>217</v>
      </c>
      <c r="F427" s="563">
        <v>1</v>
      </c>
      <c r="G427" s="558" t="s">
        <v>193</v>
      </c>
      <c r="H427" s="558" t="s">
        <v>194</v>
      </c>
      <c r="I427" s="558" t="s">
        <v>23307</v>
      </c>
      <c r="J427" s="558" t="s">
        <v>210</v>
      </c>
      <c r="K427" s="558" t="s">
        <v>9309</v>
      </c>
      <c r="L427" s="558" t="s">
        <v>6955</v>
      </c>
      <c r="M427" s="558"/>
      <c r="N427" s="558" t="s">
        <v>22191</v>
      </c>
      <c r="O427" s="558" t="s">
        <v>6269</v>
      </c>
      <c r="P427" s="558" t="s">
        <v>24590</v>
      </c>
      <c r="Q427" s="558" t="s">
        <v>23711</v>
      </c>
      <c r="R427" s="558" t="s">
        <v>23198</v>
      </c>
      <c r="S427" s="558" t="s">
        <v>24668</v>
      </c>
      <c r="T427" s="558" t="s">
        <v>24669</v>
      </c>
      <c r="U427" s="558"/>
      <c r="V427" s="558" t="s">
        <v>9334</v>
      </c>
      <c r="W427" s="558" t="s">
        <v>474</v>
      </c>
      <c r="X427" s="558" t="s">
        <v>194</v>
      </c>
      <c r="Y427" s="558" t="s">
        <v>9300</v>
      </c>
      <c r="Z427" s="558"/>
      <c r="AA427" s="558"/>
      <c r="AB427" s="558" t="s">
        <v>9311</v>
      </c>
      <c r="AC427" s="558"/>
      <c r="AD427" s="558"/>
      <c r="AE427" s="558"/>
      <c r="AF427" s="558"/>
      <c r="AG427" s="558"/>
      <c r="AH427" s="558" t="s">
        <v>4714</v>
      </c>
      <c r="AI427" s="558" t="s">
        <v>9433</v>
      </c>
      <c r="AJ427" s="601" t="str">
        <f t="shared" si="12"/>
        <v>243304</v>
      </c>
      <c r="AK427" s="601">
        <v>1</v>
      </c>
      <c r="AL427" s="601">
        <f t="shared" si="13"/>
        <v>1</v>
      </c>
      <c r="AM427" s="601">
        <v>1</v>
      </c>
      <c r="AN427" s="603" t="s">
        <v>17650</v>
      </c>
      <c r="AO427" s="603" t="s">
        <v>17651</v>
      </c>
      <c r="AP427" s="603" t="s">
        <v>17652</v>
      </c>
      <c r="AQ427" s="603" t="s">
        <v>17653</v>
      </c>
      <c r="AR427" s="603" t="s">
        <v>1024</v>
      </c>
      <c r="AS427" s="558">
        <v>1</v>
      </c>
    </row>
    <row r="428" spans="1:45" x14ac:dyDescent="0.2">
      <c r="A428" s="558" t="s">
        <v>9886</v>
      </c>
      <c r="B428" s="558" t="s">
        <v>23209</v>
      </c>
      <c r="C428" s="558" t="s">
        <v>8136</v>
      </c>
      <c r="D428" s="558" t="s">
        <v>23256</v>
      </c>
      <c r="E428" s="558" t="s">
        <v>217</v>
      </c>
      <c r="F428" s="563">
        <v>1</v>
      </c>
      <c r="G428" s="558" t="s">
        <v>194</v>
      </c>
      <c r="H428" s="558" t="s">
        <v>193</v>
      </c>
      <c r="I428" s="558" t="s">
        <v>23186</v>
      </c>
      <c r="J428" s="558" t="s">
        <v>6080</v>
      </c>
      <c r="K428" s="558" t="s">
        <v>9309</v>
      </c>
      <c r="L428" s="558" t="s">
        <v>6955</v>
      </c>
      <c r="M428" s="558"/>
      <c r="N428" s="558" t="s">
        <v>23386</v>
      </c>
      <c r="O428" s="558" t="s">
        <v>6363</v>
      </c>
      <c r="P428" s="558" t="s">
        <v>24590</v>
      </c>
      <c r="Q428" s="558" t="s">
        <v>23212</v>
      </c>
      <c r="R428" s="558" t="s">
        <v>23213</v>
      </c>
      <c r="S428" s="558" t="s">
        <v>24670</v>
      </c>
      <c r="T428" s="558" t="s">
        <v>24671</v>
      </c>
      <c r="U428" s="558"/>
      <c r="V428" s="603"/>
      <c r="W428" s="558" t="s">
        <v>8138</v>
      </c>
      <c r="X428" s="558" t="s">
        <v>194</v>
      </c>
      <c r="Y428" s="558" t="s">
        <v>9946</v>
      </c>
      <c r="Z428" s="558"/>
      <c r="AA428" s="558"/>
      <c r="AB428" s="558" t="s">
        <v>9311</v>
      </c>
      <c r="AC428" s="558"/>
      <c r="AD428" s="558"/>
      <c r="AE428" s="558"/>
      <c r="AF428" s="558"/>
      <c r="AG428" s="558"/>
      <c r="AH428" s="558" t="s">
        <v>4714</v>
      </c>
      <c r="AI428" s="558" t="s">
        <v>9433</v>
      </c>
      <c r="AJ428" s="601" t="str">
        <f t="shared" si="12"/>
        <v>821905</v>
      </c>
      <c r="AK428" s="601">
        <v>1</v>
      </c>
      <c r="AL428" s="601">
        <f t="shared" si="13"/>
        <v>1</v>
      </c>
      <c r="AM428" s="601">
        <v>1</v>
      </c>
      <c r="AN428" s="603" t="s">
        <v>17650</v>
      </c>
      <c r="AO428" s="603" t="s">
        <v>17651</v>
      </c>
      <c r="AP428" s="603" t="s">
        <v>17652</v>
      </c>
      <c r="AQ428" s="603" t="s">
        <v>17653</v>
      </c>
      <c r="AR428" s="603" t="s">
        <v>1024</v>
      </c>
      <c r="AS428" s="558">
        <v>1</v>
      </c>
    </row>
    <row r="429" spans="1:45" x14ac:dyDescent="0.2">
      <c r="A429" s="558" t="s">
        <v>9886</v>
      </c>
      <c r="B429" s="558" t="s">
        <v>23220</v>
      </c>
      <c r="C429" s="558" t="s">
        <v>62</v>
      </c>
      <c r="D429" s="558" t="s">
        <v>23256</v>
      </c>
      <c r="E429" s="558" t="s">
        <v>217</v>
      </c>
      <c r="F429" s="563">
        <v>1</v>
      </c>
      <c r="G429" s="558" t="s">
        <v>194</v>
      </c>
      <c r="H429" s="558" t="s">
        <v>193</v>
      </c>
      <c r="I429" s="558" t="s">
        <v>23158</v>
      </c>
      <c r="J429" s="558" t="s">
        <v>23249</v>
      </c>
      <c r="K429" s="558" t="s">
        <v>9309</v>
      </c>
      <c r="L429" s="558" t="s">
        <v>6955</v>
      </c>
      <c r="M429" s="558"/>
      <c r="N429" s="558" t="s">
        <v>23389</v>
      </c>
      <c r="O429" s="558" t="s">
        <v>6363</v>
      </c>
      <c r="P429" s="558" t="s">
        <v>24590</v>
      </c>
      <c r="Q429" s="558" t="s">
        <v>23222</v>
      </c>
      <c r="R429" s="558" t="s">
        <v>23155</v>
      </c>
      <c r="S429" s="558" t="s">
        <v>24672</v>
      </c>
      <c r="T429" s="558" t="s">
        <v>24673</v>
      </c>
      <c r="U429" s="558"/>
      <c r="V429" s="603"/>
      <c r="W429" s="558" t="s">
        <v>601</v>
      </c>
      <c r="X429" s="558" t="s">
        <v>194</v>
      </c>
      <c r="Y429" s="558" t="s">
        <v>9946</v>
      </c>
      <c r="Z429" s="558"/>
      <c r="AA429" s="558"/>
      <c r="AB429" s="558" t="s">
        <v>9311</v>
      </c>
      <c r="AC429" s="558"/>
      <c r="AD429" s="558"/>
      <c r="AE429" s="558"/>
      <c r="AF429" s="558"/>
      <c r="AG429" s="558"/>
      <c r="AH429" s="558" t="s">
        <v>4714</v>
      </c>
      <c r="AI429" s="558" t="s">
        <v>9433</v>
      </c>
      <c r="AJ429" s="601" t="str">
        <f t="shared" si="12"/>
        <v>313904</v>
      </c>
      <c r="AK429" s="601">
        <v>1</v>
      </c>
      <c r="AL429" s="601">
        <f t="shared" si="13"/>
        <v>1</v>
      </c>
      <c r="AM429" s="601">
        <v>1</v>
      </c>
      <c r="AN429" s="603" t="s">
        <v>17650</v>
      </c>
      <c r="AO429" s="603" t="s">
        <v>17651</v>
      </c>
      <c r="AP429" s="603" t="s">
        <v>17652</v>
      </c>
      <c r="AQ429" s="603" t="s">
        <v>17653</v>
      </c>
      <c r="AR429" s="603" t="s">
        <v>1024</v>
      </c>
      <c r="AS429" s="558">
        <v>1</v>
      </c>
    </row>
    <row r="430" spans="1:45" x14ac:dyDescent="0.2">
      <c r="A430" s="558" t="s">
        <v>9886</v>
      </c>
      <c r="B430" s="558" t="s">
        <v>23209</v>
      </c>
      <c r="C430" s="558" t="s">
        <v>8136</v>
      </c>
      <c r="D430" s="558" t="s">
        <v>23256</v>
      </c>
      <c r="E430" s="558" t="s">
        <v>217</v>
      </c>
      <c r="F430" s="563">
        <v>1</v>
      </c>
      <c r="G430" s="558" t="s">
        <v>194</v>
      </c>
      <c r="H430" s="558" t="s">
        <v>193</v>
      </c>
      <c r="I430" s="558" t="s">
        <v>23186</v>
      </c>
      <c r="J430" s="558" t="s">
        <v>23392</v>
      </c>
      <c r="K430" s="558" t="s">
        <v>9309</v>
      </c>
      <c r="L430" s="558" t="s">
        <v>6955</v>
      </c>
      <c r="M430" s="558"/>
      <c r="N430" s="558" t="s">
        <v>23393</v>
      </c>
      <c r="O430" s="558" t="s">
        <v>6363</v>
      </c>
      <c r="P430" s="558" t="s">
        <v>24590</v>
      </c>
      <c r="Q430" s="558" t="s">
        <v>23212</v>
      </c>
      <c r="R430" s="558" t="s">
        <v>23213</v>
      </c>
      <c r="S430" s="558" t="s">
        <v>24674</v>
      </c>
      <c r="T430" s="558" t="s">
        <v>24675</v>
      </c>
      <c r="U430" s="558"/>
      <c r="V430" s="603"/>
      <c r="W430" s="558" t="s">
        <v>8138</v>
      </c>
      <c r="X430" s="558" t="s">
        <v>194</v>
      </c>
      <c r="Y430" s="558" t="s">
        <v>9946</v>
      </c>
      <c r="Z430" s="558"/>
      <c r="AA430" s="558"/>
      <c r="AB430" s="558" t="s">
        <v>9311</v>
      </c>
      <c r="AC430" s="558"/>
      <c r="AD430" s="558"/>
      <c r="AE430" s="558"/>
      <c r="AF430" s="558"/>
      <c r="AG430" s="558"/>
      <c r="AH430" s="558" t="s">
        <v>4714</v>
      </c>
      <c r="AI430" s="558" t="s">
        <v>9433</v>
      </c>
      <c r="AJ430" s="601" t="str">
        <f t="shared" si="12"/>
        <v>821905</v>
      </c>
      <c r="AK430" s="601">
        <v>1</v>
      </c>
      <c r="AL430" s="601">
        <f t="shared" si="13"/>
        <v>1</v>
      </c>
      <c r="AM430" s="601">
        <v>1</v>
      </c>
      <c r="AN430" s="603" t="s">
        <v>17650</v>
      </c>
      <c r="AO430" s="603" t="s">
        <v>17651</v>
      </c>
      <c r="AP430" s="603" t="s">
        <v>17652</v>
      </c>
      <c r="AQ430" s="603" t="s">
        <v>17653</v>
      </c>
      <c r="AR430" s="603" t="s">
        <v>1024</v>
      </c>
      <c r="AS430" s="558">
        <v>1</v>
      </c>
    </row>
    <row r="431" spans="1:45" x14ac:dyDescent="0.2">
      <c r="A431" s="558" t="s">
        <v>14708</v>
      </c>
      <c r="B431" s="558" t="s">
        <v>632</v>
      </c>
      <c r="C431" s="558" t="s">
        <v>17</v>
      </c>
      <c r="D431" s="558" t="s">
        <v>23256</v>
      </c>
      <c r="E431" s="558" t="s">
        <v>192</v>
      </c>
      <c r="F431" s="563">
        <v>1</v>
      </c>
      <c r="G431" s="558" t="s">
        <v>193</v>
      </c>
      <c r="H431" s="558" t="s">
        <v>194</v>
      </c>
      <c r="I431" s="558" t="s">
        <v>23151</v>
      </c>
      <c r="J431" s="558" t="s">
        <v>9302</v>
      </c>
      <c r="K431" s="558" t="s">
        <v>9309</v>
      </c>
      <c r="L431" s="558" t="s">
        <v>6955</v>
      </c>
      <c r="M431" s="558"/>
      <c r="N431" s="558" t="s">
        <v>24676</v>
      </c>
      <c r="O431" s="558" t="s">
        <v>6245</v>
      </c>
      <c r="P431" s="558" t="s">
        <v>24542</v>
      </c>
      <c r="Q431" s="558" t="s">
        <v>24618</v>
      </c>
      <c r="R431" s="558" t="s">
        <v>23158</v>
      </c>
      <c r="S431" s="558" t="s">
        <v>24677</v>
      </c>
      <c r="T431" s="558" t="s">
        <v>24678</v>
      </c>
      <c r="U431" s="558"/>
      <c r="V431" s="603"/>
      <c r="W431" s="558" t="s">
        <v>624</v>
      </c>
      <c r="X431" s="558" t="s">
        <v>193</v>
      </c>
      <c r="Y431" s="558" t="s">
        <v>9310</v>
      </c>
      <c r="Z431" s="558"/>
      <c r="AA431" s="558"/>
      <c r="AB431" s="558" t="s">
        <v>9311</v>
      </c>
      <c r="AC431" s="558"/>
      <c r="AD431" s="558"/>
      <c r="AE431" s="558"/>
      <c r="AF431" s="558"/>
      <c r="AG431" s="558"/>
      <c r="AH431" s="558" t="s">
        <v>4714</v>
      </c>
      <c r="AI431" s="558" t="s">
        <v>17</v>
      </c>
      <c r="AJ431" s="601" t="str">
        <f t="shared" si="12"/>
        <v>332203</v>
      </c>
      <c r="AK431" s="601">
        <v>1</v>
      </c>
      <c r="AL431" s="601">
        <f t="shared" si="13"/>
        <v>1</v>
      </c>
      <c r="AM431" s="601">
        <v>1</v>
      </c>
      <c r="AN431" s="603" t="s">
        <v>17650</v>
      </c>
      <c r="AO431" s="603" t="s">
        <v>17651</v>
      </c>
      <c r="AP431" s="603" t="s">
        <v>17652</v>
      </c>
      <c r="AQ431" s="603" t="s">
        <v>17653</v>
      </c>
      <c r="AR431" s="603" t="s">
        <v>1024</v>
      </c>
      <c r="AS431" s="558">
        <v>1</v>
      </c>
    </row>
    <row r="432" spans="1:45" x14ac:dyDescent="0.2">
      <c r="A432" s="558" t="s">
        <v>10076</v>
      </c>
      <c r="B432" s="558" t="s">
        <v>24679</v>
      </c>
      <c r="C432" s="558" t="s">
        <v>10</v>
      </c>
      <c r="D432" s="558" t="s">
        <v>23256</v>
      </c>
      <c r="E432" s="558" t="s">
        <v>192</v>
      </c>
      <c r="F432" s="563">
        <v>1</v>
      </c>
      <c r="G432" s="558" t="s">
        <v>193</v>
      </c>
      <c r="H432" s="558" t="s">
        <v>194</v>
      </c>
      <c r="I432" s="558" t="s">
        <v>24556</v>
      </c>
      <c r="J432" s="558" t="s">
        <v>9302</v>
      </c>
      <c r="K432" s="558" t="s">
        <v>9309</v>
      </c>
      <c r="L432" s="558" t="s">
        <v>6955</v>
      </c>
      <c r="M432" s="558"/>
      <c r="N432" s="558" t="s">
        <v>24680</v>
      </c>
      <c r="O432" s="558" t="s">
        <v>6921</v>
      </c>
      <c r="P432" s="558" t="s">
        <v>24681</v>
      </c>
      <c r="Q432" s="558" t="s">
        <v>24618</v>
      </c>
      <c r="R432" s="558" t="s">
        <v>23158</v>
      </c>
      <c r="S432" s="558" t="s">
        <v>24682</v>
      </c>
      <c r="T432" s="558" t="s">
        <v>24683</v>
      </c>
      <c r="U432" s="558"/>
      <c r="V432" s="603"/>
      <c r="W432" s="558" t="s">
        <v>484</v>
      </c>
      <c r="X432" s="558" t="s">
        <v>193</v>
      </c>
      <c r="Y432" s="558" t="s">
        <v>9310</v>
      </c>
      <c r="Z432" s="558"/>
      <c r="AA432" s="558"/>
      <c r="AB432" s="558" t="s">
        <v>9311</v>
      </c>
      <c r="AC432" s="558"/>
      <c r="AD432" s="558"/>
      <c r="AE432" s="558"/>
      <c r="AF432" s="558"/>
      <c r="AG432" s="558"/>
      <c r="AH432" s="558" t="s">
        <v>4714</v>
      </c>
      <c r="AI432" s="558" t="s">
        <v>24679</v>
      </c>
      <c r="AJ432" s="601" t="str">
        <f t="shared" si="12"/>
        <v>251401</v>
      </c>
      <c r="AK432" s="601">
        <v>1</v>
      </c>
      <c r="AL432" s="601">
        <f t="shared" si="13"/>
        <v>1</v>
      </c>
      <c r="AM432" s="601">
        <v>1</v>
      </c>
      <c r="AN432" s="603" t="s">
        <v>17650</v>
      </c>
      <c r="AO432" s="603" t="s">
        <v>17651</v>
      </c>
      <c r="AP432" s="603" t="s">
        <v>17652</v>
      </c>
      <c r="AQ432" s="603" t="s">
        <v>17653</v>
      </c>
      <c r="AR432" s="603" t="s">
        <v>1024</v>
      </c>
      <c r="AS432" s="558">
        <v>1</v>
      </c>
    </row>
    <row r="433" spans="1:45" x14ac:dyDescent="0.2">
      <c r="A433" s="558" t="s">
        <v>24684</v>
      </c>
      <c r="B433" s="558" t="s">
        <v>24685</v>
      </c>
      <c r="C433" s="558" t="s">
        <v>80</v>
      </c>
      <c r="D433" s="558" t="s">
        <v>23256</v>
      </c>
      <c r="E433" s="558" t="s">
        <v>192</v>
      </c>
      <c r="F433" s="563">
        <v>1</v>
      </c>
      <c r="G433" s="558" t="s">
        <v>193</v>
      </c>
      <c r="H433" s="558" t="s">
        <v>194</v>
      </c>
      <c r="I433" s="558" t="s">
        <v>24556</v>
      </c>
      <c r="J433" s="558" t="s">
        <v>9302</v>
      </c>
      <c r="K433" s="558" t="s">
        <v>9309</v>
      </c>
      <c r="L433" s="558" t="s">
        <v>6955</v>
      </c>
      <c r="M433" s="558"/>
      <c r="N433" s="558" t="s">
        <v>24686</v>
      </c>
      <c r="O433" s="558" t="s">
        <v>6245</v>
      </c>
      <c r="P433" s="558" t="s">
        <v>24681</v>
      </c>
      <c r="Q433" s="558" t="s">
        <v>24618</v>
      </c>
      <c r="R433" s="558" t="s">
        <v>23158</v>
      </c>
      <c r="S433" s="558" t="s">
        <v>24687</v>
      </c>
      <c r="T433" s="558" t="s">
        <v>24688</v>
      </c>
      <c r="U433" s="558"/>
      <c r="V433" s="603"/>
      <c r="W433" s="558" t="s">
        <v>474</v>
      </c>
      <c r="X433" s="558" t="s">
        <v>193</v>
      </c>
      <c r="Y433" s="558" t="s">
        <v>9310</v>
      </c>
      <c r="Z433" s="558"/>
      <c r="AA433" s="558"/>
      <c r="AB433" s="558" t="s">
        <v>9311</v>
      </c>
      <c r="AC433" s="558"/>
      <c r="AD433" s="558"/>
      <c r="AE433" s="558"/>
      <c r="AF433" s="558"/>
      <c r="AG433" s="558"/>
      <c r="AH433" s="558" t="s">
        <v>4714</v>
      </c>
      <c r="AI433" s="558" t="s">
        <v>24685</v>
      </c>
      <c r="AJ433" s="601" t="str">
        <f t="shared" si="12"/>
        <v>243304</v>
      </c>
      <c r="AK433" s="601">
        <v>1</v>
      </c>
      <c r="AL433" s="601">
        <f t="shared" si="13"/>
        <v>1</v>
      </c>
      <c r="AM433" s="601">
        <v>1</v>
      </c>
      <c r="AN433" s="603" t="s">
        <v>17650</v>
      </c>
      <c r="AO433" s="603" t="s">
        <v>17651</v>
      </c>
      <c r="AP433" s="603" t="s">
        <v>17652</v>
      </c>
      <c r="AQ433" s="603" t="s">
        <v>17653</v>
      </c>
      <c r="AR433" s="603" t="s">
        <v>1024</v>
      </c>
      <c r="AS433" s="558">
        <v>1</v>
      </c>
    </row>
    <row r="434" spans="1:45" x14ac:dyDescent="0.2">
      <c r="A434" s="558" t="s">
        <v>24689</v>
      </c>
      <c r="B434" s="558" t="s">
        <v>24690</v>
      </c>
      <c r="C434" s="558" t="s">
        <v>6617</v>
      </c>
      <c r="D434" s="558" t="s">
        <v>23256</v>
      </c>
      <c r="E434" s="558" t="s">
        <v>192</v>
      </c>
      <c r="F434" s="563">
        <v>1</v>
      </c>
      <c r="G434" s="558" t="s">
        <v>193</v>
      </c>
      <c r="H434" s="558" t="s">
        <v>194</v>
      </c>
      <c r="I434" s="558" t="s">
        <v>23499</v>
      </c>
      <c r="J434" s="558" t="s">
        <v>9302</v>
      </c>
      <c r="K434" s="558" t="s">
        <v>9309</v>
      </c>
      <c r="L434" s="558" t="s">
        <v>6955</v>
      </c>
      <c r="M434" s="558"/>
      <c r="N434" s="558" t="s">
        <v>24691</v>
      </c>
      <c r="O434" s="558" t="s">
        <v>6266</v>
      </c>
      <c r="P434" s="558" t="s">
        <v>24681</v>
      </c>
      <c r="Q434" s="558" t="s">
        <v>24618</v>
      </c>
      <c r="R434" s="558" t="s">
        <v>23158</v>
      </c>
      <c r="S434" s="558" t="s">
        <v>24692</v>
      </c>
      <c r="T434" s="558" t="s">
        <v>24693</v>
      </c>
      <c r="U434" s="558"/>
      <c r="V434" s="603"/>
      <c r="W434" s="558" t="s">
        <v>990</v>
      </c>
      <c r="X434" s="558" t="s">
        <v>193</v>
      </c>
      <c r="Y434" s="558" t="s">
        <v>9310</v>
      </c>
      <c r="Z434" s="558"/>
      <c r="AA434" s="558"/>
      <c r="AB434" s="558" t="s">
        <v>9311</v>
      </c>
      <c r="AC434" s="558"/>
      <c r="AD434" s="558"/>
      <c r="AE434" s="558"/>
      <c r="AF434" s="558"/>
      <c r="AG434" s="558"/>
      <c r="AH434" s="558" t="s">
        <v>4714</v>
      </c>
      <c r="AI434" s="558" t="s">
        <v>24690</v>
      </c>
      <c r="AJ434" s="601" t="str">
        <f t="shared" si="12"/>
        <v>833202</v>
      </c>
      <c r="AK434" s="601">
        <v>1</v>
      </c>
      <c r="AL434" s="601">
        <f t="shared" si="13"/>
        <v>1</v>
      </c>
      <c r="AM434" s="601">
        <v>1</v>
      </c>
      <c r="AN434" s="603" t="s">
        <v>17650</v>
      </c>
      <c r="AO434" s="603" t="s">
        <v>17651</v>
      </c>
      <c r="AP434" s="603" t="s">
        <v>17652</v>
      </c>
      <c r="AQ434" s="603" t="s">
        <v>17653</v>
      </c>
      <c r="AR434" s="603" t="s">
        <v>1024</v>
      </c>
      <c r="AS434" s="558">
        <v>1</v>
      </c>
    </row>
    <row r="435" spans="1:45" x14ac:dyDescent="0.2">
      <c r="A435" s="558" t="s">
        <v>24694</v>
      </c>
      <c r="B435" s="558" t="s">
        <v>24695</v>
      </c>
      <c r="C435" s="558" t="s">
        <v>36</v>
      </c>
      <c r="D435" s="558" t="s">
        <v>23256</v>
      </c>
      <c r="E435" s="558" t="s">
        <v>192</v>
      </c>
      <c r="F435" s="563">
        <v>1</v>
      </c>
      <c r="G435" s="558" t="s">
        <v>193</v>
      </c>
      <c r="H435" s="558" t="s">
        <v>194</v>
      </c>
      <c r="I435" s="558" t="s">
        <v>23186</v>
      </c>
      <c r="J435" s="558" t="s">
        <v>9302</v>
      </c>
      <c r="K435" s="558" t="s">
        <v>9309</v>
      </c>
      <c r="L435" s="558" t="s">
        <v>6955</v>
      </c>
      <c r="M435" s="558"/>
      <c r="N435" s="558" t="s">
        <v>24696</v>
      </c>
      <c r="O435" s="558" t="s">
        <v>6254</v>
      </c>
      <c r="P435" s="558" t="s">
        <v>24681</v>
      </c>
      <c r="Q435" s="558" t="s">
        <v>24618</v>
      </c>
      <c r="R435" s="558" t="s">
        <v>23158</v>
      </c>
      <c r="S435" s="558" t="s">
        <v>24697</v>
      </c>
      <c r="T435" s="558" t="s">
        <v>24698</v>
      </c>
      <c r="U435" s="558"/>
      <c r="V435" s="603"/>
      <c r="W435" s="558" t="s">
        <v>609</v>
      </c>
      <c r="X435" s="558" t="s">
        <v>193</v>
      </c>
      <c r="Y435" s="558" t="s">
        <v>9310</v>
      </c>
      <c r="Z435" s="558"/>
      <c r="AA435" s="558"/>
      <c r="AB435" s="558" t="s">
        <v>9311</v>
      </c>
      <c r="AC435" s="558"/>
      <c r="AD435" s="558"/>
      <c r="AE435" s="558"/>
      <c r="AF435" s="558"/>
      <c r="AG435" s="558"/>
      <c r="AH435" s="558" t="s">
        <v>4714</v>
      </c>
      <c r="AI435" s="558" t="s">
        <v>24695</v>
      </c>
      <c r="AJ435" s="601" t="str">
        <f t="shared" si="12"/>
        <v>331301</v>
      </c>
      <c r="AK435" s="601">
        <v>1</v>
      </c>
      <c r="AL435" s="601">
        <f t="shared" si="13"/>
        <v>1</v>
      </c>
      <c r="AM435" s="601">
        <v>1</v>
      </c>
      <c r="AN435" s="603" t="s">
        <v>17650</v>
      </c>
      <c r="AO435" s="603" t="s">
        <v>17651</v>
      </c>
      <c r="AP435" s="603" t="s">
        <v>17652</v>
      </c>
      <c r="AQ435" s="603" t="s">
        <v>17653</v>
      </c>
      <c r="AR435" s="603" t="s">
        <v>1024</v>
      </c>
      <c r="AS435" s="558">
        <v>1</v>
      </c>
    </row>
    <row r="436" spans="1:45" x14ac:dyDescent="0.2">
      <c r="A436" s="558" t="s">
        <v>24699</v>
      </c>
      <c r="B436" s="558" t="s">
        <v>13807</v>
      </c>
      <c r="C436" s="558" t="s">
        <v>36</v>
      </c>
      <c r="D436" s="558" t="s">
        <v>23256</v>
      </c>
      <c r="E436" s="558" t="s">
        <v>192</v>
      </c>
      <c r="F436" s="563">
        <v>1</v>
      </c>
      <c r="G436" s="558" t="s">
        <v>193</v>
      </c>
      <c r="H436" s="558" t="s">
        <v>194</v>
      </c>
      <c r="I436" s="558" t="s">
        <v>24551</v>
      </c>
      <c r="J436" s="558" t="s">
        <v>9302</v>
      </c>
      <c r="K436" s="558" t="s">
        <v>9309</v>
      </c>
      <c r="L436" s="558" t="s">
        <v>6955</v>
      </c>
      <c r="M436" s="558"/>
      <c r="N436" s="558" t="s">
        <v>24700</v>
      </c>
      <c r="O436" s="558" t="s">
        <v>6327</v>
      </c>
      <c r="P436" s="558" t="s">
        <v>24681</v>
      </c>
      <c r="Q436" s="558" t="s">
        <v>24618</v>
      </c>
      <c r="R436" s="558" t="s">
        <v>23158</v>
      </c>
      <c r="S436" s="558" t="s">
        <v>24701</v>
      </c>
      <c r="T436" s="558" t="s">
        <v>24702</v>
      </c>
      <c r="U436" s="558"/>
      <c r="V436" s="603"/>
      <c r="W436" s="558" t="s">
        <v>609</v>
      </c>
      <c r="X436" s="558" t="s">
        <v>193</v>
      </c>
      <c r="Y436" s="558" t="s">
        <v>9310</v>
      </c>
      <c r="Z436" s="558"/>
      <c r="AA436" s="558"/>
      <c r="AB436" s="558" t="s">
        <v>9311</v>
      </c>
      <c r="AC436" s="558"/>
      <c r="AD436" s="558"/>
      <c r="AE436" s="558"/>
      <c r="AF436" s="558"/>
      <c r="AG436" s="558"/>
      <c r="AH436" s="558" t="s">
        <v>4714</v>
      </c>
      <c r="AI436" s="558" t="s">
        <v>13807</v>
      </c>
      <c r="AJ436" s="601" t="str">
        <f t="shared" si="12"/>
        <v>331301</v>
      </c>
      <c r="AK436" s="601">
        <v>1</v>
      </c>
      <c r="AL436" s="601">
        <f t="shared" si="13"/>
        <v>1</v>
      </c>
      <c r="AM436" s="601">
        <v>1</v>
      </c>
      <c r="AN436" s="603" t="s">
        <v>17650</v>
      </c>
      <c r="AO436" s="603" t="s">
        <v>17651</v>
      </c>
      <c r="AP436" s="603" t="s">
        <v>17652</v>
      </c>
      <c r="AQ436" s="603" t="s">
        <v>17653</v>
      </c>
      <c r="AR436" s="603" t="s">
        <v>1024</v>
      </c>
      <c r="AS436" s="558">
        <v>1</v>
      </c>
    </row>
    <row r="437" spans="1:45" x14ac:dyDescent="0.2">
      <c r="A437" s="558" t="s">
        <v>19595</v>
      </c>
      <c r="B437" s="558" t="s">
        <v>632</v>
      </c>
      <c r="C437" s="558" t="s">
        <v>17</v>
      </c>
      <c r="D437" s="558" t="s">
        <v>23256</v>
      </c>
      <c r="E437" s="558" t="s">
        <v>192</v>
      </c>
      <c r="F437" s="563">
        <v>1</v>
      </c>
      <c r="G437" s="558" t="s">
        <v>193</v>
      </c>
      <c r="H437" s="558" t="s">
        <v>194</v>
      </c>
      <c r="I437" s="558" t="s">
        <v>23151</v>
      </c>
      <c r="J437" s="558" t="s">
        <v>223</v>
      </c>
      <c r="K437" s="558" t="s">
        <v>9309</v>
      </c>
      <c r="L437" s="558" t="s">
        <v>6955</v>
      </c>
      <c r="M437" s="558"/>
      <c r="N437" s="558" t="s">
        <v>24703</v>
      </c>
      <c r="O437" s="558" t="s">
        <v>6249</v>
      </c>
      <c r="P437" s="558" t="s">
        <v>24542</v>
      </c>
      <c r="Q437" s="558" t="s">
        <v>24618</v>
      </c>
      <c r="R437" s="558" t="s">
        <v>23158</v>
      </c>
      <c r="S437" s="558" t="s">
        <v>24704</v>
      </c>
      <c r="T437" s="558" t="s">
        <v>24705</v>
      </c>
      <c r="U437" s="558"/>
      <c r="V437" s="558" t="s">
        <v>11163</v>
      </c>
      <c r="W437" s="558" t="s">
        <v>624</v>
      </c>
      <c r="X437" s="558" t="s">
        <v>194</v>
      </c>
      <c r="Y437" s="558" t="s">
        <v>9300</v>
      </c>
      <c r="Z437" s="558"/>
      <c r="AA437" s="558"/>
      <c r="AB437" s="558" t="s">
        <v>9311</v>
      </c>
      <c r="AC437" s="558"/>
      <c r="AD437" s="558"/>
      <c r="AE437" s="558"/>
      <c r="AF437" s="558"/>
      <c r="AG437" s="558"/>
      <c r="AH437" s="558" t="s">
        <v>4714</v>
      </c>
      <c r="AI437" s="558" t="s">
        <v>17</v>
      </c>
      <c r="AJ437" s="601" t="str">
        <f t="shared" si="12"/>
        <v>332203</v>
      </c>
      <c r="AK437" s="601">
        <v>1</v>
      </c>
      <c r="AL437" s="601">
        <f t="shared" si="13"/>
        <v>1</v>
      </c>
      <c r="AM437" s="601">
        <v>1</v>
      </c>
      <c r="AN437" s="603" t="s">
        <v>17650</v>
      </c>
      <c r="AO437" s="603" t="s">
        <v>17651</v>
      </c>
      <c r="AP437" s="603" t="s">
        <v>17652</v>
      </c>
      <c r="AQ437" s="603" t="s">
        <v>17653</v>
      </c>
      <c r="AR437" s="603" t="s">
        <v>1024</v>
      </c>
      <c r="AS437" s="558">
        <v>1</v>
      </c>
    </row>
    <row r="438" spans="1:45" x14ac:dyDescent="0.2">
      <c r="A438" s="558" t="s">
        <v>4969</v>
      </c>
      <c r="B438" s="558" t="s">
        <v>24706</v>
      </c>
      <c r="C438" s="558" t="s">
        <v>46</v>
      </c>
      <c r="D438" s="558" t="s">
        <v>23256</v>
      </c>
      <c r="E438" s="558" t="s">
        <v>192</v>
      </c>
      <c r="F438" s="563">
        <v>1</v>
      </c>
      <c r="G438" s="558" t="s">
        <v>193</v>
      </c>
      <c r="H438" s="558" t="s">
        <v>194</v>
      </c>
      <c r="I438" s="558" t="s">
        <v>24556</v>
      </c>
      <c r="J438" s="558" t="s">
        <v>9302</v>
      </c>
      <c r="K438" s="558" t="s">
        <v>9309</v>
      </c>
      <c r="L438" s="558" t="s">
        <v>6955</v>
      </c>
      <c r="M438" s="558"/>
      <c r="N438" s="558" t="s">
        <v>24707</v>
      </c>
      <c r="O438" s="558" t="s">
        <v>6261</v>
      </c>
      <c r="P438" s="558" t="s">
        <v>24681</v>
      </c>
      <c r="Q438" s="558" t="s">
        <v>24618</v>
      </c>
      <c r="R438" s="558" t="s">
        <v>23158</v>
      </c>
      <c r="S438" s="558" t="s">
        <v>24708</v>
      </c>
      <c r="T438" s="558" t="s">
        <v>24709</v>
      </c>
      <c r="U438" s="558"/>
      <c r="V438" s="603"/>
      <c r="W438" s="558" t="s">
        <v>510</v>
      </c>
      <c r="X438" s="558" t="s">
        <v>193</v>
      </c>
      <c r="Y438" s="558" t="s">
        <v>9310</v>
      </c>
      <c r="Z438" s="558"/>
      <c r="AA438" s="558"/>
      <c r="AB438" s="558" t="s">
        <v>9311</v>
      </c>
      <c r="AC438" s="558"/>
      <c r="AD438" s="558"/>
      <c r="AE438" s="558"/>
      <c r="AF438" s="558"/>
      <c r="AG438" s="558"/>
      <c r="AH438" s="558" t="s">
        <v>4714</v>
      </c>
      <c r="AI438" s="558" t="s">
        <v>24706</v>
      </c>
      <c r="AJ438" s="601" t="str">
        <f t="shared" si="12"/>
        <v>252201</v>
      </c>
      <c r="AK438" s="601">
        <v>1</v>
      </c>
      <c r="AL438" s="601">
        <f t="shared" si="13"/>
        <v>1</v>
      </c>
      <c r="AM438" s="601">
        <v>1</v>
      </c>
      <c r="AN438" s="603" t="s">
        <v>17650</v>
      </c>
      <c r="AO438" s="603" t="s">
        <v>17651</v>
      </c>
      <c r="AP438" s="603" t="s">
        <v>17652</v>
      </c>
      <c r="AQ438" s="603" t="s">
        <v>17653</v>
      </c>
      <c r="AR438" s="603" t="s">
        <v>1024</v>
      </c>
      <c r="AS438" s="558">
        <v>1</v>
      </c>
    </row>
    <row r="439" spans="1:45" x14ac:dyDescent="0.2">
      <c r="A439" s="558" t="s">
        <v>21386</v>
      </c>
      <c r="B439" s="558" t="s">
        <v>1505</v>
      </c>
      <c r="C439" s="558" t="s">
        <v>102</v>
      </c>
      <c r="D439" s="558" t="s">
        <v>23256</v>
      </c>
      <c r="E439" s="558" t="s">
        <v>192</v>
      </c>
      <c r="F439" s="563">
        <v>1</v>
      </c>
      <c r="G439" s="558" t="s">
        <v>193</v>
      </c>
      <c r="H439" s="558" t="s">
        <v>194</v>
      </c>
      <c r="I439" s="558" t="s">
        <v>23186</v>
      </c>
      <c r="J439" s="558" t="s">
        <v>9302</v>
      </c>
      <c r="K439" s="558" t="s">
        <v>9309</v>
      </c>
      <c r="L439" s="558" t="s">
        <v>6955</v>
      </c>
      <c r="M439" s="558"/>
      <c r="N439" s="558" t="s">
        <v>24710</v>
      </c>
      <c r="O439" s="558" t="s">
        <v>6389</v>
      </c>
      <c r="P439" s="558" t="s">
        <v>24681</v>
      </c>
      <c r="Q439" s="558" t="s">
        <v>24618</v>
      </c>
      <c r="R439" s="558" t="s">
        <v>23158</v>
      </c>
      <c r="S439" s="558" t="s">
        <v>24711</v>
      </c>
      <c r="T439" s="558" t="s">
        <v>24712</v>
      </c>
      <c r="U439" s="558"/>
      <c r="V439" s="603"/>
      <c r="W439" s="558" t="s">
        <v>1890</v>
      </c>
      <c r="X439" s="558" t="s">
        <v>193</v>
      </c>
      <c r="Y439" s="558" t="s">
        <v>9310</v>
      </c>
      <c r="Z439" s="558"/>
      <c r="AA439" s="558"/>
      <c r="AB439" s="558" t="s">
        <v>9311</v>
      </c>
      <c r="AC439" s="558"/>
      <c r="AD439" s="558"/>
      <c r="AE439" s="558"/>
      <c r="AF439" s="558"/>
      <c r="AG439" s="558"/>
      <c r="AH439" s="558" t="s">
        <v>4714</v>
      </c>
      <c r="AI439" s="558" t="s">
        <v>1505</v>
      </c>
      <c r="AJ439" s="601" t="str">
        <f t="shared" si="12"/>
        <v>216601</v>
      </c>
      <c r="AK439" s="601">
        <v>1</v>
      </c>
      <c r="AL439" s="601">
        <f t="shared" si="13"/>
        <v>1</v>
      </c>
      <c r="AM439" s="601">
        <v>1</v>
      </c>
      <c r="AN439" s="603" t="s">
        <v>17650</v>
      </c>
      <c r="AO439" s="603" t="s">
        <v>17651</v>
      </c>
      <c r="AP439" s="603" t="s">
        <v>17652</v>
      </c>
      <c r="AQ439" s="603" t="s">
        <v>17653</v>
      </c>
      <c r="AR439" s="603" t="s">
        <v>1024</v>
      </c>
      <c r="AS439" s="558">
        <v>1</v>
      </c>
    </row>
    <row r="440" spans="1:45" x14ac:dyDescent="0.2">
      <c r="A440" s="558" t="s">
        <v>244</v>
      </c>
      <c r="B440" s="558" t="s">
        <v>24713</v>
      </c>
      <c r="C440" s="558" t="s">
        <v>1384</v>
      </c>
      <c r="D440" s="558" t="s">
        <v>23256</v>
      </c>
      <c r="E440" s="558" t="s">
        <v>192</v>
      </c>
      <c r="F440" s="563">
        <v>1</v>
      </c>
      <c r="G440" s="558" t="s">
        <v>193</v>
      </c>
      <c r="H440" s="558" t="s">
        <v>194</v>
      </c>
      <c r="I440" s="558" t="s">
        <v>23158</v>
      </c>
      <c r="J440" s="558" t="s">
        <v>9302</v>
      </c>
      <c r="K440" s="558" t="s">
        <v>9309</v>
      </c>
      <c r="L440" s="558" t="s">
        <v>6955</v>
      </c>
      <c r="M440" s="558"/>
      <c r="N440" s="558" t="s">
        <v>24714</v>
      </c>
      <c r="O440" s="558" t="s">
        <v>6340</v>
      </c>
      <c r="P440" s="558" t="s">
        <v>24681</v>
      </c>
      <c r="Q440" s="558" t="s">
        <v>24618</v>
      </c>
      <c r="R440" s="558" t="s">
        <v>23158</v>
      </c>
      <c r="S440" s="558" t="s">
        <v>24715</v>
      </c>
      <c r="T440" s="558" t="s">
        <v>24716</v>
      </c>
      <c r="U440" s="558"/>
      <c r="V440" s="603"/>
      <c r="W440" s="558" t="s">
        <v>1385</v>
      </c>
      <c r="X440" s="558" t="s">
        <v>193</v>
      </c>
      <c r="Y440" s="558" t="s">
        <v>9310</v>
      </c>
      <c r="Z440" s="558"/>
      <c r="AA440" s="558"/>
      <c r="AB440" s="558" t="s">
        <v>9311</v>
      </c>
      <c r="AC440" s="558"/>
      <c r="AD440" s="558"/>
      <c r="AE440" s="558"/>
      <c r="AF440" s="558"/>
      <c r="AG440" s="558"/>
      <c r="AH440" s="558" t="s">
        <v>4714</v>
      </c>
      <c r="AI440" s="558" t="s">
        <v>24713</v>
      </c>
      <c r="AJ440" s="601" t="str">
        <f t="shared" si="12"/>
        <v>235915</v>
      </c>
      <c r="AK440" s="601">
        <v>1</v>
      </c>
      <c r="AL440" s="601">
        <f t="shared" si="13"/>
        <v>1</v>
      </c>
      <c r="AM440" s="601">
        <v>1</v>
      </c>
      <c r="AN440" s="603" t="s">
        <v>17650</v>
      </c>
      <c r="AO440" s="603" t="s">
        <v>17651</v>
      </c>
      <c r="AP440" s="603" t="s">
        <v>17652</v>
      </c>
      <c r="AQ440" s="603" t="s">
        <v>17653</v>
      </c>
      <c r="AR440" s="603" t="s">
        <v>1024</v>
      </c>
      <c r="AS440" s="558">
        <v>1</v>
      </c>
    </row>
    <row r="441" spans="1:45" x14ac:dyDescent="0.2">
      <c r="A441" s="558" t="s">
        <v>24717</v>
      </c>
      <c r="B441" s="558" t="s">
        <v>632</v>
      </c>
      <c r="C441" s="558" t="s">
        <v>17</v>
      </c>
      <c r="D441" s="558" t="s">
        <v>23256</v>
      </c>
      <c r="E441" s="558" t="s">
        <v>192</v>
      </c>
      <c r="F441" s="563">
        <v>1</v>
      </c>
      <c r="G441" s="558" t="s">
        <v>193</v>
      </c>
      <c r="H441" s="558" t="s">
        <v>194</v>
      </c>
      <c r="I441" s="558" t="s">
        <v>23151</v>
      </c>
      <c r="J441" s="558" t="s">
        <v>9302</v>
      </c>
      <c r="K441" s="558" t="s">
        <v>9309</v>
      </c>
      <c r="L441" s="558" t="s">
        <v>6955</v>
      </c>
      <c r="M441" s="558"/>
      <c r="N441" s="558" t="s">
        <v>24718</v>
      </c>
      <c r="O441" s="558" t="s">
        <v>6245</v>
      </c>
      <c r="P441" s="558" t="s">
        <v>24542</v>
      </c>
      <c r="Q441" s="558" t="s">
        <v>24618</v>
      </c>
      <c r="R441" s="558" t="s">
        <v>23158</v>
      </c>
      <c r="S441" s="558" t="s">
        <v>24719</v>
      </c>
      <c r="T441" s="558" t="s">
        <v>24720</v>
      </c>
      <c r="U441" s="558"/>
      <c r="V441" s="603"/>
      <c r="W441" s="558" t="s">
        <v>624</v>
      </c>
      <c r="X441" s="558" t="s">
        <v>193</v>
      </c>
      <c r="Y441" s="558" t="s">
        <v>9310</v>
      </c>
      <c r="Z441" s="558"/>
      <c r="AA441" s="558"/>
      <c r="AB441" s="558" t="s">
        <v>9311</v>
      </c>
      <c r="AC441" s="558"/>
      <c r="AD441" s="558"/>
      <c r="AE441" s="558"/>
      <c r="AF441" s="558"/>
      <c r="AG441" s="558"/>
      <c r="AH441" s="558" t="s">
        <v>4714</v>
      </c>
      <c r="AI441" s="558" t="s">
        <v>17</v>
      </c>
      <c r="AJ441" s="601" t="str">
        <f t="shared" si="12"/>
        <v>332203</v>
      </c>
      <c r="AK441" s="601">
        <v>1</v>
      </c>
      <c r="AL441" s="601">
        <f t="shared" si="13"/>
        <v>1</v>
      </c>
      <c r="AM441" s="601">
        <v>1</v>
      </c>
      <c r="AN441" s="603" t="s">
        <v>17650</v>
      </c>
      <c r="AO441" s="603" t="s">
        <v>17651</v>
      </c>
      <c r="AP441" s="603" t="s">
        <v>17652</v>
      </c>
      <c r="AQ441" s="603" t="s">
        <v>17653</v>
      </c>
      <c r="AR441" s="603" t="s">
        <v>1024</v>
      </c>
      <c r="AS441" s="558">
        <v>1</v>
      </c>
    </row>
    <row r="442" spans="1:45" x14ac:dyDescent="0.2">
      <c r="A442" s="558" t="s">
        <v>24721</v>
      </c>
      <c r="B442" s="558" t="s">
        <v>467</v>
      </c>
      <c r="C442" s="558" t="s">
        <v>468</v>
      </c>
      <c r="D442" s="558" t="s">
        <v>23256</v>
      </c>
      <c r="E442" s="558" t="s">
        <v>192</v>
      </c>
      <c r="F442" s="563">
        <v>1</v>
      </c>
      <c r="G442" s="558" t="s">
        <v>193</v>
      </c>
      <c r="H442" s="558" t="s">
        <v>194</v>
      </c>
      <c r="I442" s="558" t="s">
        <v>23151</v>
      </c>
      <c r="J442" s="558" t="s">
        <v>9302</v>
      </c>
      <c r="K442" s="558" t="s">
        <v>9309</v>
      </c>
      <c r="L442" s="558" t="s">
        <v>6955</v>
      </c>
      <c r="M442" s="558"/>
      <c r="N442" s="558" t="s">
        <v>24722</v>
      </c>
      <c r="O442" s="558" t="s">
        <v>6288</v>
      </c>
      <c r="P442" s="558" t="s">
        <v>24681</v>
      </c>
      <c r="Q442" s="558" t="s">
        <v>24618</v>
      </c>
      <c r="R442" s="558" t="s">
        <v>23158</v>
      </c>
      <c r="S442" s="558" t="s">
        <v>24723</v>
      </c>
      <c r="T442" s="558" t="s">
        <v>24724</v>
      </c>
      <c r="U442" s="558"/>
      <c r="V442" s="603"/>
      <c r="W442" s="558" t="s">
        <v>469</v>
      </c>
      <c r="X442" s="558" t="s">
        <v>193</v>
      </c>
      <c r="Y442" s="558" t="s">
        <v>9310</v>
      </c>
      <c r="Z442" s="558"/>
      <c r="AA442" s="558"/>
      <c r="AB442" s="558" t="s">
        <v>9311</v>
      </c>
      <c r="AC442" s="558"/>
      <c r="AD442" s="558"/>
      <c r="AE442" s="558"/>
      <c r="AF442" s="558"/>
      <c r="AG442" s="558"/>
      <c r="AH442" s="558" t="s">
        <v>4714</v>
      </c>
      <c r="AI442" s="558" t="s">
        <v>467</v>
      </c>
      <c r="AJ442" s="601" t="str">
        <f t="shared" si="12"/>
        <v>243303</v>
      </c>
      <c r="AK442" s="601">
        <v>1</v>
      </c>
      <c r="AL442" s="601">
        <f t="shared" si="13"/>
        <v>1</v>
      </c>
      <c r="AM442" s="601">
        <v>1</v>
      </c>
      <c r="AN442" s="603" t="s">
        <v>17650</v>
      </c>
      <c r="AO442" s="603" t="s">
        <v>17651</v>
      </c>
      <c r="AP442" s="603" t="s">
        <v>17652</v>
      </c>
      <c r="AQ442" s="603" t="s">
        <v>17653</v>
      </c>
      <c r="AR442" s="603" t="s">
        <v>1024</v>
      </c>
      <c r="AS442" s="558">
        <v>1</v>
      </c>
    </row>
    <row r="443" spans="1:45" x14ac:dyDescent="0.2">
      <c r="A443" s="558" t="s">
        <v>9297</v>
      </c>
      <c r="B443" s="558" t="s">
        <v>488</v>
      </c>
      <c r="C443" s="558" t="s">
        <v>10</v>
      </c>
      <c r="D443" s="558" t="s">
        <v>23256</v>
      </c>
      <c r="E443" s="558" t="s">
        <v>192</v>
      </c>
      <c r="F443" s="563">
        <v>1</v>
      </c>
      <c r="G443" s="558" t="s">
        <v>193</v>
      </c>
      <c r="H443" s="558" t="s">
        <v>194</v>
      </c>
      <c r="I443" s="558" t="s">
        <v>23917</v>
      </c>
      <c r="J443" s="558" t="s">
        <v>9302</v>
      </c>
      <c r="K443" s="558" t="s">
        <v>9309</v>
      </c>
      <c r="L443" s="558" t="s">
        <v>6955</v>
      </c>
      <c r="M443" s="558"/>
      <c r="N443" s="558" t="s">
        <v>24725</v>
      </c>
      <c r="O443" s="558" t="s">
        <v>6261</v>
      </c>
      <c r="P443" s="558" t="s">
        <v>24681</v>
      </c>
      <c r="Q443" s="558" t="s">
        <v>24618</v>
      </c>
      <c r="R443" s="558" t="s">
        <v>23158</v>
      </c>
      <c r="S443" s="558" t="s">
        <v>24726</v>
      </c>
      <c r="T443" s="558" t="s">
        <v>24727</v>
      </c>
      <c r="U443" s="558"/>
      <c r="V443" s="603"/>
      <c r="W443" s="558" t="s">
        <v>484</v>
      </c>
      <c r="X443" s="558" t="s">
        <v>193</v>
      </c>
      <c r="Y443" s="558" t="s">
        <v>9310</v>
      </c>
      <c r="Z443" s="558"/>
      <c r="AA443" s="558"/>
      <c r="AB443" s="558" t="s">
        <v>9311</v>
      </c>
      <c r="AC443" s="558"/>
      <c r="AD443" s="558"/>
      <c r="AE443" s="558"/>
      <c r="AF443" s="558"/>
      <c r="AG443" s="558"/>
      <c r="AH443" s="558" t="s">
        <v>4714</v>
      </c>
      <c r="AI443" s="558" t="s">
        <v>488</v>
      </c>
      <c r="AJ443" s="601" t="str">
        <f t="shared" si="12"/>
        <v>251401</v>
      </c>
      <c r="AK443" s="601">
        <v>1</v>
      </c>
      <c r="AL443" s="601">
        <f t="shared" si="13"/>
        <v>1</v>
      </c>
      <c r="AM443" s="601">
        <v>1</v>
      </c>
      <c r="AN443" s="603" t="s">
        <v>17650</v>
      </c>
      <c r="AO443" s="603" t="s">
        <v>17651</v>
      </c>
      <c r="AP443" s="603" t="s">
        <v>17652</v>
      </c>
      <c r="AQ443" s="603" t="s">
        <v>17653</v>
      </c>
      <c r="AR443" s="603" t="s">
        <v>1024</v>
      </c>
      <c r="AS443" s="558">
        <v>1</v>
      </c>
    </row>
    <row r="444" spans="1:45" x14ac:dyDescent="0.2">
      <c r="A444" s="558" t="s">
        <v>690</v>
      </c>
      <c r="B444" s="558" t="s">
        <v>18188</v>
      </c>
      <c r="C444" s="558" t="s">
        <v>16281</v>
      </c>
      <c r="D444" s="558" t="s">
        <v>23256</v>
      </c>
      <c r="E444" s="558" t="s">
        <v>192</v>
      </c>
      <c r="F444" s="563">
        <v>1</v>
      </c>
      <c r="G444" s="558" t="s">
        <v>193</v>
      </c>
      <c r="H444" s="558" t="s">
        <v>194</v>
      </c>
      <c r="I444" s="558" t="s">
        <v>23499</v>
      </c>
      <c r="J444" s="558" t="s">
        <v>9302</v>
      </c>
      <c r="K444" s="558" t="s">
        <v>9309</v>
      </c>
      <c r="L444" s="558" t="s">
        <v>6955</v>
      </c>
      <c r="M444" s="558"/>
      <c r="N444" s="558" t="s">
        <v>24728</v>
      </c>
      <c r="O444" s="558" t="s">
        <v>6921</v>
      </c>
      <c r="P444" s="558" t="s">
        <v>24681</v>
      </c>
      <c r="Q444" s="558" t="s">
        <v>24618</v>
      </c>
      <c r="R444" s="558" t="s">
        <v>23158</v>
      </c>
      <c r="S444" s="558" t="s">
        <v>24729</v>
      </c>
      <c r="T444" s="558" t="s">
        <v>24730</v>
      </c>
      <c r="U444" s="558"/>
      <c r="V444" s="603"/>
      <c r="W444" s="558" t="s">
        <v>9002</v>
      </c>
      <c r="X444" s="558" t="s">
        <v>193</v>
      </c>
      <c r="Y444" s="558" t="s">
        <v>9310</v>
      </c>
      <c r="Z444" s="558"/>
      <c r="AA444" s="558"/>
      <c r="AB444" s="558" t="s">
        <v>9311</v>
      </c>
      <c r="AC444" s="558"/>
      <c r="AD444" s="558"/>
      <c r="AE444" s="558"/>
      <c r="AF444" s="558"/>
      <c r="AG444" s="558"/>
      <c r="AH444" s="558" t="s">
        <v>4714</v>
      </c>
      <c r="AI444" s="558" t="s">
        <v>18188</v>
      </c>
      <c r="AJ444" s="601" t="str">
        <f t="shared" si="12"/>
        <v>252902</v>
      </c>
      <c r="AK444" s="601">
        <v>1</v>
      </c>
      <c r="AL444" s="601">
        <f t="shared" si="13"/>
        <v>1</v>
      </c>
      <c r="AM444" s="601">
        <v>1</v>
      </c>
      <c r="AN444" s="603" t="s">
        <v>17650</v>
      </c>
      <c r="AO444" s="603" t="s">
        <v>17651</v>
      </c>
      <c r="AP444" s="603" t="s">
        <v>17652</v>
      </c>
      <c r="AQ444" s="603" t="s">
        <v>17653</v>
      </c>
      <c r="AR444" s="603" t="s">
        <v>1024</v>
      </c>
      <c r="AS444" s="558">
        <v>1</v>
      </c>
    </row>
    <row r="445" spans="1:45" x14ac:dyDescent="0.2">
      <c r="A445" s="558" t="s">
        <v>24731</v>
      </c>
      <c r="B445" s="558" t="s">
        <v>24732</v>
      </c>
      <c r="C445" s="558" t="s">
        <v>15721</v>
      </c>
      <c r="D445" s="558" t="s">
        <v>23256</v>
      </c>
      <c r="E445" s="558" t="s">
        <v>192</v>
      </c>
      <c r="F445" s="563">
        <v>1</v>
      </c>
      <c r="G445" s="558" t="s">
        <v>193</v>
      </c>
      <c r="H445" s="558" t="s">
        <v>194</v>
      </c>
      <c r="I445" s="558" t="s">
        <v>23917</v>
      </c>
      <c r="J445" s="558" t="s">
        <v>9302</v>
      </c>
      <c r="K445" s="558" t="s">
        <v>9309</v>
      </c>
      <c r="L445" s="558" t="s">
        <v>6955</v>
      </c>
      <c r="M445" s="558"/>
      <c r="N445" s="558" t="s">
        <v>24733</v>
      </c>
      <c r="O445" s="558" t="s">
        <v>6312</v>
      </c>
      <c r="P445" s="558" t="s">
        <v>24681</v>
      </c>
      <c r="Q445" s="558" t="s">
        <v>24618</v>
      </c>
      <c r="R445" s="558" t="s">
        <v>23158</v>
      </c>
      <c r="S445" s="558" t="s">
        <v>24734</v>
      </c>
      <c r="T445" s="558" t="s">
        <v>24735</v>
      </c>
      <c r="U445" s="558"/>
      <c r="V445" s="603"/>
      <c r="W445" s="558" t="s">
        <v>3669</v>
      </c>
      <c r="X445" s="558" t="s">
        <v>193</v>
      </c>
      <c r="Y445" s="558" t="s">
        <v>9310</v>
      </c>
      <c r="Z445" s="558"/>
      <c r="AA445" s="558"/>
      <c r="AB445" s="558" t="s">
        <v>9311</v>
      </c>
      <c r="AC445" s="558"/>
      <c r="AD445" s="558"/>
      <c r="AE445" s="558"/>
      <c r="AF445" s="558"/>
      <c r="AG445" s="558"/>
      <c r="AH445" s="558" t="s">
        <v>4714</v>
      </c>
      <c r="AI445" s="558" t="s">
        <v>24732</v>
      </c>
      <c r="AJ445" s="601" t="str">
        <f t="shared" si="12"/>
        <v>332490</v>
      </c>
      <c r="AK445" s="601">
        <v>1</v>
      </c>
      <c r="AL445" s="601">
        <f t="shared" si="13"/>
        <v>1</v>
      </c>
      <c r="AM445" s="601">
        <v>1</v>
      </c>
      <c r="AN445" s="603" t="s">
        <v>17650</v>
      </c>
      <c r="AO445" s="603" t="s">
        <v>17651</v>
      </c>
      <c r="AP445" s="603" t="s">
        <v>17652</v>
      </c>
      <c r="AQ445" s="603" t="s">
        <v>17653</v>
      </c>
      <c r="AR445" s="603" t="s">
        <v>1024</v>
      </c>
      <c r="AS445" s="558">
        <v>1</v>
      </c>
    </row>
    <row r="446" spans="1:45" x14ac:dyDescent="0.2">
      <c r="A446" s="558" t="s">
        <v>23920</v>
      </c>
      <c r="B446" s="558" t="s">
        <v>4055</v>
      </c>
      <c r="C446" s="558" t="s">
        <v>37</v>
      </c>
      <c r="D446" s="558" t="s">
        <v>23256</v>
      </c>
      <c r="E446" s="558" t="s">
        <v>192</v>
      </c>
      <c r="F446" s="563">
        <v>1</v>
      </c>
      <c r="G446" s="558" t="s">
        <v>193</v>
      </c>
      <c r="H446" s="558" t="s">
        <v>194</v>
      </c>
      <c r="I446" s="558" t="s">
        <v>23307</v>
      </c>
      <c r="J446" s="558" t="s">
        <v>9302</v>
      </c>
      <c r="K446" s="558" t="s">
        <v>9309</v>
      </c>
      <c r="L446" s="558" t="s">
        <v>6955</v>
      </c>
      <c r="M446" s="558"/>
      <c r="N446" s="558" t="s">
        <v>24736</v>
      </c>
      <c r="O446" s="558" t="s">
        <v>6261</v>
      </c>
      <c r="P446" s="558" t="s">
        <v>24681</v>
      </c>
      <c r="Q446" s="558" t="s">
        <v>24618</v>
      </c>
      <c r="R446" s="558" t="s">
        <v>23158</v>
      </c>
      <c r="S446" s="558" t="s">
        <v>24737</v>
      </c>
      <c r="T446" s="558" t="s">
        <v>24738</v>
      </c>
      <c r="U446" s="558"/>
      <c r="V446" s="603"/>
      <c r="W446" s="558" t="s">
        <v>516</v>
      </c>
      <c r="X446" s="558" t="s">
        <v>193</v>
      </c>
      <c r="Y446" s="558" t="s">
        <v>9310</v>
      </c>
      <c r="Z446" s="558"/>
      <c r="AA446" s="558"/>
      <c r="AB446" s="558" t="s">
        <v>9311</v>
      </c>
      <c r="AC446" s="558"/>
      <c r="AD446" s="558"/>
      <c r="AE446" s="558"/>
      <c r="AF446" s="558"/>
      <c r="AG446" s="558"/>
      <c r="AH446" s="558" t="s">
        <v>4714</v>
      </c>
      <c r="AI446" s="558" t="s">
        <v>4055</v>
      </c>
      <c r="AJ446" s="601" t="str">
        <f t="shared" si="12"/>
        <v>252302</v>
      </c>
      <c r="AK446" s="601">
        <v>1</v>
      </c>
      <c r="AL446" s="601">
        <f t="shared" si="13"/>
        <v>1</v>
      </c>
      <c r="AM446" s="601">
        <v>1</v>
      </c>
      <c r="AN446" s="603" t="s">
        <v>17650</v>
      </c>
      <c r="AO446" s="603" t="s">
        <v>17651</v>
      </c>
      <c r="AP446" s="603" t="s">
        <v>17652</v>
      </c>
      <c r="AQ446" s="603" t="s">
        <v>17653</v>
      </c>
      <c r="AR446" s="603" t="s">
        <v>1024</v>
      </c>
      <c r="AS446" s="558">
        <v>1</v>
      </c>
    </row>
    <row r="447" spans="1:45" x14ac:dyDescent="0.2">
      <c r="A447" s="558" t="s">
        <v>24739</v>
      </c>
      <c r="B447" s="558" t="s">
        <v>24740</v>
      </c>
      <c r="C447" s="558" t="s">
        <v>266</v>
      </c>
      <c r="D447" s="558" t="s">
        <v>23256</v>
      </c>
      <c r="E447" s="558" t="s">
        <v>192</v>
      </c>
      <c r="F447" s="563">
        <v>1</v>
      </c>
      <c r="G447" s="558" t="s">
        <v>193</v>
      </c>
      <c r="H447" s="558" t="s">
        <v>194</v>
      </c>
      <c r="I447" s="558" t="s">
        <v>24551</v>
      </c>
      <c r="J447" s="558" t="s">
        <v>9302</v>
      </c>
      <c r="K447" s="558" t="s">
        <v>9309</v>
      </c>
      <c r="L447" s="558" t="s">
        <v>6955</v>
      </c>
      <c r="M447" s="558"/>
      <c r="N447" s="558" t="s">
        <v>24741</v>
      </c>
      <c r="O447" s="558" t="s">
        <v>6245</v>
      </c>
      <c r="P447" s="558" t="s">
        <v>24681</v>
      </c>
      <c r="Q447" s="558" t="s">
        <v>24618</v>
      </c>
      <c r="R447" s="558" t="s">
        <v>23158</v>
      </c>
      <c r="S447" s="558" t="s">
        <v>24742</v>
      </c>
      <c r="T447" s="558" t="s">
        <v>24743</v>
      </c>
      <c r="U447" s="558"/>
      <c r="V447" s="603"/>
      <c r="W447" s="558" t="s">
        <v>268</v>
      </c>
      <c r="X447" s="558" t="s">
        <v>193</v>
      </c>
      <c r="Y447" s="558" t="s">
        <v>9310</v>
      </c>
      <c r="Z447" s="558"/>
      <c r="AA447" s="558"/>
      <c r="AB447" s="558" t="s">
        <v>9311</v>
      </c>
      <c r="AC447" s="558"/>
      <c r="AD447" s="558"/>
      <c r="AE447" s="558"/>
      <c r="AF447" s="558"/>
      <c r="AG447" s="558"/>
      <c r="AH447" s="558" t="s">
        <v>4714</v>
      </c>
      <c r="AI447" s="558" t="s">
        <v>24740</v>
      </c>
      <c r="AJ447" s="601" t="str">
        <f t="shared" si="12"/>
        <v>143905</v>
      </c>
      <c r="AK447" s="601">
        <v>1</v>
      </c>
      <c r="AL447" s="601">
        <f t="shared" si="13"/>
        <v>1</v>
      </c>
      <c r="AM447" s="601">
        <v>1</v>
      </c>
      <c r="AN447" s="603" t="s">
        <v>17650</v>
      </c>
      <c r="AO447" s="603" t="s">
        <v>17651</v>
      </c>
      <c r="AP447" s="603" t="s">
        <v>17652</v>
      </c>
      <c r="AQ447" s="603" t="s">
        <v>17653</v>
      </c>
      <c r="AR447" s="603" t="s">
        <v>1024</v>
      </c>
      <c r="AS447" s="558">
        <v>1</v>
      </c>
    </row>
    <row r="448" spans="1:45" x14ac:dyDescent="0.2">
      <c r="A448" s="558" t="s">
        <v>1483</v>
      </c>
      <c r="B448" s="558" t="s">
        <v>24744</v>
      </c>
      <c r="C448" s="558" t="s">
        <v>6156</v>
      </c>
      <c r="D448" s="558" t="s">
        <v>23256</v>
      </c>
      <c r="E448" s="558" t="s">
        <v>192</v>
      </c>
      <c r="F448" s="563">
        <v>1</v>
      </c>
      <c r="G448" s="558" t="s">
        <v>193</v>
      </c>
      <c r="H448" s="558" t="s">
        <v>194</v>
      </c>
      <c r="I448" s="558" t="s">
        <v>23158</v>
      </c>
      <c r="J448" s="558" t="s">
        <v>9302</v>
      </c>
      <c r="K448" s="558" t="s">
        <v>9309</v>
      </c>
      <c r="L448" s="558" t="s">
        <v>6955</v>
      </c>
      <c r="M448" s="558"/>
      <c r="N448" s="558" t="s">
        <v>24745</v>
      </c>
      <c r="O448" s="558" t="s">
        <v>6327</v>
      </c>
      <c r="P448" s="558" t="s">
        <v>24681</v>
      </c>
      <c r="Q448" s="558" t="s">
        <v>24618</v>
      </c>
      <c r="R448" s="558" t="s">
        <v>23158</v>
      </c>
      <c r="S448" s="558" t="s">
        <v>24746</v>
      </c>
      <c r="T448" s="558" t="s">
        <v>24747</v>
      </c>
      <c r="U448" s="558"/>
      <c r="V448" s="603"/>
      <c r="W448" s="558" t="s">
        <v>6158</v>
      </c>
      <c r="X448" s="558" t="s">
        <v>193</v>
      </c>
      <c r="Y448" s="558" t="s">
        <v>9310</v>
      </c>
      <c r="Z448" s="558"/>
      <c r="AA448" s="558"/>
      <c r="AB448" s="558" t="s">
        <v>9311</v>
      </c>
      <c r="AC448" s="558"/>
      <c r="AD448" s="558"/>
      <c r="AE448" s="558"/>
      <c r="AF448" s="558"/>
      <c r="AG448" s="558"/>
      <c r="AH448" s="558" t="s">
        <v>4714</v>
      </c>
      <c r="AI448" s="558" t="s">
        <v>24744</v>
      </c>
      <c r="AJ448" s="601" t="str">
        <f t="shared" si="12"/>
        <v>241204</v>
      </c>
      <c r="AK448" s="601">
        <v>1</v>
      </c>
      <c r="AL448" s="601">
        <f t="shared" si="13"/>
        <v>1</v>
      </c>
      <c r="AM448" s="601">
        <v>1</v>
      </c>
      <c r="AN448" s="603" t="s">
        <v>17650</v>
      </c>
      <c r="AO448" s="603" t="s">
        <v>17651</v>
      </c>
      <c r="AP448" s="603" t="s">
        <v>17652</v>
      </c>
      <c r="AQ448" s="603" t="s">
        <v>17653</v>
      </c>
      <c r="AR448" s="603" t="s">
        <v>1024</v>
      </c>
      <c r="AS448" s="558">
        <v>1</v>
      </c>
    </row>
    <row r="449" spans="1:45" x14ac:dyDescent="0.2">
      <c r="A449" s="558" t="s">
        <v>9136</v>
      </c>
      <c r="B449" s="558" t="s">
        <v>24748</v>
      </c>
      <c r="C449" s="558" t="s">
        <v>3219</v>
      </c>
      <c r="D449" s="558" t="s">
        <v>23256</v>
      </c>
      <c r="E449" s="558" t="s">
        <v>192</v>
      </c>
      <c r="F449" s="563">
        <v>1</v>
      </c>
      <c r="G449" s="558" t="s">
        <v>193</v>
      </c>
      <c r="H449" s="558" t="s">
        <v>194</v>
      </c>
      <c r="I449" s="558" t="s">
        <v>24551</v>
      </c>
      <c r="J449" s="558" t="s">
        <v>9302</v>
      </c>
      <c r="K449" s="558" t="s">
        <v>9309</v>
      </c>
      <c r="L449" s="558" t="s">
        <v>6955</v>
      </c>
      <c r="M449" s="558"/>
      <c r="N449" s="558" t="s">
        <v>24749</v>
      </c>
      <c r="O449" s="558" t="s">
        <v>6302</v>
      </c>
      <c r="P449" s="558" t="s">
        <v>24681</v>
      </c>
      <c r="Q449" s="558" t="s">
        <v>24618</v>
      </c>
      <c r="R449" s="558" t="s">
        <v>23158</v>
      </c>
      <c r="S449" s="558" t="s">
        <v>24750</v>
      </c>
      <c r="T449" s="558" t="s">
        <v>24751</v>
      </c>
      <c r="U449" s="558"/>
      <c r="V449" s="603"/>
      <c r="W449" s="558" t="s">
        <v>3620</v>
      </c>
      <c r="X449" s="558" t="s">
        <v>193</v>
      </c>
      <c r="Y449" s="558" t="s">
        <v>9310</v>
      </c>
      <c r="Z449" s="558"/>
      <c r="AA449" s="558"/>
      <c r="AB449" s="558" t="s">
        <v>9311</v>
      </c>
      <c r="AC449" s="558"/>
      <c r="AD449" s="558"/>
      <c r="AE449" s="558"/>
      <c r="AF449" s="558"/>
      <c r="AG449" s="558"/>
      <c r="AH449" s="558" t="s">
        <v>4714</v>
      </c>
      <c r="AI449" s="558" t="s">
        <v>24748</v>
      </c>
      <c r="AJ449" s="601" t="str">
        <f t="shared" si="12"/>
        <v>243109</v>
      </c>
      <c r="AK449" s="601">
        <v>1</v>
      </c>
      <c r="AL449" s="601">
        <f t="shared" si="13"/>
        <v>1</v>
      </c>
      <c r="AM449" s="601">
        <v>1</v>
      </c>
      <c r="AN449" s="603" t="s">
        <v>17650</v>
      </c>
      <c r="AO449" s="603" t="s">
        <v>17651</v>
      </c>
      <c r="AP449" s="603" t="s">
        <v>17652</v>
      </c>
      <c r="AQ449" s="603" t="s">
        <v>17653</v>
      </c>
      <c r="AR449" s="603" t="s">
        <v>1024</v>
      </c>
      <c r="AS449" s="558">
        <v>1</v>
      </c>
    </row>
    <row r="450" spans="1:45" x14ac:dyDescent="0.2">
      <c r="A450" s="558" t="s">
        <v>24752</v>
      </c>
      <c r="B450" s="558" t="s">
        <v>24753</v>
      </c>
      <c r="C450" s="558" t="s">
        <v>10</v>
      </c>
      <c r="D450" s="558" t="s">
        <v>23256</v>
      </c>
      <c r="E450" s="558" t="s">
        <v>192</v>
      </c>
      <c r="F450" s="563">
        <v>1</v>
      </c>
      <c r="G450" s="558" t="s">
        <v>193</v>
      </c>
      <c r="H450" s="558" t="s">
        <v>194</v>
      </c>
      <c r="I450" s="558" t="s">
        <v>23307</v>
      </c>
      <c r="J450" s="558" t="s">
        <v>9302</v>
      </c>
      <c r="K450" s="558" t="s">
        <v>9309</v>
      </c>
      <c r="L450" s="558" t="s">
        <v>6955</v>
      </c>
      <c r="M450" s="558"/>
      <c r="N450" s="558" t="s">
        <v>24754</v>
      </c>
      <c r="O450" s="558" t="s">
        <v>6261</v>
      </c>
      <c r="P450" s="558" t="s">
        <v>24681</v>
      </c>
      <c r="Q450" s="558" t="s">
        <v>24618</v>
      </c>
      <c r="R450" s="558" t="s">
        <v>23158</v>
      </c>
      <c r="S450" s="558" t="s">
        <v>24755</v>
      </c>
      <c r="T450" s="558" t="s">
        <v>24756</v>
      </c>
      <c r="U450" s="558"/>
      <c r="V450" s="603"/>
      <c r="W450" s="558" t="s">
        <v>484</v>
      </c>
      <c r="X450" s="558" t="s">
        <v>193</v>
      </c>
      <c r="Y450" s="558" t="s">
        <v>9310</v>
      </c>
      <c r="Z450" s="558"/>
      <c r="AA450" s="558"/>
      <c r="AB450" s="558" t="s">
        <v>9311</v>
      </c>
      <c r="AC450" s="558"/>
      <c r="AD450" s="558"/>
      <c r="AE450" s="558"/>
      <c r="AF450" s="558"/>
      <c r="AG450" s="558"/>
      <c r="AH450" s="558" t="s">
        <v>4714</v>
      </c>
      <c r="AI450" s="558" t="s">
        <v>24753</v>
      </c>
      <c r="AJ450" s="601" t="str">
        <f t="shared" si="12"/>
        <v>251401</v>
      </c>
      <c r="AK450" s="601">
        <v>1</v>
      </c>
      <c r="AL450" s="601">
        <f t="shared" si="13"/>
        <v>1</v>
      </c>
      <c r="AM450" s="601">
        <v>1</v>
      </c>
      <c r="AN450" s="603" t="s">
        <v>17650</v>
      </c>
      <c r="AO450" s="603" t="s">
        <v>17651</v>
      </c>
      <c r="AP450" s="603" t="s">
        <v>17652</v>
      </c>
      <c r="AQ450" s="603" t="s">
        <v>17653</v>
      </c>
      <c r="AR450" s="603" t="s">
        <v>1024</v>
      </c>
      <c r="AS450" s="558">
        <v>1</v>
      </c>
    </row>
    <row r="451" spans="1:45" x14ac:dyDescent="0.2">
      <c r="A451" s="558" t="s">
        <v>24757</v>
      </c>
      <c r="B451" s="558" t="s">
        <v>24758</v>
      </c>
      <c r="C451" s="558" t="s">
        <v>778</v>
      </c>
      <c r="D451" s="558" t="s">
        <v>23256</v>
      </c>
      <c r="E451" s="558" t="s">
        <v>192</v>
      </c>
      <c r="F451" s="563">
        <v>1</v>
      </c>
      <c r="G451" s="558" t="s">
        <v>193</v>
      </c>
      <c r="H451" s="558" t="s">
        <v>194</v>
      </c>
      <c r="I451" s="558" t="s">
        <v>24556</v>
      </c>
      <c r="J451" s="558" t="s">
        <v>9302</v>
      </c>
      <c r="K451" s="558" t="s">
        <v>9309</v>
      </c>
      <c r="L451" s="558" t="s">
        <v>6955</v>
      </c>
      <c r="M451" s="558"/>
      <c r="N451" s="558" t="s">
        <v>24759</v>
      </c>
      <c r="O451" s="558" t="s">
        <v>6921</v>
      </c>
      <c r="P451" s="558" t="s">
        <v>24681</v>
      </c>
      <c r="Q451" s="558" t="s">
        <v>24618</v>
      </c>
      <c r="R451" s="558" t="s">
        <v>23835</v>
      </c>
      <c r="S451" s="558" t="s">
        <v>24760</v>
      </c>
      <c r="T451" s="558" t="s">
        <v>24761</v>
      </c>
      <c r="U451" s="558"/>
      <c r="V451" s="603"/>
      <c r="W451" s="558" t="s">
        <v>779</v>
      </c>
      <c r="X451" s="558" t="s">
        <v>193</v>
      </c>
      <c r="Y451" s="558" t="s">
        <v>9310</v>
      </c>
      <c r="Z451" s="558"/>
      <c r="AA451" s="558"/>
      <c r="AB451" s="558" t="s">
        <v>9311</v>
      </c>
      <c r="AC451" s="558"/>
      <c r="AD451" s="558"/>
      <c r="AE451" s="558"/>
      <c r="AF451" s="558"/>
      <c r="AG451" s="558"/>
      <c r="AH451" s="558" t="s">
        <v>4714</v>
      </c>
      <c r="AI451" s="558" t="s">
        <v>24758</v>
      </c>
      <c r="AJ451" s="601" t="str">
        <f t="shared" ref="AJ451:AJ514" si="14">MID(W451,8,6)</f>
        <v>524902</v>
      </c>
      <c r="AK451" s="601">
        <v>1</v>
      </c>
      <c r="AL451" s="601">
        <f t="shared" ref="AL451:AL514" si="15">F451</f>
        <v>1</v>
      </c>
      <c r="AM451" s="601">
        <v>1</v>
      </c>
      <c r="AN451" s="603" t="s">
        <v>17650</v>
      </c>
      <c r="AO451" s="603" t="s">
        <v>17651</v>
      </c>
      <c r="AP451" s="603" t="s">
        <v>17652</v>
      </c>
      <c r="AQ451" s="603" t="s">
        <v>17653</v>
      </c>
      <c r="AR451" s="603" t="s">
        <v>1024</v>
      </c>
      <c r="AS451" s="558">
        <v>1</v>
      </c>
    </row>
    <row r="452" spans="1:45" x14ac:dyDescent="0.2">
      <c r="A452" s="558" t="s">
        <v>24762</v>
      </c>
      <c r="B452" s="558" t="s">
        <v>2536</v>
      </c>
      <c r="C452" s="558" t="s">
        <v>119</v>
      </c>
      <c r="D452" s="558" t="s">
        <v>23256</v>
      </c>
      <c r="E452" s="558" t="s">
        <v>192</v>
      </c>
      <c r="F452" s="563">
        <v>1</v>
      </c>
      <c r="G452" s="558" t="s">
        <v>193</v>
      </c>
      <c r="H452" s="558" t="s">
        <v>194</v>
      </c>
      <c r="I452" s="558" t="s">
        <v>24556</v>
      </c>
      <c r="J452" s="558" t="s">
        <v>9302</v>
      </c>
      <c r="K452" s="558" t="s">
        <v>9309</v>
      </c>
      <c r="L452" s="558" t="s">
        <v>6955</v>
      </c>
      <c r="M452" s="558"/>
      <c r="N452" s="558" t="s">
        <v>24763</v>
      </c>
      <c r="O452" s="558" t="s">
        <v>6266</v>
      </c>
      <c r="P452" s="558" t="s">
        <v>24681</v>
      </c>
      <c r="Q452" s="558" t="s">
        <v>24618</v>
      </c>
      <c r="R452" s="558" t="s">
        <v>23158</v>
      </c>
      <c r="S452" s="558" t="s">
        <v>24764</v>
      </c>
      <c r="T452" s="558" t="s">
        <v>24765</v>
      </c>
      <c r="U452" s="558"/>
      <c r="V452" s="603"/>
      <c r="W452" s="558" t="s">
        <v>666</v>
      </c>
      <c r="X452" s="558" t="s">
        <v>193</v>
      </c>
      <c r="Y452" s="558" t="s">
        <v>9310</v>
      </c>
      <c r="Z452" s="558"/>
      <c r="AA452" s="558"/>
      <c r="AB452" s="558" t="s">
        <v>9311</v>
      </c>
      <c r="AC452" s="558"/>
      <c r="AD452" s="558"/>
      <c r="AE452" s="558"/>
      <c r="AF452" s="558"/>
      <c r="AG452" s="558"/>
      <c r="AH452" s="558" t="s">
        <v>4714</v>
      </c>
      <c r="AI452" s="558" t="s">
        <v>2536</v>
      </c>
      <c r="AJ452" s="601" t="str">
        <f t="shared" si="14"/>
        <v>333105</v>
      </c>
      <c r="AK452" s="601">
        <v>1</v>
      </c>
      <c r="AL452" s="601">
        <f t="shared" si="15"/>
        <v>1</v>
      </c>
      <c r="AM452" s="601">
        <v>1</v>
      </c>
      <c r="AN452" s="603" t="s">
        <v>17650</v>
      </c>
      <c r="AO452" s="603" t="s">
        <v>17651</v>
      </c>
      <c r="AP452" s="603" t="s">
        <v>17652</v>
      </c>
      <c r="AQ452" s="603" t="s">
        <v>17653</v>
      </c>
      <c r="AR452" s="603" t="s">
        <v>1024</v>
      </c>
      <c r="AS452" s="558">
        <v>1</v>
      </c>
    </row>
    <row r="453" spans="1:45" x14ac:dyDescent="0.2">
      <c r="A453" s="558" t="s">
        <v>24766</v>
      </c>
      <c r="B453" s="558" t="s">
        <v>24767</v>
      </c>
      <c r="C453" s="558" t="s">
        <v>17</v>
      </c>
      <c r="D453" s="558" t="s">
        <v>23256</v>
      </c>
      <c r="E453" s="558" t="s">
        <v>192</v>
      </c>
      <c r="F453" s="563">
        <v>1</v>
      </c>
      <c r="G453" s="558" t="s">
        <v>193</v>
      </c>
      <c r="H453" s="558" t="s">
        <v>194</v>
      </c>
      <c r="I453" s="558" t="s">
        <v>23164</v>
      </c>
      <c r="J453" s="558" t="s">
        <v>9302</v>
      </c>
      <c r="K453" s="558" t="s">
        <v>9309</v>
      </c>
      <c r="L453" s="558" t="s">
        <v>6955</v>
      </c>
      <c r="M453" s="558"/>
      <c r="N453" s="558" t="s">
        <v>24768</v>
      </c>
      <c r="O453" s="558" t="s">
        <v>6288</v>
      </c>
      <c r="P453" s="558" t="s">
        <v>24681</v>
      </c>
      <c r="Q453" s="558" t="s">
        <v>24618</v>
      </c>
      <c r="R453" s="558" t="s">
        <v>23158</v>
      </c>
      <c r="S453" s="558" t="s">
        <v>24769</v>
      </c>
      <c r="T453" s="558" t="s">
        <v>24770</v>
      </c>
      <c r="U453" s="558"/>
      <c r="V453" s="603"/>
      <c r="W453" s="558" t="s">
        <v>624</v>
      </c>
      <c r="X453" s="558" t="s">
        <v>193</v>
      </c>
      <c r="Y453" s="558" t="s">
        <v>9310</v>
      </c>
      <c r="Z453" s="558"/>
      <c r="AA453" s="558"/>
      <c r="AB453" s="558" t="s">
        <v>9311</v>
      </c>
      <c r="AC453" s="558"/>
      <c r="AD453" s="558"/>
      <c r="AE453" s="558"/>
      <c r="AF453" s="558"/>
      <c r="AG453" s="558"/>
      <c r="AH453" s="558" t="s">
        <v>4714</v>
      </c>
      <c r="AI453" s="558" t="s">
        <v>24767</v>
      </c>
      <c r="AJ453" s="601" t="str">
        <f t="shared" si="14"/>
        <v>332203</v>
      </c>
      <c r="AK453" s="601">
        <v>1</v>
      </c>
      <c r="AL453" s="601">
        <f t="shared" si="15"/>
        <v>1</v>
      </c>
      <c r="AM453" s="601">
        <v>1</v>
      </c>
      <c r="AN453" s="603" t="s">
        <v>17650</v>
      </c>
      <c r="AO453" s="603" t="s">
        <v>17651</v>
      </c>
      <c r="AP453" s="603" t="s">
        <v>17652</v>
      </c>
      <c r="AQ453" s="603" t="s">
        <v>17653</v>
      </c>
      <c r="AR453" s="603" t="s">
        <v>1024</v>
      </c>
      <c r="AS453" s="558">
        <v>1</v>
      </c>
    </row>
    <row r="454" spans="1:45" x14ac:dyDescent="0.2">
      <c r="A454" s="558" t="s">
        <v>24752</v>
      </c>
      <c r="B454" s="558" t="s">
        <v>24771</v>
      </c>
      <c r="C454" s="558" t="s">
        <v>46</v>
      </c>
      <c r="D454" s="558" t="s">
        <v>23256</v>
      </c>
      <c r="E454" s="558" t="s">
        <v>192</v>
      </c>
      <c r="F454" s="563">
        <v>1</v>
      </c>
      <c r="G454" s="558" t="s">
        <v>193</v>
      </c>
      <c r="H454" s="558" t="s">
        <v>194</v>
      </c>
      <c r="I454" s="558" t="s">
        <v>23307</v>
      </c>
      <c r="J454" s="558" t="s">
        <v>9302</v>
      </c>
      <c r="K454" s="558" t="s">
        <v>9309</v>
      </c>
      <c r="L454" s="558" t="s">
        <v>6955</v>
      </c>
      <c r="M454" s="558"/>
      <c r="N454" s="558" t="s">
        <v>24772</v>
      </c>
      <c r="O454" s="558" t="s">
        <v>6261</v>
      </c>
      <c r="P454" s="558" t="s">
        <v>24681</v>
      </c>
      <c r="Q454" s="558" t="s">
        <v>24618</v>
      </c>
      <c r="R454" s="558" t="s">
        <v>23158</v>
      </c>
      <c r="S454" s="558" t="s">
        <v>24773</v>
      </c>
      <c r="T454" s="558" t="s">
        <v>24774</v>
      </c>
      <c r="U454" s="558"/>
      <c r="V454" s="603"/>
      <c r="W454" s="558" t="s">
        <v>510</v>
      </c>
      <c r="X454" s="558" t="s">
        <v>193</v>
      </c>
      <c r="Y454" s="558" t="s">
        <v>9310</v>
      </c>
      <c r="Z454" s="558"/>
      <c r="AA454" s="558"/>
      <c r="AB454" s="558" t="s">
        <v>9311</v>
      </c>
      <c r="AC454" s="558"/>
      <c r="AD454" s="558"/>
      <c r="AE454" s="558"/>
      <c r="AF454" s="558"/>
      <c r="AG454" s="558"/>
      <c r="AH454" s="558" t="s">
        <v>4714</v>
      </c>
      <c r="AI454" s="558" t="s">
        <v>24771</v>
      </c>
      <c r="AJ454" s="601" t="str">
        <f t="shared" si="14"/>
        <v>252201</v>
      </c>
      <c r="AK454" s="601">
        <v>1</v>
      </c>
      <c r="AL454" s="601">
        <f t="shared" si="15"/>
        <v>1</v>
      </c>
      <c r="AM454" s="601">
        <v>1</v>
      </c>
      <c r="AN454" s="603" t="s">
        <v>17650</v>
      </c>
      <c r="AO454" s="603" t="s">
        <v>17651</v>
      </c>
      <c r="AP454" s="603" t="s">
        <v>17652</v>
      </c>
      <c r="AQ454" s="603" t="s">
        <v>17653</v>
      </c>
      <c r="AR454" s="603" t="s">
        <v>1024</v>
      </c>
      <c r="AS454" s="558">
        <v>1</v>
      </c>
    </row>
    <row r="455" spans="1:45" x14ac:dyDescent="0.2">
      <c r="A455" s="558" t="s">
        <v>16255</v>
      </c>
      <c r="B455" s="558" t="s">
        <v>24775</v>
      </c>
      <c r="C455" s="558" t="s">
        <v>362</v>
      </c>
      <c r="D455" s="558" t="s">
        <v>23256</v>
      </c>
      <c r="E455" s="558" t="s">
        <v>192</v>
      </c>
      <c r="F455" s="563">
        <v>1</v>
      </c>
      <c r="G455" s="558" t="s">
        <v>193</v>
      </c>
      <c r="H455" s="558" t="s">
        <v>194</v>
      </c>
      <c r="I455" s="558" t="s">
        <v>24556</v>
      </c>
      <c r="J455" s="558" t="s">
        <v>9302</v>
      </c>
      <c r="K455" s="558" t="s">
        <v>9309</v>
      </c>
      <c r="L455" s="558" t="s">
        <v>6955</v>
      </c>
      <c r="M455" s="558"/>
      <c r="N455" s="558" t="s">
        <v>24776</v>
      </c>
      <c r="O455" s="558" t="s">
        <v>6245</v>
      </c>
      <c r="P455" s="558" t="s">
        <v>24681</v>
      </c>
      <c r="Q455" s="558" t="s">
        <v>24618</v>
      </c>
      <c r="R455" s="558" t="s">
        <v>23158</v>
      </c>
      <c r="S455" s="558" t="s">
        <v>24777</v>
      </c>
      <c r="T455" s="558" t="s">
        <v>24778</v>
      </c>
      <c r="U455" s="558"/>
      <c r="V455" s="603"/>
      <c r="W455" s="558" t="s">
        <v>363</v>
      </c>
      <c r="X455" s="558" t="s">
        <v>193</v>
      </c>
      <c r="Y455" s="558" t="s">
        <v>9310</v>
      </c>
      <c r="Z455" s="558"/>
      <c r="AA455" s="558"/>
      <c r="AB455" s="558" t="s">
        <v>9311</v>
      </c>
      <c r="AC455" s="558"/>
      <c r="AD455" s="558"/>
      <c r="AE455" s="558"/>
      <c r="AF455" s="558"/>
      <c r="AG455" s="558"/>
      <c r="AH455" s="558" t="s">
        <v>4714</v>
      </c>
      <c r="AI455" s="558" t="s">
        <v>24775</v>
      </c>
      <c r="AJ455" s="601" t="str">
        <f t="shared" si="14"/>
        <v>215104</v>
      </c>
      <c r="AK455" s="601">
        <v>1</v>
      </c>
      <c r="AL455" s="601">
        <f t="shared" si="15"/>
        <v>1</v>
      </c>
      <c r="AM455" s="601">
        <v>1</v>
      </c>
      <c r="AN455" s="603" t="s">
        <v>17650</v>
      </c>
      <c r="AO455" s="603" t="s">
        <v>17651</v>
      </c>
      <c r="AP455" s="603" t="s">
        <v>17652</v>
      </c>
      <c r="AQ455" s="603" t="s">
        <v>17653</v>
      </c>
      <c r="AR455" s="603" t="s">
        <v>1024</v>
      </c>
      <c r="AS455" s="558">
        <v>1</v>
      </c>
    </row>
    <row r="456" spans="1:45" x14ac:dyDescent="0.2">
      <c r="A456" s="558" t="s">
        <v>1523</v>
      </c>
      <c r="B456" s="558" t="s">
        <v>24779</v>
      </c>
      <c r="C456" s="558" t="s">
        <v>480</v>
      </c>
      <c r="D456" s="558" t="s">
        <v>23256</v>
      </c>
      <c r="E456" s="558" t="s">
        <v>192</v>
      </c>
      <c r="F456" s="563">
        <v>1</v>
      </c>
      <c r="G456" s="558" t="s">
        <v>193</v>
      </c>
      <c r="H456" s="558" t="s">
        <v>194</v>
      </c>
      <c r="I456" s="558" t="s">
        <v>24551</v>
      </c>
      <c r="J456" s="558" t="s">
        <v>9302</v>
      </c>
      <c r="K456" s="558" t="s">
        <v>9309</v>
      </c>
      <c r="L456" s="558" t="s">
        <v>6955</v>
      </c>
      <c r="M456" s="558"/>
      <c r="N456" s="558" t="s">
        <v>24780</v>
      </c>
      <c r="O456" s="558" t="s">
        <v>6921</v>
      </c>
      <c r="P456" s="558" t="s">
        <v>24681</v>
      </c>
      <c r="Q456" s="558" t="s">
        <v>24618</v>
      </c>
      <c r="R456" s="558" t="s">
        <v>23158</v>
      </c>
      <c r="S456" s="558" t="s">
        <v>24781</v>
      </c>
      <c r="T456" s="558" t="s">
        <v>24782</v>
      </c>
      <c r="U456" s="558"/>
      <c r="V456" s="603"/>
      <c r="W456" s="558" t="s">
        <v>481</v>
      </c>
      <c r="X456" s="558" t="s">
        <v>193</v>
      </c>
      <c r="Y456" s="558" t="s">
        <v>9310</v>
      </c>
      <c r="Z456" s="558"/>
      <c r="AA456" s="558"/>
      <c r="AB456" s="558" t="s">
        <v>9311</v>
      </c>
      <c r="AC456" s="558"/>
      <c r="AD456" s="558"/>
      <c r="AE456" s="558"/>
      <c r="AF456" s="558"/>
      <c r="AG456" s="558"/>
      <c r="AH456" s="558" t="s">
        <v>4714</v>
      </c>
      <c r="AI456" s="558" t="s">
        <v>24779</v>
      </c>
      <c r="AJ456" s="601" t="str">
        <f t="shared" si="14"/>
        <v>251201</v>
      </c>
      <c r="AK456" s="601">
        <v>1</v>
      </c>
      <c r="AL456" s="601">
        <f t="shared" si="15"/>
        <v>1</v>
      </c>
      <c r="AM456" s="601">
        <v>1</v>
      </c>
      <c r="AN456" s="603" t="s">
        <v>17650</v>
      </c>
      <c r="AO456" s="603" t="s">
        <v>17651</v>
      </c>
      <c r="AP456" s="603" t="s">
        <v>17652</v>
      </c>
      <c r="AQ456" s="603" t="s">
        <v>17653</v>
      </c>
      <c r="AR456" s="603" t="s">
        <v>1024</v>
      </c>
      <c r="AS456" s="558">
        <v>1</v>
      </c>
    </row>
    <row r="457" spans="1:45" x14ac:dyDescent="0.2">
      <c r="A457" s="558" t="s">
        <v>19615</v>
      </c>
      <c r="B457" s="558" t="s">
        <v>24783</v>
      </c>
      <c r="C457" s="558" t="s">
        <v>12</v>
      </c>
      <c r="D457" s="558" t="s">
        <v>23256</v>
      </c>
      <c r="E457" s="558" t="s">
        <v>192</v>
      </c>
      <c r="F457" s="563">
        <v>1</v>
      </c>
      <c r="G457" s="558" t="s">
        <v>193</v>
      </c>
      <c r="H457" s="558" t="s">
        <v>194</v>
      </c>
      <c r="I457" s="558" t="s">
        <v>23307</v>
      </c>
      <c r="J457" s="558" t="s">
        <v>9302</v>
      </c>
      <c r="K457" s="558" t="s">
        <v>9309</v>
      </c>
      <c r="L457" s="558" t="s">
        <v>6955</v>
      </c>
      <c r="M457" s="558"/>
      <c r="N457" s="558" t="s">
        <v>24784</v>
      </c>
      <c r="O457" s="558" t="s">
        <v>6324</v>
      </c>
      <c r="P457" s="558" t="s">
        <v>24681</v>
      </c>
      <c r="Q457" s="558" t="s">
        <v>24618</v>
      </c>
      <c r="R457" s="558" t="s">
        <v>23158</v>
      </c>
      <c r="S457" s="558" t="s">
        <v>24785</v>
      </c>
      <c r="T457" s="558" t="s">
        <v>24786</v>
      </c>
      <c r="U457" s="558"/>
      <c r="V457" s="603"/>
      <c r="W457" s="558" t="s">
        <v>220</v>
      </c>
      <c r="X457" s="558" t="s">
        <v>193</v>
      </c>
      <c r="Y457" s="558" t="s">
        <v>9310</v>
      </c>
      <c r="Z457" s="558"/>
      <c r="AA457" s="558"/>
      <c r="AB457" s="558" t="s">
        <v>9311</v>
      </c>
      <c r="AC457" s="558"/>
      <c r="AD457" s="558"/>
      <c r="AE457" s="558"/>
      <c r="AF457" s="558"/>
      <c r="AG457" s="558"/>
      <c r="AH457" s="558" t="s">
        <v>4714</v>
      </c>
      <c r="AI457" s="558" t="s">
        <v>24783</v>
      </c>
      <c r="AJ457" s="601" t="str">
        <f t="shared" si="14"/>
        <v>132301</v>
      </c>
      <c r="AK457" s="601">
        <v>1</v>
      </c>
      <c r="AL457" s="601">
        <f t="shared" si="15"/>
        <v>1</v>
      </c>
      <c r="AM457" s="601">
        <v>1</v>
      </c>
      <c r="AN457" s="603" t="s">
        <v>17650</v>
      </c>
      <c r="AO457" s="603" t="s">
        <v>17651</v>
      </c>
      <c r="AP457" s="603" t="s">
        <v>17652</v>
      </c>
      <c r="AQ457" s="603" t="s">
        <v>17653</v>
      </c>
      <c r="AR457" s="603" t="s">
        <v>1024</v>
      </c>
      <c r="AS457" s="558">
        <v>1</v>
      </c>
    </row>
    <row r="458" spans="1:45" x14ac:dyDescent="0.2">
      <c r="A458" s="558" t="s">
        <v>24787</v>
      </c>
      <c r="B458" s="558" t="s">
        <v>24788</v>
      </c>
      <c r="C458" s="558" t="s">
        <v>10</v>
      </c>
      <c r="D458" s="558" t="s">
        <v>23256</v>
      </c>
      <c r="E458" s="558" t="s">
        <v>192</v>
      </c>
      <c r="F458" s="563">
        <v>1</v>
      </c>
      <c r="G458" s="558" t="s">
        <v>193</v>
      </c>
      <c r="H458" s="558" t="s">
        <v>194</v>
      </c>
      <c r="I458" s="558" t="s">
        <v>23307</v>
      </c>
      <c r="J458" s="558" t="s">
        <v>9302</v>
      </c>
      <c r="K458" s="558" t="s">
        <v>9309</v>
      </c>
      <c r="L458" s="558" t="s">
        <v>6955</v>
      </c>
      <c r="M458" s="558"/>
      <c r="N458" s="558" t="s">
        <v>24789</v>
      </c>
      <c r="O458" s="558" t="s">
        <v>6921</v>
      </c>
      <c r="P458" s="558" t="s">
        <v>24681</v>
      </c>
      <c r="Q458" s="558" t="s">
        <v>24618</v>
      </c>
      <c r="R458" s="558" t="s">
        <v>23158</v>
      </c>
      <c r="S458" s="558" t="s">
        <v>24790</v>
      </c>
      <c r="T458" s="558" t="s">
        <v>24791</v>
      </c>
      <c r="U458" s="558"/>
      <c r="V458" s="603"/>
      <c r="W458" s="558" t="s">
        <v>484</v>
      </c>
      <c r="X458" s="558" t="s">
        <v>193</v>
      </c>
      <c r="Y458" s="558" t="s">
        <v>9310</v>
      </c>
      <c r="Z458" s="558"/>
      <c r="AA458" s="558"/>
      <c r="AB458" s="558" t="s">
        <v>9311</v>
      </c>
      <c r="AC458" s="558"/>
      <c r="AD458" s="558"/>
      <c r="AE458" s="558"/>
      <c r="AF458" s="558"/>
      <c r="AG458" s="558"/>
      <c r="AH458" s="558" t="s">
        <v>4714</v>
      </c>
      <c r="AI458" s="558" t="s">
        <v>24788</v>
      </c>
      <c r="AJ458" s="601" t="str">
        <f t="shared" si="14"/>
        <v>251401</v>
      </c>
      <c r="AK458" s="601">
        <v>1</v>
      </c>
      <c r="AL458" s="601">
        <f t="shared" si="15"/>
        <v>1</v>
      </c>
      <c r="AM458" s="601">
        <v>1</v>
      </c>
      <c r="AN458" s="603" t="s">
        <v>17650</v>
      </c>
      <c r="AO458" s="603" t="s">
        <v>17651</v>
      </c>
      <c r="AP458" s="603" t="s">
        <v>17652</v>
      </c>
      <c r="AQ458" s="603" t="s">
        <v>17653</v>
      </c>
      <c r="AR458" s="603" t="s">
        <v>1024</v>
      </c>
      <c r="AS458" s="558">
        <v>1</v>
      </c>
    </row>
    <row r="459" spans="1:45" x14ac:dyDescent="0.2">
      <c r="A459" s="558" t="s">
        <v>24792</v>
      </c>
      <c r="B459" s="558" t="s">
        <v>24793</v>
      </c>
      <c r="C459" s="558" t="s">
        <v>16248</v>
      </c>
      <c r="D459" s="558" t="s">
        <v>23256</v>
      </c>
      <c r="E459" s="558" t="s">
        <v>192</v>
      </c>
      <c r="F459" s="563">
        <v>1</v>
      </c>
      <c r="G459" s="558" t="s">
        <v>193</v>
      </c>
      <c r="H459" s="558" t="s">
        <v>194</v>
      </c>
      <c r="I459" s="558" t="s">
        <v>24556</v>
      </c>
      <c r="J459" s="558" t="s">
        <v>9302</v>
      </c>
      <c r="K459" s="558" t="s">
        <v>9309</v>
      </c>
      <c r="L459" s="558" t="s">
        <v>6955</v>
      </c>
      <c r="M459" s="558"/>
      <c r="N459" s="558" t="s">
        <v>24794</v>
      </c>
      <c r="O459" s="558" t="s">
        <v>6302</v>
      </c>
      <c r="P459" s="558" t="s">
        <v>24681</v>
      </c>
      <c r="Q459" s="558" t="s">
        <v>24618</v>
      </c>
      <c r="R459" s="558" t="s">
        <v>23158</v>
      </c>
      <c r="S459" s="558" t="s">
        <v>24795</v>
      </c>
      <c r="T459" s="558" t="s">
        <v>24796</v>
      </c>
      <c r="U459" s="558"/>
      <c r="V459" s="603"/>
      <c r="W459" s="558" t="s">
        <v>16246</v>
      </c>
      <c r="X459" s="558" t="s">
        <v>193</v>
      </c>
      <c r="Y459" s="558" t="s">
        <v>9310</v>
      </c>
      <c r="Z459" s="558"/>
      <c r="AA459" s="558"/>
      <c r="AB459" s="558" t="s">
        <v>9311</v>
      </c>
      <c r="AC459" s="558"/>
      <c r="AD459" s="558"/>
      <c r="AE459" s="558"/>
      <c r="AF459" s="558"/>
      <c r="AG459" s="558"/>
      <c r="AH459" s="558" t="s">
        <v>4714</v>
      </c>
      <c r="AI459" s="558" t="s">
        <v>24793</v>
      </c>
      <c r="AJ459" s="601" t="str">
        <f t="shared" si="14"/>
        <v>263510</v>
      </c>
      <c r="AK459" s="601">
        <v>1</v>
      </c>
      <c r="AL459" s="601">
        <f t="shared" si="15"/>
        <v>1</v>
      </c>
      <c r="AM459" s="601">
        <v>1</v>
      </c>
      <c r="AN459" s="603" t="s">
        <v>17650</v>
      </c>
      <c r="AO459" s="603" t="s">
        <v>17651</v>
      </c>
      <c r="AP459" s="603" t="s">
        <v>17652</v>
      </c>
      <c r="AQ459" s="603" t="s">
        <v>17653</v>
      </c>
      <c r="AR459" s="603" t="s">
        <v>1024</v>
      </c>
      <c r="AS459" s="558">
        <v>1</v>
      </c>
    </row>
    <row r="460" spans="1:45" x14ac:dyDescent="0.2">
      <c r="A460" s="558" t="s">
        <v>19708</v>
      </c>
      <c r="B460" s="558" t="s">
        <v>24797</v>
      </c>
      <c r="C460" s="558" t="s">
        <v>122</v>
      </c>
      <c r="D460" s="558" t="s">
        <v>23256</v>
      </c>
      <c r="E460" s="558" t="s">
        <v>192</v>
      </c>
      <c r="F460" s="563">
        <v>1</v>
      </c>
      <c r="G460" s="558" t="s">
        <v>193</v>
      </c>
      <c r="H460" s="558" t="s">
        <v>194</v>
      </c>
      <c r="I460" s="558" t="s">
        <v>23164</v>
      </c>
      <c r="J460" s="558" t="s">
        <v>9302</v>
      </c>
      <c r="K460" s="558" t="s">
        <v>9309</v>
      </c>
      <c r="L460" s="558" t="s">
        <v>6955</v>
      </c>
      <c r="M460" s="558"/>
      <c r="N460" s="558" t="s">
        <v>24798</v>
      </c>
      <c r="O460" s="558" t="s">
        <v>7489</v>
      </c>
      <c r="P460" s="558" t="s">
        <v>24681</v>
      </c>
      <c r="Q460" s="558" t="s">
        <v>24618</v>
      </c>
      <c r="R460" s="558" t="s">
        <v>23158</v>
      </c>
      <c r="S460" s="558" t="s">
        <v>24799</v>
      </c>
      <c r="T460" s="558" t="s">
        <v>24800</v>
      </c>
      <c r="U460" s="558"/>
      <c r="V460" s="603"/>
      <c r="W460" s="558" t="s">
        <v>655</v>
      </c>
      <c r="X460" s="558" t="s">
        <v>193</v>
      </c>
      <c r="Y460" s="558" t="s">
        <v>9310</v>
      </c>
      <c r="Z460" s="558"/>
      <c r="AA460" s="558"/>
      <c r="AB460" s="558" t="s">
        <v>9311</v>
      </c>
      <c r="AC460" s="558"/>
      <c r="AD460" s="558"/>
      <c r="AE460" s="558"/>
      <c r="AF460" s="558"/>
      <c r="AG460" s="558"/>
      <c r="AH460" s="558" t="s">
        <v>4714</v>
      </c>
      <c r="AI460" s="558" t="s">
        <v>24797</v>
      </c>
      <c r="AJ460" s="601" t="str">
        <f t="shared" si="14"/>
        <v>332301</v>
      </c>
      <c r="AK460" s="601">
        <v>1</v>
      </c>
      <c r="AL460" s="601">
        <f t="shared" si="15"/>
        <v>1</v>
      </c>
      <c r="AM460" s="601">
        <v>1</v>
      </c>
      <c r="AN460" s="603" t="s">
        <v>17650</v>
      </c>
      <c r="AO460" s="603" t="s">
        <v>17651</v>
      </c>
      <c r="AP460" s="603" t="s">
        <v>17652</v>
      </c>
      <c r="AQ460" s="603" t="s">
        <v>17653</v>
      </c>
      <c r="AR460" s="603" t="s">
        <v>1024</v>
      </c>
      <c r="AS460" s="558">
        <v>1</v>
      </c>
    </row>
    <row r="461" spans="1:45" x14ac:dyDescent="0.2">
      <c r="A461" s="558" t="s">
        <v>24801</v>
      </c>
      <c r="B461" s="558" t="s">
        <v>24802</v>
      </c>
      <c r="C461" s="558" t="s">
        <v>101</v>
      </c>
      <c r="D461" s="558" t="s">
        <v>23256</v>
      </c>
      <c r="E461" s="558" t="s">
        <v>192</v>
      </c>
      <c r="F461" s="563">
        <v>1</v>
      </c>
      <c r="G461" s="558" t="s">
        <v>193</v>
      </c>
      <c r="H461" s="558" t="s">
        <v>194</v>
      </c>
      <c r="I461" s="558" t="s">
        <v>24556</v>
      </c>
      <c r="J461" s="558" t="s">
        <v>9302</v>
      </c>
      <c r="K461" s="558" t="s">
        <v>9309</v>
      </c>
      <c r="L461" s="558" t="s">
        <v>6955</v>
      </c>
      <c r="M461" s="558"/>
      <c r="N461" s="558" t="s">
        <v>24803</v>
      </c>
      <c r="O461" s="558" t="s">
        <v>7406</v>
      </c>
      <c r="P461" s="558" t="s">
        <v>24681</v>
      </c>
      <c r="Q461" s="558" t="s">
        <v>24618</v>
      </c>
      <c r="R461" s="558" t="s">
        <v>23158</v>
      </c>
      <c r="S461" s="558" t="s">
        <v>24804</v>
      </c>
      <c r="T461" s="558" t="s">
        <v>24805</v>
      </c>
      <c r="U461" s="558"/>
      <c r="V461" s="603"/>
      <c r="W461" s="558" t="s">
        <v>519</v>
      </c>
      <c r="X461" s="558" t="s">
        <v>193</v>
      </c>
      <c r="Y461" s="558" t="s">
        <v>9310</v>
      </c>
      <c r="Z461" s="558"/>
      <c r="AA461" s="558"/>
      <c r="AB461" s="558" t="s">
        <v>9311</v>
      </c>
      <c r="AC461" s="558"/>
      <c r="AD461" s="558"/>
      <c r="AE461" s="558"/>
      <c r="AF461" s="558"/>
      <c r="AG461" s="558"/>
      <c r="AH461" s="558" t="s">
        <v>4714</v>
      </c>
      <c r="AI461" s="558" t="s">
        <v>24802</v>
      </c>
      <c r="AJ461" s="601" t="str">
        <f t="shared" si="14"/>
        <v>261103</v>
      </c>
      <c r="AK461" s="601">
        <v>1</v>
      </c>
      <c r="AL461" s="601">
        <f t="shared" si="15"/>
        <v>1</v>
      </c>
      <c r="AM461" s="601">
        <v>1</v>
      </c>
      <c r="AN461" s="603" t="s">
        <v>17650</v>
      </c>
      <c r="AO461" s="603" t="s">
        <v>17651</v>
      </c>
      <c r="AP461" s="603" t="s">
        <v>17652</v>
      </c>
      <c r="AQ461" s="603" t="s">
        <v>17653</v>
      </c>
      <c r="AR461" s="603" t="s">
        <v>1024</v>
      </c>
      <c r="AS461" s="558">
        <v>1</v>
      </c>
    </row>
    <row r="462" spans="1:45" x14ac:dyDescent="0.2">
      <c r="A462" s="558" t="s">
        <v>24806</v>
      </c>
      <c r="B462" s="558" t="s">
        <v>24807</v>
      </c>
      <c r="C462" s="558" t="s">
        <v>2924</v>
      </c>
      <c r="D462" s="558" t="s">
        <v>23256</v>
      </c>
      <c r="E462" s="558" t="s">
        <v>192</v>
      </c>
      <c r="F462" s="563">
        <v>1</v>
      </c>
      <c r="G462" s="558" t="s">
        <v>193</v>
      </c>
      <c r="H462" s="558" t="s">
        <v>194</v>
      </c>
      <c r="I462" s="558" t="s">
        <v>24556</v>
      </c>
      <c r="J462" s="558" t="s">
        <v>9302</v>
      </c>
      <c r="K462" s="558" t="s">
        <v>9309</v>
      </c>
      <c r="L462" s="558" t="s">
        <v>6955</v>
      </c>
      <c r="M462" s="558"/>
      <c r="N462" s="558" t="s">
        <v>24808</v>
      </c>
      <c r="O462" s="558" t="s">
        <v>15923</v>
      </c>
      <c r="P462" s="558" t="s">
        <v>24681</v>
      </c>
      <c r="Q462" s="558" t="s">
        <v>24618</v>
      </c>
      <c r="R462" s="558" t="s">
        <v>23158</v>
      </c>
      <c r="S462" s="558" t="s">
        <v>24809</v>
      </c>
      <c r="T462" s="558" t="s">
        <v>24810</v>
      </c>
      <c r="U462" s="558"/>
      <c r="V462" s="603"/>
      <c r="W462" s="558" t="s">
        <v>8664</v>
      </c>
      <c r="X462" s="558" t="s">
        <v>193</v>
      </c>
      <c r="Y462" s="558" t="s">
        <v>9310</v>
      </c>
      <c r="Z462" s="558"/>
      <c r="AA462" s="558"/>
      <c r="AB462" s="558" t="s">
        <v>9311</v>
      </c>
      <c r="AC462" s="558"/>
      <c r="AD462" s="558"/>
      <c r="AE462" s="558"/>
      <c r="AF462" s="558"/>
      <c r="AG462" s="558"/>
      <c r="AH462" s="558" t="s">
        <v>4714</v>
      </c>
      <c r="AI462" s="558" t="s">
        <v>24807</v>
      </c>
      <c r="AJ462" s="601" t="str">
        <f t="shared" si="14"/>
        <v>234201</v>
      </c>
      <c r="AK462" s="601">
        <v>1</v>
      </c>
      <c r="AL462" s="601">
        <f t="shared" si="15"/>
        <v>1</v>
      </c>
      <c r="AM462" s="601">
        <v>1</v>
      </c>
      <c r="AN462" s="603" t="s">
        <v>17650</v>
      </c>
      <c r="AO462" s="603" t="s">
        <v>17651</v>
      </c>
      <c r="AP462" s="603" t="s">
        <v>17652</v>
      </c>
      <c r="AQ462" s="603" t="s">
        <v>17653</v>
      </c>
      <c r="AR462" s="603" t="s">
        <v>1024</v>
      </c>
      <c r="AS462" s="558">
        <v>1</v>
      </c>
    </row>
    <row r="463" spans="1:45" x14ac:dyDescent="0.2">
      <c r="A463" s="558" t="s">
        <v>24787</v>
      </c>
      <c r="B463" s="558" t="s">
        <v>24811</v>
      </c>
      <c r="C463" s="558" t="s">
        <v>513</v>
      </c>
      <c r="D463" s="558" t="s">
        <v>23256</v>
      </c>
      <c r="E463" s="558" t="s">
        <v>192</v>
      </c>
      <c r="F463" s="563">
        <v>1</v>
      </c>
      <c r="G463" s="558" t="s">
        <v>193</v>
      </c>
      <c r="H463" s="558" t="s">
        <v>194</v>
      </c>
      <c r="I463" s="558" t="s">
        <v>23307</v>
      </c>
      <c r="J463" s="558" t="s">
        <v>9302</v>
      </c>
      <c r="K463" s="558" t="s">
        <v>9309</v>
      </c>
      <c r="L463" s="558" t="s">
        <v>6955</v>
      </c>
      <c r="M463" s="558"/>
      <c r="N463" s="558" t="s">
        <v>24812</v>
      </c>
      <c r="O463" s="558" t="s">
        <v>6921</v>
      </c>
      <c r="P463" s="558" t="s">
        <v>24681</v>
      </c>
      <c r="Q463" s="558" t="s">
        <v>24618</v>
      </c>
      <c r="R463" s="558" t="s">
        <v>23158</v>
      </c>
      <c r="S463" s="558" t="s">
        <v>24813</v>
      </c>
      <c r="T463" s="558" t="s">
        <v>24814</v>
      </c>
      <c r="U463" s="558"/>
      <c r="V463" s="603"/>
      <c r="W463" s="558" t="s">
        <v>514</v>
      </c>
      <c r="X463" s="558" t="s">
        <v>193</v>
      </c>
      <c r="Y463" s="558" t="s">
        <v>9310</v>
      </c>
      <c r="Z463" s="558"/>
      <c r="AA463" s="558"/>
      <c r="AB463" s="558" t="s">
        <v>9311</v>
      </c>
      <c r="AC463" s="558"/>
      <c r="AD463" s="558"/>
      <c r="AE463" s="558"/>
      <c r="AF463" s="558"/>
      <c r="AG463" s="558"/>
      <c r="AH463" s="558" t="s">
        <v>4714</v>
      </c>
      <c r="AI463" s="558" t="s">
        <v>24811</v>
      </c>
      <c r="AJ463" s="601" t="str">
        <f t="shared" si="14"/>
        <v>252301</v>
      </c>
      <c r="AK463" s="601">
        <v>1</v>
      </c>
      <c r="AL463" s="601">
        <f t="shared" si="15"/>
        <v>1</v>
      </c>
      <c r="AM463" s="601">
        <v>1</v>
      </c>
      <c r="AN463" s="603" t="s">
        <v>17650</v>
      </c>
      <c r="AO463" s="603" t="s">
        <v>17651</v>
      </c>
      <c r="AP463" s="603" t="s">
        <v>17652</v>
      </c>
      <c r="AQ463" s="603" t="s">
        <v>17653</v>
      </c>
      <c r="AR463" s="603" t="s">
        <v>1024</v>
      </c>
      <c r="AS463" s="558">
        <v>1</v>
      </c>
    </row>
    <row r="464" spans="1:45" x14ac:dyDescent="0.2">
      <c r="A464" s="558" t="s">
        <v>11322</v>
      </c>
      <c r="B464" s="558" t="s">
        <v>24815</v>
      </c>
      <c r="C464" s="558" t="s">
        <v>80</v>
      </c>
      <c r="D464" s="558" t="s">
        <v>23256</v>
      </c>
      <c r="E464" s="558" t="s">
        <v>192</v>
      </c>
      <c r="F464" s="563">
        <v>1</v>
      </c>
      <c r="G464" s="558" t="s">
        <v>193</v>
      </c>
      <c r="H464" s="558" t="s">
        <v>194</v>
      </c>
      <c r="I464" s="558" t="s">
        <v>23186</v>
      </c>
      <c r="J464" s="558" t="s">
        <v>9302</v>
      </c>
      <c r="K464" s="558" t="s">
        <v>9309</v>
      </c>
      <c r="L464" s="558" t="s">
        <v>6955</v>
      </c>
      <c r="M464" s="558"/>
      <c r="N464" s="558" t="s">
        <v>24816</v>
      </c>
      <c r="O464" s="558" t="s">
        <v>6374</v>
      </c>
      <c r="P464" s="558" t="s">
        <v>24681</v>
      </c>
      <c r="Q464" s="558" t="s">
        <v>24618</v>
      </c>
      <c r="R464" s="558" t="s">
        <v>23158</v>
      </c>
      <c r="S464" s="558" t="s">
        <v>24817</v>
      </c>
      <c r="T464" s="558" t="s">
        <v>24818</v>
      </c>
      <c r="U464" s="558"/>
      <c r="V464" s="603"/>
      <c r="W464" s="558" t="s">
        <v>474</v>
      </c>
      <c r="X464" s="558" t="s">
        <v>193</v>
      </c>
      <c r="Y464" s="558" t="s">
        <v>9310</v>
      </c>
      <c r="Z464" s="558"/>
      <c r="AA464" s="558"/>
      <c r="AB464" s="558" t="s">
        <v>9311</v>
      </c>
      <c r="AC464" s="558"/>
      <c r="AD464" s="558"/>
      <c r="AE464" s="558"/>
      <c r="AF464" s="558"/>
      <c r="AG464" s="558"/>
      <c r="AH464" s="558" t="s">
        <v>4714</v>
      </c>
      <c r="AI464" s="558" t="s">
        <v>24815</v>
      </c>
      <c r="AJ464" s="601" t="str">
        <f t="shared" si="14"/>
        <v>243304</v>
      </c>
      <c r="AK464" s="601">
        <v>1</v>
      </c>
      <c r="AL464" s="601">
        <f t="shared" si="15"/>
        <v>1</v>
      </c>
      <c r="AM464" s="601">
        <v>1</v>
      </c>
      <c r="AN464" s="603" t="s">
        <v>17650</v>
      </c>
      <c r="AO464" s="603" t="s">
        <v>17651</v>
      </c>
      <c r="AP464" s="603" t="s">
        <v>17652</v>
      </c>
      <c r="AQ464" s="603" t="s">
        <v>17653</v>
      </c>
      <c r="AR464" s="603" t="s">
        <v>1024</v>
      </c>
      <c r="AS464" s="558">
        <v>1</v>
      </c>
    </row>
    <row r="465" spans="1:45" x14ac:dyDescent="0.2">
      <c r="A465" s="558" t="s">
        <v>24819</v>
      </c>
      <c r="B465" s="558" t="s">
        <v>24820</v>
      </c>
      <c r="C465" s="558" t="s">
        <v>17</v>
      </c>
      <c r="D465" s="558" t="s">
        <v>23256</v>
      </c>
      <c r="E465" s="558" t="s">
        <v>192</v>
      </c>
      <c r="F465" s="563">
        <v>1</v>
      </c>
      <c r="G465" s="558" t="s">
        <v>193</v>
      </c>
      <c r="H465" s="558" t="s">
        <v>194</v>
      </c>
      <c r="I465" s="558" t="s">
        <v>24551</v>
      </c>
      <c r="J465" s="558" t="s">
        <v>9302</v>
      </c>
      <c r="K465" s="558" t="s">
        <v>9309</v>
      </c>
      <c r="L465" s="558" t="s">
        <v>6955</v>
      </c>
      <c r="M465" s="558"/>
      <c r="N465" s="558" t="s">
        <v>24821</v>
      </c>
      <c r="O465" s="558" t="s">
        <v>6288</v>
      </c>
      <c r="P465" s="558" t="s">
        <v>24681</v>
      </c>
      <c r="Q465" s="558" t="s">
        <v>24618</v>
      </c>
      <c r="R465" s="558" t="s">
        <v>23158</v>
      </c>
      <c r="S465" s="558" t="s">
        <v>24822</v>
      </c>
      <c r="T465" s="558" t="s">
        <v>24823</v>
      </c>
      <c r="U465" s="558"/>
      <c r="V465" s="603"/>
      <c r="W465" s="558" t="s">
        <v>624</v>
      </c>
      <c r="X465" s="558" t="s">
        <v>193</v>
      </c>
      <c r="Y465" s="558" t="s">
        <v>9310</v>
      </c>
      <c r="Z465" s="558"/>
      <c r="AA465" s="558"/>
      <c r="AB465" s="558" t="s">
        <v>9311</v>
      </c>
      <c r="AC465" s="558"/>
      <c r="AD465" s="558"/>
      <c r="AE465" s="558"/>
      <c r="AF465" s="558"/>
      <c r="AG465" s="558"/>
      <c r="AH465" s="558" t="s">
        <v>4714</v>
      </c>
      <c r="AI465" s="558" t="s">
        <v>24820</v>
      </c>
      <c r="AJ465" s="601" t="str">
        <f t="shared" si="14"/>
        <v>332203</v>
      </c>
      <c r="AK465" s="601">
        <v>1</v>
      </c>
      <c r="AL465" s="601">
        <f t="shared" si="15"/>
        <v>1</v>
      </c>
      <c r="AM465" s="601">
        <v>1</v>
      </c>
      <c r="AN465" s="603" t="s">
        <v>17650</v>
      </c>
      <c r="AO465" s="603" t="s">
        <v>17651</v>
      </c>
      <c r="AP465" s="603" t="s">
        <v>17652</v>
      </c>
      <c r="AQ465" s="603" t="s">
        <v>17653</v>
      </c>
      <c r="AR465" s="603" t="s">
        <v>1024</v>
      </c>
      <c r="AS465" s="558">
        <v>1</v>
      </c>
    </row>
    <row r="466" spans="1:45" x14ac:dyDescent="0.2">
      <c r="A466" s="558" t="s">
        <v>24824</v>
      </c>
      <c r="B466" s="558" t="s">
        <v>24825</v>
      </c>
      <c r="C466" s="558" t="s">
        <v>85</v>
      </c>
      <c r="D466" s="558" t="s">
        <v>23256</v>
      </c>
      <c r="E466" s="558" t="s">
        <v>192</v>
      </c>
      <c r="F466" s="563">
        <v>1</v>
      </c>
      <c r="G466" s="558" t="s">
        <v>193</v>
      </c>
      <c r="H466" s="558" t="s">
        <v>194</v>
      </c>
      <c r="I466" s="558" t="s">
        <v>23164</v>
      </c>
      <c r="J466" s="558" t="s">
        <v>9302</v>
      </c>
      <c r="K466" s="558" t="s">
        <v>9309</v>
      </c>
      <c r="L466" s="558" t="s">
        <v>6955</v>
      </c>
      <c r="M466" s="558"/>
      <c r="N466" s="558" t="s">
        <v>24826</v>
      </c>
      <c r="O466" s="558" t="s">
        <v>8003</v>
      </c>
      <c r="P466" s="558" t="s">
        <v>24681</v>
      </c>
      <c r="Q466" s="558" t="s">
        <v>24618</v>
      </c>
      <c r="R466" s="558" t="s">
        <v>23158</v>
      </c>
      <c r="S466" s="558" t="s">
        <v>24827</v>
      </c>
      <c r="T466" s="558" t="s">
        <v>24828</v>
      </c>
      <c r="U466" s="558"/>
      <c r="V466" s="603"/>
      <c r="W466" s="558" t="s">
        <v>477</v>
      </c>
      <c r="X466" s="558" t="s">
        <v>193</v>
      </c>
      <c r="Y466" s="558" t="s">
        <v>9310</v>
      </c>
      <c r="Z466" s="558"/>
      <c r="AA466" s="558"/>
      <c r="AB466" s="558" t="s">
        <v>9311</v>
      </c>
      <c r="AC466" s="558"/>
      <c r="AD466" s="558"/>
      <c r="AE466" s="558"/>
      <c r="AF466" s="558"/>
      <c r="AG466" s="558"/>
      <c r="AH466" s="558" t="s">
        <v>4714</v>
      </c>
      <c r="AI466" s="558" t="s">
        <v>24825</v>
      </c>
      <c r="AJ466" s="601" t="str">
        <f t="shared" si="14"/>
        <v>243305</v>
      </c>
      <c r="AK466" s="601">
        <v>1</v>
      </c>
      <c r="AL466" s="601">
        <f t="shared" si="15"/>
        <v>1</v>
      </c>
      <c r="AM466" s="601">
        <v>1</v>
      </c>
      <c r="AN466" s="603" t="s">
        <v>17650</v>
      </c>
      <c r="AO466" s="603" t="s">
        <v>17651</v>
      </c>
      <c r="AP466" s="603" t="s">
        <v>17652</v>
      </c>
      <c r="AQ466" s="603" t="s">
        <v>17653</v>
      </c>
      <c r="AR466" s="603" t="s">
        <v>1024</v>
      </c>
      <c r="AS466" s="558">
        <v>1</v>
      </c>
    </row>
    <row r="467" spans="1:45" x14ac:dyDescent="0.2">
      <c r="A467" s="558" t="s">
        <v>24829</v>
      </c>
      <c r="B467" s="558" t="s">
        <v>632</v>
      </c>
      <c r="C467" s="558" t="s">
        <v>17</v>
      </c>
      <c r="D467" s="558" t="s">
        <v>23256</v>
      </c>
      <c r="E467" s="558" t="s">
        <v>192</v>
      </c>
      <c r="F467" s="563">
        <v>1</v>
      </c>
      <c r="G467" s="558" t="s">
        <v>193</v>
      </c>
      <c r="H467" s="558" t="s">
        <v>194</v>
      </c>
      <c r="I467" s="558" t="s">
        <v>23151</v>
      </c>
      <c r="J467" s="558" t="s">
        <v>9302</v>
      </c>
      <c r="K467" s="558" t="s">
        <v>9309</v>
      </c>
      <c r="L467" s="558" t="s">
        <v>6955</v>
      </c>
      <c r="M467" s="558"/>
      <c r="N467" s="558" t="s">
        <v>24830</v>
      </c>
      <c r="O467" s="558" t="s">
        <v>6245</v>
      </c>
      <c r="P467" s="558" t="s">
        <v>24542</v>
      </c>
      <c r="Q467" s="558" t="s">
        <v>24618</v>
      </c>
      <c r="R467" s="558" t="s">
        <v>23158</v>
      </c>
      <c r="S467" s="558" t="s">
        <v>24831</v>
      </c>
      <c r="T467" s="558" t="s">
        <v>24832</v>
      </c>
      <c r="U467" s="558"/>
      <c r="V467" s="603"/>
      <c r="W467" s="558" t="s">
        <v>624</v>
      </c>
      <c r="X467" s="558" t="s">
        <v>193</v>
      </c>
      <c r="Y467" s="558" t="s">
        <v>9310</v>
      </c>
      <c r="Z467" s="558"/>
      <c r="AA467" s="558"/>
      <c r="AB467" s="558" t="s">
        <v>9311</v>
      </c>
      <c r="AC467" s="558"/>
      <c r="AD467" s="558"/>
      <c r="AE467" s="558"/>
      <c r="AF467" s="558"/>
      <c r="AG467" s="558"/>
      <c r="AH467" s="558" t="s">
        <v>4714</v>
      </c>
      <c r="AI467" s="558" t="s">
        <v>17</v>
      </c>
      <c r="AJ467" s="601" t="str">
        <f t="shared" si="14"/>
        <v>332203</v>
      </c>
      <c r="AK467" s="601">
        <v>1</v>
      </c>
      <c r="AL467" s="601">
        <f t="shared" si="15"/>
        <v>1</v>
      </c>
      <c r="AM467" s="601">
        <v>1</v>
      </c>
      <c r="AN467" s="603" t="s">
        <v>17650</v>
      </c>
      <c r="AO467" s="603" t="s">
        <v>17651</v>
      </c>
      <c r="AP467" s="603" t="s">
        <v>17652</v>
      </c>
      <c r="AQ467" s="603" t="s">
        <v>17653</v>
      </c>
      <c r="AR467" s="603" t="s">
        <v>1024</v>
      </c>
      <c r="AS467" s="558">
        <v>1</v>
      </c>
    </row>
    <row r="468" spans="1:45" x14ac:dyDescent="0.2">
      <c r="A468" s="558" t="s">
        <v>24833</v>
      </c>
      <c r="B468" s="558" t="s">
        <v>24834</v>
      </c>
      <c r="C468" s="558" t="s">
        <v>5236</v>
      </c>
      <c r="D468" s="558" t="s">
        <v>23256</v>
      </c>
      <c r="E468" s="558" t="s">
        <v>192</v>
      </c>
      <c r="F468" s="563">
        <v>1</v>
      </c>
      <c r="G468" s="558" t="s">
        <v>193</v>
      </c>
      <c r="H468" s="558" t="s">
        <v>194</v>
      </c>
      <c r="I468" s="558" t="s">
        <v>24556</v>
      </c>
      <c r="J468" s="558" t="s">
        <v>9302</v>
      </c>
      <c r="K468" s="558" t="s">
        <v>9309</v>
      </c>
      <c r="L468" s="558" t="s">
        <v>6955</v>
      </c>
      <c r="M468" s="558"/>
      <c r="N468" s="558" t="s">
        <v>24835</v>
      </c>
      <c r="O468" s="558" t="s">
        <v>6258</v>
      </c>
      <c r="P468" s="558" t="s">
        <v>24681</v>
      </c>
      <c r="Q468" s="558" t="s">
        <v>24618</v>
      </c>
      <c r="R468" s="558" t="s">
        <v>23158</v>
      </c>
      <c r="S468" s="558" t="s">
        <v>24836</v>
      </c>
      <c r="T468" s="558" t="s">
        <v>24837</v>
      </c>
      <c r="U468" s="558"/>
      <c r="V468" s="603"/>
      <c r="W468" s="558" t="s">
        <v>5237</v>
      </c>
      <c r="X468" s="558" t="s">
        <v>193</v>
      </c>
      <c r="Y468" s="558" t="s">
        <v>9310</v>
      </c>
      <c r="Z468" s="558"/>
      <c r="AA468" s="558"/>
      <c r="AB468" s="558" t="s">
        <v>9311</v>
      </c>
      <c r="AC468" s="558"/>
      <c r="AD468" s="558"/>
      <c r="AE468" s="558"/>
      <c r="AF468" s="558"/>
      <c r="AG468" s="558"/>
      <c r="AH468" s="558" t="s">
        <v>4714</v>
      </c>
      <c r="AI468" s="558" t="s">
        <v>24834</v>
      </c>
      <c r="AJ468" s="601" t="str">
        <f t="shared" si="14"/>
        <v>712604</v>
      </c>
      <c r="AK468" s="601">
        <v>1</v>
      </c>
      <c r="AL468" s="601">
        <f t="shared" si="15"/>
        <v>1</v>
      </c>
      <c r="AM468" s="601">
        <v>1</v>
      </c>
      <c r="AN468" s="603" t="s">
        <v>17650</v>
      </c>
      <c r="AO468" s="603" t="s">
        <v>17651</v>
      </c>
      <c r="AP468" s="603" t="s">
        <v>17652</v>
      </c>
      <c r="AQ468" s="603" t="s">
        <v>17653</v>
      </c>
      <c r="AR468" s="603" t="s">
        <v>1024</v>
      </c>
      <c r="AS468" s="558">
        <v>1</v>
      </c>
    </row>
    <row r="469" spans="1:45" x14ac:dyDescent="0.2">
      <c r="A469" s="558" t="s">
        <v>24838</v>
      </c>
      <c r="B469" s="558" t="s">
        <v>24839</v>
      </c>
      <c r="C469" s="558" t="s">
        <v>24840</v>
      </c>
      <c r="D469" s="558" t="s">
        <v>23256</v>
      </c>
      <c r="E469" s="558" t="s">
        <v>192</v>
      </c>
      <c r="F469" s="563">
        <v>1</v>
      </c>
      <c r="G469" s="558" t="s">
        <v>193</v>
      </c>
      <c r="H469" s="558" t="s">
        <v>194</v>
      </c>
      <c r="I469" s="558" t="s">
        <v>24556</v>
      </c>
      <c r="J469" s="558" t="s">
        <v>9302</v>
      </c>
      <c r="K469" s="558" t="s">
        <v>9309</v>
      </c>
      <c r="L469" s="558" t="s">
        <v>6955</v>
      </c>
      <c r="M469" s="558"/>
      <c r="N469" s="558" t="s">
        <v>24841</v>
      </c>
      <c r="O469" s="558" t="s">
        <v>6295</v>
      </c>
      <c r="P469" s="558" t="s">
        <v>24681</v>
      </c>
      <c r="Q469" s="558" t="s">
        <v>24618</v>
      </c>
      <c r="R469" s="558" t="s">
        <v>23158</v>
      </c>
      <c r="S469" s="558" t="s">
        <v>24842</v>
      </c>
      <c r="T469" s="558" t="s">
        <v>24843</v>
      </c>
      <c r="U469" s="558"/>
      <c r="V469" s="603"/>
      <c r="W469" s="558" t="s">
        <v>24844</v>
      </c>
      <c r="X469" s="558" t="s">
        <v>193</v>
      </c>
      <c r="Y469" s="558" t="s">
        <v>9310</v>
      </c>
      <c r="Z469" s="558"/>
      <c r="AA469" s="558"/>
      <c r="AB469" s="558" t="s">
        <v>9311</v>
      </c>
      <c r="AC469" s="558"/>
      <c r="AD469" s="558"/>
      <c r="AE469" s="558"/>
      <c r="AF469" s="558"/>
      <c r="AG469" s="558"/>
      <c r="AH469" s="558" t="s">
        <v>4714</v>
      </c>
      <c r="AI469" s="558" t="s">
        <v>24839</v>
      </c>
      <c r="AJ469" s="601" t="str">
        <f t="shared" si="14"/>
        <v>314412</v>
      </c>
      <c r="AK469" s="601">
        <v>1</v>
      </c>
      <c r="AL469" s="601">
        <f t="shared" si="15"/>
        <v>1</v>
      </c>
      <c r="AM469" s="601">
        <v>1</v>
      </c>
      <c r="AN469" s="603" t="s">
        <v>17650</v>
      </c>
      <c r="AO469" s="603" t="s">
        <v>17651</v>
      </c>
      <c r="AP469" s="603" t="s">
        <v>17652</v>
      </c>
      <c r="AQ469" s="603" t="s">
        <v>17653</v>
      </c>
      <c r="AR469" s="603" t="s">
        <v>1024</v>
      </c>
      <c r="AS469" s="558">
        <v>1</v>
      </c>
    </row>
    <row r="470" spans="1:45" x14ac:dyDescent="0.2">
      <c r="A470" s="558" t="s">
        <v>1523</v>
      </c>
      <c r="B470" s="558" t="s">
        <v>24845</v>
      </c>
      <c r="C470" s="558" t="s">
        <v>480</v>
      </c>
      <c r="D470" s="558" t="s">
        <v>23256</v>
      </c>
      <c r="E470" s="558" t="s">
        <v>192</v>
      </c>
      <c r="F470" s="563">
        <v>1</v>
      </c>
      <c r="G470" s="558" t="s">
        <v>193</v>
      </c>
      <c r="H470" s="558" t="s">
        <v>194</v>
      </c>
      <c r="I470" s="558" t="s">
        <v>24556</v>
      </c>
      <c r="J470" s="558" t="s">
        <v>9302</v>
      </c>
      <c r="K470" s="558" t="s">
        <v>9309</v>
      </c>
      <c r="L470" s="558" t="s">
        <v>6955</v>
      </c>
      <c r="M470" s="558"/>
      <c r="N470" s="558" t="s">
        <v>24846</v>
      </c>
      <c r="O470" s="558" t="s">
        <v>6261</v>
      </c>
      <c r="P470" s="558" t="s">
        <v>24681</v>
      </c>
      <c r="Q470" s="558" t="s">
        <v>24618</v>
      </c>
      <c r="R470" s="558" t="s">
        <v>23158</v>
      </c>
      <c r="S470" s="558" t="s">
        <v>24847</v>
      </c>
      <c r="T470" s="558" t="s">
        <v>24848</v>
      </c>
      <c r="U470" s="558"/>
      <c r="V470" s="603"/>
      <c r="W470" s="558" t="s">
        <v>481</v>
      </c>
      <c r="X470" s="558" t="s">
        <v>193</v>
      </c>
      <c r="Y470" s="558" t="s">
        <v>9310</v>
      </c>
      <c r="Z470" s="558"/>
      <c r="AA470" s="558"/>
      <c r="AB470" s="558" t="s">
        <v>9311</v>
      </c>
      <c r="AC470" s="558"/>
      <c r="AD470" s="558"/>
      <c r="AE470" s="558"/>
      <c r="AF470" s="558"/>
      <c r="AG470" s="558"/>
      <c r="AH470" s="558" t="s">
        <v>4714</v>
      </c>
      <c r="AI470" s="558" t="s">
        <v>24845</v>
      </c>
      <c r="AJ470" s="601" t="str">
        <f t="shared" si="14"/>
        <v>251201</v>
      </c>
      <c r="AK470" s="601">
        <v>1</v>
      </c>
      <c r="AL470" s="601">
        <f t="shared" si="15"/>
        <v>1</v>
      </c>
      <c r="AM470" s="601">
        <v>1</v>
      </c>
      <c r="AN470" s="603" t="s">
        <v>17650</v>
      </c>
      <c r="AO470" s="603" t="s">
        <v>17651</v>
      </c>
      <c r="AP470" s="603" t="s">
        <v>17652</v>
      </c>
      <c r="AQ470" s="603" t="s">
        <v>17653</v>
      </c>
      <c r="AR470" s="603" t="s">
        <v>1024</v>
      </c>
      <c r="AS470" s="558">
        <v>1</v>
      </c>
    </row>
    <row r="471" spans="1:45" x14ac:dyDescent="0.2">
      <c r="A471" s="558" t="s">
        <v>15448</v>
      </c>
      <c r="B471" s="558" t="s">
        <v>24849</v>
      </c>
      <c r="C471" s="558" t="s">
        <v>99</v>
      </c>
      <c r="D471" s="558" t="s">
        <v>23256</v>
      </c>
      <c r="E471" s="558" t="s">
        <v>192</v>
      </c>
      <c r="F471" s="563">
        <v>1</v>
      </c>
      <c r="G471" s="558" t="s">
        <v>193</v>
      </c>
      <c r="H471" s="558" t="s">
        <v>194</v>
      </c>
      <c r="I471" s="558" t="s">
        <v>24556</v>
      </c>
      <c r="J471" s="558" t="s">
        <v>575</v>
      </c>
      <c r="K471" s="558" t="s">
        <v>9309</v>
      </c>
      <c r="L471" s="558" t="s">
        <v>6955</v>
      </c>
      <c r="M471" s="558"/>
      <c r="N471" s="558" t="s">
        <v>24850</v>
      </c>
      <c r="O471" s="558" t="s">
        <v>6286</v>
      </c>
      <c r="P471" s="558" t="s">
        <v>24681</v>
      </c>
      <c r="Q471" s="558" t="s">
        <v>24618</v>
      </c>
      <c r="R471" s="558" t="s">
        <v>23158</v>
      </c>
      <c r="S471" s="558" t="s">
        <v>24851</v>
      </c>
      <c r="T471" s="558" t="s">
        <v>24852</v>
      </c>
      <c r="U471" s="558"/>
      <c r="V471" s="558" t="s">
        <v>9726</v>
      </c>
      <c r="W471" s="558" t="s">
        <v>2421</v>
      </c>
      <c r="X471" s="558" t="s">
        <v>194</v>
      </c>
      <c r="Y471" s="558" t="s">
        <v>9300</v>
      </c>
      <c r="Z471" s="558"/>
      <c r="AA471" s="558"/>
      <c r="AB471" s="558" t="s">
        <v>9311</v>
      </c>
      <c r="AC471" s="558"/>
      <c r="AD471" s="558"/>
      <c r="AE471" s="558"/>
      <c r="AF471" s="558"/>
      <c r="AG471" s="558"/>
      <c r="AH471" s="558" t="s">
        <v>4714</v>
      </c>
      <c r="AI471" s="558" t="s">
        <v>24849</v>
      </c>
      <c r="AJ471" s="601" t="str">
        <f t="shared" si="14"/>
        <v>412001</v>
      </c>
      <c r="AK471" s="601">
        <v>1</v>
      </c>
      <c r="AL471" s="601">
        <f t="shared" si="15"/>
        <v>1</v>
      </c>
      <c r="AM471" s="601">
        <v>1</v>
      </c>
      <c r="AN471" s="603" t="s">
        <v>17650</v>
      </c>
      <c r="AO471" s="603" t="s">
        <v>17651</v>
      </c>
      <c r="AP471" s="603" t="s">
        <v>17652</v>
      </c>
      <c r="AQ471" s="603" t="s">
        <v>17653</v>
      </c>
      <c r="AR471" s="603" t="s">
        <v>1024</v>
      </c>
      <c r="AS471" s="558">
        <v>1</v>
      </c>
    </row>
    <row r="472" spans="1:45" x14ac:dyDescent="0.2">
      <c r="A472" s="558" t="s">
        <v>24853</v>
      </c>
      <c r="B472" s="558" t="s">
        <v>24854</v>
      </c>
      <c r="C472" s="558" t="s">
        <v>1492</v>
      </c>
      <c r="D472" s="558" t="s">
        <v>23256</v>
      </c>
      <c r="E472" s="558" t="s">
        <v>192</v>
      </c>
      <c r="F472" s="563">
        <v>1</v>
      </c>
      <c r="G472" s="558" t="s">
        <v>193</v>
      </c>
      <c r="H472" s="558" t="s">
        <v>194</v>
      </c>
      <c r="I472" s="558" t="s">
        <v>23499</v>
      </c>
      <c r="J472" s="558" t="s">
        <v>9302</v>
      </c>
      <c r="K472" s="558" t="s">
        <v>9309</v>
      </c>
      <c r="L472" s="558" t="s">
        <v>6955</v>
      </c>
      <c r="M472" s="558"/>
      <c r="N472" s="558" t="s">
        <v>24855</v>
      </c>
      <c r="O472" s="558" t="s">
        <v>7489</v>
      </c>
      <c r="P472" s="558" t="s">
        <v>24681</v>
      </c>
      <c r="Q472" s="558" t="s">
        <v>24618</v>
      </c>
      <c r="R472" s="558" t="s">
        <v>23158</v>
      </c>
      <c r="S472" s="558" t="s">
        <v>24856</v>
      </c>
      <c r="T472" s="558" t="s">
        <v>24857</v>
      </c>
      <c r="U472" s="558"/>
      <c r="V472" s="603"/>
      <c r="W472" s="558" t="s">
        <v>1493</v>
      </c>
      <c r="X472" s="558" t="s">
        <v>193</v>
      </c>
      <c r="Y472" s="558" t="s">
        <v>9310</v>
      </c>
      <c r="Z472" s="558"/>
      <c r="AA472" s="558"/>
      <c r="AB472" s="558" t="s">
        <v>9311</v>
      </c>
      <c r="AC472" s="558"/>
      <c r="AD472" s="558"/>
      <c r="AE472" s="558"/>
      <c r="AF472" s="558"/>
      <c r="AG472" s="558"/>
      <c r="AH472" s="558" t="s">
        <v>4714</v>
      </c>
      <c r="AI472" s="558" t="s">
        <v>24854</v>
      </c>
      <c r="AJ472" s="601" t="str">
        <f t="shared" si="14"/>
        <v>214104</v>
      </c>
      <c r="AK472" s="601">
        <v>1</v>
      </c>
      <c r="AL472" s="601">
        <f t="shared" si="15"/>
        <v>1</v>
      </c>
      <c r="AM472" s="601">
        <v>1</v>
      </c>
      <c r="AN472" s="603" t="s">
        <v>17650</v>
      </c>
      <c r="AO472" s="603" t="s">
        <v>17651</v>
      </c>
      <c r="AP472" s="603" t="s">
        <v>17652</v>
      </c>
      <c r="AQ472" s="603" t="s">
        <v>17653</v>
      </c>
      <c r="AR472" s="603" t="s">
        <v>1024</v>
      </c>
      <c r="AS472" s="558">
        <v>1</v>
      </c>
    </row>
    <row r="473" spans="1:45" x14ac:dyDescent="0.2">
      <c r="A473" s="558" t="s">
        <v>24858</v>
      </c>
      <c r="B473" s="558" t="s">
        <v>24859</v>
      </c>
      <c r="C473" s="558" t="s">
        <v>113</v>
      </c>
      <c r="D473" s="558" t="s">
        <v>23256</v>
      </c>
      <c r="E473" s="558" t="s">
        <v>192</v>
      </c>
      <c r="F473" s="563">
        <v>1</v>
      </c>
      <c r="G473" s="558" t="s">
        <v>193</v>
      </c>
      <c r="H473" s="558" t="s">
        <v>194</v>
      </c>
      <c r="I473" s="558" t="s">
        <v>24556</v>
      </c>
      <c r="J473" s="558" t="s">
        <v>210</v>
      </c>
      <c r="K473" s="558" t="s">
        <v>9309</v>
      </c>
      <c r="L473" s="558" t="s">
        <v>6955</v>
      </c>
      <c r="M473" s="558"/>
      <c r="N473" s="558" t="s">
        <v>24860</v>
      </c>
      <c r="O473" s="558" t="s">
        <v>6921</v>
      </c>
      <c r="P473" s="558" t="s">
        <v>24681</v>
      </c>
      <c r="Q473" s="558" t="s">
        <v>24618</v>
      </c>
      <c r="R473" s="558" t="s">
        <v>23158</v>
      </c>
      <c r="S473" s="558" t="s">
        <v>24861</v>
      </c>
      <c r="T473" s="558" t="s">
        <v>24862</v>
      </c>
      <c r="U473" s="558"/>
      <c r="V473" s="558" t="s">
        <v>9334</v>
      </c>
      <c r="W473" s="558" t="s">
        <v>465</v>
      </c>
      <c r="X473" s="558" t="s">
        <v>194</v>
      </c>
      <c r="Y473" s="558" t="s">
        <v>9300</v>
      </c>
      <c r="Z473" s="558"/>
      <c r="AA473" s="558"/>
      <c r="AB473" s="558" t="s">
        <v>9311</v>
      </c>
      <c r="AC473" s="558"/>
      <c r="AD473" s="558"/>
      <c r="AE473" s="558"/>
      <c r="AF473" s="558"/>
      <c r="AG473" s="558"/>
      <c r="AH473" s="558" t="s">
        <v>4714</v>
      </c>
      <c r="AI473" s="558" t="s">
        <v>24859</v>
      </c>
      <c r="AJ473" s="601" t="str">
        <f t="shared" si="14"/>
        <v>243302</v>
      </c>
      <c r="AK473" s="601">
        <v>1</v>
      </c>
      <c r="AL473" s="601">
        <f t="shared" si="15"/>
        <v>1</v>
      </c>
      <c r="AM473" s="601">
        <v>1</v>
      </c>
      <c r="AN473" s="603" t="s">
        <v>17650</v>
      </c>
      <c r="AO473" s="603" t="s">
        <v>17651</v>
      </c>
      <c r="AP473" s="603" t="s">
        <v>17652</v>
      </c>
      <c r="AQ473" s="603" t="s">
        <v>17653</v>
      </c>
      <c r="AR473" s="603" t="s">
        <v>1024</v>
      </c>
      <c r="AS473" s="558">
        <v>1</v>
      </c>
    </row>
    <row r="474" spans="1:45" x14ac:dyDescent="0.2">
      <c r="A474" s="558" t="s">
        <v>10606</v>
      </c>
      <c r="B474" s="558" t="s">
        <v>24863</v>
      </c>
      <c r="C474" s="558" t="s">
        <v>4571</v>
      </c>
      <c r="D474" s="558" t="s">
        <v>23256</v>
      </c>
      <c r="E474" s="558" t="s">
        <v>192</v>
      </c>
      <c r="F474" s="563">
        <v>1</v>
      </c>
      <c r="G474" s="558" t="s">
        <v>193</v>
      </c>
      <c r="H474" s="558" t="s">
        <v>194</v>
      </c>
      <c r="I474" s="558" t="s">
        <v>23186</v>
      </c>
      <c r="J474" s="558" t="s">
        <v>210</v>
      </c>
      <c r="K474" s="558" t="s">
        <v>9309</v>
      </c>
      <c r="L474" s="558" t="s">
        <v>6955</v>
      </c>
      <c r="M474" s="558"/>
      <c r="N474" s="558" t="s">
        <v>24864</v>
      </c>
      <c r="O474" s="558" t="s">
        <v>6245</v>
      </c>
      <c r="P474" s="558" t="s">
        <v>24681</v>
      </c>
      <c r="Q474" s="558" t="s">
        <v>24618</v>
      </c>
      <c r="R474" s="558" t="s">
        <v>23158</v>
      </c>
      <c r="S474" s="558" t="s">
        <v>24865</v>
      </c>
      <c r="T474" s="558" t="s">
        <v>24866</v>
      </c>
      <c r="U474" s="558"/>
      <c r="V474" s="558" t="s">
        <v>9334</v>
      </c>
      <c r="W474" s="558" t="s">
        <v>4572</v>
      </c>
      <c r="X474" s="558" t="s">
        <v>194</v>
      </c>
      <c r="Y474" s="558" t="s">
        <v>9300</v>
      </c>
      <c r="Z474" s="558"/>
      <c r="AA474" s="558"/>
      <c r="AB474" s="558" t="s">
        <v>9311</v>
      </c>
      <c r="AC474" s="558"/>
      <c r="AD474" s="558"/>
      <c r="AE474" s="558"/>
      <c r="AF474" s="558"/>
      <c r="AG474" s="558"/>
      <c r="AH474" s="558" t="s">
        <v>5109</v>
      </c>
      <c r="AI474" s="558" t="s">
        <v>24863</v>
      </c>
      <c r="AJ474" s="601" t="str">
        <f t="shared" si="14"/>
        <v>214922</v>
      </c>
      <c r="AK474" s="601">
        <v>1</v>
      </c>
      <c r="AL474" s="601">
        <f t="shared" si="15"/>
        <v>1</v>
      </c>
      <c r="AM474" s="601">
        <v>1</v>
      </c>
      <c r="AN474" s="603" t="s">
        <v>17650</v>
      </c>
      <c r="AO474" s="603" t="s">
        <v>17651</v>
      </c>
      <c r="AP474" s="603" t="s">
        <v>17652</v>
      </c>
      <c r="AQ474" s="603" t="s">
        <v>17653</v>
      </c>
      <c r="AR474" s="603" t="s">
        <v>1024</v>
      </c>
      <c r="AS474" s="558">
        <v>1</v>
      </c>
    </row>
    <row r="475" spans="1:45" x14ac:dyDescent="0.2">
      <c r="A475" s="558" t="s">
        <v>24867</v>
      </c>
      <c r="B475" s="558" t="s">
        <v>24868</v>
      </c>
      <c r="C475" s="558" t="s">
        <v>156</v>
      </c>
      <c r="D475" s="558" t="s">
        <v>23256</v>
      </c>
      <c r="E475" s="558" t="s">
        <v>192</v>
      </c>
      <c r="F475" s="563">
        <v>1</v>
      </c>
      <c r="G475" s="558" t="s">
        <v>193</v>
      </c>
      <c r="H475" s="558" t="s">
        <v>194</v>
      </c>
      <c r="I475" s="558" t="s">
        <v>23151</v>
      </c>
      <c r="J475" s="558" t="s">
        <v>13001</v>
      </c>
      <c r="K475" s="558" t="s">
        <v>9309</v>
      </c>
      <c r="L475" s="558" t="s">
        <v>6955</v>
      </c>
      <c r="M475" s="558"/>
      <c r="N475" s="558" t="s">
        <v>24869</v>
      </c>
      <c r="O475" s="558" t="s">
        <v>6286</v>
      </c>
      <c r="P475" s="558" t="s">
        <v>24681</v>
      </c>
      <c r="Q475" s="558" t="s">
        <v>24618</v>
      </c>
      <c r="R475" s="558" t="s">
        <v>23158</v>
      </c>
      <c r="S475" s="558" t="s">
        <v>24870</v>
      </c>
      <c r="T475" s="558" t="s">
        <v>24871</v>
      </c>
      <c r="U475" s="558"/>
      <c r="V475" s="558" t="s">
        <v>9367</v>
      </c>
      <c r="W475" s="558" t="s">
        <v>659</v>
      </c>
      <c r="X475" s="558" t="s">
        <v>194</v>
      </c>
      <c r="Y475" s="558" t="s">
        <v>9300</v>
      </c>
      <c r="Z475" s="558"/>
      <c r="AA475" s="558"/>
      <c r="AB475" s="558" t="s">
        <v>9311</v>
      </c>
      <c r="AC475" s="558"/>
      <c r="AD475" s="558"/>
      <c r="AE475" s="558"/>
      <c r="AF475" s="558"/>
      <c r="AG475" s="558"/>
      <c r="AH475" s="558" t="s">
        <v>4714</v>
      </c>
      <c r="AI475" s="558" t="s">
        <v>24868</v>
      </c>
      <c r="AJ475" s="601" t="str">
        <f t="shared" si="14"/>
        <v>332302</v>
      </c>
      <c r="AK475" s="601">
        <v>1</v>
      </c>
      <c r="AL475" s="601">
        <f t="shared" si="15"/>
        <v>1</v>
      </c>
      <c r="AM475" s="601">
        <v>1</v>
      </c>
      <c r="AN475" s="603" t="s">
        <v>17650</v>
      </c>
      <c r="AO475" s="603" t="s">
        <v>17651</v>
      </c>
      <c r="AP475" s="603" t="s">
        <v>17652</v>
      </c>
      <c r="AQ475" s="603" t="s">
        <v>17653</v>
      </c>
      <c r="AR475" s="603" t="s">
        <v>1024</v>
      </c>
      <c r="AS475" s="558">
        <v>1</v>
      </c>
    </row>
    <row r="476" spans="1:45" x14ac:dyDescent="0.2">
      <c r="A476" s="558" t="s">
        <v>10076</v>
      </c>
      <c r="B476" s="558" t="s">
        <v>24872</v>
      </c>
      <c r="C476" s="558" t="s">
        <v>163</v>
      </c>
      <c r="D476" s="558" t="s">
        <v>23256</v>
      </c>
      <c r="E476" s="558" t="s">
        <v>192</v>
      </c>
      <c r="F476" s="563">
        <v>1</v>
      </c>
      <c r="G476" s="558" t="s">
        <v>193</v>
      </c>
      <c r="H476" s="558" t="s">
        <v>194</v>
      </c>
      <c r="I476" s="558" t="s">
        <v>24556</v>
      </c>
      <c r="J476" s="558" t="s">
        <v>9302</v>
      </c>
      <c r="K476" s="558" t="s">
        <v>9309</v>
      </c>
      <c r="L476" s="558" t="s">
        <v>6955</v>
      </c>
      <c r="M476" s="558"/>
      <c r="N476" s="558" t="s">
        <v>24873</v>
      </c>
      <c r="O476" s="558" t="s">
        <v>6921</v>
      </c>
      <c r="P476" s="558" t="s">
        <v>24681</v>
      </c>
      <c r="Q476" s="558" t="s">
        <v>24618</v>
      </c>
      <c r="R476" s="558" t="s">
        <v>23158</v>
      </c>
      <c r="S476" s="558" t="s">
        <v>24874</v>
      </c>
      <c r="T476" s="558" t="s">
        <v>24875</v>
      </c>
      <c r="U476" s="558"/>
      <c r="V476" s="603"/>
      <c r="W476" s="558" t="s">
        <v>697</v>
      </c>
      <c r="X476" s="558" t="s">
        <v>193</v>
      </c>
      <c r="Y476" s="558" t="s">
        <v>9310</v>
      </c>
      <c r="Z476" s="558"/>
      <c r="AA476" s="558"/>
      <c r="AB476" s="558" t="s">
        <v>9311</v>
      </c>
      <c r="AC476" s="558"/>
      <c r="AD476" s="558"/>
      <c r="AE476" s="558"/>
      <c r="AF476" s="558"/>
      <c r="AG476" s="558"/>
      <c r="AH476" s="558" t="s">
        <v>4714</v>
      </c>
      <c r="AI476" s="558" t="s">
        <v>24872</v>
      </c>
      <c r="AJ476" s="601" t="str">
        <f t="shared" si="14"/>
        <v>351203</v>
      </c>
      <c r="AK476" s="601">
        <v>1</v>
      </c>
      <c r="AL476" s="601">
        <f t="shared" si="15"/>
        <v>1</v>
      </c>
      <c r="AM476" s="601">
        <v>1</v>
      </c>
      <c r="AN476" s="603" t="s">
        <v>17650</v>
      </c>
      <c r="AO476" s="603" t="s">
        <v>17651</v>
      </c>
      <c r="AP476" s="603" t="s">
        <v>17652</v>
      </c>
      <c r="AQ476" s="603" t="s">
        <v>17653</v>
      </c>
      <c r="AR476" s="603" t="s">
        <v>1024</v>
      </c>
      <c r="AS476" s="558">
        <v>1</v>
      </c>
    </row>
    <row r="477" spans="1:45" x14ac:dyDescent="0.2">
      <c r="A477" s="558" t="s">
        <v>11871</v>
      </c>
      <c r="B477" s="558" t="s">
        <v>21521</v>
      </c>
      <c r="C477" s="558" t="s">
        <v>1276</v>
      </c>
      <c r="D477" s="558" t="s">
        <v>23256</v>
      </c>
      <c r="E477" s="558" t="s">
        <v>192</v>
      </c>
      <c r="F477" s="563">
        <v>1</v>
      </c>
      <c r="G477" s="558" t="s">
        <v>193</v>
      </c>
      <c r="H477" s="558" t="s">
        <v>194</v>
      </c>
      <c r="I477" s="558" t="s">
        <v>24556</v>
      </c>
      <c r="J477" s="558" t="s">
        <v>672</v>
      </c>
      <c r="K477" s="558" t="s">
        <v>9309</v>
      </c>
      <c r="L477" s="558" t="s">
        <v>6955</v>
      </c>
      <c r="M477" s="558"/>
      <c r="N477" s="558" t="s">
        <v>24876</v>
      </c>
      <c r="O477" s="558" t="s">
        <v>6258</v>
      </c>
      <c r="P477" s="558" t="s">
        <v>24681</v>
      </c>
      <c r="Q477" s="558" t="s">
        <v>24618</v>
      </c>
      <c r="R477" s="558" t="s">
        <v>23158</v>
      </c>
      <c r="S477" s="558" t="s">
        <v>24877</v>
      </c>
      <c r="T477" s="558" t="s">
        <v>24878</v>
      </c>
      <c r="U477" s="558"/>
      <c r="V477" s="558" t="s">
        <v>9726</v>
      </c>
      <c r="W477" s="558" t="s">
        <v>1277</v>
      </c>
      <c r="X477" s="558" t="s">
        <v>194</v>
      </c>
      <c r="Y477" s="558" t="s">
        <v>9300</v>
      </c>
      <c r="Z477" s="558"/>
      <c r="AA477" s="558"/>
      <c r="AB477" s="558" t="s">
        <v>9311</v>
      </c>
      <c r="AC477" s="558"/>
      <c r="AD477" s="558"/>
      <c r="AE477" s="558"/>
      <c r="AF477" s="558"/>
      <c r="AG477" s="558"/>
      <c r="AH477" s="558" t="s">
        <v>4714</v>
      </c>
      <c r="AI477" s="558" t="s">
        <v>21521</v>
      </c>
      <c r="AJ477" s="601" t="str">
        <f t="shared" si="14"/>
        <v>315317</v>
      </c>
      <c r="AK477" s="601">
        <v>1</v>
      </c>
      <c r="AL477" s="601">
        <f t="shared" si="15"/>
        <v>1</v>
      </c>
      <c r="AM477" s="601">
        <v>1</v>
      </c>
      <c r="AN477" s="603" t="s">
        <v>17650</v>
      </c>
      <c r="AO477" s="603" t="s">
        <v>17651</v>
      </c>
      <c r="AP477" s="603" t="s">
        <v>17652</v>
      </c>
      <c r="AQ477" s="603" t="s">
        <v>17653</v>
      </c>
      <c r="AR477" s="603" t="s">
        <v>1024</v>
      </c>
      <c r="AS477" s="558">
        <v>1</v>
      </c>
    </row>
    <row r="478" spans="1:45" x14ac:dyDescent="0.2">
      <c r="A478" s="558" t="s">
        <v>24879</v>
      </c>
      <c r="B478" s="558" t="s">
        <v>24880</v>
      </c>
      <c r="C478" s="558" t="s">
        <v>341</v>
      </c>
      <c r="D478" s="558" t="s">
        <v>23256</v>
      </c>
      <c r="E478" s="558" t="s">
        <v>192</v>
      </c>
      <c r="F478" s="563">
        <v>1</v>
      </c>
      <c r="G478" s="558" t="s">
        <v>193</v>
      </c>
      <c r="H478" s="558" t="s">
        <v>194</v>
      </c>
      <c r="I478" s="558" t="s">
        <v>23307</v>
      </c>
      <c r="J478" s="558" t="s">
        <v>9302</v>
      </c>
      <c r="K478" s="558" t="s">
        <v>9309</v>
      </c>
      <c r="L478" s="558" t="s">
        <v>6955</v>
      </c>
      <c r="M478" s="558"/>
      <c r="N478" s="558" t="s">
        <v>24881</v>
      </c>
      <c r="O478" s="558" t="s">
        <v>6374</v>
      </c>
      <c r="P478" s="558" t="s">
        <v>24681</v>
      </c>
      <c r="Q478" s="558" t="s">
        <v>24618</v>
      </c>
      <c r="R478" s="558" t="s">
        <v>23158</v>
      </c>
      <c r="S478" s="558" t="s">
        <v>24882</v>
      </c>
      <c r="T478" s="558" t="s">
        <v>24883</v>
      </c>
      <c r="U478" s="558"/>
      <c r="V478" s="603"/>
      <c r="W478" s="558" t="s">
        <v>342</v>
      </c>
      <c r="X478" s="558" t="s">
        <v>193</v>
      </c>
      <c r="Y478" s="558" t="s">
        <v>9310</v>
      </c>
      <c r="Z478" s="558"/>
      <c r="AA478" s="558"/>
      <c r="AB478" s="558" t="s">
        <v>9311</v>
      </c>
      <c r="AC478" s="558"/>
      <c r="AD478" s="558"/>
      <c r="AE478" s="558"/>
      <c r="AF478" s="558"/>
      <c r="AG478" s="558"/>
      <c r="AH478" s="558" t="s">
        <v>4714</v>
      </c>
      <c r="AI478" s="558" t="s">
        <v>24880</v>
      </c>
      <c r="AJ478" s="601" t="str">
        <f t="shared" si="14"/>
        <v>214906</v>
      </c>
      <c r="AK478" s="601">
        <v>1</v>
      </c>
      <c r="AL478" s="601">
        <f t="shared" si="15"/>
        <v>1</v>
      </c>
      <c r="AM478" s="601">
        <v>1</v>
      </c>
      <c r="AN478" s="603" t="s">
        <v>17650</v>
      </c>
      <c r="AO478" s="603" t="s">
        <v>17651</v>
      </c>
      <c r="AP478" s="603" t="s">
        <v>17652</v>
      </c>
      <c r="AQ478" s="603" t="s">
        <v>17653</v>
      </c>
      <c r="AR478" s="603" t="s">
        <v>1024</v>
      </c>
      <c r="AS478" s="558">
        <v>1</v>
      </c>
    </row>
    <row r="479" spans="1:45" x14ac:dyDescent="0.2">
      <c r="A479" s="558" t="s">
        <v>10644</v>
      </c>
      <c r="B479" s="558" t="s">
        <v>6074</v>
      </c>
      <c r="C479" s="558" t="s">
        <v>20</v>
      </c>
      <c r="D479" s="558" t="s">
        <v>23256</v>
      </c>
      <c r="E479" s="558" t="s">
        <v>192</v>
      </c>
      <c r="F479" s="563">
        <v>1</v>
      </c>
      <c r="G479" s="558" t="s">
        <v>193</v>
      </c>
      <c r="H479" s="558" t="s">
        <v>194</v>
      </c>
      <c r="I479" s="558" t="s">
        <v>23186</v>
      </c>
      <c r="J479" s="558" t="s">
        <v>575</v>
      </c>
      <c r="K479" s="558" t="s">
        <v>9309</v>
      </c>
      <c r="L479" s="558" t="s">
        <v>6955</v>
      </c>
      <c r="M479" s="558"/>
      <c r="N479" s="558" t="s">
        <v>24884</v>
      </c>
      <c r="O479" s="558" t="s">
        <v>6279</v>
      </c>
      <c r="P479" s="558" t="s">
        <v>24681</v>
      </c>
      <c r="Q479" s="558" t="s">
        <v>24618</v>
      </c>
      <c r="R479" s="558" t="s">
        <v>23158</v>
      </c>
      <c r="S479" s="558" t="s">
        <v>24885</v>
      </c>
      <c r="T479" s="558" t="s">
        <v>24886</v>
      </c>
      <c r="U479" s="558"/>
      <c r="V479" s="558" t="s">
        <v>9726</v>
      </c>
      <c r="W479" s="558" t="s">
        <v>286</v>
      </c>
      <c r="X479" s="558" t="s">
        <v>194</v>
      </c>
      <c r="Y479" s="558" t="s">
        <v>9300</v>
      </c>
      <c r="Z479" s="558"/>
      <c r="AA479" s="558"/>
      <c r="AB479" s="558" t="s">
        <v>9311</v>
      </c>
      <c r="AC479" s="558"/>
      <c r="AD479" s="558"/>
      <c r="AE479" s="558"/>
      <c r="AF479" s="558"/>
      <c r="AG479" s="558"/>
      <c r="AH479" s="558" t="s">
        <v>4714</v>
      </c>
      <c r="AI479" s="558" t="s">
        <v>6074</v>
      </c>
      <c r="AJ479" s="601" t="str">
        <f t="shared" si="14"/>
        <v>214109</v>
      </c>
      <c r="AK479" s="601">
        <v>1</v>
      </c>
      <c r="AL479" s="601">
        <f t="shared" si="15"/>
        <v>1</v>
      </c>
      <c r="AM479" s="601">
        <v>1</v>
      </c>
      <c r="AN479" s="603" t="s">
        <v>17650</v>
      </c>
      <c r="AO479" s="603" t="s">
        <v>17651</v>
      </c>
      <c r="AP479" s="603" t="s">
        <v>17652</v>
      </c>
      <c r="AQ479" s="603" t="s">
        <v>17653</v>
      </c>
      <c r="AR479" s="603" t="s">
        <v>1024</v>
      </c>
      <c r="AS479" s="558">
        <v>1</v>
      </c>
    </row>
    <row r="480" spans="1:45" x14ac:dyDescent="0.2">
      <c r="A480" s="558" t="s">
        <v>24887</v>
      </c>
      <c r="B480" s="558" t="s">
        <v>24888</v>
      </c>
      <c r="C480" s="558" t="s">
        <v>24889</v>
      </c>
      <c r="D480" s="558" t="s">
        <v>23256</v>
      </c>
      <c r="E480" s="558" t="s">
        <v>192</v>
      </c>
      <c r="F480" s="563">
        <v>1</v>
      </c>
      <c r="G480" s="558" t="s">
        <v>193</v>
      </c>
      <c r="H480" s="558" t="s">
        <v>194</v>
      </c>
      <c r="I480" s="558" t="s">
        <v>23158</v>
      </c>
      <c r="J480" s="558" t="s">
        <v>316</v>
      </c>
      <c r="K480" s="558" t="s">
        <v>9309</v>
      </c>
      <c r="L480" s="558" t="s">
        <v>6955</v>
      </c>
      <c r="M480" s="558"/>
      <c r="N480" s="558" t="s">
        <v>24890</v>
      </c>
      <c r="O480" s="558" t="s">
        <v>6363</v>
      </c>
      <c r="P480" s="558" t="s">
        <v>24681</v>
      </c>
      <c r="Q480" s="558" t="s">
        <v>24618</v>
      </c>
      <c r="R480" s="558" t="s">
        <v>23158</v>
      </c>
      <c r="S480" s="558" t="s">
        <v>24891</v>
      </c>
      <c r="T480" s="558" t="s">
        <v>24892</v>
      </c>
      <c r="U480" s="558"/>
      <c r="V480" s="558" t="s">
        <v>10012</v>
      </c>
      <c r="W480" s="558" t="s">
        <v>24893</v>
      </c>
      <c r="X480" s="558" t="s">
        <v>194</v>
      </c>
      <c r="Y480" s="558" t="s">
        <v>9300</v>
      </c>
      <c r="Z480" s="558"/>
      <c r="AA480" s="558"/>
      <c r="AB480" s="558" t="s">
        <v>9311</v>
      </c>
      <c r="AC480" s="558"/>
      <c r="AD480" s="558"/>
      <c r="AE480" s="558"/>
      <c r="AF480" s="558"/>
      <c r="AG480" s="558"/>
      <c r="AH480" s="558" t="s">
        <v>4714</v>
      </c>
      <c r="AI480" s="558" t="s">
        <v>24888</v>
      </c>
      <c r="AJ480" s="601" t="str">
        <f t="shared" si="14"/>
        <v>732205</v>
      </c>
      <c r="AK480" s="601">
        <v>1</v>
      </c>
      <c r="AL480" s="601">
        <f t="shared" si="15"/>
        <v>1</v>
      </c>
      <c r="AM480" s="601">
        <v>1</v>
      </c>
      <c r="AN480" s="603" t="s">
        <v>17650</v>
      </c>
      <c r="AO480" s="603" t="s">
        <v>17651</v>
      </c>
      <c r="AP480" s="603" t="s">
        <v>17652</v>
      </c>
      <c r="AQ480" s="603" t="s">
        <v>17653</v>
      </c>
      <c r="AR480" s="603" t="s">
        <v>1024</v>
      </c>
      <c r="AS480" s="558">
        <v>1</v>
      </c>
    </row>
    <row r="481" spans="1:45" x14ac:dyDescent="0.2">
      <c r="A481" s="558" t="s">
        <v>24894</v>
      </c>
      <c r="B481" s="558" t="s">
        <v>19497</v>
      </c>
      <c r="C481" s="558" t="s">
        <v>48</v>
      </c>
      <c r="D481" s="558" t="s">
        <v>23256</v>
      </c>
      <c r="E481" s="558" t="s">
        <v>192</v>
      </c>
      <c r="F481" s="563">
        <v>1</v>
      </c>
      <c r="G481" s="558" t="s">
        <v>193</v>
      </c>
      <c r="H481" s="558" t="s">
        <v>194</v>
      </c>
      <c r="I481" s="558" t="s">
        <v>23151</v>
      </c>
      <c r="J481" s="558" t="s">
        <v>253</v>
      </c>
      <c r="K481" s="558" t="s">
        <v>9309</v>
      </c>
      <c r="L481" s="558" t="s">
        <v>6955</v>
      </c>
      <c r="M481" s="558"/>
      <c r="N481" s="558" t="s">
        <v>24895</v>
      </c>
      <c r="O481" s="558" t="s">
        <v>12529</v>
      </c>
      <c r="P481" s="558" t="s">
        <v>24681</v>
      </c>
      <c r="Q481" s="558" t="s">
        <v>24618</v>
      </c>
      <c r="R481" s="558" t="s">
        <v>23158</v>
      </c>
      <c r="S481" s="558" t="s">
        <v>24896</v>
      </c>
      <c r="T481" s="558" t="s">
        <v>24897</v>
      </c>
      <c r="U481" s="558"/>
      <c r="V481" s="558" t="s">
        <v>9468</v>
      </c>
      <c r="W481" s="558" t="s">
        <v>2296</v>
      </c>
      <c r="X481" s="558" t="s">
        <v>194</v>
      </c>
      <c r="Y481" s="558" t="s">
        <v>9300</v>
      </c>
      <c r="Z481" s="558"/>
      <c r="AA481" s="558"/>
      <c r="AB481" s="558" t="s">
        <v>9311</v>
      </c>
      <c r="AC481" s="558"/>
      <c r="AD481" s="558"/>
      <c r="AE481" s="558"/>
      <c r="AF481" s="558"/>
      <c r="AG481" s="558"/>
      <c r="AH481" s="558" t="s">
        <v>4714</v>
      </c>
      <c r="AI481" s="558" t="s">
        <v>19497</v>
      </c>
      <c r="AJ481" s="601" t="str">
        <f t="shared" si="14"/>
        <v>321401</v>
      </c>
      <c r="AK481" s="601">
        <v>1</v>
      </c>
      <c r="AL481" s="601">
        <f t="shared" si="15"/>
        <v>1</v>
      </c>
      <c r="AM481" s="601">
        <v>1</v>
      </c>
      <c r="AN481" s="603" t="s">
        <v>17650</v>
      </c>
      <c r="AO481" s="603" t="s">
        <v>17651</v>
      </c>
      <c r="AP481" s="603" t="s">
        <v>17652</v>
      </c>
      <c r="AQ481" s="603" t="s">
        <v>17653</v>
      </c>
      <c r="AR481" s="603" t="s">
        <v>1024</v>
      </c>
      <c r="AS481" s="558">
        <v>1</v>
      </c>
    </row>
    <row r="482" spans="1:45" x14ac:dyDescent="0.2">
      <c r="A482" s="558" t="s">
        <v>24894</v>
      </c>
      <c r="B482" s="558" t="s">
        <v>19497</v>
      </c>
      <c r="C482" s="558" t="s">
        <v>48</v>
      </c>
      <c r="D482" s="558" t="s">
        <v>23256</v>
      </c>
      <c r="E482" s="558" t="s">
        <v>192</v>
      </c>
      <c r="F482" s="563">
        <v>1</v>
      </c>
      <c r="G482" s="558" t="s">
        <v>193</v>
      </c>
      <c r="H482" s="558" t="s">
        <v>194</v>
      </c>
      <c r="I482" s="558" t="s">
        <v>23151</v>
      </c>
      <c r="J482" s="558" t="s">
        <v>408</v>
      </c>
      <c r="K482" s="558" t="s">
        <v>9309</v>
      </c>
      <c r="L482" s="558" t="s">
        <v>6955</v>
      </c>
      <c r="M482" s="558"/>
      <c r="N482" s="558" t="s">
        <v>24898</v>
      </c>
      <c r="O482" s="558" t="s">
        <v>12529</v>
      </c>
      <c r="P482" s="558" t="s">
        <v>24681</v>
      </c>
      <c r="Q482" s="558" t="s">
        <v>24618</v>
      </c>
      <c r="R482" s="558" t="s">
        <v>23158</v>
      </c>
      <c r="S482" s="558" t="s">
        <v>24899</v>
      </c>
      <c r="T482" s="558" t="s">
        <v>24900</v>
      </c>
      <c r="U482" s="558"/>
      <c r="V482" s="558" t="s">
        <v>9479</v>
      </c>
      <c r="W482" s="558" t="s">
        <v>2296</v>
      </c>
      <c r="X482" s="558" t="s">
        <v>194</v>
      </c>
      <c r="Y482" s="558" t="s">
        <v>9300</v>
      </c>
      <c r="Z482" s="558"/>
      <c r="AA482" s="558"/>
      <c r="AB482" s="558" t="s">
        <v>9311</v>
      </c>
      <c r="AC482" s="558"/>
      <c r="AD482" s="558"/>
      <c r="AE482" s="558"/>
      <c r="AF482" s="558"/>
      <c r="AG482" s="558"/>
      <c r="AH482" s="558" t="s">
        <v>4714</v>
      </c>
      <c r="AI482" s="558" t="s">
        <v>19497</v>
      </c>
      <c r="AJ482" s="601" t="str">
        <f t="shared" si="14"/>
        <v>321401</v>
      </c>
      <c r="AK482" s="601">
        <v>1</v>
      </c>
      <c r="AL482" s="601">
        <f t="shared" si="15"/>
        <v>1</v>
      </c>
      <c r="AM482" s="601">
        <v>1</v>
      </c>
      <c r="AN482" s="603" t="s">
        <v>17650</v>
      </c>
      <c r="AO482" s="603" t="s">
        <v>17651</v>
      </c>
      <c r="AP482" s="603" t="s">
        <v>17652</v>
      </c>
      <c r="AQ482" s="603" t="s">
        <v>17653</v>
      </c>
      <c r="AR482" s="603" t="s">
        <v>1024</v>
      </c>
      <c r="AS482" s="558">
        <v>1</v>
      </c>
    </row>
    <row r="483" spans="1:45" x14ac:dyDescent="0.2">
      <c r="A483" s="558" t="s">
        <v>24894</v>
      </c>
      <c r="B483" s="558" t="s">
        <v>19497</v>
      </c>
      <c r="C483" s="558" t="s">
        <v>48</v>
      </c>
      <c r="D483" s="558" t="s">
        <v>23256</v>
      </c>
      <c r="E483" s="558" t="s">
        <v>192</v>
      </c>
      <c r="F483" s="563">
        <v>1</v>
      </c>
      <c r="G483" s="558" t="s">
        <v>193</v>
      </c>
      <c r="H483" s="558" t="s">
        <v>194</v>
      </c>
      <c r="I483" s="558" t="s">
        <v>23151</v>
      </c>
      <c r="J483" s="558" t="s">
        <v>385</v>
      </c>
      <c r="K483" s="558" t="s">
        <v>9309</v>
      </c>
      <c r="L483" s="558" t="s">
        <v>6955</v>
      </c>
      <c r="M483" s="558"/>
      <c r="N483" s="558" t="s">
        <v>24901</v>
      </c>
      <c r="O483" s="558" t="s">
        <v>12529</v>
      </c>
      <c r="P483" s="558" t="s">
        <v>24681</v>
      </c>
      <c r="Q483" s="558" t="s">
        <v>24618</v>
      </c>
      <c r="R483" s="558" t="s">
        <v>23158</v>
      </c>
      <c r="S483" s="558" t="s">
        <v>24902</v>
      </c>
      <c r="T483" s="558" t="s">
        <v>24903</v>
      </c>
      <c r="U483" s="558"/>
      <c r="V483" s="558" t="s">
        <v>9410</v>
      </c>
      <c r="W483" s="558" t="s">
        <v>2296</v>
      </c>
      <c r="X483" s="558" t="s">
        <v>194</v>
      </c>
      <c r="Y483" s="558" t="s">
        <v>9300</v>
      </c>
      <c r="Z483" s="558"/>
      <c r="AA483" s="558"/>
      <c r="AB483" s="558" t="s">
        <v>9311</v>
      </c>
      <c r="AC483" s="558"/>
      <c r="AD483" s="558"/>
      <c r="AE483" s="558"/>
      <c r="AF483" s="558"/>
      <c r="AG483" s="558"/>
      <c r="AH483" s="558" t="s">
        <v>4714</v>
      </c>
      <c r="AI483" s="558" t="s">
        <v>19497</v>
      </c>
      <c r="AJ483" s="601" t="str">
        <f t="shared" si="14"/>
        <v>321401</v>
      </c>
      <c r="AK483" s="601">
        <v>1</v>
      </c>
      <c r="AL483" s="601">
        <f t="shared" si="15"/>
        <v>1</v>
      </c>
      <c r="AM483" s="601">
        <v>1</v>
      </c>
      <c r="AN483" s="603" t="s">
        <v>17650</v>
      </c>
      <c r="AO483" s="603" t="s">
        <v>17651</v>
      </c>
      <c r="AP483" s="603" t="s">
        <v>17652</v>
      </c>
      <c r="AQ483" s="603" t="s">
        <v>17653</v>
      </c>
      <c r="AR483" s="603" t="s">
        <v>1024</v>
      </c>
      <c r="AS483" s="558">
        <v>1</v>
      </c>
    </row>
    <row r="484" spans="1:45" x14ac:dyDescent="0.2">
      <c r="A484" s="558" t="s">
        <v>16674</v>
      </c>
      <c r="B484" s="558" t="s">
        <v>24904</v>
      </c>
      <c r="C484" s="558" t="s">
        <v>27</v>
      </c>
      <c r="D484" s="558" t="s">
        <v>23256</v>
      </c>
      <c r="E484" s="558" t="s">
        <v>192</v>
      </c>
      <c r="F484" s="563">
        <v>1</v>
      </c>
      <c r="G484" s="558" t="s">
        <v>193</v>
      </c>
      <c r="H484" s="558" t="s">
        <v>194</v>
      </c>
      <c r="I484" s="558" t="s">
        <v>23151</v>
      </c>
      <c r="J484" s="558" t="s">
        <v>210</v>
      </c>
      <c r="K484" s="558" t="s">
        <v>9309</v>
      </c>
      <c r="L484" s="558" t="s">
        <v>6955</v>
      </c>
      <c r="M484" s="558"/>
      <c r="N484" s="558" t="s">
        <v>24905</v>
      </c>
      <c r="O484" s="558" t="s">
        <v>7531</v>
      </c>
      <c r="P484" s="558" t="s">
        <v>24681</v>
      </c>
      <c r="Q484" s="558" t="s">
        <v>24618</v>
      </c>
      <c r="R484" s="558" t="s">
        <v>23835</v>
      </c>
      <c r="S484" s="558" t="s">
        <v>24906</v>
      </c>
      <c r="T484" s="558" t="s">
        <v>24907</v>
      </c>
      <c r="U484" s="558"/>
      <c r="V484" s="558" t="s">
        <v>9334</v>
      </c>
      <c r="W484" s="558" t="s">
        <v>440</v>
      </c>
      <c r="X484" s="558" t="s">
        <v>194</v>
      </c>
      <c r="Y484" s="558" t="s">
        <v>9300</v>
      </c>
      <c r="Z484" s="558"/>
      <c r="AA484" s="558"/>
      <c r="AB484" s="558" t="s">
        <v>9311</v>
      </c>
      <c r="AC484" s="558"/>
      <c r="AD484" s="558"/>
      <c r="AE484" s="558"/>
      <c r="AF484" s="558"/>
      <c r="AG484" s="558"/>
      <c r="AH484" s="558" t="s">
        <v>4714</v>
      </c>
      <c r="AI484" s="558" t="s">
        <v>24904</v>
      </c>
      <c r="AJ484" s="601" t="str">
        <f t="shared" si="14"/>
        <v>242307</v>
      </c>
      <c r="AK484" s="601">
        <v>1</v>
      </c>
      <c r="AL484" s="601">
        <f t="shared" si="15"/>
        <v>1</v>
      </c>
      <c r="AM484" s="601">
        <v>1</v>
      </c>
      <c r="AN484" s="603" t="s">
        <v>17650</v>
      </c>
      <c r="AO484" s="603" t="s">
        <v>17651</v>
      </c>
      <c r="AP484" s="603" t="s">
        <v>17652</v>
      </c>
      <c r="AQ484" s="603" t="s">
        <v>17653</v>
      </c>
      <c r="AR484" s="603" t="s">
        <v>1024</v>
      </c>
      <c r="AS484" s="558">
        <v>1</v>
      </c>
    </row>
    <row r="485" spans="1:45" x14ac:dyDescent="0.2">
      <c r="A485" s="558" t="s">
        <v>1639</v>
      </c>
      <c r="B485" s="558" t="s">
        <v>24908</v>
      </c>
      <c r="C485" s="558" t="s">
        <v>10</v>
      </c>
      <c r="D485" s="558" t="s">
        <v>23256</v>
      </c>
      <c r="E485" s="558" t="s">
        <v>192</v>
      </c>
      <c r="F485" s="563">
        <v>1</v>
      </c>
      <c r="G485" s="558" t="s">
        <v>193</v>
      </c>
      <c r="H485" s="558" t="s">
        <v>194</v>
      </c>
      <c r="I485" s="558" t="s">
        <v>23917</v>
      </c>
      <c r="J485" s="558" t="s">
        <v>9302</v>
      </c>
      <c r="K485" s="558" t="s">
        <v>9309</v>
      </c>
      <c r="L485" s="558" t="s">
        <v>6955</v>
      </c>
      <c r="M485" s="558"/>
      <c r="N485" s="558" t="s">
        <v>24909</v>
      </c>
      <c r="O485" s="558" t="s">
        <v>6261</v>
      </c>
      <c r="P485" s="558" t="s">
        <v>24681</v>
      </c>
      <c r="Q485" s="558" t="s">
        <v>24618</v>
      </c>
      <c r="R485" s="558" t="s">
        <v>23158</v>
      </c>
      <c r="S485" s="558" t="s">
        <v>24910</v>
      </c>
      <c r="T485" s="558" t="s">
        <v>24911</v>
      </c>
      <c r="U485" s="558"/>
      <c r="V485" s="603"/>
      <c r="W485" s="558" t="s">
        <v>484</v>
      </c>
      <c r="X485" s="558" t="s">
        <v>193</v>
      </c>
      <c r="Y485" s="558" t="s">
        <v>9310</v>
      </c>
      <c r="Z485" s="558"/>
      <c r="AA485" s="558"/>
      <c r="AB485" s="558" t="s">
        <v>9311</v>
      </c>
      <c r="AC485" s="558"/>
      <c r="AD485" s="558"/>
      <c r="AE485" s="558"/>
      <c r="AF485" s="558"/>
      <c r="AG485" s="558"/>
      <c r="AH485" s="558" t="s">
        <v>4714</v>
      </c>
      <c r="AI485" s="558" t="s">
        <v>24908</v>
      </c>
      <c r="AJ485" s="601" t="str">
        <f t="shared" si="14"/>
        <v>251401</v>
      </c>
      <c r="AK485" s="601">
        <v>1</v>
      </c>
      <c r="AL485" s="601">
        <f t="shared" si="15"/>
        <v>1</v>
      </c>
      <c r="AM485" s="601">
        <v>1</v>
      </c>
      <c r="AN485" s="603" t="s">
        <v>17650</v>
      </c>
      <c r="AO485" s="603" t="s">
        <v>17651</v>
      </c>
      <c r="AP485" s="603" t="s">
        <v>17652</v>
      </c>
      <c r="AQ485" s="603" t="s">
        <v>17653</v>
      </c>
      <c r="AR485" s="603" t="s">
        <v>1024</v>
      </c>
      <c r="AS485" s="558">
        <v>1</v>
      </c>
    </row>
    <row r="486" spans="1:45" x14ac:dyDescent="0.2">
      <c r="A486" s="558" t="s">
        <v>24912</v>
      </c>
      <c r="B486" s="558" t="s">
        <v>24913</v>
      </c>
      <c r="C486" s="558" t="s">
        <v>7663</v>
      </c>
      <c r="D486" s="558" t="s">
        <v>23256</v>
      </c>
      <c r="E486" s="558" t="s">
        <v>192</v>
      </c>
      <c r="F486" s="563">
        <v>1</v>
      </c>
      <c r="G486" s="558" t="s">
        <v>193</v>
      </c>
      <c r="H486" s="558" t="s">
        <v>194</v>
      </c>
      <c r="I486" s="558" t="s">
        <v>24556</v>
      </c>
      <c r="J486" s="558" t="s">
        <v>210</v>
      </c>
      <c r="K486" s="558" t="s">
        <v>9309</v>
      </c>
      <c r="L486" s="558" t="s">
        <v>6955</v>
      </c>
      <c r="M486" s="558"/>
      <c r="N486" s="558" t="s">
        <v>24914</v>
      </c>
      <c r="O486" s="558" t="s">
        <v>6324</v>
      </c>
      <c r="P486" s="558" t="s">
        <v>24681</v>
      </c>
      <c r="Q486" s="558" t="s">
        <v>24618</v>
      </c>
      <c r="R486" s="558" t="s">
        <v>23158</v>
      </c>
      <c r="S486" s="558" t="s">
        <v>24915</v>
      </c>
      <c r="T486" s="558" t="s">
        <v>24916</v>
      </c>
      <c r="U486" s="558"/>
      <c r="V486" s="558" t="s">
        <v>9334</v>
      </c>
      <c r="W486" s="558" t="s">
        <v>679</v>
      </c>
      <c r="X486" s="558" t="s">
        <v>194</v>
      </c>
      <c r="Y486" s="558" t="s">
        <v>9300</v>
      </c>
      <c r="Z486" s="558"/>
      <c r="AA486" s="558"/>
      <c r="AB486" s="558" t="s">
        <v>9311</v>
      </c>
      <c r="AC486" s="558"/>
      <c r="AD486" s="558"/>
      <c r="AE486" s="558"/>
      <c r="AF486" s="558"/>
      <c r="AG486" s="558"/>
      <c r="AH486" s="558" t="s">
        <v>4714</v>
      </c>
      <c r="AI486" s="558" t="s">
        <v>24913</v>
      </c>
      <c r="AJ486" s="601" t="str">
        <f t="shared" si="14"/>
        <v>333404</v>
      </c>
      <c r="AK486" s="601">
        <v>1</v>
      </c>
      <c r="AL486" s="601">
        <f t="shared" si="15"/>
        <v>1</v>
      </c>
      <c r="AM486" s="601">
        <v>1</v>
      </c>
      <c r="AN486" s="603" t="s">
        <v>17650</v>
      </c>
      <c r="AO486" s="603" t="s">
        <v>17651</v>
      </c>
      <c r="AP486" s="603" t="s">
        <v>17652</v>
      </c>
      <c r="AQ486" s="603" t="s">
        <v>17653</v>
      </c>
      <c r="AR486" s="603" t="s">
        <v>1024</v>
      </c>
      <c r="AS486" s="558">
        <v>1</v>
      </c>
    </row>
    <row r="487" spans="1:45" x14ac:dyDescent="0.2">
      <c r="A487" s="558" t="s">
        <v>24894</v>
      </c>
      <c r="B487" s="558" t="s">
        <v>19497</v>
      </c>
      <c r="C487" s="558" t="s">
        <v>48</v>
      </c>
      <c r="D487" s="558" t="s">
        <v>23256</v>
      </c>
      <c r="E487" s="558" t="s">
        <v>192</v>
      </c>
      <c r="F487" s="563">
        <v>1</v>
      </c>
      <c r="G487" s="558" t="s">
        <v>193</v>
      </c>
      <c r="H487" s="558" t="s">
        <v>194</v>
      </c>
      <c r="I487" s="558" t="s">
        <v>23151</v>
      </c>
      <c r="J487" s="558" t="s">
        <v>367</v>
      </c>
      <c r="K487" s="558" t="s">
        <v>9309</v>
      </c>
      <c r="L487" s="558" t="s">
        <v>6955</v>
      </c>
      <c r="M487" s="558"/>
      <c r="N487" s="558" t="s">
        <v>24917</v>
      </c>
      <c r="O487" s="558" t="s">
        <v>12529</v>
      </c>
      <c r="P487" s="558" t="s">
        <v>24681</v>
      </c>
      <c r="Q487" s="558" t="s">
        <v>24618</v>
      </c>
      <c r="R487" s="558" t="s">
        <v>23158</v>
      </c>
      <c r="S487" s="558" t="s">
        <v>24918</v>
      </c>
      <c r="T487" s="558" t="s">
        <v>24919</v>
      </c>
      <c r="U487" s="558"/>
      <c r="V487" s="558" t="s">
        <v>9974</v>
      </c>
      <c r="W487" s="558" t="s">
        <v>2296</v>
      </c>
      <c r="X487" s="558" t="s">
        <v>194</v>
      </c>
      <c r="Y487" s="558" t="s">
        <v>9300</v>
      </c>
      <c r="Z487" s="558"/>
      <c r="AA487" s="558"/>
      <c r="AB487" s="558" t="s">
        <v>9311</v>
      </c>
      <c r="AC487" s="558"/>
      <c r="AD487" s="558"/>
      <c r="AE487" s="558"/>
      <c r="AF487" s="558"/>
      <c r="AG487" s="558"/>
      <c r="AH487" s="558" t="s">
        <v>4714</v>
      </c>
      <c r="AI487" s="558" t="s">
        <v>19497</v>
      </c>
      <c r="AJ487" s="601" t="str">
        <f t="shared" si="14"/>
        <v>321401</v>
      </c>
      <c r="AK487" s="601">
        <v>1</v>
      </c>
      <c r="AL487" s="601">
        <f t="shared" si="15"/>
        <v>1</v>
      </c>
      <c r="AM487" s="601">
        <v>1</v>
      </c>
      <c r="AN487" s="603" t="s">
        <v>17650</v>
      </c>
      <c r="AO487" s="603" t="s">
        <v>17651</v>
      </c>
      <c r="AP487" s="603" t="s">
        <v>17652</v>
      </c>
      <c r="AQ487" s="603" t="s">
        <v>17653</v>
      </c>
      <c r="AR487" s="603" t="s">
        <v>1024</v>
      </c>
      <c r="AS487" s="558">
        <v>1</v>
      </c>
    </row>
    <row r="488" spans="1:45" x14ac:dyDescent="0.2">
      <c r="A488" s="558" t="s">
        <v>24894</v>
      </c>
      <c r="B488" s="558" t="s">
        <v>19497</v>
      </c>
      <c r="C488" s="558" t="s">
        <v>48</v>
      </c>
      <c r="D488" s="558" t="s">
        <v>23256</v>
      </c>
      <c r="E488" s="558" t="s">
        <v>192</v>
      </c>
      <c r="F488" s="563">
        <v>1</v>
      </c>
      <c r="G488" s="558" t="s">
        <v>193</v>
      </c>
      <c r="H488" s="558" t="s">
        <v>194</v>
      </c>
      <c r="I488" s="558" t="s">
        <v>23151</v>
      </c>
      <c r="J488" s="558" t="s">
        <v>276</v>
      </c>
      <c r="K488" s="558" t="s">
        <v>9309</v>
      </c>
      <c r="L488" s="558" t="s">
        <v>6955</v>
      </c>
      <c r="M488" s="558"/>
      <c r="N488" s="558" t="s">
        <v>24920</v>
      </c>
      <c r="O488" s="558" t="s">
        <v>12529</v>
      </c>
      <c r="P488" s="558" t="s">
        <v>24681</v>
      </c>
      <c r="Q488" s="558" t="s">
        <v>24618</v>
      </c>
      <c r="R488" s="558" t="s">
        <v>23158</v>
      </c>
      <c r="S488" s="558" t="s">
        <v>24921</v>
      </c>
      <c r="T488" s="558" t="s">
        <v>24922</v>
      </c>
      <c r="U488" s="558"/>
      <c r="V488" s="558" t="s">
        <v>9786</v>
      </c>
      <c r="W488" s="558" t="s">
        <v>2296</v>
      </c>
      <c r="X488" s="558" t="s">
        <v>194</v>
      </c>
      <c r="Y488" s="558" t="s">
        <v>9300</v>
      </c>
      <c r="Z488" s="558"/>
      <c r="AA488" s="558"/>
      <c r="AB488" s="558" t="s">
        <v>9311</v>
      </c>
      <c r="AC488" s="558"/>
      <c r="AD488" s="558"/>
      <c r="AE488" s="558"/>
      <c r="AF488" s="558"/>
      <c r="AG488" s="558"/>
      <c r="AH488" s="558" t="s">
        <v>4714</v>
      </c>
      <c r="AI488" s="558" t="s">
        <v>19497</v>
      </c>
      <c r="AJ488" s="601" t="str">
        <f t="shared" si="14"/>
        <v>321401</v>
      </c>
      <c r="AK488" s="601">
        <v>1</v>
      </c>
      <c r="AL488" s="601">
        <f t="shared" si="15"/>
        <v>1</v>
      </c>
      <c r="AM488" s="601">
        <v>1</v>
      </c>
      <c r="AN488" s="603" t="s">
        <v>17650</v>
      </c>
      <c r="AO488" s="603" t="s">
        <v>17651</v>
      </c>
      <c r="AP488" s="603" t="s">
        <v>17652</v>
      </c>
      <c r="AQ488" s="603" t="s">
        <v>17653</v>
      </c>
      <c r="AR488" s="603" t="s">
        <v>1024</v>
      </c>
      <c r="AS488" s="558">
        <v>1</v>
      </c>
    </row>
    <row r="489" spans="1:45" x14ac:dyDescent="0.2">
      <c r="A489" s="558" t="s">
        <v>24894</v>
      </c>
      <c r="B489" s="558" t="s">
        <v>19497</v>
      </c>
      <c r="C489" s="558" t="s">
        <v>48</v>
      </c>
      <c r="D489" s="558" t="s">
        <v>23256</v>
      </c>
      <c r="E489" s="558" t="s">
        <v>192</v>
      </c>
      <c r="F489" s="563">
        <v>1</v>
      </c>
      <c r="G489" s="558" t="s">
        <v>193</v>
      </c>
      <c r="H489" s="558" t="s">
        <v>194</v>
      </c>
      <c r="I489" s="558" t="s">
        <v>23151</v>
      </c>
      <c r="J489" s="558" t="s">
        <v>316</v>
      </c>
      <c r="K489" s="558" t="s">
        <v>9309</v>
      </c>
      <c r="L489" s="558" t="s">
        <v>6955</v>
      </c>
      <c r="M489" s="558"/>
      <c r="N489" s="558" t="s">
        <v>24923</v>
      </c>
      <c r="O489" s="558" t="s">
        <v>12529</v>
      </c>
      <c r="P489" s="558" t="s">
        <v>24681</v>
      </c>
      <c r="Q489" s="558" t="s">
        <v>24618</v>
      </c>
      <c r="R489" s="558" t="s">
        <v>23158</v>
      </c>
      <c r="S489" s="558" t="s">
        <v>24924</v>
      </c>
      <c r="T489" s="558" t="s">
        <v>24925</v>
      </c>
      <c r="U489" s="558"/>
      <c r="V489" s="558" t="s">
        <v>10012</v>
      </c>
      <c r="W489" s="558" t="s">
        <v>2296</v>
      </c>
      <c r="X489" s="558" t="s">
        <v>194</v>
      </c>
      <c r="Y489" s="558" t="s">
        <v>9300</v>
      </c>
      <c r="Z489" s="558"/>
      <c r="AA489" s="558"/>
      <c r="AB489" s="558" t="s">
        <v>9311</v>
      </c>
      <c r="AC489" s="558"/>
      <c r="AD489" s="558"/>
      <c r="AE489" s="558"/>
      <c r="AF489" s="558"/>
      <c r="AG489" s="558"/>
      <c r="AH489" s="558" t="s">
        <v>4714</v>
      </c>
      <c r="AI489" s="558" t="s">
        <v>19497</v>
      </c>
      <c r="AJ489" s="601" t="str">
        <f t="shared" si="14"/>
        <v>321401</v>
      </c>
      <c r="AK489" s="601">
        <v>1</v>
      </c>
      <c r="AL489" s="601">
        <f t="shared" si="15"/>
        <v>1</v>
      </c>
      <c r="AM489" s="601">
        <v>1</v>
      </c>
      <c r="AN489" s="603" t="s">
        <v>17650</v>
      </c>
      <c r="AO489" s="603" t="s">
        <v>17651</v>
      </c>
      <c r="AP489" s="603" t="s">
        <v>17652</v>
      </c>
      <c r="AQ489" s="603" t="s">
        <v>17653</v>
      </c>
      <c r="AR489" s="603" t="s">
        <v>1024</v>
      </c>
      <c r="AS489" s="558">
        <v>1</v>
      </c>
    </row>
    <row r="490" spans="1:45" x14ac:dyDescent="0.2">
      <c r="A490" s="558" t="s">
        <v>1597</v>
      </c>
      <c r="B490" s="558" t="s">
        <v>24926</v>
      </c>
      <c r="C490" s="558" t="s">
        <v>122</v>
      </c>
      <c r="D490" s="558" t="s">
        <v>23256</v>
      </c>
      <c r="E490" s="558" t="s">
        <v>192</v>
      </c>
      <c r="F490" s="563">
        <v>1</v>
      </c>
      <c r="G490" s="558" t="s">
        <v>193</v>
      </c>
      <c r="H490" s="558" t="s">
        <v>194</v>
      </c>
      <c r="I490" s="558" t="s">
        <v>23164</v>
      </c>
      <c r="J490" s="558" t="s">
        <v>301</v>
      </c>
      <c r="K490" s="558" t="s">
        <v>9309</v>
      </c>
      <c r="L490" s="558" t="s">
        <v>6955</v>
      </c>
      <c r="M490" s="558"/>
      <c r="N490" s="558" t="s">
        <v>24927</v>
      </c>
      <c r="O490" s="558" t="s">
        <v>7489</v>
      </c>
      <c r="P490" s="558" t="s">
        <v>24681</v>
      </c>
      <c r="Q490" s="558" t="s">
        <v>24618</v>
      </c>
      <c r="R490" s="558" t="s">
        <v>23158</v>
      </c>
      <c r="S490" s="558" t="s">
        <v>24928</v>
      </c>
      <c r="T490" s="558" t="s">
        <v>24929</v>
      </c>
      <c r="U490" s="558"/>
      <c r="V490" s="558" t="s">
        <v>9367</v>
      </c>
      <c r="W490" s="558" t="s">
        <v>655</v>
      </c>
      <c r="X490" s="558" t="s">
        <v>194</v>
      </c>
      <c r="Y490" s="558" t="s">
        <v>9300</v>
      </c>
      <c r="Z490" s="558"/>
      <c r="AA490" s="558"/>
      <c r="AB490" s="558" t="s">
        <v>9311</v>
      </c>
      <c r="AC490" s="558"/>
      <c r="AD490" s="558"/>
      <c r="AE490" s="558"/>
      <c r="AF490" s="558"/>
      <c r="AG490" s="558"/>
      <c r="AH490" s="558" t="s">
        <v>4714</v>
      </c>
      <c r="AI490" s="558" t="s">
        <v>24926</v>
      </c>
      <c r="AJ490" s="601" t="str">
        <f t="shared" si="14"/>
        <v>332301</v>
      </c>
      <c r="AK490" s="601">
        <v>1</v>
      </c>
      <c r="AL490" s="601">
        <f t="shared" si="15"/>
        <v>1</v>
      </c>
      <c r="AM490" s="601">
        <v>1</v>
      </c>
      <c r="AN490" s="603" t="s">
        <v>17650</v>
      </c>
      <c r="AO490" s="603" t="s">
        <v>17651</v>
      </c>
      <c r="AP490" s="603" t="s">
        <v>17652</v>
      </c>
      <c r="AQ490" s="603" t="s">
        <v>17653</v>
      </c>
      <c r="AR490" s="603" t="s">
        <v>1024</v>
      </c>
      <c r="AS490" s="558">
        <v>1</v>
      </c>
    </row>
    <row r="491" spans="1:45" x14ac:dyDescent="0.2">
      <c r="A491" s="558" t="s">
        <v>615</v>
      </c>
      <c r="B491" s="558" t="s">
        <v>5509</v>
      </c>
      <c r="C491" s="558" t="s">
        <v>617</v>
      </c>
      <c r="D491" s="558" t="s">
        <v>23256</v>
      </c>
      <c r="E491" s="558" t="s">
        <v>192</v>
      </c>
      <c r="F491" s="563">
        <v>1</v>
      </c>
      <c r="G491" s="558" t="s">
        <v>193</v>
      </c>
      <c r="H491" s="558" t="s">
        <v>194</v>
      </c>
      <c r="I491" s="558" t="s">
        <v>23151</v>
      </c>
      <c r="J491" s="558" t="s">
        <v>316</v>
      </c>
      <c r="K491" s="558" t="s">
        <v>9309</v>
      </c>
      <c r="L491" s="558" t="s">
        <v>6955</v>
      </c>
      <c r="M491" s="558"/>
      <c r="N491" s="558" t="s">
        <v>24930</v>
      </c>
      <c r="O491" s="558" t="s">
        <v>6254</v>
      </c>
      <c r="P491" s="558" t="s">
        <v>24681</v>
      </c>
      <c r="Q491" s="558" t="s">
        <v>24618</v>
      </c>
      <c r="R491" s="558" t="s">
        <v>23158</v>
      </c>
      <c r="S491" s="558" t="s">
        <v>24931</v>
      </c>
      <c r="T491" s="558" t="s">
        <v>24932</v>
      </c>
      <c r="U491" s="558"/>
      <c r="V491" s="558" t="s">
        <v>10012</v>
      </c>
      <c r="W491" s="558" t="s">
        <v>618</v>
      </c>
      <c r="X491" s="558" t="s">
        <v>194</v>
      </c>
      <c r="Y491" s="558" t="s">
        <v>9300</v>
      </c>
      <c r="Z491" s="558"/>
      <c r="AA491" s="558"/>
      <c r="AB491" s="558" t="s">
        <v>9311</v>
      </c>
      <c r="AC491" s="558"/>
      <c r="AD491" s="558"/>
      <c r="AE491" s="558"/>
      <c r="AF491" s="558"/>
      <c r="AG491" s="558"/>
      <c r="AH491" s="558" t="s">
        <v>4714</v>
      </c>
      <c r="AI491" s="558" t="s">
        <v>5509</v>
      </c>
      <c r="AJ491" s="601" t="str">
        <f t="shared" si="14"/>
        <v>332104</v>
      </c>
      <c r="AK491" s="601">
        <v>1</v>
      </c>
      <c r="AL491" s="601">
        <f t="shared" si="15"/>
        <v>1</v>
      </c>
      <c r="AM491" s="601">
        <v>1</v>
      </c>
      <c r="AN491" s="603" t="s">
        <v>17650</v>
      </c>
      <c r="AO491" s="603" t="s">
        <v>17651</v>
      </c>
      <c r="AP491" s="603" t="s">
        <v>17652</v>
      </c>
      <c r="AQ491" s="603" t="s">
        <v>17653</v>
      </c>
      <c r="AR491" s="603" t="s">
        <v>1024</v>
      </c>
      <c r="AS491" s="558">
        <v>1</v>
      </c>
    </row>
    <row r="492" spans="1:45" x14ac:dyDescent="0.2">
      <c r="A492" s="558" t="s">
        <v>24933</v>
      </c>
      <c r="B492" s="558" t="s">
        <v>24934</v>
      </c>
      <c r="C492" s="558" t="s">
        <v>17</v>
      </c>
      <c r="D492" s="558" t="s">
        <v>23256</v>
      </c>
      <c r="E492" s="558" t="s">
        <v>192</v>
      </c>
      <c r="F492" s="563">
        <v>1</v>
      </c>
      <c r="G492" s="558" t="s">
        <v>193</v>
      </c>
      <c r="H492" s="558" t="s">
        <v>194</v>
      </c>
      <c r="I492" s="558" t="s">
        <v>23164</v>
      </c>
      <c r="J492" s="558" t="s">
        <v>210</v>
      </c>
      <c r="K492" s="558" t="s">
        <v>9309</v>
      </c>
      <c r="L492" s="558" t="s">
        <v>6955</v>
      </c>
      <c r="M492" s="558"/>
      <c r="N492" s="558" t="s">
        <v>24935</v>
      </c>
      <c r="O492" s="558" t="s">
        <v>6245</v>
      </c>
      <c r="P492" s="558" t="s">
        <v>24681</v>
      </c>
      <c r="Q492" s="558" t="s">
        <v>24618</v>
      </c>
      <c r="R492" s="558" t="s">
        <v>23158</v>
      </c>
      <c r="S492" s="558" t="s">
        <v>24936</v>
      </c>
      <c r="T492" s="558" t="s">
        <v>24937</v>
      </c>
      <c r="U492" s="558"/>
      <c r="V492" s="558" t="s">
        <v>9334</v>
      </c>
      <c r="W492" s="558" t="s">
        <v>624</v>
      </c>
      <c r="X492" s="558" t="s">
        <v>194</v>
      </c>
      <c r="Y492" s="558" t="s">
        <v>9300</v>
      </c>
      <c r="Z492" s="558"/>
      <c r="AA492" s="558"/>
      <c r="AB492" s="558" t="s">
        <v>9311</v>
      </c>
      <c r="AC492" s="558"/>
      <c r="AD492" s="558"/>
      <c r="AE492" s="558"/>
      <c r="AF492" s="558"/>
      <c r="AG492" s="558"/>
      <c r="AH492" s="558" t="s">
        <v>4714</v>
      </c>
      <c r="AI492" s="558" t="s">
        <v>24934</v>
      </c>
      <c r="AJ492" s="601" t="str">
        <f t="shared" si="14"/>
        <v>332203</v>
      </c>
      <c r="AK492" s="601">
        <v>1</v>
      </c>
      <c r="AL492" s="601">
        <f t="shared" si="15"/>
        <v>1</v>
      </c>
      <c r="AM492" s="601">
        <v>1</v>
      </c>
      <c r="AN492" s="603" t="s">
        <v>17650</v>
      </c>
      <c r="AO492" s="603" t="s">
        <v>17651</v>
      </c>
      <c r="AP492" s="603" t="s">
        <v>17652</v>
      </c>
      <c r="AQ492" s="603" t="s">
        <v>17653</v>
      </c>
      <c r="AR492" s="603" t="s">
        <v>1024</v>
      </c>
      <c r="AS492" s="558">
        <v>1</v>
      </c>
    </row>
    <row r="493" spans="1:45" x14ac:dyDescent="0.2">
      <c r="A493" s="558" t="s">
        <v>24938</v>
      </c>
      <c r="B493" s="558" t="s">
        <v>24939</v>
      </c>
      <c r="C493" s="558" t="s">
        <v>11317</v>
      </c>
      <c r="D493" s="558" t="s">
        <v>23256</v>
      </c>
      <c r="E493" s="558" t="s">
        <v>192</v>
      </c>
      <c r="F493" s="563">
        <v>1</v>
      </c>
      <c r="G493" s="558" t="s">
        <v>193</v>
      </c>
      <c r="H493" s="558" t="s">
        <v>194</v>
      </c>
      <c r="I493" s="558" t="s">
        <v>24556</v>
      </c>
      <c r="J493" s="558" t="s">
        <v>4751</v>
      </c>
      <c r="K493" s="558" t="s">
        <v>9309</v>
      </c>
      <c r="L493" s="558" t="s">
        <v>6955</v>
      </c>
      <c r="M493" s="558"/>
      <c r="N493" s="558" t="s">
        <v>24940</v>
      </c>
      <c r="O493" s="558" t="s">
        <v>6286</v>
      </c>
      <c r="P493" s="558" t="s">
        <v>24681</v>
      </c>
      <c r="Q493" s="558" t="s">
        <v>24618</v>
      </c>
      <c r="R493" s="558" t="s">
        <v>23158</v>
      </c>
      <c r="S493" s="558" t="s">
        <v>24941</v>
      </c>
      <c r="T493" s="558" t="s">
        <v>24942</v>
      </c>
      <c r="U493" s="558"/>
      <c r="V493" s="558" t="s">
        <v>9472</v>
      </c>
      <c r="W493" s="558" t="s">
        <v>11321</v>
      </c>
      <c r="X493" s="558" t="s">
        <v>194</v>
      </c>
      <c r="Y493" s="558" t="s">
        <v>9300</v>
      </c>
      <c r="Z493" s="558"/>
      <c r="AA493" s="558"/>
      <c r="AB493" s="558" t="s">
        <v>9311</v>
      </c>
      <c r="AC493" s="558"/>
      <c r="AD493" s="558"/>
      <c r="AE493" s="558"/>
      <c r="AF493" s="558"/>
      <c r="AG493" s="558"/>
      <c r="AH493" s="558" t="s">
        <v>4714</v>
      </c>
      <c r="AI493" s="558" t="s">
        <v>24939</v>
      </c>
      <c r="AJ493" s="601" t="str">
        <f t="shared" si="14"/>
        <v>214920</v>
      </c>
      <c r="AK493" s="601">
        <v>1</v>
      </c>
      <c r="AL493" s="601">
        <f t="shared" si="15"/>
        <v>1</v>
      </c>
      <c r="AM493" s="601">
        <v>1</v>
      </c>
      <c r="AN493" s="603" t="s">
        <v>17650</v>
      </c>
      <c r="AO493" s="603" t="s">
        <v>17651</v>
      </c>
      <c r="AP493" s="603" t="s">
        <v>17652</v>
      </c>
      <c r="AQ493" s="603" t="s">
        <v>17653</v>
      </c>
      <c r="AR493" s="603" t="s">
        <v>1024</v>
      </c>
      <c r="AS493" s="558">
        <v>1</v>
      </c>
    </row>
    <row r="494" spans="1:45" x14ac:dyDescent="0.2">
      <c r="A494" s="558" t="s">
        <v>24943</v>
      </c>
      <c r="B494" s="558" t="s">
        <v>24944</v>
      </c>
      <c r="C494" s="558" t="s">
        <v>354</v>
      </c>
      <c r="D494" s="558" t="s">
        <v>23256</v>
      </c>
      <c r="E494" s="558" t="s">
        <v>192</v>
      </c>
      <c r="F494" s="563">
        <v>1</v>
      </c>
      <c r="G494" s="558" t="s">
        <v>193</v>
      </c>
      <c r="H494" s="558" t="s">
        <v>194</v>
      </c>
      <c r="I494" s="558" t="s">
        <v>24551</v>
      </c>
      <c r="J494" s="558" t="s">
        <v>210</v>
      </c>
      <c r="K494" s="558" t="s">
        <v>9309</v>
      </c>
      <c r="L494" s="558" t="s">
        <v>6955</v>
      </c>
      <c r="M494" s="558"/>
      <c r="N494" s="558" t="s">
        <v>24945</v>
      </c>
      <c r="O494" s="558" t="s">
        <v>6245</v>
      </c>
      <c r="P494" s="558" t="s">
        <v>24681</v>
      </c>
      <c r="Q494" s="558" t="s">
        <v>24618</v>
      </c>
      <c r="R494" s="558" t="s">
        <v>23158</v>
      </c>
      <c r="S494" s="558" t="s">
        <v>24946</v>
      </c>
      <c r="T494" s="558" t="s">
        <v>24947</v>
      </c>
      <c r="U494" s="558"/>
      <c r="V494" s="558" t="s">
        <v>9334</v>
      </c>
      <c r="W494" s="558" t="s">
        <v>355</v>
      </c>
      <c r="X494" s="558" t="s">
        <v>194</v>
      </c>
      <c r="Y494" s="558" t="s">
        <v>9300</v>
      </c>
      <c r="Z494" s="558"/>
      <c r="AA494" s="558"/>
      <c r="AB494" s="558" t="s">
        <v>9311</v>
      </c>
      <c r="AC494" s="558"/>
      <c r="AD494" s="558"/>
      <c r="AE494" s="558"/>
      <c r="AF494" s="558"/>
      <c r="AG494" s="558"/>
      <c r="AH494" s="558" t="s">
        <v>4714</v>
      </c>
      <c r="AI494" s="558" t="s">
        <v>24944</v>
      </c>
      <c r="AJ494" s="601" t="str">
        <f t="shared" si="14"/>
        <v>215103</v>
      </c>
      <c r="AK494" s="601">
        <v>1</v>
      </c>
      <c r="AL494" s="601">
        <f t="shared" si="15"/>
        <v>1</v>
      </c>
      <c r="AM494" s="601">
        <v>1</v>
      </c>
      <c r="AN494" s="603" t="s">
        <v>17650</v>
      </c>
      <c r="AO494" s="603" t="s">
        <v>17651</v>
      </c>
      <c r="AP494" s="603" t="s">
        <v>17652</v>
      </c>
      <c r="AQ494" s="603" t="s">
        <v>17653</v>
      </c>
      <c r="AR494" s="603" t="s">
        <v>1024</v>
      </c>
      <c r="AS494" s="558">
        <v>1</v>
      </c>
    </row>
    <row r="495" spans="1:45" x14ac:dyDescent="0.2">
      <c r="A495" s="558" t="s">
        <v>17992</v>
      </c>
      <c r="B495" s="558" t="s">
        <v>1638</v>
      </c>
      <c r="C495" s="558" t="s">
        <v>468</v>
      </c>
      <c r="D495" s="558" t="s">
        <v>23256</v>
      </c>
      <c r="E495" s="558" t="s">
        <v>192</v>
      </c>
      <c r="F495" s="563">
        <v>1</v>
      </c>
      <c r="G495" s="558" t="s">
        <v>193</v>
      </c>
      <c r="H495" s="558" t="s">
        <v>194</v>
      </c>
      <c r="I495" s="558" t="s">
        <v>23186</v>
      </c>
      <c r="J495" s="558" t="s">
        <v>399</v>
      </c>
      <c r="K495" s="558" t="s">
        <v>9309</v>
      </c>
      <c r="L495" s="558" t="s">
        <v>6955</v>
      </c>
      <c r="M495" s="558"/>
      <c r="N495" s="558" t="s">
        <v>24948</v>
      </c>
      <c r="O495" s="558" t="s">
        <v>6288</v>
      </c>
      <c r="P495" s="558" t="s">
        <v>24681</v>
      </c>
      <c r="Q495" s="558" t="s">
        <v>24618</v>
      </c>
      <c r="R495" s="558" t="s">
        <v>23158</v>
      </c>
      <c r="S495" s="558" t="s">
        <v>24949</v>
      </c>
      <c r="T495" s="558" t="s">
        <v>24950</v>
      </c>
      <c r="U495" s="558"/>
      <c r="V495" s="558" t="s">
        <v>11135</v>
      </c>
      <c r="W495" s="558" t="s">
        <v>469</v>
      </c>
      <c r="X495" s="558" t="s">
        <v>194</v>
      </c>
      <c r="Y495" s="558" t="s">
        <v>9300</v>
      </c>
      <c r="Z495" s="558"/>
      <c r="AA495" s="558"/>
      <c r="AB495" s="558" t="s">
        <v>9311</v>
      </c>
      <c r="AC495" s="558"/>
      <c r="AD495" s="558"/>
      <c r="AE495" s="558"/>
      <c r="AF495" s="558"/>
      <c r="AG495" s="558"/>
      <c r="AH495" s="558" t="s">
        <v>4714</v>
      </c>
      <c r="AI495" s="558" t="s">
        <v>1638</v>
      </c>
      <c r="AJ495" s="601" t="str">
        <f t="shared" si="14"/>
        <v>243303</v>
      </c>
      <c r="AK495" s="601">
        <v>1</v>
      </c>
      <c r="AL495" s="601">
        <f t="shared" si="15"/>
        <v>1</v>
      </c>
      <c r="AM495" s="601">
        <v>1</v>
      </c>
      <c r="AN495" s="603" t="s">
        <v>17650</v>
      </c>
      <c r="AO495" s="603" t="s">
        <v>17651</v>
      </c>
      <c r="AP495" s="603" t="s">
        <v>17652</v>
      </c>
      <c r="AQ495" s="603" t="s">
        <v>17653</v>
      </c>
      <c r="AR495" s="603" t="s">
        <v>1024</v>
      </c>
      <c r="AS495" s="558">
        <v>1</v>
      </c>
    </row>
    <row r="496" spans="1:45" x14ac:dyDescent="0.2">
      <c r="A496" s="558" t="s">
        <v>24951</v>
      </c>
      <c r="B496" s="558" t="s">
        <v>24952</v>
      </c>
      <c r="C496" s="558" t="s">
        <v>468</v>
      </c>
      <c r="D496" s="558" t="s">
        <v>23256</v>
      </c>
      <c r="E496" s="558" t="s">
        <v>192</v>
      </c>
      <c r="F496" s="563">
        <v>1</v>
      </c>
      <c r="G496" s="558" t="s">
        <v>193</v>
      </c>
      <c r="H496" s="558" t="s">
        <v>194</v>
      </c>
      <c r="I496" s="558" t="s">
        <v>23164</v>
      </c>
      <c r="J496" s="558" t="s">
        <v>9302</v>
      </c>
      <c r="K496" s="558" t="s">
        <v>9309</v>
      </c>
      <c r="L496" s="558" t="s">
        <v>6955</v>
      </c>
      <c r="M496" s="558"/>
      <c r="N496" s="558" t="s">
        <v>24953</v>
      </c>
      <c r="O496" s="558" t="s">
        <v>6288</v>
      </c>
      <c r="P496" s="558" t="s">
        <v>24681</v>
      </c>
      <c r="Q496" s="558" t="s">
        <v>24618</v>
      </c>
      <c r="R496" s="558" t="s">
        <v>23158</v>
      </c>
      <c r="S496" s="558" t="s">
        <v>24954</v>
      </c>
      <c r="T496" s="558" t="s">
        <v>24955</v>
      </c>
      <c r="U496" s="558"/>
      <c r="V496" s="603"/>
      <c r="W496" s="558" t="s">
        <v>469</v>
      </c>
      <c r="X496" s="558" t="s">
        <v>193</v>
      </c>
      <c r="Y496" s="558" t="s">
        <v>9310</v>
      </c>
      <c r="Z496" s="558"/>
      <c r="AA496" s="558"/>
      <c r="AB496" s="558" t="s">
        <v>9311</v>
      </c>
      <c r="AC496" s="558"/>
      <c r="AD496" s="558"/>
      <c r="AE496" s="558"/>
      <c r="AF496" s="558"/>
      <c r="AG496" s="558"/>
      <c r="AH496" s="558" t="s">
        <v>4714</v>
      </c>
      <c r="AI496" s="558" t="s">
        <v>24952</v>
      </c>
      <c r="AJ496" s="601" t="str">
        <f t="shared" si="14"/>
        <v>243303</v>
      </c>
      <c r="AK496" s="601">
        <v>1</v>
      </c>
      <c r="AL496" s="601">
        <f t="shared" si="15"/>
        <v>1</v>
      </c>
      <c r="AM496" s="601">
        <v>1</v>
      </c>
      <c r="AN496" s="603" t="s">
        <v>17650</v>
      </c>
      <c r="AO496" s="603" t="s">
        <v>17651</v>
      </c>
      <c r="AP496" s="603" t="s">
        <v>17652</v>
      </c>
      <c r="AQ496" s="603" t="s">
        <v>17653</v>
      </c>
      <c r="AR496" s="603" t="s">
        <v>1024</v>
      </c>
      <c r="AS496" s="558">
        <v>1</v>
      </c>
    </row>
    <row r="497" spans="1:45" x14ac:dyDescent="0.2">
      <c r="A497" s="558" t="s">
        <v>1523</v>
      </c>
      <c r="B497" s="558" t="s">
        <v>24956</v>
      </c>
      <c r="C497" s="558" t="s">
        <v>6156</v>
      </c>
      <c r="D497" s="558" t="s">
        <v>23256</v>
      </c>
      <c r="E497" s="558" t="s">
        <v>192</v>
      </c>
      <c r="F497" s="563">
        <v>1</v>
      </c>
      <c r="G497" s="558" t="s">
        <v>193</v>
      </c>
      <c r="H497" s="558" t="s">
        <v>194</v>
      </c>
      <c r="I497" s="558" t="s">
        <v>23186</v>
      </c>
      <c r="J497" s="558" t="s">
        <v>210</v>
      </c>
      <c r="K497" s="558" t="s">
        <v>9309</v>
      </c>
      <c r="L497" s="558" t="s">
        <v>6955</v>
      </c>
      <c r="M497" s="558"/>
      <c r="N497" s="558" t="s">
        <v>24957</v>
      </c>
      <c r="O497" s="558" t="s">
        <v>6327</v>
      </c>
      <c r="P497" s="558" t="s">
        <v>24681</v>
      </c>
      <c r="Q497" s="558" t="s">
        <v>24618</v>
      </c>
      <c r="R497" s="558" t="s">
        <v>23158</v>
      </c>
      <c r="S497" s="558" t="s">
        <v>24958</v>
      </c>
      <c r="T497" s="558" t="s">
        <v>24959</v>
      </c>
      <c r="U497" s="558"/>
      <c r="V497" s="558" t="s">
        <v>9334</v>
      </c>
      <c r="W497" s="558" t="s">
        <v>6158</v>
      </c>
      <c r="X497" s="558" t="s">
        <v>194</v>
      </c>
      <c r="Y497" s="558" t="s">
        <v>9300</v>
      </c>
      <c r="Z497" s="558"/>
      <c r="AA497" s="558"/>
      <c r="AB497" s="558" t="s">
        <v>9311</v>
      </c>
      <c r="AC497" s="558"/>
      <c r="AD497" s="558"/>
      <c r="AE497" s="558"/>
      <c r="AF497" s="558"/>
      <c r="AG497" s="558"/>
      <c r="AH497" s="558" t="s">
        <v>4714</v>
      </c>
      <c r="AI497" s="558" t="s">
        <v>24956</v>
      </c>
      <c r="AJ497" s="601" t="str">
        <f t="shared" si="14"/>
        <v>241204</v>
      </c>
      <c r="AK497" s="601">
        <v>1</v>
      </c>
      <c r="AL497" s="601">
        <f t="shared" si="15"/>
        <v>1</v>
      </c>
      <c r="AM497" s="601">
        <v>1</v>
      </c>
      <c r="AN497" s="603" t="s">
        <v>17650</v>
      </c>
      <c r="AO497" s="603" t="s">
        <v>17651</v>
      </c>
      <c r="AP497" s="603" t="s">
        <v>17652</v>
      </c>
      <c r="AQ497" s="603" t="s">
        <v>17653</v>
      </c>
      <c r="AR497" s="603" t="s">
        <v>1024</v>
      </c>
      <c r="AS497" s="558">
        <v>1</v>
      </c>
    </row>
    <row r="498" spans="1:45" x14ac:dyDescent="0.2">
      <c r="A498" s="558" t="s">
        <v>324</v>
      </c>
      <c r="B498" s="558" t="s">
        <v>15417</v>
      </c>
      <c r="C498" s="558" t="s">
        <v>4977</v>
      </c>
      <c r="D498" s="558" t="s">
        <v>23256</v>
      </c>
      <c r="E498" s="558" t="s">
        <v>192</v>
      </c>
      <c r="F498" s="563">
        <v>1</v>
      </c>
      <c r="G498" s="558" t="s">
        <v>193</v>
      </c>
      <c r="H498" s="558" t="s">
        <v>194</v>
      </c>
      <c r="I498" s="558" t="s">
        <v>24556</v>
      </c>
      <c r="J498" s="558" t="s">
        <v>6145</v>
      </c>
      <c r="K498" s="558" t="s">
        <v>9309</v>
      </c>
      <c r="L498" s="558" t="s">
        <v>6955</v>
      </c>
      <c r="M498" s="558"/>
      <c r="N498" s="558" t="s">
        <v>24960</v>
      </c>
      <c r="O498" s="558" t="s">
        <v>6286</v>
      </c>
      <c r="P498" s="558" t="s">
        <v>24681</v>
      </c>
      <c r="Q498" s="558" t="s">
        <v>24618</v>
      </c>
      <c r="R498" s="558" t="s">
        <v>23158</v>
      </c>
      <c r="S498" s="558" t="s">
        <v>24961</v>
      </c>
      <c r="T498" s="558" t="s">
        <v>24962</v>
      </c>
      <c r="U498" s="558"/>
      <c r="V498" s="558" t="s">
        <v>9514</v>
      </c>
      <c r="W498" s="558" t="s">
        <v>4978</v>
      </c>
      <c r="X498" s="558" t="s">
        <v>194</v>
      </c>
      <c r="Y498" s="558" t="s">
        <v>9300</v>
      </c>
      <c r="Z498" s="558"/>
      <c r="AA498" s="558"/>
      <c r="AB498" s="558" t="s">
        <v>9311</v>
      </c>
      <c r="AC498" s="558"/>
      <c r="AD498" s="558"/>
      <c r="AE498" s="558"/>
      <c r="AF498" s="558"/>
      <c r="AG498" s="558"/>
      <c r="AH498" s="558" t="s">
        <v>4714</v>
      </c>
      <c r="AI498" s="558" t="s">
        <v>15417</v>
      </c>
      <c r="AJ498" s="601" t="str">
        <f t="shared" si="14"/>
        <v>242217</v>
      </c>
      <c r="AK498" s="601">
        <v>1</v>
      </c>
      <c r="AL498" s="601">
        <f t="shared" si="15"/>
        <v>1</v>
      </c>
      <c r="AM498" s="601">
        <v>1</v>
      </c>
      <c r="AN498" s="603" t="s">
        <v>17650</v>
      </c>
      <c r="AO498" s="603" t="s">
        <v>17651</v>
      </c>
      <c r="AP498" s="603" t="s">
        <v>17652</v>
      </c>
      <c r="AQ498" s="603" t="s">
        <v>17653</v>
      </c>
      <c r="AR498" s="603" t="s">
        <v>1024</v>
      </c>
      <c r="AS498" s="558">
        <v>1</v>
      </c>
    </row>
    <row r="499" spans="1:45" x14ac:dyDescent="0.2">
      <c r="A499" s="558" t="s">
        <v>324</v>
      </c>
      <c r="B499" s="558" t="s">
        <v>15417</v>
      </c>
      <c r="C499" s="558" t="s">
        <v>4977</v>
      </c>
      <c r="D499" s="558" t="s">
        <v>23256</v>
      </c>
      <c r="E499" s="558" t="s">
        <v>192</v>
      </c>
      <c r="F499" s="563">
        <v>1</v>
      </c>
      <c r="G499" s="558" t="s">
        <v>193</v>
      </c>
      <c r="H499" s="558" t="s">
        <v>194</v>
      </c>
      <c r="I499" s="558" t="s">
        <v>24556</v>
      </c>
      <c r="J499" s="558" t="s">
        <v>285</v>
      </c>
      <c r="K499" s="558" t="s">
        <v>9309</v>
      </c>
      <c r="L499" s="558" t="s">
        <v>6955</v>
      </c>
      <c r="M499" s="558"/>
      <c r="N499" s="558" t="s">
        <v>24963</v>
      </c>
      <c r="O499" s="558" t="s">
        <v>6286</v>
      </c>
      <c r="P499" s="558" t="s">
        <v>24681</v>
      </c>
      <c r="Q499" s="558" t="s">
        <v>24618</v>
      </c>
      <c r="R499" s="558" t="s">
        <v>23158</v>
      </c>
      <c r="S499" s="558" t="s">
        <v>24964</v>
      </c>
      <c r="T499" s="558" t="s">
        <v>24965</v>
      </c>
      <c r="U499" s="558"/>
      <c r="V499" s="558" t="s">
        <v>9518</v>
      </c>
      <c r="W499" s="558" t="s">
        <v>4978</v>
      </c>
      <c r="X499" s="558" t="s">
        <v>194</v>
      </c>
      <c r="Y499" s="558" t="s">
        <v>9300</v>
      </c>
      <c r="Z499" s="558"/>
      <c r="AA499" s="558"/>
      <c r="AB499" s="558" t="s">
        <v>9311</v>
      </c>
      <c r="AC499" s="558"/>
      <c r="AD499" s="558"/>
      <c r="AE499" s="558"/>
      <c r="AF499" s="558"/>
      <c r="AG499" s="558"/>
      <c r="AH499" s="558" t="s">
        <v>4714</v>
      </c>
      <c r="AI499" s="558" t="s">
        <v>15417</v>
      </c>
      <c r="AJ499" s="601" t="str">
        <f t="shared" si="14"/>
        <v>242217</v>
      </c>
      <c r="AK499" s="601">
        <v>1</v>
      </c>
      <c r="AL499" s="601">
        <f t="shared" si="15"/>
        <v>1</v>
      </c>
      <c r="AM499" s="601">
        <v>1</v>
      </c>
      <c r="AN499" s="603" t="s">
        <v>17650</v>
      </c>
      <c r="AO499" s="603" t="s">
        <v>17651</v>
      </c>
      <c r="AP499" s="603" t="s">
        <v>17652</v>
      </c>
      <c r="AQ499" s="603" t="s">
        <v>17653</v>
      </c>
      <c r="AR499" s="603" t="s">
        <v>1024</v>
      </c>
      <c r="AS499" s="558">
        <v>1</v>
      </c>
    </row>
    <row r="500" spans="1:45" x14ac:dyDescent="0.2">
      <c r="A500" s="558" t="s">
        <v>24966</v>
      </c>
      <c r="B500" s="558" t="s">
        <v>2630</v>
      </c>
      <c r="C500" s="558" t="s">
        <v>42</v>
      </c>
      <c r="D500" s="558" t="s">
        <v>23256</v>
      </c>
      <c r="E500" s="558" t="s">
        <v>192</v>
      </c>
      <c r="F500" s="563">
        <v>1</v>
      </c>
      <c r="G500" s="558" t="s">
        <v>193</v>
      </c>
      <c r="H500" s="558" t="s">
        <v>194</v>
      </c>
      <c r="I500" s="558" t="s">
        <v>24556</v>
      </c>
      <c r="J500" s="558" t="s">
        <v>210</v>
      </c>
      <c r="K500" s="558" t="s">
        <v>9309</v>
      </c>
      <c r="L500" s="558" t="s">
        <v>6955</v>
      </c>
      <c r="M500" s="558"/>
      <c r="N500" s="558" t="s">
        <v>24967</v>
      </c>
      <c r="O500" s="558" t="s">
        <v>6327</v>
      </c>
      <c r="P500" s="558" t="s">
        <v>24681</v>
      </c>
      <c r="Q500" s="558" t="s">
        <v>24618</v>
      </c>
      <c r="R500" s="558" t="s">
        <v>23158</v>
      </c>
      <c r="S500" s="558" t="s">
        <v>24968</v>
      </c>
      <c r="T500" s="558" t="s">
        <v>24969</v>
      </c>
      <c r="U500" s="558"/>
      <c r="V500" s="558" t="s">
        <v>9334</v>
      </c>
      <c r="W500" s="558" t="s">
        <v>2628</v>
      </c>
      <c r="X500" s="558" t="s">
        <v>194</v>
      </c>
      <c r="Y500" s="558" t="s">
        <v>9300</v>
      </c>
      <c r="Z500" s="558"/>
      <c r="AA500" s="558"/>
      <c r="AB500" s="558" t="s">
        <v>9311</v>
      </c>
      <c r="AC500" s="558"/>
      <c r="AD500" s="558"/>
      <c r="AE500" s="558"/>
      <c r="AF500" s="558"/>
      <c r="AG500" s="558"/>
      <c r="AH500" s="558" t="s">
        <v>4714</v>
      </c>
      <c r="AI500" s="558" t="s">
        <v>2630</v>
      </c>
      <c r="AJ500" s="601" t="str">
        <f t="shared" si="14"/>
        <v>325509</v>
      </c>
      <c r="AK500" s="601">
        <v>1</v>
      </c>
      <c r="AL500" s="601">
        <f t="shared" si="15"/>
        <v>1</v>
      </c>
      <c r="AM500" s="601">
        <v>1</v>
      </c>
      <c r="AN500" s="603" t="s">
        <v>17650</v>
      </c>
      <c r="AO500" s="603" t="s">
        <v>17651</v>
      </c>
      <c r="AP500" s="603" t="s">
        <v>17652</v>
      </c>
      <c r="AQ500" s="603" t="s">
        <v>17653</v>
      </c>
      <c r="AR500" s="603" t="s">
        <v>1024</v>
      </c>
      <c r="AS500" s="558">
        <v>1</v>
      </c>
    </row>
    <row r="501" spans="1:45" x14ac:dyDescent="0.2">
      <c r="A501" s="558" t="s">
        <v>24970</v>
      </c>
      <c r="B501" s="558" t="s">
        <v>15389</v>
      </c>
      <c r="C501" s="558" t="s">
        <v>3367</v>
      </c>
      <c r="D501" s="558" t="s">
        <v>23256</v>
      </c>
      <c r="E501" s="558" t="s">
        <v>192</v>
      </c>
      <c r="F501" s="563">
        <v>1</v>
      </c>
      <c r="G501" s="558" t="s">
        <v>193</v>
      </c>
      <c r="H501" s="558" t="s">
        <v>194</v>
      </c>
      <c r="I501" s="558" t="s">
        <v>23499</v>
      </c>
      <c r="J501" s="558" t="s">
        <v>210</v>
      </c>
      <c r="K501" s="558" t="s">
        <v>9309</v>
      </c>
      <c r="L501" s="558" t="s">
        <v>6955</v>
      </c>
      <c r="M501" s="558"/>
      <c r="N501" s="558" t="s">
        <v>24971</v>
      </c>
      <c r="O501" s="558" t="s">
        <v>6921</v>
      </c>
      <c r="P501" s="558" t="s">
        <v>24681</v>
      </c>
      <c r="Q501" s="558" t="s">
        <v>24618</v>
      </c>
      <c r="R501" s="558" t="s">
        <v>23158</v>
      </c>
      <c r="S501" s="558" t="s">
        <v>24972</v>
      </c>
      <c r="T501" s="558" t="s">
        <v>24973</v>
      </c>
      <c r="U501" s="558"/>
      <c r="V501" s="558" t="s">
        <v>9334</v>
      </c>
      <c r="W501" s="558" t="s">
        <v>3368</v>
      </c>
      <c r="X501" s="558" t="s">
        <v>194</v>
      </c>
      <c r="Y501" s="558" t="s">
        <v>9300</v>
      </c>
      <c r="Z501" s="558"/>
      <c r="AA501" s="558"/>
      <c r="AB501" s="558" t="s">
        <v>9311</v>
      </c>
      <c r="AC501" s="558"/>
      <c r="AD501" s="558"/>
      <c r="AE501" s="558"/>
      <c r="AF501" s="558"/>
      <c r="AG501" s="558"/>
      <c r="AH501" s="558" t="s">
        <v>4714</v>
      </c>
      <c r="AI501" s="558" t="s">
        <v>15389</v>
      </c>
      <c r="AJ501" s="601" t="str">
        <f t="shared" si="14"/>
        <v>133001</v>
      </c>
      <c r="AK501" s="601">
        <v>1</v>
      </c>
      <c r="AL501" s="601">
        <f t="shared" si="15"/>
        <v>1</v>
      </c>
      <c r="AM501" s="601">
        <v>1</v>
      </c>
      <c r="AN501" s="603" t="s">
        <v>17650</v>
      </c>
      <c r="AO501" s="603" t="s">
        <v>17651</v>
      </c>
      <c r="AP501" s="603" t="s">
        <v>17652</v>
      </c>
      <c r="AQ501" s="603" t="s">
        <v>17653</v>
      </c>
      <c r="AR501" s="603" t="s">
        <v>1024</v>
      </c>
      <c r="AS501" s="558">
        <v>1</v>
      </c>
    </row>
    <row r="502" spans="1:45" x14ac:dyDescent="0.2">
      <c r="A502" s="558" t="s">
        <v>615</v>
      </c>
      <c r="B502" s="558" t="s">
        <v>5509</v>
      </c>
      <c r="C502" s="558" t="s">
        <v>617</v>
      </c>
      <c r="D502" s="558" t="s">
        <v>23256</v>
      </c>
      <c r="E502" s="558" t="s">
        <v>192</v>
      </c>
      <c r="F502" s="563">
        <v>1</v>
      </c>
      <c r="G502" s="558" t="s">
        <v>193</v>
      </c>
      <c r="H502" s="558" t="s">
        <v>194</v>
      </c>
      <c r="I502" s="558" t="s">
        <v>23151</v>
      </c>
      <c r="J502" s="558" t="s">
        <v>367</v>
      </c>
      <c r="K502" s="558" t="s">
        <v>9309</v>
      </c>
      <c r="L502" s="558" t="s">
        <v>6955</v>
      </c>
      <c r="M502" s="558"/>
      <c r="N502" s="558" t="s">
        <v>24974</v>
      </c>
      <c r="O502" s="558" t="s">
        <v>6254</v>
      </c>
      <c r="P502" s="558" t="s">
        <v>24681</v>
      </c>
      <c r="Q502" s="558" t="s">
        <v>24618</v>
      </c>
      <c r="R502" s="558" t="s">
        <v>23158</v>
      </c>
      <c r="S502" s="558" t="s">
        <v>24975</v>
      </c>
      <c r="T502" s="558" t="s">
        <v>24976</v>
      </c>
      <c r="U502" s="558"/>
      <c r="V502" s="558" t="s">
        <v>9974</v>
      </c>
      <c r="W502" s="558" t="s">
        <v>618</v>
      </c>
      <c r="X502" s="558" t="s">
        <v>194</v>
      </c>
      <c r="Y502" s="558" t="s">
        <v>9300</v>
      </c>
      <c r="Z502" s="558"/>
      <c r="AA502" s="558"/>
      <c r="AB502" s="558" t="s">
        <v>9311</v>
      </c>
      <c r="AC502" s="558"/>
      <c r="AD502" s="558"/>
      <c r="AE502" s="558"/>
      <c r="AF502" s="558"/>
      <c r="AG502" s="558"/>
      <c r="AH502" s="558" t="s">
        <v>4714</v>
      </c>
      <c r="AI502" s="558" t="s">
        <v>5509</v>
      </c>
      <c r="AJ502" s="601" t="str">
        <f t="shared" si="14"/>
        <v>332104</v>
      </c>
      <c r="AK502" s="601">
        <v>1</v>
      </c>
      <c r="AL502" s="601">
        <f t="shared" si="15"/>
        <v>1</v>
      </c>
      <c r="AM502" s="601">
        <v>1</v>
      </c>
      <c r="AN502" s="603" t="s">
        <v>17650</v>
      </c>
      <c r="AO502" s="603" t="s">
        <v>17651</v>
      </c>
      <c r="AP502" s="603" t="s">
        <v>17652</v>
      </c>
      <c r="AQ502" s="603" t="s">
        <v>17653</v>
      </c>
      <c r="AR502" s="603" t="s">
        <v>1024</v>
      </c>
      <c r="AS502" s="558">
        <v>1</v>
      </c>
    </row>
    <row r="503" spans="1:45" x14ac:dyDescent="0.2">
      <c r="A503" s="558" t="s">
        <v>615</v>
      </c>
      <c r="B503" s="558" t="s">
        <v>5509</v>
      </c>
      <c r="C503" s="558" t="s">
        <v>617</v>
      </c>
      <c r="D503" s="558" t="s">
        <v>23256</v>
      </c>
      <c r="E503" s="558" t="s">
        <v>192</v>
      </c>
      <c r="F503" s="563">
        <v>1</v>
      </c>
      <c r="G503" s="558" t="s">
        <v>193</v>
      </c>
      <c r="H503" s="558" t="s">
        <v>194</v>
      </c>
      <c r="I503" s="558" t="s">
        <v>23151</v>
      </c>
      <c r="J503" s="558" t="s">
        <v>223</v>
      </c>
      <c r="K503" s="558" t="s">
        <v>9309</v>
      </c>
      <c r="L503" s="558" t="s">
        <v>6955</v>
      </c>
      <c r="M503" s="558"/>
      <c r="N503" s="558" t="s">
        <v>24977</v>
      </c>
      <c r="O503" s="558" t="s">
        <v>6254</v>
      </c>
      <c r="P503" s="558" t="s">
        <v>24681</v>
      </c>
      <c r="Q503" s="558" t="s">
        <v>24618</v>
      </c>
      <c r="R503" s="558" t="s">
        <v>23158</v>
      </c>
      <c r="S503" s="558" t="s">
        <v>24978</v>
      </c>
      <c r="T503" s="558" t="s">
        <v>24979</v>
      </c>
      <c r="U503" s="558"/>
      <c r="V503" s="558" t="s">
        <v>11163</v>
      </c>
      <c r="W503" s="558" t="s">
        <v>618</v>
      </c>
      <c r="X503" s="558" t="s">
        <v>194</v>
      </c>
      <c r="Y503" s="558" t="s">
        <v>9300</v>
      </c>
      <c r="Z503" s="558"/>
      <c r="AA503" s="558"/>
      <c r="AB503" s="558" t="s">
        <v>9311</v>
      </c>
      <c r="AC503" s="558"/>
      <c r="AD503" s="558"/>
      <c r="AE503" s="558"/>
      <c r="AF503" s="558"/>
      <c r="AG503" s="558"/>
      <c r="AH503" s="558" t="s">
        <v>4714</v>
      </c>
      <c r="AI503" s="558" t="s">
        <v>5509</v>
      </c>
      <c r="AJ503" s="601" t="str">
        <f t="shared" si="14"/>
        <v>332104</v>
      </c>
      <c r="AK503" s="601">
        <v>1</v>
      </c>
      <c r="AL503" s="601">
        <f t="shared" si="15"/>
        <v>1</v>
      </c>
      <c r="AM503" s="601">
        <v>1</v>
      </c>
      <c r="AN503" s="603" t="s">
        <v>17650</v>
      </c>
      <c r="AO503" s="603" t="s">
        <v>17651</v>
      </c>
      <c r="AP503" s="603" t="s">
        <v>17652</v>
      </c>
      <c r="AQ503" s="603" t="s">
        <v>17653</v>
      </c>
      <c r="AR503" s="603" t="s">
        <v>1024</v>
      </c>
      <c r="AS503" s="558">
        <v>1</v>
      </c>
    </row>
    <row r="504" spans="1:45" x14ac:dyDescent="0.2">
      <c r="A504" s="558" t="s">
        <v>615</v>
      </c>
      <c r="B504" s="558" t="s">
        <v>5509</v>
      </c>
      <c r="C504" s="558" t="s">
        <v>617</v>
      </c>
      <c r="D504" s="558" t="s">
        <v>23256</v>
      </c>
      <c r="E504" s="558" t="s">
        <v>192</v>
      </c>
      <c r="F504" s="563">
        <v>1</v>
      </c>
      <c r="G504" s="558" t="s">
        <v>193</v>
      </c>
      <c r="H504" s="558" t="s">
        <v>194</v>
      </c>
      <c r="I504" s="558" t="s">
        <v>23151</v>
      </c>
      <c r="J504" s="558" t="s">
        <v>4751</v>
      </c>
      <c r="K504" s="558" t="s">
        <v>9309</v>
      </c>
      <c r="L504" s="558" t="s">
        <v>6955</v>
      </c>
      <c r="M504" s="558"/>
      <c r="N504" s="558" t="s">
        <v>24980</v>
      </c>
      <c r="O504" s="558" t="s">
        <v>6254</v>
      </c>
      <c r="P504" s="558" t="s">
        <v>24681</v>
      </c>
      <c r="Q504" s="558" t="s">
        <v>24618</v>
      </c>
      <c r="R504" s="558" t="s">
        <v>23158</v>
      </c>
      <c r="S504" s="558" t="s">
        <v>24981</v>
      </c>
      <c r="T504" s="558" t="s">
        <v>24982</v>
      </c>
      <c r="U504" s="558"/>
      <c r="V504" s="558" t="s">
        <v>9472</v>
      </c>
      <c r="W504" s="558" t="s">
        <v>618</v>
      </c>
      <c r="X504" s="558" t="s">
        <v>194</v>
      </c>
      <c r="Y504" s="558" t="s">
        <v>9300</v>
      </c>
      <c r="Z504" s="558"/>
      <c r="AA504" s="558"/>
      <c r="AB504" s="558" t="s">
        <v>9311</v>
      </c>
      <c r="AC504" s="558"/>
      <c r="AD504" s="558"/>
      <c r="AE504" s="558"/>
      <c r="AF504" s="558"/>
      <c r="AG504" s="558"/>
      <c r="AH504" s="558" t="s">
        <v>4714</v>
      </c>
      <c r="AI504" s="558" t="s">
        <v>5509</v>
      </c>
      <c r="AJ504" s="601" t="str">
        <f t="shared" si="14"/>
        <v>332104</v>
      </c>
      <c r="AK504" s="601">
        <v>1</v>
      </c>
      <c r="AL504" s="601">
        <f t="shared" si="15"/>
        <v>1</v>
      </c>
      <c r="AM504" s="601">
        <v>1</v>
      </c>
      <c r="AN504" s="603" t="s">
        <v>17650</v>
      </c>
      <c r="AO504" s="603" t="s">
        <v>17651</v>
      </c>
      <c r="AP504" s="603" t="s">
        <v>17652</v>
      </c>
      <c r="AQ504" s="603" t="s">
        <v>17653</v>
      </c>
      <c r="AR504" s="603" t="s">
        <v>1024</v>
      </c>
      <c r="AS504" s="558">
        <v>1</v>
      </c>
    </row>
    <row r="505" spans="1:45" x14ac:dyDescent="0.2">
      <c r="A505" s="558" t="s">
        <v>615</v>
      </c>
      <c r="B505" s="558" t="s">
        <v>5509</v>
      </c>
      <c r="C505" s="558" t="s">
        <v>617</v>
      </c>
      <c r="D505" s="558" t="s">
        <v>23256</v>
      </c>
      <c r="E505" s="558" t="s">
        <v>192</v>
      </c>
      <c r="F505" s="563">
        <v>1</v>
      </c>
      <c r="G505" s="558" t="s">
        <v>193</v>
      </c>
      <c r="H505" s="558" t="s">
        <v>194</v>
      </c>
      <c r="I505" s="558" t="s">
        <v>23151</v>
      </c>
      <c r="J505" s="558" t="s">
        <v>210</v>
      </c>
      <c r="K505" s="558" t="s">
        <v>9309</v>
      </c>
      <c r="L505" s="558" t="s">
        <v>6955</v>
      </c>
      <c r="M505" s="558"/>
      <c r="N505" s="558" t="s">
        <v>24983</v>
      </c>
      <c r="O505" s="558" t="s">
        <v>6254</v>
      </c>
      <c r="P505" s="558" t="s">
        <v>24681</v>
      </c>
      <c r="Q505" s="558" t="s">
        <v>24618</v>
      </c>
      <c r="R505" s="558" t="s">
        <v>23158</v>
      </c>
      <c r="S505" s="558" t="s">
        <v>24984</v>
      </c>
      <c r="T505" s="558" t="s">
        <v>24985</v>
      </c>
      <c r="U505" s="558"/>
      <c r="V505" s="558" t="s">
        <v>9334</v>
      </c>
      <c r="W505" s="558" t="s">
        <v>618</v>
      </c>
      <c r="X505" s="558" t="s">
        <v>194</v>
      </c>
      <c r="Y505" s="558" t="s">
        <v>9300</v>
      </c>
      <c r="Z505" s="558"/>
      <c r="AA505" s="558"/>
      <c r="AB505" s="558" t="s">
        <v>9311</v>
      </c>
      <c r="AC505" s="558"/>
      <c r="AD505" s="558"/>
      <c r="AE505" s="558"/>
      <c r="AF505" s="558"/>
      <c r="AG505" s="558"/>
      <c r="AH505" s="558" t="s">
        <v>4714</v>
      </c>
      <c r="AI505" s="558" t="s">
        <v>5509</v>
      </c>
      <c r="AJ505" s="601" t="str">
        <f t="shared" si="14"/>
        <v>332104</v>
      </c>
      <c r="AK505" s="601">
        <v>1</v>
      </c>
      <c r="AL505" s="601">
        <f t="shared" si="15"/>
        <v>1</v>
      </c>
      <c r="AM505" s="601">
        <v>1</v>
      </c>
      <c r="AN505" s="603" t="s">
        <v>17650</v>
      </c>
      <c r="AO505" s="603" t="s">
        <v>17651</v>
      </c>
      <c r="AP505" s="603" t="s">
        <v>17652</v>
      </c>
      <c r="AQ505" s="603" t="s">
        <v>17653</v>
      </c>
      <c r="AR505" s="603" t="s">
        <v>1024</v>
      </c>
      <c r="AS505" s="558">
        <v>1</v>
      </c>
    </row>
    <row r="506" spans="1:45" x14ac:dyDescent="0.2">
      <c r="A506" s="558" t="s">
        <v>615</v>
      </c>
      <c r="B506" s="558" t="s">
        <v>5509</v>
      </c>
      <c r="C506" s="558" t="s">
        <v>617</v>
      </c>
      <c r="D506" s="558" t="s">
        <v>23256</v>
      </c>
      <c r="E506" s="558" t="s">
        <v>192</v>
      </c>
      <c r="F506" s="563">
        <v>1</v>
      </c>
      <c r="G506" s="558" t="s">
        <v>193</v>
      </c>
      <c r="H506" s="558" t="s">
        <v>194</v>
      </c>
      <c r="I506" s="558" t="s">
        <v>23151</v>
      </c>
      <c r="J506" s="558" t="s">
        <v>747</v>
      </c>
      <c r="K506" s="558" t="s">
        <v>9309</v>
      </c>
      <c r="L506" s="558" t="s">
        <v>6955</v>
      </c>
      <c r="M506" s="558"/>
      <c r="N506" s="558" t="s">
        <v>24986</v>
      </c>
      <c r="O506" s="558" t="s">
        <v>6254</v>
      </c>
      <c r="P506" s="558" t="s">
        <v>24681</v>
      </c>
      <c r="Q506" s="558" t="s">
        <v>24618</v>
      </c>
      <c r="R506" s="558" t="s">
        <v>23158</v>
      </c>
      <c r="S506" s="558" t="s">
        <v>24987</v>
      </c>
      <c r="T506" s="558" t="s">
        <v>24988</v>
      </c>
      <c r="U506" s="558"/>
      <c r="V506" s="558" t="s">
        <v>10397</v>
      </c>
      <c r="W506" s="558" t="s">
        <v>618</v>
      </c>
      <c r="X506" s="558" t="s">
        <v>194</v>
      </c>
      <c r="Y506" s="558" t="s">
        <v>9300</v>
      </c>
      <c r="Z506" s="558"/>
      <c r="AA506" s="558"/>
      <c r="AB506" s="558" t="s">
        <v>9311</v>
      </c>
      <c r="AC506" s="558"/>
      <c r="AD506" s="558"/>
      <c r="AE506" s="558"/>
      <c r="AF506" s="558"/>
      <c r="AG506" s="558"/>
      <c r="AH506" s="558" t="s">
        <v>4714</v>
      </c>
      <c r="AI506" s="558" t="s">
        <v>5509</v>
      </c>
      <c r="AJ506" s="601" t="str">
        <f t="shared" si="14"/>
        <v>332104</v>
      </c>
      <c r="AK506" s="601">
        <v>1</v>
      </c>
      <c r="AL506" s="601">
        <f t="shared" si="15"/>
        <v>1</v>
      </c>
      <c r="AM506" s="601">
        <v>1</v>
      </c>
      <c r="AN506" s="603" t="s">
        <v>17650</v>
      </c>
      <c r="AO506" s="603" t="s">
        <v>17651</v>
      </c>
      <c r="AP506" s="603" t="s">
        <v>17652</v>
      </c>
      <c r="AQ506" s="603" t="s">
        <v>17653</v>
      </c>
      <c r="AR506" s="603" t="s">
        <v>1024</v>
      </c>
      <c r="AS506" s="558">
        <v>1</v>
      </c>
    </row>
    <row r="507" spans="1:45" x14ac:dyDescent="0.2">
      <c r="A507" s="558" t="s">
        <v>14950</v>
      </c>
      <c r="B507" s="558" t="s">
        <v>261</v>
      </c>
      <c r="C507" s="558" t="s">
        <v>74</v>
      </c>
      <c r="D507" s="558" t="s">
        <v>23256</v>
      </c>
      <c r="E507" s="558" t="s">
        <v>192</v>
      </c>
      <c r="F507" s="563">
        <v>1</v>
      </c>
      <c r="G507" s="558" t="s">
        <v>193</v>
      </c>
      <c r="H507" s="558" t="s">
        <v>194</v>
      </c>
      <c r="I507" s="558" t="s">
        <v>23499</v>
      </c>
      <c r="J507" s="558" t="s">
        <v>408</v>
      </c>
      <c r="K507" s="558" t="s">
        <v>9309</v>
      </c>
      <c r="L507" s="558" t="s">
        <v>6955</v>
      </c>
      <c r="M507" s="558"/>
      <c r="N507" s="558" t="s">
        <v>24989</v>
      </c>
      <c r="O507" s="558" t="s">
        <v>6249</v>
      </c>
      <c r="P507" s="558" t="s">
        <v>24681</v>
      </c>
      <c r="Q507" s="558" t="s">
        <v>24618</v>
      </c>
      <c r="R507" s="558" t="s">
        <v>23158</v>
      </c>
      <c r="S507" s="558" t="s">
        <v>24990</v>
      </c>
      <c r="T507" s="558" t="s">
        <v>24991</v>
      </c>
      <c r="U507" s="558"/>
      <c r="V507" s="558" t="s">
        <v>9479</v>
      </c>
      <c r="W507" s="558" t="s">
        <v>246</v>
      </c>
      <c r="X507" s="558" t="s">
        <v>194</v>
      </c>
      <c r="Y507" s="558" t="s">
        <v>9300</v>
      </c>
      <c r="Z507" s="558"/>
      <c r="AA507" s="558"/>
      <c r="AB507" s="558" t="s">
        <v>9311</v>
      </c>
      <c r="AC507" s="558"/>
      <c r="AD507" s="558"/>
      <c r="AE507" s="558"/>
      <c r="AF507" s="558"/>
      <c r="AG507" s="558"/>
      <c r="AH507" s="558" t="s">
        <v>4714</v>
      </c>
      <c r="AI507" s="558" t="s">
        <v>261</v>
      </c>
      <c r="AJ507" s="601" t="str">
        <f t="shared" si="14"/>
        <v>142004</v>
      </c>
      <c r="AK507" s="601">
        <v>1</v>
      </c>
      <c r="AL507" s="601">
        <f t="shared" si="15"/>
        <v>1</v>
      </c>
      <c r="AM507" s="601">
        <v>1</v>
      </c>
      <c r="AN507" s="603" t="s">
        <v>17650</v>
      </c>
      <c r="AO507" s="603" t="s">
        <v>17651</v>
      </c>
      <c r="AP507" s="603" t="s">
        <v>17652</v>
      </c>
      <c r="AQ507" s="603" t="s">
        <v>17653</v>
      </c>
      <c r="AR507" s="603" t="s">
        <v>1024</v>
      </c>
      <c r="AS507" s="558">
        <v>1</v>
      </c>
    </row>
    <row r="508" spans="1:45" x14ac:dyDescent="0.2">
      <c r="A508" s="558" t="s">
        <v>1748</v>
      </c>
      <c r="B508" s="558" t="s">
        <v>2426</v>
      </c>
      <c r="C508" s="558" t="s">
        <v>18</v>
      </c>
      <c r="D508" s="558" t="s">
        <v>23256</v>
      </c>
      <c r="E508" s="558" t="s">
        <v>192</v>
      </c>
      <c r="F508" s="563">
        <v>1</v>
      </c>
      <c r="G508" s="558" t="s">
        <v>193</v>
      </c>
      <c r="H508" s="558" t="s">
        <v>194</v>
      </c>
      <c r="I508" s="558" t="s">
        <v>24556</v>
      </c>
      <c r="J508" s="558" t="s">
        <v>210</v>
      </c>
      <c r="K508" s="558" t="s">
        <v>9309</v>
      </c>
      <c r="L508" s="558" t="s">
        <v>6955</v>
      </c>
      <c r="M508" s="558"/>
      <c r="N508" s="558" t="s">
        <v>24992</v>
      </c>
      <c r="O508" s="558" t="s">
        <v>6340</v>
      </c>
      <c r="P508" s="558" t="s">
        <v>24681</v>
      </c>
      <c r="Q508" s="558" t="s">
        <v>24618</v>
      </c>
      <c r="R508" s="558" t="s">
        <v>23158</v>
      </c>
      <c r="S508" s="558" t="s">
        <v>24993</v>
      </c>
      <c r="T508" s="558" t="s">
        <v>24994</v>
      </c>
      <c r="U508" s="558"/>
      <c r="V508" s="558" t="s">
        <v>9334</v>
      </c>
      <c r="W508" s="558" t="s">
        <v>1476</v>
      </c>
      <c r="X508" s="558" t="s">
        <v>194</v>
      </c>
      <c r="Y508" s="558" t="s">
        <v>9300</v>
      </c>
      <c r="Z508" s="558"/>
      <c r="AA508" s="558"/>
      <c r="AB508" s="558" t="s">
        <v>9311</v>
      </c>
      <c r="AC508" s="558"/>
      <c r="AD508" s="558"/>
      <c r="AE508" s="558"/>
      <c r="AF508" s="558"/>
      <c r="AG508" s="558"/>
      <c r="AH508" s="558" t="s">
        <v>4714</v>
      </c>
      <c r="AI508" s="558" t="s">
        <v>2426</v>
      </c>
      <c r="AJ508" s="601" t="str">
        <f t="shared" si="14"/>
        <v>242309</v>
      </c>
      <c r="AK508" s="601">
        <v>1</v>
      </c>
      <c r="AL508" s="601">
        <f t="shared" si="15"/>
        <v>1</v>
      </c>
      <c r="AM508" s="601">
        <v>1</v>
      </c>
      <c r="AN508" s="603" t="s">
        <v>17650</v>
      </c>
      <c r="AO508" s="603" t="s">
        <v>17651</v>
      </c>
      <c r="AP508" s="603" t="s">
        <v>17652</v>
      </c>
      <c r="AQ508" s="603" t="s">
        <v>17653</v>
      </c>
      <c r="AR508" s="603" t="s">
        <v>1024</v>
      </c>
      <c r="AS508" s="558">
        <v>1</v>
      </c>
    </row>
    <row r="509" spans="1:45" x14ac:dyDescent="0.2">
      <c r="A509" s="558" t="s">
        <v>1544</v>
      </c>
      <c r="B509" s="558" t="s">
        <v>24995</v>
      </c>
      <c r="C509" s="558" t="s">
        <v>721</v>
      </c>
      <c r="D509" s="558" t="s">
        <v>23256</v>
      </c>
      <c r="E509" s="558" t="s">
        <v>192</v>
      </c>
      <c r="F509" s="563">
        <v>1</v>
      </c>
      <c r="G509" s="558" t="s">
        <v>193</v>
      </c>
      <c r="H509" s="558" t="s">
        <v>194</v>
      </c>
      <c r="I509" s="558" t="s">
        <v>24556</v>
      </c>
      <c r="J509" s="558" t="s">
        <v>309</v>
      </c>
      <c r="K509" s="558" t="s">
        <v>9309</v>
      </c>
      <c r="L509" s="558" t="s">
        <v>6955</v>
      </c>
      <c r="M509" s="558"/>
      <c r="N509" s="558" t="s">
        <v>24996</v>
      </c>
      <c r="O509" s="558" t="s">
        <v>6266</v>
      </c>
      <c r="P509" s="558" t="s">
        <v>24681</v>
      </c>
      <c r="Q509" s="558" t="s">
        <v>24618</v>
      </c>
      <c r="R509" s="558" t="s">
        <v>23158</v>
      </c>
      <c r="S509" s="558" t="s">
        <v>24997</v>
      </c>
      <c r="T509" s="558" t="s">
        <v>24998</v>
      </c>
      <c r="U509" s="558"/>
      <c r="V509" s="558" t="s">
        <v>9518</v>
      </c>
      <c r="W509" s="558" t="s">
        <v>723</v>
      </c>
      <c r="X509" s="558" t="s">
        <v>194</v>
      </c>
      <c r="Y509" s="558" t="s">
        <v>9300</v>
      </c>
      <c r="Z509" s="558"/>
      <c r="AA509" s="558"/>
      <c r="AB509" s="558" t="s">
        <v>9311</v>
      </c>
      <c r="AC509" s="558"/>
      <c r="AD509" s="558"/>
      <c r="AE509" s="558"/>
      <c r="AF509" s="558"/>
      <c r="AG509" s="558"/>
      <c r="AH509" s="558" t="s">
        <v>4714</v>
      </c>
      <c r="AI509" s="558" t="s">
        <v>24995</v>
      </c>
      <c r="AJ509" s="601" t="str">
        <f t="shared" si="14"/>
        <v>432201</v>
      </c>
      <c r="AK509" s="601">
        <v>1</v>
      </c>
      <c r="AL509" s="601">
        <f t="shared" si="15"/>
        <v>1</v>
      </c>
      <c r="AM509" s="601">
        <v>1</v>
      </c>
      <c r="AN509" s="603" t="s">
        <v>17650</v>
      </c>
      <c r="AO509" s="603" t="s">
        <v>17651</v>
      </c>
      <c r="AP509" s="603" t="s">
        <v>17652</v>
      </c>
      <c r="AQ509" s="603" t="s">
        <v>17653</v>
      </c>
      <c r="AR509" s="603" t="s">
        <v>1024</v>
      </c>
      <c r="AS509" s="558">
        <v>1</v>
      </c>
    </row>
    <row r="510" spans="1:45" x14ac:dyDescent="0.2">
      <c r="A510" s="558" t="s">
        <v>24894</v>
      </c>
      <c r="B510" s="558" t="s">
        <v>19497</v>
      </c>
      <c r="C510" s="558" t="s">
        <v>48</v>
      </c>
      <c r="D510" s="558" t="s">
        <v>23256</v>
      </c>
      <c r="E510" s="558" t="s">
        <v>192</v>
      </c>
      <c r="F510" s="563">
        <v>1</v>
      </c>
      <c r="G510" s="558" t="s">
        <v>193</v>
      </c>
      <c r="H510" s="558" t="s">
        <v>194</v>
      </c>
      <c r="I510" s="558" t="s">
        <v>23151</v>
      </c>
      <c r="J510" s="558" t="s">
        <v>4751</v>
      </c>
      <c r="K510" s="558" t="s">
        <v>9309</v>
      </c>
      <c r="L510" s="558" t="s">
        <v>6955</v>
      </c>
      <c r="M510" s="558"/>
      <c r="N510" s="558" t="s">
        <v>24999</v>
      </c>
      <c r="O510" s="558" t="s">
        <v>12529</v>
      </c>
      <c r="P510" s="558" t="s">
        <v>24681</v>
      </c>
      <c r="Q510" s="558" t="s">
        <v>24618</v>
      </c>
      <c r="R510" s="558" t="s">
        <v>23158</v>
      </c>
      <c r="S510" s="558" t="s">
        <v>25000</v>
      </c>
      <c r="T510" s="558" t="s">
        <v>25001</v>
      </c>
      <c r="U510" s="558"/>
      <c r="V510" s="558" t="s">
        <v>9472</v>
      </c>
      <c r="W510" s="558" t="s">
        <v>2296</v>
      </c>
      <c r="X510" s="558" t="s">
        <v>194</v>
      </c>
      <c r="Y510" s="558" t="s">
        <v>9300</v>
      </c>
      <c r="Z510" s="558"/>
      <c r="AA510" s="558"/>
      <c r="AB510" s="558" t="s">
        <v>9311</v>
      </c>
      <c r="AC510" s="558"/>
      <c r="AD510" s="558"/>
      <c r="AE510" s="558"/>
      <c r="AF510" s="558"/>
      <c r="AG510" s="558"/>
      <c r="AH510" s="558" t="s">
        <v>4714</v>
      </c>
      <c r="AI510" s="558" t="s">
        <v>19497</v>
      </c>
      <c r="AJ510" s="601" t="str">
        <f t="shared" si="14"/>
        <v>321401</v>
      </c>
      <c r="AK510" s="601">
        <v>1</v>
      </c>
      <c r="AL510" s="601">
        <f t="shared" si="15"/>
        <v>1</v>
      </c>
      <c r="AM510" s="601">
        <v>1</v>
      </c>
      <c r="AN510" s="603" t="s">
        <v>17650</v>
      </c>
      <c r="AO510" s="603" t="s">
        <v>17651</v>
      </c>
      <c r="AP510" s="603" t="s">
        <v>17652</v>
      </c>
      <c r="AQ510" s="603" t="s">
        <v>17653</v>
      </c>
      <c r="AR510" s="603" t="s">
        <v>1024</v>
      </c>
      <c r="AS510" s="558">
        <v>1</v>
      </c>
    </row>
    <row r="511" spans="1:45" x14ac:dyDescent="0.2">
      <c r="A511" s="558" t="s">
        <v>8231</v>
      </c>
      <c r="B511" s="558" t="s">
        <v>25002</v>
      </c>
      <c r="C511" s="558" t="s">
        <v>574</v>
      </c>
      <c r="D511" s="558" t="s">
        <v>23256</v>
      </c>
      <c r="E511" s="558" t="s">
        <v>192</v>
      </c>
      <c r="F511" s="563">
        <v>1</v>
      </c>
      <c r="G511" s="558" t="s">
        <v>193</v>
      </c>
      <c r="H511" s="558" t="s">
        <v>194</v>
      </c>
      <c r="I511" s="558" t="s">
        <v>23158</v>
      </c>
      <c r="J511" s="558" t="s">
        <v>223</v>
      </c>
      <c r="K511" s="558" t="s">
        <v>9309</v>
      </c>
      <c r="L511" s="558" t="s">
        <v>6955</v>
      </c>
      <c r="M511" s="558"/>
      <c r="N511" s="558" t="s">
        <v>25003</v>
      </c>
      <c r="O511" s="558" t="s">
        <v>6275</v>
      </c>
      <c r="P511" s="558" t="s">
        <v>24681</v>
      </c>
      <c r="Q511" s="558" t="s">
        <v>24618</v>
      </c>
      <c r="R511" s="558" t="s">
        <v>23158</v>
      </c>
      <c r="S511" s="558" t="s">
        <v>25004</v>
      </c>
      <c r="T511" s="558" t="s">
        <v>25005</v>
      </c>
      <c r="U511" s="558"/>
      <c r="V511" s="558" t="s">
        <v>11163</v>
      </c>
      <c r="W511" s="558" t="s">
        <v>576</v>
      </c>
      <c r="X511" s="558" t="s">
        <v>194</v>
      </c>
      <c r="Y511" s="558" t="s">
        <v>9300</v>
      </c>
      <c r="Z511" s="558"/>
      <c r="AA511" s="558"/>
      <c r="AB511" s="558" t="s">
        <v>9311</v>
      </c>
      <c r="AC511" s="558"/>
      <c r="AD511" s="558"/>
      <c r="AE511" s="558"/>
      <c r="AF511" s="558"/>
      <c r="AG511" s="558"/>
      <c r="AH511" s="558" t="s">
        <v>4714</v>
      </c>
      <c r="AI511" s="558" t="s">
        <v>25002</v>
      </c>
      <c r="AJ511" s="601" t="str">
        <f t="shared" si="14"/>
        <v>311509</v>
      </c>
      <c r="AK511" s="601">
        <v>1</v>
      </c>
      <c r="AL511" s="601">
        <f t="shared" si="15"/>
        <v>1</v>
      </c>
      <c r="AM511" s="601">
        <v>1</v>
      </c>
      <c r="AN511" s="603" t="s">
        <v>17650</v>
      </c>
      <c r="AO511" s="603" t="s">
        <v>17651</v>
      </c>
      <c r="AP511" s="603" t="s">
        <v>17652</v>
      </c>
      <c r="AQ511" s="603" t="s">
        <v>17653</v>
      </c>
      <c r="AR511" s="603" t="s">
        <v>1024</v>
      </c>
      <c r="AS511" s="558">
        <v>1</v>
      </c>
    </row>
    <row r="512" spans="1:45" x14ac:dyDescent="0.2">
      <c r="A512" s="558" t="s">
        <v>11871</v>
      </c>
      <c r="B512" s="558" t="s">
        <v>1760</v>
      </c>
      <c r="C512" s="558" t="s">
        <v>122</v>
      </c>
      <c r="D512" s="558" t="s">
        <v>23256</v>
      </c>
      <c r="E512" s="558" t="s">
        <v>192</v>
      </c>
      <c r="F512" s="563">
        <v>1</v>
      </c>
      <c r="G512" s="558" t="s">
        <v>193</v>
      </c>
      <c r="H512" s="558" t="s">
        <v>194</v>
      </c>
      <c r="I512" s="558" t="s">
        <v>23164</v>
      </c>
      <c r="J512" s="558" t="s">
        <v>672</v>
      </c>
      <c r="K512" s="558" t="s">
        <v>9309</v>
      </c>
      <c r="L512" s="558" t="s">
        <v>6955</v>
      </c>
      <c r="M512" s="558"/>
      <c r="N512" s="558" t="s">
        <v>25006</v>
      </c>
      <c r="O512" s="558" t="s">
        <v>7489</v>
      </c>
      <c r="P512" s="558" t="s">
        <v>24681</v>
      </c>
      <c r="Q512" s="558" t="s">
        <v>24618</v>
      </c>
      <c r="R512" s="558" t="s">
        <v>23158</v>
      </c>
      <c r="S512" s="558" t="s">
        <v>25007</v>
      </c>
      <c r="T512" s="558" t="s">
        <v>25008</v>
      </c>
      <c r="U512" s="558"/>
      <c r="V512" s="558" t="s">
        <v>9726</v>
      </c>
      <c r="W512" s="558" t="s">
        <v>655</v>
      </c>
      <c r="X512" s="558" t="s">
        <v>194</v>
      </c>
      <c r="Y512" s="558" t="s">
        <v>9300</v>
      </c>
      <c r="Z512" s="558"/>
      <c r="AA512" s="558"/>
      <c r="AB512" s="558" t="s">
        <v>9311</v>
      </c>
      <c r="AC512" s="558"/>
      <c r="AD512" s="558"/>
      <c r="AE512" s="558"/>
      <c r="AF512" s="558"/>
      <c r="AG512" s="558"/>
      <c r="AH512" s="558" t="s">
        <v>4714</v>
      </c>
      <c r="AI512" s="558" t="s">
        <v>1760</v>
      </c>
      <c r="AJ512" s="601" t="str">
        <f t="shared" si="14"/>
        <v>332301</v>
      </c>
      <c r="AK512" s="601">
        <v>1</v>
      </c>
      <c r="AL512" s="601">
        <f t="shared" si="15"/>
        <v>1</v>
      </c>
      <c r="AM512" s="601">
        <v>1</v>
      </c>
      <c r="AN512" s="603" t="s">
        <v>17650</v>
      </c>
      <c r="AO512" s="603" t="s">
        <v>17651</v>
      </c>
      <c r="AP512" s="603" t="s">
        <v>17652</v>
      </c>
      <c r="AQ512" s="603" t="s">
        <v>17653</v>
      </c>
      <c r="AR512" s="603" t="s">
        <v>1024</v>
      </c>
      <c r="AS512" s="558">
        <v>1</v>
      </c>
    </row>
    <row r="513" spans="1:45" x14ac:dyDescent="0.2">
      <c r="A513" s="558" t="s">
        <v>10644</v>
      </c>
      <c r="B513" s="558" t="s">
        <v>6074</v>
      </c>
      <c r="C513" s="558" t="s">
        <v>20</v>
      </c>
      <c r="D513" s="558" t="s">
        <v>23256</v>
      </c>
      <c r="E513" s="558" t="s">
        <v>192</v>
      </c>
      <c r="F513" s="563">
        <v>1</v>
      </c>
      <c r="G513" s="558" t="s">
        <v>193</v>
      </c>
      <c r="H513" s="558" t="s">
        <v>194</v>
      </c>
      <c r="I513" s="558" t="s">
        <v>23186</v>
      </c>
      <c r="J513" s="558" t="s">
        <v>385</v>
      </c>
      <c r="K513" s="558" t="s">
        <v>9309</v>
      </c>
      <c r="L513" s="558" t="s">
        <v>6955</v>
      </c>
      <c r="M513" s="558"/>
      <c r="N513" s="558" t="s">
        <v>25009</v>
      </c>
      <c r="O513" s="558" t="s">
        <v>6279</v>
      </c>
      <c r="P513" s="558" t="s">
        <v>24681</v>
      </c>
      <c r="Q513" s="558" t="s">
        <v>24618</v>
      </c>
      <c r="R513" s="558" t="s">
        <v>23158</v>
      </c>
      <c r="S513" s="558" t="s">
        <v>25010</v>
      </c>
      <c r="T513" s="558" t="s">
        <v>25011</v>
      </c>
      <c r="U513" s="558"/>
      <c r="V513" s="558" t="s">
        <v>9410</v>
      </c>
      <c r="W513" s="558" t="s">
        <v>286</v>
      </c>
      <c r="X513" s="558" t="s">
        <v>194</v>
      </c>
      <c r="Y513" s="558" t="s">
        <v>9300</v>
      </c>
      <c r="Z513" s="558"/>
      <c r="AA513" s="558"/>
      <c r="AB513" s="558" t="s">
        <v>9311</v>
      </c>
      <c r="AC513" s="558"/>
      <c r="AD513" s="558"/>
      <c r="AE513" s="558"/>
      <c r="AF513" s="558"/>
      <c r="AG513" s="558"/>
      <c r="AH513" s="558" t="s">
        <v>4714</v>
      </c>
      <c r="AI513" s="558" t="s">
        <v>6074</v>
      </c>
      <c r="AJ513" s="601" t="str">
        <f t="shared" si="14"/>
        <v>214109</v>
      </c>
      <c r="AK513" s="601">
        <v>1</v>
      </c>
      <c r="AL513" s="601">
        <f t="shared" si="15"/>
        <v>1</v>
      </c>
      <c r="AM513" s="601">
        <v>1</v>
      </c>
      <c r="AN513" s="603" t="s">
        <v>17650</v>
      </c>
      <c r="AO513" s="603" t="s">
        <v>17651</v>
      </c>
      <c r="AP513" s="603" t="s">
        <v>17652</v>
      </c>
      <c r="AQ513" s="603" t="s">
        <v>17653</v>
      </c>
      <c r="AR513" s="603" t="s">
        <v>1024</v>
      </c>
      <c r="AS513" s="558">
        <v>1</v>
      </c>
    </row>
    <row r="514" spans="1:45" x14ac:dyDescent="0.2">
      <c r="A514" s="558" t="s">
        <v>10644</v>
      </c>
      <c r="B514" s="558" t="s">
        <v>6074</v>
      </c>
      <c r="C514" s="558" t="s">
        <v>20</v>
      </c>
      <c r="D514" s="558" t="s">
        <v>23256</v>
      </c>
      <c r="E514" s="558" t="s">
        <v>192</v>
      </c>
      <c r="F514" s="563">
        <v>1</v>
      </c>
      <c r="G514" s="558" t="s">
        <v>193</v>
      </c>
      <c r="H514" s="558" t="s">
        <v>194</v>
      </c>
      <c r="I514" s="558" t="s">
        <v>23186</v>
      </c>
      <c r="J514" s="558" t="s">
        <v>575</v>
      </c>
      <c r="K514" s="558" t="s">
        <v>9309</v>
      </c>
      <c r="L514" s="558" t="s">
        <v>6955</v>
      </c>
      <c r="M514" s="558"/>
      <c r="N514" s="558" t="s">
        <v>25012</v>
      </c>
      <c r="O514" s="558" t="s">
        <v>6279</v>
      </c>
      <c r="P514" s="558" t="s">
        <v>24681</v>
      </c>
      <c r="Q514" s="558" t="s">
        <v>24618</v>
      </c>
      <c r="R514" s="558" t="s">
        <v>23158</v>
      </c>
      <c r="S514" s="558" t="s">
        <v>25013</v>
      </c>
      <c r="T514" s="558" t="s">
        <v>25014</v>
      </c>
      <c r="U514" s="558"/>
      <c r="V514" s="558" t="s">
        <v>9726</v>
      </c>
      <c r="W514" s="558" t="s">
        <v>286</v>
      </c>
      <c r="X514" s="558" t="s">
        <v>194</v>
      </c>
      <c r="Y514" s="558" t="s">
        <v>9300</v>
      </c>
      <c r="Z514" s="558"/>
      <c r="AA514" s="558"/>
      <c r="AB514" s="558" t="s">
        <v>9311</v>
      </c>
      <c r="AC514" s="558"/>
      <c r="AD514" s="558"/>
      <c r="AE514" s="558"/>
      <c r="AF514" s="558"/>
      <c r="AG514" s="558"/>
      <c r="AH514" s="558" t="s">
        <v>4714</v>
      </c>
      <c r="AI514" s="558" t="s">
        <v>6074</v>
      </c>
      <c r="AJ514" s="601" t="str">
        <f t="shared" si="14"/>
        <v>214109</v>
      </c>
      <c r="AK514" s="601">
        <v>1</v>
      </c>
      <c r="AL514" s="601">
        <f t="shared" si="15"/>
        <v>1</v>
      </c>
      <c r="AM514" s="601">
        <v>1</v>
      </c>
      <c r="AN514" s="603" t="s">
        <v>17650</v>
      </c>
      <c r="AO514" s="603" t="s">
        <v>17651</v>
      </c>
      <c r="AP514" s="603" t="s">
        <v>17652</v>
      </c>
      <c r="AQ514" s="603" t="s">
        <v>17653</v>
      </c>
      <c r="AR514" s="603" t="s">
        <v>1024</v>
      </c>
      <c r="AS514" s="558">
        <v>1</v>
      </c>
    </row>
    <row r="515" spans="1:45" x14ac:dyDescent="0.2">
      <c r="A515" s="558" t="s">
        <v>19537</v>
      </c>
      <c r="B515" s="558" t="s">
        <v>25015</v>
      </c>
      <c r="C515" s="558" t="s">
        <v>20</v>
      </c>
      <c r="D515" s="558" t="s">
        <v>23256</v>
      </c>
      <c r="E515" s="558" t="s">
        <v>192</v>
      </c>
      <c r="F515" s="563">
        <v>1</v>
      </c>
      <c r="G515" s="558" t="s">
        <v>193</v>
      </c>
      <c r="H515" s="558" t="s">
        <v>194</v>
      </c>
      <c r="I515" s="558" t="s">
        <v>23158</v>
      </c>
      <c r="J515" s="558" t="s">
        <v>672</v>
      </c>
      <c r="K515" s="558" t="s">
        <v>9309</v>
      </c>
      <c r="L515" s="558" t="s">
        <v>6955</v>
      </c>
      <c r="M515" s="558"/>
      <c r="N515" s="558" t="s">
        <v>25016</v>
      </c>
      <c r="O515" s="558" t="s">
        <v>6279</v>
      </c>
      <c r="P515" s="558" t="s">
        <v>24681</v>
      </c>
      <c r="Q515" s="558" t="s">
        <v>24618</v>
      </c>
      <c r="R515" s="558" t="s">
        <v>23158</v>
      </c>
      <c r="S515" s="558" t="s">
        <v>25017</v>
      </c>
      <c r="T515" s="558" t="s">
        <v>25018</v>
      </c>
      <c r="U515" s="558"/>
      <c r="V515" s="558" t="s">
        <v>9726</v>
      </c>
      <c r="W515" s="558" t="s">
        <v>286</v>
      </c>
      <c r="X515" s="558" t="s">
        <v>194</v>
      </c>
      <c r="Y515" s="558" t="s">
        <v>9300</v>
      </c>
      <c r="Z515" s="558"/>
      <c r="AA515" s="558"/>
      <c r="AB515" s="558" t="s">
        <v>9311</v>
      </c>
      <c r="AC515" s="558"/>
      <c r="AD515" s="558"/>
      <c r="AE515" s="558"/>
      <c r="AF515" s="558"/>
      <c r="AG515" s="558"/>
      <c r="AH515" s="558" t="s">
        <v>4714</v>
      </c>
      <c r="AI515" s="558" t="s">
        <v>25015</v>
      </c>
      <c r="AJ515" s="601" t="str">
        <f t="shared" ref="AJ515:AJ578" si="16">MID(W515,8,6)</f>
        <v>214109</v>
      </c>
      <c r="AK515" s="601">
        <v>1</v>
      </c>
      <c r="AL515" s="601">
        <f t="shared" ref="AL515:AL578" si="17">F515</f>
        <v>1</v>
      </c>
      <c r="AM515" s="601">
        <v>1</v>
      </c>
      <c r="AN515" s="603" t="s">
        <v>17650</v>
      </c>
      <c r="AO515" s="603" t="s">
        <v>17651</v>
      </c>
      <c r="AP515" s="603" t="s">
        <v>17652</v>
      </c>
      <c r="AQ515" s="603" t="s">
        <v>17653</v>
      </c>
      <c r="AR515" s="603" t="s">
        <v>1024</v>
      </c>
      <c r="AS515" s="558">
        <v>1</v>
      </c>
    </row>
    <row r="516" spans="1:45" x14ac:dyDescent="0.2">
      <c r="A516" s="558" t="s">
        <v>1523</v>
      </c>
      <c r="B516" s="558" t="s">
        <v>25019</v>
      </c>
      <c r="C516" s="558" t="s">
        <v>6156</v>
      </c>
      <c r="D516" s="558" t="s">
        <v>23256</v>
      </c>
      <c r="E516" s="558" t="s">
        <v>192</v>
      </c>
      <c r="F516" s="565">
        <v>4</v>
      </c>
      <c r="G516" s="558" t="s">
        <v>193</v>
      </c>
      <c r="H516" s="558" t="s">
        <v>194</v>
      </c>
      <c r="I516" s="558" t="s">
        <v>23186</v>
      </c>
      <c r="J516" s="558" t="s">
        <v>210</v>
      </c>
      <c r="K516" s="558" t="s">
        <v>9309</v>
      </c>
      <c r="L516" s="558" t="s">
        <v>6955</v>
      </c>
      <c r="M516" s="558"/>
      <c r="N516" s="558" t="s">
        <v>25020</v>
      </c>
      <c r="O516" s="558" t="s">
        <v>6327</v>
      </c>
      <c r="P516" s="558" t="s">
        <v>24681</v>
      </c>
      <c r="Q516" s="558" t="s">
        <v>24618</v>
      </c>
      <c r="R516" s="558" t="s">
        <v>23158</v>
      </c>
      <c r="S516" s="558" t="s">
        <v>25021</v>
      </c>
      <c r="T516" s="558" t="s">
        <v>25022</v>
      </c>
      <c r="U516" s="558"/>
      <c r="V516" s="558" t="s">
        <v>9334</v>
      </c>
      <c r="W516" s="558" t="s">
        <v>6158</v>
      </c>
      <c r="X516" s="558" t="s">
        <v>194</v>
      </c>
      <c r="Y516" s="558" t="s">
        <v>9300</v>
      </c>
      <c r="Z516" s="558"/>
      <c r="AA516" s="558"/>
      <c r="AB516" s="558" t="s">
        <v>9311</v>
      </c>
      <c r="AC516" s="558"/>
      <c r="AD516" s="558"/>
      <c r="AE516" s="558"/>
      <c r="AF516" s="558"/>
      <c r="AG516" s="558"/>
      <c r="AH516" s="558" t="s">
        <v>4714</v>
      </c>
      <c r="AI516" s="558" t="s">
        <v>25019</v>
      </c>
      <c r="AJ516" s="601" t="str">
        <f t="shared" si="16"/>
        <v>241204</v>
      </c>
      <c r="AK516" s="601">
        <v>1</v>
      </c>
      <c r="AL516" s="601">
        <f t="shared" si="17"/>
        <v>4</v>
      </c>
      <c r="AM516" s="601">
        <v>1</v>
      </c>
      <c r="AN516" s="603" t="s">
        <v>17650</v>
      </c>
      <c r="AO516" s="603" t="s">
        <v>17651</v>
      </c>
      <c r="AP516" s="603" t="s">
        <v>17652</v>
      </c>
      <c r="AQ516" s="603" t="s">
        <v>17653</v>
      </c>
      <c r="AR516" s="603" t="s">
        <v>1024</v>
      </c>
      <c r="AS516" s="558">
        <v>1</v>
      </c>
    </row>
    <row r="517" spans="1:45" x14ac:dyDescent="0.2">
      <c r="A517" s="558" t="s">
        <v>20071</v>
      </c>
      <c r="B517" s="558" t="s">
        <v>25023</v>
      </c>
      <c r="C517" s="558" t="s">
        <v>43</v>
      </c>
      <c r="D517" s="558" t="s">
        <v>23256</v>
      </c>
      <c r="E517" s="558" t="s">
        <v>192</v>
      </c>
      <c r="F517" s="563">
        <v>1</v>
      </c>
      <c r="G517" s="558" t="s">
        <v>193</v>
      </c>
      <c r="H517" s="558" t="s">
        <v>194</v>
      </c>
      <c r="I517" s="558" t="s">
        <v>23307</v>
      </c>
      <c r="J517" s="558" t="s">
        <v>9302</v>
      </c>
      <c r="K517" s="558" t="s">
        <v>9309</v>
      </c>
      <c r="L517" s="558" t="s">
        <v>6955</v>
      </c>
      <c r="M517" s="558"/>
      <c r="N517" s="558" t="s">
        <v>25024</v>
      </c>
      <c r="O517" s="558" t="s">
        <v>6245</v>
      </c>
      <c r="P517" s="558" t="s">
        <v>24681</v>
      </c>
      <c r="Q517" s="558" t="s">
        <v>24618</v>
      </c>
      <c r="R517" s="558" t="s">
        <v>23158</v>
      </c>
      <c r="S517" s="558" t="s">
        <v>25025</v>
      </c>
      <c r="T517" s="558" t="s">
        <v>25026</v>
      </c>
      <c r="U517" s="558"/>
      <c r="V517" s="603"/>
      <c r="W517" s="558" t="s">
        <v>452</v>
      </c>
      <c r="X517" s="558" t="s">
        <v>193</v>
      </c>
      <c r="Y517" s="558" t="s">
        <v>9310</v>
      </c>
      <c r="Z517" s="558"/>
      <c r="AA517" s="558"/>
      <c r="AB517" s="558" t="s">
        <v>9311</v>
      </c>
      <c r="AC517" s="558"/>
      <c r="AD517" s="558"/>
      <c r="AE517" s="558"/>
      <c r="AF517" s="558"/>
      <c r="AG517" s="558"/>
      <c r="AH517" s="558" t="s">
        <v>4714</v>
      </c>
      <c r="AI517" s="558" t="s">
        <v>25023</v>
      </c>
      <c r="AJ517" s="601" t="str">
        <f t="shared" si="16"/>
        <v>243106</v>
      </c>
      <c r="AK517" s="601">
        <v>1</v>
      </c>
      <c r="AL517" s="601">
        <f t="shared" si="17"/>
        <v>1</v>
      </c>
      <c r="AM517" s="601">
        <v>1</v>
      </c>
      <c r="AN517" s="603" t="s">
        <v>17650</v>
      </c>
      <c r="AO517" s="603" t="s">
        <v>17651</v>
      </c>
      <c r="AP517" s="603" t="s">
        <v>17652</v>
      </c>
      <c r="AQ517" s="603" t="s">
        <v>17653</v>
      </c>
      <c r="AR517" s="603" t="s">
        <v>1024</v>
      </c>
      <c r="AS517" s="558">
        <v>1</v>
      </c>
    </row>
    <row r="518" spans="1:45" x14ac:dyDescent="0.2">
      <c r="A518" s="558" t="s">
        <v>22549</v>
      </c>
      <c r="B518" s="558" t="s">
        <v>25027</v>
      </c>
      <c r="C518" s="558" t="s">
        <v>4034</v>
      </c>
      <c r="D518" s="558" t="s">
        <v>23256</v>
      </c>
      <c r="E518" s="558" t="s">
        <v>192</v>
      </c>
      <c r="F518" s="563">
        <v>1</v>
      </c>
      <c r="G518" s="558" t="s">
        <v>193</v>
      </c>
      <c r="H518" s="558" t="s">
        <v>194</v>
      </c>
      <c r="I518" s="558" t="s">
        <v>24556</v>
      </c>
      <c r="J518" s="558" t="s">
        <v>8129</v>
      </c>
      <c r="K518" s="558" t="s">
        <v>9309</v>
      </c>
      <c r="L518" s="558" t="s">
        <v>6955</v>
      </c>
      <c r="M518" s="558"/>
      <c r="N518" s="558" t="s">
        <v>25028</v>
      </c>
      <c r="O518" s="558" t="s">
        <v>6286</v>
      </c>
      <c r="P518" s="558" t="s">
        <v>24681</v>
      </c>
      <c r="Q518" s="558" t="s">
        <v>24618</v>
      </c>
      <c r="R518" s="558" t="s">
        <v>23835</v>
      </c>
      <c r="S518" s="558" t="s">
        <v>25029</v>
      </c>
      <c r="T518" s="558" t="s">
        <v>25030</v>
      </c>
      <c r="U518" s="558"/>
      <c r="V518" s="558" t="s">
        <v>9726</v>
      </c>
      <c r="W518" s="558" t="s">
        <v>4035</v>
      </c>
      <c r="X518" s="558" t="s">
        <v>194</v>
      </c>
      <c r="Y518" s="558" t="s">
        <v>9300</v>
      </c>
      <c r="Z518" s="558"/>
      <c r="AA518" s="558"/>
      <c r="AB518" s="558" t="s">
        <v>9311</v>
      </c>
      <c r="AC518" s="558"/>
      <c r="AD518" s="558"/>
      <c r="AE518" s="558"/>
      <c r="AF518" s="558"/>
      <c r="AG518" s="558"/>
      <c r="AH518" s="558" t="s">
        <v>4714</v>
      </c>
      <c r="AI518" s="558" t="s">
        <v>25027</v>
      </c>
      <c r="AJ518" s="601" t="str">
        <f t="shared" si="16"/>
        <v>422602</v>
      </c>
      <c r="AK518" s="601">
        <v>1</v>
      </c>
      <c r="AL518" s="601">
        <f t="shared" si="17"/>
        <v>1</v>
      </c>
      <c r="AM518" s="601">
        <v>1</v>
      </c>
      <c r="AN518" s="603" t="s">
        <v>17650</v>
      </c>
      <c r="AO518" s="603" t="s">
        <v>17651</v>
      </c>
      <c r="AP518" s="603" t="s">
        <v>17652</v>
      </c>
      <c r="AQ518" s="603" t="s">
        <v>17653</v>
      </c>
      <c r="AR518" s="603" t="s">
        <v>1024</v>
      </c>
      <c r="AS518" s="558">
        <v>1</v>
      </c>
    </row>
    <row r="519" spans="1:45" x14ac:dyDescent="0.2">
      <c r="A519" s="558" t="s">
        <v>380</v>
      </c>
      <c r="B519" s="558" t="s">
        <v>25031</v>
      </c>
      <c r="C519" s="558" t="s">
        <v>69</v>
      </c>
      <c r="D519" s="558" t="s">
        <v>23256</v>
      </c>
      <c r="E519" s="558" t="s">
        <v>192</v>
      </c>
      <c r="F519" s="563">
        <v>1</v>
      </c>
      <c r="G519" s="558" t="s">
        <v>193</v>
      </c>
      <c r="H519" s="558" t="s">
        <v>194</v>
      </c>
      <c r="I519" s="558" t="s">
        <v>23164</v>
      </c>
      <c r="J519" s="558" t="s">
        <v>210</v>
      </c>
      <c r="K519" s="558" t="s">
        <v>9309</v>
      </c>
      <c r="L519" s="558" t="s">
        <v>6955</v>
      </c>
      <c r="M519" s="558"/>
      <c r="N519" s="558" t="s">
        <v>25032</v>
      </c>
      <c r="O519" s="558" t="s">
        <v>6249</v>
      </c>
      <c r="P519" s="558" t="s">
        <v>24681</v>
      </c>
      <c r="Q519" s="558" t="s">
        <v>24618</v>
      </c>
      <c r="R519" s="558" t="s">
        <v>23158</v>
      </c>
      <c r="S519" s="558" t="s">
        <v>25033</v>
      </c>
      <c r="T519" s="558" t="s">
        <v>25034</v>
      </c>
      <c r="U519" s="558"/>
      <c r="V519" s="558" t="s">
        <v>9334</v>
      </c>
      <c r="W519" s="558" t="s">
        <v>375</v>
      </c>
      <c r="X519" s="558" t="s">
        <v>194</v>
      </c>
      <c r="Y519" s="558" t="s">
        <v>9300</v>
      </c>
      <c r="Z519" s="558"/>
      <c r="AA519" s="558"/>
      <c r="AB519" s="558" t="s">
        <v>9311</v>
      </c>
      <c r="AC519" s="558"/>
      <c r="AD519" s="558"/>
      <c r="AE519" s="558"/>
      <c r="AF519" s="558"/>
      <c r="AG519" s="558"/>
      <c r="AH519" s="558" t="s">
        <v>4714</v>
      </c>
      <c r="AI519" s="558" t="s">
        <v>25031</v>
      </c>
      <c r="AJ519" s="601" t="str">
        <f t="shared" si="16"/>
        <v>215301</v>
      </c>
      <c r="AK519" s="601">
        <v>1</v>
      </c>
      <c r="AL519" s="601">
        <f t="shared" si="17"/>
        <v>1</v>
      </c>
      <c r="AM519" s="601">
        <v>1</v>
      </c>
      <c r="AN519" s="603" t="s">
        <v>17650</v>
      </c>
      <c r="AO519" s="603" t="s">
        <v>17651</v>
      </c>
      <c r="AP519" s="603" t="s">
        <v>17652</v>
      </c>
      <c r="AQ519" s="603" t="s">
        <v>17653</v>
      </c>
      <c r="AR519" s="603" t="s">
        <v>1024</v>
      </c>
      <c r="AS519" s="558">
        <v>1</v>
      </c>
    </row>
    <row r="520" spans="1:45" x14ac:dyDescent="0.2">
      <c r="A520" s="558" t="s">
        <v>25035</v>
      </c>
      <c r="B520" s="558" t="s">
        <v>25036</v>
      </c>
      <c r="C520" s="558" t="s">
        <v>778</v>
      </c>
      <c r="D520" s="558" t="s">
        <v>23256</v>
      </c>
      <c r="E520" s="558" t="s">
        <v>192</v>
      </c>
      <c r="F520" s="563">
        <v>1</v>
      </c>
      <c r="G520" s="558" t="s">
        <v>193</v>
      </c>
      <c r="H520" s="558" t="s">
        <v>194</v>
      </c>
      <c r="I520" s="558" t="s">
        <v>24556</v>
      </c>
      <c r="J520" s="558" t="s">
        <v>408</v>
      </c>
      <c r="K520" s="558" t="s">
        <v>9309</v>
      </c>
      <c r="L520" s="558" t="s">
        <v>6955</v>
      </c>
      <c r="M520" s="558"/>
      <c r="N520" s="558" t="s">
        <v>25037</v>
      </c>
      <c r="O520" s="558" t="s">
        <v>6251</v>
      </c>
      <c r="P520" s="558" t="s">
        <v>24681</v>
      </c>
      <c r="Q520" s="558" t="s">
        <v>24618</v>
      </c>
      <c r="R520" s="558" t="s">
        <v>23158</v>
      </c>
      <c r="S520" s="558" t="s">
        <v>25038</v>
      </c>
      <c r="T520" s="558" t="s">
        <v>25039</v>
      </c>
      <c r="U520" s="558"/>
      <c r="V520" s="558" t="s">
        <v>9479</v>
      </c>
      <c r="W520" s="558" t="s">
        <v>779</v>
      </c>
      <c r="X520" s="558" t="s">
        <v>194</v>
      </c>
      <c r="Y520" s="558" t="s">
        <v>9300</v>
      </c>
      <c r="Z520" s="558"/>
      <c r="AA520" s="558"/>
      <c r="AB520" s="558" t="s">
        <v>9311</v>
      </c>
      <c r="AC520" s="558"/>
      <c r="AD520" s="558"/>
      <c r="AE520" s="558"/>
      <c r="AF520" s="558"/>
      <c r="AG520" s="558"/>
      <c r="AH520" s="558" t="s">
        <v>4714</v>
      </c>
      <c r="AI520" s="558" t="s">
        <v>25036</v>
      </c>
      <c r="AJ520" s="601" t="str">
        <f t="shared" si="16"/>
        <v>524902</v>
      </c>
      <c r="AK520" s="601">
        <v>1</v>
      </c>
      <c r="AL520" s="601">
        <f t="shared" si="17"/>
        <v>1</v>
      </c>
      <c r="AM520" s="601">
        <v>1</v>
      </c>
      <c r="AN520" s="603" t="s">
        <v>17650</v>
      </c>
      <c r="AO520" s="603" t="s">
        <v>17651</v>
      </c>
      <c r="AP520" s="603" t="s">
        <v>17652</v>
      </c>
      <c r="AQ520" s="603" t="s">
        <v>17653</v>
      </c>
      <c r="AR520" s="603" t="s">
        <v>1024</v>
      </c>
      <c r="AS520" s="558">
        <v>1</v>
      </c>
    </row>
    <row r="521" spans="1:45" x14ac:dyDescent="0.2">
      <c r="A521" s="558" t="s">
        <v>19615</v>
      </c>
      <c r="B521" s="558" t="s">
        <v>25040</v>
      </c>
      <c r="C521" s="558" t="s">
        <v>21</v>
      </c>
      <c r="D521" s="558" t="s">
        <v>23256</v>
      </c>
      <c r="E521" s="558" t="s">
        <v>192</v>
      </c>
      <c r="F521" s="563">
        <v>1</v>
      </c>
      <c r="G521" s="558" t="s">
        <v>193</v>
      </c>
      <c r="H521" s="558" t="s">
        <v>194</v>
      </c>
      <c r="I521" s="558" t="s">
        <v>23307</v>
      </c>
      <c r="J521" s="558" t="s">
        <v>9302</v>
      </c>
      <c r="K521" s="558" t="s">
        <v>9309</v>
      </c>
      <c r="L521" s="558" t="s">
        <v>6955</v>
      </c>
      <c r="M521" s="558"/>
      <c r="N521" s="558" t="s">
        <v>25041</v>
      </c>
      <c r="O521" s="558" t="s">
        <v>6324</v>
      </c>
      <c r="P521" s="558" t="s">
        <v>24681</v>
      </c>
      <c r="Q521" s="558" t="s">
        <v>24618</v>
      </c>
      <c r="R521" s="558" t="s">
        <v>23158</v>
      </c>
      <c r="S521" s="558" t="s">
        <v>25042</v>
      </c>
      <c r="T521" s="558" t="s">
        <v>25043</v>
      </c>
      <c r="U521" s="558"/>
      <c r="V521" s="603"/>
      <c r="W521" s="558" t="s">
        <v>293</v>
      </c>
      <c r="X521" s="558" t="s">
        <v>193</v>
      </c>
      <c r="Y521" s="558" t="s">
        <v>9310</v>
      </c>
      <c r="Z521" s="558"/>
      <c r="AA521" s="558"/>
      <c r="AB521" s="558" t="s">
        <v>9311</v>
      </c>
      <c r="AC521" s="558"/>
      <c r="AD521" s="558"/>
      <c r="AE521" s="558"/>
      <c r="AF521" s="558"/>
      <c r="AG521" s="558"/>
      <c r="AH521" s="558" t="s">
        <v>4714</v>
      </c>
      <c r="AI521" s="558" t="s">
        <v>25040</v>
      </c>
      <c r="AJ521" s="601" t="str">
        <f t="shared" si="16"/>
        <v>214202</v>
      </c>
      <c r="AK521" s="601">
        <v>1</v>
      </c>
      <c r="AL521" s="601">
        <f t="shared" si="17"/>
        <v>1</v>
      </c>
      <c r="AM521" s="601">
        <v>1</v>
      </c>
      <c r="AN521" s="603" t="s">
        <v>17650</v>
      </c>
      <c r="AO521" s="603" t="s">
        <v>17651</v>
      </c>
      <c r="AP521" s="603" t="s">
        <v>17652</v>
      </c>
      <c r="AQ521" s="603" t="s">
        <v>17653</v>
      </c>
      <c r="AR521" s="603" t="s">
        <v>1024</v>
      </c>
      <c r="AS521" s="558">
        <v>1</v>
      </c>
    </row>
    <row r="522" spans="1:45" x14ac:dyDescent="0.2">
      <c r="A522" s="558" t="s">
        <v>1523</v>
      </c>
      <c r="B522" s="558" t="s">
        <v>25044</v>
      </c>
      <c r="C522" s="558" t="s">
        <v>25045</v>
      </c>
      <c r="D522" s="558" t="s">
        <v>23256</v>
      </c>
      <c r="E522" s="558" t="s">
        <v>192</v>
      </c>
      <c r="F522" s="563">
        <v>1</v>
      </c>
      <c r="G522" s="558" t="s">
        <v>193</v>
      </c>
      <c r="H522" s="558" t="s">
        <v>194</v>
      </c>
      <c r="I522" s="558" t="s">
        <v>24556</v>
      </c>
      <c r="J522" s="558" t="s">
        <v>210</v>
      </c>
      <c r="K522" s="558" t="s">
        <v>9309</v>
      </c>
      <c r="L522" s="558" t="s">
        <v>6955</v>
      </c>
      <c r="M522" s="558"/>
      <c r="N522" s="558" t="s">
        <v>25046</v>
      </c>
      <c r="O522" s="558" t="s">
        <v>6327</v>
      </c>
      <c r="P522" s="558" t="s">
        <v>24681</v>
      </c>
      <c r="Q522" s="558" t="s">
        <v>24618</v>
      </c>
      <c r="R522" s="558" t="s">
        <v>23158</v>
      </c>
      <c r="S522" s="558" t="s">
        <v>25047</v>
      </c>
      <c r="T522" s="558" t="s">
        <v>25048</v>
      </c>
      <c r="U522" s="558"/>
      <c r="V522" s="558" t="s">
        <v>9334</v>
      </c>
      <c r="W522" s="558" t="s">
        <v>4019</v>
      </c>
      <c r="X522" s="558" t="s">
        <v>194</v>
      </c>
      <c r="Y522" s="558" t="s">
        <v>9300</v>
      </c>
      <c r="Z522" s="558"/>
      <c r="AA522" s="558"/>
      <c r="AB522" s="558" t="s">
        <v>9311</v>
      </c>
      <c r="AC522" s="558"/>
      <c r="AD522" s="558"/>
      <c r="AE522" s="558"/>
      <c r="AF522" s="558"/>
      <c r="AG522" s="558"/>
      <c r="AH522" s="558" t="s">
        <v>4714</v>
      </c>
      <c r="AI522" s="558" t="s">
        <v>25044</v>
      </c>
      <c r="AJ522" s="601" t="str">
        <f t="shared" si="16"/>
        <v>241105</v>
      </c>
      <c r="AK522" s="601">
        <v>1</v>
      </c>
      <c r="AL522" s="601">
        <f t="shared" si="17"/>
        <v>1</v>
      </c>
      <c r="AM522" s="601">
        <v>1</v>
      </c>
      <c r="AN522" s="603" t="s">
        <v>17650</v>
      </c>
      <c r="AO522" s="603" t="s">
        <v>17651</v>
      </c>
      <c r="AP522" s="603" t="s">
        <v>17652</v>
      </c>
      <c r="AQ522" s="603" t="s">
        <v>17653</v>
      </c>
      <c r="AR522" s="603" t="s">
        <v>1024</v>
      </c>
      <c r="AS522" s="558">
        <v>1</v>
      </c>
    </row>
    <row r="523" spans="1:45" x14ac:dyDescent="0.2">
      <c r="A523" s="558" t="s">
        <v>10989</v>
      </c>
      <c r="B523" s="558" t="s">
        <v>821</v>
      </c>
      <c r="C523" s="558" t="s">
        <v>822</v>
      </c>
      <c r="D523" s="558" t="s">
        <v>23256</v>
      </c>
      <c r="E523" s="558" t="s">
        <v>192</v>
      </c>
      <c r="F523" s="563">
        <v>1</v>
      </c>
      <c r="G523" s="558" t="s">
        <v>193</v>
      </c>
      <c r="H523" s="558" t="s">
        <v>194</v>
      </c>
      <c r="I523" s="558" t="s">
        <v>23151</v>
      </c>
      <c r="J523" s="558" t="s">
        <v>305</v>
      </c>
      <c r="K523" s="558" t="s">
        <v>9309</v>
      </c>
      <c r="L523" s="558" t="s">
        <v>6955</v>
      </c>
      <c r="M523" s="558"/>
      <c r="N523" s="558" t="s">
        <v>25049</v>
      </c>
      <c r="O523" s="558" t="s">
        <v>6245</v>
      </c>
      <c r="P523" s="558" t="s">
        <v>24681</v>
      </c>
      <c r="Q523" s="558" t="s">
        <v>24618</v>
      </c>
      <c r="R523" s="558" t="s">
        <v>23158</v>
      </c>
      <c r="S523" s="558" t="s">
        <v>25050</v>
      </c>
      <c r="T523" s="558" t="s">
        <v>25051</v>
      </c>
      <c r="U523" s="558"/>
      <c r="V523" s="558" t="s">
        <v>9753</v>
      </c>
      <c r="W523" s="558" t="s">
        <v>823</v>
      </c>
      <c r="X523" s="558" t="s">
        <v>194</v>
      </c>
      <c r="Y523" s="558" t="s">
        <v>9300</v>
      </c>
      <c r="Z523" s="558"/>
      <c r="AA523" s="558"/>
      <c r="AB523" s="558" t="s">
        <v>9311</v>
      </c>
      <c r="AC523" s="558"/>
      <c r="AD523" s="558"/>
      <c r="AE523" s="558"/>
      <c r="AF523" s="558"/>
      <c r="AG523" s="558"/>
      <c r="AH523" s="558" t="s">
        <v>4714</v>
      </c>
      <c r="AI523" s="558" t="s">
        <v>821</v>
      </c>
      <c r="AJ523" s="601" t="str">
        <f t="shared" si="16"/>
        <v>741103</v>
      </c>
      <c r="AK523" s="601">
        <v>1</v>
      </c>
      <c r="AL523" s="601">
        <f t="shared" si="17"/>
        <v>1</v>
      </c>
      <c r="AM523" s="601">
        <v>1</v>
      </c>
      <c r="AN523" s="603" t="s">
        <v>17650</v>
      </c>
      <c r="AO523" s="603" t="s">
        <v>17651</v>
      </c>
      <c r="AP523" s="603" t="s">
        <v>17652</v>
      </c>
      <c r="AQ523" s="603" t="s">
        <v>17653</v>
      </c>
      <c r="AR523" s="603" t="s">
        <v>1024</v>
      </c>
      <c r="AS523" s="558">
        <v>1</v>
      </c>
    </row>
    <row r="524" spans="1:45" x14ac:dyDescent="0.2">
      <c r="A524" s="558" t="s">
        <v>25052</v>
      </c>
      <c r="B524" s="558" t="s">
        <v>25053</v>
      </c>
      <c r="C524" s="558" t="s">
        <v>5173</v>
      </c>
      <c r="D524" s="558" t="s">
        <v>23256</v>
      </c>
      <c r="E524" s="558" t="s">
        <v>192</v>
      </c>
      <c r="F524" s="563">
        <v>1</v>
      </c>
      <c r="G524" s="558" t="s">
        <v>193</v>
      </c>
      <c r="H524" s="558" t="s">
        <v>194</v>
      </c>
      <c r="I524" s="558" t="s">
        <v>23186</v>
      </c>
      <c r="J524" s="558" t="s">
        <v>210</v>
      </c>
      <c r="K524" s="558" t="s">
        <v>9309</v>
      </c>
      <c r="L524" s="558" t="s">
        <v>6955</v>
      </c>
      <c r="M524" s="558"/>
      <c r="N524" s="558" t="s">
        <v>25054</v>
      </c>
      <c r="O524" s="558" t="s">
        <v>6324</v>
      </c>
      <c r="P524" s="558" t="s">
        <v>24681</v>
      </c>
      <c r="Q524" s="558" t="s">
        <v>24618</v>
      </c>
      <c r="R524" s="558" t="s">
        <v>23158</v>
      </c>
      <c r="S524" s="558" t="s">
        <v>25055</v>
      </c>
      <c r="T524" s="558" t="s">
        <v>25056</v>
      </c>
      <c r="U524" s="558"/>
      <c r="V524" s="558" t="s">
        <v>9334</v>
      </c>
      <c r="W524" s="558" t="s">
        <v>1150</v>
      </c>
      <c r="X524" s="558" t="s">
        <v>194</v>
      </c>
      <c r="Y524" s="558" t="s">
        <v>9300</v>
      </c>
      <c r="Z524" s="558"/>
      <c r="AA524" s="558"/>
      <c r="AB524" s="558" t="s">
        <v>9311</v>
      </c>
      <c r="AC524" s="558"/>
      <c r="AD524" s="558"/>
      <c r="AE524" s="558"/>
      <c r="AF524" s="558"/>
      <c r="AG524" s="558"/>
      <c r="AH524" s="558" t="s">
        <v>4714</v>
      </c>
      <c r="AI524" s="558" t="s">
        <v>25053</v>
      </c>
      <c r="AJ524" s="601" t="str">
        <f t="shared" si="16"/>
        <v>244001</v>
      </c>
      <c r="AK524" s="601">
        <v>1</v>
      </c>
      <c r="AL524" s="601">
        <f t="shared" si="17"/>
        <v>1</v>
      </c>
      <c r="AM524" s="601">
        <v>1</v>
      </c>
      <c r="AN524" s="603" t="s">
        <v>17650</v>
      </c>
      <c r="AO524" s="603" t="s">
        <v>17651</v>
      </c>
      <c r="AP524" s="603" t="s">
        <v>17652</v>
      </c>
      <c r="AQ524" s="603" t="s">
        <v>17653</v>
      </c>
      <c r="AR524" s="603" t="s">
        <v>1024</v>
      </c>
      <c r="AS524" s="558">
        <v>1</v>
      </c>
    </row>
    <row r="525" spans="1:45" x14ac:dyDescent="0.2">
      <c r="A525" s="558" t="s">
        <v>24787</v>
      </c>
      <c r="B525" s="558" t="s">
        <v>1419</v>
      </c>
      <c r="C525" s="558" t="s">
        <v>10</v>
      </c>
      <c r="D525" s="558" t="s">
        <v>23256</v>
      </c>
      <c r="E525" s="558" t="s">
        <v>192</v>
      </c>
      <c r="F525" s="563">
        <v>1</v>
      </c>
      <c r="G525" s="558" t="s">
        <v>193</v>
      </c>
      <c r="H525" s="558" t="s">
        <v>194</v>
      </c>
      <c r="I525" s="558" t="s">
        <v>23307</v>
      </c>
      <c r="J525" s="558" t="s">
        <v>9302</v>
      </c>
      <c r="K525" s="558" t="s">
        <v>9309</v>
      </c>
      <c r="L525" s="558" t="s">
        <v>6955</v>
      </c>
      <c r="M525" s="558"/>
      <c r="N525" s="558" t="s">
        <v>25057</v>
      </c>
      <c r="O525" s="558" t="s">
        <v>6921</v>
      </c>
      <c r="P525" s="558" t="s">
        <v>24681</v>
      </c>
      <c r="Q525" s="558" t="s">
        <v>24618</v>
      </c>
      <c r="R525" s="558" t="s">
        <v>23158</v>
      </c>
      <c r="S525" s="558" t="s">
        <v>25058</v>
      </c>
      <c r="T525" s="558" t="s">
        <v>25059</v>
      </c>
      <c r="U525" s="558"/>
      <c r="V525" s="603"/>
      <c r="W525" s="558" t="s">
        <v>484</v>
      </c>
      <c r="X525" s="558" t="s">
        <v>193</v>
      </c>
      <c r="Y525" s="558" t="s">
        <v>9310</v>
      </c>
      <c r="Z525" s="558"/>
      <c r="AA525" s="558"/>
      <c r="AB525" s="558" t="s">
        <v>9311</v>
      </c>
      <c r="AC525" s="558"/>
      <c r="AD525" s="558"/>
      <c r="AE525" s="558"/>
      <c r="AF525" s="558"/>
      <c r="AG525" s="558"/>
      <c r="AH525" s="558" t="s">
        <v>4714</v>
      </c>
      <c r="AI525" s="558" t="s">
        <v>1419</v>
      </c>
      <c r="AJ525" s="601" t="str">
        <f t="shared" si="16"/>
        <v>251401</v>
      </c>
      <c r="AK525" s="601">
        <v>1</v>
      </c>
      <c r="AL525" s="601">
        <f t="shared" si="17"/>
        <v>1</v>
      </c>
      <c r="AM525" s="601">
        <v>1</v>
      </c>
      <c r="AN525" s="603" t="s">
        <v>17650</v>
      </c>
      <c r="AO525" s="603" t="s">
        <v>17651</v>
      </c>
      <c r="AP525" s="603" t="s">
        <v>17652</v>
      </c>
      <c r="AQ525" s="603" t="s">
        <v>17653</v>
      </c>
      <c r="AR525" s="603" t="s">
        <v>1024</v>
      </c>
      <c r="AS525" s="558">
        <v>1</v>
      </c>
    </row>
    <row r="526" spans="1:45" x14ac:dyDescent="0.2">
      <c r="A526" s="558" t="s">
        <v>25060</v>
      </c>
      <c r="B526" s="558" t="s">
        <v>25061</v>
      </c>
      <c r="C526" s="558" t="s">
        <v>19082</v>
      </c>
      <c r="D526" s="558" t="s">
        <v>23256</v>
      </c>
      <c r="E526" s="558" t="s">
        <v>192</v>
      </c>
      <c r="F526" s="563">
        <v>1</v>
      </c>
      <c r="G526" s="558" t="s">
        <v>193</v>
      </c>
      <c r="H526" s="558" t="s">
        <v>194</v>
      </c>
      <c r="I526" s="558" t="s">
        <v>23499</v>
      </c>
      <c r="J526" s="558" t="s">
        <v>210</v>
      </c>
      <c r="K526" s="558" t="s">
        <v>9309</v>
      </c>
      <c r="L526" s="558" t="s">
        <v>6955</v>
      </c>
      <c r="M526" s="558"/>
      <c r="N526" s="558" t="s">
        <v>25062</v>
      </c>
      <c r="O526" s="558" t="s">
        <v>6266</v>
      </c>
      <c r="P526" s="558" t="s">
        <v>24681</v>
      </c>
      <c r="Q526" s="558" t="s">
        <v>24618</v>
      </c>
      <c r="R526" s="558" t="s">
        <v>23158</v>
      </c>
      <c r="S526" s="558" t="s">
        <v>25063</v>
      </c>
      <c r="T526" s="558" t="s">
        <v>25064</v>
      </c>
      <c r="U526" s="558"/>
      <c r="V526" s="558" t="s">
        <v>9334</v>
      </c>
      <c r="W526" s="558" t="s">
        <v>19086</v>
      </c>
      <c r="X526" s="558" t="s">
        <v>194</v>
      </c>
      <c r="Y526" s="558" t="s">
        <v>9300</v>
      </c>
      <c r="Z526" s="558"/>
      <c r="AA526" s="558"/>
      <c r="AB526" s="558" t="s">
        <v>9311</v>
      </c>
      <c r="AC526" s="558"/>
      <c r="AD526" s="558"/>
      <c r="AE526" s="558"/>
      <c r="AF526" s="558"/>
      <c r="AG526" s="558"/>
      <c r="AH526" s="558" t="s">
        <v>4714</v>
      </c>
      <c r="AI526" s="558" t="s">
        <v>25061</v>
      </c>
      <c r="AJ526" s="601" t="str">
        <f t="shared" si="16"/>
        <v>832205</v>
      </c>
      <c r="AK526" s="601">
        <v>1</v>
      </c>
      <c r="AL526" s="601">
        <f t="shared" si="17"/>
        <v>1</v>
      </c>
      <c r="AM526" s="601">
        <v>1</v>
      </c>
      <c r="AN526" s="603" t="s">
        <v>17650</v>
      </c>
      <c r="AO526" s="603" t="s">
        <v>17651</v>
      </c>
      <c r="AP526" s="603" t="s">
        <v>17652</v>
      </c>
      <c r="AQ526" s="603" t="s">
        <v>17653</v>
      </c>
      <c r="AR526" s="603" t="s">
        <v>1024</v>
      </c>
      <c r="AS526" s="558">
        <v>1</v>
      </c>
    </row>
    <row r="527" spans="1:45" x14ac:dyDescent="0.2">
      <c r="A527" s="558" t="s">
        <v>24833</v>
      </c>
      <c r="B527" s="558" t="s">
        <v>25065</v>
      </c>
      <c r="C527" s="558" t="s">
        <v>2800</v>
      </c>
      <c r="D527" s="558" t="s">
        <v>23256</v>
      </c>
      <c r="E527" s="558" t="s">
        <v>192</v>
      </c>
      <c r="F527" s="563">
        <v>1</v>
      </c>
      <c r="G527" s="558" t="s">
        <v>193</v>
      </c>
      <c r="H527" s="558" t="s">
        <v>194</v>
      </c>
      <c r="I527" s="558" t="s">
        <v>24556</v>
      </c>
      <c r="J527" s="558" t="s">
        <v>9302</v>
      </c>
      <c r="K527" s="558" t="s">
        <v>9309</v>
      </c>
      <c r="L527" s="558" t="s">
        <v>6955</v>
      </c>
      <c r="M527" s="558"/>
      <c r="N527" s="558" t="s">
        <v>25066</v>
      </c>
      <c r="O527" s="558" t="s">
        <v>6324</v>
      </c>
      <c r="P527" s="558" t="s">
        <v>24681</v>
      </c>
      <c r="Q527" s="558" t="s">
        <v>24618</v>
      </c>
      <c r="R527" s="558" t="s">
        <v>23158</v>
      </c>
      <c r="S527" s="558" t="s">
        <v>25067</v>
      </c>
      <c r="T527" s="558" t="s">
        <v>25068</v>
      </c>
      <c r="U527" s="558"/>
      <c r="V527" s="603"/>
      <c r="W527" s="558" t="s">
        <v>8460</v>
      </c>
      <c r="X527" s="558" t="s">
        <v>193</v>
      </c>
      <c r="Y527" s="558" t="s">
        <v>9310</v>
      </c>
      <c r="Z527" s="558"/>
      <c r="AA527" s="558"/>
      <c r="AB527" s="558" t="s">
        <v>9311</v>
      </c>
      <c r="AC527" s="558"/>
      <c r="AD527" s="558"/>
      <c r="AE527" s="558"/>
      <c r="AF527" s="558"/>
      <c r="AG527" s="558"/>
      <c r="AH527" s="558" t="s">
        <v>4714</v>
      </c>
      <c r="AI527" s="558" t="s">
        <v>25065</v>
      </c>
      <c r="AJ527" s="601" t="str">
        <f t="shared" si="16"/>
        <v>214201</v>
      </c>
      <c r="AK527" s="601">
        <v>1</v>
      </c>
      <c r="AL527" s="601">
        <f t="shared" si="17"/>
        <v>1</v>
      </c>
      <c r="AM527" s="601">
        <v>1</v>
      </c>
      <c r="AN527" s="603" t="s">
        <v>17650</v>
      </c>
      <c r="AO527" s="603" t="s">
        <v>17651</v>
      </c>
      <c r="AP527" s="603" t="s">
        <v>17652</v>
      </c>
      <c r="AQ527" s="603" t="s">
        <v>17653</v>
      </c>
      <c r="AR527" s="603" t="s">
        <v>1024</v>
      </c>
      <c r="AS527" s="558">
        <v>1</v>
      </c>
    </row>
    <row r="528" spans="1:45" x14ac:dyDescent="0.2">
      <c r="A528" s="558" t="s">
        <v>324</v>
      </c>
      <c r="B528" s="558" t="s">
        <v>25069</v>
      </c>
      <c r="C528" s="558" t="s">
        <v>100</v>
      </c>
      <c r="D528" s="558" t="s">
        <v>23256</v>
      </c>
      <c r="E528" s="558" t="s">
        <v>192</v>
      </c>
      <c r="F528" s="563">
        <v>1</v>
      </c>
      <c r="G528" s="558" t="s">
        <v>193</v>
      </c>
      <c r="H528" s="558" t="s">
        <v>194</v>
      </c>
      <c r="I528" s="558" t="s">
        <v>23164</v>
      </c>
      <c r="J528" s="558" t="s">
        <v>285</v>
      </c>
      <c r="K528" s="558" t="s">
        <v>9309</v>
      </c>
      <c r="L528" s="558" t="s">
        <v>6955</v>
      </c>
      <c r="M528" s="558"/>
      <c r="N528" s="558" t="s">
        <v>25070</v>
      </c>
      <c r="O528" s="558" t="s">
        <v>6266</v>
      </c>
      <c r="P528" s="558" t="s">
        <v>24681</v>
      </c>
      <c r="Q528" s="558" t="s">
        <v>24618</v>
      </c>
      <c r="R528" s="558" t="s">
        <v>23158</v>
      </c>
      <c r="S528" s="558" t="s">
        <v>25071</v>
      </c>
      <c r="T528" s="558" t="s">
        <v>25072</v>
      </c>
      <c r="U528" s="558"/>
      <c r="V528" s="558" t="s">
        <v>9518</v>
      </c>
      <c r="W528" s="558" t="s">
        <v>429</v>
      </c>
      <c r="X528" s="558" t="s">
        <v>194</v>
      </c>
      <c r="Y528" s="558" t="s">
        <v>9300</v>
      </c>
      <c r="Z528" s="558"/>
      <c r="AA528" s="558"/>
      <c r="AB528" s="558" t="s">
        <v>9311</v>
      </c>
      <c r="AC528" s="558"/>
      <c r="AD528" s="558"/>
      <c r="AE528" s="558"/>
      <c r="AF528" s="558"/>
      <c r="AG528" s="558"/>
      <c r="AH528" s="558" t="s">
        <v>4714</v>
      </c>
      <c r="AI528" s="558" t="s">
        <v>25069</v>
      </c>
      <c r="AJ528" s="601" t="str">
        <f t="shared" si="16"/>
        <v>242108</v>
      </c>
      <c r="AK528" s="601">
        <v>1</v>
      </c>
      <c r="AL528" s="601">
        <f t="shared" si="17"/>
        <v>1</v>
      </c>
      <c r="AM528" s="601">
        <v>1</v>
      </c>
      <c r="AN528" s="603" t="s">
        <v>17650</v>
      </c>
      <c r="AO528" s="603" t="s">
        <v>17651</v>
      </c>
      <c r="AP528" s="603" t="s">
        <v>17652</v>
      </c>
      <c r="AQ528" s="603" t="s">
        <v>17653</v>
      </c>
      <c r="AR528" s="603" t="s">
        <v>1024</v>
      </c>
      <c r="AS528" s="558">
        <v>1</v>
      </c>
    </row>
    <row r="529" spans="1:45" x14ac:dyDescent="0.2">
      <c r="A529" s="558" t="s">
        <v>562</v>
      </c>
      <c r="B529" s="558" t="s">
        <v>25073</v>
      </c>
      <c r="C529" s="558" t="s">
        <v>19</v>
      </c>
      <c r="D529" s="558" t="s">
        <v>23256</v>
      </c>
      <c r="E529" s="558" t="s">
        <v>192</v>
      </c>
      <c r="F529" s="563">
        <v>1</v>
      </c>
      <c r="G529" s="558" t="s">
        <v>193</v>
      </c>
      <c r="H529" s="558" t="s">
        <v>194</v>
      </c>
      <c r="I529" s="558" t="s">
        <v>24556</v>
      </c>
      <c r="J529" s="558" t="s">
        <v>253</v>
      </c>
      <c r="K529" s="558" t="s">
        <v>9309</v>
      </c>
      <c r="L529" s="558" t="s">
        <v>6955</v>
      </c>
      <c r="M529" s="558"/>
      <c r="N529" s="558" t="s">
        <v>25074</v>
      </c>
      <c r="O529" s="558" t="s">
        <v>6245</v>
      </c>
      <c r="P529" s="558" t="s">
        <v>24681</v>
      </c>
      <c r="Q529" s="558" t="s">
        <v>24618</v>
      </c>
      <c r="R529" s="558" t="s">
        <v>23158</v>
      </c>
      <c r="S529" s="558" t="s">
        <v>25075</v>
      </c>
      <c r="T529" s="558" t="s">
        <v>25076</v>
      </c>
      <c r="U529" s="558"/>
      <c r="V529" s="558" t="s">
        <v>9468</v>
      </c>
      <c r="W529" s="558" t="s">
        <v>337</v>
      </c>
      <c r="X529" s="558" t="s">
        <v>194</v>
      </c>
      <c r="Y529" s="558" t="s">
        <v>9300</v>
      </c>
      <c r="Z529" s="558"/>
      <c r="AA529" s="558"/>
      <c r="AB529" s="558" t="s">
        <v>9311</v>
      </c>
      <c r="AC529" s="558"/>
      <c r="AD529" s="558"/>
      <c r="AE529" s="558"/>
      <c r="AF529" s="558"/>
      <c r="AG529" s="558"/>
      <c r="AH529" s="558" t="s">
        <v>4714</v>
      </c>
      <c r="AI529" s="558" t="s">
        <v>25073</v>
      </c>
      <c r="AJ529" s="601" t="str">
        <f t="shared" si="16"/>
        <v>214903</v>
      </c>
      <c r="AK529" s="601">
        <v>1</v>
      </c>
      <c r="AL529" s="601">
        <f t="shared" si="17"/>
        <v>1</v>
      </c>
      <c r="AM529" s="601">
        <v>1</v>
      </c>
      <c r="AN529" s="603" t="s">
        <v>17650</v>
      </c>
      <c r="AO529" s="603" t="s">
        <v>17651</v>
      </c>
      <c r="AP529" s="603" t="s">
        <v>17652</v>
      </c>
      <c r="AQ529" s="603" t="s">
        <v>17653</v>
      </c>
      <c r="AR529" s="603" t="s">
        <v>1024</v>
      </c>
      <c r="AS529" s="558">
        <v>1</v>
      </c>
    </row>
    <row r="530" spans="1:45" x14ac:dyDescent="0.2">
      <c r="A530" s="558" t="s">
        <v>11125</v>
      </c>
      <c r="B530" s="558" t="s">
        <v>25077</v>
      </c>
      <c r="C530" s="558" t="s">
        <v>1136</v>
      </c>
      <c r="D530" s="558" t="s">
        <v>23256</v>
      </c>
      <c r="E530" s="558" t="s">
        <v>192</v>
      </c>
      <c r="F530" s="563">
        <v>1</v>
      </c>
      <c r="G530" s="558" t="s">
        <v>193</v>
      </c>
      <c r="H530" s="558" t="s">
        <v>194</v>
      </c>
      <c r="I530" s="558" t="s">
        <v>23499</v>
      </c>
      <c r="J530" s="558" t="s">
        <v>210</v>
      </c>
      <c r="K530" s="558" t="s">
        <v>9309</v>
      </c>
      <c r="L530" s="558" t="s">
        <v>6955</v>
      </c>
      <c r="M530" s="558"/>
      <c r="N530" s="558" t="s">
        <v>25078</v>
      </c>
      <c r="O530" s="558" t="s">
        <v>6254</v>
      </c>
      <c r="P530" s="558" t="s">
        <v>24681</v>
      </c>
      <c r="Q530" s="558" t="s">
        <v>24618</v>
      </c>
      <c r="R530" s="558" t="s">
        <v>23158</v>
      </c>
      <c r="S530" s="558" t="s">
        <v>25079</v>
      </c>
      <c r="T530" s="558" t="s">
        <v>25080</v>
      </c>
      <c r="U530" s="558"/>
      <c r="V530" s="558" t="s">
        <v>9334</v>
      </c>
      <c r="W530" s="558" t="s">
        <v>1137</v>
      </c>
      <c r="X530" s="558" t="s">
        <v>194</v>
      </c>
      <c r="Y530" s="558" t="s">
        <v>9300</v>
      </c>
      <c r="Z530" s="558"/>
      <c r="AA530" s="558"/>
      <c r="AB530" s="558" t="s">
        <v>9311</v>
      </c>
      <c r="AC530" s="558"/>
      <c r="AD530" s="558"/>
      <c r="AE530" s="558"/>
      <c r="AF530" s="558"/>
      <c r="AG530" s="558"/>
      <c r="AH530" s="558" t="s">
        <v>4714</v>
      </c>
      <c r="AI530" s="558" t="s">
        <v>25077</v>
      </c>
      <c r="AJ530" s="601" t="str">
        <f t="shared" si="16"/>
        <v>121201</v>
      </c>
      <c r="AK530" s="601">
        <v>1</v>
      </c>
      <c r="AL530" s="601">
        <f t="shared" si="17"/>
        <v>1</v>
      </c>
      <c r="AM530" s="601">
        <v>1</v>
      </c>
      <c r="AN530" s="603" t="s">
        <v>17650</v>
      </c>
      <c r="AO530" s="603" t="s">
        <v>17651</v>
      </c>
      <c r="AP530" s="603" t="s">
        <v>17652</v>
      </c>
      <c r="AQ530" s="603" t="s">
        <v>17653</v>
      </c>
      <c r="AR530" s="603" t="s">
        <v>1024</v>
      </c>
      <c r="AS530" s="558">
        <v>1</v>
      </c>
    </row>
    <row r="531" spans="1:45" x14ac:dyDescent="0.2">
      <c r="A531" s="558" t="s">
        <v>4969</v>
      </c>
      <c r="B531" s="558" t="s">
        <v>25081</v>
      </c>
      <c r="C531" s="558" t="s">
        <v>10</v>
      </c>
      <c r="D531" s="558" t="s">
        <v>23256</v>
      </c>
      <c r="E531" s="558" t="s">
        <v>192</v>
      </c>
      <c r="F531" s="563">
        <v>1</v>
      </c>
      <c r="G531" s="558" t="s">
        <v>193</v>
      </c>
      <c r="H531" s="558" t="s">
        <v>194</v>
      </c>
      <c r="I531" s="558" t="s">
        <v>24551</v>
      </c>
      <c r="J531" s="558" t="s">
        <v>9302</v>
      </c>
      <c r="K531" s="558" t="s">
        <v>9309</v>
      </c>
      <c r="L531" s="558" t="s">
        <v>6955</v>
      </c>
      <c r="M531" s="558"/>
      <c r="N531" s="558" t="s">
        <v>25082</v>
      </c>
      <c r="O531" s="558" t="s">
        <v>6261</v>
      </c>
      <c r="P531" s="558" t="s">
        <v>24681</v>
      </c>
      <c r="Q531" s="558" t="s">
        <v>24618</v>
      </c>
      <c r="R531" s="558" t="s">
        <v>23158</v>
      </c>
      <c r="S531" s="558" t="s">
        <v>25083</v>
      </c>
      <c r="T531" s="558" t="s">
        <v>25084</v>
      </c>
      <c r="U531" s="558"/>
      <c r="V531" s="603"/>
      <c r="W531" s="558" t="s">
        <v>484</v>
      </c>
      <c r="X531" s="558" t="s">
        <v>193</v>
      </c>
      <c r="Y531" s="558" t="s">
        <v>9310</v>
      </c>
      <c r="Z531" s="558"/>
      <c r="AA531" s="558"/>
      <c r="AB531" s="558" t="s">
        <v>9311</v>
      </c>
      <c r="AC531" s="558"/>
      <c r="AD531" s="558"/>
      <c r="AE531" s="558"/>
      <c r="AF531" s="558"/>
      <c r="AG531" s="558"/>
      <c r="AH531" s="558" t="s">
        <v>4714</v>
      </c>
      <c r="AI531" s="558" t="s">
        <v>25081</v>
      </c>
      <c r="AJ531" s="601" t="str">
        <f t="shared" si="16"/>
        <v>251401</v>
      </c>
      <c r="AK531" s="601">
        <v>1</v>
      </c>
      <c r="AL531" s="601">
        <f t="shared" si="17"/>
        <v>1</v>
      </c>
      <c r="AM531" s="601">
        <v>1</v>
      </c>
      <c r="AN531" s="603" t="s">
        <v>17650</v>
      </c>
      <c r="AO531" s="603" t="s">
        <v>17651</v>
      </c>
      <c r="AP531" s="603" t="s">
        <v>17652</v>
      </c>
      <c r="AQ531" s="603" t="s">
        <v>17653</v>
      </c>
      <c r="AR531" s="603" t="s">
        <v>1024</v>
      </c>
      <c r="AS531" s="558">
        <v>1</v>
      </c>
    </row>
    <row r="532" spans="1:45" x14ac:dyDescent="0.2">
      <c r="A532" s="558" t="s">
        <v>25085</v>
      </c>
      <c r="B532" s="558" t="s">
        <v>25086</v>
      </c>
      <c r="C532" s="558" t="s">
        <v>100</v>
      </c>
      <c r="D532" s="558" t="s">
        <v>23256</v>
      </c>
      <c r="E532" s="558" t="s">
        <v>192</v>
      </c>
      <c r="F532" s="563">
        <v>1</v>
      </c>
      <c r="G532" s="558" t="s">
        <v>193</v>
      </c>
      <c r="H532" s="558" t="s">
        <v>194</v>
      </c>
      <c r="I532" s="558" t="s">
        <v>24556</v>
      </c>
      <c r="J532" s="558" t="s">
        <v>316</v>
      </c>
      <c r="K532" s="558" t="s">
        <v>9309</v>
      </c>
      <c r="L532" s="558" t="s">
        <v>6955</v>
      </c>
      <c r="M532" s="558"/>
      <c r="N532" s="558" t="s">
        <v>25087</v>
      </c>
      <c r="O532" s="558" t="s">
        <v>6266</v>
      </c>
      <c r="P532" s="558" t="s">
        <v>24681</v>
      </c>
      <c r="Q532" s="558" t="s">
        <v>24618</v>
      </c>
      <c r="R532" s="558" t="s">
        <v>23158</v>
      </c>
      <c r="S532" s="558" t="s">
        <v>25088</v>
      </c>
      <c r="T532" s="558" t="s">
        <v>25089</v>
      </c>
      <c r="U532" s="558"/>
      <c r="V532" s="558" t="s">
        <v>10012</v>
      </c>
      <c r="W532" s="558" t="s">
        <v>429</v>
      </c>
      <c r="X532" s="558" t="s">
        <v>194</v>
      </c>
      <c r="Y532" s="558" t="s">
        <v>9300</v>
      </c>
      <c r="Z532" s="558"/>
      <c r="AA532" s="558"/>
      <c r="AB532" s="558" t="s">
        <v>9311</v>
      </c>
      <c r="AC532" s="558"/>
      <c r="AD532" s="558"/>
      <c r="AE532" s="558"/>
      <c r="AF532" s="558"/>
      <c r="AG532" s="558"/>
      <c r="AH532" s="558" t="s">
        <v>4714</v>
      </c>
      <c r="AI532" s="558" t="s">
        <v>25086</v>
      </c>
      <c r="AJ532" s="601" t="str">
        <f t="shared" si="16"/>
        <v>242108</v>
      </c>
      <c r="AK532" s="601">
        <v>1</v>
      </c>
      <c r="AL532" s="601">
        <f t="shared" si="17"/>
        <v>1</v>
      </c>
      <c r="AM532" s="601">
        <v>1</v>
      </c>
      <c r="AN532" s="603" t="s">
        <v>17650</v>
      </c>
      <c r="AO532" s="603" t="s">
        <v>17651</v>
      </c>
      <c r="AP532" s="603" t="s">
        <v>17652</v>
      </c>
      <c r="AQ532" s="603" t="s">
        <v>17653</v>
      </c>
      <c r="AR532" s="603" t="s">
        <v>1024</v>
      </c>
      <c r="AS532" s="558">
        <v>1</v>
      </c>
    </row>
    <row r="533" spans="1:45" x14ac:dyDescent="0.2">
      <c r="A533" s="558" t="s">
        <v>16929</v>
      </c>
      <c r="B533" s="558" t="s">
        <v>25090</v>
      </c>
      <c r="C533" s="558" t="s">
        <v>20</v>
      </c>
      <c r="D533" s="558" t="s">
        <v>23256</v>
      </c>
      <c r="E533" s="558" t="s">
        <v>192</v>
      </c>
      <c r="F533" s="563">
        <v>1</v>
      </c>
      <c r="G533" s="558" t="s">
        <v>193</v>
      </c>
      <c r="H533" s="558" t="s">
        <v>194</v>
      </c>
      <c r="I533" s="558" t="s">
        <v>24556</v>
      </c>
      <c r="J533" s="558" t="s">
        <v>575</v>
      </c>
      <c r="K533" s="558" t="s">
        <v>9309</v>
      </c>
      <c r="L533" s="558" t="s">
        <v>6955</v>
      </c>
      <c r="M533" s="558"/>
      <c r="N533" s="558" t="s">
        <v>25091</v>
      </c>
      <c r="O533" s="558" t="s">
        <v>6258</v>
      </c>
      <c r="P533" s="558" t="s">
        <v>24681</v>
      </c>
      <c r="Q533" s="558" t="s">
        <v>24618</v>
      </c>
      <c r="R533" s="558" t="s">
        <v>23158</v>
      </c>
      <c r="S533" s="558" t="s">
        <v>25092</v>
      </c>
      <c r="T533" s="558" t="s">
        <v>25093</v>
      </c>
      <c r="U533" s="558"/>
      <c r="V533" s="558" t="s">
        <v>9726</v>
      </c>
      <c r="W533" s="558" t="s">
        <v>286</v>
      </c>
      <c r="X533" s="558" t="s">
        <v>194</v>
      </c>
      <c r="Y533" s="558" t="s">
        <v>9300</v>
      </c>
      <c r="Z533" s="558"/>
      <c r="AA533" s="558"/>
      <c r="AB533" s="558" t="s">
        <v>9311</v>
      </c>
      <c r="AC533" s="558"/>
      <c r="AD533" s="558"/>
      <c r="AE533" s="558"/>
      <c r="AF533" s="558"/>
      <c r="AG533" s="558"/>
      <c r="AH533" s="558" t="s">
        <v>4714</v>
      </c>
      <c r="AI533" s="558" t="s">
        <v>25090</v>
      </c>
      <c r="AJ533" s="601" t="str">
        <f t="shared" si="16"/>
        <v>214109</v>
      </c>
      <c r="AK533" s="601">
        <v>1</v>
      </c>
      <c r="AL533" s="601">
        <f t="shared" si="17"/>
        <v>1</v>
      </c>
      <c r="AM533" s="601">
        <v>1</v>
      </c>
      <c r="AN533" s="603" t="s">
        <v>17650</v>
      </c>
      <c r="AO533" s="603" t="s">
        <v>17651</v>
      </c>
      <c r="AP533" s="603" t="s">
        <v>17652</v>
      </c>
      <c r="AQ533" s="603" t="s">
        <v>17653</v>
      </c>
      <c r="AR533" s="603" t="s">
        <v>1024</v>
      </c>
      <c r="AS533" s="558">
        <v>1</v>
      </c>
    </row>
    <row r="534" spans="1:45" x14ac:dyDescent="0.2">
      <c r="A534" s="558" t="s">
        <v>820</v>
      </c>
      <c r="B534" s="558" t="s">
        <v>25094</v>
      </c>
      <c r="C534" s="558" t="s">
        <v>102</v>
      </c>
      <c r="D534" s="558" t="s">
        <v>23256</v>
      </c>
      <c r="E534" s="558" t="s">
        <v>192</v>
      </c>
      <c r="F534" s="563">
        <v>1</v>
      </c>
      <c r="G534" s="558" t="s">
        <v>193</v>
      </c>
      <c r="H534" s="558" t="s">
        <v>194</v>
      </c>
      <c r="I534" s="558" t="s">
        <v>23186</v>
      </c>
      <c r="J534" s="558" t="s">
        <v>276</v>
      </c>
      <c r="K534" s="558" t="s">
        <v>9309</v>
      </c>
      <c r="L534" s="558" t="s">
        <v>6955</v>
      </c>
      <c r="M534" s="558"/>
      <c r="N534" s="558" t="s">
        <v>25095</v>
      </c>
      <c r="O534" s="558" t="s">
        <v>6389</v>
      </c>
      <c r="P534" s="558" t="s">
        <v>24681</v>
      </c>
      <c r="Q534" s="558" t="s">
        <v>24618</v>
      </c>
      <c r="R534" s="558" t="s">
        <v>23158</v>
      </c>
      <c r="S534" s="558" t="s">
        <v>25096</v>
      </c>
      <c r="T534" s="558" t="s">
        <v>25097</v>
      </c>
      <c r="U534" s="558"/>
      <c r="V534" s="558" t="s">
        <v>9786</v>
      </c>
      <c r="W534" s="558" t="s">
        <v>1890</v>
      </c>
      <c r="X534" s="558" t="s">
        <v>194</v>
      </c>
      <c r="Y534" s="558" t="s">
        <v>9300</v>
      </c>
      <c r="Z534" s="558"/>
      <c r="AA534" s="558"/>
      <c r="AB534" s="558" t="s">
        <v>9311</v>
      </c>
      <c r="AC534" s="558"/>
      <c r="AD534" s="558"/>
      <c r="AE534" s="558"/>
      <c r="AF534" s="558"/>
      <c r="AG534" s="558"/>
      <c r="AH534" s="558" t="s">
        <v>4714</v>
      </c>
      <c r="AI534" s="558" t="s">
        <v>25094</v>
      </c>
      <c r="AJ534" s="601" t="str">
        <f t="shared" si="16"/>
        <v>216601</v>
      </c>
      <c r="AK534" s="601">
        <v>1</v>
      </c>
      <c r="AL534" s="601">
        <f t="shared" si="17"/>
        <v>1</v>
      </c>
      <c r="AM534" s="601">
        <v>1</v>
      </c>
      <c r="AN534" s="603" t="s">
        <v>17650</v>
      </c>
      <c r="AO534" s="603" t="s">
        <v>17651</v>
      </c>
      <c r="AP534" s="603" t="s">
        <v>17652</v>
      </c>
      <c r="AQ534" s="603" t="s">
        <v>17653</v>
      </c>
      <c r="AR534" s="603" t="s">
        <v>1024</v>
      </c>
      <c r="AS534" s="558">
        <v>1</v>
      </c>
    </row>
    <row r="535" spans="1:45" x14ac:dyDescent="0.2">
      <c r="A535" s="558" t="s">
        <v>3046</v>
      </c>
      <c r="B535" s="558" t="s">
        <v>16129</v>
      </c>
      <c r="C535" s="558" t="s">
        <v>4966</v>
      </c>
      <c r="D535" s="558" t="s">
        <v>23256</v>
      </c>
      <c r="E535" s="558" t="s">
        <v>192</v>
      </c>
      <c r="F535" s="563">
        <v>1</v>
      </c>
      <c r="G535" s="558" t="s">
        <v>193</v>
      </c>
      <c r="H535" s="558" t="s">
        <v>194</v>
      </c>
      <c r="I535" s="558" t="s">
        <v>23151</v>
      </c>
      <c r="J535" s="558" t="s">
        <v>210</v>
      </c>
      <c r="K535" s="558" t="s">
        <v>9309</v>
      </c>
      <c r="L535" s="558" t="s">
        <v>6955</v>
      </c>
      <c r="M535" s="558"/>
      <c r="N535" s="558" t="s">
        <v>25098</v>
      </c>
      <c r="O535" s="558" t="s">
        <v>6254</v>
      </c>
      <c r="P535" s="558" t="s">
        <v>24681</v>
      </c>
      <c r="Q535" s="558" t="s">
        <v>24618</v>
      </c>
      <c r="R535" s="558" t="s">
        <v>23158</v>
      </c>
      <c r="S535" s="558" t="s">
        <v>25099</v>
      </c>
      <c r="T535" s="558" t="s">
        <v>25100</v>
      </c>
      <c r="U535" s="558"/>
      <c r="V535" s="558" t="s">
        <v>9334</v>
      </c>
      <c r="W535" s="558" t="s">
        <v>405</v>
      </c>
      <c r="X535" s="558" t="s">
        <v>194</v>
      </c>
      <c r="Y535" s="558" t="s">
        <v>9300</v>
      </c>
      <c r="Z535" s="558"/>
      <c r="AA535" s="558"/>
      <c r="AB535" s="558" t="s">
        <v>9311</v>
      </c>
      <c r="AC535" s="558"/>
      <c r="AD535" s="558"/>
      <c r="AE535" s="558"/>
      <c r="AF535" s="558"/>
      <c r="AG535" s="558"/>
      <c r="AH535" s="558" t="s">
        <v>4714</v>
      </c>
      <c r="AI535" s="558" t="s">
        <v>16129</v>
      </c>
      <c r="AJ535" s="601" t="str">
        <f t="shared" si="16"/>
        <v>241304</v>
      </c>
      <c r="AK535" s="601">
        <v>1</v>
      </c>
      <c r="AL535" s="601">
        <f t="shared" si="17"/>
        <v>1</v>
      </c>
      <c r="AM535" s="601">
        <v>1</v>
      </c>
      <c r="AN535" s="603" t="s">
        <v>17650</v>
      </c>
      <c r="AO535" s="603" t="s">
        <v>17651</v>
      </c>
      <c r="AP535" s="603" t="s">
        <v>17652</v>
      </c>
      <c r="AQ535" s="603" t="s">
        <v>17653</v>
      </c>
      <c r="AR535" s="603" t="s">
        <v>1024</v>
      </c>
      <c r="AS535" s="558">
        <v>1</v>
      </c>
    </row>
    <row r="536" spans="1:45" x14ac:dyDescent="0.2">
      <c r="A536" s="558" t="s">
        <v>25101</v>
      </c>
      <c r="B536" s="558" t="s">
        <v>25102</v>
      </c>
      <c r="C536" s="558" t="s">
        <v>81</v>
      </c>
      <c r="D536" s="558" t="s">
        <v>23256</v>
      </c>
      <c r="E536" s="558" t="s">
        <v>192</v>
      </c>
      <c r="F536" s="563">
        <v>1</v>
      </c>
      <c r="G536" s="558" t="s">
        <v>193</v>
      </c>
      <c r="H536" s="558" t="s">
        <v>194</v>
      </c>
      <c r="I536" s="558" t="s">
        <v>23164</v>
      </c>
      <c r="J536" s="558" t="s">
        <v>210</v>
      </c>
      <c r="K536" s="558" t="s">
        <v>9309</v>
      </c>
      <c r="L536" s="558" t="s">
        <v>6955</v>
      </c>
      <c r="M536" s="558"/>
      <c r="N536" s="558" t="s">
        <v>25103</v>
      </c>
      <c r="O536" s="558" t="s">
        <v>6254</v>
      </c>
      <c r="P536" s="558" t="s">
        <v>24681</v>
      </c>
      <c r="Q536" s="558" t="s">
        <v>24618</v>
      </c>
      <c r="R536" s="558" t="s">
        <v>23158</v>
      </c>
      <c r="S536" s="558" t="s">
        <v>25104</v>
      </c>
      <c r="T536" s="558" t="s">
        <v>25105</v>
      </c>
      <c r="U536" s="558"/>
      <c r="V536" s="558" t="s">
        <v>9334</v>
      </c>
      <c r="W536" s="558" t="s">
        <v>402</v>
      </c>
      <c r="X536" s="558" t="s">
        <v>194</v>
      </c>
      <c r="Y536" s="558" t="s">
        <v>9300</v>
      </c>
      <c r="Z536" s="558"/>
      <c r="AA536" s="558"/>
      <c r="AB536" s="558" t="s">
        <v>9311</v>
      </c>
      <c r="AC536" s="558"/>
      <c r="AD536" s="558"/>
      <c r="AE536" s="558"/>
      <c r="AF536" s="558"/>
      <c r="AG536" s="558"/>
      <c r="AH536" s="558" t="s">
        <v>4714</v>
      </c>
      <c r="AI536" s="558" t="s">
        <v>25102</v>
      </c>
      <c r="AJ536" s="601" t="str">
        <f t="shared" si="16"/>
        <v>241205</v>
      </c>
      <c r="AK536" s="601">
        <v>1</v>
      </c>
      <c r="AL536" s="601">
        <f t="shared" si="17"/>
        <v>1</v>
      </c>
      <c r="AM536" s="601">
        <v>1</v>
      </c>
      <c r="AN536" s="603" t="s">
        <v>17650</v>
      </c>
      <c r="AO536" s="603" t="s">
        <v>17651</v>
      </c>
      <c r="AP536" s="603" t="s">
        <v>17652</v>
      </c>
      <c r="AQ536" s="603" t="s">
        <v>17653</v>
      </c>
      <c r="AR536" s="603" t="s">
        <v>1024</v>
      </c>
      <c r="AS536" s="558">
        <v>1</v>
      </c>
    </row>
    <row r="537" spans="1:45" x14ac:dyDescent="0.2">
      <c r="A537" s="558" t="s">
        <v>25106</v>
      </c>
      <c r="B537" s="558" t="s">
        <v>6194</v>
      </c>
      <c r="C537" s="558" t="s">
        <v>21</v>
      </c>
      <c r="D537" s="558" t="s">
        <v>23256</v>
      </c>
      <c r="E537" s="558" t="s">
        <v>192</v>
      </c>
      <c r="F537" s="563">
        <v>1</v>
      </c>
      <c r="G537" s="558" t="s">
        <v>193</v>
      </c>
      <c r="H537" s="558" t="s">
        <v>194</v>
      </c>
      <c r="I537" s="558" t="s">
        <v>23307</v>
      </c>
      <c r="J537" s="558" t="s">
        <v>316</v>
      </c>
      <c r="K537" s="558" t="s">
        <v>9309</v>
      </c>
      <c r="L537" s="558" t="s">
        <v>6955</v>
      </c>
      <c r="M537" s="558"/>
      <c r="N537" s="558" t="s">
        <v>25107</v>
      </c>
      <c r="O537" s="558" t="s">
        <v>6324</v>
      </c>
      <c r="P537" s="558" t="s">
        <v>24681</v>
      </c>
      <c r="Q537" s="558" t="s">
        <v>24618</v>
      </c>
      <c r="R537" s="558" t="s">
        <v>23158</v>
      </c>
      <c r="S537" s="558" t="s">
        <v>25108</v>
      </c>
      <c r="T537" s="558" t="s">
        <v>25109</v>
      </c>
      <c r="U537" s="558"/>
      <c r="V537" s="558" t="s">
        <v>10012</v>
      </c>
      <c r="W537" s="558" t="s">
        <v>293</v>
      </c>
      <c r="X537" s="558" t="s">
        <v>194</v>
      </c>
      <c r="Y537" s="558" t="s">
        <v>9300</v>
      </c>
      <c r="Z537" s="558"/>
      <c r="AA537" s="558"/>
      <c r="AB537" s="558" t="s">
        <v>9311</v>
      </c>
      <c r="AC537" s="558"/>
      <c r="AD537" s="558"/>
      <c r="AE537" s="558"/>
      <c r="AF537" s="558"/>
      <c r="AG537" s="558"/>
      <c r="AH537" s="558" t="s">
        <v>4714</v>
      </c>
      <c r="AI537" s="558" t="s">
        <v>6194</v>
      </c>
      <c r="AJ537" s="601" t="str">
        <f t="shared" si="16"/>
        <v>214202</v>
      </c>
      <c r="AK537" s="601">
        <v>1</v>
      </c>
      <c r="AL537" s="601">
        <f t="shared" si="17"/>
        <v>1</v>
      </c>
      <c r="AM537" s="601">
        <v>1</v>
      </c>
      <c r="AN537" s="603" t="s">
        <v>17650</v>
      </c>
      <c r="AO537" s="603" t="s">
        <v>17651</v>
      </c>
      <c r="AP537" s="603" t="s">
        <v>17652</v>
      </c>
      <c r="AQ537" s="603" t="s">
        <v>17653</v>
      </c>
      <c r="AR537" s="603" t="s">
        <v>1024</v>
      </c>
      <c r="AS537" s="558">
        <v>1</v>
      </c>
    </row>
    <row r="538" spans="1:45" x14ac:dyDescent="0.2">
      <c r="A538" s="558" t="s">
        <v>2200</v>
      </c>
      <c r="B538" s="558" t="s">
        <v>2621</v>
      </c>
      <c r="C538" s="558" t="s">
        <v>25110</v>
      </c>
      <c r="D538" s="558" t="s">
        <v>23256</v>
      </c>
      <c r="E538" s="558" t="s">
        <v>192</v>
      </c>
      <c r="F538" s="563">
        <v>1</v>
      </c>
      <c r="G538" s="558" t="s">
        <v>193</v>
      </c>
      <c r="H538" s="558" t="s">
        <v>194</v>
      </c>
      <c r="I538" s="558" t="s">
        <v>23151</v>
      </c>
      <c r="J538" s="558" t="s">
        <v>2201</v>
      </c>
      <c r="K538" s="558" t="s">
        <v>9309</v>
      </c>
      <c r="L538" s="558" t="s">
        <v>6955</v>
      </c>
      <c r="M538" s="558"/>
      <c r="N538" s="558" t="s">
        <v>25111</v>
      </c>
      <c r="O538" s="558" t="s">
        <v>6245</v>
      </c>
      <c r="P538" s="558" t="s">
        <v>24681</v>
      </c>
      <c r="Q538" s="558" t="s">
        <v>24618</v>
      </c>
      <c r="R538" s="558" t="s">
        <v>23158</v>
      </c>
      <c r="S538" s="558" t="s">
        <v>25112</v>
      </c>
      <c r="T538" s="558" t="s">
        <v>25113</v>
      </c>
      <c r="U538" s="558"/>
      <c r="V538" s="558" t="s">
        <v>9892</v>
      </c>
      <c r="W538" s="558" t="s">
        <v>25114</v>
      </c>
      <c r="X538" s="558" t="s">
        <v>194</v>
      </c>
      <c r="Y538" s="558" t="s">
        <v>9300</v>
      </c>
      <c r="Z538" s="558"/>
      <c r="AA538" s="558"/>
      <c r="AB538" s="558" t="s">
        <v>9311</v>
      </c>
      <c r="AC538" s="558"/>
      <c r="AD538" s="558"/>
      <c r="AE538" s="558"/>
      <c r="AF538" s="558"/>
      <c r="AG538" s="558"/>
      <c r="AH538" s="558" t="s">
        <v>4714</v>
      </c>
      <c r="AI538" s="558" t="s">
        <v>2621</v>
      </c>
      <c r="AJ538" s="601" t="str">
        <f t="shared" si="16"/>
        <v>731107</v>
      </c>
      <c r="AK538" s="601">
        <v>1</v>
      </c>
      <c r="AL538" s="601">
        <f t="shared" si="17"/>
        <v>1</v>
      </c>
      <c r="AM538" s="601">
        <v>1</v>
      </c>
      <c r="AN538" s="603" t="s">
        <v>17650</v>
      </c>
      <c r="AO538" s="603" t="s">
        <v>17651</v>
      </c>
      <c r="AP538" s="603" t="s">
        <v>17652</v>
      </c>
      <c r="AQ538" s="603" t="s">
        <v>17653</v>
      </c>
      <c r="AR538" s="603" t="s">
        <v>1024</v>
      </c>
      <c r="AS538" s="558">
        <v>1</v>
      </c>
    </row>
    <row r="539" spans="1:45" x14ac:dyDescent="0.2">
      <c r="A539" s="558" t="s">
        <v>11415</v>
      </c>
      <c r="B539" s="558" t="s">
        <v>25115</v>
      </c>
      <c r="C539" s="558" t="s">
        <v>542</v>
      </c>
      <c r="D539" s="558" t="s">
        <v>23256</v>
      </c>
      <c r="E539" s="558" t="s">
        <v>192</v>
      </c>
      <c r="F539" s="563">
        <v>1</v>
      </c>
      <c r="G539" s="558" t="s">
        <v>193</v>
      </c>
      <c r="H539" s="558" t="s">
        <v>194</v>
      </c>
      <c r="I539" s="558" t="s">
        <v>23186</v>
      </c>
      <c r="J539" s="558" t="s">
        <v>210</v>
      </c>
      <c r="K539" s="558" t="s">
        <v>9309</v>
      </c>
      <c r="L539" s="558" t="s">
        <v>6955</v>
      </c>
      <c r="M539" s="558"/>
      <c r="N539" s="558" t="s">
        <v>25116</v>
      </c>
      <c r="O539" s="558" t="s">
        <v>6286</v>
      </c>
      <c r="P539" s="558" t="s">
        <v>24681</v>
      </c>
      <c r="Q539" s="558" t="s">
        <v>24618</v>
      </c>
      <c r="R539" s="558" t="s">
        <v>23158</v>
      </c>
      <c r="S539" s="558" t="s">
        <v>25117</v>
      </c>
      <c r="T539" s="558" t="s">
        <v>25118</v>
      </c>
      <c r="U539" s="558"/>
      <c r="V539" s="558" t="s">
        <v>9334</v>
      </c>
      <c r="W539" s="558" t="s">
        <v>543</v>
      </c>
      <c r="X539" s="558" t="s">
        <v>194</v>
      </c>
      <c r="Y539" s="558" t="s">
        <v>9300</v>
      </c>
      <c r="Z539" s="558"/>
      <c r="AA539" s="558"/>
      <c r="AB539" s="558" t="s">
        <v>9311</v>
      </c>
      <c r="AC539" s="558"/>
      <c r="AD539" s="558"/>
      <c r="AE539" s="558"/>
      <c r="AF539" s="558"/>
      <c r="AG539" s="558"/>
      <c r="AH539" s="558" t="s">
        <v>4714</v>
      </c>
      <c r="AI539" s="558" t="s">
        <v>25115</v>
      </c>
      <c r="AJ539" s="601" t="str">
        <f t="shared" si="16"/>
        <v>264304</v>
      </c>
      <c r="AK539" s="601">
        <v>1</v>
      </c>
      <c r="AL539" s="601">
        <f t="shared" si="17"/>
        <v>1</v>
      </c>
      <c r="AM539" s="601">
        <v>1</v>
      </c>
      <c r="AN539" s="603" t="s">
        <v>17650</v>
      </c>
      <c r="AO539" s="603" t="s">
        <v>17651</v>
      </c>
      <c r="AP539" s="603" t="s">
        <v>17652</v>
      </c>
      <c r="AQ539" s="603" t="s">
        <v>17653</v>
      </c>
      <c r="AR539" s="603" t="s">
        <v>1024</v>
      </c>
      <c r="AS539" s="558">
        <v>1</v>
      </c>
    </row>
    <row r="540" spans="1:45" x14ac:dyDescent="0.2">
      <c r="A540" s="558" t="s">
        <v>25119</v>
      </c>
      <c r="B540" s="558" t="s">
        <v>25120</v>
      </c>
      <c r="C540" s="558" t="s">
        <v>19</v>
      </c>
      <c r="D540" s="558" t="s">
        <v>23256</v>
      </c>
      <c r="E540" s="558" t="s">
        <v>192</v>
      </c>
      <c r="F540" s="563">
        <v>1</v>
      </c>
      <c r="G540" s="558" t="s">
        <v>193</v>
      </c>
      <c r="H540" s="558" t="s">
        <v>194</v>
      </c>
      <c r="I540" s="558" t="s">
        <v>24556</v>
      </c>
      <c r="J540" s="558" t="s">
        <v>385</v>
      </c>
      <c r="K540" s="558" t="s">
        <v>9309</v>
      </c>
      <c r="L540" s="558" t="s">
        <v>6955</v>
      </c>
      <c r="M540" s="558"/>
      <c r="N540" s="558" t="s">
        <v>25121</v>
      </c>
      <c r="O540" s="558" t="s">
        <v>6921</v>
      </c>
      <c r="P540" s="558" t="s">
        <v>24681</v>
      </c>
      <c r="Q540" s="558" t="s">
        <v>24618</v>
      </c>
      <c r="R540" s="558" t="s">
        <v>23158</v>
      </c>
      <c r="S540" s="558" t="s">
        <v>25122</v>
      </c>
      <c r="T540" s="558" t="s">
        <v>25123</v>
      </c>
      <c r="U540" s="558"/>
      <c r="V540" s="558" t="s">
        <v>9410</v>
      </c>
      <c r="W540" s="558" t="s">
        <v>337</v>
      </c>
      <c r="X540" s="558" t="s">
        <v>194</v>
      </c>
      <c r="Y540" s="558" t="s">
        <v>9300</v>
      </c>
      <c r="Z540" s="558"/>
      <c r="AA540" s="558"/>
      <c r="AB540" s="558" t="s">
        <v>9311</v>
      </c>
      <c r="AC540" s="558"/>
      <c r="AD540" s="558"/>
      <c r="AE540" s="558"/>
      <c r="AF540" s="558"/>
      <c r="AG540" s="558"/>
      <c r="AH540" s="558" t="s">
        <v>4714</v>
      </c>
      <c r="AI540" s="558" t="s">
        <v>25120</v>
      </c>
      <c r="AJ540" s="601" t="str">
        <f t="shared" si="16"/>
        <v>214903</v>
      </c>
      <c r="AK540" s="601">
        <v>1</v>
      </c>
      <c r="AL540" s="601">
        <f t="shared" si="17"/>
        <v>1</v>
      </c>
      <c r="AM540" s="601">
        <v>1</v>
      </c>
      <c r="AN540" s="603" t="s">
        <v>17650</v>
      </c>
      <c r="AO540" s="603" t="s">
        <v>17651</v>
      </c>
      <c r="AP540" s="603" t="s">
        <v>17652</v>
      </c>
      <c r="AQ540" s="603" t="s">
        <v>17653</v>
      </c>
      <c r="AR540" s="603" t="s">
        <v>1024</v>
      </c>
      <c r="AS540" s="558">
        <v>1</v>
      </c>
    </row>
    <row r="541" spans="1:45" x14ac:dyDescent="0.2">
      <c r="A541" s="558" t="s">
        <v>25035</v>
      </c>
      <c r="B541" s="558" t="s">
        <v>25124</v>
      </c>
      <c r="C541" s="558" t="s">
        <v>706</v>
      </c>
      <c r="D541" s="558" t="s">
        <v>23256</v>
      </c>
      <c r="E541" s="558" t="s">
        <v>192</v>
      </c>
      <c r="F541" s="563">
        <v>1</v>
      </c>
      <c r="G541" s="558" t="s">
        <v>193</v>
      </c>
      <c r="H541" s="558" t="s">
        <v>194</v>
      </c>
      <c r="I541" s="558" t="s">
        <v>23164</v>
      </c>
      <c r="J541" s="558" t="s">
        <v>210</v>
      </c>
      <c r="K541" s="558" t="s">
        <v>9309</v>
      </c>
      <c r="L541" s="558" t="s">
        <v>6955</v>
      </c>
      <c r="M541" s="558"/>
      <c r="N541" s="558" t="s">
        <v>25125</v>
      </c>
      <c r="O541" s="558" t="s">
        <v>6251</v>
      </c>
      <c r="P541" s="558" t="s">
        <v>24681</v>
      </c>
      <c r="Q541" s="558" t="s">
        <v>24618</v>
      </c>
      <c r="R541" s="558" t="s">
        <v>23158</v>
      </c>
      <c r="S541" s="558" t="s">
        <v>25126</v>
      </c>
      <c r="T541" s="558" t="s">
        <v>25127</v>
      </c>
      <c r="U541" s="558"/>
      <c r="V541" s="558" t="s">
        <v>9334</v>
      </c>
      <c r="W541" s="558" t="s">
        <v>707</v>
      </c>
      <c r="X541" s="558" t="s">
        <v>194</v>
      </c>
      <c r="Y541" s="558" t="s">
        <v>9300</v>
      </c>
      <c r="Z541" s="558"/>
      <c r="AA541" s="558"/>
      <c r="AB541" s="558" t="s">
        <v>9311</v>
      </c>
      <c r="AC541" s="558"/>
      <c r="AD541" s="558"/>
      <c r="AE541" s="558"/>
      <c r="AF541" s="558"/>
      <c r="AG541" s="558"/>
      <c r="AH541" s="558" t="s">
        <v>4714</v>
      </c>
      <c r="AI541" s="558" t="s">
        <v>25124</v>
      </c>
      <c r="AJ541" s="601" t="str">
        <f t="shared" si="16"/>
        <v>422201</v>
      </c>
      <c r="AK541" s="601">
        <v>1</v>
      </c>
      <c r="AL541" s="601">
        <f t="shared" si="17"/>
        <v>1</v>
      </c>
      <c r="AM541" s="601">
        <v>1</v>
      </c>
      <c r="AN541" s="603" t="s">
        <v>17650</v>
      </c>
      <c r="AO541" s="603" t="s">
        <v>17651</v>
      </c>
      <c r="AP541" s="603" t="s">
        <v>17652</v>
      </c>
      <c r="AQ541" s="603" t="s">
        <v>17653</v>
      </c>
      <c r="AR541" s="603" t="s">
        <v>1024</v>
      </c>
      <c r="AS541" s="558">
        <v>1</v>
      </c>
    </row>
    <row r="542" spans="1:45" x14ac:dyDescent="0.2">
      <c r="A542" s="558" t="s">
        <v>25035</v>
      </c>
      <c r="B542" s="558" t="s">
        <v>25036</v>
      </c>
      <c r="C542" s="558" t="s">
        <v>778</v>
      </c>
      <c r="D542" s="558" t="s">
        <v>23256</v>
      </c>
      <c r="E542" s="558" t="s">
        <v>192</v>
      </c>
      <c r="F542" s="563">
        <v>1</v>
      </c>
      <c r="G542" s="558" t="s">
        <v>193</v>
      </c>
      <c r="H542" s="558" t="s">
        <v>194</v>
      </c>
      <c r="I542" s="558" t="s">
        <v>24556</v>
      </c>
      <c r="J542" s="558" t="s">
        <v>4751</v>
      </c>
      <c r="K542" s="558" t="s">
        <v>9309</v>
      </c>
      <c r="L542" s="558" t="s">
        <v>6955</v>
      </c>
      <c r="M542" s="558"/>
      <c r="N542" s="558" t="s">
        <v>25128</v>
      </c>
      <c r="O542" s="558" t="s">
        <v>6251</v>
      </c>
      <c r="P542" s="558" t="s">
        <v>24681</v>
      </c>
      <c r="Q542" s="558" t="s">
        <v>24618</v>
      </c>
      <c r="R542" s="558" t="s">
        <v>23158</v>
      </c>
      <c r="S542" s="558" t="s">
        <v>25129</v>
      </c>
      <c r="T542" s="558" t="s">
        <v>25130</v>
      </c>
      <c r="U542" s="558"/>
      <c r="V542" s="558" t="s">
        <v>9472</v>
      </c>
      <c r="W542" s="558" t="s">
        <v>779</v>
      </c>
      <c r="X542" s="558" t="s">
        <v>194</v>
      </c>
      <c r="Y542" s="558" t="s">
        <v>9300</v>
      </c>
      <c r="Z542" s="558"/>
      <c r="AA542" s="558"/>
      <c r="AB542" s="558" t="s">
        <v>9311</v>
      </c>
      <c r="AC542" s="558"/>
      <c r="AD542" s="558"/>
      <c r="AE542" s="558"/>
      <c r="AF542" s="558"/>
      <c r="AG542" s="558"/>
      <c r="AH542" s="558" t="s">
        <v>4714</v>
      </c>
      <c r="AI542" s="558" t="s">
        <v>25036</v>
      </c>
      <c r="AJ542" s="601" t="str">
        <f t="shared" si="16"/>
        <v>524902</v>
      </c>
      <c r="AK542" s="601">
        <v>1</v>
      </c>
      <c r="AL542" s="601">
        <f t="shared" si="17"/>
        <v>1</v>
      </c>
      <c r="AM542" s="601">
        <v>1</v>
      </c>
      <c r="AN542" s="603" t="s">
        <v>17650</v>
      </c>
      <c r="AO542" s="603" t="s">
        <v>17651</v>
      </c>
      <c r="AP542" s="603" t="s">
        <v>17652</v>
      </c>
      <c r="AQ542" s="603" t="s">
        <v>17653</v>
      </c>
      <c r="AR542" s="603" t="s">
        <v>1024</v>
      </c>
      <c r="AS542" s="558">
        <v>1</v>
      </c>
    </row>
    <row r="543" spans="1:45" x14ac:dyDescent="0.2">
      <c r="A543" s="558" t="s">
        <v>25035</v>
      </c>
      <c r="B543" s="558" t="s">
        <v>25036</v>
      </c>
      <c r="C543" s="558" t="s">
        <v>778</v>
      </c>
      <c r="D543" s="558" t="s">
        <v>23256</v>
      </c>
      <c r="E543" s="558" t="s">
        <v>192</v>
      </c>
      <c r="F543" s="563">
        <v>1</v>
      </c>
      <c r="G543" s="558" t="s">
        <v>193</v>
      </c>
      <c r="H543" s="558" t="s">
        <v>194</v>
      </c>
      <c r="I543" s="558" t="s">
        <v>24556</v>
      </c>
      <c r="J543" s="558" t="s">
        <v>210</v>
      </c>
      <c r="K543" s="558" t="s">
        <v>9309</v>
      </c>
      <c r="L543" s="558" t="s">
        <v>6955</v>
      </c>
      <c r="M543" s="558"/>
      <c r="N543" s="558" t="s">
        <v>25131</v>
      </c>
      <c r="O543" s="558" t="s">
        <v>6251</v>
      </c>
      <c r="P543" s="558" t="s">
        <v>24681</v>
      </c>
      <c r="Q543" s="558" t="s">
        <v>24618</v>
      </c>
      <c r="R543" s="558" t="s">
        <v>23158</v>
      </c>
      <c r="S543" s="558" t="s">
        <v>25132</v>
      </c>
      <c r="T543" s="558" t="s">
        <v>25133</v>
      </c>
      <c r="U543" s="558"/>
      <c r="V543" s="558" t="s">
        <v>9334</v>
      </c>
      <c r="W543" s="558" t="s">
        <v>779</v>
      </c>
      <c r="X543" s="558" t="s">
        <v>194</v>
      </c>
      <c r="Y543" s="558" t="s">
        <v>9300</v>
      </c>
      <c r="Z543" s="558"/>
      <c r="AA543" s="558"/>
      <c r="AB543" s="558" t="s">
        <v>9311</v>
      </c>
      <c r="AC543" s="558"/>
      <c r="AD543" s="558"/>
      <c r="AE543" s="558"/>
      <c r="AF543" s="558"/>
      <c r="AG543" s="558"/>
      <c r="AH543" s="558" t="s">
        <v>4714</v>
      </c>
      <c r="AI543" s="558" t="s">
        <v>25036</v>
      </c>
      <c r="AJ543" s="601" t="str">
        <f t="shared" si="16"/>
        <v>524902</v>
      </c>
      <c r="AK543" s="601">
        <v>1</v>
      </c>
      <c r="AL543" s="601">
        <f t="shared" si="17"/>
        <v>1</v>
      </c>
      <c r="AM543" s="601">
        <v>1</v>
      </c>
      <c r="AN543" s="603" t="s">
        <v>17650</v>
      </c>
      <c r="AO543" s="603" t="s">
        <v>17651</v>
      </c>
      <c r="AP543" s="603" t="s">
        <v>17652</v>
      </c>
      <c r="AQ543" s="603" t="s">
        <v>17653</v>
      </c>
      <c r="AR543" s="603" t="s">
        <v>1024</v>
      </c>
      <c r="AS543" s="558">
        <v>1</v>
      </c>
    </row>
    <row r="544" spans="1:45" x14ac:dyDescent="0.2">
      <c r="A544" s="558" t="s">
        <v>8074</v>
      </c>
      <c r="B544" s="558" t="s">
        <v>1322</v>
      </c>
      <c r="C544" s="558" t="s">
        <v>3367</v>
      </c>
      <c r="D544" s="558" t="s">
        <v>23256</v>
      </c>
      <c r="E544" s="558" t="s">
        <v>192</v>
      </c>
      <c r="F544" s="563">
        <v>1</v>
      </c>
      <c r="G544" s="558" t="s">
        <v>193</v>
      </c>
      <c r="H544" s="558" t="s">
        <v>194</v>
      </c>
      <c r="I544" s="558" t="s">
        <v>24556</v>
      </c>
      <c r="J544" s="558" t="s">
        <v>210</v>
      </c>
      <c r="K544" s="558" t="s">
        <v>9309</v>
      </c>
      <c r="L544" s="558" t="s">
        <v>6955</v>
      </c>
      <c r="M544" s="558"/>
      <c r="N544" s="558" t="s">
        <v>25134</v>
      </c>
      <c r="O544" s="558" t="s">
        <v>6921</v>
      </c>
      <c r="P544" s="558" t="s">
        <v>24681</v>
      </c>
      <c r="Q544" s="558" t="s">
        <v>24618</v>
      </c>
      <c r="R544" s="558" t="s">
        <v>23158</v>
      </c>
      <c r="S544" s="558" t="s">
        <v>25135</v>
      </c>
      <c r="T544" s="558" t="s">
        <v>25136</v>
      </c>
      <c r="U544" s="558"/>
      <c r="V544" s="558" t="s">
        <v>9334</v>
      </c>
      <c r="W544" s="558" t="s">
        <v>3368</v>
      </c>
      <c r="X544" s="558" t="s">
        <v>194</v>
      </c>
      <c r="Y544" s="558" t="s">
        <v>9300</v>
      </c>
      <c r="Z544" s="558"/>
      <c r="AA544" s="558"/>
      <c r="AB544" s="558" t="s">
        <v>9311</v>
      </c>
      <c r="AC544" s="558"/>
      <c r="AD544" s="558"/>
      <c r="AE544" s="558"/>
      <c r="AF544" s="558"/>
      <c r="AG544" s="558"/>
      <c r="AH544" s="558" t="s">
        <v>4714</v>
      </c>
      <c r="AI544" s="558" t="s">
        <v>1322</v>
      </c>
      <c r="AJ544" s="601" t="str">
        <f t="shared" si="16"/>
        <v>133001</v>
      </c>
      <c r="AK544" s="601">
        <v>1</v>
      </c>
      <c r="AL544" s="601">
        <f t="shared" si="17"/>
        <v>1</v>
      </c>
      <c r="AM544" s="601">
        <v>1</v>
      </c>
      <c r="AN544" s="603" t="s">
        <v>17650</v>
      </c>
      <c r="AO544" s="603" t="s">
        <v>17651</v>
      </c>
      <c r="AP544" s="603" t="s">
        <v>17652</v>
      </c>
      <c r="AQ544" s="603" t="s">
        <v>17653</v>
      </c>
      <c r="AR544" s="603" t="s">
        <v>1024</v>
      </c>
      <c r="AS544" s="558">
        <v>1</v>
      </c>
    </row>
    <row r="545" spans="1:45" x14ac:dyDescent="0.2">
      <c r="A545" s="558" t="s">
        <v>25035</v>
      </c>
      <c r="B545" s="558" t="s">
        <v>25124</v>
      </c>
      <c r="C545" s="558" t="s">
        <v>706</v>
      </c>
      <c r="D545" s="558" t="s">
        <v>23256</v>
      </c>
      <c r="E545" s="558" t="s">
        <v>192</v>
      </c>
      <c r="F545" s="563">
        <v>1</v>
      </c>
      <c r="G545" s="558" t="s">
        <v>193</v>
      </c>
      <c r="H545" s="558" t="s">
        <v>194</v>
      </c>
      <c r="I545" s="558" t="s">
        <v>23164</v>
      </c>
      <c r="J545" s="558" t="s">
        <v>4751</v>
      </c>
      <c r="K545" s="558" t="s">
        <v>9309</v>
      </c>
      <c r="L545" s="558" t="s">
        <v>6955</v>
      </c>
      <c r="M545" s="558"/>
      <c r="N545" s="558" t="s">
        <v>25137</v>
      </c>
      <c r="O545" s="558" t="s">
        <v>6251</v>
      </c>
      <c r="P545" s="558" t="s">
        <v>24681</v>
      </c>
      <c r="Q545" s="558" t="s">
        <v>24618</v>
      </c>
      <c r="R545" s="558" t="s">
        <v>23158</v>
      </c>
      <c r="S545" s="558" t="s">
        <v>25138</v>
      </c>
      <c r="T545" s="558" t="s">
        <v>25139</v>
      </c>
      <c r="U545" s="558"/>
      <c r="V545" s="558" t="s">
        <v>9472</v>
      </c>
      <c r="W545" s="558" t="s">
        <v>707</v>
      </c>
      <c r="X545" s="558" t="s">
        <v>194</v>
      </c>
      <c r="Y545" s="558" t="s">
        <v>9300</v>
      </c>
      <c r="Z545" s="558"/>
      <c r="AA545" s="558"/>
      <c r="AB545" s="558" t="s">
        <v>9311</v>
      </c>
      <c r="AC545" s="558"/>
      <c r="AD545" s="558"/>
      <c r="AE545" s="558"/>
      <c r="AF545" s="558"/>
      <c r="AG545" s="558"/>
      <c r="AH545" s="558" t="s">
        <v>4714</v>
      </c>
      <c r="AI545" s="558" t="s">
        <v>25124</v>
      </c>
      <c r="AJ545" s="601" t="str">
        <f t="shared" si="16"/>
        <v>422201</v>
      </c>
      <c r="AK545" s="601">
        <v>1</v>
      </c>
      <c r="AL545" s="601">
        <f t="shared" si="17"/>
        <v>1</v>
      </c>
      <c r="AM545" s="601">
        <v>1</v>
      </c>
      <c r="AN545" s="603" t="s">
        <v>17650</v>
      </c>
      <c r="AO545" s="603" t="s">
        <v>17651</v>
      </c>
      <c r="AP545" s="603" t="s">
        <v>17652</v>
      </c>
      <c r="AQ545" s="603" t="s">
        <v>17653</v>
      </c>
      <c r="AR545" s="603" t="s">
        <v>1024</v>
      </c>
      <c r="AS545" s="558">
        <v>1</v>
      </c>
    </row>
    <row r="546" spans="1:45" x14ac:dyDescent="0.2">
      <c r="A546" s="558" t="s">
        <v>21197</v>
      </c>
      <c r="B546" s="558" t="s">
        <v>25140</v>
      </c>
      <c r="C546" s="558" t="s">
        <v>63</v>
      </c>
      <c r="D546" s="558" t="s">
        <v>23256</v>
      </c>
      <c r="E546" s="558" t="s">
        <v>192</v>
      </c>
      <c r="F546" s="563">
        <v>1</v>
      </c>
      <c r="G546" s="558" t="s">
        <v>193</v>
      </c>
      <c r="H546" s="558" t="s">
        <v>194</v>
      </c>
      <c r="I546" s="558" t="s">
        <v>24556</v>
      </c>
      <c r="J546" s="558" t="s">
        <v>210</v>
      </c>
      <c r="K546" s="558" t="s">
        <v>9309</v>
      </c>
      <c r="L546" s="558" t="s">
        <v>6955</v>
      </c>
      <c r="M546" s="558"/>
      <c r="N546" s="558" t="s">
        <v>25141</v>
      </c>
      <c r="O546" s="558" t="s">
        <v>6324</v>
      </c>
      <c r="P546" s="558" t="s">
        <v>24681</v>
      </c>
      <c r="Q546" s="558" t="s">
        <v>24618</v>
      </c>
      <c r="R546" s="558" t="s">
        <v>23158</v>
      </c>
      <c r="S546" s="558" t="s">
        <v>25142</v>
      </c>
      <c r="T546" s="558" t="s">
        <v>25143</v>
      </c>
      <c r="U546" s="558"/>
      <c r="V546" s="558" t="s">
        <v>9334</v>
      </c>
      <c r="W546" s="558" t="s">
        <v>2104</v>
      </c>
      <c r="X546" s="558" t="s">
        <v>194</v>
      </c>
      <c r="Y546" s="558" t="s">
        <v>9300</v>
      </c>
      <c r="Z546" s="558"/>
      <c r="AA546" s="558"/>
      <c r="AB546" s="558" t="s">
        <v>9311</v>
      </c>
      <c r="AC546" s="558"/>
      <c r="AD546" s="558"/>
      <c r="AE546" s="558"/>
      <c r="AF546" s="558"/>
      <c r="AG546" s="558"/>
      <c r="AH546" s="558" t="s">
        <v>4714</v>
      </c>
      <c r="AI546" s="558" t="s">
        <v>25140</v>
      </c>
      <c r="AJ546" s="601" t="str">
        <f t="shared" si="16"/>
        <v>311201</v>
      </c>
      <c r="AK546" s="601">
        <v>1</v>
      </c>
      <c r="AL546" s="601">
        <f t="shared" si="17"/>
        <v>1</v>
      </c>
      <c r="AM546" s="601">
        <v>1</v>
      </c>
      <c r="AN546" s="603" t="s">
        <v>17650</v>
      </c>
      <c r="AO546" s="603" t="s">
        <v>17651</v>
      </c>
      <c r="AP546" s="603" t="s">
        <v>17652</v>
      </c>
      <c r="AQ546" s="603" t="s">
        <v>17653</v>
      </c>
      <c r="AR546" s="603" t="s">
        <v>1024</v>
      </c>
      <c r="AS546" s="558">
        <v>1</v>
      </c>
    </row>
    <row r="547" spans="1:45" x14ac:dyDescent="0.2">
      <c r="A547" s="558" t="s">
        <v>16063</v>
      </c>
      <c r="B547" s="558" t="s">
        <v>1981</v>
      </c>
      <c r="C547" s="558" t="s">
        <v>54</v>
      </c>
      <c r="D547" s="558" t="s">
        <v>23256</v>
      </c>
      <c r="E547" s="558" t="s">
        <v>192</v>
      </c>
      <c r="F547" s="563">
        <v>1</v>
      </c>
      <c r="G547" s="558" t="s">
        <v>193</v>
      </c>
      <c r="H547" s="558" t="s">
        <v>194</v>
      </c>
      <c r="I547" s="558" t="s">
        <v>24551</v>
      </c>
      <c r="J547" s="558" t="s">
        <v>672</v>
      </c>
      <c r="K547" s="558" t="s">
        <v>9309</v>
      </c>
      <c r="L547" s="558" t="s">
        <v>6955</v>
      </c>
      <c r="M547" s="558"/>
      <c r="N547" s="558" t="s">
        <v>25144</v>
      </c>
      <c r="O547" s="558" t="s">
        <v>6275</v>
      </c>
      <c r="P547" s="558" t="s">
        <v>24681</v>
      </c>
      <c r="Q547" s="558" t="s">
        <v>24618</v>
      </c>
      <c r="R547" s="558" t="s">
        <v>23158</v>
      </c>
      <c r="S547" s="558" t="s">
        <v>25145</v>
      </c>
      <c r="T547" s="558" t="s">
        <v>25146</v>
      </c>
      <c r="U547" s="558"/>
      <c r="V547" s="558" t="s">
        <v>9726</v>
      </c>
      <c r="W547" s="558" t="s">
        <v>1982</v>
      </c>
      <c r="X547" s="558" t="s">
        <v>194</v>
      </c>
      <c r="Y547" s="558" t="s">
        <v>9300</v>
      </c>
      <c r="Z547" s="558"/>
      <c r="AA547" s="558"/>
      <c r="AB547" s="558" t="s">
        <v>9311</v>
      </c>
      <c r="AC547" s="558"/>
      <c r="AD547" s="558"/>
      <c r="AE547" s="558"/>
      <c r="AF547" s="558"/>
      <c r="AG547" s="558"/>
      <c r="AH547" s="558" t="s">
        <v>4714</v>
      </c>
      <c r="AI547" s="558" t="s">
        <v>1981</v>
      </c>
      <c r="AJ547" s="601" t="str">
        <f t="shared" si="16"/>
        <v>214103</v>
      </c>
      <c r="AK547" s="601">
        <v>1</v>
      </c>
      <c r="AL547" s="601">
        <f t="shared" si="17"/>
        <v>1</v>
      </c>
      <c r="AM547" s="601">
        <v>1</v>
      </c>
      <c r="AN547" s="603" t="s">
        <v>17650</v>
      </c>
      <c r="AO547" s="603" t="s">
        <v>17651</v>
      </c>
      <c r="AP547" s="603" t="s">
        <v>17652</v>
      </c>
      <c r="AQ547" s="603" t="s">
        <v>17653</v>
      </c>
      <c r="AR547" s="603" t="s">
        <v>1024</v>
      </c>
      <c r="AS547" s="558">
        <v>1</v>
      </c>
    </row>
    <row r="548" spans="1:45" x14ac:dyDescent="0.2">
      <c r="A548" s="558" t="s">
        <v>8187</v>
      </c>
      <c r="B548" s="558" t="s">
        <v>5412</v>
      </c>
      <c r="C548" s="558" t="s">
        <v>740</v>
      </c>
      <c r="D548" s="558" t="s">
        <v>23256</v>
      </c>
      <c r="E548" s="558" t="s">
        <v>192</v>
      </c>
      <c r="F548" s="563">
        <v>1</v>
      </c>
      <c r="G548" s="558" t="s">
        <v>193</v>
      </c>
      <c r="H548" s="558" t="s">
        <v>194</v>
      </c>
      <c r="I548" s="558" t="s">
        <v>23186</v>
      </c>
      <c r="J548" s="558" t="s">
        <v>259</v>
      </c>
      <c r="K548" s="558" t="s">
        <v>9309</v>
      </c>
      <c r="L548" s="558" t="s">
        <v>6955</v>
      </c>
      <c r="M548" s="558"/>
      <c r="N548" s="558" t="s">
        <v>25147</v>
      </c>
      <c r="O548" s="558" t="s">
        <v>6251</v>
      </c>
      <c r="P548" s="558" t="s">
        <v>24681</v>
      </c>
      <c r="Q548" s="558" t="s">
        <v>24618</v>
      </c>
      <c r="R548" s="558" t="s">
        <v>23266</v>
      </c>
      <c r="S548" s="558" t="s">
        <v>25148</v>
      </c>
      <c r="T548" s="558" t="s">
        <v>25149</v>
      </c>
      <c r="U548" s="558"/>
      <c r="V548" s="558" t="s">
        <v>10136</v>
      </c>
      <c r="W548" s="558" t="s">
        <v>741</v>
      </c>
      <c r="X548" s="558" t="s">
        <v>194</v>
      </c>
      <c r="Y548" s="558" t="s">
        <v>9300</v>
      </c>
      <c r="Z548" s="558"/>
      <c r="AA548" s="558"/>
      <c r="AB548" s="558" t="s">
        <v>9311</v>
      </c>
      <c r="AC548" s="558"/>
      <c r="AD548" s="558"/>
      <c r="AE548" s="558"/>
      <c r="AF548" s="558"/>
      <c r="AG548" s="558"/>
      <c r="AH548" s="558" t="s">
        <v>4714</v>
      </c>
      <c r="AI548" s="558" t="s">
        <v>5412</v>
      </c>
      <c r="AJ548" s="601" t="str">
        <f t="shared" si="16"/>
        <v>522301</v>
      </c>
      <c r="AK548" s="601">
        <v>1</v>
      </c>
      <c r="AL548" s="601">
        <f t="shared" si="17"/>
        <v>1</v>
      </c>
      <c r="AM548" s="601">
        <v>1</v>
      </c>
      <c r="AN548" s="603" t="s">
        <v>17650</v>
      </c>
      <c r="AO548" s="603" t="s">
        <v>17651</v>
      </c>
      <c r="AP548" s="603" t="s">
        <v>17652</v>
      </c>
      <c r="AQ548" s="603" t="s">
        <v>17653</v>
      </c>
      <c r="AR548" s="603" t="s">
        <v>1024</v>
      </c>
      <c r="AS548" s="558">
        <v>1</v>
      </c>
    </row>
    <row r="549" spans="1:45" x14ac:dyDescent="0.2">
      <c r="A549" s="558" t="s">
        <v>8187</v>
      </c>
      <c r="B549" s="558" t="s">
        <v>22752</v>
      </c>
      <c r="C549" s="558" t="s">
        <v>740</v>
      </c>
      <c r="D549" s="558" t="s">
        <v>23256</v>
      </c>
      <c r="E549" s="558" t="s">
        <v>192</v>
      </c>
      <c r="F549" s="563">
        <v>1</v>
      </c>
      <c r="G549" s="558" t="s">
        <v>193</v>
      </c>
      <c r="H549" s="558" t="s">
        <v>194</v>
      </c>
      <c r="I549" s="558" t="s">
        <v>23186</v>
      </c>
      <c r="J549" s="558" t="s">
        <v>1995</v>
      </c>
      <c r="K549" s="558" t="s">
        <v>9309</v>
      </c>
      <c r="L549" s="558" t="s">
        <v>6955</v>
      </c>
      <c r="M549" s="558"/>
      <c r="N549" s="558" t="s">
        <v>25150</v>
      </c>
      <c r="O549" s="558" t="s">
        <v>6251</v>
      </c>
      <c r="P549" s="558" t="s">
        <v>24681</v>
      </c>
      <c r="Q549" s="558" t="s">
        <v>24618</v>
      </c>
      <c r="R549" s="558" t="s">
        <v>23266</v>
      </c>
      <c r="S549" s="558" t="s">
        <v>25151</v>
      </c>
      <c r="T549" s="558" t="s">
        <v>25152</v>
      </c>
      <c r="U549" s="558"/>
      <c r="V549" s="558" t="s">
        <v>9440</v>
      </c>
      <c r="W549" s="558" t="s">
        <v>741</v>
      </c>
      <c r="X549" s="558" t="s">
        <v>194</v>
      </c>
      <c r="Y549" s="558" t="s">
        <v>9300</v>
      </c>
      <c r="Z549" s="558"/>
      <c r="AA549" s="558"/>
      <c r="AB549" s="558" t="s">
        <v>9311</v>
      </c>
      <c r="AC549" s="558"/>
      <c r="AD549" s="558"/>
      <c r="AE549" s="558"/>
      <c r="AF549" s="558"/>
      <c r="AG549" s="558"/>
      <c r="AH549" s="558" t="s">
        <v>4714</v>
      </c>
      <c r="AI549" s="558" t="s">
        <v>22752</v>
      </c>
      <c r="AJ549" s="601" t="str">
        <f t="shared" si="16"/>
        <v>522301</v>
      </c>
      <c r="AK549" s="601">
        <v>1</v>
      </c>
      <c r="AL549" s="601">
        <f t="shared" si="17"/>
        <v>1</v>
      </c>
      <c r="AM549" s="601">
        <v>1</v>
      </c>
      <c r="AN549" s="603" t="s">
        <v>17650</v>
      </c>
      <c r="AO549" s="603" t="s">
        <v>17651</v>
      </c>
      <c r="AP549" s="603" t="s">
        <v>17652</v>
      </c>
      <c r="AQ549" s="603" t="s">
        <v>17653</v>
      </c>
      <c r="AR549" s="603" t="s">
        <v>1024</v>
      </c>
      <c r="AS549" s="558">
        <v>1</v>
      </c>
    </row>
    <row r="550" spans="1:45" x14ac:dyDescent="0.2">
      <c r="A550" s="558" t="s">
        <v>25153</v>
      </c>
      <c r="B550" s="558" t="s">
        <v>25154</v>
      </c>
      <c r="C550" s="558" t="s">
        <v>420</v>
      </c>
      <c r="D550" s="558" t="s">
        <v>23256</v>
      </c>
      <c r="E550" s="558" t="s">
        <v>192</v>
      </c>
      <c r="F550" s="563">
        <v>1</v>
      </c>
      <c r="G550" s="558" t="s">
        <v>193</v>
      </c>
      <c r="H550" s="558" t="s">
        <v>194</v>
      </c>
      <c r="I550" s="558" t="s">
        <v>24556</v>
      </c>
      <c r="J550" s="558" t="s">
        <v>210</v>
      </c>
      <c r="K550" s="558" t="s">
        <v>9309</v>
      </c>
      <c r="L550" s="558" t="s">
        <v>6955</v>
      </c>
      <c r="M550" s="558"/>
      <c r="N550" s="558" t="s">
        <v>25155</v>
      </c>
      <c r="O550" s="558" t="s">
        <v>7531</v>
      </c>
      <c r="P550" s="558" t="s">
        <v>24681</v>
      </c>
      <c r="Q550" s="558" t="s">
        <v>24618</v>
      </c>
      <c r="R550" s="558" t="s">
        <v>23158</v>
      </c>
      <c r="S550" s="558" t="s">
        <v>25156</v>
      </c>
      <c r="T550" s="558" t="s">
        <v>25157</v>
      </c>
      <c r="U550" s="558"/>
      <c r="V550" s="558" t="s">
        <v>9334</v>
      </c>
      <c r="W550" s="558" t="s">
        <v>421</v>
      </c>
      <c r="X550" s="558" t="s">
        <v>194</v>
      </c>
      <c r="Y550" s="558" t="s">
        <v>9300</v>
      </c>
      <c r="Z550" s="558"/>
      <c r="AA550" s="558"/>
      <c r="AB550" s="558" t="s">
        <v>9311</v>
      </c>
      <c r="AC550" s="558"/>
      <c r="AD550" s="558"/>
      <c r="AE550" s="558"/>
      <c r="AF550" s="558"/>
      <c r="AG550" s="558"/>
      <c r="AH550" s="558" t="s">
        <v>4714</v>
      </c>
      <c r="AI550" s="558" t="s">
        <v>25154</v>
      </c>
      <c r="AJ550" s="601" t="str">
        <f t="shared" si="16"/>
        <v>241306</v>
      </c>
      <c r="AK550" s="601">
        <v>1</v>
      </c>
      <c r="AL550" s="601">
        <f t="shared" si="17"/>
        <v>1</v>
      </c>
      <c r="AM550" s="601">
        <v>1</v>
      </c>
      <c r="AN550" s="603" t="s">
        <v>17650</v>
      </c>
      <c r="AO550" s="603" t="s">
        <v>17651</v>
      </c>
      <c r="AP550" s="603" t="s">
        <v>17652</v>
      </c>
      <c r="AQ550" s="603" t="s">
        <v>17653</v>
      </c>
      <c r="AR550" s="603" t="s">
        <v>1024</v>
      </c>
      <c r="AS550" s="558">
        <v>1</v>
      </c>
    </row>
    <row r="551" spans="1:45" x14ac:dyDescent="0.2">
      <c r="A551" s="558" t="s">
        <v>1209</v>
      </c>
      <c r="B551" s="558" t="s">
        <v>404</v>
      </c>
      <c r="C551" s="558" t="s">
        <v>43</v>
      </c>
      <c r="D551" s="558" t="s">
        <v>23256</v>
      </c>
      <c r="E551" s="558" t="s">
        <v>192</v>
      </c>
      <c r="F551" s="563">
        <v>1</v>
      </c>
      <c r="G551" s="558" t="s">
        <v>193</v>
      </c>
      <c r="H551" s="558" t="s">
        <v>194</v>
      </c>
      <c r="I551" s="558" t="s">
        <v>23151</v>
      </c>
      <c r="J551" s="558" t="s">
        <v>367</v>
      </c>
      <c r="K551" s="558" t="s">
        <v>9309</v>
      </c>
      <c r="L551" s="558" t="s">
        <v>6955</v>
      </c>
      <c r="M551" s="558"/>
      <c r="N551" s="558" t="s">
        <v>25158</v>
      </c>
      <c r="O551" s="558" t="s">
        <v>6254</v>
      </c>
      <c r="P551" s="558" t="s">
        <v>24681</v>
      </c>
      <c r="Q551" s="558" t="s">
        <v>24618</v>
      </c>
      <c r="R551" s="558" t="s">
        <v>23835</v>
      </c>
      <c r="S551" s="558" t="s">
        <v>25159</v>
      </c>
      <c r="T551" s="558" t="s">
        <v>25160</v>
      </c>
      <c r="U551" s="558"/>
      <c r="V551" s="558" t="s">
        <v>9974</v>
      </c>
      <c r="W551" s="558" t="s">
        <v>452</v>
      </c>
      <c r="X551" s="558" t="s">
        <v>194</v>
      </c>
      <c r="Y551" s="558" t="s">
        <v>9300</v>
      </c>
      <c r="Z551" s="558"/>
      <c r="AA551" s="558"/>
      <c r="AB551" s="558" t="s">
        <v>9311</v>
      </c>
      <c r="AC551" s="558"/>
      <c r="AD551" s="558"/>
      <c r="AE551" s="558"/>
      <c r="AF551" s="558"/>
      <c r="AG551" s="558"/>
      <c r="AH551" s="558" t="s">
        <v>4714</v>
      </c>
      <c r="AI551" s="558" t="s">
        <v>404</v>
      </c>
      <c r="AJ551" s="601" t="str">
        <f t="shared" si="16"/>
        <v>243106</v>
      </c>
      <c r="AK551" s="601">
        <v>1</v>
      </c>
      <c r="AL551" s="601">
        <f t="shared" si="17"/>
        <v>1</v>
      </c>
      <c r="AM551" s="601">
        <v>1</v>
      </c>
      <c r="AN551" s="603" t="s">
        <v>17650</v>
      </c>
      <c r="AO551" s="603" t="s">
        <v>17651</v>
      </c>
      <c r="AP551" s="603" t="s">
        <v>17652</v>
      </c>
      <c r="AQ551" s="603" t="s">
        <v>17653</v>
      </c>
      <c r="AR551" s="603" t="s">
        <v>1024</v>
      </c>
      <c r="AS551" s="558">
        <v>1</v>
      </c>
    </row>
    <row r="552" spans="1:45" x14ac:dyDescent="0.2">
      <c r="A552" s="558" t="s">
        <v>25101</v>
      </c>
      <c r="B552" s="558" t="s">
        <v>25161</v>
      </c>
      <c r="C552" s="558" t="s">
        <v>81</v>
      </c>
      <c r="D552" s="558" t="s">
        <v>23256</v>
      </c>
      <c r="E552" s="558" t="s">
        <v>192</v>
      </c>
      <c r="F552" s="563">
        <v>1</v>
      </c>
      <c r="G552" s="558" t="s">
        <v>193</v>
      </c>
      <c r="H552" s="558" t="s">
        <v>194</v>
      </c>
      <c r="I552" s="558" t="s">
        <v>23164</v>
      </c>
      <c r="J552" s="558" t="s">
        <v>210</v>
      </c>
      <c r="K552" s="558" t="s">
        <v>9309</v>
      </c>
      <c r="L552" s="558" t="s">
        <v>6955</v>
      </c>
      <c r="M552" s="558"/>
      <c r="N552" s="558" t="s">
        <v>25162</v>
      </c>
      <c r="O552" s="558" t="s">
        <v>6254</v>
      </c>
      <c r="P552" s="558" t="s">
        <v>24681</v>
      </c>
      <c r="Q552" s="558" t="s">
        <v>24618</v>
      </c>
      <c r="R552" s="558" t="s">
        <v>23158</v>
      </c>
      <c r="S552" s="558" t="s">
        <v>25163</v>
      </c>
      <c r="T552" s="558" t="s">
        <v>25164</v>
      </c>
      <c r="U552" s="558"/>
      <c r="V552" s="558" t="s">
        <v>9334</v>
      </c>
      <c r="W552" s="558" t="s">
        <v>402</v>
      </c>
      <c r="X552" s="558" t="s">
        <v>194</v>
      </c>
      <c r="Y552" s="558" t="s">
        <v>9300</v>
      </c>
      <c r="Z552" s="558"/>
      <c r="AA552" s="558"/>
      <c r="AB552" s="558" t="s">
        <v>9311</v>
      </c>
      <c r="AC552" s="558"/>
      <c r="AD552" s="558"/>
      <c r="AE552" s="558"/>
      <c r="AF552" s="558"/>
      <c r="AG552" s="558"/>
      <c r="AH552" s="558" t="s">
        <v>4714</v>
      </c>
      <c r="AI552" s="558" t="s">
        <v>25161</v>
      </c>
      <c r="AJ552" s="601" t="str">
        <f t="shared" si="16"/>
        <v>241205</v>
      </c>
      <c r="AK552" s="601">
        <v>1</v>
      </c>
      <c r="AL552" s="601">
        <f t="shared" si="17"/>
        <v>1</v>
      </c>
      <c r="AM552" s="601">
        <v>1</v>
      </c>
      <c r="AN552" s="603" t="s">
        <v>17650</v>
      </c>
      <c r="AO552" s="603" t="s">
        <v>17651</v>
      </c>
      <c r="AP552" s="603" t="s">
        <v>17652</v>
      </c>
      <c r="AQ552" s="603" t="s">
        <v>17653</v>
      </c>
      <c r="AR552" s="603" t="s">
        <v>1024</v>
      </c>
      <c r="AS552" s="558">
        <v>1</v>
      </c>
    </row>
    <row r="553" spans="1:45" x14ac:dyDescent="0.2">
      <c r="A553" s="558" t="s">
        <v>25165</v>
      </c>
      <c r="B553" s="558" t="s">
        <v>25166</v>
      </c>
      <c r="C553" s="558" t="s">
        <v>4966</v>
      </c>
      <c r="D553" s="558" t="s">
        <v>23256</v>
      </c>
      <c r="E553" s="558" t="s">
        <v>192</v>
      </c>
      <c r="F553" s="563">
        <v>1</v>
      </c>
      <c r="G553" s="558" t="s">
        <v>193</v>
      </c>
      <c r="H553" s="558" t="s">
        <v>194</v>
      </c>
      <c r="I553" s="558" t="s">
        <v>23164</v>
      </c>
      <c r="J553" s="558" t="s">
        <v>305</v>
      </c>
      <c r="K553" s="558" t="s">
        <v>9309</v>
      </c>
      <c r="L553" s="558" t="s">
        <v>6955</v>
      </c>
      <c r="M553" s="558"/>
      <c r="N553" s="558" t="s">
        <v>25167</v>
      </c>
      <c r="O553" s="558" t="s">
        <v>6254</v>
      </c>
      <c r="P553" s="558" t="s">
        <v>24681</v>
      </c>
      <c r="Q553" s="558" t="s">
        <v>24618</v>
      </c>
      <c r="R553" s="558" t="s">
        <v>23158</v>
      </c>
      <c r="S553" s="558" t="s">
        <v>25168</v>
      </c>
      <c r="T553" s="558" t="s">
        <v>25169</v>
      </c>
      <c r="U553" s="558"/>
      <c r="V553" s="558" t="s">
        <v>9753</v>
      </c>
      <c r="W553" s="558" t="s">
        <v>405</v>
      </c>
      <c r="X553" s="558" t="s">
        <v>194</v>
      </c>
      <c r="Y553" s="558" t="s">
        <v>9300</v>
      </c>
      <c r="Z553" s="558"/>
      <c r="AA553" s="558"/>
      <c r="AB553" s="558" t="s">
        <v>9311</v>
      </c>
      <c r="AC553" s="558"/>
      <c r="AD553" s="558"/>
      <c r="AE553" s="558"/>
      <c r="AF553" s="558"/>
      <c r="AG553" s="558"/>
      <c r="AH553" s="558" t="s">
        <v>4714</v>
      </c>
      <c r="AI553" s="558" t="s">
        <v>25166</v>
      </c>
      <c r="AJ553" s="601" t="str">
        <f t="shared" si="16"/>
        <v>241304</v>
      </c>
      <c r="AK553" s="601">
        <v>1</v>
      </c>
      <c r="AL553" s="601">
        <f t="shared" si="17"/>
        <v>1</v>
      </c>
      <c r="AM553" s="601">
        <v>1</v>
      </c>
      <c r="AN553" s="603" t="s">
        <v>17650</v>
      </c>
      <c r="AO553" s="603" t="s">
        <v>17651</v>
      </c>
      <c r="AP553" s="603" t="s">
        <v>17652</v>
      </c>
      <c r="AQ553" s="603" t="s">
        <v>17653</v>
      </c>
      <c r="AR553" s="603" t="s">
        <v>1024</v>
      </c>
      <c r="AS553" s="558">
        <v>1</v>
      </c>
    </row>
    <row r="554" spans="1:45" x14ac:dyDescent="0.2">
      <c r="A554" s="558" t="s">
        <v>5006</v>
      </c>
      <c r="B554" s="558" t="s">
        <v>1638</v>
      </c>
      <c r="C554" s="558" t="s">
        <v>468</v>
      </c>
      <c r="D554" s="558" t="s">
        <v>23256</v>
      </c>
      <c r="E554" s="558" t="s">
        <v>192</v>
      </c>
      <c r="F554" s="563">
        <v>1</v>
      </c>
      <c r="G554" s="558" t="s">
        <v>193</v>
      </c>
      <c r="H554" s="558" t="s">
        <v>194</v>
      </c>
      <c r="I554" s="558" t="s">
        <v>23186</v>
      </c>
      <c r="J554" s="558" t="s">
        <v>367</v>
      </c>
      <c r="K554" s="558" t="s">
        <v>9309</v>
      </c>
      <c r="L554" s="558" t="s">
        <v>6955</v>
      </c>
      <c r="M554" s="558"/>
      <c r="N554" s="558" t="s">
        <v>25170</v>
      </c>
      <c r="O554" s="558" t="s">
        <v>6288</v>
      </c>
      <c r="P554" s="558" t="s">
        <v>24681</v>
      </c>
      <c r="Q554" s="558" t="s">
        <v>24618</v>
      </c>
      <c r="R554" s="558" t="s">
        <v>23158</v>
      </c>
      <c r="S554" s="558" t="s">
        <v>25171</v>
      </c>
      <c r="T554" s="558" t="s">
        <v>25172</v>
      </c>
      <c r="U554" s="558"/>
      <c r="V554" s="558" t="s">
        <v>9974</v>
      </c>
      <c r="W554" s="558" t="s">
        <v>469</v>
      </c>
      <c r="X554" s="558" t="s">
        <v>194</v>
      </c>
      <c r="Y554" s="558" t="s">
        <v>9300</v>
      </c>
      <c r="Z554" s="558"/>
      <c r="AA554" s="558"/>
      <c r="AB554" s="558" t="s">
        <v>9311</v>
      </c>
      <c r="AC554" s="558"/>
      <c r="AD554" s="558"/>
      <c r="AE554" s="558"/>
      <c r="AF554" s="558"/>
      <c r="AG554" s="558"/>
      <c r="AH554" s="558" t="s">
        <v>4714</v>
      </c>
      <c r="AI554" s="558" t="s">
        <v>1638</v>
      </c>
      <c r="AJ554" s="601" t="str">
        <f t="shared" si="16"/>
        <v>243303</v>
      </c>
      <c r="AK554" s="601">
        <v>1</v>
      </c>
      <c r="AL554" s="601">
        <f t="shared" si="17"/>
        <v>1</v>
      </c>
      <c r="AM554" s="601">
        <v>1</v>
      </c>
      <c r="AN554" s="603" t="s">
        <v>17650</v>
      </c>
      <c r="AO554" s="603" t="s">
        <v>17651</v>
      </c>
      <c r="AP554" s="603" t="s">
        <v>17652</v>
      </c>
      <c r="AQ554" s="603" t="s">
        <v>17653</v>
      </c>
      <c r="AR554" s="603" t="s">
        <v>1024</v>
      </c>
      <c r="AS554" s="558">
        <v>1</v>
      </c>
    </row>
    <row r="555" spans="1:45" x14ac:dyDescent="0.2">
      <c r="A555" s="558" t="s">
        <v>1209</v>
      </c>
      <c r="B555" s="558" t="s">
        <v>25173</v>
      </c>
      <c r="C555" s="558" t="s">
        <v>4966</v>
      </c>
      <c r="D555" s="558" t="s">
        <v>23256</v>
      </c>
      <c r="E555" s="558" t="s">
        <v>192</v>
      </c>
      <c r="F555" s="563">
        <v>1</v>
      </c>
      <c r="G555" s="558" t="s">
        <v>193</v>
      </c>
      <c r="H555" s="558" t="s">
        <v>194</v>
      </c>
      <c r="I555" s="558" t="s">
        <v>23164</v>
      </c>
      <c r="J555" s="558" t="s">
        <v>276</v>
      </c>
      <c r="K555" s="558" t="s">
        <v>9309</v>
      </c>
      <c r="L555" s="558" t="s">
        <v>6955</v>
      </c>
      <c r="M555" s="558"/>
      <c r="N555" s="558" t="s">
        <v>25174</v>
      </c>
      <c r="O555" s="558" t="s">
        <v>6254</v>
      </c>
      <c r="P555" s="558" t="s">
        <v>24681</v>
      </c>
      <c r="Q555" s="558" t="s">
        <v>24618</v>
      </c>
      <c r="R555" s="558" t="s">
        <v>23835</v>
      </c>
      <c r="S555" s="558" t="s">
        <v>25175</v>
      </c>
      <c r="T555" s="558" t="s">
        <v>25176</v>
      </c>
      <c r="U555" s="558"/>
      <c r="V555" s="558" t="s">
        <v>9786</v>
      </c>
      <c r="W555" s="558" t="s">
        <v>405</v>
      </c>
      <c r="X555" s="558" t="s">
        <v>194</v>
      </c>
      <c r="Y555" s="558" t="s">
        <v>9300</v>
      </c>
      <c r="Z555" s="558"/>
      <c r="AA555" s="558"/>
      <c r="AB555" s="558" t="s">
        <v>9311</v>
      </c>
      <c r="AC555" s="558"/>
      <c r="AD555" s="558"/>
      <c r="AE555" s="558"/>
      <c r="AF555" s="558"/>
      <c r="AG555" s="558"/>
      <c r="AH555" s="558" t="s">
        <v>4714</v>
      </c>
      <c r="AI555" s="558" t="s">
        <v>25173</v>
      </c>
      <c r="AJ555" s="601" t="str">
        <f t="shared" si="16"/>
        <v>241304</v>
      </c>
      <c r="AK555" s="601">
        <v>1</v>
      </c>
      <c r="AL555" s="601">
        <f t="shared" si="17"/>
        <v>1</v>
      </c>
      <c r="AM555" s="601">
        <v>1</v>
      </c>
      <c r="AN555" s="603" t="s">
        <v>17650</v>
      </c>
      <c r="AO555" s="603" t="s">
        <v>17651</v>
      </c>
      <c r="AP555" s="603" t="s">
        <v>17652</v>
      </c>
      <c r="AQ555" s="603" t="s">
        <v>17653</v>
      </c>
      <c r="AR555" s="603" t="s">
        <v>1024</v>
      </c>
      <c r="AS555" s="558">
        <v>1</v>
      </c>
    </row>
    <row r="556" spans="1:45" x14ac:dyDescent="0.2">
      <c r="A556" s="558" t="s">
        <v>10606</v>
      </c>
      <c r="B556" s="558" t="s">
        <v>24863</v>
      </c>
      <c r="C556" s="558" t="s">
        <v>4571</v>
      </c>
      <c r="D556" s="558" t="s">
        <v>23256</v>
      </c>
      <c r="E556" s="558" t="s">
        <v>192</v>
      </c>
      <c r="F556" s="563">
        <v>1</v>
      </c>
      <c r="G556" s="558" t="s">
        <v>193</v>
      </c>
      <c r="H556" s="558" t="s">
        <v>194</v>
      </c>
      <c r="I556" s="558" t="s">
        <v>23158</v>
      </c>
      <c r="J556" s="558" t="s">
        <v>755</v>
      </c>
      <c r="K556" s="558" t="s">
        <v>9309</v>
      </c>
      <c r="L556" s="558" t="s">
        <v>6955</v>
      </c>
      <c r="M556" s="558"/>
      <c r="N556" s="558" t="s">
        <v>25177</v>
      </c>
      <c r="O556" s="558" t="s">
        <v>6245</v>
      </c>
      <c r="P556" s="558" t="s">
        <v>24681</v>
      </c>
      <c r="Q556" s="558" t="s">
        <v>24618</v>
      </c>
      <c r="R556" s="558" t="s">
        <v>23158</v>
      </c>
      <c r="S556" s="558" t="s">
        <v>25178</v>
      </c>
      <c r="T556" s="558" t="s">
        <v>25179</v>
      </c>
      <c r="U556" s="558"/>
      <c r="V556" s="558" t="s">
        <v>9726</v>
      </c>
      <c r="W556" s="558" t="s">
        <v>4572</v>
      </c>
      <c r="X556" s="558" t="s">
        <v>194</v>
      </c>
      <c r="Y556" s="558" t="s">
        <v>9300</v>
      </c>
      <c r="Z556" s="558"/>
      <c r="AA556" s="558"/>
      <c r="AB556" s="558" t="s">
        <v>9311</v>
      </c>
      <c r="AC556" s="558"/>
      <c r="AD556" s="558"/>
      <c r="AE556" s="558"/>
      <c r="AF556" s="558"/>
      <c r="AG556" s="558"/>
      <c r="AH556" s="558" t="s">
        <v>4714</v>
      </c>
      <c r="AI556" s="558" t="s">
        <v>24863</v>
      </c>
      <c r="AJ556" s="601" t="str">
        <f t="shared" si="16"/>
        <v>214922</v>
      </c>
      <c r="AK556" s="601">
        <v>1</v>
      </c>
      <c r="AL556" s="601">
        <f t="shared" si="17"/>
        <v>1</v>
      </c>
      <c r="AM556" s="601">
        <v>1</v>
      </c>
      <c r="AN556" s="603" t="s">
        <v>17650</v>
      </c>
      <c r="AO556" s="603" t="s">
        <v>17651</v>
      </c>
      <c r="AP556" s="603" t="s">
        <v>17652</v>
      </c>
      <c r="AQ556" s="603" t="s">
        <v>17653</v>
      </c>
      <c r="AR556" s="603" t="s">
        <v>1024</v>
      </c>
      <c r="AS556" s="558">
        <v>1</v>
      </c>
    </row>
    <row r="557" spans="1:45" x14ac:dyDescent="0.2">
      <c r="A557" s="558" t="s">
        <v>1209</v>
      </c>
      <c r="B557" s="558" t="s">
        <v>1210</v>
      </c>
      <c r="C557" s="558" t="s">
        <v>4966</v>
      </c>
      <c r="D557" s="558" t="s">
        <v>23256</v>
      </c>
      <c r="E557" s="558" t="s">
        <v>192</v>
      </c>
      <c r="F557" s="563">
        <v>1</v>
      </c>
      <c r="G557" s="558" t="s">
        <v>193</v>
      </c>
      <c r="H557" s="558" t="s">
        <v>194</v>
      </c>
      <c r="I557" s="558" t="s">
        <v>23151</v>
      </c>
      <c r="J557" s="558" t="s">
        <v>301</v>
      </c>
      <c r="K557" s="558" t="s">
        <v>9309</v>
      </c>
      <c r="L557" s="558" t="s">
        <v>6955</v>
      </c>
      <c r="M557" s="558"/>
      <c r="N557" s="558" t="s">
        <v>25180</v>
      </c>
      <c r="O557" s="558" t="s">
        <v>6254</v>
      </c>
      <c r="P557" s="558" t="s">
        <v>24681</v>
      </c>
      <c r="Q557" s="558" t="s">
        <v>24618</v>
      </c>
      <c r="R557" s="558" t="s">
        <v>23835</v>
      </c>
      <c r="S557" s="558" t="s">
        <v>25181</v>
      </c>
      <c r="T557" s="558" t="s">
        <v>25182</v>
      </c>
      <c r="U557" s="558"/>
      <c r="V557" s="558" t="s">
        <v>9367</v>
      </c>
      <c r="W557" s="558" t="s">
        <v>405</v>
      </c>
      <c r="X557" s="558" t="s">
        <v>194</v>
      </c>
      <c r="Y557" s="558" t="s">
        <v>9300</v>
      </c>
      <c r="Z557" s="558"/>
      <c r="AA557" s="558"/>
      <c r="AB557" s="558" t="s">
        <v>9311</v>
      </c>
      <c r="AC557" s="558"/>
      <c r="AD557" s="558"/>
      <c r="AE557" s="558"/>
      <c r="AF557" s="558"/>
      <c r="AG557" s="558"/>
      <c r="AH557" s="558" t="s">
        <v>4714</v>
      </c>
      <c r="AI557" s="558" t="s">
        <v>1210</v>
      </c>
      <c r="AJ557" s="601" t="str">
        <f t="shared" si="16"/>
        <v>241304</v>
      </c>
      <c r="AK557" s="601">
        <v>1</v>
      </c>
      <c r="AL557" s="601">
        <f t="shared" si="17"/>
        <v>1</v>
      </c>
      <c r="AM557" s="601">
        <v>1</v>
      </c>
      <c r="AN557" s="603" t="s">
        <v>17650</v>
      </c>
      <c r="AO557" s="603" t="s">
        <v>17651</v>
      </c>
      <c r="AP557" s="603" t="s">
        <v>17652</v>
      </c>
      <c r="AQ557" s="603" t="s">
        <v>17653</v>
      </c>
      <c r="AR557" s="603" t="s">
        <v>1024</v>
      </c>
      <c r="AS557" s="558">
        <v>1</v>
      </c>
    </row>
    <row r="558" spans="1:45" x14ac:dyDescent="0.2">
      <c r="A558" s="558" t="s">
        <v>1209</v>
      </c>
      <c r="B558" s="558" t="s">
        <v>25173</v>
      </c>
      <c r="C558" s="558" t="s">
        <v>4966</v>
      </c>
      <c r="D558" s="558" t="s">
        <v>23256</v>
      </c>
      <c r="E558" s="558" t="s">
        <v>192</v>
      </c>
      <c r="F558" s="563">
        <v>1</v>
      </c>
      <c r="G558" s="558" t="s">
        <v>193</v>
      </c>
      <c r="H558" s="558" t="s">
        <v>194</v>
      </c>
      <c r="I558" s="558" t="s">
        <v>23164</v>
      </c>
      <c r="J558" s="558" t="s">
        <v>408</v>
      </c>
      <c r="K558" s="558" t="s">
        <v>9309</v>
      </c>
      <c r="L558" s="558" t="s">
        <v>6955</v>
      </c>
      <c r="M558" s="558"/>
      <c r="N558" s="558" t="s">
        <v>25183</v>
      </c>
      <c r="O558" s="558" t="s">
        <v>6254</v>
      </c>
      <c r="P558" s="558" t="s">
        <v>24681</v>
      </c>
      <c r="Q558" s="558" t="s">
        <v>24618</v>
      </c>
      <c r="R558" s="558" t="s">
        <v>23835</v>
      </c>
      <c r="S558" s="558" t="s">
        <v>25184</v>
      </c>
      <c r="T558" s="558" t="s">
        <v>25185</v>
      </c>
      <c r="U558" s="558"/>
      <c r="V558" s="558" t="s">
        <v>9479</v>
      </c>
      <c r="W558" s="558" t="s">
        <v>405</v>
      </c>
      <c r="X558" s="558" t="s">
        <v>194</v>
      </c>
      <c r="Y558" s="558" t="s">
        <v>9300</v>
      </c>
      <c r="Z558" s="558"/>
      <c r="AA558" s="558"/>
      <c r="AB558" s="558" t="s">
        <v>9311</v>
      </c>
      <c r="AC558" s="558"/>
      <c r="AD558" s="558"/>
      <c r="AE558" s="558"/>
      <c r="AF558" s="558"/>
      <c r="AG558" s="558"/>
      <c r="AH558" s="558" t="s">
        <v>4714</v>
      </c>
      <c r="AI558" s="558" t="s">
        <v>25173</v>
      </c>
      <c r="AJ558" s="601" t="str">
        <f t="shared" si="16"/>
        <v>241304</v>
      </c>
      <c r="AK558" s="601">
        <v>1</v>
      </c>
      <c r="AL558" s="601">
        <f t="shared" si="17"/>
        <v>1</v>
      </c>
      <c r="AM558" s="601">
        <v>1</v>
      </c>
      <c r="AN558" s="603" t="s">
        <v>17650</v>
      </c>
      <c r="AO558" s="603" t="s">
        <v>17651</v>
      </c>
      <c r="AP558" s="603" t="s">
        <v>17652</v>
      </c>
      <c r="AQ558" s="603" t="s">
        <v>17653</v>
      </c>
      <c r="AR558" s="603" t="s">
        <v>1024</v>
      </c>
      <c r="AS558" s="558">
        <v>1</v>
      </c>
    </row>
    <row r="559" spans="1:45" x14ac:dyDescent="0.2">
      <c r="A559" s="558" t="s">
        <v>24278</v>
      </c>
      <c r="B559" s="558" t="s">
        <v>25186</v>
      </c>
      <c r="C559" s="558" t="s">
        <v>237</v>
      </c>
      <c r="D559" s="558" t="s">
        <v>23256</v>
      </c>
      <c r="E559" s="558" t="s">
        <v>192</v>
      </c>
      <c r="F559" s="563">
        <v>1</v>
      </c>
      <c r="G559" s="558" t="s">
        <v>193</v>
      </c>
      <c r="H559" s="558" t="s">
        <v>194</v>
      </c>
      <c r="I559" s="558" t="s">
        <v>23164</v>
      </c>
      <c r="J559" s="558" t="s">
        <v>210</v>
      </c>
      <c r="K559" s="558" t="s">
        <v>9309</v>
      </c>
      <c r="L559" s="558" t="s">
        <v>6955</v>
      </c>
      <c r="M559" s="558"/>
      <c r="N559" s="558" t="s">
        <v>25187</v>
      </c>
      <c r="O559" s="558" t="s">
        <v>6266</v>
      </c>
      <c r="P559" s="558" t="s">
        <v>24681</v>
      </c>
      <c r="Q559" s="558" t="s">
        <v>24618</v>
      </c>
      <c r="R559" s="558" t="s">
        <v>23158</v>
      </c>
      <c r="S559" s="558" t="s">
        <v>25188</v>
      </c>
      <c r="T559" s="558" t="s">
        <v>25189</v>
      </c>
      <c r="U559" s="558"/>
      <c r="V559" s="558" t="s">
        <v>9334</v>
      </c>
      <c r="W559" s="558" t="s">
        <v>239</v>
      </c>
      <c r="X559" s="558" t="s">
        <v>194</v>
      </c>
      <c r="Y559" s="558" t="s">
        <v>9300</v>
      </c>
      <c r="Z559" s="558"/>
      <c r="AA559" s="558"/>
      <c r="AB559" s="558" t="s">
        <v>9311</v>
      </c>
      <c r="AC559" s="558"/>
      <c r="AD559" s="558"/>
      <c r="AE559" s="558"/>
      <c r="AF559" s="558"/>
      <c r="AG559" s="558"/>
      <c r="AH559" s="558" t="s">
        <v>4714</v>
      </c>
      <c r="AI559" s="558" t="s">
        <v>25186</v>
      </c>
      <c r="AJ559" s="601" t="str">
        <f t="shared" si="16"/>
        <v>132404</v>
      </c>
      <c r="AK559" s="601">
        <v>1</v>
      </c>
      <c r="AL559" s="601">
        <f t="shared" si="17"/>
        <v>1</v>
      </c>
      <c r="AM559" s="601">
        <v>1</v>
      </c>
      <c r="AN559" s="603" t="s">
        <v>17650</v>
      </c>
      <c r="AO559" s="603" t="s">
        <v>17651</v>
      </c>
      <c r="AP559" s="603" t="s">
        <v>17652</v>
      </c>
      <c r="AQ559" s="603" t="s">
        <v>17653</v>
      </c>
      <c r="AR559" s="603" t="s">
        <v>1024</v>
      </c>
      <c r="AS559" s="558">
        <v>1</v>
      </c>
    </row>
    <row r="560" spans="1:45" x14ac:dyDescent="0.2">
      <c r="A560" s="558" t="s">
        <v>25190</v>
      </c>
      <c r="B560" s="558" t="s">
        <v>25191</v>
      </c>
      <c r="C560" s="558" t="s">
        <v>110</v>
      </c>
      <c r="D560" s="558" t="s">
        <v>23256</v>
      </c>
      <c r="E560" s="558" t="s">
        <v>192</v>
      </c>
      <c r="F560" s="563">
        <v>1</v>
      </c>
      <c r="G560" s="558" t="s">
        <v>193</v>
      </c>
      <c r="H560" s="558" t="s">
        <v>194</v>
      </c>
      <c r="I560" s="558" t="s">
        <v>23151</v>
      </c>
      <c r="J560" s="558" t="s">
        <v>210</v>
      </c>
      <c r="K560" s="558" t="s">
        <v>9309</v>
      </c>
      <c r="L560" s="558" t="s">
        <v>6955</v>
      </c>
      <c r="M560" s="558"/>
      <c r="N560" s="558" t="s">
        <v>25192</v>
      </c>
      <c r="O560" s="558" t="s">
        <v>6275</v>
      </c>
      <c r="P560" s="558" t="s">
        <v>24681</v>
      </c>
      <c r="Q560" s="558" t="s">
        <v>24618</v>
      </c>
      <c r="R560" s="558" t="s">
        <v>23158</v>
      </c>
      <c r="S560" s="558" t="s">
        <v>25193</v>
      </c>
      <c r="T560" s="558" t="s">
        <v>25194</v>
      </c>
      <c r="U560" s="558"/>
      <c r="V560" s="558" t="s">
        <v>9334</v>
      </c>
      <c r="W560" s="558" t="s">
        <v>621</v>
      </c>
      <c r="X560" s="558" t="s">
        <v>194</v>
      </c>
      <c r="Y560" s="558" t="s">
        <v>9300</v>
      </c>
      <c r="Z560" s="558"/>
      <c r="AA560" s="558"/>
      <c r="AB560" s="558" t="s">
        <v>9311</v>
      </c>
      <c r="AC560" s="558"/>
      <c r="AD560" s="558"/>
      <c r="AE560" s="558"/>
      <c r="AF560" s="558"/>
      <c r="AG560" s="558"/>
      <c r="AH560" s="558" t="s">
        <v>4714</v>
      </c>
      <c r="AI560" s="558" t="s">
        <v>25191</v>
      </c>
      <c r="AJ560" s="601" t="str">
        <f t="shared" si="16"/>
        <v>332201</v>
      </c>
      <c r="AK560" s="601">
        <v>1</v>
      </c>
      <c r="AL560" s="601">
        <f t="shared" si="17"/>
        <v>1</v>
      </c>
      <c r="AM560" s="601">
        <v>1</v>
      </c>
      <c r="AN560" s="603" t="s">
        <v>17650</v>
      </c>
      <c r="AO560" s="603" t="s">
        <v>17651</v>
      </c>
      <c r="AP560" s="603" t="s">
        <v>17652</v>
      </c>
      <c r="AQ560" s="603" t="s">
        <v>17653</v>
      </c>
      <c r="AR560" s="603" t="s">
        <v>1024</v>
      </c>
      <c r="AS560" s="558">
        <v>1</v>
      </c>
    </row>
    <row r="561" spans="1:45" x14ac:dyDescent="0.2">
      <c r="A561" s="558" t="s">
        <v>24894</v>
      </c>
      <c r="B561" s="558" t="s">
        <v>19497</v>
      </c>
      <c r="C561" s="558" t="s">
        <v>48</v>
      </c>
      <c r="D561" s="558" t="s">
        <v>23256</v>
      </c>
      <c r="E561" s="558" t="s">
        <v>192</v>
      </c>
      <c r="F561" s="563">
        <v>1</v>
      </c>
      <c r="G561" s="558" t="s">
        <v>193</v>
      </c>
      <c r="H561" s="558" t="s">
        <v>194</v>
      </c>
      <c r="I561" s="558" t="s">
        <v>23151</v>
      </c>
      <c r="J561" s="558" t="s">
        <v>747</v>
      </c>
      <c r="K561" s="558" t="s">
        <v>9309</v>
      </c>
      <c r="L561" s="558" t="s">
        <v>6955</v>
      </c>
      <c r="M561" s="558"/>
      <c r="N561" s="558" t="s">
        <v>25195</v>
      </c>
      <c r="O561" s="558" t="s">
        <v>12529</v>
      </c>
      <c r="P561" s="558" t="s">
        <v>24681</v>
      </c>
      <c r="Q561" s="558" t="s">
        <v>24618</v>
      </c>
      <c r="R561" s="558" t="s">
        <v>23158</v>
      </c>
      <c r="S561" s="558" t="s">
        <v>25196</v>
      </c>
      <c r="T561" s="558" t="s">
        <v>25197</v>
      </c>
      <c r="U561" s="558"/>
      <c r="V561" s="558" t="s">
        <v>10397</v>
      </c>
      <c r="W561" s="558" t="s">
        <v>2296</v>
      </c>
      <c r="X561" s="558" t="s">
        <v>194</v>
      </c>
      <c r="Y561" s="558" t="s">
        <v>9300</v>
      </c>
      <c r="Z561" s="558"/>
      <c r="AA561" s="558"/>
      <c r="AB561" s="558" t="s">
        <v>9311</v>
      </c>
      <c r="AC561" s="558"/>
      <c r="AD561" s="558"/>
      <c r="AE561" s="558"/>
      <c r="AF561" s="558"/>
      <c r="AG561" s="558"/>
      <c r="AH561" s="558" t="s">
        <v>4714</v>
      </c>
      <c r="AI561" s="558" t="s">
        <v>19497</v>
      </c>
      <c r="AJ561" s="601" t="str">
        <f t="shared" si="16"/>
        <v>321401</v>
      </c>
      <c r="AK561" s="601">
        <v>1</v>
      </c>
      <c r="AL561" s="601">
        <f t="shared" si="17"/>
        <v>1</v>
      </c>
      <c r="AM561" s="601">
        <v>1</v>
      </c>
      <c r="AN561" s="603" t="s">
        <v>17650</v>
      </c>
      <c r="AO561" s="603" t="s">
        <v>17651</v>
      </c>
      <c r="AP561" s="603" t="s">
        <v>17652</v>
      </c>
      <c r="AQ561" s="603" t="s">
        <v>17653</v>
      </c>
      <c r="AR561" s="603" t="s">
        <v>1024</v>
      </c>
      <c r="AS561" s="558">
        <v>1</v>
      </c>
    </row>
    <row r="562" spans="1:45" x14ac:dyDescent="0.2">
      <c r="A562" s="558" t="s">
        <v>24894</v>
      </c>
      <c r="B562" s="558" t="s">
        <v>19497</v>
      </c>
      <c r="C562" s="558" t="s">
        <v>48</v>
      </c>
      <c r="D562" s="558" t="s">
        <v>23256</v>
      </c>
      <c r="E562" s="558" t="s">
        <v>192</v>
      </c>
      <c r="F562" s="563">
        <v>1</v>
      </c>
      <c r="G562" s="558" t="s">
        <v>193</v>
      </c>
      <c r="H562" s="558" t="s">
        <v>194</v>
      </c>
      <c r="I562" s="558" t="s">
        <v>23151</v>
      </c>
      <c r="J562" s="558" t="s">
        <v>223</v>
      </c>
      <c r="K562" s="558" t="s">
        <v>9309</v>
      </c>
      <c r="L562" s="558" t="s">
        <v>6955</v>
      </c>
      <c r="M562" s="558"/>
      <c r="N562" s="558" t="s">
        <v>25198</v>
      </c>
      <c r="O562" s="558" t="s">
        <v>12529</v>
      </c>
      <c r="P562" s="558" t="s">
        <v>24681</v>
      </c>
      <c r="Q562" s="558" t="s">
        <v>24618</v>
      </c>
      <c r="R562" s="558" t="s">
        <v>23158</v>
      </c>
      <c r="S562" s="558" t="s">
        <v>25199</v>
      </c>
      <c r="T562" s="558" t="s">
        <v>25200</v>
      </c>
      <c r="U562" s="558"/>
      <c r="V562" s="558" t="s">
        <v>11163</v>
      </c>
      <c r="W562" s="558" t="s">
        <v>2296</v>
      </c>
      <c r="X562" s="558" t="s">
        <v>194</v>
      </c>
      <c r="Y562" s="558" t="s">
        <v>9300</v>
      </c>
      <c r="Z562" s="558"/>
      <c r="AA562" s="558"/>
      <c r="AB562" s="558" t="s">
        <v>9311</v>
      </c>
      <c r="AC562" s="558"/>
      <c r="AD562" s="558"/>
      <c r="AE562" s="558"/>
      <c r="AF562" s="558"/>
      <c r="AG562" s="558"/>
      <c r="AH562" s="558" t="s">
        <v>4714</v>
      </c>
      <c r="AI562" s="558" t="s">
        <v>19497</v>
      </c>
      <c r="AJ562" s="601" t="str">
        <f t="shared" si="16"/>
        <v>321401</v>
      </c>
      <c r="AK562" s="601">
        <v>1</v>
      </c>
      <c r="AL562" s="601">
        <f t="shared" si="17"/>
        <v>1</v>
      </c>
      <c r="AM562" s="601">
        <v>1</v>
      </c>
      <c r="AN562" s="603" t="s">
        <v>17650</v>
      </c>
      <c r="AO562" s="603" t="s">
        <v>17651</v>
      </c>
      <c r="AP562" s="603" t="s">
        <v>17652</v>
      </c>
      <c r="AQ562" s="603" t="s">
        <v>17653</v>
      </c>
      <c r="AR562" s="603" t="s">
        <v>1024</v>
      </c>
      <c r="AS562" s="558">
        <v>1</v>
      </c>
    </row>
    <row r="563" spans="1:45" x14ac:dyDescent="0.2">
      <c r="A563" s="558" t="s">
        <v>615</v>
      </c>
      <c r="B563" s="558" t="s">
        <v>5509</v>
      </c>
      <c r="C563" s="558" t="s">
        <v>617</v>
      </c>
      <c r="D563" s="558" t="s">
        <v>23256</v>
      </c>
      <c r="E563" s="558" t="s">
        <v>192</v>
      </c>
      <c r="F563" s="563">
        <v>1</v>
      </c>
      <c r="G563" s="558" t="s">
        <v>193</v>
      </c>
      <c r="H563" s="558" t="s">
        <v>194</v>
      </c>
      <c r="I563" s="558" t="s">
        <v>23151</v>
      </c>
      <c r="J563" s="558" t="s">
        <v>385</v>
      </c>
      <c r="K563" s="558" t="s">
        <v>9309</v>
      </c>
      <c r="L563" s="558" t="s">
        <v>6955</v>
      </c>
      <c r="M563" s="558"/>
      <c r="N563" s="558" t="s">
        <v>25201</v>
      </c>
      <c r="O563" s="558" t="s">
        <v>6254</v>
      </c>
      <c r="P563" s="558" t="s">
        <v>24681</v>
      </c>
      <c r="Q563" s="558" t="s">
        <v>24618</v>
      </c>
      <c r="R563" s="558" t="s">
        <v>23158</v>
      </c>
      <c r="S563" s="558" t="s">
        <v>25202</v>
      </c>
      <c r="T563" s="558" t="s">
        <v>25203</v>
      </c>
      <c r="U563" s="558"/>
      <c r="V563" s="558" t="s">
        <v>9410</v>
      </c>
      <c r="W563" s="558" t="s">
        <v>618</v>
      </c>
      <c r="X563" s="558" t="s">
        <v>194</v>
      </c>
      <c r="Y563" s="558" t="s">
        <v>9300</v>
      </c>
      <c r="Z563" s="558"/>
      <c r="AA563" s="558"/>
      <c r="AB563" s="558" t="s">
        <v>9311</v>
      </c>
      <c r="AC563" s="558"/>
      <c r="AD563" s="558"/>
      <c r="AE563" s="558"/>
      <c r="AF563" s="558"/>
      <c r="AG563" s="558"/>
      <c r="AH563" s="558" t="s">
        <v>4714</v>
      </c>
      <c r="AI563" s="558" t="s">
        <v>5509</v>
      </c>
      <c r="AJ563" s="601" t="str">
        <f t="shared" si="16"/>
        <v>332104</v>
      </c>
      <c r="AK563" s="601">
        <v>1</v>
      </c>
      <c r="AL563" s="601">
        <f t="shared" si="17"/>
        <v>1</v>
      </c>
      <c r="AM563" s="601">
        <v>1</v>
      </c>
      <c r="AN563" s="603" t="s">
        <v>17650</v>
      </c>
      <c r="AO563" s="603" t="s">
        <v>17651</v>
      </c>
      <c r="AP563" s="603" t="s">
        <v>17652</v>
      </c>
      <c r="AQ563" s="603" t="s">
        <v>17653</v>
      </c>
      <c r="AR563" s="603" t="s">
        <v>1024</v>
      </c>
      <c r="AS563" s="558">
        <v>1</v>
      </c>
    </row>
    <row r="564" spans="1:45" x14ac:dyDescent="0.2">
      <c r="A564" s="558" t="s">
        <v>1523</v>
      </c>
      <c r="B564" s="558" t="s">
        <v>20656</v>
      </c>
      <c r="C564" s="558" t="s">
        <v>6156</v>
      </c>
      <c r="D564" s="558" t="s">
        <v>23256</v>
      </c>
      <c r="E564" s="558" t="s">
        <v>192</v>
      </c>
      <c r="F564" s="563">
        <v>1</v>
      </c>
      <c r="G564" s="558" t="s">
        <v>193</v>
      </c>
      <c r="H564" s="558" t="s">
        <v>194</v>
      </c>
      <c r="I564" s="558" t="s">
        <v>23186</v>
      </c>
      <c r="J564" s="558" t="s">
        <v>210</v>
      </c>
      <c r="K564" s="558" t="s">
        <v>9309</v>
      </c>
      <c r="L564" s="558" t="s">
        <v>6955</v>
      </c>
      <c r="M564" s="558"/>
      <c r="N564" s="558" t="s">
        <v>25204</v>
      </c>
      <c r="O564" s="558" t="s">
        <v>6327</v>
      </c>
      <c r="P564" s="558" t="s">
        <v>24681</v>
      </c>
      <c r="Q564" s="558" t="s">
        <v>24618</v>
      </c>
      <c r="R564" s="558" t="s">
        <v>23158</v>
      </c>
      <c r="S564" s="558" t="s">
        <v>25205</v>
      </c>
      <c r="T564" s="558" t="s">
        <v>25206</v>
      </c>
      <c r="U564" s="558"/>
      <c r="V564" s="558" t="s">
        <v>9334</v>
      </c>
      <c r="W564" s="558" t="s">
        <v>6158</v>
      </c>
      <c r="X564" s="558" t="s">
        <v>194</v>
      </c>
      <c r="Y564" s="558" t="s">
        <v>9300</v>
      </c>
      <c r="Z564" s="558"/>
      <c r="AA564" s="558"/>
      <c r="AB564" s="558" t="s">
        <v>9311</v>
      </c>
      <c r="AC564" s="558"/>
      <c r="AD564" s="558"/>
      <c r="AE564" s="558"/>
      <c r="AF564" s="558"/>
      <c r="AG564" s="558"/>
      <c r="AH564" s="558" t="s">
        <v>4714</v>
      </c>
      <c r="AI564" s="558" t="s">
        <v>20656</v>
      </c>
      <c r="AJ564" s="601" t="str">
        <f t="shared" si="16"/>
        <v>241204</v>
      </c>
      <c r="AK564" s="601">
        <v>1</v>
      </c>
      <c r="AL564" s="601">
        <f t="shared" si="17"/>
        <v>1</v>
      </c>
      <c r="AM564" s="601">
        <v>1</v>
      </c>
      <c r="AN564" s="603" t="s">
        <v>17650</v>
      </c>
      <c r="AO564" s="603" t="s">
        <v>17651</v>
      </c>
      <c r="AP564" s="603" t="s">
        <v>17652</v>
      </c>
      <c r="AQ564" s="603" t="s">
        <v>17653</v>
      </c>
      <c r="AR564" s="603" t="s">
        <v>1024</v>
      </c>
      <c r="AS564" s="558">
        <v>1</v>
      </c>
    </row>
    <row r="565" spans="1:45" x14ac:dyDescent="0.2">
      <c r="A565" s="558" t="s">
        <v>1523</v>
      </c>
      <c r="B565" s="558" t="s">
        <v>25207</v>
      </c>
      <c r="C565" s="558" t="s">
        <v>6156</v>
      </c>
      <c r="D565" s="558" t="s">
        <v>23256</v>
      </c>
      <c r="E565" s="558" t="s">
        <v>192</v>
      </c>
      <c r="F565" s="563">
        <v>1</v>
      </c>
      <c r="G565" s="558" t="s">
        <v>193</v>
      </c>
      <c r="H565" s="558" t="s">
        <v>194</v>
      </c>
      <c r="I565" s="558" t="s">
        <v>23186</v>
      </c>
      <c r="J565" s="558" t="s">
        <v>210</v>
      </c>
      <c r="K565" s="558" t="s">
        <v>9309</v>
      </c>
      <c r="L565" s="558" t="s">
        <v>6955</v>
      </c>
      <c r="M565" s="558"/>
      <c r="N565" s="558" t="s">
        <v>25208</v>
      </c>
      <c r="O565" s="558" t="s">
        <v>6327</v>
      </c>
      <c r="P565" s="558" t="s">
        <v>24681</v>
      </c>
      <c r="Q565" s="558" t="s">
        <v>24618</v>
      </c>
      <c r="R565" s="558" t="s">
        <v>23158</v>
      </c>
      <c r="S565" s="558" t="s">
        <v>25209</v>
      </c>
      <c r="T565" s="558" t="s">
        <v>25210</v>
      </c>
      <c r="U565" s="558"/>
      <c r="V565" s="558" t="s">
        <v>9334</v>
      </c>
      <c r="W565" s="558" t="s">
        <v>6158</v>
      </c>
      <c r="X565" s="558" t="s">
        <v>194</v>
      </c>
      <c r="Y565" s="558" t="s">
        <v>9300</v>
      </c>
      <c r="Z565" s="558"/>
      <c r="AA565" s="558"/>
      <c r="AB565" s="558" t="s">
        <v>9311</v>
      </c>
      <c r="AC565" s="558"/>
      <c r="AD565" s="558"/>
      <c r="AE565" s="558"/>
      <c r="AF565" s="558"/>
      <c r="AG565" s="558"/>
      <c r="AH565" s="558" t="s">
        <v>4714</v>
      </c>
      <c r="AI565" s="558" t="s">
        <v>25207</v>
      </c>
      <c r="AJ565" s="601" t="str">
        <f t="shared" si="16"/>
        <v>241204</v>
      </c>
      <c r="AK565" s="601">
        <v>1</v>
      </c>
      <c r="AL565" s="601">
        <f t="shared" si="17"/>
        <v>1</v>
      </c>
      <c r="AM565" s="601">
        <v>1</v>
      </c>
      <c r="AN565" s="603" t="s">
        <v>17650</v>
      </c>
      <c r="AO565" s="603" t="s">
        <v>17651</v>
      </c>
      <c r="AP565" s="603" t="s">
        <v>17652</v>
      </c>
      <c r="AQ565" s="603" t="s">
        <v>17653</v>
      </c>
      <c r="AR565" s="603" t="s">
        <v>1024</v>
      </c>
      <c r="AS565" s="558">
        <v>1</v>
      </c>
    </row>
    <row r="566" spans="1:45" x14ac:dyDescent="0.2">
      <c r="A566" s="558" t="s">
        <v>22549</v>
      </c>
      <c r="B566" s="558" t="s">
        <v>25027</v>
      </c>
      <c r="C566" s="558" t="s">
        <v>4034</v>
      </c>
      <c r="D566" s="558" t="s">
        <v>23256</v>
      </c>
      <c r="E566" s="558" t="s">
        <v>192</v>
      </c>
      <c r="F566" s="563">
        <v>1</v>
      </c>
      <c r="G566" s="558" t="s">
        <v>193</v>
      </c>
      <c r="H566" s="558" t="s">
        <v>194</v>
      </c>
      <c r="I566" s="558" t="s">
        <v>24556</v>
      </c>
      <c r="J566" s="558" t="s">
        <v>210</v>
      </c>
      <c r="K566" s="558" t="s">
        <v>9309</v>
      </c>
      <c r="L566" s="558" t="s">
        <v>6955</v>
      </c>
      <c r="M566" s="558"/>
      <c r="N566" s="558" t="s">
        <v>25211</v>
      </c>
      <c r="O566" s="558" t="s">
        <v>6286</v>
      </c>
      <c r="P566" s="558" t="s">
        <v>24681</v>
      </c>
      <c r="Q566" s="558" t="s">
        <v>24618</v>
      </c>
      <c r="R566" s="558" t="s">
        <v>23835</v>
      </c>
      <c r="S566" s="558" t="s">
        <v>25212</v>
      </c>
      <c r="T566" s="558" t="s">
        <v>25213</v>
      </c>
      <c r="U566" s="558"/>
      <c r="V566" s="558" t="s">
        <v>9334</v>
      </c>
      <c r="W566" s="558" t="s">
        <v>4035</v>
      </c>
      <c r="X566" s="558" t="s">
        <v>194</v>
      </c>
      <c r="Y566" s="558" t="s">
        <v>9300</v>
      </c>
      <c r="Z566" s="558"/>
      <c r="AA566" s="558"/>
      <c r="AB566" s="558" t="s">
        <v>9311</v>
      </c>
      <c r="AC566" s="558"/>
      <c r="AD566" s="558"/>
      <c r="AE566" s="558"/>
      <c r="AF566" s="558"/>
      <c r="AG566" s="558"/>
      <c r="AH566" s="558" t="s">
        <v>4714</v>
      </c>
      <c r="AI566" s="558" t="s">
        <v>25027</v>
      </c>
      <c r="AJ566" s="601" t="str">
        <f t="shared" si="16"/>
        <v>422602</v>
      </c>
      <c r="AK566" s="601">
        <v>1</v>
      </c>
      <c r="AL566" s="601">
        <f t="shared" si="17"/>
        <v>1</v>
      </c>
      <c r="AM566" s="601">
        <v>1</v>
      </c>
      <c r="AN566" s="603" t="s">
        <v>17650</v>
      </c>
      <c r="AO566" s="603" t="s">
        <v>17651</v>
      </c>
      <c r="AP566" s="603" t="s">
        <v>17652</v>
      </c>
      <c r="AQ566" s="603" t="s">
        <v>17653</v>
      </c>
      <c r="AR566" s="603" t="s">
        <v>1024</v>
      </c>
      <c r="AS566" s="558">
        <v>1</v>
      </c>
    </row>
    <row r="567" spans="1:45" x14ac:dyDescent="0.2">
      <c r="A567" s="558" t="s">
        <v>18808</v>
      </c>
      <c r="B567" s="558" t="s">
        <v>9081</v>
      </c>
      <c r="C567" s="558" t="s">
        <v>814</v>
      </c>
      <c r="D567" s="558" t="s">
        <v>23256</v>
      </c>
      <c r="E567" s="558" t="s">
        <v>192</v>
      </c>
      <c r="F567" s="563">
        <v>1</v>
      </c>
      <c r="G567" s="558" t="s">
        <v>193</v>
      </c>
      <c r="H567" s="558" t="s">
        <v>194</v>
      </c>
      <c r="I567" s="558" t="s">
        <v>23186</v>
      </c>
      <c r="J567" s="558" t="s">
        <v>253</v>
      </c>
      <c r="K567" s="558" t="s">
        <v>9309</v>
      </c>
      <c r="L567" s="558" t="s">
        <v>6955</v>
      </c>
      <c r="M567" s="558"/>
      <c r="N567" s="558" t="s">
        <v>25214</v>
      </c>
      <c r="O567" s="558" t="s">
        <v>6363</v>
      </c>
      <c r="P567" s="558" t="s">
        <v>24681</v>
      </c>
      <c r="Q567" s="558" t="s">
        <v>24618</v>
      </c>
      <c r="R567" s="558" t="s">
        <v>23158</v>
      </c>
      <c r="S567" s="558" t="s">
        <v>25215</v>
      </c>
      <c r="T567" s="558" t="s">
        <v>25216</v>
      </c>
      <c r="U567" s="558"/>
      <c r="V567" s="558" t="s">
        <v>9468</v>
      </c>
      <c r="W567" s="558" t="s">
        <v>815</v>
      </c>
      <c r="X567" s="558" t="s">
        <v>194</v>
      </c>
      <c r="Y567" s="558" t="s">
        <v>9300</v>
      </c>
      <c r="Z567" s="558"/>
      <c r="AA567" s="558"/>
      <c r="AB567" s="558" t="s">
        <v>9311</v>
      </c>
      <c r="AC567" s="558"/>
      <c r="AD567" s="558"/>
      <c r="AE567" s="558"/>
      <c r="AF567" s="558"/>
      <c r="AG567" s="558"/>
      <c r="AH567" s="558" t="s">
        <v>4714</v>
      </c>
      <c r="AI567" s="558" t="s">
        <v>9081</v>
      </c>
      <c r="AJ567" s="601" t="str">
        <f t="shared" si="16"/>
        <v>722312</v>
      </c>
      <c r="AK567" s="601">
        <v>1</v>
      </c>
      <c r="AL567" s="601">
        <f t="shared" si="17"/>
        <v>1</v>
      </c>
      <c r="AM567" s="601">
        <v>1</v>
      </c>
      <c r="AN567" s="603" t="s">
        <v>17650</v>
      </c>
      <c r="AO567" s="603" t="s">
        <v>17651</v>
      </c>
      <c r="AP567" s="603" t="s">
        <v>17652</v>
      </c>
      <c r="AQ567" s="603" t="s">
        <v>17653</v>
      </c>
      <c r="AR567" s="603" t="s">
        <v>1024</v>
      </c>
      <c r="AS567" s="558">
        <v>1</v>
      </c>
    </row>
    <row r="568" spans="1:45" x14ac:dyDescent="0.2">
      <c r="A568" s="558" t="s">
        <v>5860</v>
      </c>
      <c r="B568" s="558" t="s">
        <v>13591</v>
      </c>
      <c r="C568" s="558" t="s">
        <v>54</v>
      </c>
      <c r="D568" s="558" t="s">
        <v>23256</v>
      </c>
      <c r="E568" s="558" t="s">
        <v>192</v>
      </c>
      <c r="F568" s="563">
        <v>1</v>
      </c>
      <c r="G568" s="558" t="s">
        <v>193</v>
      </c>
      <c r="H568" s="558" t="s">
        <v>194</v>
      </c>
      <c r="I568" s="558" t="s">
        <v>23164</v>
      </c>
      <c r="J568" s="558" t="s">
        <v>210</v>
      </c>
      <c r="K568" s="558" t="s">
        <v>9309</v>
      </c>
      <c r="L568" s="558" t="s">
        <v>6955</v>
      </c>
      <c r="M568" s="558"/>
      <c r="N568" s="558" t="s">
        <v>25217</v>
      </c>
      <c r="O568" s="558" t="s">
        <v>6363</v>
      </c>
      <c r="P568" s="558" t="s">
        <v>24681</v>
      </c>
      <c r="Q568" s="558" t="s">
        <v>24618</v>
      </c>
      <c r="R568" s="558" t="s">
        <v>23158</v>
      </c>
      <c r="S568" s="558" t="s">
        <v>25218</v>
      </c>
      <c r="T568" s="558" t="s">
        <v>25219</v>
      </c>
      <c r="U568" s="558"/>
      <c r="V568" s="558" t="s">
        <v>9334</v>
      </c>
      <c r="W568" s="558" t="s">
        <v>1982</v>
      </c>
      <c r="X568" s="558" t="s">
        <v>194</v>
      </c>
      <c r="Y568" s="558" t="s">
        <v>9300</v>
      </c>
      <c r="Z568" s="558"/>
      <c r="AA568" s="558"/>
      <c r="AB568" s="558" t="s">
        <v>9311</v>
      </c>
      <c r="AC568" s="558"/>
      <c r="AD568" s="558"/>
      <c r="AE568" s="558"/>
      <c r="AF568" s="558"/>
      <c r="AG568" s="558"/>
      <c r="AH568" s="558" t="s">
        <v>4714</v>
      </c>
      <c r="AI568" s="558" t="s">
        <v>13591</v>
      </c>
      <c r="AJ568" s="601" t="str">
        <f t="shared" si="16"/>
        <v>214103</v>
      </c>
      <c r="AK568" s="601">
        <v>1</v>
      </c>
      <c r="AL568" s="601">
        <f t="shared" si="17"/>
        <v>1</v>
      </c>
      <c r="AM568" s="601">
        <v>1</v>
      </c>
      <c r="AN568" s="603" t="s">
        <v>17650</v>
      </c>
      <c r="AO568" s="603" t="s">
        <v>17651</v>
      </c>
      <c r="AP568" s="603" t="s">
        <v>17652</v>
      </c>
      <c r="AQ568" s="603" t="s">
        <v>17653</v>
      </c>
      <c r="AR568" s="603" t="s">
        <v>1024</v>
      </c>
      <c r="AS568" s="558">
        <v>1</v>
      </c>
    </row>
    <row r="569" spans="1:45" x14ac:dyDescent="0.2">
      <c r="A569" s="558" t="s">
        <v>2437</v>
      </c>
      <c r="B569" s="558" t="s">
        <v>496</v>
      </c>
      <c r="C569" s="558" t="s">
        <v>10</v>
      </c>
      <c r="D569" s="558" t="s">
        <v>23256</v>
      </c>
      <c r="E569" s="558" t="s">
        <v>192</v>
      </c>
      <c r="F569" s="563">
        <v>1</v>
      </c>
      <c r="G569" s="558" t="s">
        <v>193</v>
      </c>
      <c r="H569" s="558" t="s">
        <v>194</v>
      </c>
      <c r="I569" s="558" t="s">
        <v>23917</v>
      </c>
      <c r="J569" s="558" t="s">
        <v>210</v>
      </c>
      <c r="K569" s="558" t="s">
        <v>9309</v>
      </c>
      <c r="L569" s="558" t="s">
        <v>6955</v>
      </c>
      <c r="M569" s="558"/>
      <c r="N569" s="558" t="s">
        <v>25220</v>
      </c>
      <c r="O569" s="558" t="s">
        <v>6921</v>
      </c>
      <c r="P569" s="558" t="s">
        <v>24681</v>
      </c>
      <c r="Q569" s="558" t="s">
        <v>24618</v>
      </c>
      <c r="R569" s="558" t="s">
        <v>23158</v>
      </c>
      <c r="S569" s="558" t="s">
        <v>25221</v>
      </c>
      <c r="T569" s="558" t="s">
        <v>25222</v>
      </c>
      <c r="U569" s="558"/>
      <c r="V569" s="558" t="s">
        <v>9334</v>
      </c>
      <c r="W569" s="558" t="s">
        <v>484</v>
      </c>
      <c r="X569" s="558" t="s">
        <v>194</v>
      </c>
      <c r="Y569" s="558" t="s">
        <v>9300</v>
      </c>
      <c r="Z569" s="558"/>
      <c r="AA569" s="558"/>
      <c r="AB569" s="558" t="s">
        <v>9311</v>
      </c>
      <c r="AC569" s="558"/>
      <c r="AD569" s="558"/>
      <c r="AE569" s="558"/>
      <c r="AF569" s="558"/>
      <c r="AG569" s="558"/>
      <c r="AH569" s="558" t="s">
        <v>4714</v>
      </c>
      <c r="AI569" s="558" t="s">
        <v>496</v>
      </c>
      <c r="AJ569" s="601" t="str">
        <f t="shared" si="16"/>
        <v>251401</v>
      </c>
      <c r="AK569" s="601">
        <v>1</v>
      </c>
      <c r="AL569" s="601">
        <f t="shared" si="17"/>
        <v>1</v>
      </c>
      <c r="AM569" s="601">
        <v>1</v>
      </c>
      <c r="AN569" s="603" t="s">
        <v>17650</v>
      </c>
      <c r="AO569" s="603" t="s">
        <v>17651</v>
      </c>
      <c r="AP569" s="603" t="s">
        <v>17652</v>
      </c>
      <c r="AQ569" s="603" t="s">
        <v>17653</v>
      </c>
      <c r="AR569" s="603" t="s">
        <v>1024</v>
      </c>
      <c r="AS569" s="558">
        <v>1</v>
      </c>
    </row>
    <row r="570" spans="1:45" x14ac:dyDescent="0.2">
      <c r="A570" s="558" t="s">
        <v>25153</v>
      </c>
      <c r="B570" s="558" t="s">
        <v>25154</v>
      </c>
      <c r="C570" s="558" t="s">
        <v>420</v>
      </c>
      <c r="D570" s="558" t="s">
        <v>23256</v>
      </c>
      <c r="E570" s="558" t="s">
        <v>192</v>
      </c>
      <c r="F570" s="563">
        <v>1</v>
      </c>
      <c r="G570" s="558" t="s">
        <v>193</v>
      </c>
      <c r="H570" s="558" t="s">
        <v>194</v>
      </c>
      <c r="I570" s="558" t="s">
        <v>24556</v>
      </c>
      <c r="J570" s="558" t="s">
        <v>25223</v>
      </c>
      <c r="K570" s="558" t="s">
        <v>9309</v>
      </c>
      <c r="L570" s="558" t="s">
        <v>6955</v>
      </c>
      <c r="M570" s="558"/>
      <c r="N570" s="558" t="s">
        <v>25224</v>
      </c>
      <c r="O570" s="558" t="s">
        <v>7531</v>
      </c>
      <c r="P570" s="558" t="s">
        <v>24681</v>
      </c>
      <c r="Q570" s="558" t="s">
        <v>24618</v>
      </c>
      <c r="R570" s="558" t="s">
        <v>23158</v>
      </c>
      <c r="S570" s="558" t="s">
        <v>25225</v>
      </c>
      <c r="T570" s="558" t="s">
        <v>25226</v>
      </c>
      <c r="U570" s="558"/>
      <c r="V570" s="558" t="s">
        <v>9726</v>
      </c>
      <c r="W570" s="558" t="s">
        <v>421</v>
      </c>
      <c r="X570" s="558" t="s">
        <v>194</v>
      </c>
      <c r="Y570" s="558" t="s">
        <v>9300</v>
      </c>
      <c r="Z570" s="558"/>
      <c r="AA570" s="558"/>
      <c r="AB570" s="558" t="s">
        <v>9311</v>
      </c>
      <c r="AC570" s="558"/>
      <c r="AD570" s="558"/>
      <c r="AE570" s="558"/>
      <c r="AF570" s="558"/>
      <c r="AG570" s="558"/>
      <c r="AH570" s="558" t="s">
        <v>4714</v>
      </c>
      <c r="AI570" s="558" t="s">
        <v>25154</v>
      </c>
      <c r="AJ570" s="601" t="str">
        <f t="shared" si="16"/>
        <v>241306</v>
      </c>
      <c r="AK570" s="601">
        <v>1</v>
      </c>
      <c r="AL570" s="601">
        <f t="shared" si="17"/>
        <v>1</v>
      </c>
      <c r="AM570" s="601">
        <v>1</v>
      </c>
      <c r="AN570" s="603" t="s">
        <v>17650</v>
      </c>
      <c r="AO570" s="603" t="s">
        <v>17651</v>
      </c>
      <c r="AP570" s="603" t="s">
        <v>17652</v>
      </c>
      <c r="AQ570" s="603" t="s">
        <v>17653</v>
      </c>
      <c r="AR570" s="603" t="s">
        <v>1024</v>
      </c>
      <c r="AS570" s="558">
        <v>1</v>
      </c>
    </row>
    <row r="571" spans="1:45" x14ac:dyDescent="0.2">
      <c r="A571" s="558" t="s">
        <v>23604</v>
      </c>
      <c r="B571" s="558" t="s">
        <v>25227</v>
      </c>
      <c r="C571" s="558" t="s">
        <v>18</v>
      </c>
      <c r="D571" s="558" t="s">
        <v>23256</v>
      </c>
      <c r="E571" s="558" t="s">
        <v>192</v>
      </c>
      <c r="F571" s="563">
        <v>1</v>
      </c>
      <c r="G571" s="558" t="s">
        <v>193</v>
      </c>
      <c r="H571" s="558" t="s">
        <v>194</v>
      </c>
      <c r="I571" s="558" t="s">
        <v>24556</v>
      </c>
      <c r="J571" s="558" t="s">
        <v>210</v>
      </c>
      <c r="K571" s="558" t="s">
        <v>9309</v>
      </c>
      <c r="L571" s="558" t="s">
        <v>6955</v>
      </c>
      <c r="M571" s="558"/>
      <c r="N571" s="558" t="s">
        <v>25228</v>
      </c>
      <c r="O571" s="558" t="s">
        <v>6286</v>
      </c>
      <c r="P571" s="558" t="s">
        <v>24681</v>
      </c>
      <c r="Q571" s="558" t="s">
        <v>24618</v>
      </c>
      <c r="R571" s="558" t="s">
        <v>23158</v>
      </c>
      <c r="S571" s="558" t="s">
        <v>25229</v>
      </c>
      <c r="T571" s="558" t="s">
        <v>25230</v>
      </c>
      <c r="U571" s="558"/>
      <c r="V571" s="558" t="s">
        <v>9334</v>
      </c>
      <c r="W571" s="558" t="s">
        <v>1476</v>
      </c>
      <c r="X571" s="558" t="s">
        <v>194</v>
      </c>
      <c r="Y571" s="558" t="s">
        <v>9300</v>
      </c>
      <c r="Z571" s="558"/>
      <c r="AA571" s="558"/>
      <c r="AB571" s="558" t="s">
        <v>9311</v>
      </c>
      <c r="AC571" s="558"/>
      <c r="AD571" s="558"/>
      <c r="AE571" s="558"/>
      <c r="AF571" s="558"/>
      <c r="AG571" s="558"/>
      <c r="AH571" s="558" t="s">
        <v>4714</v>
      </c>
      <c r="AI571" s="558" t="s">
        <v>25227</v>
      </c>
      <c r="AJ571" s="601" t="str">
        <f t="shared" si="16"/>
        <v>242309</v>
      </c>
      <c r="AK571" s="601">
        <v>1</v>
      </c>
      <c r="AL571" s="601">
        <f t="shared" si="17"/>
        <v>1</v>
      </c>
      <c r="AM571" s="601">
        <v>1</v>
      </c>
      <c r="AN571" s="603" t="s">
        <v>17650</v>
      </c>
      <c r="AO571" s="603" t="s">
        <v>17651</v>
      </c>
      <c r="AP571" s="603" t="s">
        <v>17652</v>
      </c>
      <c r="AQ571" s="603" t="s">
        <v>17653</v>
      </c>
      <c r="AR571" s="603" t="s">
        <v>1024</v>
      </c>
      <c r="AS571" s="558">
        <v>1</v>
      </c>
    </row>
    <row r="572" spans="1:45" x14ac:dyDescent="0.2">
      <c r="A572" s="558" t="s">
        <v>2137</v>
      </c>
      <c r="B572" s="558" t="s">
        <v>1768</v>
      </c>
      <c r="C572" s="558" t="s">
        <v>420</v>
      </c>
      <c r="D572" s="558" t="s">
        <v>23256</v>
      </c>
      <c r="E572" s="558" t="s">
        <v>192</v>
      </c>
      <c r="F572" s="563">
        <v>1</v>
      </c>
      <c r="G572" s="558" t="s">
        <v>193</v>
      </c>
      <c r="H572" s="558" t="s">
        <v>194</v>
      </c>
      <c r="I572" s="558" t="s">
        <v>23151</v>
      </c>
      <c r="J572" s="558" t="s">
        <v>253</v>
      </c>
      <c r="K572" s="558" t="s">
        <v>9309</v>
      </c>
      <c r="L572" s="558" t="s">
        <v>6955</v>
      </c>
      <c r="M572" s="558"/>
      <c r="N572" s="558" t="s">
        <v>25231</v>
      </c>
      <c r="O572" s="558" t="s">
        <v>7531</v>
      </c>
      <c r="P572" s="558" t="s">
        <v>24681</v>
      </c>
      <c r="Q572" s="558" t="s">
        <v>24618</v>
      </c>
      <c r="R572" s="558" t="s">
        <v>23158</v>
      </c>
      <c r="S572" s="558" t="s">
        <v>25232</v>
      </c>
      <c r="T572" s="558" t="s">
        <v>25233</v>
      </c>
      <c r="U572" s="558"/>
      <c r="V572" s="558" t="s">
        <v>9468</v>
      </c>
      <c r="W572" s="558" t="s">
        <v>421</v>
      </c>
      <c r="X572" s="558" t="s">
        <v>194</v>
      </c>
      <c r="Y572" s="558" t="s">
        <v>9300</v>
      </c>
      <c r="Z572" s="558"/>
      <c r="AA572" s="558"/>
      <c r="AB572" s="558" t="s">
        <v>9311</v>
      </c>
      <c r="AC572" s="558"/>
      <c r="AD572" s="558"/>
      <c r="AE572" s="558"/>
      <c r="AF572" s="558"/>
      <c r="AG572" s="558"/>
      <c r="AH572" s="558" t="s">
        <v>4714</v>
      </c>
      <c r="AI572" s="558" t="s">
        <v>1768</v>
      </c>
      <c r="AJ572" s="601" t="str">
        <f t="shared" si="16"/>
        <v>241306</v>
      </c>
      <c r="AK572" s="601">
        <v>1</v>
      </c>
      <c r="AL572" s="601">
        <f t="shared" si="17"/>
        <v>1</v>
      </c>
      <c r="AM572" s="601">
        <v>1</v>
      </c>
      <c r="AN572" s="603" t="s">
        <v>17650</v>
      </c>
      <c r="AO572" s="603" t="s">
        <v>17651</v>
      </c>
      <c r="AP572" s="603" t="s">
        <v>17652</v>
      </c>
      <c r="AQ572" s="603" t="s">
        <v>17653</v>
      </c>
      <c r="AR572" s="603" t="s">
        <v>1024</v>
      </c>
      <c r="AS572" s="558">
        <v>1</v>
      </c>
    </row>
    <row r="573" spans="1:45" x14ac:dyDescent="0.2">
      <c r="A573" s="558" t="s">
        <v>8187</v>
      </c>
      <c r="B573" s="558" t="s">
        <v>5412</v>
      </c>
      <c r="C573" s="558" t="s">
        <v>740</v>
      </c>
      <c r="D573" s="558" t="s">
        <v>23256</v>
      </c>
      <c r="E573" s="558" t="s">
        <v>192</v>
      </c>
      <c r="F573" s="563">
        <v>1</v>
      </c>
      <c r="G573" s="558" t="s">
        <v>193</v>
      </c>
      <c r="H573" s="558" t="s">
        <v>194</v>
      </c>
      <c r="I573" s="558" t="s">
        <v>23186</v>
      </c>
      <c r="J573" s="558" t="s">
        <v>1995</v>
      </c>
      <c r="K573" s="558" t="s">
        <v>9309</v>
      </c>
      <c r="L573" s="558" t="s">
        <v>6955</v>
      </c>
      <c r="M573" s="558"/>
      <c r="N573" s="558" t="s">
        <v>25234</v>
      </c>
      <c r="O573" s="558" t="s">
        <v>6251</v>
      </c>
      <c r="P573" s="558" t="s">
        <v>24681</v>
      </c>
      <c r="Q573" s="558" t="s">
        <v>24618</v>
      </c>
      <c r="R573" s="558" t="s">
        <v>23266</v>
      </c>
      <c r="S573" s="558" t="s">
        <v>25235</v>
      </c>
      <c r="T573" s="558" t="s">
        <v>25236</v>
      </c>
      <c r="U573" s="558"/>
      <c r="V573" s="558" t="s">
        <v>9440</v>
      </c>
      <c r="W573" s="558" t="s">
        <v>741</v>
      </c>
      <c r="X573" s="558" t="s">
        <v>194</v>
      </c>
      <c r="Y573" s="558" t="s">
        <v>9300</v>
      </c>
      <c r="Z573" s="558"/>
      <c r="AA573" s="558"/>
      <c r="AB573" s="558" t="s">
        <v>9311</v>
      </c>
      <c r="AC573" s="558"/>
      <c r="AD573" s="558"/>
      <c r="AE573" s="558"/>
      <c r="AF573" s="558"/>
      <c r="AG573" s="558"/>
      <c r="AH573" s="558" t="s">
        <v>4714</v>
      </c>
      <c r="AI573" s="558" t="s">
        <v>5412</v>
      </c>
      <c r="AJ573" s="601" t="str">
        <f t="shared" si="16"/>
        <v>522301</v>
      </c>
      <c r="AK573" s="601">
        <v>1</v>
      </c>
      <c r="AL573" s="601">
        <f t="shared" si="17"/>
        <v>1</v>
      </c>
      <c r="AM573" s="601">
        <v>1</v>
      </c>
      <c r="AN573" s="603" t="s">
        <v>17650</v>
      </c>
      <c r="AO573" s="603" t="s">
        <v>17651</v>
      </c>
      <c r="AP573" s="603" t="s">
        <v>17652</v>
      </c>
      <c r="AQ573" s="603" t="s">
        <v>17653</v>
      </c>
      <c r="AR573" s="603" t="s">
        <v>1024</v>
      </c>
      <c r="AS573" s="558">
        <v>1</v>
      </c>
    </row>
    <row r="574" spans="1:45" x14ac:dyDescent="0.2">
      <c r="A574" s="558" t="s">
        <v>800</v>
      </c>
      <c r="B574" s="558" t="s">
        <v>25237</v>
      </c>
      <c r="C574" s="558" t="s">
        <v>121</v>
      </c>
      <c r="D574" s="558" t="s">
        <v>23256</v>
      </c>
      <c r="E574" s="558" t="s">
        <v>192</v>
      </c>
      <c r="F574" s="563">
        <v>1</v>
      </c>
      <c r="G574" s="558" t="s">
        <v>193</v>
      </c>
      <c r="H574" s="558" t="s">
        <v>194</v>
      </c>
      <c r="I574" s="558" t="s">
        <v>23158</v>
      </c>
      <c r="J574" s="558" t="s">
        <v>7558</v>
      </c>
      <c r="K574" s="558" t="s">
        <v>9309</v>
      </c>
      <c r="L574" s="558" t="s">
        <v>6955</v>
      </c>
      <c r="M574" s="558"/>
      <c r="N574" s="558" t="s">
        <v>25238</v>
      </c>
      <c r="O574" s="558" t="s">
        <v>6245</v>
      </c>
      <c r="P574" s="558" t="s">
        <v>24681</v>
      </c>
      <c r="Q574" s="558" t="s">
        <v>24618</v>
      </c>
      <c r="R574" s="558" t="s">
        <v>23158</v>
      </c>
      <c r="S574" s="558" t="s">
        <v>25239</v>
      </c>
      <c r="T574" s="558" t="s">
        <v>25240</v>
      </c>
      <c r="U574" s="558"/>
      <c r="V574" s="558" t="s">
        <v>9786</v>
      </c>
      <c r="W574" s="558" t="s">
        <v>994</v>
      </c>
      <c r="X574" s="558" t="s">
        <v>194</v>
      </c>
      <c r="Y574" s="558" t="s">
        <v>9300</v>
      </c>
      <c r="Z574" s="558"/>
      <c r="AA574" s="558"/>
      <c r="AB574" s="558" t="s">
        <v>9311</v>
      </c>
      <c r="AC574" s="558"/>
      <c r="AD574" s="558"/>
      <c r="AE574" s="558"/>
      <c r="AF574" s="558"/>
      <c r="AG574" s="558"/>
      <c r="AH574" s="558" t="s">
        <v>4714</v>
      </c>
      <c r="AI574" s="558" t="s">
        <v>25237</v>
      </c>
      <c r="AJ574" s="601" t="str">
        <f t="shared" si="16"/>
        <v>214102</v>
      </c>
      <c r="AK574" s="601">
        <v>1</v>
      </c>
      <c r="AL574" s="601">
        <f t="shared" si="17"/>
        <v>1</v>
      </c>
      <c r="AM574" s="601">
        <v>1</v>
      </c>
      <c r="AN574" s="603" t="s">
        <v>17650</v>
      </c>
      <c r="AO574" s="603" t="s">
        <v>17651</v>
      </c>
      <c r="AP574" s="603" t="s">
        <v>17652</v>
      </c>
      <c r="AQ574" s="603" t="s">
        <v>17653</v>
      </c>
      <c r="AR574" s="603" t="s">
        <v>1024</v>
      </c>
      <c r="AS574" s="558">
        <v>1</v>
      </c>
    </row>
    <row r="575" spans="1:45" x14ac:dyDescent="0.2">
      <c r="A575" s="558" t="s">
        <v>25035</v>
      </c>
      <c r="B575" s="558" t="s">
        <v>25124</v>
      </c>
      <c r="C575" s="558" t="s">
        <v>706</v>
      </c>
      <c r="D575" s="558" t="s">
        <v>23256</v>
      </c>
      <c r="E575" s="558" t="s">
        <v>192</v>
      </c>
      <c r="F575" s="563">
        <v>1</v>
      </c>
      <c r="G575" s="558" t="s">
        <v>193</v>
      </c>
      <c r="H575" s="558" t="s">
        <v>194</v>
      </c>
      <c r="I575" s="558" t="s">
        <v>23164</v>
      </c>
      <c r="J575" s="558" t="s">
        <v>408</v>
      </c>
      <c r="K575" s="558" t="s">
        <v>9309</v>
      </c>
      <c r="L575" s="558" t="s">
        <v>6955</v>
      </c>
      <c r="M575" s="558"/>
      <c r="N575" s="558" t="s">
        <v>25241</v>
      </c>
      <c r="O575" s="558" t="s">
        <v>6251</v>
      </c>
      <c r="P575" s="558" t="s">
        <v>24681</v>
      </c>
      <c r="Q575" s="558" t="s">
        <v>24618</v>
      </c>
      <c r="R575" s="558" t="s">
        <v>23158</v>
      </c>
      <c r="S575" s="558" t="s">
        <v>25242</v>
      </c>
      <c r="T575" s="558" t="s">
        <v>25243</v>
      </c>
      <c r="U575" s="558"/>
      <c r="V575" s="558" t="s">
        <v>9479</v>
      </c>
      <c r="W575" s="558" t="s">
        <v>707</v>
      </c>
      <c r="X575" s="558" t="s">
        <v>194</v>
      </c>
      <c r="Y575" s="558" t="s">
        <v>9300</v>
      </c>
      <c r="Z575" s="558"/>
      <c r="AA575" s="558"/>
      <c r="AB575" s="558" t="s">
        <v>9311</v>
      </c>
      <c r="AC575" s="558"/>
      <c r="AD575" s="558"/>
      <c r="AE575" s="558"/>
      <c r="AF575" s="558"/>
      <c r="AG575" s="558"/>
      <c r="AH575" s="558" t="s">
        <v>4714</v>
      </c>
      <c r="AI575" s="558" t="s">
        <v>25124</v>
      </c>
      <c r="AJ575" s="601" t="str">
        <f t="shared" si="16"/>
        <v>422201</v>
      </c>
      <c r="AK575" s="601">
        <v>1</v>
      </c>
      <c r="AL575" s="601">
        <f t="shared" si="17"/>
        <v>1</v>
      </c>
      <c r="AM575" s="601">
        <v>1</v>
      </c>
      <c r="AN575" s="603" t="s">
        <v>17650</v>
      </c>
      <c r="AO575" s="603" t="s">
        <v>17651</v>
      </c>
      <c r="AP575" s="603" t="s">
        <v>17652</v>
      </c>
      <c r="AQ575" s="603" t="s">
        <v>17653</v>
      </c>
      <c r="AR575" s="603" t="s">
        <v>1024</v>
      </c>
      <c r="AS575" s="558">
        <v>1</v>
      </c>
    </row>
    <row r="576" spans="1:45" x14ac:dyDescent="0.2">
      <c r="A576" s="558" t="s">
        <v>324</v>
      </c>
      <c r="B576" s="558" t="s">
        <v>25069</v>
      </c>
      <c r="C576" s="558" t="s">
        <v>100</v>
      </c>
      <c r="D576" s="558" t="s">
        <v>23256</v>
      </c>
      <c r="E576" s="558" t="s">
        <v>192</v>
      </c>
      <c r="F576" s="563">
        <v>1</v>
      </c>
      <c r="G576" s="558" t="s">
        <v>193</v>
      </c>
      <c r="H576" s="558" t="s">
        <v>194</v>
      </c>
      <c r="I576" s="558" t="s">
        <v>23164</v>
      </c>
      <c r="J576" s="558" t="s">
        <v>6145</v>
      </c>
      <c r="K576" s="558" t="s">
        <v>9309</v>
      </c>
      <c r="L576" s="558" t="s">
        <v>6955</v>
      </c>
      <c r="M576" s="558"/>
      <c r="N576" s="558" t="s">
        <v>25244</v>
      </c>
      <c r="O576" s="558" t="s">
        <v>6266</v>
      </c>
      <c r="P576" s="558" t="s">
        <v>24681</v>
      </c>
      <c r="Q576" s="558" t="s">
        <v>24618</v>
      </c>
      <c r="R576" s="558" t="s">
        <v>23158</v>
      </c>
      <c r="S576" s="558" t="s">
        <v>25245</v>
      </c>
      <c r="T576" s="558" t="s">
        <v>25246</v>
      </c>
      <c r="U576" s="558"/>
      <c r="V576" s="558" t="s">
        <v>9514</v>
      </c>
      <c r="W576" s="558" t="s">
        <v>429</v>
      </c>
      <c r="X576" s="558" t="s">
        <v>194</v>
      </c>
      <c r="Y576" s="558" t="s">
        <v>9300</v>
      </c>
      <c r="Z576" s="558"/>
      <c r="AA576" s="558"/>
      <c r="AB576" s="558" t="s">
        <v>9311</v>
      </c>
      <c r="AC576" s="558"/>
      <c r="AD576" s="558"/>
      <c r="AE576" s="558"/>
      <c r="AF576" s="558"/>
      <c r="AG576" s="558"/>
      <c r="AH576" s="558" t="s">
        <v>4714</v>
      </c>
      <c r="AI576" s="558" t="s">
        <v>25069</v>
      </c>
      <c r="AJ576" s="601" t="str">
        <f t="shared" si="16"/>
        <v>242108</v>
      </c>
      <c r="AK576" s="601">
        <v>1</v>
      </c>
      <c r="AL576" s="601">
        <f t="shared" si="17"/>
        <v>1</v>
      </c>
      <c r="AM576" s="601">
        <v>1</v>
      </c>
      <c r="AN576" s="603" t="s">
        <v>17650</v>
      </c>
      <c r="AO576" s="603" t="s">
        <v>17651</v>
      </c>
      <c r="AP576" s="603" t="s">
        <v>17652</v>
      </c>
      <c r="AQ576" s="603" t="s">
        <v>17653</v>
      </c>
      <c r="AR576" s="603" t="s">
        <v>1024</v>
      </c>
      <c r="AS576" s="558">
        <v>1</v>
      </c>
    </row>
    <row r="577" spans="1:45" x14ac:dyDescent="0.2">
      <c r="A577" s="558" t="s">
        <v>25106</v>
      </c>
      <c r="B577" s="558" t="s">
        <v>1488</v>
      </c>
      <c r="C577" s="558" t="s">
        <v>12</v>
      </c>
      <c r="D577" s="558" t="s">
        <v>23256</v>
      </c>
      <c r="E577" s="558" t="s">
        <v>192</v>
      </c>
      <c r="F577" s="563">
        <v>1</v>
      </c>
      <c r="G577" s="558" t="s">
        <v>193</v>
      </c>
      <c r="H577" s="558" t="s">
        <v>194</v>
      </c>
      <c r="I577" s="558" t="s">
        <v>23151</v>
      </c>
      <c r="J577" s="558" t="s">
        <v>316</v>
      </c>
      <c r="K577" s="558" t="s">
        <v>9309</v>
      </c>
      <c r="L577" s="558" t="s">
        <v>6955</v>
      </c>
      <c r="M577" s="558"/>
      <c r="N577" s="558" t="s">
        <v>25247</v>
      </c>
      <c r="O577" s="558" t="s">
        <v>6324</v>
      </c>
      <c r="P577" s="558" t="s">
        <v>24542</v>
      </c>
      <c r="Q577" s="558" t="s">
        <v>24618</v>
      </c>
      <c r="R577" s="558" t="s">
        <v>23158</v>
      </c>
      <c r="S577" s="558" t="s">
        <v>25248</v>
      </c>
      <c r="T577" s="558" t="s">
        <v>25249</v>
      </c>
      <c r="U577" s="558"/>
      <c r="V577" s="558" t="s">
        <v>10012</v>
      </c>
      <c r="W577" s="558" t="s">
        <v>220</v>
      </c>
      <c r="X577" s="558" t="s">
        <v>194</v>
      </c>
      <c r="Y577" s="558" t="s">
        <v>9300</v>
      </c>
      <c r="Z577" s="558"/>
      <c r="AA577" s="558"/>
      <c r="AB577" s="558" t="s">
        <v>9311</v>
      </c>
      <c r="AC577" s="558"/>
      <c r="AD577" s="558"/>
      <c r="AE577" s="558"/>
      <c r="AF577" s="558"/>
      <c r="AG577" s="558"/>
      <c r="AH577" s="558" t="s">
        <v>4714</v>
      </c>
      <c r="AI577" s="558" t="s">
        <v>12</v>
      </c>
      <c r="AJ577" s="601" t="str">
        <f t="shared" si="16"/>
        <v>132301</v>
      </c>
      <c r="AK577" s="601">
        <v>1</v>
      </c>
      <c r="AL577" s="601">
        <f t="shared" si="17"/>
        <v>1</v>
      </c>
      <c r="AM577" s="601">
        <v>1</v>
      </c>
      <c r="AN577" s="603" t="s">
        <v>17650</v>
      </c>
      <c r="AO577" s="603" t="s">
        <v>17651</v>
      </c>
      <c r="AP577" s="603" t="s">
        <v>17652</v>
      </c>
      <c r="AQ577" s="603" t="s">
        <v>17653</v>
      </c>
      <c r="AR577" s="603" t="s">
        <v>1024</v>
      </c>
      <c r="AS577" s="558">
        <v>1</v>
      </c>
    </row>
    <row r="578" spans="1:45" x14ac:dyDescent="0.2">
      <c r="A578" s="558" t="s">
        <v>8187</v>
      </c>
      <c r="B578" s="558" t="s">
        <v>22752</v>
      </c>
      <c r="C578" s="558" t="s">
        <v>740</v>
      </c>
      <c r="D578" s="558" t="s">
        <v>23256</v>
      </c>
      <c r="E578" s="558" t="s">
        <v>192</v>
      </c>
      <c r="F578" s="563">
        <v>1</v>
      </c>
      <c r="G578" s="558" t="s">
        <v>193</v>
      </c>
      <c r="H578" s="558" t="s">
        <v>194</v>
      </c>
      <c r="I578" s="558" t="s">
        <v>23186</v>
      </c>
      <c r="J578" s="558" t="s">
        <v>259</v>
      </c>
      <c r="K578" s="558" t="s">
        <v>9309</v>
      </c>
      <c r="L578" s="558" t="s">
        <v>6955</v>
      </c>
      <c r="M578" s="558"/>
      <c r="N578" s="558" t="s">
        <v>25250</v>
      </c>
      <c r="O578" s="558" t="s">
        <v>6251</v>
      </c>
      <c r="P578" s="558" t="s">
        <v>24681</v>
      </c>
      <c r="Q578" s="558" t="s">
        <v>24618</v>
      </c>
      <c r="R578" s="558" t="s">
        <v>23266</v>
      </c>
      <c r="S578" s="558" t="s">
        <v>25251</v>
      </c>
      <c r="T578" s="558" t="s">
        <v>25252</v>
      </c>
      <c r="U578" s="558"/>
      <c r="V578" s="558" t="s">
        <v>10136</v>
      </c>
      <c r="W578" s="558" t="s">
        <v>741</v>
      </c>
      <c r="X578" s="558" t="s">
        <v>194</v>
      </c>
      <c r="Y578" s="558" t="s">
        <v>9300</v>
      </c>
      <c r="Z578" s="558"/>
      <c r="AA578" s="558"/>
      <c r="AB578" s="558" t="s">
        <v>9311</v>
      </c>
      <c r="AC578" s="558"/>
      <c r="AD578" s="558"/>
      <c r="AE578" s="558"/>
      <c r="AF578" s="558"/>
      <c r="AG578" s="558"/>
      <c r="AH578" s="558" t="s">
        <v>4714</v>
      </c>
      <c r="AI578" s="558" t="s">
        <v>22752</v>
      </c>
      <c r="AJ578" s="601" t="str">
        <f t="shared" si="16"/>
        <v>522301</v>
      </c>
      <c r="AK578" s="601">
        <v>1</v>
      </c>
      <c r="AL578" s="601">
        <f t="shared" si="17"/>
        <v>1</v>
      </c>
      <c r="AM578" s="601">
        <v>1</v>
      </c>
      <c r="AN578" s="603" t="s">
        <v>17650</v>
      </c>
      <c r="AO578" s="603" t="s">
        <v>17651</v>
      </c>
      <c r="AP578" s="603" t="s">
        <v>17652</v>
      </c>
      <c r="AQ578" s="603" t="s">
        <v>17653</v>
      </c>
      <c r="AR578" s="603" t="s">
        <v>1024</v>
      </c>
      <c r="AS578" s="558">
        <v>1</v>
      </c>
    </row>
    <row r="579" spans="1:45" x14ac:dyDescent="0.2">
      <c r="A579" s="558" t="s">
        <v>20286</v>
      </c>
      <c r="B579" s="558" t="s">
        <v>25253</v>
      </c>
      <c r="C579" s="558" t="s">
        <v>42</v>
      </c>
      <c r="D579" s="558" t="s">
        <v>23256</v>
      </c>
      <c r="E579" s="558" t="s">
        <v>192</v>
      </c>
      <c r="F579" s="563">
        <v>1</v>
      </c>
      <c r="G579" s="558" t="s">
        <v>193</v>
      </c>
      <c r="H579" s="558" t="s">
        <v>194</v>
      </c>
      <c r="I579" s="558" t="s">
        <v>23499</v>
      </c>
      <c r="J579" s="558" t="s">
        <v>210</v>
      </c>
      <c r="K579" s="558" t="s">
        <v>9309</v>
      </c>
      <c r="L579" s="558" t="s">
        <v>6955</v>
      </c>
      <c r="M579" s="558"/>
      <c r="N579" s="558" t="s">
        <v>25254</v>
      </c>
      <c r="O579" s="558" t="s">
        <v>6327</v>
      </c>
      <c r="P579" s="558" t="s">
        <v>24681</v>
      </c>
      <c r="Q579" s="558" t="s">
        <v>24618</v>
      </c>
      <c r="R579" s="558" t="s">
        <v>23158</v>
      </c>
      <c r="S579" s="558" t="s">
        <v>25255</v>
      </c>
      <c r="T579" s="558" t="s">
        <v>25256</v>
      </c>
      <c r="U579" s="558"/>
      <c r="V579" s="558" t="s">
        <v>9334</v>
      </c>
      <c r="W579" s="558" t="s">
        <v>2628</v>
      </c>
      <c r="X579" s="558" t="s">
        <v>194</v>
      </c>
      <c r="Y579" s="558" t="s">
        <v>9300</v>
      </c>
      <c r="Z579" s="558"/>
      <c r="AA579" s="558"/>
      <c r="AB579" s="558" t="s">
        <v>9311</v>
      </c>
      <c r="AC579" s="558"/>
      <c r="AD579" s="558"/>
      <c r="AE579" s="558"/>
      <c r="AF579" s="558"/>
      <c r="AG579" s="558"/>
      <c r="AH579" s="558" t="s">
        <v>4714</v>
      </c>
      <c r="AI579" s="558" t="s">
        <v>25253</v>
      </c>
      <c r="AJ579" s="601" t="str">
        <f t="shared" ref="AJ579:AJ642" si="18">MID(W579,8,6)</f>
        <v>325509</v>
      </c>
      <c r="AK579" s="601">
        <v>1</v>
      </c>
      <c r="AL579" s="601">
        <f t="shared" ref="AL579:AL642" si="19">F579</f>
        <v>1</v>
      </c>
      <c r="AM579" s="601">
        <v>1</v>
      </c>
      <c r="AN579" s="603" t="s">
        <v>17650</v>
      </c>
      <c r="AO579" s="603" t="s">
        <v>17651</v>
      </c>
      <c r="AP579" s="603" t="s">
        <v>17652</v>
      </c>
      <c r="AQ579" s="603" t="s">
        <v>17653</v>
      </c>
      <c r="AR579" s="603" t="s">
        <v>1024</v>
      </c>
      <c r="AS579" s="558">
        <v>1</v>
      </c>
    </row>
    <row r="580" spans="1:45" x14ac:dyDescent="0.2">
      <c r="A580" s="558" t="s">
        <v>258</v>
      </c>
      <c r="B580" s="558" t="s">
        <v>537</v>
      </c>
      <c r="C580" s="558" t="s">
        <v>778</v>
      </c>
      <c r="D580" s="558" t="s">
        <v>23155</v>
      </c>
      <c r="E580" s="558" t="s">
        <v>233</v>
      </c>
      <c r="F580" s="563">
        <v>1</v>
      </c>
      <c r="G580" s="558" t="s">
        <v>193</v>
      </c>
      <c r="H580" s="558" t="s">
        <v>194</v>
      </c>
      <c r="I580" s="558" t="s">
        <v>23151</v>
      </c>
      <c r="J580" s="558" t="s">
        <v>316</v>
      </c>
      <c r="K580" s="558" t="s">
        <v>9309</v>
      </c>
      <c r="L580" s="558" t="s">
        <v>6955</v>
      </c>
      <c r="M580" s="558"/>
      <c r="N580" s="558" t="s">
        <v>25257</v>
      </c>
      <c r="O580" s="558" t="s">
        <v>6249</v>
      </c>
      <c r="P580" s="558" t="s">
        <v>25258</v>
      </c>
      <c r="Q580" s="558" t="s">
        <v>25259</v>
      </c>
      <c r="R580" s="558" t="s">
        <v>23850</v>
      </c>
      <c r="S580" s="558" t="s">
        <v>25260</v>
      </c>
      <c r="T580" s="558" t="s">
        <v>25261</v>
      </c>
      <c r="U580" s="558"/>
      <c r="V580" s="558" t="s">
        <v>10012</v>
      </c>
      <c r="W580" s="558" t="s">
        <v>779</v>
      </c>
      <c r="X580" s="558" t="s">
        <v>194</v>
      </c>
      <c r="Y580" s="558" t="s">
        <v>9300</v>
      </c>
      <c r="Z580" s="558"/>
      <c r="AA580" s="558"/>
      <c r="AB580" s="558" t="s">
        <v>9311</v>
      </c>
      <c r="AC580" s="558"/>
      <c r="AD580" s="558"/>
      <c r="AE580" s="558"/>
      <c r="AF580" s="558"/>
      <c r="AG580" s="558"/>
      <c r="AH580" s="558" t="s">
        <v>4714</v>
      </c>
      <c r="AI580" s="558" t="s">
        <v>778</v>
      </c>
      <c r="AJ580" s="601" t="str">
        <f t="shared" si="18"/>
        <v>524902</v>
      </c>
      <c r="AK580" s="601">
        <v>1</v>
      </c>
      <c r="AL580" s="601">
        <f t="shared" si="19"/>
        <v>1</v>
      </c>
      <c r="AM580" s="601">
        <v>1</v>
      </c>
      <c r="AN580" s="603" t="s">
        <v>17650</v>
      </c>
      <c r="AO580" s="603" t="s">
        <v>17651</v>
      </c>
      <c r="AP580" s="603" t="s">
        <v>17652</v>
      </c>
      <c r="AQ580" s="603" t="s">
        <v>17653</v>
      </c>
      <c r="AR580" s="603" t="s">
        <v>1024</v>
      </c>
      <c r="AS580" s="558">
        <v>1</v>
      </c>
    </row>
    <row r="581" spans="1:45" x14ac:dyDescent="0.2">
      <c r="A581" s="558" t="s">
        <v>1040</v>
      </c>
      <c r="B581" s="558" t="s">
        <v>632</v>
      </c>
      <c r="C581" s="558" t="s">
        <v>17</v>
      </c>
      <c r="D581" s="558" t="s">
        <v>23155</v>
      </c>
      <c r="E581" s="558" t="s">
        <v>233</v>
      </c>
      <c r="F581" s="563">
        <v>1</v>
      </c>
      <c r="G581" s="558" t="s">
        <v>193</v>
      </c>
      <c r="H581" s="558" t="s">
        <v>194</v>
      </c>
      <c r="I581" s="558" t="s">
        <v>23151</v>
      </c>
      <c r="J581" s="558" t="s">
        <v>9302</v>
      </c>
      <c r="K581" s="558" t="s">
        <v>9309</v>
      </c>
      <c r="L581" s="558" t="s">
        <v>6955</v>
      </c>
      <c r="M581" s="558"/>
      <c r="N581" s="558" t="s">
        <v>25262</v>
      </c>
      <c r="O581" s="558" t="s">
        <v>6249</v>
      </c>
      <c r="P581" s="558" t="s">
        <v>25258</v>
      </c>
      <c r="Q581" s="558" t="s">
        <v>23256</v>
      </c>
      <c r="R581" s="558" t="s">
        <v>23850</v>
      </c>
      <c r="S581" s="558" t="s">
        <v>25263</v>
      </c>
      <c r="T581" s="558" t="s">
        <v>25264</v>
      </c>
      <c r="U581" s="558"/>
      <c r="V581" s="603"/>
      <c r="W581" s="558" t="s">
        <v>624</v>
      </c>
      <c r="X581" s="558" t="s">
        <v>193</v>
      </c>
      <c r="Y581" s="558" t="s">
        <v>9310</v>
      </c>
      <c r="Z581" s="558"/>
      <c r="AA581" s="558"/>
      <c r="AB581" s="558" t="s">
        <v>9311</v>
      </c>
      <c r="AC581" s="558"/>
      <c r="AD581" s="558"/>
      <c r="AE581" s="558"/>
      <c r="AF581" s="558"/>
      <c r="AG581" s="558"/>
      <c r="AH581" s="558" t="s">
        <v>4714</v>
      </c>
      <c r="AI581" s="558" t="s">
        <v>17</v>
      </c>
      <c r="AJ581" s="601" t="str">
        <f t="shared" si="18"/>
        <v>332203</v>
      </c>
      <c r="AK581" s="601">
        <v>1</v>
      </c>
      <c r="AL581" s="601">
        <f t="shared" si="19"/>
        <v>1</v>
      </c>
      <c r="AM581" s="601">
        <v>1</v>
      </c>
      <c r="AN581" s="603" t="s">
        <v>17650</v>
      </c>
      <c r="AO581" s="603" t="s">
        <v>17651</v>
      </c>
      <c r="AP581" s="603" t="s">
        <v>17652</v>
      </c>
      <c r="AQ581" s="603" t="s">
        <v>17653</v>
      </c>
      <c r="AR581" s="603" t="s">
        <v>1024</v>
      </c>
      <c r="AS581" s="558">
        <v>1</v>
      </c>
    </row>
    <row r="582" spans="1:45" x14ac:dyDescent="0.2">
      <c r="A582" s="558" t="s">
        <v>25265</v>
      </c>
      <c r="B582" s="558" t="s">
        <v>25266</v>
      </c>
      <c r="C582" s="558" t="s">
        <v>17</v>
      </c>
      <c r="D582" s="558" t="s">
        <v>23155</v>
      </c>
      <c r="E582" s="558" t="s">
        <v>233</v>
      </c>
      <c r="F582" s="563">
        <v>1</v>
      </c>
      <c r="G582" s="558" t="s">
        <v>193</v>
      </c>
      <c r="H582" s="558" t="s">
        <v>194</v>
      </c>
      <c r="I582" s="558" t="s">
        <v>23164</v>
      </c>
      <c r="J582" s="558" t="s">
        <v>9302</v>
      </c>
      <c r="K582" s="558" t="s">
        <v>9309</v>
      </c>
      <c r="L582" s="558" t="s">
        <v>6955</v>
      </c>
      <c r="M582" s="558"/>
      <c r="N582" s="558" t="s">
        <v>25267</v>
      </c>
      <c r="O582" s="558" t="s">
        <v>6249</v>
      </c>
      <c r="P582" s="558" t="s">
        <v>25268</v>
      </c>
      <c r="Q582" s="558" t="s">
        <v>23213</v>
      </c>
      <c r="R582" s="558" t="s">
        <v>23933</v>
      </c>
      <c r="S582" s="558" t="s">
        <v>25269</v>
      </c>
      <c r="T582" s="558" t="s">
        <v>25270</v>
      </c>
      <c r="U582" s="558"/>
      <c r="V582" s="603"/>
      <c r="W582" s="558" t="s">
        <v>624</v>
      </c>
      <c r="X582" s="558" t="s">
        <v>193</v>
      </c>
      <c r="Y582" s="558" t="s">
        <v>9310</v>
      </c>
      <c r="Z582" s="558"/>
      <c r="AA582" s="558"/>
      <c r="AB582" s="558" t="s">
        <v>9311</v>
      </c>
      <c r="AC582" s="558"/>
      <c r="AD582" s="558"/>
      <c r="AE582" s="558"/>
      <c r="AF582" s="558"/>
      <c r="AG582" s="558"/>
      <c r="AH582" s="558" t="s">
        <v>4714</v>
      </c>
      <c r="AI582" s="558" t="s">
        <v>25266</v>
      </c>
      <c r="AJ582" s="601" t="str">
        <f t="shared" si="18"/>
        <v>332203</v>
      </c>
      <c r="AK582" s="601">
        <v>1</v>
      </c>
      <c r="AL582" s="601">
        <f t="shared" si="19"/>
        <v>1</v>
      </c>
      <c r="AM582" s="601">
        <v>1</v>
      </c>
      <c r="AN582" s="603" t="s">
        <v>17650</v>
      </c>
      <c r="AO582" s="603" t="s">
        <v>17651</v>
      </c>
      <c r="AP582" s="603" t="s">
        <v>17652</v>
      </c>
      <c r="AQ582" s="603" t="s">
        <v>17653</v>
      </c>
      <c r="AR582" s="603" t="s">
        <v>1024</v>
      </c>
      <c r="AS582" s="558">
        <v>1</v>
      </c>
    </row>
    <row r="583" spans="1:45" x14ac:dyDescent="0.2">
      <c r="A583" s="558" t="s">
        <v>5287</v>
      </c>
      <c r="B583" s="558" t="s">
        <v>25271</v>
      </c>
      <c r="C583" s="558" t="s">
        <v>778</v>
      </c>
      <c r="D583" s="558" t="s">
        <v>23155</v>
      </c>
      <c r="E583" s="558" t="s">
        <v>233</v>
      </c>
      <c r="F583" s="563">
        <v>1</v>
      </c>
      <c r="G583" s="558" t="s">
        <v>193</v>
      </c>
      <c r="H583" s="558" t="s">
        <v>194</v>
      </c>
      <c r="I583" s="558" t="s">
        <v>24551</v>
      </c>
      <c r="J583" s="558" t="s">
        <v>367</v>
      </c>
      <c r="K583" s="558" t="s">
        <v>9309</v>
      </c>
      <c r="L583" s="558" t="s">
        <v>6955</v>
      </c>
      <c r="M583" s="558"/>
      <c r="N583" s="558" t="s">
        <v>25272</v>
      </c>
      <c r="O583" s="558" t="s">
        <v>6249</v>
      </c>
      <c r="P583" s="558" t="s">
        <v>25268</v>
      </c>
      <c r="Q583" s="558" t="s">
        <v>23213</v>
      </c>
      <c r="R583" s="558" t="s">
        <v>23933</v>
      </c>
      <c r="S583" s="558" t="s">
        <v>25273</v>
      </c>
      <c r="T583" s="558" t="s">
        <v>25274</v>
      </c>
      <c r="U583" s="558"/>
      <c r="V583" s="558" t="s">
        <v>9974</v>
      </c>
      <c r="W583" s="558" t="s">
        <v>779</v>
      </c>
      <c r="X583" s="558" t="s">
        <v>194</v>
      </c>
      <c r="Y583" s="558" t="s">
        <v>9300</v>
      </c>
      <c r="Z583" s="558"/>
      <c r="AA583" s="558"/>
      <c r="AB583" s="558" t="s">
        <v>9311</v>
      </c>
      <c r="AC583" s="558"/>
      <c r="AD583" s="558"/>
      <c r="AE583" s="558"/>
      <c r="AF583" s="558"/>
      <c r="AG583" s="558"/>
      <c r="AH583" s="558" t="s">
        <v>4714</v>
      </c>
      <c r="AI583" s="558" t="s">
        <v>25271</v>
      </c>
      <c r="AJ583" s="601" t="str">
        <f t="shared" si="18"/>
        <v>524902</v>
      </c>
      <c r="AK583" s="601">
        <v>1</v>
      </c>
      <c r="AL583" s="601">
        <f t="shared" si="19"/>
        <v>1</v>
      </c>
      <c r="AM583" s="601">
        <v>1</v>
      </c>
      <c r="AN583" s="603" t="s">
        <v>17650</v>
      </c>
      <c r="AO583" s="603" t="s">
        <v>17651</v>
      </c>
      <c r="AP583" s="603" t="s">
        <v>17652</v>
      </c>
      <c r="AQ583" s="603" t="s">
        <v>17653</v>
      </c>
      <c r="AR583" s="603" t="s">
        <v>1024</v>
      </c>
      <c r="AS583" s="558">
        <v>1</v>
      </c>
    </row>
    <row r="584" spans="1:45" x14ac:dyDescent="0.2">
      <c r="A584" s="558" t="s">
        <v>25275</v>
      </c>
      <c r="B584" s="558" t="s">
        <v>2124</v>
      </c>
      <c r="C584" s="558" t="s">
        <v>13</v>
      </c>
      <c r="D584" s="558" t="s">
        <v>23155</v>
      </c>
      <c r="E584" s="558" t="s">
        <v>233</v>
      </c>
      <c r="F584" s="563">
        <v>1</v>
      </c>
      <c r="G584" s="558" t="s">
        <v>193</v>
      </c>
      <c r="H584" s="558" t="s">
        <v>194</v>
      </c>
      <c r="I584" s="558" t="s">
        <v>23307</v>
      </c>
      <c r="J584" s="558" t="s">
        <v>323</v>
      </c>
      <c r="K584" s="558" t="s">
        <v>9309</v>
      </c>
      <c r="L584" s="558" t="s">
        <v>6955</v>
      </c>
      <c r="M584" s="558"/>
      <c r="N584" s="558" t="s">
        <v>25276</v>
      </c>
      <c r="O584" s="558" t="s">
        <v>8003</v>
      </c>
      <c r="P584" s="558" t="s">
        <v>25268</v>
      </c>
      <c r="Q584" s="558" t="s">
        <v>23213</v>
      </c>
      <c r="R584" s="558" t="s">
        <v>23186</v>
      </c>
      <c r="S584" s="558" t="s">
        <v>25277</v>
      </c>
      <c r="T584" s="558" t="s">
        <v>25278</v>
      </c>
      <c r="U584" s="558"/>
      <c r="V584" s="558" t="s">
        <v>9514</v>
      </c>
      <c r="W584" s="558" t="s">
        <v>2125</v>
      </c>
      <c r="X584" s="558" t="s">
        <v>194</v>
      </c>
      <c r="Y584" s="558" t="s">
        <v>9300</v>
      </c>
      <c r="Z584" s="558"/>
      <c r="AA584" s="558"/>
      <c r="AB584" s="558" t="s">
        <v>9311</v>
      </c>
      <c r="AC584" s="558"/>
      <c r="AD584" s="558"/>
      <c r="AE584" s="558"/>
      <c r="AF584" s="558"/>
      <c r="AG584" s="558"/>
      <c r="AH584" s="558" t="s">
        <v>4714</v>
      </c>
      <c r="AI584" s="558" t="s">
        <v>2124</v>
      </c>
      <c r="AJ584" s="601" t="str">
        <f t="shared" si="18"/>
        <v>225101</v>
      </c>
      <c r="AK584" s="601">
        <v>1</v>
      </c>
      <c r="AL584" s="601">
        <f t="shared" si="19"/>
        <v>1</v>
      </c>
      <c r="AM584" s="601">
        <v>1</v>
      </c>
      <c r="AN584" s="603" t="s">
        <v>17650</v>
      </c>
      <c r="AO584" s="603" t="s">
        <v>17651</v>
      </c>
      <c r="AP584" s="603" t="s">
        <v>17652</v>
      </c>
      <c r="AQ584" s="603" t="s">
        <v>17653</v>
      </c>
      <c r="AR584" s="603" t="s">
        <v>1024</v>
      </c>
      <c r="AS584" s="558">
        <v>1</v>
      </c>
    </row>
    <row r="585" spans="1:45" x14ac:dyDescent="0.2">
      <c r="A585" s="558" t="s">
        <v>25275</v>
      </c>
      <c r="B585" s="558" t="s">
        <v>2124</v>
      </c>
      <c r="C585" s="558" t="s">
        <v>13</v>
      </c>
      <c r="D585" s="558" t="s">
        <v>23155</v>
      </c>
      <c r="E585" s="558" t="s">
        <v>233</v>
      </c>
      <c r="F585" s="563">
        <v>1</v>
      </c>
      <c r="G585" s="558" t="s">
        <v>193</v>
      </c>
      <c r="H585" s="558" t="s">
        <v>194</v>
      </c>
      <c r="I585" s="558" t="s">
        <v>23307</v>
      </c>
      <c r="J585" s="558" t="s">
        <v>323</v>
      </c>
      <c r="K585" s="558" t="s">
        <v>9309</v>
      </c>
      <c r="L585" s="558" t="s">
        <v>6955</v>
      </c>
      <c r="M585" s="558"/>
      <c r="N585" s="558" t="s">
        <v>25279</v>
      </c>
      <c r="O585" s="558" t="s">
        <v>8003</v>
      </c>
      <c r="P585" s="558" t="s">
        <v>25268</v>
      </c>
      <c r="Q585" s="558" t="s">
        <v>23213</v>
      </c>
      <c r="R585" s="558" t="s">
        <v>23186</v>
      </c>
      <c r="S585" s="558" t="s">
        <v>25280</v>
      </c>
      <c r="T585" s="558" t="s">
        <v>25281</v>
      </c>
      <c r="U585" s="558"/>
      <c r="V585" s="558" t="s">
        <v>9514</v>
      </c>
      <c r="W585" s="558" t="s">
        <v>2125</v>
      </c>
      <c r="X585" s="558" t="s">
        <v>194</v>
      </c>
      <c r="Y585" s="558" t="s">
        <v>9300</v>
      </c>
      <c r="Z585" s="558"/>
      <c r="AA585" s="558"/>
      <c r="AB585" s="558" t="s">
        <v>9311</v>
      </c>
      <c r="AC585" s="558"/>
      <c r="AD585" s="558"/>
      <c r="AE585" s="558"/>
      <c r="AF585" s="558"/>
      <c r="AG585" s="558"/>
      <c r="AH585" s="558" t="s">
        <v>4714</v>
      </c>
      <c r="AI585" s="558" t="s">
        <v>2124</v>
      </c>
      <c r="AJ585" s="601" t="str">
        <f t="shared" si="18"/>
        <v>225101</v>
      </c>
      <c r="AK585" s="601">
        <v>1</v>
      </c>
      <c r="AL585" s="601">
        <f t="shared" si="19"/>
        <v>1</v>
      </c>
      <c r="AM585" s="601">
        <v>1</v>
      </c>
      <c r="AN585" s="603" t="s">
        <v>17650</v>
      </c>
      <c r="AO585" s="603" t="s">
        <v>17651</v>
      </c>
      <c r="AP585" s="603" t="s">
        <v>17652</v>
      </c>
      <c r="AQ585" s="603" t="s">
        <v>17653</v>
      </c>
      <c r="AR585" s="603" t="s">
        <v>1024</v>
      </c>
      <c r="AS585" s="558">
        <v>1</v>
      </c>
    </row>
    <row r="586" spans="1:45" x14ac:dyDescent="0.2">
      <c r="A586" s="558" t="s">
        <v>25275</v>
      </c>
      <c r="B586" s="558" t="s">
        <v>2124</v>
      </c>
      <c r="C586" s="558" t="s">
        <v>13</v>
      </c>
      <c r="D586" s="558" t="s">
        <v>23155</v>
      </c>
      <c r="E586" s="558" t="s">
        <v>233</v>
      </c>
      <c r="F586" s="563">
        <v>1</v>
      </c>
      <c r="G586" s="558" t="s">
        <v>193</v>
      </c>
      <c r="H586" s="558" t="s">
        <v>194</v>
      </c>
      <c r="I586" s="558" t="s">
        <v>23307</v>
      </c>
      <c r="J586" s="558" t="s">
        <v>323</v>
      </c>
      <c r="K586" s="558" t="s">
        <v>9309</v>
      </c>
      <c r="L586" s="558" t="s">
        <v>6955</v>
      </c>
      <c r="M586" s="558"/>
      <c r="N586" s="558" t="s">
        <v>25282</v>
      </c>
      <c r="O586" s="558" t="s">
        <v>8003</v>
      </c>
      <c r="P586" s="558" t="s">
        <v>25268</v>
      </c>
      <c r="Q586" s="558" t="s">
        <v>23213</v>
      </c>
      <c r="R586" s="558" t="s">
        <v>23186</v>
      </c>
      <c r="S586" s="558" t="s">
        <v>25283</v>
      </c>
      <c r="T586" s="558" t="s">
        <v>25284</v>
      </c>
      <c r="U586" s="558"/>
      <c r="V586" s="558" t="s">
        <v>9514</v>
      </c>
      <c r="W586" s="558" t="s">
        <v>2125</v>
      </c>
      <c r="X586" s="558" t="s">
        <v>194</v>
      </c>
      <c r="Y586" s="558" t="s">
        <v>9300</v>
      </c>
      <c r="Z586" s="558"/>
      <c r="AA586" s="558"/>
      <c r="AB586" s="558" t="s">
        <v>9311</v>
      </c>
      <c r="AC586" s="558"/>
      <c r="AD586" s="558"/>
      <c r="AE586" s="558"/>
      <c r="AF586" s="558"/>
      <c r="AG586" s="558"/>
      <c r="AH586" s="558" t="s">
        <v>4714</v>
      </c>
      <c r="AI586" s="558" t="s">
        <v>2124</v>
      </c>
      <c r="AJ586" s="601" t="str">
        <f t="shared" si="18"/>
        <v>225101</v>
      </c>
      <c r="AK586" s="601">
        <v>1</v>
      </c>
      <c r="AL586" s="601">
        <f t="shared" si="19"/>
        <v>1</v>
      </c>
      <c r="AM586" s="601">
        <v>1</v>
      </c>
      <c r="AN586" s="603" t="s">
        <v>17650</v>
      </c>
      <c r="AO586" s="603" t="s">
        <v>17651</v>
      </c>
      <c r="AP586" s="603" t="s">
        <v>17652</v>
      </c>
      <c r="AQ586" s="603" t="s">
        <v>17653</v>
      </c>
      <c r="AR586" s="603" t="s">
        <v>1024</v>
      </c>
      <c r="AS586" s="558">
        <v>1</v>
      </c>
    </row>
    <row r="587" spans="1:45" x14ac:dyDescent="0.2">
      <c r="A587" s="558" t="s">
        <v>25275</v>
      </c>
      <c r="B587" s="558" t="s">
        <v>2124</v>
      </c>
      <c r="C587" s="558" t="s">
        <v>13</v>
      </c>
      <c r="D587" s="558" t="s">
        <v>23155</v>
      </c>
      <c r="E587" s="558" t="s">
        <v>233</v>
      </c>
      <c r="F587" s="563">
        <v>1</v>
      </c>
      <c r="G587" s="558" t="s">
        <v>193</v>
      </c>
      <c r="H587" s="558" t="s">
        <v>194</v>
      </c>
      <c r="I587" s="558" t="s">
        <v>23307</v>
      </c>
      <c r="J587" s="558" t="s">
        <v>323</v>
      </c>
      <c r="K587" s="558" t="s">
        <v>9309</v>
      </c>
      <c r="L587" s="558" t="s">
        <v>6955</v>
      </c>
      <c r="M587" s="558"/>
      <c r="N587" s="558" t="s">
        <v>25285</v>
      </c>
      <c r="O587" s="558" t="s">
        <v>8003</v>
      </c>
      <c r="P587" s="558" t="s">
        <v>25268</v>
      </c>
      <c r="Q587" s="558" t="s">
        <v>23213</v>
      </c>
      <c r="R587" s="558" t="s">
        <v>23186</v>
      </c>
      <c r="S587" s="558" t="s">
        <v>25286</v>
      </c>
      <c r="T587" s="558" t="s">
        <v>25287</v>
      </c>
      <c r="U587" s="558"/>
      <c r="V587" s="558" t="s">
        <v>9514</v>
      </c>
      <c r="W587" s="558" t="s">
        <v>2125</v>
      </c>
      <c r="X587" s="558" t="s">
        <v>194</v>
      </c>
      <c r="Y587" s="558" t="s">
        <v>9300</v>
      </c>
      <c r="Z587" s="558"/>
      <c r="AA587" s="558"/>
      <c r="AB587" s="558" t="s">
        <v>9311</v>
      </c>
      <c r="AC587" s="558"/>
      <c r="AD587" s="558"/>
      <c r="AE587" s="558"/>
      <c r="AF587" s="558"/>
      <c r="AG587" s="558"/>
      <c r="AH587" s="558" t="s">
        <v>4714</v>
      </c>
      <c r="AI587" s="558" t="s">
        <v>2124</v>
      </c>
      <c r="AJ587" s="601" t="str">
        <f t="shared" si="18"/>
        <v>225101</v>
      </c>
      <c r="AK587" s="601">
        <v>1</v>
      </c>
      <c r="AL587" s="601">
        <f t="shared" si="19"/>
        <v>1</v>
      </c>
      <c r="AM587" s="601">
        <v>1</v>
      </c>
      <c r="AN587" s="603" t="s">
        <v>17650</v>
      </c>
      <c r="AO587" s="603" t="s">
        <v>17651</v>
      </c>
      <c r="AP587" s="603" t="s">
        <v>17652</v>
      </c>
      <c r="AQ587" s="603" t="s">
        <v>17653</v>
      </c>
      <c r="AR587" s="603" t="s">
        <v>1024</v>
      </c>
      <c r="AS587" s="558">
        <v>1</v>
      </c>
    </row>
    <row r="588" spans="1:45" x14ac:dyDescent="0.2">
      <c r="A588" s="558" t="s">
        <v>25275</v>
      </c>
      <c r="B588" s="558" t="s">
        <v>2124</v>
      </c>
      <c r="C588" s="558" t="s">
        <v>13</v>
      </c>
      <c r="D588" s="558" t="s">
        <v>23155</v>
      </c>
      <c r="E588" s="558" t="s">
        <v>233</v>
      </c>
      <c r="F588" s="563">
        <v>1</v>
      </c>
      <c r="G588" s="558" t="s">
        <v>193</v>
      </c>
      <c r="H588" s="558" t="s">
        <v>194</v>
      </c>
      <c r="I588" s="558" t="s">
        <v>23307</v>
      </c>
      <c r="J588" s="558" t="s">
        <v>323</v>
      </c>
      <c r="K588" s="558" t="s">
        <v>9309</v>
      </c>
      <c r="L588" s="558" t="s">
        <v>6955</v>
      </c>
      <c r="M588" s="558"/>
      <c r="N588" s="558" t="s">
        <v>25288</v>
      </c>
      <c r="O588" s="558" t="s">
        <v>8003</v>
      </c>
      <c r="P588" s="558" t="s">
        <v>25268</v>
      </c>
      <c r="Q588" s="558" t="s">
        <v>23213</v>
      </c>
      <c r="R588" s="558" t="s">
        <v>23186</v>
      </c>
      <c r="S588" s="558" t="s">
        <v>25289</v>
      </c>
      <c r="T588" s="558" t="s">
        <v>25290</v>
      </c>
      <c r="U588" s="558"/>
      <c r="V588" s="558" t="s">
        <v>9514</v>
      </c>
      <c r="W588" s="558" t="s">
        <v>2125</v>
      </c>
      <c r="X588" s="558" t="s">
        <v>194</v>
      </c>
      <c r="Y588" s="558" t="s">
        <v>9300</v>
      </c>
      <c r="Z588" s="558"/>
      <c r="AA588" s="558"/>
      <c r="AB588" s="558" t="s">
        <v>9311</v>
      </c>
      <c r="AC588" s="558"/>
      <c r="AD588" s="558"/>
      <c r="AE588" s="558"/>
      <c r="AF588" s="558"/>
      <c r="AG588" s="558"/>
      <c r="AH588" s="558" t="s">
        <v>4714</v>
      </c>
      <c r="AI588" s="558" t="s">
        <v>2124</v>
      </c>
      <c r="AJ588" s="601" t="str">
        <f t="shared" si="18"/>
        <v>225101</v>
      </c>
      <c r="AK588" s="601">
        <v>1</v>
      </c>
      <c r="AL588" s="601">
        <f t="shared" si="19"/>
        <v>1</v>
      </c>
      <c r="AM588" s="601">
        <v>1</v>
      </c>
      <c r="AN588" s="603" t="s">
        <v>17650</v>
      </c>
      <c r="AO588" s="603" t="s">
        <v>17651</v>
      </c>
      <c r="AP588" s="603" t="s">
        <v>17652</v>
      </c>
      <c r="AQ588" s="603" t="s">
        <v>17653</v>
      </c>
      <c r="AR588" s="603" t="s">
        <v>1024</v>
      </c>
      <c r="AS588" s="558">
        <v>1</v>
      </c>
    </row>
    <row r="589" spans="1:45" x14ac:dyDescent="0.2">
      <c r="A589" s="558" t="s">
        <v>2093</v>
      </c>
      <c r="B589" s="558" t="s">
        <v>2675</v>
      </c>
      <c r="C589" s="558" t="s">
        <v>25</v>
      </c>
      <c r="D589" s="558" t="s">
        <v>23155</v>
      </c>
      <c r="E589" s="558" t="s">
        <v>233</v>
      </c>
      <c r="F589" s="563">
        <v>1</v>
      </c>
      <c r="G589" s="558" t="s">
        <v>193</v>
      </c>
      <c r="H589" s="558" t="s">
        <v>194</v>
      </c>
      <c r="I589" s="558" t="s">
        <v>24551</v>
      </c>
      <c r="J589" s="558" t="s">
        <v>367</v>
      </c>
      <c r="K589" s="558" t="s">
        <v>9309</v>
      </c>
      <c r="L589" s="558" t="s">
        <v>6955</v>
      </c>
      <c r="M589" s="558"/>
      <c r="N589" s="558" t="s">
        <v>25291</v>
      </c>
      <c r="O589" s="558" t="s">
        <v>6306</v>
      </c>
      <c r="P589" s="558" t="s">
        <v>25268</v>
      </c>
      <c r="Q589" s="558" t="s">
        <v>23213</v>
      </c>
      <c r="R589" s="558" t="s">
        <v>25292</v>
      </c>
      <c r="S589" s="558" t="s">
        <v>25293</v>
      </c>
      <c r="T589" s="558" t="s">
        <v>25294</v>
      </c>
      <c r="U589" s="558"/>
      <c r="V589" s="558" t="s">
        <v>9974</v>
      </c>
      <c r="W589" s="558" t="s">
        <v>2095</v>
      </c>
      <c r="X589" s="558" t="s">
        <v>194</v>
      </c>
      <c r="Y589" s="558" t="s">
        <v>9300</v>
      </c>
      <c r="Z589" s="558"/>
      <c r="AA589" s="558"/>
      <c r="AB589" s="558" t="s">
        <v>9311</v>
      </c>
      <c r="AC589" s="558"/>
      <c r="AD589" s="558"/>
      <c r="AE589" s="558"/>
      <c r="AF589" s="558"/>
      <c r="AG589" s="558"/>
      <c r="AH589" s="558" t="s">
        <v>4714</v>
      </c>
      <c r="AI589" s="558" t="s">
        <v>2675</v>
      </c>
      <c r="AJ589" s="601" t="str">
        <f t="shared" si="18"/>
        <v>335201</v>
      </c>
      <c r="AK589" s="601">
        <v>1</v>
      </c>
      <c r="AL589" s="601">
        <f t="shared" si="19"/>
        <v>1</v>
      </c>
      <c r="AM589" s="601">
        <v>1</v>
      </c>
      <c r="AN589" s="603" t="s">
        <v>17650</v>
      </c>
      <c r="AO589" s="603" t="s">
        <v>17651</v>
      </c>
      <c r="AP589" s="603" t="s">
        <v>17652</v>
      </c>
      <c r="AQ589" s="603" t="s">
        <v>17653</v>
      </c>
      <c r="AR589" s="603" t="s">
        <v>1024</v>
      </c>
      <c r="AS589" s="558">
        <v>1</v>
      </c>
    </row>
    <row r="590" spans="1:45" x14ac:dyDescent="0.2">
      <c r="A590" s="558" t="s">
        <v>10141</v>
      </c>
      <c r="B590" s="558" t="s">
        <v>2130</v>
      </c>
      <c r="C590" s="558" t="s">
        <v>13</v>
      </c>
      <c r="D590" s="558" t="s">
        <v>23155</v>
      </c>
      <c r="E590" s="558" t="s">
        <v>233</v>
      </c>
      <c r="F590" s="563">
        <v>1</v>
      </c>
      <c r="G590" s="558" t="s">
        <v>193</v>
      </c>
      <c r="H590" s="558" t="s">
        <v>194</v>
      </c>
      <c r="I590" s="558" t="s">
        <v>23307</v>
      </c>
      <c r="J590" s="558" t="s">
        <v>327</v>
      </c>
      <c r="K590" s="558" t="s">
        <v>9309</v>
      </c>
      <c r="L590" s="558" t="s">
        <v>6955</v>
      </c>
      <c r="M590" s="558"/>
      <c r="N590" s="558" t="s">
        <v>25295</v>
      </c>
      <c r="O590" s="558" t="s">
        <v>8003</v>
      </c>
      <c r="P590" s="558" t="s">
        <v>25268</v>
      </c>
      <c r="Q590" s="558" t="s">
        <v>23213</v>
      </c>
      <c r="R590" s="558" t="s">
        <v>23186</v>
      </c>
      <c r="S590" s="558" t="s">
        <v>25296</v>
      </c>
      <c r="T590" s="558" t="s">
        <v>25297</v>
      </c>
      <c r="U590" s="558"/>
      <c r="V590" s="558" t="s">
        <v>9506</v>
      </c>
      <c r="W590" s="558" t="s">
        <v>2125</v>
      </c>
      <c r="X590" s="558" t="s">
        <v>194</v>
      </c>
      <c r="Y590" s="558" t="s">
        <v>9300</v>
      </c>
      <c r="Z590" s="558"/>
      <c r="AA590" s="558"/>
      <c r="AB590" s="558" t="s">
        <v>9311</v>
      </c>
      <c r="AC590" s="558"/>
      <c r="AD590" s="558"/>
      <c r="AE590" s="558"/>
      <c r="AF590" s="558"/>
      <c r="AG590" s="558"/>
      <c r="AH590" s="558" t="s">
        <v>4714</v>
      </c>
      <c r="AI590" s="558" t="s">
        <v>2130</v>
      </c>
      <c r="AJ590" s="601" t="str">
        <f t="shared" si="18"/>
        <v>225101</v>
      </c>
      <c r="AK590" s="601">
        <v>1</v>
      </c>
      <c r="AL590" s="601">
        <f t="shared" si="19"/>
        <v>1</v>
      </c>
      <c r="AM590" s="601">
        <v>1</v>
      </c>
      <c r="AN590" s="603" t="s">
        <v>17650</v>
      </c>
      <c r="AO590" s="603" t="s">
        <v>17651</v>
      </c>
      <c r="AP590" s="603" t="s">
        <v>17652</v>
      </c>
      <c r="AQ590" s="603" t="s">
        <v>17653</v>
      </c>
      <c r="AR590" s="603" t="s">
        <v>1024</v>
      </c>
      <c r="AS590" s="558">
        <v>1</v>
      </c>
    </row>
    <row r="591" spans="1:45" x14ac:dyDescent="0.2">
      <c r="A591" s="558" t="s">
        <v>15464</v>
      </c>
      <c r="B591" s="558" t="s">
        <v>22529</v>
      </c>
      <c r="C591" s="558" t="s">
        <v>43</v>
      </c>
      <c r="D591" s="558" t="s">
        <v>23155</v>
      </c>
      <c r="E591" s="558" t="s">
        <v>217</v>
      </c>
      <c r="F591" s="563">
        <v>1</v>
      </c>
      <c r="G591" s="558" t="s">
        <v>193</v>
      </c>
      <c r="H591" s="558" t="s">
        <v>194</v>
      </c>
      <c r="I591" s="558" t="s">
        <v>23307</v>
      </c>
      <c r="J591" s="558" t="s">
        <v>15466</v>
      </c>
      <c r="K591" s="558" t="s">
        <v>9309</v>
      </c>
      <c r="L591" s="558" t="s">
        <v>6955</v>
      </c>
      <c r="M591" s="558"/>
      <c r="N591" s="558" t="s">
        <v>22530</v>
      </c>
      <c r="O591" s="558" t="s">
        <v>6302</v>
      </c>
      <c r="P591" s="558" t="s">
        <v>25298</v>
      </c>
      <c r="Q591" s="558" t="s">
        <v>23286</v>
      </c>
      <c r="R591" s="558" t="s">
        <v>23198</v>
      </c>
      <c r="S591" s="558" t="s">
        <v>25299</v>
      </c>
      <c r="T591" s="558" t="s">
        <v>25300</v>
      </c>
      <c r="U591" s="558"/>
      <c r="V591" s="603"/>
      <c r="W591" s="558" t="s">
        <v>452</v>
      </c>
      <c r="X591" s="558" t="s">
        <v>193</v>
      </c>
      <c r="Y591" s="558" t="s">
        <v>9310</v>
      </c>
      <c r="Z591" s="558"/>
      <c r="AA591" s="558"/>
      <c r="AB591" s="558" t="s">
        <v>9311</v>
      </c>
      <c r="AC591" s="558"/>
      <c r="AD591" s="558"/>
      <c r="AE591" s="558"/>
      <c r="AF591" s="558"/>
      <c r="AG591" s="558"/>
      <c r="AH591" s="558" t="s">
        <v>4714</v>
      </c>
      <c r="AI591" s="558" t="s">
        <v>9433</v>
      </c>
      <c r="AJ591" s="601" t="str">
        <f t="shared" si="18"/>
        <v>243106</v>
      </c>
      <c r="AK591" s="601">
        <v>1</v>
      </c>
      <c r="AL591" s="601">
        <f t="shared" si="19"/>
        <v>1</v>
      </c>
      <c r="AM591" s="601">
        <v>1</v>
      </c>
      <c r="AN591" s="603" t="s">
        <v>17650</v>
      </c>
      <c r="AO591" s="603" t="s">
        <v>17651</v>
      </c>
      <c r="AP591" s="603" t="s">
        <v>17652</v>
      </c>
      <c r="AQ591" s="603" t="s">
        <v>17653</v>
      </c>
      <c r="AR591" s="603" t="s">
        <v>1024</v>
      </c>
      <c r="AS591" s="558">
        <v>1</v>
      </c>
    </row>
    <row r="592" spans="1:45" x14ac:dyDescent="0.2">
      <c r="A592" s="558" t="s">
        <v>581</v>
      </c>
      <c r="B592" s="558" t="s">
        <v>23340</v>
      </c>
      <c r="C592" s="558" t="s">
        <v>574</v>
      </c>
      <c r="D592" s="558" t="s">
        <v>23155</v>
      </c>
      <c r="E592" s="558" t="s">
        <v>217</v>
      </c>
      <c r="F592" s="563">
        <v>1</v>
      </c>
      <c r="G592" s="558" t="s">
        <v>193</v>
      </c>
      <c r="H592" s="558" t="s">
        <v>194</v>
      </c>
      <c r="I592" s="558" t="s">
        <v>23158</v>
      </c>
      <c r="J592" s="558" t="s">
        <v>2252</v>
      </c>
      <c r="K592" s="558" t="s">
        <v>9309</v>
      </c>
      <c r="L592" s="558" t="s">
        <v>6955</v>
      </c>
      <c r="M592" s="558"/>
      <c r="N592" s="558" t="s">
        <v>24638</v>
      </c>
      <c r="O592" s="558" t="s">
        <v>6275</v>
      </c>
      <c r="P592" s="558" t="s">
        <v>25298</v>
      </c>
      <c r="Q592" s="558" t="s">
        <v>23266</v>
      </c>
      <c r="R592" s="558" t="s">
        <v>24639</v>
      </c>
      <c r="S592" s="558" t="s">
        <v>25301</v>
      </c>
      <c r="T592" s="558" t="s">
        <v>25302</v>
      </c>
      <c r="U592" s="558"/>
      <c r="V592" s="558" t="s">
        <v>9726</v>
      </c>
      <c r="W592" s="558" t="s">
        <v>576</v>
      </c>
      <c r="X592" s="558" t="s">
        <v>194</v>
      </c>
      <c r="Y592" s="558" t="s">
        <v>9300</v>
      </c>
      <c r="Z592" s="558"/>
      <c r="AA592" s="558"/>
      <c r="AB592" s="558" t="s">
        <v>9311</v>
      </c>
      <c r="AC592" s="558"/>
      <c r="AD592" s="558"/>
      <c r="AE592" s="558"/>
      <c r="AF592" s="558"/>
      <c r="AG592" s="558"/>
      <c r="AH592" s="558" t="s">
        <v>4714</v>
      </c>
      <c r="AI592" s="558" t="s">
        <v>9433</v>
      </c>
      <c r="AJ592" s="601" t="str">
        <f t="shared" si="18"/>
        <v>311509</v>
      </c>
      <c r="AK592" s="601">
        <v>1</v>
      </c>
      <c r="AL592" s="601">
        <f t="shared" si="19"/>
        <v>1</v>
      </c>
      <c r="AM592" s="601">
        <v>1</v>
      </c>
      <c r="AN592" s="603" t="s">
        <v>17650</v>
      </c>
      <c r="AO592" s="603" t="s">
        <v>17651</v>
      </c>
      <c r="AP592" s="603" t="s">
        <v>17652</v>
      </c>
      <c r="AQ592" s="603" t="s">
        <v>17653</v>
      </c>
      <c r="AR592" s="603" t="s">
        <v>1024</v>
      </c>
      <c r="AS592" s="558">
        <v>1</v>
      </c>
    </row>
    <row r="593" spans="1:45" x14ac:dyDescent="0.2">
      <c r="A593" s="558" t="s">
        <v>25303</v>
      </c>
      <c r="B593" s="558" t="s">
        <v>25304</v>
      </c>
      <c r="C593" s="558" t="s">
        <v>554</v>
      </c>
      <c r="D593" s="558" t="s">
        <v>23155</v>
      </c>
      <c r="E593" s="558" t="s">
        <v>217</v>
      </c>
      <c r="F593" s="563">
        <v>1</v>
      </c>
      <c r="G593" s="558" t="s">
        <v>194</v>
      </c>
      <c r="H593" s="558" t="s">
        <v>193</v>
      </c>
      <c r="I593" s="558" t="s">
        <v>24551</v>
      </c>
      <c r="J593" s="558" t="s">
        <v>5116</v>
      </c>
      <c r="K593" s="558" t="s">
        <v>9309</v>
      </c>
      <c r="L593" s="558" t="s">
        <v>6955</v>
      </c>
      <c r="M593" s="558"/>
      <c r="N593" s="558" t="s">
        <v>25305</v>
      </c>
      <c r="O593" s="558" t="s">
        <v>6256</v>
      </c>
      <c r="P593" s="558" t="s">
        <v>25298</v>
      </c>
      <c r="Q593" s="558" t="s">
        <v>23139</v>
      </c>
      <c r="R593" s="558" t="s">
        <v>23703</v>
      </c>
      <c r="S593" s="558" t="s">
        <v>25306</v>
      </c>
      <c r="T593" s="558" t="s">
        <v>25307</v>
      </c>
      <c r="U593" s="558"/>
      <c r="V593" s="603"/>
      <c r="W593" s="558" t="s">
        <v>555</v>
      </c>
      <c r="X593" s="558" t="s">
        <v>193</v>
      </c>
      <c r="Y593" s="558" t="s">
        <v>9310</v>
      </c>
      <c r="Z593" s="558"/>
      <c r="AA593" s="558"/>
      <c r="AB593" s="558" t="s">
        <v>9311</v>
      </c>
      <c r="AC593" s="558"/>
      <c r="AD593" s="558"/>
      <c r="AE593" s="558"/>
      <c r="AF593" s="558"/>
      <c r="AG593" s="558"/>
      <c r="AH593" s="558" t="s">
        <v>4714</v>
      </c>
      <c r="AI593" s="558" t="s">
        <v>9433</v>
      </c>
      <c r="AJ593" s="601" t="str">
        <f t="shared" si="18"/>
        <v>311303</v>
      </c>
      <c r="AK593" s="601">
        <v>1</v>
      </c>
      <c r="AL593" s="601">
        <f t="shared" si="19"/>
        <v>1</v>
      </c>
      <c r="AM593" s="601">
        <v>1</v>
      </c>
      <c r="AN593" s="603" t="s">
        <v>17650</v>
      </c>
      <c r="AO593" s="603" t="s">
        <v>17651</v>
      </c>
      <c r="AP593" s="603" t="s">
        <v>17652</v>
      </c>
      <c r="AQ593" s="603" t="s">
        <v>17653</v>
      </c>
      <c r="AR593" s="603" t="s">
        <v>1024</v>
      </c>
      <c r="AS593" s="558">
        <v>1</v>
      </c>
    </row>
    <row r="594" spans="1:45" x14ac:dyDescent="0.2">
      <c r="A594" s="558" t="s">
        <v>4022</v>
      </c>
      <c r="B594" s="558" t="s">
        <v>21464</v>
      </c>
      <c r="C594" s="558" t="s">
        <v>25308</v>
      </c>
      <c r="D594" s="558" t="s">
        <v>23155</v>
      </c>
      <c r="E594" s="558" t="s">
        <v>217</v>
      </c>
      <c r="F594" s="563">
        <v>1</v>
      </c>
      <c r="G594" s="558" t="s">
        <v>193</v>
      </c>
      <c r="H594" s="558" t="s">
        <v>194</v>
      </c>
      <c r="I594" s="558" t="s">
        <v>23164</v>
      </c>
      <c r="J594" s="558" t="s">
        <v>15466</v>
      </c>
      <c r="K594" s="558" t="s">
        <v>9309</v>
      </c>
      <c r="L594" s="558" t="s">
        <v>6955</v>
      </c>
      <c r="M594" s="558"/>
      <c r="N594" s="558" t="s">
        <v>21466</v>
      </c>
      <c r="O594" s="558" t="s">
        <v>6269</v>
      </c>
      <c r="P594" s="558" t="s">
        <v>25298</v>
      </c>
      <c r="Q594" s="558" t="s">
        <v>23286</v>
      </c>
      <c r="R594" s="558" t="s">
        <v>23198</v>
      </c>
      <c r="S594" s="558" t="s">
        <v>25309</v>
      </c>
      <c r="T594" s="558" t="s">
        <v>25310</v>
      </c>
      <c r="U594" s="558"/>
      <c r="V594" s="603"/>
      <c r="W594" s="558" t="s">
        <v>25311</v>
      </c>
      <c r="X594" s="558" t="s">
        <v>193</v>
      </c>
      <c r="Y594" s="558" t="s">
        <v>9310</v>
      </c>
      <c r="Z594" s="558"/>
      <c r="AA594" s="558"/>
      <c r="AB594" s="558" t="s">
        <v>9311</v>
      </c>
      <c r="AC594" s="558"/>
      <c r="AD594" s="558"/>
      <c r="AE594" s="558"/>
      <c r="AF594" s="558"/>
      <c r="AG594" s="558"/>
      <c r="AH594" s="558" t="s">
        <v>4714</v>
      </c>
      <c r="AI594" s="558" t="s">
        <v>9433</v>
      </c>
      <c r="AJ594" s="601" t="str">
        <f t="shared" si="18"/>
        <v>221102</v>
      </c>
      <c r="AK594" s="601">
        <v>1</v>
      </c>
      <c r="AL594" s="601">
        <f t="shared" si="19"/>
        <v>1</v>
      </c>
      <c r="AM594" s="601">
        <v>1</v>
      </c>
      <c r="AN594" s="603" t="s">
        <v>17650</v>
      </c>
      <c r="AO594" s="603" t="s">
        <v>17651</v>
      </c>
      <c r="AP594" s="603" t="s">
        <v>17652</v>
      </c>
      <c r="AQ594" s="603" t="s">
        <v>17653</v>
      </c>
      <c r="AR594" s="603" t="s">
        <v>1024</v>
      </c>
      <c r="AS594" s="558">
        <v>1</v>
      </c>
    </row>
    <row r="595" spans="1:45" x14ac:dyDescent="0.2">
      <c r="A595" s="558" t="s">
        <v>15464</v>
      </c>
      <c r="B595" s="558" t="s">
        <v>22217</v>
      </c>
      <c r="C595" s="558" t="s">
        <v>468</v>
      </c>
      <c r="D595" s="558" t="s">
        <v>23155</v>
      </c>
      <c r="E595" s="558" t="s">
        <v>217</v>
      </c>
      <c r="F595" s="563">
        <v>1</v>
      </c>
      <c r="G595" s="558" t="s">
        <v>193</v>
      </c>
      <c r="H595" s="558" t="s">
        <v>194</v>
      </c>
      <c r="I595" s="558" t="s">
        <v>23164</v>
      </c>
      <c r="J595" s="558" t="s">
        <v>210</v>
      </c>
      <c r="K595" s="558" t="s">
        <v>9309</v>
      </c>
      <c r="L595" s="558" t="s">
        <v>6955</v>
      </c>
      <c r="M595" s="558"/>
      <c r="N595" s="558" t="s">
        <v>22238</v>
      </c>
      <c r="O595" s="558" t="s">
        <v>6251</v>
      </c>
      <c r="P595" s="558" t="s">
        <v>25298</v>
      </c>
      <c r="Q595" s="558" t="s">
        <v>23286</v>
      </c>
      <c r="R595" s="558" t="s">
        <v>23198</v>
      </c>
      <c r="S595" s="558" t="s">
        <v>25312</v>
      </c>
      <c r="T595" s="558" t="s">
        <v>25313</v>
      </c>
      <c r="U595" s="558"/>
      <c r="V595" s="558" t="s">
        <v>9334</v>
      </c>
      <c r="W595" s="558" t="s">
        <v>469</v>
      </c>
      <c r="X595" s="558" t="s">
        <v>194</v>
      </c>
      <c r="Y595" s="558" t="s">
        <v>9300</v>
      </c>
      <c r="Z595" s="558"/>
      <c r="AA595" s="558"/>
      <c r="AB595" s="558" t="s">
        <v>9311</v>
      </c>
      <c r="AC595" s="558"/>
      <c r="AD595" s="558"/>
      <c r="AE595" s="558"/>
      <c r="AF595" s="558"/>
      <c r="AG595" s="558"/>
      <c r="AH595" s="558" t="s">
        <v>4714</v>
      </c>
      <c r="AI595" s="558" t="s">
        <v>9433</v>
      </c>
      <c r="AJ595" s="601" t="str">
        <f t="shared" si="18"/>
        <v>243303</v>
      </c>
      <c r="AK595" s="601">
        <v>1</v>
      </c>
      <c r="AL595" s="601">
        <f t="shared" si="19"/>
        <v>1</v>
      </c>
      <c r="AM595" s="601">
        <v>1</v>
      </c>
      <c r="AN595" s="603" t="s">
        <v>17650</v>
      </c>
      <c r="AO595" s="603" t="s">
        <v>17651</v>
      </c>
      <c r="AP595" s="603" t="s">
        <v>17652</v>
      </c>
      <c r="AQ595" s="603" t="s">
        <v>17653</v>
      </c>
      <c r="AR595" s="603" t="s">
        <v>1024</v>
      </c>
      <c r="AS595" s="558">
        <v>1</v>
      </c>
    </row>
    <row r="596" spans="1:45" x14ac:dyDescent="0.2">
      <c r="A596" s="558" t="s">
        <v>4022</v>
      </c>
      <c r="B596" s="558" t="s">
        <v>23046</v>
      </c>
      <c r="C596" s="558" t="s">
        <v>542</v>
      </c>
      <c r="D596" s="558" t="s">
        <v>23155</v>
      </c>
      <c r="E596" s="558" t="s">
        <v>217</v>
      </c>
      <c r="F596" s="563">
        <v>1</v>
      </c>
      <c r="G596" s="558" t="s">
        <v>193</v>
      </c>
      <c r="H596" s="558" t="s">
        <v>194</v>
      </c>
      <c r="I596" s="558" t="s">
        <v>23164</v>
      </c>
      <c r="J596" s="558" t="s">
        <v>15466</v>
      </c>
      <c r="K596" s="558" t="s">
        <v>9309</v>
      </c>
      <c r="L596" s="558" t="s">
        <v>6955</v>
      </c>
      <c r="M596" s="558"/>
      <c r="N596" s="558" t="s">
        <v>23047</v>
      </c>
      <c r="O596" s="558" t="s">
        <v>6286</v>
      </c>
      <c r="P596" s="558" t="s">
        <v>25298</v>
      </c>
      <c r="Q596" s="558" t="s">
        <v>23286</v>
      </c>
      <c r="R596" s="558" t="s">
        <v>23198</v>
      </c>
      <c r="S596" s="558" t="s">
        <v>25314</v>
      </c>
      <c r="T596" s="558" t="s">
        <v>25315</v>
      </c>
      <c r="U596" s="558"/>
      <c r="V596" s="603"/>
      <c r="W596" s="558" t="s">
        <v>543</v>
      </c>
      <c r="X596" s="558" t="s">
        <v>193</v>
      </c>
      <c r="Y596" s="558" t="s">
        <v>9310</v>
      </c>
      <c r="Z596" s="558"/>
      <c r="AA596" s="558"/>
      <c r="AB596" s="558" t="s">
        <v>9311</v>
      </c>
      <c r="AC596" s="558"/>
      <c r="AD596" s="558"/>
      <c r="AE596" s="558"/>
      <c r="AF596" s="558"/>
      <c r="AG596" s="558"/>
      <c r="AH596" s="558" t="s">
        <v>4714</v>
      </c>
      <c r="AI596" s="558" t="s">
        <v>9433</v>
      </c>
      <c r="AJ596" s="601" t="str">
        <f t="shared" si="18"/>
        <v>264304</v>
      </c>
      <c r="AK596" s="601">
        <v>1</v>
      </c>
      <c r="AL596" s="601">
        <f t="shared" si="19"/>
        <v>1</v>
      </c>
      <c r="AM596" s="601">
        <v>1</v>
      </c>
      <c r="AN596" s="603" t="s">
        <v>17650</v>
      </c>
      <c r="AO596" s="603" t="s">
        <v>17651</v>
      </c>
      <c r="AP596" s="603" t="s">
        <v>17652</v>
      </c>
      <c r="AQ596" s="603" t="s">
        <v>17653</v>
      </c>
      <c r="AR596" s="603" t="s">
        <v>1024</v>
      </c>
      <c r="AS596" s="558">
        <v>1</v>
      </c>
    </row>
    <row r="597" spans="1:45" x14ac:dyDescent="0.2">
      <c r="A597" s="558" t="s">
        <v>581</v>
      </c>
      <c r="B597" s="558" t="s">
        <v>2788</v>
      </c>
      <c r="C597" s="558" t="s">
        <v>62</v>
      </c>
      <c r="D597" s="558" t="s">
        <v>23155</v>
      </c>
      <c r="E597" s="558" t="s">
        <v>217</v>
      </c>
      <c r="F597" s="563">
        <v>1</v>
      </c>
      <c r="G597" s="558" t="s">
        <v>193</v>
      </c>
      <c r="H597" s="558" t="s">
        <v>194</v>
      </c>
      <c r="I597" s="558" t="s">
        <v>23158</v>
      </c>
      <c r="J597" s="558" t="s">
        <v>253</v>
      </c>
      <c r="K597" s="558" t="s">
        <v>9309</v>
      </c>
      <c r="L597" s="558" t="s">
        <v>6955</v>
      </c>
      <c r="M597" s="558"/>
      <c r="N597" s="558" t="s">
        <v>25316</v>
      </c>
      <c r="O597" s="558" t="s">
        <v>6258</v>
      </c>
      <c r="P597" s="558" t="s">
        <v>25298</v>
      </c>
      <c r="Q597" s="558" t="s">
        <v>23213</v>
      </c>
      <c r="R597" s="558" t="s">
        <v>23835</v>
      </c>
      <c r="S597" s="558" t="s">
        <v>25317</v>
      </c>
      <c r="T597" s="558" t="s">
        <v>25318</v>
      </c>
      <c r="U597" s="558"/>
      <c r="V597" s="558" t="s">
        <v>9468</v>
      </c>
      <c r="W597" s="558" t="s">
        <v>601</v>
      </c>
      <c r="X597" s="558" t="s">
        <v>194</v>
      </c>
      <c r="Y597" s="558" t="s">
        <v>9300</v>
      </c>
      <c r="Z597" s="558"/>
      <c r="AA597" s="558"/>
      <c r="AB597" s="558" t="s">
        <v>9311</v>
      </c>
      <c r="AC597" s="558"/>
      <c r="AD597" s="558"/>
      <c r="AE597" s="558"/>
      <c r="AF597" s="558"/>
      <c r="AG597" s="558"/>
      <c r="AH597" s="558" t="s">
        <v>4714</v>
      </c>
      <c r="AI597" s="558" t="s">
        <v>9433</v>
      </c>
      <c r="AJ597" s="601" t="str">
        <f t="shared" si="18"/>
        <v>313904</v>
      </c>
      <c r="AK597" s="601">
        <v>1</v>
      </c>
      <c r="AL597" s="601">
        <f t="shared" si="19"/>
        <v>1</v>
      </c>
      <c r="AM597" s="601">
        <v>1</v>
      </c>
      <c r="AN597" s="603" t="s">
        <v>17650</v>
      </c>
      <c r="AO597" s="603" t="s">
        <v>17651</v>
      </c>
      <c r="AP597" s="603" t="s">
        <v>17652</v>
      </c>
      <c r="AQ597" s="603" t="s">
        <v>17653</v>
      </c>
      <c r="AR597" s="603" t="s">
        <v>1024</v>
      </c>
      <c r="AS597" s="558">
        <v>1</v>
      </c>
    </row>
    <row r="598" spans="1:45" x14ac:dyDescent="0.2">
      <c r="A598" s="558" t="s">
        <v>23858</v>
      </c>
      <c r="B598" s="558" t="s">
        <v>25319</v>
      </c>
      <c r="C598" s="558" t="s">
        <v>110</v>
      </c>
      <c r="D598" s="558" t="s">
        <v>23155</v>
      </c>
      <c r="E598" s="558" t="s">
        <v>217</v>
      </c>
      <c r="F598" s="563">
        <v>1</v>
      </c>
      <c r="G598" s="558" t="s">
        <v>193</v>
      </c>
      <c r="H598" s="558" t="s">
        <v>194</v>
      </c>
      <c r="I598" s="558" t="s">
        <v>23158</v>
      </c>
      <c r="J598" s="558" t="s">
        <v>25320</v>
      </c>
      <c r="K598" s="558" t="s">
        <v>9309</v>
      </c>
      <c r="L598" s="558" t="s">
        <v>6955</v>
      </c>
      <c r="M598" s="558"/>
      <c r="N598" s="558" t="s">
        <v>25321</v>
      </c>
      <c r="O598" s="558" t="s">
        <v>6275</v>
      </c>
      <c r="P598" s="558" t="s">
        <v>25298</v>
      </c>
      <c r="Q598" s="558" t="s">
        <v>23355</v>
      </c>
      <c r="R598" s="558" t="s">
        <v>23307</v>
      </c>
      <c r="S598" s="558" t="s">
        <v>25322</v>
      </c>
      <c r="T598" s="558" t="s">
        <v>25323</v>
      </c>
      <c r="U598" s="558"/>
      <c r="V598" s="558" t="s">
        <v>11154</v>
      </c>
      <c r="W598" s="558" t="s">
        <v>621</v>
      </c>
      <c r="X598" s="558" t="s">
        <v>194</v>
      </c>
      <c r="Y598" s="558" t="s">
        <v>9300</v>
      </c>
      <c r="Z598" s="558"/>
      <c r="AA598" s="558"/>
      <c r="AB598" s="558" t="s">
        <v>9311</v>
      </c>
      <c r="AC598" s="558"/>
      <c r="AD598" s="558"/>
      <c r="AE598" s="558"/>
      <c r="AF598" s="558"/>
      <c r="AG598" s="558"/>
      <c r="AH598" s="558" t="s">
        <v>4714</v>
      </c>
      <c r="AI598" s="558" t="s">
        <v>9433</v>
      </c>
      <c r="AJ598" s="601" t="str">
        <f t="shared" si="18"/>
        <v>332201</v>
      </c>
      <c r="AK598" s="601">
        <v>1</v>
      </c>
      <c r="AL598" s="601">
        <f t="shared" si="19"/>
        <v>1</v>
      </c>
      <c r="AM598" s="601">
        <v>1</v>
      </c>
      <c r="AN598" s="603" t="s">
        <v>17650</v>
      </c>
      <c r="AO598" s="603" t="s">
        <v>17651</v>
      </c>
      <c r="AP598" s="603" t="s">
        <v>17652</v>
      </c>
      <c r="AQ598" s="603" t="s">
        <v>17653</v>
      </c>
      <c r="AR598" s="603" t="s">
        <v>1024</v>
      </c>
      <c r="AS598" s="558">
        <v>1</v>
      </c>
    </row>
    <row r="599" spans="1:45" x14ac:dyDescent="0.2">
      <c r="A599" s="558" t="s">
        <v>9886</v>
      </c>
      <c r="B599" s="558" t="s">
        <v>25324</v>
      </c>
      <c r="C599" s="558" t="s">
        <v>51</v>
      </c>
      <c r="D599" s="558" t="s">
        <v>23155</v>
      </c>
      <c r="E599" s="558" t="s">
        <v>217</v>
      </c>
      <c r="F599" s="563">
        <v>1</v>
      </c>
      <c r="G599" s="558" t="s">
        <v>193</v>
      </c>
      <c r="H599" s="558" t="s">
        <v>194</v>
      </c>
      <c r="I599" s="558" t="s">
        <v>23158</v>
      </c>
      <c r="J599" s="558" t="s">
        <v>25325</v>
      </c>
      <c r="K599" s="558" t="s">
        <v>9309</v>
      </c>
      <c r="L599" s="558" t="s">
        <v>6955</v>
      </c>
      <c r="M599" s="558"/>
      <c r="N599" s="558" t="s">
        <v>25326</v>
      </c>
      <c r="O599" s="558" t="s">
        <v>6249</v>
      </c>
      <c r="P599" s="558" t="s">
        <v>25298</v>
      </c>
      <c r="Q599" s="558" t="s">
        <v>23800</v>
      </c>
      <c r="R599" s="558" t="s">
        <v>23718</v>
      </c>
      <c r="S599" s="558" t="s">
        <v>25327</v>
      </c>
      <c r="T599" s="558" t="s">
        <v>25328</v>
      </c>
      <c r="U599" s="558"/>
      <c r="V599" s="558" t="s">
        <v>9726</v>
      </c>
      <c r="W599" s="558" t="s">
        <v>904</v>
      </c>
      <c r="X599" s="558" t="s">
        <v>194</v>
      </c>
      <c r="Y599" s="558" t="s">
        <v>9300</v>
      </c>
      <c r="Z599" s="558"/>
      <c r="AA599" s="558"/>
      <c r="AB599" s="558" t="s">
        <v>9311</v>
      </c>
      <c r="AC599" s="558"/>
      <c r="AD599" s="558"/>
      <c r="AE599" s="558"/>
      <c r="AF599" s="558"/>
      <c r="AG599" s="558"/>
      <c r="AH599" s="558" t="s">
        <v>4714</v>
      </c>
      <c r="AI599" s="558" t="s">
        <v>9433</v>
      </c>
      <c r="AJ599" s="601" t="str">
        <f t="shared" si="18"/>
        <v>523002</v>
      </c>
      <c r="AK599" s="601">
        <v>1</v>
      </c>
      <c r="AL599" s="601">
        <f t="shared" si="19"/>
        <v>1</v>
      </c>
      <c r="AM599" s="601">
        <v>1</v>
      </c>
      <c r="AN599" s="603" t="s">
        <v>17650</v>
      </c>
      <c r="AO599" s="603" t="s">
        <v>17651</v>
      </c>
      <c r="AP599" s="603" t="s">
        <v>17652</v>
      </c>
      <c r="AQ599" s="603" t="s">
        <v>17653</v>
      </c>
      <c r="AR599" s="603" t="s">
        <v>1024</v>
      </c>
      <c r="AS599" s="558">
        <v>1</v>
      </c>
    </row>
    <row r="600" spans="1:45" x14ac:dyDescent="0.2">
      <c r="A600" s="558" t="s">
        <v>23858</v>
      </c>
      <c r="B600" s="558" t="s">
        <v>23878</v>
      </c>
      <c r="C600" s="558" t="s">
        <v>110</v>
      </c>
      <c r="D600" s="558" t="s">
        <v>23155</v>
      </c>
      <c r="E600" s="558" t="s">
        <v>217</v>
      </c>
      <c r="F600" s="563">
        <v>1</v>
      </c>
      <c r="G600" s="558" t="s">
        <v>193</v>
      </c>
      <c r="H600" s="558" t="s">
        <v>194</v>
      </c>
      <c r="I600" s="558" t="s">
        <v>23158</v>
      </c>
      <c r="J600" s="558" t="s">
        <v>23860</v>
      </c>
      <c r="K600" s="558" t="s">
        <v>9309</v>
      </c>
      <c r="L600" s="558" t="s">
        <v>6955</v>
      </c>
      <c r="M600" s="558"/>
      <c r="N600" s="558" t="s">
        <v>23879</v>
      </c>
      <c r="O600" s="558" t="s">
        <v>6275</v>
      </c>
      <c r="P600" s="558" t="s">
        <v>25298</v>
      </c>
      <c r="Q600" s="558" t="s">
        <v>23355</v>
      </c>
      <c r="R600" s="558" t="s">
        <v>23307</v>
      </c>
      <c r="S600" s="558" t="s">
        <v>25329</v>
      </c>
      <c r="T600" s="558" t="s">
        <v>25330</v>
      </c>
      <c r="U600" s="558"/>
      <c r="V600" s="558" t="s">
        <v>9468</v>
      </c>
      <c r="W600" s="558" t="s">
        <v>621</v>
      </c>
      <c r="X600" s="558" t="s">
        <v>194</v>
      </c>
      <c r="Y600" s="558" t="s">
        <v>9300</v>
      </c>
      <c r="Z600" s="558"/>
      <c r="AA600" s="558"/>
      <c r="AB600" s="558" t="s">
        <v>9311</v>
      </c>
      <c r="AC600" s="558"/>
      <c r="AD600" s="558"/>
      <c r="AE600" s="558"/>
      <c r="AF600" s="558"/>
      <c r="AG600" s="558"/>
      <c r="AH600" s="558" t="s">
        <v>4714</v>
      </c>
      <c r="AI600" s="558" t="s">
        <v>9433</v>
      </c>
      <c r="AJ600" s="601" t="str">
        <f t="shared" si="18"/>
        <v>332201</v>
      </c>
      <c r="AK600" s="601">
        <v>1</v>
      </c>
      <c r="AL600" s="601">
        <f t="shared" si="19"/>
        <v>1</v>
      </c>
      <c r="AM600" s="601">
        <v>1</v>
      </c>
      <c r="AN600" s="603" t="s">
        <v>17650</v>
      </c>
      <c r="AO600" s="603" t="s">
        <v>17651</v>
      </c>
      <c r="AP600" s="603" t="s">
        <v>17652</v>
      </c>
      <c r="AQ600" s="603" t="s">
        <v>17653</v>
      </c>
      <c r="AR600" s="603" t="s">
        <v>1024</v>
      </c>
      <c r="AS600" s="558">
        <v>1</v>
      </c>
    </row>
    <row r="601" spans="1:45" x14ac:dyDescent="0.2">
      <c r="A601" s="558" t="s">
        <v>9886</v>
      </c>
      <c r="B601" s="558" t="s">
        <v>25331</v>
      </c>
      <c r="C601" s="558" t="s">
        <v>67</v>
      </c>
      <c r="D601" s="558" t="s">
        <v>23155</v>
      </c>
      <c r="E601" s="558" t="s">
        <v>217</v>
      </c>
      <c r="F601" s="563">
        <v>1</v>
      </c>
      <c r="G601" s="558" t="s">
        <v>194</v>
      </c>
      <c r="H601" s="558" t="s">
        <v>193</v>
      </c>
      <c r="I601" s="558" t="s">
        <v>23164</v>
      </c>
      <c r="J601" s="558" t="s">
        <v>210</v>
      </c>
      <c r="K601" s="558" t="s">
        <v>9309</v>
      </c>
      <c r="L601" s="558" t="s">
        <v>6955</v>
      </c>
      <c r="M601" s="558"/>
      <c r="N601" s="558" t="s">
        <v>25332</v>
      </c>
      <c r="O601" s="558" t="s">
        <v>6269</v>
      </c>
      <c r="P601" s="558" t="s">
        <v>25298</v>
      </c>
      <c r="Q601" s="558" t="s">
        <v>23213</v>
      </c>
      <c r="R601" s="558" t="s">
        <v>25333</v>
      </c>
      <c r="S601" s="558" t="s">
        <v>25334</v>
      </c>
      <c r="T601" s="558" t="s">
        <v>25335</v>
      </c>
      <c r="U601" s="558"/>
      <c r="V601" s="558" t="s">
        <v>9334</v>
      </c>
      <c r="W601" s="558" t="s">
        <v>709</v>
      </c>
      <c r="X601" s="558" t="s">
        <v>194</v>
      </c>
      <c r="Y601" s="558" t="s">
        <v>9300</v>
      </c>
      <c r="Z601" s="558"/>
      <c r="AA601" s="558"/>
      <c r="AB601" s="558" t="s">
        <v>9311</v>
      </c>
      <c r="AC601" s="558"/>
      <c r="AD601" s="558"/>
      <c r="AE601" s="558"/>
      <c r="AF601" s="558"/>
      <c r="AG601" s="558"/>
      <c r="AH601" s="558" t="s">
        <v>4714</v>
      </c>
      <c r="AI601" s="558" t="s">
        <v>9433</v>
      </c>
      <c r="AJ601" s="601" t="str">
        <f t="shared" si="18"/>
        <v>432103</v>
      </c>
      <c r="AK601" s="601">
        <v>1</v>
      </c>
      <c r="AL601" s="601">
        <f t="shared" si="19"/>
        <v>1</v>
      </c>
      <c r="AM601" s="601">
        <v>1</v>
      </c>
      <c r="AN601" s="603" t="s">
        <v>17650</v>
      </c>
      <c r="AO601" s="603" t="s">
        <v>17651</v>
      </c>
      <c r="AP601" s="603" t="s">
        <v>17652</v>
      </c>
      <c r="AQ601" s="603" t="s">
        <v>17653</v>
      </c>
      <c r="AR601" s="603" t="s">
        <v>1024</v>
      </c>
      <c r="AS601" s="558">
        <v>1</v>
      </c>
    </row>
    <row r="602" spans="1:45" x14ac:dyDescent="0.2">
      <c r="A602" s="558" t="s">
        <v>258</v>
      </c>
      <c r="B602" s="558" t="s">
        <v>7677</v>
      </c>
      <c r="C602" s="558" t="s">
        <v>778</v>
      </c>
      <c r="D602" s="558" t="s">
        <v>23155</v>
      </c>
      <c r="E602" s="558" t="s">
        <v>217</v>
      </c>
      <c r="F602" s="563">
        <v>1</v>
      </c>
      <c r="G602" s="558" t="s">
        <v>193</v>
      </c>
      <c r="H602" s="558" t="s">
        <v>194</v>
      </c>
      <c r="I602" s="558" t="s">
        <v>23151</v>
      </c>
      <c r="J602" s="558" t="s">
        <v>316</v>
      </c>
      <c r="K602" s="558" t="s">
        <v>9309</v>
      </c>
      <c r="L602" s="558" t="s">
        <v>6955</v>
      </c>
      <c r="M602" s="558"/>
      <c r="N602" s="558" t="s">
        <v>25336</v>
      </c>
      <c r="O602" s="558" t="s">
        <v>6251</v>
      </c>
      <c r="P602" s="558" t="s">
        <v>25258</v>
      </c>
      <c r="Q602" s="558" t="s">
        <v>23266</v>
      </c>
      <c r="R602" s="558" t="s">
        <v>25337</v>
      </c>
      <c r="S602" s="558" t="s">
        <v>25338</v>
      </c>
      <c r="T602" s="558" t="s">
        <v>25339</v>
      </c>
      <c r="U602" s="558"/>
      <c r="V602" s="558" t="s">
        <v>10012</v>
      </c>
      <c r="W602" s="558" t="s">
        <v>779</v>
      </c>
      <c r="X602" s="558" t="s">
        <v>194</v>
      </c>
      <c r="Y602" s="558" t="s">
        <v>9300</v>
      </c>
      <c r="Z602" s="558"/>
      <c r="AA602" s="558"/>
      <c r="AB602" s="558" t="s">
        <v>9311</v>
      </c>
      <c r="AC602" s="558"/>
      <c r="AD602" s="558"/>
      <c r="AE602" s="558"/>
      <c r="AF602" s="558"/>
      <c r="AG602" s="558"/>
      <c r="AH602" s="558" t="s">
        <v>4714</v>
      </c>
      <c r="AI602" s="558" t="s">
        <v>778</v>
      </c>
      <c r="AJ602" s="601" t="str">
        <f t="shared" si="18"/>
        <v>524902</v>
      </c>
      <c r="AK602" s="601">
        <v>1</v>
      </c>
      <c r="AL602" s="601">
        <f t="shared" si="19"/>
        <v>1</v>
      </c>
      <c r="AM602" s="601">
        <v>1</v>
      </c>
      <c r="AN602" s="603" t="s">
        <v>17650</v>
      </c>
      <c r="AO602" s="603" t="s">
        <v>17651</v>
      </c>
      <c r="AP602" s="603" t="s">
        <v>17652</v>
      </c>
      <c r="AQ602" s="603" t="s">
        <v>17653</v>
      </c>
      <c r="AR602" s="603" t="s">
        <v>1024</v>
      </c>
      <c r="AS602" s="558">
        <v>1</v>
      </c>
    </row>
    <row r="603" spans="1:45" x14ac:dyDescent="0.2">
      <c r="A603" s="558" t="s">
        <v>581</v>
      </c>
      <c r="B603" s="558" t="s">
        <v>25340</v>
      </c>
      <c r="C603" s="558" t="s">
        <v>43</v>
      </c>
      <c r="D603" s="558" t="s">
        <v>23155</v>
      </c>
      <c r="E603" s="558" t="s">
        <v>217</v>
      </c>
      <c r="F603" s="563">
        <v>1</v>
      </c>
      <c r="G603" s="558" t="s">
        <v>193</v>
      </c>
      <c r="H603" s="558" t="s">
        <v>194</v>
      </c>
      <c r="I603" s="558" t="s">
        <v>24551</v>
      </c>
      <c r="J603" s="558" t="s">
        <v>1829</v>
      </c>
      <c r="K603" s="558" t="s">
        <v>9309</v>
      </c>
      <c r="L603" s="558" t="s">
        <v>6955</v>
      </c>
      <c r="M603" s="558"/>
      <c r="N603" s="558" t="s">
        <v>25341</v>
      </c>
      <c r="O603" s="558" t="s">
        <v>6249</v>
      </c>
      <c r="P603" s="558" t="s">
        <v>25298</v>
      </c>
      <c r="Q603" s="558" t="s">
        <v>23266</v>
      </c>
      <c r="R603" s="558" t="s">
        <v>24619</v>
      </c>
      <c r="S603" s="558" t="s">
        <v>25342</v>
      </c>
      <c r="T603" s="558" t="s">
        <v>25343</v>
      </c>
      <c r="U603" s="558"/>
      <c r="V603" s="558" t="s">
        <v>9726</v>
      </c>
      <c r="W603" s="558" t="s">
        <v>452</v>
      </c>
      <c r="X603" s="558" t="s">
        <v>194</v>
      </c>
      <c r="Y603" s="558" t="s">
        <v>9300</v>
      </c>
      <c r="Z603" s="558"/>
      <c r="AA603" s="558"/>
      <c r="AB603" s="558" t="s">
        <v>9311</v>
      </c>
      <c r="AC603" s="558"/>
      <c r="AD603" s="558"/>
      <c r="AE603" s="558"/>
      <c r="AF603" s="558"/>
      <c r="AG603" s="558"/>
      <c r="AH603" s="558" t="s">
        <v>4714</v>
      </c>
      <c r="AI603" s="558" t="s">
        <v>9433</v>
      </c>
      <c r="AJ603" s="601" t="str">
        <f t="shared" si="18"/>
        <v>243106</v>
      </c>
      <c r="AK603" s="601">
        <v>1</v>
      </c>
      <c r="AL603" s="601">
        <f t="shared" si="19"/>
        <v>1</v>
      </c>
      <c r="AM603" s="601">
        <v>1</v>
      </c>
      <c r="AN603" s="603" t="s">
        <v>17650</v>
      </c>
      <c r="AO603" s="603" t="s">
        <v>17651</v>
      </c>
      <c r="AP603" s="603" t="s">
        <v>17652</v>
      </c>
      <c r="AQ603" s="603" t="s">
        <v>17653</v>
      </c>
      <c r="AR603" s="603" t="s">
        <v>1024</v>
      </c>
      <c r="AS603" s="558">
        <v>1</v>
      </c>
    </row>
    <row r="604" spans="1:45" x14ac:dyDescent="0.2">
      <c r="A604" s="558" t="s">
        <v>581</v>
      </c>
      <c r="B604" s="558" t="s">
        <v>3871</v>
      </c>
      <c r="C604" s="558" t="s">
        <v>29</v>
      </c>
      <c r="D604" s="558" t="s">
        <v>23155</v>
      </c>
      <c r="E604" s="558" t="s">
        <v>217</v>
      </c>
      <c r="F604" s="563">
        <v>1</v>
      </c>
      <c r="G604" s="558" t="s">
        <v>193</v>
      </c>
      <c r="H604" s="558" t="s">
        <v>194</v>
      </c>
      <c r="I604" s="558" t="s">
        <v>23158</v>
      </c>
      <c r="J604" s="558" t="s">
        <v>2252</v>
      </c>
      <c r="K604" s="558" t="s">
        <v>9309</v>
      </c>
      <c r="L604" s="558" t="s">
        <v>6955</v>
      </c>
      <c r="M604" s="558"/>
      <c r="N604" s="558" t="s">
        <v>25344</v>
      </c>
      <c r="O604" s="558" t="s">
        <v>6275</v>
      </c>
      <c r="P604" s="558" t="s">
        <v>25298</v>
      </c>
      <c r="Q604" s="558" t="s">
        <v>23256</v>
      </c>
      <c r="R604" s="558" t="s">
        <v>23158</v>
      </c>
      <c r="S604" s="558" t="s">
        <v>25345</v>
      </c>
      <c r="T604" s="558" t="s">
        <v>25346</v>
      </c>
      <c r="U604" s="558"/>
      <c r="V604" s="558" t="s">
        <v>9726</v>
      </c>
      <c r="W604" s="558" t="s">
        <v>808</v>
      </c>
      <c r="X604" s="558" t="s">
        <v>194</v>
      </c>
      <c r="Y604" s="558" t="s">
        <v>9300</v>
      </c>
      <c r="Z604" s="558"/>
      <c r="AA604" s="558"/>
      <c r="AB604" s="558" t="s">
        <v>9311</v>
      </c>
      <c r="AC604" s="558"/>
      <c r="AD604" s="558"/>
      <c r="AE604" s="558"/>
      <c r="AF604" s="558"/>
      <c r="AG604" s="558"/>
      <c r="AH604" s="558" t="s">
        <v>4714</v>
      </c>
      <c r="AI604" s="558" t="s">
        <v>9433</v>
      </c>
      <c r="AJ604" s="601" t="str">
        <f t="shared" si="18"/>
        <v>722308</v>
      </c>
      <c r="AK604" s="601">
        <v>1</v>
      </c>
      <c r="AL604" s="601">
        <f t="shared" si="19"/>
        <v>1</v>
      </c>
      <c r="AM604" s="601">
        <v>1</v>
      </c>
      <c r="AN604" s="603" t="s">
        <v>17650</v>
      </c>
      <c r="AO604" s="603" t="s">
        <v>17651</v>
      </c>
      <c r="AP604" s="603" t="s">
        <v>17652</v>
      </c>
      <c r="AQ604" s="603" t="s">
        <v>17653</v>
      </c>
      <c r="AR604" s="603" t="s">
        <v>1024</v>
      </c>
      <c r="AS604" s="558">
        <v>1</v>
      </c>
    </row>
    <row r="605" spans="1:45" x14ac:dyDescent="0.2">
      <c r="A605" s="558" t="s">
        <v>581</v>
      </c>
      <c r="B605" s="558" t="s">
        <v>25347</v>
      </c>
      <c r="C605" s="558" t="s">
        <v>886</v>
      </c>
      <c r="D605" s="558" t="s">
        <v>23155</v>
      </c>
      <c r="E605" s="558" t="s">
        <v>217</v>
      </c>
      <c r="F605" s="563">
        <v>1</v>
      </c>
      <c r="G605" s="558" t="s">
        <v>193</v>
      </c>
      <c r="H605" s="558" t="s">
        <v>194</v>
      </c>
      <c r="I605" s="558" t="s">
        <v>23164</v>
      </c>
      <c r="J605" s="558" t="s">
        <v>976</v>
      </c>
      <c r="K605" s="558" t="s">
        <v>9309</v>
      </c>
      <c r="L605" s="558" t="s">
        <v>6955</v>
      </c>
      <c r="M605" s="558"/>
      <c r="N605" s="558" t="s">
        <v>25348</v>
      </c>
      <c r="O605" s="558" t="s">
        <v>6275</v>
      </c>
      <c r="P605" s="558" t="s">
        <v>25298</v>
      </c>
      <c r="Q605" s="558" t="s">
        <v>23139</v>
      </c>
      <c r="R605" s="558" t="s">
        <v>25349</v>
      </c>
      <c r="S605" s="558" t="s">
        <v>25350</v>
      </c>
      <c r="T605" s="558" t="s">
        <v>25351</v>
      </c>
      <c r="U605" s="558"/>
      <c r="V605" s="558" t="s">
        <v>9726</v>
      </c>
      <c r="W605" s="558" t="s">
        <v>887</v>
      </c>
      <c r="X605" s="558" t="s">
        <v>194</v>
      </c>
      <c r="Y605" s="558" t="s">
        <v>9300</v>
      </c>
      <c r="Z605" s="558"/>
      <c r="AA605" s="558"/>
      <c r="AB605" s="558" t="s">
        <v>9311</v>
      </c>
      <c r="AC605" s="558"/>
      <c r="AD605" s="558"/>
      <c r="AE605" s="558"/>
      <c r="AF605" s="558"/>
      <c r="AG605" s="558"/>
      <c r="AH605" s="558" t="s">
        <v>4714</v>
      </c>
      <c r="AI605" s="558" t="s">
        <v>9433</v>
      </c>
      <c r="AJ605" s="601" t="str">
        <f t="shared" si="18"/>
        <v>834401</v>
      </c>
      <c r="AK605" s="601">
        <v>1</v>
      </c>
      <c r="AL605" s="601">
        <f t="shared" si="19"/>
        <v>1</v>
      </c>
      <c r="AM605" s="601">
        <v>1</v>
      </c>
      <c r="AN605" s="603" t="s">
        <v>17650</v>
      </c>
      <c r="AO605" s="603" t="s">
        <v>17651</v>
      </c>
      <c r="AP605" s="603" t="s">
        <v>17652</v>
      </c>
      <c r="AQ605" s="603" t="s">
        <v>17653</v>
      </c>
      <c r="AR605" s="603" t="s">
        <v>1024</v>
      </c>
      <c r="AS605" s="558">
        <v>1</v>
      </c>
    </row>
    <row r="606" spans="1:45" x14ac:dyDescent="0.2">
      <c r="A606" s="558" t="s">
        <v>581</v>
      </c>
      <c r="B606" s="558" t="s">
        <v>20370</v>
      </c>
      <c r="C606" s="558" t="s">
        <v>122</v>
      </c>
      <c r="D606" s="558" t="s">
        <v>23155</v>
      </c>
      <c r="E606" s="558" t="s">
        <v>217</v>
      </c>
      <c r="F606" s="563">
        <v>1</v>
      </c>
      <c r="G606" s="558" t="s">
        <v>193</v>
      </c>
      <c r="H606" s="558" t="s">
        <v>194</v>
      </c>
      <c r="I606" s="558" t="s">
        <v>23164</v>
      </c>
      <c r="J606" s="558" t="s">
        <v>210</v>
      </c>
      <c r="K606" s="558" t="s">
        <v>9309</v>
      </c>
      <c r="L606" s="558" t="s">
        <v>6955</v>
      </c>
      <c r="M606" s="558"/>
      <c r="N606" s="558" t="s">
        <v>23829</v>
      </c>
      <c r="O606" s="558" t="s">
        <v>6269</v>
      </c>
      <c r="P606" s="558" t="s">
        <v>25298</v>
      </c>
      <c r="Q606" s="558" t="s">
        <v>23256</v>
      </c>
      <c r="R606" s="558" t="s">
        <v>23307</v>
      </c>
      <c r="S606" s="558" t="s">
        <v>25352</v>
      </c>
      <c r="T606" s="558" t="s">
        <v>25353</v>
      </c>
      <c r="U606" s="558"/>
      <c r="V606" s="558" t="s">
        <v>9334</v>
      </c>
      <c r="W606" s="558" t="s">
        <v>655</v>
      </c>
      <c r="X606" s="558" t="s">
        <v>194</v>
      </c>
      <c r="Y606" s="558" t="s">
        <v>9300</v>
      </c>
      <c r="Z606" s="558"/>
      <c r="AA606" s="558"/>
      <c r="AB606" s="558" t="s">
        <v>9311</v>
      </c>
      <c r="AC606" s="558"/>
      <c r="AD606" s="558"/>
      <c r="AE606" s="558"/>
      <c r="AF606" s="558"/>
      <c r="AG606" s="558"/>
      <c r="AH606" s="558" t="s">
        <v>4714</v>
      </c>
      <c r="AI606" s="558" t="s">
        <v>9433</v>
      </c>
      <c r="AJ606" s="601" t="str">
        <f t="shared" si="18"/>
        <v>332301</v>
      </c>
      <c r="AK606" s="601">
        <v>1</v>
      </c>
      <c r="AL606" s="601">
        <f t="shared" si="19"/>
        <v>1</v>
      </c>
      <c r="AM606" s="601">
        <v>1</v>
      </c>
      <c r="AN606" s="603" t="s">
        <v>17650</v>
      </c>
      <c r="AO606" s="603" t="s">
        <v>17651</v>
      </c>
      <c r="AP606" s="603" t="s">
        <v>17652</v>
      </c>
      <c r="AQ606" s="603" t="s">
        <v>17653</v>
      </c>
      <c r="AR606" s="603" t="s">
        <v>1024</v>
      </c>
      <c r="AS606" s="558">
        <v>1</v>
      </c>
    </row>
    <row r="607" spans="1:45" x14ac:dyDescent="0.2">
      <c r="A607" s="558" t="s">
        <v>581</v>
      </c>
      <c r="B607" s="558" t="s">
        <v>25354</v>
      </c>
      <c r="C607" s="558" t="s">
        <v>85</v>
      </c>
      <c r="D607" s="558" t="s">
        <v>23155</v>
      </c>
      <c r="E607" s="558" t="s">
        <v>217</v>
      </c>
      <c r="F607" s="563">
        <v>1</v>
      </c>
      <c r="G607" s="558" t="s">
        <v>193</v>
      </c>
      <c r="H607" s="558" t="s">
        <v>194</v>
      </c>
      <c r="I607" s="558" t="s">
        <v>23164</v>
      </c>
      <c r="J607" s="558" t="s">
        <v>1829</v>
      </c>
      <c r="K607" s="558" t="s">
        <v>9309</v>
      </c>
      <c r="L607" s="558" t="s">
        <v>6955</v>
      </c>
      <c r="M607" s="558"/>
      <c r="N607" s="558" t="s">
        <v>25355</v>
      </c>
      <c r="O607" s="558" t="s">
        <v>6251</v>
      </c>
      <c r="P607" s="558" t="s">
        <v>25298</v>
      </c>
      <c r="Q607" s="558" t="s">
        <v>23266</v>
      </c>
      <c r="R607" s="558" t="s">
        <v>24619</v>
      </c>
      <c r="S607" s="558" t="s">
        <v>25356</v>
      </c>
      <c r="T607" s="558" t="s">
        <v>25357</v>
      </c>
      <c r="U607" s="558"/>
      <c r="V607" s="558" t="s">
        <v>9726</v>
      </c>
      <c r="W607" s="558" t="s">
        <v>477</v>
      </c>
      <c r="X607" s="558" t="s">
        <v>194</v>
      </c>
      <c r="Y607" s="558" t="s">
        <v>9300</v>
      </c>
      <c r="Z607" s="558"/>
      <c r="AA607" s="558"/>
      <c r="AB607" s="558" t="s">
        <v>9311</v>
      </c>
      <c r="AC607" s="558"/>
      <c r="AD607" s="558"/>
      <c r="AE607" s="558"/>
      <c r="AF607" s="558"/>
      <c r="AG607" s="558"/>
      <c r="AH607" s="558" t="s">
        <v>4714</v>
      </c>
      <c r="AI607" s="558" t="s">
        <v>9433</v>
      </c>
      <c r="AJ607" s="601" t="str">
        <f t="shared" si="18"/>
        <v>243305</v>
      </c>
      <c r="AK607" s="601">
        <v>1</v>
      </c>
      <c r="AL607" s="601">
        <f t="shared" si="19"/>
        <v>1</v>
      </c>
      <c r="AM607" s="601">
        <v>1</v>
      </c>
      <c r="AN607" s="603" t="s">
        <v>17650</v>
      </c>
      <c r="AO607" s="603" t="s">
        <v>17651</v>
      </c>
      <c r="AP607" s="603" t="s">
        <v>17652</v>
      </c>
      <c r="AQ607" s="603" t="s">
        <v>17653</v>
      </c>
      <c r="AR607" s="603" t="s">
        <v>1024</v>
      </c>
      <c r="AS607" s="558">
        <v>1</v>
      </c>
    </row>
    <row r="608" spans="1:45" x14ac:dyDescent="0.2">
      <c r="A608" s="558" t="s">
        <v>23858</v>
      </c>
      <c r="B608" s="558" t="s">
        <v>25358</v>
      </c>
      <c r="C608" s="558" t="s">
        <v>110</v>
      </c>
      <c r="D608" s="558" t="s">
        <v>23155</v>
      </c>
      <c r="E608" s="558" t="s">
        <v>217</v>
      </c>
      <c r="F608" s="563">
        <v>1</v>
      </c>
      <c r="G608" s="558" t="s">
        <v>193</v>
      </c>
      <c r="H608" s="558" t="s">
        <v>194</v>
      </c>
      <c r="I608" s="558" t="s">
        <v>23158</v>
      </c>
      <c r="J608" s="558" t="s">
        <v>25359</v>
      </c>
      <c r="K608" s="558" t="s">
        <v>9309</v>
      </c>
      <c r="L608" s="558" t="s">
        <v>6955</v>
      </c>
      <c r="M608" s="558"/>
      <c r="N608" s="558" t="s">
        <v>25360</v>
      </c>
      <c r="O608" s="558" t="s">
        <v>6275</v>
      </c>
      <c r="P608" s="558" t="s">
        <v>25298</v>
      </c>
      <c r="Q608" s="558" t="s">
        <v>23278</v>
      </c>
      <c r="R608" s="558" t="s">
        <v>23186</v>
      </c>
      <c r="S608" s="558" t="s">
        <v>25361</v>
      </c>
      <c r="T608" s="558" t="s">
        <v>25362</v>
      </c>
      <c r="U608" s="558"/>
      <c r="V608" s="558" t="s">
        <v>9786</v>
      </c>
      <c r="W608" s="558" t="s">
        <v>621</v>
      </c>
      <c r="X608" s="558" t="s">
        <v>194</v>
      </c>
      <c r="Y608" s="558" t="s">
        <v>9300</v>
      </c>
      <c r="Z608" s="558"/>
      <c r="AA608" s="558"/>
      <c r="AB608" s="558" t="s">
        <v>9311</v>
      </c>
      <c r="AC608" s="558"/>
      <c r="AD608" s="558"/>
      <c r="AE608" s="558"/>
      <c r="AF608" s="558"/>
      <c r="AG608" s="558"/>
      <c r="AH608" s="558" t="s">
        <v>4714</v>
      </c>
      <c r="AI608" s="558" t="s">
        <v>9433</v>
      </c>
      <c r="AJ608" s="601" t="str">
        <f t="shared" si="18"/>
        <v>332201</v>
      </c>
      <c r="AK608" s="601">
        <v>1</v>
      </c>
      <c r="AL608" s="601">
        <f t="shared" si="19"/>
        <v>1</v>
      </c>
      <c r="AM608" s="601">
        <v>1</v>
      </c>
      <c r="AN608" s="603" t="s">
        <v>17650</v>
      </c>
      <c r="AO608" s="603" t="s">
        <v>17651</v>
      </c>
      <c r="AP608" s="603" t="s">
        <v>17652</v>
      </c>
      <c r="AQ608" s="603" t="s">
        <v>17653</v>
      </c>
      <c r="AR608" s="603" t="s">
        <v>1024</v>
      </c>
      <c r="AS608" s="558">
        <v>1</v>
      </c>
    </row>
    <row r="609" spans="1:45" x14ac:dyDescent="0.2">
      <c r="A609" s="558" t="s">
        <v>9886</v>
      </c>
      <c r="B609" s="558" t="s">
        <v>25331</v>
      </c>
      <c r="C609" s="558" t="s">
        <v>67</v>
      </c>
      <c r="D609" s="558" t="s">
        <v>23155</v>
      </c>
      <c r="E609" s="558" t="s">
        <v>217</v>
      </c>
      <c r="F609" s="563">
        <v>1</v>
      </c>
      <c r="G609" s="558" t="s">
        <v>194</v>
      </c>
      <c r="H609" s="558" t="s">
        <v>193</v>
      </c>
      <c r="I609" s="558" t="s">
        <v>23164</v>
      </c>
      <c r="J609" s="558" t="s">
        <v>253</v>
      </c>
      <c r="K609" s="558" t="s">
        <v>9309</v>
      </c>
      <c r="L609" s="558" t="s">
        <v>6955</v>
      </c>
      <c r="M609" s="558"/>
      <c r="N609" s="558" t="s">
        <v>25363</v>
      </c>
      <c r="O609" s="558" t="s">
        <v>6269</v>
      </c>
      <c r="P609" s="558" t="s">
        <v>25298</v>
      </c>
      <c r="Q609" s="558" t="s">
        <v>23213</v>
      </c>
      <c r="R609" s="558" t="s">
        <v>25333</v>
      </c>
      <c r="S609" s="558" t="s">
        <v>25364</v>
      </c>
      <c r="T609" s="558" t="s">
        <v>25365</v>
      </c>
      <c r="U609" s="558"/>
      <c r="V609" s="558" t="s">
        <v>9468</v>
      </c>
      <c r="W609" s="558" t="s">
        <v>709</v>
      </c>
      <c r="X609" s="558" t="s">
        <v>194</v>
      </c>
      <c r="Y609" s="558" t="s">
        <v>9300</v>
      </c>
      <c r="Z609" s="558"/>
      <c r="AA609" s="558"/>
      <c r="AB609" s="558" t="s">
        <v>9311</v>
      </c>
      <c r="AC609" s="558"/>
      <c r="AD609" s="558"/>
      <c r="AE609" s="558"/>
      <c r="AF609" s="558"/>
      <c r="AG609" s="558"/>
      <c r="AH609" s="558" t="s">
        <v>4714</v>
      </c>
      <c r="AI609" s="558" t="s">
        <v>9433</v>
      </c>
      <c r="AJ609" s="601" t="str">
        <f t="shared" si="18"/>
        <v>432103</v>
      </c>
      <c r="AK609" s="601">
        <v>1</v>
      </c>
      <c r="AL609" s="601">
        <f t="shared" si="19"/>
        <v>1</v>
      </c>
      <c r="AM609" s="601">
        <v>1</v>
      </c>
      <c r="AN609" s="603" t="s">
        <v>17650</v>
      </c>
      <c r="AO609" s="603" t="s">
        <v>17651</v>
      </c>
      <c r="AP609" s="603" t="s">
        <v>17652</v>
      </c>
      <c r="AQ609" s="603" t="s">
        <v>17653</v>
      </c>
      <c r="AR609" s="603" t="s">
        <v>1024</v>
      </c>
      <c r="AS609" s="558">
        <v>1</v>
      </c>
    </row>
    <row r="610" spans="1:45" x14ac:dyDescent="0.2">
      <c r="A610" s="558" t="s">
        <v>23858</v>
      </c>
      <c r="B610" s="558" t="s">
        <v>25366</v>
      </c>
      <c r="C610" s="558" t="s">
        <v>740</v>
      </c>
      <c r="D610" s="558" t="s">
        <v>23155</v>
      </c>
      <c r="E610" s="558" t="s">
        <v>217</v>
      </c>
      <c r="F610" s="563">
        <v>1</v>
      </c>
      <c r="G610" s="558" t="s">
        <v>193</v>
      </c>
      <c r="H610" s="558" t="s">
        <v>194</v>
      </c>
      <c r="I610" s="558" t="s">
        <v>23164</v>
      </c>
      <c r="J610" s="558" t="s">
        <v>4751</v>
      </c>
      <c r="K610" s="558" t="s">
        <v>9309</v>
      </c>
      <c r="L610" s="558" t="s">
        <v>6955</v>
      </c>
      <c r="M610" s="558"/>
      <c r="N610" s="558" t="s">
        <v>25367</v>
      </c>
      <c r="O610" s="558" t="s">
        <v>6251</v>
      </c>
      <c r="P610" s="558" t="s">
        <v>25298</v>
      </c>
      <c r="Q610" s="558" t="s">
        <v>23266</v>
      </c>
      <c r="R610" s="558" t="s">
        <v>25337</v>
      </c>
      <c r="S610" s="558" t="s">
        <v>25368</v>
      </c>
      <c r="T610" s="558" t="s">
        <v>25369</v>
      </c>
      <c r="U610" s="558"/>
      <c r="V610" s="558" t="s">
        <v>9472</v>
      </c>
      <c r="W610" s="558" t="s">
        <v>741</v>
      </c>
      <c r="X610" s="558" t="s">
        <v>194</v>
      </c>
      <c r="Y610" s="558" t="s">
        <v>9300</v>
      </c>
      <c r="Z610" s="558"/>
      <c r="AA610" s="558"/>
      <c r="AB610" s="558" t="s">
        <v>9311</v>
      </c>
      <c r="AC610" s="558"/>
      <c r="AD610" s="558"/>
      <c r="AE610" s="558"/>
      <c r="AF610" s="558"/>
      <c r="AG610" s="558"/>
      <c r="AH610" s="558" t="s">
        <v>4714</v>
      </c>
      <c r="AI610" s="558" t="s">
        <v>9433</v>
      </c>
      <c r="AJ610" s="601" t="str">
        <f t="shared" si="18"/>
        <v>522301</v>
      </c>
      <c r="AK610" s="601">
        <v>1</v>
      </c>
      <c r="AL610" s="601">
        <f t="shared" si="19"/>
        <v>1</v>
      </c>
      <c r="AM610" s="601">
        <v>1</v>
      </c>
      <c r="AN610" s="603" t="s">
        <v>17650</v>
      </c>
      <c r="AO610" s="603" t="s">
        <v>17651</v>
      </c>
      <c r="AP610" s="603" t="s">
        <v>17652</v>
      </c>
      <c r="AQ610" s="603" t="s">
        <v>17653</v>
      </c>
      <c r="AR610" s="603" t="s">
        <v>1024</v>
      </c>
      <c r="AS610" s="558">
        <v>1</v>
      </c>
    </row>
    <row r="611" spans="1:45" x14ac:dyDescent="0.2">
      <c r="A611" s="558" t="s">
        <v>4022</v>
      </c>
      <c r="B611" s="558" t="s">
        <v>8022</v>
      </c>
      <c r="C611" s="558" t="s">
        <v>7617</v>
      </c>
      <c r="D611" s="558" t="s">
        <v>23155</v>
      </c>
      <c r="E611" s="558" t="s">
        <v>217</v>
      </c>
      <c r="F611" s="563">
        <v>1</v>
      </c>
      <c r="G611" s="558" t="s">
        <v>193</v>
      </c>
      <c r="H611" s="558" t="s">
        <v>194</v>
      </c>
      <c r="I611" s="558" t="s">
        <v>23307</v>
      </c>
      <c r="J611" s="558" t="s">
        <v>210</v>
      </c>
      <c r="K611" s="558" t="s">
        <v>9309</v>
      </c>
      <c r="L611" s="558" t="s">
        <v>6955</v>
      </c>
      <c r="M611" s="558"/>
      <c r="N611" s="558" t="s">
        <v>20793</v>
      </c>
      <c r="O611" s="558" t="s">
        <v>6290</v>
      </c>
      <c r="P611" s="558" t="s">
        <v>25298</v>
      </c>
      <c r="Q611" s="558" t="s">
        <v>23286</v>
      </c>
      <c r="R611" s="558" t="s">
        <v>23198</v>
      </c>
      <c r="S611" s="558" t="s">
        <v>25370</v>
      </c>
      <c r="T611" s="558" t="s">
        <v>25371</v>
      </c>
      <c r="U611" s="558"/>
      <c r="V611" s="558" t="s">
        <v>9334</v>
      </c>
      <c r="W611" s="558" t="s">
        <v>7620</v>
      </c>
      <c r="X611" s="558" t="s">
        <v>194</v>
      </c>
      <c r="Y611" s="558" t="s">
        <v>9300</v>
      </c>
      <c r="Z611" s="558"/>
      <c r="AA611" s="558"/>
      <c r="AB611" s="558" t="s">
        <v>9311</v>
      </c>
      <c r="AC611" s="558"/>
      <c r="AD611" s="558"/>
      <c r="AE611" s="558"/>
      <c r="AF611" s="558"/>
      <c r="AG611" s="558"/>
      <c r="AH611" s="558" t="s">
        <v>4714</v>
      </c>
      <c r="AI611" s="558" t="s">
        <v>9433</v>
      </c>
      <c r="AJ611" s="601" t="str">
        <f t="shared" si="18"/>
        <v>516903</v>
      </c>
      <c r="AK611" s="601">
        <v>1</v>
      </c>
      <c r="AL611" s="601">
        <f t="shared" si="19"/>
        <v>1</v>
      </c>
      <c r="AM611" s="601">
        <v>1</v>
      </c>
      <c r="AN611" s="603" t="s">
        <v>17650</v>
      </c>
      <c r="AO611" s="603" t="s">
        <v>17651</v>
      </c>
      <c r="AP611" s="603" t="s">
        <v>17652</v>
      </c>
      <c r="AQ611" s="603" t="s">
        <v>17653</v>
      </c>
      <c r="AR611" s="603" t="s">
        <v>1024</v>
      </c>
      <c r="AS611" s="558">
        <v>1</v>
      </c>
    </row>
    <row r="612" spans="1:45" x14ac:dyDescent="0.2">
      <c r="A612" s="558" t="s">
        <v>258</v>
      </c>
      <c r="B612" s="558" t="s">
        <v>537</v>
      </c>
      <c r="C612" s="558" t="s">
        <v>778</v>
      </c>
      <c r="D612" s="558" t="s">
        <v>23155</v>
      </c>
      <c r="E612" s="558" t="s">
        <v>217</v>
      </c>
      <c r="F612" s="563">
        <v>1</v>
      </c>
      <c r="G612" s="558" t="s">
        <v>193</v>
      </c>
      <c r="H612" s="558" t="s">
        <v>194</v>
      </c>
      <c r="I612" s="558" t="s">
        <v>23151</v>
      </c>
      <c r="J612" s="558" t="s">
        <v>323</v>
      </c>
      <c r="K612" s="558" t="s">
        <v>9309</v>
      </c>
      <c r="L612" s="558" t="s">
        <v>6955</v>
      </c>
      <c r="M612" s="558"/>
      <c r="N612" s="558" t="s">
        <v>23834</v>
      </c>
      <c r="O612" s="558" t="s">
        <v>6251</v>
      </c>
      <c r="P612" s="558" t="s">
        <v>25258</v>
      </c>
      <c r="Q612" s="558" t="s">
        <v>23213</v>
      </c>
      <c r="R612" s="558" t="s">
        <v>23835</v>
      </c>
      <c r="S612" s="558" t="s">
        <v>25372</v>
      </c>
      <c r="T612" s="558" t="s">
        <v>25373</v>
      </c>
      <c r="U612" s="558"/>
      <c r="V612" s="558" t="s">
        <v>9514</v>
      </c>
      <c r="W612" s="558" t="s">
        <v>779</v>
      </c>
      <c r="X612" s="558" t="s">
        <v>194</v>
      </c>
      <c r="Y612" s="558" t="s">
        <v>9300</v>
      </c>
      <c r="Z612" s="558"/>
      <c r="AA612" s="558"/>
      <c r="AB612" s="558" t="s">
        <v>9311</v>
      </c>
      <c r="AC612" s="558"/>
      <c r="AD612" s="558"/>
      <c r="AE612" s="558"/>
      <c r="AF612" s="558"/>
      <c r="AG612" s="558"/>
      <c r="AH612" s="558" t="s">
        <v>4714</v>
      </c>
      <c r="AI612" s="558" t="s">
        <v>778</v>
      </c>
      <c r="AJ612" s="601" t="str">
        <f t="shared" si="18"/>
        <v>524902</v>
      </c>
      <c r="AK612" s="601">
        <v>1</v>
      </c>
      <c r="AL612" s="601">
        <f t="shared" si="19"/>
        <v>1</v>
      </c>
      <c r="AM612" s="601">
        <v>1</v>
      </c>
      <c r="AN612" s="603" t="s">
        <v>17650</v>
      </c>
      <c r="AO612" s="603" t="s">
        <v>17651</v>
      </c>
      <c r="AP612" s="603" t="s">
        <v>17652</v>
      </c>
      <c r="AQ612" s="603" t="s">
        <v>17653</v>
      </c>
      <c r="AR612" s="603" t="s">
        <v>1024</v>
      </c>
      <c r="AS612" s="558">
        <v>1</v>
      </c>
    </row>
    <row r="613" spans="1:45" x14ac:dyDescent="0.2">
      <c r="A613" s="558" t="s">
        <v>9886</v>
      </c>
      <c r="B613" s="558" t="s">
        <v>25331</v>
      </c>
      <c r="C613" s="558" t="s">
        <v>67</v>
      </c>
      <c r="D613" s="558" t="s">
        <v>23155</v>
      </c>
      <c r="E613" s="558" t="s">
        <v>217</v>
      </c>
      <c r="F613" s="563">
        <v>1</v>
      </c>
      <c r="G613" s="558" t="s">
        <v>194</v>
      </c>
      <c r="H613" s="558" t="s">
        <v>193</v>
      </c>
      <c r="I613" s="558" t="s">
        <v>23164</v>
      </c>
      <c r="J613" s="558" t="s">
        <v>4751</v>
      </c>
      <c r="K613" s="558" t="s">
        <v>9309</v>
      </c>
      <c r="L613" s="558" t="s">
        <v>6955</v>
      </c>
      <c r="M613" s="558"/>
      <c r="N613" s="558" t="s">
        <v>25374</v>
      </c>
      <c r="O613" s="558" t="s">
        <v>6269</v>
      </c>
      <c r="P613" s="558" t="s">
        <v>25298</v>
      </c>
      <c r="Q613" s="558" t="s">
        <v>23213</v>
      </c>
      <c r="R613" s="558" t="s">
        <v>25333</v>
      </c>
      <c r="S613" s="558" t="s">
        <v>25375</v>
      </c>
      <c r="T613" s="558" t="s">
        <v>25376</v>
      </c>
      <c r="U613" s="558"/>
      <c r="V613" s="558" t="s">
        <v>9472</v>
      </c>
      <c r="W613" s="558" t="s">
        <v>709</v>
      </c>
      <c r="X613" s="558" t="s">
        <v>194</v>
      </c>
      <c r="Y613" s="558" t="s">
        <v>9300</v>
      </c>
      <c r="Z613" s="558"/>
      <c r="AA613" s="558"/>
      <c r="AB613" s="558" t="s">
        <v>9311</v>
      </c>
      <c r="AC613" s="558"/>
      <c r="AD613" s="558"/>
      <c r="AE613" s="558"/>
      <c r="AF613" s="558"/>
      <c r="AG613" s="558"/>
      <c r="AH613" s="558" t="s">
        <v>4714</v>
      </c>
      <c r="AI613" s="558" t="s">
        <v>9433</v>
      </c>
      <c r="AJ613" s="601" t="str">
        <f t="shared" si="18"/>
        <v>432103</v>
      </c>
      <c r="AK613" s="601">
        <v>1</v>
      </c>
      <c r="AL613" s="601">
        <f t="shared" si="19"/>
        <v>1</v>
      </c>
      <c r="AM613" s="601">
        <v>1</v>
      </c>
      <c r="AN613" s="603" t="s">
        <v>17650</v>
      </c>
      <c r="AO613" s="603" t="s">
        <v>17651</v>
      </c>
      <c r="AP613" s="603" t="s">
        <v>17652</v>
      </c>
      <c r="AQ613" s="603" t="s">
        <v>17653</v>
      </c>
      <c r="AR613" s="603" t="s">
        <v>1024</v>
      </c>
      <c r="AS613" s="558">
        <v>1</v>
      </c>
    </row>
    <row r="614" spans="1:45" x14ac:dyDescent="0.2">
      <c r="A614" s="558" t="s">
        <v>581</v>
      </c>
      <c r="B614" s="558" t="s">
        <v>25377</v>
      </c>
      <c r="C614" s="558" t="s">
        <v>95</v>
      </c>
      <c r="D614" s="558" t="s">
        <v>23155</v>
      </c>
      <c r="E614" s="558" t="s">
        <v>217</v>
      </c>
      <c r="F614" s="563">
        <v>1</v>
      </c>
      <c r="G614" s="558" t="s">
        <v>193</v>
      </c>
      <c r="H614" s="558" t="s">
        <v>194</v>
      </c>
      <c r="I614" s="558" t="s">
        <v>24551</v>
      </c>
      <c r="J614" s="558" t="s">
        <v>1829</v>
      </c>
      <c r="K614" s="558" t="s">
        <v>9309</v>
      </c>
      <c r="L614" s="558" t="s">
        <v>6955</v>
      </c>
      <c r="M614" s="558"/>
      <c r="N614" s="558" t="s">
        <v>25378</v>
      </c>
      <c r="O614" s="558" t="s">
        <v>6251</v>
      </c>
      <c r="P614" s="558" t="s">
        <v>25298</v>
      </c>
      <c r="Q614" s="558" t="s">
        <v>23266</v>
      </c>
      <c r="R614" s="558" t="s">
        <v>24619</v>
      </c>
      <c r="S614" s="558" t="s">
        <v>25379</v>
      </c>
      <c r="T614" s="558" t="s">
        <v>25380</v>
      </c>
      <c r="U614" s="558"/>
      <c r="V614" s="558" t="s">
        <v>9726</v>
      </c>
      <c r="W614" s="558" t="s">
        <v>1015</v>
      </c>
      <c r="X614" s="558" t="s">
        <v>194</v>
      </c>
      <c r="Y614" s="558" t="s">
        <v>9300</v>
      </c>
      <c r="Z614" s="558"/>
      <c r="AA614" s="558"/>
      <c r="AB614" s="558" t="s">
        <v>9311</v>
      </c>
      <c r="AC614" s="558"/>
      <c r="AD614" s="558"/>
      <c r="AE614" s="558"/>
      <c r="AF614" s="558"/>
      <c r="AG614" s="558"/>
      <c r="AH614" s="558" t="s">
        <v>4714</v>
      </c>
      <c r="AI614" s="558" t="s">
        <v>9433</v>
      </c>
      <c r="AJ614" s="601" t="str">
        <f t="shared" si="18"/>
        <v>122102</v>
      </c>
      <c r="AK614" s="601">
        <v>1</v>
      </c>
      <c r="AL614" s="601">
        <f t="shared" si="19"/>
        <v>1</v>
      </c>
      <c r="AM614" s="601">
        <v>1</v>
      </c>
      <c r="AN614" s="603" t="s">
        <v>17650</v>
      </c>
      <c r="AO614" s="603" t="s">
        <v>17651</v>
      </c>
      <c r="AP614" s="603" t="s">
        <v>17652</v>
      </c>
      <c r="AQ614" s="603" t="s">
        <v>17653</v>
      </c>
      <c r="AR614" s="603" t="s">
        <v>1024</v>
      </c>
      <c r="AS614" s="558">
        <v>1</v>
      </c>
    </row>
    <row r="615" spans="1:45" x14ac:dyDescent="0.2">
      <c r="A615" s="558" t="s">
        <v>581</v>
      </c>
      <c r="B615" s="558" t="s">
        <v>25381</v>
      </c>
      <c r="C615" s="558" t="s">
        <v>85</v>
      </c>
      <c r="D615" s="558" t="s">
        <v>23155</v>
      </c>
      <c r="E615" s="558" t="s">
        <v>217</v>
      </c>
      <c r="F615" s="563">
        <v>1</v>
      </c>
      <c r="G615" s="558" t="s">
        <v>193</v>
      </c>
      <c r="H615" s="558" t="s">
        <v>194</v>
      </c>
      <c r="I615" s="558" t="s">
        <v>23164</v>
      </c>
      <c r="J615" s="558" t="s">
        <v>1829</v>
      </c>
      <c r="K615" s="558" t="s">
        <v>9309</v>
      </c>
      <c r="L615" s="558" t="s">
        <v>6955</v>
      </c>
      <c r="M615" s="558"/>
      <c r="N615" s="558" t="s">
        <v>25382</v>
      </c>
      <c r="O615" s="558" t="s">
        <v>6251</v>
      </c>
      <c r="P615" s="558" t="s">
        <v>25298</v>
      </c>
      <c r="Q615" s="558" t="s">
        <v>23266</v>
      </c>
      <c r="R615" s="558" t="s">
        <v>24619</v>
      </c>
      <c r="S615" s="558" t="s">
        <v>25383</v>
      </c>
      <c r="T615" s="558" t="s">
        <v>25384</v>
      </c>
      <c r="U615" s="558"/>
      <c r="V615" s="558" t="s">
        <v>9726</v>
      </c>
      <c r="W615" s="558" t="s">
        <v>477</v>
      </c>
      <c r="X615" s="558" t="s">
        <v>194</v>
      </c>
      <c r="Y615" s="558" t="s">
        <v>9300</v>
      </c>
      <c r="Z615" s="558"/>
      <c r="AA615" s="558"/>
      <c r="AB615" s="558" t="s">
        <v>9311</v>
      </c>
      <c r="AC615" s="558"/>
      <c r="AD615" s="558"/>
      <c r="AE615" s="558"/>
      <c r="AF615" s="558"/>
      <c r="AG615" s="558"/>
      <c r="AH615" s="558" t="s">
        <v>4714</v>
      </c>
      <c r="AI615" s="558" t="s">
        <v>9433</v>
      </c>
      <c r="AJ615" s="601" t="str">
        <f t="shared" si="18"/>
        <v>243305</v>
      </c>
      <c r="AK615" s="601">
        <v>1</v>
      </c>
      <c r="AL615" s="601">
        <f t="shared" si="19"/>
        <v>1</v>
      </c>
      <c r="AM615" s="601">
        <v>1</v>
      </c>
      <c r="AN615" s="603" t="s">
        <v>17650</v>
      </c>
      <c r="AO615" s="603" t="s">
        <v>17651</v>
      </c>
      <c r="AP615" s="603" t="s">
        <v>17652</v>
      </c>
      <c r="AQ615" s="603" t="s">
        <v>17653</v>
      </c>
      <c r="AR615" s="603" t="s">
        <v>1024</v>
      </c>
      <c r="AS615" s="558">
        <v>1</v>
      </c>
    </row>
    <row r="616" spans="1:45" x14ac:dyDescent="0.2">
      <c r="A616" s="558" t="s">
        <v>23846</v>
      </c>
      <c r="B616" s="558" t="s">
        <v>23847</v>
      </c>
      <c r="C616" s="558" t="s">
        <v>23848</v>
      </c>
      <c r="D616" s="558" t="s">
        <v>23155</v>
      </c>
      <c r="E616" s="558" t="s">
        <v>217</v>
      </c>
      <c r="F616" s="563">
        <v>1</v>
      </c>
      <c r="G616" s="558" t="s">
        <v>193</v>
      </c>
      <c r="H616" s="558" t="s">
        <v>194</v>
      </c>
      <c r="I616" s="558" t="s">
        <v>23151</v>
      </c>
      <c r="J616" s="558" t="s">
        <v>210</v>
      </c>
      <c r="K616" s="558" t="s">
        <v>9309</v>
      </c>
      <c r="L616" s="558" t="s">
        <v>6955</v>
      </c>
      <c r="M616" s="558"/>
      <c r="N616" s="558" t="s">
        <v>23849</v>
      </c>
      <c r="O616" s="558" t="s">
        <v>6254</v>
      </c>
      <c r="P616" s="558" t="s">
        <v>25298</v>
      </c>
      <c r="Q616" s="558" t="s">
        <v>23139</v>
      </c>
      <c r="R616" s="558" t="s">
        <v>23850</v>
      </c>
      <c r="S616" s="558" t="s">
        <v>25385</v>
      </c>
      <c r="T616" s="558" t="s">
        <v>25386</v>
      </c>
      <c r="U616" s="558"/>
      <c r="V616" s="558" t="s">
        <v>9334</v>
      </c>
      <c r="W616" s="558" t="s">
        <v>23853</v>
      </c>
      <c r="X616" s="558" t="s">
        <v>194</v>
      </c>
      <c r="Y616" s="558" t="s">
        <v>9300</v>
      </c>
      <c r="Z616" s="558"/>
      <c r="AA616" s="558"/>
      <c r="AB616" s="558" t="s">
        <v>9311</v>
      </c>
      <c r="AC616" s="558"/>
      <c r="AD616" s="558"/>
      <c r="AE616" s="558"/>
      <c r="AF616" s="558"/>
      <c r="AG616" s="558"/>
      <c r="AH616" s="558" t="s">
        <v>4714</v>
      </c>
      <c r="AI616" s="558" t="s">
        <v>9433</v>
      </c>
      <c r="AJ616" s="601" t="str">
        <f t="shared" si="18"/>
        <v>421301</v>
      </c>
      <c r="AK616" s="601">
        <v>1</v>
      </c>
      <c r="AL616" s="601">
        <f t="shared" si="19"/>
        <v>1</v>
      </c>
      <c r="AM616" s="601">
        <v>1</v>
      </c>
      <c r="AN616" s="603" t="s">
        <v>17650</v>
      </c>
      <c r="AO616" s="603" t="s">
        <v>17651</v>
      </c>
      <c r="AP616" s="603" t="s">
        <v>17652</v>
      </c>
      <c r="AQ616" s="603" t="s">
        <v>17653</v>
      </c>
      <c r="AR616" s="603" t="s">
        <v>1024</v>
      </c>
      <c r="AS616" s="558">
        <v>1</v>
      </c>
    </row>
    <row r="617" spans="1:45" x14ac:dyDescent="0.2">
      <c r="A617" s="558" t="s">
        <v>23858</v>
      </c>
      <c r="B617" s="558" t="s">
        <v>23859</v>
      </c>
      <c r="C617" s="558" t="s">
        <v>110</v>
      </c>
      <c r="D617" s="558" t="s">
        <v>23155</v>
      </c>
      <c r="E617" s="558" t="s">
        <v>217</v>
      </c>
      <c r="F617" s="563">
        <v>1</v>
      </c>
      <c r="G617" s="558" t="s">
        <v>194</v>
      </c>
      <c r="H617" s="558" t="s">
        <v>193</v>
      </c>
      <c r="I617" s="558" t="s">
        <v>23158</v>
      </c>
      <c r="J617" s="558" t="s">
        <v>23860</v>
      </c>
      <c r="K617" s="558" t="s">
        <v>9309</v>
      </c>
      <c r="L617" s="558" t="s">
        <v>6955</v>
      </c>
      <c r="M617" s="558"/>
      <c r="N617" s="558" t="s">
        <v>23861</v>
      </c>
      <c r="O617" s="558" t="s">
        <v>6275</v>
      </c>
      <c r="P617" s="558" t="s">
        <v>25298</v>
      </c>
      <c r="Q617" s="558" t="s">
        <v>23355</v>
      </c>
      <c r="R617" s="558" t="s">
        <v>23307</v>
      </c>
      <c r="S617" s="558" t="s">
        <v>25387</v>
      </c>
      <c r="T617" s="558" t="s">
        <v>25388</v>
      </c>
      <c r="U617" s="558"/>
      <c r="V617" s="558" t="s">
        <v>9468</v>
      </c>
      <c r="W617" s="558" t="s">
        <v>621</v>
      </c>
      <c r="X617" s="558" t="s">
        <v>194</v>
      </c>
      <c r="Y617" s="558" t="s">
        <v>9300</v>
      </c>
      <c r="Z617" s="558"/>
      <c r="AA617" s="558"/>
      <c r="AB617" s="558" t="s">
        <v>9311</v>
      </c>
      <c r="AC617" s="558"/>
      <c r="AD617" s="558"/>
      <c r="AE617" s="558"/>
      <c r="AF617" s="558"/>
      <c r="AG617" s="558"/>
      <c r="AH617" s="558" t="s">
        <v>4714</v>
      </c>
      <c r="AI617" s="558" t="s">
        <v>9433</v>
      </c>
      <c r="AJ617" s="601" t="str">
        <f t="shared" si="18"/>
        <v>332201</v>
      </c>
      <c r="AK617" s="601">
        <v>1</v>
      </c>
      <c r="AL617" s="601">
        <f t="shared" si="19"/>
        <v>1</v>
      </c>
      <c r="AM617" s="601">
        <v>1</v>
      </c>
      <c r="AN617" s="603" t="s">
        <v>17650</v>
      </c>
      <c r="AO617" s="603" t="s">
        <v>17651</v>
      </c>
      <c r="AP617" s="603" t="s">
        <v>17652</v>
      </c>
      <c r="AQ617" s="603" t="s">
        <v>17653</v>
      </c>
      <c r="AR617" s="603" t="s">
        <v>1024</v>
      </c>
      <c r="AS617" s="558">
        <v>1</v>
      </c>
    </row>
    <row r="618" spans="1:45" x14ac:dyDescent="0.2">
      <c r="A618" s="558" t="s">
        <v>25389</v>
      </c>
      <c r="B618" s="558" t="s">
        <v>5611</v>
      </c>
      <c r="C618" s="558" t="s">
        <v>20167</v>
      </c>
      <c r="D618" s="558" t="s">
        <v>23155</v>
      </c>
      <c r="E618" s="558" t="s">
        <v>217</v>
      </c>
      <c r="F618" s="563">
        <v>1</v>
      </c>
      <c r="G618" s="558" t="s">
        <v>193</v>
      </c>
      <c r="H618" s="558" t="s">
        <v>194</v>
      </c>
      <c r="I618" s="558" t="s">
        <v>24551</v>
      </c>
      <c r="J618" s="558" t="s">
        <v>253</v>
      </c>
      <c r="K618" s="558" t="s">
        <v>9309</v>
      </c>
      <c r="L618" s="558" t="s">
        <v>6955</v>
      </c>
      <c r="M618" s="558"/>
      <c r="N618" s="558" t="s">
        <v>25390</v>
      </c>
      <c r="O618" s="558" t="s">
        <v>6363</v>
      </c>
      <c r="P618" s="558" t="s">
        <v>25298</v>
      </c>
      <c r="Q618" s="558" t="s">
        <v>23213</v>
      </c>
      <c r="R618" s="558" t="s">
        <v>25333</v>
      </c>
      <c r="S618" s="558" t="s">
        <v>25391</v>
      </c>
      <c r="T618" s="558" t="s">
        <v>25392</v>
      </c>
      <c r="U618" s="558"/>
      <c r="V618" s="558" t="s">
        <v>9468</v>
      </c>
      <c r="W618" s="558" t="s">
        <v>20169</v>
      </c>
      <c r="X618" s="558" t="s">
        <v>194</v>
      </c>
      <c r="Y618" s="558" t="s">
        <v>9300</v>
      </c>
      <c r="Z618" s="558"/>
      <c r="AA618" s="558"/>
      <c r="AB618" s="558" t="s">
        <v>9311</v>
      </c>
      <c r="AC618" s="558"/>
      <c r="AD618" s="558"/>
      <c r="AE618" s="558"/>
      <c r="AF618" s="558"/>
      <c r="AG618" s="558"/>
      <c r="AH618" s="558" t="s">
        <v>4714</v>
      </c>
      <c r="AI618" s="558" t="s">
        <v>9433</v>
      </c>
      <c r="AJ618" s="601" t="str">
        <f t="shared" si="18"/>
        <v>821306</v>
      </c>
      <c r="AK618" s="601">
        <v>1</v>
      </c>
      <c r="AL618" s="601">
        <f t="shared" si="19"/>
        <v>1</v>
      </c>
      <c r="AM618" s="601">
        <v>1</v>
      </c>
      <c r="AN618" s="603" t="s">
        <v>17650</v>
      </c>
      <c r="AO618" s="603" t="s">
        <v>17651</v>
      </c>
      <c r="AP618" s="603" t="s">
        <v>17652</v>
      </c>
      <c r="AQ618" s="603" t="s">
        <v>17653</v>
      </c>
      <c r="AR618" s="603" t="s">
        <v>1024</v>
      </c>
      <c r="AS618" s="558">
        <v>1</v>
      </c>
    </row>
    <row r="619" spans="1:45" x14ac:dyDescent="0.2">
      <c r="A619" s="558" t="s">
        <v>23858</v>
      </c>
      <c r="B619" s="558" t="s">
        <v>25358</v>
      </c>
      <c r="C619" s="558" t="s">
        <v>110</v>
      </c>
      <c r="D619" s="558" t="s">
        <v>23155</v>
      </c>
      <c r="E619" s="558" t="s">
        <v>217</v>
      </c>
      <c r="F619" s="563">
        <v>1</v>
      </c>
      <c r="G619" s="558" t="s">
        <v>194</v>
      </c>
      <c r="H619" s="558" t="s">
        <v>193</v>
      </c>
      <c r="I619" s="558" t="s">
        <v>23158</v>
      </c>
      <c r="J619" s="558" t="s">
        <v>25359</v>
      </c>
      <c r="K619" s="558" t="s">
        <v>9309</v>
      </c>
      <c r="L619" s="558" t="s">
        <v>6955</v>
      </c>
      <c r="M619" s="558"/>
      <c r="N619" s="558" t="s">
        <v>25393</v>
      </c>
      <c r="O619" s="558" t="s">
        <v>6275</v>
      </c>
      <c r="P619" s="558" t="s">
        <v>25298</v>
      </c>
      <c r="Q619" s="558" t="s">
        <v>23355</v>
      </c>
      <c r="R619" s="558" t="s">
        <v>23307</v>
      </c>
      <c r="S619" s="558" t="s">
        <v>25394</v>
      </c>
      <c r="T619" s="558" t="s">
        <v>25395</v>
      </c>
      <c r="U619" s="558"/>
      <c r="V619" s="603"/>
      <c r="W619" s="558" t="s">
        <v>621</v>
      </c>
      <c r="X619" s="558" t="s">
        <v>194</v>
      </c>
      <c r="Y619" s="558" t="s">
        <v>9946</v>
      </c>
      <c r="Z619" s="558"/>
      <c r="AA619" s="558"/>
      <c r="AB619" s="558" t="s">
        <v>9311</v>
      </c>
      <c r="AC619" s="558"/>
      <c r="AD619" s="558"/>
      <c r="AE619" s="558"/>
      <c r="AF619" s="558"/>
      <c r="AG619" s="558"/>
      <c r="AH619" s="558" t="s">
        <v>4714</v>
      </c>
      <c r="AI619" s="558" t="s">
        <v>9433</v>
      </c>
      <c r="AJ619" s="601" t="str">
        <f t="shared" si="18"/>
        <v>332201</v>
      </c>
      <c r="AK619" s="601">
        <v>1</v>
      </c>
      <c r="AL619" s="601">
        <f t="shared" si="19"/>
        <v>1</v>
      </c>
      <c r="AM619" s="601">
        <v>1</v>
      </c>
      <c r="AN619" s="603" t="s">
        <v>17650</v>
      </c>
      <c r="AO619" s="603" t="s">
        <v>17651</v>
      </c>
      <c r="AP619" s="603" t="s">
        <v>17652</v>
      </c>
      <c r="AQ619" s="603" t="s">
        <v>17653</v>
      </c>
      <c r="AR619" s="603" t="s">
        <v>1024</v>
      </c>
      <c r="AS619" s="558">
        <v>1</v>
      </c>
    </row>
    <row r="620" spans="1:45" x14ac:dyDescent="0.2">
      <c r="A620" s="558" t="s">
        <v>15464</v>
      </c>
      <c r="B620" s="558" t="s">
        <v>16319</v>
      </c>
      <c r="C620" s="558" t="s">
        <v>80</v>
      </c>
      <c r="D620" s="558" t="s">
        <v>23155</v>
      </c>
      <c r="E620" s="558" t="s">
        <v>217</v>
      </c>
      <c r="F620" s="563">
        <v>1</v>
      </c>
      <c r="G620" s="558" t="s">
        <v>193</v>
      </c>
      <c r="H620" s="558" t="s">
        <v>194</v>
      </c>
      <c r="I620" s="558" t="s">
        <v>23307</v>
      </c>
      <c r="J620" s="558" t="s">
        <v>210</v>
      </c>
      <c r="K620" s="558" t="s">
        <v>9309</v>
      </c>
      <c r="L620" s="558" t="s">
        <v>6955</v>
      </c>
      <c r="M620" s="558"/>
      <c r="N620" s="558" t="s">
        <v>22191</v>
      </c>
      <c r="O620" s="558" t="s">
        <v>6269</v>
      </c>
      <c r="P620" s="558" t="s">
        <v>25298</v>
      </c>
      <c r="Q620" s="558" t="s">
        <v>23286</v>
      </c>
      <c r="R620" s="558" t="s">
        <v>23198</v>
      </c>
      <c r="S620" s="558" t="s">
        <v>25396</v>
      </c>
      <c r="T620" s="558" t="s">
        <v>25397</v>
      </c>
      <c r="U620" s="558"/>
      <c r="V620" s="558" t="s">
        <v>9334</v>
      </c>
      <c r="W620" s="558" t="s">
        <v>474</v>
      </c>
      <c r="X620" s="558" t="s">
        <v>194</v>
      </c>
      <c r="Y620" s="558" t="s">
        <v>9300</v>
      </c>
      <c r="Z620" s="558"/>
      <c r="AA620" s="558"/>
      <c r="AB620" s="558" t="s">
        <v>9311</v>
      </c>
      <c r="AC620" s="558"/>
      <c r="AD620" s="558"/>
      <c r="AE620" s="558"/>
      <c r="AF620" s="558"/>
      <c r="AG620" s="558"/>
      <c r="AH620" s="558" t="s">
        <v>4714</v>
      </c>
      <c r="AI620" s="558" t="s">
        <v>9433</v>
      </c>
      <c r="AJ620" s="601" t="str">
        <f t="shared" si="18"/>
        <v>243304</v>
      </c>
      <c r="AK620" s="601">
        <v>1</v>
      </c>
      <c r="AL620" s="601">
        <f t="shared" si="19"/>
        <v>1</v>
      </c>
      <c r="AM620" s="601">
        <v>1</v>
      </c>
      <c r="AN620" s="603" t="s">
        <v>17650</v>
      </c>
      <c r="AO620" s="603" t="s">
        <v>17651</v>
      </c>
      <c r="AP620" s="603" t="s">
        <v>17652</v>
      </c>
      <c r="AQ620" s="603" t="s">
        <v>17653</v>
      </c>
      <c r="AR620" s="603" t="s">
        <v>1024</v>
      </c>
      <c r="AS620" s="558">
        <v>1</v>
      </c>
    </row>
    <row r="621" spans="1:45" x14ac:dyDescent="0.2">
      <c r="A621" s="558" t="s">
        <v>11415</v>
      </c>
      <c r="B621" s="558" t="s">
        <v>8016</v>
      </c>
      <c r="C621" s="558" t="s">
        <v>99</v>
      </c>
      <c r="D621" s="558" t="s">
        <v>23155</v>
      </c>
      <c r="E621" s="558" t="s">
        <v>217</v>
      </c>
      <c r="F621" s="563">
        <v>1</v>
      </c>
      <c r="G621" s="558" t="s">
        <v>193</v>
      </c>
      <c r="H621" s="558" t="s">
        <v>194</v>
      </c>
      <c r="I621" s="558" t="s">
        <v>23307</v>
      </c>
      <c r="J621" s="558" t="s">
        <v>210</v>
      </c>
      <c r="K621" s="558" t="s">
        <v>9309</v>
      </c>
      <c r="L621" s="558" t="s">
        <v>6955</v>
      </c>
      <c r="M621" s="558"/>
      <c r="N621" s="558" t="s">
        <v>22312</v>
      </c>
      <c r="O621" s="558" t="s">
        <v>6286</v>
      </c>
      <c r="P621" s="558" t="s">
        <v>25298</v>
      </c>
      <c r="Q621" s="558" t="s">
        <v>23286</v>
      </c>
      <c r="R621" s="558" t="s">
        <v>23198</v>
      </c>
      <c r="S621" s="558" t="s">
        <v>25398</v>
      </c>
      <c r="T621" s="558" t="s">
        <v>25399</v>
      </c>
      <c r="U621" s="558"/>
      <c r="V621" s="558" t="s">
        <v>9334</v>
      </c>
      <c r="W621" s="558" t="s">
        <v>2421</v>
      </c>
      <c r="X621" s="558" t="s">
        <v>194</v>
      </c>
      <c r="Y621" s="558" t="s">
        <v>9300</v>
      </c>
      <c r="Z621" s="558"/>
      <c r="AA621" s="558"/>
      <c r="AB621" s="558" t="s">
        <v>9311</v>
      </c>
      <c r="AC621" s="558"/>
      <c r="AD621" s="558"/>
      <c r="AE621" s="558"/>
      <c r="AF621" s="558"/>
      <c r="AG621" s="558"/>
      <c r="AH621" s="558" t="s">
        <v>4714</v>
      </c>
      <c r="AI621" s="558" t="s">
        <v>9433</v>
      </c>
      <c r="AJ621" s="601" t="str">
        <f t="shared" si="18"/>
        <v>412001</v>
      </c>
      <c r="AK621" s="601">
        <v>1</v>
      </c>
      <c r="AL621" s="601">
        <f t="shared" si="19"/>
        <v>1</v>
      </c>
      <c r="AM621" s="601">
        <v>1</v>
      </c>
      <c r="AN621" s="603" t="s">
        <v>17650</v>
      </c>
      <c r="AO621" s="603" t="s">
        <v>17651</v>
      </c>
      <c r="AP621" s="603" t="s">
        <v>17652</v>
      </c>
      <c r="AQ621" s="603" t="s">
        <v>17653</v>
      </c>
      <c r="AR621" s="603" t="s">
        <v>1024</v>
      </c>
      <c r="AS621" s="558">
        <v>1</v>
      </c>
    </row>
    <row r="622" spans="1:45" x14ac:dyDescent="0.2">
      <c r="A622" s="558" t="s">
        <v>25400</v>
      </c>
      <c r="B622" s="558" t="s">
        <v>313</v>
      </c>
      <c r="C622" s="558" t="s">
        <v>6208</v>
      </c>
      <c r="D622" s="558" t="s">
        <v>23155</v>
      </c>
      <c r="E622" s="558" t="s">
        <v>192</v>
      </c>
      <c r="F622" s="563">
        <v>1</v>
      </c>
      <c r="G622" s="558" t="s">
        <v>193</v>
      </c>
      <c r="H622" s="558" t="s">
        <v>194</v>
      </c>
      <c r="I622" s="558" t="s">
        <v>23158</v>
      </c>
      <c r="J622" s="558" t="s">
        <v>253</v>
      </c>
      <c r="K622" s="558" t="s">
        <v>9309</v>
      </c>
      <c r="L622" s="558" t="s">
        <v>6955</v>
      </c>
      <c r="M622" s="558"/>
      <c r="N622" s="558" t="s">
        <v>25401</v>
      </c>
      <c r="O622" s="558" t="s">
        <v>6245</v>
      </c>
      <c r="P622" s="558" t="s">
        <v>25402</v>
      </c>
      <c r="Q622" s="558" t="s">
        <v>23266</v>
      </c>
      <c r="R622" s="558" t="s">
        <v>25403</v>
      </c>
      <c r="S622" s="558" t="s">
        <v>25404</v>
      </c>
      <c r="T622" s="558" t="s">
        <v>25405</v>
      </c>
      <c r="U622" s="558"/>
      <c r="V622" s="558" t="s">
        <v>9468</v>
      </c>
      <c r="W622" s="558" t="s">
        <v>346</v>
      </c>
      <c r="X622" s="558" t="s">
        <v>194</v>
      </c>
      <c r="Y622" s="558" t="s">
        <v>9300</v>
      </c>
      <c r="Z622" s="558"/>
      <c r="AA622" s="558"/>
      <c r="AB622" s="558" t="s">
        <v>9311</v>
      </c>
      <c r="AC622" s="558"/>
      <c r="AD622" s="558"/>
      <c r="AE622" s="558"/>
      <c r="AF622" s="558"/>
      <c r="AG622" s="558"/>
      <c r="AH622" s="558" t="s">
        <v>4714</v>
      </c>
      <c r="AI622" s="558" t="s">
        <v>313</v>
      </c>
      <c r="AJ622" s="601" t="str">
        <f t="shared" si="18"/>
        <v>214931</v>
      </c>
      <c r="AK622" s="601">
        <v>1</v>
      </c>
      <c r="AL622" s="601">
        <f t="shared" si="19"/>
        <v>1</v>
      </c>
      <c r="AM622" s="601">
        <v>1</v>
      </c>
      <c r="AN622" s="603" t="s">
        <v>17650</v>
      </c>
      <c r="AO622" s="603" t="s">
        <v>17651</v>
      </c>
      <c r="AP622" s="603" t="s">
        <v>17652</v>
      </c>
      <c r="AQ622" s="603" t="s">
        <v>17653</v>
      </c>
      <c r="AR622" s="603" t="s">
        <v>1024</v>
      </c>
      <c r="AS622" s="558">
        <v>1</v>
      </c>
    </row>
    <row r="623" spans="1:45" x14ac:dyDescent="0.2">
      <c r="A623" s="558" t="s">
        <v>25406</v>
      </c>
      <c r="B623" s="558" t="s">
        <v>332</v>
      </c>
      <c r="C623" s="558" t="s">
        <v>1957</v>
      </c>
      <c r="D623" s="558" t="s">
        <v>23155</v>
      </c>
      <c r="E623" s="558" t="s">
        <v>192</v>
      </c>
      <c r="F623" s="563">
        <v>1</v>
      </c>
      <c r="G623" s="558" t="s">
        <v>193</v>
      </c>
      <c r="H623" s="558" t="s">
        <v>194</v>
      </c>
      <c r="I623" s="558" t="s">
        <v>24551</v>
      </c>
      <c r="J623" s="558" t="s">
        <v>672</v>
      </c>
      <c r="K623" s="558" t="s">
        <v>9309</v>
      </c>
      <c r="L623" s="558" t="s">
        <v>6955</v>
      </c>
      <c r="M623" s="558"/>
      <c r="N623" s="558" t="s">
        <v>25407</v>
      </c>
      <c r="O623" s="558" t="s">
        <v>6245</v>
      </c>
      <c r="P623" s="558" t="s">
        <v>25402</v>
      </c>
      <c r="Q623" s="558" t="s">
        <v>23266</v>
      </c>
      <c r="R623" s="558" t="s">
        <v>25403</v>
      </c>
      <c r="S623" s="558" t="s">
        <v>25408</v>
      </c>
      <c r="T623" s="558" t="s">
        <v>25409</v>
      </c>
      <c r="U623" s="558"/>
      <c r="V623" s="558" t="s">
        <v>9726</v>
      </c>
      <c r="W623" s="558" t="s">
        <v>1958</v>
      </c>
      <c r="X623" s="558" t="s">
        <v>194</v>
      </c>
      <c r="Y623" s="558" t="s">
        <v>9300</v>
      </c>
      <c r="Z623" s="558"/>
      <c r="AA623" s="558"/>
      <c r="AB623" s="558" t="s">
        <v>9311</v>
      </c>
      <c r="AC623" s="558"/>
      <c r="AD623" s="558"/>
      <c r="AE623" s="558"/>
      <c r="AF623" s="558"/>
      <c r="AG623" s="558"/>
      <c r="AH623" s="558" t="s">
        <v>4714</v>
      </c>
      <c r="AI623" s="558" t="s">
        <v>332</v>
      </c>
      <c r="AJ623" s="601" t="str">
        <f t="shared" si="18"/>
        <v>214408</v>
      </c>
      <c r="AK623" s="601">
        <v>1</v>
      </c>
      <c r="AL623" s="601">
        <f t="shared" si="19"/>
        <v>1</v>
      </c>
      <c r="AM623" s="601">
        <v>1</v>
      </c>
      <c r="AN623" s="603" t="s">
        <v>17650</v>
      </c>
      <c r="AO623" s="603" t="s">
        <v>17651</v>
      </c>
      <c r="AP623" s="603" t="s">
        <v>17652</v>
      </c>
      <c r="AQ623" s="603" t="s">
        <v>17653</v>
      </c>
      <c r="AR623" s="603" t="s">
        <v>1024</v>
      </c>
      <c r="AS623" s="558">
        <v>1</v>
      </c>
    </row>
    <row r="624" spans="1:45" x14ac:dyDescent="0.2">
      <c r="A624" s="558" t="s">
        <v>25400</v>
      </c>
      <c r="B624" s="558" t="s">
        <v>25410</v>
      </c>
      <c r="C624" s="558" t="s">
        <v>574</v>
      </c>
      <c r="D624" s="558" t="s">
        <v>23155</v>
      </c>
      <c r="E624" s="558" t="s">
        <v>192</v>
      </c>
      <c r="F624" s="563">
        <v>1</v>
      </c>
      <c r="G624" s="558" t="s">
        <v>193</v>
      </c>
      <c r="H624" s="558" t="s">
        <v>194</v>
      </c>
      <c r="I624" s="558" t="s">
        <v>23158</v>
      </c>
      <c r="J624" s="558" t="s">
        <v>253</v>
      </c>
      <c r="K624" s="558" t="s">
        <v>9309</v>
      </c>
      <c r="L624" s="558" t="s">
        <v>6955</v>
      </c>
      <c r="M624" s="558"/>
      <c r="N624" s="558" t="s">
        <v>25411</v>
      </c>
      <c r="O624" s="558" t="s">
        <v>6245</v>
      </c>
      <c r="P624" s="558" t="s">
        <v>25402</v>
      </c>
      <c r="Q624" s="558" t="s">
        <v>23266</v>
      </c>
      <c r="R624" s="558" t="s">
        <v>25403</v>
      </c>
      <c r="S624" s="558" t="s">
        <v>25412</v>
      </c>
      <c r="T624" s="558" t="s">
        <v>25413</v>
      </c>
      <c r="U624" s="558"/>
      <c r="V624" s="558" t="s">
        <v>9468</v>
      </c>
      <c r="W624" s="558" t="s">
        <v>576</v>
      </c>
      <c r="X624" s="558" t="s">
        <v>194</v>
      </c>
      <c r="Y624" s="558" t="s">
        <v>9300</v>
      </c>
      <c r="Z624" s="558"/>
      <c r="AA624" s="558"/>
      <c r="AB624" s="558" t="s">
        <v>9311</v>
      </c>
      <c r="AC624" s="558"/>
      <c r="AD624" s="558"/>
      <c r="AE624" s="558"/>
      <c r="AF624" s="558"/>
      <c r="AG624" s="558"/>
      <c r="AH624" s="558" t="s">
        <v>4714</v>
      </c>
      <c r="AI624" s="558" t="s">
        <v>25410</v>
      </c>
      <c r="AJ624" s="601" t="str">
        <f t="shared" si="18"/>
        <v>311509</v>
      </c>
      <c r="AK624" s="601">
        <v>1</v>
      </c>
      <c r="AL624" s="601">
        <f t="shared" si="19"/>
        <v>1</v>
      </c>
      <c r="AM624" s="601">
        <v>1</v>
      </c>
      <c r="AN624" s="603" t="s">
        <v>17650</v>
      </c>
      <c r="AO624" s="603" t="s">
        <v>17651</v>
      </c>
      <c r="AP624" s="603" t="s">
        <v>17652</v>
      </c>
      <c r="AQ624" s="603" t="s">
        <v>17653</v>
      </c>
      <c r="AR624" s="603" t="s">
        <v>1024</v>
      </c>
      <c r="AS624" s="558">
        <v>1</v>
      </c>
    </row>
    <row r="625" spans="1:45" x14ac:dyDescent="0.2">
      <c r="A625" s="558" t="s">
        <v>552</v>
      </c>
      <c r="B625" s="558" t="s">
        <v>1462</v>
      </c>
      <c r="C625" s="558" t="s">
        <v>29</v>
      </c>
      <c r="D625" s="558" t="s">
        <v>23155</v>
      </c>
      <c r="E625" s="558" t="s">
        <v>192</v>
      </c>
      <c r="F625" s="563">
        <v>1</v>
      </c>
      <c r="G625" s="558" t="s">
        <v>193</v>
      </c>
      <c r="H625" s="558" t="s">
        <v>194</v>
      </c>
      <c r="I625" s="558" t="s">
        <v>23158</v>
      </c>
      <c r="J625" s="558" t="s">
        <v>253</v>
      </c>
      <c r="K625" s="558" t="s">
        <v>9309</v>
      </c>
      <c r="L625" s="558" t="s">
        <v>6955</v>
      </c>
      <c r="M625" s="558"/>
      <c r="N625" s="558" t="s">
        <v>25414</v>
      </c>
      <c r="O625" s="558" t="s">
        <v>6275</v>
      </c>
      <c r="P625" s="558" t="s">
        <v>25402</v>
      </c>
      <c r="Q625" s="558" t="s">
        <v>23266</v>
      </c>
      <c r="R625" s="558" t="s">
        <v>25403</v>
      </c>
      <c r="S625" s="558" t="s">
        <v>25415</v>
      </c>
      <c r="T625" s="558" t="s">
        <v>25416</v>
      </c>
      <c r="U625" s="558"/>
      <c r="V625" s="558" t="s">
        <v>9468</v>
      </c>
      <c r="W625" s="558" t="s">
        <v>808</v>
      </c>
      <c r="X625" s="558" t="s">
        <v>194</v>
      </c>
      <c r="Y625" s="558" t="s">
        <v>9300</v>
      </c>
      <c r="Z625" s="558"/>
      <c r="AA625" s="558"/>
      <c r="AB625" s="558" t="s">
        <v>9311</v>
      </c>
      <c r="AC625" s="558"/>
      <c r="AD625" s="558"/>
      <c r="AE625" s="558"/>
      <c r="AF625" s="558"/>
      <c r="AG625" s="558"/>
      <c r="AH625" s="558" t="s">
        <v>4714</v>
      </c>
      <c r="AI625" s="558" t="s">
        <v>1462</v>
      </c>
      <c r="AJ625" s="601" t="str">
        <f t="shared" si="18"/>
        <v>722308</v>
      </c>
      <c r="AK625" s="601">
        <v>1</v>
      </c>
      <c r="AL625" s="601">
        <f t="shared" si="19"/>
        <v>1</v>
      </c>
      <c r="AM625" s="601">
        <v>1</v>
      </c>
      <c r="AN625" s="603" t="s">
        <v>17650</v>
      </c>
      <c r="AO625" s="603" t="s">
        <v>17651</v>
      </c>
      <c r="AP625" s="603" t="s">
        <v>17652</v>
      </c>
      <c r="AQ625" s="603" t="s">
        <v>17653</v>
      </c>
      <c r="AR625" s="603" t="s">
        <v>1024</v>
      </c>
      <c r="AS625" s="558">
        <v>1</v>
      </c>
    </row>
    <row r="626" spans="1:45" x14ac:dyDescent="0.2">
      <c r="A626" s="558" t="s">
        <v>16146</v>
      </c>
      <c r="B626" s="558" t="s">
        <v>2489</v>
      </c>
      <c r="C626" s="558" t="s">
        <v>95</v>
      </c>
      <c r="D626" s="558" t="s">
        <v>23155</v>
      </c>
      <c r="E626" s="558" t="s">
        <v>192</v>
      </c>
      <c r="F626" s="563">
        <v>1</v>
      </c>
      <c r="G626" s="558" t="s">
        <v>193</v>
      </c>
      <c r="H626" s="558" t="s">
        <v>194</v>
      </c>
      <c r="I626" s="558" t="s">
        <v>24551</v>
      </c>
      <c r="J626" s="558" t="s">
        <v>5098</v>
      </c>
      <c r="K626" s="558" t="s">
        <v>9309</v>
      </c>
      <c r="L626" s="558" t="s">
        <v>6955</v>
      </c>
      <c r="M626" s="558"/>
      <c r="N626" s="558" t="s">
        <v>25417</v>
      </c>
      <c r="O626" s="558" t="s">
        <v>6249</v>
      </c>
      <c r="P626" s="558" t="s">
        <v>25402</v>
      </c>
      <c r="Q626" s="558" t="s">
        <v>23266</v>
      </c>
      <c r="R626" s="558" t="s">
        <v>25403</v>
      </c>
      <c r="S626" s="558" t="s">
        <v>25418</v>
      </c>
      <c r="T626" s="558" t="s">
        <v>25419</v>
      </c>
      <c r="U626" s="558"/>
      <c r="V626" s="558" t="s">
        <v>9786</v>
      </c>
      <c r="W626" s="558" t="s">
        <v>1015</v>
      </c>
      <c r="X626" s="558" t="s">
        <v>194</v>
      </c>
      <c r="Y626" s="558" t="s">
        <v>9300</v>
      </c>
      <c r="Z626" s="558"/>
      <c r="AA626" s="558"/>
      <c r="AB626" s="558" t="s">
        <v>9311</v>
      </c>
      <c r="AC626" s="558"/>
      <c r="AD626" s="558"/>
      <c r="AE626" s="558"/>
      <c r="AF626" s="558"/>
      <c r="AG626" s="558"/>
      <c r="AH626" s="558" t="s">
        <v>4714</v>
      </c>
      <c r="AI626" s="558" t="s">
        <v>2489</v>
      </c>
      <c r="AJ626" s="601" t="str">
        <f t="shared" si="18"/>
        <v>122102</v>
      </c>
      <c r="AK626" s="601">
        <v>1</v>
      </c>
      <c r="AL626" s="601">
        <f t="shared" si="19"/>
        <v>1</v>
      </c>
      <c r="AM626" s="601">
        <v>1</v>
      </c>
      <c r="AN626" s="603" t="s">
        <v>17650</v>
      </c>
      <c r="AO626" s="603" t="s">
        <v>17651</v>
      </c>
      <c r="AP626" s="603" t="s">
        <v>17652</v>
      </c>
      <c r="AQ626" s="603" t="s">
        <v>17653</v>
      </c>
      <c r="AR626" s="603" t="s">
        <v>1024</v>
      </c>
      <c r="AS626" s="558">
        <v>1</v>
      </c>
    </row>
    <row r="627" spans="1:45" x14ac:dyDescent="0.2">
      <c r="A627" s="558" t="s">
        <v>16146</v>
      </c>
      <c r="B627" s="558" t="s">
        <v>25420</v>
      </c>
      <c r="C627" s="558" t="s">
        <v>43</v>
      </c>
      <c r="D627" s="558" t="s">
        <v>23155</v>
      </c>
      <c r="E627" s="558" t="s">
        <v>192</v>
      </c>
      <c r="F627" s="563">
        <v>1</v>
      </c>
      <c r="G627" s="558" t="s">
        <v>193</v>
      </c>
      <c r="H627" s="558" t="s">
        <v>194</v>
      </c>
      <c r="I627" s="558" t="s">
        <v>23186</v>
      </c>
      <c r="J627" s="558" t="s">
        <v>5098</v>
      </c>
      <c r="K627" s="558" t="s">
        <v>9309</v>
      </c>
      <c r="L627" s="558" t="s">
        <v>6955</v>
      </c>
      <c r="M627" s="558"/>
      <c r="N627" s="558" t="s">
        <v>25421</v>
      </c>
      <c r="O627" s="558" t="s">
        <v>6245</v>
      </c>
      <c r="P627" s="558" t="s">
        <v>25402</v>
      </c>
      <c r="Q627" s="558" t="s">
        <v>23266</v>
      </c>
      <c r="R627" s="558" t="s">
        <v>25403</v>
      </c>
      <c r="S627" s="558" t="s">
        <v>25422</v>
      </c>
      <c r="T627" s="558" t="s">
        <v>25423</v>
      </c>
      <c r="U627" s="558"/>
      <c r="V627" s="558" t="s">
        <v>9786</v>
      </c>
      <c r="W627" s="558" t="s">
        <v>452</v>
      </c>
      <c r="X627" s="558" t="s">
        <v>194</v>
      </c>
      <c r="Y627" s="558" t="s">
        <v>9300</v>
      </c>
      <c r="Z627" s="558"/>
      <c r="AA627" s="558"/>
      <c r="AB627" s="558" t="s">
        <v>9311</v>
      </c>
      <c r="AC627" s="558"/>
      <c r="AD627" s="558"/>
      <c r="AE627" s="558"/>
      <c r="AF627" s="558"/>
      <c r="AG627" s="558"/>
      <c r="AH627" s="558" t="s">
        <v>4714</v>
      </c>
      <c r="AI627" s="558" t="s">
        <v>25420</v>
      </c>
      <c r="AJ627" s="601" t="str">
        <f t="shared" si="18"/>
        <v>243106</v>
      </c>
      <c r="AK627" s="601">
        <v>1</v>
      </c>
      <c r="AL627" s="601">
        <f t="shared" si="19"/>
        <v>1</v>
      </c>
      <c r="AM627" s="601">
        <v>1</v>
      </c>
      <c r="AN627" s="603" t="s">
        <v>17650</v>
      </c>
      <c r="AO627" s="603" t="s">
        <v>17651</v>
      </c>
      <c r="AP627" s="603" t="s">
        <v>17652</v>
      </c>
      <c r="AQ627" s="603" t="s">
        <v>17653</v>
      </c>
      <c r="AR627" s="603" t="s">
        <v>1024</v>
      </c>
      <c r="AS627" s="558">
        <v>1</v>
      </c>
    </row>
    <row r="628" spans="1:45" x14ac:dyDescent="0.2">
      <c r="A628" s="558" t="s">
        <v>369</v>
      </c>
      <c r="B628" s="558" t="s">
        <v>20258</v>
      </c>
      <c r="C628" s="558" t="s">
        <v>2929</v>
      </c>
      <c r="D628" s="558" t="s">
        <v>23155</v>
      </c>
      <c r="E628" s="558" t="s">
        <v>192</v>
      </c>
      <c r="F628" s="563">
        <v>1</v>
      </c>
      <c r="G628" s="558" t="s">
        <v>193</v>
      </c>
      <c r="H628" s="558" t="s">
        <v>194</v>
      </c>
      <c r="I628" s="558" t="s">
        <v>24551</v>
      </c>
      <c r="J628" s="558" t="s">
        <v>210</v>
      </c>
      <c r="K628" s="558" t="s">
        <v>9309</v>
      </c>
      <c r="L628" s="558" t="s">
        <v>6955</v>
      </c>
      <c r="M628" s="558"/>
      <c r="N628" s="558" t="s">
        <v>25424</v>
      </c>
      <c r="O628" s="558" t="s">
        <v>6275</v>
      </c>
      <c r="P628" s="558" t="s">
        <v>25402</v>
      </c>
      <c r="Q628" s="558" t="s">
        <v>23266</v>
      </c>
      <c r="R628" s="558" t="s">
        <v>25403</v>
      </c>
      <c r="S628" s="558" t="s">
        <v>25425</v>
      </c>
      <c r="T628" s="558" t="s">
        <v>25426</v>
      </c>
      <c r="U628" s="558"/>
      <c r="V628" s="558" t="s">
        <v>9334</v>
      </c>
      <c r="W628" s="558" t="s">
        <v>4696</v>
      </c>
      <c r="X628" s="558" t="s">
        <v>194</v>
      </c>
      <c r="Y628" s="558" t="s">
        <v>9300</v>
      </c>
      <c r="Z628" s="558"/>
      <c r="AA628" s="558"/>
      <c r="AB628" s="558" t="s">
        <v>9311</v>
      </c>
      <c r="AC628" s="558"/>
      <c r="AD628" s="558"/>
      <c r="AE628" s="558"/>
      <c r="AF628" s="558"/>
      <c r="AG628" s="558"/>
      <c r="AH628" s="558" t="s">
        <v>4714</v>
      </c>
      <c r="AI628" s="558" t="s">
        <v>20258</v>
      </c>
      <c r="AJ628" s="601" t="str">
        <f t="shared" si="18"/>
        <v>722314</v>
      </c>
      <c r="AK628" s="601">
        <v>1</v>
      </c>
      <c r="AL628" s="601">
        <f>F628</f>
        <v>1</v>
      </c>
      <c r="AM628" s="601">
        <v>1</v>
      </c>
      <c r="AN628" s="603" t="s">
        <v>17650</v>
      </c>
      <c r="AO628" s="603" t="s">
        <v>17651</v>
      </c>
      <c r="AP628" s="603" t="s">
        <v>17652</v>
      </c>
      <c r="AQ628" s="603" t="s">
        <v>17653</v>
      </c>
      <c r="AR628" s="603" t="s">
        <v>1024</v>
      </c>
      <c r="AS628" s="558">
        <v>1</v>
      </c>
    </row>
    <row r="629" spans="1:45" x14ac:dyDescent="0.2">
      <c r="A629" s="558" t="s">
        <v>369</v>
      </c>
      <c r="B629" s="558" t="s">
        <v>25427</v>
      </c>
      <c r="C629" s="558" t="s">
        <v>574</v>
      </c>
      <c r="D629" s="558" t="s">
        <v>23155</v>
      </c>
      <c r="E629" s="558" t="s">
        <v>192</v>
      </c>
      <c r="F629" s="563">
        <v>1</v>
      </c>
      <c r="G629" s="558" t="s">
        <v>193</v>
      </c>
      <c r="H629" s="558" t="s">
        <v>194</v>
      </c>
      <c r="I629" s="558" t="s">
        <v>23158</v>
      </c>
      <c r="J629" s="558" t="s">
        <v>210</v>
      </c>
      <c r="K629" s="558" t="s">
        <v>9309</v>
      </c>
      <c r="L629" s="558" t="s">
        <v>6955</v>
      </c>
      <c r="M629" s="558"/>
      <c r="N629" s="558" t="s">
        <v>25428</v>
      </c>
      <c r="O629" s="558" t="s">
        <v>6275</v>
      </c>
      <c r="P629" s="558" t="s">
        <v>25402</v>
      </c>
      <c r="Q629" s="558" t="s">
        <v>23266</v>
      </c>
      <c r="R629" s="558" t="s">
        <v>25403</v>
      </c>
      <c r="S629" s="558" t="s">
        <v>25429</v>
      </c>
      <c r="T629" s="558" t="s">
        <v>25430</v>
      </c>
      <c r="U629" s="558"/>
      <c r="V629" s="558" t="s">
        <v>9334</v>
      </c>
      <c r="W629" s="558" t="s">
        <v>576</v>
      </c>
      <c r="X629" s="558" t="s">
        <v>194</v>
      </c>
      <c r="Y629" s="558" t="s">
        <v>9300</v>
      </c>
      <c r="Z629" s="558"/>
      <c r="AA629" s="558"/>
      <c r="AB629" s="558" t="s">
        <v>9311</v>
      </c>
      <c r="AC629" s="558"/>
      <c r="AD629" s="558"/>
      <c r="AE629" s="558"/>
      <c r="AF629" s="558"/>
      <c r="AG629" s="558"/>
      <c r="AH629" s="558" t="s">
        <v>4714</v>
      </c>
      <c r="AI629" s="558" t="s">
        <v>25427</v>
      </c>
      <c r="AJ629" s="601" t="str">
        <f t="shared" si="18"/>
        <v>311509</v>
      </c>
      <c r="AK629" s="601">
        <v>1</v>
      </c>
      <c r="AL629" s="601">
        <f t="shared" si="19"/>
        <v>1</v>
      </c>
      <c r="AM629" s="601">
        <v>1</v>
      </c>
      <c r="AN629" s="603" t="s">
        <v>17650</v>
      </c>
      <c r="AO629" s="603" t="s">
        <v>17651</v>
      </c>
      <c r="AP629" s="603" t="s">
        <v>17652</v>
      </c>
      <c r="AQ629" s="603" t="s">
        <v>17653</v>
      </c>
      <c r="AR629" s="603" t="s">
        <v>1024</v>
      </c>
      <c r="AS629" s="558">
        <v>1</v>
      </c>
    </row>
    <row r="630" spans="1:45" x14ac:dyDescent="0.2">
      <c r="A630" s="558" t="s">
        <v>10606</v>
      </c>
      <c r="B630" s="558" t="s">
        <v>18744</v>
      </c>
      <c r="C630" s="558" t="s">
        <v>5440</v>
      </c>
      <c r="D630" s="558" t="s">
        <v>23155</v>
      </c>
      <c r="E630" s="558" t="s">
        <v>192</v>
      </c>
      <c r="F630" s="563">
        <v>1</v>
      </c>
      <c r="G630" s="558" t="s">
        <v>193</v>
      </c>
      <c r="H630" s="558" t="s">
        <v>194</v>
      </c>
      <c r="I630" s="558" t="s">
        <v>23186</v>
      </c>
      <c r="J630" s="558" t="s">
        <v>210</v>
      </c>
      <c r="K630" s="558" t="s">
        <v>9309</v>
      </c>
      <c r="L630" s="558" t="s">
        <v>6955</v>
      </c>
      <c r="M630" s="558"/>
      <c r="N630" s="558" t="s">
        <v>25431</v>
      </c>
      <c r="O630" s="558" t="s">
        <v>6295</v>
      </c>
      <c r="P630" s="558" t="s">
        <v>25402</v>
      </c>
      <c r="Q630" s="558" t="s">
        <v>23266</v>
      </c>
      <c r="R630" s="558" t="s">
        <v>25403</v>
      </c>
      <c r="S630" s="558" t="s">
        <v>25432</v>
      </c>
      <c r="T630" s="558" t="s">
        <v>25433</v>
      </c>
      <c r="U630" s="558"/>
      <c r="V630" s="558" t="s">
        <v>9334</v>
      </c>
      <c r="W630" s="558" t="s">
        <v>310</v>
      </c>
      <c r="X630" s="558" t="s">
        <v>194</v>
      </c>
      <c r="Y630" s="558" t="s">
        <v>9300</v>
      </c>
      <c r="Z630" s="558"/>
      <c r="AA630" s="558"/>
      <c r="AB630" s="558" t="s">
        <v>9311</v>
      </c>
      <c r="AC630" s="558"/>
      <c r="AD630" s="558"/>
      <c r="AE630" s="558"/>
      <c r="AF630" s="558"/>
      <c r="AG630" s="558"/>
      <c r="AH630" s="558" t="s">
        <v>4714</v>
      </c>
      <c r="AI630" s="558" t="s">
        <v>18744</v>
      </c>
      <c r="AJ630" s="601" t="str">
        <f t="shared" si="18"/>
        <v>214404</v>
      </c>
      <c r="AK630" s="601">
        <v>1</v>
      </c>
      <c r="AL630" s="601">
        <f t="shared" si="19"/>
        <v>1</v>
      </c>
      <c r="AM630" s="601">
        <v>1</v>
      </c>
      <c r="AN630" s="603" t="s">
        <v>17650</v>
      </c>
      <c r="AO630" s="603" t="s">
        <v>17651</v>
      </c>
      <c r="AP630" s="603" t="s">
        <v>17652</v>
      </c>
      <c r="AQ630" s="603" t="s">
        <v>17653</v>
      </c>
      <c r="AR630" s="603" t="s">
        <v>1024</v>
      </c>
      <c r="AS630" s="558">
        <v>1</v>
      </c>
    </row>
    <row r="631" spans="1:45" x14ac:dyDescent="0.2">
      <c r="A631" s="558" t="s">
        <v>369</v>
      </c>
      <c r="B631" s="558" t="s">
        <v>25434</v>
      </c>
      <c r="C631" s="558" t="s">
        <v>9085</v>
      </c>
      <c r="D631" s="558" t="s">
        <v>23155</v>
      </c>
      <c r="E631" s="558" t="s">
        <v>192</v>
      </c>
      <c r="F631" s="563">
        <v>1</v>
      </c>
      <c r="G631" s="558" t="s">
        <v>193</v>
      </c>
      <c r="H631" s="558" t="s">
        <v>194</v>
      </c>
      <c r="I631" s="558" t="s">
        <v>23186</v>
      </c>
      <c r="J631" s="558" t="s">
        <v>210</v>
      </c>
      <c r="K631" s="558" t="s">
        <v>9309</v>
      </c>
      <c r="L631" s="558" t="s">
        <v>6955</v>
      </c>
      <c r="M631" s="558"/>
      <c r="N631" s="558" t="s">
        <v>25435</v>
      </c>
      <c r="O631" s="558" t="s">
        <v>6275</v>
      </c>
      <c r="P631" s="558" t="s">
        <v>25402</v>
      </c>
      <c r="Q631" s="558" t="s">
        <v>23266</v>
      </c>
      <c r="R631" s="558" t="s">
        <v>25403</v>
      </c>
      <c r="S631" s="558" t="s">
        <v>25436</v>
      </c>
      <c r="T631" s="558" t="s">
        <v>25437</v>
      </c>
      <c r="U631" s="558"/>
      <c r="V631" s="558" t="s">
        <v>9334</v>
      </c>
      <c r="W631" s="558" t="s">
        <v>799</v>
      </c>
      <c r="X631" s="558" t="s">
        <v>194</v>
      </c>
      <c r="Y631" s="558" t="s">
        <v>9300</v>
      </c>
      <c r="Z631" s="558"/>
      <c r="AA631" s="558"/>
      <c r="AB631" s="558" t="s">
        <v>9311</v>
      </c>
      <c r="AC631" s="558"/>
      <c r="AD631" s="558"/>
      <c r="AE631" s="558"/>
      <c r="AF631" s="558"/>
      <c r="AG631" s="558"/>
      <c r="AH631" s="558" t="s">
        <v>4714</v>
      </c>
      <c r="AI631" s="558" t="s">
        <v>25434</v>
      </c>
      <c r="AJ631" s="601" t="str">
        <f t="shared" si="18"/>
        <v>722204</v>
      </c>
      <c r="AK631" s="601">
        <v>1</v>
      </c>
      <c r="AL631" s="601">
        <f t="shared" si="19"/>
        <v>1</v>
      </c>
      <c r="AM631" s="601">
        <v>1</v>
      </c>
      <c r="AN631" s="603" t="s">
        <v>17650</v>
      </c>
      <c r="AO631" s="603" t="s">
        <v>17651</v>
      </c>
      <c r="AP631" s="603" t="s">
        <v>17652</v>
      </c>
      <c r="AQ631" s="603" t="s">
        <v>17653</v>
      </c>
      <c r="AR631" s="603" t="s">
        <v>1024</v>
      </c>
      <c r="AS631" s="558">
        <v>1</v>
      </c>
    </row>
    <row r="632" spans="1:45" x14ac:dyDescent="0.2">
      <c r="A632" s="558" t="s">
        <v>3998</v>
      </c>
      <c r="B632" s="558" t="s">
        <v>25438</v>
      </c>
      <c r="C632" s="558" t="s">
        <v>129</v>
      </c>
      <c r="D632" s="558" t="s">
        <v>23155</v>
      </c>
      <c r="E632" s="558" t="s">
        <v>192</v>
      </c>
      <c r="F632" s="563">
        <v>1</v>
      </c>
      <c r="G632" s="558" t="s">
        <v>193</v>
      </c>
      <c r="H632" s="558" t="s">
        <v>194</v>
      </c>
      <c r="I632" s="558" t="s">
        <v>24551</v>
      </c>
      <c r="J632" s="558" t="s">
        <v>210</v>
      </c>
      <c r="K632" s="558" t="s">
        <v>9309</v>
      </c>
      <c r="L632" s="558" t="s">
        <v>6955</v>
      </c>
      <c r="M632" s="558"/>
      <c r="N632" s="558" t="s">
        <v>25439</v>
      </c>
      <c r="O632" s="558" t="s">
        <v>6327</v>
      </c>
      <c r="P632" s="558" t="s">
        <v>25402</v>
      </c>
      <c r="Q632" s="558" t="s">
        <v>23266</v>
      </c>
      <c r="R632" s="558" t="s">
        <v>25403</v>
      </c>
      <c r="S632" s="558" t="s">
        <v>25440</v>
      </c>
      <c r="T632" s="558" t="s">
        <v>25441</v>
      </c>
      <c r="U632" s="558"/>
      <c r="V632" s="558" t="s">
        <v>9334</v>
      </c>
      <c r="W632" s="558" t="s">
        <v>203</v>
      </c>
      <c r="X632" s="558" t="s">
        <v>194</v>
      </c>
      <c r="Y632" s="558" t="s">
        <v>9300</v>
      </c>
      <c r="Z632" s="558"/>
      <c r="AA632" s="558"/>
      <c r="AB632" s="558" t="s">
        <v>9311</v>
      </c>
      <c r="AC632" s="558"/>
      <c r="AD632" s="558"/>
      <c r="AE632" s="558"/>
      <c r="AF632" s="558"/>
      <c r="AG632" s="558"/>
      <c r="AH632" s="558" t="s">
        <v>4714</v>
      </c>
      <c r="AI632" s="558" t="s">
        <v>25438</v>
      </c>
      <c r="AJ632" s="601" t="str">
        <f t="shared" si="18"/>
        <v>121904</v>
      </c>
      <c r="AK632" s="601">
        <v>1</v>
      </c>
      <c r="AL632" s="601">
        <f t="shared" si="19"/>
        <v>1</v>
      </c>
      <c r="AM632" s="601">
        <v>1</v>
      </c>
      <c r="AN632" s="603" t="s">
        <v>17650</v>
      </c>
      <c r="AO632" s="603" t="s">
        <v>17651</v>
      </c>
      <c r="AP632" s="603" t="s">
        <v>17652</v>
      </c>
      <c r="AQ632" s="603" t="s">
        <v>17653</v>
      </c>
      <c r="AR632" s="603" t="s">
        <v>1024</v>
      </c>
      <c r="AS632" s="558">
        <v>1</v>
      </c>
    </row>
    <row r="633" spans="1:45" x14ac:dyDescent="0.2">
      <c r="A633" s="558" t="s">
        <v>1639</v>
      </c>
      <c r="B633" s="558" t="s">
        <v>16551</v>
      </c>
      <c r="C633" s="558" t="s">
        <v>19</v>
      </c>
      <c r="D633" s="558" t="s">
        <v>23155</v>
      </c>
      <c r="E633" s="558" t="s">
        <v>192</v>
      </c>
      <c r="F633" s="563">
        <v>1</v>
      </c>
      <c r="G633" s="558" t="s">
        <v>193</v>
      </c>
      <c r="H633" s="558" t="s">
        <v>194</v>
      </c>
      <c r="I633" s="558" t="s">
        <v>23307</v>
      </c>
      <c r="J633" s="558" t="s">
        <v>210</v>
      </c>
      <c r="K633" s="558" t="s">
        <v>9309</v>
      </c>
      <c r="L633" s="558" t="s">
        <v>6955</v>
      </c>
      <c r="M633" s="558"/>
      <c r="N633" s="558" t="s">
        <v>25442</v>
      </c>
      <c r="O633" s="558" t="s">
        <v>6921</v>
      </c>
      <c r="P633" s="558" t="s">
        <v>25402</v>
      </c>
      <c r="Q633" s="558" t="s">
        <v>23266</v>
      </c>
      <c r="R633" s="558" t="s">
        <v>25403</v>
      </c>
      <c r="S633" s="558" t="s">
        <v>25443</v>
      </c>
      <c r="T633" s="558" t="s">
        <v>25444</v>
      </c>
      <c r="U633" s="558"/>
      <c r="V633" s="558" t="s">
        <v>9334</v>
      </c>
      <c r="W633" s="558" t="s">
        <v>337</v>
      </c>
      <c r="X633" s="558" t="s">
        <v>194</v>
      </c>
      <c r="Y633" s="558" t="s">
        <v>9300</v>
      </c>
      <c r="Z633" s="558"/>
      <c r="AA633" s="558"/>
      <c r="AB633" s="558" t="s">
        <v>9311</v>
      </c>
      <c r="AC633" s="558"/>
      <c r="AD633" s="558"/>
      <c r="AE633" s="558"/>
      <c r="AF633" s="558"/>
      <c r="AG633" s="558"/>
      <c r="AH633" s="558" t="s">
        <v>4714</v>
      </c>
      <c r="AI633" s="558" t="s">
        <v>16551</v>
      </c>
      <c r="AJ633" s="601" t="str">
        <f t="shared" si="18"/>
        <v>214903</v>
      </c>
      <c r="AK633" s="601">
        <v>1</v>
      </c>
      <c r="AL633" s="601">
        <f t="shared" si="19"/>
        <v>1</v>
      </c>
      <c r="AM633" s="601">
        <v>1</v>
      </c>
      <c r="AN633" s="603" t="s">
        <v>17650</v>
      </c>
      <c r="AO633" s="603" t="s">
        <v>17651</v>
      </c>
      <c r="AP633" s="603" t="s">
        <v>17652</v>
      </c>
      <c r="AQ633" s="603" t="s">
        <v>17653</v>
      </c>
      <c r="AR633" s="603" t="s">
        <v>1024</v>
      </c>
      <c r="AS633" s="558">
        <v>1</v>
      </c>
    </row>
    <row r="634" spans="1:45" x14ac:dyDescent="0.2">
      <c r="A634" s="558" t="s">
        <v>369</v>
      </c>
      <c r="B634" s="558" t="s">
        <v>25445</v>
      </c>
      <c r="C634" s="558" t="s">
        <v>574</v>
      </c>
      <c r="D634" s="558" t="s">
        <v>23155</v>
      </c>
      <c r="E634" s="558" t="s">
        <v>192</v>
      </c>
      <c r="F634" s="563">
        <v>1</v>
      </c>
      <c r="G634" s="558" t="s">
        <v>193</v>
      </c>
      <c r="H634" s="558" t="s">
        <v>194</v>
      </c>
      <c r="I634" s="558" t="s">
        <v>23158</v>
      </c>
      <c r="J634" s="558" t="s">
        <v>210</v>
      </c>
      <c r="K634" s="558" t="s">
        <v>9309</v>
      </c>
      <c r="L634" s="558" t="s">
        <v>6955</v>
      </c>
      <c r="M634" s="558"/>
      <c r="N634" s="558" t="s">
        <v>25446</v>
      </c>
      <c r="O634" s="558" t="s">
        <v>6275</v>
      </c>
      <c r="P634" s="558" t="s">
        <v>25402</v>
      </c>
      <c r="Q634" s="558" t="s">
        <v>23266</v>
      </c>
      <c r="R634" s="558" t="s">
        <v>25403</v>
      </c>
      <c r="S634" s="558" t="s">
        <v>25447</v>
      </c>
      <c r="T634" s="558" t="s">
        <v>25448</v>
      </c>
      <c r="U634" s="558"/>
      <c r="V634" s="558" t="s">
        <v>9334</v>
      </c>
      <c r="W634" s="558" t="s">
        <v>576</v>
      </c>
      <c r="X634" s="558" t="s">
        <v>194</v>
      </c>
      <c r="Y634" s="558" t="s">
        <v>9300</v>
      </c>
      <c r="Z634" s="558"/>
      <c r="AA634" s="558"/>
      <c r="AB634" s="558" t="s">
        <v>9311</v>
      </c>
      <c r="AC634" s="558"/>
      <c r="AD634" s="558"/>
      <c r="AE634" s="558"/>
      <c r="AF634" s="558"/>
      <c r="AG634" s="558"/>
      <c r="AH634" s="558" t="s">
        <v>4714</v>
      </c>
      <c r="AI634" s="558" t="s">
        <v>25445</v>
      </c>
      <c r="AJ634" s="601" t="str">
        <f t="shared" si="18"/>
        <v>311509</v>
      </c>
      <c r="AK634" s="601">
        <v>1</v>
      </c>
      <c r="AL634" s="601">
        <f t="shared" si="19"/>
        <v>1</v>
      </c>
      <c r="AM634" s="601">
        <v>1</v>
      </c>
      <c r="AN634" s="603" t="s">
        <v>17650</v>
      </c>
      <c r="AO634" s="603" t="s">
        <v>17651</v>
      </c>
      <c r="AP634" s="603" t="s">
        <v>17652</v>
      </c>
      <c r="AQ634" s="603" t="s">
        <v>17653</v>
      </c>
      <c r="AR634" s="603" t="s">
        <v>1024</v>
      </c>
      <c r="AS634" s="558">
        <v>1</v>
      </c>
    </row>
    <row r="635" spans="1:45" x14ac:dyDescent="0.2">
      <c r="A635" s="558" t="s">
        <v>23596</v>
      </c>
      <c r="B635" s="558" t="s">
        <v>1055</v>
      </c>
      <c r="C635" s="558" t="s">
        <v>25449</v>
      </c>
      <c r="D635" s="558" t="s">
        <v>23155</v>
      </c>
      <c r="E635" s="558" t="s">
        <v>192</v>
      </c>
      <c r="F635" s="563">
        <v>1</v>
      </c>
      <c r="G635" s="558" t="s">
        <v>193</v>
      </c>
      <c r="H635" s="558" t="s">
        <v>194</v>
      </c>
      <c r="I635" s="558" t="s">
        <v>23158</v>
      </c>
      <c r="J635" s="558" t="s">
        <v>210</v>
      </c>
      <c r="K635" s="558" t="s">
        <v>9309</v>
      </c>
      <c r="L635" s="558" t="s">
        <v>6955</v>
      </c>
      <c r="M635" s="558"/>
      <c r="N635" s="558" t="s">
        <v>25450</v>
      </c>
      <c r="O635" s="558" t="s">
        <v>6921</v>
      </c>
      <c r="P635" s="558" t="s">
        <v>25402</v>
      </c>
      <c r="Q635" s="558" t="s">
        <v>23266</v>
      </c>
      <c r="R635" s="558" t="s">
        <v>25403</v>
      </c>
      <c r="S635" s="558" t="s">
        <v>25451</v>
      </c>
      <c r="T635" s="558" t="s">
        <v>25452</v>
      </c>
      <c r="U635" s="558"/>
      <c r="V635" s="558" t="s">
        <v>9334</v>
      </c>
      <c r="W635" s="558" t="s">
        <v>25453</v>
      </c>
      <c r="X635" s="558" t="s">
        <v>194</v>
      </c>
      <c r="Y635" s="558" t="s">
        <v>9300</v>
      </c>
      <c r="Z635" s="558"/>
      <c r="AA635" s="558"/>
      <c r="AB635" s="558" t="s">
        <v>9311</v>
      </c>
      <c r="AC635" s="558"/>
      <c r="AD635" s="558"/>
      <c r="AE635" s="558"/>
      <c r="AF635" s="558"/>
      <c r="AG635" s="558"/>
      <c r="AH635" s="558" t="s">
        <v>4714</v>
      </c>
      <c r="AI635" s="558" t="s">
        <v>1055</v>
      </c>
      <c r="AJ635" s="601" t="str">
        <f t="shared" si="18"/>
        <v>251990</v>
      </c>
      <c r="AK635" s="601">
        <v>1</v>
      </c>
      <c r="AL635" s="601">
        <f t="shared" si="19"/>
        <v>1</v>
      </c>
      <c r="AM635" s="601">
        <v>1</v>
      </c>
      <c r="AN635" s="603" t="s">
        <v>17650</v>
      </c>
      <c r="AO635" s="603" t="s">
        <v>17651</v>
      </c>
      <c r="AP635" s="603" t="s">
        <v>17652</v>
      </c>
      <c r="AQ635" s="603" t="s">
        <v>17653</v>
      </c>
      <c r="AR635" s="603" t="s">
        <v>1024</v>
      </c>
      <c r="AS635" s="558">
        <v>1</v>
      </c>
    </row>
    <row r="636" spans="1:45" x14ac:dyDescent="0.2">
      <c r="A636" s="558" t="s">
        <v>324</v>
      </c>
      <c r="B636" s="558" t="s">
        <v>25454</v>
      </c>
      <c r="C636" s="558" t="s">
        <v>43</v>
      </c>
      <c r="D636" s="558" t="s">
        <v>23155</v>
      </c>
      <c r="E636" s="558" t="s">
        <v>192</v>
      </c>
      <c r="F636" s="563">
        <v>1</v>
      </c>
      <c r="G636" s="558" t="s">
        <v>193</v>
      </c>
      <c r="H636" s="558" t="s">
        <v>194</v>
      </c>
      <c r="I636" s="558" t="s">
        <v>23158</v>
      </c>
      <c r="J636" s="558" t="s">
        <v>285</v>
      </c>
      <c r="K636" s="558" t="s">
        <v>9309</v>
      </c>
      <c r="L636" s="558" t="s">
        <v>6955</v>
      </c>
      <c r="M636" s="558"/>
      <c r="N636" s="558" t="s">
        <v>25455</v>
      </c>
      <c r="O636" s="558" t="s">
        <v>6363</v>
      </c>
      <c r="P636" s="558" t="s">
        <v>25402</v>
      </c>
      <c r="Q636" s="558" t="s">
        <v>23266</v>
      </c>
      <c r="R636" s="558" t="s">
        <v>25403</v>
      </c>
      <c r="S636" s="558" t="s">
        <v>25456</v>
      </c>
      <c r="T636" s="558" t="s">
        <v>25457</v>
      </c>
      <c r="U636" s="558"/>
      <c r="V636" s="558" t="s">
        <v>9518</v>
      </c>
      <c r="W636" s="558" t="s">
        <v>452</v>
      </c>
      <c r="X636" s="558" t="s">
        <v>194</v>
      </c>
      <c r="Y636" s="558" t="s">
        <v>9300</v>
      </c>
      <c r="Z636" s="558"/>
      <c r="AA636" s="558"/>
      <c r="AB636" s="558" t="s">
        <v>9311</v>
      </c>
      <c r="AC636" s="558"/>
      <c r="AD636" s="558"/>
      <c r="AE636" s="558"/>
      <c r="AF636" s="558"/>
      <c r="AG636" s="558"/>
      <c r="AH636" s="558" t="s">
        <v>4714</v>
      </c>
      <c r="AI636" s="558" t="s">
        <v>25454</v>
      </c>
      <c r="AJ636" s="601" t="str">
        <f t="shared" si="18"/>
        <v>243106</v>
      </c>
      <c r="AK636" s="601">
        <v>1</v>
      </c>
      <c r="AL636" s="601">
        <f t="shared" si="19"/>
        <v>1</v>
      </c>
      <c r="AM636" s="601">
        <v>1</v>
      </c>
      <c r="AN636" s="603" t="s">
        <v>17650</v>
      </c>
      <c r="AO636" s="603" t="s">
        <v>17651</v>
      </c>
      <c r="AP636" s="603" t="s">
        <v>17652</v>
      </c>
      <c r="AQ636" s="603" t="s">
        <v>17653</v>
      </c>
      <c r="AR636" s="603" t="s">
        <v>1024</v>
      </c>
      <c r="AS636" s="558">
        <v>1</v>
      </c>
    </row>
    <row r="637" spans="1:45" x14ac:dyDescent="0.2">
      <c r="A637" s="558" t="s">
        <v>816</v>
      </c>
      <c r="B637" s="558" t="s">
        <v>25458</v>
      </c>
      <c r="C637" s="558" t="s">
        <v>9085</v>
      </c>
      <c r="D637" s="558" t="s">
        <v>23155</v>
      </c>
      <c r="E637" s="558" t="s">
        <v>192</v>
      </c>
      <c r="F637" s="563">
        <v>1</v>
      </c>
      <c r="G637" s="558" t="s">
        <v>193</v>
      </c>
      <c r="H637" s="558" t="s">
        <v>194</v>
      </c>
      <c r="I637" s="558" t="s">
        <v>23186</v>
      </c>
      <c r="J637" s="558" t="s">
        <v>253</v>
      </c>
      <c r="K637" s="558" t="s">
        <v>9309</v>
      </c>
      <c r="L637" s="558" t="s">
        <v>6955</v>
      </c>
      <c r="M637" s="558"/>
      <c r="N637" s="558" t="s">
        <v>25459</v>
      </c>
      <c r="O637" s="558" t="s">
        <v>6258</v>
      </c>
      <c r="P637" s="558" t="s">
        <v>25402</v>
      </c>
      <c r="Q637" s="558" t="s">
        <v>23266</v>
      </c>
      <c r="R637" s="558" t="s">
        <v>25403</v>
      </c>
      <c r="S637" s="558" t="s">
        <v>25460</v>
      </c>
      <c r="T637" s="558" t="s">
        <v>25461</v>
      </c>
      <c r="U637" s="558"/>
      <c r="V637" s="558" t="s">
        <v>9468</v>
      </c>
      <c r="W637" s="558" t="s">
        <v>799</v>
      </c>
      <c r="X637" s="558" t="s">
        <v>194</v>
      </c>
      <c r="Y637" s="558" t="s">
        <v>9300</v>
      </c>
      <c r="Z637" s="558"/>
      <c r="AA637" s="558"/>
      <c r="AB637" s="558" t="s">
        <v>9311</v>
      </c>
      <c r="AC637" s="558"/>
      <c r="AD637" s="558"/>
      <c r="AE637" s="558"/>
      <c r="AF637" s="558"/>
      <c r="AG637" s="558"/>
      <c r="AH637" s="558" t="s">
        <v>4714</v>
      </c>
      <c r="AI637" s="558" t="s">
        <v>25458</v>
      </c>
      <c r="AJ637" s="601" t="str">
        <f t="shared" si="18"/>
        <v>722204</v>
      </c>
      <c r="AK637" s="601">
        <v>1</v>
      </c>
      <c r="AL637" s="601">
        <f t="shared" si="19"/>
        <v>1</v>
      </c>
      <c r="AM637" s="601">
        <v>1</v>
      </c>
      <c r="AN637" s="603" t="s">
        <v>17650</v>
      </c>
      <c r="AO637" s="603" t="s">
        <v>17651</v>
      </c>
      <c r="AP637" s="603" t="s">
        <v>17652</v>
      </c>
      <c r="AQ637" s="603" t="s">
        <v>17653</v>
      </c>
      <c r="AR637" s="603" t="s">
        <v>1024</v>
      </c>
      <c r="AS637" s="558">
        <v>1</v>
      </c>
    </row>
    <row r="638" spans="1:45" x14ac:dyDescent="0.2">
      <c r="A638" s="558" t="s">
        <v>324</v>
      </c>
      <c r="B638" s="558" t="s">
        <v>25454</v>
      </c>
      <c r="C638" s="558" t="s">
        <v>43</v>
      </c>
      <c r="D638" s="558" t="s">
        <v>23155</v>
      </c>
      <c r="E638" s="558" t="s">
        <v>192</v>
      </c>
      <c r="F638" s="563">
        <v>1</v>
      </c>
      <c r="G638" s="558" t="s">
        <v>193</v>
      </c>
      <c r="H638" s="558" t="s">
        <v>194</v>
      </c>
      <c r="I638" s="558" t="s">
        <v>23158</v>
      </c>
      <c r="J638" s="558" t="s">
        <v>6145</v>
      </c>
      <c r="K638" s="558" t="s">
        <v>9309</v>
      </c>
      <c r="L638" s="558" t="s">
        <v>6955</v>
      </c>
      <c r="M638" s="558"/>
      <c r="N638" s="558" t="s">
        <v>25462</v>
      </c>
      <c r="O638" s="558" t="s">
        <v>6363</v>
      </c>
      <c r="P638" s="558" t="s">
        <v>25402</v>
      </c>
      <c r="Q638" s="558" t="s">
        <v>23266</v>
      </c>
      <c r="R638" s="558" t="s">
        <v>25403</v>
      </c>
      <c r="S638" s="558" t="s">
        <v>25463</v>
      </c>
      <c r="T638" s="558" t="s">
        <v>25464</v>
      </c>
      <c r="U638" s="558"/>
      <c r="V638" s="558" t="s">
        <v>9514</v>
      </c>
      <c r="W638" s="558" t="s">
        <v>452</v>
      </c>
      <c r="X638" s="558" t="s">
        <v>194</v>
      </c>
      <c r="Y638" s="558" t="s">
        <v>9300</v>
      </c>
      <c r="Z638" s="558"/>
      <c r="AA638" s="558"/>
      <c r="AB638" s="558" t="s">
        <v>9311</v>
      </c>
      <c r="AC638" s="558"/>
      <c r="AD638" s="558"/>
      <c r="AE638" s="558"/>
      <c r="AF638" s="558"/>
      <c r="AG638" s="558"/>
      <c r="AH638" s="558" t="s">
        <v>4714</v>
      </c>
      <c r="AI638" s="558" t="s">
        <v>25454</v>
      </c>
      <c r="AJ638" s="601" t="str">
        <f t="shared" si="18"/>
        <v>243106</v>
      </c>
      <c r="AK638" s="601">
        <v>1</v>
      </c>
      <c r="AL638" s="601">
        <f t="shared" si="19"/>
        <v>1</v>
      </c>
      <c r="AM638" s="601">
        <v>1</v>
      </c>
      <c r="AN638" s="603" t="s">
        <v>17650</v>
      </c>
      <c r="AO638" s="603" t="s">
        <v>17651</v>
      </c>
      <c r="AP638" s="603" t="s">
        <v>17652</v>
      </c>
      <c r="AQ638" s="603" t="s">
        <v>17653</v>
      </c>
      <c r="AR638" s="603" t="s">
        <v>1024</v>
      </c>
      <c r="AS638" s="558">
        <v>1</v>
      </c>
    </row>
    <row r="639" spans="1:45" x14ac:dyDescent="0.2">
      <c r="A639" s="558" t="s">
        <v>25406</v>
      </c>
      <c r="B639" s="558" t="s">
        <v>25465</v>
      </c>
      <c r="C639" s="558" t="s">
        <v>20</v>
      </c>
      <c r="D639" s="558" t="s">
        <v>23155</v>
      </c>
      <c r="E639" s="558" t="s">
        <v>192</v>
      </c>
      <c r="F639" s="563">
        <v>1</v>
      </c>
      <c r="G639" s="558" t="s">
        <v>193</v>
      </c>
      <c r="H639" s="558" t="s">
        <v>194</v>
      </c>
      <c r="I639" s="558" t="s">
        <v>23158</v>
      </c>
      <c r="J639" s="558" t="s">
        <v>672</v>
      </c>
      <c r="K639" s="558" t="s">
        <v>9309</v>
      </c>
      <c r="L639" s="558" t="s">
        <v>6955</v>
      </c>
      <c r="M639" s="558"/>
      <c r="N639" s="558" t="s">
        <v>25466</v>
      </c>
      <c r="O639" s="558" t="s">
        <v>6275</v>
      </c>
      <c r="P639" s="558" t="s">
        <v>25402</v>
      </c>
      <c r="Q639" s="558" t="s">
        <v>23266</v>
      </c>
      <c r="R639" s="558" t="s">
        <v>25403</v>
      </c>
      <c r="S639" s="558" t="s">
        <v>25467</v>
      </c>
      <c r="T639" s="558" t="s">
        <v>25468</v>
      </c>
      <c r="U639" s="558"/>
      <c r="V639" s="558" t="s">
        <v>9726</v>
      </c>
      <c r="W639" s="558" t="s">
        <v>286</v>
      </c>
      <c r="X639" s="558" t="s">
        <v>194</v>
      </c>
      <c r="Y639" s="558" t="s">
        <v>9300</v>
      </c>
      <c r="Z639" s="558"/>
      <c r="AA639" s="558"/>
      <c r="AB639" s="558" t="s">
        <v>9311</v>
      </c>
      <c r="AC639" s="558"/>
      <c r="AD639" s="558"/>
      <c r="AE639" s="558"/>
      <c r="AF639" s="558"/>
      <c r="AG639" s="558"/>
      <c r="AH639" s="558" t="s">
        <v>4714</v>
      </c>
      <c r="AI639" s="558" t="s">
        <v>25465</v>
      </c>
      <c r="AJ639" s="601" t="str">
        <f t="shared" si="18"/>
        <v>214109</v>
      </c>
      <c r="AK639" s="601">
        <v>1</v>
      </c>
      <c r="AL639" s="601">
        <f t="shared" si="19"/>
        <v>1</v>
      </c>
      <c r="AM639" s="601">
        <v>1</v>
      </c>
      <c r="AN639" s="603" t="s">
        <v>17650</v>
      </c>
      <c r="AO639" s="603" t="s">
        <v>17651</v>
      </c>
      <c r="AP639" s="603" t="s">
        <v>17652</v>
      </c>
      <c r="AQ639" s="603" t="s">
        <v>17653</v>
      </c>
      <c r="AR639" s="603" t="s">
        <v>1024</v>
      </c>
      <c r="AS639" s="558">
        <v>1</v>
      </c>
    </row>
    <row r="640" spans="1:45" x14ac:dyDescent="0.2">
      <c r="A640" s="558" t="s">
        <v>15250</v>
      </c>
      <c r="B640" s="558" t="s">
        <v>25469</v>
      </c>
      <c r="C640" s="558" t="s">
        <v>46</v>
      </c>
      <c r="D640" s="558" t="s">
        <v>23155</v>
      </c>
      <c r="E640" s="558" t="s">
        <v>192</v>
      </c>
      <c r="F640" s="563">
        <v>1</v>
      </c>
      <c r="G640" s="558" t="s">
        <v>193</v>
      </c>
      <c r="H640" s="558" t="s">
        <v>194</v>
      </c>
      <c r="I640" s="558" t="s">
        <v>24551</v>
      </c>
      <c r="J640" s="558" t="s">
        <v>301</v>
      </c>
      <c r="K640" s="558" t="s">
        <v>9309</v>
      </c>
      <c r="L640" s="558" t="s">
        <v>6955</v>
      </c>
      <c r="M640" s="558"/>
      <c r="N640" s="558" t="s">
        <v>25470</v>
      </c>
      <c r="O640" s="558" t="s">
        <v>6921</v>
      </c>
      <c r="P640" s="558" t="s">
        <v>25402</v>
      </c>
      <c r="Q640" s="558" t="s">
        <v>23266</v>
      </c>
      <c r="R640" s="558" t="s">
        <v>25403</v>
      </c>
      <c r="S640" s="558" t="s">
        <v>25471</v>
      </c>
      <c r="T640" s="558" t="s">
        <v>25472</v>
      </c>
      <c r="U640" s="558"/>
      <c r="V640" s="558" t="s">
        <v>9367</v>
      </c>
      <c r="W640" s="558" t="s">
        <v>510</v>
      </c>
      <c r="X640" s="558" t="s">
        <v>194</v>
      </c>
      <c r="Y640" s="558" t="s">
        <v>9300</v>
      </c>
      <c r="Z640" s="558"/>
      <c r="AA640" s="558"/>
      <c r="AB640" s="558" t="s">
        <v>9311</v>
      </c>
      <c r="AC640" s="558"/>
      <c r="AD640" s="558"/>
      <c r="AE640" s="558"/>
      <c r="AF640" s="558"/>
      <c r="AG640" s="558"/>
      <c r="AH640" s="558" t="s">
        <v>4714</v>
      </c>
      <c r="AI640" s="558" t="s">
        <v>25469</v>
      </c>
      <c r="AJ640" s="601" t="str">
        <f t="shared" si="18"/>
        <v>252201</v>
      </c>
      <c r="AK640" s="601">
        <v>1</v>
      </c>
      <c r="AL640" s="601">
        <f>F640</f>
        <v>1</v>
      </c>
      <c r="AM640" s="601">
        <v>1</v>
      </c>
      <c r="AN640" s="603" t="s">
        <v>17650</v>
      </c>
      <c r="AO640" s="603" t="s">
        <v>17651</v>
      </c>
      <c r="AP640" s="603" t="s">
        <v>17652</v>
      </c>
      <c r="AQ640" s="603" t="s">
        <v>17653</v>
      </c>
      <c r="AR640" s="603" t="s">
        <v>1024</v>
      </c>
      <c r="AS640" s="558">
        <v>1</v>
      </c>
    </row>
    <row r="641" spans="1:45" x14ac:dyDescent="0.2">
      <c r="A641" s="558" t="s">
        <v>2009</v>
      </c>
      <c r="B641" s="558" t="s">
        <v>25473</v>
      </c>
      <c r="C641" s="558" t="s">
        <v>43</v>
      </c>
      <c r="D641" s="558" t="s">
        <v>23155</v>
      </c>
      <c r="E641" s="558" t="s">
        <v>192</v>
      </c>
      <c r="F641" s="563">
        <v>1</v>
      </c>
      <c r="G641" s="558" t="s">
        <v>193</v>
      </c>
      <c r="H641" s="558" t="s">
        <v>194</v>
      </c>
      <c r="I641" s="558" t="s">
        <v>24551</v>
      </c>
      <c r="J641" s="558" t="s">
        <v>722</v>
      </c>
      <c r="K641" s="558" t="s">
        <v>9309</v>
      </c>
      <c r="L641" s="558" t="s">
        <v>6955</v>
      </c>
      <c r="M641" s="558"/>
      <c r="N641" s="558" t="s">
        <v>25474</v>
      </c>
      <c r="O641" s="558" t="s">
        <v>6266</v>
      </c>
      <c r="P641" s="558" t="s">
        <v>25402</v>
      </c>
      <c r="Q641" s="558" t="s">
        <v>23266</v>
      </c>
      <c r="R641" s="558" t="s">
        <v>25403</v>
      </c>
      <c r="S641" s="558" t="s">
        <v>25475</v>
      </c>
      <c r="T641" s="558" t="s">
        <v>25476</v>
      </c>
      <c r="U641" s="558"/>
      <c r="V641" s="558" t="s">
        <v>9726</v>
      </c>
      <c r="W641" s="558" t="s">
        <v>452</v>
      </c>
      <c r="X641" s="558" t="s">
        <v>194</v>
      </c>
      <c r="Y641" s="558" t="s">
        <v>9300</v>
      </c>
      <c r="Z641" s="558"/>
      <c r="AA641" s="558"/>
      <c r="AB641" s="558" t="s">
        <v>9311</v>
      </c>
      <c r="AC641" s="558"/>
      <c r="AD641" s="558"/>
      <c r="AE641" s="558"/>
      <c r="AF641" s="558"/>
      <c r="AG641" s="558"/>
      <c r="AH641" s="558" t="s">
        <v>4714</v>
      </c>
      <c r="AI641" s="558" t="s">
        <v>25473</v>
      </c>
      <c r="AJ641" s="601" t="str">
        <f t="shared" si="18"/>
        <v>243106</v>
      </c>
      <c r="AK641" s="601">
        <v>1</v>
      </c>
      <c r="AL641" s="601">
        <f>F641</f>
        <v>1</v>
      </c>
      <c r="AM641" s="601">
        <v>1</v>
      </c>
      <c r="AN641" s="603" t="s">
        <v>17650</v>
      </c>
      <c r="AO641" s="603" t="s">
        <v>17651</v>
      </c>
      <c r="AP641" s="603" t="s">
        <v>17652</v>
      </c>
      <c r="AQ641" s="603" t="s">
        <v>17653</v>
      </c>
      <c r="AR641" s="603" t="s">
        <v>1024</v>
      </c>
      <c r="AS641" s="558">
        <v>1</v>
      </c>
    </row>
    <row r="642" spans="1:45" x14ac:dyDescent="0.2">
      <c r="A642" s="558" t="s">
        <v>10416</v>
      </c>
      <c r="B642" s="558" t="s">
        <v>1768</v>
      </c>
      <c r="C642" s="558" t="s">
        <v>420</v>
      </c>
      <c r="D642" s="558" t="s">
        <v>23155</v>
      </c>
      <c r="E642" s="558" t="s">
        <v>192</v>
      </c>
      <c r="F642" s="563">
        <v>1</v>
      </c>
      <c r="G642" s="558" t="s">
        <v>193</v>
      </c>
      <c r="H642" s="558" t="s">
        <v>194</v>
      </c>
      <c r="I642" s="558" t="s">
        <v>23151</v>
      </c>
      <c r="J642" s="558" t="s">
        <v>6491</v>
      </c>
      <c r="K642" s="558" t="s">
        <v>9309</v>
      </c>
      <c r="L642" s="558" t="s">
        <v>6955</v>
      </c>
      <c r="M642" s="558"/>
      <c r="N642" s="558" t="s">
        <v>25477</v>
      </c>
      <c r="O642" s="558" t="s">
        <v>7531</v>
      </c>
      <c r="P642" s="558" t="s">
        <v>25402</v>
      </c>
      <c r="Q642" s="558" t="s">
        <v>23266</v>
      </c>
      <c r="R642" s="558" t="s">
        <v>25478</v>
      </c>
      <c r="S642" s="558" t="s">
        <v>25479</v>
      </c>
      <c r="T642" s="558" t="s">
        <v>25480</v>
      </c>
      <c r="U642" s="558"/>
      <c r="V642" s="558" t="s">
        <v>9726</v>
      </c>
      <c r="W642" s="558" t="s">
        <v>421</v>
      </c>
      <c r="X642" s="558" t="s">
        <v>194</v>
      </c>
      <c r="Y642" s="558" t="s">
        <v>9300</v>
      </c>
      <c r="Z642" s="558"/>
      <c r="AA642" s="558"/>
      <c r="AB642" s="558" t="s">
        <v>9311</v>
      </c>
      <c r="AC642" s="558"/>
      <c r="AD642" s="558"/>
      <c r="AE642" s="558"/>
      <c r="AF642" s="558"/>
      <c r="AG642" s="558"/>
      <c r="AH642" s="558" t="s">
        <v>4714</v>
      </c>
      <c r="AI642" s="558" t="s">
        <v>1768</v>
      </c>
      <c r="AJ642" s="601" t="str">
        <f t="shared" si="18"/>
        <v>241306</v>
      </c>
      <c r="AK642" s="601">
        <v>1</v>
      </c>
      <c r="AL642" s="601">
        <f t="shared" si="19"/>
        <v>1</v>
      </c>
      <c r="AM642" s="601">
        <v>1</v>
      </c>
      <c r="AN642" s="603" t="s">
        <v>17650</v>
      </c>
      <c r="AO642" s="603" t="s">
        <v>17651</v>
      </c>
      <c r="AP642" s="603" t="s">
        <v>17652</v>
      </c>
      <c r="AQ642" s="603" t="s">
        <v>17653</v>
      </c>
      <c r="AR642" s="603" t="s">
        <v>1024</v>
      </c>
      <c r="AS642" s="558">
        <v>1</v>
      </c>
    </row>
    <row r="643" spans="1:45" x14ac:dyDescent="0.2">
      <c r="A643" s="558" t="s">
        <v>2009</v>
      </c>
      <c r="B643" s="558" t="s">
        <v>25473</v>
      </c>
      <c r="C643" s="558" t="s">
        <v>43</v>
      </c>
      <c r="D643" s="558" t="s">
        <v>23155</v>
      </c>
      <c r="E643" s="558" t="s">
        <v>192</v>
      </c>
      <c r="F643" s="563">
        <v>1</v>
      </c>
      <c r="G643" s="558" t="s">
        <v>193</v>
      </c>
      <c r="H643" s="558" t="s">
        <v>194</v>
      </c>
      <c r="I643" s="558" t="s">
        <v>24551</v>
      </c>
      <c r="J643" s="558" t="s">
        <v>755</v>
      </c>
      <c r="K643" s="558" t="s">
        <v>9309</v>
      </c>
      <c r="L643" s="558" t="s">
        <v>6955</v>
      </c>
      <c r="M643" s="558"/>
      <c r="N643" s="558" t="s">
        <v>25481</v>
      </c>
      <c r="O643" s="558" t="s">
        <v>6266</v>
      </c>
      <c r="P643" s="558" t="s">
        <v>25402</v>
      </c>
      <c r="Q643" s="558" t="s">
        <v>23266</v>
      </c>
      <c r="R643" s="558" t="s">
        <v>25403</v>
      </c>
      <c r="S643" s="558" t="s">
        <v>25482</v>
      </c>
      <c r="T643" s="558" t="s">
        <v>25483</v>
      </c>
      <c r="U643" s="558"/>
      <c r="V643" s="558" t="s">
        <v>9726</v>
      </c>
      <c r="W643" s="558" t="s">
        <v>452</v>
      </c>
      <c r="X643" s="558" t="s">
        <v>194</v>
      </c>
      <c r="Y643" s="558" t="s">
        <v>9300</v>
      </c>
      <c r="Z643" s="558"/>
      <c r="AA643" s="558"/>
      <c r="AB643" s="558" t="s">
        <v>9311</v>
      </c>
      <c r="AC643" s="558"/>
      <c r="AD643" s="558"/>
      <c r="AE643" s="558"/>
      <c r="AF643" s="558"/>
      <c r="AG643" s="558"/>
      <c r="AH643" s="558" t="s">
        <v>4714</v>
      </c>
      <c r="AI643" s="558" t="s">
        <v>25473</v>
      </c>
      <c r="AJ643" s="601" t="str">
        <f t="shared" ref="AJ643:AJ704" si="20">MID(W643,8,6)</f>
        <v>243106</v>
      </c>
      <c r="AK643" s="601">
        <v>1</v>
      </c>
      <c r="AL643" s="601">
        <f t="shared" ref="AL643:AL704" si="21">F643</f>
        <v>1</v>
      </c>
      <c r="AM643" s="601">
        <v>1</v>
      </c>
      <c r="AN643" s="603" t="s">
        <v>17650</v>
      </c>
      <c r="AO643" s="603" t="s">
        <v>17651</v>
      </c>
      <c r="AP643" s="603" t="s">
        <v>17652</v>
      </c>
      <c r="AQ643" s="603" t="s">
        <v>17653</v>
      </c>
      <c r="AR643" s="603" t="s">
        <v>1024</v>
      </c>
      <c r="AS643" s="558">
        <v>1</v>
      </c>
    </row>
    <row r="644" spans="1:45" x14ac:dyDescent="0.2">
      <c r="A644" s="558" t="s">
        <v>7674</v>
      </c>
      <c r="B644" s="558" t="s">
        <v>25484</v>
      </c>
      <c r="C644" s="558" t="s">
        <v>1136</v>
      </c>
      <c r="D644" s="558" t="s">
        <v>23155</v>
      </c>
      <c r="E644" s="558" t="s">
        <v>192</v>
      </c>
      <c r="F644" s="563">
        <v>1</v>
      </c>
      <c r="G644" s="558" t="s">
        <v>193</v>
      </c>
      <c r="H644" s="558" t="s">
        <v>194</v>
      </c>
      <c r="I644" s="558" t="s">
        <v>24551</v>
      </c>
      <c r="J644" s="558" t="s">
        <v>210</v>
      </c>
      <c r="K644" s="558" t="s">
        <v>9309</v>
      </c>
      <c r="L644" s="558" t="s">
        <v>6955</v>
      </c>
      <c r="M644" s="558"/>
      <c r="N644" s="558" t="s">
        <v>25485</v>
      </c>
      <c r="O644" s="558" t="s">
        <v>6340</v>
      </c>
      <c r="P644" s="558" t="s">
        <v>25402</v>
      </c>
      <c r="Q644" s="558" t="s">
        <v>23266</v>
      </c>
      <c r="R644" s="558" t="s">
        <v>25403</v>
      </c>
      <c r="S644" s="558" t="s">
        <v>25486</v>
      </c>
      <c r="T644" s="558" t="s">
        <v>25487</v>
      </c>
      <c r="U644" s="558"/>
      <c r="V644" s="558" t="s">
        <v>9334</v>
      </c>
      <c r="W644" s="558" t="s">
        <v>1137</v>
      </c>
      <c r="X644" s="558" t="s">
        <v>194</v>
      </c>
      <c r="Y644" s="558" t="s">
        <v>9300</v>
      </c>
      <c r="Z644" s="558"/>
      <c r="AA644" s="558"/>
      <c r="AB644" s="558" t="s">
        <v>9311</v>
      </c>
      <c r="AC644" s="558"/>
      <c r="AD644" s="558"/>
      <c r="AE644" s="558"/>
      <c r="AF644" s="558"/>
      <c r="AG644" s="558"/>
      <c r="AH644" s="558" t="s">
        <v>4714</v>
      </c>
      <c r="AI644" s="558" t="s">
        <v>25484</v>
      </c>
      <c r="AJ644" s="601" t="str">
        <f t="shared" si="20"/>
        <v>121201</v>
      </c>
      <c r="AK644" s="601">
        <v>1</v>
      </c>
      <c r="AL644" s="601">
        <f t="shared" si="21"/>
        <v>1</v>
      </c>
      <c r="AM644" s="601">
        <v>1</v>
      </c>
      <c r="AN644" s="603" t="s">
        <v>17650</v>
      </c>
      <c r="AO644" s="603" t="s">
        <v>17651</v>
      </c>
      <c r="AP644" s="603" t="s">
        <v>17652</v>
      </c>
      <c r="AQ644" s="603" t="s">
        <v>17653</v>
      </c>
      <c r="AR644" s="603" t="s">
        <v>1024</v>
      </c>
      <c r="AS644" s="558">
        <v>1</v>
      </c>
    </row>
    <row r="645" spans="1:45" x14ac:dyDescent="0.2">
      <c r="A645" s="558" t="s">
        <v>581</v>
      </c>
      <c r="B645" s="558" t="s">
        <v>25354</v>
      </c>
      <c r="C645" s="558" t="s">
        <v>85</v>
      </c>
      <c r="D645" s="558" t="s">
        <v>23155</v>
      </c>
      <c r="E645" s="558" t="s">
        <v>192</v>
      </c>
      <c r="F645" s="563">
        <v>1</v>
      </c>
      <c r="G645" s="558" t="s">
        <v>193</v>
      </c>
      <c r="H645" s="558" t="s">
        <v>194</v>
      </c>
      <c r="I645" s="558" t="s">
        <v>23164</v>
      </c>
      <c r="J645" s="558" t="s">
        <v>210</v>
      </c>
      <c r="K645" s="558" t="s">
        <v>9309</v>
      </c>
      <c r="L645" s="558" t="s">
        <v>6955</v>
      </c>
      <c r="M645" s="558"/>
      <c r="N645" s="558" t="s">
        <v>25488</v>
      </c>
      <c r="O645" s="558" t="s">
        <v>6245</v>
      </c>
      <c r="P645" s="558" t="s">
        <v>25402</v>
      </c>
      <c r="Q645" s="558" t="s">
        <v>23266</v>
      </c>
      <c r="R645" s="558" t="s">
        <v>25403</v>
      </c>
      <c r="S645" s="558" t="s">
        <v>25489</v>
      </c>
      <c r="T645" s="558" t="s">
        <v>25490</v>
      </c>
      <c r="U645" s="558"/>
      <c r="V645" s="558" t="s">
        <v>9334</v>
      </c>
      <c r="W645" s="558" t="s">
        <v>477</v>
      </c>
      <c r="X645" s="558" t="s">
        <v>194</v>
      </c>
      <c r="Y645" s="558" t="s">
        <v>9300</v>
      </c>
      <c r="Z645" s="558"/>
      <c r="AA645" s="558"/>
      <c r="AB645" s="558" t="s">
        <v>9311</v>
      </c>
      <c r="AC645" s="558"/>
      <c r="AD645" s="558"/>
      <c r="AE645" s="558"/>
      <c r="AF645" s="558"/>
      <c r="AG645" s="558"/>
      <c r="AH645" s="558" t="s">
        <v>4714</v>
      </c>
      <c r="AI645" s="558" t="s">
        <v>25354</v>
      </c>
      <c r="AJ645" s="601" t="str">
        <f t="shared" si="20"/>
        <v>243305</v>
      </c>
      <c r="AK645" s="601">
        <v>1</v>
      </c>
      <c r="AL645" s="601">
        <f t="shared" si="21"/>
        <v>1</v>
      </c>
      <c r="AM645" s="601">
        <v>1</v>
      </c>
      <c r="AN645" s="603" t="s">
        <v>17650</v>
      </c>
      <c r="AO645" s="603" t="s">
        <v>17651</v>
      </c>
      <c r="AP645" s="603" t="s">
        <v>17652</v>
      </c>
      <c r="AQ645" s="603" t="s">
        <v>17653</v>
      </c>
      <c r="AR645" s="603" t="s">
        <v>1024</v>
      </c>
      <c r="AS645" s="558">
        <v>1</v>
      </c>
    </row>
    <row r="646" spans="1:45" x14ac:dyDescent="0.2">
      <c r="A646" s="558" t="s">
        <v>15250</v>
      </c>
      <c r="B646" s="558" t="s">
        <v>15417</v>
      </c>
      <c r="C646" s="558" t="s">
        <v>4977</v>
      </c>
      <c r="D646" s="558" t="s">
        <v>23155</v>
      </c>
      <c r="E646" s="558" t="s">
        <v>192</v>
      </c>
      <c r="F646" s="563">
        <v>1</v>
      </c>
      <c r="G646" s="558" t="s">
        <v>193</v>
      </c>
      <c r="H646" s="558" t="s">
        <v>194</v>
      </c>
      <c r="I646" s="558" t="s">
        <v>24551</v>
      </c>
      <c r="J646" s="558" t="s">
        <v>301</v>
      </c>
      <c r="K646" s="558" t="s">
        <v>9309</v>
      </c>
      <c r="L646" s="558" t="s">
        <v>6955</v>
      </c>
      <c r="M646" s="558"/>
      <c r="N646" s="558" t="s">
        <v>25491</v>
      </c>
      <c r="O646" s="558" t="s">
        <v>6286</v>
      </c>
      <c r="P646" s="558" t="s">
        <v>25402</v>
      </c>
      <c r="Q646" s="558" t="s">
        <v>23266</v>
      </c>
      <c r="R646" s="558" t="s">
        <v>25403</v>
      </c>
      <c r="S646" s="558" t="s">
        <v>25492</v>
      </c>
      <c r="T646" s="558" t="s">
        <v>25493</v>
      </c>
      <c r="U646" s="558"/>
      <c r="V646" s="558" t="s">
        <v>9367</v>
      </c>
      <c r="W646" s="558" t="s">
        <v>4978</v>
      </c>
      <c r="X646" s="558" t="s">
        <v>194</v>
      </c>
      <c r="Y646" s="558" t="s">
        <v>9300</v>
      </c>
      <c r="Z646" s="558"/>
      <c r="AA646" s="558"/>
      <c r="AB646" s="558" t="s">
        <v>9311</v>
      </c>
      <c r="AC646" s="558"/>
      <c r="AD646" s="558"/>
      <c r="AE646" s="558"/>
      <c r="AF646" s="558"/>
      <c r="AG646" s="558"/>
      <c r="AH646" s="558" t="s">
        <v>4714</v>
      </c>
      <c r="AI646" s="558" t="s">
        <v>15417</v>
      </c>
      <c r="AJ646" s="601" t="str">
        <f t="shared" si="20"/>
        <v>242217</v>
      </c>
      <c r="AK646" s="601">
        <v>1</v>
      </c>
      <c r="AL646" s="601">
        <f t="shared" si="21"/>
        <v>1</v>
      </c>
      <c r="AM646" s="601">
        <v>1</v>
      </c>
      <c r="AN646" s="603" t="s">
        <v>17650</v>
      </c>
      <c r="AO646" s="603" t="s">
        <v>17651</v>
      </c>
      <c r="AP646" s="603" t="s">
        <v>17652</v>
      </c>
      <c r="AQ646" s="603" t="s">
        <v>17653</v>
      </c>
      <c r="AR646" s="603" t="s">
        <v>1024</v>
      </c>
      <c r="AS646" s="558">
        <v>1</v>
      </c>
    </row>
    <row r="647" spans="1:45" x14ac:dyDescent="0.2">
      <c r="A647" s="558" t="s">
        <v>25494</v>
      </c>
      <c r="B647" s="558" t="s">
        <v>25495</v>
      </c>
      <c r="C647" s="558" t="s">
        <v>354</v>
      </c>
      <c r="D647" s="558" t="s">
        <v>23155</v>
      </c>
      <c r="E647" s="558" t="s">
        <v>192</v>
      </c>
      <c r="F647" s="563">
        <v>1</v>
      </c>
      <c r="G647" s="558" t="s">
        <v>193</v>
      </c>
      <c r="H647" s="558" t="s">
        <v>194</v>
      </c>
      <c r="I647" s="558" t="s">
        <v>24551</v>
      </c>
      <c r="J647" s="558" t="s">
        <v>210</v>
      </c>
      <c r="K647" s="558" t="s">
        <v>9309</v>
      </c>
      <c r="L647" s="558" t="s">
        <v>6955</v>
      </c>
      <c r="M647" s="558"/>
      <c r="N647" s="558" t="s">
        <v>25496</v>
      </c>
      <c r="O647" s="558" t="s">
        <v>6245</v>
      </c>
      <c r="P647" s="558" t="s">
        <v>25402</v>
      </c>
      <c r="Q647" s="558" t="s">
        <v>23266</v>
      </c>
      <c r="R647" s="558" t="s">
        <v>25403</v>
      </c>
      <c r="S647" s="558" t="s">
        <v>25497</v>
      </c>
      <c r="T647" s="558" t="s">
        <v>25498</v>
      </c>
      <c r="U647" s="558"/>
      <c r="V647" s="558" t="s">
        <v>9334</v>
      </c>
      <c r="W647" s="558" t="s">
        <v>355</v>
      </c>
      <c r="X647" s="558" t="s">
        <v>194</v>
      </c>
      <c r="Y647" s="558" t="s">
        <v>9300</v>
      </c>
      <c r="Z647" s="558"/>
      <c r="AA647" s="558"/>
      <c r="AB647" s="558" t="s">
        <v>9311</v>
      </c>
      <c r="AC647" s="558"/>
      <c r="AD647" s="558"/>
      <c r="AE647" s="558"/>
      <c r="AF647" s="558"/>
      <c r="AG647" s="558"/>
      <c r="AH647" s="558" t="s">
        <v>4714</v>
      </c>
      <c r="AI647" s="558" t="s">
        <v>25495</v>
      </c>
      <c r="AJ647" s="601" t="str">
        <f t="shared" si="20"/>
        <v>215103</v>
      </c>
      <c r="AK647" s="601">
        <v>1</v>
      </c>
      <c r="AL647" s="601">
        <f t="shared" si="21"/>
        <v>1</v>
      </c>
      <c r="AM647" s="601">
        <v>1</v>
      </c>
      <c r="AN647" s="603" t="s">
        <v>17650</v>
      </c>
      <c r="AO647" s="603" t="s">
        <v>17651</v>
      </c>
      <c r="AP647" s="603" t="s">
        <v>17652</v>
      </c>
      <c r="AQ647" s="603" t="s">
        <v>17653</v>
      </c>
      <c r="AR647" s="603" t="s">
        <v>1024</v>
      </c>
      <c r="AS647" s="558">
        <v>1</v>
      </c>
    </row>
    <row r="648" spans="1:45" x14ac:dyDescent="0.2">
      <c r="A648" s="558" t="s">
        <v>2599</v>
      </c>
      <c r="B648" s="558" t="s">
        <v>1034</v>
      </c>
      <c r="C648" s="558" t="s">
        <v>74</v>
      </c>
      <c r="D648" s="558" t="s">
        <v>23155</v>
      </c>
      <c r="E648" s="558" t="s">
        <v>192</v>
      </c>
      <c r="F648" s="563">
        <v>1</v>
      </c>
      <c r="G648" s="558" t="s">
        <v>193</v>
      </c>
      <c r="H648" s="558" t="s">
        <v>194</v>
      </c>
      <c r="I648" s="558" t="s">
        <v>24551</v>
      </c>
      <c r="J648" s="558" t="s">
        <v>210</v>
      </c>
      <c r="K648" s="558" t="s">
        <v>9309</v>
      </c>
      <c r="L648" s="558" t="s">
        <v>6955</v>
      </c>
      <c r="M648" s="558"/>
      <c r="N648" s="558" t="s">
        <v>25499</v>
      </c>
      <c r="O648" s="558" t="s">
        <v>6249</v>
      </c>
      <c r="P648" s="558" t="s">
        <v>25402</v>
      </c>
      <c r="Q648" s="558" t="s">
        <v>23266</v>
      </c>
      <c r="R648" s="558" t="s">
        <v>25403</v>
      </c>
      <c r="S648" s="558" t="s">
        <v>25500</v>
      </c>
      <c r="T648" s="558" t="s">
        <v>25501</v>
      </c>
      <c r="U648" s="558"/>
      <c r="V648" s="558" t="s">
        <v>9334</v>
      </c>
      <c r="W648" s="558" t="s">
        <v>246</v>
      </c>
      <c r="X648" s="558" t="s">
        <v>194</v>
      </c>
      <c r="Y648" s="558" t="s">
        <v>9300</v>
      </c>
      <c r="Z648" s="558"/>
      <c r="AA648" s="558"/>
      <c r="AB648" s="558" t="s">
        <v>9311</v>
      </c>
      <c r="AC648" s="558"/>
      <c r="AD648" s="558"/>
      <c r="AE648" s="558"/>
      <c r="AF648" s="558"/>
      <c r="AG648" s="558"/>
      <c r="AH648" s="558" t="s">
        <v>4714</v>
      </c>
      <c r="AI648" s="558" t="s">
        <v>1034</v>
      </c>
      <c r="AJ648" s="601" t="str">
        <f t="shared" si="20"/>
        <v>142004</v>
      </c>
      <c r="AK648" s="601">
        <v>1</v>
      </c>
      <c r="AL648" s="601">
        <f t="shared" si="21"/>
        <v>1</v>
      </c>
      <c r="AM648" s="601">
        <v>1</v>
      </c>
      <c r="AN648" s="603" t="s">
        <v>17650</v>
      </c>
      <c r="AO648" s="603" t="s">
        <v>17651</v>
      </c>
      <c r="AP648" s="603" t="s">
        <v>17652</v>
      </c>
      <c r="AQ648" s="603" t="s">
        <v>17653</v>
      </c>
      <c r="AR648" s="603" t="s">
        <v>1024</v>
      </c>
      <c r="AS648" s="558">
        <v>1</v>
      </c>
    </row>
    <row r="649" spans="1:45" x14ac:dyDescent="0.2">
      <c r="A649" s="558" t="s">
        <v>21197</v>
      </c>
      <c r="B649" s="558" t="s">
        <v>25502</v>
      </c>
      <c r="C649" s="558" t="s">
        <v>525</v>
      </c>
      <c r="D649" s="558" t="s">
        <v>23155</v>
      </c>
      <c r="E649" s="558" t="s">
        <v>192</v>
      </c>
      <c r="F649" s="563">
        <v>1</v>
      </c>
      <c r="G649" s="558" t="s">
        <v>193</v>
      </c>
      <c r="H649" s="558" t="s">
        <v>194</v>
      </c>
      <c r="I649" s="558" t="s">
        <v>24551</v>
      </c>
      <c r="J649" s="558" t="s">
        <v>210</v>
      </c>
      <c r="K649" s="558" t="s">
        <v>9309</v>
      </c>
      <c r="L649" s="558" t="s">
        <v>6955</v>
      </c>
      <c r="M649" s="558"/>
      <c r="N649" s="558" t="s">
        <v>25503</v>
      </c>
      <c r="O649" s="558" t="s">
        <v>7531</v>
      </c>
      <c r="P649" s="558" t="s">
        <v>25402</v>
      </c>
      <c r="Q649" s="558" t="s">
        <v>23266</v>
      </c>
      <c r="R649" s="558" t="s">
        <v>25403</v>
      </c>
      <c r="S649" s="558" t="s">
        <v>25504</v>
      </c>
      <c r="T649" s="558" t="s">
        <v>25505</v>
      </c>
      <c r="U649" s="558"/>
      <c r="V649" s="558" t="s">
        <v>9334</v>
      </c>
      <c r="W649" s="558" t="s">
        <v>526</v>
      </c>
      <c r="X649" s="558" t="s">
        <v>194</v>
      </c>
      <c r="Y649" s="558" t="s">
        <v>9300</v>
      </c>
      <c r="Z649" s="558"/>
      <c r="AA649" s="558"/>
      <c r="AB649" s="558" t="s">
        <v>9311</v>
      </c>
      <c r="AC649" s="558"/>
      <c r="AD649" s="558"/>
      <c r="AE649" s="558"/>
      <c r="AF649" s="558"/>
      <c r="AG649" s="558"/>
      <c r="AH649" s="558" t="s">
        <v>4714</v>
      </c>
      <c r="AI649" s="558" t="s">
        <v>25502</v>
      </c>
      <c r="AJ649" s="601" t="str">
        <f t="shared" si="20"/>
        <v>263102</v>
      </c>
      <c r="AK649" s="601">
        <v>1</v>
      </c>
      <c r="AL649" s="601">
        <f t="shared" si="21"/>
        <v>1</v>
      </c>
      <c r="AM649" s="601">
        <v>1</v>
      </c>
      <c r="AN649" s="603" t="s">
        <v>17650</v>
      </c>
      <c r="AO649" s="603" t="s">
        <v>17651</v>
      </c>
      <c r="AP649" s="603" t="s">
        <v>17652</v>
      </c>
      <c r="AQ649" s="603" t="s">
        <v>17653</v>
      </c>
      <c r="AR649" s="603" t="s">
        <v>1024</v>
      </c>
      <c r="AS649" s="558">
        <v>1</v>
      </c>
    </row>
    <row r="650" spans="1:45" x14ac:dyDescent="0.2">
      <c r="A650" s="558" t="s">
        <v>581</v>
      </c>
      <c r="B650" s="558" t="s">
        <v>25354</v>
      </c>
      <c r="C650" s="558" t="s">
        <v>85</v>
      </c>
      <c r="D650" s="558" t="s">
        <v>23155</v>
      </c>
      <c r="E650" s="558" t="s">
        <v>192</v>
      </c>
      <c r="F650" s="563">
        <v>1</v>
      </c>
      <c r="G650" s="558" t="s">
        <v>193</v>
      </c>
      <c r="H650" s="558" t="s">
        <v>194</v>
      </c>
      <c r="I650" s="558" t="s">
        <v>23164</v>
      </c>
      <c r="J650" s="558" t="s">
        <v>1829</v>
      </c>
      <c r="K650" s="558" t="s">
        <v>9309</v>
      </c>
      <c r="L650" s="558" t="s">
        <v>6955</v>
      </c>
      <c r="M650" s="558"/>
      <c r="N650" s="558" t="s">
        <v>25506</v>
      </c>
      <c r="O650" s="558" t="s">
        <v>6245</v>
      </c>
      <c r="P650" s="558" t="s">
        <v>25402</v>
      </c>
      <c r="Q650" s="558" t="s">
        <v>23266</v>
      </c>
      <c r="R650" s="558" t="s">
        <v>25403</v>
      </c>
      <c r="S650" s="558" t="s">
        <v>25507</v>
      </c>
      <c r="T650" s="558" t="s">
        <v>25508</v>
      </c>
      <c r="U650" s="558"/>
      <c r="V650" s="558" t="s">
        <v>9726</v>
      </c>
      <c r="W650" s="558" t="s">
        <v>477</v>
      </c>
      <c r="X650" s="558" t="s">
        <v>194</v>
      </c>
      <c r="Y650" s="558" t="s">
        <v>9300</v>
      </c>
      <c r="Z650" s="558"/>
      <c r="AA650" s="558"/>
      <c r="AB650" s="558" t="s">
        <v>9311</v>
      </c>
      <c r="AC650" s="558"/>
      <c r="AD650" s="558"/>
      <c r="AE650" s="558"/>
      <c r="AF650" s="558"/>
      <c r="AG650" s="558"/>
      <c r="AH650" s="558" t="s">
        <v>4714</v>
      </c>
      <c r="AI650" s="558" t="s">
        <v>25354</v>
      </c>
      <c r="AJ650" s="601" t="str">
        <f t="shared" si="20"/>
        <v>243305</v>
      </c>
      <c r="AK650" s="601">
        <v>1</v>
      </c>
      <c r="AL650" s="601">
        <f t="shared" si="21"/>
        <v>1</v>
      </c>
      <c r="AM650" s="601">
        <v>1</v>
      </c>
      <c r="AN650" s="603" t="s">
        <v>17650</v>
      </c>
      <c r="AO650" s="603" t="s">
        <v>17651</v>
      </c>
      <c r="AP650" s="603" t="s">
        <v>17652</v>
      </c>
      <c r="AQ650" s="603" t="s">
        <v>17653</v>
      </c>
      <c r="AR650" s="603" t="s">
        <v>1024</v>
      </c>
      <c r="AS650" s="558">
        <v>1</v>
      </c>
    </row>
    <row r="651" spans="1:45" x14ac:dyDescent="0.2">
      <c r="A651" s="558" t="s">
        <v>415</v>
      </c>
      <c r="B651" s="558" t="s">
        <v>25509</v>
      </c>
      <c r="C651" s="558" t="s">
        <v>4966</v>
      </c>
      <c r="D651" s="558" t="s">
        <v>23155</v>
      </c>
      <c r="E651" s="558" t="s">
        <v>192</v>
      </c>
      <c r="F651" s="563">
        <v>1</v>
      </c>
      <c r="G651" s="558" t="s">
        <v>193</v>
      </c>
      <c r="H651" s="558" t="s">
        <v>194</v>
      </c>
      <c r="I651" s="558" t="s">
        <v>24551</v>
      </c>
      <c r="J651" s="558" t="s">
        <v>253</v>
      </c>
      <c r="K651" s="558" t="s">
        <v>9309</v>
      </c>
      <c r="L651" s="558" t="s">
        <v>6955</v>
      </c>
      <c r="M651" s="558"/>
      <c r="N651" s="558" t="s">
        <v>25510</v>
      </c>
      <c r="O651" s="558" t="s">
        <v>6254</v>
      </c>
      <c r="P651" s="558" t="s">
        <v>25402</v>
      </c>
      <c r="Q651" s="558" t="s">
        <v>23266</v>
      </c>
      <c r="R651" s="558" t="s">
        <v>25403</v>
      </c>
      <c r="S651" s="558" t="s">
        <v>25511</v>
      </c>
      <c r="T651" s="558" t="s">
        <v>25512</v>
      </c>
      <c r="U651" s="558"/>
      <c r="V651" s="558" t="s">
        <v>9468</v>
      </c>
      <c r="W651" s="558" t="s">
        <v>405</v>
      </c>
      <c r="X651" s="558" t="s">
        <v>194</v>
      </c>
      <c r="Y651" s="558" t="s">
        <v>9300</v>
      </c>
      <c r="Z651" s="558"/>
      <c r="AA651" s="558"/>
      <c r="AB651" s="558" t="s">
        <v>9311</v>
      </c>
      <c r="AC651" s="558"/>
      <c r="AD651" s="558"/>
      <c r="AE651" s="558"/>
      <c r="AF651" s="558"/>
      <c r="AG651" s="558"/>
      <c r="AH651" s="558" t="s">
        <v>4714</v>
      </c>
      <c r="AI651" s="558" t="s">
        <v>25509</v>
      </c>
      <c r="AJ651" s="601" t="str">
        <f t="shared" si="20"/>
        <v>241304</v>
      </c>
      <c r="AK651" s="601">
        <v>1</v>
      </c>
      <c r="AL651" s="601">
        <f t="shared" si="21"/>
        <v>1</v>
      </c>
      <c r="AM651" s="601">
        <v>1</v>
      </c>
      <c r="AN651" s="603" t="s">
        <v>17650</v>
      </c>
      <c r="AO651" s="603" t="s">
        <v>17651</v>
      </c>
      <c r="AP651" s="603" t="s">
        <v>17652</v>
      </c>
      <c r="AQ651" s="603" t="s">
        <v>17653</v>
      </c>
      <c r="AR651" s="603" t="s">
        <v>1024</v>
      </c>
      <c r="AS651" s="558">
        <v>1</v>
      </c>
    </row>
    <row r="652" spans="1:45" x14ac:dyDescent="0.2">
      <c r="A652" s="558" t="s">
        <v>581</v>
      </c>
      <c r="B652" s="558" t="s">
        <v>25340</v>
      </c>
      <c r="C652" s="558" t="s">
        <v>43</v>
      </c>
      <c r="D652" s="558" t="s">
        <v>23155</v>
      </c>
      <c r="E652" s="558" t="s">
        <v>192</v>
      </c>
      <c r="F652" s="563">
        <v>1</v>
      </c>
      <c r="G652" s="558" t="s">
        <v>193</v>
      </c>
      <c r="H652" s="558" t="s">
        <v>194</v>
      </c>
      <c r="I652" s="558" t="s">
        <v>24551</v>
      </c>
      <c r="J652" s="558" t="s">
        <v>1829</v>
      </c>
      <c r="K652" s="558" t="s">
        <v>9309</v>
      </c>
      <c r="L652" s="558" t="s">
        <v>6955</v>
      </c>
      <c r="M652" s="558"/>
      <c r="N652" s="558" t="s">
        <v>25513</v>
      </c>
      <c r="O652" s="558" t="s">
        <v>6249</v>
      </c>
      <c r="P652" s="558" t="s">
        <v>25402</v>
      </c>
      <c r="Q652" s="558" t="s">
        <v>23266</v>
      </c>
      <c r="R652" s="558" t="s">
        <v>25403</v>
      </c>
      <c r="S652" s="558" t="s">
        <v>25514</v>
      </c>
      <c r="T652" s="558" t="s">
        <v>25515</v>
      </c>
      <c r="U652" s="558"/>
      <c r="V652" s="558" t="s">
        <v>9726</v>
      </c>
      <c r="W652" s="558" t="s">
        <v>452</v>
      </c>
      <c r="X652" s="558" t="s">
        <v>194</v>
      </c>
      <c r="Y652" s="558" t="s">
        <v>9300</v>
      </c>
      <c r="Z652" s="558"/>
      <c r="AA652" s="558"/>
      <c r="AB652" s="558" t="s">
        <v>9311</v>
      </c>
      <c r="AC652" s="558"/>
      <c r="AD652" s="558"/>
      <c r="AE652" s="558"/>
      <c r="AF652" s="558"/>
      <c r="AG652" s="558"/>
      <c r="AH652" s="558" t="s">
        <v>4714</v>
      </c>
      <c r="AI652" s="558" t="s">
        <v>25340</v>
      </c>
      <c r="AJ652" s="601" t="str">
        <f t="shared" si="20"/>
        <v>243106</v>
      </c>
      <c r="AK652" s="601">
        <v>1</v>
      </c>
      <c r="AL652" s="601">
        <f t="shared" si="21"/>
        <v>1</v>
      </c>
      <c r="AM652" s="601">
        <v>1</v>
      </c>
      <c r="AN652" s="603" t="s">
        <v>17650</v>
      </c>
      <c r="AO652" s="603" t="s">
        <v>17651</v>
      </c>
      <c r="AP652" s="603" t="s">
        <v>17652</v>
      </c>
      <c r="AQ652" s="603" t="s">
        <v>17653</v>
      </c>
      <c r="AR652" s="603" t="s">
        <v>1024</v>
      </c>
      <c r="AS652" s="558">
        <v>1</v>
      </c>
    </row>
    <row r="653" spans="1:45" x14ac:dyDescent="0.2">
      <c r="A653" s="558" t="s">
        <v>4887</v>
      </c>
      <c r="B653" s="558" t="s">
        <v>1739</v>
      </c>
      <c r="C653" s="558" t="s">
        <v>46</v>
      </c>
      <c r="D653" s="558" t="s">
        <v>23155</v>
      </c>
      <c r="E653" s="558" t="s">
        <v>192</v>
      </c>
      <c r="F653" s="563">
        <v>1</v>
      </c>
      <c r="G653" s="558" t="s">
        <v>193</v>
      </c>
      <c r="H653" s="558" t="s">
        <v>194</v>
      </c>
      <c r="I653" s="558" t="s">
        <v>24551</v>
      </c>
      <c r="J653" s="558" t="s">
        <v>210</v>
      </c>
      <c r="K653" s="558" t="s">
        <v>9309</v>
      </c>
      <c r="L653" s="558" t="s">
        <v>6955</v>
      </c>
      <c r="M653" s="558"/>
      <c r="N653" s="558" t="s">
        <v>25516</v>
      </c>
      <c r="O653" s="558" t="s">
        <v>6921</v>
      </c>
      <c r="P653" s="558" t="s">
        <v>25402</v>
      </c>
      <c r="Q653" s="558" t="s">
        <v>23266</v>
      </c>
      <c r="R653" s="558" t="s">
        <v>25403</v>
      </c>
      <c r="S653" s="558" t="s">
        <v>25517</v>
      </c>
      <c r="T653" s="558" t="s">
        <v>25518</v>
      </c>
      <c r="U653" s="558"/>
      <c r="V653" s="558" t="s">
        <v>9334</v>
      </c>
      <c r="W653" s="558" t="s">
        <v>510</v>
      </c>
      <c r="X653" s="558" t="s">
        <v>194</v>
      </c>
      <c r="Y653" s="558" t="s">
        <v>9300</v>
      </c>
      <c r="Z653" s="558"/>
      <c r="AA653" s="558"/>
      <c r="AB653" s="558" t="s">
        <v>9311</v>
      </c>
      <c r="AC653" s="558"/>
      <c r="AD653" s="558"/>
      <c r="AE653" s="558"/>
      <c r="AF653" s="558"/>
      <c r="AG653" s="558"/>
      <c r="AH653" s="558" t="s">
        <v>4714</v>
      </c>
      <c r="AI653" s="558" t="s">
        <v>1739</v>
      </c>
      <c r="AJ653" s="601" t="str">
        <f t="shared" si="20"/>
        <v>252201</v>
      </c>
      <c r="AK653" s="601">
        <v>1</v>
      </c>
      <c r="AL653" s="601">
        <f t="shared" si="21"/>
        <v>1</v>
      </c>
      <c r="AM653" s="601">
        <v>1</v>
      </c>
      <c r="AN653" s="603" t="s">
        <v>17650</v>
      </c>
      <c r="AO653" s="603" t="s">
        <v>17651</v>
      </c>
      <c r="AP653" s="603" t="s">
        <v>17652</v>
      </c>
      <c r="AQ653" s="603" t="s">
        <v>17653</v>
      </c>
      <c r="AR653" s="603" t="s">
        <v>1024</v>
      </c>
      <c r="AS653" s="558">
        <v>1</v>
      </c>
    </row>
    <row r="654" spans="1:45" x14ac:dyDescent="0.2">
      <c r="A654" s="558" t="s">
        <v>581</v>
      </c>
      <c r="B654" s="558" t="s">
        <v>25340</v>
      </c>
      <c r="C654" s="558" t="s">
        <v>43</v>
      </c>
      <c r="D654" s="558" t="s">
        <v>23155</v>
      </c>
      <c r="E654" s="558" t="s">
        <v>192</v>
      </c>
      <c r="F654" s="563">
        <v>1</v>
      </c>
      <c r="G654" s="558" t="s">
        <v>193</v>
      </c>
      <c r="H654" s="558" t="s">
        <v>194</v>
      </c>
      <c r="I654" s="558" t="s">
        <v>24551</v>
      </c>
      <c r="J654" s="558" t="s">
        <v>210</v>
      </c>
      <c r="K654" s="558" t="s">
        <v>9309</v>
      </c>
      <c r="L654" s="558" t="s">
        <v>6955</v>
      </c>
      <c r="M654" s="558"/>
      <c r="N654" s="558" t="s">
        <v>25519</v>
      </c>
      <c r="O654" s="558" t="s">
        <v>6249</v>
      </c>
      <c r="P654" s="558" t="s">
        <v>25402</v>
      </c>
      <c r="Q654" s="558" t="s">
        <v>23266</v>
      </c>
      <c r="R654" s="558" t="s">
        <v>25403</v>
      </c>
      <c r="S654" s="558" t="s">
        <v>25520</v>
      </c>
      <c r="T654" s="558" t="s">
        <v>25521</v>
      </c>
      <c r="U654" s="558"/>
      <c r="V654" s="558" t="s">
        <v>9334</v>
      </c>
      <c r="W654" s="558" t="s">
        <v>452</v>
      </c>
      <c r="X654" s="558" t="s">
        <v>194</v>
      </c>
      <c r="Y654" s="558" t="s">
        <v>9300</v>
      </c>
      <c r="Z654" s="558"/>
      <c r="AA654" s="558"/>
      <c r="AB654" s="558" t="s">
        <v>9311</v>
      </c>
      <c r="AC654" s="558"/>
      <c r="AD654" s="558"/>
      <c r="AE654" s="558"/>
      <c r="AF654" s="558"/>
      <c r="AG654" s="558"/>
      <c r="AH654" s="558" t="s">
        <v>4714</v>
      </c>
      <c r="AI654" s="558" t="s">
        <v>25340</v>
      </c>
      <c r="AJ654" s="601" t="str">
        <f t="shared" si="20"/>
        <v>243106</v>
      </c>
      <c r="AK654" s="601">
        <v>1</v>
      </c>
      <c r="AL654" s="601">
        <f t="shared" si="21"/>
        <v>1</v>
      </c>
      <c r="AM654" s="601">
        <v>1</v>
      </c>
      <c r="AN654" s="603" t="s">
        <v>17650</v>
      </c>
      <c r="AO654" s="603" t="s">
        <v>17651</v>
      </c>
      <c r="AP654" s="603" t="s">
        <v>17652</v>
      </c>
      <c r="AQ654" s="603" t="s">
        <v>17653</v>
      </c>
      <c r="AR654" s="603" t="s">
        <v>1024</v>
      </c>
      <c r="AS654" s="558">
        <v>1</v>
      </c>
    </row>
    <row r="655" spans="1:45" x14ac:dyDescent="0.2">
      <c r="A655" s="558" t="s">
        <v>25522</v>
      </c>
      <c r="B655" s="558" t="s">
        <v>7780</v>
      </c>
      <c r="C655" s="558" t="s">
        <v>63</v>
      </c>
      <c r="D655" s="558" t="s">
        <v>23155</v>
      </c>
      <c r="E655" s="558" t="s">
        <v>192</v>
      </c>
      <c r="F655" s="563">
        <v>1</v>
      </c>
      <c r="G655" s="558" t="s">
        <v>193</v>
      </c>
      <c r="H655" s="558" t="s">
        <v>194</v>
      </c>
      <c r="I655" s="558" t="s">
        <v>23186</v>
      </c>
      <c r="J655" s="558" t="s">
        <v>9302</v>
      </c>
      <c r="K655" s="558" t="s">
        <v>9309</v>
      </c>
      <c r="L655" s="558" t="s">
        <v>6955</v>
      </c>
      <c r="M655" s="558"/>
      <c r="N655" s="558" t="s">
        <v>25523</v>
      </c>
      <c r="O655" s="558" t="s">
        <v>6324</v>
      </c>
      <c r="P655" s="558" t="s">
        <v>25402</v>
      </c>
      <c r="Q655" s="558" t="s">
        <v>23266</v>
      </c>
      <c r="R655" s="558" t="s">
        <v>25403</v>
      </c>
      <c r="S655" s="558" t="s">
        <v>25524</v>
      </c>
      <c r="T655" s="558" t="s">
        <v>25525</v>
      </c>
      <c r="U655" s="558"/>
      <c r="V655" s="603"/>
      <c r="W655" s="558" t="s">
        <v>2104</v>
      </c>
      <c r="X655" s="558" t="s">
        <v>193</v>
      </c>
      <c r="Y655" s="558" t="s">
        <v>9310</v>
      </c>
      <c r="Z655" s="558"/>
      <c r="AA655" s="558"/>
      <c r="AB655" s="558" t="s">
        <v>9311</v>
      </c>
      <c r="AC655" s="558"/>
      <c r="AD655" s="558"/>
      <c r="AE655" s="558"/>
      <c r="AF655" s="558"/>
      <c r="AG655" s="558"/>
      <c r="AH655" s="558" t="s">
        <v>4714</v>
      </c>
      <c r="AI655" s="558" t="s">
        <v>7780</v>
      </c>
      <c r="AJ655" s="601" t="str">
        <f t="shared" si="20"/>
        <v>311201</v>
      </c>
      <c r="AK655" s="601">
        <v>1</v>
      </c>
      <c r="AL655" s="601">
        <f t="shared" si="21"/>
        <v>1</v>
      </c>
      <c r="AM655" s="601">
        <v>1</v>
      </c>
      <c r="AN655" s="603" t="s">
        <v>17650</v>
      </c>
      <c r="AO655" s="603" t="s">
        <v>17651</v>
      </c>
      <c r="AP655" s="603" t="s">
        <v>17652</v>
      </c>
      <c r="AQ655" s="603" t="s">
        <v>17653</v>
      </c>
      <c r="AR655" s="603" t="s">
        <v>1024</v>
      </c>
      <c r="AS655" s="558">
        <v>1</v>
      </c>
    </row>
    <row r="656" spans="1:45" x14ac:dyDescent="0.2">
      <c r="A656" s="558" t="s">
        <v>25526</v>
      </c>
      <c r="B656" s="558" t="s">
        <v>25527</v>
      </c>
      <c r="C656" s="558" t="s">
        <v>560</v>
      </c>
      <c r="D656" s="558" t="s">
        <v>23155</v>
      </c>
      <c r="E656" s="558" t="s">
        <v>192</v>
      </c>
      <c r="F656" s="563">
        <v>1</v>
      </c>
      <c r="G656" s="558" t="s">
        <v>193</v>
      </c>
      <c r="H656" s="558" t="s">
        <v>194</v>
      </c>
      <c r="I656" s="558" t="s">
        <v>24551</v>
      </c>
      <c r="J656" s="558" t="s">
        <v>9302</v>
      </c>
      <c r="K656" s="558" t="s">
        <v>9309</v>
      </c>
      <c r="L656" s="558" t="s">
        <v>6955</v>
      </c>
      <c r="M656" s="558"/>
      <c r="N656" s="558" t="s">
        <v>25528</v>
      </c>
      <c r="O656" s="558" t="s">
        <v>6245</v>
      </c>
      <c r="P656" s="558" t="s">
        <v>25402</v>
      </c>
      <c r="Q656" s="558" t="s">
        <v>23266</v>
      </c>
      <c r="R656" s="558" t="s">
        <v>25529</v>
      </c>
      <c r="S656" s="558" t="s">
        <v>25530</v>
      </c>
      <c r="T656" s="558" t="s">
        <v>25531</v>
      </c>
      <c r="U656" s="558"/>
      <c r="V656" s="603"/>
      <c r="W656" s="558" t="s">
        <v>561</v>
      </c>
      <c r="X656" s="558" t="s">
        <v>193</v>
      </c>
      <c r="Y656" s="558" t="s">
        <v>9310</v>
      </c>
      <c r="Z656" s="558"/>
      <c r="AA656" s="558"/>
      <c r="AB656" s="558" t="s">
        <v>9311</v>
      </c>
      <c r="AC656" s="558"/>
      <c r="AD656" s="558"/>
      <c r="AE656" s="558"/>
      <c r="AF656" s="558"/>
      <c r="AG656" s="558"/>
      <c r="AH656" s="558" t="s">
        <v>4714</v>
      </c>
      <c r="AI656" s="558" t="s">
        <v>25527</v>
      </c>
      <c r="AJ656" s="601" t="str">
        <f t="shared" si="20"/>
        <v>311408</v>
      </c>
      <c r="AK656" s="601">
        <v>1</v>
      </c>
      <c r="AL656" s="601">
        <f t="shared" si="21"/>
        <v>1</v>
      </c>
      <c r="AM656" s="601">
        <v>1</v>
      </c>
      <c r="AN656" s="603" t="s">
        <v>17650</v>
      </c>
      <c r="AO656" s="603" t="s">
        <v>17651</v>
      </c>
      <c r="AP656" s="603" t="s">
        <v>17652</v>
      </c>
      <c r="AQ656" s="603" t="s">
        <v>17653</v>
      </c>
      <c r="AR656" s="603" t="s">
        <v>1024</v>
      </c>
      <c r="AS656" s="558">
        <v>1</v>
      </c>
    </row>
    <row r="657" spans="1:45" x14ac:dyDescent="0.2">
      <c r="A657" s="558" t="s">
        <v>23973</v>
      </c>
      <c r="B657" s="558" t="s">
        <v>25532</v>
      </c>
      <c r="C657" s="558" t="s">
        <v>778</v>
      </c>
      <c r="D657" s="558" t="s">
        <v>23155</v>
      </c>
      <c r="E657" s="558" t="s">
        <v>192</v>
      </c>
      <c r="F657" s="563">
        <v>1</v>
      </c>
      <c r="G657" s="558" t="s">
        <v>193</v>
      </c>
      <c r="H657" s="558" t="s">
        <v>194</v>
      </c>
      <c r="I657" s="558" t="s">
        <v>24551</v>
      </c>
      <c r="J657" s="558" t="s">
        <v>9302</v>
      </c>
      <c r="K657" s="558" t="s">
        <v>9309</v>
      </c>
      <c r="L657" s="558" t="s">
        <v>6955</v>
      </c>
      <c r="M657" s="558"/>
      <c r="N657" s="558" t="s">
        <v>25533</v>
      </c>
      <c r="O657" s="558" t="s">
        <v>6286</v>
      </c>
      <c r="P657" s="558" t="s">
        <v>25402</v>
      </c>
      <c r="Q657" s="558" t="s">
        <v>23266</v>
      </c>
      <c r="R657" s="558" t="s">
        <v>25403</v>
      </c>
      <c r="S657" s="558" t="s">
        <v>25534</v>
      </c>
      <c r="T657" s="558" t="s">
        <v>25535</v>
      </c>
      <c r="U657" s="558"/>
      <c r="V657" s="603"/>
      <c r="W657" s="558" t="s">
        <v>779</v>
      </c>
      <c r="X657" s="558" t="s">
        <v>193</v>
      </c>
      <c r="Y657" s="558" t="s">
        <v>9310</v>
      </c>
      <c r="Z657" s="558"/>
      <c r="AA657" s="558"/>
      <c r="AB657" s="558" t="s">
        <v>9311</v>
      </c>
      <c r="AC657" s="558"/>
      <c r="AD657" s="558"/>
      <c r="AE657" s="558"/>
      <c r="AF657" s="558"/>
      <c r="AG657" s="558"/>
      <c r="AH657" s="558" t="s">
        <v>4714</v>
      </c>
      <c r="AI657" s="558" t="s">
        <v>25532</v>
      </c>
      <c r="AJ657" s="601" t="str">
        <f t="shared" si="20"/>
        <v>524902</v>
      </c>
      <c r="AK657" s="601">
        <v>1</v>
      </c>
      <c r="AL657" s="601">
        <f t="shared" si="21"/>
        <v>1</v>
      </c>
      <c r="AM657" s="601">
        <v>1</v>
      </c>
      <c r="AN657" s="603" t="s">
        <v>17650</v>
      </c>
      <c r="AO657" s="603" t="s">
        <v>17651</v>
      </c>
      <c r="AP657" s="603" t="s">
        <v>17652</v>
      </c>
      <c r="AQ657" s="603" t="s">
        <v>17653</v>
      </c>
      <c r="AR657" s="603" t="s">
        <v>1024</v>
      </c>
      <c r="AS657" s="558">
        <v>1</v>
      </c>
    </row>
    <row r="658" spans="1:45" x14ac:dyDescent="0.2">
      <c r="A658" s="558" t="s">
        <v>11524</v>
      </c>
      <c r="B658" s="558" t="s">
        <v>25536</v>
      </c>
      <c r="C658" s="558" t="s">
        <v>43</v>
      </c>
      <c r="D658" s="558" t="s">
        <v>23155</v>
      </c>
      <c r="E658" s="558" t="s">
        <v>192</v>
      </c>
      <c r="F658" s="563">
        <v>1</v>
      </c>
      <c r="G658" s="558" t="s">
        <v>193</v>
      </c>
      <c r="H658" s="558" t="s">
        <v>194</v>
      </c>
      <c r="I658" s="558" t="s">
        <v>23307</v>
      </c>
      <c r="J658" s="558" t="s">
        <v>9302</v>
      </c>
      <c r="K658" s="558" t="s">
        <v>9309</v>
      </c>
      <c r="L658" s="558" t="s">
        <v>6955</v>
      </c>
      <c r="M658" s="558"/>
      <c r="N658" s="558" t="s">
        <v>25537</v>
      </c>
      <c r="O658" s="558" t="s">
        <v>6286</v>
      </c>
      <c r="P658" s="558" t="s">
        <v>25402</v>
      </c>
      <c r="Q658" s="558" t="s">
        <v>23266</v>
      </c>
      <c r="R658" s="558" t="s">
        <v>25529</v>
      </c>
      <c r="S658" s="558" t="s">
        <v>25538</v>
      </c>
      <c r="T658" s="558" t="s">
        <v>25539</v>
      </c>
      <c r="U658" s="558"/>
      <c r="V658" s="603"/>
      <c r="W658" s="558" t="s">
        <v>452</v>
      </c>
      <c r="X658" s="558" t="s">
        <v>193</v>
      </c>
      <c r="Y658" s="558" t="s">
        <v>9310</v>
      </c>
      <c r="Z658" s="558"/>
      <c r="AA658" s="558"/>
      <c r="AB658" s="558" t="s">
        <v>9311</v>
      </c>
      <c r="AC658" s="558"/>
      <c r="AD658" s="558"/>
      <c r="AE658" s="558"/>
      <c r="AF658" s="558"/>
      <c r="AG658" s="558"/>
      <c r="AH658" s="558" t="s">
        <v>4714</v>
      </c>
      <c r="AI658" s="558" t="s">
        <v>25536</v>
      </c>
      <c r="AJ658" s="601" t="str">
        <f t="shared" si="20"/>
        <v>243106</v>
      </c>
      <c r="AK658" s="601">
        <v>1</v>
      </c>
      <c r="AL658" s="601">
        <f t="shared" si="21"/>
        <v>1</v>
      </c>
      <c r="AM658" s="601">
        <v>1</v>
      </c>
      <c r="AN658" s="603" t="s">
        <v>17650</v>
      </c>
      <c r="AO658" s="603" t="s">
        <v>17651</v>
      </c>
      <c r="AP658" s="603" t="s">
        <v>17652</v>
      </c>
      <c r="AQ658" s="603" t="s">
        <v>17653</v>
      </c>
      <c r="AR658" s="603" t="s">
        <v>1024</v>
      </c>
      <c r="AS658" s="558">
        <v>1</v>
      </c>
    </row>
    <row r="659" spans="1:45" x14ac:dyDescent="0.2">
      <c r="A659" s="558" t="s">
        <v>25540</v>
      </c>
      <c r="B659" s="558" t="s">
        <v>25541</v>
      </c>
      <c r="C659" s="558" t="s">
        <v>13328</v>
      </c>
      <c r="D659" s="558" t="s">
        <v>23155</v>
      </c>
      <c r="E659" s="558" t="s">
        <v>192</v>
      </c>
      <c r="F659" s="563">
        <v>1</v>
      </c>
      <c r="G659" s="558" t="s">
        <v>193</v>
      </c>
      <c r="H659" s="558" t="s">
        <v>194</v>
      </c>
      <c r="I659" s="558" t="s">
        <v>24551</v>
      </c>
      <c r="J659" s="558" t="s">
        <v>9302</v>
      </c>
      <c r="K659" s="558" t="s">
        <v>9309</v>
      </c>
      <c r="L659" s="558" t="s">
        <v>6955</v>
      </c>
      <c r="M659" s="558"/>
      <c r="N659" s="558" t="s">
        <v>25542</v>
      </c>
      <c r="O659" s="558" t="s">
        <v>6245</v>
      </c>
      <c r="P659" s="558" t="s">
        <v>25402</v>
      </c>
      <c r="Q659" s="558" t="s">
        <v>23266</v>
      </c>
      <c r="R659" s="558" t="s">
        <v>25403</v>
      </c>
      <c r="S659" s="558" t="s">
        <v>25543</v>
      </c>
      <c r="T659" s="558" t="s">
        <v>25544</v>
      </c>
      <c r="U659" s="558"/>
      <c r="V659" s="603"/>
      <c r="W659" s="558" t="s">
        <v>1930</v>
      </c>
      <c r="X659" s="558" t="s">
        <v>193</v>
      </c>
      <c r="Y659" s="558" t="s">
        <v>9310</v>
      </c>
      <c r="Z659" s="558"/>
      <c r="AA659" s="558"/>
      <c r="AB659" s="558" t="s">
        <v>9311</v>
      </c>
      <c r="AC659" s="558"/>
      <c r="AD659" s="558"/>
      <c r="AE659" s="558"/>
      <c r="AF659" s="558"/>
      <c r="AG659" s="558"/>
      <c r="AH659" s="558" t="s">
        <v>4714</v>
      </c>
      <c r="AI659" s="558" t="s">
        <v>25541</v>
      </c>
      <c r="AJ659" s="601" t="str">
        <f t="shared" si="20"/>
        <v>214302</v>
      </c>
      <c r="AK659" s="601">
        <v>1</v>
      </c>
      <c r="AL659" s="601">
        <f t="shared" si="21"/>
        <v>1</v>
      </c>
      <c r="AM659" s="601">
        <v>1</v>
      </c>
      <c r="AN659" s="603" t="s">
        <v>17650</v>
      </c>
      <c r="AO659" s="603" t="s">
        <v>17651</v>
      </c>
      <c r="AP659" s="603" t="s">
        <v>17652</v>
      </c>
      <c r="AQ659" s="603" t="s">
        <v>17653</v>
      </c>
      <c r="AR659" s="603" t="s">
        <v>1024</v>
      </c>
      <c r="AS659" s="558">
        <v>1</v>
      </c>
    </row>
    <row r="660" spans="1:45" x14ac:dyDescent="0.2">
      <c r="A660" s="558" t="s">
        <v>1639</v>
      </c>
      <c r="B660" s="558" t="s">
        <v>25545</v>
      </c>
      <c r="C660" s="558" t="s">
        <v>17092</v>
      </c>
      <c r="D660" s="558" t="s">
        <v>23155</v>
      </c>
      <c r="E660" s="558" t="s">
        <v>192</v>
      </c>
      <c r="F660" s="563">
        <v>1</v>
      </c>
      <c r="G660" s="558" t="s">
        <v>193</v>
      </c>
      <c r="H660" s="558" t="s">
        <v>194</v>
      </c>
      <c r="I660" s="558" t="s">
        <v>24551</v>
      </c>
      <c r="J660" s="558" t="s">
        <v>210</v>
      </c>
      <c r="K660" s="558" t="s">
        <v>9309</v>
      </c>
      <c r="L660" s="558" t="s">
        <v>6955</v>
      </c>
      <c r="M660" s="558"/>
      <c r="N660" s="558" t="s">
        <v>25546</v>
      </c>
      <c r="O660" s="558" t="s">
        <v>7531</v>
      </c>
      <c r="P660" s="558" t="s">
        <v>25402</v>
      </c>
      <c r="Q660" s="558" t="s">
        <v>23266</v>
      </c>
      <c r="R660" s="558" t="s">
        <v>25403</v>
      </c>
      <c r="S660" s="558" t="s">
        <v>25547</v>
      </c>
      <c r="T660" s="558" t="s">
        <v>25548</v>
      </c>
      <c r="U660" s="558"/>
      <c r="V660" s="558" t="s">
        <v>9334</v>
      </c>
      <c r="W660" s="558" t="s">
        <v>1800</v>
      </c>
      <c r="X660" s="558" t="s">
        <v>194</v>
      </c>
      <c r="Y660" s="558" t="s">
        <v>9300</v>
      </c>
      <c r="Z660" s="558"/>
      <c r="AA660" s="558"/>
      <c r="AB660" s="558" t="s">
        <v>9311</v>
      </c>
      <c r="AC660" s="558"/>
      <c r="AD660" s="558"/>
      <c r="AE660" s="558"/>
      <c r="AF660" s="558"/>
      <c r="AG660" s="558"/>
      <c r="AH660" s="558" t="s">
        <v>4714</v>
      </c>
      <c r="AI660" s="558" t="s">
        <v>25545</v>
      </c>
      <c r="AJ660" s="601" t="str">
        <f t="shared" si="20"/>
        <v>242204</v>
      </c>
      <c r="AK660" s="601">
        <v>1</v>
      </c>
      <c r="AL660" s="601">
        <f t="shared" si="21"/>
        <v>1</v>
      </c>
      <c r="AM660" s="601">
        <v>1</v>
      </c>
      <c r="AN660" s="603" t="s">
        <v>17650</v>
      </c>
      <c r="AO660" s="603" t="s">
        <v>17651</v>
      </c>
      <c r="AP660" s="603" t="s">
        <v>17652</v>
      </c>
      <c r="AQ660" s="603" t="s">
        <v>17653</v>
      </c>
      <c r="AR660" s="603" t="s">
        <v>1024</v>
      </c>
      <c r="AS660" s="558">
        <v>1</v>
      </c>
    </row>
    <row r="661" spans="1:45" x14ac:dyDescent="0.2">
      <c r="A661" s="558" t="s">
        <v>8187</v>
      </c>
      <c r="B661" s="558" t="s">
        <v>5412</v>
      </c>
      <c r="C661" s="558" t="s">
        <v>740</v>
      </c>
      <c r="D661" s="558" t="s">
        <v>23155</v>
      </c>
      <c r="E661" s="558" t="s">
        <v>192</v>
      </c>
      <c r="F661" s="563">
        <v>1</v>
      </c>
      <c r="G661" s="558" t="s">
        <v>193</v>
      </c>
      <c r="H661" s="558" t="s">
        <v>194</v>
      </c>
      <c r="I661" s="558" t="s">
        <v>23186</v>
      </c>
      <c r="J661" s="558" t="s">
        <v>1995</v>
      </c>
      <c r="K661" s="558" t="s">
        <v>9309</v>
      </c>
      <c r="L661" s="558" t="s">
        <v>6955</v>
      </c>
      <c r="M661" s="558"/>
      <c r="N661" s="558" t="s">
        <v>25549</v>
      </c>
      <c r="O661" s="558" t="s">
        <v>6251</v>
      </c>
      <c r="P661" s="558" t="s">
        <v>25402</v>
      </c>
      <c r="Q661" s="558" t="s">
        <v>23266</v>
      </c>
      <c r="R661" s="558" t="s">
        <v>25292</v>
      </c>
      <c r="S661" s="558" t="s">
        <v>25550</v>
      </c>
      <c r="T661" s="558" t="s">
        <v>25551</v>
      </c>
      <c r="U661" s="558"/>
      <c r="V661" s="558" t="s">
        <v>9440</v>
      </c>
      <c r="W661" s="558" t="s">
        <v>741</v>
      </c>
      <c r="X661" s="558" t="s">
        <v>194</v>
      </c>
      <c r="Y661" s="558" t="s">
        <v>9300</v>
      </c>
      <c r="Z661" s="558"/>
      <c r="AA661" s="558"/>
      <c r="AB661" s="558" t="s">
        <v>9311</v>
      </c>
      <c r="AC661" s="558"/>
      <c r="AD661" s="558"/>
      <c r="AE661" s="558"/>
      <c r="AF661" s="558"/>
      <c r="AG661" s="558"/>
      <c r="AH661" s="558" t="s">
        <v>4714</v>
      </c>
      <c r="AI661" s="558" t="s">
        <v>5412</v>
      </c>
      <c r="AJ661" s="601" t="str">
        <f t="shared" si="20"/>
        <v>522301</v>
      </c>
      <c r="AK661" s="601">
        <v>1</v>
      </c>
      <c r="AL661" s="601">
        <f t="shared" si="21"/>
        <v>1</v>
      </c>
      <c r="AM661" s="601">
        <v>1</v>
      </c>
      <c r="AN661" s="603" t="s">
        <v>17650</v>
      </c>
      <c r="AO661" s="603" t="s">
        <v>17651</v>
      </c>
      <c r="AP661" s="603" t="s">
        <v>17652</v>
      </c>
      <c r="AQ661" s="603" t="s">
        <v>17653</v>
      </c>
      <c r="AR661" s="603" t="s">
        <v>1024</v>
      </c>
      <c r="AS661" s="558">
        <v>1</v>
      </c>
    </row>
    <row r="662" spans="1:45" x14ac:dyDescent="0.2">
      <c r="A662" s="558" t="s">
        <v>16978</v>
      </c>
      <c r="B662" s="558" t="s">
        <v>67</v>
      </c>
      <c r="C662" s="558" t="s">
        <v>67</v>
      </c>
      <c r="D662" s="558" t="s">
        <v>23155</v>
      </c>
      <c r="E662" s="558" t="s">
        <v>192</v>
      </c>
      <c r="F662" s="563">
        <v>1</v>
      </c>
      <c r="G662" s="558" t="s">
        <v>193</v>
      </c>
      <c r="H662" s="558" t="s">
        <v>194</v>
      </c>
      <c r="I662" s="558" t="s">
        <v>23151</v>
      </c>
      <c r="J662" s="558" t="s">
        <v>25552</v>
      </c>
      <c r="K662" s="558" t="s">
        <v>9309</v>
      </c>
      <c r="L662" s="558" t="s">
        <v>6955</v>
      </c>
      <c r="M662" s="558"/>
      <c r="N662" s="558" t="s">
        <v>25553</v>
      </c>
      <c r="O662" s="558" t="s">
        <v>6266</v>
      </c>
      <c r="P662" s="558" t="s">
        <v>25402</v>
      </c>
      <c r="Q662" s="558" t="s">
        <v>23266</v>
      </c>
      <c r="R662" s="558" t="s">
        <v>25403</v>
      </c>
      <c r="S662" s="558" t="s">
        <v>25554</v>
      </c>
      <c r="T662" s="558" t="s">
        <v>25555</v>
      </c>
      <c r="U662" s="558"/>
      <c r="V662" s="558" t="s">
        <v>9856</v>
      </c>
      <c r="W662" s="558" t="s">
        <v>709</v>
      </c>
      <c r="X662" s="558" t="s">
        <v>194</v>
      </c>
      <c r="Y662" s="558" t="s">
        <v>9300</v>
      </c>
      <c r="Z662" s="558"/>
      <c r="AA662" s="558"/>
      <c r="AB662" s="558" t="s">
        <v>9311</v>
      </c>
      <c r="AC662" s="558"/>
      <c r="AD662" s="558"/>
      <c r="AE662" s="558"/>
      <c r="AF662" s="558"/>
      <c r="AG662" s="558"/>
      <c r="AH662" s="558" t="s">
        <v>4714</v>
      </c>
      <c r="AI662" s="558" t="s">
        <v>67</v>
      </c>
      <c r="AJ662" s="601" t="str">
        <f t="shared" si="20"/>
        <v>432103</v>
      </c>
      <c r="AK662" s="601">
        <v>1</v>
      </c>
      <c r="AL662" s="601">
        <f t="shared" si="21"/>
        <v>1</v>
      </c>
      <c r="AM662" s="601">
        <v>1</v>
      </c>
      <c r="AN662" s="603" t="s">
        <v>17650</v>
      </c>
      <c r="AO662" s="603" t="s">
        <v>17651</v>
      </c>
      <c r="AP662" s="603" t="s">
        <v>17652</v>
      </c>
      <c r="AQ662" s="603" t="s">
        <v>17653</v>
      </c>
      <c r="AR662" s="603" t="s">
        <v>1024</v>
      </c>
      <c r="AS662" s="558">
        <v>1</v>
      </c>
    </row>
    <row r="663" spans="1:45" x14ac:dyDescent="0.2">
      <c r="A663" s="558" t="s">
        <v>8187</v>
      </c>
      <c r="B663" s="558" t="s">
        <v>5412</v>
      </c>
      <c r="C663" s="558" t="s">
        <v>740</v>
      </c>
      <c r="D663" s="558" t="s">
        <v>23155</v>
      </c>
      <c r="E663" s="558" t="s">
        <v>192</v>
      </c>
      <c r="F663" s="563">
        <v>1</v>
      </c>
      <c r="G663" s="558" t="s">
        <v>193</v>
      </c>
      <c r="H663" s="558" t="s">
        <v>194</v>
      </c>
      <c r="I663" s="558" t="s">
        <v>23186</v>
      </c>
      <c r="J663" s="558" t="s">
        <v>259</v>
      </c>
      <c r="K663" s="558" t="s">
        <v>9309</v>
      </c>
      <c r="L663" s="558" t="s">
        <v>6955</v>
      </c>
      <c r="M663" s="558"/>
      <c r="N663" s="558" t="s">
        <v>25556</v>
      </c>
      <c r="O663" s="558" t="s">
        <v>6251</v>
      </c>
      <c r="P663" s="558" t="s">
        <v>25402</v>
      </c>
      <c r="Q663" s="558" t="s">
        <v>23266</v>
      </c>
      <c r="R663" s="558" t="s">
        <v>25292</v>
      </c>
      <c r="S663" s="558" t="s">
        <v>25557</v>
      </c>
      <c r="T663" s="558" t="s">
        <v>25558</v>
      </c>
      <c r="U663" s="558"/>
      <c r="V663" s="558" t="s">
        <v>10136</v>
      </c>
      <c r="W663" s="558" t="s">
        <v>741</v>
      </c>
      <c r="X663" s="558" t="s">
        <v>194</v>
      </c>
      <c r="Y663" s="558" t="s">
        <v>9300</v>
      </c>
      <c r="Z663" s="558"/>
      <c r="AA663" s="558"/>
      <c r="AB663" s="558" t="s">
        <v>9311</v>
      </c>
      <c r="AC663" s="558"/>
      <c r="AD663" s="558"/>
      <c r="AE663" s="558"/>
      <c r="AF663" s="558"/>
      <c r="AG663" s="558"/>
      <c r="AH663" s="558" t="s">
        <v>4714</v>
      </c>
      <c r="AI663" s="558" t="s">
        <v>5412</v>
      </c>
      <c r="AJ663" s="601" t="str">
        <f t="shared" si="20"/>
        <v>522301</v>
      </c>
      <c r="AK663" s="601">
        <v>1</v>
      </c>
      <c r="AL663" s="601">
        <f t="shared" si="21"/>
        <v>1</v>
      </c>
      <c r="AM663" s="601">
        <v>1</v>
      </c>
      <c r="AN663" s="603" t="s">
        <v>17650</v>
      </c>
      <c r="AO663" s="603" t="s">
        <v>17651</v>
      </c>
      <c r="AP663" s="603" t="s">
        <v>17652</v>
      </c>
      <c r="AQ663" s="603" t="s">
        <v>17653</v>
      </c>
      <c r="AR663" s="603" t="s">
        <v>1024</v>
      </c>
      <c r="AS663" s="558">
        <v>1</v>
      </c>
    </row>
    <row r="664" spans="1:45" x14ac:dyDescent="0.2">
      <c r="A664" s="558" t="s">
        <v>25559</v>
      </c>
      <c r="B664" s="558" t="s">
        <v>1644</v>
      </c>
      <c r="C664" s="558" t="s">
        <v>80</v>
      </c>
      <c r="D664" s="558" t="s">
        <v>23155</v>
      </c>
      <c r="E664" s="558" t="s">
        <v>192</v>
      </c>
      <c r="F664" s="563">
        <v>1</v>
      </c>
      <c r="G664" s="558" t="s">
        <v>193</v>
      </c>
      <c r="H664" s="558" t="s">
        <v>194</v>
      </c>
      <c r="I664" s="558" t="s">
        <v>23186</v>
      </c>
      <c r="J664" s="558" t="s">
        <v>210</v>
      </c>
      <c r="K664" s="558" t="s">
        <v>9309</v>
      </c>
      <c r="L664" s="558" t="s">
        <v>6955</v>
      </c>
      <c r="M664" s="558"/>
      <c r="N664" s="558" t="s">
        <v>25560</v>
      </c>
      <c r="O664" s="558" t="s">
        <v>6245</v>
      </c>
      <c r="P664" s="558" t="s">
        <v>25402</v>
      </c>
      <c r="Q664" s="558" t="s">
        <v>23266</v>
      </c>
      <c r="R664" s="558" t="s">
        <v>25403</v>
      </c>
      <c r="S664" s="558" t="s">
        <v>25561</v>
      </c>
      <c r="T664" s="558" t="s">
        <v>25562</v>
      </c>
      <c r="U664" s="558"/>
      <c r="V664" s="558" t="s">
        <v>9334</v>
      </c>
      <c r="W664" s="558" t="s">
        <v>474</v>
      </c>
      <c r="X664" s="558" t="s">
        <v>194</v>
      </c>
      <c r="Y664" s="558" t="s">
        <v>9300</v>
      </c>
      <c r="Z664" s="558"/>
      <c r="AA664" s="558"/>
      <c r="AB664" s="558" t="s">
        <v>9311</v>
      </c>
      <c r="AC664" s="558"/>
      <c r="AD664" s="558"/>
      <c r="AE664" s="558"/>
      <c r="AF664" s="558"/>
      <c r="AG664" s="558"/>
      <c r="AH664" s="558" t="s">
        <v>4714</v>
      </c>
      <c r="AI664" s="558" t="s">
        <v>1644</v>
      </c>
      <c r="AJ664" s="601" t="str">
        <f t="shared" si="20"/>
        <v>243304</v>
      </c>
      <c r="AK664" s="601">
        <v>1</v>
      </c>
      <c r="AL664" s="601">
        <f t="shared" si="21"/>
        <v>1</v>
      </c>
      <c r="AM664" s="601">
        <v>1</v>
      </c>
      <c r="AN664" s="603" t="s">
        <v>17650</v>
      </c>
      <c r="AO664" s="603" t="s">
        <v>17651</v>
      </c>
      <c r="AP664" s="603" t="s">
        <v>17652</v>
      </c>
      <c r="AQ664" s="603" t="s">
        <v>17653</v>
      </c>
      <c r="AR664" s="603" t="s">
        <v>1024</v>
      </c>
      <c r="AS664" s="558">
        <v>1</v>
      </c>
    </row>
    <row r="665" spans="1:45" x14ac:dyDescent="0.2">
      <c r="A665" s="558" t="s">
        <v>13415</v>
      </c>
      <c r="B665" s="558" t="s">
        <v>8665</v>
      </c>
      <c r="C665" s="558" t="s">
        <v>62</v>
      </c>
      <c r="D665" s="558" t="s">
        <v>23155</v>
      </c>
      <c r="E665" s="558" t="s">
        <v>192</v>
      </c>
      <c r="F665" s="563">
        <v>1</v>
      </c>
      <c r="G665" s="558" t="s">
        <v>193</v>
      </c>
      <c r="H665" s="558" t="s">
        <v>194</v>
      </c>
      <c r="I665" s="558" t="s">
        <v>23158</v>
      </c>
      <c r="J665" s="558" t="s">
        <v>672</v>
      </c>
      <c r="K665" s="558" t="s">
        <v>9309</v>
      </c>
      <c r="L665" s="558" t="s">
        <v>6955</v>
      </c>
      <c r="M665" s="558"/>
      <c r="N665" s="558" t="s">
        <v>25563</v>
      </c>
      <c r="O665" s="558" t="s">
        <v>6275</v>
      </c>
      <c r="P665" s="558" t="s">
        <v>25402</v>
      </c>
      <c r="Q665" s="558" t="s">
        <v>23266</v>
      </c>
      <c r="R665" s="558" t="s">
        <v>25403</v>
      </c>
      <c r="S665" s="558" t="s">
        <v>25564</v>
      </c>
      <c r="T665" s="558" t="s">
        <v>25565</v>
      </c>
      <c r="U665" s="558"/>
      <c r="V665" s="558" t="s">
        <v>9726</v>
      </c>
      <c r="W665" s="558" t="s">
        <v>601</v>
      </c>
      <c r="X665" s="558" t="s">
        <v>194</v>
      </c>
      <c r="Y665" s="558" t="s">
        <v>9300</v>
      </c>
      <c r="Z665" s="558"/>
      <c r="AA665" s="558"/>
      <c r="AB665" s="558" t="s">
        <v>9311</v>
      </c>
      <c r="AC665" s="558"/>
      <c r="AD665" s="558"/>
      <c r="AE665" s="558"/>
      <c r="AF665" s="558"/>
      <c r="AG665" s="558"/>
      <c r="AH665" s="558" t="s">
        <v>4714</v>
      </c>
      <c r="AI665" s="558" t="s">
        <v>8665</v>
      </c>
      <c r="AJ665" s="601" t="str">
        <f t="shared" si="20"/>
        <v>313904</v>
      </c>
      <c r="AK665" s="601">
        <v>1</v>
      </c>
      <c r="AL665" s="601">
        <f t="shared" si="21"/>
        <v>1</v>
      </c>
      <c r="AM665" s="601">
        <v>1</v>
      </c>
      <c r="AN665" s="603" t="s">
        <v>17650</v>
      </c>
      <c r="AO665" s="603" t="s">
        <v>17651</v>
      </c>
      <c r="AP665" s="603" t="s">
        <v>17652</v>
      </c>
      <c r="AQ665" s="603" t="s">
        <v>17653</v>
      </c>
      <c r="AR665" s="603" t="s">
        <v>1024</v>
      </c>
      <c r="AS665" s="558">
        <v>1</v>
      </c>
    </row>
    <row r="666" spans="1:45" x14ac:dyDescent="0.2">
      <c r="A666" s="558" t="s">
        <v>1376</v>
      </c>
      <c r="B666" s="558" t="s">
        <v>1611</v>
      </c>
      <c r="C666" s="558" t="s">
        <v>83</v>
      </c>
      <c r="D666" s="558" t="s">
        <v>23155</v>
      </c>
      <c r="E666" s="558" t="s">
        <v>192</v>
      </c>
      <c r="F666" s="563">
        <v>1</v>
      </c>
      <c r="G666" s="558" t="s">
        <v>193</v>
      </c>
      <c r="H666" s="558" t="s">
        <v>194</v>
      </c>
      <c r="I666" s="558" t="s">
        <v>23307</v>
      </c>
      <c r="J666" s="558" t="s">
        <v>210</v>
      </c>
      <c r="K666" s="558" t="s">
        <v>9309</v>
      </c>
      <c r="L666" s="558" t="s">
        <v>6955</v>
      </c>
      <c r="M666" s="558"/>
      <c r="N666" s="558" t="s">
        <v>25566</v>
      </c>
      <c r="O666" s="558" t="s">
        <v>6269</v>
      </c>
      <c r="P666" s="558" t="s">
        <v>25402</v>
      </c>
      <c r="Q666" s="558" t="s">
        <v>23266</v>
      </c>
      <c r="R666" s="558" t="s">
        <v>25403</v>
      </c>
      <c r="S666" s="558" t="s">
        <v>25567</v>
      </c>
      <c r="T666" s="558" t="s">
        <v>25568</v>
      </c>
      <c r="U666" s="558"/>
      <c r="V666" s="558" t="s">
        <v>9334</v>
      </c>
      <c r="W666" s="558" t="s">
        <v>791</v>
      </c>
      <c r="X666" s="558" t="s">
        <v>194</v>
      </c>
      <c r="Y666" s="558" t="s">
        <v>9300</v>
      </c>
      <c r="Z666" s="558"/>
      <c r="AA666" s="558"/>
      <c r="AB666" s="558" t="s">
        <v>9311</v>
      </c>
      <c r="AC666" s="558"/>
      <c r="AD666" s="558"/>
      <c r="AE666" s="558"/>
      <c r="AF666" s="558"/>
      <c r="AG666" s="558"/>
      <c r="AH666" s="558" t="s">
        <v>4714</v>
      </c>
      <c r="AI666" s="558" t="s">
        <v>1611</v>
      </c>
      <c r="AJ666" s="601" t="str">
        <f t="shared" si="20"/>
        <v>721204</v>
      </c>
      <c r="AK666" s="601">
        <v>1</v>
      </c>
      <c r="AL666" s="601">
        <f t="shared" si="21"/>
        <v>1</v>
      </c>
      <c r="AM666" s="601">
        <v>1</v>
      </c>
      <c r="AN666" s="603" t="s">
        <v>17650</v>
      </c>
      <c r="AO666" s="603" t="s">
        <v>17651</v>
      </c>
      <c r="AP666" s="603" t="s">
        <v>17652</v>
      </c>
      <c r="AQ666" s="603" t="s">
        <v>17653</v>
      </c>
      <c r="AR666" s="603" t="s">
        <v>1024</v>
      </c>
      <c r="AS666" s="558">
        <v>1</v>
      </c>
    </row>
    <row r="667" spans="1:45" x14ac:dyDescent="0.2">
      <c r="A667" s="558" t="s">
        <v>409</v>
      </c>
      <c r="B667" s="558" t="s">
        <v>537</v>
      </c>
      <c r="C667" s="558" t="s">
        <v>778</v>
      </c>
      <c r="D667" s="558" t="s">
        <v>23155</v>
      </c>
      <c r="E667" s="558" t="s">
        <v>192</v>
      </c>
      <c r="F667" s="563">
        <v>1</v>
      </c>
      <c r="G667" s="558" t="s">
        <v>193</v>
      </c>
      <c r="H667" s="558" t="s">
        <v>194</v>
      </c>
      <c r="I667" s="558" t="s">
        <v>23151</v>
      </c>
      <c r="J667" s="558" t="s">
        <v>223</v>
      </c>
      <c r="K667" s="558" t="s">
        <v>9309</v>
      </c>
      <c r="L667" s="558" t="s">
        <v>6955</v>
      </c>
      <c r="M667" s="558"/>
      <c r="N667" s="558" t="s">
        <v>25569</v>
      </c>
      <c r="O667" s="558" t="s">
        <v>6254</v>
      </c>
      <c r="P667" s="558" t="s">
        <v>25258</v>
      </c>
      <c r="Q667" s="558" t="s">
        <v>23266</v>
      </c>
      <c r="R667" s="558" t="s">
        <v>25403</v>
      </c>
      <c r="S667" s="558" t="s">
        <v>25570</v>
      </c>
      <c r="T667" s="558" t="s">
        <v>25571</v>
      </c>
      <c r="U667" s="558"/>
      <c r="V667" s="558" t="s">
        <v>11163</v>
      </c>
      <c r="W667" s="558" t="s">
        <v>779</v>
      </c>
      <c r="X667" s="558" t="s">
        <v>194</v>
      </c>
      <c r="Y667" s="558" t="s">
        <v>9300</v>
      </c>
      <c r="Z667" s="558"/>
      <c r="AA667" s="558"/>
      <c r="AB667" s="558" t="s">
        <v>9311</v>
      </c>
      <c r="AC667" s="558"/>
      <c r="AD667" s="558"/>
      <c r="AE667" s="558"/>
      <c r="AF667" s="558"/>
      <c r="AG667" s="558"/>
      <c r="AH667" s="558" t="s">
        <v>4714</v>
      </c>
      <c r="AI667" s="558" t="s">
        <v>778</v>
      </c>
      <c r="AJ667" s="601" t="str">
        <f t="shared" si="20"/>
        <v>524902</v>
      </c>
      <c r="AK667" s="601">
        <v>1</v>
      </c>
      <c r="AL667" s="601">
        <f t="shared" si="21"/>
        <v>1</v>
      </c>
      <c r="AM667" s="601">
        <v>1</v>
      </c>
      <c r="AN667" s="603" t="s">
        <v>17650</v>
      </c>
      <c r="AO667" s="603" t="s">
        <v>17651</v>
      </c>
      <c r="AP667" s="603" t="s">
        <v>17652</v>
      </c>
      <c r="AQ667" s="603" t="s">
        <v>17653</v>
      </c>
      <c r="AR667" s="603" t="s">
        <v>1024</v>
      </c>
      <c r="AS667" s="558">
        <v>1</v>
      </c>
    </row>
    <row r="668" spans="1:45" x14ac:dyDescent="0.2">
      <c r="A668" s="558" t="s">
        <v>16146</v>
      </c>
      <c r="B668" s="558" t="s">
        <v>831</v>
      </c>
      <c r="C668" s="558" t="s">
        <v>829</v>
      </c>
      <c r="D668" s="558" t="s">
        <v>23155</v>
      </c>
      <c r="E668" s="558" t="s">
        <v>192</v>
      </c>
      <c r="F668" s="563">
        <v>1</v>
      </c>
      <c r="G668" s="558" t="s">
        <v>193</v>
      </c>
      <c r="H668" s="558" t="s">
        <v>194</v>
      </c>
      <c r="I668" s="558" t="s">
        <v>23151</v>
      </c>
      <c r="J668" s="558" t="s">
        <v>5098</v>
      </c>
      <c r="K668" s="558" t="s">
        <v>9309</v>
      </c>
      <c r="L668" s="558" t="s">
        <v>6955</v>
      </c>
      <c r="M668" s="558"/>
      <c r="N668" s="558" t="s">
        <v>25572</v>
      </c>
      <c r="O668" s="558" t="s">
        <v>6258</v>
      </c>
      <c r="P668" s="558" t="s">
        <v>25402</v>
      </c>
      <c r="Q668" s="558" t="s">
        <v>23266</v>
      </c>
      <c r="R668" s="558" t="s">
        <v>25403</v>
      </c>
      <c r="S668" s="558" t="s">
        <v>25573</v>
      </c>
      <c r="T668" s="558" t="s">
        <v>25574</v>
      </c>
      <c r="U668" s="558"/>
      <c r="V668" s="558" t="s">
        <v>9786</v>
      </c>
      <c r="W668" s="558" t="s">
        <v>830</v>
      </c>
      <c r="X668" s="558" t="s">
        <v>194</v>
      </c>
      <c r="Y668" s="558" t="s">
        <v>9300</v>
      </c>
      <c r="Z668" s="558"/>
      <c r="AA668" s="558"/>
      <c r="AB668" s="558" t="s">
        <v>9311</v>
      </c>
      <c r="AC668" s="558"/>
      <c r="AD668" s="558"/>
      <c r="AE668" s="558"/>
      <c r="AF668" s="558"/>
      <c r="AG668" s="558"/>
      <c r="AH668" s="558" t="s">
        <v>4714</v>
      </c>
      <c r="AI668" s="558" t="s">
        <v>831</v>
      </c>
      <c r="AJ668" s="601" t="str">
        <f t="shared" si="20"/>
        <v>741201</v>
      </c>
      <c r="AK668" s="601">
        <v>1</v>
      </c>
      <c r="AL668" s="601">
        <f t="shared" si="21"/>
        <v>1</v>
      </c>
      <c r="AM668" s="601">
        <v>1</v>
      </c>
      <c r="AN668" s="603" t="s">
        <v>17650</v>
      </c>
      <c r="AO668" s="603" t="s">
        <v>17651</v>
      </c>
      <c r="AP668" s="603" t="s">
        <v>17652</v>
      </c>
      <c r="AQ668" s="603" t="s">
        <v>17653</v>
      </c>
      <c r="AR668" s="603" t="s">
        <v>1024</v>
      </c>
      <c r="AS668" s="558">
        <v>1</v>
      </c>
    </row>
    <row r="669" spans="1:45" x14ac:dyDescent="0.2">
      <c r="A669" s="558" t="s">
        <v>2374</v>
      </c>
      <c r="B669" s="558" t="s">
        <v>25575</v>
      </c>
      <c r="C669" s="558" t="s">
        <v>35</v>
      </c>
      <c r="D669" s="558" t="s">
        <v>23155</v>
      </c>
      <c r="E669" s="558" t="s">
        <v>192</v>
      </c>
      <c r="F669" s="563">
        <v>1</v>
      </c>
      <c r="G669" s="558" t="s">
        <v>193</v>
      </c>
      <c r="H669" s="558" t="s">
        <v>194</v>
      </c>
      <c r="I669" s="558" t="s">
        <v>23186</v>
      </c>
      <c r="J669" s="558" t="s">
        <v>210</v>
      </c>
      <c r="K669" s="558" t="s">
        <v>9309</v>
      </c>
      <c r="L669" s="558" t="s">
        <v>6955</v>
      </c>
      <c r="M669" s="558"/>
      <c r="N669" s="558" t="s">
        <v>25576</v>
      </c>
      <c r="O669" s="558" t="s">
        <v>7001</v>
      </c>
      <c r="P669" s="558" t="s">
        <v>25402</v>
      </c>
      <c r="Q669" s="558" t="s">
        <v>23266</v>
      </c>
      <c r="R669" s="558" t="s">
        <v>25403</v>
      </c>
      <c r="S669" s="558" t="s">
        <v>25577</v>
      </c>
      <c r="T669" s="558" t="s">
        <v>25578</v>
      </c>
      <c r="U669" s="558"/>
      <c r="V669" s="558" t="s">
        <v>9334</v>
      </c>
      <c r="W669" s="558" t="s">
        <v>207</v>
      </c>
      <c r="X669" s="558" t="s">
        <v>194</v>
      </c>
      <c r="Y669" s="558" t="s">
        <v>9300</v>
      </c>
      <c r="Z669" s="558"/>
      <c r="AA669" s="558"/>
      <c r="AB669" s="558" t="s">
        <v>9311</v>
      </c>
      <c r="AC669" s="558"/>
      <c r="AD669" s="558"/>
      <c r="AE669" s="558"/>
      <c r="AF669" s="558"/>
      <c r="AG669" s="558"/>
      <c r="AH669" s="558" t="s">
        <v>4714</v>
      </c>
      <c r="AI669" s="558" t="s">
        <v>25575</v>
      </c>
      <c r="AJ669" s="601" t="str">
        <f t="shared" si="20"/>
        <v>122106</v>
      </c>
      <c r="AK669" s="601">
        <v>1</v>
      </c>
      <c r="AL669" s="601">
        <f t="shared" si="21"/>
        <v>1</v>
      </c>
      <c r="AM669" s="601">
        <v>1</v>
      </c>
      <c r="AN669" s="603" t="s">
        <v>17650</v>
      </c>
      <c r="AO669" s="603" t="s">
        <v>17651</v>
      </c>
      <c r="AP669" s="603" t="s">
        <v>17652</v>
      </c>
      <c r="AQ669" s="603" t="s">
        <v>17653</v>
      </c>
      <c r="AR669" s="603" t="s">
        <v>1024</v>
      </c>
      <c r="AS669" s="558">
        <v>1</v>
      </c>
    </row>
    <row r="670" spans="1:45" x14ac:dyDescent="0.2">
      <c r="A670" s="558" t="s">
        <v>20128</v>
      </c>
      <c r="B670" s="558" t="s">
        <v>25579</v>
      </c>
      <c r="C670" s="558" t="s">
        <v>10</v>
      </c>
      <c r="D670" s="558" t="s">
        <v>23155</v>
      </c>
      <c r="E670" s="558" t="s">
        <v>192</v>
      </c>
      <c r="F670" s="563">
        <v>1</v>
      </c>
      <c r="G670" s="558" t="s">
        <v>193</v>
      </c>
      <c r="H670" s="558" t="s">
        <v>194</v>
      </c>
      <c r="I670" s="558" t="s">
        <v>23307</v>
      </c>
      <c r="J670" s="558" t="s">
        <v>9302</v>
      </c>
      <c r="K670" s="558" t="s">
        <v>9309</v>
      </c>
      <c r="L670" s="558" t="s">
        <v>6955</v>
      </c>
      <c r="M670" s="558"/>
      <c r="N670" s="558" t="s">
        <v>25580</v>
      </c>
      <c r="O670" s="558" t="s">
        <v>6921</v>
      </c>
      <c r="P670" s="558" t="s">
        <v>25402</v>
      </c>
      <c r="Q670" s="558" t="s">
        <v>23266</v>
      </c>
      <c r="R670" s="558" t="s">
        <v>25403</v>
      </c>
      <c r="S670" s="558" t="s">
        <v>25581</v>
      </c>
      <c r="T670" s="558" t="s">
        <v>25582</v>
      </c>
      <c r="U670" s="558"/>
      <c r="V670" s="603"/>
      <c r="W670" s="558" t="s">
        <v>484</v>
      </c>
      <c r="X670" s="558" t="s">
        <v>193</v>
      </c>
      <c r="Y670" s="558" t="s">
        <v>9310</v>
      </c>
      <c r="Z670" s="558"/>
      <c r="AA670" s="558"/>
      <c r="AB670" s="558" t="s">
        <v>9311</v>
      </c>
      <c r="AC670" s="558"/>
      <c r="AD670" s="558"/>
      <c r="AE670" s="558"/>
      <c r="AF670" s="558"/>
      <c r="AG670" s="558"/>
      <c r="AH670" s="558" t="s">
        <v>4714</v>
      </c>
      <c r="AI670" s="558" t="s">
        <v>25579</v>
      </c>
      <c r="AJ670" s="601" t="str">
        <f t="shared" si="20"/>
        <v>251401</v>
      </c>
      <c r="AK670" s="601">
        <v>1</v>
      </c>
      <c r="AL670" s="601">
        <f t="shared" si="21"/>
        <v>1</v>
      </c>
      <c r="AM670" s="601">
        <v>1</v>
      </c>
      <c r="AN670" s="603" t="s">
        <v>17650</v>
      </c>
      <c r="AO670" s="603" t="s">
        <v>17651</v>
      </c>
      <c r="AP670" s="603" t="s">
        <v>17652</v>
      </c>
      <c r="AQ670" s="603" t="s">
        <v>17653</v>
      </c>
      <c r="AR670" s="603" t="s">
        <v>1024</v>
      </c>
      <c r="AS670" s="558">
        <v>1</v>
      </c>
    </row>
    <row r="671" spans="1:45" x14ac:dyDescent="0.2">
      <c r="A671" s="558" t="s">
        <v>21442</v>
      </c>
      <c r="B671" s="558" t="s">
        <v>24695</v>
      </c>
      <c r="C671" s="558" t="s">
        <v>36</v>
      </c>
      <c r="D671" s="558" t="s">
        <v>23155</v>
      </c>
      <c r="E671" s="558" t="s">
        <v>192</v>
      </c>
      <c r="F671" s="563">
        <v>1</v>
      </c>
      <c r="G671" s="558" t="s">
        <v>193</v>
      </c>
      <c r="H671" s="558" t="s">
        <v>194</v>
      </c>
      <c r="I671" s="558" t="s">
        <v>23186</v>
      </c>
      <c r="J671" s="558" t="s">
        <v>210</v>
      </c>
      <c r="K671" s="558" t="s">
        <v>9309</v>
      </c>
      <c r="L671" s="558" t="s">
        <v>6955</v>
      </c>
      <c r="M671" s="558"/>
      <c r="N671" s="558" t="s">
        <v>25583</v>
      </c>
      <c r="O671" s="558" t="s">
        <v>7531</v>
      </c>
      <c r="P671" s="558" t="s">
        <v>25402</v>
      </c>
      <c r="Q671" s="558" t="s">
        <v>23266</v>
      </c>
      <c r="R671" s="558" t="s">
        <v>25529</v>
      </c>
      <c r="S671" s="558" t="s">
        <v>25584</v>
      </c>
      <c r="T671" s="558" t="s">
        <v>25585</v>
      </c>
      <c r="U671" s="558"/>
      <c r="V671" s="558" t="s">
        <v>9334</v>
      </c>
      <c r="W671" s="558" t="s">
        <v>609</v>
      </c>
      <c r="X671" s="558" t="s">
        <v>194</v>
      </c>
      <c r="Y671" s="558" t="s">
        <v>9300</v>
      </c>
      <c r="Z671" s="558"/>
      <c r="AA671" s="558"/>
      <c r="AB671" s="558" t="s">
        <v>9311</v>
      </c>
      <c r="AC671" s="558"/>
      <c r="AD671" s="558"/>
      <c r="AE671" s="558"/>
      <c r="AF671" s="558"/>
      <c r="AG671" s="558"/>
      <c r="AH671" s="558" t="s">
        <v>4714</v>
      </c>
      <c r="AI671" s="558" t="s">
        <v>24695</v>
      </c>
      <c r="AJ671" s="601" t="str">
        <f t="shared" si="20"/>
        <v>331301</v>
      </c>
      <c r="AK671" s="601">
        <v>1</v>
      </c>
      <c r="AL671" s="601">
        <f t="shared" si="21"/>
        <v>1</v>
      </c>
      <c r="AM671" s="601">
        <v>1</v>
      </c>
      <c r="AN671" s="603" t="s">
        <v>17650</v>
      </c>
      <c r="AO671" s="603" t="s">
        <v>17651</v>
      </c>
      <c r="AP671" s="603" t="s">
        <v>17652</v>
      </c>
      <c r="AQ671" s="603" t="s">
        <v>17653</v>
      </c>
      <c r="AR671" s="603" t="s">
        <v>1024</v>
      </c>
      <c r="AS671" s="558">
        <v>1</v>
      </c>
    </row>
    <row r="672" spans="1:45" x14ac:dyDescent="0.2">
      <c r="A672" s="558" t="s">
        <v>21197</v>
      </c>
      <c r="B672" s="558" t="s">
        <v>3035</v>
      </c>
      <c r="C672" s="558" t="s">
        <v>525</v>
      </c>
      <c r="D672" s="558" t="s">
        <v>23155</v>
      </c>
      <c r="E672" s="558" t="s">
        <v>192</v>
      </c>
      <c r="F672" s="563">
        <v>1</v>
      </c>
      <c r="G672" s="558" t="s">
        <v>193</v>
      </c>
      <c r="H672" s="558" t="s">
        <v>194</v>
      </c>
      <c r="I672" s="558" t="s">
        <v>24551</v>
      </c>
      <c r="J672" s="558" t="s">
        <v>210</v>
      </c>
      <c r="K672" s="558" t="s">
        <v>9309</v>
      </c>
      <c r="L672" s="558" t="s">
        <v>6955</v>
      </c>
      <c r="M672" s="558"/>
      <c r="N672" s="558" t="s">
        <v>25586</v>
      </c>
      <c r="O672" s="558" t="s">
        <v>7531</v>
      </c>
      <c r="P672" s="558" t="s">
        <v>25402</v>
      </c>
      <c r="Q672" s="558" t="s">
        <v>23266</v>
      </c>
      <c r="R672" s="558" t="s">
        <v>25403</v>
      </c>
      <c r="S672" s="558" t="s">
        <v>25587</v>
      </c>
      <c r="T672" s="558" t="s">
        <v>25588</v>
      </c>
      <c r="U672" s="558"/>
      <c r="V672" s="558" t="s">
        <v>9334</v>
      </c>
      <c r="W672" s="558" t="s">
        <v>526</v>
      </c>
      <c r="X672" s="558" t="s">
        <v>194</v>
      </c>
      <c r="Y672" s="558" t="s">
        <v>9300</v>
      </c>
      <c r="Z672" s="558"/>
      <c r="AA672" s="558"/>
      <c r="AB672" s="558" t="s">
        <v>9311</v>
      </c>
      <c r="AC672" s="558"/>
      <c r="AD672" s="558"/>
      <c r="AE672" s="558"/>
      <c r="AF672" s="558"/>
      <c r="AG672" s="558"/>
      <c r="AH672" s="558" t="s">
        <v>4714</v>
      </c>
      <c r="AI672" s="558" t="s">
        <v>3035</v>
      </c>
      <c r="AJ672" s="601" t="str">
        <f t="shared" si="20"/>
        <v>263102</v>
      </c>
      <c r="AK672" s="601">
        <v>1</v>
      </c>
      <c r="AL672" s="601">
        <f t="shared" si="21"/>
        <v>1</v>
      </c>
      <c r="AM672" s="601">
        <v>1</v>
      </c>
      <c r="AN672" s="603" t="s">
        <v>17650</v>
      </c>
      <c r="AO672" s="603" t="s">
        <v>17651</v>
      </c>
      <c r="AP672" s="603" t="s">
        <v>17652</v>
      </c>
      <c r="AQ672" s="603" t="s">
        <v>17653</v>
      </c>
      <c r="AR672" s="603" t="s">
        <v>1024</v>
      </c>
      <c r="AS672" s="558">
        <v>1</v>
      </c>
    </row>
    <row r="673" spans="1:45" x14ac:dyDescent="0.2">
      <c r="A673" s="558" t="s">
        <v>16978</v>
      </c>
      <c r="B673" s="558" t="s">
        <v>16827</v>
      </c>
      <c r="C673" s="558" t="s">
        <v>886</v>
      </c>
      <c r="D673" s="558" t="s">
        <v>23155</v>
      </c>
      <c r="E673" s="558" t="s">
        <v>192</v>
      </c>
      <c r="F673" s="563">
        <v>1</v>
      </c>
      <c r="G673" s="558" t="s">
        <v>193</v>
      </c>
      <c r="H673" s="558" t="s">
        <v>194</v>
      </c>
      <c r="I673" s="558" t="s">
        <v>23158</v>
      </c>
      <c r="J673" s="558" t="s">
        <v>25552</v>
      </c>
      <c r="K673" s="558" t="s">
        <v>9309</v>
      </c>
      <c r="L673" s="558" t="s">
        <v>6955</v>
      </c>
      <c r="M673" s="558"/>
      <c r="N673" s="558" t="s">
        <v>25589</v>
      </c>
      <c r="O673" s="558" t="s">
        <v>6266</v>
      </c>
      <c r="P673" s="558" t="s">
        <v>25402</v>
      </c>
      <c r="Q673" s="558" t="s">
        <v>23266</v>
      </c>
      <c r="R673" s="558" t="s">
        <v>25403</v>
      </c>
      <c r="S673" s="558" t="s">
        <v>25590</v>
      </c>
      <c r="T673" s="558" t="s">
        <v>25591</v>
      </c>
      <c r="U673" s="558"/>
      <c r="V673" s="558" t="s">
        <v>9856</v>
      </c>
      <c r="W673" s="558" t="s">
        <v>887</v>
      </c>
      <c r="X673" s="558" t="s">
        <v>194</v>
      </c>
      <c r="Y673" s="558" t="s">
        <v>9300</v>
      </c>
      <c r="Z673" s="558"/>
      <c r="AA673" s="558"/>
      <c r="AB673" s="558" t="s">
        <v>9311</v>
      </c>
      <c r="AC673" s="558"/>
      <c r="AD673" s="558"/>
      <c r="AE673" s="558"/>
      <c r="AF673" s="558"/>
      <c r="AG673" s="558"/>
      <c r="AH673" s="558" t="s">
        <v>4714</v>
      </c>
      <c r="AI673" s="558" t="s">
        <v>16827</v>
      </c>
      <c r="AJ673" s="601" t="str">
        <f t="shared" si="20"/>
        <v>834401</v>
      </c>
      <c r="AK673" s="601">
        <v>1</v>
      </c>
      <c r="AL673" s="601">
        <f t="shared" si="21"/>
        <v>1</v>
      </c>
      <c r="AM673" s="601">
        <v>1</v>
      </c>
      <c r="AN673" s="603" t="s">
        <v>17650</v>
      </c>
      <c r="AO673" s="603" t="s">
        <v>17651</v>
      </c>
      <c r="AP673" s="603" t="s">
        <v>17652</v>
      </c>
      <c r="AQ673" s="603" t="s">
        <v>17653</v>
      </c>
      <c r="AR673" s="603" t="s">
        <v>1024</v>
      </c>
      <c r="AS673" s="558">
        <v>1</v>
      </c>
    </row>
    <row r="674" spans="1:45" x14ac:dyDescent="0.2">
      <c r="A674" s="558" t="s">
        <v>25592</v>
      </c>
      <c r="B674" s="558" t="s">
        <v>25593</v>
      </c>
      <c r="C674" s="558" t="s">
        <v>266</v>
      </c>
      <c r="D674" s="558" t="s">
        <v>23155</v>
      </c>
      <c r="E674" s="558" t="s">
        <v>192</v>
      </c>
      <c r="F674" s="563">
        <v>1</v>
      </c>
      <c r="G674" s="558" t="s">
        <v>193</v>
      </c>
      <c r="H674" s="558" t="s">
        <v>194</v>
      </c>
      <c r="I674" s="558" t="s">
        <v>24551</v>
      </c>
      <c r="J674" s="558" t="s">
        <v>210</v>
      </c>
      <c r="K674" s="558" t="s">
        <v>9309</v>
      </c>
      <c r="L674" s="558" t="s">
        <v>6955</v>
      </c>
      <c r="M674" s="558"/>
      <c r="N674" s="558" t="s">
        <v>25594</v>
      </c>
      <c r="O674" s="558" t="s">
        <v>6921</v>
      </c>
      <c r="P674" s="558" t="s">
        <v>25402</v>
      </c>
      <c r="Q674" s="558" t="s">
        <v>23266</v>
      </c>
      <c r="R674" s="558" t="s">
        <v>25403</v>
      </c>
      <c r="S674" s="558" t="s">
        <v>25595</v>
      </c>
      <c r="T674" s="558" t="s">
        <v>25596</v>
      </c>
      <c r="U674" s="558"/>
      <c r="V674" s="558" t="s">
        <v>9334</v>
      </c>
      <c r="W674" s="558" t="s">
        <v>268</v>
      </c>
      <c r="X674" s="558" t="s">
        <v>194</v>
      </c>
      <c r="Y674" s="558" t="s">
        <v>9300</v>
      </c>
      <c r="Z674" s="558"/>
      <c r="AA674" s="558"/>
      <c r="AB674" s="558" t="s">
        <v>9311</v>
      </c>
      <c r="AC674" s="558"/>
      <c r="AD674" s="558"/>
      <c r="AE674" s="558"/>
      <c r="AF674" s="558"/>
      <c r="AG674" s="558"/>
      <c r="AH674" s="558" t="s">
        <v>4714</v>
      </c>
      <c r="AI674" s="558" t="s">
        <v>25593</v>
      </c>
      <c r="AJ674" s="601" t="str">
        <f t="shared" si="20"/>
        <v>143905</v>
      </c>
      <c r="AK674" s="601">
        <v>1</v>
      </c>
      <c r="AL674" s="601">
        <f t="shared" si="21"/>
        <v>1</v>
      </c>
      <c r="AM674" s="601">
        <v>1</v>
      </c>
      <c r="AN674" s="603" t="s">
        <v>17650</v>
      </c>
      <c r="AO674" s="603" t="s">
        <v>17651</v>
      </c>
      <c r="AP674" s="603" t="s">
        <v>17652</v>
      </c>
      <c r="AQ674" s="603" t="s">
        <v>17653</v>
      </c>
      <c r="AR674" s="603" t="s">
        <v>1024</v>
      </c>
      <c r="AS674" s="558">
        <v>1</v>
      </c>
    </row>
    <row r="675" spans="1:45" x14ac:dyDescent="0.2">
      <c r="A675" s="558" t="s">
        <v>25597</v>
      </c>
      <c r="B675" s="558" t="s">
        <v>4258</v>
      </c>
      <c r="C675" s="558" t="s">
        <v>25598</v>
      </c>
      <c r="D675" s="558" t="s">
        <v>23155</v>
      </c>
      <c r="E675" s="558" t="s">
        <v>192</v>
      </c>
      <c r="F675" s="563">
        <v>1</v>
      </c>
      <c r="G675" s="558" t="s">
        <v>193</v>
      </c>
      <c r="H675" s="558" t="s">
        <v>194</v>
      </c>
      <c r="I675" s="558" t="s">
        <v>24551</v>
      </c>
      <c r="J675" s="558" t="s">
        <v>408</v>
      </c>
      <c r="K675" s="558" t="s">
        <v>9309</v>
      </c>
      <c r="L675" s="558" t="s">
        <v>6955</v>
      </c>
      <c r="M675" s="558"/>
      <c r="N675" s="558" t="s">
        <v>25599</v>
      </c>
      <c r="O675" s="558" t="s">
        <v>6258</v>
      </c>
      <c r="P675" s="558" t="s">
        <v>25402</v>
      </c>
      <c r="Q675" s="558" t="s">
        <v>23266</v>
      </c>
      <c r="R675" s="558" t="s">
        <v>25529</v>
      </c>
      <c r="S675" s="558" t="s">
        <v>25600</v>
      </c>
      <c r="T675" s="558" t="s">
        <v>25601</v>
      </c>
      <c r="U675" s="558"/>
      <c r="V675" s="558" t="s">
        <v>9479</v>
      </c>
      <c r="W675" s="558" t="s">
        <v>25602</v>
      </c>
      <c r="X675" s="558" t="s">
        <v>194</v>
      </c>
      <c r="Y675" s="558" t="s">
        <v>9300</v>
      </c>
      <c r="Z675" s="558"/>
      <c r="AA675" s="558"/>
      <c r="AB675" s="558" t="s">
        <v>9311</v>
      </c>
      <c r="AC675" s="558"/>
      <c r="AD675" s="558"/>
      <c r="AE675" s="558"/>
      <c r="AF675" s="558"/>
      <c r="AG675" s="558"/>
      <c r="AH675" s="558" t="s">
        <v>4714</v>
      </c>
      <c r="AI675" s="558" t="s">
        <v>4258</v>
      </c>
      <c r="AJ675" s="601" t="str">
        <f t="shared" si="20"/>
        <v>313209</v>
      </c>
      <c r="AK675" s="601">
        <v>1</v>
      </c>
      <c r="AL675" s="601">
        <f t="shared" si="21"/>
        <v>1</v>
      </c>
      <c r="AM675" s="601">
        <v>1</v>
      </c>
      <c r="AN675" s="603" t="s">
        <v>17650</v>
      </c>
      <c r="AO675" s="603" t="s">
        <v>17651</v>
      </c>
      <c r="AP675" s="603" t="s">
        <v>17652</v>
      </c>
      <c r="AQ675" s="603" t="s">
        <v>17653</v>
      </c>
      <c r="AR675" s="603" t="s">
        <v>1024</v>
      </c>
      <c r="AS675" s="558">
        <v>1</v>
      </c>
    </row>
    <row r="676" spans="1:45" x14ac:dyDescent="0.2">
      <c r="A676" s="558" t="s">
        <v>972</v>
      </c>
      <c r="B676" s="558" t="s">
        <v>25603</v>
      </c>
      <c r="C676" s="558" t="s">
        <v>2861</v>
      </c>
      <c r="D676" s="558" t="s">
        <v>23155</v>
      </c>
      <c r="E676" s="558" t="s">
        <v>192</v>
      </c>
      <c r="F676" s="563">
        <v>1</v>
      </c>
      <c r="G676" s="558" t="s">
        <v>193</v>
      </c>
      <c r="H676" s="558" t="s">
        <v>194</v>
      </c>
      <c r="I676" s="558" t="s">
        <v>23917</v>
      </c>
      <c r="J676" s="558" t="s">
        <v>210</v>
      </c>
      <c r="K676" s="558" t="s">
        <v>9309</v>
      </c>
      <c r="L676" s="558" t="s">
        <v>6955</v>
      </c>
      <c r="M676" s="558"/>
      <c r="N676" s="558" t="s">
        <v>25604</v>
      </c>
      <c r="O676" s="558" t="s">
        <v>6261</v>
      </c>
      <c r="P676" s="558" t="s">
        <v>25402</v>
      </c>
      <c r="Q676" s="558" t="s">
        <v>23266</v>
      </c>
      <c r="R676" s="558" t="s">
        <v>25403</v>
      </c>
      <c r="S676" s="558" t="s">
        <v>25605</v>
      </c>
      <c r="T676" s="558" t="s">
        <v>25606</v>
      </c>
      <c r="U676" s="558"/>
      <c r="V676" s="558" t="s">
        <v>9334</v>
      </c>
      <c r="W676" s="558" t="s">
        <v>3629</v>
      </c>
      <c r="X676" s="558" t="s">
        <v>194</v>
      </c>
      <c r="Y676" s="558" t="s">
        <v>9300</v>
      </c>
      <c r="Z676" s="558"/>
      <c r="AA676" s="558"/>
      <c r="AB676" s="558" t="s">
        <v>9311</v>
      </c>
      <c r="AC676" s="558"/>
      <c r="AD676" s="558"/>
      <c r="AE676" s="558"/>
      <c r="AF676" s="558"/>
      <c r="AG676" s="558"/>
      <c r="AH676" s="558" t="s">
        <v>4714</v>
      </c>
      <c r="AI676" s="558" t="s">
        <v>25603</v>
      </c>
      <c r="AJ676" s="601" t="str">
        <f t="shared" si="20"/>
        <v>251903</v>
      </c>
      <c r="AK676" s="601">
        <v>1</v>
      </c>
      <c r="AL676" s="601">
        <f t="shared" si="21"/>
        <v>1</v>
      </c>
      <c r="AM676" s="601">
        <v>1</v>
      </c>
      <c r="AN676" s="603" t="s">
        <v>17650</v>
      </c>
      <c r="AO676" s="603" t="s">
        <v>17651</v>
      </c>
      <c r="AP676" s="603" t="s">
        <v>17652</v>
      </c>
      <c r="AQ676" s="603" t="s">
        <v>17653</v>
      </c>
      <c r="AR676" s="603" t="s">
        <v>1024</v>
      </c>
      <c r="AS676" s="558">
        <v>1</v>
      </c>
    </row>
    <row r="677" spans="1:45" x14ac:dyDescent="0.2">
      <c r="A677" s="558" t="s">
        <v>4473</v>
      </c>
      <c r="B677" s="558" t="s">
        <v>25607</v>
      </c>
      <c r="C677" s="558" t="s">
        <v>39</v>
      </c>
      <c r="D677" s="558" t="s">
        <v>23155</v>
      </c>
      <c r="E677" s="558" t="s">
        <v>192</v>
      </c>
      <c r="F677" s="563">
        <v>1</v>
      </c>
      <c r="G677" s="558" t="s">
        <v>193</v>
      </c>
      <c r="H677" s="558" t="s">
        <v>194</v>
      </c>
      <c r="I677" s="558" t="s">
        <v>23307</v>
      </c>
      <c r="J677" s="558" t="s">
        <v>210</v>
      </c>
      <c r="K677" s="558" t="s">
        <v>9309</v>
      </c>
      <c r="L677" s="558" t="s">
        <v>6955</v>
      </c>
      <c r="M677" s="558"/>
      <c r="N677" s="558" t="s">
        <v>25608</v>
      </c>
      <c r="O677" s="558" t="s">
        <v>6258</v>
      </c>
      <c r="P677" s="558" t="s">
        <v>25402</v>
      </c>
      <c r="Q677" s="558" t="s">
        <v>23266</v>
      </c>
      <c r="R677" s="558" t="s">
        <v>25403</v>
      </c>
      <c r="S677" s="558" t="s">
        <v>25609</v>
      </c>
      <c r="T677" s="558" t="s">
        <v>25610</v>
      </c>
      <c r="U677" s="558"/>
      <c r="V677" s="558" t="s">
        <v>9334</v>
      </c>
      <c r="W677" s="558" t="s">
        <v>551</v>
      </c>
      <c r="X677" s="558" t="s">
        <v>194</v>
      </c>
      <c r="Y677" s="558" t="s">
        <v>9300</v>
      </c>
      <c r="Z677" s="558"/>
      <c r="AA677" s="558"/>
      <c r="AB677" s="558" t="s">
        <v>9311</v>
      </c>
      <c r="AC677" s="558"/>
      <c r="AD677" s="558"/>
      <c r="AE677" s="558"/>
      <c r="AF677" s="558"/>
      <c r="AG677" s="558"/>
      <c r="AH677" s="558" t="s">
        <v>4714</v>
      </c>
      <c r="AI677" s="558" t="s">
        <v>25607</v>
      </c>
      <c r="AJ677" s="601" t="str">
        <f t="shared" si="20"/>
        <v>311204</v>
      </c>
      <c r="AK677" s="601">
        <v>1</v>
      </c>
      <c r="AL677" s="601">
        <f t="shared" si="21"/>
        <v>1</v>
      </c>
      <c r="AM677" s="601">
        <v>1</v>
      </c>
      <c r="AN677" s="603" t="s">
        <v>17650</v>
      </c>
      <c r="AO677" s="603" t="s">
        <v>17651</v>
      </c>
      <c r="AP677" s="603" t="s">
        <v>17652</v>
      </c>
      <c r="AQ677" s="603" t="s">
        <v>17653</v>
      </c>
      <c r="AR677" s="603" t="s">
        <v>1024</v>
      </c>
      <c r="AS677" s="558">
        <v>1</v>
      </c>
    </row>
    <row r="678" spans="1:45" x14ac:dyDescent="0.2">
      <c r="A678" s="558" t="s">
        <v>13788</v>
      </c>
      <c r="B678" s="558" t="s">
        <v>25611</v>
      </c>
      <c r="C678" s="558" t="s">
        <v>80</v>
      </c>
      <c r="D678" s="558" t="s">
        <v>23155</v>
      </c>
      <c r="E678" s="558" t="s">
        <v>192</v>
      </c>
      <c r="F678" s="563">
        <v>1</v>
      </c>
      <c r="G678" s="558" t="s">
        <v>193</v>
      </c>
      <c r="H678" s="558" t="s">
        <v>194</v>
      </c>
      <c r="I678" s="558" t="s">
        <v>23499</v>
      </c>
      <c r="J678" s="558" t="s">
        <v>2183</v>
      </c>
      <c r="K678" s="558" t="s">
        <v>9309</v>
      </c>
      <c r="L678" s="558" t="s">
        <v>6955</v>
      </c>
      <c r="M678" s="558"/>
      <c r="N678" s="558" t="s">
        <v>25612</v>
      </c>
      <c r="O678" s="558" t="s">
        <v>7489</v>
      </c>
      <c r="P678" s="558" t="s">
        <v>25402</v>
      </c>
      <c r="Q678" s="558" t="s">
        <v>23266</v>
      </c>
      <c r="R678" s="558" t="s">
        <v>25403</v>
      </c>
      <c r="S678" s="558" t="s">
        <v>25613</v>
      </c>
      <c r="T678" s="558" t="s">
        <v>25614</v>
      </c>
      <c r="U678" s="558"/>
      <c r="V678" s="558" t="s">
        <v>9892</v>
      </c>
      <c r="W678" s="558" t="s">
        <v>474</v>
      </c>
      <c r="X678" s="558" t="s">
        <v>194</v>
      </c>
      <c r="Y678" s="558" t="s">
        <v>9300</v>
      </c>
      <c r="Z678" s="558"/>
      <c r="AA678" s="558"/>
      <c r="AB678" s="558" t="s">
        <v>9311</v>
      </c>
      <c r="AC678" s="558"/>
      <c r="AD678" s="558"/>
      <c r="AE678" s="558"/>
      <c r="AF678" s="558"/>
      <c r="AG678" s="558"/>
      <c r="AH678" s="558" t="s">
        <v>4714</v>
      </c>
      <c r="AI678" s="558" t="s">
        <v>25611</v>
      </c>
      <c r="AJ678" s="601" t="str">
        <f t="shared" si="20"/>
        <v>243304</v>
      </c>
      <c r="AK678" s="601">
        <v>1</v>
      </c>
      <c r="AL678" s="601">
        <f t="shared" si="21"/>
        <v>1</v>
      </c>
      <c r="AM678" s="601">
        <v>1</v>
      </c>
      <c r="AN678" s="603" t="s">
        <v>17650</v>
      </c>
      <c r="AO678" s="603" t="s">
        <v>17651</v>
      </c>
      <c r="AP678" s="603" t="s">
        <v>17652</v>
      </c>
      <c r="AQ678" s="603" t="s">
        <v>17653</v>
      </c>
      <c r="AR678" s="603" t="s">
        <v>1024</v>
      </c>
      <c r="AS678" s="558">
        <v>1</v>
      </c>
    </row>
    <row r="679" spans="1:45" x14ac:dyDescent="0.2">
      <c r="A679" s="558" t="s">
        <v>25615</v>
      </c>
      <c r="B679" s="558" t="s">
        <v>1244</v>
      </c>
      <c r="C679" s="558" t="s">
        <v>1244</v>
      </c>
      <c r="D679" s="558" t="s">
        <v>23155</v>
      </c>
      <c r="E679" s="558" t="s">
        <v>192</v>
      </c>
      <c r="F679" s="563">
        <v>1</v>
      </c>
      <c r="G679" s="558" t="s">
        <v>193</v>
      </c>
      <c r="H679" s="558" t="s">
        <v>194</v>
      </c>
      <c r="I679" s="558" t="s">
        <v>23151</v>
      </c>
      <c r="J679" s="558" t="s">
        <v>327</v>
      </c>
      <c r="K679" s="558" t="s">
        <v>9309</v>
      </c>
      <c r="L679" s="558" t="s">
        <v>6955</v>
      </c>
      <c r="M679" s="558"/>
      <c r="N679" s="558" t="s">
        <v>25616</v>
      </c>
      <c r="O679" s="558" t="s">
        <v>6286</v>
      </c>
      <c r="P679" s="558" t="s">
        <v>25402</v>
      </c>
      <c r="Q679" s="558" t="s">
        <v>23266</v>
      </c>
      <c r="R679" s="558" t="s">
        <v>25403</v>
      </c>
      <c r="S679" s="558" t="s">
        <v>25617</v>
      </c>
      <c r="T679" s="558" t="s">
        <v>25618</v>
      </c>
      <c r="U679" s="558"/>
      <c r="V679" s="558" t="s">
        <v>9506</v>
      </c>
      <c r="W679" s="558" t="s">
        <v>701</v>
      </c>
      <c r="X679" s="558" t="s">
        <v>194</v>
      </c>
      <c r="Y679" s="558" t="s">
        <v>9300</v>
      </c>
      <c r="Z679" s="558"/>
      <c r="AA679" s="558"/>
      <c r="AB679" s="558" t="s">
        <v>9311</v>
      </c>
      <c r="AC679" s="558"/>
      <c r="AD679" s="558"/>
      <c r="AE679" s="558"/>
      <c r="AF679" s="558"/>
      <c r="AG679" s="558"/>
      <c r="AH679" s="558" t="s">
        <v>4714</v>
      </c>
      <c r="AI679" s="558" t="s">
        <v>1244</v>
      </c>
      <c r="AJ679" s="601" t="str">
        <f t="shared" si="20"/>
        <v>411003</v>
      </c>
      <c r="AK679" s="601">
        <v>1</v>
      </c>
      <c r="AL679" s="601">
        <f t="shared" si="21"/>
        <v>1</v>
      </c>
      <c r="AM679" s="601">
        <v>1</v>
      </c>
      <c r="AN679" s="603" t="s">
        <v>17650</v>
      </c>
      <c r="AO679" s="603" t="s">
        <v>17651</v>
      </c>
      <c r="AP679" s="603" t="s">
        <v>17652</v>
      </c>
      <c r="AQ679" s="603" t="s">
        <v>17653</v>
      </c>
      <c r="AR679" s="603" t="s">
        <v>1024</v>
      </c>
      <c r="AS679" s="558">
        <v>1</v>
      </c>
    </row>
    <row r="680" spans="1:45" x14ac:dyDescent="0.2">
      <c r="A680" s="558" t="s">
        <v>25615</v>
      </c>
      <c r="B680" s="558" t="s">
        <v>1244</v>
      </c>
      <c r="C680" s="558" t="s">
        <v>1244</v>
      </c>
      <c r="D680" s="558" t="s">
        <v>23155</v>
      </c>
      <c r="E680" s="558" t="s">
        <v>192</v>
      </c>
      <c r="F680" s="563">
        <v>1</v>
      </c>
      <c r="G680" s="558" t="s">
        <v>193</v>
      </c>
      <c r="H680" s="558" t="s">
        <v>194</v>
      </c>
      <c r="I680" s="558" t="s">
        <v>23151</v>
      </c>
      <c r="J680" s="558" t="s">
        <v>23143</v>
      </c>
      <c r="K680" s="558" t="s">
        <v>9309</v>
      </c>
      <c r="L680" s="558" t="s">
        <v>6955</v>
      </c>
      <c r="M680" s="558"/>
      <c r="N680" s="558" t="s">
        <v>25619</v>
      </c>
      <c r="O680" s="558" t="s">
        <v>6286</v>
      </c>
      <c r="P680" s="558" t="s">
        <v>25402</v>
      </c>
      <c r="Q680" s="558" t="s">
        <v>23266</v>
      </c>
      <c r="R680" s="558" t="s">
        <v>25403</v>
      </c>
      <c r="S680" s="558" t="s">
        <v>25620</v>
      </c>
      <c r="T680" s="558" t="s">
        <v>25621</v>
      </c>
      <c r="U680" s="558"/>
      <c r="V680" s="558" t="s">
        <v>9506</v>
      </c>
      <c r="W680" s="558" t="s">
        <v>701</v>
      </c>
      <c r="X680" s="558" t="s">
        <v>194</v>
      </c>
      <c r="Y680" s="558" t="s">
        <v>9300</v>
      </c>
      <c r="Z680" s="558"/>
      <c r="AA680" s="558"/>
      <c r="AB680" s="558" t="s">
        <v>9311</v>
      </c>
      <c r="AC680" s="558"/>
      <c r="AD680" s="558"/>
      <c r="AE680" s="558"/>
      <c r="AF680" s="558"/>
      <c r="AG680" s="558"/>
      <c r="AH680" s="558" t="s">
        <v>4714</v>
      </c>
      <c r="AI680" s="558" t="s">
        <v>1244</v>
      </c>
      <c r="AJ680" s="601" t="str">
        <f t="shared" si="20"/>
        <v>411003</v>
      </c>
      <c r="AK680" s="601">
        <v>1</v>
      </c>
      <c r="AL680" s="601">
        <f t="shared" si="21"/>
        <v>1</v>
      </c>
      <c r="AM680" s="601">
        <v>1</v>
      </c>
      <c r="AN680" s="603" t="s">
        <v>17650</v>
      </c>
      <c r="AO680" s="603" t="s">
        <v>17651</v>
      </c>
      <c r="AP680" s="603" t="s">
        <v>17652</v>
      </c>
      <c r="AQ680" s="603" t="s">
        <v>17653</v>
      </c>
      <c r="AR680" s="603" t="s">
        <v>1024</v>
      </c>
      <c r="AS680" s="558">
        <v>1</v>
      </c>
    </row>
    <row r="681" spans="1:45" x14ac:dyDescent="0.2">
      <c r="A681" s="558" t="s">
        <v>25615</v>
      </c>
      <c r="B681" s="558" t="s">
        <v>1244</v>
      </c>
      <c r="C681" s="558" t="s">
        <v>1244</v>
      </c>
      <c r="D681" s="558" t="s">
        <v>23155</v>
      </c>
      <c r="E681" s="558" t="s">
        <v>192</v>
      </c>
      <c r="F681" s="563">
        <v>1</v>
      </c>
      <c r="G681" s="558" t="s">
        <v>193</v>
      </c>
      <c r="H681" s="558" t="s">
        <v>194</v>
      </c>
      <c r="I681" s="558" t="s">
        <v>23151</v>
      </c>
      <c r="J681" s="558" t="s">
        <v>4345</v>
      </c>
      <c r="K681" s="558" t="s">
        <v>9309</v>
      </c>
      <c r="L681" s="558" t="s">
        <v>6955</v>
      </c>
      <c r="M681" s="558"/>
      <c r="N681" s="558" t="s">
        <v>25622</v>
      </c>
      <c r="O681" s="558" t="s">
        <v>6286</v>
      </c>
      <c r="P681" s="558" t="s">
        <v>25402</v>
      </c>
      <c r="Q681" s="558" t="s">
        <v>23266</v>
      </c>
      <c r="R681" s="558" t="s">
        <v>25403</v>
      </c>
      <c r="S681" s="558" t="s">
        <v>25623</v>
      </c>
      <c r="T681" s="558" t="s">
        <v>25624</v>
      </c>
      <c r="U681" s="558"/>
      <c r="V681" s="558" t="s">
        <v>9726</v>
      </c>
      <c r="W681" s="558" t="s">
        <v>701</v>
      </c>
      <c r="X681" s="558" t="s">
        <v>194</v>
      </c>
      <c r="Y681" s="558" t="s">
        <v>9300</v>
      </c>
      <c r="Z681" s="558"/>
      <c r="AA681" s="558"/>
      <c r="AB681" s="558" t="s">
        <v>9311</v>
      </c>
      <c r="AC681" s="558"/>
      <c r="AD681" s="558"/>
      <c r="AE681" s="558"/>
      <c r="AF681" s="558"/>
      <c r="AG681" s="558"/>
      <c r="AH681" s="558" t="s">
        <v>4714</v>
      </c>
      <c r="AI681" s="558" t="s">
        <v>1244</v>
      </c>
      <c r="AJ681" s="601" t="str">
        <f t="shared" si="20"/>
        <v>411003</v>
      </c>
      <c r="AK681" s="601">
        <v>1</v>
      </c>
      <c r="AL681" s="601">
        <f t="shared" si="21"/>
        <v>1</v>
      </c>
      <c r="AM681" s="601">
        <v>1</v>
      </c>
      <c r="AN681" s="603" t="s">
        <v>17650</v>
      </c>
      <c r="AO681" s="603" t="s">
        <v>17651</v>
      </c>
      <c r="AP681" s="603" t="s">
        <v>17652</v>
      </c>
      <c r="AQ681" s="603" t="s">
        <v>17653</v>
      </c>
      <c r="AR681" s="603" t="s">
        <v>1024</v>
      </c>
      <c r="AS681" s="558">
        <v>1</v>
      </c>
    </row>
    <row r="682" spans="1:45" x14ac:dyDescent="0.2">
      <c r="A682" s="558" t="s">
        <v>10606</v>
      </c>
      <c r="B682" s="558" t="s">
        <v>25625</v>
      </c>
      <c r="C682" s="558" t="s">
        <v>721</v>
      </c>
      <c r="D682" s="558" t="s">
        <v>23155</v>
      </c>
      <c r="E682" s="558" t="s">
        <v>192</v>
      </c>
      <c r="F682" s="563">
        <v>1</v>
      </c>
      <c r="G682" s="558" t="s">
        <v>193</v>
      </c>
      <c r="H682" s="558" t="s">
        <v>194</v>
      </c>
      <c r="I682" s="558" t="s">
        <v>24551</v>
      </c>
      <c r="J682" s="558" t="s">
        <v>755</v>
      </c>
      <c r="K682" s="558" t="s">
        <v>9309</v>
      </c>
      <c r="L682" s="558" t="s">
        <v>6955</v>
      </c>
      <c r="M682" s="558"/>
      <c r="N682" s="558" t="s">
        <v>25626</v>
      </c>
      <c r="O682" s="558" t="s">
        <v>6266</v>
      </c>
      <c r="P682" s="558" t="s">
        <v>25402</v>
      </c>
      <c r="Q682" s="558" t="s">
        <v>23266</v>
      </c>
      <c r="R682" s="558" t="s">
        <v>25403</v>
      </c>
      <c r="S682" s="558" t="s">
        <v>25627</v>
      </c>
      <c r="T682" s="558" t="s">
        <v>25628</v>
      </c>
      <c r="U682" s="558"/>
      <c r="V682" s="558" t="s">
        <v>9726</v>
      </c>
      <c r="W682" s="558" t="s">
        <v>723</v>
      </c>
      <c r="X682" s="558" t="s">
        <v>194</v>
      </c>
      <c r="Y682" s="558" t="s">
        <v>9300</v>
      </c>
      <c r="Z682" s="558"/>
      <c r="AA682" s="558"/>
      <c r="AB682" s="558" t="s">
        <v>9311</v>
      </c>
      <c r="AC682" s="558"/>
      <c r="AD682" s="558"/>
      <c r="AE682" s="558"/>
      <c r="AF682" s="558"/>
      <c r="AG682" s="558"/>
      <c r="AH682" s="558" t="s">
        <v>4714</v>
      </c>
      <c r="AI682" s="558" t="s">
        <v>25625</v>
      </c>
      <c r="AJ682" s="601" t="str">
        <f t="shared" si="20"/>
        <v>432201</v>
      </c>
      <c r="AK682" s="601">
        <v>1</v>
      </c>
      <c r="AL682" s="601">
        <f t="shared" si="21"/>
        <v>1</v>
      </c>
      <c r="AM682" s="601">
        <v>1</v>
      </c>
      <c r="AN682" s="603" t="s">
        <v>17650</v>
      </c>
      <c r="AO682" s="603" t="s">
        <v>17651</v>
      </c>
      <c r="AP682" s="603" t="s">
        <v>17652</v>
      </c>
      <c r="AQ682" s="603" t="s">
        <v>17653</v>
      </c>
      <c r="AR682" s="603" t="s">
        <v>1024</v>
      </c>
      <c r="AS682" s="558">
        <v>1</v>
      </c>
    </row>
    <row r="683" spans="1:45" x14ac:dyDescent="0.2">
      <c r="A683" s="558" t="s">
        <v>2137</v>
      </c>
      <c r="B683" s="558" t="s">
        <v>25629</v>
      </c>
      <c r="C683" s="558" t="s">
        <v>43</v>
      </c>
      <c r="D683" s="558" t="s">
        <v>23155</v>
      </c>
      <c r="E683" s="558" t="s">
        <v>192</v>
      </c>
      <c r="F683" s="563">
        <v>1</v>
      </c>
      <c r="G683" s="558" t="s">
        <v>193</v>
      </c>
      <c r="H683" s="558" t="s">
        <v>194</v>
      </c>
      <c r="I683" s="558" t="s">
        <v>23186</v>
      </c>
      <c r="J683" s="558" t="s">
        <v>253</v>
      </c>
      <c r="K683" s="558" t="s">
        <v>9309</v>
      </c>
      <c r="L683" s="558" t="s">
        <v>6955</v>
      </c>
      <c r="M683" s="558"/>
      <c r="N683" s="558" t="s">
        <v>25630</v>
      </c>
      <c r="O683" s="558" t="s">
        <v>6286</v>
      </c>
      <c r="P683" s="558" t="s">
        <v>25402</v>
      </c>
      <c r="Q683" s="558" t="s">
        <v>23266</v>
      </c>
      <c r="R683" s="558" t="s">
        <v>25403</v>
      </c>
      <c r="S683" s="558" t="s">
        <v>25631</v>
      </c>
      <c r="T683" s="558" t="s">
        <v>25632</v>
      </c>
      <c r="U683" s="558"/>
      <c r="V683" s="558" t="s">
        <v>9468</v>
      </c>
      <c r="W683" s="558" t="s">
        <v>452</v>
      </c>
      <c r="X683" s="558" t="s">
        <v>194</v>
      </c>
      <c r="Y683" s="558" t="s">
        <v>9300</v>
      </c>
      <c r="Z683" s="558"/>
      <c r="AA683" s="558"/>
      <c r="AB683" s="558" t="s">
        <v>9311</v>
      </c>
      <c r="AC683" s="558"/>
      <c r="AD683" s="558"/>
      <c r="AE683" s="558"/>
      <c r="AF683" s="558"/>
      <c r="AG683" s="558"/>
      <c r="AH683" s="558" t="s">
        <v>4714</v>
      </c>
      <c r="AI683" s="558" t="s">
        <v>25629</v>
      </c>
      <c r="AJ683" s="601" t="str">
        <f t="shared" si="20"/>
        <v>243106</v>
      </c>
      <c r="AK683" s="601">
        <v>1</v>
      </c>
      <c r="AL683" s="601">
        <f t="shared" si="21"/>
        <v>1</v>
      </c>
      <c r="AM683" s="601">
        <v>1</v>
      </c>
      <c r="AN683" s="603" t="s">
        <v>17650</v>
      </c>
      <c r="AO683" s="603" t="s">
        <v>17651</v>
      </c>
      <c r="AP683" s="603" t="s">
        <v>17652</v>
      </c>
      <c r="AQ683" s="603" t="s">
        <v>17653</v>
      </c>
      <c r="AR683" s="603" t="s">
        <v>1024</v>
      </c>
      <c r="AS683" s="558">
        <v>1</v>
      </c>
    </row>
    <row r="684" spans="1:45" x14ac:dyDescent="0.2">
      <c r="A684" s="558" t="s">
        <v>8187</v>
      </c>
      <c r="B684" s="558" t="s">
        <v>22752</v>
      </c>
      <c r="C684" s="558" t="s">
        <v>740</v>
      </c>
      <c r="D684" s="558" t="s">
        <v>23155</v>
      </c>
      <c r="E684" s="558" t="s">
        <v>192</v>
      </c>
      <c r="F684" s="563">
        <v>1</v>
      </c>
      <c r="G684" s="558" t="s">
        <v>193</v>
      </c>
      <c r="H684" s="558" t="s">
        <v>194</v>
      </c>
      <c r="I684" s="558" t="s">
        <v>23186</v>
      </c>
      <c r="J684" s="558" t="s">
        <v>1995</v>
      </c>
      <c r="K684" s="558" t="s">
        <v>9309</v>
      </c>
      <c r="L684" s="558" t="s">
        <v>6955</v>
      </c>
      <c r="M684" s="558"/>
      <c r="N684" s="558" t="s">
        <v>25633</v>
      </c>
      <c r="O684" s="558" t="s">
        <v>6251</v>
      </c>
      <c r="P684" s="558" t="s">
        <v>25402</v>
      </c>
      <c r="Q684" s="558" t="s">
        <v>23266</v>
      </c>
      <c r="R684" s="558" t="s">
        <v>25292</v>
      </c>
      <c r="S684" s="558" t="s">
        <v>25634</v>
      </c>
      <c r="T684" s="558" t="s">
        <v>25635</v>
      </c>
      <c r="U684" s="558"/>
      <c r="V684" s="558" t="s">
        <v>9440</v>
      </c>
      <c r="W684" s="558" t="s">
        <v>741</v>
      </c>
      <c r="X684" s="558" t="s">
        <v>194</v>
      </c>
      <c r="Y684" s="558" t="s">
        <v>9300</v>
      </c>
      <c r="Z684" s="558"/>
      <c r="AA684" s="558"/>
      <c r="AB684" s="558" t="s">
        <v>9311</v>
      </c>
      <c r="AC684" s="558"/>
      <c r="AD684" s="558"/>
      <c r="AE684" s="558"/>
      <c r="AF684" s="558"/>
      <c r="AG684" s="558"/>
      <c r="AH684" s="558" t="s">
        <v>4714</v>
      </c>
      <c r="AI684" s="558" t="s">
        <v>22752</v>
      </c>
      <c r="AJ684" s="601" t="str">
        <f t="shared" si="20"/>
        <v>522301</v>
      </c>
      <c r="AK684" s="601">
        <v>1</v>
      </c>
      <c r="AL684" s="601">
        <f t="shared" si="21"/>
        <v>1</v>
      </c>
      <c r="AM684" s="601">
        <v>1</v>
      </c>
      <c r="AN684" s="603" t="s">
        <v>17650</v>
      </c>
      <c r="AO684" s="603" t="s">
        <v>17651</v>
      </c>
      <c r="AP684" s="603" t="s">
        <v>17652</v>
      </c>
      <c r="AQ684" s="603" t="s">
        <v>17653</v>
      </c>
      <c r="AR684" s="603" t="s">
        <v>1024</v>
      </c>
      <c r="AS684" s="558">
        <v>1</v>
      </c>
    </row>
    <row r="685" spans="1:45" x14ac:dyDescent="0.2">
      <c r="A685" s="558" t="s">
        <v>8187</v>
      </c>
      <c r="B685" s="558" t="s">
        <v>22752</v>
      </c>
      <c r="C685" s="558" t="s">
        <v>740</v>
      </c>
      <c r="D685" s="558" t="s">
        <v>23155</v>
      </c>
      <c r="E685" s="558" t="s">
        <v>192</v>
      </c>
      <c r="F685" s="563">
        <v>1</v>
      </c>
      <c r="G685" s="558" t="s">
        <v>193</v>
      </c>
      <c r="H685" s="558" t="s">
        <v>194</v>
      </c>
      <c r="I685" s="558" t="s">
        <v>23186</v>
      </c>
      <c r="J685" s="558" t="s">
        <v>259</v>
      </c>
      <c r="K685" s="558" t="s">
        <v>9309</v>
      </c>
      <c r="L685" s="558" t="s">
        <v>6955</v>
      </c>
      <c r="M685" s="558"/>
      <c r="N685" s="558" t="s">
        <v>25636</v>
      </c>
      <c r="O685" s="558" t="s">
        <v>6251</v>
      </c>
      <c r="P685" s="558" t="s">
        <v>25402</v>
      </c>
      <c r="Q685" s="558" t="s">
        <v>23266</v>
      </c>
      <c r="R685" s="558" t="s">
        <v>25292</v>
      </c>
      <c r="S685" s="558" t="s">
        <v>25637</v>
      </c>
      <c r="T685" s="558" t="s">
        <v>25638</v>
      </c>
      <c r="U685" s="558"/>
      <c r="V685" s="558" t="s">
        <v>10136</v>
      </c>
      <c r="W685" s="558" t="s">
        <v>741</v>
      </c>
      <c r="X685" s="558" t="s">
        <v>194</v>
      </c>
      <c r="Y685" s="558" t="s">
        <v>9300</v>
      </c>
      <c r="Z685" s="558"/>
      <c r="AA685" s="558"/>
      <c r="AB685" s="558" t="s">
        <v>9311</v>
      </c>
      <c r="AC685" s="558"/>
      <c r="AD685" s="558"/>
      <c r="AE685" s="558"/>
      <c r="AF685" s="558"/>
      <c r="AG685" s="558"/>
      <c r="AH685" s="558" t="s">
        <v>4714</v>
      </c>
      <c r="AI685" s="558" t="s">
        <v>22752</v>
      </c>
      <c r="AJ685" s="601" t="str">
        <f t="shared" si="20"/>
        <v>522301</v>
      </c>
      <c r="AK685" s="601">
        <v>1</v>
      </c>
      <c r="AL685" s="601">
        <f t="shared" si="21"/>
        <v>1</v>
      </c>
      <c r="AM685" s="601">
        <v>1</v>
      </c>
      <c r="AN685" s="603" t="s">
        <v>17650</v>
      </c>
      <c r="AO685" s="603" t="s">
        <v>17651</v>
      </c>
      <c r="AP685" s="603" t="s">
        <v>17652</v>
      </c>
      <c r="AQ685" s="603" t="s">
        <v>17653</v>
      </c>
      <c r="AR685" s="603" t="s">
        <v>1024</v>
      </c>
      <c r="AS685" s="558">
        <v>1</v>
      </c>
    </row>
    <row r="686" spans="1:45" x14ac:dyDescent="0.2">
      <c r="A686" s="558" t="s">
        <v>8187</v>
      </c>
      <c r="B686" s="558" t="s">
        <v>2935</v>
      </c>
      <c r="C686" s="558" t="s">
        <v>74</v>
      </c>
      <c r="D686" s="558" t="s">
        <v>23155</v>
      </c>
      <c r="E686" s="558" t="s">
        <v>192</v>
      </c>
      <c r="F686" s="563">
        <v>1</v>
      </c>
      <c r="G686" s="558" t="s">
        <v>193</v>
      </c>
      <c r="H686" s="558" t="s">
        <v>194</v>
      </c>
      <c r="I686" s="558" t="s">
        <v>23151</v>
      </c>
      <c r="J686" s="558" t="s">
        <v>1995</v>
      </c>
      <c r="K686" s="558" t="s">
        <v>9309</v>
      </c>
      <c r="L686" s="558" t="s">
        <v>6955</v>
      </c>
      <c r="M686" s="558"/>
      <c r="N686" s="558" t="s">
        <v>25639</v>
      </c>
      <c r="O686" s="558" t="s">
        <v>6249</v>
      </c>
      <c r="P686" s="558" t="s">
        <v>25402</v>
      </c>
      <c r="Q686" s="558" t="s">
        <v>23266</v>
      </c>
      <c r="R686" s="558" t="s">
        <v>25292</v>
      </c>
      <c r="S686" s="558" t="s">
        <v>25640</v>
      </c>
      <c r="T686" s="558" t="s">
        <v>25641</v>
      </c>
      <c r="U686" s="558"/>
      <c r="V686" s="558" t="s">
        <v>9440</v>
      </c>
      <c r="W686" s="558" t="s">
        <v>246</v>
      </c>
      <c r="X686" s="558" t="s">
        <v>194</v>
      </c>
      <c r="Y686" s="558" t="s">
        <v>9300</v>
      </c>
      <c r="Z686" s="558"/>
      <c r="AA686" s="558"/>
      <c r="AB686" s="558" t="s">
        <v>9311</v>
      </c>
      <c r="AC686" s="558"/>
      <c r="AD686" s="558"/>
      <c r="AE686" s="558"/>
      <c r="AF686" s="558"/>
      <c r="AG686" s="558"/>
      <c r="AH686" s="558" t="s">
        <v>4714</v>
      </c>
      <c r="AI686" s="558" t="s">
        <v>2935</v>
      </c>
      <c r="AJ686" s="601" t="str">
        <f t="shared" si="20"/>
        <v>142004</v>
      </c>
      <c r="AK686" s="601">
        <v>1</v>
      </c>
      <c r="AL686" s="601">
        <f t="shared" si="21"/>
        <v>1</v>
      </c>
      <c r="AM686" s="601">
        <v>1</v>
      </c>
      <c r="AN686" s="603" t="s">
        <v>17650</v>
      </c>
      <c r="AO686" s="603" t="s">
        <v>17651</v>
      </c>
      <c r="AP686" s="603" t="s">
        <v>17652</v>
      </c>
      <c r="AQ686" s="603" t="s">
        <v>17653</v>
      </c>
      <c r="AR686" s="603" t="s">
        <v>1024</v>
      </c>
      <c r="AS686" s="558">
        <v>1</v>
      </c>
    </row>
    <row r="687" spans="1:45" x14ac:dyDescent="0.2">
      <c r="A687" s="558" t="s">
        <v>10606</v>
      </c>
      <c r="B687" s="558" t="s">
        <v>831</v>
      </c>
      <c r="C687" s="558" t="s">
        <v>829</v>
      </c>
      <c r="D687" s="558" t="s">
        <v>23155</v>
      </c>
      <c r="E687" s="558" t="s">
        <v>192</v>
      </c>
      <c r="F687" s="563">
        <v>1</v>
      </c>
      <c r="G687" s="558" t="s">
        <v>193</v>
      </c>
      <c r="H687" s="558" t="s">
        <v>194</v>
      </c>
      <c r="I687" s="558" t="s">
        <v>23151</v>
      </c>
      <c r="J687" s="558" t="s">
        <v>755</v>
      </c>
      <c r="K687" s="558" t="s">
        <v>9309</v>
      </c>
      <c r="L687" s="558" t="s">
        <v>6955</v>
      </c>
      <c r="M687" s="558"/>
      <c r="N687" s="558" t="s">
        <v>25642</v>
      </c>
      <c r="O687" s="558" t="s">
        <v>6245</v>
      </c>
      <c r="P687" s="558" t="s">
        <v>25402</v>
      </c>
      <c r="Q687" s="558" t="s">
        <v>23266</v>
      </c>
      <c r="R687" s="558" t="s">
        <v>25403</v>
      </c>
      <c r="S687" s="558" t="s">
        <v>25643</v>
      </c>
      <c r="T687" s="558" t="s">
        <v>25644</v>
      </c>
      <c r="U687" s="558"/>
      <c r="V687" s="558" t="s">
        <v>9726</v>
      </c>
      <c r="W687" s="558" t="s">
        <v>830</v>
      </c>
      <c r="X687" s="558" t="s">
        <v>194</v>
      </c>
      <c r="Y687" s="558" t="s">
        <v>9300</v>
      </c>
      <c r="Z687" s="558"/>
      <c r="AA687" s="558"/>
      <c r="AB687" s="558" t="s">
        <v>9311</v>
      </c>
      <c r="AC687" s="558"/>
      <c r="AD687" s="558"/>
      <c r="AE687" s="558"/>
      <c r="AF687" s="558"/>
      <c r="AG687" s="558"/>
      <c r="AH687" s="558" t="s">
        <v>4714</v>
      </c>
      <c r="AI687" s="558" t="s">
        <v>831</v>
      </c>
      <c r="AJ687" s="601" t="str">
        <f t="shared" si="20"/>
        <v>741201</v>
      </c>
      <c r="AK687" s="601">
        <v>1</v>
      </c>
      <c r="AL687" s="601">
        <f t="shared" si="21"/>
        <v>1</v>
      </c>
      <c r="AM687" s="601">
        <v>1</v>
      </c>
      <c r="AN687" s="603" t="s">
        <v>17650</v>
      </c>
      <c r="AO687" s="603" t="s">
        <v>17651</v>
      </c>
      <c r="AP687" s="603" t="s">
        <v>17652</v>
      </c>
      <c r="AQ687" s="603" t="s">
        <v>17653</v>
      </c>
      <c r="AR687" s="603" t="s">
        <v>1024</v>
      </c>
      <c r="AS687" s="558">
        <v>1</v>
      </c>
    </row>
    <row r="688" spans="1:45" x14ac:dyDescent="0.2">
      <c r="A688" s="558" t="s">
        <v>8187</v>
      </c>
      <c r="B688" s="558" t="s">
        <v>2935</v>
      </c>
      <c r="C688" s="558" t="s">
        <v>74</v>
      </c>
      <c r="D688" s="558" t="s">
        <v>23155</v>
      </c>
      <c r="E688" s="558" t="s">
        <v>192</v>
      </c>
      <c r="F688" s="563">
        <v>1</v>
      </c>
      <c r="G688" s="558" t="s">
        <v>193</v>
      </c>
      <c r="H688" s="558" t="s">
        <v>194</v>
      </c>
      <c r="I688" s="558" t="s">
        <v>23151</v>
      </c>
      <c r="J688" s="558" t="s">
        <v>747</v>
      </c>
      <c r="K688" s="558" t="s">
        <v>9309</v>
      </c>
      <c r="L688" s="558" t="s">
        <v>6955</v>
      </c>
      <c r="M688" s="558"/>
      <c r="N688" s="558" t="s">
        <v>25645</v>
      </c>
      <c r="O688" s="558" t="s">
        <v>6249</v>
      </c>
      <c r="P688" s="558" t="s">
        <v>25402</v>
      </c>
      <c r="Q688" s="558" t="s">
        <v>23266</v>
      </c>
      <c r="R688" s="558" t="s">
        <v>25292</v>
      </c>
      <c r="S688" s="558" t="s">
        <v>25646</v>
      </c>
      <c r="T688" s="558" t="s">
        <v>25647</v>
      </c>
      <c r="U688" s="558"/>
      <c r="V688" s="558" t="s">
        <v>10397</v>
      </c>
      <c r="W688" s="558" t="s">
        <v>246</v>
      </c>
      <c r="X688" s="558" t="s">
        <v>194</v>
      </c>
      <c r="Y688" s="558" t="s">
        <v>9300</v>
      </c>
      <c r="Z688" s="558"/>
      <c r="AA688" s="558"/>
      <c r="AB688" s="558" t="s">
        <v>9311</v>
      </c>
      <c r="AC688" s="558"/>
      <c r="AD688" s="558"/>
      <c r="AE688" s="558"/>
      <c r="AF688" s="558"/>
      <c r="AG688" s="558"/>
      <c r="AH688" s="558" t="s">
        <v>4714</v>
      </c>
      <c r="AI688" s="558" t="s">
        <v>2935</v>
      </c>
      <c r="AJ688" s="601" t="str">
        <f t="shared" si="20"/>
        <v>142004</v>
      </c>
      <c r="AK688" s="601">
        <v>1</v>
      </c>
      <c r="AL688" s="601">
        <f t="shared" si="21"/>
        <v>1</v>
      </c>
      <c r="AM688" s="601">
        <v>1</v>
      </c>
      <c r="AN688" s="603" t="s">
        <v>17650</v>
      </c>
      <c r="AO688" s="603" t="s">
        <v>17651</v>
      </c>
      <c r="AP688" s="603" t="s">
        <v>17652</v>
      </c>
      <c r="AQ688" s="603" t="s">
        <v>17653</v>
      </c>
      <c r="AR688" s="603" t="s">
        <v>1024</v>
      </c>
      <c r="AS688" s="558">
        <v>1</v>
      </c>
    </row>
    <row r="689" spans="1:45" x14ac:dyDescent="0.2">
      <c r="A689" s="558" t="s">
        <v>3998</v>
      </c>
      <c r="B689" s="558" t="s">
        <v>25648</v>
      </c>
      <c r="C689" s="558" t="s">
        <v>444</v>
      </c>
      <c r="D689" s="558" t="s">
        <v>23155</v>
      </c>
      <c r="E689" s="558" t="s">
        <v>192</v>
      </c>
      <c r="F689" s="563">
        <v>1</v>
      </c>
      <c r="G689" s="558" t="s">
        <v>193</v>
      </c>
      <c r="H689" s="558" t="s">
        <v>194</v>
      </c>
      <c r="I689" s="558" t="s">
        <v>24551</v>
      </c>
      <c r="J689" s="558" t="s">
        <v>210</v>
      </c>
      <c r="K689" s="558" t="s">
        <v>9309</v>
      </c>
      <c r="L689" s="558" t="s">
        <v>6955</v>
      </c>
      <c r="M689" s="558"/>
      <c r="N689" s="558" t="s">
        <v>25649</v>
      </c>
      <c r="O689" s="558" t="s">
        <v>6327</v>
      </c>
      <c r="P689" s="558" t="s">
        <v>25402</v>
      </c>
      <c r="Q689" s="558" t="s">
        <v>23266</v>
      </c>
      <c r="R689" s="558" t="s">
        <v>25403</v>
      </c>
      <c r="S689" s="558" t="s">
        <v>25650</v>
      </c>
      <c r="T689" s="558" t="s">
        <v>25651</v>
      </c>
      <c r="U689" s="558"/>
      <c r="V689" s="558" t="s">
        <v>9334</v>
      </c>
      <c r="W689" s="558" t="s">
        <v>445</v>
      </c>
      <c r="X689" s="558" t="s">
        <v>194</v>
      </c>
      <c r="Y689" s="558" t="s">
        <v>9300</v>
      </c>
      <c r="Z689" s="558"/>
      <c r="AA689" s="558"/>
      <c r="AB689" s="558" t="s">
        <v>9311</v>
      </c>
      <c r="AC689" s="558"/>
      <c r="AD689" s="558"/>
      <c r="AE689" s="558"/>
      <c r="AF689" s="558"/>
      <c r="AG689" s="558"/>
      <c r="AH689" s="558" t="s">
        <v>4714</v>
      </c>
      <c r="AI689" s="558" t="s">
        <v>25648</v>
      </c>
      <c r="AJ689" s="601" t="str">
        <f t="shared" si="20"/>
        <v>243103</v>
      </c>
      <c r="AK689" s="601">
        <v>1</v>
      </c>
      <c r="AL689" s="601">
        <f t="shared" si="21"/>
        <v>1</v>
      </c>
      <c r="AM689" s="601">
        <v>1</v>
      </c>
      <c r="AN689" s="603" t="s">
        <v>17650</v>
      </c>
      <c r="AO689" s="603" t="s">
        <v>17651</v>
      </c>
      <c r="AP689" s="603" t="s">
        <v>17652</v>
      </c>
      <c r="AQ689" s="603" t="s">
        <v>17653</v>
      </c>
      <c r="AR689" s="603" t="s">
        <v>1024</v>
      </c>
      <c r="AS689" s="558">
        <v>1</v>
      </c>
    </row>
    <row r="690" spans="1:45" x14ac:dyDescent="0.2">
      <c r="A690" s="558" t="s">
        <v>14950</v>
      </c>
      <c r="B690" s="558" t="s">
        <v>1057</v>
      </c>
      <c r="C690" s="558" t="s">
        <v>74</v>
      </c>
      <c r="D690" s="558" t="s">
        <v>23155</v>
      </c>
      <c r="E690" s="558" t="s">
        <v>192</v>
      </c>
      <c r="F690" s="563">
        <v>1</v>
      </c>
      <c r="G690" s="558" t="s">
        <v>193</v>
      </c>
      <c r="H690" s="558" t="s">
        <v>194</v>
      </c>
      <c r="I690" s="558" t="s">
        <v>23151</v>
      </c>
      <c r="J690" s="558" t="s">
        <v>1392</v>
      </c>
      <c r="K690" s="558" t="s">
        <v>9309</v>
      </c>
      <c r="L690" s="558" t="s">
        <v>6955</v>
      </c>
      <c r="M690" s="558"/>
      <c r="N690" s="558" t="s">
        <v>25652</v>
      </c>
      <c r="O690" s="558" t="s">
        <v>6251</v>
      </c>
      <c r="P690" s="558" t="s">
        <v>25402</v>
      </c>
      <c r="Q690" s="558" t="s">
        <v>23266</v>
      </c>
      <c r="R690" s="558" t="s">
        <v>25403</v>
      </c>
      <c r="S690" s="558" t="s">
        <v>25653</v>
      </c>
      <c r="T690" s="558" t="s">
        <v>25654</v>
      </c>
      <c r="U690" s="558"/>
      <c r="V690" s="558" t="s">
        <v>9753</v>
      </c>
      <c r="W690" s="558" t="s">
        <v>246</v>
      </c>
      <c r="X690" s="558" t="s">
        <v>194</v>
      </c>
      <c r="Y690" s="558" t="s">
        <v>9300</v>
      </c>
      <c r="Z690" s="558"/>
      <c r="AA690" s="558"/>
      <c r="AB690" s="558" t="s">
        <v>9311</v>
      </c>
      <c r="AC690" s="558"/>
      <c r="AD690" s="558"/>
      <c r="AE690" s="558"/>
      <c r="AF690" s="558"/>
      <c r="AG690" s="558"/>
      <c r="AH690" s="558" t="s">
        <v>4714</v>
      </c>
      <c r="AI690" s="558" t="s">
        <v>1057</v>
      </c>
      <c r="AJ690" s="601" t="str">
        <f t="shared" si="20"/>
        <v>142004</v>
      </c>
      <c r="AK690" s="601">
        <v>1</v>
      </c>
      <c r="AL690" s="601">
        <f t="shared" si="21"/>
        <v>1</v>
      </c>
      <c r="AM690" s="601">
        <v>1</v>
      </c>
      <c r="AN690" s="603" t="s">
        <v>17650</v>
      </c>
      <c r="AO690" s="603" t="s">
        <v>17651</v>
      </c>
      <c r="AP690" s="603" t="s">
        <v>17652</v>
      </c>
      <c r="AQ690" s="603" t="s">
        <v>17653</v>
      </c>
      <c r="AR690" s="603" t="s">
        <v>1024</v>
      </c>
      <c r="AS690" s="558">
        <v>1</v>
      </c>
    </row>
    <row r="691" spans="1:45" x14ac:dyDescent="0.2">
      <c r="A691" s="558" t="s">
        <v>17276</v>
      </c>
      <c r="B691" s="558" t="s">
        <v>6666</v>
      </c>
      <c r="C691" s="558" t="s">
        <v>870</v>
      </c>
      <c r="D691" s="558" t="s">
        <v>23155</v>
      </c>
      <c r="E691" s="558" t="s">
        <v>192</v>
      </c>
      <c r="F691" s="563">
        <v>1</v>
      </c>
      <c r="G691" s="558" t="s">
        <v>193</v>
      </c>
      <c r="H691" s="558" t="s">
        <v>194</v>
      </c>
      <c r="I691" s="558" t="s">
        <v>23499</v>
      </c>
      <c r="J691" s="558" t="s">
        <v>210</v>
      </c>
      <c r="K691" s="558" t="s">
        <v>9309</v>
      </c>
      <c r="L691" s="558" t="s">
        <v>6955</v>
      </c>
      <c r="M691" s="558"/>
      <c r="N691" s="558" t="s">
        <v>25655</v>
      </c>
      <c r="O691" s="558" t="s">
        <v>6266</v>
      </c>
      <c r="P691" s="558" t="s">
        <v>25402</v>
      </c>
      <c r="Q691" s="558" t="s">
        <v>23266</v>
      </c>
      <c r="R691" s="558" t="s">
        <v>25403</v>
      </c>
      <c r="S691" s="558" t="s">
        <v>25656</v>
      </c>
      <c r="T691" s="558" t="s">
        <v>25657</v>
      </c>
      <c r="U691" s="558"/>
      <c r="V691" s="558" t="s">
        <v>9334</v>
      </c>
      <c r="W691" s="558" t="s">
        <v>872</v>
      </c>
      <c r="X691" s="558" t="s">
        <v>194</v>
      </c>
      <c r="Y691" s="558" t="s">
        <v>9300</v>
      </c>
      <c r="Z691" s="558"/>
      <c r="AA691" s="558"/>
      <c r="AB691" s="558" t="s">
        <v>9311</v>
      </c>
      <c r="AC691" s="558"/>
      <c r="AD691" s="558"/>
      <c r="AE691" s="558"/>
      <c r="AF691" s="558"/>
      <c r="AG691" s="558"/>
      <c r="AH691" s="558" t="s">
        <v>4714</v>
      </c>
      <c r="AI691" s="558" t="s">
        <v>6666</v>
      </c>
      <c r="AJ691" s="601" t="str">
        <f t="shared" si="20"/>
        <v>832202</v>
      </c>
      <c r="AK691" s="601">
        <v>1</v>
      </c>
      <c r="AL691" s="601">
        <f t="shared" si="21"/>
        <v>1</v>
      </c>
      <c r="AM691" s="601">
        <v>1</v>
      </c>
      <c r="AN691" s="603" t="s">
        <v>17650</v>
      </c>
      <c r="AO691" s="603" t="s">
        <v>17651</v>
      </c>
      <c r="AP691" s="603" t="s">
        <v>17652</v>
      </c>
      <c r="AQ691" s="603" t="s">
        <v>17653</v>
      </c>
      <c r="AR691" s="603" t="s">
        <v>1024</v>
      </c>
      <c r="AS691" s="558">
        <v>1</v>
      </c>
    </row>
    <row r="692" spans="1:45" x14ac:dyDescent="0.2">
      <c r="A692" s="558" t="s">
        <v>13788</v>
      </c>
      <c r="B692" s="558" t="s">
        <v>25658</v>
      </c>
      <c r="C692" s="558" t="s">
        <v>25659</v>
      </c>
      <c r="D692" s="558" t="s">
        <v>23155</v>
      </c>
      <c r="E692" s="558" t="s">
        <v>192</v>
      </c>
      <c r="F692" s="563">
        <v>1</v>
      </c>
      <c r="G692" s="558" t="s">
        <v>193</v>
      </c>
      <c r="H692" s="558" t="s">
        <v>194</v>
      </c>
      <c r="I692" s="558" t="s">
        <v>23158</v>
      </c>
      <c r="J692" s="558" t="s">
        <v>2183</v>
      </c>
      <c r="K692" s="558" t="s">
        <v>9309</v>
      </c>
      <c r="L692" s="558" t="s">
        <v>6955</v>
      </c>
      <c r="M692" s="558"/>
      <c r="N692" s="558" t="s">
        <v>25660</v>
      </c>
      <c r="O692" s="558" t="s">
        <v>6295</v>
      </c>
      <c r="P692" s="558" t="s">
        <v>25402</v>
      </c>
      <c r="Q692" s="558" t="s">
        <v>23266</v>
      </c>
      <c r="R692" s="558" t="s">
        <v>25403</v>
      </c>
      <c r="S692" s="558" t="s">
        <v>25661</v>
      </c>
      <c r="T692" s="558" t="s">
        <v>25662</v>
      </c>
      <c r="U692" s="558"/>
      <c r="V692" s="558" t="s">
        <v>9892</v>
      </c>
      <c r="W692" s="558" t="s">
        <v>25663</v>
      </c>
      <c r="X692" s="558" t="s">
        <v>194</v>
      </c>
      <c r="Y692" s="558" t="s">
        <v>9300</v>
      </c>
      <c r="Z692" s="558"/>
      <c r="AA692" s="558"/>
      <c r="AB692" s="558" t="s">
        <v>9311</v>
      </c>
      <c r="AC692" s="558"/>
      <c r="AD692" s="558"/>
      <c r="AE692" s="558"/>
      <c r="AF692" s="558"/>
      <c r="AG692" s="558"/>
      <c r="AH692" s="558" t="s">
        <v>4714</v>
      </c>
      <c r="AI692" s="558" t="s">
        <v>25658</v>
      </c>
      <c r="AJ692" s="601" t="str">
        <f t="shared" si="20"/>
        <v>314101</v>
      </c>
      <c r="AK692" s="601">
        <v>1</v>
      </c>
      <c r="AL692" s="601">
        <f t="shared" si="21"/>
        <v>1</v>
      </c>
      <c r="AM692" s="601">
        <v>1</v>
      </c>
      <c r="AN692" s="603" t="s">
        <v>17650</v>
      </c>
      <c r="AO692" s="603" t="s">
        <v>17651</v>
      </c>
      <c r="AP692" s="603" t="s">
        <v>17652</v>
      </c>
      <c r="AQ692" s="603" t="s">
        <v>17653</v>
      </c>
      <c r="AR692" s="603" t="s">
        <v>1024</v>
      </c>
      <c r="AS692" s="558">
        <v>1</v>
      </c>
    </row>
    <row r="693" spans="1:45" x14ac:dyDescent="0.2">
      <c r="A693" s="558" t="s">
        <v>25664</v>
      </c>
      <c r="B693" s="558" t="s">
        <v>1688</v>
      </c>
      <c r="C693" s="558" t="s">
        <v>95</v>
      </c>
      <c r="D693" s="558" t="s">
        <v>23155</v>
      </c>
      <c r="E693" s="558" t="s">
        <v>192</v>
      </c>
      <c r="F693" s="563">
        <v>1</v>
      </c>
      <c r="G693" s="558" t="s">
        <v>193</v>
      </c>
      <c r="H693" s="558" t="s">
        <v>194</v>
      </c>
      <c r="I693" s="558" t="s">
        <v>24551</v>
      </c>
      <c r="J693" s="558" t="s">
        <v>210</v>
      </c>
      <c r="K693" s="558" t="s">
        <v>9309</v>
      </c>
      <c r="L693" s="558" t="s">
        <v>6955</v>
      </c>
      <c r="M693" s="558"/>
      <c r="N693" s="558" t="s">
        <v>25665</v>
      </c>
      <c r="O693" s="558" t="s">
        <v>6254</v>
      </c>
      <c r="P693" s="558" t="s">
        <v>25402</v>
      </c>
      <c r="Q693" s="558" t="s">
        <v>23266</v>
      </c>
      <c r="R693" s="558" t="s">
        <v>25403</v>
      </c>
      <c r="S693" s="558" t="s">
        <v>25666</v>
      </c>
      <c r="T693" s="558" t="s">
        <v>25667</v>
      </c>
      <c r="U693" s="558"/>
      <c r="V693" s="558" t="s">
        <v>9334</v>
      </c>
      <c r="W693" s="558" t="s">
        <v>1015</v>
      </c>
      <c r="X693" s="558" t="s">
        <v>194</v>
      </c>
      <c r="Y693" s="558" t="s">
        <v>9300</v>
      </c>
      <c r="Z693" s="558"/>
      <c r="AA693" s="558"/>
      <c r="AB693" s="558" t="s">
        <v>9311</v>
      </c>
      <c r="AC693" s="558"/>
      <c r="AD693" s="558"/>
      <c r="AE693" s="558"/>
      <c r="AF693" s="558"/>
      <c r="AG693" s="558"/>
      <c r="AH693" s="558" t="s">
        <v>4714</v>
      </c>
      <c r="AI693" s="558" t="s">
        <v>1688</v>
      </c>
      <c r="AJ693" s="601" t="str">
        <f t="shared" si="20"/>
        <v>122102</v>
      </c>
      <c r="AK693" s="601">
        <v>1</v>
      </c>
      <c r="AL693" s="601">
        <f t="shared" si="21"/>
        <v>1</v>
      </c>
      <c r="AM693" s="601">
        <v>1</v>
      </c>
      <c r="AN693" s="603" t="s">
        <v>17650</v>
      </c>
      <c r="AO693" s="603" t="s">
        <v>17651</v>
      </c>
      <c r="AP693" s="603" t="s">
        <v>17652</v>
      </c>
      <c r="AQ693" s="603" t="s">
        <v>17653</v>
      </c>
      <c r="AR693" s="603" t="s">
        <v>1024</v>
      </c>
      <c r="AS693" s="558">
        <v>1</v>
      </c>
    </row>
    <row r="694" spans="1:45" x14ac:dyDescent="0.2">
      <c r="A694" s="558" t="s">
        <v>25668</v>
      </c>
      <c r="B694" s="558" t="s">
        <v>25669</v>
      </c>
      <c r="C694" s="558" t="s">
        <v>789</v>
      </c>
      <c r="D694" s="558" t="s">
        <v>23155</v>
      </c>
      <c r="E694" s="558" t="s">
        <v>192</v>
      </c>
      <c r="F694" s="563">
        <v>1</v>
      </c>
      <c r="G694" s="558" t="s">
        <v>193</v>
      </c>
      <c r="H694" s="558" t="s">
        <v>194</v>
      </c>
      <c r="I694" s="558" t="s">
        <v>24551</v>
      </c>
      <c r="J694" s="558" t="s">
        <v>316</v>
      </c>
      <c r="K694" s="558" t="s">
        <v>9309</v>
      </c>
      <c r="L694" s="558" t="s">
        <v>6955</v>
      </c>
      <c r="M694" s="558"/>
      <c r="N694" s="558" t="s">
        <v>25670</v>
      </c>
      <c r="O694" s="558" t="s">
        <v>6275</v>
      </c>
      <c r="P694" s="558" t="s">
        <v>25402</v>
      </c>
      <c r="Q694" s="558" t="s">
        <v>23266</v>
      </c>
      <c r="R694" s="558" t="s">
        <v>25403</v>
      </c>
      <c r="S694" s="558" t="s">
        <v>25671</v>
      </c>
      <c r="T694" s="558" t="s">
        <v>25672</v>
      </c>
      <c r="U694" s="558"/>
      <c r="V694" s="558" t="s">
        <v>10012</v>
      </c>
      <c r="W694" s="558" t="s">
        <v>790</v>
      </c>
      <c r="X694" s="558" t="s">
        <v>194</v>
      </c>
      <c r="Y694" s="558" t="s">
        <v>9300</v>
      </c>
      <c r="Z694" s="558"/>
      <c r="AA694" s="558"/>
      <c r="AB694" s="558" t="s">
        <v>9311</v>
      </c>
      <c r="AC694" s="558"/>
      <c r="AD694" s="558"/>
      <c r="AE694" s="558"/>
      <c r="AF694" s="558"/>
      <c r="AG694" s="558"/>
      <c r="AH694" s="558" t="s">
        <v>4714</v>
      </c>
      <c r="AI694" s="558" t="s">
        <v>25669</v>
      </c>
      <c r="AJ694" s="601" t="str">
        <f t="shared" si="20"/>
        <v>721102</v>
      </c>
      <c r="AK694" s="601">
        <v>1</v>
      </c>
      <c r="AL694" s="601">
        <f t="shared" si="21"/>
        <v>1</v>
      </c>
      <c r="AM694" s="601">
        <v>1</v>
      </c>
      <c r="AN694" s="603" t="s">
        <v>17650</v>
      </c>
      <c r="AO694" s="603" t="s">
        <v>17651</v>
      </c>
      <c r="AP694" s="603" t="s">
        <v>17652</v>
      </c>
      <c r="AQ694" s="603" t="s">
        <v>17653</v>
      </c>
      <c r="AR694" s="603" t="s">
        <v>1024</v>
      </c>
      <c r="AS694" s="558">
        <v>1</v>
      </c>
    </row>
    <row r="695" spans="1:45" x14ac:dyDescent="0.2">
      <c r="A695" s="558" t="s">
        <v>25668</v>
      </c>
      <c r="B695" s="558" t="s">
        <v>831</v>
      </c>
      <c r="C695" s="558" t="s">
        <v>829</v>
      </c>
      <c r="D695" s="558" t="s">
        <v>23155</v>
      </c>
      <c r="E695" s="558" t="s">
        <v>192</v>
      </c>
      <c r="F695" s="563">
        <v>1</v>
      </c>
      <c r="G695" s="558" t="s">
        <v>193</v>
      </c>
      <c r="H695" s="558" t="s">
        <v>194</v>
      </c>
      <c r="I695" s="558" t="s">
        <v>23151</v>
      </c>
      <c r="J695" s="558" t="s">
        <v>316</v>
      </c>
      <c r="K695" s="558" t="s">
        <v>9309</v>
      </c>
      <c r="L695" s="558" t="s">
        <v>6955</v>
      </c>
      <c r="M695" s="558"/>
      <c r="N695" s="558" t="s">
        <v>25673</v>
      </c>
      <c r="O695" s="558" t="s">
        <v>6363</v>
      </c>
      <c r="P695" s="558" t="s">
        <v>25402</v>
      </c>
      <c r="Q695" s="558" t="s">
        <v>23266</v>
      </c>
      <c r="R695" s="558" t="s">
        <v>25403</v>
      </c>
      <c r="S695" s="558" t="s">
        <v>25674</v>
      </c>
      <c r="T695" s="558" t="s">
        <v>25675</v>
      </c>
      <c r="U695" s="558"/>
      <c r="V695" s="558" t="s">
        <v>10012</v>
      </c>
      <c r="W695" s="558" t="s">
        <v>830</v>
      </c>
      <c r="X695" s="558" t="s">
        <v>194</v>
      </c>
      <c r="Y695" s="558" t="s">
        <v>9300</v>
      </c>
      <c r="Z695" s="558"/>
      <c r="AA695" s="558"/>
      <c r="AB695" s="558" t="s">
        <v>9311</v>
      </c>
      <c r="AC695" s="558"/>
      <c r="AD695" s="558"/>
      <c r="AE695" s="558"/>
      <c r="AF695" s="558"/>
      <c r="AG695" s="558"/>
      <c r="AH695" s="558" t="s">
        <v>4714</v>
      </c>
      <c r="AI695" s="558" t="s">
        <v>831</v>
      </c>
      <c r="AJ695" s="601" t="str">
        <f t="shared" si="20"/>
        <v>741201</v>
      </c>
      <c r="AK695" s="601">
        <v>1</v>
      </c>
      <c r="AL695" s="601">
        <f t="shared" si="21"/>
        <v>1</v>
      </c>
      <c r="AM695" s="601">
        <v>1</v>
      </c>
      <c r="AN695" s="603" t="s">
        <v>17650</v>
      </c>
      <c r="AO695" s="603" t="s">
        <v>17651</v>
      </c>
      <c r="AP695" s="603" t="s">
        <v>17652</v>
      </c>
      <c r="AQ695" s="603" t="s">
        <v>17653</v>
      </c>
      <c r="AR695" s="603" t="s">
        <v>1024</v>
      </c>
      <c r="AS695" s="558">
        <v>1</v>
      </c>
    </row>
    <row r="696" spans="1:45" x14ac:dyDescent="0.2">
      <c r="A696" s="558" t="s">
        <v>13415</v>
      </c>
      <c r="B696" s="558" t="s">
        <v>25676</v>
      </c>
      <c r="C696" s="558" t="s">
        <v>69</v>
      </c>
      <c r="D696" s="558" t="s">
        <v>23155</v>
      </c>
      <c r="E696" s="558" t="s">
        <v>192</v>
      </c>
      <c r="F696" s="563">
        <v>1</v>
      </c>
      <c r="G696" s="558" t="s">
        <v>193</v>
      </c>
      <c r="H696" s="558" t="s">
        <v>194</v>
      </c>
      <c r="I696" s="558" t="s">
        <v>24551</v>
      </c>
      <c r="J696" s="558" t="s">
        <v>826</v>
      </c>
      <c r="K696" s="558" t="s">
        <v>9309</v>
      </c>
      <c r="L696" s="558" t="s">
        <v>6955</v>
      </c>
      <c r="M696" s="558"/>
      <c r="N696" s="558" t="s">
        <v>25677</v>
      </c>
      <c r="O696" s="558" t="s">
        <v>6245</v>
      </c>
      <c r="P696" s="558" t="s">
        <v>25402</v>
      </c>
      <c r="Q696" s="558" t="s">
        <v>23266</v>
      </c>
      <c r="R696" s="558" t="s">
        <v>25403</v>
      </c>
      <c r="S696" s="558" t="s">
        <v>25678</v>
      </c>
      <c r="T696" s="558" t="s">
        <v>25679</v>
      </c>
      <c r="U696" s="558"/>
      <c r="V696" s="558" t="s">
        <v>9726</v>
      </c>
      <c r="W696" s="558" t="s">
        <v>375</v>
      </c>
      <c r="X696" s="558" t="s">
        <v>194</v>
      </c>
      <c r="Y696" s="558" t="s">
        <v>9300</v>
      </c>
      <c r="Z696" s="558"/>
      <c r="AA696" s="558"/>
      <c r="AB696" s="558" t="s">
        <v>9311</v>
      </c>
      <c r="AC696" s="558"/>
      <c r="AD696" s="558"/>
      <c r="AE696" s="558"/>
      <c r="AF696" s="558"/>
      <c r="AG696" s="558"/>
      <c r="AH696" s="558" t="s">
        <v>4714</v>
      </c>
      <c r="AI696" s="558" t="s">
        <v>25676</v>
      </c>
      <c r="AJ696" s="601" t="str">
        <f t="shared" si="20"/>
        <v>215301</v>
      </c>
      <c r="AK696" s="601">
        <v>1</v>
      </c>
      <c r="AL696" s="601">
        <f t="shared" si="21"/>
        <v>1</v>
      </c>
      <c r="AM696" s="601">
        <v>1</v>
      </c>
      <c r="AN696" s="603" t="s">
        <v>17650</v>
      </c>
      <c r="AO696" s="603" t="s">
        <v>17651</v>
      </c>
      <c r="AP696" s="603" t="s">
        <v>17652</v>
      </c>
      <c r="AQ696" s="603" t="s">
        <v>17653</v>
      </c>
      <c r="AR696" s="603" t="s">
        <v>1024</v>
      </c>
      <c r="AS696" s="558">
        <v>1</v>
      </c>
    </row>
    <row r="697" spans="1:45" x14ac:dyDescent="0.2">
      <c r="A697" s="558" t="s">
        <v>16431</v>
      </c>
      <c r="B697" s="558" t="s">
        <v>14645</v>
      </c>
      <c r="C697" s="558" t="s">
        <v>10</v>
      </c>
      <c r="D697" s="558" t="s">
        <v>23155</v>
      </c>
      <c r="E697" s="558" t="s">
        <v>192</v>
      </c>
      <c r="F697" s="563">
        <v>1</v>
      </c>
      <c r="G697" s="558" t="s">
        <v>193</v>
      </c>
      <c r="H697" s="558" t="s">
        <v>194</v>
      </c>
      <c r="I697" s="558" t="s">
        <v>23307</v>
      </c>
      <c r="J697" s="558" t="s">
        <v>367</v>
      </c>
      <c r="K697" s="558" t="s">
        <v>9309</v>
      </c>
      <c r="L697" s="558" t="s">
        <v>6955</v>
      </c>
      <c r="M697" s="558"/>
      <c r="N697" s="558" t="s">
        <v>25680</v>
      </c>
      <c r="O697" s="558" t="s">
        <v>6261</v>
      </c>
      <c r="P697" s="558" t="s">
        <v>25402</v>
      </c>
      <c r="Q697" s="558" t="s">
        <v>23266</v>
      </c>
      <c r="R697" s="558" t="s">
        <v>25403</v>
      </c>
      <c r="S697" s="558" t="s">
        <v>25681</v>
      </c>
      <c r="T697" s="558" t="s">
        <v>25682</v>
      </c>
      <c r="U697" s="558"/>
      <c r="V697" s="558" t="s">
        <v>9974</v>
      </c>
      <c r="W697" s="558" t="s">
        <v>484</v>
      </c>
      <c r="X697" s="558" t="s">
        <v>194</v>
      </c>
      <c r="Y697" s="558" t="s">
        <v>9300</v>
      </c>
      <c r="Z697" s="558"/>
      <c r="AA697" s="558"/>
      <c r="AB697" s="558" t="s">
        <v>9311</v>
      </c>
      <c r="AC697" s="558"/>
      <c r="AD697" s="558"/>
      <c r="AE697" s="558"/>
      <c r="AF697" s="558"/>
      <c r="AG697" s="558"/>
      <c r="AH697" s="558" t="s">
        <v>4714</v>
      </c>
      <c r="AI697" s="558" t="s">
        <v>14645</v>
      </c>
      <c r="AJ697" s="601" t="str">
        <f t="shared" si="20"/>
        <v>251401</v>
      </c>
      <c r="AK697" s="601">
        <v>1</v>
      </c>
      <c r="AL697" s="601">
        <f>F697</f>
        <v>1</v>
      </c>
      <c r="AM697" s="601">
        <v>1</v>
      </c>
      <c r="AN697" s="603" t="s">
        <v>17650</v>
      </c>
      <c r="AO697" s="603" t="s">
        <v>17651</v>
      </c>
      <c r="AP697" s="603" t="s">
        <v>17652</v>
      </c>
      <c r="AQ697" s="603" t="s">
        <v>17653</v>
      </c>
      <c r="AR697" s="603" t="s">
        <v>1024</v>
      </c>
      <c r="AS697" s="558">
        <v>1</v>
      </c>
    </row>
    <row r="698" spans="1:45" x14ac:dyDescent="0.2">
      <c r="A698" s="558" t="s">
        <v>25683</v>
      </c>
      <c r="B698" s="558" t="s">
        <v>59</v>
      </c>
      <c r="C698" s="558" t="s">
        <v>6617</v>
      </c>
      <c r="D698" s="558" t="s">
        <v>23155</v>
      </c>
      <c r="E698" s="558" t="s">
        <v>192</v>
      </c>
      <c r="F698" s="563">
        <v>1</v>
      </c>
      <c r="G698" s="558" t="s">
        <v>193</v>
      </c>
      <c r="H698" s="558" t="s">
        <v>194</v>
      </c>
      <c r="I698" s="558" t="s">
        <v>23499</v>
      </c>
      <c r="J698" s="558" t="s">
        <v>25684</v>
      </c>
      <c r="K698" s="558" t="s">
        <v>9309</v>
      </c>
      <c r="L698" s="558" t="s">
        <v>6955</v>
      </c>
      <c r="M698" s="558"/>
      <c r="N698" s="558" t="s">
        <v>25685</v>
      </c>
      <c r="O698" s="558" t="s">
        <v>6266</v>
      </c>
      <c r="P698" s="558" t="s">
        <v>25402</v>
      </c>
      <c r="Q698" s="558" t="s">
        <v>23266</v>
      </c>
      <c r="R698" s="558" t="s">
        <v>25403</v>
      </c>
      <c r="S698" s="558" t="s">
        <v>25686</v>
      </c>
      <c r="T698" s="558" t="s">
        <v>25687</v>
      </c>
      <c r="U698" s="558"/>
      <c r="V698" s="558" t="s">
        <v>9726</v>
      </c>
      <c r="W698" s="558" t="s">
        <v>990</v>
      </c>
      <c r="X698" s="558" t="s">
        <v>194</v>
      </c>
      <c r="Y698" s="558" t="s">
        <v>9300</v>
      </c>
      <c r="Z698" s="558"/>
      <c r="AA698" s="558"/>
      <c r="AB698" s="558" t="s">
        <v>9311</v>
      </c>
      <c r="AC698" s="558"/>
      <c r="AD698" s="558"/>
      <c r="AE698" s="558"/>
      <c r="AF698" s="558"/>
      <c r="AG698" s="558"/>
      <c r="AH698" s="558" t="s">
        <v>4714</v>
      </c>
      <c r="AI698" s="558" t="s">
        <v>59</v>
      </c>
      <c r="AJ698" s="601" t="str">
        <f t="shared" si="20"/>
        <v>833202</v>
      </c>
      <c r="AK698" s="601">
        <v>1</v>
      </c>
      <c r="AL698" s="601">
        <f>F698</f>
        <v>1</v>
      </c>
      <c r="AM698" s="601">
        <v>1</v>
      </c>
      <c r="AN698" s="603" t="s">
        <v>17650</v>
      </c>
      <c r="AO698" s="603" t="s">
        <v>17651</v>
      </c>
      <c r="AP698" s="603" t="s">
        <v>17652</v>
      </c>
      <c r="AQ698" s="603" t="s">
        <v>17653</v>
      </c>
      <c r="AR698" s="603" t="s">
        <v>1024</v>
      </c>
      <c r="AS698" s="558">
        <v>1</v>
      </c>
    </row>
    <row r="699" spans="1:45" x14ac:dyDescent="0.2">
      <c r="A699" s="558" t="s">
        <v>25668</v>
      </c>
      <c r="B699" s="558" t="s">
        <v>789</v>
      </c>
      <c r="C699" s="558" t="s">
        <v>789</v>
      </c>
      <c r="D699" s="558" t="s">
        <v>23155</v>
      </c>
      <c r="E699" s="558" t="s">
        <v>192</v>
      </c>
      <c r="F699" s="563">
        <v>1</v>
      </c>
      <c r="G699" s="558" t="s">
        <v>193</v>
      </c>
      <c r="H699" s="558" t="s">
        <v>194</v>
      </c>
      <c r="I699" s="558" t="s">
        <v>23151</v>
      </c>
      <c r="J699" s="558" t="s">
        <v>316</v>
      </c>
      <c r="K699" s="558" t="s">
        <v>9309</v>
      </c>
      <c r="L699" s="558" t="s">
        <v>6955</v>
      </c>
      <c r="M699" s="558"/>
      <c r="N699" s="558" t="s">
        <v>25688</v>
      </c>
      <c r="O699" s="558" t="s">
        <v>6275</v>
      </c>
      <c r="P699" s="558" t="s">
        <v>25402</v>
      </c>
      <c r="Q699" s="558" t="s">
        <v>23266</v>
      </c>
      <c r="R699" s="558" t="s">
        <v>25403</v>
      </c>
      <c r="S699" s="558" t="s">
        <v>25689</v>
      </c>
      <c r="T699" s="558" t="s">
        <v>25690</v>
      </c>
      <c r="U699" s="558"/>
      <c r="V699" s="558" t="s">
        <v>10012</v>
      </c>
      <c r="W699" s="558" t="s">
        <v>790</v>
      </c>
      <c r="X699" s="558" t="s">
        <v>194</v>
      </c>
      <c r="Y699" s="558" t="s">
        <v>9300</v>
      </c>
      <c r="Z699" s="558"/>
      <c r="AA699" s="558"/>
      <c r="AB699" s="558" t="s">
        <v>9311</v>
      </c>
      <c r="AC699" s="558"/>
      <c r="AD699" s="558"/>
      <c r="AE699" s="558"/>
      <c r="AF699" s="558"/>
      <c r="AG699" s="558"/>
      <c r="AH699" s="558" t="s">
        <v>4714</v>
      </c>
      <c r="AI699" s="558" t="s">
        <v>789</v>
      </c>
      <c r="AJ699" s="601" t="str">
        <f t="shared" si="20"/>
        <v>721102</v>
      </c>
      <c r="AK699" s="601">
        <v>1</v>
      </c>
      <c r="AL699" s="601">
        <f t="shared" si="21"/>
        <v>1</v>
      </c>
      <c r="AM699" s="601">
        <v>1</v>
      </c>
      <c r="AN699" s="603" t="s">
        <v>17650</v>
      </c>
      <c r="AO699" s="603" t="s">
        <v>17651</v>
      </c>
      <c r="AP699" s="603" t="s">
        <v>17652</v>
      </c>
      <c r="AQ699" s="603" t="s">
        <v>17653</v>
      </c>
      <c r="AR699" s="603" t="s">
        <v>1024</v>
      </c>
      <c r="AS699" s="558">
        <v>1</v>
      </c>
    </row>
    <row r="700" spans="1:45" x14ac:dyDescent="0.2">
      <c r="A700" s="558" t="s">
        <v>25691</v>
      </c>
      <c r="B700" s="558" t="s">
        <v>25692</v>
      </c>
      <c r="C700" s="558" t="s">
        <v>3219</v>
      </c>
      <c r="D700" s="558" t="s">
        <v>23155</v>
      </c>
      <c r="E700" s="558" t="s">
        <v>192</v>
      </c>
      <c r="F700" s="563">
        <v>1</v>
      </c>
      <c r="G700" s="558" t="s">
        <v>193</v>
      </c>
      <c r="H700" s="558" t="s">
        <v>194</v>
      </c>
      <c r="I700" s="558" t="s">
        <v>24551</v>
      </c>
      <c r="J700" s="558" t="s">
        <v>9302</v>
      </c>
      <c r="K700" s="558" t="s">
        <v>9309</v>
      </c>
      <c r="L700" s="558" t="s">
        <v>6955</v>
      </c>
      <c r="M700" s="558"/>
      <c r="N700" s="558" t="s">
        <v>25693</v>
      </c>
      <c r="O700" s="558" t="s">
        <v>6302</v>
      </c>
      <c r="P700" s="558" t="s">
        <v>25402</v>
      </c>
      <c r="Q700" s="558" t="s">
        <v>23266</v>
      </c>
      <c r="R700" s="558" t="s">
        <v>25403</v>
      </c>
      <c r="S700" s="558" t="s">
        <v>25694</v>
      </c>
      <c r="T700" s="558" t="s">
        <v>25695</v>
      </c>
      <c r="U700" s="558"/>
      <c r="V700" s="603"/>
      <c r="W700" s="558" t="s">
        <v>3620</v>
      </c>
      <c r="X700" s="558" t="s">
        <v>193</v>
      </c>
      <c r="Y700" s="558" t="s">
        <v>9310</v>
      </c>
      <c r="Z700" s="558"/>
      <c r="AA700" s="558"/>
      <c r="AB700" s="558" t="s">
        <v>9311</v>
      </c>
      <c r="AC700" s="558"/>
      <c r="AD700" s="558"/>
      <c r="AE700" s="558"/>
      <c r="AF700" s="558"/>
      <c r="AG700" s="558"/>
      <c r="AH700" s="558" t="s">
        <v>4714</v>
      </c>
      <c r="AI700" s="558" t="s">
        <v>25692</v>
      </c>
      <c r="AJ700" s="601" t="str">
        <f t="shared" si="20"/>
        <v>243109</v>
      </c>
      <c r="AK700" s="601">
        <v>1</v>
      </c>
      <c r="AL700" s="601">
        <f t="shared" si="21"/>
        <v>1</v>
      </c>
      <c r="AM700" s="601">
        <v>1</v>
      </c>
      <c r="AN700" s="603" t="s">
        <v>17650</v>
      </c>
      <c r="AO700" s="603" t="s">
        <v>17651</v>
      </c>
      <c r="AP700" s="603" t="s">
        <v>17652</v>
      </c>
      <c r="AQ700" s="603" t="s">
        <v>17653</v>
      </c>
      <c r="AR700" s="603" t="s">
        <v>1024</v>
      </c>
      <c r="AS700" s="558">
        <v>1</v>
      </c>
    </row>
    <row r="701" spans="1:45" x14ac:dyDescent="0.2">
      <c r="A701" s="558" t="s">
        <v>4969</v>
      </c>
      <c r="B701" s="558" t="s">
        <v>25696</v>
      </c>
      <c r="C701" s="558" t="s">
        <v>10</v>
      </c>
      <c r="D701" s="558" t="s">
        <v>23155</v>
      </c>
      <c r="E701" s="558" t="s">
        <v>192</v>
      </c>
      <c r="F701" s="563">
        <v>1</v>
      </c>
      <c r="G701" s="558" t="s">
        <v>193</v>
      </c>
      <c r="H701" s="558" t="s">
        <v>194</v>
      </c>
      <c r="I701" s="558" t="s">
        <v>24551</v>
      </c>
      <c r="J701" s="558" t="s">
        <v>9302</v>
      </c>
      <c r="K701" s="558" t="s">
        <v>9309</v>
      </c>
      <c r="L701" s="558" t="s">
        <v>6955</v>
      </c>
      <c r="M701" s="558"/>
      <c r="N701" s="558" t="s">
        <v>25697</v>
      </c>
      <c r="O701" s="558" t="s">
        <v>6261</v>
      </c>
      <c r="P701" s="558" t="s">
        <v>25402</v>
      </c>
      <c r="Q701" s="558" t="s">
        <v>23266</v>
      </c>
      <c r="R701" s="558" t="s">
        <v>25403</v>
      </c>
      <c r="S701" s="558" t="s">
        <v>25698</v>
      </c>
      <c r="T701" s="558" t="s">
        <v>25699</v>
      </c>
      <c r="U701" s="558"/>
      <c r="V701" s="603"/>
      <c r="W701" s="558" t="s">
        <v>484</v>
      </c>
      <c r="X701" s="558" t="s">
        <v>193</v>
      </c>
      <c r="Y701" s="558" t="s">
        <v>9310</v>
      </c>
      <c r="Z701" s="558"/>
      <c r="AA701" s="558"/>
      <c r="AB701" s="558" t="s">
        <v>9311</v>
      </c>
      <c r="AC701" s="558"/>
      <c r="AD701" s="558"/>
      <c r="AE701" s="558"/>
      <c r="AF701" s="558"/>
      <c r="AG701" s="558"/>
      <c r="AH701" s="558" t="s">
        <v>4714</v>
      </c>
      <c r="AI701" s="558" t="s">
        <v>25696</v>
      </c>
      <c r="AJ701" s="601" t="str">
        <f t="shared" si="20"/>
        <v>251401</v>
      </c>
      <c r="AK701" s="601">
        <v>1</v>
      </c>
      <c r="AL701" s="601">
        <f t="shared" si="21"/>
        <v>1</v>
      </c>
      <c r="AM701" s="601">
        <v>1</v>
      </c>
      <c r="AN701" s="603" t="s">
        <v>17650</v>
      </c>
      <c r="AO701" s="603" t="s">
        <v>17651</v>
      </c>
      <c r="AP701" s="603" t="s">
        <v>17652</v>
      </c>
      <c r="AQ701" s="603" t="s">
        <v>17653</v>
      </c>
      <c r="AR701" s="603" t="s">
        <v>1024</v>
      </c>
      <c r="AS701" s="558">
        <v>1</v>
      </c>
    </row>
    <row r="702" spans="1:45" x14ac:dyDescent="0.2">
      <c r="A702" s="558" t="s">
        <v>21197</v>
      </c>
      <c r="B702" s="558" t="s">
        <v>25700</v>
      </c>
      <c r="C702" s="558" t="s">
        <v>43</v>
      </c>
      <c r="D702" s="558" t="s">
        <v>23155</v>
      </c>
      <c r="E702" s="558" t="s">
        <v>192</v>
      </c>
      <c r="F702" s="563">
        <v>1</v>
      </c>
      <c r="G702" s="558" t="s">
        <v>193</v>
      </c>
      <c r="H702" s="558" t="s">
        <v>194</v>
      </c>
      <c r="I702" s="558" t="s">
        <v>24551</v>
      </c>
      <c r="J702" s="558" t="s">
        <v>210</v>
      </c>
      <c r="K702" s="558" t="s">
        <v>9309</v>
      </c>
      <c r="L702" s="558" t="s">
        <v>6955</v>
      </c>
      <c r="M702" s="558"/>
      <c r="N702" s="558" t="s">
        <v>25701</v>
      </c>
      <c r="O702" s="558" t="s">
        <v>6286</v>
      </c>
      <c r="P702" s="558" t="s">
        <v>25402</v>
      </c>
      <c r="Q702" s="558" t="s">
        <v>23266</v>
      </c>
      <c r="R702" s="558" t="s">
        <v>25403</v>
      </c>
      <c r="S702" s="558" t="s">
        <v>25702</v>
      </c>
      <c r="T702" s="558" t="s">
        <v>25703</v>
      </c>
      <c r="U702" s="558"/>
      <c r="V702" s="558" t="s">
        <v>9334</v>
      </c>
      <c r="W702" s="558" t="s">
        <v>452</v>
      </c>
      <c r="X702" s="558" t="s">
        <v>194</v>
      </c>
      <c r="Y702" s="558" t="s">
        <v>9300</v>
      </c>
      <c r="Z702" s="558"/>
      <c r="AA702" s="558"/>
      <c r="AB702" s="558" t="s">
        <v>9311</v>
      </c>
      <c r="AC702" s="558"/>
      <c r="AD702" s="558"/>
      <c r="AE702" s="558"/>
      <c r="AF702" s="558"/>
      <c r="AG702" s="558"/>
      <c r="AH702" s="558" t="s">
        <v>4714</v>
      </c>
      <c r="AI702" s="558" t="s">
        <v>25700</v>
      </c>
      <c r="AJ702" s="601" t="str">
        <f t="shared" si="20"/>
        <v>243106</v>
      </c>
      <c r="AK702" s="601">
        <v>1</v>
      </c>
      <c r="AL702" s="601">
        <f t="shared" si="21"/>
        <v>1</v>
      </c>
      <c r="AM702" s="601">
        <v>1</v>
      </c>
      <c r="AN702" s="603" t="s">
        <v>17650</v>
      </c>
      <c r="AO702" s="603" t="s">
        <v>17651</v>
      </c>
      <c r="AP702" s="603" t="s">
        <v>17652</v>
      </c>
      <c r="AQ702" s="603" t="s">
        <v>17653</v>
      </c>
      <c r="AR702" s="603" t="s">
        <v>1024</v>
      </c>
      <c r="AS702" s="558">
        <v>1</v>
      </c>
    </row>
    <row r="703" spans="1:45" x14ac:dyDescent="0.2">
      <c r="A703" s="558" t="s">
        <v>10634</v>
      </c>
      <c r="B703" s="558" t="s">
        <v>25704</v>
      </c>
      <c r="C703" s="558" t="s">
        <v>100</v>
      </c>
      <c r="D703" s="558" t="s">
        <v>23155</v>
      </c>
      <c r="E703" s="558" t="s">
        <v>192</v>
      </c>
      <c r="F703" s="563">
        <v>1</v>
      </c>
      <c r="G703" s="558" t="s">
        <v>193</v>
      </c>
      <c r="H703" s="558" t="s">
        <v>194</v>
      </c>
      <c r="I703" s="558" t="s">
        <v>24551</v>
      </c>
      <c r="J703" s="558" t="s">
        <v>9302</v>
      </c>
      <c r="K703" s="558" t="s">
        <v>9309</v>
      </c>
      <c r="L703" s="558" t="s">
        <v>6955</v>
      </c>
      <c r="M703" s="558"/>
      <c r="N703" s="558" t="s">
        <v>25705</v>
      </c>
      <c r="O703" s="558" t="s">
        <v>7489</v>
      </c>
      <c r="P703" s="558" t="s">
        <v>25402</v>
      </c>
      <c r="Q703" s="558" t="s">
        <v>23266</v>
      </c>
      <c r="R703" s="558" t="s">
        <v>25403</v>
      </c>
      <c r="S703" s="558" t="s">
        <v>25706</v>
      </c>
      <c r="T703" s="558" t="s">
        <v>25707</v>
      </c>
      <c r="U703" s="558"/>
      <c r="V703" s="603"/>
      <c r="W703" s="558" t="s">
        <v>429</v>
      </c>
      <c r="X703" s="558" t="s">
        <v>193</v>
      </c>
      <c r="Y703" s="558" t="s">
        <v>9310</v>
      </c>
      <c r="Z703" s="558"/>
      <c r="AA703" s="558"/>
      <c r="AB703" s="558" t="s">
        <v>9311</v>
      </c>
      <c r="AC703" s="558"/>
      <c r="AD703" s="558"/>
      <c r="AE703" s="558"/>
      <c r="AF703" s="558"/>
      <c r="AG703" s="558"/>
      <c r="AH703" s="558" t="s">
        <v>4714</v>
      </c>
      <c r="AI703" s="558" t="s">
        <v>25704</v>
      </c>
      <c r="AJ703" s="601" t="str">
        <f t="shared" si="20"/>
        <v>242108</v>
      </c>
      <c r="AK703" s="601">
        <v>1</v>
      </c>
      <c r="AL703" s="601">
        <f t="shared" si="21"/>
        <v>1</v>
      </c>
      <c r="AM703" s="601">
        <v>1</v>
      </c>
      <c r="AN703" s="603" t="s">
        <v>17650</v>
      </c>
      <c r="AO703" s="603" t="s">
        <v>17651</v>
      </c>
      <c r="AP703" s="603" t="s">
        <v>17652</v>
      </c>
      <c r="AQ703" s="603" t="s">
        <v>17653</v>
      </c>
      <c r="AR703" s="603" t="s">
        <v>1024</v>
      </c>
      <c r="AS703" s="558">
        <v>1</v>
      </c>
    </row>
    <row r="704" spans="1:45" x14ac:dyDescent="0.2">
      <c r="A704" s="558" t="s">
        <v>25708</v>
      </c>
      <c r="B704" s="558" t="s">
        <v>23552</v>
      </c>
      <c r="C704" s="558" t="s">
        <v>5173</v>
      </c>
      <c r="D704" s="558" t="s">
        <v>23155</v>
      </c>
      <c r="E704" s="558" t="s">
        <v>192</v>
      </c>
      <c r="F704" s="563">
        <v>1</v>
      </c>
      <c r="G704" s="558" t="s">
        <v>193</v>
      </c>
      <c r="H704" s="558" t="s">
        <v>194</v>
      </c>
      <c r="I704" s="558" t="s">
        <v>23151</v>
      </c>
      <c r="J704" s="558" t="s">
        <v>9302</v>
      </c>
      <c r="K704" s="558" t="s">
        <v>9309</v>
      </c>
      <c r="L704" s="558" t="s">
        <v>6955</v>
      </c>
      <c r="M704" s="558"/>
      <c r="N704" s="558" t="s">
        <v>25709</v>
      </c>
      <c r="O704" s="558" t="s">
        <v>6254</v>
      </c>
      <c r="P704" s="558" t="s">
        <v>25402</v>
      </c>
      <c r="Q704" s="558" t="s">
        <v>23266</v>
      </c>
      <c r="R704" s="558" t="s">
        <v>25403</v>
      </c>
      <c r="S704" s="558" t="s">
        <v>25710</v>
      </c>
      <c r="T704" s="558" t="s">
        <v>25711</v>
      </c>
      <c r="U704" s="558"/>
      <c r="V704" s="603"/>
      <c r="W704" s="558" t="s">
        <v>1150</v>
      </c>
      <c r="X704" s="558" t="s">
        <v>193</v>
      </c>
      <c r="Y704" s="558" t="s">
        <v>9310</v>
      </c>
      <c r="Z704" s="558"/>
      <c r="AA704" s="558"/>
      <c r="AB704" s="558" t="s">
        <v>9311</v>
      </c>
      <c r="AC704" s="558"/>
      <c r="AD704" s="558"/>
      <c r="AE704" s="558"/>
      <c r="AF704" s="558"/>
      <c r="AG704" s="558"/>
      <c r="AH704" s="558" t="s">
        <v>4714</v>
      </c>
      <c r="AI704" s="558" t="s">
        <v>23552</v>
      </c>
      <c r="AJ704" s="601" t="str">
        <f t="shared" si="20"/>
        <v>244001</v>
      </c>
      <c r="AK704" s="601">
        <v>1</v>
      </c>
      <c r="AL704" s="601">
        <f t="shared" si="21"/>
        <v>1</v>
      </c>
      <c r="AM704" s="601">
        <v>1</v>
      </c>
      <c r="AN704" s="603" t="s">
        <v>17650</v>
      </c>
      <c r="AO704" s="603" t="s">
        <v>17651</v>
      </c>
      <c r="AP704" s="603" t="s">
        <v>17652</v>
      </c>
      <c r="AQ704" s="603" t="s">
        <v>17653</v>
      </c>
      <c r="AR704" s="603" t="s">
        <v>1024</v>
      </c>
      <c r="AS704" s="558">
        <v>1</v>
      </c>
    </row>
    <row r="705" spans="1:45" x14ac:dyDescent="0.2">
      <c r="A705" s="558" t="s">
        <v>16431</v>
      </c>
      <c r="B705" s="558" t="s">
        <v>973</v>
      </c>
      <c r="C705" s="558" t="s">
        <v>3367</v>
      </c>
      <c r="D705" s="558" t="s">
        <v>23155</v>
      </c>
      <c r="E705" s="558" t="s">
        <v>192</v>
      </c>
      <c r="F705" s="563">
        <v>1</v>
      </c>
      <c r="G705" s="558" t="s">
        <v>193</v>
      </c>
      <c r="H705" s="558" t="s">
        <v>194</v>
      </c>
      <c r="I705" s="558" t="s">
        <v>24551</v>
      </c>
      <c r="J705" s="558" t="s">
        <v>367</v>
      </c>
      <c r="K705" s="558" t="s">
        <v>9309</v>
      </c>
      <c r="L705" s="558" t="s">
        <v>6955</v>
      </c>
      <c r="M705" s="558"/>
      <c r="N705" s="558" t="s">
        <v>25712</v>
      </c>
      <c r="O705" s="558" t="s">
        <v>6921</v>
      </c>
      <c r="P705" s="558" t="s">
        <v>25402</v>
      </c>
      <c r="Q705" s="558" t="s">
        <v>23266</v>
      </c>
      <c r="R705" s="558" t="s">
        <v>25403</v>
      </c>
      <c r="S705" s="558" t="s">
        <v>25713</v>
      </c>
      <c r="T705" s="558" t="s">
        <v>25714</v>
      </c>
      <c r="U705" s="558"/>
      <c r="V705" s="558" t="s">
        <v>9974</v>
      </c>
      <c r="W705" s="558" t="s">
        <v>3368</v>
      </c>
      <c r="X705" s="558" t="s">
        <v>194</v>
      </c>
      <c r="Y705" s="558" t="s">
        <v>9300</v>
      </c>
      <c r="Z705" s="558"/>
      <c r="AA705" s="558"/>
      <c r="AB705" s="558" t="s">
        <v>9311</v>
      </c>
      <c r="AC705" s="558"/>
      <c r="AD705" s="558"/>
      <c r="AE705" s="558"/>
      <c r="AF705" s="558"/>
      <c r="AG705" s="558"/>
      <c r="AH705" s="558" t="s">
        <v>4714</v>
      </c>
      <c r="AI705" s="558" t="s">
        <v>973</v>
      </c>
      <c r="AJ705" s="601" t="str">
        <f t="shared" ref="AJ705:AJ768" si="22">MID(W705,8,6)</f>
        <v>133001</v>
      </c>
      <c r="AK705" s="601">
        <v>1</v>
      </c>
      <c r="AL705" s="601">
        <f t="shared" ref="AL705:AL768" si="23">F705</f>
        <v>1</v>
      </c>
      <c r="AM705" s="601">
        <v>1</v>
      </c>
      <c r="AN705" s="603" t="s">
        <v>17650</v>
      </c>
      <c r="AO705" s="603" t="s">
        <v>17651</v>
      </c>
      <c r="AP705" s="603" t="s">
        <v>17652</v>
      </c>
      <c r="AQ705" s="603" t="s">
        <v>17653</v>
      </c>
      <c r="AR705" s="603" t="s">
        <v>1024</v>
      </c>
      <c r="AS705" s="558">
        <v>1</v>
      </c>
    </row>
    <row r="706" spans="1:45" x14ac:dyDescent="0.2">
      <c r="A706" s="558" t="s">
        <v>25715</v>
      </c>
      <c r="B706" s="558" t="s">
        <v>25716</v>
      </c>
      <c r="C706" s="558" t="s">
        <v>10</v>
      </c>
      <c r="D706" s="558" t="s">
        <v>23155</v>
      </c>
      <c r="E706" s="558" t="s">
        <v>192</v>
      </c>
      <c r="F706" s="563">
        <v>1</v>
      </c>
      <c r="G706" s="558" t="s">
        <v>193</v>
      </c>
      <c r="H706" s="558" t="s">
        <v>194</v>
      </c>
      <c r="I706" s="558" t="s">
        <v>23307</v>
      </c>
      <c r="J706" s="558" t="s">
        <v>9302</v>
      </c>
      <c r="K706" s="558" t="s">
        <v>9309</v>
      </c>
      <c r="L706" s="558" t="s">
        <v>6955</v>
      </c>
      <c r="M706" s="558"/>
      <c r="N706" s="558" t="s">
        <v>25717</v>
      </c>
      <c r="O706" s="558" t="s">
        <v>6921</v>
      </c>
      <c r="P706" s="558" t="s">
        <v>25402</v>
      </c>
      <c r="Q706" s="558" t="s">
        <v>23266</v>
      </c>
      <c r="R706" s="558" t="s">
        <v>25403</v>
      </c>
      <c r="S706" s="558" t="s">
        <v>25718</v>
      </c>
      <c r="T706" s="558" t="s">
        <v>25719</v>
      </c>
      <c r="U706" s="558"/>
      <c r="V706" s="603"/>
      <c r="W706" s="558" t="s">
        <v>484</v>
      </c>
      <c r="X706" s="558" t="s">
        <v>193</v>
      </c>
      <c r="Y706" s="558" t="s">
        <v>9310</v>
      </c>
      <c r="Z706" s="558"/>
      <c r="AA706" s="558"/>
      <c r="AB706" s="558" t="s">
        <v>9311</v>
      </c>
      <c r="AC706" s="558"/>
      <c r="AD706" s="558"/>
      <c r="AE706" s="558"/>
      <c r="AF706" s="558"/>
      <c r="AG706" s="558"/>
      <c r="AH706" s="558" t="s">
        <v>4714</v>
      </c>
      <c r="AI706" s="558" t="s">
        <v>25716</v>
      </c>
      <c r="AJ706" s="601" t="str">
        <f t="shared" si="22"/>
        <v>251401</v>
      </c>
      <c r="AK706" s="601">
        <v>1</v>
      </c>
      <c r="AL706" s="601">
        <f t="shared" si="23"/>
        <v>1</v>
      </c>
      <c r="AM706" s="601">
        <v>1</v>
      </c>
      <c r="AN706" s="603" t="s">
        <v>17650</v>
      </c>
      <c r="AO706" s="603" t="s">
        <v>17651</v>
      </c>
      <c r="AP706" s="603" t="s">
        <v>17652</v>
      </c>
      <c r="AQ706" s="603" t="s">
        <v>17653</v>
      </c>
      <c r="AR706" s="603" t="s">
        <v>1024</v>
      </c>
      <c r="AS706" s="558">
        <v>1</v>
      </c>
    </row>
    <row r="707" spans="1:45" x14ac:dyDescent="0.2">
      <c r="A707" s="558" t="s">
        <v>25683</v>
      </c>
      <c r="B707" s="558" t="s">
        <v>6141</v>
      </c>
      <c r="C707" s="558" t="s">
        <v>886</v>
      </c>
      <c r="D707" s="558" t="s">
        <v>23155</v>
      </c>
      <c r="E707" s="558" t="s">
        <v>192</v>
      </c>
      <c r="F707" s="563">
        <v>1</v>
      </c>
      <c r="G707" s="558" t="s">
        <v>193</v>
      </c>
      <c r="H707" s="558" t="s">
        <v>194</v>
      </c>
      <c r="I707" s="558" t="s">
        <v>23164</v>
      </c>
      <c r="J707" s="558" t="s">
        <v>25684</v>
      </c>
      <c r="K707" s="558" t="s">
        <v>9309</v>
      </c>
      <c r="L707" s="558" t="s">
        <v>6955</v>
      </c>
      <c r="M707" s="558"/>
      <c r="N707" s="558" t="s">
        <v>25720</v>
      </c>
      <c r="O707" s="558" t="s">
        <v>6275</v>
      </c>
      <c r="P707" s="558" t="s">
        <v>25402</v>
      </c>
      <c r="Q707" s="558" t="s">
        <v>23266</v>
      </c>
      <c r="R707" s="558" t="s">
        <v>25403</v>
      </c>
      <c r="S707" s="558" t="s">
        <v>25721</v>
      </c>
      <c r="T707" s="558" t="s">
        <v>25722</v>
      </c>
      <c r="U707" s="558"/>
      <c r="V707" s="558" t="s">
        <v>9726</v>
      </c>
      <c r="W707" s="558" t="s">
        <v>887</v>
      </c>
      <c r="X707" s="558" t="s">
        <v>194</v>
      </c>
      <c r="Y707" s="558" t="s">
        <v>9300</v>
      </c>
      <c r="Z707" s="558"/>
      <c r="AA707" s="558"/>
      <c r="AB707" s="558" t="s">
        <v>9311</v>
      </c>
      <c r="AC707" s="558"/>
      <c r="AD707" s="558"/>
      <c r="AE707" s="558"/>
      <c r="AF707" s="558"/>
      <c r="AG707" s="558"/>
      <c r="AH707" s="558" t="s">
        <v>4714</v>
      </c>
      <c r="AI707" s="558" t="s">
        <v>6141</v>
      </c>
      <c r="AJ707" s="601" t="str">
        <f t="shared" si="22"/>
        <v>834401</v>
      </c>
      <c r="AK707" s="601">
        <v>1</v>
      </c>
      <c r="AL707" s="601">
        <f t="shared" si="23"/>
        <v>1</v>
      </c>
      <c r="AM707" s="601">
        <v>1</v>
      </c>
      <c r="AN707" s="603" t="s">
        <v>17650</v>
      </c>
      <c r="AO707" s="603" t="s">
        <v>17651</v>
      </c>
      <c r="AP707" s="603" t="s">
        <v>17652</v>
      </c>
      <c r="AQ707" s="603" t="s">
        <v>17653</v>
      </c>
      <c r="AR707" s="603" t="s">
        <v>1024</v>
      </c>
      <c r="AS707" s="558">
        <v>1</v>
      </c>
    </row>
    <row r="708" spans="1:45" x14ac:dyDescent="0.2">
      <c r="A708" s="558" t="s">
        <v>21197</v>
      </c>
      <c r="B708" s="558" t="s">
        <v>25723</v>
      </c>
      <c r="C708" s="558" t="s">
        <v>63</v>
      </c>
      <c r="D708" s="558" t="s">
        <v>23155</v>
      </c>
      <c r="E708" s="558" t="s">
        <v>192</v>
      </c>
      <c r="F708" s="563">
        <v>1</v>
      </c>
      <c r="G708" s="558" t="s">
        <v>193</v>
      </c>
      <c r="H708" s="558" t="s">
        <v>194</v>
      </c>
      <c r="I708" s="558" t="s">
        <v>23499</v>
      </c>
      <c r="J708" s="558" t="s">
        <v>9302</v>
      </c>
      <c r="K708" s="558" t="s">
        <v>9309</v>
      </c>
      <c r="L708" s="558" t="s">
        <v>6955</v>
      </c>
      <c r="M708" s="558"/>
      <c r="N708" s="558" t="s">
        <v>25724</v>
      </c>
      <c r="O708" s="558" t="s">
        <v>7531</v>
      </c>
      <c r="P708" s="558" t="s">
        <v>25402</v>
      </c>
      <c r="Q708" s="558" t="s">
        <v>23266</v>
      </c>
      <c r="R708" s="558" t="s">
        <v>25403</v>
      </c>
      <c r="S708" s="558" t="s">
        <v>25725</v>
      </c>
      <c r="T708" s="558" t="s">
        <v>25726</v>
      </c>
      <c r="U708" s="558"/>
      <c r="V708" s="603"/>
      <c r="W708" s="558" t="s">
        <v>2104</v>
      </c>
      <c r="X708" s="558" t="s">
        <v>193</v>
      </c>
      <c r="Y708" s="558" t="s">
        <v>9310</v>
      </c>
      <c r="Z708" s="558"/>
      <c r="AA708" s="558"/>
      <c r="AB708" s="558" t="s">
        <v>9311</v>
      </c>
      <c r="AC708" s="558"/>
      <c r="AD708" s="558"/>
      <c r="AE708" s="558"/>
      <c r="AF708" s="558"/>
      <c r="AG708" s="558"/>
      <c r="AH708" s="558" t="s">
        <v>4714</v>
      </c>
      <c r="AI708" s="558" t="s">
        <v>25723</v>
      </c>
      <c r="AJ708" s="601" t="str">
        <f t="shared" si="22"/>
        <v>311201</v>
      </c>
      <c r="AK708" s="601">
        <v>1</v>
      </c>
      <c r="AL708" s="601">
        <f t="shared" si="23"/>
        <v>1</v>
      </c>
      <c r="AM708" s="601">
        <v>1</v>
      </c>
      <c r="AN708" s="603" t="s">
        <v>17650</v>
      </c>
      <c r="AO708" s="603" t="s">
        <v>17651</v>
      </c>
      <c r="AP708" s="603" t="s">
        <v>17652</v>
      </c>
      <c r="AQ708" s="603" t="s">
        <v>17653</v>
      </c>
      <c r="AR708" s="603" t="s">
        <v>1024</v>
      </c>
      <c r="AS708" s="558">
        <v>1</v>
      </c>
    </row>
    <row r="709" spans="1:45" x14ac:dyDescent="0.2">
      <c r="A709" s="558" t="s">
        <v>25727</v>
      </c>
      <c r="B709" s="558" t="s">
        <v>17527</v>
      </c>
      <c r="C709" s="558" t="s">
        <v>16355</v>
      </c>
      <c r="D709" s="558" t="s">
        <v>23155</v>
      </c>
      <c r="E709" s="558" t="s">
        <v>192</v>
      </c>
      <c r="F709" s="563">
        <v>1</v>
      </c>
      <c r="G709" s="558" t="s">
        <v>193</v>
      </c>
      <c r="H709" s="558" t="s">
        <v>194</v>
      </c>
      <c r="I709" s="558" t="s">
        <v>24551</v>
      </c>
      <c r="J709" s="558" t="s">
        <v>9302</v>
      </c>
      <c r="K709" s="558" t="s">
        <v>9309</v>
      </c>
      <c r="L709" s="558" t="s">
        <v>6955</v>
      </c>
      <c r="M709" s="558"/>
      <c r="N709" s="558" t="s">
        <v>25728</v>
      </c>
      <c r="O709" s="558" t="s">
        <v>6921</v>
      </c>
      <c r="P709" s="558" t="s">
        <v>25402</v>
      </c>
      <c r="Q709" s="558" t="s">
        <v>23266</v>
      </c>
      <c r="R709" s="558" t="s">
        <v>25403</v>
      </c>
      <c r="S709" s="558" t="s">
        <v>25729</v>
      </c>
      <c r="T709" s="558" t="s">
        <v>25730</v>
      </c>
      <c r="U709" s="558"/>
      <c r="V709" s="603"/>
      <c r="W709" s="558" t="s">
        <v>508</v>
      </c>
      <c r="X709" s="558" t="s">
        <v>193</v>
      </c>
      <c r="Y709" s="558" t="s">
        <v>9310</v>
      </c>
      <c r="Z709" s="558"/>
      <c r="AA709" s="558"/>
      <c r="AB709" s="558" t="s">
        <v>9311</v>
      </c>
      <c r="AC709" s="558"/>
      <c r="AD709" s="558"/>
      <c r="AE709" s="558"/>
      <c r="AF709" s="558"/>
      <c r="AG709" s="558"/>
      <c r="AH709" s="558" t="s">
        <v>4714</v>
      </c>
      <c r="AI709" s="558" t="s">
        <v>17527</v>
      </c>
      <c r="AJ709" s="601" t="str">
        <f t="shared" si="22"/>
        <v>252102</v>
      </c>
      <c r="AK709" s="601">
        <v>1</v>
      </c>
      <c r="AL709" s="601">
        <f t="shared" si="23"/>
        <v>1</v>
      </c>
      <c r="AM709" s="601">
        <v>1</v>
      </c>
      <c r="AN709" s="603" t="s">
        <v>17650</v>
      </c>
      <c r="AO709" s="603" t="s">
        <v>17651</v>
      </c>
      <c r="AP709" s="603" t="s">
        <v>17652</v>
      </c>
      <c r="AQ709" s="603" t="s">
        <v>17653</v>
      </c>
      <c r="AR709" s="603" t="s">
        <v>1024</v>
      </c>
      <c r="AS709" s="558">
        <v>1</v>
      </c>
    </row>
    <row r="710" spans="1:45" x14ac:dyDescent="0.2">
      <c r="A710" s="558" t="s">
        <v>14864</v>
      </c>
      <c r="B710" s="558" t="s">
        <v>12935</v>
      </c>
      <c r="C710" s="558" t="s">
        <v>10</v>
      </c>
      <c r="D710" s="558" t="s">
        <v>23155</v>
      </c>
      <c r="E710" s="558" t="s">
        <v>192</v>
      </c>
      <c r="F710" s="563">
        <v>1</v>
      </c>
      <c r="G710" s="558" t="s">
        <v>193</v>
      </c>
      <c r="H710" s="558" t="s">
        <v>194</v>
      </c>
      <c r="I710" s="558" t="s">
        <v>23307</v>
      </c>
      <c r="J710" s="558" t="s">
        <v>9302</v>
      </c>
      <c r="K710" s="558" t="s">
        <v>9309</v>
      </c>
      <c r="L710" s="558" t="s">
        <v>6955</v>
      </c>
      <c r="M710" s="558"/>
      <c r="N710" s="558" t="s">
        <v>25731</v>
      </c>
      <c r="O710" s="558" t="s">
        <v>6261</v>
      </c>
      <c r="P710" s="558" t="s">
        <v>25402</v>
      </c>
      <c r="Q710" s="558" t="s">
        <v>23266</v>
      </c>
      <c r="R710" s="558" t="s">
        <v>25403</v>
      </c>
      <c r="S710" s="558" t="s">
        <v>25732</v>
      </c>
      <c r="T710" s="558" t="s">
        <v>25733</v>
      </c>
      <c r="U710" s="558"/>
      <c r="V710" s="603"/>
      <c r="W710" s="558" t="s">
        <v>484</v>
      </c>
      <c r="X710" s="558" t="s">
        <v>193</v>
      </c>
      <c r="Y710" s="558" t="s">
        <v>9310</v>
      </c>
      <c r="Z710" s="558"/>
      <c r="AA710" s="558"/>
      <c r="AB710" s="558" t="s">
        <v>9311</v>
      </c>
      <c r="AC710" s="558"/>
      <c r="AD710" s="558"/>
      <c r="AE710" s="558"/>
      <c r="AF710" s="558"/>
      <c r="AG710" s="558"/>
      <c r="AH710" s="558" t="s">
        <v>4714</v>
      </c>
      <c r="AI710" s="558" t="s">
        <v>12935</v>
      </c>
      <c r="AJ710" s="601" t="str">
        <f t="shared" si="22"/>
        <v>251401</v>
      </c>
      <c r="AK710" s="601">
        <v>1</v>
      </c>
      <c r="AL710" s="601">
        <f t="shared" si="23"/>
        <v>1</v>
      </c>
      <c r="AM710" s="601">
        <v>1</v>
      </c>
      <c r="AN710" s="603" t="s">
        <v>17650</v>
      </c>
      <c r="AO710" s="603" t="s">
        <v>17651</v>
      </c>
      <c r="AP710" s="603" t="s">
        <v>17652</v>
      </c>
      <c r="AQ710" s="603" t="s">
        <v>17653</v>
      </c>
      <c r="AR710" s="603" t="s">
        <v>1024</v>
      </c>
      <c r="AS710" s="558">
        <v>1</v>
      </c>
    </row>
    <row r="711" spans="1:45" x14ac:dyDescent="0.2">
      <c r="A711" s="558" t="s">
        <v>17093</v>
      </c>
      <c r="B711" s="558" t="s">
        <v>25734</v>
      </c>
      <c r="C711" s="558" t="s">
        <v>420</v>
      </c>
      <c r="D711" s="558" t="s">
        <v>23155</v>
      </c>
      <c r="E711" s="558" t="s">
        <v>192</v>
      </c>
      <c r="F711" s="563">
        <v>1</v>
      </c>
      <c r="G711" s="558" t="s">
        <v>193</v>
      </c>
      <c r="H711" s="558" t="s">
        <v>194</v>
      </c>
      <c r="I711" s="558" t="s">
        <v>23186</v>
      </c>
      <c r="J711" s="558" t="s">
        <v>9302</v>
      </c>
      <c r="K711" s="558" t="s">
        <v>9309</v>
      </c>
      <c r="L711" s="558" t="s">
        <v>6955</v>
      </c>
      <c r="M711" s="558"/>
      <c r="N711" s="558" t="s">
        <v>25735</v>
      </c>
      <c r="O711" s="558" t="s">
        <v>7531</v>
      </c>
      <c r="P711" s="558" t="s">
        <v>25402</v>
      </c>
      <c r="Q711" s="558" t="s">
        <v>23266</v>
      </c>
      <c r="R711" s="558" t="s">
        <v>25403</v>
      </c>
      <c r="S711" s="558" t="s">
        <v>25736</v>
      </c>
      <c r="T711" s="558" t="s">
        <v>25737</v>
      </c>
      <c r="U711" s="558"/>
      <c r="V711" s="603"/>
      <c r="W711" s="558" t="s">
        <v>421</v>
      </c>
      <c r="X711" s="558" t="s">
        <v>193</v>
      </c>
      <c r="Y711" s="558" t="s">
        <v>9310</v>
      </c>
      <c r="Z711" s="558"/>
      <c r="AA711" s="558"/>
      <c r="AB711" s="558" t="s">
        <v>9311</v>
      </c>
      <c r="AC711" s="558"/>
      <c r="AD711" s="558"/>
      <c r="AE711" s="558"/>
      <c r="AF711" s="558"/>
      <c r="AG711" s="558"/>
      <c r="AH711" s="558" t="s">
        <v>4714</v>
      </c>
      <c r="AI711" s="558" t="s">
        <v>25734</v>
      </c>
      <c r="AJ711" s="601" t="str">
        <f t="shared" si="22"/>
        <v>241306</v>
      </c>
      <c r="AK711" s="601">
        <v>1</v>
      </c>
      <c r="AL711" s="601">
        <f t="shared" si="23"/>
        <v>1</v>
      </c>
      <c r="AM711" s="601">
        <v>1</v>
      </c>
      <c r="AN711" s="603" t="s">
        <v>17650</v>
      </c>
      <c r="AO711" s="603" t="s">
        <v>17651</v>
      </c>
      <c r="AP711" s="603" t="s">
        <v>17652</v>
      </c>
      <c r="AQ711" s="603" t="s">
        <v>17653</v>
      </c>
      <c r="AR711" s="603" t="s">
        <v>1024</v>
      </c>
      <c r="AS711" s="558">
        <v>1</v>
      </c>
    </row>
    <row r="712" spans="1:45" x14ac:dyDescent="0.2">
      <c r="A712" s="558" t="s">
        <v>25540</v>
      </c>
      <c r="B712" s="558" t="s">
        <v>25738</v>
      </c>
      <c r="C712" s="558" t="s">
        <v>21</v>
      </c>
      <c r="D712" s="558" t="s">
        <v>23155</v>
      </c>
      <c r="E712" s="558" t="s">
        <v>192</v>
      </c>
      <c r="F712" s="563">
        <v>1</v>
      </c>
      <c r="G712" s="558" t="s">
        <v>193</v>
      </c>
      <c r="H712" s="558" t="s">
        <v>194</v>
      </c>
      <c r="I712" s="558" t="s">
        <v>24551</v>
      </c>
      <c r="J712" s="558" t="s">
        <v>9302</v>
      </c>
      <c r="K712" s="558" t="s">
        <v>9309</v>
      </c>
      <c r="L712" s="558" t="s">
        <v>6955</v>
      </c>
      <c r="M712" s="558"/>
      <c r="N712" s="558" t="s">
        <v>25739</v>
      </c>
      <c r="O712" s="558" t="s">
        <v>6245</v>
      </c>
      <c r="P712" s="558" t="s">
        <v>25402</v>
      </c>
      <c r="Q712" s="558" t="s">
        <v>23266</v>
      </c>
      <c r="R712" s="558" t="s">
        <v>25403</v>
      </c>
      <c r="S712" s="558" t="s">
        <v>25740</v>
      </c>
      <c r="T712" s="558" t="s">
        <v>25741</v>
      </c>
      <c r="U712" s="558"/>
      <c r="V712" s="603"/>
      <c r="W712" s="558" t="s">
        <v>293</v>
      </c>
      <c r="X712" s="558" t="s">
        <v>193</v>
      </c>
      <c r="Y712" s="558" t="s">
        <v>9310</v>
      </c>
      <c r="Z712" s="558"/>
      <c r="AA712" s="558"/>
      <c r="AB712" s="558" t="s">
        <v>9311</v>
      </c>
      <c r="AC712" s="558"/>
      <c r="AD712" s="558"/>
      <c r="AE712" s="558"/>
      <c r="AF712" s="558"/>
      <c r="AG712" s="558"/>
      <c r="AH712" s="558" t="s">
        <v>4714</v>
      </c>
      <c r="AI712" s="558" t="s">
        <v>25738</v>
      </c>
      <c r="AJ712" s="601" t="str">
        <f t="shared" si="22"/>
        <v>214202</v>
      </c>
      <c r="AK712" s="601">
        <v>1</v>
      </c>
      <c r="AL712" s="601">
        <f t="shared" si="23"/>
        <v>1</v>
      </c>
      <c r="AM712" s="601">
        <v>1</v>
      </c>
      <c r="AN712" s="603" t="s">
        <v>17650</v>
      </c>
      <c r="AO712" s="603" t="s">
        <v>17651</v>
      </c>
      <c r="AP712" s="603" t="s">
        <v>17652</v>
      </c>
      <c r="AQ712" s="603" t="s">
        <v>17653</v>
      </c>
      <c r="AR712" s="603" t="s">
        <v>1024</v>
      </c>
      <c r="AS712" s="558">
        <v>1</v>
      </c>
    </row>
    <row r="713" spans="1:45" x14ac:dyDescent="0.2">
      <c r="A713" s="558" t="s">
        <v>11524</v>
      </c>
      <c r="B713" s="558" t="s">
        <v>25742</v>
      </c>
      <c r="C713" s="558" t="s">
        <v>136</v>
      </c>
      <c r="D713" s="558" t="s">
        <v>23155</v>
      </c>
      <c r="E713" s="558" t="s">
        <v>192</v>
      </c>
      <c r="F713" s="563">
        <v>1</v>
      </c>
      <c r="G713" s="558" t="s">
        <v>193</v>
      </c>
      <c r="H713" s="558" t="s">
        <v>194</v>
      </c>
      <c r="I713" s="558" t="s">
        <v>24551</v>
      </c>
      <c r="J713" s="558" t="s">
        <v>9302</v>
      </c>
      <c r="K713" s="558" t="s">
        <v>9309</v>
      </c>
      <c r="L713" s="558" t="s">
        <v>6955</v>
      </c>
      <c r="M713" s="558"/>
      <c r="N713" s="558" t="s">
        <v>25743</v>
      </c>
      <c r="O713" s="558" t="s">
        <v>6921</v>
      </c>
      <c r="P713" s="558" t="s">
        <v>25402</v>
      </c>
      <c r="Q713" s="558" t="s">
        <v>23266</v>
      </c>
      <c r="R713" s="558" t="s">
        <v>25529</v>
      </c>
      <c r="S713" s="558" t="s">
        <v>25744</v>
      </c>
      <c r="T713" s="558" t="s">
        <v>25745</v>
      </c>
      <c r="U713" s="558"/>
      <c r="V713" s="603"/>
      <c r="W713" s="558" t="s">
        <v>461</v>
      </c>
      <c r="X713" s="558" t="s">
        <v>193</v>
      </c>
      <c r="Y713" s="558" t="s">
        <v>9310</v>
      </c>
      <c r="Z713" s="558"/>
      <c r="AA713" s="558"/>
      <c r="AB713" s="558" t="s">
        <v>9311</v>
      </c>
      <c r="AC713" s="558"/>
      <c r="AD713" s="558"/>
      <c r="AE713" s="558"/>
      <c r="AF713" s="558"/>
      <c r="AG713" s="558"/>
      <c r="AH713" s="558" t="s">
        <v>4714</v>
      </c>
      <c r="AI713" s="558" t="s">
        <v>25742</v>
      </c>
      <c r="AJ713" s="601" t="str">
        <f t="shared" si="22"/>
        <v>243301</v>
      </c>
      <c r="AK713" s="601">
        <v>1</v>
      </c>
      <c r="AL713" s="601">
        <f t="shared" si="23"/>
        <v>1</v>
      </c>
      <c r="AM713" s="601">
        <v>1</v>
      </c>
      <c r="AN713" s="603" t="s">
        <v>17650</v>
      </c>
      <c r="AO713" s="603" t="s">
        <v>17651</v>
      </c>
      <c r="AP713" s="603" t="s">
        <v>17652</v>
      </c>
      <c r="AQ713" s="603" t="s">
        <v>17653</v>
      </c>
      <c r="AR713" s="603" t="s">
        <v>1024</v>
      </c>
      <c r="AS713" s="558">
        <v>1</v>
      </c>
    </row>
    <row r="714" spans="1:45" x14ac:dyDescent="0.2">
      <c r="A714" s="558" t="s">
        <v>11524</v>
      </c>
      <c r="B714" s="558" t="s">
        <v>21252</v>
      </c>
      <c r="C714" s="558" t="s">
        <v>129</v>
      </c>
      <c r="D714" s="558" t="s">
        <v>23155</v>
      </c>
      <c r="E714" s="558" t="s">
        <v>192</v>
      </c>
      <c r="F714" s="563">
        <v>1</v>
      </c>
      <c r="G714" s="558" t="s">
        <v>193</v>
      </c>
      <c r="H714" s="558" t="s">
        <v>194</v>
      </c>
      <c r="I714" s="558" t="s">
        <v>23158</v>
      </c>
      <c r="J714" s="558" t="s">
        <v>9302</v>
      </c>
      <c r="K714" s="558" t="s">
        <v>9309</v>
      </c>
      <c r="L714" s="558" t="s">
        <v>6955</v>
      </c>
      <c r="M714" s="558"/>
      <c r="N714" s="558" t="s">
        <v>25746</v>
      </c>
      <c r="O714" s="558" t="s">
        <v>6921</v>
      </c>
      <c r="P714" s="558" t="s">
        <v>25402</v>
      </c>
      <c r="Q714" s="558" t="s">
        <v>23266</v>
      </c>
      <c r="R714" s="558" t="s">
        <v>25529</v>
      </c>
      <c r="S714" s="558" t="s">
        <v>25747</v>
      </c>
      <c r="T714" s="558" t="s">
        <v>25748</v>
      </c>
      <c r="U714" s="558"/>
      <c r="V714" s="603"/>
      <c r="W714" s="558" t="s">
        <v>203</v>
      </c>
      <c r="X714" s="558" t="s">
        <v>193</v>
      </c>
      <c r="Y714" s="558" t="s">
        <v>9310</v>
      </c>
      <c r="Z714" s="558"/>
      <c r="AA714" s="558"/>
      <c r="AB714" s="558" t="s">
        <v>9311</v>
      </c>
      <c r="AC714" s="558"/>
      <c r="AD714" s="558"/>
      <c r="AE714" s="558"/>
      <c r="AF714" s="558"/>
      <c r="AG714" s="558"/>
      <c r="AH714" s="558" t="s">
        <v>4714</v>
      </c>
      <c r="AI714" s="558" t="s">
        <v>21252</v>
      </c>
      <c r="AJ714" s="601" t="str">
        <f t="shared" si="22"/>
        <v>121904</v>
      </c>
      <c r="AK714" s="601">
        <v>1</v>
      </c>
      <c r="AL714" s="601">
        <f t="shared" si="23"/>
        <v>1</v>
      </c>
      <c r="AM714" s="601">
        <v>1</v>
      </c>
      <c r="AN714" s="603" t="s">
        <v>17650</v>
      </c>
      <c r="AO714" s="603" t="s">
        <v>17651</v>
      </c>
      <c r="AP714" s="603" t="s">
        <v>17652</v>
      </c>
      <c r="AQ714" s="603" t="s">
        <v>17653</v>
      </c>
      <c r="AR714" s="603" t="s">
        <v>1024</v>
      </c>
      <c r="AS714" s="558">
        <v>1</v>
      </c>
    </row>
    <row r="715" spans="1:45" x14ac:dyDescent="0.2">
      <c r="A715" s="558" t="s">
        <v>10467</v>
      </c>
      <c r="B715" s="558" t="s">
        <v>25749</v>
      </c>
      <c r="C715" s="558" t="s">
        <v>27</v>
      </c>
      <c r="D715" s="558" t="s">
        <v>23155</v>
      </c>
      <c r="E715" s="558" t="s">
        <v>192</v>
      </c>
      <c r="F715" s="563">
        <v>1</v>
      </c>
      <c r="G715" s="558" t="s">
        <v>193</v>
      </c>
      <c r="H715" s="558" t="s">
        <v>194</v>
      </c>
      <c r="I715" s="558" t="s">
        <v>24551</v>
      </c>
      <c r="J715" s="558" t="s">
        <v>9302</v>
      </c>
      <c r="K715" s="558" t="s">
        <v>9309</v>
      </c>
      <c r="L715" s="558" t="s">
        <v>6955</v>
      </c>
      <c r="M715" s="558"/>
      <c r="N715" s="558" t="s">
        <v>25750</v>
      </c>
      <c r="O715" s="558" t="s">
        <v>6286</v>
      </c>
      <c r="P715" s="558" t="s">
        <v>25402</v>
      </c>
      <c r="Q715" s="558" t="s">
        <v>23266</v>
      </c>
      <c r="R715" s="558" t="s">
        <v>25403</v>
      </c>
      <c r="S715" s="558" t="s">
        <v>25751</v>
      </c>
      <c r="T715" s="558" t="s">
        <v>25752</v>
      </c>
      <c r="U715" s="558"/>
      <c r="V715" s="603"/>
      <c r="W715" s="558" t="s">
        <v>440</v>
      </c>
      <c r="X715" s="558" t="s">
        <v>193</v>
      </c>
      <c r="Y715" s="558" t="s">
        <v>9310</v>
      </c>
      <c r="Z715" s="558"/>
      <c r="AA715" s="558"/>
      <c r="AB715" s="558" t="s">
        <v>9311</v>
      </c>
      <c r="AC715" s="558"/>
      <c r="AD715" s="558"/>
      <c r="AE715" s="558"/>
      <c r="AF715" s="558"/>
      <c r="AG715" s="558"/>
      <c r="AH715" s="558" t="s">
        <v>4714</v>
      </c>
      <c r="AI715" s="558" t="s">
        <v>25749</v>
      </c>
      <c r="AJ715" s="601" t="str">
        <f t="shared" si="22"/>
        <v>242307</v>
      </c>
      <c r="AK715" s="601">
        <v>1</v>
      </c>
      <c r="AL715" s="601">
        <f t="shared" si="23"/>
        <v>1</v>
      </c>
      <c r="AM715" s="601">
        <v>1</v>
      </c>
      <c r="AN715" s="603" t="s">
        <v>17650</v>
      </c>
      <c r="AO715" s="603" t="s">
        <v>17651</v>
      </c>
      <c r="AP715" s="603" t="s">
        <v>17652</v>
      </c>
      <c r="AQ715" s="603" t="s">
        <v>17653</v>
      </c>
      <c r="AR715" s="603" t="s">
        <v>1024</v>
      </c>
      <c r="AS715" s="558">
        <v>1</v>
      </c>
    </row>
    <row r="716" spans="1:45" x14ac:dyDescent="0.2">
      <c r="A716" s="558" t="s">
        <v>4969</v>
      </c>
      <c r="B716" s="558" t="s">
        <v>25753</v>
      </c>
      <c r="C716" s="558" t="s">
        <v>10</v>
      </c>
      <c r="D716" s="558" t="s">
        <v>23155</v>
      </c>
      <c r="E716" s="558" t="s">
        <v>192</v>
      </c>
      <c r="F716" s="563">
        <v>1</v>
      </c>
      <c r="G716" s="558" t="s">
        <v>193</v>
      </c>
      <c r="H716" s="558" t="s">
        <v>194</v>
      </c>
      <c r="I716" s="558" t="s">
        <v>24551</v>
      </c>
      <c r="J716" s="558" t="s">
        <v>9302</v>
      </c>
      <c r="K716" s="558" t="s">
        <v>9309</v>
      </c>
      <c r="L716" s="558" t="s">
        <v>6955</v>
      </c>
      <c r="M716" s="558"/>
      <c r="N716" s="558" t="s">
        <v>25754</v>
      </c>
      <c r="O716" s="558" t="s">
        <v>6261</v>
      </c>
      <c r="P716" s="558" t="s">
        <v>25402</v>
      </c>
      <c r="Q716" s="558" t="s">
        <v>23266</v>
      </c>
      <c r="R716" s="558" t="s">
        <v>25403</v>
      </c>
      <c r="S716" s="558" t="s">
        <v>25755</v>
      </c>
      <c r="T716" s="558" t="s">
        <v>25756</v>
      </c>
      <c r="U716" s="558"/>
      <c r="V716" s="603"/>
      <c r="W716" s="558" t="s">
        <v>484</v>
      </c>
      <c r="X716" s="558" t="s">
        <v>193</v>
      </c>
      <c r="Y716" s="558" t="s">
        <v>9310</v>
      </c>
      <c r="Z716" s="558"/>
      <c r="AA716" s="558"/>
      <c r="AB716" s="558" t="s">
        <v>9311</v>
      </c>
      <c r="AC716" s="558"/>
      <c r="AD716" s="558"/>
      <c r="AE716" s="558"/>
      <c r="AF716" s="558"/>
      <c r="AG716" s="558"/>
      <c r="AH716" s="558" t="s">
        <v>4714</v>
      </c>
      <c r="AI716" s="558" t="s">
        <v>25753</v>
      </c>
      <c r="AJ716" s="601" t="str">
        <f t="shared" si="22"/>
        <v>251401</v>
      </c>
      <c r="AK716" s="601">
        <v>1</v>
      </c>
      <c r="AL716" s="601">
        <f t="shared" si="23"/>
        <v>1</v>
      </c>
      <c r="AM716" s="601">
        <v>1</v>
      </c>
      <c r="AN716" s="603" t="s">
        <v>17650</v>
      </c>
      <c r="AO716" s="603" t="s">
        <v>17651</v>
      </c>
      <c r="AP716" s="603" t="s">
        <v>17652</v>
      </c>
      <c r="AQ716" s="603" t="s">
        <v>17653</v>
      </c>
      <c r="AR716" s="603" t="s">
        <v>1024</v>
      </c>
      <c r="AS716" s="558">
        <v>1</v>
      </c>
    </row>
    <row r="717" spans="1:45" x14ac:dyDescent="0.2">
      <c r="A717" s="558" t="s">
        <v>25757</v>
      </c>
      <c r="B717" s="558" t="s">
        <v>25758</v>
      </c>
      <c r="C717" s="558" t="s">
        <v>3210</v>
      </c>
      <c r="D717" s="558" t="s">
        <v>23155</v>
      </c>
      <c r="E717" s="558" t="s">
        <v>192</v>
      </c>
      <c r="F717" s="563">
        <v>1</v>
      </c>
      <c r="G717" s="558" t="s">
        <v>193</v>
      </c>
      <c r="H717" s="558" t="s">
        <v>194</v>
      </c>
      <c r="I717" s="558" t="s">
        <v>24551</v>
      </c>
      <c r="J717" s="558" t="s">
        <v>9302</v>
      </c>
      <c r="K717" s="558" t="s">
        <v>9309</v>
      </c>
      <c r="L717" s="558" t="s">
        <v>6955</v>
      </c>
      <c r="M717" s="558"/>
      <c r="N717" s="558" t="s">
        <v>25759</v>
      </c>
      <c r="O717" s="558" t="s">
        <v>6261</v>
      </c>
      <c r="P717" s="558" t="s">
        <v>25402</v>
      </c>
      <c r="Q717" s="558" t="s">
        <v>23266</v>
      </c>
      <c r="R717" s="558" t="s">
        <v>25403</v>
      </c>
      <c r="S717" s="558" t="s">
        <v>25760</v>
      </c>
      <c r="T717" s="558" t="s">
        <v>25761</v>
      </c>
      <c r="U717" s="558"/>
      <c r="V717" s="603"/>
      <c r="W717" s="558" t="s">
        <v>16656</v>
      </c>
      <c r="X717" s="558" t="s">
        <v>193</v>
      </c>
      <c r="Y717" s="558" t="s">
        <v>9310</v>
      </c>
      <c r="Z717" s="558"/>
      <c r="AA717" s="558"/>
      <c r="AB717" s="558" t="s">
        <v>9311</v>
      </c>
      <c r="AC717" s="558"/>
      <c r="AD717" s="558"/>
      <c r="AE717" s="558"/>
      <c r="AF717" s="558"/>
      <c r="AG717" s="558"/>
      <c r="AH717" s="558" t="s">
        <v>4714</v>
      </c>
      <c r="AI717" s="558" t="s">
        <v>25758</v>
      </c>
      <c r="AJ717" s="601" t="str">
        <f t="shared" si="22"/>
        <v>122301</v>
      </c>
      <c r="AK717" s="601">
        <v>1</v>
      </c>
      <c r="AL717" s="601">
        <f t="shared" si="23"/>
        <v>1</v>
      </c>
      <c r="AM717" s="601">
        <v>1</v>
      </c>
      <c r="AN717" s="603" t="s">
        <v>17650</v>
      </c>
      <c r="AO717" s="603" t="s">
        <v>17651</v>
      </c>
      <c r="AP717" s="603" t="s">
        <v>17652</v>
      </c>
      <c r="AQ717" s="603" t="s">
        <v>17653</v>
      </c>
      <c r="AR717" s="603" t="s">
        <v>1024</v>
      </c>
      <c r="AS717" s="558">
        <v>1</v>
      </c>
    </row>
    <row r="718" spans="1:45" x14ac:dyDescent="0.2">
      <c r="A718" s="558" t="s">
        <v>25762</v>
      </c>
      <c r="B718" s="558" t="s">
        <v>4161</v>
      </c>
      <c r="C718" s="558" t="s">
        <v>10</v>
      </c>
      <c r="D718" s="558" t="s">
        <v>23155</v>
      </c>
      <c r="E718" s="558" t="s">
        <v>192</v>
      </c>
      <c r="F718" s="563">
        <v>1</v>
      </c>
      <c r="G718" s="558" t="s">
        <v>193</v>
      </c>
      <c r="H718" s="558" t="s">
        <v>194</v>
      </c>
      <c r="I718" s="558" t="s">
        <v>23917</v>
      </c>
      <c r="J718" s="558" t="s">
        <v>9302</v>
      </c>
      <c r="K718" s="558" t="s">
        <v>9309</v>
      </c>
      <c r="L718" s="558" t="s">
        <v>6955</v>
      </c>
      <c r="M718" s="558"/>
      <c r="N718" s="558" t="s">
        <v>25763</v>
      </c>
      <c r="O718" s="558" t="s">
        <v>6261</v>
      </c>
      <c r="P718" s="558" t="s">
        <v>25402</v>
      </c>
      <c r="Q718" s="558" t="s">
        <v>23266</v>
      </c>
      <c r="R718" s="558" t="s">
        <v>25403</v>
      </c>
      <c r="S718" s="558" t="s">
        <v>25764</v>
      </c>
      <c r="T718" s="558" t="s">
        <v>25765</v>
      </c>
      <c r="U718" s="558"/>
      <c r="V718" s="603"/>
      <c r="W718" s="558" t="s">
        <v>484</v>
      </c>
      <c r="X718" s="558" t="s">
        <v>193</v>
      </c>
      <c r="Y718" s="558" t="s">
        <v>9310</v>
      </c>
      <c r="Z718" s="558"/>
      <c r="AA718" s="558"/>
      <c r="AB718" s="558" t="s">
        <v>9311</v>
      </c>
      <c r="AC718" s="558"/>
      <c r="AD718" s="558"/>
      <c r="AE718" s="558"/>
      <c r="AF718" s="558"/>
      <c r="AG718" s="558"/>
      <c r="AH718" s="558" t="s">
        <v>4714</v>
      </c>
      <c r="AI718" s="558" t="s">
        <v>4161</v>
      </c>
      <c r="AJ718" s="601" t="str">
        <f t="shared" si="22"/>
        <v>251401</v>
      </c>
      <c r="AK718" s="601">
        <v>1</v>
      </c>
      <c r="AL718" s="601">
        <f t="shared" si="23"/>
        <v>1</v>
      </c>
      <c r="AM718" s="601">
        <v>1</v>
      </c>
      <c r="AN718" s="603" t="s">
        <v>17650</v>
      </c>
      <c r="AO718" s="603" t="s">
        <v>17651</v>
      </c>
      <c r="AP718" s="603" t="s">
        <v>17652</v>
      </c>
      <c r="AQ718" s="603" t="s">
        <v>17653</v>
      </c>
      <c r="AR718" s="603" t="s">
        <v>1024</v>
      </c>
      <c r="AS718" s="558">
        <v>1</v>
      </c>
    </row>
    <row r="719" spans="1:45" x14ac:dyDescent="0.2">
      <c r="A719" s="558" t="s">
        <v>14502</v>
      </c>
      <c r="B719" s="558" t="s">
        <v>25766</v>
      </c>
      <c r="C719" s="558" t="s">
        <v>163</v>
      </c>
      <c r="D719" s="558" t="s">
        <v>23155</v>
      </c>
      <c r="E719" s="558" t="s">
        <v>192</v>
      </c>
      <c r="F719" s="563">
        <v>1</v>
      </c>
      <c r="G719" s="558" t="s">
        <v>193</v>
      </c>
      <c r="H719" s="558" t="s">
        <v>194</v>
      </c>
      <c r="I719" s="558" t="s">
        <v>24551</v>
      </c>
      <c r="J719" s="558" t="s">
        <v>9302</v>
      </c>
      <c r="K719" s="558" t="s">
        <v>9309</v>
      </c>
      <c r="L719" s="558" t="s">
        <v>6955</v>
      </c>
      <c r="M719" s="558"/>
      <c r="N719" s="558" t="s">
        <v>25767</v>
      </c>
      <c r="O719" s="558" t="s">
        <v>6921</v>
      </c>
      <c r="P719" s="558" t="s">
        <v>25402</v>
      </c>
      <c r="Q719" s="558" t="s">
        <v>23266</v>
      </c>
      <c r="R719" s="558" t="s">
        <v>25403</v>
      </c>
      <c r="S719" s="558" t="s">
        <v>25768</v>
      </c>
      <c r="T719" s="558" t="s">
        <v>25769</v>
      </c>
      <c r="U719" s="558"/>
      <c r="V719" s="603"/>
      <c r="W719" s="558" t="s">
        <v>697</v>
      </c>
      <c r="X719" s="558" t="s">
        <v>193</v>
      </c>
      <c r="Y719" s="558" t="s">
        <v>9310</v>
      </c>
      <c r="Z719" s="558"/>
      <c r="AA719" s="558"/>
      <c r="AB719" s="558" t="s">
        <v>9311</v>
      </c>
      <c r="AC719" s="558"/>
      <c r="AD719" s="558"/>
      <c r="AE719" s="558"/>
      <c r="AF719" s="558"/>
      <c r="AG719" s="558"/>
      <c r="AH719" s="558" t="s">
        <v>4714</v>
      </c>
      <c r="AI719" s="558" t="s">
        <v>25766</v>
      </c>
      <c r="AJ719" s="601" t="str">
        <f t="shared" si="22"/>
        <v>351203</v>
      </c>
      <c r="AK719" s="601">
        <v>1</v>
      </c>
      <c r="AL719" s="601">
        <f t="shared" si="23"/>
        <v>1</v>
      </c>
      <c r="AM719" s="601">
        <v>1</v>
      </c>
      <c r="AN719" s="603" t="s">
        <v>17650</v>
      </c>
      <c r="AO719" s="603" t="s">
        <v>17651</v>
      </c>
      <c r="AP719" s="603" t="s">
        <v>17652</v>
      </c>
      <c r="AQ719" s="603" t="s">
        <v>17653</v>
      </c>
      <c r="AR719" s="603" t="s">
        <v>1024</v>
      </c>
      <c r="AS719" s="558">
        <v>1</v>
      </c>
    </row>
    <row r="720" spans="1:45" x14ac:dyDescent="0.2">
      <c r="A720" s="558" t="s">
        <v>21197</v>
      </c>
      <c r="B720" s="558" t="s">
        <v>25770</v>
      </c>
      <c r="C720" s="558" t="s">
        <v>12</v>
      </c>
      <c r="D720" s="558" t="s">
        <v>23155</v>
      </c>
      <c r="E720" s="558" t="s">
        <v>192</v>
      </c>
      <c r="F720" s="563">
        <v>1</v>
      </c>
      <c r="G720" s="558" t="s">
        <v>193</v>
      </c>
      <c r="H720" s="558" t="s">
        <v>194</v>
      </c>
      <c r="I720" s="558" t="s">
        <v>23307</v>
      </c>
      <c r="J720" s="558" t="s">
        <v>9302</v>
      </c>
      <c r="K720" s="558" t="s">
        <v>9309</v>
      </c>
      <c r="L720" s="558" t="s">
        <v>6955</v>
      </c>
      <c r="M720" s="558"/>
      <c r="N720" s="558" t="s">
        <v>25771</v>
      </c>
      <c r="O720" s="558" t="s">
        <v>6324</v>
      </c>
      <c r="P720" s="558" t="s">
        <v>25402</v>
      </c>
      <c r="Q720" s="558" t="s">
        <v>23266</v>
      </c>
      <c r="R720" s="558" t="s">
        <v>25403</v>
      </c>
      <c r="S720" s="558" t="s">
        <v>25772</v>
      </c>
      <c r="T720" s="558" t="s">
        <v>25773</v>
      </c>
      <c r="U720" s="558"/>
      <c r="V720" s="603"/>
      <c r="W720" s="558" t="s">
        <v>220</v>
      </c>
      <c r="X720" s="558" t="s">
        <v>193</v>
      </c>
      <c r="Y720" s="558" t="s">
        <v>9310</v>
      </c>
      <c r="Z720" s="558"/>
      <c r="AA720" s="558"/>
      <c r="AB720" s="558" t="s">
        <v>9311</v>
      </c>
      <c r="AC720" s="558"/>
      <c r="AD720" s="558"/>
      <c r="AE720" s="558"/>
      <c r="AF720" s="558"/>
      <c r="AG720" s="558"/>
      <c r="AH720" s="558" t="s">
        <v>4714</v>
      </c>
      <c r="AI720" s="558" t="s">
        <v>25770</v>
      </c>
      <c r="AJ720" s="601" t="str">
        <f t="shared" si="22"/>
        <v>132301</v>
      </c>
      <c r="AK720" s="601">
        <v>1</v>
      </c>
      <c r="AL720" s="601">
        <f t="shared" si="23"/>
        <v>1</v>
      </c>
      <c r="AM720" s="601">
        <v>1</v>
      </c>
      <c r="AN720" s="603" t="s">
        <v>17650</v>
      </c>
      <c r="AO720" s="603" t="s">
        <v>17651</v>
      </c>
      <c r="AP720" s="603" t="s">
        <v>17652</v>
      </c>
      <c r="AQ720" s="603" t="s">
        <v>17653</v>
      </c>
      <c r="AR720" s="603" t="s">
        <v>1024</v>
      </c>
      <c r="AS720" s="558">
        <v>1</v>
      </c>
    </row>
    <row r="721" spans="1:45" x14ac:dyDescent="0.2">
      <c r="A721" s="558" t="s">
        <v>11537</v>
      </c>
      <c r="B721" s="558" t="s">
        <v>25774</v>
      </c>
      <c r="C721" s="558" t="s">
        <v>36</v>
      </c>
      <c r="D721" s="558" t="s">
        <v>23155</v>
      </c>
      <c r="E721" s="558" t="s">
        <v>192</v>
      </c>
      <c r="F721" s="563">
        <v>1</v>
      </c>
      <c r="G721" s="558" t="s">
        <v>193</v>
      </c>
      <c r="H721" s="558" t="s">
        <v>194</v>
      </c>
      <c r="I721" s="558" t="s">
        <v>24551</v>
      </c>
      <c r="J721" s="558" t="s">
        <v>9302</v>
      </c>
      <c r="K721" s="558" t="s">
        <v>9309</v>
      </c>
      <c r="L721" s="558" t="s">
        <v>6955</v>
      </c>
      <c r="M721" s="558"/>
      <c r="N721" s="558" t="s">
        <v>25775</v>
      </c>
      <c r="O721" s="558" t="s">
        <v>6254</v>
      </c>
      <c r="P721" s="558" t="s">
        <v>25402</v>
      </c>
      <c r="Q721" s="558" t="s">
        <v>23266</v>
      </c>
      <c r="R721" s="558" t="s">
        <v>25403</v>
      </c>
      <c r="S721" s="558" t="s">
        <v>25776</v>
      </c>
      <c r="T721" s="558" t="s">
        <v>25777</v>
      </c>
      <c r="U721" s="558"/>
      <c r="V721" s="603"/>
      <c r="W721" s="558" t="s">
        <v>609</v>
      </c>
      <c r="X721" s="558" t="s">
        <v>193</v>
      </c>
      <c r="Y721" s="558" t="s">
        <v>9310</v>
      </c>
      <c r="Z721" s="558"/>
      <c r="AA721" s="558"/>
      <c r="AB721" s="558" t="s">
        <v>9311</v>
      </c>
      <c r="AC721" s="558"/>
      <c r="AD721" s="558"/>
      <c r="AE721" s="558"/>
      <c r="AF721" s="558"/>
      <c r="AG721" s="558"/>
      <c r="AH721" s="558" t="s">
        <v>4714</v>
      </c>
      <c r="AI721" s="558" t="s">
        <v>25774</v>
      </c>
      <c r="AJ721" s="601" t="str">
        <f t="shared" si="22"/>
        <v>331301</v>
      </c>
      <c r="AK721" s="601">
        <v>1</v>
      </c>
      <c r="AL721" s="601">
        <f t="shared" si="23"/>
        <v>1</v>
      </c>
      <c r="AM721" s="601">
        <v>1</v>
      </c>
      <c r="AN721" s="603" t="s">
        <v>17650</v>
      </c>
      <c r="AO721" s="603" t="s">
        <v>17651</v>
      </c>
      <c r="AP721" s="603" t="s">
        <v>17652</v>
      </c>
      <c r="AQ721" s="603" t="s">
        <v>17653</v>
      </c>
      <c r="AR721" s="603" t="s">
        <v>1024</v>
      </c>
      <c r="AS721" s="558">
        <v>1</v>
      </c>
    </row>
    <row r="722" spans="1:45" x14ac:dyDescent="0.2">
      <c r="A722" s="558" t="s">
        <v>11537</v>
      </c>
      <c r="B722" s="558" t="s">
        <v>25778</v>
      </c>
      <c r="C722" s="558" t="s">
        <v>36</v>
      </c>
      <c r="D722" s="558" t="s">
        <v>23155</v>
      </c>
      <c r="E722" s="558" t="s">
        <v>192</v>
      </c>
      <c r="F722" s="563">
        <v>1</v>
      </c>
      <c r="G722" s="558" t="s">
        <v>193</v>
      </c>
      <c r="H722" s="558" t="s">
        <v>194</v>
      </c>
      <c r="I722" s="558" t="s">
        <v>24551</v>
      </c>
      <c r="J722" s="558" t="s">
        <v>9302</v>
      </c>
      <c r="K722" s="558" t="s">
        <v>9309</v>
      </c>
      <c r="L722" s="558" t="s">
        <v>6955</v>
      </c>
      <c r="M722" s="558"/>
      <c r="N722" s="558" t="s">
        <v>25779</v>
      </c>
      <c r="O722" s="558" t="s">
        <v>6254</v>
      </c>
      <c r="P722" s="558" t="s">
        <v>25402</v>
      </c>
      <c r="Q722" s="558" t="s">
        <v>23266</v>
      </c>
      <c r="R722" s="558" t="s">
        <v>25403</v>
      </c>
      <c r="S722" s="558" t="s">
        <v>25780</v>
      </c>
      <c r="T722" s="558" t="s">
        <v>25781</v>
      </c>
      <c r="U722" s="558"/>
      <c r="V722" s="603"/>
      <c r="W722" s="558" t="s">
        <v>609</v>
      </c>
      <c r="X722" s="558" t="s">
        <v>193</v>
      </c>
      <c r="Y722" s="558" t="s">
        <v>9310</v>
      </c>
      <c r="Z722" s="558"/>
      <c r="AA722" s="558"/>
      <c r="AB722" s="558" t="s">
        <v>9311</v>
      </c>
      <c r="AC722" s="558"/>
      <c r="AD722" s="558"/>
      <c r="AE722" s="558"/>
      <c r="AF722" s="558"/>
      <c r="AG722" s="558"/>
      <c r="AH722" s="558" t="s">
        <v>4714</v>
      </c>
      <c r="AI722" s="558" t="s">
        <v>25778</v>
      </c>
      <c r="AJ722" s="601" t="str">
        <f t="shared" si="22"/>
        <v>331301</v>
      </c>
      <c r="AK722" s="601">
        <v>1</v>
      </c>
      <c r="AL722" s="601">
        <f t="shared" si="23"/>
        <v>1</v>
      </c>
      <c r="AM722" s="601">
        <v>1</v>
      </c>
      <c r="AN722" s="603" t="s">
        <v>17650</v>
      </c>
      <c r="AO722" s="603" t="s">
        <v>17651</v>
      </c>
      <c r="AP722" s="603" t="s">
        <v>17652</v>
      </c>
      <c r="AQ722" s="603" t="s">
        <v>17653</v>
      </c>
      <c r="AR722" s="603" t="s">
        <v>1024</v>
      </c>
      <c r="AS722" s="558">
        <v>1</v>
      </c>
    </row>
    <row r="723" spans="1:45" x14ac:dyDescent="0.2">
      <c r="A723" s="558" t="s">
        <v>25782</v>
      </c>
      <c r="B723" s="558" t="s">
        <v>25783</v>
      </c>
      <c r="C723" s="558" t="s">
        <v>1408</v>
      </c>
      <c r="D723" s="558" t="s">
        <v>23155</v>
      </c>
      <c r="E723" s="558" t="s">
        <v>192</v>
      </c>
      <c r="F723" s="563">
        <v>1</v>
      </c>
      <c r="G723" s="558" t="s">
        <v>193</v>
      </c>
      <c r="H723" s="558" t="s">
        <v>194</v>
      </c>
      <c r="I723" s="558" t="s">
        <v>23307</v>
      </c>
      <c r="J723" s="558" t="s">
        <v>9302</v>
      </c>
      <c r="K723" s="558" t="s">
        <v>9309</v>
      </c>
      <c r="L723" s="558" t="s">
        <v>6955</v>
      </c>
      <c r="M723" s="558"/>
      <c r="N723" s="558" t="s">
        <v>25784</v>
      </c>
      <c r="O723" s="558" t="s">
        <v>6261</v>
      </c>
      <c r="P723" s="558" t="s">
        <v>25402</v>
      </c>
      <c r="Q723" s="558" t="s">
        <v>23266</v>
      </c>
      <c r="R723" s="558" t="s">
        <v>25403</v>
      </c>
      <c r="S723" s="558" t="s">
        <v>25785</v>
      </c>
      <c r="T723" s="558" t="s">
        <v>25786</v>
      </c>
      <c r="U723" s="558"/>
      <c r="V723" s="603"/>
      <c r="W723" s="558" t="s">
        <v>1409</v>
      </c>
      <c r="X723" s="558" t="s">
        <v>193</v>
      </c>
      <c r="Y723" s="558" t="s">
        <v>9310</v>
      </c>
      <c r="Z723" s="558"/>
      <c r="AA723" s="558"/>
      <c r="AB723" s="558" t="s">
        <v>9311</v>
      </c>
      <c r="AC723" s="558"/>
      <c r="AD723" s="558"/>
      <c r="AE723" s="558"/>
      <c r="AF723" s="558"/>
      <c r="AG723" s="558"/>
      <c r="AH723" s="558" t="s">
        <v>4714</v>
      </c>
      <c r="AI723" s="558" t="s">
        <v>25783</v>
      </c>
      <c r="AJ723" s="601" t="str">
        <f t="shared" si="22"/>
        <v>251402</v>
      </c>
      <c r="AK723" s="601">
        <v>1</v>
      </c>
      <c r="AL723" s="601">
        <f t="shared" si="23"/>
        <v>1</v>
      </c>
      <c r="AM723" s="601">
        <v>1</v>
      </c>
      <c r="AN723" s="603" t="s">
        <v>17650</v>
      </c>
      <c r="AO723" s="603" t="s">
        <v>17651</v>
      </c>
      <c r="AP723" s="603" t="s">
        <v>17652</v>
      </c>
      <c r="AQ723" s="603" t="s">
        <v>17653</v>
      </c>
      <c r="AR723" s="603" t="s">
        <v>1024</v>
      </c>
      <c r="AS723" s="558">
        <v>1</v>
      </c>
    </row>
    <row r="724" spans="1:45" x14ac:dyDescent="0.2">
      <c r="A724" s="558" t="s">
        <v>1207</v>
      </c>
      <c r="B724" s="558" t="s">
        <v>25787</v>
      </c>
      <c r="C724" s="558" t="s">
        <v>82</v>
      </c>
      <c r="D724" s="558" t="s">
        <v>23155</v>
      </c>
      <c r="E724" s="558" t="s">
        <v>192</v>
      </c>
      <c r="F724" s="563">
        <v>1</v>
      </c>
      <c r="G724" s="558" t="s">
        <v>193</v>
      </c>
      <c r="H724" s="558" t="s">
        <v>194</v>
      </c>
      <c r="I724" s="558" t="s">
        <v>23307</v>
      </c>
      <c r="J724" s="558" t="s">
        <v>9302</v>
      </c>
      <c r="K724" s="558" t="s">
        <v>9309</v>
      </c>
      <c r="L724" s="558" t="s">
        <v>6955</v>
      </c>
      <c r="M724" s="558"/>
      <c r="N724" s="558" t="s">
        <v>25788</v>
      </c>
      <c r="O724" s="558" t="s">
        <v>6921</v>
      </c>
      <c r="P724" s="558" t="s">
        <v>25402</v>
      </c>
      <c r="Q724" s="558" t="s">
        <v>23266</v>
      </c>
      <c r="R724" s="558" t="s">
        <v>25529</v>
      </c>
      <c r="S724" s="558" t="s">
        <v>25789</v>
      </c>
      <c r="T724" s="558" t="s">
        <v>25790</v>
      </c>
      <c r="U724" s="558"/>
      <c r="V724" s="603"/>
      <c r="W724" s="558" t="s">
        <v>504</v>
      </c>
      <c r="X724" s="558" t="s">
        <v>193</v>
      </c>
      <c r="Y724" s="558" t="s">
        <v>9310</v>
      </c>
      <c r="Z724" s="558"/>
      <c r="AA724" s="558"/>
      <c r="AB724" s="558" t="s">
        <v>9311</v>
      </c>
      <c r="AC724" s="558"/>
      <c r="AD724" s="558"/>
      <c r="AE724" s="558"/>
      <c r="AF724" s="558"/>
      <c r="AG724" s="558"/>
      <c r="AH724" s="558" t="s">
        <v>4714</v>
      </c>
      <c r="AI724" s="558" t="s">
        <v>25787</v>
      </c>
      <c r="AJ724" s="601" t="str">
        <f t="shared" si="22"/>
        <v>252101</v>
      </c>
      <c r="AK724" s="601">
        <v>1</v>
      </c>
      <c r="AL724" s="601">
        <f t="shared" si="23"/>
        <v>1</v>
      </c>
      <c r="AM724" s="601">
        <v>1</v>
      </c>
      <c r="AN724" s="603" t="s">
        <v>17650</v>
      </c>
      <c r="AO724" s="603" t="s">
        <v>17651</v>
      </c>
      <c r="AP724" s="603" t="s">
        <v>17652</v>
      </c>
      <c r="AQ724" s="603" t="s">
        <v>17653</v>
      </c>
      <c r="AR724" s="603" t="s">
        <v>1024</v>
      </c>
      <c r="AS724" s="558">
        <v>1</v>
      </c>
    </row>
    <row r="725" spans="1:45" x14ac:dyDescent="0.2">
      <c r="A725" s="558" t="s">
        <v>25791</v>
      </c>
      <c r="B725" s="558" t="s">
        <v>25792</v>
      </c>
      <c r="C725" s="558" t="s">
        <v>6617</v>
      </c>
      <c r="D725" s="558" t="s">
        <v>23155</v>
      </c>
      <c r="E725" s="558" t="s">
        <v>192</v>
      </c>
      <c r="F725" s="563">
        <v>1</v>
      </c>
      <c r="G725" s="558" t="s">
        <v>193</v>
      </c>
      <c r="H725" s="558" t="s">
        <v>194</v>
      </c>
      <c r="I725" s="558" t="s">
        <v>23499</v>
      </c>
      <c r="J725" s="558" t="s">
        <v>9302</v>
      </c>
      <c r="K725" s="558" t="s">
        <v>9309</v>
      </c>
      <c r="L725" s="558" t="s">
        <v>6955</v>
      </c>
      <c r="M725" s="558"/>
      <c r="N725" s="558" t="s">
        <v>25793</v>
      </c>
      <c r="O725" s="558" t="s">
        <v>6266</v>
      </c>
      <c r="P725" s="558" t="s">
        <v>25402</v>
      </c>
      <c r="Q725" s="558" t="s">
        <v>23266</v>
      </c>
      <c r="R725" s="558" t="s">
        <v>25403</v>
      </c>
      <c r="S725" s="558" t="s">
        <v>25794</v>
      </c>
      <c r="T725" s="558" t="s">
        <v>25795</v>
      </c>
      <c r="U725" s="558"/>
      <c r="V725" s="603"/>
      <c r="W725" s="558" t="s">
        <v>990</v>
      </c>
      <c r="X725" s="558" t="s">
        <v>193</v>
      </c>
      <c r="Y725" s="558" t="s">
        <v>9310</v>
      </c>
      <c r="Z725" s="558"/>
      <c r="AA725" s="558"/>
      <c r="AB725" s="558" t="s">
        <v>9311</v>
      </c>
      <c r="AC725" s="558"/>
      <c r="AD725" s="558"/>
      <c r="AE725" s="558"/>
      <c r="AF725" s="558"/>
      <c r="AG725" s="558"/>
      <c r="AH725" s="558" t="s">
        <v>4714</v>
      </c>
      <c r="AI725" s="558" t="s">
        <v>25792</v>
      </c>
      <c r="AJ725" s="601" t="str">
        <f t="shared" si="22"/>
        <v>833202</v>
      </c>
      <c r="AK725" s="601">
        <v>1</v>
      </c>
      <c r="AL725" s="601">
        <f t="shared" si="23"/>
        <v>1</v>
      </c>
      <c r="AM725" s="601">
        <v>1</v>
      </c>
      <c r="AN725" s="603" t="s">
        <v>17650</v>
      </c>
      <c r="AO725" s="603" t="s">
        <v>17651</v>
      </c>
      <c r="AP725" s="603" t="s">
        <v>17652</v>
      </c>
      <c r="AQ725" s="603" t="s">
        <v>17653</v>
      </c>
      <c r="AR725" s="603" t="s">
        <v>1024</v>
      </c>
      <c r="AS725" s="558">
        <v>1</v>
      </c>
    </row>
    <row r="726" spans="1:45" x14ac:dyDescent="0.2">
      <c r="A726" s="558" t="s">
        <v>690</v>
      </c>
      <c r="B726" s="558" t="s">
        <v>25796</v>
      </c>
      <c r="C726" s="558" t="s">
        <v>480</v>
      </c>
      <c r="D726" s="558" t="s">
        <v>23155</v>
      </c>
      <c r="E726" s="558" t="s">
        <v>192</v>
      </c>
      <c r="F726" s="563">
        <v>1</v>
      </c>
      <c r="G726" s="558" t="s">
        <v>193</v>
      </c>
      <c r="H726" s="558" t="s">
        <v>194</v>
      </c>
      <c r="I726" s="558" t="s">
        <v>23499</v>
      </c>
      <c r="J726" s="558" t="s">
        <v>9302</v>
      </c>
      <c r="K726" s="558" t="s">
        <v>9309</v>
      </c>
      <c r="L726" s="558" t="s">
        <v>6955</v>
      </c>
      <c r="M726" s="558"/>
      <c r="N726" s="558" t="s">
        <v>25797</v>
      </c>
      <c r="O726" s="558" t="s">
        <v>6921</v>
      </c>
      <c r="P726" s="558" t="s">
        <v>25402</v>
      </c>
      <c r="Q726" s="558" t="s">
        <v>23266</v>
      </c>
      <c r="R726" s="558" t="s">
        <v>25403</v>
      </c>
      <c r="S726" s="558" t="s">
        <v>25798</v>
      </c>
      <c r="T726" s="558" t="s">
        <v>25799</v>
      </c>
      <c r="U726" s="558"/>
      <c r="V726" s="603"/>
      <c r="W726" s="558" t="s">
        <v>481</v>
      </c>
      <c r="X726" s="558" t="s">
        <v>193</v>
      </c>
      <c r="Y726" s="558" t="s">
        <v>9310</v>
      </c>
      <c r="Z726" s="558"/>
      <c r="AA726" s="558"/>
      <c r="AB726" s="558" t="s">
        <v>9311</v>
      </c>
      <c r="AC726" s="558"/>
      <c r="AD726" s="558"/>
      <c r="AE726" s="558"/>
      <c r="AF726" s="558"/>
      <c r="AG726" s="558"/>
      <c r="AH726" s="558" t="s">
        <v>4714</v>
      </c>
      <c r="AI726" s="558" t="s">
        <v>25796</v>
      </c>
      <c r="AJ726" s="601" t="str">
        <f t="shared" si="22"/>
        <v>251201</v>
      </c>
      <c r="AK726" s="601">
        <v>1</v>
      </c>
      <c r="AL726" s="601">
        <f t="shared" si="23"/>
        <v>1</v>
      </c>
      <c r="AM726" s="601">
        <v>1</v>
      </c>
      <c r="AN726" s="603" t="s">
        <v>17650</v>
      </c>
      <c r="AO726" s="603" t="s">
        <v>17651</v>
      </c>
      <c r="AP726" s="603" t="s">
        <v>17652</v>
      </c>
      <c r="AQ726" s="603" t="s">
        <v>17653</v>
      </c>
      <c r="AR726" s="603" t="s">
        <v>1024</v>
      </c>
      <c r="AS726" s="558">
        <v>1</v>
      </c>
    </row>
    <row r="727" spans="1:45" x14ac:dyDescent="0.2">
      <c r="A727" s="558" t="s">
        <v>14864</v>
      </c>
      <c r="B727" s="558" t="s">
        <v>17001</v>
      </c>
      <c r="C727" s="558" t="s">
        <v>2993</v>
      </c>
      <c r="D727" s="558" t="s">
        <v>23155</v>
      </c>
      <c r="E727" s="558" t="s">
        <v>192</v>
      </c>
      <c r="F727" s="563">
        <v>1</v>
      </c>
      <c r="G727" s="558" t="s">
        <v>193</v>
      </c>
      <c r="H727" s="558" t="s">
        <v>194</v>
      </c>
      <c r="I727" s="558" t="s">
        <v>23186</v>
      </c>
      <c r="J727" s="558" t="s">
        <v>9302</v>
      </c>
      <c r="K727" s="558" t="s">
        <v>9309</v>
      </c>
      <c r="L727" s="558" t="s">
        <v>6955</v>
      </c>
      <c r="M727" s="558"/>
      <c r="N727" s="558" t="s">
        <v>25800</v>
      </c>
      <c r="O727" s="558" t="s">
        <v>6921</v>
      </c>
      <c r="P727" s="558" t="s">
        <v>25402</v>
      </c>
      <c r="Q727" s="558" t="s">
        <v>23266</v>
      </c>
      <c r="R727" s="558" t="s">
        <v>25403</v>
      </c>
      <c r="S727" s="558" t="s">
        <v>25801</v>
      </c>
      <c r="T727" s="558" t="s">
        <v>25802</v>
      </c>
      <c r="U727" s="558"/>
      <c r="V727" s="603"/>
      <c r="W727" s="558" t="s">
        <v>3793</v>
      </c>
      <c r="X727" s="558" t="s">
        <v>193</v>
      </c>
      <c r="Y727" s="558" t="s">
        <v>9310</v>
      </c>
      <c r="Z727" s="558"/>
      <c r="AA727" s="558"/>
      <c r="AB727" s="558" t="s">
        <v>9311</v>
      </c>
      <c r="AC727" s="558"/>
      <c r="AD727" s="558"/>
      <c r="AE727" s="558"/>
      <c r="AF727" s="558"/>
      <c r="AG727" s="558"/>
      <c r="AH727" s="558" t="s">
        <v>4714</v>
      </c>
      <c r="AI727" s="558" t="s">
        <v>17001</v>
      </c>
      <c r="AJ727" s="601" t="str">
        <f t="shared" si="22"/>
        <v>251904</v>
      </c>
      <c r="AK727" s="601">
        <v>1</v>
      </c>
      <c r="AL727" s="601">
        <f t="shared" si="23"/>
        <v>1</v>
      </c>
      <c r="AM727" s="601">
        <v>1</v>
      </c>
      <c r="AN727" s="603" t="s">
        <v>17650</v>
      </c>
      <c r="AO727" s="603" t="s">
        <v>17651</v>
      </c>
      <c r="AP727" s="603" t="s">
        <v>17652</v>
      </c>
      <c r="AQ727" s="603" t="s">
        <v>17653</v>
      </c>
      <c r="AR727" s="603" t="s">
        <v>1024</v>
      </c>
      <c r="AS727" s="558">
        <v>1</v>
      </c>
    </row>
    <row r="728" spans="1:45" x14ac:dyDescent="0.2">
      <c r="A728" s="558" t="s">
        <v>3998</v>
      </c>
      <c r="B728" s="558" t="s">
        <v>25803</v>
      </c>
      <c r="C728" s="558" t="s">
        <v>778</v>
      </c>
      <c r="D728" s="558" t="s">
        <v>23155</v>
      </c>
      <c r="E728" s="558" t="s">
        <v>192</v>
      </c>
      <c r="F728" s="563">
        <v>1</v>
      </c>
      <c r="G728" s="558" t="s">
        <v>193</v>
      </c>
      <c r="H728" s="558" t="s">
        <v>194</v>
      </c>
      <c r="I728" s="558" t="s">
        <v>23151</v>
      </c>
      <c r="J728" s="558" t="s">
        <v>9302</v>
      </c>
      <c r="K728" s="558" t="s">
        <v>9309</v>
      </c>
      <c r="L728" s="558" t="s">
        <v>6955</v>
      </c>
      <c r="M728" s="558"/>
      <c r="N728" s="558" t="s">
        <v>25804</v>
      </c>
      <c r="O728" s="558" t="s">
        <v>6245</v>
      </c>
      <c r="P728" s="558" t="s">
        <v>25402</v>
      </c>
      <c r="Q728" s="558" t="s">
        <v>23266</v>
      </c>
      <c r="R728" s="558" t="s">
        <v>25403</v>
      </c>
      <c r="S728" s="558" t="s">
        <v>25805</v>
      </c>
      <c r="T728" s="558" t="s">
        <v>25806</v>
      </c>
      <c r="U728" s="558"/>
      <c r="V728" s="603"/>
      <c r="W728" s="558" t="s">
        <v>779</v>
      </c>
      <c r="X728" s="558" t="s">
        <v>193</v>
      </c>
      <c r="Y728" s="558" t="s">
        <v>9310</v>
      </c>
      <c r="Z728" s="558"/>
      <c r="AA728" s="558"/>
      <c r="AB728" s="558" t="s">
        <v>9311</v>
      </c>
      <c r="AC728" s="558"/>
      <c r="AD728" s="558"/>
      <c r="AE728" s="558"/>
      <c r="AF728" s="558"/>
      <c r="AG728" s="558"/>
      <c r="AH728" s="558" t="s">
        <v>4714</v>
      </c>
      <c r="AI728" s="558" t="s">
        <v>25803</v>
      </c>
      <c r="AJ728" s="601" t="str">
        <f t="shared" si="22"/>
        <v>524902</v>
      </c>
      <c r="AK728" s="601">
        <v>1</v>
      </c>
      <c r="AL728" s="601">
        <f t="shared" si="23"/>
        <v>1</v>
      </c>
      <c r="AM728" s="601">
        <v>1</v>
      </c>
      <c r="AN728" s="603" t="s">
        <v>17650</v>
      </c>
      <c r="AO728" s="603" t="s">
        <v>17651</v>
      </c>
      <c r="AP728" s="603" t="s">
        <v>17652</v>
      </c>
      <c r="AQ728" s="603" t="s">
        <v>17653</v>
      </c>
      <c r="AR728" s="603" t="s">
        <v>1024</v>
      </c>
      <c r="AS728" s="558">
        <v>1</v>
      </c>
    </row>
    <row r="729" spans="1:45" x14ac:dyDescent="0.2">
      <c r="A729" s="558" t="s">
        <v>14741</v>
      </c>
      <c r="B729" s="558" t="s">
        <v>7758</v>
      </c>
      <c r="C729" s="558" t="s">
        <v>35</v>
      </c>
      <c r="D729" s="558" t="s">
        <v>23155</v>
      </c>
      <c r="E729" s="558" t="s">
        <v>192</v>
      </c>
      <c r="F729" s="563">
        <v>1</v>
      </c>
      <c r="G729" s="558" t="s">
        <v>193</v>
      </c>
      <c r="H729" s="558" t="s">
        <v>194</v>
      </c>
      <c r="I729" s="558" t="s">
        <v>23164</v>
      </c>
      <c r="J729" s="558" t="s">
        <v>9302</v>
      </c>
      <c r="K729" s="558" t="s">
        <v>9309</v>
      </c>
      <c r="L729" s="558" t="s">
        <v>6955</v>
      </c>
      <c r="M729" s="558"/>
      <c r="N729" s="558" t="s">
        <v>25807</v>
      </c>
      <c r="O729" s="558" t="s">
        <v>6254</v>
      </c>
      <c r="P729" s="558" t="s">
        <v>25402</v>
      </c>
      <c r="Q729" s="558" t="s">
        <v>23266</v>
      </c>
      <c r="R729" s="558" t="s">
        <v>25403</v>
      </c>
      <c r="S729" s="558" t="s">
        <v>25808</v>
      </c>
      <c r="T729" s="558" t="s">
        <v>25809</v>
      </c>
      <c r="U729" s="558"/>
      <c r="V729" s="603"/>
      <c r="W729" s="558" t="s">
        <v>207</v>
      </c>
      <c r="X729" s="558" t="s">
        <v>193</v>
      </c>
      <c r="Y729" s="558" t="s">
        <v>9310</v>
      </c>
      <c r="Z729" s="558"/>
      <c r="AA729" s="558"/>
      <c r="AB729" s="558" t="s">
        <v>9311</v>
      </c>
      <c r="AC729" s="558"/>
      <c r="AD729" s="558"/>
      <c r="AE729" s="558"/>
      <c r="AF729" s="558"/>
      <c r="AG729" s="558"/>
      <c r="AH729" s="558" t="s">
        <v>4714</v>
      </c>
      <c r="AI729" s="558" t="s">
        <v>7758</v>
      </c>
      <c r="AJ729" s="601" t="str">
        <f t="shared" si="22"/>
        <v>122106</v>
      </c>
      <c r="AK729" s="601">
        <v>1</v>
      </c>
      <c r="AL729" s="601">
        <f t="shared" si="23"/>
        <v>1</v>
      </c>
      <c r="AM729" s="601">
        <v>1</v>
      </c>
      <c r="AN729" s="603" t="s">
        <v>17650</v>
      </c>
      <c r="AO729" s="603" t="s">
        <v>17651</v>
      </c>
      <c r="AP729" s="603" t="s">
        <v>17652</v>
      </c>
      <c r="AQ729" s="603" t="s">
        <v>17653</v>
      </c>
      <c r="AR729" s="603" t="s">
        <v>1024</v>
      </c>
      <c r="AS729" s="558">
        <v>1</v>
      </c>
    </row>
    <row r="730" spans="1:45" x14ac:dyDescent="0.2">
      <c r="A730" s="558" t="s">
        <v>10467</v>
      </c>
      <c r="B730" s="558" t="s">
        <v>25810</v>
      </c>
      <c r="C730" s="558" t="s">
        <v>133</v>
      </c>
      <c r="D730" s="558" t="s">
        <v>23155</v>
      </c>
      <c r="E730" s="558" t="s">
        <v>192</v>
      </c>
      <c r="F730" s="563">
        <v>1</v>
      </c>
      <c r="G730" s="558" t="s">
        <v>193</v>
      </c>
      <c r="H730" s="558" t="s">
        <v>194</v>
      </c>
      <c r="I730" s="558" t="s">
        <v>24551</v>
      </c>
      <c r="J730" s="558" t="s">
        <v>9302</v>
      </c>
      <c r="K730" s="558" t="s">
        <v>9309</v>
      </c>
      <c r="L730" s="558" t="s">
        <v>6955</v>
      </c>
      <c r="M730" s="558"/>
      <c r="N730" s="558" t="s">
        <v>25811</v>
      </c>
      <c r="O730" s="558" t="s">
        <v>6286</v>
      </c>
      <c r="P730" s="558" t="s">
        <v>25402</v>
      </c>
      <c r="Q730" s="558" t="s">
        <v>23266</v>
      </c>
      <c r="R730" s="558" t="s">
        <v>25403</v>
      </c>
      <c r="S730" s="558" t="s">
        <v>25812</v>
      </c>
      <c r="T730" s="558" t="s">
        <v>25813</v>
      </c>
      <c r="U730" s="558"/>
      <c r="V730" s="603"/>
      <c r="W730" s="558" t="s">
        <v>673</v>
      </c>
      <c r="X730" s="558" t="s">
        <v>193</v>
      </c>
      <c r="Y730" s="558" t="s">
        <v>9310</v>
      </c>
      <c r="Z730" s="558"/>
      <c r="AA730" s="558"/>
      <c r="AB730" s="558" t="s">
        <v>9311</v>
      </c>
      <c r="AC730" s="558"/>
      <c r="AD730" s="558"/>
      <c r="AE730" s="558"/>
      <c r="AF730" s="558"/>
      <c r="AG730" s="558"/>
      <c r="AH730" s="558" t="s">
        <v>4714</v>
      </c>
      <c r="AI730" s="558" t="s">
        <v>25810</v>
      </c>
      <c r="AJ730" s="601" t="str">
        <f t="shared" si="22"/>
        <v>333107</v>
      </c>
      <c r="AK730" s="601">
        <v>1</v>
      </c>
      <c r="AL730" s="601">
        <f t="shared" si="23"/>
        <v>1</v>
      </c>
      <c r="AM730" s="601">
        <v>1</v>
      </c>
      <c r="AN730" s="603" t="s">
        <v>17650</v>
      </c>
      <c r="AO730" s="603" t="s">
        <v>17651</v>
      </c>
      <c r="AP730" s="603" t="s">
        <v>17652</v>
      </c>
      <c r="AQ730" s="603" t="s">
        <v>17653</v>
      </c>
      <c r="AR730" s="603" t="s">
        <v>1024</v>
      </c>
      <c r="AS730" s="558">
        <v>1</v>
      </c>
    </row>
    <row r="731" spans="1:45" x14ac:dyDescent="0.2">
      <c r="A731" s="558" t="s">
        <v>21197</v>
      </c>
      <c r="B731" s="558" t="s">
        <v>25814</v>
      </c>
      <c r="C731" s="558" t="s">
        <v>21</v>
      </c>
      <c r="D731" s="558" t="s">
        <v>23155</v>
      </c>
      <c r="E731" s="558" t="s">
        <v>192</v>
      </c>
      <c r="F731" s="563">
        <v>1</v>
      </c>
      <c r="G731" s="558" t="s">
        <v>193</v>
      </c>
      <c r="H731" s="558" t="s">
        <v>194</v>
      </c>
      <c r="I731" s="558" t="s">
        <v>23307</v>
      </c>
      <c r="J731" s="558" t="s">
        <v>9302</v>
      </c>
      <c r="K731" s="558" t="s">
        <v>9309</v>
      </c>
      <c r="L731" s="558" t="s">
        <v>6955</v>
      </c>
      <c r="M731" s="558"/>
      <c r="N731" s="558" t="s">
        <v>25815</v>
      </c>
      <c r="O731" s="558" t="s">
        <v>6324</v>
      </c>
      <c r="P731" s="558" t="s">
        <v>25402</v>
      </c>
      <c r="Q731" s="558" t="s">
        <v>23266</v>
      </c>
      <c r="R731" s="558" t="s">
        <v>25403</v>
      </c>
      <c r="S731" s="558" t="s">
        <v>25816</v>
      </c>
      <c r="T731" s="558" t="s">
        <v>25817</v>
      </c>
      <c r="U731" s="558"/>
      <c r="V731" s="603"/>
      <c r="W731" s="558" t="s">
        <v>293</v>
      </c>
      <c r="X731" s="558" t="s">
        <v>193</v>
      </c>
      <c r="Y731" s="558" t="s">
        <v>9310</v>
      </c>
      <c r="Z731" s="558"/>
      <c r="AA731" s="558"/>
      <c r="AB731" s="558" t="s">
        <v>9311</v>
      </c>
      <c r="AC731" s="558"/>
      <c r="AD731" s="558"/>
      <c r="AE731" s="558"/>
      <c r="AF731" s="558"/>
      <c r="AG731" s="558"/>
      <c r="AH731" s="558" t="s">
        <v>4714</v>
      </c>
      <c r="AI731" s="558" t="s">
        <v>25814</v>
      </c>
      <c r="AJ731" s="601" t="str">
        <f t="shared" si="22"/>
        <v>214202</v>
      </c>
      <c r="AK731" s="601">
        <v>1</v>
      </c>
      <c r="AL731" s="601">
        <f t="shared" si="23"/>
        <v>1</v>
      </c>
      <c r="AM731" s="601">
        <v>1</v>
      </c>
      <c r="AN731" s="603" t="s">
        <v>17650</v>
      </c>
      <c r="AO731" s="603" t="s">
        <v>17651</v>
      </c>
      <c r="AP731" s="603" t="s">
        <v>17652</v>
      </c>
      <c r="AQ731" s="603" t="s">
        <v>17653</v>
      </c>
      <c r="AR731" s="603" t="s">
        <v>1024</v>
      </c>
      <c r="AS731" s="558">
        <v>1</v>
      </c>
    </row>
    <row r="732" spans="1:45" x14ac:dyDescent="0.2">
      <c r="A732" s="558" t="s">
        <v>25818</v>
      </c>
      <c r="B732" s="558" t="s">
        <v>25819</v>
      </c>
      <c r="C732" s="558" t="s">
        <v>10</v>
      </c>
      <c r="D732" s="558" t="s">
        <v>23155</v>
      </c>
      <c r="E732" s="558" t="s">
        <v>192</v>
      </c>
      <c r="F732" s="563">
        <v>1</v>
      </c>
      <c r="G732" s="558" t="s">
        <v>193</v>
      </c>
      <c r="H732" s="558" t="s">
        <v>194</v>
      </c>
      <c r="I732" s="558" t="s">
        <v>23307</v>
      </c>
      <c r="J732" s="558" t="s">
        <v>9302</v>
      </c>
      <c r="K732" s="558" t="s">
        <v>9309</v>
      </c>
      <c r="L732" s="558" t="s">
        <v>6955</v>
      </c>
      <c r="M732" s="558"/>
      <c r="N732" s="558" t="s">
        <v>25820</v>
      </c>
      <c r="O732" s="558" t="s">
        <v>6261</v>
      </c>
      <c r="P732" s="558" t="s">
        <v>25402</v>
      </c>
      <c r="Q732" s="558" t="s">
        <v>23266</v>
      </c>
      <c r="R732" s="558" t="s">
        <v>25403</v>
      </c>
      <c r="S732" s="558" t="s">
        <v>25821</v>
      </c>
      <c r="T732" s="558" t="s">
        <v>25822</v>
      </c>
      <c r="U732" s="558"/>
      <c r="V732" s="603"/>
      <c r="W732" s="558" t="s">
        <v>484</v>
      </c>
      <c r="X732" s="558" t="s">
        <v>193</v>
      </c>
      <c r="Y732" s="558" t="s">
        <v>9310</v>
      </c>
      <c r="Z732" s="558"/>
      <c r="AA732" s="558"/>
      <c r="AB732" s="558" t="s">
        <v>9311</v>
      </c>
      <c r="AC732" s="558"/>
      <c r="AD732" s="558"/>
      <c r="AE732" s="558"/>
      <c r="AF732" s="558"/>
      <c r="AG732" s="558"/>
      <c r="AH732" s="558" t="s">
        <v>4714</v>
      </c>
      <c r="AI732" s="558" t="s">
        <v>25819</v>
      </c>
      <c r="AJ732" s="601" t="str">
        <f t="shared" si="22"/>
        <v>251401</v>
      </c>
      <c r="AK732" s="601">
        <v>1</v>
      </c>
      <c r="AL732" s="601">
        <f t="shared" si="23"/>
        <v>1</v>
      </c>
      <c r="AM732" s="601">
        <v>1</v>
      </c>
      <c r="AN732" s="603" t="s">
        <v>17650</v>
      </c>
      <c r="AO732" s="603" t="s">
        <v>17651</v>
      </c>
      <c r="AP732" s="603" t="s">
        <v>17652</v>
      </c>
      <c r="AQ732" s="603" t="s">
        <v>17653</v>
      </c>
      <c r="AR732" s="603" t="s">
        <v>1024</v>
      </c>
      <c r="AS732" s="558">
        <v>1</v>
      </c>
    </row>
    <row r="733" spans="1:45" x14ac:dyDescent="0.2">
      <c r="A733" s="558" t="s">
        <v>25823</v>
      </c>
      <c r="B733" s="558" t="s">
        <v>25824</v>
      </c>
      <c r="C733" s="558" t="s">
        <v>74</v>
      </c>
      <c r="D733" s="558" t="s">
        <v>23155</v>
      </c>
      <c r="E733" s="558" t="s">
        <v>192</v>
      </c>
      <c r="F733" s="563">
        <v>1</v>
      </c>
      <c r="G733" s="558" t="s">
        <v>193</v>
      </c>
      <c r="H733" s="558" t="s">
        <v>194</v>
      </c>
      <c r="I733" s="558" t="s">
        <v>24551</v>
      </c>
      <c r="J733" s="558" t="s">
        <v>9302</v>
      </c>
      <c r="K733" s="558" t="s">
        <v>9309</v>
      </c>
      <c r="L733" s="558" t="s">
        <v>6955</v>
      </c>
      <c r="M733" s="558"/>
      <c r="N733" s="558" t="s">
        <v>25825</v>
      </c>
      <c r="O733" s="558" t="s">
        <v>6249</v>
      </c>
      <c r="P733" s="558" t="s">
        <v>25402</v>
      </c>
      <c r="Q733" s="558" t="s">
        <v>23266</v>
      </c>
      <c r="R733" s="558" t="s">
        <v>25403</v>
      </c>
      <c r="S733" s="558" t="s">
        <v>25826</v>
      </c>
      <c r="T733" s="558" t="s">
        <v>25827</v>
      </c>
      <c r="U733" s="558"/>
      <c r="V733" s="603"/>
      <c r="W733" s="558" t="s">
        <v>246</v>
      </c>
      <c r="X733" s="558" t="s">
        <v>193</v>
      </c>
      <c r="Y733" s="558" t="s">
        <v>9310</v>
      </c>
      <c r="Z733" s="558"/>
      <c r="AA733" s="558"/>
      <c r="AB733" s="558" t="s">
        <v>9311</v>
      </c>
      <c r="AC733" s="558"/>
      <c r="AD733" s="558"/>
      <c r="AE733" s="558"/>
      <c r="AF733" s="558"/>
      <c r="AG733" s="558"/>
      <c r="AH733" s="558" t="s">
        <v>4714</v>
      </c>
      <c r="AI733" s="558" t="s">
        <v>25824</v>
      </c>
      <c r="AJ733" s="601" t="str">
        <f t="shared" si="22"/>
        <v>142004</v>
      </c>
      <c r="AK733" s="601">
        <v>1</v>
      </c>
      <c r="AL733" s="601">
        <f t="shared" si="23"/>
        <v>1</v>
      </c>
      <c r="AM733" s="601">
        <v>1</v>
      </c>
      <c r="AN733" s="603" t="s">
        <v>17650</v>
      </c>
      <c r="AO733" s="603" t="s">
        <v>17651</v>
      </c>
      <c r="AP733" s="603" t="s">
        <v>17652</v>
      </c>
      <c r="AQ733" s="603" t="s">
        <v>17653</v>
      </c>
      <c r="AR733" s="603" t="s">
        <v>1024</v>
      </c>
      <c r="AS733" s="558">
        <v>1</v>
      </c>
    </row>
    <row r="734" spans="1:45" x14ac:dyDescent="0.2">
      <c r="A734" s="558" t="s">
        <v>25828</v>
      </c>
      <c r="B734" s="558" t="s">
        <v>25829</v>
      </c>
      <c r="C734" s="558" t="s">
        <v>10</v>
      </c>
      <c r="D734" s="558" t="s">
        <v>23155</v>
      </c>
      <c r="E734" s="558" t="s">
        <v>192</v>
      </c>
      <c r="F734" s="563">
        <v>1</v>
      </c>
      <c r="G734" s="558" t="s">
        <v>193</v>
      </c>
      <c r="H734" s="558" t="s">
        <v>194</v>
      </c>
      <c r="I734" s="558" t="s">
        <v>23917</v>
      </c>
      <c r="J734" s="558" t="s">
        <v>9302</v>
      </c>
      <c r="K734" s="558" t="s">
        <v>9309</v>
      </c>
      <c r="L734" s="558" t="s">
        <v>6955</v>
      </c>
      <c r="M734" s="558"/>
      <c r="N734" s="558" t="s">
        <v>25830</v>
      </c>
      <c r="O734" s="558" t="s">
        <v>6261</v>
      </c>
      <c r="P734" s="558" t="s">
        <v>25402</v>
      </c>
      <c r="Q734" s="558" t="s">
        <v>23266</v>
      </c>
      <c r="R734" s="558" t="s">
        <v>25403</v>
      </c>
      <c r="S734" s="558" t="s">
        <v>25831</v>
      </c>
      <c r="T734" s="558" t="s">
        <v>25832</v>
      </c>
      <c r="U734" s="558"/>
      <c r="V734" s="603"/>
      <c r="W734" s="558" t="s">
        <v>484</v>
      </c>
      <c r="X734" s="558" t="s">
        <v>193</v>
      </c>
      <c r="Y734" s="558" t="s">
        <v>9310</v>
      </c>
      <c r="Z734" s="558"/>
      <c r="AA734" s="558"/>
      <c r="AB734" s="558" t="s">
        <v>9311</v>
      </c>
      <c r="AC734" s="558"/>
      <c r="AD734" s="558"/>
      <c r="AE734" s="558"/>
      <c r="AF734" s="558"/>
      <c r="AG734" s="558"/>
      <c r="AH734" s="558" t="s">
        <v>4714</v>
      </c>
      <c r="AI734" s="558" t="s">
        <v>25829</v>
      </c>
      <c r="AJ734" s="601" t="str">
        <f t="shared" si="22"/>
        <v>251401</v>
      </c>
      <c r="AK734" s="601">
        <v>1</v>
      </c>
      <c r="AL734" s="601">
        <f t="shared" si="23"/>
        <v>1</v>
      </c>
      <c r="AM734" s="601">
        <v>1</v>
      </c>
      <c r="AN734" s="603" t="s">
        <v>17650</v>
      </c>
      <c r="AO734" s="603" t="s">
        <v>17651</v>
      </c>
      <c r="AP734" s="603" t="s">
        <v>17652</v>
      </c>
      <c r="AQ734" s="603" t="s">
        <v>17653</v>
      </c>
      <c r="AR734" s="603" t="s">
        <v>1024</v>
      </c>
      <c r="AS734" s="558">
        <v>1</v>
      </c>
    </row>
    <row r="735" spans="1:45" x14ac:dyDescent="0.2">
      <c r="A735" s="558" t="s">
        <v>25715</v>
      </c>
      <c r="B735" s="558" t="s">
        <v>25833</v>
      </c>
      <c r="C735" s="558" t="s">
        <v>10</v>
      </c>
      <c r="D735" s="558" t="s">
        <v>23155</v>
      </c>
      <c r="E735" s="558" t="s">
        <v>192</v>
      </c>
      <c r="F735" s="563">
        <v>1</v>
      </c>
      <c r="G735" s="558" t="s">
        <v>193</v>
      </c>
      <c r="H735" s="558" t="s">
        <v>194</v>
      </c>
      <c r="I735" s="558" t="s">
        <v>23307</v>
      </c>
      <c r="J735" s="558" t="s">
        <v>9302</v>
      </c>
      <c r="K735" s="558" t="s">
        <v>9309</v>
      </c>
      <c r="L735" s="558" t="s">
        <v>6955</v>
      </c>
      <c r="M735" s="558"/>
      <c r="N735" s="558" t="s">
        <v>25834</v>
      </c>
      <c r="O735" s="558" t="s">
        <v>6261</v>
      </c>
      <c r="P735" s="558" t="s">
        <v>25402</v>
      </c>
      <c r="Q735" s="558" t="s">
        <v>23266</v>
      </c>
      <c r="R735" s="558" t="s">
        <v>25403</v>
      </c>
      <c r="S735" s="558" t="s">
        <v>25835</v>
      </c>
      <c r="T735" s="558" t="s">
        <v>25836</v>
      </c>
      <c r="U735" s="558"/>
      <c r="V735" s="603"/>
      <c r="W735" s="558" t="s">
        <v>484</v>
      </c>
      <c r="X735" s="558" t="s">
        <v>193</v>
      </c>
      <c r="Y735" s="558" t="s">
        <v>9310</v>
      </c>
      <c r="Z735" s="558"/>
      <c r="AA735" s="558"/>
      <c r="AB735" s="558" t="s">
        <v>9311</v>
      </c>
      <c r="AC735" s="558"/>
      <c r="AD735" s="558"/>
      <c r="AE735" s="558"/>
      <c r="AF735" s="558"/>
      <c r="AG735" s="558"/>
      <c r="AH735" s="558" t="s">
        <v>4714</v>
      </c>
      <c r="AI735" s="558" t="s">
        <v>25833</v>
      </c>
      <c r="AJ735" s="601" t="str">
        <f t="shared" si="22"/>
        <v>251401</v>
      </c>
      <c r="AK735" s="601">
        <v>1</v>
      </c>
      <c r="AL735" s="601">
        <f t="shared" si="23"/>
        <v>1</v>
      </c>
      <c r="AM735" s="601">
        <v>1</v>
      </c>
      <c r="AN735" s="603" t="s">
        <v>17650</v>
      </c>
      <c r="AO735" s="603" t="s">
        <v>17651</v>
      </c>
      <c r="AP735" s="603" t="s">
        <v>17652</v>
      </c>
      <c r="AQ735" s="603" t="s">
        <v>17653</v>
      </c>
      <c r="AR735" s="603" t="s">
        <v>1024</v>
      </c>
      <c r="AS735" s="558">
        <v>1</v>
      </c>
    </row>
    <row r="736" spans="1:45" x14ac:dyDescent="0.2">
      <c r="A736" s="558" t="s">
        <v>25540</v>
      </c>
      <c r="B736" s="558" t="s">
        <v>25837</v>
      </c>
      <c r="C736" s="558" t="s">
        <v>10</v>
      </c>
      <c r="D736" s="558" t="s">
        <v>23155</v>
      </c>
      <c r="E736" s="558" t="s">
        <v>192</v>
      </c>
      <c r="F736" s="563">
        <v>1</v>
      </c>
      <c r="G736" s="558" t="s">
        <v>193</v>
      </c>
      <c r="H736" s="558" t="s">
        <v>194</v>
      </c>
      <c r="I736" s="558" t="s">
        <v>23307</v>
      </c>
      <c r="J736" s="558" t="s">
        <v>9302</v>
      </c>
      <c r="K736" s="558" t="s">
        <v>9309</v>
      </c>
      <c r="L736" s="558" t="s">
        <v>6955</v>
      </c>
      <c r="M736" s="558"/>
      <c r="N736" s="558" t="s">
        <v>25838</v>
      </c>
      <c r="O736" s="558" t="s">
        <v>6261</v>
      </c>
      <c r="P736" s="558" t="s">
        <v>25402</v>
      </c>
      <c r="Q736" s="558" t="s">
        <v>23266</v>
      </c>
      <c r="R736" s="558" t="s">
        <v>25403</v>
      </c>
      <c r="S736" s="558" t="s">
        <v>25839</v>
      </c>
      <c r="T736" s="558" t="s">
        <v>25840</v>
      </c>
      <c r="U736" s="558"/>
      <c r="V736" s="603"/>
      <c r="W736" s="558" t="s">
        <v>484</v>
      </c>
      <c r="X736" s="558" t="s">
        <v>193</v>
      </c>
      <c r="Y736" s="558" t="s">
        <v>9310</v>
      </c>
      <c r="Z736" s="558"/>
      <c r="AA736" s="558"/>
      <c r="AB736" s="558" t="s">
        <v>9311</v>
      </c>
      <c r="AC736" s="558"/>
      <c r="AD736" s="558"/>
      <c r="AE736" s="558"/>
      <c r="AF736" s="558"/>
      <c r="AG736" s="558"/>
      <c r="AH736" s="558" t="s">
        <v>4714</v>
      </c>
      <c r="AI736" s="558" t="s">
        <v>25837</v>
      </c>
      <c r="AJ736" s="601" t="str">
        <f t="shared" si="22"/>
        <v>251401</v>
      </c>
      <c r="AK736" s="601">
        <v>1</v>
      </c>
      <c r="AL736" s="601">
        <f t="shared" si="23"/>
        <v>1</v>
      </c>
      <c r="AM736" s="601">
        <v>1</v>
      </c>
      <c r="AN736" s="603" t="s">
        <v>17650</v>
      </c>
      <c r="AO736" s="603" t="s">
        <v>17651</v>
      </c>
      <c r="AP736" s="603" t="s">
        <v>17652</v>
      </c>
      <c r="AQ736" s="603" t="s">
        <v>17653</v>
      </c>
      <c r="AR736" s="603" t="s">
        <v>1024</v>
      </c>
      <c r="AS736" s="558">
        <v>1</v>
      </c>
    </row>
    <row r="737" spans="1:45" x14ac:dyDescent="0.2">
      <c r="A737" s="558" t="s">
        <v>690</v>
      </c>
      <c r="B737" s="558" t="s">
        <v>25841</v>
      </c>
      <c r="C737" s="558" t="s">
        <v>480</v>
      </c>
      <c r="D737" s="558" t="s">
        <v>23155</v>
      </c>
      <c r="E737" s="558" t="s">
        <v>192</v>
      </c>
      <c r="F737" s="563">
        <v>1</v>
      </c>
      <c r="G737" s="558" t="s">
        <v>193</v>
      </c>
      <c r="H737" s="558" t="s">
        <v>194</v>
      </c>
      <c r="I737" s="558" t="s">
        <v>23499</v>
      </c>
      <c r="J737" s="558" t="s">
        <v>9302</v>
      </c>
      <c r="K737" s="558" t="s">
        <v>9309</v>
      </c>
      <c r="L737" s="558" t="s">
        <v>6955</v>
      </c>
      <c r="M737" s="558"/>
      <c r="N737" s="558" t="s">
        <v>25842</v>
      </c>
      <c r="O737" s="558" t="s">
        <v>6921</v>
      </c>
      <c r="P737" s="558" t="s">
        <v>25402</v>
      </c>
      <c r="Q737" s="558" t="s">
        <v>23266</v>
      </c>
      <c r="R737" s="558" t="s">
        <v>25403</v>
      </c>
      <c r="S737" s="558" t="s">
        <v>25843</v>
      </c>
      <c r="T737" s="558" t="s">
        <v>25844</v>
      </c>
      <c r="U737" s="558"/>
      <c r="V737" s="603"/>
      <c r="W737" s="558" t="s">
        <v>481</v>
      </c>
      <c r="X737" s="558" t="s">
        <v>193</v>
      </c>
      <c r="Y737" s="558" t="s">
        <v>9310</v>
      </c>
      <c r="Z737" s="558"/>
      <c r="AA737" s="558"/>
      <c r="AB737" s="558" t="s">
        <v>9311</v>
      </c>
      <c r="AC737" s="558"/>
      <c r="AD737" s="558"/>
      <c r="AE737" s="558"/>
      <c r="AF737" s="558"/>
      <c r="AG737" s="558"/>
      <c r="AH737" s="558" t="s">
        <v>4714</v>
      </c>
      <c r="AI737" s="558" t="s">
        <v>25841</v>
      </c>
      <c r="AJ737" s="601" t="str">
        <f t="shared" si="22"/>
        <v>251201</v>
      </c>
      <c r="AK737" s="601">
        <v>1</v>
      </c>
      <c r="AL737" s="601">
        <f t="shared" si="23"/>
        <v>1</v>
      </c>
      <c r="AM737" s="601">
        <v>1</v>
      </c>
      <c r="AN737" s="603" t="s">
        <v>17650</v>
      </c>
      <c r="AO737" s="603" t="s">
        <v>17651</v>
      </c>
      <c r="AP737" s="603" t="s">
        <v>17652</v>
      </c>
      <c r="AQ737" s="603" t="s">
        <v>17653</v>
      </c>
      <c r="AR737" s="603" t="s">
        <v>1024</v>
      </c>
      <c r="AS737" s="558">
        <v>1</v>
      </c>
    </row>
    <row r="738" spans="1:45" x14ac:dyDescent="0.2">
      <c r="A738" s="558" t="s">
        <v>14864</v>
      </c>
      <c r="B738" s="558" t="s">
        <v>19935</v>
      </c>
      <c r="C738" s="558" t="s">
        <v>2861</v>
      </c>
      <c r="D738" s="558" t="s">
        <v>23155</v>
      </c>
      <c r="E738" s="558" t="s">
        <v>192</v>
      </c>
      <c r="F738" s="563">
        <v>1</v>
      </c>
      <c r="G738" s="558" t="s">
        <v>193</v>
      </c>
      <c r="H738" s="558" t="s">
        <v>194</v>
      </c>
      <c r="I738" s="558" t="s">
        <v>23186</v>
      </c>
      <c r="J738" s="558" t="s">
        <v>9302</v>
      </c>
      <c r="K738" s="558" t="s">
        <v>9309</v>
      </c>
      <c r="L738" s="558" t="s">
        <v>6955</v>
      </c>
      <c r="M738" s="558"/>
      <c r="N738" s="558" t="s">
        <v>25845</v>
      </c>
      <c r="O738" s="558" t="s">
        <v>6261</v>
      </c>
      <c r="P738" s="558" t="s">
        <v>25402</v>
      </c>
      <c r="Q738" s="558" t="s">
        <v>23266</v>
      </c>
      <c r="R738" s="558" t="s">
        <v>25403</v>
      </c>
      <c r="S738" s="558" t="s">
        <v>25846</v>
      </c>
      <c r="T738" s="558" t="s">
        <v>25847</v>
      </c>
      <c r="U738" s="558"/>
      <c r="V738" s="603"/>
      <c r="W738" s="558" t="s">
        <v>3629</v>
      </c>
      <c r="X738" s="558" t="s">
        <v>193</v>
      </c>
      <c r="Y738" s="558" t="s">
        <v>9310</v>
      </c>
      <c r="Z738" s="558"/>
      <c r="AA738" s="558"/>
      <c r="AB738" s="558" t="s">
        <v>9311</v>
      </c>
      <c r="AC738" s="558"/>
      <c r="AD738" s="558"/>
      <c r="AE738" s="558"/>
      <c r="AF738" s="558"/>
      <c r="AG738" s="558"/>
      <c r="AH738" s="558" t="s">
        <v>4714</v>
      </c>
      <c r="AI738" s="558" t="s">
        <v>19935</v>
      </c>
      <c r="AJ738" s="601" t="str">
        <f t="shared" si="22"/>
        <v>251903</v>
      </c>
      <c r="AK738" s="601">
        <v>1</v>
      </c>
      <c r="AL738" s="601">
        <f t="shared" si="23"/>
        <v>1</v>
      </c>
      <c r="AM738" s="601">
        <v>1</v>
      </c>
      <c r="AN738" s="603" t="s">
        <v>17650</v>
      </c>
      <c r="AO738" s="603" t="s">
        <v>17651</v>
      </c>
      <c r="AP738" s="603" t="s">
        <v>17652</v>
      </c>
      <c r="AQ738" s="603" t="s">
        <v>17653</v>
      </c>
      <c r="AR738" s="603" t="s">
        <v>1024</v>
      </c>
      <c r="AS738" s="558">
        <v>1</v>
      </c>
    </row>
    <row r="739" spans="1:45" x14ac:dyDescent="0.2">
      <c r="A739" s="558" t="s">
        <v>690</v>
      </c>
      <c r="B739" s="558" t="s">
        <v>25848</v>
      </c>
      <c r="C739" s="558" t="s">
        <v>480</v>
      </c>
      <c r="D739" s="558" t="s">
        <v>23155</v>
      </c>
      <c r="E739" s="558" t="s">
        <v>192</v>
      </c>
      <c r="F739" s="563">
        <v>1</v>
      </c>
      <c r="G739" s="558" t="s">
        <v>193</v>
      </c>
      <c r="H739" s="558" t="s">
        <v>194</v>
      </c>
      <c r="I739" s="558" t="s">
        <v>23499</v>
      </c>
      <c r="J739" s="558" t="s">
        <v>9302</v>
      </c>
      <c r="K739" s="558" t="s">
        <v>9309</v>
      </c>
      <c r="L739" s="558" t="s">
        <v>6955</v>
      </c>
      <c r="M739" s="558"/>
      <c r="N739" s="558" t="s">
        <v>25849</v>
      </c>
      <c r="O739" s="558" t="s">
        <v>6921</v>
      </c>
      <c r="P739" s="558" t="s">
        <v>25402</v>
      </c>
      <c r="Q739" s="558" t="s">
        <v>23266</v>
      </c>
      <c r="R739" s="558" t="s">
        <v>25403</v>
      </c>
      <c r="S739" s="558" t="s">
        <v>25850</v>
      </c>
      <c r="T739" s="558" t="s">
        <v>25851</v>
      </c>
      <c r="U739" s="558"/>
      <c r="V739" s="603"/>
      <c r="W739" s="558" t="s">
        <v>481</v>
      </c>
      <c r="X739" s="558" t="s">
        <v>193</v>
      </c>
      <c r="Y739" s="558" t="s">
        <v>9310</v>
      </c>
      <c r="Z739" s="558"/>
      <c r="AA739" s="558"/>
      <c r="AB739" s="558" t="s">
        <v>9311</v>
      </c>
      <c r="AC739" s="558"/>
      <c r="AD739" s="558"/>
      <c r="AE739" s="558"/>
      <c r="AF739" s="558"/>
      <c r="AG739" s="558"/>
      <c r="AH739" s="558" t="s">
        <v>4714</v>
      </c>
      <c r="AI739" s="558" t="s">
        <v>25848</v>
      </c>
      <c r="AJ739" s="601" t="str">
        <f t="shared" si="22"/>
        <v>251201</v>
      </c>
      <c r="AK739" s="601">
        <v>1</v>
      </c>
      <c r="AL739" s="601">
        <f t="shared" si="23"/>
        <v>1</v>
      </c>
      <c r="AM739" s="601">
        <v>1</v>
      </c>
      <c r="AN739" s="603" t="s">
        <v>17650</v>
      </c>
      <c r="AO739" s="603" t="s">
        <v>17651</v>
      </c>
      <c r="AP739" s="603" t="s">
        <v>17652</v>
      </c>
      <c r="AQ739" s="603" t="s">
        <v>17653</v>
      </c>
      <c r="AR739" s="603" t="s">
        <v>1024</v>
      </c>
      <c r="AS739" s="558">
        <v>1</v>
      </c>
    </row>
    <row r="740" spans="1:45" x14ac:dyDescent="0.2">
      <c r="A740" s="558" t="s">
        <v>14864</v>
      </c>
      <c r="B740" s="558" t="s">
        <v>25852</v>
      </c>
      <c r="C740" s="558" t="s">
        <v>18132</v>
      </c>
      <c r="D740" s="558" t="s">
        <v>23155</v>
      </c>
      <c r="E740" s="558" t="s">
        <v>192</v>
      </c>
      <c r="F740" s="563">
        <v>1</v>
      </c>
      <c r="G740" s="558" t="s">
        <v>193</v>
      </c>
      <c r="H740" s="558" t="s">
        <v>194</v>
      </c>
      <c r="I740" s="558" t="s">
        <v>24551</v>
      </c>
      <c r="J740" s="558" t="s">
        <v>9302</v>
      </c>
      <c r="K740" s="558" t="s">
        <v>9309</v>
      </c>
      <c r="L740" s="558" t="s">
        <v>6955</v>
      </c>
      <c r="M740" s="558"/>
      <c r="N740" s="558" t="s">
        <v>25853</v>
      </c>
      <c r="O740" s="558" t="s">
        <v>6921</v>
      </c>
      <c r="P740" s="558" t="s">
        <v>25402</v>
      </c>
      <c r="Q740" s="558" t="s">
        <v>23266</v>
      </c>
      <c r="R740" s="558" t="s">
        <v>25403</v>
      </c>
      <c r="S740" s="558" t="s">
        <v>25854</v>
      </c>
      <c r="T740" s="558" t="s">
        <v>25855</v>
      </c>
      <c r="U740" s="558"/>
      <c r="V740" s="603"/>
      <c r="W740" s="558" t="s">
        <v>14240</v>
      </c>
      <c r="X740" s="558" t="s">
        <v>193</v>
      </c>
      <c r="Y740" s="558" t="s">
        <v>9310</v>
      </c>
      <c r="Z740" s="558"/>
      <c r="AA740" s="558"/>
      <c r="AB740" s="558" t="s">
        <v>9311</v>
      </c>
      <c r="AC740" s="558"/>
      <c r="AD740" s="558"/>
      <c r="AE740" s="558"/>
      <c r="AF740" s="558"/>
      <c r="AG740" s="558"/>
      <c r="AH740" s="558" t="s">
        <v>4714</v>
      </c>
      <c r="AI740" s="558" t="s">
        <v>25852</v>
      </c>
      <c r="AJ740" s="601" t="str">
        <f t="shared" si="22"/>
        <v>242111</v>
      </c>
      <c r="AK740" s="601">
        <v>1</v>
      </c>
      <c r="AL740" s="601">
        <f t="shared" si="23"/>
        <v>1</v>
      </c>
      <c r="AM740" s="601">
        <v>1</v>
      </c>
      <c r="AN740" s="603" t="s">
        <v>17650</v>
      </c>
      <c r="AO740" s="603" t="s">
        <v>17651</v>
      </c>
      <c r="AP740" s="603" t="s">
        <v>17652</v>
      </c>
      <c r="AQ740" s="603" t="s">
        <v>17653</v>
      </c>
      <c r="AR740" s="603" t="s">
        <v>1024</v>
      </c>
      <c r="AS740" s="558">
        <v>1</v>
      </c>
    </row>
    <row r="741" spans="1:45" x14ac:dyDescent="0.2">
      <c r="A741" s="558" t="s">
        <v>14864</v>
      </c>
      <c r="B741" s="558" t="s">
        <v>9523</v>
      </c>
      <c r="C741" s="558" t="s">
        <v>10</v>
      </c>
      <c r="D741" s="558" t="s">
        <v>23155</v>
      </c>
      <c r="E741" s="558" t="s">
        <v>192</v>
      </c>
      <c r="F741" s="563">
        <v>1</v>
      </c>
      <c r="G741" s="558" t="s">
        <v>193</v>
      </c>
      <c r="H741" s="558" t="s">
        <v>194</v>
      </c>
      <c r="I741" s="558" t="s">
        <v>23307</v>
      </c>
      <c r="J741" s="558" t="s">
        <v>9302</v>
      </c>
      <c r="K741" s="558" t="s">
        <v>9309</v>
      </c>
      <c r="L741" s="558" t="s">
        <v>6955</v>
      </c>
      <c r="M741" s="558"/>
      <c r="N741" s="558" t="s">
        <v>25856</v>
      </c>
      <c r="O741" s="558" t="s">
        <v>6261</v>
      </c>
      <c r="P741" s="558" t="s">
        <v>25402</v>
      </c>
      <c r="Q741" s="558" t="s">
        <v>23266</v>
      </c>
      <c r="R741" s="558" t="s">
        <v>25403</v>
      </c>
      <c r="S741" s="558" t="s">
        <v>25857</v>
      </c>
      <c r="T741" s="558" t="s">
        <v>25858</v>
      </c>
      <c r="U741" s="558"/>
      <c r="V741" s="603"/>
      <c r="W741" s="558" t="s">
        <v>484</v>
      </c>
      <c r="X741" s="558" t="s">
        <v>193</v>
      </c>
      <c r="Y741" s="558" t="s">
        <v>9310</v>
      </c>
      <c r="Z741" s="558"/>
      <c r="AA741" s="558"/>
      <c r="AB741" s="558" t="s">
        <v>9311</v>
      </c>
      <c r="AC741" s="558"/>
      <c r="AD741" s="558"/>
      <c r="AE741" s="558"/>
      <c r="AF741" s="558"/>
      <c r="AG741" s="558"/>
      <c r="AH741" s="558" t="s">
        <v>4714</v>
      </c>
      <c r="AI741" s="558" t="s">
        <v>9523</v>
      </c>
      <c r="AJ741" s="601" t="str">
        <f t="shared" si="22"/>
        <v>251401</v>
      </c>
      <c r="AK741" s="601">
        <v>1</v>
      </c>
      <c r="AL741" s="601">
        <f t="shared" si="23"/>
        <v>1</v>
      </c>
      <c r="AM741" s="601">
        <v>1</v>
      </c>
      <c r="AN741" s="603" t="s">
        <v>17650</v>
      </c>
      <c r="AO741" s="603" t="s">
        <v>17651</v>
      </c>
      <c r="AP741" s="603" t="s">
        <v>17652</v>
      </c>
      <c r="AQ741" s="603" t="s">
        <v>17653</v>
      </c>
      <c r="AR741" s="603" t="s">
        <v>1024</v>
      </c>
      <c r="AS741" s="558">
        <v>1</v>
      </c>
    </row>
    <row r="742" spans="1:45" x14ac:dyDescent="0.2">
      <c r="A742" s="558" t="s">
        <v>22055</v>
      </c>
      <c r="B742" s="558" t="s">
        <v>25859</v>
      </c>
      <c r="C742" s="558" t="s">
        <v>935</v>
      </c>
      <c r="D742" s="558" t="s">
        <v>23155</v>
      </c>
      <c r="E742" s="558" t="s">
        <v>192</v>
      </c>
      <c r="F742" s="563">
        <v>1</v>
      </c>
      <c r="G742" s="558" t="s">
        <v>193</v>
      </c>
      <c r="H742" s="558" t="s">
        <v>194</v>
      </c>
      <c r="I742" s="558" t="s">
        <v>24551</v>
      </c>
      <c r="J742" s="558" t="s">
        <v>9302</v>
      </c>
      <c r="K742" s="558" t="s">
        <v>9309</v>
      </c>
      <c r="L742" s="558" t="s">
        <v>6955</v>
      </c>
      <c r="M742" s="558"/>
      <c r="N742" s="558" t="s">
        <v>25860</v>
      </c>
      <c r="O742" s="558" t="s">
        <v>6290</v>
      </c>
      <c r="P742" s="558" t="s">
        <v>25402</v>
      </c>
      <c r="Q742" s="558" t="s">
        <v>23266</v>
      </c>
      <c r="R742" s="558" t="s">
        <v>25403</v>
      </c>
      <c r="S742" s="558" t="s">
        <v>25861</v>
      </c>
      <c r="T742" s="558" t="s">
        <v>25862</v>
      </c>
      <c r="U742" s="558"/>
      <c r="V742" s="603"/>
      <c r="W742" s="558" t="s">
        <v>936</v>
      </c>
      <c r="X742" s="558" t="s">
        <v>193</v>
      </c>
      <c r="Y742" s="558" t="s">
        <v>9310</v>
      </c>
      <c r="Z742" s="558"/>
      <c r="AA742" s="558"/>
      <c r="AB742" s="558" t="s">
        <v>9311</v>
      </c>
      <c r="AC742" s="558"/>
      <c r="AD742" s="558"/>
      <c r="AE742" s="558"/>
      <c r="AF742" s="558"/>
      <c r="AG742" s="558"/>
      <c r="AH742" s="558" t="s">
        <v>4714</v>
      </c>
      <c r="AI742" s="558" t="s">
        <v>25859</v>
      </c>
      <c r="AJ742" s="601" t="str">
        <f t="shared" si="22"/>
        <v>213205</v>
      </c>
      <c r="AK742" s="601">
        <v>1</v>
      </c>
      <c r="AL742" s="601">
        <f t="shared" si="23"/>
        <v>1</v>
      </c>
      <c r="AM742" s="601">
        <v>1</v>
      </c>
      <c r="AN742" s="603" t="s">
        <v>17650</v>
      </c>
      <c r="AO742" s="603" t="s">
        <v>17651</v>
      </c>
      <c r="AP742" s="603" t="s">
        <v>17652</v>
      </c>
      <c r="AQ742" s="603" t="s">
        <v>17653</v>
      </c>
      <c r="AR742" s="603" t="s">
        <v>1024</v>
      </c>
      <c r="AS742" s="558">
        <v>1</v>
      </c>
    </row>
    <row r="743" spans="1:45" x14ac:dyDescent="0.2">
      <c r="A743" s="558" t="s">
        <v>888</v>
      </c>
      <c r="B743" s="558" t="s">
        <v>18498</v>
      </c>
      <c r="C743" s="558" t="s">
        <v>4966</v>
      </c>
      <c r="D743" s="558" t="s">
        <v>23155</v>
      </c>
      <c r="E743" s="558" t="s">
        <v>192</v>
      </c>
      <c r="F743" s="563">
        <v>1</v>
      </c>
      <c r="G743" s="558" t="s">
        <v>193</v>
      </c>
      <c r="H743" s="558" t="s">
        <v>194</v>
      </c>
      <c r="I743" s="558" t="s">
        <v>23917</v>
      </c>
      <c r="J743" s="558" t="s">
        <v>9302</v>
      </c>
      <c r="K743" s="558" t="s">
        <v>9309</v>
      </c>
      <c r="L743" s="558" t="s">
        <v>6955</v>
      </c>
      <c r="M743" s="558"/>
      <c r="N743" s="558" t="s">
        <v>25863</v>
      </c>
      <c r="O743" s="558" t="s">
        <v>7531</v>
      </c>
      <c r="P743" s="558" t="s">
        <v>25402</v>
      </c>
      <c r="Q743" s="558" t="s">
        <v>23266</v>
      </c>
      <c r="R743" s="558" t="s">
        <v>25403</v>
      </c>
      <c r="S743" s="558" t="s">
        <v>25864</v>
      </c>
      <c r="T743" s="558" t="s">
        <v>25865</v>
      </c>
      <c r="U743" s="558"/>
      <c r="V743" s="603"/>
      <c r="W743" s="558" t="s">
        <v>405</v>
      </c>
      <c r="X743" s="558" t="s">
        <v>193</v>
      </c>
      <c r="Y743" s="558" t="s">
        <v>9310</v>
      </c>
      <c r="Z743" s="558"/>
      <c r="AA743" s="558"/>
      <c r="AB743" s="558" t="s">
        <v>9311</v>
      </c>
      <c r="AC743" s="558"/>
      <c r="AD743" s="558"/>
      <c r="AE743" s="558"/>
      <c r="AF743" s="558"/>
      <c r="AG743" s="558"/>
      <c r="AH743" s="558" t="s">
        <v>5109</v>
      </c>
      <c r="AI743" s="558" t="s">
        <v>18498</v>
      </c>
      <c r="AJ743" s="601" t="str">
        <f t="shared" si="22"/>
        <v>241304</v>
      </c>
      <c r="AK743" s="601">
        <v>1</v>
      </c>
      <c r="AL743" s="601">
        <f t="shared" si="23"/>
        <v>1</v>
      </c>
      <c r="AM743" s="601">
        <v>1</v>
      </c>
      <c r="AN743" s="603" t="s">
        <v>17650</v>
      </c>
      <c r="AO743" s="603" t="s">
        <v>17651</v>
      </c>
      <c r="AP743" s="603" t="s">
        <v>17652</v>
      </c>
      <c r="AQ743" s="603" t="s">
        <v>17653</v>
      </c>
      <c r="AR743" s="603" t="s">
        <v>1024</v>
      </c>
      <c r="AS743" s="558">
        <v>1</v>
      </c>
    </row>
    <row r="744" spans="1:45" x14ac:dyDescent="0.2">
      <c r="A744" s="558" t="s">
        <v>25866</v>
      </c>
      <c r="B744" s="558" t="s">
        <v>25867</v>
      </c>
      <c r="C744" s="558" t="s">
        <v>94</v>
      </c>
      <c r="D744" s="558" t="s">
        <v>23155</v>
      </c>
      <c r="E744" s="558" t="s">
        <v>192</v>
      </c>
      <c r="F744" s="563">
        <v>1</v>
      </c>
      <c r="G744" s="558" t="s">
        <v>193</v>
      </c>
      <c r="H744" s="558" t="s">
        <v>194</v>
      </c>
      <c r="I744" s="558" t="s">
        <v>23164</v>
      </c>
      <c r="J744" s="558" t="s">
        <v>9302</v>
      </c>
      <c r="K744" s="558" t="s">
        <v>9309</v>
      </c>
      <c r="L744" s="558" t="s">
        <v>6955</v>
      </c>
      <c r="M744" s="558"/>
      <c r="N744" s="558" t="s">
        <v>25868</v>
      </c>
      <c r="O744" s="558" t="s">
        <v>6275</v>
      </c>
      <c r="P744" s="558" t="s">
        <v>25402</v>
      </c>
      <c r="Q744" s="558" t="s">
        <v>23266</v>
      </c>
      <c r="R744" s="558" t="s">
        <v>25403</v>
      </c>
      <c r="S744" s="558" t="s">
        <v>25869</v>
      </c>
      <c r="T744" s="558" t="s">
        <v>25870</v>
      </c>
      <c r="U744" s="558"/>
      <c r="V744" s="603"/>
      <c r="W744" s="558" t="s">
        <v>2419</v>
      </c>
      <c r="X744" s="558" t="s">
        <v>193</v>
      </c>
      <c r="Y744" s="558" t="s">
        <v>9310</v>
      </c>
      <c r="Z744" s="558"/>
      <c r="AA744" s="558"/>
      <c r="AB744" s="558" t="s">
        <v>9311</v>
      </c>
      <c r="AC744" s="558"/>
      <c r="AD744" s="558"/>
      <c r="AE744" s="558"/>
      <c r="AF744" s="558"/>
      <c r="AG744" s="558"/>
      <c r="AH744" s="558" t="s">
        <v>4714</v>
      </c>
      <c r="AI744" s="558" t="s">
        <v>25867</v>
      </c>
      <c r="AJ744" s="601" t="str">
        <f t="shared" si="22"/>
        <v>214930</v>
      </c>
      <c r="AK744" s="601">
        <v>1</v>
      </c>
      <c r="AL744" s="601">
        <f t="shared" si="23"/>
        <v>1</v>
      </c>
      <c r="AM744" s="601">
        <v>1</v>
      </c>
      <c r="AN744" s="603" t="s">
        <v>17650</v>
      </c>
      <c r="AO744" s="603" t="s">
        <v>17651</v>
      </c>
      <c r="AP744" s="603" t="s">
        <v>17652</v>
      </c>
      <c r="AQ744" s="603" t="s">
        <v>17653</v>
      </c>
      <c r="AR744" s="603" t="s">
        <v>1024</v>
      </c>
      <c r="AS744" s="558">
        <v>1</v>
      </c>
    </row>
    <row r="745" spans="1:45" x14ac:dyDescent="0.2">
      <c r="A745" s="558" t="s">
        <v>17615</v>
      </c>
      <c r="B745" s="558" t="s">
        <v>25871</v>
      </c>
      <c r="C745" s="558" t="s">
        <v>7985</v>
      </c>
      <c r="D745" s="558" t="s">
        <v>23155</v>
      </c>
      <c r="E745" s="558" t="s">
        <v>192</v>
      </c>
      <c r="F745" s="563">
        <v>1</v>
      </c>
      <c r="G745" s="558" t="s">
        <v>193</v>
      </c>
      <c r="H745" s="558" t="s">
        <v>194</v>
      </c>
      <c r="I745" s="558" t="s">
        <v>24551</v>
      </c>
      <c r="J745" s="558" t="s">
        <v>9302</v>
      </c>
      <c r="K745" s="558" t="s">
        <v>9309</v>
      </c>
      <c r="L745" s="558" t="s">
        <v>6955</v>
      </c>
      <c r="M745" s="558"/>
      <c r="N745" s="558" t="s">
        <v>25872</v>
      </c>
      <c r="O745" s="558" t="s">
        <v>6374</v>
      </c>
      <c r="P745" s="558" t="s">
        <v>25402</v>
      </c>
      <c r="Q745" s="558" t="s">
        <v>23266</v>
      </c>
      <c r="R745" s="558" t="s">
        <v>25403</v>
      </c>
      <c r="S745" s="558" t="s">
        <v>25873</v>
      </c>
      <c r="T745" s="558" t="s">
        <v>25874</v>
      </c>
      <c r="U745" s="558"/>
      <c r="V745" s="603"/>
      <c r="W745" s="558" t="s">
        <v>1118</v>
      </c>
      <c r="X745" s="558" t="s">
        <v>193</v>
      </c>
      <c r="Y745" s="558" t="s">
        <v>9310</v>
      </c>
      <c r="Z745" s="558"/>
      <c r="AA745" s="558"/>
      <c r="AB745" s="558" t="s">
        <v>9311</v>
      </c>
      <c r="AC745" s="558"/>
      <c r="AD745" s="558"/>
      <c r="AE745" s="558"/>
      <c r="AF745" s="558"/>
      <c r="AG745" s="558"/>
      <c r="AH745" s="558" t="s">
        <v>4714</v>
      </c>
      <c r="AI745" s="558" t="s">
        <v>25871</v>
      </c>
      <c r="AJ745" s="601" t="str">
        <f t="shared" si="22"/>
        <v>214205</v>
      </c>
      <c r="AK745" s="601">
        <v>1</v>
      </c>
      <c r="AL745" s="601">
        <f t="shared" si="23"/>
        <v>1</v>
      </c>
      <c r="AM745" s="601">
        <v>1</v>
      </c>
      <c r="AN745" s="603" t="s">
        <v>17650</v>
      </c>
      <c r="AO745" s="603" t="s">
        <v>17651</v>
      </c>
      <c r="AP745" s="603" t="s">
        <v>17652</v>
      </c>
      <c r="AQ745" s="603" t="s">
        <v>17653</v>
      </c>
      <c r="AR745" s="603" t="s">
        <v>1024</v>
      </c>
      <c r="AS745" s="558">
        <v>1</v>
      </c>
    </row>
    <row r="746" spans="1:45" x14ac:dyDescent="0.2">
      <c r="A746" s="558" t="s">
        <v>11524</v>
      </c>
      <c r="B746" s="558" t="s">
        <v>25875</v>
      </c>
      <c r="C746" s="558" t="s">
        <v>542</v>
      </c>
      <c r="D746" s="558" t="s">
        <v>23155</v>
      </c>
      <c r="E746" s="558" t="s">
        <v>192</v>
      </c>
      <c r="F746" s="563">
        <v>1</v>
      </c>
      <c r="G746" s="558" t="s">
        <v>193</v>
      </c>
      <c r="H746" s="558" t="s">
        <v>194</v>
      </c>
      <c r="I746" s="558" t="s">
        <v>24551</v>
      </c>
      <c r="J746" s="558" t="s">
        <v>9302</v>
      </c>
      <c r="K746" s="558" t="s">
        <v>9309</v>
      </c>
      <c r="L746" s="558" t="s">
        <v>6955</v>
      </c>
      <c r="M746" s="558"/>
      <c r="N746" s="558" t="s">
        <v>25876</v>
      </c>
      <c r="O746" s="558" t="s">
        <v>6286</v>
      </c>
      <c r="P746" s="558" t="s">
        <v>25402</v>
      </c>
      <c r="Q746" s="558" t="s">
        <v>23266</v>
      </c>
      <c r="R746" s="558" t="s">
        <v>25403</v>
      </c>
      <c r="S746" s="558" t="s">
        <v>25877</v>
      </c>
      <c r="T746" s="558" t="s">
        <v>25878</v>
      </c>
      <c r="U746" s="558"/>
      <c r="V746" s="603"/>
      <c r="W746" s="558" t="s">
        <v>543</v>
      </c>
      <c r="X746" s="558" t="s">
        <v>193</v>
      </c>
      <c r="Y746" s="558" t="s">
        <v>9310</v>
      </c>
      <c r="Z746" s="558"/>
      <c r="AA746" s="558"/>
      <c r="AB746" s="558" t="s">
        <v>9311</v>
      </c>
      <c r="AC746" s="558"/>
      <c r="AD746" s="558"/>
      <c r="AE746" s="558"/>
      <c r="AF746" s="558"/>
      <c r="AG746" s="558"/>
      <c r="AH746" s="558" t="s">
        <v>4714</v>
      </c>
      <c r="AI746" s="558" t="s">
        <v>25875</v>
      </c>
      <c r="AJ746" s="601" t="str">
        <f t="shared" si="22"/>
        <v>264304</v>
      </c>
      <c r="AK746" s="601">
        <v>1</v>
      </c>
      <c r="AL746" s="601">
        <f t="shared" si="23"/>
        <v>1</v>
      </c>
      <c r="AM746" s="601">
        <v>1</v>
      </c>
      <c r="AN746" s="603" t="s">
        <v>17650</v>
      </c>
      <c r="AO746" s="603" t="s">
        <v>17651</v>
      </c>
      <c r="AP746" s="603" t="s">
        <v>17652</v>
      </c>
      <c r="AQ746" s="603" t="s">
        <v>17653</v>
      </c>
      <c r="AR746" s="603" t="s">
        <v>1024</v>
      </c>
      <c r="AS746" s="558">
        <v>1</v>
      </c>
    </row>
    <row r="747" spans="1:45" x14ac:dyDescent="0.2">
      <c r="A747" s="558" t="s">
        <v>17076</v>
      </c>
      <c r="B747" s="558" t="s">
        <v>25879</v>
      </c>
      <c r="C747" s="558" t="s">
        <v>525</v>
      </c>
      <c r="D747" s="558" t="s">
        <v>23155</v>
      </c>
      <c r="E747" s="558" t="s">
        <v>192</v>
      </c>
      <c r="F747" s="563">
        <v>1</v>
      </c>
      <c r="G747" s="558" t="s">
        <v>193</v>
      </c>
      <c r="H747" s="558" t="s">
        <v>194</v>
      </c>
      <c r="I747" s="558" t="s">
        <v>24551</v>
      </c>
      <c r="J747" s="558" t="s">
        <v>9302</v>
      </c>
      <c r="K747" s="558" t="s">
        <v>9309</v>
      </c>
      <c r="L747" s="558" t="s">
        <v>6955</v>
      </c>
      <c r="M747" s="558"/>
      <c r="N747" s="558" t="s">
        <v>25880</v>
      </c>
      <c r="O747" s="558" t="s">
        <v>6245</v>
      </c>
      <c r="P747" s="558" t="s">
        <v>25402</v>
      </c>
      <c r="Q747" s="558" t="s">
        <v>23266</v>
      </c>
      <c r="R747" s="558" t="s">
        <v>25403</v>
      </c>
      <c r="S747" s="558" t="s">
        <v>25881</v>
      </c>
      <c r="T747" s="558" t="s">
        <v>25882</v>
      </c>
      <c r="U747" s="558"/>
      <c r="V747" s="603"/>
      <c r="W747" s="558" t="s">
        <v>526</v>
      </c>
      <c r="X747" s="558" t="s">
        <v>193</v>
      </c>
      <c r="Y747" s="558" t="s">
        <v>9310</v>
      </c>
      <c r="Z747" s="558"/>
      <c r="AA747" s="558"/>
      <c r="AB747" s="558" t="s">
        <v>9311</v>
      </c>
      <c r="AC747" s="558"/>
      <c r="AD747" s="558"/>
      <c r="AE747" s="558"/>
      <c r="AF747" s="558"/>
      <c r="AG747" s="558"/>
      <c r="AH747" s="558" t="s">
        <v>4714</v>
      </c>
      <c r="AI747" s="558" t="s">
        <v>25879</v>
      </c>
      <c r="AJ747" s="601" t="str">
        <f t="shared" si="22"/>
        <v>263102</v>
      </c>
      <c r="AK747" s="601">
        <v>1</v>
      </c>
      <c r="AL747" s="601">
        <f t="shared" si="23"/>
        <v>1</v>
      </c>
      <c r="AM747" s="601">
        <v>1</v>
      </c>
      <c r="AN747" s="603" t="s">
        <v>17650</v>
      </c>
      <c r="AO747" s="603" t="s">
        <v>17651</v>
      </c>
      <c r="AP747" s="603" t="s">
        <v>17652</v>
      </c>
      <c r="AQ747" s="603" t="s">
        <v>17653</v>
      </c>
      <c r="AR747" s="603" t="s">
        <v>1024</v>
      </c>
      <c r="AS747" s="558">
        <v>1</v>
      </c>
    </row>
    <row r="748" spans="1:45" x14ac:dyDescent="0.2">
      <c r="A748" s="558" t="s">
        <v>23422</v>
      </c>
      <c r="B748" s="558" t="s">
        <v>25783</v>
      </c>
      <c r="C748" s="558" t="s">
        <v>1408</v>
      </c>
      <c r="D748" s="558" t="s">
        <v>23155</v>
      </c>
      <c r="E748" s="558" t="s">
        <v>192</v>
      </c>
      <c r="F748" s="563">
        <v>1</v>
      </c>
      <c r="G748" s="558" t="s">
        <v>193</v>
      </c>
      <c r="H748" s="558" t="s">
        <v>194</v>
      </c>
      <c r="I748" s="558" t="s">
        <v>23307</v>
      </c>
      <c r="J748" s="558" t="s">
        <v>9302</v>
      </c>
      <c r="K748" s="558" t="s">
        <v>9309</v>
      </c>
      <c r="L748" s="558" t="s">
        <v>6955</v>
      </c>
      <c r="M748" s="558"/>
      <c r="N748" s="558" t="s">
        <v>25883</v>
      </c>
      <c r="O748" s="558" t="s">
        <v>6921</v>
      </c>
      <c r="P748" s="558" t="s">
        <v>25402</v>
      </c>
      <c r="Q748" s="558" t="s">
        <v>23266</v>
      </c>
      <c r="R748" s="558" t="s">
        <v>25478</v>
      </c>
      <c r="S748" s="558" t="s">
        <v>25884</v>
      </c>
      <c r="T748" s="558" t="s">
        <v>25885</v>
      </c>
      <c r="U748" s="558"/>
      <c r="V748" s="603"/>
      <c r="W748" s="558" t="s">
        <v>1409</v>
      </c>
      <c r="X748" s="558" t="s">
        <v>193</v>
      </c>
      <c r="Y748" s="558" t="s">
        <v>9310</v>
      </c>
      <c r="Z748" s="558"/>
      <c r="AA748" s="558"/>
      <c r="AB748" s="558" t="s">
        <v>9311</v>
      </c>
      <c r="AC748" s="558"/>
      <c r="AD748" s="558"/>
      <c r="AE748" s="558"/>
      <c r="AF748" s="558"/>
      <c r="AG748" s="558"/>
      <c r="AH748" s="558" t="s">
        <v>4714</v>
      </c>
      <c r="AI748" s="558" t="s">
        <v>25783</v>
      </c>
      <c r="AJ748" s="601" t="str">
        <f t="shared" si="22"/>
        <v>251402</v>
      </c>
      <c r="AK748" s="601">
        <v>1</v>
      </c>
      <c r="AL748" s="601">
        <f t="shared" si="23"/>
        <v>1</v>
      </c>
      <c r="AM748" s="601">
        <v>1</v>
      </c>
      <c r="AN748" s="603" t="s">
        <v>17650</v>
      </c>
      <c r="AO748" s="603" t="s">
        <v>17651</v>
      </c>
      <c r="AP748" s="603" t="s">
        <v>17652</v>
      </c>
      <c r="AQ748" s="603" t="s">
        <v>17653</v>
      </c>
      <c r="AR748" s="603" t="s">
        <v>1024</v>
      </c>
      <c r="AS748" s="558">
        <v>1</v>
      </c>
    </row>
    <row r="749" spans="1:45" x14ac:dyDescent="0.2">
      <c r="A749" s="558" t="s">
        <v>690</v>
      </c>
      <c r="B749" s="558" t="s">
        <v>25886</v>
      </c>
      <c r="C749" s="558" t="s">
        <v>16281</v>
      </c>
      <c r="D749" s="558" t="s">
        <v>23155</v>
      </c>
      <c r="E749" s="558" t="s">
        <v>192</v>
      </c>
      <c r="F749" s="563">
        <v>1</v>
      </c>
      <c r="G749" s="558" t="s">
        <v>193</v>
      </c>
      <c r="H749" s="558" t="s">
        <v>194</v>
      </c>
      <c r="I749" s="558" t="s">
        <v>23499</v>
      </c>
      <c r="J749" s="558" t="s">
        <v>9302</v>
      </c>
      <c r="K749" s="558" t="s">
        <v>9309</v>
      </c>
      <c r="L749" s="558" t="s">
        <v>6955</v>
      </c>
      <c r="M749" s="558"/>
      <c r="N749" s="558" t="s">
        <v>25887</v>
      </c>
      <c r="O749" s="558" t="s">
        <v>6921</v>
      </c>
      <c r="P749" s="558" t="s">
        <v>25402</v>
      </c>
      <c r="Q749" s="558" t="s">
        <v>23266</v>
      </c>
      <c r="R749" s="558" t="s">
        <v>25403</v>
      </c>
      <c r="S749" s="558" t="s">
        <v>25888</v>
      </c>
      <c r="T749" s="558" t="s">
        <v>25889</v>
      </c>
      <c r="U749" s="558"/>
      <c r="V749" s="603"/>
      <c r="W749" s="558" t="s">
        <v>9002</v>
      </c>
      <c r="X749" s="558" t="s">
        <v>193</v>
      </c>
      <c r="Y749" s="558" t="s">
        <v>9310</v>
      </c>
      <c r="Z749" s="558"/>
      <c r="AA749" s="558"/>
      <c r="AB749" s="558" t="s">
        <v>9311</v>
      </c>
      <c r="AC749" s="558"/>
      <c r="AD749" s="558"/>
      <c r="AE749" s="558"/>
      <c r="AF749" s="558"/>
      <c r="AG749" s="558"/>
      <c r="AH749" s="558" t="s">
        <v>4714</v>
      </c>
      <c r="AI749" s="558" t="s">
        <v>25886</v>
      </c>
      <c r="AJ749" s="601" t="str">
        <f t="shared" si="22"/>
        <v>252902</v>
      </c>
      <c r="AK749" s="601">
        <v>1</v>
      </c>
      <c r="AL749" s="601">
        <f t="shared" si="23"/>
        <v>1</v>
      </c>
      <c r="AM749" s="601">
        <v>1</v>
      </c>
      <c r="AN749" s="603" t="s">
        <v>17650</v>
      </c>
      <c r="AO749" s="603" t="s">
        <v>17651</v>
      </c>
      <c r="AP749" s="603" t="s">
        <v>17652</v>
      </c>
      <c r="AQ749" s="603" t="s">
        <v>17653</v>
      </c>
      <c r="AR749" s="603" t="s">
        <v>1024</v>
      </c>
      <c r="AS749" s="558">
        <v>1</v>
      </c>
    </row>
    <row r="750" spans="1:45" x14ac:dyDescent="0.2">
      <c r="A750" s="558" t="s">
        <v>690</v>
      </c>
      <c r="B750" s="558" t="s">
        <v>15165</v>
      </c>
      <c r="C750" s="558" t="s">
        <v>16281</v>
      </c>
      <c r="D750" s="558" t="s">
        <v>23155</v>
      </c>
      <c r="E750" s="558" t="s">
        <v>192</v>
      </c>
      <c r="F750" s="563">
        <v>1</v>
      </c>
      <c r="G750" s="558" t="s">
        <v>193</v>
      </c>
      <c r="H750" s="558" t="s">
        <v>194</v>
      </c>
      <c r="I750" s="558" t="s">
        <v>23499</v>
      </c>
      <c r="J750" s="558" t="s">
        <v>9302</v>
      </c>
      <c r="K750" s="558" t="s">
        <v>9309</v>
      </c>
      <c r="L750" s="558" t="s">
        <v>6955</v>
      </c>
      <c r="M750" s="558"/>
      <c r="N750" s="558" t="s">
        <v>25890</v>
      </c>
      <c r="O750" s="558" t="s">
        <v>6921</v>
      </c>
      <c r="P750" s="558" t="s">
        <v>25402</v>
      </c>
      <c r="Q750" s="558" t="s">
        <v>23266</v>
      </c>
      <c r="R750" s="558" t="s">
        <v>25403</v>
      </c>
      <c r="S750" s="558" t="s">
        <v>25891</v>
      </c>
      <c r="T750" s="558" t="s">
        <v>25892</v>
      </c>
      <c r="U750" s="558"/>
      <c r="V750" s="603"/>
      <c r="W750" s="558" t="s">
        <v>9002</v>
      </c>
      <c r="X750" s="558" t="s">
        <v>193</v>
      </c>
      <c r="Y750" s="558" t="s">
        <v>9310</v>
      </c>
      <c r="Z750" s="558"/>
      <c r="AA750" s="558"/>
      <c r="AB750" s="558" t="s">
        <v>9311</v>
      </c>
      <c r="AC750" s="558"/>
      <c r="AD750" s="558"/>
      <c r="AE750" s="558"/>
      <c r="AF750" s="558"/>
      <c r="AG750" s="558"/>
      <c r="AH750" s="558" t="s">
        <v>4714</v>
      </c>
      <c r="AI750" s="558" t="s">
        <v>15165</v>
      </c>
      <c r="AJ750" s="601" t="str">
        <f t="shared" si="22"/>
        <v>252902</v>
      </c>
      <c r="AK750" s="601">
        <v>1</v>
      </c>
      <c r="AL750" s="601">
        <f t="shared" si="23"/>
        <v>1</v>
      </c>
      <c r="AM750" s="601">
        <v>1</v>
      </c>
      <c r="AN750" s="603" t="s">
        <v>17650</v>
      </c>
      <c r="AO750" s="603" t="s">
        <v>17651</v>
      </c>
      <c r="AP750" s="603" t="s">
        <v>17652</v>
      </c>
      <c r="AQ750" s="603" t="s">
        <v>17653</v>
      </c>
      <c r="AR750" s="603" t="s">
        <v>1024</v>
      </c>
      <c r="AS750" s="558">
        <v>1</v>
      </c>
    </row>
    <row r="751" spans="1:45" x14ac:dyDescent="0.2">
      <c r="A751" s="558" t="s">
        <v>4959</v>
      </c>
      <c r="B751" s="558" t="s">
        <v>1520</v>
      </c>
      <c r="C751" s="558" t="s">
        <v>521</v>
      </c>
      <c r="D751" s="558" t="s">
        <v>23307</v>
      </c>
      <c r="E751" s="558" t="s">
        <v>233</v>
      </c>
      <c r="F751" s="563">
        <v>1</v>
      </c>
      <c r="G751" s="558" t="s">
        <v>193</v>
      </c>
      <c r="H751" s="558" t="s">
        <v>194</v>
      </c>
      <c r="I751" s="558" t="s">
        <v>25893</v>
      </c>
      <c r="J751" s="558" t="s">
        <v>210</v>
      </c>
      <c r="K751" s="558" t="s">
        <v>9309</v>
      </c>
      <c r="L751" s="558" t="s">
        <v>6955</v>
      </c>
      <c r="M751" s="558"/>
      <c r="N751" s="558" t="s">
        <v>25894</v>
      </c>
      <c r="O751" s="558" t="s">
        <v>6306</v>
      </c>
      <c r="P751" s="558" t="s">
        <v>25895</v>
      </c>
      <c r="Q751" s="558" t="s">
        <v>23193</v>
      </c>
      <c r="R751" s="558" t="s">
        <v>23499</v>
      </c>
      <c r="S751" s="558" t="s">
        <v>25896</v>
      </c>
      <c r="T751" s="558" t="s">
        <v>25897</v>
      </c>
      <c r="U751" s="558"/>
      <c r="V751" s="558" t="s">
        <v>9334</v>
      </c>
      <c r="W751" s="558" t="s">
        <v>522</v>
      </c>
      <c r="X751" s="558" t="s">
        <v>194</v>
      </c>
      <c r="Y751" s="558" t="s">
        <v>9300</v>
      </c>
      <c r="Z751" s="558"/>
      <c r="AA751" s="558"/>
      <c r="AB751" s="558" t="s">
        <v>9311</v>
      </c>
      <c r="AC751" s="558"/>
      <c r="AD751" s="558"/>
      <c r="AE751" s="558"/>
      <c r="AF751" s="558"/>
      <c r="AG751" s="558"/>
      <c r="AH751" s="558" t="s">
        <v>4714</v>
      </c>
      <c r="AI751" s="558" t="s">
        <v>1520</v>
      </c>
      <c r="AJ751" s="601" t="str">
        <f t="shared" si="22"/>
        <v>261901</v>
      </c>
      <c r="AK751" s="601">
        <v>1</v>
      </c>
      <c r="AL751" s="601">
        <f t="shared" si="23"/>
        <v>1</v>
      </c>
      <c r="AM751" s="601">
        <v>1</v>
      </c>
      <c r="AN751" s="603" t="s">
        <v>17650</v>
      </c>
      <c r="AO751" s="603" t="s">
        <v>17651</v>
      </c>
      <c r="AP751" s="603" t="s">
        <v>17652</v>
      </c>
      <c r="AQ751" s="603" t="s">
        <v>17653</v>
      </c>
      <c r="AR751" s="603" t="s">
        <v>1024</v>
      </c>
      <c r="AS751" s="558">
        <v>1</v>
      </c>
    </row>
    <row r="752" spans="1:45" x14ac:dyDescent="0.2">
      <c r="A752" s="558" t="s">
        <v>15842</v>
      </c>
      <c r="B752" s="558" t="s">
        <v>25898</v>
      </c>
      <c r="C752" s="558" t="s">
        <v>3991</v>
      </c>
      <c r="D752" s="558" t="s">
        <v>23307</v>
      </c>
      <c r="E752" s="558" t="s">
        <v>233</v>
      </c>
      <c r="F752" s="563">
        <v>1</v>
      </c>
      <c r="G752" s="558" t="s">
        <v>193</v>
      </c>
      <c r="H752" s="558" t="s">
        <v>194</v>
      </c>
      <c r="I752" s="558" t="s">
        <v>25893</v>
      </c>
      <c r="J752" s="558" t="s">
        <v>25899</v>
      </c>
      <c r="K752" s="558" t="s">
        <v>9309</v>
      </c>
      <c r="L752" s="558" t="s">
        <v>6955</v>
      </c>
      <c r="M752" s="558"/>
      <c r="N752" s="558" t="s">
        <v>25900</v>
      </c>
      <c r="O752" s="558" t="s">
        <v>6288</v>
      </c>
      <c r="P752" s="558" t="s">
        <v>25895</v>
      </c>
      <c r="Q752" s="558" t="s">
        <v>23151</v>
      </c>
      <c r="R752" s="558" t="s">
        <v>23186</v>
      </c>
      <c r="S752" s="558" t="s">
        <v>25901</v>
      </c>
      <c r="T752" s="558" t="s">
        <v>25902</v>
      </c>
      <c r="U752" s="558"/>
      <c r="V752" s="558" t="s">
        <v>9468</v>
      </c>
      <c r="W752" s="558" t="s">
        <v>3993</v>
      </c>
      <c r="X752" s="558" t="s">
        <v>194</v>
      </c>
      <c r="Y752" s="558" t="s">
        <v>9300</v>
      </c>
      <c r="Z752" s="558"/>
      <c r="AA752" s="558"/>
      <c r="AB752" s="558" t="s">
        <v>9311</v>
      </c>
      <c r="AC752" s="558"/>
      <c r="AD752" s="558"/>
      <c r="AE752" s="558"/>
      <c r="AF752" s="558"/>
      <c r="AG752" s="558"/>
      <c r="AH752" s="558" t="s">
        <v>4714</v>
      </c>
      <c r="AI752" s="558" t="s">
        <v>25898</v>
      </c>
      <c r="AJ752" s="601" t="str">
        <f t="shared" si="22"/>
        <v>222101</v>
      </c>
      <c r="AK752" s="601">
        <v>1</v>
      </c>
      <c r="AL752" s="601">
        <f t="shared" si="23"/>
        <v>1</v>
      </c>
      <c r="AM752" s="601">
        <v>1</v>
      </c>
      <c r="AN752" s="603" t="s">
        <v>17650</v>
      </c>
      <c r="AO752" s="603" t="s">
        <v>17651</v>
      </c>
      <c r="AP752" s="603" t="s">
        <v>17652</v>
      </c>
      <c r="AQ752" s="603" t="s">
        <v>17653</v>
      </c>
      <c r="AR752" s="603" t="s">
        <v>1024</v>
      </c>
      <c r="AS752" s="558">
        <v>1</v>
      </c>
    </row>
    <row r="753" spans="1:45" x14ac:dyDescent="0.2">
      <c r="A753" s="558" t="s">
        <v>5287</v>
      </c>
      <c r="B753" s="558" t="s">
        <v>304</v>
      </c>
      <c r="C753" s="558" t="s">
        <v>144</v>
      </c>
      <c r="D753" s="558" t="s">
        <v>23307</v>
      </c>
      <c r="E753" s="558" t="s">
        <v>233</v>
      </c>
      <c r="F753" s="563">
        <v>1</v>
      </c>
      <c r="G753" s="558" t="s">
        <v>193</v>
      </c>
      <c r="H753" s="558" t="s">
        <v>194</v>
      </c>
      <c r="I753" s="558" t="s">
        <v>25893</v>
      </c>
      <c r="J753" s="558" t="s">
        <v>367</v>
      </c>
      <c r="K753" s="558" t="s">
        <v>9309</v>
      </c>
      <c r="L753" s="558" t="s">
        <v>6955</v>
      </c>
      <c r="M753" s="558"/>
      <c r="N753" s="558" t="s">
        <v>25903</v>
      </c>
      <c r="O753" s="558" t="s">
        <v>6245</v>
      </c>
      <c r="P753" s="558" t="s">
        <v>25895</v>
      </c>
      <c r="Q753" s="558" t="s">
        <v>23193</v>
      </c>
      <c r="R753" s="558" t="s">
        <v>23835</v>
      </c>
      <c r="S753" s="558" t="s">
        <v>25904</v>
      </c>
      <c r="T753" s="558" t="s">
        <v>25905</v>
      </c>
      <c r="U753" s="558"/>
      <c r="V753" s="558" t="s">
        <v>9974</v>
      </c>
      <c r="W753" s="558" t="s">
        <v>1980</v>
      </c>
      <c r="X753" s="558" t="s">
        <v>194</v>
      </c>
      <c r="Y753" s="558" t="s">
        <v>9300</v>
      </c>
      <c r="Z753" s="558"/>
      <c r="AA753" s="558"/>
      <c r="AB753" s="558" t="s">
        <v>9311</v>
      </c>
      <c r="AC753" s="558"/>
      <c r="AD753" s="558"/>
      <c r="AE753" s="558"/>
      <c r="AF753" s="558"/>
      <c r="AG753" s="558"/>
      <c r="AH753" s="558" t="s">
        <v>4714</v>
      </c>
      <c r="AI753" s="558" t="s">
        <v>304</v>
      </c>
      <c r="AJ753" s="601" t="str">
        <f t="shared" si="22"/>
        <v>214914</v>
      </c>
      <c r="AK753" s="601">
        <v>1</v>
      </c>
      <c r="AL753" s="601">
        <f t="shared" si="23"/>
        <v>1</v>
      </c>
      <c r="AM753" s="601">
        <v>1</v>
      </c>
      <c r="AN753" s="603" t="s">
        <v>17650</v>
      </c>
      <c r="AO753" s="603" t="s">
        <v>17651</v>
      </c>
      <c r="AP753" s="603" t="s">
        <v>17652</v>
      </c>
      <c r="AQ753" s="603" t="s">
        <v>17653</v>
      </c>
      <c r="AR753" s="603" t="s">
        <v>1024</v>
      </c>
      <c r="AS753" s="558">
        <v>1</v>
      </c>
    </row>
    <row r="754" spans="1:45" x14ac:dyDescent="0.2">
      <c r="A754" s="558" t="s">
        <v>5287</v>
      </c>
      <c r="B754" s="558" t="s">
        <v>25906</v>
      </c>
      <c r="C754" s="558" t="s">
        <v>444</v>
      </c>
      <c r="D754" s="558" t="s">
        <v>23307</v>
      </c>
      <c r="E754" s="558" t="s">
        <v>233</v>
      </c>
      <c r="F754" s="563">
        <v>1</v>
      </c>
      <c r="G754" s="558" t="s">
        <v>193</v>
      </c>
      <c r="H754" s="558" t="s">
        <v>194</v>
      </c>
      <c r="I754" s="558" t="s">
        <v>25893</v>
      </c>
      <c r="J754" s="558" t="s">
        <v>367</v>
      </c>
      <c r="K754" s="558" t="s">
        <v>9309</v>
      </c>
      <c r="L754" s="558" t="s">
        <v>6955</v>
      </c>
      <c r="M754" s="558"/>
      <c r="N754" s="558" t="s">
        <v>25907</v>
      </c>
      <c r="O754" s="558" t="s">
        <v>6290</v>
      </c>
      <c r="P754" s="558" t="s">
        <v>25895</v>
      </c>
      <c r="Q754" s="558" t="s">
        <v>23266</v>
      </c>
      <c r="R754" s="558" t="s">
        <v>23307</v>
      </c>
      <c r="S754" s="558" t="s">
        <v>25908</v>
      </c>
      <c r="T754" s="558" t="s">
        <v>25909</v>
      </c>
      <c r="U754" s="558"/>
      <c r="V754" s="558" t="s">
        <v>9974</v>
      </c>
      <c r="W754" s="558" t="s">
        <v>445</v>
      </c>
      <c r="X754" s="558" t="s">
        <v>194</v>
      </c>
      <c r="Y754" s="558" t="s">
        <v>9300</v>
      </c>
      <c r="Z754" s="558"/>
      <c r="AA754" s="558"/>
      <c r="AB754" s="558" t="s">
        <v>9311</v>
      </c>
      <c r="AC754" s="558"/>
      <c r="AD754" s="558"/>
      <c r="AE754" s="558"/>
      <c r="AF754" s="558"/>
      <c r="AG754" s="558"/>
      <c r="AH754" s="558" t="s">
        <v>4714</v>
      </c>
      <c r="AI754" s="558" t="s">
        <v>25906</v>
      </c>
      <c r="AJ754" s="601" t="str">
        <f t="shared" si="22"/>
        <v>243103</v>
      </c>
      <c r="AK754" s="601">
        <v>1</v>
      </c>
      <c r="AL754" s="601">
        <f t="shared" si="23"/>
        <v>1</v>
      </c>
      <c r="AM754" s="601">
        <v>1</v>
      </c>
      <c r="AN754" s="603" t="s">
        <v>17650</v>
      </c>
      <c r="AO754" s="603" t="s">
        <v>17651</v>
      </c>
      <c r="AP754" s="603" t="s">
        <v>17652</v>
      </c>
      <c r="AQ754" s="603" t="s">
        <v>17653</v>
      </c>
      <c r="AR754" s="603" t="s">
        <v>1024</v>
      </c>
      <c r="AS754" s="558">
        <v>1</v>
      </c>
    </row>
    <row r="755" spans="1:45" x14ac:dyDescent="0.2">
      <c r="A755" s="558" t="s">
        <v>25910</v>
      </c>
      <c r="B755" s="558" t="s">
        <v>25911</v>
      </c>
      <c r="C755" s="558" t="s">
        <v>1384</v>
      </c>
      <c r="D755" s="558" t="s">
        <v>23307</v>
      </c>
      <c r="E755" s="558" t="s">
        <v>233</v>
      </c>
      <c r="F755" s="563">
        <v>1</v>
      </c>
      <c r="G755" s="558" t="s">
        <v>193</v>
      </c>
      <c r="H755" s="558" t="s">
        <v>194</v>
      </c>
      <c r="I755" s="558" t="s">
        <v>25893</v>
      </c>
      <c r="J755" s="558" t="s">
        <v>9302</v>
      </c>
      <c r="K755" s="558" t="s">
        <v>9309</v>
      </c>
      <c r="L755" s="558" t="s">
        <v>6955</v>
      </c>
      <c r="M755" s="558"/>
      <c r="N755" s="558" t="s">
        <v>25912</v>
      </c>
      <c r="O755" s="558" t="s">
        <v>6286</v>
      </c>
      <c r="P755" s="558" t="s">
        <v>25895</v>
      </c>
      <c r="Q755" s="558" t="s">
        <v>24618</v>
      </c>
      <c r="R755" s="558" t="s">
        <v>23307</v>
      </c>
      <c r="S755" s="558" t="s">
        <v>25913</v>
      </c>
      <c r="T755" s="558" t="s">
        <v>25914</v>
      </c>
      <c r="U755" s="558"/>
      <c r="V755" s="603"/>
      <c r="W755" s="558" t="s">
        <v>1385</v>
      </c>
      <c r="X755" s="558" t="s">
        <v>193</v>
      </c>
      <c r="Y755" s="558" t="s">
        <v>9310</v>
      </c>
      <c r="Z755" s="558"/>
      <c r="AA755" s="558"/>
      <c r="AB755" s="558" t="s">
        <v>9311</v>
      </c>
      <c r="AC755" s="558"/>
      <c r="AD755" s="558"/>
      <c r="AE755" s="558"/>
      <c r="AF755" s="558"/>
      <c r="AG755" s="558"/>
      <c r="AH755" s="558" t="s">
        <v>4714</v>
      </c>
      <c r="AI755" s="558" t="s">
        <v>25911</v>
      </c>
      <c r="AJ755" s="601" t="str">
        <f t="shared" si="22"/>
        <v>235915</v>
      </c>
      <c r="AK755" s="601">
        <v>1</v>
      </c>
      <c r="AL755" s="601">
        <f t="shared" si="23"/>
        <v>1</v>
      </c>
      <c r="AM755" s="601">
        <v>1</v>
      </c>
      <c r="AN755" s="603" t="s">
        <v>17650</v>
      </c>
      <c r="AO755" s="603" t="s">
        <v>17651</v>
      </c>
      <c r="AP755" s="603" t="s">
        <v>17652</v>
      </c>
      <c r="AQ755" s="603" t="s">
        <v>17653</v>
      </c>
      <c r="AR755" s="603" t="s">
        <v>1024</v>
      </c>
      <c r="AS755" s="558">
        <v>1</v>
      </c>
    </row>
    <row r="756" spans="1:45" x14ac:dyDescent="0.2">
      <c r="A756" s="558" t="s">
        <v>581</v>
      </c>
      <c r="B756" s="558" t="s">
        <v>23245</v>
      </c>
      <c r="C756" s="558" t="s">
        <v>25915</v>
      </c>
      <c r="D756" s="558" t="s">
        <v>23307</v>
      </c>
      <c r="E756" s="558" t="s">
        <v>217</v>
      </c>
      <c r="F756" s="563">
        <v>1</v>
      </c>
      <c r="G756" s="558" t="s">
        <v>193</v>
      </c>
      <c r="H756" s="558" t="s">
        <v>194</v>
      </c>
      <c r="I756" s="558" t="s">
        <v>25893</v>
      </c>
      <c r="J756" s="558" t="s">
        <v>253</v>
      </c>
      <c r="K756" s="558" t="s">
        <v>9309</v>
      </c>
      <c r="L756" s="558" t="s">
        <v>6955</v>
      </c>
      <c r="M756" s="558"/>
      <c r="N756" s="558" t="s">
        <v>25916</v>
      </c>
      <c r="O756" s="558" t="s">
        <v>6258</v>
      </c>
      <c r="P756" s="558" t="s">
        <v>25917</v>
      </c>
      <c r="Q756" s="558" t="s">
        <v>23151</v>
      </c>
      <c r="R756" s="558" t="s">
        <v>25333</v>
      </c>
      <c r="S756" s="558" t="s">
        <v>25918</v>
      </c>
      <c r="T756" s="558" t="s">
        <v>25919</v>
      </c>
      <c r="U756" s="558"/>
      <c r="V756" s="558" t="s">
        <v>9468</v>
      </c>
      <c r="W756" s="558" t="s">
        <v>25920</v>
      </c>
      <c r="X756" s="558" t="s">
        <v>194</v>
      </c>
      <c r="Y756" s="558" t="s">
        <v>9300</v>
      </c>
      <c r="Z756" s="558"/>
      <c r="AA756" s="558"/>
      <c r="AB756" s="558" t="s">
        <v>9311</v>
      </c>
      <c r="AC756" s="558"/>
      <c r="AD756" s="558"/>
      <c r="AE756" s="558"/>
      <c r="AF756" s="558"/>
      <c r="AG756" s="558"/>
      <c r="AH756" s="558" t="s">
        <v>4714</v>
      </c>
      <c r="AI756" s="558" t="s">
        <v>9433</v>
      </c>
      <c r="AJ756" s="601" t="str">
        <f t="shared" si="22"/>
        <v>741202</v>
      </c>
      <c r="AK756" s="601">
        <v>1</v>
      </c>
      <c r="AL756" s="601">
        <f t="shared" si="23"/>
        <v>1</v>
      </c>
      <c r="AM756" s="601">
        <v>1</v>
      </c>
      <c r="AN756" s="603" t="s">
        <v>17650</v>
      </c>
      <c r="AO756" s="603" t="s">
        <v>17651</v>
      </c>
      <c r="AP756" s="603" t="s">
        <v>17652</v>
      </c>
      <c r="AQ756" s="603" t="s">
        <v>17653</v>
      </c>
      <c r="AR756" s="603" t="s">
        <v>1024</v>
      </c>
      <c r="AS756" s="558">
        <v>1</v>
      </c>
    </row>
    <row r="757" spans="1:45" x14ac:dyDescent="0.2">
      <c r="A757" s="558" t="s">
        <v>23846</v>
      </c>
      <c r="B757" s="558" t="s">
        <v>23847</v>
      </c>
      <c r="C757" s="558" t="s">
        <v>4966</v>
      </c>
      <c r="D757" s="558" t="s">
        <v>23307</v>
      </c>
      <c r="E757" s="558" t="s">
        <v>217</v>
      </c>
      <c r="F757" s="563">
        <v>1</v>
      </c>
      <c r="G757" s="558" t="s">
        <v>193</v>
      </c>
      <c r="H757" s="558" t="s">
        <v>194</v>
      </c>
      <c r="I757" s="558" t="s">
        <v>25893</v>
      </c>
      <c r="J757" s="558" t="s">
        <v>210</v>
      </c>
      <c r="K757" s="558" t="s">
        <v>9309</v>
      </c>
      <c r="L757" s="558" t="s">
        <v>6955</v>
      </c>
      <c r="M757" s="558"/>
      <c r="N757" s="558" t="s">
        <v>23849</v>
      </c>
      <c r="O757" s="558" t="s">
        <v>6254</v>
      </c>
      <c r="P757" s="558" t="s">
        <v>25917</v>
      </c>
      <c r="Q757" s="558" t="s">
        <v>23703</v>
      </c>
      <c r="R757" s="558" t="s">
        <v>23850</v>
      </c>
      <c r="S757" s="558" t="s">
        <v>25921</v>
      </c>
      <c r="T757" s="558" t="s">
        <v>25922</v>
      </c>
      <c r="U757" s="558"/>
      <c r="V757" s="558" t="s">
        <v>9334</v>
      </c>
      <c r="W757" s="558" t="s">
        <v>405</v>
      </c>
      <c r="X757" s="558" t="s">
        <v>194</v>
      </c>
      <c r="Y757" s="558" t="s">
        <v>9300</v>
      </c>
      <c r="Z757" s="558"/>
      <c r="AA757" s="558"/>
      <c r="AB757" s="558" t="s">
        <v>9311</v>
      </c>
      <c r="AC757" s="558"/>
      <c r="AD757" s="558"/>
      <c r="AE757" s="558"/>
      <c r="AF757" s="558"/>
      <c r="AG757" s="558"/>
      <c r="AH757" s="558" t="s">
        <v>4714</v>
      </c>
      <c r="AI757" s="558" t="s">
        <v>9433</v>
      </c>
      <c r="AJ757" s="601" t="str">
        <f t="shared" si="22"/>
        <v>241304</v>
      </c>
      <c r="AK757" s="601">
        <v>1</v>
      </c>
      <c r="AL757" s="601">
        <f t="shared" si="23"/>
        <v>1</v>
      </c>
      <c r="AM757" s="601">
        <v>1</v>
      </c>
      <c r="AN757" s="603" t="s">
        <v>17650</v>
      </c>
      <c r="AO757" s="603" t="s">
        <v>17651</v>
      </c>
      <c r="AP757" s="603" t="s">
        <v>17652</v>
      </c>
      <c r="AQ757" s="603" t="s">
        <v>17653</v>
      </c>
      <c r="AR757" s="603" t="s">
        <v>1024</v>
      </c>
      <c r="AS757" s="558">
        <v>1</v>
      </c>
    </row>
    <row r="758" spans="1:45" x14ac:dyDescent="0.2">
      <c r="A758" s="558" t="s">
        <v>4022</v>
      </c>
      <c r="B758" s="558" t="s">
        <v>8022</v>
      </c>
      <c r="C758" s="558" t="s">
        <v>7617</v>
      </c>
      <c r="D758" s="558" t="s">
        <v>23307</v>
      </c>
      <c r="E758" s="558" t="s">
        <v>217</v>
      </c>
      <c r="F758" s="563">
        <v>1</v>
      </c>
      <c r="G758" s="558" t="s">
        <v>193</v>
      </c>
      <c r="H758" s="558" t="s">
        <v>194</v>
      </c>
      <c r="I758" s="558" t="s">
        <v>25893</v>
      </c>
      <c r="J758" s="558" t="s">
        <v>210</v>
      </c>
      <c r="K758" s="558" t="s">
        <v>9309</v>
      </c>
      <c r="L758" s="558" t="s">
        <v>6955</v>
      </c>
      <c r="M758" s="558"/>
      <c r="N758" s="558" t="s">
        <v>20793</v>
      </c>
      <c r="O758" s="558" t="s">
        <v>6290</v>
      </c>
      <c r="P758" s="558" t="s">
        <v>25917</v>
      </c>
      <c r="Q758" s="558" t="s">
        <v>23160</v>
      </c>
      <c r="R758" s="558" t="s">
        <v>23198</v>
      </c>
      <c r="S758" s="558" t="s">
        <v>25923</v>
      </c>
      <c r="T758" s="558" t="s">
        <v>25924</v>
      </c>
      <c r="U758" s="558"/>
      <c r="V758" s="558" t="s">
        <v>9334</v>
      </c>
      <c r="W758" s="558" t="s">
        <v>7620</v>
      </c>
      <c r="X758" s="558" t="s">
        <v>194</v>
      </c>
      <c r="Y758" s="558" t="s">
        <v>9300</v>
      </c>
      <c r="Z758" s="558"/>
      <c r="AA758" s="558"/>
      <c r="AB758" s="558" t="s">
        <v>9311</v>
      </c>
      <c r="AC758" s="558"/>
      <c r="AD758" s="558"/>
      <c r="AE758" s="558"/>
      <c r="AF758" s="558"/>
      <c r="AG758" s="558"/>
      <c r="AH758" s="558" t="s">
        <v>4714</v>
      </c>
      <c r="AI758" s="558" t="s">
        <v>9433</v>
      </c>
      <c r="AJ758" s="601" t="str">
        <f t="shared" si="22"/>
        <v>516903</v>
      </c>
      <c r="AK758" s="601">
        <v>1</v>
      </c>
      <c r="AL758" s="601">
        <f t="shared" si="23"/>
        <v>1</v>
      </c>
      <c r="AM758" s="601">
        <v>1</v>
      </c>
      <c r="AN758" s="603" t="s">
        <v>17650</v>
      </c>
      <c r="AO758" s="603" t="s">
        <v>17651</v>
      </c>
      <c r="AP758" s="603" t="s">
        <v>17652</v>
      </c>
      <c r="AQ758" s="603" t="s">
        <v>17653</v>
      </c>
      <c r="AR758" s="603" t="s">
        <v>1024</v>
      </c>
      <c r="AS758" s="558">
        <v>1</v>
      </c>
    </row>
    <row r="759" spans="1:45" x14ac:dyDescent="0.2">
      <c r="A759" s="558" t="s">
        <v>11415</v>
      </c>
      <c r="B759" s="558" t="s">
        <v>8016</v>
      </c>
      <c r="C759" s="558" t="s">
        <v>99</v>
      </c>
      <c r="D759" s="558" t="s">
        <v>23307</v>
      </c>
      <c r="E759" s="558" t="s">
        <v>217</v>
      </c>
      <c r="F759" s="563">
        <v>1</v>
      </c>
      <c r="G759" s="558" t="s">
        <v>193</v>
      </c>
      <c r="H759" s="558" t="s">
        <v>194</v>
      </c>
      <c r="I759" s="558" t="s">
        <v>25893</v>
      </c>
      <c r="J759" s="558" t="s">
        <v>210</v>
      </c>
      <c r="K759" s="558" t="s">
        <v>9309</v>
      </c>
      <c r="L759" s="558" t="s">
        <v>6955</v>
      </c>
      <c r="M759" s="558"/>
      <c r="N759" s="558" t="s">
        <v>22312</v>
      </c>
      <c r="O759" s="558" t="s">
        <v>6286</v>
      </c>
      <c r="P759" s="558" t="s">
        <v>25917</v>
      </c>
      <c r="Q759" s="558" t="s">
        <v>23160</v>
      </c>
      <c r="R759" s="558" t="s">
        <v>23198</v>
      </c>
      <c r="S759" s="558" t="s">
        <v>25925</v>
      </c>
      <c r="T759" s="558" t="s">
        <v>25926</v>
      </c>
      <c r="U759" s="558"/>
      <c r="V759" s="558" t="s">
        <v>9334</v>
      </c>
      <c r="W759" s="558" t="s">
        <v>2421</v>
      </c>
      <c r="X759" s="558" t="s">
        <v>194</v>
      </c>
      <c r="Y759" s="558" t="s">
        <v>9300</v>
      </c>
      <c r="Z759" s="558"/>
      <c r="AA759" s="558"/>
      <c r="AB759" s="558" t="s">
        <v>9311</v>
      </c>
      <c r="AC759" s="558"/>
      <c r="AD759" s="558"/>
      <c r="AE759" s="558"/>
      <c r="AF759" s="558"/>
      <c r="AG759" s="558"/>
      <c r="AH759" s="558" t="s">
        <v>4714</v>
      </c>
      <c r="AI759" s="558" t="s">
        <v>9433</v>
      </c>
      <c r="AJ759" s="601" t="str">
        <f t="shared" si="22"/>
        <v>412001</v>
      </c>
      <c r="AK759" s="601">
        <v>1</v>
      </c>
      <c r="AL759" s="601">
        <f t="shared" si="23"/>
        <v>1</v>
      </c>
      <c r="AM759" s="601">
        <v>1</v>
      </c>
      <c r="AN759" s="603" t="s">
        <v>17650</v>
      </c>
      <c r="AO759" s="603" t="s">
        <v>17651</v>
      </c>
      <c r="AP759" s="603" t="s">
        <v>17652</v>
      </c>
      <c r="AQ759" s="603" t="s">
        <v>17653</v>
      </c>
      <c r="AR759" s="603" t="s">
        <v>1024</v>
      </c>
      <c r="AS759" s="558">
        <v>1</v>
      </c>
    </row>
    <row r="760" spans="1:45" x14ac:dyDescent="0.2">
      <c r="A760" s="558" t="s">
        <v>25389</v>
      </c>
      <c r="B760" s="558" t="s">
        <v>5611</v>
      </c>
      <c r="C760" s="558" t="s">
        <v>20167</v>
      </c>
      <c r="D760" s="558" t="s">
        <v>23307</v>
      </c>
      <c r="E760" s="558" t="s">
        <v>217</v>
      </c>
      <c r="F760" s="563">
        <v>1</v>
      </c>
      <c r="G760" s="558" t="s">
        <v>193</v>
      </c>
      <c r="H760" s="558" t="s">
        <v>194</v>
      </c>
      <c r="I760" s="558" t="s">
        <v>25893</v>
      </c>
      <c r="J760" s="558" t="s">
        <v>253</v>
      </c>
      <c r="K760" s="558" t="s">
        <v>9309</v>
      </c>
      <c r="L760" s="558" t="s">
        <v>6955</v>
      </c>
      <c r="M760" s="558"/>
      <c r="N760" s="558" t="s">
        <v>25390</v>
      </c>
      <c r="O760" s="558" t="s">
        <v>6363</v>
      </c>
      <c r="P760" s="558" t="s">
        <v>25917</v>
      </c>
      <c r="Q760" s="558" t="s">
        <v>23213</v>
      </c>
      <c r="R760" s="558" t="s">
        <v>25333</v>
      </c>
      <c r="S760" s="558" t="s">
        <v>25927</v>
      </c>
      <c r="T760" s="558" t="s">
        <v>25928</v>
      </c>
      <c r="U760" s="558"/>
      <c r="V760" s="558" t="s">
        <v>9468</v>
      </c>
      <c r="W760" s="558" t="s">
        <v>20169</v>
      </c>
      <c r="X760" s="558" t="s">
        <v>194</v>
      </c>
      <c r="Y760" s="558" t="s">
        <v>9300</v>
      </c>
      <c r="Z760" s="558"/>
      <c r="AA760" s="558"/>
      <c r="AB760" s="558" t="s">
        <v>9311</v>
      </c>
      <c r="AC760" s="558"/>
      <c r="AD760" s="558"/>
      <c r="AE760" s="558"/>
      <c r="AF760" s="558"/>
      <c r="AG760" s="558"/>
      <c r="AH760" s="558" t="s">
        <v>4714</v>
      </c>
      <c r="AI760" s="558" t="s">
        <v>9433</v>
      </c>
      <c r="AJ760" s="601" t="str">
        <f t="shared" si="22"/>
        <v>821306</v>
      </c>
      <c r="AK760" s="601">
        <v>1</v>
      </c>
      <c r="AL760" s="601">
        <f t="shared" si="23"/>
        <v>1</v>
      </c>
      <c r="AM760" s="601">
        <v>1</v>
      </c>
      <c r="AN760" s="603" t="s">
        <v>17650</v>
      </c>
      <c r="AO760" s="603" t="s">
        <v>17651</v>
      </c>
      <c r="AP760" s="603" t="s">
        <v>17652</v>
      </c>
      <c r="AQ760" s="603" t="s">
        <v>17653</v>
      </c>
      <c r="AR760" s="603" t="s">
        <v>1024</v>
      </c>
      <c r="AS760" s="558">
        <v>1</v>
      </c>
    </row>
    <row r="761" spans="1:45" x14ac:dyDescent="0.2">
      <c r="A761" s="558" t="s">
        <v>615</v>
      </c>
      <c r="B761" s="558" t="s">
        <v>5509</v>
      </c>
      <c r="C761" s="558" t="s">
        <v>617</v>
      </c>
      <c r="D761" s="558" t="s">
        <v>23307</v>
      </c>
      <c r="E761" s="558" t="s">
        <v>233</v>
      </c>
      <c r="F761" s="563">
        <v>1</v>
      </c>
      <c r="G761" s="558" t="s">
        <v>193</v>
      </c>
      <c r="H761" s="558" t="s">
        <v>194</v>
      </c>
      <c r="I761" s="558" t="s">
        <v>23158</v>
      </c>
      <c r="J761" s="558" t="s">
        <v>9302</v>
      </c>
      <c r="K761" s="558" t="s">
        <v>9309</v>
      </c>
      <c r="L761" s="558" t="s">
        <v>6955</v>
      </c>
      <c r="M761" s="558"/>
      <c r="N761" s="558" t="s">
        <v>25929</v>
      </c>
      <c r="O761" s="558" t="s">
        <v>8339</v>
      </c>
      <c r="P761" s="558" t="s">
        <v>25895</v>
      </c>
      <c r="Q761" s="558" t="s">
        <v>24618</v>
      </c>
      <c r="R761" s="558" t="s">
        <v>23307</v>
      </c>
      <c r="S761" s="558" t="s">
        <v>25930</v>
      </c>
      <c r="T761" s="558" t="s">
        <v>25931</v>
      </c>
      <c r="U761" s="558"/>
      <c r="V761" s="603"/>
      <c r="W761" s="558" t="s">
        <v>618</v>
      </c>
      <c r="X761" s="558" t="s">
        <v>193</v>
      </c>
      <c r="Y761" s="558" t="s">
        <v>9310</v>
      </c>
      <c r="Z761" s="558"/>
      <c r="AA761" s="558"/>
      <c r="AB761" s="558" t="s">
        <v>9311</v>
      </c>
      <c r="AC761" s="558"/>
      <c r="AD761" s="558"/>
      <c r="AE761" s="558"/>
      <c r="AF761" s="558"/>
      <c r="AG761" s="558"/>
      <c r="AH761" s="558" t="s">
        <v>4714</v>
      </c>
      <c r="AI761" s="558" t="s">
        <v>5509</v>
      </c>
      <c r="AJ761" s="601" t="str">
        <f t="shared" si="22"/>
        <v>332104</v>
      </c>
      <c r="AK761" s="601">
        <v>1</v>
      </c>
      <c r="AL761" s="601">
        <f t="shared" si="23"/>
        <v>1</v>
      </c>
      <c r="AM761" s="601">
        <v>1</v>
      </c>
      <c r="AN761" s="603" t="s">
        <v>17650</v>
      </c>
      <c r="AO761" s="603" t="s">
        <v>17651</v>
      </c>
      <c r="AP761" s="603" t="s">
        <v>17652</v>
      </c>
      <c r="AQ761" s="603" t="s">
        <v>17653</v>
      </c>
      <c r="AR761" s="603" t="s">
        <v>1024</v>
      </c>
      <c r="AS761" s="558">
        <v>1</v>
      </c>
    </row>
    <row r="762" spans="1:45" x14ac:dyDescent="0.2">
      <c r="A762" s="558" t="s">
        <v>615</v>
      </c>
      <c r="B762" s="558" t="s">
        <v>5509</v>
      </c>
      <c r="C762" s="558" t="s">
        <v>617</v>
      </c>
      <c r="D762" s="558" t="s">
        <v>23307</v>
      </c>
      <c r="E762" s="558" t="s">
        <v>233</v>
      </c>
      <c r="F762" s="563">
        <v>1</v>
      </c>
      <c r="G762" s="558" t="s">
        <v>193</v>
      </c>
      <c r="H762" s="558" t="s">
        <v>194</v>
      </c>
      <c r="I762" s="558" t="s">
        <v>23158</v>
      </c>
      <c r="J762" s="558" t="s">
        <v>210</v>
      </c>
      <c r="K762" s="558" t="s">
        <v>9309</v>
      </c>
      <c r="L762" s="558" t="s">
        <v>6955</v>
      </c>
      <c r="M762" s="558"/>
      <c r="N762" s="558" t="s">
        <v>25932</v>
      </c>
      <c r="O762" s="558" t="s">
        <v>8339</v>
      </c>
      <c r="P762" s="558" t="s">
        <v>25895</v>
      </c>
      <c r="Q762" s="558" t="s">
        <v>24618</v>
      </c>
      <c r="R762" s="558" t="s">
        <v>23307</v>
      </c>
      <c r="S762" s="558" t="s">
        <v>25933</v>
      </c>
      <c r="T762" s="558" t="s">
        <v>25934</v>
      </c>
      <c r="U762" s="558"/>
      <c r="V762" s="558" t="s">
        <v>9334</v>
      </c>
      <c r="W762" s="558" t="s">
        <v>618</v>
      </c>
      <c r="X762" s="558" t="s">
        <v>194</v>
      </c>
      <c r="Y762" s="558" t="s">
        <v>9300</v>
      </c>
      <c r="Z762" s="558"/>
      <c r="AA762" s="558"/>
      <c r="AB762" s="558" t="s">
        <v>9311</v>
      </c>
      <c r="AC762" s="558"/>
      <c r="AD762" s="558"/>
      <c r="AE762" s="558"/>
      <c r="AF762" s="558"/>
      <c r="AG762" s="558"/>
      <c r="AH762" s="558" t="s">
        <v>4714</v>
      </c>
      <c r="AI762" s="558" t="s">
        <v>5509</v>
      </c>
      <c r="AJ762" s="601" t="str">
        <f t="shared" si="22"/>
        <v>332104</v>
      </c>
      <c r="AK762" s="601">
        <v>1</v>
      </c>
      <c r="AL762" s="601">
        <f t="shared" si="23"/>
        <v>1</v>
      </c>
      <c r="AM762" s="601">
        <v>1</v>
      </c>
      <c r="AN762" s="603" t="s">
        <v>17650</v>
      </c>
      <c r="AO762" s="603" t="s">
        <v>17651</v>
      </c>
      <c r="AP762" s="603" t="s">
        <v>17652</v>
      </c>
      <c r="AQ762" s="603" t="s">
        <v>17653</v>
      </c>
      <c r="AR762" s="603" t="s">
        <v>1024</v>
      </c>
      <c r="AS762" s="558">
        <v>1</v>
      </c>
    </row>
    <row r="763" spans="1:45" x14ac:dyDescent="0.2">
      <c r="A763" s="558" t="s">
        <v>615</v>
      </c>
      <c r="B763" s="558" t="s">
        <v>5509</v>
      </c>
      <c r="C763" s="558" t="s">
        <v>617</v>
      </c>
      <c r="D763" s="558" t="s">
        <v>23307</v>
      </c>
      <c r="E763" s="558" t="s">
        <v>233</v>
      </c>
      <c r="F763" s="563">
        <v>1</v>
      </c>
      <c r="G763" s="558" t="s">
        <v>193</v>
      </c>
      <c r="H763" s="558" t="s">
        <v>194</v>
      </c>
      <c r="I763" s="558" t="s">
        <v>23158</v>
      </c>
      <c r="J763" s="558" t="s">
        <v>4751</v>
      </c>
      <c r="K763" s="558" t="s">
        <v>9309</v>
      </c>
      <c r="L763" s="558" t="s">
        <v>6955</v>
      </c>
      <c r="M763" s="558"/>
      <c r="N763" s="558" t="s">
        <v>25935</v>
      </c>
      <c r="O763" s="558" t="s">
        <v>8339</v>
      </c>
      <c r="P763" s="558" t="s">
        <v>25895</v>
      </c>
      <c r="Q763" s="558" t="s">
        <v>24618</v>
      </c>
      <c r="R763" s="558" t="s">
        <v>23307</v>
      </c>
      <c r="S763" s="558" t="s">
        <v>25936</v>
      </c>
      <c r="T763" s="558" t="s">
        <v>25937</v>
      </c>
      <c r="U763" s="558"/>
      <c r="V763" s="558" t="s">
        <v>9472</v>
      </c>
      <c r="W763" s="558" t="s">
        <v>618</v>
      </c>
      <c r="X763" s="558" t="s">
        <v>194</v>
      </c>
      <c r="Y763" s="558" t="s">
        <v>9300</v>
      </c>
      <c r="Z763" s="558"/>
      <c r="AA763" s="558"/>
      <c r="AB763" s="558" t="s">
        <v>9311</v>
      </c>
      <c r="AC763" s="558"/>
      <c r="AD763" s="558"/>
      <c r="AE763" s="558"/>
      <c r="AF763" s="558"/>
      <c r="AG763" s="558"/>
      <c r="AH763" s="558" t="s">
        <v>4714</v>
      </c>
      <c r="AI763" s="558" t="s">
        <v>5509</v>
      </c>
      <c r="AJ763" s="601" t="str">
        <f t="shared" si="22"/>
        <v>332104</v>
      </c>
      <c r="AK763" s="601">
        <v>1</v>
      </c>
      <c r="AL763" s="601">
        <f t="shared" si="23"/>
        <v>1</v>
      </c>
      <c r="AM763" s="601">
        <v>1</v>
      </c>
      <c r="AN763" s="603" t="s">
        <v>17650</v>
      </c>
      <c r="AO763" s="603" t="s">
        <v>17651</v>
      </c>
      <c r="AP763" s="603" t="s">
        <v>17652</v>
      </c>
      <c r="AQ763" s="603" t="s">
        <v>17653</v>
      </c>
      <c r="AR763" s="603" t="s">
        <v>1024</v>
      </c>
      <c r="AS763" s="558">
        <v>1</v>
      </c>
    </row>
    <row r="764" spans="1:45" x14ac:dyDescent="0.2">
      <c r="A764" s="558" t="s">
        <v>581</v>
      </c>
      <c r="B764" s="558" t="s">
        <v>25938</v>
      </c>
      <c r="C764" s="558" t="s">
        <v>62</v>
      </c>
      <c r="D764" s="558" t="s">
        <v>23307</v>
      </c>
      <c r="E764" s="558" t="s">
        <v>217</v>
      </c>
      <c r="F764" s="563">
        <v>1</v>
      </c>
      <c r="G764" s="558" t="s">
        <v>194</v>
      </c>
      <c r="H764" s="558" t="s">
        <v>193</v>
      </c>
      <c r="I764" s="558" t="s">
        <v>23158</v>
      </c>
      <c r="J764" s="558" t="s">
        <v>253</v>
      </c>
      <c r="K764" s="558" t="s">
        <v>9309</v>
      </c>
      <c r="L764" s="558" t="s">
        <v>6955</v>
      </c>
      <c r="M764" s="558"/>
      <c r="N764" s="558" t="s">
        <v>25939</v>
      </c>
      <c r="O764" s="558" t="s">
        <v>6258</v>
      </c>
      <c r="P764" s="558" t="s">
        <v>25917</v>
      </c>
      <c r="Q764" s="558" t="s">
        <v>23155</v>
      </c>
      <c r="R764" s="558" t="s">
        <v>25403</v>
      </c>
      <c r="S764" s="558" t="s">
        <v>25940</v>
      </c>
      <c r="T764" s="558" t="s">
        <v>25941</v>
      </c>
      <c r="U764" s="558"/>
      <c r="V764" s="558" t="s">
        <v>9468</v>
      </c>
      <c r="W764" s="558" t="s">
        <v>601</v>
      </c>
      <c r="X764" s="558" t="s">
        <v>194</v>
      </c>
      <c r="Y764" s="558" t="s">
        <v>9300</v>
      </c>
      <c r="Z764" s="558"/>
      <c r="AA764" s="558"/>
      <c r="AB764" s="558" t="s">
        <v>9311</v>
      </c>
      <c r="AC764" s="558"/>
      <c r="AD764" s="558"/>
      <c r="AE764" s="558"/>
      <c r="AF764" s="558"/>
      <c r="AG764" s="558"/>
      <c r="AH764" s="558" t="s">
        <v>4714</v>
      </c>
      <c r="AI764" s="558" t="s">
        <v>9433</v>
      </c>
      <c r="AJ764" s="601" t="str">
        <f t="shared" si="22"/>
        <v>313904</v>
      </c>
      <c r="AK764" s="601">
        <v>1</v>
      </c>
      <c r="AL764" s="601">
        <f t="shared" si="23"/>
        <v>1</v>
      </c>
      <c r="AM764" s="601">
        <v>1</v>
      </c>
      <c r="AN764" s="603" t="s">
        <v>17650</v>
      </c>
      <c r="AO764" s="603" t="s">
        <v>17651</v>
      </c>
      <c r="AP764" s="603" t="s">
        <v>17652</v>
      </c>
      <c r="AQ764" s="603" t="s">
        <v>17653</v>
      </c>
      <c r="AR764" s="603" t="s">
        <v>1024</v>
      </c>
      <c r="AS764" s="558">
        <v>1</v>
      </c>
    </row>
    <row r="765" spans="1:45" x14ac:dyDescent="0.2">
      <c r="A765" s="558" t="s">
        <v>23858</v>
      </c>
      <c r="B765" s="558" t="s">
        <v>25942</v>
      </c>
      <c r="C765" s="558" t="s">
        <v>110</v>
      </c>
      <c r="D765" s="558" t="s">
        <v>23307</v>
      </c>
      <c r="E765" s="558" t="s">
        <v>217</v>
      </c>
      <c r="F765" s="563">
        <v>1</v>
      </c>
      <c r="G765" s="558" t="s">
        <v>193</v>
      </c>
      <c r="H765" s="558" t="s">
        <v>194</v>
      </c>
      <c r="I765" s="558" t="s">
        <v>23158</v>
      </c>
      <c r="J765" s="558" t="s">
        <v>276</v>
      </c>
      <c r="K765" s="558" t="s">
        <v>9309</v>
      </c>
      <c r="L765" s="558" t="s">
        <v>6955</v>
      </c>
      <c r="M765" s="558"/>
      <c r="N765" s="558" t="s">
        <v>25943</v>
      </c>
      <c r="O765" s="558" t="s">
        <v>6275</v>
      </c>
      <c r="P765" s="558" t="s">
        <v>25917</v>
      </c>
      <c r="Q765" s="558" t="s">
        <v>23155</v>
      </c>
      <c r="R765" s="558" t="s">
        <v>25944</v>
      </c>
      <c r="S765" s="558" t="s">
        <v>25945</v>
      </c>
      <c r="T765" s="558" t="s">
        <v>25946</v>
      </c>
      <c r="U765" s="558"/>
      <c r="V765" s="558" t="s">
        <v>9786</v>
      </c>
      <c r="W765" s="558" t="s">
        <v>621</v>
      </c>
      <c r="X765" s="558" t="s">
        <v>194</v>
      </c>
      <c r="Y765" s="558" t="s">
        <v>9300</v>
      </c>
      <c r="Z765" s="558"/>
      <c r="AA765" s="558"/>
      <c r="AB765" s="558" t="s">
        <v>9311</v>
      </c>
      <c r="AC765" s="558"/>
      <c r="AD765" s="558"/>
      <c r="AE765" s="558"/>
      <c r="AF765" s="558"/>
      <c r="AG765" s="558"/>
      <c r="AH765" s="558" t="s">
        <v>4714</v>
      </c>
      <c r="AI765" s="558" t="s">
        <v>9433</v>
      </c>
      <c r="AJ765" s="601" t="str">
        <f t="shared" si="22"/>
        <v>332201</v>
      </c>
      <c r="AK765" s="601">
        <v>1</v>
      </c>
      <c r="AL765" s="601">
        <f t="shared" si="23"/>
        <v>1</v>
      </c>
      <c r="AM765" s="601">
        <v>1</v>
      </c>
      <c r="AN765" s="603" t="s">
        <v>17650</v>
      </c>
      <c r="AO765" s="603" t="s">
        <v>17651</v>
      </c>
      <c r="AP765" s="603" t="s">
        <v>17652</v>
      </c>
      <c r="AQ765" s="603" t="s">
        <v>17653</v>
      </c>
      <c r="AR765" s="603" t="s">
        <v>1024</v>
      </c>
      <c r="AS765" s="558">
        <v>1</v>
      </c>
    </row>
    <row r="766" spans="1:45" x14ac:dyDescent="0.2">
      <c r="A766" s="558" t="s">
        <v>581</v>
      </c>
      <c r="B766" s="558" t="s">
        <v>23340</v>
      </c>
      <c r="C766" s="558" t="s">
        <v>574</v>
      </c>
      <c r="D766" s="558" t="s">
        <v>23307</v>
      </c>
      <c r="E766" s="558" t="s">
        <v>217</v>
      </c>
      <c r="F766" s="563">
        <v>1</v>
      </c>
      <c r="G766" s="558" t="s">
        <v>193</v>
      </c>
      <c r="H766" s="558" t="s">
        <v>194</v>
      </c>
      <c r="I766" s="558" t="s">
        <v>23158</v>
      </c>
      <c r="J766" s="558" t="s">
        <v>2252</v>
      </c>
      <c r="K766" s="558" t="s">
        <v>9309</v>
      </c>
      <c r="L766" s="558" t="s">
        <v>6955</v>
      </c>
      <c r="M766" s="558"/>
      <c r="N766" s="558" t="s">
        <v>24638</v>
      </c>
      <c r="O766" s="558" t="s">
        <v>6275</v>
      </c>
      <c r="P766" s="558" t="s">
        <v>25917</v>
      </c>
      <c r="Q766" s="558" t="s">
        <v>25292</v>
      </c>
      <c r="R766" s="558" t="s">
        <v>24639</v>
      </c>
      <c r="S766" s="558" t="s">
        <v>25947</v>
      </c>
      <c r="T766" s="558" t="s">
        <v>25948</v>
      </c>
      <c r="U766" s="558"/>
      <c r="V766" s="558" t="s">
        <v>9726</v>
      </c>
      <c r="W766" s="558" t="s">
        <v>576</v>
      </c>
      <c r="X766" s="558" t="s">
        <v>194</v>
      </c>
      <c r="Y766" s="558" t="s">
        <v>9300</v>
      </c>
      <c r="Z766" s="558"/>
      <c r="AA766" s="558"/>
      <c r="AB766" s="558" t="s">
        <v>9311</v>
      </c>
      <c r="AC766" s="558"/>
      <c r="AD766" s="558"/>
      <c r="AE766" s="558"/>
      <c r="AF766" s="558"/>
      <c r="AG766" s="558"/>
      <c r="AH766" s="558" t="s">
        <v>4714</v>
      </c>
      <c r="AI766" s="558" t="s">
        <v>9433</v>
      </c>
      <c r="AJ766" s="601" t="str">
        <f t="shared" si="22"/>
        <v>311509</v>
      </c>
      <c r="AK766" s="601">
        <v>1</v>
      </c>
      <c r="AL766" s="601">
        <f t="shared" si="23"/>
        <v>1</v>
      </c>
      <c r="AM766" s="601">
        <v>1</v>
      </c>
      <c r="AN766" s="603" t="s">
        <v>17650</v>
      </c>
      <c r="AO766" s="603" t="s">
        <v>17651</v>
      </c>
      <c r="AP766" s="603" t="s">
        <v>17652</v>
      </c>
      <c r="AQ766" s="603" t="s">
        <v>17653</v>
      </c>
      <c r="AR766" s="603" t="s">
        <v>1024</v>
      </c>
      <c r="AS766" s="558">
        <v>1</v>
      </c>
    </row>
    <row r="767" spans="1:45" x14ac:dyDescent="0.2">
      <c r="A767" s="558" t="s">
        <v>581</v>
      </c>
      <c r="B767" s="558" t="s">
        <v>3871</v>
      </c>
      <c r="C767" s="558" t="s">
        <v>29</v>
      </c>
      <c r="D767" s="558" t="s">
        <v>23307</v>
      </c>
      <c r="E767" s="558" t="s">
        <v>217</v>
      </c>
      <c r="F767" s="563">
        <v>1</v>
      </c>
      <c r="G767" s="558" t="s">
        <v>193</v>
      </c>
      <c r="H767" s="558" t="s">
        <v>194</v>
      </c>
      <c r="I767" s="558" t="s">
        <v>23158</v>
      </c>
      <c r="J767" s="558" t="s">
        <v>2252</v>
      </c>
      <c r="K767" s="558" t="s">
        <v>9309</v>
      </c>
      <c r="L767" s="558" t="s">
        <v>6955</v>
      </c>
      <c r="M767" s="558"/>
      <c r="N767" s="558" t="s">
        <v>25344</v>
      </c>
      <c r="O767" s="558" t="s">
        <v>6275</v>
      </c>
      <c r="P767" s="558" t="s">
        <v>25917</v>
      </c>
      <c r="Q767" s="558" t="s">
        <v>23155</v>
      </c>
      <c r="R767" s="558" t="s">
        <v>23158</v>
      </c>
      <c r="S767" s="558" t="s">
        <v>25949</v>
      </c>
      <c r="T767" s="558" t="s">
        <v>25950</v>
      </c>
      <c r="U767" s="558"/>
      <c r="V767" s="558" t="s">
        <v>9726</v>
      </c>
      <c r="W767" s="558" t="s">
        <v>808</v>
      </c>
      <c r="X767" s="558" t="s">
        <v>194</v>
      </c>
      <c r="Y767" s="558" t="s">
        <v>9300</v>
      </c>
      <c r="Z767" s="558"/>
      <c r="AA767" s="558"/>
      <c r="AB767" s="558" t="s">
        <v>9311</v>
      </c>
      <c r="AC767" s="558"/>
      <c r="AD767" s="558"/>
      <c r="AE767" s="558"/>
      <c r="AF767" s="558"/>
      <c r="AG767" s="558"/>
      <c r="AH767" s="558" t="s">
        <v>4714</v>
      </c>
      <c r="AI767" s="558" t="s">
        <v>9433</v>
      </c>
      <c r="AJ767" s="601" t="str">
        <f t="shared" si="22"/>
        <v>722308</v>
      </c>
      <c r="AK767" s="601">
        <v>1</v>
      </c>
      <c r="AL767" s="601">
        <f t="shared" si="23"/>
        <v>1</v>
      </c>
      <c r="AM767" s="601">
        <v>1</v>
      </c>
      <c r="AN767" s="603" t="s">
        <v>17650</v>
      </c>
      <c r="AO767" s="603" t="s">
        <v>17651</v>
      </c>
      <c r="AP767" s="603" t="s">
        <v>17652</v>
      </c>
      <c r="AQ767" s="603" t="s">
        <v>17653</v>
      </c>
      <c r="AR767" s="603" t="s">
        <v>1024</v>
      </c>
      <c r="AS767" s="558">
        <v>1</v>
      </c>
    </row>
    <row r="768" spans="1:45" x14ac:dyDescent="0.2">
      <c r="A768" s="558" t="s">
        <v>23858</v>
      </c>
      <c r="B768" s="558" t="s">
        <v>25358</v>
      </c>
      <c r="C768" s="558" t="s">
        <v>110</v>
      </c>
      <c r="D768" s="558" t="s">
        <v>23307</v>
      </c>
      <c r="E768" s="558" t="s">
        <v>217</v>
      </c>
      <c r="F768" s="563">
        <v>1</v>
      </c>
      <c r="G768" s="558" t="s">
        <v>194</v>
      </c>
      <c r="H768" s="558" t="s">
        <v>193</v>
      </c>
      <c r="I768" s="558" t="s">
        <v>23158</v>
      </c>
      <c r="J768" s="558" t="s">
        <v>276</v>
      </c>
      <c r="K768" s="558" t="s">
        <v>9309</v>
      </c>
      <c r="L768" s="558" t="s">
        <v>6955</v>
      </c>
      <c r="M768" s="558"/>
      <c r="N768" s="558" t="s">
        <v>25360</v>
      </c>
      <c r="O768" s="558" t="s">
        <v>6275</v>
      </c>
      <c r="P768" s="558" t="s">
        <v>25951</v>
      </c>
      <c r="Q768" s="558" t="s">
        <v>23278</v>
      </c>
      <c r="R768" s="558" t="s">
        <v>23193</v>
      </c>
      <c r="S768" s="558" t="s">
        <v>25952</v>
      </c>
      <c r="T768" s="558" t="s">
        <v>25953</v>
      </c>
      <c r="U768" s="558"/>
      <c r="V768" s="558" t="s">
        <v>9786</v>
      </c>
      <c r="W768" s="558" t="s">
        <v>621</v>
      </c>
      <c r="X768" s="558" t="s">
        <v>194</v>
      </c>
      <c r="Y768" s="558" t="s">
        <v>9300</v>
      </c>
      <c r="Z768" s="558"/>
      <c r="AA768" s="558"/>
      <c r="AB768" s="558" t="s">
        <v>9311</v>
      </c>
      <c r="AC768" s="558"/>
      <c r="AD768" s="558"/>
      <c r="AE768" s="558"/>
      <c r="AF768" s="558"/>
      <c r="AG768" s="558"/>
      <c r="AH768" s="558" t="s">
        <v>4714</v>
      </c>
      <c r="AI768" s="558" t="s">
        <v>9433</v>
      </c>
      <c r="AJ768" s="601" t="str">
        <f t="shared" si="22"/>
        <v>332201</v>
      </c>
      <c r="AK768" s="601">
        <v>1</v>
      </c>
      <c r="AL768" s="601">
        <f t="shared" si="23"/>
        <v>1</v>
      </c>
      <c r="AM768" s="601">
        <v>1</v>
      </c>
      <c r="AN768" s="603" t="s">
        <v>17650</v>
      </c>
      <c r="AO768" s="603" t="s">
        <v>17651</v>
      </c>
      <c r="AP768" s="603" t="s">
        <v>17652</v>
      </c>
      <c r="AQ768" s="603" t="s">
        <v>17653</v>
      </c>
      <c r="AR768" s="603" t="s">
        <v>1024</v>
      </c>
      <c r="AS768" s="558">
        <v>1</v>
      </c>
    </row>
    <row r="769" spans="1:45" x14ac:dyDescent="0.2">
      <c r="A769" s="558" t="s">
        <v>581</v>
      </c>
      <c r="B769" s="558" t="s">
        <v>25954</v>
      </c>
      <c r="C769" s="558" t="s">
        <v>62</v>
      </c>
      <c r="D769" s="558" t="s">
        <v>23307</v>
      </c>
      <c r="E769" s="558" t="s">
        <v>217</v>
      </c>
      <c r="F769" s="563">
        <v>1</v>
      </c>
      <c r="G769" s="558" t="s">
        <v>193</v>
      </c>
      <c r="H769" s="558" t="s">
        <v>194</v>
      </c>
      <c r="I769" s="558" t="s">
        <v>23158</v>
      </c>
      <c r="J769" s="558" t="s">
        <v>253</v>
      </c>
      <c r="K769" s="558" t="s">
        <v>9309</v>
      </c>
      <c r="L769" s="558" t="s">
        <v>6955</v>
      </c>
      <c r="M769" s="558"/>
      <c r="N769" s="558" t="s">
        <v>25955</v>
      </c>
      <c r="O769" s="558" t="s">
        <v>6275</v>
      </c>
      <c r="P769" s="558" t="s">
        <v>25917</v>
      </c>
      <c r="Q769" s="558" t="s">
        <v>25292</v>
      </c>
      <c r="R769" s="558" t="s">
        <v>25337</v>
      </c>
      <c r="S769" s="558" t="s">
        <v>25956</v>
      </c>
      <c r="T769" s="558" t="s">
        <v>25957</v>
      </c>
      <c r="U769" s="558"/>
      <c r="V769" s="558" t="s">
        <v>9468</v>
      </c>
      <c r="W769" s="558" t="s">
        <v>601</v>
      </c>
      <c r="X769" s="558" t="s">
        <v>194</v>
      </c>
      <c r="Y769" s="558" t="s">
        <v>9300</v>
      </c>
      <c r="Z769" s="558"/>
      <c r="AA769" s="558"/>
      <c r="AB769" s="558" t="s">
        <v>9311</v>
      </c>
      <c r="AC769" s="558"/>
      <c r="AD769" s="558"/>
      <c r="AE769" s="558"/>
      <c r="AF769" s="558"/>
      <c r="AG769" s="558"/>
      <c r="AH769" s="558" t="s">
        <v>4714</v>
      </c>
      <c r="AI769" s="558" t="s">
        <v>9433</v>
      </c>
      <c r="AJ769" s="601" t="str">
        <f t="shared" ref="AJ769:AJ797" si="24">MID(W769,8,6)</f>
        <v>313904</v>
      </c>
      <c r="AK769" s="601">
        <v>1</v>
      </c>
      <c r="AL769" s="601">
        <f t="shared" ref="AL769:AL797" si="25">F769</f>
        <v>1</v>
      </c>
      <c r="AM769" s="601">
        <v>1</v>
      </c>
      <c r="AN769" s="603" t="s">
        <v>17650</v>
      </c>
      <c r="AO769" s="603" t="s">
        <v>17651</v>
      </c>
      <c r="AP769" s="603" t="s">
        <v>17652</v>
      </c>
      <c r="AQ769" s="603" t="s">
        <v>17653</v>
      </c>
      <c r="AR769" s="603" t="s">
        <v>1024</v>
      </c>
      <c r="AS769" s="558">
        <v>1</v>
      </c>
    </row>
    <row r="770" spans="1:45" x14ac:dyDescent="0.2">
      <c r="A770" s="558" t="s">
        <v>581</v>
      </c>
      <c r="B770" s="558" t="s">
        <v>2788</v>
      </c>
      <c r="C770" s="558" t="s">
        <v>62</v>
      </c>
      <c r="D770" s="558" t="s">
        <v>23307</v>
      </c>
      <c r="E770" s="558" t="s">
        <v>217</v>
      </c>
      <c r="F770" s="563">
        <v>1</v>
      </c>
      <c r="G770" s="558" t="s">
        <v>193</v>
      </c>
      <c r="H770" s="558" t="s">
        <v>194</v>
      </c>
      <c r="I770" s="558" t="s">
        <v>23158</v>
      </c>
      <c r="J770" s="558" t="s">
        <v>253</v>
      </c>
      <c r="K770" s="558" t="s">
        <v>9309</v>
      </c>
      <c r="L770" s="558" t="s">
        <v>6955</v>
      </c>
      <c r="M770" s="558"/>
      <c r="N770" s="558" t="s">
        <v>25316</v>
      </c>
      <c r="O770" s="558" t="s">
        <v>6258</v>
      </c>
      <c r="P770" s="558" t="s">
        <v>25917</v>
      </c>
      <c r="Q770" s="558" t="s">
        <v>23151</v>
      </c>
      <c r="R770" s="558" t="s">
        <v>23835</v>
      </c>
      <c r="S770" s="558" t="s">
        <v>25958</v>
      </c>
      <c r="T770" s="558" t="s">
        <v>25959</v>
      </c>
      <c r="U770" s="558"/>
      <c r="V770" s="558" t="s">
        <v>9468</v>
      </c>
      <c r="W770" s="558" t="s">
        <v>601</v>
      </c>
      <c r="X770" s="558" t="s">
        <v>194</v>
      </c>
      <c r="Y770" s="558" t="s">
        <v>9300</v>
      </c>
      <c r="Z770" s="558"/>
      <c r="AA770" s="558"/>
      <c r="AB770" s="558" t="s">
        <v>9311</v>
      </c>
      <c r="AC770" s="558"/>
      <c r="AD770" s="558"/>
      <c r="AE770" s="558"/>
      <c r="AF770" s="558"/>
      <c r="AG770" s="558"/>
      <c r="AH770" s="558" t="s">
        <v>4714</v>
      </c>
      <c r="AI770" s="558" t="s">
        <v>9433</v>
      </c>
      <c r="AJ770" s="601" t="str">
        <f t="shared" si="24"/>
        <v>313904</v>
      </c>
      <c r="AK770" s="601">
        <v>1</v>
      </c>
      <c r="AL770" s="601">
        <f t="shared" si="25"/>
        <v>1</v>
      </c>
      <c r="AM770" s="601">
        <v>1</v>
      </c>
      <c r="AN770" s="603" t="s">
        <v>17650</v>
      </c>
      <c r="AO770" s="603" t="s">
        <v>17651</v>
      </c>
      <c r="AP770" s="603" t="s">
        <v>17652</v>
      </c>
      <c r="AQ770" s="603" t="s">
        <v>17653</v>
      </c>
      <c r="AR770" s="603" t="s">
        <v>1024</v>
      </c>
      <c r="AS770" s="558">
        <v>1</v>
      </c>
    </row>
    <row r="771" spans="1:45" x14ac:dyDescent="0.2">
      <c r="A771" s="558" t="s">
        <v>25960</v>
      </c>
      <c r="B771" s="558" t="s">
        <v>25961</v>
      </c>
      <c r="C771" s="558" t="s">
        <v>25962</v>
      </c>
      <c r="D771" s="558" t="s">
        <v>23307</v>
      </c>
      <c r="E771" s="558" t="s">
        <v>252</v>
      </c>
      <c r="F771" s="563">
        <v>1</v>
      </c>
      <c r="G771" s="558" t="s">
        <v>193</v>
      </c>
      <c r="H771" s="558" t="s">
        <v>194</v>
      </c>
      <c r="I771" s="558" t="s">
        <v>23917</v>
      </c>
      <c r="J771" s="558" t="s">
        <v>4751</v>
      </c>
      <c r="K771" s="558" t="s">
        <v>9309</v>
      </c>
      <c r="L771" s="558" t="s">
        <v>6955</v>
      </c>
      <c r="M771" s="558"/>
      <c r="N771" s="558" t="s">
        <v>25963</v>
      </c>
      <c r="O771" s="558" t="s">
        <v>6269</v>
      </c>
      <c r="P771" s="558" t="s">
        <v>25964</v>
      </c>
      <c r="Q771" s="558" t="s">
        <v>23151</v>
      </c>
      <c r="R771" s="558" t="s">
        <v>25965</v>
      </c>
      <c r="S771" s="558" t="s">
        <v>25966</v>
      </c>
      <c r="T771" s="558" t="s">
        <v>25967</v>
      </c>
      <c r="U771" s="558"/>
      <c r="V771" s="558" t="s">
        <v>9472</v>
      </c>
      <c r="W771" s="558" t="s">
        <v>25968</v>
      </c>
      <c r="X771" s="558" t="s">
        <v>194</v>
      </c>
      <c r="Y771" s="558" t="s">
        <v>9300</v>
      </c>
      <c r="Z771" s="558"/>
      <c r="AA771" s="558"/>
      <c r="AB771" s="558" t="s">
        <v>9311</v>
      </c>
      <c r="AC771" s="558"/>
      <c r="AD771" s="558"/>
      <c r="AE771" s="558"/>
      <c r="AF771" s="558"/>
      <c r="AG771" s="558"/>
      <c r="AH771" s="558" t="s">
        <v>4714</v>
      </c>
      <c r="AI771" s="558" t="s">
        <v>9433</v>
      </c>
      <c r="AJ771" s="601" t="str">
        <f t="shared" si="24"/>
        <v>515302</v>
      </c>
      <c r="AK771" s="601">
        <v>1</v>
      </c>
      <c r="AL771" s="601">
        <f t="shared" si="25"/>
        <v>1</v>
      </c>
      <c r="AM771" s="601">
        <v>1</v>
      </c>
      <c r="AN771" s="603" t="s">
        <v>17650</v>
      </c>
      <c r="AO771" s="603" t="s">
        <v>17651</v>
      </c>
      <c r="AP771" s="603" t="s">
        <v>17652</v>
      </c>
      <c r="AQ771" s="603" t="s">
        <v>17653</v>
      </c>
      <c r="AR771" s="603" t="s">
        <v>1024</v>
      </c>
      <c r="AS771" s="558">
        <v>1</v>
      </c>
    </row>
    <row r="772" spans="1:45" x14ac:dyDescent="0.2">
      <c r="A772" s="558" t="s">
        <v>14051</v>
      </c>
      <c r="B772" s="558" t="s">
        <v>2674</v>
      </c>
      <c r="C772" s="558" t="s">
        <v>85</v>
      </c>
      <c r="D772" s="558" t="s">
        <v>23307</v>
      </c>
      <c r="E772" s="558" t="s">
        <v>233</v>
      </c>
      <c r="F772" s="563">
        <v>1</v>
      </c>
      <c r="G772" s="558" t="s">
        <v>193</v>
      </c>
      <c r="H772" s="558" t="s">
        <v>194</v>
      </c>
      <c r="I772" s="558" t="s">
        <v>23164</v>
      </c>
      <c r="J772" s="558" t="s">
        <v>253</v>
      </c>
      <c r="K772" s="558" t="s">
        <v>9309</v>
      </c>
      <c r="L772" s="558" t="s">
        <v>6955</v>
      </c>
      <c r="M772" s="558"/>
      <c r="N772" s="558" t="s">
        <v>25969</v>
      </c>
      <c r="O772" s="558" t="s">
        <v>6249</v>
      </c>
      <c r="P772" s="558" t="s">
        <v>25895</v>
      </c>
      <c r="Q772" s="558" t="s">
        <v>25292</v>
      </c>
      <c r="R772" s="558" t="s">
        <v>23307</v>
      </c>
      <c r="S772" s="558" t="s">
        <v>25970</v>
      </c>
      <c r="T772" s="558" t="s">
        <v>25971</v>
      </c>
      <c r="U772" s="558"/>
      <c r="V772" s="558" t="s">
        <v>9468</v>
      </c>
      <c r="W772" s="558" t="s">
        <v>477</v>
      </c>
      <c r="X772" s="558" t="s">
        <v>194</v>
      </c>
      <c r="Y772" s="558" t="s">
        <v>9300</v>
      </c>
      <c r="Z772" s="558"/>
      <c r="AA772" s="558"/>
      <c r="AB772" s="558" t="s">
        <v>9311</v>
      </c>
      <c r="AC772" s="558"/>
      <c r="AD772" s="558"/>
      <c r="AE772" s="558"/>
      <c r="AF772" s="558"/>
      <c r="AG772" s="558"/>
      <c r="AH772" s="558" t="s">
        <v>4714</v>
      </c>
      <c r="AI772" s="558" t="s">
        <v>2674</v>
      </c>
      <c r="AJ772" s="601" t="str">
        <f t="shared" si="24"/>
        <v>243305</v>
      </c>
      <c r="AK772" s="601">
        <v>1</v>
      </c>
      <c r="AL772" s="601">
        <f t="shared" si="25"/>
        <v>1</v>
      </c>
      <c r="AM772" s="601">
        <v>1</v>
      </c>
      <c r="AN772" s="603" t="s">
        <v>17650</v>
      </c>
      <c r="AO772" s="603" t="s">
        <v>17651</v>
      </c>
      <c r="AP772" s="603" t="s">
        <v>17652</v>
      </c>
      <c r="AQ772" s="603" t="s">
        <v>17653</v>
      </c>
      <c r="AR772" s="603" t="s">
        <v>1024</v>
      </c>
      <c r="AS772" s="558">
        <v>1</v>
      </c>
    </row>
    <row r="773" spans="1:45" x14ac:dyDescent="0.2">
      <c r="A773" s="558" t="s">
        <v>25972</v>
      </c>
      <c r="B773" s="558" t="s">
        <v>632</v>
      </c>
      <c r="C773" s="558" t="s">
        <v>17</v>
      </c>
      <c r="D773" s="558" t="s">
        <v>23307</v>
      </c>
      <c r="E773" s="558" t="s">
        <v>233</v>
      </c>
      <c r="F773" s="563">
        <v>1</v>
      </c>
      <c r="G773" s="558" t="s">
        <v>193</v>
      </c>
      <c r="H773" s="558" t="s">
        <v>194</v>
      </c>
      <c r="I773" s="558" t="s">
        <v>23164</v>
      </c>
      <c r="J773" s="558" t="s">
        <v>9302</v>
      </c>
      <c r="K773" s="558" t="s">
        <v>9309</v>
      </c>
      <c r="L773" s="558" t="s">
        <v>6955</v>
      </c>
      <c r="M773" s="558"/>
      <c r="N773" s="558" t="s">
        <v>25973</v>
      </c>
      <c r="O773" s="558" t="s">
        <v>6249</v>
      </c>
      <c r="P773" s="558" t="s">
        <v>25974</v>
      </c>
      <c r="Q773" s="558" t="s">
        <v>23266</v>
      </c>
      <c r="R773" s="558" t="s">
        <v>23307</v>
      </c>
      <c r="S773" s="558" t="s">
        <v>25975</v>
      </c>
      <c r="T773" s="558" t="s">
        <v>25976</v>
      </c>
      <c r="U773" s="558"/>
      <c r="V773" s="603"/>
      <c r="W773" s="558" t="s">
        <v>624</v>
      </c>
      <c r="X773" s="558" t="s">
        <v>193</v>
      </c>
      <c r="Y773" s="558" t="s">
        <v>9310</v>
      </c>
      <c r="Z773" s="558"/>
      <c r="AA773" s="558"/>
      <c r="AB773" s="558" t="s">
        <v>9311</v>
      </c>
      <c r="AC773" s="558"/>
      <c r="AD773" s="558"/>
      <c r="AE773" s="558"/>
      <c r="AF773" s="558"/>
      <c r="AG773" s="558"/>
      <c r="AH773" s="558" t="s">
        <v>4714</v>
      </c>
      <c r="AI773" s="558" t="s">
        <v>17</v>
      </c>
      <c r="AJ773" s="601" t="str">
        <f t="shared" si="24"/>
        <v>332203</v>
      </c>
      <c r="AK773" s="601">
        <v>1</v>
      </c>
      <c r="AL773" s="601">
        <f t="shared" si="25"/>
        <v>1</v>
      </c>
      <c r="AM773" s="601">
        <v>1</v>
      </c>
      <c r="AN773" s="603" t="s">
        <v>17650</v>
      </c>
      <c r="AO773" s="603" t="s">
        <v>17651</v>
      </c>
      <c r="AP773" s="603" t="s">
        <v>17652</v>
      </c>
      <c r="AQ773" s="603" t="s">
        <v>17653</v>
      </c>
      <c r="AR773" s="603" t="s">
        <v>1024</v>
      </c>
      <c r="AS773" s="558">
        <v>1</v>
      </c>
    </row>
    <row r="774" spans="1:45" x14ac:dyDescent="0.2">
      <c r="A774" s="558" t="s">
        <v>25972</v>
      </c>
      <c r="B774" s="558" t="s">
        <v>25977</v>
      </c>
      <c r="C774" s="558" t="s">
        <v>17</v>
      </c>
      <c r="D774" s="558" t="s">
        <v>23307</v>
      </c>
      <c r="E774" s="558" t="s">
        <v>233</v>
      </c>
      <c r="F774" s="563">
        <v>1</v>
      </c>
      <c r="G774" s="558" t="s">
        <v>193</v>
      </c>
      <c r="H774" s="558" t="s">
        <v>194</v>
      </c>
      <c r="I774" s="558" t="s">
        <v>23164</v>
      </c>
      <c r="J774" s="558" t="s">
        <v>9302</v>
      </c>
      <c r="K774" s="558" t="s">
        <v>9309</v>
      </c>
      <c r="L774" s="558" t="s">
        <v>6955</v>
      </c>
      <c r="M774" s="558"/>
      <c r="N774" s="558" t="s">
        <v>25978</v>
      </c>
      <c r="O774" s="558" t="s">
        <v>6249</v>
      </c>
      <c r="P774" s="558" t="s">
        <v>25895</v>
      </c>
      <c r="Q774" s="558" t="s">
        <v>23266</v>
      </c>
      <c r="R774" s="558" t="s">
        <v>23307</v>
      </c>
      <c r="S774" s="558" t="s">
        <v>25979</v>
      </c>
      <c r="T774" s="558" t="s">
        <v>25980</v>
      </c>
      <c r="U774" s="558"/>
      <c r="V774" s="603"/>
      <c r="W774" s="558" t="s">
        <v>624</v>
      </c>
      <c r="X774" s="558" t="s">
        <v>193</v>
      </c>
      <c r="Y774" s="558" t="s">
        <v>9310</v>
      </c>
      <c r="Z774" s="558"/>
      <c r="AA774" s="558"/>
      <c r="AB774" s="558" t="s">
        <v>9311</v>
      </c>
      <c r="AC774" s="558"/>
      <c r="AD774" s="558"/>
      <c r="AE774" s="558"/>
      <c r="AF774" s="558"/>
      <c r="AG774" s="558"/>
      <c r="AH774" s="558" t="s">
        <v>4714</v>
      </c>
      <c r="AI774" s="558" t="s">
        <v>25977</v>
      </c>
      <c r="AJ774" s="601" t="str">
        <f t="shared" si="24"/>
        <v>332203</v>
      </c>
      <c r="AK774" s="601">
        <v>1</v>
      </c>
      <c r="AL774" s="601">
        <f t="shared" si="25"/>
        <v>1</v>
      </c>
      <c r="AM774" s="601">
        <v>1</v>
      </c>
      <c r="AN774" s="603" t="s">
        <v>17650</v>
      </c>
      <c r="AO774" s="603" t="s">
        <v>17651</v>
      </c>
      <c r="AP774" s="603" t="s">
        <v>17652</v>
      </c>
      <c r="AQ774" s="603" t="s">
        <v>17653</v>
      </c>
      <c r="AR774" s="603" t="s">
        <v>1024</v>
      </c>
      <c r="AS774" s="558">
        <v>1</v>
      </c>
    </row>
    <row r="775" spans="1:45" x14ac:dyDescent="0.2">
      <c r="A775" s="558" t="s">
        <v>21508</v>
      </c>
      <c r="B775" s="558" t="s">
        <v>21509</v>
      </c>
      <c r="C775" s="558" t="s">
        <v>25981</v>
      </c>
      <c r="D775" s="558" t="s">
        <v>23307</v>
      </c>
      <c r="E775" s="558" t="s">
        <v>233</v>
      </c>
      <c r="F775" s="563">
        <v>1</v>
      </c>
      <c r="G775" s="558" t="s">
        <v>194</v>
      </c>
      <c r="H775" s="558" t="s">
        <v>193</v>
      </c>
      <c r="I775" s="558" t="s">
        <v>23164</v>
      </c>
      <c r="J775" s="558" t="s">
        <v>9302</v>
      </c>
      <c r="K775" s="558" t="s">
        <v>9309</v>
      </c>
      <c r="L775" s="558" t="s">
        <v>6955</v>
      </c>
      <c r="M775" s="558"/>
      <c r="N775" s="558" t="s">
        <v>25982</v>
      </c>
      <c r="O775" s="558" t="s">
        <v>6275</v>
      </c>
      <c r="P775" s="558" t="s">
        <v>25895</v>
      </c>
      <c r="Q775" s="558" t="s">
        <v>23266</v>
      </c>
      <c r="R775" s="558" t="s">
        <v>23307</v>
      </c>
      <c r="S775" s="558" t="s">
        <v>25983</v>
      </c>
      <c r="T775" s="558" t="s">
        <v>25984</v>
      </c>
      <c r="U775" s="558"/>
      <c r="V775" s="603"/>
      <c r="W775" s="558" t="s">
        <v>25985</v>
      </c>
      <c r="X775" s="558" t="s">
        <v>193</v>
      </c>
      <c r="Y775" s="558" t="s">
        <v>9310</v>
      </c>
      <c r="Z775" s="558"/>
      <c r="AA775" s="558"/>
      <c r="AB775" s="558" t="s">
        <v>9311</v>
      </c>
      <c r="AC775" s="558"/>
      <c r="AD775" s="558"/>
      <c r="AE775" s="558"/>
      <c r="AF775" s="558"/>
      <c r="AG775" s="558"/>
      <c r="AH775" s="558" t="s">
        <v>4714</v>
      </c>
      <c r="AI775" s="558" t="s">
        <v>21509</v>
      </c>
      <c r="AJ775" s="601" t="str">
        <f t="shared" si="24"/>
        <v>634002</v>
      </c>
      <c r="AK775" s="601">
        <v>1</v>
      </c>
      <c r="AL775" s="601">
        <f t="shared" si="25"/>
        <v>1</v>
      </c>
      <c r="AM775" s="601">
        <v>1</v>
      </c>
      <c r="AN775" s="603" t="s">
        <v>17650</v>
      </c>
      <c r="AO775" s="603" t="s">
        <v>17651</v>
      </c>
      <c r="AP775" s="603" t="s">
        <v>17652</v>
      </c>
      <c r="AQ775" s="603" t="s">
        <v>17653</v>
      </c>
      <c r="AR775" s="603" t="s">
        <v>1024</v>
      </c>
      <c r="AS775" s="558">
        <v>1</v>
      </c>
    </row>
    <row r="776" spans="1:45" x14ac:dyDescent="0.2">
      <c r="A776" s="558" t="s">
        <v>615</v>
      </c>
      <c r="B776" s="558" t="s">
        <v>1528</v>
      </c>
      <c r="C776" s="558" t="s">
        <v>95</v>
      </c>
      <c r="D776" s="558" t="s">
        <v>23307</v>
      </c>
      <c r="E776" s="558" t="s">
        <v>233</v>
      </c>
      <c r="F776" s="563">
        <v>1</v>
      </c>
      <c r="G776" s="558" t="s">
        <v>193</v>
      </c>
      <c r="H776" s="558" t="s">
        <v>194</v>
      </c>
      <c r="I776" s="558" t="s">
        <v>23164</v>
      </c>
      <c r="J776" s="558" t="s">
        <v>9302</v>
      </c>
      <c r="K776" s="558" t="s">
        <v>9309</v>
      </c>
      <c r="L776" s="558" t="s">
        <v>6955</v>
      </c>
      <c r="M776" s="558"/>
      <c r="N776" s="558" t="s">
        <v>25986</v>
      </c>
      <c r="O776" s="558" t="s">
        <v>6277</v>
      </c>
      <c r="P776" s="558" t="s">
        <v>25895</v>
      </c>
      <c r="Q776" s="558" t="s">
        <v>24618</v>
      </c>
      <c r="R776" s="558" t="s">
        <v>23307</v>
      </c>
      <c r="S776" s="558" t="s">
        <v>25987</v>
      </c>
      <c r="T776" s="558" t="s">
        <v>25988</v>
      </c>
      <c r="U776" s="558"/>
      <c r="V776" s="603"/>
      <c r="W776" s="558" t="s">
        <v>1015</v>
      </c>
      <c r="X776" s="558" t="s">
        <v>193</v>
      </c>
      <c r="Y776" s="558" t="s">
        <v>9310</v>
      </c>
      <c r="Z776" s="558"/>
      <c r="AA776" s="558"/>
      <c r="AB776" s="558" t="s">
        <v>9311</v>
      </c>
      <c r="AC776" s="558"/>
      <c r="AD776" s="558"/>
      <c r="AE776" s="558"/>
      <c r="AF776" s="558"/>
      <c r="AG776" s="558"/>
      <c r="AH776" s="558" t="s">
        <v>4714</v>
      </c>
      <c r="AI776" s="558" t="s">
        <v>1528</v>
      </c>
      <c r="AJ776" s="601" t="str">
        <f t="shared" si="24"/>
        <v>122102</v>
      </c>
      <c r="AK776" s="601">
        <v>1</v>
      </c>
      <c r="AL776" s="601">
        <f t="shared" si="25"/>
        <v>1</v>
      </c>
      <c r="AM776" s="601">
        <v>1</v>
      </c>
      <c r="AN776" s="603" t="s">
        <v>17650</v>
      </c>
      <c r="AO776" s="603" t="s">
        <v>17651</v>
      </c>
      <c r="AP776" s="603" t="s">
        <v>17652</v>
      </c>
      <c r="AQ776" s="603" t="s">
        <v>17653</v>
      </c>
      <c r="AR776" s="603" t="s">
        <v>1024</v>
      </c>
      <c r="AS776" s="558">
        <v>1</v>
      </c>
    </row>
    <row r="777" spans="1:45" x14ac:dyDescent="0.2">
      <c r="A777" s="558" t="s">
        <v>615</v>
      </c>
      <c r="B777" s="558" t="s">
        <v>4623</v>
      </c>
      <c r="C777" s="558" t="s">
        <v>111</v>
      </c>
      <c r="D777" s="558" t="s">
        <v>23307</v>
      </c>
      <c r="E777" s="558" t="s">
        <v>233</v>
      </c>
      <c r="F777" s="563">
        <v>1</v>
      </c>
      <c r="G777" s="558" t="s">
        <v>193</v>
      </c>
      <c r="H777" s="558" t="s">
        <v>194</v>
      </c>
      <c r="I777" s="558" t="s">
        <v>23164</v>
      </c>
      <c r="J777" s="558" t="s">
        <v>9302</v>
      </c>
      <c r="K777" s="558" t="s">
        <v>9309</v>
      </c>
      <c r="L777" s="558" t="s">
        <v>6955</v>
      </c>
      <c r="M777" s="558"/>
      <c r="N777" s="558" t="s">
        <v>25989</v>
      </c>
      <c r="O777" s="558" t="s">
        <v>6249</v>
      </c>
      <c r="P777" s="558" t="s">
        <v>25895</v>
      </c>
      <c r="Q777" s="558" t="s">
        <v>24618</v>
      </c>
      <c r="R777" s="558" t="s">
        <v>23307</v>
      </c>
      <c r="S777" s="558" t="s">
        <v>25990</v>
      </c>
      <c r="T777" s="558" t="s">
        <v>25991</v>
      </c>
      <c r="U777" s="558"/>
      <c r="V777" s="603"/>
      <c r="W777" s="558" t="s">
        <v>612</v>
      </c>
      <c r="X777" s="558" t="s">
        <v>193</v>
      </c>
      <c r="Y777" s="558" t="s">
        <v>9310</v>
      </c>
      <c r="Z777" s="558"/>
      <c r="AA777" s="558"/>
      <c r="AB777" s="558" t="s">
        <v>9311</v>
      </c>
      <c r="AC777" s="558"/>
      <c r="AD777" s="558"/>
      <c r="AE777" s="558"/>
      <c r="AF777" s="558"/>
      <c r="AG777" s="558"/>
      <c r="AH777" s="558" t="s">
        <v>4714</v>
      </c>
      <c r="AI777" s="558" t="s">
        <v>4623</v>
      </c>
      <c r="AJ777" s="601" t="str">
        <f t="shared" si="24"/>
        <v>332101</v>
      </c>
      <c r="AK777" s="601">
        <v>1</v>
      </c>
      <c r="AL777" s="601">
        <f t="shared" si="25"/>
        <v>1</v>
      </c>
      <c r="AM777" s="601">
        <v>1</v>
      </c>
      <c r="AN777" s="603" t="s">
        <v>17650</v>
      </c>
      <c r="AO777" s="603" t="s">
        <v>17651</v>
      </c>
      <c r="AP777" s="603" t="s">
        <v>17652</v>
      </c>
      <c r="AQ777" s="603" t="s">
        <v>17653</v>
      </c>
      <c r="AR777" s="603" t="s">
        <v>1024</v>
      </c>
      <c r="AS777" s="558">
        <v>1</v>
      </c>
    </row>
    <row r="778" spans="1:45" x14ac:dyDescent="0.2">
      <c r="A778" s="558" t="s">
        <v>615</v>
      </c>
      <c r="B778" s="558" t="s">
        <v>4623</v>
      </c>
      <c r="C778" s="558" t="s">
        <v>111</v>
      </c>
      <c r="D778" s="558" t="s">
        <v>23307</v>
      </c>
      <c r="E778" s="558" t="s">
        <v>233</v>
      </c>
      <c r="F778" s="563">
        <v>1</v>
      </c>
      <c r="G778" s="558" t="s">
        <v>193</v>
      </c>
      <c r="H778" s="558" t="s">
        <v>194</v>
      </c>
      <c r="I778" s="558" t="s">
        <v>23164</v>
      </c>
      <c r="J778" s="558" t="s">
        <v>4751</v>
      </c>
      <c r="K778" s="558" t="s">
        <v>9309</v>
      </c>
      <c r="L778" s="558" t="s">
        <v>6955</v>
      </c>
      <c r="M778" s="558"/>
      <c r="N778" s="558" t="s">
        <v>25992</v>
      </c>
      <c r="O778" s="558" t="s">
        <v>6249</v>
      </c>
      <c r="P778" s="558" t="s">
        <v>25895</v>
      </c>
      <c r="Q778" s="558" t="s">
        <v>24618</v>
      </c>
      <c r="R778" s="558" t="s">
        <v>23307</v>
      </c>
      <c r="S778" s="558" t="s">
        <v>25993</v>
      </c>
      <c r="T778" s="558" t="s">
        <v>25994</v>
      </c>
      <c r="U778" s="558"/>
      <c r="V778" s="558" t="s">
        <v>9472</v>
      </c>
      <c r="W778" s="558" t="s">
        <v>612</v>
      </c>
      <c r="X778" s="558" t="s">
        <v>194</v>
      </c>
      <c r="Y778" s="558" t="s">
        <v>9300</v>
      </c>
      <c r="Z778" s="558"/>
      <c r="AA778" s="558"/>
      <c r="AB778" s="558" t="s">
        <v>9311</v>
      </c>
      <c r="AC778" s="558"/>
      <c r="AD778" s="558"/>
      <c r="AE778" s="558"/>
      <c r="AF778" s="558"/>
      <c r="AG778" s="558"/>
      <c r="AH778" s="558" t="s">
        <v>4714</v>
      </c>
      <c r="AI778" s="558" t="s">
        <v>4623</v>
      </c>
      <c r="AJ778" s="601" t="str">
        <f t="shared" si="24"/>
        <v>332101</v>
      </c>
      <c r="AK778" s="601">
        <v>1</v>
      </c>
      <c r="AL778" s="601">
        <f t="shared" si="25"/>
        <v>1</v>
      </c>
      <c r="AM778" s="601">
        <v>1</v>
      </c>
      <c r="AN778" s="603" t="s">
        <v>17650</v>
      </c>
      <c r="AO778" s="603" t="s">
        <v>17651</v>
      </c>
      <c r="AP778" s="603" t="s">
        <v>17652</v>
      </c>
      <c r="AQ778" s="603" t="s">
        <v>17653</v>
      </c>
      <c r="AR778" s="603" t="s">
        <v>1024</v>
      </c>
      <c r="AS778" s="558">
        <v>1</v>
      </c>
    </row>
    <row r="779" spans="1:45" x14ac:dyDescent="0.2">
      <c r="A779" s="558" t="s">
        <v>615</v>
      </c>
      <c r="B779" s="558" t="s">
        <v>4623</v>
      </c>
      <c r="C779" s="558" t="s">
        <v>111</v>
      </c>
      <c r="D779" s="558" t="s">
        <v>23307</v>
      </c>
      <c r="E779" s="558" t="s">
        <v>233</v>
      </c>
      <c r="F779" s="563">
        <v>1</v>
      </c>
      <c r="G779" s="558" t="s">
        <v>193</v>
      </c>
      <c r="H779" s="558" t="s">
        <v>194</v>
      </c>
      <c r="I779" s="558" t="s">
        <v>23164</v>
      </c>
      <c r="J779" s="558" t="s">
        <v>210</v>
      </c>
      <c r="K779" s="558" t="s">
        <v>9309</v>
      </c>
      <c r="L779" s="558" t="s">
        <v>6955</v>
      </c>
      <c r="M779" s="558"/>
      <c r="N779" s="558" t="s">
        <v>25995</v>
      </c>
      <c r="O779" s="558" t="s">
        <v>6249</v>
      </c>
      <c r="P779" s="558" t="s">
        <v>25895</v>
      </c>
      <c r="Q779" s="558" t="s">
        <v>24618</v>
      </c>
      <c r="R779" s="558" t="s">
        <v>23307</v>
      </c>
      <c r="S779" s="558" t="s">
        <v>25996</v>
      </c>
      <c r="T779" s="558" t="s">
        <v>25997</v>
      </c>
      <c r="U779" s="558"/>
      <c r="V779" s="558" t="s">
        <v>9334</v>
      </c>
      <c r="W779" s="558" t="s">
        <v>612</v>
      </c>
      <c r="X779" s="558" t="s">
        <v>194</v>
      </c>
      <c r="Y779" s="558" t="s">
        <v>9300</v>
      </c>
      <c r="Z779" s="558"/>
      <c r="AA779" s="558"/>
      <c r="AB779" s="558" t="s">
        <v>9311</v>
      </c>
      <c r="AC779" s="558"/>
      <c r="AD779" s="558"/>
      <c r="AE779" s="558"/>
      <c r="AF779" s="558"/>
      <c r="AG779" s="558"/>
      <c r="AH779" s="558" t="s">
        <v>4714</v>
      </c>
      <c r="AI779" s="558" t="s">
        <v>4623</v>
      </c>
      <c r="AJ779" s="601" t="str">
        <f t="shared" si="24"/>
        <v>332101</v>
      </c>
      <c r="AK779" s="601">
        <v>1</v>
      </c>
      <c r="AL779" s="601">
        <f t="shared" si="25"/>
        <v>1</v>
      </c>
      <c r="AM779" s="601">
        <v>1</v>
      </c>
      <c r="AN779" s="603" t="s">
        <v>17650</v>
      </c>
      <c r="AO779" s="603" t="s">
        <v>17651</v>
      </c>
      <c r="AP779" s="603" t="s">
        <v>17652</v>
      </c>
      <c r="AQ779" s="603" t="s">
        <v>17653</v>
      </c>
      <c r="AR779" s="603" t="s">
        <v>1024</v>
      </c>
      <c r="AS779" s="558">
        <v>1</v>
      </c>
    </row>
    <row r="780" spans="1:45" x14ac:dyDescent="0.2">
      <c r="A780" s="558" t="s">
        <v>615</v>
      </c>
      <c r="B780" s="558" t="s">
        <v>537</v>
      </c>
      <c r="C780" s="558" t="s">
        <v>778</v>
      </c>
      <c r="D780" s="558" t="s">
        <v>23307</v>
      </c>
      <c r="E780" s="558" t="s">
        <v>233</v>
      </c>
      <c r="F780" s="563">
        <v>1</v>
      </c>
      <c r="G780" s="558" t="s">
        <v>193</v>
      </c>
      <c r="H780" s="558" t="s">
        <v>194</v>
      </c>
      <c r="I780" s="558" t="s">
        <v>23164</v>
      </c>
      <c r="J780" s="558" t="s">
        <v>9302</v>
      </c>
      <c r="K780" s="558" t="s">
        <v>9309</v>
      </c>
      <c r="L780" s="558" t="s">
        <v>6955</v>
      </c>
      <c r="M780" s="558"/>
      <c r="N780" s="558" t="s">
        <v>25998</v>
      </c>
      <c r="O780" s="558" t="s">
        <v>6249</v>
      </c>
      <c r="P780" s="558" t="s">
        <v>25974</v>
      </c>
      <c r="Q780" s="558" t="s">
        <v>24618</v>
      </c>
      <c r="R780" s="558" t="s">
        <v>23307</v>
      </c>
      <c r="S780" s="558" t="s">
        <v>25999</v>
      </c>
      <c r="T780" s="558" t="s">
        <v>26000</v>
      </c>
      <c r="U780" s="558"/>
      <c r="V780" s="603"/>
      <c r="W780" s="558" t="s">
        <v>779</v>
      </c>
      <c r="X780" s="558" t="s">
        <v>193</v>
      </c>
      <c r="Y780" s="558" t="s">
        <v>9310</v>
      </c>
      <c r="Z780" s="558"/>
      <c r="AA780" s="558"/>
      <c r="AB780" s="558" t="s">
        <v>9311</v>
      </c>
      <c r="AC780" s="558"/>
      <c r="AD780" s="558"/>
      <c r="AE780" s="558"/>
      <c r="AF780" s="558"/>
      <c r="AG780" s="558"/>
      <c r="AH780" s="558" t="s">
        <v>4714</v>
      </c>
      <c r="AI780" s="558" t="s">
        <v>778</v>
      </c>
      <c r="AJ780" s="601" t="str">
        <f t="shared" si="24"/>
        <v>524902</v>
      </c>
      <c r="AK780" s="601">
        <v>1</v>
      </c>
      <c r="AL780" s="601">
        <f t="shared" si="25"/>
        <v>1</v>
      </c>
      <c r="AM780" s="601">
        <v>1</v>
      </c>
      <c r="AN780" s="603" t="s">
        <v>17650</v>
      </c>
      <c r="AO780" s="603" t="s">
        <v>17651</v>
      </c>
      <c r="AP780" s="603" t="s">
        <v>17652</v>
      </c>
      <c r="AQ780" s="603" t="s">
        <v>17653</v>
      </c>
      <c r="AR780" s="603" t="s">
        <v>1024</v>
      </c>
      <c r="AS780" s="558">
        <v>1</v>
      </c>
    </row>
    <row r="781" spans="1:45" x14ac:dyDescent="0.2">
      <c r="A781" s="558" t="s">
        <v>615</v>
      </c>
      <c r="B781" s="558" t="s">
        <v>537</v>
      </c>
      <c r="C781" s="558" t="s">
        <v>778</v>
      </c>
      <c r="D781" s="558" t="s">
        <v>23307</v>
      </c>
      <c r="E781" s="558" t="s">
        <v>233</v>
      </c>
      <c r="F781" s="563">
        <v>1</v>
      </c>
      <c r="G781" s="558" t="s">
        <v>193</v>
      </c>
      <c r="H781" s="558" t="s">
        <v>194</v>
      </c>
      <c r="I781" s="558" t="s">
        <v>23164</v>
      </c>
      <c r="J781" s="558" t="s">
        <v>4751</v>
      </c>
      <c r="K781" s="558" t="s">
        <v>9309</v>
      </c>
      <c r="L781" s="558" t="s">
        <v>6955</v>
      </c>
      <c r="M781" s="558"/>
      <c r="N781" s="558" t="s">
        <v>26001</v>
      </c>
      <c r="O781" s="558" t="s">
        <v>6249</v>
      </c>
      <c r="P781" s="558" t="s">
        <v>25974</v>
      </c>
      <c r="Q781" s="558" t="s">
        <v>24618</v>
      </c>
      <c r="R781" s="558" t="s">
        <v>23307</v>
      </c>
      <c r="S781" s="558" t="s">
        <v>26002</v>
      </c>
      <c r="T781" s="558" t="s">
        <v>26003</v>
      </c>
      <c r="U781" s="558"/>
      <c r="V781" s="558" t="s">
        <v>9472</v>
      </c>
      <c r="W781" s="558" t="s">
        <v>779</v>
      </c>
      <c r="X781" s="558" t="s">
        <v>194</v>
      </c>
      <c r="Y781" s="558" t="s">
        <v>9300</v>
      </c>
      <c r="Z781" s="558"/>
      <c r="AA781" s="558"/>
      <c r="AB781" s="558" t="s">
        <v>9311</v>
      </c>
      <c r="AC781" s="558"/>
      <c r="AD781" s="558"/>
      <c r="AE781" s="558"/>
      <c r="AF781" s="558"/>
      <c r="AG781" s="558"/>
      <c r="AH781" s="558" t="s">
        <v>4714</v>
      </c>
      <c r="AI781" s="558" t="s">
        <v>778</v>
      </c>
      <c r="AJ781" s="601" t="str">
        <f t="shared" si="24"/>
        <v>524902</v>
      </c>
      <c r="AK781" s="601">
        <v>1</v>
      </c>
      <c r="AL781" s="601">
        <f t="shared" si="25"/>
        <v>1</v>
      </c>
      <c r="AM781" s="601">
        <v>1</v>
      </c>
      <c r="AN781" s="603" t="s">
        <v>17650</v>
      </c>
      <c r="AO781" s="603" t="s">
        <v>17651</v>
      </c>
      <c r="AP781" s="603" t="s">
        <v>17652</v>
      </c>
      <c r="AQ781" s="603" t="s">
        <v>17653</v>
      </c>
      <c r="AR781" s="603" t="s">
        <v>1024</v>
      </c>
      <c r="AS781" s="558">
        <v>1</v>
      </c>
    </row>
    <row r="782" spans="1:45" x14ac:dyDescent="0.2">
      <c r="A782" s="558" t="s">
        <v>615</v>
      </c>
      <c r="B782" s="558" t="s">
        <v>537</v>
      </c>
      <c r="C782" s="558" t="s">
        <v>778</v>
      </c>
      <c r="D782" s="558" t="s">
        <v>23307</v>
      </c>
      <c r="E782" s="558" t="s">
        <v>233</v>
      </c>
      <c r="F782" s="563">
        <v>1</v>
      </c>
      <c r="G782" s="558" t="s">
        <v>193</v>
      </c>
      <c r="H782" s="558" t="s">
        <v>194</v>
      </c>
      <c r="I782" s="558" t="s">
        <v>23164</v>
      </c>
      <c r="J782" s="558" t="s">
        <v>210</v>
      </c>
      <c r="K782" s="558" t="s">
        <v>9309</v>
      </c>
      <c r="L782" s="558" t="s">
        <v>6955</v>
      </c>
      <c r="M782" s="558"/>
      <c r="N782" s="558" t="s">
        <v>26004</v>
      </c>
      <c r="O782" s="558" t="s">
        <v>6249</v>
      </c>
      <c r="P782" s="558" t="s">
        <v>25974</v>
      </c>
      <c r="Q782" s="558" t="s">
        <v>24618</v>
      </c>
      <c r="R782" s="558" t="s">
        <v>23307</v>
      </c>
      <c r="S782" s="558" t="s">
        <v>26005</v>
      </c>
      <c r="T782" s="558" t="s">
        <v>26006</v>
      </c>
      <c r="U782" s="558"/>
      <c r="V782" s="558" t="s">
        <v>9334</v>
      </c>
      <c r="W782" s="558" t="s">
        <v>779</v>
      </c>
      <c r="X782" s="558" t="s">
        <v>194</v>
      </c>
      <c r="Y782" s="558" t="s">
        <v>9300</v>
      </c>
      <c r="Z782" s="558"/>
      <c r="AA782" s="558"/>
      <c r="AB782" s="558" t="s">
        <v>9311</v>
      </c>
      <c r="AC782" s="558"/>
      <c r="AD782" s="558"/>
      <c r="AE782" s="558"/>
      <c r="AF782" s="558"/>
      <c r="AG782" s="558"/>
      <c r="AH782" s="558" t="s">
        <v>4714</v>
      </c>
      <c r="AI782" s="558" t="s">
        <v>778</v>
      </c>
      <c r="AJ782" s="601" t="str">
        <f t="shared" si="24"/>
        <v>524902</v>
      </c>
      <c r="AK782" s="601">
        <v>1</v>
      </c>
      <c r="AL782" s="601">
        <f t="shared" si="25"/>
        <v>1</v>
      </c>
      <c r="AM782" s="601">
        <v>1</v>
      </c>
      <c r="AN782" s="603" t="s">
        <v>17650</v>
      </c>
      <c r="AO782" s="603" t="s">
        <v>17651</v>
      </c>
      <c r="AP782" s="603" t="s">
        <v>17652</v>
      </c>
      <c r="AQ782" s="603" t="s">
        <v>17653</v>
      </c>
      <c r="AR782" s="603" t="s">
        <v>1024</v>
      </c>
      <c r="AS782" s="558">
        <v>1</v>
      </c>
    </row>
    <row r="783" spans="1:45" x14ac:dyDescent="0.2">
      <c r="A783" s="558" t="s">
        <v>15464</v>
      </c>
      <c r="B783" s="558" t="s">
        <v>22217</v>
      </c>
      <c r="C783" s="558" t="s">
        <v>468</v>
      </c>
      <c r="D783" s="558" t="s">
        <v>23307</v>
      </c>
      <c r="E783" s="558" t="s">
        <v>217</v>
      </c>
      <c r="F783" s="563">
        <v>1</v>
      </c>
      <c r="G783" s="558" t="s">
        <v>193</v>
      </c>
      <c r="H783" s="558" t="s">
        <v>194</v>
      </c>
      <c r="I783" s="558" t="s">
        <v>23164</v>
      </c>
      <c r="J783" s="558" t="s">
        <v>210</v>
      </c>
      <c r="K783" s="558" t="s">
        <v>9309</v>
      </c>
      <c r="L783" s="558" t="s">
        <v>6955</v>
      </c>
      <c r="M783" s="558"/>
      <c r="N783" s="558" t="s">
        <v>22238</v>
      </c>
      <c r="O783" s="558" t="s">
        <v>6251</v>
      </c>
      <c r="P783" s="558" t="s">
        <v>25917</v>
      </c>
      <c r="Q783" s="558" t="s">
        <v>23160</v>
      </c>
      <c r="R783" s="558" t="s">
        <v>23198</v>
      </c>
      <c r="S783" s="558" t="s">
        <v>26007</v>
      </c>
      <c r="T783" s="558" t="s">
        <v>26008</v>
      </c>
      <c r="U783" s="558"/>
      <c r="V783" s="558" t="s">
        <v>9334</v>
      </c>
      <c r="W783" s="558" t="s">
        <v>469</v>
      </c>
      <c r="X783" s="558" t="s">
        <v>194</v>
      </c>
      <c r="Y783" s="558" t="s">
        <v>9300</v>
      </c>
      <c r="Z783" s="558"/>
      <c r="AA783" s="558"/>
      <c r="AB783" s="558" t="s">
        <v>9311</v>
      </c>
      <c r="AC783" s="558"/>
      <c r="AD783" s="558"/>
      <c r="AE783" s="558"/>
      <c r="AF783" s="558"/>
      <c r="AG783" s="558"/>
      <c r="AH783" s="558" t="s">
        <v>4714</v>
      </c>
      <c r="AI783" s="558" t="s">
        <v>9433</v>
      </c>
      <c r="AJ783" s="601" t="str">
        <f t="shared" si="24"/>
        <v>243303</v>
      </c>
      <c r="AK783" s="601">
        <v>1</v>
      </c>
      <c r="AL783" s="601">
        <f t="shared" si="25"/>
        <v>1</v>
      </c>
      <c r="AM783" s="601">
        <v>1</v>
      </c>
      <c r="AN783" s="603" t="s">
        <v>17650</v>
      </c>
      <c r="AO783" s="603" t="s">
        <v>17651</v>
      </c>
      <c r="AP783" s="603" t="s">
        <v>17652</v>
      </c>
      <c r="AQ783" s="603" t="s">
        <v>17653</v>
      </c>
      <c r="AR783" s="603" t="s">
        <v>1024</v>
      </c>
      <c r="AS783" s="558">
        <v>1</v>
      </c>
    </row>
    <row r="784" spans="1:45" x14ac:dyDescent="0.2">
      <c r="A784" s="558" t="s">
        <v>9886</v>
      </c>
      <c r="B784" s="558" t="s">
        <v>25331</v>
      </c>
      <c r="C784" s="558" t="s">
        <v>67</v>
      </c>
      <c r="D784" s="558" t="s">
        <v>23307</v>
      </c>
      <c r="E784" s="558" t="s">
        <v>217</v>
      </c>
      <c r="F784" s="563">
        <v>1</v>
      </c>
      <c r="G784" s="558" t="s">
        <v>194</v>
      </c>
      <c r="H784" s="558" t="s">
        <v>193</v>
      </c>
      <c r="I784" s="558" t="s">
        <v>23164</v>
      </c>
      <c r="J784" s="558" t="s">
        <v>253</v>
      </c>
      <c r="K784" s="558" t="s">
        <v>9309</v>
      </c>
      <c r="L784" s="558" t="s">
        <v>6955</v>
      </c>
      <c r="M784" s="558"/>
      <c r="N784" s="558" t="s">
        <v>25363</v>
      </c>
      <c r="O784" s="558" t="s">
        <v>6269</v>
      </c>
      <c r="P784" s="558" t="s">
        <v>25917</v>
      </c>
      <c r="Q784" s="558" t="s">
        <v>23213</v>
      </c>
      <c r="R784" s="558" t="s">
        <v>25333</v>
      </c>
      <c r="S784" s="558" t="s">
        <v>26009</v>
      </c>
      <c r="T784" s="558" t="s">
        <v>26010</v>
      </c>
      <c r="U784" s="558"/>
      <c r="V784" s="558" t="s">
        <v>9468</v>
      </c>
      <c r="W784" s="558" t="s">
        <v>709</v>
      </c>
      <c r="X784" s="558" t="s">
        <v>194</v>
      </c>
      <c r="Y784" s="558" t="s">
        <v>9300</v>
      </c>
      <c r="Z784" s="558"/>
      <c r="AA784" s="558"/>
      <c r="AB784" s="558" t="s">
        <v>9311</v>
      </c>
      <c r="AC784" s="558"/>
      <c r="AD784" s="558"/>
      <c r="AE784" s="558"/>
      <c r="AF784" s="558"/>
      <c r="AG784" s="558"/>
      <c r="AH784" s="558" t="s">
        <v>4714</v>
      </c>
      <c r="AI784" s="558" t="s">
        <v>9433</v>
      </c>
      <c r="AJ784" s="601" t="str">
        <f t="shared" si="24"/>
        <v>432103</v>
      </c>
      <c r="AK784" s="601">
        <v>1</v>
      </c>
      <c r="AL784" s="601">
        <f t="shared" si="25"/>
        <v>1</v>
      </c>
      <c r="AM784" s="601">
        <v>1</v>
      </c>
      <c r="AN784" s="603" t="s">
        <v>17650</v>
      </c>
      <c r="AO784" s="603" t="s">
        <v>17651</v>
      </c>
      <c r="AP784" s="603" t="s">
        <v>17652</v>
      </c>
      <c r="AQ784" s="603" t="s">
        <v>17653</v>
      </c>
      <c r="AR784" s="603" t="s">
        <v>1024</v>
      </c>
      <c r="AS784" s="558">
        <v>1</v>
      </c>
    </row>
    <row r="785" spans="1:48" x14ac:dyDescent="0.2">
      <c r="A785" s="558" t="s">
        <v>15464</v>
      </c>
      <c r="B785" s="558" t="s">
        <v>16319</v>
      </c>
      <c r="C785" s="558" t="s">
        <v>80</v>
      </c>
      <c r="D785" s="558" t="s">
        <v>23307</v>
      </c>
      <c r="E785" s="558" t="s">
        <v>217</v>
      </c>
      <c r="F785" s="563">
        <v>1</v>
      </c>
      <c r="G785" s="558" t="s">
        <v>193</v>
      </c>
      <c r="H785" s="558" t="s">
        <v>194</v>
      </c>
      <c r="I785" s="558" t="s">
        <v>23164</v>
      </c>
      <c r="J785" s="558" t="s">
        <v>210</v>
      </c>
      <c r="K785" s="558" t="s">
        <v>9309</v>
      </c>
      <c r="L785" s="558" t="s">
        <v>6955</v>
      </c>
      <c r="M785" s="558"/>
      <c r="N785" s="558" t="s">
        <v>22191</v>
      </c>
      <c r="O785" s="558" t="s">
        <v>6269</v>
      </c>
      <c r="P785" s="558" t="s">
        <v>25917</v>
      </c>
      <c r="Q785" s="558" t="s">
        <v>23160</v>
      </c>
      <c r="R785" s="558" t="s">
        <v>23198</v>
      </c>
      <c r="S785" s="558" t="s">
        <v>26011</v>
      </c>
      <c r="T785" s="558" t="s">
        <v>26012</v>
      </c>
      <c r="U785" s="558"/>
      <c r="V785" s="558" t="s">
        <v>9334</v>
      </c>
      <c r="W785" s="558" t="s">
        <v>474</v>
      </c>
      <c r="X785" s="558" t="s">
        <v>194</v>
      </c>
      <c r="Y785" s="558" t="s">
        <v>9300</v>
      </c>
      <c r="Z785" s="558"/>
      <c r="AA785" s="558"/>
      <c r="AB785" s="558" t="s">
        <v>9311</v>
      </c>
      <c r="AC785" s="558"/>
      <c r="AD785" s="558"/>
      <c r="AE785" s="558"/>
      <c r="AF785" s="558"/>
      <c r="AG785" s="558"/>
      <c r="AH785" s="558" t="s">
        <v>4714</v>
      </c>
      <c r="AI785" s="558" t="s">
        <v>9433</v>
      </c>
      <c r="AJ785" s="601" t="str">
        <f t="shared" si="24"/>
        <v>243304</v>
      </c>
      <c r="AK785" s="601">
        <v>1</v>
      </c>
      <c r="AL785" s="601">
        <f t="shared" si="25"/>
        <v>1</v>
      </c>
      <c r="AM785" s="601">
        <v>1</v>
      </c>
      <c r="AN785" s="603" t="s">
        <v>17650</v>
      </c>
      <c r="AO785" s="603" t="s">
        <v>17651</v>
      </c>
      <c r="AP785" s="603" t="s">
        <v>17652</v>
      </c>
      <c r="AQ785" s="603" t="s">
        <v>17653</v>
      </c>
      <c r="AR785" s="603" t="s">
        <v>1024</v>
      </c>
      <c r="AS785" s="558">
        <v>1</v>
      </c>
    </row>
    <row r="786" spans="1:48" x14ac:dyDescent="0.2">
      <c r="A786" s="558" t="s">
        <v>23858</v>
      </c>
      <c r="B786" s="558" t="s">
        <v>26013</v>
      </c>
      <c r="C786" s="558" t="s">
        <v>26014</v>
      </c>
      <c r="D786" s="558" t="s">
        <v>23307</v>
      </c>
      <c r="E786" s="558" t="s">
        <v>217</v>
      </c>
      <c r="F786" s="563">
        <v>1</v>
      </c>
      <c r="G786" s="558" t="s">
        <v>193</v>
      </c>
      <c r="H786" s="558" t="s">
        <v>194</v>
      </c>
      <c r="I786" s="558" t="s">
        <v>23164</v>
      </c>
      <c r="J786" s="558" t="s">
        <v>399</v>
      </c>
      <c r="K786" s="558" t="s">
        <v>9309</v>
      </c>
      <c r="L786" s="558" t="s">
        <v>6955</v>
      </c>
      <c r="M786" s="558"/>
      <c r="N786" s="558" t="s">
        <v>26015</v>
      </c>
      <c r="O786" s="558" t="s">
        <v>6275</v>
      </c>
      <c r="P786" s="558" t="s">
        <v>25917</v>
      </c>
      <c r="Q786" s="558" t="s">
        <v>23703</v>
      </c>
      <c r="R786" s="558" t="s">
        <v>25965</v>
      </c>
      <c r="S786" s="558" t="s">
        <v>26016</v>
      </c>
      <c r="T786" s="558" t="s">
        <v>26017</v>
      </c>
      <c r="U786" s="558"/>
      <c r="V786" s="558" t="s">
        <v>11135</v>
      </c>
      <c r="W786" s="558" t="s">
        <v>1691</v>
      </c>
      <c r="X786" s="558" t="s">
        <v>194</v>
      </c>
      <c r="Y786" s="558" t="s">
        <v>9300</v>
      </c>
      <c r="Z786" s="558"/>
      <c r="AA786" s="558"/>
      <c r="AB786" s="558" t="s">
        <v>9311</v>
      </c>
      <c r="AC786" s="558"/>
      <c r="AD786" s="558"/>
      <c r="AE786" s="558"/>
      <c r="AF786" s="558"/>
      <c r="AG786" s="558"/>
      <c r="AH786" s="558" t="s">
        <v>4714</v>
      </c>
      <c r="AI786" s="558" t="s">
        <v>9433</v>
      </c>
      <c r="AJ786" s="601" t="str">
        <f t="shared" si="24"/>
        <v>933401</v>
      </c>
      <c r="AK786" s="601">
        <v>1</v>
      </c>
      <c r="AL786" s="601">
        <f t="shared" si="25"/>
        <v>1</v>
      </c>
      <c r="AM786" s="601">
        <v>1</v>
      </c>
      <c r="AN786" s="603" t="s">
        <v>17650</v>
      </c>
      <c r="AO786" s="603" t="s">
        <v>17651</v>
      </c>
      <c r="AP786" s="603" t="s">
        <v>17652</v>
      </c>
      <c r="AQ786" s="603" t="s">
        <v>17653</v>
      </c>
      <c r="AR786" s="603" t="s">
        <v>1024</v>
      </c>
      <c r="AS786" s="558">
        <v>1</v>
      </c>
    </row>
    <row r="787" spans="1:48" x14ac:dyDescent="0.2">
      <c r="A787" s="558" t="s">
        <v>9886</v>
      </c>
      <c r="B787" s="558" t="s">
        <v>25331</v>
      </c>
      <c r="C787" s="558" t="s">
        <v>67</v>
      </c>
      <c r="D787" s="558" t="s">
        <v>23307</v>
      </c>
      <c r="E787" s="558" t="s">
        <v>217</v>
      </c>
      <c r="F787" s="563">
        <v>1</v>
      </c>
      <c r="G787" s="558" t="s">
        <v>194</v>
      </c>
      <c r="H787" s="558" t="s">
        <v>193</v>
      </c>
      <c r="I787" s="558" t="s">
        <v>23164</v>
      </c>
      <c r="J787" s="558" t="s">
        <v>4751</v>
      </c>
      <c r="K787" s="558" t="s">
        <v>9309</v>
      </c>
      <c r="L787" s="558" t="s">
        <v>6955</v>
      </c>
      <c r="M787" s="558"/>
      <c r="N787" s="558" t="s">
        <v>25374</v>
      </c>
      <c r="O787" s="558" t="s">
        <v>6269</v>
      </c>
      <c r="P787" s="558" t="s">
        <v>25917</v>
      </c>
      <c r="Q787" s="558" t="s">
        <v>23213</v>
      </c>
      <c r="R787" s="558" t="s">
        <v>25333</v>
      </c>
      <c r="S787" s="558" t="s">
        <v>26018</v>
      </c>
      <c r="T787" s="558" t="s">
        <v>26019</v>
      </c>
      <c r="U787" s="558"/>
      <c r="V787" s="558" t="s">
        <v>9472</v>
      </c>
      <c r="W787" s="558" t="s">
        <v>709</v>
      </c>
      <c r="X787" s="558" t="s">
        <v>194</v>
      </c>
      <c r="Y787" s="558" t="s">
        <v>9300</v>
      </c>
      <c r="Z787" s="558"/>
      <c r="AA787" s="558"/>
      <c r="AB787" s="558" t="s">
        <v>9311</v>
      </c>
      <c r="AC787" s="558"/>
      <c r="AD787" s="558"/>
      <c r="AE787" s="558"/>
      <c r="AF787" s="558"/>
      <c r="AG787" s="558"/>
      <c r="AH787" s="558" t="s">
        <v>4714</v>
      </c>
      <c r="AI787" s="558" t="s">
        <v>9433</v>
      </c>
      <c r="AJ787" s="601" t="str">
        <f t="shared" si="24"/>
        <v>432103</v>
      </c>
      <c r="AK787" s="601">
        <v>1</v>
      </c>
      <c r="AL787" s="601">
        <f t="shared" si="25"/>
        <v>1</v>
      </c>
      <c r="AM787" s="601">
        <v>1</v>
      </c>
      <c r="AN787" s="603" t="s">
        <v>17650</v>
      </c>
      <c r="AO787" s="603" t="s">
        <v>17651</v>
      </c>
      <c r="AP787" s="603" t="s">
        <v>17652</v>
      </c>
      <c r="AQ787" s="603" t="s">
        <v>17653</v>
      </c>
      <c r="AR787" s="603" t="s">
        <v>1024</v>
      </c>
      <c r="AS787" s="558">
        <v>1</v>
      </c>
    </row>
    <row r="788" spans="1:48" x14ac:dyDescent="0.2">
      <c r="A788" s="558" t="s">
        <v>581</v>
      </c>
      <c r="B788" s="558" t="s">
        <v>25354</v>
      </c>
      <c r="C788" s="558" t="s">
        <v>85</v>
      </c>
      <c r="D788" s="558" t="s">
        <v>23307</v>
      </c>
      <c r="E788" s="558" t="s">
        <v>217</v>
      </c>
      <c r="F788" s="563">
        <v>1</v>
      </c>
      <c r="G788" s="558" t="s">
        <v>193</v>
      </c>
      <c r="H788" s="558" t="s">
        <v>194</v>
      </c>
      <c r="I788" s="558" t="s">
        <v>23164</v>
      </c>
      <c r="J788" s="558" t="s">
        <v>1829</v>
      </c>
      <c r="K788" s="558" t="s">
        <v>9309</v>
      </c>
      <c r="L788" s="558" t="s">
        <v>6955</v>
      </c>
      <c r="M788" s="558"/>
      <c r="N788" s="558" t="s">
        <v>25355</v>
      </c>
      <c r="O788" s="558" t="s">
        <v>6251</v>
      </c>
      <c r="P788" s="558" t="s">
        <v>25917</v>
      </c>
      <c r="Q788" s="558" t="s">
        <v>25292</v>
      </c>
      <c r="R788" s="558" t="s">
        <v>24619</v>
      </c>
      <c r="S788" s="558" t="s">
        <v>26020</v>
      </c>
      <c r="T788" s="558" t="s">
        <v>26021</v>
      </c>
      <c r="U788" s="558"/>
      <c r="V788" s="558" t="s">
        <v>9726</v>
      </c>
      <c r="W788" s="558" t="s">
        <v>477</v>
      </c>
      <c r="X788" s="558" t="s">
        <v>194</v>
      </c>
      <c r="Y788" s="558" t="s">
        <v>9300</v>
      </c>
      <c r="Z788" s="558"/>
      <c r="AA788" s="558"/>
      <c r="AB788" s="558" t="s">
        <v>9311</v>
      </c>
      <c r="AC788" s="558"/>
      <c r="AD788" s="558"/>
      <c r="AE788" s="558"/>
      <c r="AF788" s="558"/>
      <c r="AG788" s="558"/>
      <c r="AH788" s="558" t="s">
        <v>4714</v>
      </c>
      <c r="AI788" s="558" t="s">
        <v>9433</v>
      </c>
      <c r="AJ788" s="601" t="str">
        <f t="shared" si="24"/>
        <v>243305</v>
      </c>
      <c r="AK788" s="601">
        <v>1</v>
      </c>
      <c r="AL788" s="601">
        <f t="shared" si="25"/>
        <v>1</v>
      </c>
      <c r="AM788" s="601">
        <v>1</v>
      </c>
      <c r="AN788" s="603" t="s">
        <v>17650</v>
      </c>
      <c r="AO788" s="603" t="s">
        <v>17651</v>
      </c>
      <c r="AP788" s="603" t="s">
        <v>17652</v>
      </c>
      <c r="AQ788" s="603" t="s">
        <v>17653</v>
      </c>
      <c r="AR788" s="603" t="s">
        <v>1024</v>
      </c>
      <c r="AS788" s="558">
        <v>1</v>
      </c>
    </row>
    <row r="789" spans="1:48" x14ac:dyDescent="0.2">
      <c r="A789" s="558" t="s">
        <v>258</v>
      </c>
      <c r="B789" s="558" t="s">
        <v>7677</v>
      </c>
      <c r="C789" s="558" t="s">
        <v>778</v>
      </c>
      <c r="D789" s="558" t="s">
        <v>23307</v>
      </c>
      <c r="E789" s="558" t="s">
        <v>217</v>
      </c>
      <c r="F789" s="563">
        <v>1</v>
      </c>
      <c r="G789" s="558" t="s">
        <v>193</v>
      </c>
      <c r="H789" s="558" t="s">
        <v>194</v>
      </c>
      <c r="I789" s="558" t="s">
        <v>23164</v>
      </c>
      <c r="J789" s="558" t="s">
        <v>316</v>
      </c>
      <c r="K789" s="558" t="s">
        <v>9309</v>
      </c>
      <c r="L789" s="558" t="s">
        <v>6955</v>
      </c>
      <c r="M789" s="558"/>
      <c r="N789" s="558" t="s">
        <v>25336</v>
      </c>
      <c r="O789" s="558" t="s">
        <v>6251</v>
      </c>
      <c r="P789" s="558" t="s">
        <v>25974</v>
      </c>
      <c r="Q789" s="558" t="s">
        <v>23266</v>
      </c>
      <c r="R789" s="558" t="s">
        <v>25337</v>
      </c>
      <c r="S789" s="558" t="s">
        <v>26022</v>
      </c>
      <c r="T789" s="558" t="s">
        <v>26023</v>
      </c>
      <c r="U789" s="558"/>
      <c r="V789" s="558" t="s">
        <v>10012</v>
      </c>
      <c r="W789" s="558" t="s">
        <v>779</v>
      </c>
      <c r="X789" s="558" t="s">
        <v>194</v>
      </c>
      <c r="Y789" s="558" t="s">
        <v>9300</v>
      </c>
      <c r="Z789" s="558"/>
      <c r="AA789" s="558"/>
      <c r="AB789" s="558" t="s">
        <v>9311</v>
      </c>
      <c r="AC789" s="558"/>
      <c r="AD789" s="558"/>
      <c r="AE789" s="558"/>
      <c r="AF789" s="558"/>
      <c r="AG789" s="558"/>
      <c r="AH789" s="558" t="s">
        <v>4714</v>
      </c>
      <c r="AI789" s="558" t="s">
        <v>778</v>
      </c>
      <c r="AJ789" s="601" t="str">
        <f t="shared" si="24"/>
        <v>524902</v>
      </c>
      <c r="AK789" s="601">
        <v>1</v>
      </c>
      <c r="AL789" s="601">
        <f t="shared" si="25"/>
        <v>1</v>
      </c>
      <c r="AM789" s="601">
        <v>1</v>
      </c>
      <c r="AN789" s="603" t="s">
        <v>17650</v>
      </c>
      <c r="AO789" s="603" t="s">
        <v>17651</v>
      </c>
      <c r="AP789" s="603" t="s">
        <v>17652</v>
      </c>
      <c r="AQ789" s="603" t="s">
        <v>17653</v>
      </c>
      <c r="AR789" s="603" t="s">
        <v>1024</v>
      </c>
      <c r="AS789" s="558">
        <v>1</v>
      </c>
    </row>
    <row r="790" spans="1:48" x14ac:dyDescent="0.2">
      <c r="A790" s="558" t="s">
        <v>26024</v>
      </c>
      <c r="B790" s="558" t="s">
        <v>26025</v>
      </c>
      <c r="C790" s="558" t="s">
        <v>17</v>
      </c>
      <c r="D790" s="558" t="s">
        <v>23307</v>
      </c>
      <c r="E790" s="558" t="s">
        <v>217</v>
      </c>
      <c r="F790" s="563">
        <v>1</v>
      </c>
      <c r="G790" s="558" t="s">
        <v>193</v>
      </c>
      <c r="H790" s="558" t="s">
        <v>194</v>
      </c>
      <c r="I790" s="558" t="s">
        <v>23164</v>
      </c>
      <c r="J790" s="558" t="s">
        <v>210</v>
      </c>
      <c r="K790" s="558" t="s">
        <v>9309</v>
      </c>
      <c r="L790" s="558" t="s">
        <v>6955</v>
      </c>
      <c r="M790" s="558"/>
      <c r="N790" s="558" t="s">
        <v>26026</v>
      </c>
      <c r="O790" s="558" t="s">
        <v>6249</v>
      </c>
      <c r="P790" s="558" t="s">
        <v>25917</v>
      </c>
      <c r="Q790" s="558" t="s">
        <v>23160</v>
      </c>
      <c r="R790" s="558" t="s">
        <v>26027</v>
      </c>
      <c r="S790" s="558" t="s">
        <v>26028</v>
      </c>
      <c r="T790" s="558" t="s">
        <v>26029</v>
      </c>
      <c r="U790" s="558"/>
      <c r="V790" s="558" t="s">
        <v>9334</v>
      </c>
      <c r="W790" s="558" t="s">
        <v>624</v>
      </c>
      <c r="X790" s="558" t="s">
        <v>194</v>
      </c>
      <c r="Y790" s="558" t="s">
        <v>9300</v>
      </c>
      <c r="Z790" s="558"/>
      <c r="AA790" s="558"/>
      <c r="AB790" s="558" t="s">
        <v>9311</v>
      </c>
      <c r="AC790" s="558"/>
      <c r="AD790" s="558"/>
      <c r="AE790" s="558"/>
      <c r="AF790" s="558"/>
      <c r="AG790" s="558"/>
      <c r="AH790" s="558" t="s">
        <v>4714</v>
      </c>
      <c r="AI790" s="558" t="s">
        <v>9433</v>
      </c>
      <c r="AJ790" s="601" t="str">
        <f t="shared" si="24"/>
        <v>332203</v>
      </c>
      <c r="AK790" s="601">
        <v>1</v>
      </c>
      <c r="AL790" s="601">
        <f t="shared" si="25"/>
        <v>1</v>
      </c>
      <c r="AM790" s="601">
        <v>1</v>
      </c>
      <c r="AN790" s="603" t="s">
        <v>17650</v>
      </c>
      <c r="AO790" s="603" t="s">
        <v>17651</v>
      </c>
      <c r="AP790" s="603" t="s">
        <v>17652</v>
      </c>
      <c r="AQ790" s="603" t="s">
        <v>17653</v>
      </c>
      <c r="AR790" s="603" t="s">
        <v>1024</v>
      </c>
      <c r="AS790" s="558">
        <v>1</v>
      </c>
    </row>
    <row r="791" spans="1:48" x14ac:dyDescent="0.2">
      <c r="A791" s="558" t="s">
        <v>581</v>
      </c>
      <c r="B791" s="558" t="s">
        <v>25381</v>
      </c>
      <c r="C791" s="558" t="s">
        <v>85</v>
      </c>
      <c r="D791" s="558" t="s">
        <v>23307</v>
      </c>
      <c r="E791" s="558" t="s">
        <v>217</v>
      </c>
      <c r="F791" s="563">
        <v>1</v>
      </c>
      <c r="G791" s="558" t="s">
        <v>193</v>
      </c>
      <c r="H791" s="558" t="s">
        <v>194</v>
      </c>
      <c r="I791" s="558" t="s">
        <v>23164</v>
      </c>
      <c r="J791" s="558" t="s">
        <v>1829</v>
      </c>
      <c r="K791" s="558" t="s">
        <v>9309</v>
      </c>
      <c r="L791" s="558" t="s">
        <v>6955</v>
      </c>
      <c r="M791" s="558"/>
      <c r="N791" s="558" t="s">
        <v>25382</v>
      </c>
      <c r="O791" s="558" t="s">
        <v>6251</v>
      </c>
      <c r="P791" s="558" t="s">
        <v>25917</v>
      </c>
      <c r="Q791" s="558" t="s">
        <v>25292</v>
      </c>
      <c r="R791" s="558" t="s">
        <v>24619</v>
      </c>
      <c r="S791" s="558" t="s">
        <v>26030</v>
      </c>
      <c r="T791" s="558" t="s">
        <v>26031</v>
      </c>
      <c r="U791" s="558"/>
      <c r="V791" s="558" t="s">
        <v>9726</v>
      </c>
      <c r="W791" s="558" t="s">
        <v>477</v>
      </c>
      <c r="X791" s="558" t="s">
        <v>194</v>
      </c>
      <c r="Y791" s="558" t="s">
        <v>9300</v>
      </c>
      <c r="Z791" s="558"/>
      <c r="AA791" s="558"/>
      <c r="AB791" s="558" t="s">
        <v>9311</v>
      </c>
      <c r="AC791" s="558"/>
      <c r="AD791" s="558"/>
      <c r="AE791" s="558"/>
      <c r="AF791" s="558"/>
      <c r="AG791" s="558"/>
      <c r="AH791" s="558" t="s">
        <v>4714</v>
      </c>
      <c r="AI791" s="558" t="s">
        <v>9433</v>
      </c>
      <c r="AJ791" s="601" t="str">
        <f t="shared" si="24"/>
        <v>243305</v>
      </c>
      <c r="AK791" s="601">
        <v>1</v>
      </c>
      <c r="AL791" s="601">
        <f t="shared" si="25"/>
        <v>1</v>
      </c>
      <c r="AM791" s="601">
        <v>1</v>
      </c>
      <c r="AN791" s="603" t="s">
        <v>17650</v>
      </c>
      <c r="AO791" s="603" t="s">
        <v>17651</v>
      </c>
      <c r="AP791" s="603" t="s">
        <v>17652</v>
      </c>
      <c r="AQ791" s="603" t="s">
        <v>17653</v>
      </c>
      <c r="AR791" s="603" t="s">
        <v>1024</v>
      </c>
      <c r="AS791" s="558">
        <v>1</v>
      </c>
    </row>
    <row r="792" spans="1:48" x14ac:dyDescent="0.2">
      <c r="A792" s="558" t="s">
        <v>581</v>
      </c>
      <c r="B792" s="558" t="s">
        <v>25347</v>
      </c>
      <c r="C792" s="558" t="s">
        <v>886</v>
      </c>
      <c r="D792" s="558" t="s">
        <v>23307</v>
      </c>
      <c r="E792" s="558" t="s">
        <v>217</v>
      </c>
      <c r="F792" s="563">
        <v>1</v>
      </c>
      <c r="G792" s="558" t="s">
        <v>193</v>
      </c>
      <c r="H792" s="558" t="s">
        <v>194</v>
      </c>
      <c r="I792" s="558" t="s">
        <v>23164</v>
      </c>
      <c r="J792" s="558" t="s">
        <v>976</v>
      </c>
      <c r="K792" s="558" t="s">
        <v>9309</v>
      </c>
      <c r="L792" s="558" t="s">
        <v>6955</v>
      </c>
      <c r="M792" s="558"/>
      <c r="N792" s="558" t="s">
        <v>25348</v>
      </c>
      <c r="O792" s="558" t="s">
        <v>6275</v>
      </c>
      <c r="P792" s="558" t="s">
        <v>25917</v>
      </c>
      <c r="Q792" s="558" t="s">
        <v>23703</v>
      </c>
      <c r="R792" s="558" t="s">
        <v>25349</v>
      </c>
      <c r="S792" s="558" t="s">
        <v>26032</v>
      </c>
      <c r="T792" s="558" t="s">
        <v>26033</v>
      </c>
      <c r="U792" s="558"/>
      <c r="V792" s="558" t="s">
        <v>9726</v>
      </c>
      <c r="W792" s="558" t="s">
        <v>887</v>
      </c>
      <c r="X792" s="558" t="s">
        <v>194</v>
      </c>
      <c r="Y792" s="558" t="s">
        <v>9300</v>
      </c>
      <c r="Z792" s="558"/>
      <c r="AA792" s="558"/>
      <c r="AB792" s="558" t="s">
        <v>9311</v>
      </c>
      <c r="AC792" s="558"/>
      <c r="AD792" s="558"/>
      <c r="AE792" s="558"/>
      <c r="AF792" s="558"/>
      <c r="AG792" s="558"/>
      <c r="AH792" s="558" t="s">
        <v>4714</v>
      </c>
      <c r="AI792" s="558" t="s">
        <v>9433</v>
      </c>
      <c r="AJ792" s="601" t="str">
        <f t="shared" si="24"/>
        <v>834401</v>
      </c>
      <c r="AK792" s="601">
        <v>1</v>
      </c>
      <c r="AL792" s="601">
        <f t="shared" si="25"/>
        <v>1</v>
      </c>
      <c r="AM792" s="601">
        <v>1</v>
      </c>
      <c r="AN792" s="603" t="s">
        <v>17650</v>
      </c>
      <c r="AO792" s="603" t="s">
        <v>17651</v>
      </c>
      <c r="AP792" s="603" t="s">
        <v>17652</v>
      </c>
      <c r="AQ792" s="603" t="s">
        <v>17653</v>
      </c>
      <c r="AR792" s="603" t="s">
        <v>1024</v>
      </c>
      <c r="AS792" s="558">
        <v>1</v>
      </c>
    </row>
    <row r="793" spans="1:48" x14ac:dyDescent="0.2">
      <c r="A793" s="558" t="s">
        <v>258</v>
      </c>
      <c r="B793" s="558" t="s">
        <v>537</v>
      </c>
      <c r="C793" s="558" t="s">
        <v>778</v>
      </c>
      <c r="D793" s="558" t="s">
        <v>23307</v>
      </c>
      <c r="E793" s="558" t="s">
        <v>217</v>
      </c>
      <c r="F793" s="563">
        <v>1</v>
      </c>
      <c r="G793" s="558" t="s">
        <v>193</v>
      </c>
      <c r="H793" s="558" t="s">
        <v>194</v>
      </c>
      <c r="I793" s="558" t="s">
        <v>23164</v>
      </c>
      <c r="J793" s="558" t="s">
        <v>323</v>
      </c>
      <c r="K793" s="558" t="s">
        <v>9309</v>
      </c>
      <c r="L793" s="558" t="s">
        <v>6955</v>
      </c>
      <c r="M793" s="558"/>
      <c r="N793" s="558" t="s">
        <v>23834</v>
      </c>
      <c r="O793" s="558" t="s">
        <v>6251</v>
      </c>
      <c r="P793" s="558" t="s">
        <v>25974</v>
      </c>
      <c r="Q793" s="558" t="s">
        <v>23213</v>
      </c>
      <c r="R793" s="558" t="s">
        <v>23835</v>
      </c>
      <c r="S793" s="558" t="s">
        <v>26034</v>
      </c>
      <c r="T793" s="558" t="s">
        <v>26035</v>
      </c>
      <c r="U793" s="558"/>
      <c r="V793" s="558" t="s">
        <v>9514</v>
      </c>
      <c r="W793" s="558" t="s">
        <v>779</v>
      </c>
      <c r="X793" s="558" t="s">
        <v>194</v>
      </c>
      <c r="Y793" s="558" t="s">
        <v>9300</v>
      </c>
      <c r="Z793" s="558"/>
      <c r="AA793" s="558"/>
      <c r="AB793" s="558" t="s">
        <v>9311</v>
      </c>
      <c r="AC793" s="558"/>
      <c r="AD793" s="558"/>
      <c r="AE793" s="558"/>
      <c r="AF793" s="558"/>
      <c r="AG793" s="558"/>
      <c r="AH793" s="558" t="s">
        <v>4714</v>
      </c>
      <c r="AI793" s="558" t="s">
        <v>778</v>
      </c>
      <c r="AJ793" s="601" t="str">
        <f t="shared" si="24"/>
        <v>524902</v>
      </c>
      <c r="AK793" s="601">
        <v>1</v>
      </c>
      <c r="AL793" s="601">
        <f t="shared" si="25"/>
        <v>1</v>
      </c>
      <c r="AM793" s="601">
        <v>1</v>
      </c>
      <c r="AN793" s="603" t="s">
        <v>17650</v>
      </c>
      <c r="AO793" s="603" t="s">
        <v>17651</v>
      </c>
      <c r="AP793" s="603" t="s">
        <v>17652</v>
      </c>
      <c r="AQ793" s="603" t="s">
        <v>17653</v>
      </c>
      <c r="AR793" s="603" t="s">
        <v>1024</v>
      </c>
      <c r="AS793" s="558">
        <v>1</v>
      </c>
    </row>
    <row r="794" spans="1:48" x14ac:dyDescent="0.2">
      <c r="A794" s="558" t="s">
        <v>23858</v>
      </c>
      <c r="B794" s="558" t="s">
        <v>25366</v>
      </c>
      <c r="C794" s="558" t="s">
        <v>740</v>
      </c>
      <c r="D794" s="558" t="s">
        <v>23307</v>
      </c>
      <c r="E794" s="558" t="s">
        <v>217</v>
      </c>
      <c r="F794" s="563">
        <v>1</v>
      </c>
      <c r="G794" s="558" t="s">
        <v>193</v>
      </c>
      <c r="H794" s="558" t="s">
        <v>194</v>
      </c>
      <c r="I794" s="558" t="s">
        <v>23164</v>
      </c>
      <c r="J794" s="558" t="s">
        <v>4751</v>
      </c>
      <c r="K794" s="558" t="s">
        <v>9309</v>
      </c>
      <c r="L794" s="558" t="s">
        <v>6955</v>
      </c>
      <c r="M794" s="558"/>
      <c r="N794" s="558" t="s">
        <v>25367</v>
      </c>
      <c r="O794" s="558" t="s">
        <v>6251</v>
      </c>
      <c r="P794" s="558" t="s">
        <v>25917</v>
      </c>
      <c r="Q794" s="558" t="s">
        <v>23266</v>
      </c>
      <c r="R794" s="558" t="s">
        <v>25337</v>
      </c>
      <c r="S794" s="558" t="s">
        <v>26036</v>
      </c>
      <c r="T794" s="558" t="s">
        <v>26037</v>
      </c>
      <c r="U794" s="558"/>
      <c r="V794" s="558" t="s">
        <v>9472</v>
      </c>
      <c r="W794" s="558" t="s">
        <v>741</v>
      </c>
      <c r="X794" s="558" t="s">
        <v>194</v>
      </c>
      <c r="Y794" s="558" t="s">
        <v>9300</v>
      </c>
      <c r="Z794" s="558"/>
      <c r="AA794" s="558"/>
      <c r="AB794" s="558" t="s">
        <v>9311</v>
      </c>
      <c r="AC794" s="558"/>
      <c r="AD794" s="558"/>
      <c r="AE794" s="558"/>
      <c r="AF794" s="558"/>
      <c r="AG794" s="558"/>
      <c r="AH794" s="558" t="s">
        <v>4714</v>
      </c>
      <c r="AI794" s="558" t="s">
        <v>9433</v>
      </c>
      <c r="AJ794" s="601" t="str">
        <f t="shared" si="24"/>
        <v>522301</v>
      </c>
      <c r="AK794" s="601">
        <v>1</v>
      </c>
      <c r="AL794" s="601">
        <f t="shared" si="25"/>
        <v>1</v>
      </c>
      <c r="AM794" s="601">
        <v>1</v>
      </c>
      <c r="AN794" s="603" t="s">
        <v>17650</v>
      </c>
      <c r="AO794" s="603" t="s">
        <v>17651</v>
      </c>
      <c r="AP794" s="603" t="s">
        <v>17652</v>
      </c>
      <c r="AQ794" s="603" t="s">
        <v>17653</v>
      </c>
      <c r="AR794" s="603" t="s">
        <v>1024</v>
      </c>
      <c r="AS794" s="558">
        <v>1</v>
      </c>
    </row>
    <row r="795" spans="1:48" x14ac:dyDescent="0.2">
      <c r="A795" s="558" t="s">
        <v>9886</v>
      </c>
      <c r="B795" s="558" t="s">
        <v>25324</v>
      </c>
      <c r="C795" s="558" t="s">
        <v>740</v>
      </c>
      <c r="D795" s="558" t="s">
        <v>23307</v>
      </c>
      <c r="E795" s="558" t="s">
        <v>217</v>
      </c>
      <c r="F795" s="563">
        <v>1</v>
      </c>
      <c r="G795" s="558" t="s">
        <v>193</v>
      </c>
      <c r="H795" s="558" t="s">
        <v>194</v>
      </c>
      <c r="I795" s="558" t="s">
        <v>23164</v>
      </c>
      <c r="J795" s="558" t="s">
        <v>6396</v>
      </c>
      <c r="K795" s="558" t="s">
        <v>9309</v>
      </c>
      <c r="L795" s="558" t="s">
        <v>6955</v>
      </c>
      <c r="M795" s="558"/>
      <c r="N795" s="558" t="s">
        <v>25326</v>
      </c>
      <c r="O795" s="558" t="s">
        <v>6249</v>
      </c>
      <c r="P795" s="558" t="s">
        <v>25917</v>
      </c>
      <c r="Q795" s="558" t="s">
        <v>23800</v>
      </c>
      <c r="R795" s="558" t="s">
        <v>23718</v>
      </c>
      <c r="S795" s="558" t="s">
        <v>26038</v>
      </c>
      <c r="T795" s="558" t="s">
        <v>26039</v>
      </c>
      <c r="U795" s="558"/>
      <c r="V795" s="558" t="s">
        <v>9726</v>
      </c>
      <c r="W795" s="558" t="s">
        <v>741</v>
      </c>
      <c r="X795" s="558" t="s">
        <v>194</v>
      </c>
      <c r="Y795" s="558" t="s">
        <v>9300</v>
      </c>
      <c r="Z795" s="558"/>
      <c r="AA795" s="558"/>
      <c r="AB795" s="558" t="s">
        <v>9311</v>
      </c>
      <c r="AC795" s="558"/>
      <c r="AD795" s="558"/>
      <c r="AE795" s="558"/>
      <c r="AF795" s="558"/>
      <c r="AG795" s="558"/>
      <c r="AH795" s="558" t="s">
        <v>4714</v>
      </c>
      <c r="AI795" s="558" t="s">
        <v>9433</v>
      </c>
      <c r="AJ795" s="601" t="str">
        <f t="shared" si="24"/>
        <v>522301</v>
      </c>
      <c r="AK795" s="601">
        <v>1</v>
      </c>
      <c r="AL795" s="601">
        <f t="shared" si="25"/>
        <v>1</v>
      </c>
      <c r="AM795" s="601">
        <v>1</v>
      </c>
      <c r="AN795" s="603" t="s">
        <v>17650</v>
      </c>
      <c r="AO795" s="603" t="s">
        <v>17651</v>
      </c>
      <c r="AP795" s="603" t="s">
        <v>17652</v>
      </c>
      <c r="AQ795" s="603" t="s">
        <v>17653</v>
      </c>
      <c r="AR795" s="603" t="s">
        <v>1024</v>
      </c>
      <c r="AS795" s="558">
        <v>1</v>
      </c>
    </row>
    <row r="796" spans="1:48" x14ac:dyDescent="0.2">
      <c r="A796" s="558" t="s">
        <v>9886</v>
      </c>
      <c r="B796" s="558" t="s">
        <v>25331</v>
      </c>
      <c r="C796" s="558" t="s">
        <v>67</v>
      </c>
      <c r="D796" s="558" t="s">
        <v>23307</v>
      </c>
      <c r="E796" s="558" t="s">
        <v>217</v>
      </c>
      <c r="F796" s="563">
        <v>1</v>
      </c>
      <c r="G796" s="558" t="s">
        <v>194</v>
      </c>
      <c r="H796" s="558" t="s">
        <v>193</v>
      </c>
      <c r="I796" s="558" t="s">
        <v>23164</v>
      </c>
      <c r="J796" s="558" t="s">
        <v>210</v>
      </c>
      <c r="K796" s="558" t="s">
        <v>9309</v>
      </c>
      <c r="L796" s="558" t="s">
        <v>6955</v>
      </c>
      <c r="M796" s="558"/>
      <c r="N796" s="558" t="s">
        <v>25332</v>
      </c>
      <c r="O796" s="558" t="s">
        <v>6269</v>
      </c>
      <c r="P796" s="558" t="s">
        <v>25917</v>
      </c>
      <c r="Q796" s="558" t="s">
        <v>23213</v>
      </c>
      <c r="R796" s="558" t="s">
        <v>25333</v>
      </c>
      <c r="S796" s="558" t="s">
        <v>26040</v>
      </c>
      <c r="T796" s="558" t="s">
        <v>26041</v>
      </c>
      <c r="U796" s="558"/>
      <c r="V796" s="558" t="s">
        <v>9334</v>
      </c>
      <c r="W796" s="558" t="s">
        <v>709</v>
      </c>
      <c r="X796" s="558" t="s">
        <v>194</v>
      </c>
      <c r="Y796" s="558" t="s">
        <v>9300</v>
      </c>
      <c r="Z796" s="558"/>
      <c r="AA796" s="558"/>
      <c r="AB796" s="558" t="s">
        <v>9311</v>
      </c>
      <c r="AC796" s="558"/>
      <c r="AD796" s="558"/>
      <c r="AE796" s="558"/>
      <c r="AF796" s="558"/>
      <c r="AG796" s="558"/>
      <c r="AH796" s="558" t="s">
        <v>4714</v>
      </c>
      <c r="AI796" s="558" t="s">
        <v>9433</v>
      </c>
      <c r="AJ796" s="601" t="str">
        <f t="shared" si="24"/>
        <v>432103</v>
      </c>
      <c r="AK796" s="601">
        <v>1</v>
      </c>
      <c r="AL796" s="601">
        <f t="shared" si="25"/>
        <v>1</v>
      </c>
      <c r="AM796" s="601">
        <v>1</v>
      </c>
      <c r="AN796" s="603" t="s">
        <v>17650</v>
      </c>
      <c r="AO796" s="603" t="s">
        <v>17651</v>
      </c>
      <c r="AP796" s="603" t="s">
        <v>17652</v>
      </c>
      <c r="AQ796" s="603" t="s">
        <v>17653</v>
      </c>
      <c r="AR796" s="603" t="s">
        <v>1024</v>
      </c>
      <c r="AS796" s="558">
        <v>1</v>
      </c>
    </row>
    <row r="797" spans="1:48" x14ac:dyDescent="0.2">
      <c r="A797" s="558" t="s">
        <v>581</v>
      </c>
      <c r="B797" s="558" t="s">
        <v>26042</v>
      </c>
      <c r="C797" s="558" t="s">
        <v>886</v>
      </c>
      <c r="D797" s="558" t="s">
        <v>23307</v>
      </c>
      <c r="E797" s="558" t="s">
        <v>217</v>
      </c>
      <c r="F797" s="563">
        <v>1</v>
      </c>
      <c r="G797" s="558" t="s">
        <v>193</v>
      </c>
      <c r="H797" s="558" t="s">
        <v>194</v>
      </c>
      <c r="I797" s="558" t="s">
        <v>23164</v>
      </c>
      <c r="J797" s="558" t="s">
        <v>253</v>
      </c>
      <c r="K797" s="558" t="s">
        <v>9309</v>
      </c>
      <c r="L797" s="558" t="s">
        <v>6955</v>
      </c>
      <c r="M797" s="558"/>
      <c r="N797" s="558" t="s">
        <v>26043</v>
      </c>
      <c r="O797" s="558" t="s">
        <v>6275</v>
      </c>
      <c r="P797" s="558" t="s">
        <v>25917</v>
      </c>
      <c r="Q797" s="558" t="s">
        <v>23155</v>
      </c>
      <c r="R797" s="558" t="s">
        <v>25403</v>
      </c>
      <c r="S797" s="558" t="s">
        <v>26044</v>
      </c>
      <c r="T797" s="558" t="s">
        <v>26045</v>
      </c>
      <c r="U797" s="558"/>
      <c r="V797" s="558" t="s">
        <v>9468</v>
      </c>
      <c r="W797" s="558" t="s">
        <v>887</v>
      </c>
      <c r="X797" s="558" t="s">
        <v>194</v>
      </c>
      <c r="Y797" s="558" t="s">
        <v>9300</v>
      </c>
      <c r="Z797" s="558"/>
      <c r="AA797" s="558"/>
      <c r="AB797" s="558" t="s">
        <v>9311</v>
      </c>
      <c r="AC797" s="558"/>
      <c r="AD797" s="558"/>
      <c r="AE797" s="558"/>
      <c r="AF797" s="558"/>
      <c r="AG797" s="558"/>
      <c r="AH797" s="558" t="s">
        <v>4714</v>
      </c>
      <c r="AI797" s="558" t="s">
        <v>9433</v>
      </c>
      <c r="AJ797" s="601" t="str">
        <f t="shared" si="24"/>
        <v>834401</v>
      </c>
      <c r="AK797" s="601">
        <v>1</v>
      </c>
      <c r="AL797" s="601">
        <f t="shared" si="25"/>
        <v>1</v>
      </c>
      <c r="AM797" s="601">
        <v>1</v>
      </c>
      <c r="AN797" s="603" t="s">
        <v>17650</v>
      </c>
      <c r="AO797" s="603" t="s">
        <v>17651</v>
      </c>
      <c r="AP797" s="603" t="s">
        <v>17652</v>
      </c>
      <c r="AQ797" s="603" t="s">
        <v>17653</v>
      </c>
      <c r="AR797" s="603" t="s">
        <v>1024</v>
      </c>
      <c r="AS797" s="558">
        <v>1</v>
      </c>
    </row>
    <row r="798" spans="1:48" x14ac:dyDescent="0.2">
      <c r="E798" s="640"/>
      <c r="F798" s="606">
        <f>SUM(F2:F797)</f>
        <v>800</v>
      </c>
      <c r="V798" s="638">
        <f>ROWS(V2:V797)</f>
        <v>796</v>
      </c>
      <c r="Y798" s="639"/>
      <c r="AK798" s="604">
        <f>SUBTOTAL(109,AK2:AK797)</f>
        <v>796</v>
      </c>
      <c r="AL798" s="604">
        <f>SUBTOTAL(9,AL2:AL797)</f>
        <v>800</v>
      </c>
      <c r="AM798" s="604">
        <f>SUBTOTAL(9,AM2:AM797)</f>
        <v>796</v>
      </c>
      <c r="AT798" s="606">
        <f>SUM(AK2:AK797)</f>
        <v>796</v>
      </c>
      <c r="AU798" s="606">
        <f>SUM(AL2:AL797)</f>
        <v>800</v>
      </c>
      <c r="AV798" s="606">
        <f>SUM(AM2:AM797)</f>
        <v>796</v>
      </c>
    </row>
    <row r="799" spans="1:48" x14ac:dyDescent="0.2">
      <c r="AK799" s="605" t="s">
        <v>23102</v>
      </c>
      <c r="AT799" s="604">
        <f>SUBTOTAL(9,AK2:AK797)</f>
        <v>796</v>
      </c>
      <c r="AU799" s="604">
        <f>SUBTOTAL(9,AL2:AL797)</f>
        <v>800</v>
      </c>
      <c r="AV799" s="604">
        <f>SUBTOTAL(9,AM2:AM797)</f>
        <v>796</v>
      </c>
    </row>
    <row r="800" spans="1:48" x14ac:dyDescent="0.2">
      <c r="AK800" s="605" t="s">
        <v>23103</v>
      </c>
    </row>
    <row r="801" spans="6:6" x14ac:dyDescent="0.2">
      <c r="F801" s="560">
        <f>SUBTOTAL(9,F4:F797)</f>
        <v>798</v>
      </c>
    </row>
  </sheetData>
  <autoFilter ref="A1:AS800"/>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V800"/>
  <sheetViews>
    <sheetView zoomScale="80" zoomScaleNormal="80" workbookViewId="0"/>
  </sheetViews>
  <sheetFormatPr defaultRowHeight="15" x14ac:dyDescent="0.25"/>
  <cols>
    <col min="4" max="4" width="12.140625" customWidth="1"/>
    <col min="6" max="6" width="9.140625" style="28"/>
    <col min="20" max="20" width="11.42578125" customWidth="1"/>
    <col min="22" max="22" width="9.85546875" bestFit="1" customWidth="1"/>
  </cols>
  <sheetData>
    <row r="1" spans="1:45" x14ac:dyDescent="0.25">
      <c r="A1" s="644" t="s">
        <v>176</v>
      </c>
      <c r="B1" s="644" t="s">
        <v>177</v>
      </c>
      <c r="C1" s="644" t="s">
        <v>178</v>
      </c>
      <c r="D1" s="644" t="s">
        <v>179</v>
      </c>
      <c r="E1" s="644" t="s">
        <v>900</v>
      </c>
      <c r="F1" s="645" t="s">
        <v>181</v>
      </c>
      <c r="G1" s="644" t="s">
        <v>182</v>
      </c>
      <c r="H1" s="644" t="s">
        <v>183</v>
      </c>
      <c r="I1" s="644" t="s">
        <v>184</v>
      </c>
      <c r="J1" s="644" t="s">
        <v>185</v>
      </c>
      <c r="K1" s="644" t="s">
        <v>186</v>
      </c>
      <c r="L1" s="644" t="s">
        <v>6943</v>
      </c>
      <c r="M1" s="644" t="s">
        <v>6942</v>
      </c>
      <c r="N1" s="644" t="s">
        <v>4700</v>
      </c>
      <c r="O1" s="644" t="s">
        <v>6391</v>
      </c>
      <c r="P1" s="644" t="s">
        <v>6930</v>
      </c>
      <c r="Q1" s="644" t="s">
        <v>6931</v>
      </c>
      <c r="R1" s="644" t="s">
        <v>4701</v>
      </c>
      <c r="S1" s="644" t="s">
        <v>6932</v>
      </c>
      <c r="T1" s="644" t="s">
        <v>6933</v>
      </c>
      <c r="U1" s="644" t="s">
        <v>1726</v>
      </c>
      <c r="V1" s="644" t="s">
        <v>4702</v>
      </c>
      <c r="W1" s="644" t="s">
        <v>187</v>
      </c>
      <c r="X1" s="644" t="s">
        <v>6934</v>
      </c>
      <c r="Y1" s="644" t="s">
        <v>4703</v>
      </c>
      <c r="Z1" s="644" t="s">
        <v>6935</v>
      </c>
      <c r="AA1" s="644" t="s">
        <v>4704</v>
      </c>
      <c r="AB1" s="644" t="s">
        <v>6936</v>
      </c>
      <c r="AC1" s="644" t="s">
        <v>6937</v>
      </c>
      <c r="AD1" s="644" t="s">
        <v>6938</v>
      </c>
      <c r="AE1" s="644" t="s">
        <v>6939</v>
      </c>
      <c r="AF1" s="644" t="s">
        <v>6940</v>
      </c>
      <c r="AG1" s="644" t="s">
        <v>4705</v>
      </c>
      <c r="AH1" s="644" t="s">
        <v>4706</v>
      </c>
      <c r="AI1" s="644" t="s">
        <v>6941</v>
      </c>
      <c r="AJ1" s="646" t="s">
        <v>13058</v>
      </c>
      <c r="AK1" s="646" t="s">
        <v>13055</v>
      </c>
      <c r="AL1" s="646" t="s">
        <v>13056</v>
      </c>
      <c r="AM1" s="646" t="s">
        <v>13057</v>
      </c>
      <c r="AN1" s="644" t="s">
        <v>17638</v>
      </c>
      <c r="AO1" s="644" t="s">
        <v>17639</v>
      </c>
      <c r="AP1" s="644" t="s">
        <v>17640</v>
      </c>
      <c r="AQ1" s="644" t="s">
        <v>17641</v>
      </c>
      <c r="AR1" s="644" t="s">
        <v>177</v>
      </c>
      <c r="AS1" s="35"/>
    </row>
    <row r="2" spans="1:45" x14ac:dyDescent="0.25">
      <c r="A2" s="30" t="s">
        <v>26050</v>
      </c>
      <c r="B2" s="30" t="s">
        <v>26051</v>
      </c>
      <c r="C2" s="30" t="s">
        <v>17</v>
      </c>
      <c r="D2" s="139" t="s">
        <v>26052</v>
      </c>
      <c r="E2" s="30" t="s">
        <v>233</v>
      </c>
      <c r="F2" s="30">
        <v>1</v>
      </c>
      <c r="G2" s="30" t="s">
        <v>193</v>
      </c>
      <c r="H2" s="30" t="s">
        <v>194</v>
      </c>
      <c r="I2" s="30" t="s">
        <v>26053</v>
      </c>
      <c r="J2" s="30" t="s">
        <v>9302</v>
      </c>
      <c r="K2" s="30" t="s">
        <v>9309</v>
      </c>
      <c r="L2" s="30" t="s">
        <v>6955</v>
      </c>
      <c r="M2" s="30"/>
      <c r="N2" s="30" t="s">
        <v>26054</v>
      </c>
      <c r="O2" s="30" t="s">
        <v>6249</v>
      </c>
      <c r="P2" s="30" t="s">
        <v>26055</v>
      </c>
      <c r="Q2" s="30" t="s">
        <v>26056</v>
      </c>
      <c r="R2" s="30" t="s">
        <v>26057</v>
      </c>
      <c r="S2" s="30" t="s">
        <v>26058</v>
      </c>
      <c r="T2" s="30" t="s">
        <v>26059</v>
      </c>
      <c r="U2" s="139"/>
      <c r="V2" s="139" t="s">
        <v>28321</v>
      </c>
      <c r="W2" s="30" t="s">
        <v>624</v>
      </c>
      <c r="X2" s="30" t="s">
        <v>193</v>
      </c>
      <c r="Y2" s="30">
        <v>25</v>
      </c>
      <c r="Z2" s="30"/>
      <c r="AA2" s="30"/>
      <c r="AB2" s="30" t="s">
        <v>9311</v>
      </c>
      <c r="AC2" s="30"/>
      <c r="AD2" s="30"/>
      <c r="AE2" s="30"/>
      <c r="AF2" s="30"/>
      <c r="AG2" s="30"/>
      <c r="AH2" s="30" t="s">
        <v>4714</v>
      </c>
      <c r="AI2" s="30" t="s">
        <v>26051</v>
      </c>
      <c r="AJ2" s="641" t="str">
        <f>MID(W2,8,6)</f>
        <v>332203</v>
      </c>
      <c r="AK2" s="641">
        <v>1</v>
      </c>
      <c r="AL2" s="641">
        <f>F2</f>
        <v>1</v>
      </c>
      <c r="AM2" s="641">
        <v>1</v>
      </c>
      <c r="AN2" s="30" t="s">
        <v>17650</v>
      </c>
      <c r="AO2" s="30" t="s">
        <v>17651</v>
      </c>
      <c r="AP2" s="30" t="s">
        <v>17652</v>
      </c>
      <c r="AQ2" s="30" t="s">
        <v>17653</v>
      </c>
      <c r="AR2" s="30" t="s">
        <v>1024</v>
      </c>
      <c r="AS2" s="30">
        <v>1</v>
      </c>
    </row>
    <row r="3" spans="1:45" x14ac:dyDescent="0.25">
      <c r="A3" s="30" t="s">
        <v>23714</v>
      </c>
      <c r="B3" s="30" t="s">
        <v>1465</v>
      </c>
      <c r="C3" s="30" t="s">
        <v>100</v>
      </c>
      <c r="D3" s="139" t="s">
        <v>26052</v>
      </c>
      <c r="E3" s="30" t="s">
        <v>233</v>
      </c>
      <c r="F3" s="30">
        <v>1</v>
      </c>
      <c r="G3" s="30" t="s">
        <v>193</v>
      </c>
      <c r="H3" s="30" t="s">
        <v>194</v>
      </c>
      <c r="I3" s="30" t="s">
        <v>26060</v>
      </c>
      <c r="J3" s="30" t="s">
        <v>23716</v>
      </c>
      <c r="K3" s="30" t="s">
        <v>9309</v>
      </c>
      <c r="L3" s="30" t="s">
        <v>6955</v>
      </c>
      <c r="M3" s="30"/>
      <c r="N3" s="30" t="s">
        <v>26061</v>
      </c>
      <c r="O3" s="30" t="s">
        <v>6266</v>
      </c>
      <c r="P3" s="30" t="s">
        <v>26055</v>
      </c>
      <c r="Q3" s="30" t="s">
        <v>26056</v>
      </c>
      <c r="R3" s="30" t="s">
        <v>26057</v>
      </c>
      <c r="S3" s="30" t="s">
        <v>26062</v>
      </c>
      <c r="T3" s="652">
        <v>49107217</v>
      </c>
      <c r="U3" s="30"/>
      <c r="V3" s="139">
        <v>1819</v>
      </c>
      <c r="W3" s="30" t="s">
        <v>429</v>
      </c>
      <c r="X3" s="30" t="s">
        <v>194</v>
      </c>
      <c r="Y3" s="30" t="s">
        <v>9300</v>
      </c>
      <c r="Z3" s="30"/>
      <c r="AA3" s="30"/>
      <c r="AB3" s="30" t="s">
        <v>9311</v>
      </c>
      <c r="AC3" s="30"/>
      <c r="AD3" s="30"/>
      <c r="AE3" s="30"/>
      <c r="AF3" s="30"/>
      <c r="AG3" s="30"/>
      <c r="AH3" s="30" t="s">
        <v>4714</v>
      </c>
      <c r="AI3" s="30" t="s">
        <v>1465</v>
      </c>
      <c r="AJ3" s="641" t="str">
        <f t="shared" ref="AJ3:AJ66" si="0">MID(W3,8,6)</f>
        <v>242108</v>
      </c>
      <c r="AK3" s="641">
        <v>1</v>
      </c>
      <c r="AL3" s="641">
        <f t="shared" ref="AL3:AL66" si="1">F3</f>
        <v>1</v>
      </c>
      <c r="AM3" s="641">
        <v>1</v>
      </c>
      <c r="AN3" s="30" t="s">
        <v>17650</v>
      </c>
      <c r="AO3" s="30" t="s">
        <v>17651</v>
      </c>
      <c r="AP3" s="30" t="s">
        <v>17652</v>
      </c>
      <c r="AQ3" s="30" t="s">
        <v>17653</v>
      </c>
      <c r="AR3" s="30" t="s">
        <v>1024</v>
      </c>
      <c r="AS3" s="30">
        <v>1</v>
      </c>
    </row>
    <row r="4" spans="1:45" x14ac:dyDescent="0.25">
      <c r="A4" s="30" t="s">
        <v>5287</v>
      </c>
      <c r="B4" s="30" t="s">
        <v>26063</v>
      </c>
      <c r="C4" s="30" t="s">
        <v>113</v>
      </c>
      <c r="D4" s="139" t="s">
        <v>26052</v>
      </c>
      <c r="E4" s="30" t="s">
        <v>233</v>
      </c>
      <c r="F4" s="30">
        <v>1</v>
      </c>
      <c r="G4" s="30" t="s">
        <v>193</v>
      </c>
      <c r="H4" s="30" t="s">
        <v>194</v>
      </c>
      <c r="I4" s="30" t="s">
        <v>26060</v>
      </c>
      <c r="J4" s="30" t="s">
        <v>367</v>
      </c>
      <c r="K4" s="30" t="s">
        <v>9309</v>
      </c>
      <c r="L4" s="30" t="s">
        <v>6955</v>
      </c>
      <c r="M4" s="30"/>
      <c r="N4" s="30" t="s">
        <v>26064</v>
      </c>
      <c r="O4" s="30" t="s">
        <v>6249</v>
      </c>
      <c r="P4" s="30" t="s">
        <v>26055</v>
      </c>
      <c r="Q4" s="30" t="s">
        <v>26056</v>
      </c>
      <c r="R4" s="30" t="s">
        <v>26057</v>
      </c>
      <c r="S4" s="30" t="s">
        <v>26065</v>
      </c>
      <c r="T4" s="30" t="s">
        <v>26066</v>
      </c>
      <c r="U4" s="30"/>
      <c r="V4" s="139">
        <v>1805</v>
      </c>
      <c r="W4" s="30" t="s">
        <v>465</v>
      </c>
      <c r="X4" s="30" t="s">
        <v>194</v>
      </c>
      <c r="Y4" s="30" t="s">
        <v>9300</v>
      </c>
      <c r="Z4" s="30"/>
      <c r="AA4" s="30"/>
      <c r="AB4" s="30" t="s">
        <v>9311</v>
      </c>
      <c r="AC4" s="30"/>
      <c r="AD4" s="30"/>
      <c r="AE4" s="30"/>
      <c r="AF4" s="30"/>
      <c r="AG4" s="30"/>
      <c r="AH4" s="30" t="s">
        <v>4714</v>
      </c>
      <c r="AI4" s="30" t="s">
        <v>26063</v>
      </c>
      <c r="AJ4" s="641" t="str">
        <f t="shared" si="0"/>
        <v>243302</v>
      </c>
      <c r="AK4" s="641">
        <v>1</v>
      </c>
      <c r="AL4" s="641">
        <f t="shared" si="1"/>
        <v>1</v>
      </c>
      <c r="AM4" s="641">
        <v>1</v>
      </c>
      <c r="AN4" s="30" t="s">
        <v>17650</v>
      </c>
      <c r="AO4" s="30" t="s">
        <v>17651</v>
      </c>
      <c r="AP4" s="30" t="s">
        <v>17652</v>
      </c>
      <c r="AQ4" s="30" t="s">
        <v>17653</v>
      </c>
      <c r="AR4" s="30" t="s">
        <v>1024</v>
      </c>
      <c r="AS4" s="30">
        <v>1</v>
      </c>
    </row>
    <row r="5" spans="1:45" x14ac:dyDescent="0.25">
      <c r="A5" s="30" t="s">
        <v>26067</v>
      </c>
      <c r="B5" s="30" t="s">
        <v>26068</v>
      </c>
      <c r="C5" s="30" t="s">
        <v>1352</v>
      </c>
      <c r="D5" s="139" t="s">
        <v>26052</v>
      </c>
      <c r="E5" s="30" t="s">
        <v>233</v>
      </c>
      <c r="F5" s="30">
        <v>1</v>
      </c>
      <c r="G5" s="30" t="s">
        <v>193</v>
      </c>
      <c r="H5" s="30" t="s">
        <v>194</v>
      </c>
      <c r="I5" s="30" t="s">
        <v>26060</v>
      </c>
      <c r="J5" s="30" t="s">
        <v>9302</v>
      </c>
      <c r="K5" s="30" t="s">
        <v>9309</v>
      </c>
      <c r="L5" s="30" t="s">
        <v>6955</v>
      </c>
      <c r="M5" s="30"/>
      <c r="N5" s="30" t="s">
        <v>26069</v>
      </c>
      <c r="O5" s="30" t="s">
        <v>6340</v>
      </c>
      <c r="P5" s="30" t="s">
        <v>26055</v>
      </c>
      <c r="Q5" s="30" t="s">
        <v>26056</v>
      </c>
      <c r="R5" s="30" t="s">
        <v>26057</v>
      </c>
      <c r="S5" s="30" t="s">
        <v>26070</v>
      </c>
      <c r="T5" s="30" t="s">
        <v>26071</v>
      </c>
      <c r="U5" s="139"/>
      <c r="V5" s="139" t="s">
        <v>28321</v>
      </c>
      <c r="W5" s="30" t="s">
        <v>1354</v>
      </c>
      <c r="X5" s="30" t="s">
        <v>193</v>
      </c>
      <c r="Y5" s="30">
        <v>25</v>
      </c>
      <c r="Z5" s="30"/>
      <c r="AA5" s="30"/>
      <c r="AB5" s="30" t="s">
        <v>9311</v>
      </c>
      <c r="AC5" s="30"/>
      <c r="AD5" s="30"/>
      <c r="AE5" s="30"/>
      <c r="AF5" s="30"/>
      <c r="AG5" s="30"/>
      <c r="AH5" s="30" t="s">
        <v>4714</v>
      </c>
      <c r="AI5" s="30" t="s">
        <v>26068</v>
      </c>
      <c r="AJ5" s="641" t="str">
        <f t="shared" si="0"/>
        <v>341202</v>
      </c>
      <c r="AK5" s="641">
        <v>1</v>
      </c>
      <c r="AL5" s="641">
        <f t="shared" si="1"/>
        <v>1</v>
      </c>
      <c r="AM5" s="641">
        <v>1</v>
      </c>
      <c r="AN5" s="30" t="s">
        <v>17650</v>
      </c>
      <c r="AO5" s="30" t="s">
        <v>17651</v>
      </c>
      <c r="AP5" s="30" t="s">
        <v>17652</v>
      </c>
      <c r="AQ5" s="30" t="s">
        <v>17653</v>
      </c>
      <c r="AR5" s="30" t="s">
        <v>1024</v>
      </c>
      <c r="AS5" s="30">
        <v>1</v>
      </c>
    </row>
    <row r="6" spans="1:45" x14ac:dyDescent="0.25">
      <c r="A6" s="30" t="s">
        <v>7354</v>
      </c>
      <c r="B6" s="30" t="s">
        <v>2124</v>
      </c>
      <c r="C6" s="30" t="s">
        <v>2127</v>
      </c>
      <c r="D6" s="139" t="s">
        <v>26052</v>
      </c>
      <c r="E6" s="30" t="s">
        <v>233</v>
      </c>
      <c r="F6" s="30">
        <v>1</v>
      </c>
      <c r="G6" s="30" t="s">
        <v>193</v>
      </c>
      <c r="H6" s="30" t="s">
        <v>194</v>
      </c>
      <c r="I6" s="30" t="s">
        <v>26053</v>
      </c>
      <c r="J6" s="30" t="s">
        <v>385</v>
      </c>
      <c r="K6" s="30" t="s">
        <v>9309</v>
      </c>
      <c r="L6" s="30" t="s">
        <v>6955</v>
      </c>
      <c r="M6" s="30"/>
      <c r="N6" s="30" t="s">
        <v>26072</v>
      </c>
      <c r="O6" s="30" t="s">
        <v>8003</v>
      </c>
      <c r="P6" s="30" t="s">
        <v>26055</v>
      </c>
      <c r="Q6" s="30" t="s">
        <v>26056</v>
      </c>
      <c r="R6" s="30" t="s">
        <v>26073</v>
      </c>
      <c r="S6" s="30" t="s">
        <v>26074</v>
      </c>
      <c r="T6" s="30" t="s">
        <v>26075</v>
      </c>
      <c r="U6" s="30"/>
      <c r="V6" s="139">
        <v>1861</v>
      </c>
      <c r="W6" s="30" t="s">
        <v>2128</v>
      </c>
      <c r="X6" s="30" t="s">
        <v>194</v>
      </c>
      <c r="Y6" s="30" t="s">
        <v>9300</v>
      </c>
      <c r="Z6" s="30"/>
      <c r="AA6" s="30"/>
      <c r="AB6" s="30" t="s">
        <v>9311</v>
      </c>
      <c r="AC6" s="30"/>
      <c r="AD6" s="30"/>
      <c r="AE6" s="30"/>
      <c r="AF6" s="30"/>
      <c r="AG6" s="30"/>
      <c r="AH6" s="30" t="s">
        <v>4714</v>
      </c>
      <c r="AI6" s="30" t="s">
        <v>2124</v>
      </c>
      <c r="AJ6" s="641" t="str">
        <f t="shared" si="0"/>
        <v>225211</v>
      </c>
      <c r="AK6" s="641">
        <v>1</v>
      </c>
      <c r="AL6" s="641">
        <f t="shared" si="1"/>
        <v>1</v>
      </c>
      <c r="AM6" s="641">
        <v>1</v>
      </c>
      <c r="AN6" s="30" t="s">
        <v>17650</v>
      </c>
      <c r="AO6" s="30" t="s">
        <v>17651</v>
      </c>
      <c r="AP6" s="30" t="s">
        <v>17652</v>
      </c>
      <c r="AQ6" s="30" t="s">
        <v>17653</v>
      </c>
      <c r="AR6" s="30" t="s">
        <v>1024</v>
      </c>
      <c r="AS6" s="30">
        <v>1</v>
      </c>
    </row>
    <row r="7" spans="1:45" x14ac:dyDescent="0.25">
      <c r="A7" s="30" t="s">
        <v>26076</v>
      </c>
      <c r="B7" s="30" t="s">
        <v>1173</v>
      </c>
      <c r="C7" s="30" t="s">
        <v>1173</v>
      </c>
      <c r="D7" s="139" t="s">
        <v>26052</v>
      </c>
      <c r="E7" s="30" t="s">
        <v>233</v>
      </c>
      <c r="F7" s="30">
        <v>1</v>
      </c>
      <c r="G7" s="30" t="s">
        <v>193</v>
      </c>
      <c r="H7" s="30" t="s">
        <v>194</v>
      </c>
      <c r="I7" s="30" t="s">
        <v>26077</v>
      </c>
      <c r="J7" s="30" t="s">
        <v>259</v>
      </c>
      <c r="K7" s="30" t="s">
        <v>9309</v>
      </c>
      <c r="L7" s="30" t="s">
        <v>6955</v>
      </c>
      <c r="M7" s="30"/>
      <c r="N7" s="30" t="s">
        <v>26078</v>
      </c>
      <c r="O7" s="30" t="s">
        <v>6256</v>
      </c>
      <c r="P7" s="30" t="s">
        <v>26055</v>
      </c>
      <c r="Q7" s="30" t="s">
        <v>26056</v>
      </c>
      <c r="R7" s="30" t="s">
        <v>26079</v>
      </c>
      <c r="S7" s="30" t="s">
        <v>26080</v>
      </c>
      <c r="T7" s="30" t="s">
        <v>26081</v>
      </c>
      <c r="U7" s="30"/>
      <c r="V7" s="139">
        <v>1801</v>
      </c>
      <c r="W7" s="30" t="s">
        <v>1174</v>
      </c>
      <c r="X7" s="30" t="s">
        <v>194</v>
      </c>
      <c r="Y7" s="30" t="s">
        <v>9300</v>
      </c>
      <c r="Z7" s="30"/>
      <c r="AA7" s="30"/>
      <c r="AB7" s="30" t="s">
        <v>9311</v>
      </c>
      <c r="AC7" s="30"/>
      <c r="AD7" s="30"/>
      <c r="AE7" s="30"/>
      <c r="AF7" s="30"/>
      <c r="AG7" s="30"/>
      <c r="AH7" s="30" t="s">
        <v>4714</v>
      </c>
      <c r="AI7" s="30" t="s">
        <v>1173</v>
      </c>
      <c r="AJ7" s="641" t="str">
        <f t="shared" si="0"/>
        <v>242211</v>
      </c>
      <c r="AK7" s="641">
        <v>1</v>
      </c>
      <c r="AL7" s="641">
        <f t="shared" si="1"/>
        <v>1</v>
      </c>
      <c r="AM7" s="641">
        <v>1</v>
      </c>
      <c r="AN7" s="30" t="s">
        <v>17650</v>
      </c>
      <c r="AO7" s="30" t="s">
        <v>17651</v>
      </c>
      <c r="AP7" s="30" t="s">
        <v>17652</v>
      </c>
      <c r="AQ7" s="30" t="s">
        <v>17653</v>
      </c>
      <c r="AR7" s="30" t="s">
        <v>1024</v>
      </c>
      <c r="AS7" s="30">
        <v>1</v>
      </c>
    </row>
    <row r="8" spans="1:45" x14ac:dyDescent="0.25">
      <c r="A8" s="30" t="s">
        <v>581</v>
      </c>
      <c r="B8" s="30" t="s">
        <v>26082</v>
      </c>
      <c r="C8" s="30" t="s">
        <v>43</v>
      </c>
      <c r="D8" s="139" t="s">
        <v>26052</v>
      </c>
      <c r="E8" s="30" t="s">
        <v>217</v>
      </c>
      <c r="F8" s="30">
        <v>1</v>
      </c>
      <c r="G8" s="30" t="s">
        <v>193</v>
      </c>
      <c r="H8" s="30" t="s">
        <v>194</v>
      </c>
      <c r="I8" s="30" t="s">
        <v>26060</v>
      </c>
      <c r="J8" s="30" t="s">
        <v>1829</v>
      </c>
      <c r="K8" s="30" t="s">
        <v>9309</v>
      </c>
      <c r="L8" s="30" t="s">
        <v>6955</v>
      </c>
      <c r="M8" s="30"/>
      <c r="N8" s="30" t="s">
        <v>26083</v>
      </c>
      <c r="O8" s="30" t="s">
        <v>6251</v>
      </c>
      <c r="P8" s="30" t="s">
        <v>26084</v>
      </c>
      <c r="Q8" s="30" t="s">
        <v>26085</v>
      </c>
      <c r="R8" s="30" t="s">
        <v>26086</v>
      </c>
      <c r="S8" s="30" t="s">
        <v>26087</v>
      </c>
      <c r="T8" s="30" t="s">
        <v>26088</v>
      </c>
      <c r="U8" s="30"/>
      <c r="V8" s="139">
        <v>1816</v>
      </c>
      <c r="W8" s="30" t="s">
        <v>452</v>
      </c>
      <c r="X8" s="30" t="s">
        <v>194</v>
      </c>
      <c r="Y8" s="30" t="s">
        <v>9300</v>
      </c>
      <c r="Z8" s="30"/>
      <c r="AA8" s="30"/>
      <c r="AB8" s="30" t="s">
        <v>9311</v>
      </c>
      <c r="AC8" s="30"/>
      <c r="AD8" s="30"/>
      <c r="AE8" s="30"/>
      <c r="AF8" s="30"/>
      <c r="AG8" s="30"/>
      <c r="AH8" s="30" t="s">
        <v>4714</v>
      </c>
      <c r="AI8" s="30" t="s">
        <v>9433</v>
      </c>
      <c r="AJ8" s="641" t="str">
        <f t="shared" si="0"/>
        <v>243106</v>
      </c>
      <c r="AK8" s="641">
        <v>1</v>
      </c>
      <c r="AL8" s="641">
        <f t="shared" si="1"/>
        <v>1</v>
      </c>
      <c r="AM8" s="641">
        <v>1</v>
      </c>
      <c r="AN8" s="30" t="s">
        <v>17650</v>
      </c>
      <c r="AO8" s="30" t="s">
        <v>17651</v>
      </c>
      <c r="AP8" s="30" t="s">
        <v>17652</v>
      </c>
      <c r="AQ8" s="30" t="s">
        <v>17653</v>
      </c>
      <c r="AR8" s="30" t="s">
        <v>1024</v>
      </c>
      <c r="AS8" s="30">
        <v>1</v>
      </c>
    </row>
    <row r="9" spans="1:45" x14ac:dyDescent="0.25">
      <c r="A9" s="30" t="s">
        <v>26089</v>
      </c>
      <c r="B9" s="30" t="s">
        <v>26090</v>
      </c>
      <c r="C9" s="30" t="s">
        <v>36</v>
      </c>
      <c r="D9" s="139" t="s">
        <v>26052</v>
      </c>
      <c r="E9" s="30" t="s">
        <v>217</v>
      </c>
      <c r="F9" s="30">
        <v>1</v>
      </c>
      <c r="G9" s="30" t="s">
        <v>193</v>
      </c>
      <c r="H9" s="30" t="s">
        <v>194</v>
      </c>
      <c r="I9" s="30" t="s">
        <v>26053</v>
      </c>
      <c r="J9" s="30" t="s">
        <v>316</v>
      </c>
      <c r="K9" s="30" t="s">
        <v>9309</v>
      </c>
      <c r="L9" s="30" t="s">
        <v>6955</v>
      </c>
      <c r="M9" s="30"/>
      <c r="N9" s="30" t="s">
        <v>26091</v>
      </c>
      <c r="O9" s="30" t="s">
        <v>7120</v>
      </c>
      <c r="P9" s="30" t="s">
        <v>26084</v>
      </c>
      <c r="Q9" s="30" t="s">
        <v>26092</v>
      </c>
      <c r="R9" s="30" t="s">
        <v>26093</v>
      </c>
      <c r="S9" s="30" t="s">
        <v>26094</v>
      </c>
      <c r="T9" s="30" t="s">
        <v>26095</v>
      </c>
      <c r="U9" s="30"/>
      <c r="V9" s="139">
        <v>1818</v>
      </c>
      <c r="W9" s="30" t="s">
        <v>609</v>
      </c>
      <c r="X9" s="30" t="s">
        <v>194</v>
      </c>
      <c r="Y9" s="30" t="s">
        <v>9300</v>
      </c>
      <c r="Z9" s="30"/>
      <c r="AA9" s="30"/>
      <c r="AB9" s="30" t="s">
        <v>9311</v>
      </c>
      <c r="AC9" s="30"/>
      <c r="AD9" s="30"/>
      <c r="AE9" s="30"/>
      <c r="AF9" s="30"/>
      <c r="AG9" s="30"/>
      <c r="AH9" s="30" t="s">
        <v>4714</v>
      </c>
      <c r="AI9" s="30" t="s">
        <v>9433</v>
      </c>
      <c r="AJ9" s="641" t="str">
        <f t="shared" si="0"/>
        <v>331301</v>
      </c>
      <c r="AK9" s="641">
        <v>1</v>
      </c>
      <c r="AL9" s="641">
        <f t="shared" si="1"/>
        <v>1</v>
      </c>
      <c r="AM9" s="641">
        <v>1</v>
      </c>
      <c r="AN9" s="30" t="s">
        <v>17650</v>
      </c>
      <c r="AO9" s="30" t="s">
        <v>17651</v>
      </c>
      <c r="AP9" s="30" t="s">
        <v>17652</v>
      </c>
      <c r="AQ9" s="30" t="s">
        <v>17653</v>
      </c>
      <c r="AR9" s="30" t="s">
        <v>1024</v>
      </c>
      <c r="AS9" s="30">
        <v>1</v>
      </c>
    </row>
    <row r="10" spans="1:45" x14ac:dyDescent="0.25">
      <c r="A10" s="30" t="s">
        <v>581</v>
      </c>
      <c r="B10" s="30" t="s">
        <v>26096</v>
      </c>
      <c r="C10" s="30" t="s">
        <v>43</v>
      </c>
      <c r="D10" s="139" t="s">
        <v>26052</v>
      </c>
      <c r="E10" s="30" t="s">
        <v>217</v>
      </c>
      <c r="F10" s="30">
        <v>1</v>
      </c>
      <c r="G10" s="30" t="s">
        <v>193</v>
      </c>
      <c r="H10" s="30" t="s">
        <v>194</v>
      </c>
      <c r="I10" s="30" t="s">
        <v>26060</v>
      </c>
      <c r="J10" s="30" t="s">
        <v>1829</v>
      </c>
      <c r="K10" s="30" t="s">
        <v>9309</v>
      </c>
      <c r="L10" s="30" t="s">
        <v>6955</v>
      </c>
      <c r="M10" s="30"/>
      <c r="N10" s="30" t="s">
        <v>26097</v>
      </c>
      <c r="O10" s="30" t="s">
        <v>6251</v>
      </c>
      <c r="P10" s="30" t="s">
        <v>26084</v>
      </c>
      <c r="Q10" s="30" t="s">
        <v>26098</v>
      </c>
      <c r="R10" s="30" t="s">
        <v>26099</v>
      </c>
      <c r="S10" s="30" t="s">
        <v>26100</v>
      </c>
      <c r="T10" s="30" t="s">
        <v>26101</v>
      </c>
      <c r="U10" s="30"/>
      <c r="V10" s="139">
        <v>1816</v>
      </c>
      <c r="W10" s="30" t="s">
        <v>452</v>
      </c>
      <c r="X10" s="30" t="s">
        <v>194</v>
      </c>
      <c r="Y10" s="30" t="s">
        <v>9300</v>
      </c>
      <c r="Z10" s="30"/>
      <c r="AA10" s="30"/>
      <c r="AB10" s="30" t="s">
        <v>9311</v>
      </c>
      <c r="AC10" s="30"/>
      <c r="AD10" s="30"/>
      <c r="AE10" s="30"/>
      <c r="AF10" s="30"/>
      <c r="AG10" s="30"/>
      <c r="AH10" s="30" t="s">
        <v>4714</v>
      </c>
      <c r="AI10" s="30" t="s">
        <v>9433</v>
      </c>
      <c r="AJ10" s="641" t="str">
        <f t="shared" si="0"/>
        <v>243106</v>
      </c>
      <c r="AK10" s="641">
        <v>1</v>
      </c>
      <c r="AL10" s="641">
        <f t="shared" si="1"/>
        <v>1</v>
      </c>
      <c r="AM10" s="641">
        <v>1</v>
      </c>
      <c r="AN10" s="30" t="s">
        <v>17650</v>
      </c>
      <c r="AO10" s="30" t="s">
        <v>17651</v>
      </c>
      <c r="AP10" s="30" t="s">
        <v>17652</v>
      </c>
      <c r="AQ10" s="30" t="s">
        <v>17653</v>
      </c>
      <c r="AR10" s="30" t="s">
        <v>1024</v>
      </c>
      <c r="AS10" s="30">
        <v>1</v>
      </c>
    </row>
    <row r="11" spans="1:45" x14ac:dyDescent="0.25">
      <c r="A11" s="30" t="s">
        <v>26089</v>
      </c>
      <c r="B11" s="30" t="s">
        <v>2276</v>
      </c>
      <c r="C11" s="30" t="s">
        <v>10</v>
      </c>
      <c r="D11" s="139" t="s">
        <v>26052</v>
      </c>
      <c r="E11" s="30" t="s">
        <v>217</v>
      </c>
      <c r="F11" s="30">
        <v>1</v>
      </c>
      <c r="G11" s="30" t="s">
        <v>193</v>
      </c>
      <c r="H11" s="30" t="s">
        <v>194</v>
      </c>
      <c r="I11" s="30" t="s">
        <v>26053</v>
      </c>
      <c r="J11" s="30" t="s">
        <v>210</v>
      </c>
      <c r="K11" s="30" t="s">
        <v>9309</v>
      </c>
      <c r="L11" s="30" t="s">
        <v>6955</v>
      </c>
      <c r="M11" s="30"/>
      <c r="N11" s="30" t="s">
        <v>26102</v>
      </c>
      <c r="O11" s="30" t="s">
        <v>6261</v>
      </c>
      <c r="P11" s="30" t="s">
        <v>26084</v>
      </c>
      <c r="Q11" s="30" t="s">
        <v>26103</v>
      </c>
      <c r="R11" s="30" t="s">
        <v>26079</v>
      </c>
      <c r="S11" s="30" t="s">
        <v>26104</v>
      </c>
      <c r="T11" s="30" t="s">
        <v>26105</v>
      </c>
      <c r="U11" s="30"/>
      <c r="V11" s="139">
        <v>1863</v>
      </c>
      <c r="W11" s="30" t="s">
        <v>484</v>
      </c>
      <c r="X11" s="30" t="s">
        <v>194</v>
      </c>
      <c r="Y11" s="30" t="s">
        <v>9300</v>
      </c>
      <c r="Z11" s="30"/>
      <c r="AA11" s="30"/>
      <c r="AB11" s="30" t="s">
        <v>9311</v>
      </c>
      <c r="AC11" s="30"/>
      <c r="AD11" s="30"/>
      <c r="AE11" s="30"/>
      <c r="AF11" s="30"/>
      <c r="AG11" s="30"/>
      <c r="AH11" s="30" t="s">
        <v>4714</v>
      </c>
      <c r="AI11" s="30" t="s">
        <v>9433</v>
      </c>
      <c r="AJ11" s="641" t="str">
        <f t="shared" si="0"/>
        <v>251401</v>
      </c>
      <c r="AK11" s="641">
        <v>1</v>
      </c>
      <c r="AL11" s="641">
        <f t="shared" si="1"/>
        <v>1</v>
      </c>
      <c r="AM11" s="641">
        <v>1</v>
      </c>
      <c r="AN11" s="30" t="s">
        <v>17650</v>
      </c>
      <c r="AO11" s="30" t="s">
        <v>17651</v>
      </c>
      <c r="AP11" s="30" t="s">
        <v>17652</v>
      </c>
      <c r="AQ11" s="30" t="s">
        <v>17653</v>
      </c>
      <c r="AR11" s="30" t="s">
        <v>1024</v>
      </c>
      <c r="AS11" s="30">
        <v>1</v>
      </c>
    </row>
    <row r="12" spans="1:45" x14ac:dyDescent="0.25">
      <c r="A12" s="30" t="s">
        <v>716</v>
      </c>
      <c r="B12" s="30" t="s">
        <v>26106</v>
      </c>
      <c r="C12" s="30" t="s">
        <v>153</v>
      </c>
      <c r="D12" s="139" t="s">
        <v>26052</v>
      </c>
      <c r="E12" s="30" t="s">
        <v>217</v>
      </c>
      <c r="F12" s="30">
        <v>1</v>
      </c>
      <c r="G12" s="30" t="s">
        <v>193</v>
      </c>
      <c r="H12" s="30" t="s">
        <v>194</v>
      </c>
      <c r="I12" s="30" t="s">
        <v>26053</v>
      </c>
      <c r="J12" s="30" t="s">
        <v>210</v>
      </c>
      <c r="K12" s="30" t="s">
        <v>9309</v>
      </c>
      <c r="L12" s="30" t="s">
        <v>6955</v>
      </c>
      <c r="M12" s="30"/>
      <c r="N12" s="30" t="s">
        <v>26107</v>
      </c>
      <c r="O12" s="30" t="s">
        <v>6290</v>
      </c>
      <c r="P12" s="30" t="s">
        <v>26084</v>
      </c>
      <c r="Q12" s="30" t="s">
        <v>26108</v>
      </c>
      <c r="R12" s="30" t="s">
        <v>26109</v>
      </c>
      <c r="S12" s="30" t="s">
        <v>26110</v>
      </c>
      <c r="T12" s="30" t="s">
        <v>26111</v>
      </c>
      <c r="U12" s="30"/>
      <c r="V12" s="139">
        <v>1863</v>
      </c>
      <c r="W12" s="30" t="s">
        <v>2293</v>
      </c>
      <c r="X12" s="30" t="s">
        <v>194</v>
      </c>
      <c r="Y12" s="30" t="s">
        <v>9300</v>
      </c>
      <c r="Z12" s="30"/>
      <c r="AA12" s="30"/>
      <c r="AB12" s="30" t="s">
        <v>9311</v>
      </c>
      <c r="AC12" s="30"/>
      <c r="AD12" s="30"/>
      <c r="AE12" s="30"/>
      <c r="AF12" s="30"/>
      <c r="AG12" s="30"/>
      <c r="AH12" s="30" t="s">
        <v>4714</v>
      </c>
      <c r="AI12" s="30" t="s">
        <v>9433</v>
      </c>
      <c r="AJ12" s="641" t="str">
        <f t="shared" si="0"/>
        <v>333903</v>
      </c>
      <c r="AK12" s="641">
        <v>1</v>
      </c>
      <c r="AL12" s="641">
        <f t="shared" si="1"/>
        <v>1</v>
      </c>
      <c r="AM12" s="641">
        <v>1</v>
      </c>
      <c r="AN12" s="30" t="s">
        <v>17650</v>
      </c>
      <c r="AO12" s="30" t="s">
        <v>17651</v>
      </c>
      <c r="AP12" s="30" t="s">
        <v>17652</v>
      </c>
      <c r="AQ12" s="30" t="s">
        <v>17653</v>
      </c>
      <c r="AR12" s="30" t="s">
        <v>1024</v>
      </c>
      <c r="AS12" s="30">
        <v>1</v>
      </c>
    </row>
    <row r="13" spans="1:45" x14ac:dyDescent="0.25">
      <c r="A13" s="30" t="s">
        <v>4022</v>
      </c>
      <c r="B13" s="30" t="s">
        <v>26112</v>
      </c>
      <c r="C13" s="30" t="s">
        <v>542</v>
      </c>
      <c r="D13" s="139" t="s">
        <v>26052</v>
      </c>
      <c r="E13" s="30" t="s">
        <v>217</v>
      </c>
      <c r="F13" s="30">
        <v>1</v>
      </c>
      <c r="G13" s="30" t="s">
        <v>193</v>
      </c>
      <c r="H13" s="30" t="s">
        <v>194</v>
      </c>
      <c r="I13" s="30" t="s">
        <v>26053</v>
      </c>
      <c r="J13" s="30" t="s">
        <v>15466</v>
      </c>
      <c r="K13" s="30" t="s">
        <v>9309</v>
      </c>
      <c r="L13" s="30" t="s">
        <v>6955</v>
      </c>
      <c r="M13" s="30"/>
      <c r="N13" s="30" t="s">
        <v>26113</v>
      </c>
      <c r="O13" s="30" t="s">
        <v>6286</v>
      </c>
      <c r="P13" s="30" t="s">
        <v>26114</v>
      </c>
      <c r="Q13" s="30" t="s">
        <v>26027</v>
      </c>
      <c r="R13" s="30" t="s">
        <v>26115</v>
      </c>
      <c r="S13" s="30" t="s">
        <v>26116</v>
      </c>
      <c r="T13" s="30" t="s">
        <v>26117</v>
      </c>
      <c r="U13" s="139"/>
      <c r="V13" s="139" t="s">
        <v>28321</v>
      </c>
      <c r="W13" s="30" t="s">
        <v>543</v>
      </c>
      <c r="X13" s="30" t="s">
        <v>193</v>
      </c>
      <c r="Y13" s="30">
        <v>25</v>
      </c>
      <c r="Z13" s="30"/>
      <c r="AA13" s="30"/>
      <c r="AB13" s="30" t="s">
        <v>9311</v>
      </c>
      <c r="AC13" s="30"/>
      <c r="AD13" s="30"/>
      <c r="AE13" s="30"/>
      <c r="AF13" s="30"/>
      <c r="AG13" s="30"/>
      <c r="AH13" s="30" t="s">
        <v>4714</v>
      </c>
      <c r="AI13" s="30" t="s">
        <v>9433</v>
      </c>
      <c r="AJ13" s="641" t="str">
        <f t="shared" si="0"/>
        <v>264304</v>
      </c>
      <c r="AK13" s="641">
        <v>1</v>
      </c>
      <c r="AL13" s="641">
        <f t="shared" si="1"/>
        <v>1</v>
      </c>
      <c r="AM13" s="641">
        <v>1</v>
      </c>
      <c r="AN13" s="30" t="s">
        <v>17650</v>
      </c>
      <c r="AO13" s="30" t="s">
        <v>17651</v>
      </c>
      <c r="AP13" s="30" t="s">
        <v>17652</v>
      </c>
      <c r="AQ13" s="30" t="s">
        <v>17653</v>
      </c>
      <c r="AR13" s="30" t="s">
        <v>1024</v>
      </c>
      <c r="AS13" s="30">
        <v>1</v>
      </c>
    </row>
    <row r="14" spans="1:45" x14ac:dyDescent="0.25">
      <c r="A14" s="30" t="s">
        <v>10145</v>
      </c>
      <c r="B14" s="30" t="s">
        <v>26118</v>
      </c>
      <c r="C14" s="30" t="s">
        <v>74</v>
      </c>
      <c r="D14" s="139" t="s">
        <v>26052</v>
      </c>
      <c r="E14" s="30" t="s">
        <v>217</v>
      </c>
      <c r="F14" s="30">
        <v>1</v>
      </c>
      <c r="G14" s="30" t="s">
        <v>193</v>
      </c>
      <c r="H14" s="30" t="s">
        <v>194</v>
      </c>
      <c r="I14" s="30" t="s">
        <v>26053</v>
      </c>
      <c r="J14" s="30" t="s">
        <v>210</v>
      </c>
      <c r="K14" s="30" t="s">
        <v>9309</v>
      </c>
      <c r="L14" s="30" t="s">
        <v>6955</v>
      </c>
      <c r="M14" s="30"/>
      <c r="N14" s="30" t="s">
        <v>26119</v>
      </c>
      <c r="O14" s="30" t="s">
        <v>6249</v>
      </c>
      <c r="P14" s="30" t="s">
        <v>26084</v>
      </c>
      <c r="Q14" s="30" t="s">
        <v>26120</v>
      </c>
      <c r="R14" s="30" t="s">
        <v>24551</v>
      </c>
      <c r="S14" s="30" t="s">
        <v>26121</v>
      </c>
      <c r="T14" s="30" t="s">
        <v>26122</v>
      </c>
      <c r="U14" s="30"/>
      <c r="V14" s="139">
        <v>1863</v>
      </c>
      <c r="W14" s="30" t="s">
        <v>246</v>
      </c>
      <c r="X14" s="30" t="s">
        <v>194</v>
      </c>
      <c r="Y14" s="30" t="s">
        <v>9300</v>
      </c>
      <c r="Z14" s="30"/>
      <c r="AA14" s="30"/>
      <c r="AB14" s="30" t="s">
        <v>9311</v>
      </c>
      <c r="AC14" s="30"/>
      <c r="AD14" s="30"/>
      <c r="AE14" s="30"/>
      <c r="AF14" s="30"/>
      <c r="AG14" s="30"/>
      <c r="AH14" s="30" t="s">
        <v>4714</v>
      </c>
      <c r="AI14" s="30" t="s">
        <v>9433</v>
      </c>
      <c r="AJ14" s="641" t="str">
        <f t="shared" si="0"/>
        <v>142004</v>
      </c>
      <c r="AK14" s="641">
        <v>1</v>
      </c>
      <c r="AL14" s="641">
        <f t="shared" si="1"/>
        <v>1</v>
      </c>
      <c r="AM14" s="641">
        <v>1</v>
      </c>
      <c r="AN14" s="30" t="s">
        <v>17650</v>
      </c>
      <c r="AO14" s="30" t="s">
        <v>17651</v>
      </c>
      <c r="AP14" s="30" t="s">
        <v>17652</v>
      </c>
      <c r="AQ14" s="30" t="s">
        <v>17653</v>
      </c>
      <c r="AR14" s="30" t="s">
        <v>1024</v>
      </c>
      <c r="AS14" s="30">
        <v>1</v>
      </c>
    </row>
    <row r="15" spans="1:45" x14ac:dyDescent="0.25">
      <c r="A15" s="30" t="s">
        <v>26123</v>
      </c>
      <c r="B15" s="30" t="s">
        <v>26124</v>
      </c>
      <c r="C15" s="30" t="s">
        <v>27</v>
      </c>
      <c r="D15" s="139" t="s">
        <v>26052</v>
      </c>
      <c r="E15" s="30" t="s">
        <v>217</v>
      </c>
      <c r="F15" s="30">
        <v>1</v>
      </c>
      <c r="G15" s="30" t="s">
        <v>193</v>
      </c>
      <c r="H15" s="30" t="s">
        <v>194</v>
      </c>
      <c r="I15" s="30" t="s">
        <v>26053</v>
      </c>
      <c r="J15" s="30" t="s">
        <v>210</v>
      </c>
      <c r="K15" s="30" t="s">
        <v>9309</v>
      </c>
      <c r="L15" s="30" t="s">
        <v>6955</v>
      </c>
      <c r="M15" s="30"/>
      <c r="N15" s="30" t="s">
        <v>26125</v>
      </c>
      <c r="O15" s="30" t="s">
        <v>6269</v>
      </c>
      <c r="P15" s="30" t="s">
        <v>26084</v>
      </c>
      <c r="Q15" s="30" t="s">
        <v>26108</v>
      </c>
      <c r="R15" s="30" t="s">
        <v>26109</v>
      </c>
      <c r="S15" s="30" t="s">
        <v>26126</v>
      </c>
      <c r="T15" s="30" t="s">
        <v>26127</v>
      </c>
      <c r="U15" s="30"/>
      <c r="V15" s="139">
        <v>1863</v>
      </c>
      <c r="W15" s="30" t="s">
        <v>440</v>
      </c>
      <c r="X15" s="30" t="s">
        <v>194</v>
      </c>
      <c r="Y15" s="30" t="s">
        <v>9300</v>
      </c>
      <c r="Z15" s="30"/>
      <c r="AA15" s="30"/>
      <c r="AB15" s="30" t="s">
        <v>9311</v>
      </c>
      <c r="AC15" s="30"/>
      <c r="AD15" s="30"/>
      <c r="AE15" s="30"/>
      <c r="AF15" s="30"/>
      <c r="AG15" s="30"/>
      <c r="AH15" s="30" t="s">
        <v>5109</v>
      </c>
      <c r="AI15" s="30" t="s">
        <v>9433</v>
      </c>
      <c r="AJ15" s="641" t="str">
        <f t="shared" si="0"/>
        <v>242307</v>
      </c>
      <c r="AK15" s="641">
        <v>1</v>
      </c>
      <c r="AL15" s="641">
        <f t="shared" si="1"/>
        <v>1</v>
      </c>
      <c r="AM15" s="641">
        <v>1</v>
      </c>
      <c r="AN15" s="30" t="s">
        <v>17650</v>
      </c>
      <c r="AO15" s="30" t="s">
        <v>17651</v>
      </c>
      <c r="AP15" s="30" t="s">
        <v>17652</v>
      </c>
      <c r="AQ15" s="30" t="s">
        <v>17653</v>
      </c>
      <c r="AR15" s="30" t="s">
        <v>1024</v>
      </c>
      <c r="AS15" s="30">
        <v>1</v>
      </c>
    </row>
    <row r="16" spans="1:45" x14ac:dyDescent="0.25">
      <c r="A16" s="30" t="s">
        <v>23858</v>
      </c>
      <c r="B16" s="30" t="s">
        <v>26128</v>
      </c>
      <c r="C16" s="30" t="s">
        <v>110</v>
      </c>
      <c r="D16" s="139" t="s">
        <v>26052</v>
      </c>
      <c r="E16" s="30" t="s">
        <v>217</v>
      </c>
      <c r="F16" s="30">
        <v>1</v>
      </c>
      <c r="G16" s="30" t="s">
        <v>193</v>
      </c>
      <c r="H16" s="30" t="s">
        <v>194</v>
      </c>
      <c r="I16" s="30" t="s">
        <v>26053</v>
      </c>
      <c r="J16" s="30" t="s">
        <v>253</v>
      </c>
      <c r="K16" s="30" t="s">
        <v>9309</v>
      </c>
      <c r="L16" s="30" t="s">
        <v>6955</v>
      </c>
      <c r="M16" s="30"/>
      <c r="N16" s="30" t="s">
        <v>26129</v>
      </c>
      <c r="O16" s="30" t="s">
        <v>6275</v>
      </c>
      <c r="P16" s="30" t="s">
        <v>26084</v>
      </c>
      <c r="Q16" s="30" t="s">
        <v>26108</v>
      </c>
      <c r="R16" s="30" t="s">
        <v>26109</v>
      </c>
      <c r="S16" s="30" t="s">
        <v>26130</v>
      </c>
      <c r="T16" s="30" t="s">
        <v>26131</v>
      </c>
      <c r="U16" s="30"/>
      <c r="V16" s="139">
        <v>1811</v>
      </c>
      <c r="W16" s="30" t="s">
        <v>621</v>
      </c>
      <c r="X16" s="30" t="s">
        <v>194</v>
      </c>
      <c r="Y16" s="30" t="s">
        <v>9300</v>
      </c>
      <c r="Z16" s="30"/>
      <c r="AA16" s="30"/>
      <c r="AB16" s="30" t="s">
        <v>9311</v>
      </c>
      <c r="AC16" s="30"/>
      <c r="AD16" s="30"/>
      <c r="AE16" s="30"/>
      <c r="AF16" s="30"/>
      <c r="AG16" s="30"/>
      <c r="AH16" s="30" t="s">
        <v>4714</v>
      </c>
      <c r="AI16" s="30" t="s">
        <v>9433</v>
      </c>
      <c r="AJ16" s="641" t="str">
        <f t="shared" si="0"/>
        <v>332201</v>
      </c>
      <c r="AK16" s="641">
        <v>1</v>
      </c>
      <c r="AL16" s="641">
        <f t="shared" si="1"/>
        <v>1</v>
      </c>
      <c r="AM16" s="641">
        <v>1</v>
      </c>
      <c r="AN16" s="30" t="s">
        <v>17650</v>
      </c>
      <c r="AO16" s="30" t="s">
        <v>17651</v>
      </c>
      <c r="AP16" s="30" t="s">
        <v>17652</v>
      </c>
      <c r="AQ16" s="30" t="s">
        <v>17653</v>
      </c>
      <c r="AR16" s="30" t="s">
        <v>1024</v>
      </c>
      <c r="AS16" s="30">
        <v>1</v>
      </c>
    </row>
    <row r="17" spans="1:45" x14ac:dyDescent="0.25">
      <c r="A17" s="30" t="s">
        <v>716</v>
      </c>
      <c r="B17" s="30" t="s">
        <v>26132</v>
      </c>
      <c r="C17" s="30" t="s">
        <v>24125</v>
      </c>
      <c r="D17" s="139" t="s">
        <v>26052</v>
      </c>
      <c r="E17" s="30" t="s">
        <v>217</v>
      </c>
      <c r="F17" s="30">
        <v>1</v>
      </c>
      <c r="G17" s="30" t="s">
        <v>193</v>
      </c>
      <c r="H17" s="30" t="s">
        <v>194</v>
      </c>
      <c r="I17" s="30" t="s">
        <v>26133</v>
      </c>
      <c r="J17" s="30" t="s">
        <v>210</v>
      </c>
      <c r="K17" s="30" t="s">
        <v>9309</v>
      </c>
      <c r="L17" s="30" t="s">
        <v>6955</v>
      </c>
      <c r="M17" s="30"/>
      <c r="N17" s="30" t="s">
        <v>26134</v>
      </c>
      <c r="O17" s="30" t="s">
        <v>6290</v>
      </c>
      <c r="P17" s="30" t="s">
        <v>26084</v>
      </c>
      <c r="Q17" s="30" t="s">
        <v>26108</v>
      </c>
      <c r="R17" s="30" t="s">
        <v>26109</v>
      </c>
      <c r="S17" s="30" t="s">
        <v>26135</v>
      </c>
      <c r="T17" s="30" t="s">
        <v>26136</v>
      </c>
      <c r="U17" s="30"/>
      <c r="V17" s="139">
        <v>1863</v>
      </c>
      <c r="W17" s="30" t="s">
        <v>24129</v>
      </c>
      <c r="X17" s="30" t="s">
        <v>194</v>
      </c>
      <c r="Y17" s="30" t="s">
        <v>9300</v>
      </c>
      <c r="Z17" s="30"/>
      <c r="AA17" s="30"/>
      <c r="AB17" s="30" t="s">
        <v>9311</v>
      </c>
      <c r="AC17" s="30"/>
      <c r="AD17" s="30"/>
      <c r="AE17" s="30"/>
      <c r="AF17" s="30"/>
      <c r="AG17" s="30"/>
      <c r="AH17" s="30" t="s">
        <v>4714</v>
      </c>
      <c r="AI17" s="30" t="s">
        <v>9433</v>
      </c>
      <c r="AJ17" s="641" t="str">
        <f t="shared" si="0"/>
        <v>351401</v>
      </c>
      <c r="AK17" s="641">
        <v>1</v>
      </c>
      <c r="AL17" s="641">
        <f t="shared" si="1"/>
        <v>1</v>
      </c>
      <c r="AM17" s="641">
        <v>1</v>
      </c>
      <c r="AN17" s="30" t="s">
        <v>17650</v>
      </c>
      <c r="AO17" s="30" t="s">
        <v>17651</v>
      </c>
      <c r="AP17" s="30" t="s">
        <v>17652</v>
      </c>
      <c r="AQ17" s="30" t="s">
        <v>17653</v>
      </c>
      <c r="AR17" s="30" t="s">
        <v>1024</v>
      </c>
      <c r="AS17" s="30">
        <v>1</v>
      </c>
    </row>
    <row r="18" spans="1:45" x14ac:dyDescent="0.25">
      <c r="A18" s="30" t="s">
        <v>26089</v>
      </c>
      <c r="B18" s="30" t="s">
        <v>26137</v>
      </c>
      <c r="C18" s="30" t="s">
        <v>27</v>
      </c>
      <c r="D18" s="139" t="s">
        <v>26052</v>
      </c>
      <c r="E18" s="30" t="s">
        <v>217</v>
      </c>
      <c r="F18" s="30">
        <v>1</v>
      </c>
      <c r="G18" s="30" t="s">
        <v>193</v>
      </c>
      <c r="H18" s="30" t="s">
        <v>194</v>
      </c>
      <c r="I18" s="30" t="s">
        <v>26133</v>
      </c>
      <c r="J18" s="30" t="s">
        <v>210</v>
      </c>
      <c r="K18" s="30" t="s">
        <v>9309</v>
      </c>
      <c r="L18" s="30" t="s">
        <v>6955</v>
      </c>
      <c r="M18" s="30"/>
      <c r="N18" s="30" t="s">
        <v>26138</v>
      </c>
      <c r="O18" s="30" t="s">
        <v>6340</v>
      </c>
      <c r="P18" s="30" t="s">
        <v>26084</v>
      </c>
      <c r="Q18" s="30" t="s">
        <v>25478</v>
      </c>
      <c r="R18" s="30" t="s">
        <v>26139</v>
      </c>
      <c r="S18" s="30" t="s">
        <v>26140</v>
      </c>
      <c r="T18" s="30" t="s">
        <v>26141</v>
      </c>
      <c r="U18" s="30"/>
      <c r="V18" s="139">
        <v>1863</v>
      </c>
      <c r="W18" s="30" t="s">
        <v>440</v>
      </c>
      <c r="X18" s="30" t="s">
        <v>194</v>
      </c>
      <c r="Y18" s="30" t="s">
        <v>9300</v>
      </c>
      <c r="Z18" s="30"/>
      <c r="AA18" s="30"/>
      <c r="AB18" s="30" t="s">
        <v>9311</v>
      </c>
      <c r="AC18" s="30"/>
      <c r="AD18" s="30"/>
      <c r="AE18" s="30"/>
      <c r="AF18" s="30"/>
      <c r="AG18" s="30"/>
      <c r="AH18" s="30" t="s">
        <v>4714</v>
      </c>
      <c r="AI18" s="30" t="s">
        <v>9433</v>
      </c>
      <c r="AJ18" s="641" t="str">
        <f t="shared" si="0"/>
        <v>242307</v>
      </c>
      <c r="AK18" s="641">
        <v>1</v>
      </c>
      <c r="AL18" s="641">
        <f t="shared" si="1"/>
        <v>1</v>
      </c>
      <c r="AM18" s="641">
        <v>1</v>
      </c>
      <c r="AN18" s="30" t="s">
        <v>17650</v>
      </c>
      <c r="AO18" s="30" t="s">
        <v>17651</v>
      </c>
      <c r="AP18" s="30" t="s">
        <v>17652</v>
      </c>
      <c r="AQ18" s="30" t="s">
        <v>17653</v>
      </c>
      <c r="AR18" s="30" t="s">
        <v>1024</v>
      </c>
      <c r="AS18" s="30">
        <v>1</v>
      </c>
    </row>
    <row r="19" spans="1:45" x14ac:dyDescent="0.25">
      <c r="A19" s="30" t="s">
        <v>23203</v>
      </c>
      <c r="B19" s="30" t="s">
        <v>26142</v>
      </c>
      <c r="C19" s="30" t="s">
        <v>18783</v>
      </c>
      <c r="D19" s="139" t="s">
        <v>26052</v>
      </c>
      <c r="E19" s="30" t="s">
        <v>217</v>
      </c>
      <c r="F19" s="30">
        <v>1</v>
      </c>
      <c r="G19" s="30" t="s">
        <v>193</v>
      </c>
      <c r="H19" s="30" t="s">
        <v>194</v>
      </c>
      <c r="I19" s="30" t="s">
        <v>26143</v>
      </c>
      <c r="J19" s="30" t="s">
        <v>2183</v>
      </c>
      <c r="K19" s="30" t="s">
        <v>9309</v>
      </c>
      <c r="L19" s="30" t="s">
        <v>6955</v>
      </c>
      <c r="M19" s="30"/>
      <c r="N19" s="30" t="s">
        <v>26144</v>
      </c>
      <c r="O19" s="30" t="s">
        <v>6275</v>
      </c>
      <c r="P19" s="30" t="s">
        <v>26084</v>
      </c>
      <c r="Q19" s="30" t="s">
        <v>25478</v>
      </c>
      <c r="R19" s="30" t="s">
        <v>26139</v>
      </c>
      <c r="S19" s="30" t="s">
        <v>26145</v>
      </c>
      <c r="T19" s="30" t="s">
        <v>26146</v>
      </c>
      <c r="U19" s="30"/>
      <c r="V19" s="139">
        <v>1820</v>
      </c>
      <c r="W19" s="30" t="s">
        <v>2538</v>
      </c>
      <c r="X19" s="30" t="s">
        <v>194</v>
      </c>
      <c r="Y19" s="30" t="s">
        <v>9300</v>
      </c>
      <c r="Z19" s="30"/>
      <c r="AA19" s="30"/>
      <c r="AB19" s="30" t="s">
        <v>9311</v>
      </c>
      <c r="AC19" s="30"/>
      <c r="AD19" s="30"/>
      <c r="AE19" s="30"/>
      <c r="AF19" s="30"/>
      <c r="AG19" s="30"/>
      <c r="AH19" s="30" t="s">
        <v>4714</v>
      </c>
      <c r="AI19" s="30" t="s">
        <v>9433</v>
      </c>
      <c r="AJ19" s="641" t="str">
        <f t="shared" si="0"/>
        <v>911207</v>
      </c>
      <c r="AK19" s="641">
        <v>1</v>
      </c>
      <c r="AL19" s="641">
        <f t="shared" si="1"/>
        <v>1</v>
      </c>
      <c r="AM19" s="641">
        <v>1</v>
      </c>
      <c r="AN19" s="30" t="s">
        <v>17650</v>
      </c>
      <c r="AO19" s="30" t="s">
        <v>17651</v>
      </c>
      <c r="AP19" s="30" t="s">
        <v>17652</v>
      </c>
      <c r="AQ19" s="30" t="s">
        <v>17653</v>
      </c>
      <c r="AR19" s="30" t="s">
        <v>1024</v>
      </c>
      <c r="AS19" s="30">
        <v>1</v>
      </c>
    </row>
    <row r="20" spans="1:45" x14ac:dyDescent="0.25">
      <c r="A20" s="30" t="s">
        <v>9886</v>
      </c>
      <c r="B20" s="30" t="s">
        <v>26147</v>
      </c>
      <c r="C20" s="30" t="s">
        <v>110</v>
      </c>
      <c r="D20" s="139" t="s">
        <v>26052</v>
      </c>
      <c r="E20" s="30" t="s">
        <v>217</v>
      </c>
      <c r="F20" s="30">
        <v>1</v>
      </c>
      <c r="G20" s="30" t="s">
        <v>193</v>
      </c>
      <c r="H20" s="30" t="s">
        <v>194</v>
      </c>
      <c r="I20" s="30" t="s">
        <v>26148</v>
      </c>
      <c r="J20" s="30" t="s">
        <v>210</v>
      </c>
      <c r="K20" s="30" t="s">
        <v>9309</v>
      </c>
      <c r="L20" s="30" t="s">
        <v>6955</v>
      </c>
      <c r="M20" s="30"/>
      <c r="N20" s="30" t="s">
        <v>26149</v>
      </c>
      <c r="O20" s="30" t="s">
        <v>6275</v>
      </c>
      <c r="P20" s="30" t="s">
        <v>26084</v>
      </c>
      <c r="Q20" s="30" t="s">
        <v>26150</v>
      </c>
      <c r="R20" s="30" t="s">
        <v>23804</v>
      </c>
      <c r="S20" s="30" t="s">
        <v>26151</v>
      </c>
      <c r="T20" s="30" t="s">
        <v>26152</v>
      </c>
      <c r="U20" s="30"/>
      <c r="V20" s="139">
        <v>1863</v>
      </c>
      <c r="W20" s="30" t="s">
        <v>621</v>
      </c>
      <c r="X20" s="30" t="s">
        <v>194</v>
      </c>
      <c r="Y20" s="30" t="s">
        <v>9300</v>
      </c>
      <c r="Z20" s="30"/>
      <c r="AA20" s="30"/>
      <c r="AB20" s="30" t="s">
        <v>9311</v>
      </c>
      <c r="AC20" s="30"/>
      <c r="AD20" s="30"/>
      <c r="AE20" s="30"/>
      <c r="AF20" s="30"/>
      <c r="AG20" s="30"/>
      <c r="AH20" s="30" t="s">
        <v>4714</v>
      </c>
      <c r="AI20" s="30" t="s">
        <v>9433</v>
      </c>
      <c r="AJ20" s="641" t="str">
        <f t="shared" si="0"/>
        <v>332201</v>
      </c>
      <c r="AK20" s="641">
        <v>1</v>
      </c>
      <c r="AL20" s="641">
        <f t="shared" si="1"/>
        <v>1</v>
      </c>
      <c r="AM20" s="641">
        <v>1</v>
      </c>
      <c r="AN20" s="30" t="s">
        <v>17650</v>
      </c>
      <c r="AO20" s="30" t="s">
        <v>17651</v>
      </c>
      <c r="AP20" s="30" t="s">
        <v>17652</v>
      </c>
      <c r="AQ20" s="30" t="s">
        <v>17653</v>
      </c>
      <c r="AR20" s="30" t="s">
        <v>1024</v>
      </c>
      <c r="AS20" s="30">
        <v>1</v>
      </c>
    </row>
    <row r="21" spans="1:45" x14ac:dyDescent="0.25">
      <c r="A21" s="30" t="s">
        <v>26153</v>
      </c>
      <c r="B21" s="30" t="s">
        <v>16213</v>
      </c>
      <c r="C21" s="30" t="s">
        <v>10</v>
      </c>
      <c r="D21" s="139" t="s">
        <v>26052</v>
      </c>
      <c r="E21" s="30" t="s">
        <v>217</v>
      </c>
      <c r="F21" s="30">
        <v>1</v>
      </c>
      <c r="G21" s="30" t="s">
        <v>193</v>
      </c>
      <c r="H21" s="30" t="s">
        <v>194</v>
      </c>
      <c r="I21" s="30" t="s">
        <v>23198</v>
      </c>
      <c r="J21" s="30" t="s">
        <v>210</v>
      </c>
      <c r="K21" s="30" t="s">
        <v>9309</v>
      </c>
      <c r="L21" s="30" t="s">
        <v>6955</v>
      </c>
      <c r="M21" s="30"/>
      <c r="N21" s="30" t="s">
        <v>26154</v>
      </c>
      <c r="O21" s="30" t="s">
        <v>6261</v>
      </c>
      <c r="P21" s="30" t="s">
        <v>26084</v>
      </c>
      <c r="Q21" s="30" t="s">
        <v>26120</v>
      </c>
      <c r="R21" s="30" t="s">
        <v>24551</v>
      </c>
      <c r="S21" s="30" t="s">
        <v>26155</v>
      </c>
      <c r="T21" s="30" t="s">
        <v>26156</v>
      </c>
      <c r="U21" s="30"/>
      <c r="V21" s="139">
        <v>1863</v>
      </c>
      <c r="W21" s="30" t="s">
        <v>484</v>
      </c>
      <c r="X21" s="30" t="s">
        <v>194</v>
      </c>
      <c r="Y21" s="30" t="s">
        <v>9300</v>
      </c>
      <c r="Z21" s="30"/>
      <c r="AA21" s="30"/>
      <c r="AB21" s="30" t="s">
        <v>9311</v>
      </c>
      <c r="AC21" s="30"/>
      <c r="AD21" s="30"/>
      <c r="AE21" s="30"/>
      <c r="AF21" s="30"/>
      <c r="AG21" s="30"/>
      <c r="AH21" s="30" t="s">
        <v>4714</v>
      </c>
      <c r="AI21" s="30" t="s">
        <v>9433</v>
      </c>
      <c r="AJ21" s="641" t="str">
        <f t="shared" si="0"/>
        <v>251401</v>
      </c>
      <c r="AK21" s="641">
        <v>1</v>
      </c>
      <c r="AL21" s="641">
        <f t="shared" si="1"/>
        <v>1</v>
      </c>
      <c r="AM21" s="641">
        <v>1</v>
      </c>
      <c r="AN21" s="30" t="s">
        <v>17650</v>
      </c>
      <c r="AO21" s="30" t="s">
        <v>17651</v>
      </c>
      <c r="AP21" s="30" t="s">
        <v>17652</v>
      </c>
      <c r="AQ21" s="30" t="s">
        <v>17653</v>
      </c>
      <c r="AR21" s="30" t="s">
        <v>1024</v>
      </c>
      <c r="AS21" s="30">
        <v>1</v>
      </c>
    </row>
    <row r="22" spans="1:45" x14ac:dyDescent="0.25">
      <c r="A22" s="30" t="s">
        <v>26089</v>
      </c>
      <c r="B22" s="30" t="s">
        <v>26157</v>
      </c>
      <c r="C22" s="30" t="s">
        <v>36</v>
      </c>
      <c r="D22" s="139" t="s">
        <v>26052</v>
      </c>
      <c r="E22" s="30" t="s">
        <v>217</v>
      </c>
      <c r="F22" s="30">
        <v>1</v>
      </c>
      <c r="G22" s="30" t="s">
        <v>193</v>
      </c>
      <c r="H22" s="30" t="s">
        <v>194</v>
      </c>
      <c r="I22" s="30" t="s">
        <v>26053</v>
      </c>
      <c r="J22" s="30" t="s">
        <v>210</v>
      </c>
      <c r="K22" s="30" t="s">
        <v>9309</v>
      </c>
      <c r="L22" s="30" t="s">
        <v>6955</v>
      </c>
      <c r="M22" s="30"/>
      <c r="N22" s="30" t="s">
        <v>26158</v>
      </c>
      <c r="O22" s="30" t="s">
        <v>7120</v>
      </c>
      <c r="P22" s="30" t="s">
        <v>26084</v>
      </c>
      <c r="Q22" s="30" t="s">
        <v>26159</v>
      </c>
      <c r="R22" s="30" t="s">
        <v>26160</v>
      </c>
      <c r="S22" s="30" t="s">
        <v>26161</v>
      </c>
      <c r="T22" s="30" t="s">
        <v>26162</v>
      </c>
      <c r="U22" s="30"/>
      <c r="V22" s="139">
        <v>1863</v>
      </c>
      <c r="W22" s="30" t="s">
        <v>609</v>
      </c>
      <c r="X22" s="30" t="s">
        <v>194</v>
      </c>
      <c r="Y22" s="30" t="s">
        <v>9300</v>
      </c>
      <c r="Z22" s="30"/>
      <c r="AA22" s="30"/>
      <c r="AB22" s="30" t="s">
        <v>9311</v>
      </c>
      <c r="AC22" s="30"/>
      <c r="AD22" s="30"/>
      <c r="AE22" s="30"/>
      <c r="AF22" s="30"/>
      <c r="AG22" s="30"/>
      <c r="AH22" s="30" t="s">
        <v>4714</v>
      </c>
      <c r="AI22" s="30" t="s">
        <v>9433</v>
      </c>
      <c r="AJ22" s="641" t="str">
        <f t="shared" si="0"/>
        <v>331301</v>
      </c>
      <c r="AK22" s="641">
        <v>1</v>
      </c>
      <c r="AL22" s="641">
        <f t="shared" si="1"/>
        <v>1</v>
      </c>
      <c r="AM22" s="641">
        <v>1</v>
      </c>
      <c r="AN22" s="30" t="s">
        <v>17650</v>
      </c>
      <c r="AO22" s="30" t="s">
        <v>17651</v>
      </c>
      <c r="AP22" s="30" t="s">
        <v>17652</v>
      </c>
      <c r="AQ22" s="30" t="s">
        <v>17653</v>
      </c>
      <c r="AR22" s="30" t="s">
        <v>1024</v>
      </c>
      <c r="AS22" s="30">
        <v>1</v>
      </c>
    </row>
    <row r="23" spans="1:45" x14ac:dyDescent="0.25">
      <c r="A23" s="30" t="s">
        <v>4022</v>
      </c>
      <c r="B23" s="30" t="s">
        <v>26163</v>
      </c>
      <c r="C23" s="30" t="s">
        <v>542</v>
      </c>
      <c r="D23" s="139" t="s">
        <v>26052</v>
      </c>
      <c r="E23" s="30" t="s">
        <v>217</v>
      </c>
      <c r="F23" s="30">
        <v>1</v>
      </c>
      <c r="G23" s="30" t="s">
        <v>193</v>
      </c>
      <c r="H23" s="30" t="s">
        <v>194</v>
      </c>
      <c r="I23" s="30" t="s">
        <v>26053</v>
      </c>
      <c r="J23" s="30" t="s">
        <v>13516</v>
      </c>
      <c r="K23" s="30" t="s">
        <v>9309</v>
      </c>
      <c r="L23" s="30" t="s">
        <v>6955</v>
      </c>
      <c r="M23" s="30"/>
      <c r="N23" s="30" t="s">
        <v>26164</v>
      </c>
      <c r="O23" s="30" t="s">
        <v>6286</v>
      </c>
      <c r="P23" s="30" t="s">
        <v>26114</v>
      </c>
      <c r="Q23" s="30" t="s">
        <v>26027</v>
      </c>
      <c r="R23" s="30" t="s">
        <v>26115</v>
      </c>
      <c r="S23" s="30" t="s">
        <v>26165</v>
      </c>
      <c r="T23" s="30" t="s">
        <v>26166</v>
      </c>
      <c r="U23" s="139"/>
      <c r="V23" s="139" t="s">
        <v>28321</v>
      </c>
      <c r="W23" s="30" t="s">
        <v>543</v>
      </c>
      <c r="X23" s="30" t="s">
        <v>193</v>
      </c>
      <c r="Y23" s="30">
        <v>25</v>
      </c>
      <c r="Z23" s="30"/>
      <c r="AA23" s="30"/>
      <c r="AB23" s="30" t="s">
        <v>9311</v>
      </c>
      <c r="AC23" s="30"/>
      <c r="AD23" s="30"/>
      <c r="AE23" s="30"/>
      <c r="AF23" s="30"/>
      <c r="AG23" s="30"/>
      <c r="AH23" s="30" t="s">
        <v>4714</v>
      </c>
      <c r="AI23" s="30" t="s">
        <v>9433</v>
      </c>
      <c r="AJ23" s="641" t="str">
        <f t="shared" si="0"/>
        <v>264304</v>
      </c>
      <c r="AK23" s="641">
        <v>1</v>
      </c>
      <c r="AL23" s="641">
        <f t="shared" si="1"/>
        <v>1</v>
      </c>
      <c r="AM23" s="641">
        <v>1</v>
      </c>
      <c r="AN23" s="30" t="s">
        <v>17650</v>
      </c>
      <c r="AO23" s="30" t="s">
        <v>17651</v>
      </c>
      <c r="AP23" s="30" t="s">
        <v>17652</v>
      </c>
      <c r="AQ23" s="30" t="s">
        <v>17653</v>
      </c>
      <c r="AR23" s="30" t="s">
        <v>1024</v>
      </c>
      <c r="AS23" s="30">
        <v>1</v>
      </c>
    </row>
    <row r="24" spans="1:45" x14ac:dyDescent="0.25">
      <c r="A24" s="30" t="s">
        <v>26089</v>
      </c>
      <c r="B24" s="30" t="s">
        <v>26167</v>
      </c>
      <c r="C24" s="30" t="s">
        <v>82</v>
      </c>
      <c r="D24" s="139" t="s">
        <v>26052</v>
      </c>
      <c r="E24" s="30" t="s">
        <v>217</v>
      </c>
      <c r="F24" s="30">
        <v>1</v>
      </c>
      <c r="G24" s="30" t="s">
        <v>193</v>
      </c>
      <c r="H24" s="30" t="s">
        <v>194</v>
      </c>
      <c r="I24" s="30" t="s">
        <v>26053</v>
      </c>
      <c r="J24" s="30" t="s">
        <v>210</v>
      </c>
      <c r="K24" s="30" t="s">
        <v>9309</v>
      </c>
      <c r="L24" s="30" t="s">
        <v>6955</v>
      </c>
      <c r="M24" s="30"/>
      <c r="N24" s="30" t="s">
        <v>26168</v>
      </c>
      <c r="O24" s="30" t="s">
        <v>6261</v>
      </c>
      <c r="P24" s="30" t="s">
        <v>26084</v>
      </c>
      <c r="Q24" s="30" t="s">
        <v>26085</v>
      </c>
      <c r="R24" s="30" t="s">
        <v>26057</v>
      </c>
      <c r="S24" s="30" t="s">
        <v>26169</v>
      </c>
      <c r="T24" s="30" t="s">
        <v>26170</v>
      </c>
      <c r="U24" s="30"/>
      <c r="V24" s="139">
        <v>1863</v>
      </c>
      <c r="W24" s="30" t="s">
        <v>504</v>
      </c>
      <c r="X24" s="30" t="s">
        <v>194</v>
      </c>
      <c r="Y24" s="30" t="s">
        <v>9300</v>
      </c>
      <c r="Z24" s="30"/>
      <c r="AA24" s="30"/>
      <c r="AB24" s="30" t="s">
        <v>9311</v>
      </c>
      <c r="AC24" s="30"/>
      <c r="AD24" s="30"/>
      <c r="AE24" s="30"/>
      <c r="AF24" s="30"/>
      <c r="AG24" s="30"/>
      <c r="AH24" s="30" t="s">
        <v>4714</v>
      </c>
      <c r="AI24" s="30" t="s">
        <v>9433</v>
      </c>
      <c r="AJ24" s="641" t="str">
        <f t="shared" si="0"/>
        <v>252101</v>
      </c>
      <c r="AK24" s="641">
        <v>1</v>
      </c>
      <c r="AL24" s="641">
        <f t="shared" si="1"/>
        <v>1</v>
      </c>
      <c r="AM24" s="641">
        <v>1</v>
      </c>
      <c r="AN24" s="30" t="s">
        <v>17650</v>
      </c>
      <c r="AO24" s="30" t="s">
        <v>17651</v>
      </c>
      <c r="AP24" s="30" t="s">
        <v>17652</v>
      </c>
      <c r="AQ24" s="30" t="s">
        <v>17653</v>
      </c>
      <c r="AR24" s="30" t="s">
        <v>1024</v>
      </c>
      <c r="AS24" s="30">
        <v>1</v>
      </c>
    </row>
    <row r="25" spans="1:45" x14ac:dyDescent="0.25">
      <c r="A25" s="30" t="s">
        <v>4022</v>
      </c>
      <c r="B25" s="30" t="s">
        <v>26171</v>
      </c>
      <c r="C25" s="30" t="s">
        <v>3991</v>
      </c>
      <c r="D25" s="139" t="s">
        <v>26052</v>
      </c>
      <c r="E25" s="30" t="s">
        <v>217</v>
      </c>
      <c r="F25" s="30">
        <v>1</v>
      </c>
      <c r="G25" s="30" t="s">
        <v>193</v>
      </c>
      <c r="H25" s="30" t="s">
        <v>194</v>
      </c>
      <c r="I25" s="30" t="s">
        <v>26143</v>
      </c>
      <c r="J25" s="30" t="s">
        <v>15466</v>
      </c>
      <c r="K25" s="30" t="s">
        <v>9309</v>
      </c>
      <c r="L25" s="30" t="s">
        <v>6955</v>
      </c>
      <c r="M25" s="30"/>
      <c r="N25" s="30" t="s">
        <v>26172</v>
      </c>
      <c r="O25" s="30" t="s">
        <v>6269</v>
      </c>
      <c r="P25" s="30" t="s">
        <v>26114</v>
      </c>
      <c r="Q25" s="30" t="s">
        <v>26027</v>
      </c>
      <c r="R25" s="30" t="s">
        <v>26115</v>
      </c>
      <c r="S25" s="30" t="s">
        <v>26173</v>
      </c>
      <c r="T25" s="30" t="s">
        <v>26174</v>
      </c>
      <c r="U25" s="139"/>
      <c r="V25" s="139" t="s">
        <v>28321</v>
      </c>
      <c r="W25" s="30" t="s">
        <v>3993</v>
      </c>
      <c r="X25" s="30" t="s">
        <v>193</v>
      </c>
      <c r="Y25" s="30">
        <v>25</v>
      </c>
      <c r="Z25" s="30"/>
      <c r="AA25" s="30"/>
      <c r="AB25" s="30" t="s">
        <v>9311</v>
      </c>
      <c r="AC25" s="30"/>
      <c r="AD25" s="30"/>
      <c r="AE25" s="30"/>
      <c r="AF25" s="30"/>
      <c r="AG25" s="30"/>
      <c r="AH25" s="30" t="s">
        <v>4714</v>
      </c>
      <c r="AI25" s="30" t="s">
        <v>9433</v>
      </c>
      <c r="AJ25" s="641" t="str">
        <f t="shared" si="0"/>
        <v>222101</v>
      </c>
      <c r="AK25" s="641">
        <v>1</v>
      </c>
      <c r="AL25" s="641">
        <f t="shared" si="1"/>
        <v>1</v>
      </c>
      <c r="AM25" s="641">
        <v>1</v>
      </c>
      <c r="AN25" s="30" t="s">
        <v>17650</v>
      </c>
      <c r="AO25" s="30" t="s">
        <v>17651</v>
      </c>
      <c r="AP25" s="30" t="s">
        <v>17652</v>
      </c>
      <c r="AQ25" s="30" t="s">
        <v>17653</v>
      </c>
      <c r="AR25" s="30" t="s">
        <v>1024</v>
      </c>
      <c r="AS25" s="30">
        <v>1</v>
      </c>
    </row>
    <row r="26" spans="1:45" x14ac:dyDescent="0.25">
      <c r="A26" s="30" t="s">
        <v>716</v>
      </c>
      <c r="B26" s="30" t="s">
        <v>26175</v>
      </c>
      <c r="C26" s="30" t="s">
        <v>10</v>
      </c>
      <c r="D26" s="139" t="s">
        <v>26052</v>
      </c>
      <c r="E26" s="30" t="s">
        <v>217</v>
      </c>
      <c r="F26" s="30">
        <v>1</v>
      </c>
      <c r="G26" s="30" t="s">
        <v>193</v>
      </c>
      <c r="H26" s="30" t="s">
        <v>194</v>
      </c>
      <c r="I26" s="30" t="s">
        <v>26053</v>
      </c>
      <c r="J26" s="30" t="s">
        <v>210</v>
      </c>
      <c r="K26" s="30" t="s">
        <v>9309</v>
      </c>
      <c r="L26" s="30" t="s">
        <v>6955</v>
      </c>
      <c r="M26" s="30"/>
      <c r="N26" s="30" t="s">
        <v>26176</v>
      </c>
      <c r="O26" s="30" t="s">
        <v>6921</v>
      </c>
      <c r="P26" s="30" t="s">
        <v>26114</v>
      </c>
      <c r="Q26" s="30" t="s">
        <v>26027</v>
      </c>
      <c r="R26" s="30" t="s">
        <v>26115</v>
      </c>
      <c r="S26" s="30" t="s">
        <v>26177</v>
      </c>
      <c r="T26" s="30" t="s">
        <v>26178</v>
      </c>
      <c r="U26" s="30"/>
      <c r="V26" s="139">
        <v>1863</v>
      </c>
      <c r="W26" s="30" t="s">
        <v>484</v>
      </c>
      <c r="X26" s="30" t="s">
        <v>194</v>
      </c>
      <c r="Y26" s="30" t="s">
        <v>9300</v>
      </c>
      <c r="Z26" s="30"/>
      <c r="AA26" s="30"/>
      <c r="AB26" s="30" t="s">
        <v>9311</v>
      </c>
      <c r="AC26" s="30"/>
      <c r="AD26" s="30"/>
      <c r="AE26" s="30"/>
      <c r="AF26" s="30"/>
      <c r="AG26" s="30"/>
      <c r="AH26" s="30" t="s">
        <v>4714</v>
      </c>
      <c r="AI26" s="30" t="s">
        <v>9433</v>
      </c>
      <c r="AJ26" s="641" t="str">
        <f t="shared" si="0"/>
        <v>251401</v>
      </c>
      <c r="AK26" s="641">
        <v>1</v>
      </c>
      <c r="AL26" s="641">
        <f t="shared" si="1"/>
        <v>1</v>
      </c>
      <c r="AM26" s="641">
        <v>1</v>
      </c>
      <c r="AN26" s="30" t="s">
        <v>17650</v>
      </c>
      <c r="AO26" s="30" t="s">
        <v>17651</v>
      </c>
      <c r="AP26" s="30" t="s">
        <v>17652</v>
      </c>
      <c r="AQ26" s="30" t="s">
        <v>17653</v>
      </c>
      <c r="AR26" s="30" t="s">
        <v>1024</v>
      </c>
      <c r="AS26" s="30">
        <v>1</v>
      </c>
    </row>
    <row r="27" spans="1:45" x14ac:dyDescent="0.25">
      <c r="A27" s="30" t="s">
        <v>9886</v>
      </c>
      <c r="B27" s="30" t="s">
        <v>26179</v>
      </c>
      <c r="C27" s="30" t="s">
        <v>26180</v>
      </c>
      <c r="D27" s="139" t="s">
        <v>26052</v>
      </c>
      <c r="E27" s="30" t="s">
        <v>217</v>
      </c>
      <c r="F27" s="30">
        <v>1</v>
      </c>
      <c r="G27" s="30" t="s">
        <v>193</v>
      </c>
      <c r="H27" s="30" t="s">
        <v>194</v>
      </c>
      <c r="I27" s="30" t="s">
        <v>26053</v>
      </c>
      <c r="J27" s="30" t="s">
        <v>210</v>
      </c>
      <c r="K27" s="30" t="s">
        <v>9309</v>
      </c>
      <c r="L27" s="30" t="s">
        <v>6955</v>
      </c>
      <c r="M27" s="30"/>
      <c r="N27" s="30" t="s">
        <v>26181</v>
      </c>
      <c r="O27" s="30" t="s">
        <v>6251</v>
      </c>
      <c r="P27" s="30" t="s">
        <v>26084</v>
      </c>
      <c r="Q27" s="30" t="s">
        <v>26182</v>
      </c>
      <c r="R27" s="30" t="s">
        <v>26183</v>
      </c>
      <c r="S27" s="30" t="s">
        <v>26184</v>
      </c>
      <c r="T27" s="30" t="s">
        <v>26185</v>
      </c>
      <c r="U27" s="30"/>
      <c r="V27" s="139">
        <v>1863</v>
      </c>
      <c r="W27" s="30" t="s">
        <v>26186</v>
      </c>
      <c r="X27" s="30" t="s">
        <v>194</v>
      </c>
      <c r="Y27" s="30" t="s">
        <v>9300</v>
      </c>
      <c r="Z27" s="30"/>
      <c r="AA27" s="30"/>
      <c r="AB27" s="30" t="s">
        <v>9311</v>
      </c>
      <c r="AC27" s="30"/>
      <c r="AD27" s="30"/>
      <c r="AE27" s="30"/>
      <c r="AF27" s="30"/>
      <c r="AG27" s="30"/>
      <c r="AH27" s="30" t="s">
        <v>4714</v>
      </c>
      <c r="AI27" s="30" t="s">
        <v>9433</v>
      </c>
      <c r="AJ27" s="641" t="str">
        <f t="shared" si="0"/>
        <v>421108</v>
      </c>
      <c r="AK27" s="641">
        <v>1</v>
      </c>
      <c r="AL27" s="641">
        <f t="shared" si="1"/>
        <v>1</v>
      </c>
      <c r="AM27" s="641">
        <v>1</v>
      </c>
      <c r="AN27" s="30" t="s">
        <v>17650</v>
      </c>
      <c r="AO27" s="30" t="s">
        <v>17651</v>
      </c>
      <c r="AP27" s="30" t="s">
        <v>17652</v>
      </c>
      <c r="AQ27" s="30" t="s">
        <v>17653</v>
      </c>
      <c r="AR27" s="30" t="s">
        <v>1024</v>
      </c>
      <c r="AS27" s="30">
        <v>1</v>
      </c>
    </row>
    <row r="28" spans="1:45" x14ac:dyDescent="0.25">
      <c r="A28" s="30" t="s">
        <v>26153</v>
      </c>
      <c r="B28" s="30" t="s">
        <v>26187</v>
      </c>
      <c r="C28" s="30" t="s">
        <v>10</v>
      </c>
      <c r="D28" s="139" t="s">
        <v>26052</v>
      </c>
      <c r="E28" s="30" t="s">
        <v>217</v>
      </c>
      <c r="F28" s="30">
        <v>1</v>
      </c>
      <c r="G28" s="30" t="s">
        <v>193</v>
      </c>
      <c r="H28" s="30" t="s">
        <v>194</v>
      </c>
      <c r="I28" s="30" t="s">
        <v>23198</v>
      </c>
      <c r="J28" s="30" t="s">
        <v>210</v>
      </c>
      <c r="K28" s="30" t="s">
        <v>9309</v>
      </c>
      <c r="L28" s="30" t="s">
        <v>6955</v>
      </c>
      <c r="M28" s="30"/>
      <c r="N28" s="30" t="s">
        <v>26188</v>
      </c>
      <c r="O28" s="30" t="s">
        <v>6261</v>
      </c>
      <c r="P28" s="30" t="s">
        <v>26084</v>
      </c>
      <c r="Q28" s="30" t="s">
        <v>26189</v>
      </c>
      <c r="R28" s="30" t="s">
        <v>26190</v>
      </c>
      <c r="S28" s="30" t="s">
        <v>26191</v>
      </c>
      <c r="T28" s="30" t="s">
        <v>26192</v>
      </c>
      <c r="U28" s="30"/>
      <c r="V28" s="139">
        <v>1863</v>
      </c>
      <c r="W28" s="30" t="s">
        <v>484</v>
      </c>
      <c r="X28" s="30" t="s">
        <v>194</v>
      </c>
      <c r="Y28" s="30" t="s">
        <v>9300</v>
      </c>
      <c r="Z28" s="30"/>
      <c r="AA28" s="30"/>
      <c r="AB28" s="30" t="s">
        <v>9311</v>
      </c>
      <c r="AC28" s="30"/>
      <c r="AD28" s="30"/>
      <c r="AE28" s="30"/>
      <c r="AF28" s="30"/>
      <c r="AG28" s="30"/>
      <c r="AH28" s="30" t="s">
        <v>4714</v>
      </c>
      <c r="AI28" s="30" t="s">
        <v>9433</v>
      </c>
      <c r="AJ28" s="641" t="str">
        <f t="shared" si="0"/>
        <v>251401</v>
      </c>
      <c r="AK28" s="641">
        <v>1</v>
      </c>
      <c r="AL28" s="641">
        <f t="shared" si="1"/>
        <v>1</v>
      </c>
      <c r="AM28" s="641">
        <v>1</v>
      </c>
      <c r="AN28" s="30" t="s">
        <v>17650</v>
      </c>
      <c r="AO28" s="30" t="s">
        <v>17651</v>
      </c>
      <c r="AP28" s="30" t="s">
        <v>17652</v>
      </c>
      <c r="AQ28" s="30" t="s">
        <v>17653</v>
      </c>
      <c r="AR28" s="30" t="s">
        <v>1024</v>
      </c>
      <c r="AS28" s="30">
        <v>1</v>
      </c>
    </row>
    <row r="29" spans="1:45" x14ac:dyDescent="0.25">
      <c r="A29" s="30" t="s">
        <v>26193</v>
      </c>
      <c r="B29" s="30" t="s">
        <v>26194</v>
      </c>
      <c r="C29" s="30" t="s">
        <v>227</v>
      </c>
      <c r="D29" s="139" t="s">
        <v>26052</v>
      </c>
      <c r="E29" s="30" t="s">
        <v>217</v>
      </c>
      <c r="F29" s="30">
        <v>1</v>
      </c>
      <c r="G29" s="30" t="s">
        <v>193</v>
      </c>
      <c r="H29" s="30" t="s">
        <v>194</v>
      </c>
      <c r="I29" s="30" t="s">
        <v>26053</v>
      </c>
      <c r="J29" s="30" t="s">
        <v>210</v>
      </c>
      <c r="K29" s="30" t="s">
        <v>9309</v>
      </c>
      <c r="L29" s="30" t="s">
        <v>6955</v>
      </c>
      <c r="M29" s="30"/>
      <c r="N29" s="30" t="s">
        <v>26195</v>
      </c>
      <c r="O29" s="30" t="s">
        <v>6269</v>
      </c>
      <c r="P29" s="30" t="s">
        <v>26084</v>
      </c>
      <c r="Q29" s="30" t="s">
        <v>26159</v>
      </c>
      <c r="R29" s="30" t="s">
        <v>26160</v>
      </c>
      <c r="S29" s="30" t="s">
        <v>26196</v>
      </c>
      <c r="T29" s="30" t="s">
        <v>26197</v>
      </c>
      <c r="U29" s="30"/>
      <c r="V29" s="139">
        <v>1863</v>
      </c>
      <c r="W29" s="30" t="s">
        <v>229</v>
      </c>
      <c r="X29" s="30" t="s">
        <v>194</v>
      </c>
      <c r="Y29" s="30" t="s">
        <v>9300</v>
      </c>
      <c r="Z29" s="30"/>
      <c r="AA29" s="30"/>
      <c r="AB29" s="30" t="s">
        <v>9311</v>
      </c>
      <c r="AC29" s="30"/>
      <c r="AD29" s="30"/>
      <c r="AE29" s="30"/>
      <c r="AF29" s="30"/>
      <c r="AG29" s="30"/>
      <c r="AH29" s="30" t="s">
        <v>4714</v>
      </c>
      <c r="AI29" s="30" t="s">
        <v>9433</v>
      </c>
      <c r="AJ29" s="641" t="str">
        <f t="shared" si="0"/>
        <v>132401</v>
      </c>
      <c r="AK29" s="641">
        <v>1</v>
      </c>
      <c r="AL29" s="641">
        <f t="shared" si="1"/>
        <v>1</v>
      </c>
      <c r="AM29" s="641">
        <v>1</v>
      </c>
      <c r="AN29" s="30" t="s">
        <v>17650</v>
      </c>
      <c r="AO29" s="30" t="s">
        <v>17651</v>
      </c>
      <c r="AP29" s="30" t="s">
        <v>17652</v>
      </c>
      <c r="AQ29" s="30" t="s">
        <v>17653</v>
      </c>
      <c r="AR29" s="30" t="s">
        <v>1024</v>
      </c>
      <c r="AS29" s="30">
        <v>1</v>
      </c>
    </row>
    <row r="30" spans="1:45" x14ac:dyDescent="0.25">
      <c r="A30" s="30" t="s">
        <v>26198</v>
      </c>
      <c r="B30" s="30" t="s">
        <v>26199</v>
      </c>
      <c r="C30" s="30" t="s">
        <v>11493</v>
      </c>
      <c r="D30" s="139" t="s">
        <v>26052</v>
      </c>
      <c r="E30" s="30" t="s">
        <v>217</v>
      </c>
      <c r="F30" s="30">
        <v>1</v>
      </c>
      <c r="G30" s="30" t="s">
        <v>193</v>
      </c>
      <c r="H30" s="30" t="s">
        <v>194</v>
      </c>
      <c r="I30" s="30" t="s">
        <v>26133</v>
      </c>
      <c r="J30" s="30" t="s">
        <v>316</v>
      </c>
      <c r="K30" s="30" t="s">
        <v>9309</v>
      </c>
      <c r="L30" s="30" t="s">
        <v>6955</v>
      </c>
      <c r="M30" s="30"/>
      <c r="N30" s="30" t="s">
        <v>26200</v>
      </c>
      <c r="O30" s="30" t="s">
        <v>6256</v>
      </c>
      <c r="P30" s="30" t="s">
        <v>26084</v>
      </c>
      <c r="Q30" s="30" t="s">
        <v>26201</v>
      </c>
      <c r="R30" s="30" t="s">
        <v>24556</v>
      </c>
      <c r="S30" s="30" t="s">
        <v>26202</v>
      </c>
      <c r="T30" s="30" t="s">
        <v>26203</v>
      </c>
      <c r="U30" s="30"/>
      <c r="V30" s="139">
        <v>1818</v>
      </c>
      <c r="W30" s="30" t="s">
        <v>11497</v>
      </c>
      <c r="X30" s="30" t="s">
        <v>194</v>
      </c>
      <c r="Y30" s="30" t="s">
        <v>9300</v>
      </c>
      <c r="Z30" s="30"/>
      <c r="AA30" s="30"/>
      <c r="AB30" s="30" t="s">
        <v>9311</v>
      </c>
      <c r="AC30" s="30"/>
      <c r="AD30" s="30"/>
      <c r="AE30" s="30"/>
      <c r="AF30" s="30"/>
      <c r="AG30" s="30"/>
      <c r="AH30" s="30" t="s">
        <v>4714</v>
      </c>
      <c r="AI30" s="30" t="s">
        <v>9433</v>
      </c>
      <c r="AJ30" s="641" t="str">
        <f t="shared" si="0"/>
        <v>214306</v>
      </c>
      <c r="AK30" s="641">
        <v>1</v>
      </c>
      <c r="AL30" s="641">
        <f t="shared" si="1"/>
        <v>1</v>
      </c>
      <c r="AM30" s="641">
        <v>1</v>
      </c>
      <c r="AN30" s="30" t="s">
        <v>17650</v>
      </c>
      <c r="AO30" s="30" t="s">
        <v>17651</v>
      </c>
      <c r="AP30" s="30" t="s">
        <v>17652</v>
      </c>
      <c r="AQ30" s="30" t="s">
        <v>17653</v>
      </c>
      <c r="AR30" s="30" t="s">
        <v>1024</v>
      </c>
      <c r="AS30" s="30">
        <v>1</v>
      </c>
    </row>
    <row r="31" spans="1:45" x14ac:dyDescent="0.25">
      <c r="A31" s="30" t="s">
        <v>26153</v>
      </c>
      <c r="B31" s="30" t="s">
        <v>26204</v>
      </c>
      <c r="C31" s="30" t="s">
        <v>10</v>
      </c>
      <c r="D31" s="139" t="s">
        <v>26052</v>
      </c>
      <c r="E31" s="30" t="s">
        <v>217</v>
      </c>
      <c r="F31" s="30">
        <v>1</v>
      </c>
      <c r="G31" s="30" t="s">
        <v>193</v>
      </c>
      <c r="H31" s="30" t="s">
        <v>194</v>
      </c>
      <c r="I31" s="30" t="s">
        <v>26053</v>
      </c>
      <c r="J31" s="30" t="s">
        <v>210</v>
      </c>
      <c r="K31" s="30" t="s">
        <v>9309</v>
      </c>
      <c r="L31" s="30" t="s">
        <v>6955</v>
      </c>
      <c r="M31" s="30"/>
      <c r="N31" s="30" t="s">
        <v>26205</v>
      </c>
      <c r="O31" s="30" t="s">
        <v>6261</v>
      </c>
      <c r="P31" s="30" t="s">
        <v>26084</v>
      </c>
      <c r="Q31" s="30" t="s">
        <v>25478</v>
      </c>
      <c r="R31" s="30" t="s">
        <v>26139</v>
      </c>
      <c r="S31" s="30" t="s">
        <v>26206</v>
      </c>
      <c r="T31" s="30" t="s">
        <v>26207</v>
      </c>
      <c r="U31" s="30"/>
      <c r="V31" s="139">
        <v>1863</v>
      </c>
      <c r="W31" s="30" t="s">
        <v>484</v>
      </c>
      <c r="X31" s="30" t="s">
        <v>194</v>
      </c>
      <c r="Y31" s="30" t="s">
        <v>9300</v>
      </c>
      <c r="Z31" s="30"/>
      <c r="AA31" s="30"/>
      <c r="AB31" s="30" t="s">
        <v>9311</v>
      </c>
      <c r="AC31" s="30"/>
      <c r="AD31" s="30"/>
      <c r="AE31" s="30"/>
      <c r="AF31" s="30"/>
      <c r="AG31" s="30"/>
      <c r="AH31" s="30" t="s">
        <v>4714</v>
      </c>
      <c r="AI31" s="30" t="s">
        <v>9433</v>
      </c>
      <c r="AJ31" s="641" t="str">
        <f t="shared" si="0"/>
        <v>251401</v>
      </c>
      <c r="AK31" s="641">
        <v>1</v>
      </c>
      <c r="AL31" s="641">
        <f t="shared" si="1"/>
        <v>1</v>
      </c>
      <c r="AM31" s="641">
        <v>1</v>
      </c>
      <c r="AN31" s="30" t="s">
        <v>17650</v>
      </c>
      <c r="AO31" s="30" t="s">
        <v>17651</v>
      </c>
      <c r="AP31" s="30" t="s">
        <v>17652</v>
      </c>
      <c r="AQ31" s="30" t="s">
        <v>17653</v>
      </c>
      <c r="AR31" s="30" t="s">
        <v>1024</v>
      </c>
      <c r="AS31" s="30">
        <v>1</v>
      </c>
    </row>
    <row r="32" spans="1:45" x14ac:dyDescent="0.25">
      <c r="A32" s="30" t="s">
        <v>258</v>
      </c>
      <c r="B32" s="30" t="s">
        <v>26208</v>
      </c>
      <c r="C32" s="30" t="s">
        <v>778</v>
      </c>
      <c r="D32" s="139" t="s">
        <v>26052</v>
      </c>
      <c r="E32" s="30" t="s">
        <v>217</v>
      </c>
      <c r="F32" s="30">
        <v>1</v>
      </c>
      <c r="G32" s="30" t="s">
        <v>193</v>
      </c>
      <c r="H32" s="30" t="s">
        <v>194</v>
      </c>
      <c r="I32" s="30" t="s">
        <v>26053</v>
      </c>
      <c r="J32" s="30" t="s">
        <v>408</v>
      </c>
      <c r="K32" s="30" t="s">
        <v>9309</v>
      </c>
      <c r="L32" s="30" t="s">
        <v>6955</v>
      </c>
      <c r="M32" s="30"/>
      <c r="N32" s="30" t="s">
        <v>26209</v>
      </c>
      <c r="O32" s="30" t="s">
        <v>6251</v>
      </c>
      <c r="P32" s="30" t="s">
        <v>26084</v>
      </c>
      <c r="Q32" s="30" t="s">
        <v>26182</v>
      </c>
      <c r="R32" s="30" t="s">
        <v>26183</v>
      </c>
      <c r="S32" s="30" t="s">
        <v>26210</v>
      </c>
      <c r="T32" s="30" t="s">
        <v>26211</v>
      </c>
      <c r="U32" s="30"/>
      <c r="V32" s="139">
        <v>1864</v>
      </c>
      <c r="W32" s="30" t="s">
        <v>779</v>
      </c>
      <c r="X32" s="30" t="s">
        <v>194</v>
      </c>
      <c r="Y32" s="30" t="s">
        <v>9300</v>
      </c>
      <c r="Z32" s="30"/>
      <c r="AA32" s="30"/>
      <c r="AB32" s="30" t="s">
        <v>9311</v>
      </c>
      <c r="AC32" s="30"/>
      <c r="AD32" s="30"/>
      <c r="AE32" s="30"/>
      <c r="AF32" s="30"/>
      <c r="AG32" s="30"/>
      <c r="AH32" s="30" t="s">
        <v>4714</v>
      </c>
      <c r="AI32" s="30" t="s">
        <v>9433</v>
      </c>
      <c r="AJ32" s="641" t="str">
        <f t="shared" si="0"/>
        <v>524902</v>
      </c>
      <c r="AK32" s="641">
        <v>1</v>
      </c>
      <c r="AL32" s="641">
        <f t="shared" si="1"/>
        <v>1</v>
      </c>
      <c r="AM32" s="641">
        <v>1</v>
      </c>
      <c r="AN32" s="30" t="s">
        <v>17650</v>
      </c>
      <c r="AO32" s="30" t="s">
        <v>17651</v>
      </c>
      <c r="AP32" s="30" t="s">
        <v>17652</v>
      </c>
      <c r="AQ32" s="30" t="s">
        <v>17653</v>
      </c>
      <c r="AR32" s="30" t="s">
        <v>1024</v>
      </c>
      <c r="AS32" s="30">
        <v>1</v>
      </c>
    </row>
    <row r="33" spans="1:45" x14ac:dyDescent="0.25">
      <c r="A33" s="30" t="s">
        <v>26198</v>
      </c>
      <c r="B33" s="30" t="s">
        <v>26212</v>
      </c>
      <c r="C33" s="30" t="s">
        <v>153</v>
      </c>
      <c r="D33" s="139" t="s">
        <v>26052</v>
      </c>
      <c r="E33" s="30" t="s">
        <v>217</v>
      </c>
      <c r="F33" s="30">
        <v>1</v>
      </c>
      <c r="G33" s="30" t="s">
        <v>193</v>
      </c>
      <c r="H33" s="30" t="s">
        <v>194</v>
      </c>
      <c r="I33" s="30" t="s">
        <v>26060</v>
      </c>
      <c r="J33" s="30" t="s">
        <v>210</v>
      </c>
      <c r="K33" s="30" t="s">
        <v>9309</v>
      </c>
      <c r="L33" s="30" t="s">
        <v>6955</v>
      </c>
      <c r="M33" s="30"/>
      <c r="N33" s="30" t="s">
        <v>26213</v>
      </c>
      <c r="O33" s="30" t="s">
        <v>6251</v>
      </c>
      <c r="P33" s="30" t="s">
        <v>26084</v>
      </c>
      <c r="Q33" s="30" t="s">
        <v>26092</v>
      </c>
      <c r="R33" s="30" t="s">
        <v>26093</v>
      </c>
      <c r="S33" s="30" t="s">
        <v>26214</v>
      </c>
      <c r="T33" s="30" t="s">
        <v>26215</v>
      </c>
      <c r="U33" s="30"/>
      <c r="V33" s="139">
        <v>1863</v>
      </c>
      <c r="W33" s="30" t="s">
        <v>2293</v>
      </c>
      <c r="X33" s="30" t="s">
        <v>194</v>
      </c>
      <c r="Y33" s="30" t="s">
        <v>9300</v>
      </c>
      <c r="Z33" s="30"/>
      <c r="AA33" s="30"/>
      <c r="AB33" s="30" t="s">
        <v>9311</v>
      </c>
      <c r="AC33" s="30"/>
      <c r="AD33" s="30"/>
      <c r="AE33" s="30"/>
      <c r="AF33" s="30"/>
      <c r="AG33" s="30"/>
      <c r="AH33" s="30" t="s">
        <v>4714</v>
      </c>
      <c r="AI33" s="30" t="s">
        <v>9433</v>
      </c>
      <c r="AJ33" s="641" t="str">
        <f t="shared" si="0"/>
        <v>333903</v>
      </c>
      <c r="AK33" s="641">
        <v>1</v>
      </c>
      <c r="AL33" s="641">
        <f t="shared" si="1"/>
        <v>1</v>
      </c>
      <c r="AM33" s="641">
        <v>1</v>
      </c>
      <c r="AN33" s="30" t="s">
        <v>17650</v>
      </c>
      <c r="AO33" s="30" t="s">
        <v>17651</v>
      </c>
      <c r="AP33" s="30" t="s">
        <v>17652</v>
      </c>
      <c r="AQ33" s="30" t="s">
        <v>17653</v>
      </c>
      <c r="AR33" s="30" t="s">
        <v>1024</v>
      </c>
      <c r="AS33" s="30">
        <v>1</v>
      </c>
    </row>
    <row r="34" spans="1:45" x14ac:dyDescent="0.25">
      <c r="A34" s="30" t="s">
        <v>2308</v>
      </c>
      <c r="B34" s="30" t="s">
        <v>26216</v>
      </c>
      <c r="C34" s="30" t="s">
        <v>17</v>
      </c>
      <c r="D34" s="139" t="s">
        <v>26052</v>
      </c>
      <c r="E34" s="30" t="s">
        <v>217</v>
      </c>
      <c r="F34" s="30">
        <v>1</v>
      </c>
      <c r="G34" s="30" t="s">
        <v>193</v>
      </c>
      <c r="H34" s="30" t="s">
        <v>194</v>
      </c>
      <c r="I34" s="30" t="s">
        <v>26053</v>
      </c>
      <c r="J34" s="30" t="s">
        <v>316</v>
      </c>
      <c r="K34" s="30" t="s">
        <v>9309</v>
      </c>
      <c r="L34" s="30" t="s">
        <v>6955</v>
      </c>
      <c r="M34" s="30"/>
      <c r="N34" s="30" t="s">
        <v>26217</v>
      </c>
      <c r="O34" s="30" t="s">
        <v>6269</v>
      </c>
      <c r="P34" s="30" t="s">
        <v>26084</v>
      </c>
      <c r="Q34" s="30" t="s">
        <v>26218</v>
      </c>
      <c r="R34" s="30" t="s">
        <v>26219</v>
      </c>
      <c r="S34" s="30" t="s">
        <v>26220</v>
      </c>
      <c r="T34" s="30" t="s">
        <v>26221</v>
      </c>
      <c r="U34" s="30"/>
      <c r="V34" s="139">
        <v>1818</v>
      </c>
      <c r="W34" s="30" t="s">
        <v>624</v>
      </c>
      <c r="X34" s="30" t="s">
        <v>194</v>
      </c>
      <c r="Y34" s="30" t="s">
        <v>9300</v>
      </c>
      <c r="Z34" s="30"/>
      <c r="AA34" s="30"/>
      <c r="AB34" s="30" t="s">
        <v>9311</v>
      </c>
      <c r="AC34" s="30"/>
      <c r="AD34" s="30"/>
      <c r="AE34" s="30"/>
      <c r="AF34" s="30"/>
      <c r="AG34" s="30"/>
      <c r="AH34" s="30" t="s">
        <v>4714</v>
      </c>
      <c r="AI34" s="30" t="s">
        <v>9433</v>
      </c>
      <c r="AJ34" s="641" t="str">
        <f t="shared" si="0"/>
        <v>332203</v>
      </c>
      <c r="AK34" s="641">
        <v>1</v>
      </c>
      <c r="AL34" s="641">
        <f t="shared" si="1"/>
        <v>1</v>
      </c>
      <c r="AM34" s="641">
        <v>1</v>
      </c>
      <c r="AN34" s="30" t="s">
        <v>17650</v>
      </c>
      <c r="AO34" s="30" t="s">
        <v>17651</v>
      </c>
      <c r="AP34" s="30" t="s">
        <v>17652</v>
      </c>
      <c r="AQ34" s="30" t="s">
        <v>17653</v>
      </c>
      <c r="AR34" s="30" t="s">
        <v>1024</v>
      </c>
      <c r="AS34" s="30">
        <v>1</v>
      </c>
    </row>
    <row r="35" spans="1:45" x14ac:dyDescent="0.25">
      <c r="A35" s="30" t="s">
        <v>15464</v>
      </c>
      <c r="B35" s="30" t="s">
        <v>26222</v>
      </c>
      <c r="C35" s="30" t="s">
        <v>721</v>
      </c>
      <c r="D35" s="139" t="s">
        <v>26052</v>
      </c>
      <c r="E35" s="30" t="s">
        <v>217</v>
      </c>
      <c r="F35" s="30">
        <v>1</v>
      </c>
      <c r="G35" s="30" t="s">
        <v>193</v>
      </c>
      <c r="H35" s="30" t="s">
        <v>194</v>
      </c>
      <c r="I35" s="30" t="s">
        <v>26060</v>
      </c>
      <c r="J35" s="30" t="s">
        <v>26223</v>
      </c>
      <c r="K35" s="30" t="s">
        <v>9309</v>
      </c>
      <c r="L35" s="30" t="s">
        <v>6955</v>
      </c>
      <c r="M35" s="30"/>
      <c r="N35" s="30" t="s">
        <v>26224</v>
      </c>
      <c r="O35" s="30" t="s">
        <v>6269</v>
      </c>
      <c r="P35" s="30" t="s">
        <v>26114</v>
      </c>
      <c r="Q35" s="30" t="s">
        <v>26027</v>
      </c>
      <c r="R35" s="30" t="s">
        <v>26115</v>
      </c>
      <c r="S35" s="30" t="s">
        <v>26225</v>
      </c>
      <c r="T35" s="30" t="s">
        <v>26226</v>
      </c>
      <c r="U35" s="139"/>
      <c r="V35" s="139" t="s">
        <v>28321</v>
      </c>
      <c r="W35" s="30" t="s">
        <v>723</v>
      </c>
      <c r="X35" s="30" t="s">
        <v>193</v>
      </c>
      <c r="Y35" s="30" t="s">
        <v>9310</v>
      </c>
      <c r="Z35" s="30"/>
      <c r="AA35" s="30"/>
      <c r="AB35" s="30" t="s">
        <v>9311</v>
      </c>
      <c r="AC35" s="30"/>
      <c r="AD35" s="30"/>
      <c r="AE35" s="30"/>
      <c r="AF35" s="30"/>
      <c r="AG35" s="30"/>
      <c r="AH35" s="30" t="s">
        <v>4714</v>
      </c>
      <c r="AI35" s="30" t="s">
        <v>9433</v>
      </c>
      <c r="AJ35" s="641" t="str">
        <f t="shared" si="0"/>
        <v>432201</v>
      </c>
      <c r="AK35" s="641">
        <v>1</v>
      </c>
      <c r="AL35" s="641">
        <f t="shared" si="1"/>
        <v>1</v>
      </c>
      <c r="AM35" s="641">
        <v>1</v>
      </c>
      <c r="AN35" s="30" t="s">
        <v>17650</v>
      </c>
      <c r="AO35" s="30" t="s">
        <v>17651</v>
      </c>
      <c r="AP35" s="30" t="s">
        <v>17652</v>
      </c>
      <c r="AQ35" s="30" t="s">
        <v>17653</v>
      </c>
      <c r="AR35" s="30" t="s">
        <v>1024</v>
      </c>
      <c r="AS35" s="30">
        <v>1</v>
      </c>
    </row>
    <row r="36" spans="1:45" x14ac:dyDescent="0.25">
      <c r="A36" s="30" t="s">
        <v>10145</v>
      </c>
      <c r="B36" s="30" t="s">
        <v>26227</v>
      </c>
      <c r="C36" s="30" t="s">
        <v>137</v>
      </c>
      <c r="D36" s="139" t="s">
        <v>26052</v>
      </c>
      <c r="E36" s="30" t="s">
        <v>217</v>
      </c>
      <c r="F36" s="30">
        <v>1</v>
      </c>
      <c r="G36" s="30" t="s">
        <v>193</v>
      </c>
      <c r="H36" s="30" t="s">
        <v>194</v>
      </c>
      <c r="I36" s="30" t="s">
        <v>26077</v>
      </c>
      <c r="J36" s="30" t="s">
        <v>26228</v>
      </c>
      <c r="K36" s="30" t="s">
        <v>9309</v>
      </c>
      <c r="L36" s="30" t="s">
        <v>6955</v>
      </c>
      <c r="M36" s="30"/>
      <c r="N36" s="30" t="s">
        <v>26229</v>
      </c>
      <c r="O36" s="30" t="s">
        <v>6343</v>
      </c>
      <c r="P36" s="30" t="s">
        <v>26230</v>
      </c>
      <c r="Q36" s="30" t="s">
        <v>26098</v>
      </c>
      <c r="R36" s="30" t="s">
        <v>26231</v>
      </c>
      <c r="S36" s="30" t="s">
        <v>26232</v>
      </c>
      <c r="T36" s="30" t="s">
        <v>26233</v>
      </c>
      <c r="U36" s="30"/>
      <c r="V36" s="139">
        <v>1816</v>
      </c>
      <c r="W36" s="30" t="s">
        <v>2002</v>
      </c>
      <c r="X36" s="30" t="s">
        <v>194</v>
      </c>
      <c r="Y36" s="30" t="s">
        <v>9300</v>
      </c>
      <c r="Z36" s="30"/>
      <c r="AA36" s="30"/>
      <c r="AB36" s="30" t="s">
        <v>9311</v>
      </c>
      <c r="AC36" s="30"/>
      <c r="AD36" s="30"/>
      <c r="AE36" s="30"/>
      <c r="AF36" s="30"/>
      <c r="AG36" s="30"/>
      <c r="AH36" s="30" t="s">
        <v>4714</v>
      </c>
      <c r="AI36" s="30" t="s">
        <v>26227</v>
      </c>
      <c r="AJ36" s="641" t="str">
        <f t="shared" si="0"/>
        <v>513101</v>
      </c>
      <c r="AK36" s="641">
        <v>1</v>
      </c>
      <c r="AL36" s="641">
        <f t="shared" si="1"/>
        <v>1</v>
      </c>
      <c r="AM36" s="641">
        <v>1</v>
      </c>
      <c r="AN36" s="30" t="s">
        <v>17650</v>
      </c>
      <c r="AO36" s="30" t="s">
        <v>17651</v>
      </c>
      <c r="AP36" s="30" t="s">
        <v>17652</v>
      </c>
      <c r="AQ36" s="30" t="s">
        <v>17653</v>
      </c>
      <c r="AR36" s="30" t="s">
        <v>1024</v>
      </c>
      <c r="AS36" s="30">
        <v>1</v>
      </c>
    </row>
    <row r="37" spans="1:45" x14ac:dyDescent="0.25">
      <c r="A37" s="30" t="s">
        <v>581</v>
      </c>
      <c r="B37" s="30" t="s">
        <v>26234</v>
      </c>
      <c r="C37" s="30" t="s">
        <v>232</v>
      </c>
      <c r="D37" s="139" t="s">
        <v>26052</v>
      </c>
      <c r="E37" s="30" t="s">
        <v>217</v>
      </c>
      <c r="F37" s="30">
        <v>1</v>
      </c>
      <c r="G37" s="30" t="s">
        <v>193</v>
      </c>
      <c r="H37" s="30" t="s">
        <v>194</v>
      </c>
      <c r="I37" s="30" t="s">
        <v>26053</v>
      </c>
      <c r="J37" s="30" t="s">
        <v>210</v>
      </c>
      <c r="K37" s="30" t="s">
        <v>9309</v>
      </c>
      <c r="L37" s="30" t="s">
        <v>6955</v>
      </c>
      <c r="M37" s="30"/>
      <c r="N37" s="30" t="s">
        <v>26235</v>
      </c>
      <c r="O37" s="30" t="s">
        <v>6249</v>
      </c>
      <c r="P37" s="30" t="s">
        <v>26084</v>
      </c>
      <c r="Q37" s="30" t="s">
        <v>26085</v>
      </c>
      <c r="R37" s="30" t="s">
        <v>26219</v>
      </c>
      <c r="S37" s="30" t="s">
        <v>26236</v>
      </c>
      <c r="T37" s="30" t="s">
        <v>26237</v>
      </c>
      <c r="U37" s="30"/>
      <c r="V37" s="139">
        <v>1863</v>
      </c>
      <c r="W37" s="30" t="s">
        <v>234</v>
      </c>
      <c r="X37" s="30" t="s">
        <v>194</v>
      </c>
      <c r="Y37" s="30" t="s">
        <v>9300</v>
      </c>
      <c r="Z37" s="30"/>
      <c r="AA37" s="30"/>
      <c r="AB37" s="30" t="s">
        <v>9311</v>
      </c>
      <c r="AC37" s="30"/>
      <c r="AD37" s="30"/>
      <c r="AE37" s="30"/>
      <c r="AF37" s="30"/>
      <c r="AG37" s="30"/>
      <c r="AH37" s="30" t="s">
        <v>4714</v>
      </c>
      <c r="AI37" s="30" t="s">
        <v>9433</v>
      </c>
      <c r="AJ37" s="641" t="str">
        <f t="shared" si="0"/>
        <v>132403</v>
      </c>
      <c r="AK37" s="641">
        <v>1</v>
      </c>
      <c r="AL37" s="641">
        <f t="shared" si="1"/>
        <v>1</v>
      </c>
      <c r="AM37" s="641">
        <v>1</v>
      </c>
      <c r="AN37" s="30" t="s">
        <v>17650</v>
      </c>
      <c r="AO37" s="30" t="s">
        <v>17651</v>
      </c>
      <c r="AP37" s="30" t="s">
        <v>17652</v>
      </c>
      <c r="AQ37" s="30" t="s">
        <v>17653</v>
      </c>
      <c r="AR37" s="30" t="s">
        <v>1024</v>
      </c>
      <c r="AS37" s="30">
        <v>1</v>
      </c>
    </row>
    <row r="38" spans="1:45" x14ac:dyDescent="0.25">
      <c r="A38" s="30" t="s">
        <v>26238</v>
      </c>
      <c r="B38" s="30" t="s">
        <v>26239</v>
      </c>
      <c r="C38" s="30" t="s">
        <v>822</v>
      </c>
      <c r="D38" s="139" t="s">
        <v>26052</v>
      </c>
      <c r="E38" s="30" t="s">
        <v>217</v>
      </c>
      <c r="F38" s="30">
        <v>1</v>
      </c>
      <c r="G38" s="30" t="s">
        <v>194</v>
      </c>
      <c r="H38" s="30" t="s">
        <v>193</v>
      </c>
      <c r="I38" s="30" t="s">
        <v>26053</v>
      </c>
      <c r="J38" s="30" t="s">
        <v>210</v>
      </c>
      <c r="K38" s="30" t="s">
        <v>9309</v>
      </c>
      <c r="L38" s="30" t="s">
        <v>6955</v>
      </c>
      <c r="M38" s="30"/>
      <c r="N38" s="30" t="s">
        <v>26240</v>
      </c>
      <c r="O38" s="30" t="s">
        <v>6275</v>
      </c>
      <c r="P38" s="30" t="s">
        <v>26084</v>
      </c>
      <c r="Q38" s="30" t="s">
        <v>26241</v>
      </c>
      <c r="R38" s="30" t="s">
        <v>26242</v>
      </c>
      <c r="S38" s="30" t="s">
        <v>26243</v>
      </c>
      <c r="T38" s="30" t="s">
        <v>26244</v>
      </c>
      <c r="U38" s="30"/>
      <c r="V38" s="139">
        <v>1863</v>
      </c>
      <c r="W38" s="30" t="s">
        <v>823</v>
      </c>
      <c r="X38" s="30" t="s">
        <v>194</v>
      </c>
      <c r="Y38" s="30" t="s">
        <v>9300</v>
      </c>
      <c r="Z38" s="30"/>
      <c r="AA38" s="30"/>
      <c r="AB38" s="30" t="s">
        <v>9311</v>
      </c>
      <c r="AC38" s="30"/>
      <c r="AD38" s="30"/>
      <c r="AE38" s="30"/>
      <c r="AF38" s="30"/>
      <c r="AG38" s="30"/>
      <c r="AH38" s="30" t="s">
        <v>4714</v>
      </c>
      <c r="AI38" s="30" t="s">
        <v>9433</v>
      </c>
      <c r="AJ38" s="641" t="str">
        <f t="shared" si="0"/>
        <v>741103</v>
      </c>
      <c r="AK38" s="641">
        <v>1</v>
      </c>
      <c r="AL38" s="641">
        <f t="shared" si="1"/>
        <v>1</v>
      </c>
      <c r="AM38" s="641">
        <v>1</v>
      </c>
      <c r="AN38" s="30" t="s">
        <v>17650</v>
      </c>
      <c r="AO38" s="30" t="s">
        <v>17651</v>
      </c>
      <c r="AP38" s="30" t="s">
        <v>17652</v>
      </c>
      <c r="AQ38" s="30" t="s">
        <v>17653</v>
      </c>
      <c r="AR38" s="30" t="s">
        <v>1024</v>
      </c>
      <c r="AS38" s="30">
        <v>1</v>
      </c>
    </row>
    <row r="39" spans="1:45" x14ac:dyDescent="0.25">
      <c r="A39" s="30" t="s">
        <v>26089</v>
      </c>
      <c r="B39" s="30" t="s">
        <v>26245</v>
      </c>
      <c r="C39" s="30" t="s">
        <v>1766</v>
      </c>
      <c r="D39" s="139" t="s">
        <v>26052</v>
      </c>
      <c r="E39" s="30" t="s">
        <v>217</v>
      </c>
      <c r="F39" s="30">
        <v>1</v>
      </c>
      <c r="G39" s="30" t="s">
        <v>193</v>
      </c>
      <c r="H39" s="30" t="s">
        <v>194</v>
      </c>
      <c r="I39" s="30" t="s">
        <v>26053</v>
      </c>
      <c r="J39" s="30" t="s">
        <v>210</v>
      </c>
      <c r="K39" s="30" t="s">
        <v>9309</v>
      </c>
      <c r="L39" s="30" t="s">
        <v>6955</v>
      </c>
      <c r="M39" s="30"/>
      <c r="N39" s="30" t="s">
        <v>26246</v>
      </c>
      <c r="O39" s="30" t="s">
        <v>6921</v>
      </c>
      <c r="P39" s="30" t="s">
        <v>26084</v>
      </c>
      <c r="Q39" s="30" t="s">
        <v>26120</v>
      </c>
      <c r="R39" s="30" t="s">
        <v>24551</v>
      </c>
      <c r="S39" s="30" t="s">
        <v>26247</v>
      </c>
      <c r="T39" s="30" t="s">
        <v>26248</v>
      </c>
      <c r="U39" s="30"/>
      <c r="V39" s="30">
        <v>1863</v>
      </c>
      <c r="W39" s="30" t="s">
        <v>1767</v>
      </c>
      <c r="X39" s="30" t="s">
        <v>194</v>
      </c>
      <c r="Y39" s="30" t="s">
        <v>9300</v>
      </c>
      <c r="Z39" s="30"/>
      <c r="AA39" s="30"/>
      <c r="AB39" s="30" t="s">
        <v>9311</v>
      </c>
      <c r="AC39" s="30"/>
      <c r="AD39" s="30"/>
      <c r="AE39" s="30"/>
      <c r="AF39" s="30"/>
      <c r="AG39" s="30"/>
      <c r="AH39" s="30" t="s">
        <v>4714</v>
      </c>
      <c r="AI39" s="30" t="s">
        <v>9433</v>
      </c>
      <c r="AJ39" s="641" t="str">
        <f t="shared" si="0"/>
        <v>242112</v>
      </c>
      <c r="AK39" s="641">
        <v>1</v>
      </c>
      <c r="AL39" s="641">
        <f t="shared" si="1"/>
        <v>1</v>
      </c>
      <c r="AM39" s="641">
        <v>1</v>
      </c>
      <c r="AN39" s="30" t="s">
        <v>17650</v>
      </c>
      <c r="AO39" s="30" t="s">
        <v>17651</v>
      </c>
      <c r="AP39" s="30" t="s">
        <v>17652</v>
      </c>
      <c r="AQ39" s="30" t="s">
        <v>17653</v>
      </c>
      <c r="AR39" s="30" t="s">
        <v>1024</v>
      </c>
      <c r="AS39" s="30">
        <v>1</v>
      </c>
    </row>
    <row r="40" spans="1:45" x14ac:dyDescent="0.25">
      <c r="A40" s="30" t="s">
        <v>716</v>
      </c>
      <c r="B40" s="30" t="s">
        <v>26249</v>
      </c>
      <c r="C40" s="30" t="s">
        <v>27</v>
      </c>
      <c r="D40" s="139" t="s">
        <v>26052</v>
      </c>
      <c r="E40" s="30" t="s">
        <v>217</v>
      </c>
      <c r="F40" s="30">
        <v>1</v>
      </c>
      <c r="G40" s="30" t="s">
        <v>193</v>
      </c>
      <c r="H40" s="30" t="s">
        <v>194</v>
      </c>
      <c r="I40" s="30" t="s">
        <v>26060</v>
      </c>
      <c r="J40" s="30" t="s">
        <v>210</v>
      </c>
      <c r="K40" s="30" t="s">
        <v>9309</v>
      </c>
      <c r="L40" s="30" t="s">
        <v>6955</v>
      </c>
      <c r="M40" s="30"/>
      <c r="N40" s="30" t="s">
        <v>26250</v>
      </c>
      <c r="O40" s="30" t="s">
        <v>6340</v>
      </c>
      <c r="P40" s="30" t="s">
        <v>26084</v>
      </c>
      <c r="Q40" s="30" t="s">
        <v>26251</v>
      </c>
      <c r="R40" s="30" t="s">
        <v>26252</v>
      </c>
      <c r="S40" s="30" t="s">
        <v>26253</v>
      </c>
      <c r="T40" s="30" t="s">
        <v>26254</v>
      </c>
      <c r="U40" s="30"/>
      <c r="V40" s="30">
        <v>1863</v>
      </c>
      <c r="W40" s="30" t="s">
        <v>440</v>
      </c>
      <c r="X40" s="30" t="s">
        <v>194</v>
      </c>
      <c r="Y40" s="30" t="s">
        <v>9300</v>
      </c>
      <c r="Z40" s="30"/>
      <c r="AA40" s="30"/>
      <c r="AB40" s="30" t="s">
        <v>9311</v>
      </c>
      <c r="AC40" s="30"/>
      <c r="AD40" s="30"/>
      <c r="AE40" s="30"/>
      <c r="AF40" s="30"/>
      <c r="AG40" s="30"/>
      <c r="AH40" s="30" t="s">
        <v>5109</v>
      </c>
      <c r="AI40" s="30" t="s">
        <v>9433</v>
      </c>
      <c r="AJ40" s="641" t="str">
        <f t="shared" si="0"/>
        <v>242307</v>
      </c>
      <c r="AK40" s="641">
        <v>1</v>
      </c>
      <c r="AL40" s="641">
        <f t="shared" si="1"/>
        <v>1</v>
      </c>
      <c r="AM40" s="641">
        <v>1</v>
      </c>
      <c r="AN40" s="30" t="s">
        <v>17650</v>
      </c>
      <c r="AO40" s="30" t="s">
        <v>17651</v>
      </c>
      <c r="AP40" s="30" t="s">
        <v>17652</v>
      </c>
      <c r="AQ40" s="30" t="s">
        <v>17653</v>
      </c>
      <c r="AR40" s="30" t="s">
        <v>1024</v>
      </c>
      <c r="AS40" s="30">
        <v>1</v>
      </c>
    </row>
    <row r="41" spans="1:45" x14ac:dyDescent="0.25">
      <c r="A41" s="30" t="s">
        <v>10145</v>
      </c>
      <c r="B41" s="30" t="s">
        <v>261</v>
      </c>
      <c r="C41" s="30" t="s">
        <v>74</v>
      </c>
      <c r="D41" s="139" t="s">
        <v>26052</v>
      </c>
      <c r="E41" s="30" t="s">
        <v>217</v>
      </c>
      <c r="F41" s="30">
        <v>1</v>
      </c>
      <c r="G41" s="30" t="s">
        <v>193</v>
      </c>
      <c r="H41" s="30" t="s">
        <v>194</v>
      </c>
      <c r="I41" s="30" t="s">
        <v>26053</v>
      </c>
      <c r="J41" s="30" t="s">
        <v>210</v>
      </c>
      <c r="K41" s="30" t="s">
        <v>9309</v>
      </c>
      <c r="L41" s="30" t="s">
        <v>6955</v>
      </c>
      <c r="M41" s="30"/>
      <c r="N41" s="30" t="s">
        <v>26255</v>
      </c>
      <c r="O41" s="30" t="s">
        <v>6249</v>
      </c>
      <c r="P41" s="30" t="s">
        <v>26084</v>
      </c>
      <c r="Q41" s="30" t="s">
        <v>26251</v>
      </c>
      <c r="R41" s="30" t="s">
        <v>26252</v>
      </c>
      <c r="S41" s="30" t="s">
        <v>26256</v>
      </c>
      <c r="T41" s="30" t="s">
        <v>26257</v>
      </c>
      <c r="U41" s="30"/>
      <c r="V41" s="30">
        <v>1863</v>
      </c>
      <c r="W41" s="30" t="s">
        <v>246</v>
      </c>
      <c r="X41" s="30" t="s">
        <v>194</v>
      </c>
      <c r="Y41" s="30" t="s">
        <v>9300</v>
      </c>
      <c r="Z41" s="30"/>
      <c r="AA41" s="30"/>
      <c r="AB41" s="30" t="s">
        <v>9311</v>
      </c>
      <c r="AC41" s="30"/>
      <c r="AD41" s="30"/>
      <c r="AE41" s="30"/>
      <c r="AF41" s="30"/>
      <c r="AG41" s="30"/>
      <c r="AH41" s="30" t="s">
        <v>4714</v>
      </c>
      <c r="AI41" s="30" t="s">
        <v>9433</v>
      </c>
      <c r="AJ41" s="641" t="str">
        <f t="shared" si="0"/>
        <v>142004</v>
      </c>
      <c r="AK41" s="641">
        <v>1</v>
      </c>
      <c r="AL41" s="641">
        <f t="shared" si="1"/>
        <v>1</v>
      </c>
      <c r="AM41" s="641">
        <v>1</v>
      </c>
      <c r="AN41" s="30" t="s">
        <v>17650</v>
      </c>
      <c r="AO41" s="30" t="s">
        <v>17651</v>
      </c>
      <c r="AP41" s="30" t="s">
        <v>17652</v>
      </c>
      <c r="AQ41" s="30" t="s">
        <v>17653</v>
      </c>
      <c r="AR41" s="30" t="s">
        <v>1024</v>
      </c>
      <c r="AS41" s="30">
        <v>1</v>
      </c>
    </row>
    <row r="42" spans="1:45" x14ac:dyDescent="0.25">
      <c r="A42" s="30" t="s">
        <v>26258</v>
      </c>
      <c r="B42" s="30" t="s">
        <v>26259</v>
      </c>
      <c r="C42" s="30" t="s">
        <v>18783</v>
      </c>
      <c r="D42" s="139" t="s">
        <v>26052</v>
      </c>
      <c r="E42" s="30" t="s">
        <v>217</v>
      </c>
      <c r="F42" s="30">
        <v>1</v>
      </c>
      <c r="G42" s="30" t="s">
        <v>193</v>
      </c>
      <c r="H42" s="30" t="s">
        <v>194</v>
      </c>
      <c r="I42" s="30" t="s">
        <v>26143</v>
      </c>
      <c r="J42" s="30" t="s">
        <v>210</v>
      </c>
      <c r="K42" s="30" t="s">
        <v>9309</v>
      </c>
      <c r="L42" s="30" t="s">
        <v>6955</v>
      </c>
      <c r="M42" s="30"/>
      <c r="N42" s="30" t="s">
        <v>26260</v>
      </c>
      <c r="O42" s="30" t="s">
        <v>6269</v>
      </c>
      <c r="P42" s="30" t="s">
        <v>26084</v>
      </c>
      <c r="Q42" s="30" t="s">
        <v>26261</v>
      </c>
      <c r="R42" s="30" t="s">
        <v>26262</v>
      </c>
      <c r="S42" s="30" t="s">
        <v>26263</v>
      </c>
      <c r="T42" s="30" t="s">
        <v>26264</v>
      </c>
      <c r="U42" s="30"/>
      <c r="V42" s="30">
        <v>1863</v>
      </c>
      <c r="W42" s="30" t="s">
        <v>2538</v>
      </c>
      <c r="X42" s="30" t="s">
        <v>194</v>
      </c>
      <c r="Y42" s="30" t="s">
        <v>9300</v>
      </c>
      <c r="Z42" s="30"/>
      <c r="AA42" s="30"/>
      <c r="AB42" s="30" t="s">
        <v>9311</v>
      </c>
      <c r="AC42" s="30"/>
      <c r="AD42" s="30"/>
      <c r="AE42" s="30"/>
      <c r="AF42" s="30"/>
      <c r="AG42" s="30"/>
      <c r="AH42" s="30" t="s">
        <v>4714</v>
      </c>
      <c r="AI42" s="30" t="s">
        <v>9433</v>
      </c>
      <c r="AJ42" s="641" t="str">
        <f t="shared" si="0"/>
        <v>911207</v>
      </c>
      <c r="AK42" s="641">
        <v>1</v>
      </c>
      <c r="AL42" s="641">
        <f t="shared" si="1"/>
        <v>1</v>
      </c>
      <c r="AM42" s="641">
        <v>1</v>
      </c>
      <c r="AN42" s="30" t="s">
        <v>17650</v>
      </c>
      <c r="AO42" s="30" t="s">
        <v>17651</v>
      </c>
      <c r="AP42" s="30" t="s">
        <v>17652</v>
      </c>
      <c r="AQ42" s="30" t="s">
        <v>17653</v>
      </c>
      <c r="AR42" s="30" t="s">
        <v>1024</v>
      </c>
      <c r="AS42" s="30">
        <v>1</v>
      </c>
    </row>
    <row r="43" spans="1:45" x14ac:dyDescent="0.25">
      <c r="A43" s="30" t="s">
        <v>716</v>
      </c>
      <c r="B43" s="30" t="s">
        <v>26132</v>
      </c>
      <c r="C43" s="30" t="s">
        <v>24125</v>
      </c>
      <c r="D43" s="139" t="s">
        <v>26052</v>
      </c>
      <c r="E43" s="30" t="s">
        <v>217</v>
      </c>
      <c r="F43" s="30">
        <v>1</v>
      </c>
      <c r="G43" s="30" t="s">
        <v>193</v>
      </c>
      <c r="H43" s="30" t="s">
        <v>194</v>
      </c>
      <c r="I43" s="30" t="s">
        <v>26133</v>
      </c>
      <c r="J43" s="30" t="s">
        <v>210</v>
      </c>
      <c r="K43" s="30" t="s">
        <v>9309</v>
      </c>
      <c r="L43" s="30" t="s">
        <v>6955</v>
      </c>
      <c r="M43" s="30"/>
      <c r="N43" s="30" t="s">
        <v>26265</v>
      </c>
      <c r="O43" s="30" t="s">
        <v>6290</v>
      </c>
      <c r="P43" s="30" t="s">
        <v>26084</v>
      </c>
      <c r="Q43" s="30" t="s">
        <v>25478</v>
      </c>
      <c r="R43" s="30" t="s">
        <v>26139</v>
      </c>
      <c r="S43" s="30" t="s">
        <v>26266</v>
      </c>
      <c r="T43" s="30" t="s">
        <v>26267</v>
      </c>
      <c r="U43" s="30"/>
      <c r="V43" s="30">
        <v>1863</v>
      </c>
      <c r="W43" s="30" t="s">
        <v>24129</v>
      </c>
      <c r="X43" s="30" t="s">
        <v>194</v>
      </c>
      <c r="Y43" s="30" t="s">
        <v>9300</v>
      </c>
      <c r="Z43" s="30"/>
      <c r="AA43" s="30"/>
      <c r="AB43" s="30" t="s">
        <v>9311</v>
      </c>
      <c r="AC43" s="30"/>
      <c r="AD43" s="30"/>
      <c r="AE43" s="30"/>
      <c r="AF43" s="30"/>
      <c r="AG43" s="30"/>
      <c r="AH43" s="30" t="s">
        <v>4714</v>
      </c>
      <c r="AI43" s="30" t="s">
        <v>9433</v>
      </c>
      <c r="AJ43" s="641" t="str">
        <f t="shared" si="0"/>
        <v>351401</v>
      </c>
      <c r="AK43" s="641">
        <v>1</v>
      </c>
      <c r="AL43" s="641">
        <f t="shared" si="1"/>
        <v>1</v>
      </c>
      <c r="AM43" s="641">
        <v>1</v>
      </c>
      <c r="AN43" s="30" t="s">
        <v>17650</v>
      </c>
      <c r="AO43" s="30" t="s">
        <v>17651</v>
      </c>
      <c r="AP43" s="30" t="s">
        <v>17652</v>
      </c>
      <c r="AQ43" s="30" t="s">
        <v>17653</v>
      </c>
      <c r="AR43" s="30" t="s">
        <v>1024</v>
      </c>
      <c r="AS43" s="30">
        <v>1</v>
      </c>
    </row>
    <row r="44" spans="1:45" x14ac:dyDescent="0.25">
      <c r="A44" s="30" t="s">
        <v>26089</v>
      </c>
      <c r="B44" s="30" t="s">
        <v>26268</v>
      </c>
      <c r="C44" s="30" t="s">
        <v>444</v>
      </c>
      <c r="D44" s="139" t="s">
        <v>26052</v>
      </c>
      <c r="E44" s="30" t="s">
        <v>217</v>
      </c>
      <c r="F44" s="30">
        <v>1</v>
      </c>
      <c r="G44" s="30" t="s">
        <v>193</v>
      </c>
      <c r="H44" s="30" t="s">
        <v>194</v>
      </c>
      <c r="I44" s="30" t="s">
        <v>26060</v>
      </c>
      <c r="J44" s="30" t="s">
        <v>210</v>
      </c>
      <c r="K44" s="30" t="s">
        <v>9309</v>
      </c>
      <c r="L44" s="30" t="s">
        <v>6955</v>
      </c>
      <c r="M44" s="30"/>
      <c r="N44" s="30" t="s">
        <v>26269</v>
      </c>
      <c r="O44" s="30" t="s">
        <v>6261</v>
      </c>
      <c r="P44" s="30" t="s">
        <v>26084</v>
      </c>
      <c r="Q44" s="30" t="s">
        <v>26150</v>
      </c>
      <c r="R44" s="30" t="s">
        <v>23804</v>
      </c>
      <c r="S44" s="30" t="s">
        <v>26270</v>
      </c>
      <c r="T44" s="30" t="s">
        <v>26271</v>
      </c>
      <c r="U44" s="30"/>
      <c r="V44" s="30">
        <v>1863</v>
      </c>
      <c r="W44" s="30" t="s">
        <v>445</v>
      </c>
      <c r="X44" s="30" t="s">
        <v>194</v>
      </c>
      <c r="Y44" s="30" t="s">
        <v>9300</v>
      </c>
      <c r="Z44" s="30"/>
      <c r="AA44" s="30"/>
      <c r="AB44" s="30" t="s">
        <v>9311</v>
      </c>
      <c r="AC44" s="30"/>
      <c r="AD44" s="30"/>
      <c r="AE44" s="30"/>
      <c r="AF44" s="30"/>
      <c r="AG44" s="30"/>
      <c r="AH44" s="30" t="s">
        <v>4714</v>
      </c>
      <c r="AI44" s="30" t="s">
        <v>9433</v>
      </c>
      <c r="AJ44" s="641" t="str">
        <f t="shared" si="0"/>
        <v>243103</v>
      </c>
      <c r="AK44" s="641">
        <v>1</v>
      </c>
      <c r="AL44" s="641">
        <f t="shared" si="1"/>
        <v>1</v>
      </c>
      <c r="AM44" s="641">
        <v>1</v>
      </c>
      <c r="AN44" s="30" t="s">
        <v>17650</v>
      </c>
      <c r="AO44" s="30" t="s">
        <v>17651</v>
      </c>
      <c r="AP44" s="30" t="s">
        <v>17652</v>
      </c>
      <c r="AQ44" s="30" t="s">
        <v>17653</v>
      </c>
      <c r="AR44" s="30" t="s">
        <v>1024</v>
      </c>
      <c r="AS44" s="30">
        <v>1</v>
      </c>
    </row>
    <row r="45" spans="1:45" x14ac:dyDescent="0.25">
      <c r="A45" s="30" t="s">
        <v>26089</v>
      </c>
      <c r="B45" s="30" t="s">
        <v>26090</v>
      </c>
      <c r="C45" s="30" t="s">
        <v>36</v>
      </c>
      <c r="D45" s="139" t="s">
        <v>26052</v>
      </c>
      <c r="E45" s="30" t="s">
        <v>217</v>
      </c>
      <c r="F45" s="30">
        <v>1</v>
      </c>
      <c r="G45" s="30" t="s">
        <v>193</v>
      </c>
      <c r="H45" s="30" t="s">
        <v>194</v>
      </c>
      <c r="I45" s="30" t="s">
        <v>26053</v>
      </c>
      <c r="J45" s="30" t="s">
        <v>316</v>
      </c>
      <c r="K45" s="30" t="s">
        <v>9309</v>
      </c>
      <c r="L45" s="30" t="s">
        <v>6955</v>
      </c>
      <c r="M45" s="30"/>
      <c r="N45" s="30" t="s">
        <v>26272</v>
      </c>
      <c r="O45" s="30" t="s">
        <v>7120</v>
      </c>
      <c r="P45" s="30" t="s">
        <v>26084</v>
      </c>
      <c r="Q45" s="30" t="s">
        <v>26159</v>
      </c>
      <c r="R45" s="30" t="s">
        <v>26160</v>
      </c>
      <c r="S45" s="30" t="s">
        <v>26273</v>
      </c>
      <c r="T45" s="30" t="s">
        <v>26274</v>
      </c>
      <c r="U45" s="30"/>
      <c r="V45" s="30">
        <v>1818</v>
      </c>
      <c r="W45" s="30" t="s">
        <v>609</v>
      </c>
      <c r="X45" s="30" t="s">
        <v>194</v>
      </c>
      <c r="Y45" s="30" t="s">
        <v>9300</v>
      </c>
      <c r="Z45" s="30"/>
      <c r="AA45" s="30"/>
      <c r="AB45" s="30" t="s">
        <v>9311</v>
      </c>
      <c r="AC45" s="30"/>
      <c r="AD45" s="30"/>
      <c r="AE45" s="30"/>
      <c r="AF45" s="30"/>
      <c r="AG45" s="30"/>
      <c r="AH45" s="30" t="s">
        <v>4714</v>
      </c>
      <c r="AI45" s="30" t="s">
        <v>9433</v>
      </c>
      <c r="AJ45" s="641" t="str">
        <f t="shared" si="0"/>
        <v>331301</v>
      </c>
      <c r="AK45" s="641">
        <v>1</v>
      </c>
      <c r="AL45" s="641">
        <f t="shared" si="1"/>
        <v>1</v>
      </c>
      <c r="AM45" s="641">
        <v>1</v>
      </c>
      <c r="AN45" s="30" t="s">
        <v>17650</v>
      </c>
      <c r="AO45" s="30" t="s">
        <v>17651</v>
      </c>
      <c r="AP45" s="30" t="s">
        <v>17652</v>
      </c>
      <c r="AQ45" s="30" t="s">
        <v>17653</v>
      </c>
      <c r="AR45" s="30" t="s">
        <v>1024</v>
      </c>
      <c r="AS45" s="30">
        <v>1</v>
      </c>
    </row>
    <row r="46" spans="1:45" x14ac:dyDescent="0.25">
      <c r="A46" s="30" t="s">
        <v>26193</v>
      </c>
      <c r="B46" s="30" t="s">
        <v>26194</v>
      </c>
      <c r="C46" s="30" t="s">
        <v>227</v>
      </c>
      <c r="D46" s="139" t="s">
        <v>26052</v>
      </c>
      <c r="E46" s="30" t="s">
        <v>217</v>
      </c>
      <c r="F46" s="30">
        <v>1</v>
      </c>
      <c r="G46" s="30" t="s">
        <v>193</v>
      </c>
      <c r="H46" s="30" t="s">
        <v>194</v>
      </c>
      <c r="I46" s="30" t="s">
        <v>26053</v>
      </c>
      <c r="J46" s="30" t="s">
        <v>4751</v>
      </c>
      <c r="K46" s="30" t="s">
        <v>9309</v>
      </c>
      <c r="L46" s="30" t="s">
        <v>6955</v>
      </c>
      <c r="M46" s="30"/>
      <c r="N46" s="30" t="s">
        <v>26275</v>
      </c>
      <c r="O46" s="30" t="s">
        <v>6269</v>
      </c>
      <c r="P46" s="30" t="s">
        <v>26084</v>
      </c>
      <c r="Q46" s="30" t="s">
        <v>26159</v>
      </c>
      <c r="R46" s="30" t="s">
        <v>26160</v>
      </c>
      <c r="S46" s="30" t="s">
        <v>26276</v>
      </c>
      <c r="T46" s="30" t="s">
        <v>26277</v>
      </c>
      <c r="U46" s="30"/>
      <c r="V46" s="30">
        <v>1862</v>
      </c>
      <c r="W46" s="30" t="s">
        <v>229</v>
      </c>
      <c r="X46" s="30" t="s">
        <v>194</v>
      </c>
      <c r="Y46" s="30" t="s">
        <v>9300</v>
      </c>
      <c r="Z46" s="30"/>
      <c r="AA46" s="30"/>
      <c r="AB46" s="30" t="s">
        <v>9311</v>
      </c>
      <c r="AC46" s="30"/>
      <c r="AD46" s="30"/>
      <c r="AE46" s="30"/>
      <c r="AF46" s="30"/>
      <c r="AG46" s="30"/>
      <c r="AH46" s="30" t="s">
        <v>4714</v>
      </c>
      <c r="AI46" s="30" t="s">
        <v>9433</v>
      </c>
      <c r="AJ46" s="641" t="str">
        <f t="shared" si="0"/>
        <v>132401</v>
      </c>
      <c r="AK46" s="641">
        <v>1</v>
      </c>
      <c r="AL46" s="641">
        <f t="shared" si="1"/>
        <v>1</v>
      </c>
      <c r="AM46" s="641">
        <v>1</v>
      </c>
      <c r="AN46" s="30" t="s">
        <v>17650</v>
      </c>
      <c r="AO46" s="30" t="s">
        <v>17651</v>
      </c>
      <c r="AP46" s="30" t="s">
        <v>17652</v>
      </c>
      <c r="AQ46" s="30" t="s">
        <v>17653</v>
      </c>
      <c r="AR46" s="30" t="s">
        <v>1024</v>
      </c>
      <c r="AS46" s="30">
        <v>1</v>
      </c>
    </row>
    <row r="47" spans="1:45" x14ac:dyDescent="0.25">
      <c r="A47" s="30" t="s">
        <v>26089</v>
      </c>
      <c r="B47" s="30" t="s">
        <v>26278</v>
      </c>
      <c r="C47" s="30" t="s">
        <v>1766</v>
      </c>
      <c r="D47" s="139" t="s">
        <v>26052</v>
      </c>
      <c r="E47" s="30" t="s">
        <v>217</v>
      </c>
      <c r="F47" s="30">
        <v>1</v>
      </c>
      <c r="G47" s="30" t="s">
        <v>193</v>
      </c>
      <c r="H47" s="30" t="s">
        <v>194</v>
      </c>
      <c r="I47" s="30" t="s">
        <v>26060</v>
      </c>
      <c r="J47" s="30" t="s">
        <v>210</v>
      </c>
      <c r="K47" s="30" t="s">
        <v>9309</v>
      </c>
      <c r="L47" s="30" t="s">
        <v>6955</v>
      </c>
      <c r="M47" s="30"/>
      <c r="N47" s="30" t="s">
        <v>26279</v>
      </c>
      <c r="O47" s="30" t="s">
        <v>6261</v>
      </c>
      <c r="P47" s="30" t="s">
        <v>26084</v>
      </c>
      <c r="Q47" s="30" t="s">
        <v>26261</v>
      </c>
      <c r="R47" s="30" t="s">
        <v>26262</v>
      </c>
      <c r="S47" s="30" t="s">
        <v>26280</v>
      </c>
      <c r="T47" s="30" t="s">
        <v>26281</v>
      </c>
      <c r="U47" s="30"/>
      <c r="V47" s="30">
        <v>1863</v>
      </c>
      <c r="W47" s="30" t="s">
        <v>1767</v>
      </c>
      <c r="X47" s="30" t="s">
        <v>194</v>
      </c>
      <c r="Y47" s="30" t="s">
        <v>9300</v>
      </c>
      <c r="Z47" s="30"/>
      <c r="AA47" s="30"/>
      <c r="AB47" s="30" t="s">
        <v>9311</v>
      </c>
      <c r="AC47" s="30"/>
      <c r="AD47" s="30"/>
      <c r="AE47" s="30"/>
      <c r="AF47" s="30"/>
      <c r="AG47" s="30"/>
      <c r="AH47" s="30" t="s">
        <v>4714</v>
      </c>
      <c r="AI47" s="30" t="s">
        <v>9433</v>
      </c>
      <c r="AJ47" s="641" t="str">
        <f t="shared" si="0"/>
        <v>242112</v>
      </c>
      <c r="AK47" s="641">
        <v>1</v>
      </c>
      <c r="AL47" s="641">
        <f t="shared" si="1"/>
        <v>1</v>
      </c>
      <c r="AM47" s="641">
        <v>1</v>
      </c>
      <c r="AN47" s="30" t="s">
        <v>17650</v>
      </c>
      <c r="AO47" s="30" t="s">
        <v>17651</v>
      </c>
      <c r="AP47" s="30" t="s">
        <v>17652</v>
      </c>
      <c r="AQ47" s="30" t="s">
        <v>17653</v>
      </c>
      <c r="AR47" s="30" t="s">
        <v>1024</v>
      </c>
      <c r="AS47" s="30">
        <v>1</v>
      </c>
    </row>
    <row r="48" spans="1:45" x14ac:dyDescent="0.25">
      <c r="A48" s="30" t="s">
        <v>716</v>
      </c>
      <c r="B48" s="30" t="s">
        <v>26282</v>
      </c>
      <c r="C48" s="30" t="s">
        <v>24125</v>
      </c>
      <c r="D48" s="139" t="s">
        <v>26052</v>
      </c>
      <c r="E48" s="30" t="s">
        <v>217</v>
      </c>
      <c r="F48" s="30">
        <v>1</v>
      </c>
      <c r="G48" s="30" t="s">
        <v>193</v>
      </c>
      <c r="H48" s="30" t="s">
        <v>194</v>
      </c>
      <c r="I48" s="30" t="s">
        <v>26053</v>
      </c>
      <c r="J48" s="30" t="s">
        <v>210</v>
      </c>
      <c r="K48" s="30" t="s">
        <v>9309</v>
      </c>
      <c r="L48" s="30" t="s">
        <v>6955</v>
      </c>
      <c r="M48" s="30"/>
      <c r="N48" s="30" t="s">
        <v>26283</v>
      </c>
      <c r="O48" s="30" t="s">
        <v>6290</v>
      </c>
      <c r="P48" s="30" t="s">
        <v>26084</v>
      </c>
      <c r="Q48" s="30" t="s">
        <v>26085</v>
      </c>
      <c r="R48" s="30" t="s">
        <v>26057</v>
      </c>
      <c r="S48" s="30" t="s">
        <v>26284</v>
      </c>
      <c r="T48" s="30" t="s">
        <v>26285</v>
      </c>
      <c r="U48" s="30"/>
      <c r="V48" s="30">
        <v>1863</v>
      </c>
      <c r="W48" s="30" t="s">
        <v>24129</v>
      </c>
      <c r="X48" s="30" t="s">
        <v>194</v>
      </c>
      <c r="Y48" s="30" t="s">
        <v>9300</v>
      </c>
      <c r="Z48" s="30"/>
      <c r="AA48" s="30"/>
      <c r="AB48" s="30" t="s">
        <v>9311</v>
      </c>
      <c r="AC48" s="30"/>
      <c r="AD48" s="30"/>
      <c r="AE48" s="30"/>
      <c r="AF48" s="30"/>
      <c r="AG48" s="30"/>
      <c r="AH48" s="30" t="s">
        <v>4714</v>
      </c>
      <c r="AI48" s="30" t="s">
        <v>9433</v>
      </c>
      <c r="AJ48" s="641" t="str">
        <f t="shared" si="0"/>
        <v>351401</v>
      </c>
      <c r="AK48" s="641">
        <v>1</v>
      </c>
      <c r="AL48" s="641">
        <f t="shared" si="1"/>
        <v>1</v>
      </c>
      <c r="AM48" s="641">
        <v>1</v>
      </c>
      <c r="AN48" s="30" t="s">
        <v>17650</v>
      </c>
      <c r="AO48" s="30" t="s">
        <v>17651</v>
      </c>
      <c r="AP48" s="30" t="s">
        <v>17652</v>
      </c>
      <c r="AQ48" s="30" t="s">
        <v>17653</v>
      </c>
      <c r="AR48" s="30" t="s">
        <v>1024</v>
      </c>
      <c r="AS48" s="30">
        <v>1</v>
      </c>
    </row>
    <row r="49" spans="1:45" x14ac:dyDescent="0.25">
      <c r="A49" s="30" t="s">
        <v>23858</v>
      </c>
      <c r="B49" s="30" t="s">
        <v>26286</v>
      </c>
      <c r="C49" s="30" t="s">
        <v>51</v>
      </c>
      <c r="D49" s="139" t="s">
        <v>26052</v>
      </c>
      <c r="E49" s="30" t="s">
        <v>217</v>
      </c>
      <c r="F49" s="30">
        <v>1</v>
      </c>
      <c r="G49" s="30" t="s">
        <v>193</v>
      </c>
      <c r="H49" s="30" t="s">
        <v>194</v>
      </c>
      <c r="I49" s="30" t="s">
        <v>26053</v>
      </c>
      <c r="J49" s="30" t="s">
        <v>223</v>
      </c>
      <c r="K49" s="30" t="s">
        <v>9309</v>
      </c>
      <c r="L49" s="30" t="s">
        <v>6955</v>
      </c>
      <c r="M49" s="30"/>
      <c r="N49" s="30" t="s">
        <v>26287</v>
      </c>
      <c r="O49" s="30" t="s">
        <v>6275</v>
      </c>
      <c r="P49" s="30" t="s">
        <v>26114</v>
      </c>
      <c r="Q49" s="30" t="s">
        <v>26027</v>
      </c>
      <c r="R49" s="30" t="s">
        <v>26115</v>
      </c>
      <c r="S49" s="30" t="s">
        <v>26288</v>
      </c>
      <c r="T49" s="30" t="s">
        <v>26289</v>
      </c>
      <c r="U49" s="30"/>
      <c r="V49" s="30">
        <v>1804</v>
      </c>
      <c r="W49" s="30" t="s">
        <v>904</v>
      </c>
      <c r="X49" s="30" t="s">
        <v>194</v>
      </c>
      <c r="Y49" s="30" t="s">
        <v>9300</v>
      </c>
      <c r="Z49" s="30"/>
      <c r="AA49" s="30"/>
      <c r="AB49" s="30" t="s">
        <v>9311</v>
      </c>
      <c r="AC49" s="30"/>
      <c r="AD49" s="30"/>
      <c r="AE49" s="30"/>
      <c r="AF49" s="30"/>
      <c r="AG49" s="30"/>
      <c r="AH49" s="30" t="s">
        <v>4714</v>
      </c>
      <c r="AI49" s="30" t="s">
        <v>9433</v>
      </c>
      <c r="AJ49" s="641" t="str">
        <f t="shared" si="0"/>
        <v>523002</v>
      </c>
      <c r="AK49" s="641">
        <v>1</v>
      </c>
      <c r="AL49" s="641">
        <f t="shared" si="1"/>
        <v>1</v>
      </c>
      <c r="AM49" s="641">
        <v>1</v>
      </c>
      <c r="AN49" s="30" t="s">
        <v>17650</v>
      </c>
      <c r="AO49" s="30" t="s">
        <v>17651</v>
      </c>
      <c r="AP49" s="30" t="s">
        <v>17652</v>
      </c>
      <c r="AQ49" s="30" t="s">
        <v>17653</v>
      </c>
      <c r="AR49" s="30" t="s">
        <v>1024</v>
      </c>
      <c r="AS49" s="30">
        <v>1</v>
      </c>
    </row>
    <row r="50" spans="1:45" x14ac:dyDescent="0.25">
      <c r="A50" s="30" t="s">
        <v>26290</v>
      </c>
      <c r="B50" s="30" t="s">
        <v>26291</v>
      </c>
      <c r="C50" s="30" t="s">
        <v>706</v>
      </c>
      <c r="D50" s="139" t="s">
        <v>26052</v>
      </c>
      <c r="E50" s="30" t="s">
        <v>217</v>
      </c>
      <c r="F50" s="30">
        <v>1</v>
      </c>
      <c r="G50" s="30" t="s">
        <v>193</v>
      </c>
      <c r="H50" s="30" t="s">
        <v>194</v>
      </c>
      <c r="I50" s="30" t="s">
        <v>26053</v>
      </c>
      <c r="J50" s="30" t="s">
        <v>210</v>
      </c>
      <c r="K50" s="30" t="s">
        <v>9309</v>
      </c>
      <c r="L50" s="30" t="s">
        <v>6955</v>
      </c>
      <c r="M50" s="30"/>
      <c r="N50" s="30" t="s">
        <v>26292</v>
      </c>
      <c r="O50" s="30" t="s">
        <v>6251</v>
      </c>
      <c r="P50" s="30" t="s">
        <v>26084</v>
      </c>
      <c r="Q50" s="30" t="s">
        <v>26103</v>
      </c>
      <c r="R50" s="30" t="s">
        <v>26079</v>
      </c>
      <c r="S50" s="30" t="s">
        <v>26293</v>
      </c>
      <c r="T50" s="30" t="s">
        <v>26294</v>
      </c>
      <c r="U50" s="30"/>
      <c r="V50" s="30">
        <v>1863</v>
      </c>
      <c r="W50" s="30" t="s">
        <v>707</v>
      </c>
      <c r="X50" s="30" t="s">
        <v>194</v>
      </c>
      <c r="Y50" s="30" t="s">
        <v>9300</v>
      </c>
      <c r="Z50" s="30"/>
      <c r="AA50" s="30"/>
      <c r="AB50" s="30" t="s">
        <v>9311</v>
      </c>
      <c r="AC50" s="30"/>
      <c r="AD50" s="30"/>
      <c r="AE50" s="30"/>
      <c r="AF50" s="30"/>
      <c r="AG50" s="30"/>
      <c r="AH50" s="30" t="s">
        <v>4714</v>
      </c>
      <c r="AI50" s="30" t="s">
        <v>9433</v>
      </c>
      <c r="AJ50" s="641" t="str">
        <f t="shared" si="0"/>
        <v>422201</v>
      </c>
      <c r="AK50" s="641">
        <v>1</v>
      </c>
      <c r="AL50" s="641">
        <f t="shared" si="1"/>
        <v>1</v>
      </c>
      <c r="AM50" s="641">
        <v>1</v>
      </c>
      <c r="AN50" s="30" t="s">
        <v>17650</v>
      </c>
      <c r="AO50" s="30" t="s">
        <v>17651</v>
      </c>
      <c r="AP50" s="30" t="s">
        <v>17652</v>
      </c>
      <c r="AQ50" s="30" t="s">
        <v>17653</v>
      </c>
      <c r="AR50" s="30" t="s">
        <v>1024</v>
      </c>
      <c r="AS50" s="30">
        <v>1</v>
      </c>
    </row>
    <row r="51" spans="1:45" x14ac:dyDescent="0.25">
      <c r="A51" s="30" t="s">
        <v>26198</v>
      </c>
      <c r="B51" s="30" t="s">
        <v>26212</v>
      </c>
      <c r="C51" s="30" t="s">
        <v>80</v>
      </c>
      <c r="D51" s="139" t="s">
        <v>26052</v>
      </c>
      <c r="E51" s="30" t="s">
        <v>217</v>
      </c>
      <c r="F51" s="30">
        <v>1</v>
      </c>
      <c r="G51" s="30" t="s">
        <v>193</v>
      </c>
      <c r="H51" s="30" t="s">
        <v>194</v>
      </c>
      <c r="I51" s="30" t="s">
        <v>26060</v>
      </c>
      <c r="J51" s="30" t="s">
        <v>210</v>
      </c>
      <c r="K51" s="30" t="s">
        <v>9309</v>
      </c>
      <c r="L51" s="30" t="s">
        <v>6955</v>
      </c>
      <c r="M51" s="30"/>
      <c r="N51" s="30" t="s">
        <v>26295</v>
      </c>
      <c r="O51" s="30" t="s">
        <v>6327</v>
      </c>
      <c r="P51" s="30" t="s">
        <v>26084</v>
      </c>
      <c r="Q51" s="30" t="s">
        <v>25478</v>
      </c>
      <c r="R51" s="30" t="s">
        <v>26139</v>
      </c>
      <c r="S51" s="30" t="s">
        <v>26296</v>
      </c>
      <c r="T51" s="30" t="s">
        <v>26297</v>
      </c>
      <c r="U51" s="30"/>
      <c r="V51" s="30">
        <v>1863</v>
      </c>
      <c r="W51" s="30" t="s">
        <v>474</v>
      </c>
      <c r="X51" s="30" t="s">
        <v>194</v>
      </c>
      <c r="Y51" s="30" t="s">
        <v>9300</v>
      </c>
      <c r="Z51" s="30"/>
      <c r="AA51" s="30"/>
      <c r="AB51" s="30" t="s">
        <v>9311</v>
      </c>
      <c r="AC51" s="30"/>
      <c r="AD51" s="30"/>
      <c r="AE51" s="30"/>
      <c r="AF51" s="30"/>
      <c r="AG51" s="30"/>
      <c r="AH51" s="30" t="s">
        <v>4714</v>
      </c>
      <c r="AI51" s="30" t="s">
        <v>9433</v>
      </c>
      <c r="AJ51" s="641" t="str">
        <f t="shared" si="0"/>
        <v>243304</v>
      </c>
      <c r="AK51" s="641">
        <v>1</v>
      </c>
      <c r="AL51" s="641">
        <f t="shared" si="1"/>
        <v>1</v>
      </c>
      <c r="AM51" s="641">
        <v>1</v>
      </c>
      <c r="AN51" s="30" t="s">
        <v>17650</v>
      </c>
      <c r="AO51" s="30" t="s">
        <v>17651</v>
      </c>
      <c r="AP51" s="30" t="s">
        <v>17652</v>
      </c>
      <c r="AQ51" s="30" t="s">
        <v>17653</v>
      </c>
      <c r="AR51" s="30" t="s">
        <v>1024</v>
      </c>
      <c r="AS51" s="30">
        <v>1</v>
      </c>
    </row>
    <row r="52" spans="1:45" x14ac:dyDescent="0.25">
      <c r="A52" s="30" t="s">
        <v>716</v>
      </c>
      <c r="B52" s="30" t="s">
        <v>26132</v>
      </c>
      <c r="C52" s="30" t="s">
        <v>24125</v>
      </c>
      <c r="D52" s="139" t="s">
        <v>26052</v>
      </c>
      <c r="E52" s="30" t="s">
        <v>217</v>
      </c>
      <c r="F52" s="30">
        <v>1</v>
      </c>
      <c r="G52" s="30" t="s">
        <v>193</v>
      </c>
      <c r="H52" s="30" t="s">
        <v>194</v>
      </c>
      <c r="I52" s="30" t="s">
        <v>26133</v>
      </c>
      <c r="J52" s="30" t="s">
        <v>210</v>
      </c>
      <c r="K52" s="30" t="s">
        <v>9309</v>
      </c>
      <c r="L52" s="30" t="s">
        <v>6955</v>
      </c>
      <c r="M52" s="30"/>
      <c r="N52" s="30" t="s">
        <v>26298</v>
      </c>
      <c r="O52" s="30" t="s">
        <v>6290</v>
      </c>
      <c r="P52" s="30" t="s">
        <v>26084</v>
      </c>
      <c r="Q52" s="30" t="s">
        <v>26201</v>
      </c>
      <c r="R52" s="30" t="s">
        <v>24556</v>
      </c>
      <c r="S52" s="30" t="s">
        <v>26299</v>
      </c>
      <c r="T52" s="30" t="s">
        <v>26300</v>
      </c>
      <c r="U52" s="30"/>
      <c r="V52" s="30">
        <v>1863</v>
      </c>
      <c r="W52" s="30" t="s">
        <v>24129</v>
      </c>
      <c r="X52" s="30" t="s">
        <v>194</v>
      </c>
      <c r="Y52" s="30" t="s">
        <v>9300</v>
      </c>
      <c r="Z52" s="30"/>
      <c r="AA52" s="30"/>
      <c r="AB52" s="30" t="s">
        <v>9311</v>
      </c>
      <c r="AC52" s="30"/>
      <c r="AD52" s="30"/>
      <c r="AE52" s="30"/>
      <c r="AF52" s="30"/>
      <c r="AG52" s="30"/>
      <c r="AH52" s="30" t="s">
        <v>4714</v>
      </c>
      <c r="AI52" s="30" t="s">
        <v>9433</v>
      </c>
      <c r="AJ52" s="641" t="str">
        <f t="shared" si="0"/>
        <v>351401</v>
      </c>
      <c r="AK52" s="641">
        <v>1</v>
      </c>
      <c r="AL52" s="641">
        <f t="shared" si="1"/>
        <v>1</v>
      </c>
      <c r="AM52" s="641">
        <v>1</v>
      </c>
      <c r="AN52" s="30" t="s">
        <v>17650</v>
      </c>
      <c r="AO52" s="30" t="s">
        <v>17651</v>
      </c>
      <c r="AP52" s="30" t="s">
        <v>17652</v>
      </c>
      <c r="AQ52" s="30" t="s">
        <v>17653</v>
      </c>
      <c r="AR52" s="30" t="s">
        <v>1024</v>
      </c>
      <c r="AS52" s="30">
        <v>1</v>
      </c>
    </row>
    <row r="53" spans="1:45" x14ac:dyDescent="0.25">
      <c r="A53" s="30" t="s">
        <v>26089</v>
      </c>
      <c r="B53" s="30" t="s">
        <v>26301</v>
      </c>
      <c r="C53" s="30" t="s">
        <v>3367</v>
      </c>
      <c r="D53" s="139" t="s">
        <v>26052</v>
      </c>
      <c r="E53" s="30" t="s">
        <v>217</v>
      </c>
      <c r="F53" s="30">
        <v>1</v>
      </c>
      <c r="G53" s="30" t="s">
        <v>193</v>
      </c>
      <c r="H53" s="30" t="s">
        <v>194</v>
      </c>
      <c r="I53" s="30" t="s">
        <v>26060</v>
      </c>
      <c r="J53" s="30" t="s">
        <v>210</v>
      </c>
      <c r="K53" s="30" t="s">
        <v>9309</v>
      </c>
      <c r="L53" s="30" t="s">
        <v>6955</v>
      </c>
      <c r="M53" s="30"/>
      <c r="N53" s="30" t="s">
        <v>26302</v>
      </c>
      <c r="O53" s="30" t="s">
        <v>6261</v>
      </c>
      <c r="P53" s="30" t="s">
        <v>26084</v>
      </c>
      <c r="Q53" s="30" t="s">
        <v>26085</v>
      </c>
      <c r="R53" s="30" t="s">
        <v>26057</v>
      </c>
      <c r="S53" s="30" t="s">
        <v>26303</v>
      </c>
      <c r="T53" s="30" t="s">
        <v>26304</v>
      </c>
      <c r="U53" s="30"/>
      <c r="V53" s="30">
        <v>1863</v>
      </c>
      <c r="W53" s="30" t="s">
        <v>3368</v>
      </c>
      <c r="X53" s="30" t="s">
        <v>194</v>
      </c>
      <c r="Y53" s="30" t="s">
        <v>9300</v>
      </c>
      <c r="Z53" s="30"/>
      <c r="AA53" s="30"/>
      <c r="AB53" s="30" t="s">
        <v>9311</v>
      </c>
      <c r="AC53" s="30"/>
      <c r="AD53" s="30"/>
      <c r="AE53" s="30"/>
      <c r="AF53" s="30"/>
      <c r="AG53" s="30"/>
      <c r="AH53" s="30" t="s">
        <v>4714</v>
      </c>
      <c r="AI53" s="30" t="s">
        <v>9433</v>
      </c>
      <c r="AJ53" s="641" t="str">
        <f t="shared" si="0"/>
        <v>133001</v>
      </c>
      <c r="AK53" s="641">
        <v>1</v>
      </c>
      <c r="AL53" s="641">
        <f t="shared" si="1"/>
        <v>1</v>
      </c>
      <c r="AM53" s="641">
        <v>1</v>
      </c>
      <c r="AN53" s="30" t="s">
        <v>17650</v>
      </c>
      <c r="AO53" s="30" t="s">
        <v>17651</v>
      </c>
      <c r="AP53" s="30" t="s">
        <v>17652</v>
      </c>
      <c r="AQ53" s="30" t="s">
        <v>17653</v>
      </c>
      <c r="AR53" s="30" t="s">
        <v>1024</v>
      </c>
      <c r="AS53" s="30">
        <v>1</v>
      </c>
    </row>
    <row r="54" spans="1:45" x14ac:dyDescent="0.25">
      <c r="A54" s="30" t="s">
        <v>26089</v>
      </c>
      <c r="B54" s="30" t="s">
        <v>26305</v>
      </c>
      <c r="C54" s="30" t="s">
        <v>26180</v>
      </c>
      <c r="D54" s="139" t="s">
        <v>26052</v>
      </c>
      <c r="E54" s="30" t="s">
        <v>217</v>
      </c>
      <c r="F54" s="30">
        <v>1</v>
      </c>
      <c r="G54" s="30" t="s">
        <v>193</v>
      </c>
      <c r="H54" s="30" t="s">
        <v>194</v>
      </c>
      <c r="I54" s="30" t="s">
        <v>26053</v>
      </c>
      <c r="J54" s="30" t="s">
        <v>4751</v>
      </c>
      <c r="K54" s="30" t="s">
        <v>9309</v>
      </c>
      <c r="L54" s="30" t="s">
        <v>6955</v>
      </c>
      <c r="M54" s="30"/>
      <c r="N54" s="30" t="s">
        <v>26306</v>
      </c>
      <c r="O54" s="30" t="s">
        <v>7120</v>
      </c>
      <c r="P54" s="30" t="s">
        <v>26084</v>
      </c>
      <c r="Q54" s="30" t="s">
        <v>26092</v>
      </c>
      <c r="R54" s="30" t="s">
        <v>26093</v>
      </c>
      <c r="S54" s="30" t="s">
        <v>26307</v>
      </c>
      <c r="T54" s="30" t="s">
        <v>26308</v>
      </c>
      <c r="U54" s="30"/>
      <c r="V54" s="30">
        <v>1862</v>
      </c>
      <c r="W54" s="30" t="s">
        <v>26186</v>
      </c>
      <c r="X54" s="30" t="s">
        <v>194</v>
      </c>
      <c r="Y54" s="30" t="s">
        <v>9300</v>
      </c>
      <c r="Z54" s="30"/>
      <c r="AA54" s="30"/>
      <c r="AB54" s="30" t="s">
        <v>9311</v>
      </c>
      <c r="AC54" s="30"/>
      <c r="AD54" s="30"/>
      <c r="AE54" s="30"/>
      <c r="AF54" s="30"/>
      <c r="AG54" s="30"/>
      <c r="AH54" s="30" t="s">
        <v>4714</v>
      </c>
      <c r="AI54" s="30" t="s">
        <v>9433</v>
      </c>
      <c r="AJ54" s="641" t="str">
        <f t="shared" si="0"/>
        <v>421108</v>
      </c>
      <c r="AK54" s="641">
        <v>1</v>
      </c>
      <c r="AL54" s="641">
        <f t="shared" si="1"/>
        <v>1</v>
      </c>
      <c r="AM54" s="641">
        <v>1</v>
      </c>
      <c r="AN54" s="30" t="s">
        <v>17650</v>
      </c>
      <c r="AO54" s="30" t="s">
        <v>17651</v>
      </c>
      <c r="AP54" s="30" t="s">
        <v>17652</v>
      </c>
      <c r="AQ54" s="30" t="s">
        <v>17653</v>
      </c>
      <c r="AR54" s="30" t="s">
        <v>1024</v>
      </c>
      <c r="AS54" s="30">
        <v>1</v>
      </c>
    </row>
    <row r="55" spans="1:45" x14ac:dyDescent="0.25">
      <c r="A55" s="30" t="s">
        <v>26193</v>
      </c>
      <c r="B55" s="30" t="s">
        <v>26194</v>
      </c>
      <c r="C55" s="30" t="s">
        <v>227</v>
      </c>
      <c r="D55" s="139" t="s">
        <v>26052</v>
      </c>
      <c r="E55" s="30" t="s">
        <v>217</v>
      </c>
      <c r="F55" s="30">
        <v>1</v>
      </c>
      <c r="G55" s="30" t="s">
        <v>193</v>
      </c>
      <c r="H55" s="30" t="s">
        <v>194</v>
      </c>
      <c r="I55" s="30" t="s">
        <v>26053</v>
      </c>
      <c r="J55" s="30" t="s">
        <v>385</v>
      </c>
      <c r="K55" s="30" t="s">
        <v>9309</v>
      </c>
      <c r="L55" s="30" t="s">
        <v>6955</v>
      </c>
      <c r="M55" s="30"/>
      <c r="N55" s="30" t="s">
        <v>26309</v>
      </c>
      <c r="O55" s="30" t="s">
        <v>6269</v>
      </c>
      <c r="P55" s="30" t="s">
        <v>26084</v>
      </c>
      <c r="Q55" s="30" t="s">
        <v>26159</v>
      </c>
      <c r="R55" s="30" t="s">
        <v>26160</v>
      </c>
      <c r="S55" s="30" t="s">
        <v>26310</v>
      </c>
      <c r="T55" s="30" t="s">
        <v>26311</v>
      </c>
      <c r="U55" s="30"/>
      <c r="V55" s="30">
        <v>1861</v>
      </c>
      <c r="W55" s="30" t="s">
        <v>229</v>
      </c>
      <c r="X55" s="30" t="s">
        <v>194</v>
      </c>
      <c r="Y55" s="30" t="s">
        <v>9300</v>
      </c>
      <c r="Z55" s="30"/>
      <c r="AA55" s="30"/>
      <c r="AB55" s="30" t="s">
        <v>9311</v>
      </c>
      <c r="AC55" s="30"/>
      <c r="AD55" s="30"/>
      <c r="AE55" s="30"/>
      <c r="AF55" s="30"/>
      <c r="AG55" s="30"/>
      <c r="AH55" s="30" t="s">
        <v>4714</v>
      </c>
      <c r="AI55" s="30" t="s">
        <v>9433</v>
      </c>
      <c r="AJ55" s="641" t="str">
        <f t="shared" si="0"/>
        <v>132401</v>
      </c>
      <c r="AK55" s="641">
        <v>1</v>
      </c>
      <c r="AL55" s="641">
        <f t="shared" si="1"/>
        <v>1</v>
      </c>
      <c r="AM55" s="641">
        <v>1</v>
      </c>
      <c r="AN55" s="30" t="s">
        <v>17650</v>
      </c>
      <c r="AO55" s="30" t="s">
        <v>17651</v>
      </c>
      <c r="AP55" s="30" t="s">
        <v>17652</v>
      </c>
      <c r="AQ55" s="30" t="s">
        <v>17653</v>
      </c>
      <c r="AR55" s="30" t="s">
        <v>1024</v>
      </c>
      <c r="AS55" s="30">
        <v>1</v>
      </c>
    </row>
    <row r="56" spans="1:45" x14ac:dyDescent="0.25">
      <c r="A56" s="30" t="s">
        <v>26089</v>
      </c>
      <c r="B56" s="30" t="s">
        <v>26090</v>
      </c>
      <c r="C56" s="30" t="s">
        <v>36</v>
      </c>
      <c r="D56" s="139" t="s">
        <v>26052</v>
      </c>
      <c r="E56" s="30" t="s">
        <v>217</v>
      </c>
      <c r="F56" s="30">
        <v>1</v>
      </c>
      <c r="G56" s="30" t="s">
        <v>193</v>
      </c>
      <c r="H56" s="30" t="s">
        <v>194</v>
      </c>
      <c r="I56" s="30" t="s">
        <v>26053</v>
      </c>
      <c r="J56" s="30" t="s">
        <v>210</v>
      </c>
      <c r="K56" s="30" t="s">
        <v>9309</v>
      </c>
      <c r="L56" s="30" t="s">
        <v>6955</v>
      </c>
      <c r="M56" s="30"/>
      <c r="N56" s="30" t="s">
        <v>26312</v>
      </c>
      <c r="O56" s="30" t="s">
        <v>7120</v>
      </c>
      <c r="P56" s="30" t="s">
        <v>26084</v>
      </c>
      <c r="Q56" s="30" t="s">
        <v>26159</v>
      </c>
      <c r="R56" s="30" t="s">
        <v>26160</v>
      </c>
      <c r="S56" s="30" t="s">
        <v>26313</v>
      </c>
      <c r="T56" s="30" t="s">
        <v>26314</v>
      </c>
      <c r="U56" s="30"/>
      <c r="V56" s="30">
        <v>1863</v>
      </c>
      <c r="W56" s="30" t="s">
        <v>609</v>
      </c>
      <c r="X56" s="30" t="s">
        <v>194</v>
      </c>
      <c r="Y56" s="30" t="s">
        <v>9300</v>
      </c>
      <c r="Z56" s="30"/>
      <c r="AA56" s="30"/>
      <c r="AB56" s="30" t="s">
        <v>9311</v>
      </c>
      <c r="AC56" s="30"/>
      <c r="AD56" s="30"/>
      <c r="AE56" s="30"/>
      <c r="AF56" s="30"/>
      <c r="AG56" s="30"/>
      <c r="AH56" s="30" t="s">
        <v>4714</v>
      </c>
      <c r="AI56" s="30" t="s">
        <v>9433</v>
      </c>
      <c r="AJ56" s="641" t="str">
        <f t="shared" si="0"/>
        <v>331301</v>
      </c>
      <c r="AK56" s="641">
        <v>1</v>
      </c>
      <c r="AL56" s="641">
        <f t="shared" si="1"/>
        <v>1</v>
      </c>
      <c r="AM56" s="641">
        <v>1</v>
      </c>
      <c r="AN56" s="30" t="s">
        <v>17650</v>
      </c>
      <c r="AO56" s="30" t="s">
        <v>17651</v>
      </c>
      <c r="AP56" s="30" t="s">
        <v>17652</v>
      </c>
      <c r="AQ56" s="30" t="s">
        <v>17653</v>
      </c>
      <c r="AR56" s="30" t="s">
        <v>1024</v>
      </c>
      <c r="AS56" s="30">
        <v>1</v>
      </c>
    </row>
    <row r="57" spans="1:45" x14ac:dyDescent="0.25">
      <c r="A57" s="30" t="s">
        <v>15464</v>
      </c>
      <c r="B57" s="30" t="s">
        <v>22217</v>
      </c>
      <c r="C57" s="30" t="s">
        <v>468</v>
      </c>
      <c r="D57" s="139" t="s">
        <v>26052</v>
      </c>
      <c r="E57" s="30" t="s">
        <v>217</v>
      </c>
      <c r="F57" s="30">
        <v>1</v>
      </c>
      <c r="G57" s="30" t="s">
        <v>193</v>
      </c>
      <c r="H57" s="30" t="s">
        <v>194</v>
      </c>
      <c r="I57" s="30" t="s">
        <v>26148</v>
      </c>
      <c r="J57" s="30" t="s">
        <v>210</v>
      </c>
      <c r="K57" s="30" t="s">
        <v>9309</v>
      </c>
      <c r="L57" s="30" t="s">
        <v>6955</v>
      </c>
      <c r="M57" s="30"/>
      <c r="N57" s="30" t="s">
        <v>22238</v>
      </c>
      <c r="O57" s="30" t="s">
        <v>6251</v>
      </c>
      <c r="P57" s="30" t="s">
        <v>26114</v>
      </c>
      <c r="Q57" s="30" t="s">
        <v>26027</v>
      </c>
      <c r="R57" s="30" t="s">
        <v>26115</v>
      </c>
      <c r="S57" s="30" t="s">
        <v>26315</v>
      </c>
      <c r="T57" s="30" t="s">
        <v>26316</v>
      </c>
      <c r="U57" s="30"/>
      <c r="V57" s="30">
        <v>1863</v>
      </c>
      <c r="W57" s="30" t="s">
        <v>469</v>
      </c>
      <c r="X57" s="30" t="s">
        <v>194</v>
      </c>
      <c r="Y57" s="30" t="s">
        <v>9300</v>
      </c>
      <c r="Z57" s="30"/>
      <c r="AA57" s="30"/>
      <c r="AB57" s="30" t="s">
        <v>9311</v>
      </c>
      <c r="AC57" s="30"/>
      <c r="AD57" s="30"/>
      <c r="AE57" s="30"/>
      <c r="AF57" s="30"/>
      <c r="AG57" s="30"/>
      <c r="AH57" s="30" t="s">
        <v>4714</v>
      </c>
      <c r="AI57" s="30" t="s">
        <v>9433</v>
      </c>
      <c r="AJ57" s="641" t="str">
        <f t="shared" si="0"/>
        <v>243303</v>
      </c>
      <c r="AK57" s="641">
        <v>1</v>
      </c>
      <c r="AL57" s="641">
        <f t="shared" si="1"/>
        <v>1</v>
      </c>
      <c r="AM57" s="641">
        <v>1</v>
      </c>
      <c r="AN57" s="30" t="s">
        <v>17650</v>
      </c>
      <c r="AO57" s="30" t="s">
        <v>17651</v>
      </c>
      <c r="AP57" s="30" t="s">
        <v>17652</v>
      </c>
      <c r="AQ57" s="30" t="s">
        <v>17653</v>
      </c>
      <c r="AR57" s="30" t="s">
        <v>1024</v>
      </c>
      <c r="AS57" s="30">
        <v>1</v>
      </c>
    </row>
    <row r="58" spans="1:45" x14ac:dyDescent="0.25">
      <c r="A58" s="30" t="s">
        <v>23858</v>
      </c>
      <c r="B58" s="30" t="s">
        <v>23859</v>
      </c>
      <c r="C58" s="30" t="s">
        <v>26014</v>
      </c>
      <c r="D58" s="139" t="s">
        <v>26052</v>
      </c>
      <c r="E58" s="30" t="s">
        <v>217</v>
      </c>
      <c r="F58" s="30">
        <v>1</v>
      </c>
      <c r="G58" s="30" t="s">
        <v>193</v>
      </c>
      <c r="H58" s="30" t="s">
        <v>194</v>
      </c>
      <c r="I58" s="30" t="s">
        <v>26053</v>
      </c>
      <c r="J58" s="30" t="s">
        <v>253</v>
      </c>
      <c r="K58" s="30" t="s">
        <v>9309</v>
      </c>
      <c r="L58" s="30" t="s">
        <v>6955</v>
      </c>
      <c r="M58" s="30"/>
      <c r="N58" s="30" t="s">
        <v>26317</v>
      </c>
      <c r="O58" s="30" t="s">
        <v>6275</v>
      </c>
      <c r="P58" s="30" t="s">
        <v>26084</v>
      </c>
      <c r="Q58" s="30" t="s">
        <v>25478</v>
      </c>
      <c r="R58" s="30" t="s">
        <v>26139</v>
      </c>
      <c r="S58" s="30" t="s">
        <v>26318</v>
      </c>
      <c r="T58" s="30" t="s">
        <v>26319</v>
      </c>
      <c r="U58" s="30"/>
      <c r="V58" s="30">
        <v>1811</v>
      </c>
      <c r="W58" s="30" t="s">
        <v>1691</v>
      </c>
      <c r="X58" s="30" t="s">
        <v>194</v>
      </c>
      <c r="Y58" s="30" t="s">
        <v>9300</v>
      </c>
      <c r="Z58" s="30"/>
      <c r="AA58" s="30"/>
      <c r="AB58" s="30" t="s">
        <v>9311</v>
      </c>
      <c r="AC58" s="30"/>
      <c r="AD58" s="30"/>
      <c r="AE58" s="30"/>
      <c r="AF58" s="30"/>
      <c r="AG58" s="30"/>
      <c r="AH58" s="30" t="s">
        <v>4714</v>
      </c>
      <c r="AI58" s="30" t="s">
        <v>9433</v>
      </c>
      <c r="AJ58" s="641" t="str">
        <f t="shared" si="0"/>
        <v>933401</v>
      </c>
      <c r="AK58" s="641">
        <v>1</v>
      </c>
      <c r="AL58" s="641">
        <f t="shared" si="1"/>
        <v>1</v>
      </c>
      <c r="AM58" s="641">
        <v>1</v>
      </c>
      <c r="AN58" s="30" t="s">
        <v>17650</v>
      </c>
      <c r="AO58" s="30" t="s">
        <v>17651</v>
      </c>
      <c r="AP58" s="30" t="s">
        <v>17652</v>
      </c>
      <c r="AQ58" s="30" t="s">
        <v>17653</v>
      </c>
      <c r="AR58" s="30" t="s">
        <v>1024</v>
      </c>
      <c r="AS58" s="30">
        <v>1</v>
      </c>
    </row>
    <row r="59" spans="1:45" x14ac:dyDescent="0.25">
      <c r="A59" s="30" t="s">
        <v>23858</v>
      </c>
      <c r="B59" s="30" t="s">
        <v>26320</v>
      </c>
      <c r="C59" s="30" t="s">
        <v>26014</v>
      </c>
      <c r="D59" s="139" t="s">
        <v>26052</v>
      </c>
      <c r="E59" s="30" t="s">
        <v>217</v>
      </c>
      <c r="F59" s="30">
        <v>1</v>
      </c>
      <c r="G59" s="30" t="s">
        <v>193</v>
      </c>
      <c r="H59" s="30" t="s">
        <v>194</v>
      </c>
      <c r="I59" s="30" t="s">
        <v>26053</v>
      </c>
      <c r="J59" s="30" t="s">
        <v>253</v>
      </c>
      <c r="K59" s="30" t="s">
        <v>9309</v>
      </c>
      <c r="L59" s="30" t="s">
        <v>6955</v>
      </c>
      <c r="M59" s="30"/>
      <c r="N59" s="30" t="s">
        <v>26321</v>
      </c>
      <c r="O59" s="30" t="s">
        <v>6251</v>
      </c>
      <c r="P59" s="30" t="s">
        <v>26084</v>
      </c>
      <c r="Q59" s="30" t="s">
        <v>26150</v>
      </c>
      <c r="R59" s="30" t="s">
        <v>23804</v>
      </c>
      <c r="S59" s="30" t="s">
        <v>26322</v>
      </c>
      <c r="T59" s="30" t="s">
        <v>26323</v>
      </c>
      <c r="U59" s="30"/>
      <c r="V59" s="30">
        <v>1811</v>
      </c>
      <c r="W59" s="30" t="s">
        <v>1691</v>
      </c>
      <c r="X59" s="30" t="s">
        <v>194</v>
      </c>
      <c r="Y59" s="30" t="s">
        <v>9300</v>
      </c>
      <c r="Z59" s="30"/>
      <c r="AA59" s="30"/>
      <c r="AB59" s="30" t="s">
        <v>9311</v>
      </c>
      <c r="AC59" s="30"/>
      <c r="AD59" s="30"/>
      <c r="AE59" s="30"/>
      <c r="AF59" s="30"/>
      <c r="AG59" s="30"/>
      <c r="AH59" s="30" t="s">
        <v>4714</v>
      </c>
      <c r="AI59" s="30" t="s">
        <v>9433</v>
      </c>
      <c r="AJ59" s="641" t="str">
        <f t="shared" si="0"/>
        <v>933401</v>
      </c>
      <c r="AK59" s="641">
        <v>1</v>
      </c>
      <c r="AL59" s="641">
        <f t="shared" si="1"/>
        <v>1</v>
      </c>
      <c r="AM59" s="641">
        <v>1</v>
      </c>
      <c r="AN59" s="30" t="s">
        <v>17650</v>
      </c>
      <c r="AO59" s="30" t="s">
        <v>17651</v>
      </c>
      <c r="AP59" s="30" t="s">
        <v>17652</v>
      </c>
      <c r="AQ59" s="30" t="s">
        <v>17653</v>
      </c>
      <c r="AR59" s="30" t="s">
        <v>1024</v>
      </c>
      <c r="AS59" s="30">
        <v>1</v>
      </c>
    </row>
    <row r="60" spans="1:45" x14ac:dyDescent="0.25">
      <c r="A60" s="30" t="s">
        <v>716</v>
      </c>
      <c r="B60" s="30" t="s">
        <v>26324</v>
      </c>
      <c r="C60" s="30" t="s">
        <v>706</v>
      </c>
      <c r="D60" s="139" t="s">
        <v>26052</v>
      </c>
      <c r="E60" s="30" t="s">
        <v>217</v>
      </c>
      <c r="F60" s="30">
        <v>1</v>
      </c>
      <c r="G60" s="30" t="s">
        <v>193</v>
      </c>
      <c r="H60" s="30" t="s">
        <v>194</v>
      </c>
      <c r="I60" s="30" t="s">
        <v>26060</v>
      </c>
      <c r="J60" s="30" t="s">
        <v>210</v>
      </c>
      <c r="K60" s="30" t="s">
        <v>9309</v>
      </c>
      <c r="L60" s="30" t="s">
        <v>6955</v>
      </c>
      <c r="M60" s="30"/>
      <c r="N60" s="30" t="s">
        <v>26325</v>
      </c>
      <c r="O60" s="30" t="s">
        <v>6286</v>
      </c>
      <c r="P60" s="30" t="s">
        <v>26084</v>
      </c>
      <c r="Q60" s="30" t="s">
        <v>26098</v>
      </c>
      <c r="R60" s="30" t="s">
        <v>26231</v>
      </c>
      <c r="S60" s="30" t="s">
        <v>26326</v>
      </c>
      <c r="T60" s="30" t="s">
        <v>26327</v>
      </c>
      <c r="U60" s="30"/>
      <c r="V60" s="30">
        <v>1863</v>
      </c>
      <c r="W60" s="30" t="s">
        <v>707</v>
      </c>
      <c r="X60" s="30" t="s">
        <v>194</v>
      </c>
      <c r="Y60" s="30" t="s">
        <v>9300</v>
      </c>
      <c r="Z60" s="30"/>
      <c r="AA60" s="30"/>
      <c r="AB60" s="30" t="s">
        <v>9311</v>
      </c>
      <c r="AC60" s="30"/>
      <c r="AD60" s="30"/>
      <c r="AE60" s="30"/>
      <c r="AF60" s="30"/>
      <c r="AG60" s="30"/>
      <c r="AH60" s="30" t="s">
        <v>4714</v>
      </c>
      <c r="AI60" s="30" t="s">
        <v>9433</v>
      </c>
      <c r="AJ60" s="641" t="str">
        <f t="shared" si="0"/>
        <v>422201</v>
      </c>
      <c r="AK60" s="641">
        <v>1</v>
      </c>
      <c r="AL60" s="641">
        <f t="shared" si="1"/>
        <v>1</v>
      </c>
      <c r="AM60" s="641">
        <v>1</v>
      </c>
      <c r="AN60" s="30" t="s">
        <v>17650</v>
      </c>
      <c r="AO60" s="30" t="s">
        <v>17651</v>
      </c>
      <c r="AP60" s="30" t="s">
        <v>17652</v>
      </c>
      <c r="AQ60" s="30" t="s">
        <v>17653</v>
      </c>
      <c r="AR60" s="30" t="s">
        <v>1024</v>
      </c>
      <c r="AS60" s="30">
        <v>1</v>
      </c>
    </row>
    <row r="61" spans="1:45" x14ac:dyDescent="0.25">
      <c r="A61" s="30" t="s">
        <v>26089</v>
      </c>
      <c r="B61" s="30" t="s">
        <v>4055</v>
      </c>
      <c r="C61" s="30" t="s">
        <v>10</v>
      </c>
      <c r="D61" s="139" t="s">
        <v>26052</v>
      </c>
      <c r="E61" s="30" t="s">
        <v>217</v>
      </c>
      <c r="F61" s="30">
        <v>1</v>
      </c>
      <c r="G61" s="30" t="s">
        <v>193</v>
      </c>
      <c r="H61" s="30" t="s">
        <v>194</v>
      </c>
      <c r="I61" s="30" t="s">
        <v>26053</v>
      </c>
      <c r="J61" s="30" t="s">
        <v>210</v>
      </c>
      <c r="K61" s="30" t="s">
        <v>9309</v>
      </c>
      <c r="L61" s="30" t="s">
        <v>6955</v>
      </c>
      <c r="M61" s="30"/>
      <c r="N61" s="30" t="s">
        <v>26328</v>
      </c>
      <c r="O61" s="30" t="s">
        <v>6261</v>
      </c>
      <c r="P61" s="30" t="s">
        <v>26084</v>
      </c>
      <c r="Q61" s="30" t="s">
        <v>26218</v>
      </c>
      <c r="R61" s="30" t="s">
        <v>26219</v>
      </c>
      <c r="S61" s="30" t="s">
        <v>26329</v>
      </c>
      <c r="T61" s="30" t="s">
        <v>26330</v>
      </c>
      <c r="U61" s="30"/>
      <c r="V61" s="30">
        <v>1863</v>
      </c>
      <c r="W61" s="30" t="s">
        <v>484</v>
      </c>
      <c r="X61" s="30" t="s">
        <v>194</v>
      </c>
      <c r="Y61" s="30" t="s">
        <v>9300</v>
      </c>
      <c r="Z61" s="30"/>
      <c r="AA61" s="30"/>
      <c r="AB61" s="30" t="s">
        <v>9311</v>
      </c>
      <c r="AC61" s="30"/>
      <c r="AD61" s="30"/>
      <c r="AE61" s="30"/>
      <c r="AF61" s="30"/>
      <c r="AG61" s="30"/>
      <c r="AH61" s="30" t="s">
        <v>4714</v>
      </c>
      <c r="AI61" s="30" t="s">
        <v>9433</v>
      </c>
      <c r="AJ61" s="641" t="str">
        <f t="shared" si="0"/>
        <v>251401</v>
      </c>
      <c r="AK61" s="641">
        <v>1</v>
      </c>
      <c r="AL61" s="641">
        <f t="shared" si="1"/>
        <v>1</v>
      </c>
      <c r="AM61" s="641">
        <v>1</v>
      </c>
      <c r="AN61" s="30" t="s">
        <v>17650</v>
      </c>
      <c r="AO61" s="30" t="s">
        <v>17651</v>
      </c>
      <c r="AP61" s="30" t="s">
        <v>17652</v>
      </c>
      <c r="AQ61" s="30" t="s">
        <v>17653</v>
      </c>
      <c r="AR61" s="30" t="s">
        <v>1024</v>
      </c>
      <c r="AS61" s="30">
        <v>1</v>
      </c>
    </row>
    <row r="62" spans="1:45" x14ac:dyDescent="0.25">
      <c r="A62" s="30" t="s">
        <v>26089</v>
      </c>
      <c r="B62" s="30" t="s">
        <v>24788</v>
      </c>
      <c r="C62" s="30" t="s">
        <v>10</v>
      </c>
      <c r="D62" s="139" t="s">
        <v>26052</v>
      </c>
      <c r="E62" s="30" t="s">
        <v>217</v>
      </c>
      <c r="F62" s="30">
        <v>1</v>
      </c>
      <c r="G62" s="30" t="s">
        <v>193</v>
      </c>
      <c r="H62" s="30" t="s">
        <v>194</v>
      </c>
      <c r="I62" s="30" t="s">
        <v>26053</v>
      </c>
      <c r="J62" s="30" t="s">
        <v>210</v>
      </c>
      <c r="K62" s="30" t="s">
        <v>9309</v>
      </c>
      <c r="L62" s="30" t="s">
        <v>6955</v>
      </c>
      <c r="M62" s="30"/>
      <c r="N62" s="30" t="s">
        <v>26331</v>
      </c>
      <c r="O62" s="30" t="s">
        <v>6261</v>
      </c>
      <c r="P62" s="30" t="s">
        <v>26084</v>
      </c>
      <c r="Q62" s="30" t="s">
        <v>26241</v>
      </c>
      <c r="R62" s="30" t="s">
        <v>26242</v>
      </c>
      <c r="S62" s="30" t="s">
        <v>26332</v>
      </c>
      <c r="T62" s="30" t="s">
        <v>26333</v>
      </c>
      <c r="U62" s="30"/>
      <c r="V62" s="30">
        <v>1863</v>
      </c>
      <c r="W62" s="30" t="s">
        <v>484</v>
      </c>
      <c r="X62" s="30" t="s">
        <v>194</v>
      </c>
      <c r="Y62" s="30" t="s">
        <v>9300</v>
      </c>
      <c r="Z62" s="30"/>
      <c r="AA62" s="30"/>
      <c r="AB62" s="30" t="s">
        <v>9311</v>
      </c>
      <c r="AC62" s="30"/>
      <c r="AD62" s="30"/>
      <c r="AE62" s="30"/>
      <c r="AF62" s="30"/>
      <c r="AG62" s="30"/>
      <c r="AH62" s="30" t="s">
        <v>4714</v>
      </c>
      <c r="AI62" s="30" t="s">
        <v>9433</v>
      </c>
      <c r="AJ62" s="641" t="str">
        <f t="shared" si="0"/>
        <v>251401</v>
      </c>
      <c r="AK62" s="641">
        <v>1</v>
      </c>
      <c r="AL62" s="641">
        <f t="shared" si="1"/>
        <v>1</v>
      </c>
      <c r="AM62" s="641">
        <v>1</v>
      </c>
      <c r="AN62" s="30" t="s">
        <v>17650</v>
      </c>
      <c r="AO62" s="30" t="s">
        <v>17651</v>
      </c>
      <c r="AP62" s="30" t="s">
        <v>17652</v>
      </c>
      <c r="AQ62" s="30" t="s">
        <v>17653</v>
      </c>
      <c r="AR62" s="30" t="s">
        <v>1024</v>
      </c>
      <c r="AS62" s="30">
        <v>1</v>
      </c>
    </row>
    <row r="63" spans="1:45" x14ac:dyDescent="0.25">
      <c r="A63" s="30" t="s">
        <v>26334</v>
      </c>
      <c r="B63" s="30" t="s">
        <v>26335</v>
      </c>
      <c r="C63" s="30" t="s">
        <v>2861</v>
      </c>
      <c r="D63" s="139" t="s">
        <v>26052</v>
      </c>
      <c r="E63" s="30" t="s">
        <v>217</v>
      </c>
      <c r="F63" s="30">
        <v>1</v>
      </c>
      <c r="G63" s="30" t="s">
        <v>193</v>
      </c>
      <c r="H63" s="30" t="s">
        <v>194</v>
      </c>
      <c r="I63" s="30" t="s">
        <v>26060</v>
      </c>
      <c r="J63" s="30" t="s">
        <v>210</v>
      </c>
      <c r="K63" s="30" t="s">
        <v>9309</v>
      </c>
      <c r="L63" s="30" t="s">
        <v>6955</v>
      </c>
      <c r="M63" s="30"/>
      <c r="N63" s="30" t="s">
        <v>26336</v>
      </c>
      <c r="O63" s="30" t="s">
        <v>6261</v>
      </c>
      <c r="P63" s="30" t="s">
        <v>26084</v>
      </c>
      <c r="Q63" s="30" t="s">
        <v>26182</v>
      </c>
      <c r="R63" s="30" t="s">
        <v>26183</v>
      </c>
      <c r="S63" s="30" t="s">
        <v>26337</v>
      </c>
      <c r="T63" s="30" t="s">
        <v>26338</v>
      </c>
      <c r="U63" s="30"/>
      <c r="V63" s="30">
        <v>1863</v>
      </c>
      <c r="W63" s="30" t="s">
        <v>3629</v>
      </c>
      <c r="X63" s="30" t="s">
        <v>194</v>
      </c>
      <c r="Y63" s="30" t="s">
        <v>9300</v>
      </c>
      <c r="Z63" s="30"/>
      <c r="AA63" s="30"/>
      <c r="AB63" s="30" t="s">
        <v>9311</v>
      </c>
      <c r="AC63" s="30"/>
      <c r="AD63" s="30"/>
      <c r="AE63" s="30"/>
      <c r="AF63" s="30"/>
      <c r="AG63" s="30"/>
      <c r="AH63" s="30" t="s">
        <v>4714</v>
      </c>
      <c r="AI63" s="30" t="s">
        <v>9433</v>
      </c>
      <c r="AJ63" s="641" t="str">
        <f t="shared" si="0"/>
        <v>251903</v>
      </c>
      <c r="AK63" s="641">
        <v>1</v>
      </c>
      <c r="AL63" s="641">
        <f t="shared" si="1"/>
        <v>1</v>
      </c>
      <c r="AM63" s="641">
        <v>1</v>
      </c>
      <c r="AN63" s="30" t="s">
        <v>17650</v>
      </c>
      <c r="AO63" s="30" t="s">
        <v>17651</v>
      </c>
      <c r="AP63" s="30" t="s">
        <v>17652</v>
      </c>
      <c r="AQ63" s="30" t="s">
        <v>17653</v>
      </c>
      <c r="AR63" s="30" t="s">
        <v>1024</v>
      </c>
      <c r="AS63" s="30">
        <v>1</v>
      </c>
    </row>
    <row r="64" spans="1:45" x14ac:dyDescent="0.25">
      <c r="A64" s="30" t="s">
        <v>258</v>
      </c>
      <c r="B64" s="30" t="s">
        <v>7677</v>
      </c>
      <c r="C64" s="30" t="s">
        <v>778</v>
      </c>
      <c r="D64" s="139" t="s">
        <v>26052</v>
      </c>
      <c r="E64" s="30" t="s">
        <v>217</v>
      </c>
      <c r="F64" s="30">
        <v>1</v>
      </c>
      <c r="G64" s="30" t="s">
        <v>193</v>
      </c>
      <c r="H64" s="30" t="s">
        <v>194</v>
      </c>
      <c r="I64" s="30" t="s">
        <v>26077</v>
      </c>
      <c r="J64" s="30" t="s">
        <v>316</v>
      </c>
      <c r="K64" s="30" t="s">
        <v>9309</v>
      </c>
      <c r="L64" s="30" t="s">
        <v>6955</v>
      </c>
      <c r="M64" s="30"/>
      <c r="N64" s="30" t="s">
        <v>26339</v>
      </c>
      <c r="O64" s="30" t="s">
        <v>6251</v>
      </c>
      <c r="P64" s="30" t="s">
        <v>26230</v>
      </c>
      <c r="Q64" s="30" t="s">
        <v>26261</v>
      </c>
      <c r="R64" s="30" t="s">
        <v>26262</v>
      </c>
      <c r="S64" s="30" t="s">
        <v>26340</v>
      </c>
      <c r="T64" s="30" t="s">
        <v>26341</v>
      </c>
      <c r="U64" s="30"/>
      <c r="V64" s="30">
        <v>1818</v>
      </c>
      <c r="W64" s="30" t="s">
        <v>779</v>
      </c>
      <c r="X64" s="30" t="s">
        <v>194</v>
      </c>
      <c r="Y64" s="30" t="s">
        <v>9300</v>
      </c>
      <c r="Z64" s="30"/>
      <c r="AA64" s="30"/>
      <c r="AB64" s="30" t="s">
        <v>9311</v>
      </c>
      <c r="AC64" s="30"/>
      <c r="AD64" s="30"/>
      <c r="AE64" s="30"/>
      <c r="AF64" s="30"/>
      <c r="AG64" s="30"/>
      <c r="AH64" s="30" t="s">
        <v>4714</v>
      </c>
      <c r="AI64" s="30" t="s">
        <v>778</v>
      </c>
      <c r="AJ64" s="641" t="str">
        <f t="shared" si="0"/>
        <v>524902</v>
      </c>
      <c r="AK64" s="641">
        <v>1</v>
      </c>
      <c r="AL64" s="641">
        <f t="shared" si="1"/>
        <v>1</v>
      </c>
      <c r="AM64" s="641">
        <v>1</v>
      </c>
      <c r="AN64" s="30" t="s">
        <v>17650</v>
      </c>
      <c r="AO64" s="30" t="s">
        <v>17651</v>
      </c>
      <c r="AP64" s="30" t="s">
        <v>17652</v>
      </c>
      <c r="AQ64" s="30" t="s">
        <v>17653</v>
      </c>
      <c r="AR64" s="30" t="s">
        <v>1024</v>
      </c>
      <c r="AS64" s="30">
        <v>1</v>
      </c>
    </row>
    <row r="65" spans="1:45" x14ac:dyDescent="0.25">
      <c r="A65" s="30" t="s">
        <v>716</v>
      </c>
      <c r="B65" s="30" t="s">
        <v>26342</v>
      </c>
      <c r="C65" s="30" t="s">
        <v>24125</v>
      </c>
      <c r="D65" s="139" t="s">
        <v>26052</v>
      </c>
      <c r="E65" s="30" t="s">
        <v>217</v>
      </c>
      <c r="F65" s="30">
        <v>1</v>
      </c>
      <c r="G65" s="30" t="s">
        <v>193</v>
      </c>
      <c r="H65" s="30" t="s">
        <v>194</v>
      </c>
      <c r="I65" s="30" t="s">
        <v>26053</v>
      </c>
      <c r="J65" s="30" t="s">
        <v>210</v>
      </c>
      <c r="K65" s="30" t="s">
        <v>9309</v>
      </c>
      <c r="L65" s="30" t="s">
        <v>6955</v>
      </c>
      <c r="M65" s="30"/>
      <c r="N65" s="30" t="s">
        <v>26343</v>
      </c>
      <c r="O65" s="30" t="s">
        <v>6261</v>
      </c>
      <c r="P65" s="30" t="s">
        <v>26114</v>
      </c>
      <c r="Q65" s="30" t="s">
        <v>25944</v>
      </c>
      <c r="R65" s="30" t="s">
        <v>26115</v>
      </c>
      <c r="S65" s="30" t="s">
        <v>26344</v>
      </c>
      <c r="T65" s="30" t="s">
        <v>26345</v>
      </c>
      <c r="U65" s="30"/>
      <c r="V65" s="30">
        <v>1863</v>
      </c>
      <c r="W65" s="30" t="s">
        <v>24129</v>
      </c>
      <c r="X65" s="30" t="s">
        <v>194</v>
      </c>
      <c r="Y65" s="30" t="s">
        <v>9300</v>
      </c>
      <c r="Z65" s="30"/>
      <c r="AA65" s="30"/>
      <c r="AB65" s="30" t="s">
        <v>9311</v>
      </c>
      <c r="AC65" s="30"/>
      <c r="AD65" s="30"/>
      <c r="AE65" s="30"/>
      <c r="AF65" s="30"/>
      <c r="AG65" s="30"/>
      <c r="AH65" s="30" t="s">
        <v>4714</v>
      </c>
      <c r="AI65" s="30" t="s">
        <v>9433</v>
      </c>
      <c r="AJ65" s="641" t="str">
        <f t="shared" si="0"/>
        <v>351401</v>
      </c>
      <c r="AK65" s="641">
        <v>1</v>
      </c>
      <c r="AL65" s="641">
        <f t="shared" si="1"/>
        <v>1</v>
      </c>
      <c r="AM65" s="641">
        <v>1</v>
      </c>
      <c r="AN65" s="30" t="s">
        <v>17650</v>
      </c>
      <c r="AO65" s="30" t="s">
        <v>17651</v>
      </c>
      <c r="AP65" s="30" t="s">
        <v>17652</v>
      </c>
      <c r="AQ65" s="30" t="s">
        <v>17653</v>
      </c>
      <c r="AR65" s="30" t="s">
        <v>1024</v>
      </c>
      <c r="AS65" s="30">
        <v>1</v>
      </c>
    </row>
    <row r="66" spans="1:45" x14ac:dyDescent="0.25">
      <c r="A66" s="30" t="s">
        <v>26193</v>
      </c>
      <c r="B66" s="30" t="s">
        <v>26194</v>
      </c>
      <c r="C66" s="30" t="s">
        <v>227</v>
      </c>
      <c r="D66" s="139" t="s">
        <v>26052</v>
      </c>
      <c r="E66" s="30" t="s">
        <v>217</v>
      </c>
      <c r="F66" s="30">
        <v>1</v>
      </c>
      <c r="G66" s="30" t="s">
        <v>193</v>
      </c>
      <c r="H66" s="30" t="s">
        <v>194</v>
      </c>
      <c r="I66" s="30" t="s">
        <v>26053</v>
      </c>
      <c r="J66" s="30" t="s">
        <v>747</v>
      </c>
      <c r="K66" s="30" t="s">
        <v>9309</v>
      </c>
      <c r="L66" s="30" t="s">
        <v>6955</v>
      </c>
      <c r="M66" s="30"/>
      <c r="N66" s="30" t="s">
        <v>26346</v>
      </c>
      <c r="O66" s="30" t="s">
        <v>6269</v>
      </c>
      <c r="P66" s="30" t="s">
        <v>26084</v>
      </c>
      <c r="Q66" s="30" t="s">
        <v>26159</v>
      </c>
      <c r="R66" s="30" t="s">
        <v>26160</v>
      </c>
      <c r="S66" s="30" t="s">
        <v>26347</v>
      </c>
      <c r="T66" s="30" t="s">
        <v>26348</v>
      </c>
      <c r="U66" s="30"/>
      <c r="V66" s="30">
        <v>1817</v>
      </c>
      <c r="W66" s="30" t="s">
        <v>229</v>
      </c>
      <c r="X66" s="30" t="s">
        <v>194</v>
      </c>
      <c r="Y66" s="30" t="s">
        <v>9300</v>
      </c>
      <c r="Z66" s="30"/>
      <c r="AA66" s="30"/>
      <c r="AB66" s="30" t="s">
        <v>9311</v>
      </c>
      <c r="AC66" s="30"/>
      <c r="AD66" s="30"/>
      <c r="AE66" s="30"/>
      <c r="AF66" s="30"/>
      <c r="AG66" s="30"/>
      <c r="AH66" s="30" t="s">
        <v>4714</v>
      </c>
      <c r="AI66" s="30" t="s">
        <v>9433</v>
      </c>
      <c r="AJ66" s="641" t="str">
        <f t="shared" si="0"/>
        <v>132401</v>
      </c>
      <c r="AK66" s="641">
        <v>1</v>
      </c>
      <c r="AL66" s="641">
        <f t="shared" si="1"/>
        <v>1</v>
      </c>
      <c r="AM66" s="641">
        <v>1</v>
      </c>
      <c r="AN66" s="30" t="s">
        <v>17650</v>
      </c>
      <c r="AO66" s="30" t="s">
        <v>17651</v>
      </c>
      <c r="AP66" s="30" t="s">
        <v>17652</v>
      </c>
      <c r="AQ66" s="30" t="s">
        <v>17653</v>
      </c>
      <c r="AR66" s="30" t="s">
        <v>1024</v>
      </c>
      <c r="AS66" s="30">
        <v>1</v>
      </c>
    </row>
    <row r="67" spans="1:45" x14ac:dyDescent="0.25">
      <c r="A67" s="30" t="s">
        <v>26193</v>
      </c>
      <c r="B67" s="30" t="s">
        <v>26194</v>
      </c>
      <c r="C67" s="30" t="s">
        <v>227</v>
      </c>
      <c r="D67" s="139" t="s">
        <v>26052</v>
      </c>
      <c r="E67" s="30" t="s">
        <v>217</v>
      </c>
      <c r="F67" s="30">
        <v>1</v>
      </c>
      <c r="G67" s="30" t="s">
        <v>193</v>
      </c>
      <c r="H67" s="30" t="s">
        <v>194</v>
      </c>
      <c r="I67" s="30" t="s">
        <v>26053</v>
      </c>
      <c r="J67" s="30" t="s">
        <v>223</v>
      </c>
      <c r="K67" s="30" t="s">
        <v>9309</v>
      </c>
      <c r="L67" s="30" t="s">
        <v>6955</v>
      </c>
      <c r="M67" s="30"/>
      <c r="N67" s="30" t="s">
        <v>26349</v>
      </c>
      <c r="O67" s="30" t="s">
        <v>6269</v>
      </c>
      <c r="P67" s="30" t="s">
        <v>26084</v>
      </c>
      <c r="Q67" s="30" t="s">
        <v>26159</v>
      </c>
      <c r="R67" s="30" t="s">
        <v>26160</v>
      </c>
      <c r="S67" s="30" t="s">
        <v>26350</v>
      </c>
      <c r="T67" s="30" t="s">
        <v>26351</v>
      </c>
      <c r="U67" s="30"/>
      <c r="V67" s="30">
        <v>1804</v>
      </c>
      <c r="W67" s="30" t="s">
        <v>229</v>
      </c>
      <c r="X67" s="30" t="s">
        <v>194</v>
      </c>
      <c r="Y67" s="30" t="s">
        <v>9300</v>
      </c>
      <c r="Z67" s="30"/>
      <c r="AA67" s="30"/>
      <c r="AB67" s="30" t="s">
        <v>9311</v>
      </c>
      <c r="AC67" s="30"/>
      <c r="AD67" s="30"/>
      <c r="AE67" s="30"/>
      <c r="AF67" s="30"/>
      <c r="AG67" s="30"/>
      <c r="AH67" s="30" t="s">
        <v>4714</v>
      </c>
      <c r="AI67" s="30" t="s">
        <v>9433</v>
      </c>
      <c r="AJ67" s="641" t="str">
        <f t="shared" ref="AJ67:AJ130" si="2">MID(W67,8,6)</f>
        <v>132401</v>
      </c>
      <c r="AK67" s="641">
        <v>1</v>
      </c>
      <c r="AL67" s="641">
        <f t="shared" ref="AL67:AL130" si="3">F67</f>
        <v>1</v>
      </c>
      <c r="AM67" s="641">
        <v>1</v>
      </c>
      <c r="AN67" s="30" t="s">
        <v>17650</v>
      </c>
      <c r="AO67" s="30" t="s">
        <v>17651</v>
      </c>
      <c r="AP67" s="30" t="s">
        <v>17652</v>
      </c>
      <c r="AQ67" s="30" t="s">
        <v>17653</v>
      </c>
      <c r="AR67" s="30" t="s">
        <v>1024</v>
      </c>
      <c r="AS67" s="30">
        <v>1</v>
      </c>
    </row>
    <row r="68" spans="1:45" x14ac:dyDescent="0.25">
      <c r="A68" s="30" t="s">
        <v>26089</v>
      </c>
      <c r="B68" s="30" t="s">
        <v>26352</v>
      </c>
      <c r="C68" s="30" t="s">
        <v>444</v>
      </c>
      <c r="D68" s="139" t="s">
        <v>26052</v>
      </c>
      <c r="E68" s="30" t="s">
        <v>217</v>
      </c>
      <c r="F68" s="30">
        <v>1</v>
      </c>
      <c r="G68" s="30" t="s">
        <v>193</v>
      </c>
      <c r="H68" s="30" t="s">
        <v>194</v>
      </c>
      <c r="I68" s="30" t="s">
        <v>26053</v>
      </c>
      <c r="J68" s="30" t="s">
        <v>210</v>
      </c>
      <c r="K68" s="30" t="s">
        <v>9309</v>
      </c>
      <c r="L68" s="30" t="s">
        <v>6955</v>
      </c>
      <c r="M68" s="30"/>
      <c r="N68" s="30" t="s">
        <v>26353</v>
      </c>
      <c r="O68" s="30" t="s">
        <v>6261</v>
      </c>
      <c r="P68" s="30" t="s">
        <v>26084</v>
      </c>
      <c r="Q68" s="30" t="s">
        <v>26150</v>
      </c>
      <c r="R68" s="30" t="s">
        <v>23804</v>
      </c>
      <c r="S68" s="30" t="s">
        <v>26354</v>
      </c>
      <c r="T68" s="30" t="s">
        <v>26355</v>
      </c>
      <c r="U68" s="30"/>
      <c r="V68" s="30">
        <v>1863</v>
      </c>
      <c r="W68" s="30" t="s">
        <v>445</v>
      </c>
      <c r="X68" s="30" t="s">
        <v>194</v>
      </c>
      <c r="Y68" s="30" t="s">
        <v>9300</v>
      </c>
      <c r="Z68" s="30"/>
      <c r="AA68" s="30"/>
      <c r="AB68" s="30" t="s">
        <v>9311</v>
      </c>
      <c r="AC68" s="30"/>
      <c r="AD68" s="30"/>
      <c r="AE68" s="30"/>
      <c r="AF68" s="30"/>
      <c r="AG68" s="30"/>
      <c r="AH68" s="30" t="s">
        <v>4714</v>
      </c>
      <c r="AI68" s="30" t="s">
        <v>9433</v>
      </c>
      <c r="AJ68" s="641" t="str">
        <f t="shared" si="2"/>
        <v>243103</v>
      </c>
      <c r="AK68" s="641">
        <v>1</v>
      </c>
      <c r="AL68" s="641">
        <f t="shared" si="3"/>
        <v>1</v>
      </c>
      <c r="AM68" s="641">
        <v>1</v>
      </c>
      <c r="AN68" s="30" t="s">
        <v>17650</v>
      </c>
      <c r="AO68" s="30" t="s">
        <v>17651</v>
      </c>
      <c r="AP68" s="30" t="s">
        <v>17652</v>
      </c>
      <c r="AQ68" s="30" t="s">
        <v>17653</v>
      </c>
      <c r="AR68" s="30" t="s">
        <v>1024</v>
      </c>
      <c r="AS68" s="30">
        <v>1</v>
      </c>
    </row>
    <row r="69" spans="1:45" x14ac:dyDescent="0.25">
      <c r="A69" s="30" t="s">
        <v>716</v>
      </c>
      <c r="B69" s="30" t="s">
        <v>26342</v>
      </c>
      <c r="C69" s="30" t="s">
        <v>24125</v>
      </c>
      <c r="D69" s="139" t="s">
        <v>26052</v>
      </c>
      <c r="E69" s="30" t="s">
        <v>217</v>
      </c>
      <c r="F69" s="30">
        <v>1</v>
      </c>
      <c r="G69" s="30" t="s">
        <v>193</v>
      </c>
      <c r="H69" s="30" t="s">
        <v>194</v>
      </c>
      <c r="I69" s="30" t="s">
        <v>26053</v>
      </c>
      <c r="J69" s="30" t="s">
        <v>210</v>
      </c>
      <c r="K69" s="30" t="s">
        <v>9309</v>
      </c>
      <c r="L69" s="30" t="s">
        <v>6955</v>
      </c>
      <c r="M69" s="30"/>
      <c r="N69" s="30" t="s">
        <v>26356</v>
      </c>
      <c r="O69" s="30" t="s">
        <v>6921</v>
      </c>
      <c r="P69" s="30" t="s">
        <v>26084</v>
      </c>
      <c r="Q69" s="30" t="s">
        <v>26085</v>
      </c>
      <c r="R69" s="30" t="s">
        <v>26057</v>
      </c>
      <c r="S69" s="30" t="s">
        <v>26357</v>
      </c>
      <c r="T69" s="30" t="s">
        <v>26358</v>
      </c>
      <c r="U69" s="30"/>
      <c r="V69" s="30">
        <v>1863</v>
      </c>
      <c r="W69" s="30" t="s">
        <v>24129</v>
      </c>
      <c r="X69" s="30" t="s">
        <v>194</v>
      </c>
      <c r="Y69" s="30" t="s">
        <v>9300</v>
      </c>
      <c r="Z69" s="30"/>
      <c r="AA69" s="30"/>
      <c r="AB69" s="30" t="s">
        <v>9311</v>
      </c>
      <c r="AC69" s="30"/>
      <c r="AD69" s="30"/>
      <c r="AE69" s="30"/>
      <c r="AF69" s="30"/>
      <c r="AG69" s="30"/>
      <c r="AH69" s="30" t="s">
        <v>4714</v>
      </c>
      <c r="AI69" s="30" t="s">
        <v>9433</v>
      </c>
      <c r="AJ69" s="641" t="str">
        <f t="shared" si="2"/>
        <v>351401</v>
      </c>
      <c r="AK69" s="641">
        <v>1</v>
      </c>
      <c r="AL69" s="641">
        <f t="shared" si="3"/>
        <v>1</v>
      </c>
      <c r="AM69" s="641">
        <v>1</v>
      </c>
      <c r="AN69" s="30" t="s">
        <v>17650</v>
      </c>
      <c r="AO69" s="30" t="s">
        <v>17651</v>
      </c>
      <c r="AP69" s="30" t="s">
        <v>17652</v>
      </c>
      <c r="AQ69" s="30" t="s">
        <v>17653</v>
      </c>
      <c r="AR69" s="30" t="s">
        <v>1024</v>
      </c>
      <c r="AS69" s="30">
        <v>1</v>
      </c>
    </row>
    <row r="70" spans="1:45" x14ac:dyDescent="0.25">
      <c r="A70" s="30" t="s">
        <v>716</v>
      </c>
      <c r="B70" s="30" t="s">
        <v>26282</v>
      </c>
      <c r="C70" s="30" t="s">
        <v>24125</v>
      </c>
      <c r="D70" s="139" t="s">
        <v>26052</v>
      </c>
      <c r="E70" s="30" t="s">
        <v>217</v>
      </c>
      <c r="F70" s="30">
        <v>1</v>
      </c>
      <c r="G70" s="30" t="s">
        <v>193</v>
      </c>
      <c r="H70" s="30" t="s">
        <v>194</v>
      </c>
      <c r="I70" s="30" t="s">
        <v>26053</v>
      </c>
      <c r="J70" s="30" t="s">
        <v>210</v>
      </c>
      <c r="K70" s="30" t="s">
        <v>9309</v>
      </c>
      <c r="L70" s="30" t="s">
        <v>6955</v>
      </c>
      <c r="M70" s="30"/>
      <c r="N70" s="30" t="s">
        <v>26359</v>
      </c>
      <c r="O70" s="30" t="s">
        <v>6290</v>
      </c>
      <c r="P70" s="30" t="s">
        <v>26084</v>
      </c>
      <c r="Q70" s="30" t="s">
        <v>26108</v>
      </c>
      <c r="R70" s="30" t="s">
        <v>26109</v>
      </c>
      <c r="S70" s="30" t="s">
        <v>26360</v>
      </c>
      <c r="T70" s="30" t="s">
        <v>26361</v>
      </c>
      <c r="U70" s="30"/>
      <c r="V70" s="30">
        <v>1863</v>
      </c>
      <c r="W70" s="30" t="s">
        <v>24129</v>
      </c>
      <c r="X70" s="30" t="s">
        <v>194</v>
      </c>
      <c r="Y70" s="30" t="s">
        <v>9300</v>
      </c>
      <c r="Z70" s="30"/>
      <c r="AA70" s="30"/>
      <c r="AB70" s="30" t="s">
        <v>9311</v>
      </c>
      <c r="AC70" s="30"/>
      <c r="AD70" s="30"/>
      <c r="AE70" s="30"/>
      <c r="AF70" s="30"/>
      <c r="AG70" s="30"/>
      <c r="AH70" s="30" t="s">
        <v>4714</v>
      </c>
      <c r="AI70" s="30" t="s">
        <v>9433</v>
      </c>
      <c r="AJ70" s="641" t="str">
        <f t="shared" si="2"/>
        <v>351401</v>
      </c>
      <c r="AK70" s="641">
        <v>1</v>
      </c>
      <c r="AL70" s="641">
        <f t="shared" si="3"/>
        <v>1</v>
      </c>
      <c r="AM70" s="641">
        <v>1</v>
      </c>
      <c r="AN70" s="30" t="s">
        <v>17650</v>
      </c>
      <c r="AO70" s="30" t="s">
        <v>17651</v>
      </c>
      <c r="AP70" s="30" t="s">
        <v>17652</v>
      </c>
      <c r="AQ70" s="30" t="s">
        <v>17653</v>
      </c>
      <c r="AR70" s="30" t="s">
        <v>1024</v>
      </c>
      <c r="AS70" s="30">
        <v>1</v>
      </c>
    </row>
    <row r="71" spans="1:45" x14ac:dyDescent="0.25">
      <c r="A71" s="30" t="s">
        <v>26193</v>
      </c>
      <c r="B71" s="30" t="s">
        <v>26194</v>
      </c>
      <c r="C71" s="30" t="s">
        <v>227</v>
      </c>
      <c r="D71" s="139" t="s">
        <v>26052</v>
      </c>
      <c r="E71" s="30" t="s">
        <v>217</v>
      </c>
      <c r="F71" s="30">
        <v>1</v>
      </c>
      <c r="G71" s="30" t="s">
        <v>193</v>
      </c>
      <c r="H71" s="30" t="s">
        <v>194</v>
      </c>
      <c r="I71" s="30" t="s">
        <v>26053</v>
      </c>
      <c r="J71" s="30" t="s">
        <v>253</v>
      </c>
      <c r="K71" s="30" t="s">
        <v>9309</v>
      </c>
      <c r="L71" s="30" t="s">
        <v>6955</v>
      </c>
      <c r="M71" s="30"/>
      <c r="N71" s="30" t="s">
        <v>26362</v>
      </c>
      <c r="O71" s="30" t="s">
        <v>6269</v>
      </c>
      <c r="P71" s="30" t="s">
        <v>26084</v>
      </c>
      <c r="Q71" s="30" t="s">
        <v>26159</v>
      </c>
      <c r="R71" s="30" t="s">
        <v>26160</v>
      </c>
      <c r="S71" s="30" t="s">
        <v>26363</v>
      </c>
      <c r="T71" s="30" t="s">
        <v>26364</v>
      </c>
      <c r="U71" s="30"/>
      <c r="V71" s="30">
        <v>1811</v>
      </c>
      <c r="W71" s="30" t="s">
        <v>229</v>
      </c>
      <c r="X71" s="30" t="s">
        <v>194</v>
      </c>
      <c r="Y71" s="30" t="s">
        <v>9300</v>
      </c>
      <c r="Z71" s="30"/>
      <c r="AA71" s="30"/>
      <c r="AB71" s="30" t="s">
        <v>9311</v>
      </c>
      <c r="AC71" s="30"/>
      <c r="AD71" s="30"/>
      <c r="AE71" s="30"/>
      <c r="AF71" s="30"/>
      <c r="AG71" s="30"/>
      <c r="AH71" s="30" t="s">
        <v>4714</v>
      </c>
      <c r="AI71" s="30" t="s">
        <v>9433</v>
      </c>
      <c r="AJ71" s="641" t="str">
        <f t="shared" si="2"/>
        <v>132401</v>
      </c>
      <c r="AK71" s="641">
        <v>1</v>
      </c>
      <c r="AL71" s="641">
        <f t="shared" si="3"/>
        <v>1</v>
      </c>
      <c r="AM71" s="641">
        <v>1</v>
      </c>
      <c r="AN71" s="30" t="s">
        <v>17650</v>
      </c>
      <c r="AO71" s="30" t="s">
        <v>17651</v>
      </c>
      <c r="AP71" s="30" t="s">
        <v>17652</v>
      </c>
      <c r="AQ71" s="30" t="s">
        <v>17653</v>
      </c>
      <c r="AR71" s="30" t="s">
        <v>1024</v>
      </c>
      <c r="AS71" s="30">
        <v>1</v>
      </c>
    </row>
    <row r="72" spans="1:45" x14ac:dyDescent="0.25">
      <c r="A72" s="30" t="s">
        <v>716</v>
      </c>
      <c r="B72" s="30" t="s">
        <v>26365</v>
      </c>
      <c r="C72" s="30" t="s">
        <v>26180</v>
      </c>
      <c r="D72" s="139" t="s">
        <v>26052</v>
      </c>
      <c r="E72" s="30" t="s">
        <v>217</v>
      </c>
      <c r="F72" s="30">
        <v>1</v>
      </c>
      <c r="G72" s="30" t="s">
        <v>193</v>
      </c>
      <c r="H72" s="30" t="s">
        <v>194</v>
      </c>
      <c r="I72" s="30" t="s">
        <v>26053</v>
      </c>
      <c r="J72" s="30" t="s">
        <v>210</v>
      </c>
      <c r="K72" s="30" t="s">
        <v>9309</v>
      </c>
      <c r="L72" s="30" t="s">
        <v>6955</v>
      </c>
      <c r="M72" s="30"/>
      <c r="N72" s="30" t="s">
        <v>26366</v>
      </c>
      <c r="O72" s="30" t="s">
        <v>6251</v>
      </c>
      <c r="P72" s="30" t="s">
        <v>26084</v>
      </c>
      <c r="Q72" s="30" t="s">
        <v>26241</v>
      </c>
      <c r="R72" s="30" t="s">
        <v>26242</v>
      </c>
      <c r="S72" s="30" t="s">
        <v>26367</v>
      </c>
      <c r="T72" s="30" t="s">
        <v>26368</v>
      </c>
      <c r="U72" s="30"/>
      <c r="V72" s="30">
        <v>1863</v>
      </c>
      <c r="W72" s="30" t="s">
        <v>26186</v>
      </c>
      <c r="X72" s="30" t="s">
        <v>194</v>
      </c>
      <c r="Y72" s="30" t="s">
        <v>9300</v>
      </c>
      <c r="Z72" s="30"/>
      <c r="AA72" s="30"/>
      <c r="AB72" s="30" t="s">
        <v>9311</v>
      </c>
      <c r="AC72" s="30"/>
      <c r="AD72" s="30"/>
      <c r="AE72" s="30"/>
      <c r="AF72" s="30"/>
      <c r="AG72" s="30"/>
      <c r="AH72" s="30" t="s">
        <v>4714</v>
      </c>
      <c r="AI72" s="30" t="s">
        <v>9433</v>
      </c>
      <c r="AJ72" s="641" t="str">
        <f t="shared" si="2"/>
        <v>421108</v>
      </c>
      <c r="AK72" s="641">
        <v>1</v>
      </c>
      <c r="AL72" s="641">
        <f t="shared" si="3"/>
        <v>1</v>
      </c>
      <c r="AM72" s="641">
        <v>1</v>
      </c>
      <c r="AN72" s="30" t="s">
        <v>17650</v>
      </c>
      <c r="AO72" s="30" t="s">
        <v>17651</v>
      </c>
      <c r="AP72" s="30" t="s">
        <v>17652</v>
      </c>
      <c r="AQ72" s="30" t="s">
        <v>17653</v>
      </c>
      <c r="AR72" s="30" t="s">
        <v>1024</v>
      </c>
      <c r="AS72" s="30">
        <v>1</v>
      </c>
    </row>
    <row r="73" spans="1:45" x14ac:dyDescent="0.25">
      <c r="A73" s="30" t="s">
        <v>716</v>
      </c>
      <c r="B73" s="30" t="s">
        <v>26369</v>
      </c>
      <c r="C73" s="30" t="s">
        <v>24125</v>
      </c>
      <c r="D73" s="139" t="s">
        <v>26052</v>
      </c>
      <c r="E73" s="30" t="s">
        <v>217</v>
      </c>
      <c r="F73" s="30">
        <v>1</v>
      </c>
      <c r="G73" s="30" t="s">
        <v>193</v>
      </c>
      <c r="H73" s="30" t="s">
        <v>194</v>
      </c>
      <c r="I73" s="30" t="s">
        <v>26133</v>
      </c>
      <c r="J73" s="30" t="s">
        <v>210</v>
      </c>
      <c r="K73" s="30" t="s">
        <v>9309</v>
      </c>
      <c r="L73" s="30" t="s">
        <v>6955</v>
      </c>
      <c r="M73" s="30"/>
      <c r="N73" s="30" t="s">
        <v>26370</v>
      </c>
      <c r="O73" s="30" t="s">
        <v>6302</v>
      </c>
      <c r="P73" s="30" t="s">
        <v>26084</v>
      </c>
      <c r="Q73" s="30" t="s">
        <v>26085</v>
      </c>
      <c r="R73" s="30" t="s">
        <v>26057</v>
      </c>
      <c r="S73" s="30" t="s">
        <v>26371</v>
      </c>
      <c r="T73" s="30" t="s">
        <v>26372</v>
      </c>
      <c r="U73" s="30"/>
      <c r="V73" s="30">
        <v>1863</v>
      </c>
      <c r="W73" s="30" t="s">
        <v>24129</v>
      </c>
      <c r="X73" s="30" t="s">
        <v>194</v>
      </c>
      <c r="Y73" s="30" t="s">
        <v>9300</v>
      </c>
      <c r="Z73" s="30"/>
      <c r="AA73" s="30"/>
      <c r="AB73" s="30" t="s">
        <v>9311</v>
      </c>
      <c r="AC73" s="30"/>
      <c r="AD73" s="30"/>
      <c r="AE73" s="30"/>
      <c r="AF73" s="30"/>
      <c r="AG73" s="30"/>
      <c r="AH73" s="30" t="s">
        <v>4714</v>
      </c>
      <c r="AI73" s="30" t="s">
        <v>9433</v>
      </c>
      <c r="AJ73" s="641" t="str">
        <f t="shared" si="2"/>
        <v>351401</v>
      </c>
      <c r="AK73" s="641">
        <v>1</v>
      </c>
      <c r="AL73" s="641">
        <f t="shared" si="3"/>
        <v>1</v>
      </c>
      <c r="AM73" s="641">
        <v>1</v>
      </c>
      <c r="AN73" s="30" t="s">
        <v>17650</v>
      </c>
      <c r="AO73" s="30" t="s">
        <v>17651</v>
      </c>
      <c r="AP73" s="30" t="s">
        <v>17652</v>
      </c>
      <c r="AQ73" s="30" t="s">
        <v>17653</v>
      </c>
      <c r="AR73" s="30" t="s">
        <v>1024</v>
      </c>
      <c r="AS73" s="30">
        <v>1</v>
      </c>
    </row>
    <row r="74" spans="1:45" x14ac:dyDescent="0.25">
      <c r="A74" s="30" t="s">
        <v>26089</v>
      </c>
      <c r="B74" s="30" t="s">
        <v>12181</v>
      </c>
      <c r="C74" s="30" t="s">
        <v>10</v>
      </c>
      <c r="D74" s="139" t="s">
        <v>26052</v>
      </c>
      <c r="E74" s="30" t="s">
        <v>217</v>
      </c>
      <c r="F74" s="30">
        <v>1</v>
      </c>
      <c r="G74" s="30" t="s">
        <v>193</v>
      </c>
      <c r="H74" s="30" t="s">
        <v>194</v>
      </c>
      <c r="I74" s="30" t="s">
        <v>26053</v>
      </c>
      <c r="J74" s="30" t="s">
        <v>210</v>
      </c>
      <c r="K74" s="30" t="s">
        <v>9309</v>
      </c>
      <c r="L74" s="30" t="s">
        <v>6955</v>
      </c>
      <c r="M74" s="30"/>
      <c r="N74" s="30" t="s">
        <v>26373</v>
      </c>
      <c r="O74" s="30" t="s">
        <v>6261</v>
      </c>
      <c r="P74" s="30" t="s">
        <v>26084</v>
      </c>
      <c r="Q74" s="30" t="s">
        <v>26374</v>
      </c>
      <c r="R74" s="30" t="s">
        <v>26375</v>
      </c>
      <c r="S74" s="30" t="s">
        <v>26376</v>
      </c>
      <c r="T74" s="30" t="s">
        <v>26377</v>
      </c>
      <c r="U74" s="30"/>
      <c r="V74" s="30">
        <v>1863</v>
      </c>
      <c r="W74" s="30" t="s">
        <v>484</v>
      </c>
      <c r="X74" s="30" t="s">
        <v>194</v>
      </c>
      <c r="Y74" s="30" t="s">
        <v>9300</v>
      </c>
      <c r="Z74" s="30"/>
      <c r="AA74" s="30"/>
      <c r="AB74" s="30" t="s">
        <v>9311</v>
      </c>
      <c r="AC74" s="30"/>
      <c r="AD74" s="30"/>
      <c r="AE74" s="30"/>
      <c r="AF74" s="30"/>
      <c r="AG74" s="30"/>
      <c r="AH74" s="30" t="s">
        <v>4714</v>
      </c>
      <c r="AI74" s="30" t="s">
        <v>9433</v>
      </c>
      <c r="AJ74" s="641" t="str">
        <f t="shared" si="2"/>
        <v>251401</v>
      </c>
      <c r="AK74" s="641">
        <v>1</v>
      </c>
      <c r="AL74" s="641">
        <f t="shared" si="3"/>
        <v>1</v>
      </c>
      <c r="AM74" s="641">
        <v>1</v>
      </c>
      <c r="AN74" s="30" t="s">
        <v>17650</v>
      </c>
      <c r="AO74" s="30" t="s">
        <v>17651</v>
      </c>
      <c r="AP74" s="30" t="s">
        <v>17652</v>
      </c>
      <c r="AQ74" s="30" t="s">
        <v>17653</v>
      </c>
      <c r="AR74" s="30" t="s">
        <v>1024</v>
      </c>
      <c r="AS74" s="30">
        <v>1</v>
      </c>
    </row>
    <row r="75" spans="1:45" x14ac:dyDescent="0.25">
      <c r="A75" s="30" t="s">
        <v>26153</v>
      </c>
      <c r="B75" s="30" t="s">
        <v>1053</v>
      </c>
      <c r="C75" s="30" t="s">
        <v>10</v>
      </c>
      <c r="D75" s="139" t="s">
        <v>26052</v>
      </c>
      <c r="E75" s="30" t="s">
        <v>217</v>
      </c>
      <c r="F75" s="30">
        <v>1</v>
      </c>
      <c r="G75" s="30" t="s">
        <v>193</v>
      </c>
      <c r="H75" s="30" t="s">
        <v>194</v>
      </c>
      <c r="I75" s="30" t="s">
        <v>23198</v>
      </c>
      <c r="J75" s="30" t="s">
        <v>210</v>
      </c>
      <c r="K75" s="30" t="s">
        <v>9309</v>
      </c>
      <c r="L75" s="30" t="s">
        <v>6955</v>
      </c>
      <c r="M75" s="30"/>
      <c r="N75" s="30" t="s">
        <v>26378</v>
      </c>
      <c r="O75" s="30" t="s">
        <v>6261</v>
      </c>
      <c r="P75" s="30" t="s">
        <v>26084</v>
      </c>
      <c r="Q75" s="30" t="s">
        <v>26374</v>
      </c>
      <c r="R75" s="30" t="s">
        <v>26375</v>
      </c>
      <c r="S75" s="30" t="s">
        <v>26379</v>
      </c>
      <c r="T75" s="30" t="s">
        <v>26380</v>
      </c>
      <c r="U75" s="30"/>
      <c r="V75" s="30">
        <v>1863</v>
      </c>
      <c r="W75" s="30" t="s">
        <v>484</v>
      </c>
      <c r="X75" s="30" t="s">
        <v>194</v>
      </c>
      <c r="Y75" s="30" t="s">
        <v>9300</v>
      </c>
      <c r="Z75" s="30"/>
      <c r="AA75" s="30"/>
      <c r="AB75" s="30" t="s">
        <v>9311</v>
      </c>
      <c r="AC75" s="30"/>
      <c r="AD75" s="30"/>
      <c r="AE75" s="30"/>
      <c r="AF75" s="30"/>
      <c r="AG75" s="30"/>
      <c r="AH75" s="30" t="s">
        <v>4714</v>
      </c>
      <c r="AI75" s="30" t="s">
        <v>9433</v>
      </c>
      <c r="AJ75" s="641" t="str">
        <f t="shared" si="2"/>
        <v>251401</v>
      </c>
      <c r="AK75" s="641">
        <v>1</v>
      </c>
      <c r="AL75" s="641">
        <f t="shared" si="3"/>
        <v>1</v>
      </c>
      <c r="AM75" s="641">
        <v>1</v>
      </c>
      <c r="AN75" s="30" t="s">
        <v>17650</v>
      </c>
      <c r="AO75" s="30" t="s">
        <v>17651</v>
      </c>
      <c r="AP75" s="30" t="s">
        <v>17652</v>
      </c>
      <c r="AQ75" s="30" t="s">
        <v>17653</v>
      </c>
      <c r="AR75" s="30" t="s">
        <v>1024</v>
      </c>
      <c r="AS75" s="30">
        <v>1</v>
      </c>
    </row>
    <row r="76" spans="1:45" x14ac:dyDescent="0.25">
      <c r="A76" s="30" t="s">
        <v>716</v>
      </c>
      <c r="B76" s="30" t="s">
        <v>26369</v>
      </c>
      <c r="C76" s="30" t="s">
        <v>24125</v>
      </c>
      <c r="D76" s="139" t="s">
        <v>26052</v>
      </c>
      <c r="E76" s="30" t="s">
        <v>217</v>
      </c>
      <c r="F76" s="30">
        <v>1</v>
      </c>
      <c r="G76" s="30" t="s">
        <v>193</v>
      </c>
      <c r="H76" s="30" t="s">
        <v>194</v>
      </c>
      <c r="I76" s="30" t="s">
        <v>26133</v>
      </c>
      <c r="J76" s="30" t="s">
        <v>210</v>
      </c>
      <c r="K76" s="30" t="s">
        <v>9309</v>
      </c>
      <c r="L76" s="30" t="s">
        <v>6955</v>
      </c>
      <c r="M76" s="30"/>
      <c r="N76" s="30" t="s">
        <v>26381</v>
      </c>
      <c r="O76" s="30" t="s">
        <v>6261</v>
      </c>
      <c r="P76" s="30" t="s">
        <v>26114</v>
      </c>
      <c r="Q76" s="30" t="s">
        <v>25944</v>
      </c>
      <c r="R76" s="30" t="s">
        <v>26115</v>
      </c>
      <c r="S76" s="30" t="s">
        <v>26382</v>
      </c>
      <c r="T76" s="30" t="s">
        <v>26383</v>
      </c>
      <c r="U76" s="30"/>
      <c r="V76" s="30">
        <v>1863</v>
      </c>
      <c r="W76" s="30" t="s">
        <v>24129</v>
      </c>
      <c r="X76" s="30" t="s">
        <v>194</v>
      </c>
      <c r="Y76" s="30" t="s">
        <v>9300</v>
      </c>
      <c r="Z76" s="30"/>
      <c r="AA76" s="30"/>
      <c r="AB76" s="30" t="s">
        <v>9311</v>
      </c>
      <c r="AC76" s="30"/>
      <c r="AD76" s="30"/>
      <c r="AE76" s="30"/>
      <c r="AF76" s="30"/>
      <c r="AG76" s="30"/>
      <c r="AH76" s="30" t="s">
        <v>4714</v>
      </c>
      <c r="AI76" s="30" t="s">
        <v>9433</v>
      </c>
      <c r="AJ76" s="641" t="str">
        <f t="shared" si="2"/>
        <v>351401</v>
      </c>
      <c r="AK76" s="641">
        <v>1</v>
      </c>
      <c r="AL76" s="641">
        <f t="shared" si="3"/>
        <v>1</v>
      </c>
      <c r="AM76" s="641">
        <v>1</v>
      </c>
      <c r="AN76" s="30" t="s">
        <v>17650</v>
      </c>
      <c r="AO76" s="30" t="s">
        <v>17651</v>
      </c>
      <c r="AP76" s="30" t="s">
        <v>17652</v>
      </c>
      <c r="AQ76" s="30" t="s">
        <v>17653</v>
      </c>
      <c r="AR76" s="30" t="s">
        <v>1024</v>
      </c>
      <c r="AS76" s="30">
        <v>1</v>
      </c>
    </row>
    <row r="77" spans="1:45" x14ac:dyDescent="0.25">
      <c r="A77" s="30" t="s">
        <v>26089</v>
      </c>
      <c r="B77" s="30" t="s">
        <v>26384</v>
      </c>
      <c r="C77" s="30" t="s">
        <v>114</v>
      </c>
      <c r="D77" s="139" t="s">
        <v>26052</v>
      </c>
      <c r="E77" s="30" t="s">
        <v>217</v>
      </c>
      <c r="F77" s="30">
        <v>1</v>
      </c>
      <c r="G77" s="30" t="s">
        <v>193</v>
      </c>
      <c r="H77" s="30" t="s">
        <v>194</v>
      </c>
      <c r="I77" s="30" t="s">
        <v>26060</v>
      </c>
      <c r="J77" s="30" t="s">
        <v>210</v>
      </c>
      <c r="K77" s="30" t="s">
        <v>9309</v>
      </c>
      <c r="L77" s="30" t="s">
        <v>6955</v>
      </c>
      <c r="M77" s="30"/>
      <c r="N77" s="30" t="s">
        <v>26385</v>
      </c>
      <c r="O77" s="30" t="s">
        <v>6269</v>
      </c>
      <c r="P77" s="30" t="s">
        <v>26084</v>
      </c>
      <c r="Q77" s="30" t="s">
        <v>26159</v>
      </c>
      <c r="R77" s="30" t="s">
        <v>26160</v>
      </c>
      <c r="S77" s="30" t="s">
        <v>26386</v>
      </c>
      <c r="T77" s="30" t="s">
        <v>26387</v>
      </c>
      <c r="U77" s="30"/>
      <c r="V77" s="30">
        <v>1863</v>
      </c>
      <c r="W77" s="30" t="s">
        <v>1166</v>
      </c>
      <c r="X77" s="30" t="s">
        <v>194</v>
      </c>
      <c r="Y77" s="30" t="s">
        <v>9300</v>
      </c>
      <c r="Z77" s="30"/>
      <c r="AA77" s="30"/>
      <c r="AB77" s="30" t="s">
        <v>9311</v>
      </c>
      <c r="AC77" s="30"/>
      <c r="AD77" s="30"/>
      <c r="AE77" s="30"/>
      <c r="AF77" s="30"/>
      <c r="AG77" s="30"/>
      <c r="AH77" s="30" t="s">
        <v>4714</v>
      </c>
      <c r="AI77" s="30" t="s">
        <v>9433</v>
      </c>
      <c r="AJ77" s="641" t="str">
        <f t="shared" si="2"/>
        <v>432102</v>
      </c>
      <c r="AK77" s="641">
        <v>1</v>
      </c>
      <c r="AL77" s="641">
        <f t="shared" si="3"/>
        <v>1</v>
      </c>
      <c r="AM77" s="641">
        <v>1</v>
      </c>
      <c r="AN77" s="30" t="s">
        <v>17650</v>
      </c>
      <c r="AO77" s="30" t="s">
        <v>17651</v>
      </c>
      <c r="AP77" s="30" t="s">
        <v>17652</v>
      </c>
      <c r="AQ77" s="30" t="s">
        <v>17653</v>
      </c>
      <c r="AR77" s="30" t="s">
        <v>1024</v>
      </c>
      <c r="AS77" s="30">
        <v>1</v>
      </c>
    </row>
    <row r="78" spans="1:45" x14ac:dyDescent="0.25">
      <c r="A78" s="30" t="s">
        <v>15464</v>
      </c>
      <c r="B78" s="30" t="s">
        <v>16319</v>
      </c>
      <c r="C78" s="30" t="s">
        <v>17</v>
      </c>
      <c r="D78" s="139" t="s">
        <v>26052</v>
      </c>
      <c r="E78" s="30" t="s">
        <v>217</v>
      </c>
      <c r="F78" s="30">
        <v>1</v>
      </c>
      <c r="G78" s="30" t="s">
        <v>193</v>
      </c>
      <c r="H78" s="30" t="s">
        <v>194</v>
      </c>
      <c r="I78" s="30" t="s">
        <v>26053</v>
      </c>
      <c r="J78" s="30" t="s">
        <v>210</v>
      </c>
      <c r="K78" s="30" t="s">
        <v>9309</v>
      </c>
      <c r="L78" s="30" t="s">
        <v>6955</v>
      </c>
      <c r="M78" s="30"/>
      <c r="N78" s="30" t="s">
        <v>22191</v>
      </c>
      <c r="O78" s="30" t="s">
        <v>6269</v>
      </c>
      <c r="P78" s="30" t="s">
        <v>26114</v>
      </c>
      <c r="Q78" s="30" t="s">
        <v>26027</v>
      </c>
      <c r="R78" s="30" t="s">
        <v>26115</v>
      </c>
      <c r="S78" s="30" t="s">
        <v>26388</v>
      </c>
      <c r="T78" s="30" t="s">
        <v>26389</v>
      </c>
      <c r="U78" s="30"/>
      <c r="V78" s="30">
        <v>1863</v>
      </c>
      <c r="W78" s="30" t="s">
        <v>624</v>
      </c>
      <c r="X78" s="30" t="s">
        <v>194</v>
      </c>
      <c r="Y78" s="30" t="s">
        <v>9300</v>
      </c>
      <c r="Z78" s="30"/>
      <c r="AA78" s="30"/>
      <c r="AB78" s="30" t="s">
        <v>9311</v>
      </c>
      <c r="AC78" s="30"/>
      <c r="AD78" s="30"/>
      <c r="AE78" s="30"/>
      <c r="AF78" s="30"/>
      <c r="AG78" s="30"/>
      <c r="AH78" s="30" t="s">
        <v>4714</v>
      </c>
      <c r="AI78" s="30" t="s">
        <v>9433</v>
      </c>
      <c r="AJ78" s="641" t="str">
        <f t="shared" si="2"/>
        <v>332203</v>
      </c>
      <c r="AK78" s="641">
        <v>1</v>
      </c>
      <c r="AL78" s="641">
        <f t="shared" si="3"/>
        <v>1</v>
      </c>
      <c r="AM78" s="641">
        <v>1</v>
      </c>
      <c r="AN78" s="30" t="s">
        <v>17650</v>
      </c>
      <c r="AO78" s="30" t="s">
        <v>17651</v>
      </c>
      <c r="AP78" s="30" t="s">
        <v>17652</v>
      </c>
      <c r="AQ78" s="30" t="s">
        <v>17653</v>
      </c>
      <c r="AR78" s="30" t="s">
        <v>1024</v>
      </c>
      <c r="AS78" s="30">
        <v>1</v>
      </c>
    </row>
    <row r="79" spans="1:45" x14ac:dyDescent="0.25">
      <c r="A79" s="30" t="s">
        <v>26153</v>
      </c>
      <c r="B79" s="30" t="s">
        <v>26390</v>
      </c>
      <c r="C79" s="30" t="s">
        <v>10</v>
      </c>
      <c r="D79" s="139" t="s">
        <v>26052</v>
      </c>
      <c r="E79" s="30" t="s">
        <v>217</v>
      </c>
      <c r="F79" s="30">
        <v>1</v>
      </c>
      <c r="G79" s="30" t="s">
        <v>193</v>
      </c>
      <c r="H79" s="30" t="s">
        <v>194</v>
      </c>
      <c r="I79" s="30" t="s">
        <v>26053</v>
      </c>
      <c r="J79" s="30" t="s">
        <v>210</v>
      </c>
      <c r="K79" s="30" t="s">
        <v>9309</v>
      </c>
      <c r="L79" s="30" t="s">
        <v>6955</v>
      </c>
      <c r="M79" s="30"/>
      <c r="N79" s="30" t="s">
        <v>26391</v>
      </c>
      <c r="O79" s="30" t="s">
        <v>6261</v>
      </c>
      <c r="P79" s="30" t="s">
        <v>26084</v>
      </c>
      <c r="Q79" s="30" t="s">
        <v>25478</v>
      </c>
      <c r="R79" s="30" t="s">
        <v>26139</v>
      </c>
      <c r="S79" s="30" t="s">
        <v>26392</v>
      </c>
      <c r="T79" s="30" t="s">
        <v>26393</v>
      </c>
      <c r="U79" s="30"/>
      <c r="V79" s="30">
        <v>1863</v>
      </c>
      <c r="W79" s="30" t="s">
        <v>484</v>
      </c>
      <c r="X79" s="30" t="s">
        <v>194</v>
      </c>
      <c r="Y79" s="30" t="s">
        <v>9300</v>
      </c>
      <c r="Z79" s="30"/>
      <c r="AA79" s="30"/>
      <c r="AB79" s="30" t="s">
        <v>9311</v>
      </c>
      <c r="AC79" s="30"/>
      <c r="AD79" s="30"/>
      <c r="AE79" s="30"/>
      <c r="AF79" s="30"/>
      <c r="AG79" s="30"/>
      <c r="AH79" s="30" t="s">
        <v>4714</v>
      </c>
      <c r="AI79" s="30" t="s">
        <v>9433</v>
      </c>
      <c r="AJ79" s="641" t="str">
        <f t="shared" si="2"/>
        <v>251401</v>
      </c>
      <c r="AK79" s="641">
        <v>1</v>
      </c>
      <c r="AL79" s="641">
        <f t="shared" si="3"/>
        <v>1</v>
      </c>
      <c r="AM79" s="641">
        <v>1</v>
      </c>
      <c r="AN79" s="30" t="s">
        <v>17650</v>
      </c>
      <c r="AO79" s="30" t="s">
        <v>17651</v>
      </c>
      <c r="AP79" s="30" t="s">
        <v>17652</v>
      </c>
      <c r="AQ79" s="30" t="s">
        <v>17653</v>
      </c>
      <c r="AR79" s="30" t="s">
        <v>1024</v>
      </c>
      <c r="AS79" s="30">
        <v>1</v>
      </c>
    </row>
    <row r="80" spans="1:45" x14ac:dyDescent="0.25">
      <c r="A80" s="30" t="s">
        <v>716</v>
      </c>
      <c r="B80" s="30" t="s">
        <v>26365</v>
      </c>
      <c r="C80" s="30" t="s">
        <v>26180</v>
      </c>
      <c r="D80" s="139" t="s">
        <v>26052</v>
      </c>
      <c r="E80" s="30" t="s">
        <v>217</v>
      </c>
      <c r="F80" s="30">
        <v>1</v>
      </c>
      <c r="G80" s="30" t="s">
        <v>193</v>
      </c>
      <c r="H80" s="30" t="s">
        <v>194</v>
      </c>
      <c r="I80" s="30" t="s">
        <v>26053</v>
      </c>
      <c r="J80" s="30" t="s">
        <v>210</v>
      </c>
      <c r="K80" s="30" t="s">
        <v>9309</v>
      </c>
      <c r="L80" s="30" t="s">
        <v>6955</v>
      </c>
      <c r="M80" s="30"/>
      <c r="N80" s="30" t="s">
        <v>26394</v>
      </c>
      <c r="O80" s="30" t="s">
        <v>6251</v>
      </c>
      <c r="P80" s="30" t="s">
        <v>26084</v>
      </c>
      <c r="Q80" s="30" t="s">
        <v>26241</v>
      </c>
      <c r="R80" s="30" t="s">
        <v>26242</v>
      </c>
      <c r="S80" s="30" t="s">
        <v>26395</v>
      </c>
      <c r="T80" s="30" t="s">
        <v>26396</v>
      </c>
      <c r="U80" s="30"/>
      <c r="V80" s="30">
        <v>1863</v>
      </c>
      <c r="W80" s="30" t="s">
        <v>26186</v>
      </c>
      <c r="X80" s="30" t="s">
        <v>194</v>
      </c>
      <c r="Y80" s="30" t="s">
        <v>9300</v>
      </c>
      <c r="Z80" s="30"/>
      <c r="AA80" s="30"/>
      <c r="AB80" s="30" t="s">
        <v>9311</v>
      </c>
      <c r="AC80" s="30"/>
      <c r="AD80" s="30"/>
      <c r="AE80" s="30"/>
      <c r="AF80" s="30"/>
      <c r="AG80" s="30"/>
      <c r="AH80" s="30" t="s">
        <v>4714</v>
      </c>
      <c r="AI80" s="30" t="s">
        <v>9433</v>
      </c>
      <c r="AJ80" s="641" t="str">
        <f t="shared" si="2"/>
        <v>421108</v>
      </c>
      <c r="AK80" s="641">
        <v>1</v>
      </c>
      <c r="AL80" s="641">
        <f t="shared" si="3"/>
        <v>1</v>
      </c>
      <c r="AM80" s="641">
        <v>1</v>
      </c>
      <c r="AN80" s="30" t="s">
        <v>17650</v>
      </c>
      <c r="AO80" s="30" t="s">
        <v>17651</v>
      </c>
      <c r="AP80" s="30" t="s">
        <v>17652</v>
      </c>
      <c r="AQ80" s="30" t="s">
        <v>17653</v>
      </c>
      <c r="AR80" s="30" t="s">
        <v>1024</v>
      </c>
      <c r="AS80" s="30">
        <v>1</v>
      </c>
    </row>
    <row r="81" spans="1:45" x14ac:dyDescent="0.25">
      <c r="A81" s="30" t="s">
        <v>23203</v>
      </c>
      <c r="B81" s="30" t="s">
        <v>26397</v>
      </c>
      <c r="C81" s="30" t="s">
        <v>84</v>
      </c>
      <c r="D81" s="139" t="s">
        <v>26052</v>
      </c>
      <c r="E81" s="30" t="s">
        <v>217</v>
      </c>
      <c r="F81" s="30">
        <v>1</v>
      </c>
      <c r="G81" s="30" t="s">
        <v>193</v>
      </c>
      <c r="H81" s="30" t="s">
        <v>194</v>
      </c>
      <c r="I81" s="30" t="s">
        <v>26143</v>
      </c>
      <c r="J81" s="30" t="s">
        <v>316</v>
      </c>
      <c r="K81" s="30" t="s">
        <v>9309</v>
      </c>
      <c r="L81" s="30" t="s">
        <v>6955</v>
      </c>
      <c r="M81" s="30"/>
      <c r="N81" s="30" t="s">
        <v>26398</v>
      </c>
      <c r="O81" s="30" t="s">
        <v>6269</v>
      </c>
      <c r="P81" s="30" t="s">
        <v>26114</v>
      </c>
      <c r="Q81" s="30" t="s">
        <v>25944</v>
      </c>
      <c r="R81" s="30" t="s">
        <v>26115</v>
      </c>
      <c r="S81" s="30" t="s">
        <v>26399</v>
      </c>
      <c r="T81" s="30" t="s">
        <v>26400</v>
      </c>
      <c r="U81" s="30"/>
      <c r="V81" s="30">
        <v>1818</v>
      </c>
      <c r="W81" s="30" t="s">
        <v>2665</v>
      </c>
      <c r="X81" s="30" t="s">
        <v>194</v>
      </c>
      <c r="Y81" s="30" t="s">
        <v>9300</v>
      </c>
      <c r="Z81" s="30"/>
      <c r="AA81" s="30"/>
      <c r="AB81" s="30" t="s">
        <v>9311</v>
      </c>
      <c r="AC81" s="30"/>
      <c r="AD81" s="30"/>
      <c r="AE81" s="30"/>
      <c r="AF81" s="30"/>
      <c r="AG81" s="30"/>
      <c r="AH81" s="30" t="s">
        <v>4714</v>
      </c>
      <c r="AI81" s="30" t="s">
        <v>9433</v>
      </c>
      <c r="AJ81" s="641" t="str">
        <f t="shared" si="2"/>
        <v>541315</v>
      </c>
      <c r="AK81" s="641">
        <v>1</v>
      </c>
      <c r="AL81" s="641">
        <f t="shared" si="3"/>
        <v>1</v>
      </c>
      <c r="AM81" s="641">
        <v>1</v>
      </c>
      <c r="AN81" s="30" t="s">
        <v>17650</v>
      </c>
      <c r="AO81" s="30" t="s">
        <v>17651</v>
      </c>
      <c r="AP81" s="30" t="s">
        <v>17652</v>
      </c>
      <c r="AQ81" s="30" t="s">
        <v>17653</v>
      </c>
      <c r="AR81" s="30" t="s">
        <v>1024</v>
      </c>
      <c r="AS81" s="30">
        <v>1</v>
      </c>
    </row>
    <row r="82" spans="1:45" x14ac:dyDescent="0.25">
      <c r="A82" s="30" t="s">
        <v>716</v>
      </c>
      <c r="B82" s="30" t="s">
        <v>26106</v>
      </c>
      <c r="C82" s="30" t="s">
        <v>153</v>
      </c>
      <c r="D82" s="139" t="s">
        <v>26052</v>
      </c>
      <c r="E82" s="30" t="s">
        <v>217</v>
      </c>
      <c r="F82" s="30">
        <v>1</v>
      </c>
      <c r="G82" s="30" t="s">
        <v>193</v>
      </c>
      <c r="H82" s="30" t="s">
        <v>194</v>
      </c>
      <c r="I82" s="30" t="s">
        <v>26053</v>
      </c>
      <c r="J82" s="30" t="s">
        <v>210</v>
      </c>
      <c r="K82" s="30" t="s">
        <v>9309</v>
      </c>
      <c r="L82" s="30" t="s">
        <v>6955</v>
      </c>
      <c r="M82" s="30"/>
      <c r="N82" s="30" t="s">
        <v>26401</v>
      </c>
      <c r="O82" s="30" t="s">
        <v>6290</v>
      </c>
      <c r="P82" s="30" t="s">
        <v>26084</v>
      </c>
      <c r="Q82" s="30" t="s">
        <v>26085</v>
      </c>
      <c r="R82" s="30" t="s">
        <v>26057</v>
      </c>
      <c r="S82" s="30" t="s">
        <v>26402</v>
      </c>
      <c r="T82" s="30" t="s">
        <v>26403</v>
      </c>
      <c r="U82" s="30"/>
      <c r="V82" s="30">
        <v>1863</v>
      </c>
      <c r="W82" s="30" t="s">
        <v>2293</v>
      </c>
      <c r="X82" s="30" t="s">
        <v>194</v>
      </c>
      <c r="Y82" s="30" t="s">
        <v>9300</v>
      </c>
      <c r="Z82" s="30"/>
      <c r="AA82" s="30"/>
      <c r="AB82" s="30" t="s">
        <v>9311</v>
      </c>
      <c r="AC82" s="30"/>
      <c r="AD82" s="30"/>
      <c r="AE82" s="30"/>
      <c r="AF82" s="30"/>
      <c r="AG82" s="30"/>
      <c r="AH82" s="30" t="s">
        <v>4714</v>
      </c>
      <c r="AI82" s="30" t="s">
        <v>9433</v>
      </c>
      <c r="AJ82" s="641" t="str">
        <f t="shared" si="2"/>
        <v>333903</v>
      </c>
      <c r="AK82" s="641">
        <v>1</v>
      </c>
      <c r="AL82" s="641">
        <f t="shared" si="3"/>
        <v>1</v>
      </c>
      <c r="AM82" s="641">
        <v>1</v>
      </c>
      <c r="AN82" s="30" t="s">
        <v>17650</v>
      </c>
      <c r="AO82" s="30" t="s">
        <v>17651</v>
      </c>
      <c r="AP82" s="30" t="s">
        <v>17652</v>
      </c>
      <c r="AQ82" s="30" t="s">
        <v>17653</v>
      </c>
      <c r="AR82" s="30" t="s">
        <v>1024</v>
      </c>
      <c r="AS82" s="30">
        <v>1</v>
      </c>
    </row>
    <row r="83" spans="1:45" x14ac:dyDescent="0.25">
      <c r="A83" s="30" t="s">
        <v>581</v>
      </c>
      <c r="B83" s="30" t="s">
        <v>22332</v>
      </c>
      <c r="C83" s="30" t="s">
        <v>83</v>
      </c>
      <c r="D83" s="139" t="s">
        <v>26052</v>
      </c>
      <c r="E83" s="30" t="s">
        <v>217</v>
      </c>
      <c r="F83" s="30">
        <v>1</v>
      </c>
      <c r="G83" s="30" t="s">
        <v>193</v>
      </c>
      <c r="H83" s="30" t="s">
        <v>194</v>
      </c>
      <c r="I83" s="30" t="s">
        <v>26143</v>
      </c>
      <c r="J83" s="30" t="s">
        <v>253</v>
      </c>
      <c r="K83" s="30" t="s">
        <v>9309</v>
      </c>
      <c r="L83" s="30" t="s">
        <v>6955</v>
      </c>
      <c r="M83" s="30"/>
      <c r="N83" s="30" t="s">
        <v>26404</v>
      </c>
      <c r="O83" s="30" t="s">
        <v>6258</v>
      </c>
      <c r="P83" s="30" t="s">
        <v>26084</v>
      </c>
      <c r="Q83" s="30" t="s">
        <v>26182</v>
      </c>
      <c r="R83" s="30" t="s">
        <v>24551</v>
      </c>
      <c r="S83" s="30" t="s">
        <v>26405</v>
      </c>
      <c r="T83" s="30" t="s">
        <v>26406</v>
      </c>
      <c r="U83" s="30"/>
      <c r="V83" s="30">
        <v>1811</v>
      </c>
      <c r="W83" s="30" t="s">
        <v>791</v>
      </c>
      <c r="X83" s="30" t="s">
        <v>194</v>
      </c>
      <c r="Y83" s="30" t="s">
        <v>9300</v>
      </c>
      <c r="Z83" s="30"/>
      <c r="AA83" s="30"/>
      <c r="AB83" s="30" t="s">
        <v>9311</v>
      </c>
      <c r="AC83" s="30"/>
      <c r="AD83" s="30"/>
      <c r="AE83" s="30"/>
      <c r="AF83" s="30"/>
      <c r="AG83" s="30"/>
      <c r="AH83" s="30" t="s">
        <v>4714</v>
      </c>
      <c r="AI83" s="30" t="s">
        <v>9433</v>
      </c>
      <c r="AJ83" s="641" t="str">
        <f t="shared" si="2"/>
        <v>721204</v>
      </c>
      <c r="AK83" s="641">
        <v>1</v>
      </c>
      <c r="AL83" s="641">
        <f t="shared" si="3"/>
        <v>1</v>
      </c>
      <c r="AM83" s="641">
        <v>1</v>
      </c>
      <c r="AN83" s="30" t="s">
        <v>17650</v>
      </c>
      <c r="AO83" s="30" t="s">
        <v>17651</v>
      </c>
      <c r="AP83" s="30" t="s">
        <v>17652</v>
      </c>
      <c r="AQ83" s="30" t="s">
        <v>17653</v>
      </c>
      <c r="AR83" s="30" t="s">
        <v>1024</v>
      </c>
      <c r="AS83" s="30">
        <v>1</v>
      </c>
    </row>
    <row r="84" spans="1:45" x14ac:dyDescent="0.25">
      <c r="A84" s="30" t="s">
        <v>26089</v>
      </c>
      <c r="B84" s="30" t="s">
        <v>26407</v>
      </c>
      <c r="C84" s="30" t="s">
        <v>10</v>
      </c>
      <c r="D84" s="139" t="s">
        <v>26052</v>
      </c>
      <c r="E84" s="30" t="s">
        <v>217</v>
      </c>
      <c r="F84" s="30">
        <v>1</v>
      </c>
      <c r="G84" s="30" t="s">
        <v>193</v>
      </c>
      <c r="H84" s="30" t="s">
        <v>194</v>
      </c>
      <c r="I84" s="30" t="s">
        <v>23198</v>
      </c>
      <c r="J84" s="30" t="s">
        <v>210</v>
      </c>
      <c r="K84" s="30" t="s">
        <v>9309</v>
      </c>
      <c r="L84" s="30" t="s">
        <v>6955</v>
      </c>
      <c r="M84" s="30"/>
      <c r="N84" s="30" t="s">
        <v>26408</v>
      </c>
      <c r="O84" s="30" t="s">
        <v>6261</v>
      </c>
      <c r="P84" s="30" t="s">
        <v>26084</v>
      </c>
      <c r="Q84" s="30" t="s">
        <v>26150</v>
      </c>
      <c r="R84" s="30" t="s">
        <v>23804</v>
      </c>
      <c r="S84" s="30" t="s">
        <v>26409</v>
      </c>
      <c r="T84" s="30" t="s">
        <v>26410</v>
      </c>
      <c r="U84" s="30"/>
      <c r="V84" s="30">
        <v>1863</v>
      </c>
      <c r="W84" s="30" t="s">
        <v>484</v>
      </c>
      <c r="X84" s="30" t="s">
        <v>194</v>
      </c>
      <c r="Y84" s="30" t="s">
        <v>9300</v>
      </c>
      <c r="Z84" s="30"/>
      <c r="AA84" s="30"/>
      <c r="AB84" s="30" t="s">
        <v>9311</v>
      </c>
      <c r="AC84" s="30"/>
      <c r="AD84" s="30"/>
      <c r="AE84" s="30"/>
      <c r="AF84" s="30"/>
      <c r="AG84" s="30"/>
      <c r="AH84" s="30" t="s">
        <v>4714</v>
      </c>
      <c r="AI84" s="30" t="s">
        <v>9433</v>
      </c>
      <c r="AJ84" s="641" t="str">
        <f t="shared" si="2"/>
        <v>251401</v>
      </c>
      <c r="AK84" s="641">
        <v>1</v>
      </c>
      <c r="AL84" s="641">
        <f t="shared" si="3"/>
        <v>1</v>
      </c>
      <c r="AM84" s="641">
        <v>1</v>
      </c>
      <c r="AN84" s="30" t="s">
        <v>17650</v>
      </c>
      <c r="AO84" s="30" t="s">
        <v>17651</v>
      </c>
      <c r="AP84" s="30" t="s">
        <v>17652</v>
      </c>
      <c r="AQ84" s="30" t="s">
        <v>17653</v>
      </c>
      <c r="AR84" s="30" t="s">
        <v>1024</v>
      </c>
      <c r="AS84" s="30">
        <v>1</v>
      </c>
    </row>
    <row r="85" spans="1:45" x14ac:dyDescent="0.25">
      <c r="A85" s="30" t="s">
        <v>26153</v>
      </c>
      <c r="B85" s="30" t="s">
        <v>1419</v>
      </c>
      <c r="C85" s="30" t="s">
        <v>10</v>
      </c>
      <c r="D85" s="139" t="s">
        <v>26052</v>
      </c>
      <c r="E85" s="30" t="s">
        <v>217</v>
      </c>
      <c r="F85" s="30">
        <v>1</v>
      </c>
      <c r="G85" s="30" t="s">
        <v>193</v>
      </c>
      <c r="H85" s="30" t="s">
        <v>194</v>
      </c>
      <c r="I85" s="30" t="s">
        <v>26053</v>
      </c>
      <c r="J85" s="30" t="s">
        <v>210</v>
      </c>
      <c r="K85" s="30" t="s">
        <v>9309</v>
      </c>
      <c r="L85" s="30" t="s">
        <v>6955</v>
      </c>
      <c r="M85" s="30"/>
      <c r="N85" s="30" t="s">
        <v>26411</v>
      </c>
      <c r="O85" s="30" t="s">
        <v>6261</v>
      </c>
      <c r="P85" s="30" t="s">
        <v>26084</v>
      </c>
      <c r="Q85" s="30" t="s">
        <v>26103</v>
      </c>
      <c r="R85" s="30" t="s">
        <v>26079</v>
      </c>
      <c r="S85" s="30" t="s">
        <v>26412</v>
      </c>
      <c r="T85" s="30" t="s">
        <v>26413</v>
      </c>
      <c r="U85" s="30"/>
      <c r="V85" s="30">
        <v>1863</v>
      </c>
      <c r="W85" s="30" t="s">
        <v>484</v>
      </c>
      <c r="X85" s="30" t="s">
        <v>194</v>
      </c>
      <c r="Y85" s="30" t="s">
        <v>9300</v>
      </c>
      <c r="Z85" s="30"/>
      <c r="AA85" s="30"/>
      <c r="AB85" s="30" t="s">
        <v>9311</v>
      </c>
      <c r="AC85" s="30"/>
      <c r="AD85" s="30"/>
      <c r="AE85" s="30"/>
      <c r="AF85" s="30"/>
      <c r="AG85" s="30"/>
      <c r="AH85" s="30" t="s">
        <v>4714</v>
      </c>
      <c r="AI85" s="30" t="s">
        <v>9433</v>
      </c>
      <c r="AJ85" s="641" t="str">
        <f t="shared" si="2"/>
        <v>251401</v>
      </c>
      <c r="AK85" s="641">
        <v>1</v>
      </c>
      <c r="AL85" s="641">
        <f t="shared" si="3"/>
        <v>1</v>
      </c>
      <c r="AM85" s="641">
        <v>1</v>
      </c>
      <c r="AN85" s="30" t="s">
        <v>17650</v>
      </c>
      <c r="AO85" s="30" t="s">
        <v>17651</v>
      </c>
      <c r="AP85" s="30" t="s">
        <v>17652</v>
      </c>
      <c r="AQ85" s="30" t="s">
        <v>17653</v>
      </c>
      <c r="AR85" s="30" t="s">
        <v>1024</v>
      </c>
      <c r="AS85" s="30">
        <v>1</v>
      </c>
    </row>
    <row r="86" spans="1:45" x14ac:dyDescent="0.25">
      <c r="A86" s="30" t="s">
        <v>26089</v>
      </c>
      <c r="B86" s="30" t="s">
        <v>26414</v>
      </c>
      <c r="C86" s="30" t="s">
        <v>36</v>
      </c>
      <c r="D86" s="139" t="s">
        <v>26052</v>
      </c>
      <c r="E86" s="30" t="s">
        <v>217</v>
      </c>
      <c r="F86" s="30">
        <v>1</v>
      </c>
      <c r="G86" s="30" t="s">
        <v>193</v>
      </c>
      <c r="H86" s="30" t="s">
        <v>194</v>
      </c>
      <c r="I86" s="30" t="s">
        <v>26060</v>
      </c>
      <c r="J86" s="30" t="s">
        <v>210</v>
      </c>
      <c r="K86" s="30" t="s">
        <v>9309</v>
      </c>
      <c r="L86" s="30" t="s">
        <v>6955</v>
      </c>
      <c r="M86" s="30"/>
      <c r="N86" s="30" t="s">
        <v>26415</v>
      </c>
      <c r="O86" s="30" t="s">
        <v>7120</v>
      </c>
      <c r="P86" s="30" t="s">
        <v>26084</v>
      </c>
      <c r="Q86" s="30" t="s">
        <v>26120</v>
      </c>
      <c r="R86" s="30" t="s">
        <v>24551</v>
      </c>
      <c r="S86" s="30" t="s">
        <v>26416</v>
      </c>
      <c r="T86" s="30" t="s">
        <v>26417</v>
      </c>
      <c r="U86" s="30"/>
      <c r="V86" s="30">
        <v>1863</v>
      </c>
      <c r="W86" s="30" t="s">
        <v>609</v>
      </c>
      <c r="X86" s="30" t="s">
        <v>194</v>
      </c>
      <c r="Y86" s="30" t="s">
        <v>9300</v>
      </c>
      <c r="Z86" s="30"/>
      <c r="AA86" s="30"/>
      <c r="AB86" s="30" t="s">
        <v>9311</v>
      </c>
      <c r="AC86" s="30"/>
      <c r="AD86" s="30"/>
      <c r="AE86" s="30"/>
      <c r="AF86" s="30"/>
      <c r="AG86" s="30"/>
      <c r="AH86" s="30" t="s">
        <v>4714</v>
      </c>
      <c r="AI86" s="30" t="s">
        <v>9433</v>
      </c>
      <c r="AJ86" s="641" t="str">
        <f t="shared" si="2"/>
        <v>331301</v>
      </c>
      <c r="AK86" s="641">
        <v>1</v>
      </c>
      <c r="AL86" s="641">
        <f t="shared" si="3"/>
        <v>1</v>
      </c>
      <c r="AM86" s="641">
        <v>1</v>
      </c>
      <c r="AN86" s="30" t="s">
        <v>17650</v>
      </c>
      <c r="AO86" s="30" t="s">
        <v>17651</v>
      </c>
      <c r="AP86" s="30" t="s">
        <v>17652</v>
      </c>
      <c r="AQ86" s="30" t="s">
        <v>17653</v>
      </c>
      <c r="AR86" s="30" t="s">
        <v>1024</v>
      </c>
      <c r="AS86" s="30">
        <v>1</v>
      </c>
    </row>
    <row r="87" spans="1:45" x14ac:dyDescent="0.25">
      <c r="A87" s="30" t="s">
        <v>26089</v>
      </c>
      <c r="B87" s="30" t="s">
        <v>26090</v>
      </c>
      <c r="C87" s="30" t="s">
        <v>36</v>
      </c>
      <c r="D87" s="139" t="s">
        <v>26052</v>
      </c>
      <c r="E87" s="30" t="s">
        <v>217</v>
      </c>
      <c r="F87" s="30">
        <v>1</v>
      </c>
      <c r="G87" s="30" t="s">
        <v>193</v>
      </c>
      <c r="H87" s="30" t="s">
        <v>194</v>
      </c>
      <c r="I87" s="30" t="s">
        <v>26053</v>
      </c>
      <c r="J87" s="30" t="s">
        <v>4751</v>
      </c>
      <c r="K87" s="30" t="s">
        <v>9309</v>
      </c>
      <c r="L87" s="30" t="s">
        <v>6955</v>
      </c>
      <c r="M87" s="30"/>
      <c r="N87" s="30" t="s">
        <v>26418</v>
      </c>
      <c r="O87" s="30" t="s">
        <v>7120</v>
      </c>
      <c r="P87" s="30" t="s">
        <v>26084</v>
      </c>
      <c r="Q87" s="30" t="s">
        <v>26159</v>
      </c>
      <c r="R87" s="30" t="s">
        <v>26160</v>
      </c>
      <c r="S87" s="30" t="s">
        <v>26419</v>
      </c>
      <c r="T87" s="30" t="s">
        <v>26420</v>
      </c>
      <c r="U87" s="30"/>
      <c r="V87" s="30">
        <v>1862</v>
      </c>
      <c r="W87" s="30" t="s">
        <v>609</v>
      </c>
      <c r="X87" s="30" t="s">
        <v>194</v>
      </c>
      <c r="Y87" s="30" t="s">
        <v>9300</v>
      </c>
      <c r="Z87" s="30"/>
      <c r="AA87" s="30"/>
      <c r="AB87" s="30" t="s">
        <v>9311</v>
      </c>
      <c r="AC87" s="30"/>
      <c r="AD87" s="30"/>
      <c r="AE87" s="30"/>
      <c r="AF87" s="30"/>
      <c r="AG87" s="30"/>
      <c r="AH87" s="30" t="s">
        <v>4714</v>
      </c>
      <c r="AI87" s="30" t="s">
        <v>9433</v>
      </c>
      <c r="AJ87" s="641" t="str">
        <f t="shared" si="2"/>
        <v>331301</v>
      </c>
      <c r="AK87" s="641">
        <v>1</v>
      </c>
      <c r="AL87" s="641">
        <f t="shared" si="3"/>
        <v>1</v>
      </c>
      <c r="AM87" s="641">
        <v>1</v>
      </c>
      <c r="AN87" s="30" t="s">
        <v>17650</v>
      </c>
      <c r="AO87" s="30" t="s">
        <v>17651</v>
      </c>
      <c r="AP87" s="30" t="s">
        <v>17652</v>
      </c>
      <c r="AQ87" s="30" t="s">
        <v>17653</v>
      </c>
      <c r="AR87" s="30" t="s">
        <v>1024</v>
      </c>
      <c r="AS87" s="30">
        <v>1</v>
      </c>
    </row>
    <row r="88" spans="1:45" x14ac:dyDescent="0.25">
      <c r="A88" s="30" t="s">
        <v>716</v>
      </c>
      <c r="B88" s="30" t="s">
        <v>26106</v>
      </c>
      <c r="C88" s="30" t="s">
        <v>153</v>
      </c>
      <c r="D88" s="139" t="s">
        <v>26052</v>
      </c>
      <c r="E88" s="30" t="s">
        <v>217</v>
      </c>
      <c r="F88" s="30">
        <v>1</v>
      </c>
      <c r="G88" s="30" t="s">
        <v>193</v>
      </c>
      <c r="H88" s="30" t="s">
        <v>194</v>
      </c>
      <c r="I88" s="30" t="s">
        <v>26053</v>
      </c>
      <c r="J88" s="30" t="s">
        <v>210</v>
      </c>
      <c r="K88" s="30" t="s">
        <v>9309</v>
      </c>
      <c r="L88" s="30" t="s">
        <v>6955</v>
      </c>
      <c r="M88" s="30"/>
      <c r="N88" s="30" t="s">
        <v>26421</v>
      </c>
      <c r="O88" s="30" t="s">
        <v>6290</v>
      </c>
      <c r="P88" s="30" t="s">
        <v>26084</v>
      </c>
      <c r="Q88" s="30" t="s">
        <v>25478</v>
      </c>
      <c r="R88" s="30" t="s">
        <v>26139</v>
      </c>
      <c r="S88" s="30" t="s">
        <v>26422</v>
      </c>
      <c r="T88" s="30" t="s">
        <v>26423</v>
      </c>
      <c r="U88" s="30"/>
      <c r="V88" s="30">
        <v>1863</v>
      </c>
      <c r="W88" s="30" t="s">
        <v>2293</v>
      </c>
      <c r="X88" s="30" t="s">
        <v>194</v>
      </c>
      <c r="Y88" s="30" t="s">
        <v>9300</v>
      </c>
      <c r="Z88" s="30"/>
      <c r="AA88" s="30"/>
      <c r="AB88" s="30" t="s">
        <v>9311</v>
      </c>
      <c r="AC88" s="30"/>
      <c r="AD88" s="30"/>
      <c r="AE88" s="30"/>
      <c r="AF88" s="30"/>
      <c r="AG88" s="30"/>
      <c r="AH88" s="30" t="s">
        <v>4714</v>
      </c>
      <c r="AI88" s="30" t="s">
        <v>9433</v>
      </c>
      <c r="AJ88" s="641" t="str">
        <f t="shared" si="2"/>
        <v>333903</v>
      </c>
      <c r="AK88" s="641">
        <v>1</v>
      </c>
      <c r="AL88" s="641">
        <f t="shared" si="3"/>
        <v>1</v>
      </c>
      <c r="AM88" s="641">
        <v>1</v>
      </c>
      <c r="AN88" s="30" t="s">
        <v>17650</v>
      </c>
      <c r="AO88" s="30" t="s">
        <v>17651</v>
      </c>
      <c r="AP88" s="30" t="s">
        <v>17652</v>
      </c>
      <c r="AQ88" s="30" t="s">
        <v>17653</v>
      </c>
      <c r="AR88" s="30" t="s">
        <v>1024</v>
      </c>
      <c r="AS88" s="30">
        <v>1</v>
      </c>
    </row>
    <row r="89" spans="1:45" x14ac:dyDescent="0.25">
      <c r="A89" s="30" t="s">
        <v>26424</v>
      </c>
      <c r="B89" s="30" t="s">
        <v>26425</v>
      </c>
      <c r="C89" s="30" t="s">
        <v>21</v>
      </c>
      <c r="D89" s="139" t="s">
        <v>26052</v>
      </c>
      <c r="E89" s="30" t="s">
        <v>217</v>
      </c>
      <c r="F89" s="30">
        <v>1</v>
      </c>
      <c r="G89" s="30" t="s">
        <v>193</v>
      </c>
      <c r="H89" s="30" t="s">
        <v>194</v>
      </c>
      <c r="I89" s="30" t="s">
        <v>26133</v>
      </c>
      <c r="J89" s="30" t="s">
        <v>4751</v>
      </c>
      <c r="K89" s="30" t="s">
        <v>9309</v>
      </c>
      <c r="L89" s="30" t="s">
        <v>6955</v>
      </c>
      <c r="M89" s="30"/>
      <c r="N89" s="30" t="s">
        <v>26426</v>
      </c>
      <c r="O89" s="30" t="s">
        <v>6269</v>
      </c>
      <c r="P89" s="30" t="s">
        <v>26114</v>
      </c>
      <c r="Q89" s="30" t="s">
        <v>25965</v>
      </c>
      <c r="R89" s="30" t="s">
        <v>26115</v>
      </c>
      <c r="S89" s="30" t="s">
        <v>26427</v>
      </c>
      <c r="T89" s="30" t="s">
        <v>26428</v>
      </c>
      <c r="U89" s="30"/>
      <c r="V89" s="30">
        <v>1862</v>
      </c>
      <c r="W89" s="30" t="s">
        <v>293</v>
      </c>
      <c r="X89" s="30" t="s">
        <v>194</v>
      </c>
      <c r="Y89" s="30" t="s">
        <v>9300</v>
      </c>
      <c r="Z89" s="30"/>
      <c r="AA89" s="30"/>
      <c r="AB89" s="30" t="s">
        <v>9311</v>
      </c>
      <c r="AC89" s="30"/>
      <c r="AD89" s="30"/>
      <c r="AE89" s="30"/>
      <c r="AF89" s="30"/>
      <c r="AG89" s="30"/>
      <c r="AH89" s="30" t="s">
        <v>4714</v>
      </c>
      <c r="AI89" s="30" t="s">
        <v>9433</v>
      </c>
      <c r="AJ89" s="641" t="str">
        <f t="shared" si="2"/>
        <v>214202</v>
      </c>
      <c r="AK89" s="641">
        <v>1</v>
      </c>
      <c r="AL89" s="641">
        <f t="shared" si="3"/>
        <v>1</v>
      </c>
      <c r="AM89" s="641">
        <v>1</v>
      </c>
      <c r="AN89" s="30" t="s">
        <v>17650</v>
      </c>
      <c r="AO89" s="30" t="s">
        <v>17651</v>
      </c>
      <c r="AP89" s="30" t="s">
        <v>17652</v>
      </c>
      <c r="AQ89" s="30" t="s">
        <v>17653</v>
      </c>
      <c r="AR89" s="30" t="s">
        <v>1024</v>
      </c>
      <c r="AS89" s="30">
        <v>1</v>
      </c>
    </row>
    <row r="90" spans="1:45" x14ac:dyDescent="0.25">
      <c r="A90" s="30" t="s">
        <v>23203</v>
      </c>
      <c r="B90" s="30" t="s">
        <v>26429</v>
      </c>
      <c r="C90" s="30" t="s">
        <v>18783</v>
      </c>
      <c r="D90" s="139" t="s">
        <v>26052</v>
      </c>
      <c r="E90" s="30" t="s">
        <v>217</v>
      </c>
      <c r="F90" s="30">
        <v>1</v>
      </c>
      <c r="G90" s="30" t="s">
        <v>193</v>
      </c>
      <c r="H90" s="30" t="s">
        <v>194</v>
      </c>
      <c r="I90" s="30" t="s">
        <v>26053</v>
      </c>
      <c r="J90" s="30" t="s">
        <v>253</v>
      </c>
      <c r="K90" s="30" t="s">
        <v>9309</v>
      </c>
      <c r="L90" s="30" t="s">
        <v>6955</v>
      </c>
      <c r="M90" s="30"/>
      <c r="N90" s="30" t="s">
        <v>26430</v>
      </c>
      <c r="O90" s="30" t="s">
        <v>6269</v>
      </c>
      <c r="P90" s="30" t="s">
        <v>26114</v>
      </c>
      <c r="Q90" s="30" t="s">
        <v>26027</v>
      </c>
      <c r="R90" s="30" t="s">
        <v>26115</v>
      </c>
      <c r="S90" s="30" t="s">
        <v>26431</v>
      </c>
      <c r="T90" s="30" t="s">
        <v>26432</v>
      </c>
      <c r="U90" s="30"/>
      <c r="V90" s="30">
        <v>1811</v>
      </c>
      <c r="W90" s="30" t="s">
        <v>2538</v>
      </c>
      <c r="X90" s="30" t="s">
        <v>194</v>
      </c>
      <c r="Y90" s="30" t="s">
        <v>9300</v>
      </c>
      <c r="Z90" s="30"/>
      <c r="AA90" s="30"/>
      <c r="AB90" s="30" t="s">
        <v>9311</v>
      </c>
      <c r="AC90" s="30"/>
      <c r="AD90" s="30"/>
      <c r="AE90" s="30"/>
      <c r="AF90" s="30"/>
      <c r="AG90" s="30"/>
      <c r="AH90" s="30" t="s">
        <v>4714</v>
      </c>
      <c r="AI90" s="30" t="s">
        <v>9433</v>
      </c>
      <c r="AJ90" s="641" t="str">
        <f t="shared" si="2"/>
        <v>911207</v>
      </c>
      <c r="AK90" s="641">
        <v>1</v>
      </c>
      <c r="AL90" s="641">
        <f t="shared" si="3"/>
        <v>1</v>
      </c>
      <c r="AM90" s="641">
        <v>1</v>
      </c>
      <c r="AN90" s="30" t="s">
        <v>17650</v>
      </c>
      <c r="AO90" s="30" t="s">
        <v>17651</v>
      </c>
      <c r="AP90" s="30" t="s">
        <v>17652</v>
      </c>
      <c r="AQ90" s="30" t="s">
        <v>17653</v>
      </c>
      <c r="AR90" s="30" t="s">
        <v>1024</v>
      </c>
      <c r="AS90" s="30">
        <v>1</v>
      </c>
    </row>
    <row r="91" spans="1:45" x14ac:dyDescent="0.25">
      <c r="A91" s="30" t="s">
        <v>581</v>
      </c>
      <c r="B91" s="30" t="s">
        <v>3873</v>
      </c>
      <c r="C91" s="30" t="s">
        <v>62</v>
      </c>
      <c r="D91" s="139" t="s">
        <v>26052</v>
      </c>
      <c r="E91" s="30" t="s">
        <v>217</v>
      </c>
      <c r="F91" s="30">
        <v>1</v>
      </c>
      <c r="G91" s="30" t="s">
        <v>193</v>
      </c>
      <c r="H91" s="30" t="s">
        <v>194</v>
      </c>
      <c r="I91" s="30" t="s">
        <v>26060</v>
      </c>
      <c r="J91" s="30" t="s">
        <v>976</v>
      </c>
      <c r="K91" s="30" t="s">
        <v>9309</v>
      </c>
      <c r="L91" s="30" t="s">
        <v>6955</v>
      </c>
      <c r="M91" s="30"/>
      <c r="N91" s="30" t="s">
        <v>26433</v>
      </c>
      <c r="O91" s="30" t="s">
        <v>6275</v>
      </c>
      <c r="P91" s="30" t="s">
        <v>26084</v>
      </c>
      <c r="Q91" s="30" t="s">
        <v>26261</v>
      </c>
      <c r="R91" s="30" t="s">
        <v>26160</v>
      </c>
      <c r="S91" s="30" t="s">
        <v>26434</v>
      </c>
      <c r="T91" s="30" t="s">
        <v>26435</v>
      </c>
      <c r="U91" s="30"/>
      <c r="V91" s="30">
        <v>1816</v>
      </c>
      <c r="W91" s="30" t="s">
        <v>601</v>
      </c>
      <c r="X91" s="30" t="s">
        <v>194</v>
      </c>
      <c r="Y91" s="30" t="s">
        <v>9300</v>
      </c>
      <c r="Z91" s="30"/>
      <c r="AA91" s="30"/>
      <c r="AB91" s="30" t="s">
        <v>9311</v>
      </c>
      <c r="AC91" s="30"/>
      <c r="AD91" s="30"/>
      <c r="AE91" s="30"/>
      <c r="AF91" s="30"/>
      <c r="AG91" s="30"/>
      <c r="AH91" s="30" t="s">
        <v>4714</v>
      </c>
      <c r="AI91" s="30" t="s">
        <v>9433</v>
      </c>
      <c r="AJ91" s="641" t="str">
        <f t="shared" si="2"/>
        <v>313904</v>
      </c>
      <c r="AK91" s="641">
        <v>1</v>
      </c>
      <c r="AL91" s="641">
        <f t="shared" si="3"/>
        <v>1</v>
      </c>
      <c r="AM91" s="641">
        <v>1</v>
      </c>
      <c r="AN91" s="30" t="s">
        <v>17650</v>
      </c>
      <c r="AO91" s="30" t="s">
        <v>17651</v>
      </c>
      <c r="AP91" s="30" t="s">
        <v>17652</v>
      </c>
      <c r="AQ91" s="30" t="s">
        <v>17653</v>
      </c>
      <c r="AR91" s="30" t="s">
        <v>1024</v>
      </c>
      <c r="AS91" s="30">
        <v>1</v>
      </c>
    </row>
    <row r="92" spans="1:45" x14ac:dyDescent="0.25">
      <c r="A92" s="30" t="s">
        <v>26193</v>
      </c>
      <c r="B92" s="30" t="s">
        <v>26194</v>
      </c>
      <c r="C92" s="30" t="s">
        <v>227</v>
      </c>
      <c r="D92" s="139" t="s">
        <v>26052</v>
      </c>
      <c r="E92" s="30" t="s">
        <v>217</v>
      </c>
      <c r="F92" s="30">
        <v>1</v>
      </c>
      <c r="G92" s="30" t="s">
        <v>193</v>
      </c>
      <c r="H92" s="30" t="s">
        <v>194</v>
      </c>
      <c r="I92" s="30" t="s">
        <v>26053</v>
      </c>
      <c r="J92" s="30" t="s">
        <v>276</v>
      </c>
      <c r="K92" s="30" t="s">
        <v>9309</v>
      </c>
      <c r="L92" s="30" t="s">
        <v>6955</v>
      </c>
      <c r="M92" s="30"/>
      <c r="N92" s="30" t="s">
        <v>26436</v>
      </c>
      <c r="O92" s="30" t="s">
        <v>6269</v>
      </c>
      <c r="P92" s="30" t="s">
        <v>26084</v>
      </c>
      <c r="Q92" s="30" t="s">
        <v>26159</v>
      </c>
      <c r="R92" s="30" t="s">
        <v>26160</v>
      </c>
      <c r="S92" s="30" t="s">
        <v>26437</v>
      </c>
      <c r="T92" s="30" t="s">
        <v>26438</v>
      </c>
      <c r="U92" s="30"/>
      <c r="V92" s="30">
        <v>1803</v>
      </c>
      <c r="W92" s="30" t="s">
        <v>229</v>
      </c>
      <c r="X92" s="30" t="s">
        <v>194</v>
      </c>
      <c r="Y92" s="30" t="s">
        <v>9300</v>
      </c>
      <c r="Z92" s="30"/>
      <c r="AA92" s="30"/>
      <c r="AB92" s="30" t="s">
        <v>9311</v>
      </c>
      <c r="AC92" s="30"/>
      <c r="AD92" s="30"/>
      <c r="AE92" s="30"/>
      <c r="AF92" s="30"/>
      <c r="AG92" s="30"/>
      <c r="AH92" s="30" t="s">
        <v>4714</v>
      </c>
      <c r="AI92" s="30" t="s">
        <v>9433</v>
      </c>
      <c r="AJ92" s="641" t="str">
        <f t="shared" si="2"/>
        <v>132401</v>
      </c>
      <c r="AK92" s="641">
        <v>1</v>
      </c>
      <c r="AL92" s="641">
        <f t="shared" si="3"/>
        <v>1</v>
      </c>
      <c r="AM92" s="641">
        <v>1</v>
      </c>
      <c r="AN92" s="30" t="s">
        <v>17650</v>
      </c>
      <c r="AO92" s="30" t="s">
        <v>17651</v>
      </c>
      <c r="AP92" s="30" t="s">
        <v>17652</v>
      </c>
      <c r="AQ92" s="30" t="s">
        <v>17653</v>
      </c>
      <c r="AR92" s="30" t="s">
        <v>1024</v>
      </c>
      <c r="AS92" s="30">
        <v>1</v>
      </c>
    </row>
    <row r="93" spans="1:45" x14ac:dyDescent="0.25">
      <c r="A93" s="30" t="s">
        <v>10002</v>
      </c>
      <c r="B93" s="30" t="s">
        <v>26439</v>
      </c>
      <c r="C93" s="30" t="s">
        <v>74</v>
      </c>
      <c r="D93" s="139" t="s">
        <v>26052</v>
      </c>
      <c r="E93" s="30" t="s">
        <v>217</v>
      </c>
      <c r="F93" s="30">
        <v>1</v>
      </c>
      <c r="G93" s="30" t="s">
        <v>193</v>
      </c>
      <c r="H93" s="30" t="s">
        <v>194</v>
      </c>
      <c r="I93" s="30" t="s">
        <v>26053</v>
      </c>
      <c r="J93" s="30" t="s">
        <v>4751</v>
      </c>
      <c r="K93" s="30" t="s">
        <v>9309</v>
      </c>
      <c r="L93" s="30" t="s">
        <v>6955</v>
      </c>
      <c r="M93" s="30"/>
      <c r="N93" s="30" t="s">
        <v>26440</v>
      </c>
      <c r="O93" s="30" t="s">
        <v>6277</v>
      </c>
      <c r="P93" s="30" t="s">
        <v>26114</v>
      </c>
      <c r="Q93" s="30" t="s">
        <v>25965</v>
      </c>
      <c r="R93" s="30" t="s">
        <v>26115</v>
      </c>
      <c r="S93" s="30" t="s">
        <v>26441</v>
      </c>
      <c r="T93" s="30" t="s">
        <v>26442</v>
      </c>
      <c r="U93" s="30"/>
      <c r="V93" s="30">
        <v>1862</v>
      </c>
      <c r="W93" s="30" t="s">
        <v>246</v>
      </c>
      <c r="X93" s="30" t="s">
        <v>194</v>
      </c>
      <c r="Y93" s="30" t="s">
        <v>9300</v>
      </c>
      <c r="Z93" s="30"/>
      <c r="AA93" s="30"/>
      <c r="AB93" s="30" t="s">
        <v>9311</v>
      </c>
      <c r="AC93" s="30"/>
      <c r="AD93" s="30"/>
      <c r="AE93" s="30"/>
      <c r="AF93" s="30"/>
      <c r="AG93" s="30"/>
      <c r="AH93" s="30" t="s">
        <v>4714</v>
      </c>
      <c r="AI93" s="30" t="s">
        <v>9433</v>
      </c>
      <c r="AJ93" s="641" t="str">
        <f t="shared" si="2"/>
        <v>142004</v>
      </c>
      <c r="AK93" s="641">
        <v>1</v>
      </c>
      <c r="AL93" s="641">
        <f t="shared" si="3"/>
        <v>1</v>
      </c>
      <c r="AM93" s="641">
        <v>1</v>
      </c>
      <c r="AN93" s="30" t="s">
        <v>17650</v>
      </c>
      <c r="AO93" s="30" t="s">
        <v>17651</v>
      </c>
      <c r="AP93" s="30" t="s">
        <v>17652</v>
      </c>
      <c r="AQ93" s="30" t="s">
        <v>17653</v>
      </c>
      <c r="AR93" s="30" t="s">
        <v>1024</v>
      </c>
      <c r="AS93" s="30">
        <v>1</v>
      </c>
    </row>
    <row r="94" spans="1:45" x14ac:dyDescent="0.25">
      <c r="A94" s="30" t="s">
        <v>26089</v>
      </c>
      <c r="B94" s="30" t="s">
        <v>26443</v>
      </c>
      <c r="C94" s="30" t="s">
        <v>1766</v>
      </c>
      <c r="D94" s="139" t="s">
        <v>26052</v>
      </c>
      <c r="E94" s="30" t="s">
        <v>217</v>
      </c>
      <c r="F94" s="30">
        <v>1</v>
      </c>
      <c r="G94" s="30" t="s">
        <v>193</v>
      </c>
      <c r="H94" s="30" t="s">
        <v>194</v>
      </c>
      <c r="I94" s="30" t="s">
        <v>26148</v>
      </c>
      <c r="J94" s="30" t="s">
        <v>210</v>
      </c>
      <c r="K94" s="30" t="s">
        <v>9309</v>
      </c>
      <c r="L94" s="30" t="s">
        <v>6955</v>
      </c>
      <c r="M94" s="30"/>
      <c r="N94" s="30" t="s">
        <v>26444</v>
      </c>
      <c r="O94" s="30" t="s">
        <v>6921</v>
      </c>
      <c r="P94" s="30" t="s">
        <v>26084</v>
      </c>
      <c r="Q94" s="30" t="s">
        <v>26120</v>
      </c>
      <c r="R94" s="30" t="s">
        <v>24551</v>
      </c>
      <c r="S94" s="30" t="s">
        <v>26445</v>
      </c>
      <c r="T94" s="30" t="s">
        <v>26446</v>
      </c>
      <c r="U94" s="30"/>
      <c r="V94" s="30">
        <v>1863</v>
      </c>
      <c r="W94" s="30" t="s">
        <v>1767</v>
      </c>
      <c r="X94" s="30" t="s">
        <v>194</v>
      </c>
      <c r="Y94" s="30" t="s">
        <v>9300</v>
      </c>
      <c r="Z94" s="30"/>
      <c r="AA94" s="30"/>
      <c r="AB94" s="30" t="s">
        <v>9311</v>
      </c>
      <c r="AC94" s="30"/>
      <c r="AD94" s="30"/>
      <c r="AE94" s="30"/>
      <c r="AF94" s="30"/>
      <c r="AG94" s="30"/>
      <c r="AH94" s="30" t="s">
        <v>4714</v>
      </c>
      <c r="AI94" s="30" t="s">
        <v>9433</v>
      </c>
      <c r="AJ94" s="641" t="str">
        <f t="shared" si="2"/>
        <v>242112</v>
      </c>
      <c r="AK94" s="641">
        <v>1</v>
      </c>
      <c r="AL94" s="641">
        <f t="shared" si="3"/>
        <v>1</v>
      </c>
      <c r="AM94" s="641">
        <v>1</v>
      </c>
      <c r="AN94" s="30" t="s">
        <v>17650</v>
      </c>
      <c r="AO94" s="30" t="s">
        <v>17651</v>
      </c>
      <c r="AP94" s="30" t="s">
        <v>17652</v>
      </c>
      <c r="AQ94" s="30" t="s">
        <v>17653</v>
      </c>
      <c r="AR94" s="30" t="s">
        <v>1024</v>
      </c>
      <c r="AS94" s="30">
        <v>1</v>
      </c>
    </row>
    <row r="95" spans="1:45" x14ac:dyDescent="0.25">
      <c r="A95" s="30" t="s">
        <v>26089</v>
      </c>
      <c r="B95" s="30" t="s">
        <v>26447</v>
      </c>
      <c r="C95" s="30" t="s">
        <v>3367</v>
      </c>
      <c r="D95" s="139" t="s">
        <v>26052</v>
      </c>
      <c r="E95" s="30" t="s">
        <v>217</v>
      </c>
      <c r="F95" s="30">
        <v>1</v>
      </c>
      <c r="G95" s="30" t="s">
        <v>193</v>
      </c>
      <c r="H95" s="30" t="s">
        <v>194</v>
      </c>
      <c r="I95" s="30" t="s">
        <v>26060</v>
      </c>
      <c r="J95" s="30" t="s">
        <v>210</v>
      </c>
      <c r="K95" s="30" t="s">
        <v>9309</v>
      </c>
      <c r="L95" s="30" t="s">
        <v>6955</v>
      </c>
      <c r="M95" s="30"/>
      <c r="N95" s="30" t="s">
        <v>26448</v>
      </c>
      <c r="O95" s="30" t="s">
        <v>6261</v>
      </c>
      <c r="P95" s="30" t="s">
        <v>26449</v>
      </c>
      <c r="Q95" s="30" t="s">
        <v>26218</v>
      </c>
      <c r="R95" s="30" t="s">
        <v>26219</v>
      </c>
      <c r="S95" s="30" t="s">
        <v>26450</v>
      </c>
      <c r="T95" s="30" t="s">
        <v>26451</v>
      </c>
      <c r="U95" s="30"/>
      <c r="V95" s="30">
        <v>1863</v>
      </c>
      <c r="W95" s="30" t="s">
        <v>3368</v>
      </c>
      <c r="X95" s="30" t="s">
        <v>194</v>
      </c>
      <c r="Y95" s="30" t="s">
        <v>9300</v>
      </c>
      <c r="Z95" s="30"/>
      <c r="AA95" s="30"/>
      <c r="AB95" s="30" t="s">
        <v>9311</v>
      </c>
      <c r="AC95" s="30"/>
      <c r="AD95" s="30"/>
      <c r="AE95" s="30"/>
      <c r="AF95" s="30"/>
      <c r="AG95" s="30"/>
      <c r="AH95" s="30" t="s">
        <v>4714</v>
      </c>
      <c r="AI95" s="30" t="s">
        <v>9433</v>
      </c>
      <c r="AJ95" s="641" t="str">
        <f t="shared" si="2"/>
        <v>133001</v>
      </c>
      <c r="AK95" s="641">
        <v>1</v>
      </c>
      <c r="AL95" s="641">
        <f t="shared" si="3"/>
        <v>1</v>
      </c>
      <c r="AM95" s="641">
        <v>1</v>
      </c>
      <c r="AN95" s="30" t="s">
        <v>17650</v>
      </c>
      <c r="AO95" s="30" t="s">
        <v>17651</v>
      </c>
      <c r="AP95" s="30" t="s">
        <v>17652</v>
      </c>
      <c r="AQ95" s="30" t="s">
        <v>17653</v>
      </c>
      <c r="AR95" s="30" t="s">
        <v>1024</v>
      </c>
      <c r="AS95" s="30">
        <v>1</v>
      </c>
    </row>
    <row r="96" spans="1:45" x14ac:dyDescent="0.25">
      <c r="A96" s="30" t="s">
        <v>716</v>
      </c>
      <c r="B96" s="30" t="s">
        <v>26282</v>
      </c>
      <c r="C96" s="30" t="s">
        <v>24125</v>
      </c>
      <c r="D96" s="139" t="s">
        <v>26052</v>
      </c>
      <c r="E96" s="30" t="s">
        <v>217</v>
      </c>
      <c r="F96" s="30">
        <v>1</v>
      </c>
      <c r="G96" s="30" t="s">
        <v>193</v>
      </c>
      <c r="H96" s="30" t="s">
        <v>194</v>
      </c>
      <c r="I96" s="30" t="s">
        <v>26053</v>
      </c>
      <c r="J96" s="30" t="s">
        <v>210</v>
      </c>
      <c r="K96" s="30" t="s">
        <v>9309</v>
      </c>
      <c r="L96" s="30" t="s">
        <v>6955</v>
      </c>
      <c r="M96" s="30"/>
      <c r="N96" s="30" t="s">
        <v>26452</v>
      </c>
      <c r="O96" s="30" t="s">
        <v>6290</v>
      </c>
      <c r="P96" s="30" t="s">
        <v>26449</v>
      </c>
      <c r="Q96" s="30" t="s">
        <v>26085</v>
      </c>
      <c r="R96" s="30" t="s">
        <v>26057</v>
      </c>
      <c r="S96" s="30" t="s">
        <v>26453</v>
      </c>
      <c r="T96" s="30" t="s">
        <v>26454</v>
      </c>
      <c r="U96" s="30"/>
      <c r="V96" s="30">
        <v>1863</v>
      </c>
      <c r="W96" s="30" t="s">
        <v>24129</v>
      </c>
      <c r="X96" s="30" t="s">
        <v>194</v>
      </c>
      <c r="Y96" s="30" t="s">
        <v>9300</v>
      </c>
      <c r="Z96" s="30"/>
      <c r="AA96" s="30"/>
      <c r="AB96" s="30" t="s">
        <v>9311</v>
      </c>
      <c r="AC96" s="30"/>
      <c r="AD96" s="30"/>
      <c r="AE96" s="30"/>
      <c r="AF96" s="30"/>
      <c r="AG96" s="30"/>
      <c r="AH96" s="30" t="s">
        <v>4714</v>
      </c>
      <c r="AI96" s="30" t="s">
        <v>9433</v>
      </c>
      <c r="AJ96" s="641" t="str">
        <f t="shared" si="2"/>
        <v>351401</v>
      </c>
      <c r="AK96" s="641">
        <v>1</v>
      </c>
      <c r="AL96" s="641">
        <f>F96</f>
        <v>1</v>
      </c>
      <c r="AM96" s="641">
        <v>1</v>
      </c>
      <c r="AN96" s="30" t="s">
        <v>17650</v>
      </c>
      <c r="AO96" s="30" t="s">
        <v>17651</v>
      </c>
      <c r="AP96" s="30" t="s">
        <v>17652</v>
      </c>
      <c r="AQ96" s="30" t="s">
        <v>17653</v>
      </c>
      <c r="AR96" s="30" t="s">
        <v>1024</v>
      </c>
      <c r="AS96" s="30">
        <v>1</v>
      </c>
    </row>
    <row r="97" spans="1:45" x14ac:dyDescent="0.25">
      <c r="A97" s="30" t="s">
        <v>26153</v>
      </c>
      <c r="B97" s="30" t="s">
        <v>26455</v>
      </c>
      <c r="C97" s="30" t="s">
        <v>10</v>
      </c>
      <c r="D97" s="139" t="s">
        <v>26052</v>
      </c>
      <c r="E97" s="30" t="s">
        <v>217</v>
      </c>
      <c r="F97" s="30">
        <v>1</v>
      </c>
      <c r="G97" s="30" t="s">
        <v>193</v>
      </c>
      <c r="H97" s="30" t="s">
        <v>194</v>
      </c>
      <c r="I97" s="30" t="s">
        <v>23198</v>
      </c>
      <c r="J97" s="30" t="s">
        <v>210</v>
      </c>
      <c r="K97" s="30" t="s">
        <v>9309</v>
      </c>
      <c r="L97" s="30" t="s">
        <v>6955</v>
      </c>
      <c r="M97" s="30"/>
      <c r="N97" s="30" t="s">
        <v>26456</v>
      </c>
      <c r="O97" s="30" t="s">
        <v>6261</v>
      </c>
      <c r="P97" s="30" t="s">
        <v>26449</v>
      </c>
      <c r="Q97" s="30" t="s">
        <v>25478</v>
      </c>
      <c r="R97" s="30" t="s">
        <v>26139</v>
      </c>
      <c r="S97" s="30" t="s">
        <v>26457</v>
      </c>
      <c r="T97" s="30" t="s">
        <v>26458</v>
      </c>
      <c r="U97" s="30"/>
      <c r="V97" s="30">
        <v>1863</v>
      </c>
      <c r="W97" s="30" t="s">
        <v>484</v>
      </c>
      <c r="X97" s="30" t="s">
        <v>194</v>
      </c>
      <c r="Y97" s="30" t="s">
        <v>9300</v>
      </c>
      <c r="Z97" s="30"/>
      <c r="AA97" s="30"/>
      <c r="AB97" s="30" t="s">
        <v>9311</v>
      </c>
      <c r="AC97" s="30"/>
      <c r="AD97" s="30"/>
      <c r="AE97" s="30"/>
      <c r="AF97" s="30"/>
      <c r="AG97" s="30"/>
      <c r="AH97" s="30" t="s">
        <v>4714</v>
      </c>
      <c r="AI97" s="30" t="s">
        <v>9433</v>
      </c>
      <c r="AJ97" s="641" t="str">
        <f t="shared" si="2"/>
        <v>251401</v>
      </c>
      <c r="AK97" s="641">
        <v>1</v>
      </c>
      <c r="AL97" s="641">
        <f t="shared" si="3"/>
        <v>1</v>
      </c>
      <c r="AM97" s="641">
        <v>1</v>
      </c>
      <c r="AN97" s="30" t="s">
        <v>17650</v>
      </c>
      <c r="AO97" s="30" t="s">
        <v>17651</v>
      </c>
      <c r="AP97" s="30" t="s">
        <v>17652</v>
      </c>
      <c r="AQ97" s="30" t="s">
        <v>17653</v>
      </c>
      <c r="AR97" s="30" t="s">
        <v>1024</v>
      </c>
      <c r="AS97" s="30">
        <v>1</v>
      </c>
    </row>
    <row r="98" spans="1:45" x14ac:dyDescent="0.25">
      <c r="A98" s="30" t="s">
        <v>26089</v>
      </c>
      <c r="B98" s="30" t="s">
        <v>26459</v>
      </c>
      <c r="C98" s="30" t="s">
        <v>129</v>
      </c>
      <c r="D98" s="139" t="s">
        <v>26052</v>
      </c>
      <c r="E98" s="30" t="s">
        <v>217</v>
      </c>
      <c r="F98" s="30">
        <v>1</v>
      </c>
      <c r="G98" s="30" t="s">
        <v>193</v>
      </c>
      <c r="H98" s="30" t="s">
        <v>194</v>
      </c>
      <c r="I98" s="30" t="s">
        <v>26060</v>
      </c>
      <c r="J98" s="30" t="s">
        <v>210</v>
      </c>
      <c r="K98" s="30" t="s">
        <v>9309</v>
      </c>
      <c r="L98" s="30" t="s">
        <v>6955</v>
      </c>
      <c r="M98" s="30"/>
      <c r="N98" s="30" t="s">
        <v>26460</v>
      </c>
      <c r="O98" s="30" t="s">
        <v>6261</v>
      </c>
      <c r="P98" s="30" t="s">
        <v>26449</v>
      </c>
      <c r="Q98" s="30" t="s">
        <v>26261</v>
      </c>
      <c r="R98" s="30" t="s">
        <v>26262</v>
      </c>
      <c r="S98" s="30" t="s">
        <v>26461</v>
      </c>
      <c r="T98" s="30" t="s">
        <v>26462</v>
      </c>
      <c r="U98" s="30"/>
      <c r="V98" s="30">
        <v>1863</v>
      </c>
      <c r="W98" s="30" t="s">
        <v>203</v>
      </c>
      <c r="X98" s="30" t="s">
        <v>194</v>
      </c>
      <c r="Y98" s="30" t="s">
        <v>9300</v>
      </c>
      <c r="Z98" s="30"/>
      <c r="AA98" s="30"/>
      <c r="AB98" s="30" t="s">
        <v>9311</v>
      </c>
      <c r="AC98" s="30"/>
      <c r="AD98" s="30"/>
      <c r="AE98" s="30"/>
      <c r="AF98" s="30"/>
      <c r="AG98" s="30"/>
      <c r="AH98" s="30" t="s">
        <v>4714</v>
      </c>
      <c r="AI98" s="30" t="s">
        <v>9433</v>
      </c>
      <c r="AJ98" s="641" t="str">
        <f t="shared" si="2"/>
        <v>121904</v>
      </c>
      <c r="AK98" s="641">
        <v>1</v>
      </c>
      <c r="AL98" s="641">
        <f t="shared" si="3"/>
        <v>1</v>
      </c>
      <c r="AM98" s="641">
        <v>1</v>
      </c>
      <c r="AN98" s="30" t="s">
        <v>17650</v>
      </c>
      <c r="AO98" s="30" t="s">
        <v>17651</v>
      </c>
      <c r="AP98" s="30" t="s">
        <v>17652</v>
      </c>
      <c r="AQ98" s="30" t="s">
        <v>17653</v>
      </c>
      <c r="AR98" s="30" t="s">
        <v>1024</v>
      </c>
      <c r="AS98" s="30">
        <v>1</v>
      </c>
    </row>
    <row r="99" spans="1:45" x14ac:dyDescent="0.25">
      <c r="A99" s="30" t="s">
        <v>26193</v>
      </c>
      <c r="B99" s="30" t="s">
        <v>26194</v>
      </c>
      <c r="C99" s="30" t="s">
        <v>227</v>
      </c>
      <c r="D99" s="139" t="s">
        <v>26052</v>
      </c>
      <c r="E99" s="30" t="s">
        <v>217</v>
      </c>
      <c r="F99" s="30">
        <v>1</v>
      </c>
      <c r="G99" s="30" t="s">
        <v>193</v>
      </c>
      <c r="H99" s="30" t="s">
        <v>194</v>
      </c>
      <c r="I99" s="30" t="s">
        <v>26053</v>
      </c>
      <c r="J99" s="30" t="s">
        <v>367</v>
      </c>
      <c r="K99" s="30" t="s">
        <v>9309</v>
      </c>
      <c r="L99" s="30" t="s">
        <v>6955</v>
      </c>
      <c r="M99" s="30"/>
      <c r="N99" s="30" t="s">
        <v>26463</v>
      </c>
      <c r="O99" s="30" t="s">
        <v>6269</v>
      </c>
      <c r="P99" s="30" t="s">
        <v>26449</v>
      </c>
      <c r="Q99" s="30" t="s">
        <v>26159</v>
      </c>
      <c r="R99" s="30" t="s">
        <v>26160</v>
      </c>
      <c r="S99" s="30" t="s">
        <v>26464</v>
      </c>
      <c r="T99" s="30" t="s">
        <v>26465</v>
      </c>
      <c r="U99" s="30"/>
      <c r="V99" s="30">
        <v>1805</v>
      </c>
      <c r="W99" s="30" t="s">
        <v>229</v>
      </c>
      <c r="X99" s="30" t="s">
        <v>194</v>
      </c>
      <c r="Y99" s="30" t="s">
        <v>9300</v>
      </c>
      <c r="Z99" s="30"/>
      <c r="AA99" s="30"/>
      <c r="AB99" s="30" t="s">
        <v>9311</v>
      </c>
      <c r="AC99" s="30"/>
      <c r="AD99" s="30"/>
      <c r="AE99" s="30"/>
      <c r="AF99" s="30"/>
      <c r="AG99" s="30"/>
      <c r="AH99" s="30" t="s">
        <v>4714</v>
      </c>
      <c r="AI99" s="30" t="s">
        <v>9433</v>
      </c>
      <c r="AJ99" s="641" t="str">
        <f t="shared" si="2"/>
        <v>132401</v>
      </c>
      <c r="AK99" s="641">
        <v>1</v>
      </c>
      <c r="AL99" s="641">
        <f t="shared" si="3"/>
        <v>1</v>
      </c>
      <c r="AM99" s="641">
        <v>1</v>
      </c>
      <c r="AN99" s="30" t="s">
        <v>17650</v>
      </c>
      <c r="AO99" s="30" t="s">
        <v>17651</v>
      </c>
      <c r="AP99" s="30" t="s">
        <v>17652</v>
      </c>
      <c r="AQ99" s="30" t="s">
        <v>17653</v>
      </c>
      <c r="AR99" s="30" t="s">
        <v>1024</v>
      </c>
      <c r="AS99" s="30">
        <v>1</v>
      </c>
    </row>
    <row r="100" spans="1:45" x14ac:dyDescent="0.25">
      <c r="A100" s="30" t="s">
        <v>26153</v>
      </c>
      <c r="B100" s="30" t="s">
        <v>26466</v>
      </c>
      <c r="C100" s="30" t="s">
        <v>10</v>
      </c>
      <c r="D100" s="139" t="s">
        <v>26052</v>
      </c>
      <c r="E100" s="30" t="s">
        <v>217</v>
      </c>
      <c r="F100" s="30">
        <v>1</v>
      </c>
      <c r="G100" s="30" t="s">
        <v>193</v>
      </c>
      <c r="H100" s="30" t="s">
        <v>194</v>
      </c>
      <c r="I100" s="30" t="s">
        <v>26053</v>
      </c>
      <c r="J100" s="30" t="s">
        <v>210</v>
      </c>
      <c r="K100" s="30" t="s">
        <v>9309</v>
      </c>
      <c r="L100" s="30" t="s">
        <v>6955</v>
      </c>
      <c r="M100" s="30"/>
      <c r="N100" s="30" t="s">
        <v>26467</v>
      </c>
      <c r="O100" s="30" t="s">
        <v>6261</v>
      </c>
      <c r="P100" s="30" t="s">
        <v>26449</v>
      </c>
      <c r="Q100" s="30" t="s">
        <v>26468</v>
      </c>
      <c r="R100" s="30" t="s">
        <v>26073</v>
      </c>
      <c r="S100" s="30" t="s">
        <v>26469</v>
      </c>
      <c r="T100" s="30" t="s">
        <v>26470</v>
      </c>
      <c r="U100" s="30"/>
      <c r="V100" s="30">
        <v>1863</v>
      </c>
      <c r="W100" s="30" t="s">
        <v>484</v>
      </c>
      <c r="X100" s="30" t="s">
        <v>194</v>
      </c>
      <c r="Y100" s="30" t="s">
        <v>9300</v>
      </c>
      <c r="Z100" s="30"/>
      <c r="AA100" s="30"/>
      <c r="AB100" s="30" t="s">
        <v>9311</v>
      </c>
      <c r="AC100" s="30"/>
      <c r="AD100" s="30"/>
      <c r="AE100" s="30"/>
      <c r="AF100" s="30"/>
      <c r="AG100" s="30"/>
      <c r="AH100" s="30" t="s">
        <v>4714</v>
      </c>
      <c r="AI100" s="30" t="s">
        <v>9433</v>
      </c>
      <c r="AJ100" s="641" t="str">
        <f t="shared" si="2"/>
        <v>251401</v>
      </c>
      <c r="AK100" s="641">
        <v>1</v>
      </c>
      <c r="AL100" s="641">
        <f t="shared" si="3"/>
        <v>1</v>
      </c>
      <c r="AM100" s="641">
        <v>1</v>
      </c>
      <c r="AN100" s="30" t="s">
        <v>17650</v>
      </c>
      <c r="AO100" s="30" t="s">
        <v>17651</v>
      </c>
      <c r="AP100" s="30" t="s">
        <v>17652</v>
      </c>
      <c r="AQ100" s="30" t="s">
        <v>17653</v>
      </c>
      <c r="AR100" s="30" t="s">
        <v>1024</v>
      </c>
      <c r="AS100" s="30">
        <v>1</v>
      </c>
    </row>
    <row r="101" spans="1:45" x14ac:dyDescent="0.25">
      <c r="A101" s="30" t="s">
        <v>26024</v>
      </c>
      <c r="B101" s="30" t="s">
        <v>26025</v>
      </c>
      <c r="C101" s="30" t="s">
        <v>17</v>
      </c>
      <c r="D101" s="139" t="s">
        <v>26052</v>
      </c>
      <c r="E101" s="30" t="s">
        <v>217</v>
      </c>
      <c r="F101" s="30">
        <v>1</v>
      </c>
      <c r="G101" s="30" t="s">
        <v>193</v>
      </c>
      <c r="H101" s="30" t="s">
        <v>194</v>
      </c>
      <c r="I101" s="30" t="s">
        <v>26143</v>
      </c>
      <c r="J101" s="30" t="s">
        <v>210</v>
      </c>
      <c r="K101" s="30" t="s">
        <v>9309</v>
      </c>
      <c r="L101" s="30" t="s">
        <v>6955</v>
      </c>
      <c r="M101" s="30"/>
      <c r="N101" s="30" t="s">
        <v>26471</v>
      </c>
      <c r="O101" s="30" t="s">
        <v>6249</v>
      </c>
      <c r="P101" s="30" t="s">
        <v>26449</v>
      </c>
      <c r="Q101" s="30" t="s">
        <v>26182</v>
      </c>
      <c r="R101" s="30" t="s">
        <v>26183</v>
      </c>
      <c r="S101" s="30" t="s">
        <v>26472</v>
      </c>
      <c r="T101" s="30" t="s">
        <v>26473</v>
      </c>
      <c r="U101" s="30"/>
      <c r="V101" s="30">
        <v>1863</v>
      </c>
      <c r="W101" s="30" t="s">
        <v>624</v>
      </c>
      <c r="X101" s="30" t="s">
        <v>194</v>
      </c>
      <c r="Y101" s="30" t="s">
        <v>9300</v>
      </c>
      <c r="Z101" s="30"/>
      <c r="AA101" s="30"/>
      <c r="AB101" s="30" t="s">
        <v>9311</v>
      </c>
      <c r="AC101" s="30"/>
      <c r="AD101" s="30"/>
      <c r="AE101" s="30"/>
      <c r="AF101" s="30"/>
      <c r="AG101" s="30"/>
      <c r="AH101" s="30" t="s">
        <v>4714</v>
      </c>
      <c r="AI101" s="30" t="s">
        <v>9433</v>
      </c>
      <c r="AJ101" s="641" t="str">
        <f t="shared" si="2"/>
        <v>332203</v>
      </c>
      <c r="AK101" s="641">
        <v>1</v>
      </c>
      <c r="AL101" s="641">
        <f t="shared" si="3"/>
        <v>1</v>
      </c>
      <c r="AM101" s="641">
        <v>1</v>
      </c>
      <c r="AN101" s="30" t="s">
        <v>17650</v>
      </c>
      <c r="AO101" s="30" t="s">
        <v>17651</v>
      </c>
      <c r="AP101" s="30" t="s">
        <v>17652</v>
      </c>
      <c r="AQ101" s="30" t="s">
        <v>17653</v>
      </c>
      <c r="AR101" s="30" t="s">
        <v>1024</v>
      </c>
      <c r="AS101" s="30">
        <v>1</v>
      </c>
    </row>
    <row r="102" spans="1:45" x14ac:dyDescent="0.25">
      <c r="A102" s="30" t="s">
        <v>26089</v>
      </c>
      <c r="B102" s="30" t="s">
        <v>26090</v>
      </c>
      <c r="C102" s="30" t="s">
        <v>36</v>
      </c>
      <c r="D102" s="139" t="s">
        <v>26052</v>
      </c>
      <c r="E102" s="30" t="s">
        <v>217</v>
      </c>
      <c r="F102" s="30">
        <v>1</v>
      </c>
      <c r="G102" s="30" t="s">
        <v>193</v>
      </c>
      <c r="H102" s="30" t="s">
        <v>194</v>
      </c>
      <c r="I102" s="30" t="s">
        <v>26053</v>
      </c>
      <c r="J102" s="30" t="s">
        <v>210</v>
      </c>
      <c r="K102" s="30" t="s">
        <v>9309</v>
      </c>
      <c r="L102" s="30" t="s">
        <v>6955</v>
      </c>
      <c r="M102" s="30"/>
      <c r="N102" s="30" t="s">
        <v>26474</v>
      </c>
      <c r="O102" s="30" t="s">
        <v>7120</v>
      </c>
      <c r="P102" s="30" t="s">
        <v>26449</v>
      </c>
      <c r="Q102" s="30" t="s">
        <v>26092</v>
      </c>
      <c r="R102" s="30" t="s">
        <v>26093</v>
      </c>
      <c r="S102" s="30" t="s">
        <v>26475</v>
      </c>
      <c r="T102" s="30" t="s">
        <v>26476</v>
      </c>
      <c r="U102" s="30"/>
      <c r="V102" s="30">
        <v>1863</v>
      </c>
      <c r="W102" s="30" t="s">
        <v>609</v>
      </c>
      <c r="X102" s="30" t="s">
        <v>194</v>
      </c>
      <c r="Y102" s="30" t="s">
        <v>9300</v>
      </c>
      <c r="Z102" s="30"/>
      <c r="AA102" s="30"/>
      <c r="AB102" s="30" t="s">
        <v>9311</v>
      </c>
      <c r="AC102" s="30"/>
      <c r="AD102" s="30"/>
      <c r="AE102" s="30"/>
      <c r="AF102" s="30"/>
      <c r="AG102" s="30"/>
      <c r="AH102" s="30" t="s">
        <v>4714</v>
      </c>
      <c r="AI102" s="30" t="s">
        <v>9433</v>
      </c>
      <c r="AJ102" s="641" t="str">
        <f t="shared" si="2"/>
        <v>331301</v>
      </c>
      <c r="AK102" s="641">
        <v>1</v>
      </c>
      <c r="AL102" s="641">
        <f t="shared" si="3"/>
        <v>1</v>
      </c>
      <c r="AM102" s="641">
        <v>1</v>
      </c>
      <c r="AN102" s="30" t="s">
        <v>17650</v>
      </c>
      <c r="AO102" s="30" t="s">
        <v>17651</v>
      </c>
      <c r="AP102" s="30" t="s">
        <v>17652</v>
      </c>
      <c r="AQ102" s="30" t="s">
        <v>17653</v>
      </c>
      <c r="AR102" s="30" t="s">
        <v>1024</v>
      </c>
      <c r="AS102" s="30">
        <v>1</v>
      </c>
    </row>
    <row r="103" spans="1:45" x14ac:dyDescent="0.25">
      <c r="A103" s="30" t="s">
        <v>26153</v>
      </c>
      <c r="B103" s="30" t="s">
        <v>26477</v>
      </c>
      <c r="C103" s="30" t="s">
        <v>2861</v>
      </c>
      <c r="D103" s="139" t="s">
        <v>26052</v>
      </c>
      <c r="E103" s="30" t="s">
        <v>217</v>
      </c>
      <c r="F103" s="30">
        <v>1</v>
      </c>
      <c r="G103" s="30" t="s">
        <v>193</v>
      </c>
      <c r="H103" s="30" t="s">
        <v>194</v>
      </c>
      <c r="I103" s="30" t="s">
        <v>23198</v>
      </c>
      <c r="J103" s="30" t="s">
        <v>210</v>
      </c>
      <c r="K103" s="30" t="s">
        <v>9309</v>
      </c>
      <c r="L103" s="30" t="s">
        <v>6955</v>
      </c>
      <c r="M103" s="30"/>
      <c r="N103" s="30" t="s">
        <v>26478</v>
      </c>
      <c r="O103" s="30" t="s">
        <v>6261</v>
      </c>
      <c r="P103" s="30" t="s">
        <v>26449</v>
      </c>
      <c r="Q103" s="30" t="s">
        <v>26092</v>
      </c>
      <c r="R103" s="30" t="s">
        <v>26093</v>
      </c>
      <c r="S103" s="30" t="s">
        <v>26479</v>
      </c>
      <c r="T103" s="30" t="s">
        <v>26480</v>
      </c>
      <c r="U103" s="30"/>
      <c r="V103" s="30">
        <v>1863</v>
      </c>
      <c r="W103" s="30" t="s">
        <v>3629</v>
      </c>
      <c r="X103" s="30" t="s">
        <v>194</v>
      </c>
      <c r="Y103" s="30" t="s">
        <v>9300</v>
      </c>
      <c r="Z103" s="30"/>
      <c r="AA103" s="30"/>
      <c r="AB103" s="30" t="s">
        <v>9311</v>
      </c>
      <c r="AC103" s="30"/>
      <c r="AD103" s="30"/>
      <c r="AE103" s="30"/>
      <c r="AF103" s="30"/>
      <c r="AG103" s="30"/>
      <c r="AH103" s="30" t="s">
        <v>4714</v>
      </c>
      <c r="AI103" s="30" t="s">
        <v>9433</v>
      </c>
      <c r="AJ103" s="641" t="str">
        <f t="shared" si="2"/>
        <v>251903</v>
      </c>
      <c r="AK103" s="641">
        <v>1</v>
      </c>
      <c r="AL103" s="641">
        <f t="shared" si="3"/>
        <v>1</v>
      </c>
      <c r="AM103" s="641">
        <v>1</v>
      </c>
      <c r="AN103" s="30" t="s">
        <v>17650</v>
      </c>
      <c r="AO103" s="30" t="s">
        <v>17651</v>
      </c>
      <c r="AP103" s="30" t="s">
        <v>17652</v>
      </c>
      <c r="AQ103" s="30" t="s">
        <v>17653</v>
      </c>
      <c r="AR103" s="30" t="s">
        <v>1024</v>
      </c>
      <c r="AS103" s="30">
        <v>1</v>
      </c>
    </row>
    <row r="104" spans="1:45" x14ac:dyDescent="0.25">
      <c r="A104" s="30" t="s">
        <v>716</v>
      </c>
      <c r="B104" s="30" t="s">
        <v>26282</v>
      </c>
      <c r="C104" s="30" t="s">
        <v>24125</v>
      </c>
      <c r="D104" s="139" t="s">
        <v>26052</v>
      </c>
      <c r="E104" s="30" t="s">
        <v>217</v>
      </c>
      <c r="F104" s="30">
        <v>1</v>
      </c>
      <c r="G104" s="30" t="s">
        <v>193</v>
      </c>
      <c r="H104" s="30" t="s">
        <v>194</v>
      </c>
      <c r="I104" s="30" t="s">
        <v>26053</v>
      </c>
      <c r="J104" s="30" t="s">
        <v>210</v>
      </c>
      <c r="K104" s="30" t="s">
        <v>9309</v>
      </c>
      <c r="L104" s="30" t="s">
        <v>6955</v>
      </c>
      <c r="M104" s="30"/>
      <c r="N104" s="30" t="s">
        <v>26481</v>
      </c>
      <c r="O104" s="30" t="s">
        <v>6290</v>
      </c>
      <c r="P104" s="30" t="s">
        <v>26449</v>
      </c>
      <c r="Q104" s="30" t="s">
        <v>26201</v>
      </c>
      <c r="R104" s="30" t="s">
        <v>24556</v>
      </c>
      <c r="S104" s="30" t="s">
        <v>26482</v>
      </c>
      <c r="T104" s="30" t="s">
        <v>26483</v>
      </c>
      <c r="U104" s="30"/>
      <c r="V104" s="30">
        <v>1863</v>
      </c>
      <c r="W104" s="30" t="s">
        <v>24129</v>
      </c>
      <c r="X104" s="30" t="s">
        <v>194</v>
      </c>
      <c r="Y104" s="30" t="s">
        <v>9300</v>
      </c>
      <c r="Z104" s="30"/>
      <c r="AA104" s="30"/>
      <c r="AB104" s="30" t="s">
        <v>9311</v>
      </c>
      <c r="AC104" s="30"/>
      <c r="AD104" s="30"/>
      <c r="AE104" s="30"/>
      <c r="AF104" s="30"/>
      <c r="AG104" s="30"/>
      <c r="AH104" s="30" t="s">
        <v>4714</v>
      </c>
      <c r="AI104" s="30" t="s">
        <v>9433</v>
      </c>
      <c r="AJ104" s="641" t="str">
        <f t="shared" si="2"/>
        <v>351401</v>
      </c>
      <c r="AK104" s="641">
        <v>1</v>
      </c>
      <c r="AL104" s="641">
        <f t="shared" si="3"/>
        <v>1</v>
      </c>
      <c r="AM104" s="641">
        <v>1</v>
      </c>
      <c r="AN104" s="30" t="s">
        <v>17650</v>
      </c>
      <c r="AO104" s="30" t="s">
        <v>17651</v>
      </c>
      <c r="AP104" s="30" t="s">
        <v>17652</v>
      </c>
      <c r="AQ104" s="30" t="s">
        <v>17653</v>
      </c>
      <c r="AR104" s="30" t="s">
        <v>1024</v>
      </c>
      <c r="AS104" s="30">
        <v>1</v>
      </c>
    </row>
    <row r="105" spans="1:45" x14ac:dyDescent="0.25">
      <c r="A105" s="30" t="s">
        <v>581</v>
      </c>
      <c r="B105" s="30" t="s">
        <v>2788</v>
      </c>
      <c r="C105" s="30" t="s">
        <v>62</v>
      </c>
      <c r="D105" s="139" t="s">
        <v>26052</v>
      </c>
      <c r="E105" s="30" t="s">
        <v>217</v>
      </c>
      <c r="F105" s="30">
        <v>1</v>
      </c>
      <c r="G105" s="30" t="s">
        <v>193</v>
      </c>
      <c r="H105" s="30" t="s">
        <v>194</v>
      </c>
      <c r="I105" s="30" t="s">
        <v>26060</v>
      </c>
      <c r="J105" s="30" t="s">
        <v>253</v>
      </c>
      <c r="K105" s="30" t="s">
        <v>9309</v>
      </c>
      <c r="L105" s="30" t="s">
        <v>6955</v>
      </c>
      <c r="M105" s="30"/>
      <c r="N105" s="30" t="s">
        <v>26484</v>
      </c>
      <c r="O105" s="30" t="s">
        <v>6275</v>
      </c>
      <c r="P105" s="30" t="s">
        <v>26449</v>
      </c>
      <c r="Q105" s="30" t="s">
        <v>26182</v>
      </c>
      <c r="R105" s="30" t="s">
        <v>24551</v>
      </c>
      <c r="S105" s="30" t="s">
        <v>26485</v>
      </c>
      <c r="T105" s="30" t="s">
        <v>26486</v>
      </c>
      <c r="U105" s="30"/>
      <c r="V105" s="30">
        <v>1811</v>
      </c>
      <c r="W105" s="30" t="s">
        <v>601</v>
      </c>
      <c r="X105" s="30" t="s">
        <v>194</v>
      </c>
      <c r="Y105" s="30" t="s">
        <v>9300</v>
      </c>
      <c r="Z105" s="30"/>
      <c r="AA105" s="30"/>
      <c r="AB105" s="30" t="s">
        <v>9311</v>
      </c>
      <c r="AC105" s="30"/>
      <c r="AD105" s="30"/>
      <c r="AE105" s="30"/>
      <c r="AF105" s="30"/>
      <c r="AG105" s="30"/>
      <c r="AH105" s="30" t="s">
        <v>4714</v>
      </c>
      <c r="AI105" s="30" t="s">
        <v>9433</v>
      </c>
      <c r="AJ105" s="641" t="str">
        <f t="shared" si="2"/>
        <v>313904</v>
      </c>
      <c r="AK105" s="641">
        <v>1</v>
      </c>
      <c r="AL105" s="641">
        <f t="shared" si="3"/>
        <v>1</v>
      </c>
      <c r="AM105" s="641">
        <v>1</v>
      </c>
      <c r="AN105" s="30" t="s">
        <v>17650</v>
      </c>
      <c r="AO105" s="30" t="s">
        <v>17651</v>
      </c>
      <c r="AP105" s="30" t="s">
        <v>17652</v>
      </c>
      <c r="AQ105" s="30" t="s">
        <v>17653</v>
      </c>
      <c r="AR105" s="30" t="s">
        <v>1024</v>
      </c>
      <c r="AS105" s="30">
        <v>1</v>
      </c>
    </row>
    <row r="106" spans="1:45" x14ac:dyDescent="0.25">
      <c r="A106" s="30" t="s">
        <v>10002</v>
      </c>
      <c r="B106" s="30" t="s">
        <v>26487</v>
      </c>
      <c r="C106" s="30" t="s">
        <v>74</v>
      </c>
      <c r="D106" s="139" t="s">
        <v>26052</v>
      </c>
      <c r="E106" s="30" t="s">
        <v>217</v>
      </c>
      <c r="F106" s="30">
        <v>1</v>
      </c>
      <c r="G106" s="30" t="s">
        <v>193</v>
      </c>
      <c r="H106" s="30" t="s">
        <v>194</v>
      </c>
      <c r="I106" s="30" t="s">
        <v>26053</v>
      </c>
      <c r="J106" s="30" t="s">
        <v>4751</v>
      </c>
      <c r="K106" s="30" t="s">
        <v>9309</v>
      </c>
      <c r="L106" s="30" t="s">
        <v>6955</v>
      </c>
      <c r="M106" s="30"/>
      <c r="N106" s="30" t="s">
        <v>26488</v>
      </c>
      <c r="O106" s="30" t="s">
        <v>6277</v>
      </c>
      <c r="P106" s="30" t="s">
        <v>26449</v>
      </c>
      <c r="Q106" s="30" t="s">
        <v>26120</v>
      </c>
      <c r="R106" s="30" t="s">
        <v>24551</v>
      </c>
      <c r="S106" s="30" t="s">
        <v>26489</v>
      </c>
      <c r="T106" s="30" t="s">
        <v>26490</v>
      </c>
      <c r="U106" s="30"/>
      <c r="V106" s="30">
        <v>1862</v>
      </c>
      <c r="W106" s="30" t="s">
        <v>246</v>
      </c>
      <c r="X106" s="30" t="s">
        <v>194</v>
      </c>
      <c r="Y106" s="30" t="s">
        <v>9300</v>
      </c>
      <c r="Z106" s="30"/>
      <c r="AA106" s="30"/>
      <c r="AB106" s="30" t="s">
        <v>9311</v>
      </c>
      <c r="AC106" s="30"/>
      <c r="AD106" s="30"/>
      <c r="AE106" s="30"/>
      <c r="AF106" s="30"/>
      <c r="AG106" s="30"/>
      <c r="AH106" s="30" t="s">
        <v>4714</v>
      </c>
      <c r="AI106" s="30" t="s">
        <v>9433</v>
      </c>
      <c r="AJ106" s="641" t="str">
        <f t="shared" si="2"/>
        <v>142004</v>
      </c>
      <c r="AK106" s="641">
        <v>1</v>
      </c>
      <c r="AL106" s="641">
        <f t="shared" si="3"/>
        <v>1</v>
      </c>
      <c r="AM106" s="641">
        <v>1</v>
      </c>
      <c r="AN106" s="30" t="s">
        <v>17650</v>
      </c>
      <c r="AO106" s="30" t="s">
        <v>17651</v>
      </c>
      <c r="AP106" s="30" t="s">
        <v>17652</v>
      </c>
      <c r="AQ106" s="30" t="s">
        <v>17653</v>
      </c>
      <c r="AR106" s="30" t="s">
        <v>1024</v>
      </c>
      <c r="AS106" s="30">
        <v>1</v>
      </c>
    </row>
    <row r="107" spans="1:45" x14ac:dyDescent="0.25">
      <c r="A107" s="30" t="s">
        <v>23858</v>
      </c>
      <c r="B107" s="30" t="s">
        <v>26491</v>
      </c>
      <c r="C107" s="30" t="s">
        <v>51</v>
      </c>
      <c r="D107" s="139" t="s">
        <v>26052</v>
      </c>
      <c r="E107" s="30" t="s">
        <v>217</v>
      </c>
      <c r="F107" s="30">
        <v>1</v>
      </c>
      <c r="G107" s="30" t="s">
        <v>193</v>
      </c>
      <c r="H107" s="30" t="s">
        <v>194</v>
      </c>
      <c r="I107" s="30" t="s">
        <v>26053</v>
      </c>
      <c r="J107" s="30" t="s">
        <v>253</v>
      </c>
      <c r="K107" s="30" t="s">
        <v>9309</v>
      </c>
      <c r="L107" s="30" t="s">
        <v>6955</v>
      </c>
      <c r="M107" s="30"/>
      <c r="N107" s="30" t="s">
        <v>26492</v>
      </c>
      <c r="O107" s="30" t="s">
        <v>6251</v>
      </c>
      <c r="P107" s="30" t="s">
        <v>26449</v>
      </c>
      <c r="Q107" s="30" t="s">
        <v>26150</v>
      </c>
      <c r="R107" s="30" t="s">
        <v>23804</v>
      </c>
      <c r="S107" s="30" t="s">
        <v>26493</v>
      </c>
      <c r="T107" s="30" t="s">
        <v>26494</v>
      </c>
      <c r="U107" s="30"/>
      <c r="V107" s="30">
        <v>1811</v>
      </c>
      <c r="W107" s="30" t="s">
        <v>904</v>
      </c>
      <c r="X107" s="30" t="s">
        <v>194</v>
      </c>
      <c r="Y107" s="30" t="s">
        <v>9300</v>
      </c>
      <c r="Z107" s="30"/>
      <c r="AA107" s="30"/>
      <c r="AB107" s="30" t="s">
        <v>9311</v>
      </c>
      <c r="AC107" s="30"/>
      <c r="AD107" s="30"/>
      <c r="AE107" s="30"/>
      <c r="AF107" s="30"/>
      <c r="AG107" s="30"/>
      <c r="AH107" s="30" t="s">
        <v>4714</v>
      </c>
      <c r="AI107" s="30" t="s">
        <v>9433</v>
      </c>
      <c r="AJ107" s="641" t="str">
        <f t="shared" si="2"/>
        <v>523002</v>
      </c>
      <c r="AK107" s="641">
        <v>1</v>
      </c>
      <c r="AL107" s="641">
        <f t="shared" si="3"/>
        <v>1</v>
      </c>
      <c r="AM107" s="641">
        <v>1</v>
      </c>
      <c r="AN107" s="30" t="s">
        <v>17650</v>
      </c>
      <c r="AO107" s="30" t="s">
        <v>17651</v>
      </c>
      <c r="AP107" s="30" t="s">
        <v>17652</v>
      </c>
      <c r="AQ107" s="30" t="s">
        <v>17653</v>
      </c>
      <c r="AR107" s="30" t="s">
        <v>1024</v>
      </c>
      <c r="AS107" s="30">
        <v>1</v>
      </c>
    </row>
    <row r="108" spans="1:45" x14ac:dyDescent="0.25">
      <c r="A108" s="30" t="s">
        <v>26153</v>
      </c>
      <c r="B108" s="30" t="s">
        <v>26495</v>
      </c>
      <c r="C108" s="30" t="s">
        <v>10</v>
      </c>
      <c r="D108" s="139" t="s">
        <v>26052</v>
      </c>
      <c r="E108" s="30" t="s">
        <v>217</v>
      </c>
      <c r="F108" s="30">
        <v>1</v>
      </c>
      <c r="G108" s="30" t="s">
        <v>193</v>
      </c>
      <c r="H108" s="30" t="s">
        <v>194</v>
      </c>
      <c r="I108" s="30" t="s">
        <v>26053</v>
      </c>
      <c r="J108" s="30" t="s">
        <v>210</v>
      </c>
      <c r="K108" s="30" t="s">
        <v>9309</v>
      </c>
      <c r="L108" s="30" t="s">
        <v>6955</v>
      </c>
      <c r="M108" s="30"/>
      <c r="N108" s="30" t="s">
        <v>26496</v>
      </c>
      <c r="O108" s="30" t="s">
        <v>6261</v>
      </c>
      <c r="P108" s="30" t="s">
        <v>26449</v>
      </c>
      <c r="Q108" s="30" t="s">
        <v>26150</v>
      </c>
      <c r="R108" s="30" t="s">
        <v>23804</v>
      </c>
      <c r="S108" s="30" t="s">
        <v>26497</v>
      </c>
      <c r="T108" s="30" t="s">
        <v>26498</v>
      </c>
      <c r="U108" s="30"/>
      <c r="V108" s="30">
        <v>1863</v>
      </c>
      <c r="W108" s="30" t="s">
        <v>484</v>
      </c>
      <c r="X108" s="30" t="s">
        <v>194</v>
      </c>
      <c r="Y108" s="30" t="s">
        <v>9300</v>
      </c>
      <c r="Z108" s="30"/>
      <c r="AA108" s="30"/>
      <c r="AB108" s="30" t="s">
        <v>9311</v>
      </c>
      <c r="AC108" s="30"/>
      <c r="AD108" s="30"/>
      <c r="AE108" s="30"/>
      <c r="AF108" s="30"/>
      <c r="AG108" s="30"/>
      <c r="AH108" s="30" t="s">
        <v>4714</v>
      </c>
      <c r="AI108" s="30" t="s">
        <v>9433</v>
      </c>
      <c r="AJ108" s="641" t="str">
        <f t="shared" si="2"/>
        <v>251401</v>
      </c>
      <c r="AK108" s="641">
        <v>1</v>
      </c>
      <c r="AL108" s="641">
        <f t="shared" si="3"/>
        <v>1</v>
      </c>
      <c r="AM108" s="641">
        <v>1</v>
      </c>
      <c r="AN108" s="30" t="s">
        <v>17650</v>
      </c>
      <c r="AO108" s="30" t="s">
        <v>17651</v>
      </c>
      <c r="AP108" s="30" t="s">
        <v>17652</v>
      </c>
      <c r="AQ108" s="30" t="s">
        <v>17653</v>
      </c>
      <c r="AR108" s="30" t="s">
        <v>1024</v>
      </c>
      <c r="AS108" s="30">
        <v>1</v>
      </c>
    </row>
    <row r="109" spans="1:45" x14ac:dyDescent="0.25">
      <c r="A109" s="30" t="s">
        <v>716</v>
      </c>
      <c r="B109" s="30" t="s">
        <v>26282</v>
      </c>
      <c r="C109" s="30" t="s">
        <v>24125</v>
      </c>
      <c r="D109" s="139" t="s">
        <v>26052</v>
      </c>
      <c r="E109" s="30" t="s">
        <v>217</v>
      </c>
      <c r="F109" s="30">
        <v>1</v>
      </c>
      <c r="G109" s="30" t="s">
        <v>193</v>
      </c>
      <c r="H109" s="30" t="s">
        <v>194</v>
      </c>
      <c r="I109" s="30" t="s">
        <v>26053</v>
      </c>
      <c r="J109" s="30" t="s">
        <v>210</v>
      </c>
      <c r="K109" s="30" t="s">
        <v>9309</v>
      </c>
      <c r="L109" s="30" t="s">
        <v>6955</v>
      </c>
      <c r="M109" s="30"/>
      <c r="N109" s="30" t="s">
        <v>26499</v>
      </c>
      <c r="O109" s="30" t="s">
        <v>6921</v>
      </c>
      <c r="P109" s="30" t="s">
        <v>26114</v>
      </c>
      <c r="Q109" s="30" t="s">
        <v>25944</v>
      </c>
      <c r="R109" s="30" t="s">
        <v>26115</v>
      </c>
      <c r="S109" s="30" t="s">
        <v>26500</v>
      </c>
      <c r="T109" s="30" t="s">
        <v>26501</v>
      </c>
      <c r="U109" s="30"/>
      <c r="V109" s="30">
        <v>1863</v>
      </c>
      <c r="W109" s="30" t="s">
        <v>24129</v>
      </c>
      <c r="X109" s="30" t="s">
        <v>194</v>
      </c>
      <c r="Y109" s="30" t="s">
        <v>9300</v>
      </c>
      <c r="Z109" s="30"/>
      <c r="AA109" s="30"/>
      <c r="AB109" s="30" t="s">
        <v>9311</v>
      </c>
      <c r="AC109" s="30"/>
      <c r="AD109" s="30"/>
      <c r="AE109" s="30"/>
      <c r="AF109" s="30"/>
      <c r="AG109" s="30"/>
      <c r="AH109" s="30" t="s">
        <v>4714</v>
      </c>
      <c r="AI109" s="30" t="s">
        <v>9433</v>
      </c>
      <c r="AJ109" s="641" t="str">
        <f t="shared" si="2"/>
        <v>351401</v>
      </c>
      <c r="AK109" s="641">
        <v>1</v>
      </c>
      <c r="AL109" s="641">
        <f t="shared" si="3"/>
        <v>1</v>
      </c>
      <c r="AM109" s="641">
        <v>1</v>
      </c>
      <c r="AN109" s="30" t="s">
        <v>17650</v>
      </c>
      <c r="AO109" s="30" t="s">
        <v>17651</v>
      </c>
      <c r="AP109" s="30" t="s">
        <v>17652</v>
      </c>
      <c r="AQ109" s="30" t="s">
        <v>17653</v>
      </c>
      <c r="AR109" s="30" t="s">
        <v>1024</v>
      </c>
      <c r="AS109" s="30">
        <v>1</v>
      </c>
    </row>
    <row r="110" spans="1:45" x14ac:dyDescent="0.25">
      <c r="A110" s="30" t="s">
        <v>26089</v>
      </c>
      <c r="B110" s="30" t="s">
        <v>26502</v>
      </c>
      <c r="C110" s="30" t="s">
        <v>46</v>
      </c>
      <c r="D110" s="139" t="s">
        <v>26052</v>
      </c>
      <c r="E110" s="30" t="s">
        <v>217</v>
      </c>
      <c r="F110" s="30">
        <v>1</v>
      </c>
      <c r="G110" s="30" t="s">
        <v>193</v>
      </c>
      <c r="H110" s="30" t="s">
        <v>194</v>
      </c>
      <c r="I110" s="30" t="s">
        <v>26133</v>
      </c>
      <c r="J110" s="30" t="s">
        <v>210</v>
      </c>
      <c r="K110" s="30" t="s">
        <v>9309</v>
      </c>
      <c r="L110" s="30" t="s">
        <v>6955</v>
      </c>
      <c r="M110" s="30"/>
      <c r="N110" s="30" t="s">
        <v>26503</v>
      </c>
      <c r="O110" s="30" t="s">
        <v>6261</v>
      </c>
      <c r="P110" s="30" t="s">
        <v>26449</v>
      </c>
      <c r="Q110" s="30" t="s">
        <v>26092</v>
      </c>
      <c r="R110" s="30" t="s">
        <v>26093</v>
      </c>
      <c r="S110" s="30" t="s">
        <v>26504</v>
      </c>
      <c r="T110" s="30" t="s">
        <v>26505</v>
      </c>
      <c r="U110" s="30"/>
      <c r="V110" s="30">
        <v>1863</v>
      </c>
      <c r="W110" s="30" t="s">
        <v>510</v>
      </c>
      <c r="X110" s="30" t="s">
        <v>194</v>
      </c>
      <c r="Y110" s="30" t="s">
        <v>9300</v>
      </c>
      <c r="Z110" s="30"/>
      <c r="AA110" s="30"/>
      <c r="AB110" s="30" t="s">
        <v>9311</v>
      </c>
      <c r="AC110" s="30"/>
      <c r="AD110" s="30"/>
      <c r="AE110" s="30"/>
      <c r="AF110" s="30"/>
      <c r="AG110" s="30"/>
      <c r="AH110" s="30" t="s">
        <v>4714</v>
      </c>
      <c r="AI110" s="30" t="s">
        <v>9433</v>
      </c>
      <c r="AJ110" s="641" t="str">
        <f t="shared" si="2"/>
        <v>252201</v>
      </c>
      <c r="AK110" s="641">
        <v>1</v>
      </c>
      <c r="AL110" s="641">
        <f t="shared" si="3"/>
        <v>1</v>
      </c>
      <c r="AM110" s="641">
        <v>1</v>
      </c>
      <c r="AN110" s="30" t="s">
        <v>17650</v>
      </c>
      <c r="AO110" s="30" t="s">
        <v>17651</v>
      </c>
      <c r="AP110" s="30" t="s">
        <v>17652</v>
      </c>
      <c r="AQ110" s="30" t="s">
        <v>17653</v>
      </c>
      <c r="AR110" s="30" t="s">
        <v>1024</v>
      </c>
      <c r="AS110" s="30">
        <v>1</v>
      </c>
    </row>
    <row r="111" spans="1:45" x14ac:dyDescent="0.25">
      <c r="A111" s="30" t="s">
        <v>716</v>
      </c>
      <c r="B111" s="30" t="s">
        <v>26249</v>
      </c>
      <c r="C111" s="30" t="s">
        <v>27</v>
      </c>
      <c r="D111" s="139" t="s">
        <v>26052</v>
      </c>
      <c r="E111" s="30" t="s">
        <v>217</v>
      </c>
      <c r="F111" s="30">
        <v>1</v>
      </c>
      <c r="G111" s="30" t="s">
        <v>193</v>
      </c>
      <c r="H111" s="30" t="s">
        <v>194</v>
      </c>
      <c r="I111" s="30" t="s">
        <v>26060</v>
      </c>
      <c r="J111" s="30" t="s">
        <v>210</v>
      </c>
      <c r="K111" s="30" t="s">
        <v>9309</v>
      </c>
      <c r="L111" s="30" t="s">
        <v>6955</v>
      </c>
      <c r="M111" s="30"/>
      <c r="N111" s="30" t="s">
        <v>26506</v>
      </c>
      <c r="O111" s="30" t="s">
        <v>6340</v>
      </c>
      <c r="P111" s="30" t="s">
        <v>26449</v>
      </c>
      <c r="Q111" s="30" t="s">
        <v>26108</v>
      </c>
      <c r="R111" s="30" t="s">
        <v>26109</v>
      </c>
      <c r="S111" s="30" t="s">
        <v>26507</v>
      </c>
      <c r="T111" s="30" t="s">
        <v>26508</v>
      </c>
      <c r="U111" s="30"/>
      <c r="V111" s="30">
        <v>1863</v>
      </c>
      <c r="W111" s="30" t="s">
        <v>440</v>
      </c>
      <c r="X111" s="30" t="s">
        <v>194</v>
      </c>
      <c r="Y111" s="30" t="s">
        <v>9300</v>
      </c>
      <c r="Z111" s="30"/>
      <c r="AA111" s="30"/>
      <c r="AB111" s="30" t="s">
        <v>9311</v>
      </c>
      <c r="AC111" s="30"/>
      <c r="AD111" s="30"/>
      <c r="AE111" s="30"/>
      <c r="AF111" s="30"/>
      <c r="AG111" s="30"/>
      <c r="AH111" s="30" t="s">
        <v>5109</v>
      </c>
      <c r="AI111" s="30" t="s">
        <v>9433</v>
      </c>
      <c r="AJ111" s="641" t="str">
        <f t="shared" si="2"/>
        <v>242307</v>
      </c>
      <c r="AK111" s="641">
        <v>1</v>
      </c>
      <c r="AL111" s="641">
        <f t="shared" si="3"/>
        <v>1</v>
      </c>
      <c r="AM111" s="641">
        <v>1</v>
      </c>
      <c r="AN111" s="30" t="s">
        <v>17650</v>
      </c>
      <c r="AO111" s="30" t="s">
        <v>17651</v>
      </c>
      <c r="AP111" s="30" t="s">
        <v>17652</v>
      </c>
      <c r="AQ111" s="30" t="s">
        <v>17653</v>
      </c>
      <c r="AR111" s="30" t="s">
        <v>1024</v>
      </c>
      <c r="AS111" s="30">
        <v>1</v>
      </c>
    </row>
    <row r="112" spans="1:45" x14ac:dyDescent="0.25">
      <c r="A112" s="30" t="s">
        <v>716</v>
      </c>
      <c r="B112" s="30" t="s">
        <v>26282</v>
      </c>
      <c r="C112" s="30" t="s">
        <v>24125</v>
      </c>
      <c r="D112" s="139" t="s">
        <v>26052</v>
      </c>
      <c r="E112" s="30" t="s">
        <v>217</v>
      </c>
      <c r="F112" s="30">
        <v>1</v>
      </c>
      <c r="G112" s="30" t="s">
        <v>193</v>
      </c>
      <c r="H112" s="30" t="s">
        <v>194</v>
      </c>
      <c r="I112" s="30" t="s">
        <v>26053</v>
      </c>
      <c r="J112" s="30" t="s">
        <v>210</v>
      </c>
      <c r="K112" s="30" t="s">
        <v>9309</v>
      </c>
      <c r="L112" s="30" t="s">
        <v>6955</v>
      </c>
      <c r="M112" s="30"/>
      <c r="N112" s="30" t="s">
        <v>26509</v>
      </c>
      <c r="O112" s="30" t="s">
        <v>6290</v>
      </c>
      <c r="P112" s="30" t="s">
        <v>26449</v>
      </c>
      <c r="Q112" s="30" t="s">
        <v>25478</v>
      </c>
      <c r="R112" s="30" t="s">
        <v>26139</v>
      </c>
      <c r="S112" s="30" t="s">
        <v>26510</v>
      </c>
      <c r="T112" s="30" t="s">
        <v>26511</v>
      </c>
      <c r="U112" s="30"/>
      <c r="V112" s="30">
        <v>1863</v>
      </c>
      <c r="W112" s="30" t="s">
        <v>24129</v>
      </c>
      <c r="X112" s="30" t="s">
        <v>194</v>
      </c>
      <c r="Y112" s="30" t="s">
        <v>9300</v>
      </c>
      <c r="Z112" s="30"/>
      <c r="AA112" s="30"/>
      <c r="AB112" s="30" t="s">
        <v>9311</v>
      </c>
      <c r="AC112" s="30"/>
      <c r="AD112" s="30"/>
      <c r="AE112" s="30"/>
      <c r="AF112" s="30"/>
      <c r="AG112" s="30"/>
      <c r="AH112" s="30" t="s">
        <v>4714</v>
      </c>
      <c r="AI112" s="30" t="s">
        <v>9433</v>
      </c>
      <c r="AJ112" s="641" t="str">
        <f t="shared" si="2"/>
        <v>351401</v>
      </c>
      <c r="AK112" s="641">
        <v>1</v>
      </c>
      <c r="AL112" s="641">
        <f t="shared" si="3"/>
        <v>1</v>
      </c>
      <c r="AM112" s="641">
        <v>1</v>
      </c>
      <c r="AN112" s="30" t="s">
        <v>17650</v>
      </c>
      <c r="AO112" s="30" t="s">
        <v>17651</v>
      </c>
      <c r="AP112" s="30" t="s">
        <v>17652</v>
      </c>
      <c r="AQ112" s="30" t="s">
        <v>17653</v>
      </c>
      <c r="AR112" s="30" t="s">
        <v>1024</v>
      </c>
      <c r="AS112" s="30">
        <v>1</v>
      </c>
    </row>
    <row r="113" spans="1:45" x14ac:dyDescent="0.25">
      <c r="A113" s="30" t="s">
        <v>581</v>
      </c>
      <c r="B113" s="30" t="s">
        <v>25347</v>
      </c>
      <c r="C113" s="30" t="s">
        <v>67</v>
      </c>
      <c r="D113" s="139" t="s">
        <v>26052</v>
      </c>
      <c r="E113" s="30" t="s">
        <v>217</v>
      </c>
      <c r="F113" s="30">
        <v>1</v>
      </c>
      <c r="G113" s="30" t="s">
        <v>193</v>
      </c>
      <c r="H113" s="30" t="s">
        <v>194</v>
      </c>
      <c r="I113" s="30" t="s">
        <v>26053</v>
      </c>
      <c r="J113" s="30" t="s">
        <v>976</v>
      </c>
      <c r="K113" s="30" t="s">
        <v>9309</v>
      </c>
      <c r="L113" s="30" t="s">
        <v>6955</v>
      </c>
      <c r="M113" s="30"/>
      <c r="N113" s="30" t="s">
        <v>26512</v>
      </c>
      <c r="O113" s="30" t="s">
        <v>6275</v>
      </c>
      <c r="P113" s="30" t="s">
        <v>26449</v>
      </c>
      <c r="Q113" s="30" t="s">
        <v>26261</v>
      </c>
      <c r="R113" s="30" t="s">
        <v>26160</v>
      </c>
      <c r="S113" s="30" t="s">
        <v>26513</v>
      </c>
      <c r="T113" s="30" t="s">
        <v>26514</v>
      </c>
      <c r="U113" s="30"/>
      <c r="V113" s="30">
        <v>1816.1863000000001</v>
      </c>
      <c r="W113" s="30" t="s">
        <v>709</v>
      </c>
      <c r="X113" s="30" t="s">
        <v>194</v>
      </c>
      <c r="Y113" s="30" t="s">
        <v>15841</v>
      </c>
      <c r="Z113" s="30"/>
      <c r="AA113" s="30"/>
      <c r="AB113" s="30" t="s">
        <v>9311</v>
      </c>
      <c r="AC113" s="30"/>
      <c r="AD113" s="30"/>
      <c r="AE113" s="30"/>
      <c r="AF113" s="30"/>
      <c r="AG113" s="30"/>
      <c r="AH113" s="30" t="s">
        <v>4714</v>
      </c>
      <c r="AI113" s="30" t="s">
        <v>9433</v>
      </c>
      <c r="AJ113" s="641" t="str">
        <f t="shared" si="2"/>
        <v>432103</v>
      </c>
      <c r="AK113" s="641">
        <v>1</v>
      </c>
      <c r="AL113" s="641">
        <f t="shared" si="3"/>
        <v>1</v>
      </c>
      <c r="AM113" s="641">
        <v>1</v>
      </c>
      <c r="AN113" s="30" t="s">
        <v>17650</v>
      </c>
      <c r="AO113" s="30" t="s">
        <v>17651</v>
      </c>
      <c r="AP113" s="30" t="s">
        <v>17652</v>
      </c>
      <c r="AQ113" s="30" t="s">
        <v>17653</v>
      </c>
      <c r="AR113" s="30" t="s">
        <v>1024</v>
      </c>
      <c r="AS113" s="30">
        <v>1</v>
      </c>
    </row>
    <row r="114" spans="1:45" x14ac:dyDescent="0.25">
      <c r="A114" s="30" t="s">
        <v>26193</v>
      </c>
      <c r="B114" s="30" t="s">
        <v>26194</v>
      </c>
      <c r="C114" s="30" t="s">
        <v>227</v>
      </c>
      <c r="D114" s="139" t="s">
        <v>26052</v>
      </c>
      <c r="E114" s="30" t="s">
        <v>217</v>
      </c>
      <c r="F114" s="30">
        <v>1</v>
      </c>
      <c r="G114" s="30" t="s">
        <v>193</v>
      </c>
      <c r="H114" s="30" t="s">
        <v>194</v>
      </c>
      <c r="I114" s="30" t="s">
        <v>26053</v>
      </c>
      <c r="J114" s="30" t="s">
        <v>408</v>
      </c>
      <c r="K114" s="30" t="s">
        <v>9309</v>
      </c>
      <c r="L114" s="30" t="s">
        <v>6955</v>
      </c>
      <c r="M114" s="30"/>
      <c r="N114" s="30" t="s">
        <v>26515</v>
      </c>
      <c r="O114" s="30" t="s">
        <v>6269</v>
      </c>
      <c r="P114" s="30" t="s">
        <v>26449</v>
      </c>
      <c r="Q114" s="30" t="s">
        <v>26159</v>
      </c>
      <c r="R114" s="30" t="s">
        <v>26160</v>
      </c>
      <c r="S114" s="30" t="s">
        <v>26516</v>
      </c>
      <c r="T114" s="30" t="s">
        <v>26517</v>
      </c>
      <c r="U114" s="30"/>
      <c r="V114" s="30">
        <v>1864</v>
      </c>
      <c r="W114" s="30" t="s">
        <v>229</v>
      </c>
      <c r="X114" s="30" t="s">
        <v>194</v>
      </c>
      <c r="Y114" s="30" t="s">
        <v>9300</v>
      </c>
      <c r="Z114" s="30"/>
      <c r="AA114" s="30"/>
      <c r="AB114" s="30" t="s">
        <v>9311</v>
      </c>
      <c r="AC114" s="30"/>
      <c r="AD114" s="30"/>
      <c r="AE114" s="30"/>
      <c r="AF114" s="30"/>
      <c r="AG114" s="30"/>
      <c r="AH114" s="30" t="s">
        <v>4714</v>
      </c>
      <c r="AI114" s="30" t="s">
        <v>9433</v>
      </c>
      <c r="AJ114" s="641" t="str">
        <f t="shared" si="2"/>
        <v>132401</v>
      </c>
      <c r="AK114" s="641">
        <v>1</v>
      </c>
      <c r="AL114" s="641">
        <f t="shared" si="3"/>
        <v>1</v>
      </c>
      <c r="AM114" s="641">
        <v>1</v>
      </c>
      <c r="AN114" s="30" t="s">
        <v>17650</v>
      </c>
      <c r="AO114" s="30" t="s">
        <v>17651</v>
      </c>
      <c r="AP114" s="30" t="s">
        <v>17652</v>
      </c>
      <c r="AQ114" s="30" t="s">
        <v>17653</v>
      </c>
      <c r="AR114" s="30" t="s">
        <v>1024</v>
      </c>
      <c r="AS114" s="30">
        <v>1</v>
      </c>
    </row>
    <row r="115" spans="1:45" x14ac:dyDescent="0.25">
      <c r="A115" s="30" t="s">
        <v>10145</v>
      </c>
      <c r="B115" s="30" t="s">
        <v>26518</v>
      </c>
      <c r="C115" s="30" t="s">
        <v>3968</v>
      </c>
      <c r="D115" s="139" t="s">
        <v>26052</v>
      </c>
      <c r="E115" s="30" t="s">
        <v>217</v>
      </c>
      <c r="F115" s="30">
        <v>1</v>
      </c>
      <c r="G115" s="30" t="s">
        <v>193</v>
      </c>
      <c r="H115" s="30" t="s">
        <v>194</v>
      </c>
      <c r="I115" s="30" t="s">
        <v>26053</v>
      </c>
      <c r="J115" s="30" t="s">
        <v>26228</v>
      </c>
      <c r="K115" s="30" t="s">
        <v>9309</v>
      </c>
      <c r="L115" s="30" t="s">
        <v>6955</v>
      </c>
      <c r="M115" s="30"/>
      <c r="N115" s="30" t="s">
        <v>26519</v>
      </c>
      <c r="O115" s="30" t="s">
        <v>6343</v>
      </c>
      <c r="P115" s="30" t="s">
        <v>26449</v>
      </c>
      <c r="Q115" s="30" t="s">
        <v>26218</v>
      </c>
      <c r="R115" s="30" t="s">
        <v>26219</v>
      </c>
      <c r="S115" s="30" t="s">
        <v>26520</v>
      </c>
      <c r="T115" s="30" t="s">
        <v>26521</v>
      </c>
      <c r="U115" s="30"/>
      <c r="V115" s="30">
        <v>1816</v>
      </c>
      <c r="W115" s="30" t="s">
        <v>3969</v>
      </c>
      <c r="X115" s="30" t="s">
        <v>194</v>
      </c>
      <c r="Y115" s="30" t="s">
        <v>9300</v>
      </c>
      <c r="Z115" s="30"/>
      <c r="AA115" s="30"/>
      <c r="AB115" s="30" t="s">
        <v>9311</v>
      </c>
      <c r="AC115" s="30"/>
      <c r="AD115" s="30"/>
      <c r="AE115" s="30"/>
      <c r="AF115" s="30"/>
      <c r="AG115" s="30"/>
      <c r="AH115" s="30" t="s">
        <v>4714</v>
      </c>
      <c r="AI115" s="30" t="s">
        <v>9433</v>
      </c>
      <c r="AJ115" s="641" t="str">
        <f t="shared" si="2"/>
        <v>141103</v>
      </c>
      <c r="AK115" s="641">
        <v>1</v>
      </c>
      <c r="AL115" s="641">
        <f t="shared" si="3"/>
        <v>1</v>
      </c>
      <c r="AM115" s="641">
        <v>1</v>
      </c>
      <c r="AN115" s="30" t="s">
        <v>17650</v>
      </c>
      <c r="AO115" s="30" t="s">
        <v>17651</v>
      </c>
      <c r="AP115" s="30" t="s">
        <v>17652</v>
      </c>
      <c r="AQ115" s="30" t="s">
        <v>17653</v>
      </c>
      <c r="AR115" s="30" t="s">
        <v>1024</v>
      </c>
      <c r="AS115" s="30">
        <v>1</v>
      </c>
    </row>
    <row r="116" spans="1:45" x14ac:dyDescent="0.25">
      <c r="A116" s="30" t="s">
        <v>26153</v>
      </c>
      <c r="B116" s="30" t="s">
        <v>2276</v>
      </c>
      <c r="C116" s="30" t="s">
        <v>10</v>
      </c>
      <c r="D116" s="139" t="s">
        <v>26052</v>
      </c>
      <c r="E116" s="30" t="s">
        <v>217</v>
      </c>
      <c r="F116" s="30">
        <v>1</v>
      </c>
      <c r="G116" s="30" t="s">
        <v>193</v>
      </c>
      <c r="H116" s="30" t="s">
        <v>194</v>
      </c>
      <c r="I116" s="30" t="s">
        <v>26053</v>
      </c>
      <c r="J116" s="30" t="s">
        <v>210</v>
      </c>
      <c r="K116" s="30" t="s">
        <v>9309</v>
      </c>
      <c r="L116" s="30" t="s">
        <v>6955</v>
      </c>
      <c r="M116" s="30"/>
      <c r="N116" s="30" t="s">
        <v>26522</v>
      </c>
      <c r="O116" s="30" t="s">
        <v>6261</v>
      </c>
      <c r="P116" s="30" t="s">
        <v>26449</v>
      </c>
      <c r="Q116" s="30" t="s">
        <v>26120</v>
      </c>
      <c r="R116" s="30" t="s">
        <v>24551</v>
      </c>
      <c r="S116" s="30" t="s">
        <v>26523</v>
      </c>
      <c r="T116" s="30" t="s">
        <v>26524</v>
      </c>
      <c r="U116" s="30"/>
      <c r="V116" s="30">
        <v>1863</v>
      </c>
      <c r="W116" s="30" t="s">
        <v>484</v>
      </c>
      <c r="X116" s="30" t="s">
        <v>194</v>
      </c>
      <c r="Y116" s="30" t="s">
        <v>9300</v>
      </c>
      <c r="Z116" s="30"/>
      <c r="AA116" s="30"/>
      <c r="AB116" s="30" t="s">
        <v>9311</v>
      </c>
      <c r="AC116" s="30"/>
      <c r="AD116" s="30"/>
      <c r="AE116" s="30"/>
      <c r="AF116" s="30"/>
      <c r="AG116" s="30"/>
      <c r="AH116" s="30" t="s">
        <v>4714</v>
      </c>
      <c r="AI116" s="30" t="s">
        <v>9433</v>
      </c>
      <c r="AJ116" s="641" t="str">
        <f t="shared" si="2"/>
        <v>251401</v>
      </c>
      <c r="AK116" s="641">
        <v>1</v>
      </c>
      <c r="AL116" s="641">
        <f t="shared" si="3"/>
        <v>1</v>
      </c>
      <c r="AM116" s="641">
        <v>1</v>
      </c>
      <c r="AN116" s="30" t="s">
        <v>17650</v>
      </c>
      <c r="AO116" s="30" t="s">
        <v>17651</v>
      </c>
      <c r="AP116" s="30" t="s">
        <v>17652</v>
      </c>
      <c r="AQ116" s="30" t="s">
        <v>17653</v>
      </c>
      <c r="AR116" s="30" t="s">
        <v>1024</v>
      </c>
      <c r="AS116" s="30">
        <v>1</v>
      </c>
    </row>
    <row r="117" spans="1:45" x14ac:dyDescent="0.25">
      <c r="A117" s="30" t="s">
        <v>10145</v>
      </c>
      <c r="B117" s="30" t="s">
        <v>2516</v>
      </c>
      <c r="C117" s="30" t="s">
        <v>17</v>
      </c>
      <c r="D117" s="139" t="s">
        <v>26052</v>
      </c>
      <c r="E117" s="30" t="s">
        <v>217</v>
      </c>
      <c r="F117" s="30">
        <v>1</v>
      </c>
      <c r="G117" s="30" t="s">
        <v>193</v>
      </c>
      <c r="H117" s="30" t="s">
        <v>194</v>
      </c>
      <c r="I117" s="30" t="s">
        <v>26060</v>
      </c>
      <c r="J117" s="30" t="s">
        <v>26228</v>
      </c>
      <c r="K117" s="30" t="s">
        <v>9309</v>
      </c>
      <c r="L117" s="30" t="s">
        <v>6955</v>
      </c>
      <c r="M117" s="30"/>
      <c r="N117" s="30" t="s">
        <v>26525</v>
      </c>
      <c r="O117" s="30" t="s">
        <v>6249</v>
      </c>
      <c r="P117" s="30" t="s">
        <v>26449</v>
      </c>
      <c r="Q117" s="30" t="s">
        <v>25478</v>
      </c>
      <c r="R117" s="30" t="s">
        <v>26139</v>
      </c>
      <c r="S117" s="30" t="s">
        <v>26526</v>
      </c>
      <c r="T117" s="30" t="s">
        <v>26527</v>
      </c>
      <c r="U117" s="30"/>
      <c r="V117" s="30">
        <v>1816</v>
      </c>
      <c r="W117" s="30" t="s">
        <v>624</v>
      </c>
      <c r="X117" s="30" t="s">
        <v>194</v>
      </c>
      <c r="Y117" s="30" t="s">
        <v>9300</v>
      </c>
      <c r="Z117" s="30"/>
      <c r="AA117" s="30"/>
      <c r="AB117" s="30" t="s">
        <v>9311</v>
      </c>
      <c r="AC117" s="30"/>
      <c r="AD117" s="30"/>
      <c r="AE117" s="30"/>
      <c r="AF117" s="30"/>
      <c r="AG117" s="30"/>
      <c r="AH117" s="30" t="s">
        <v>4714</v>
      </c>
      <c r="AI117" s="30" t="s">
        <v>9433</v>
      </c>
      <c r="AJ117" s="641" t="str">
        <f t="shared" si="2"/>
        <v>332203</v>
      </c>
      <c r="AK117" s="641">
        <v>1</v>
      </c>
      <c r="AL117" s="641">
        <f t="shared" si="3"/>
        <v>1</v>
      </c>
      <c r="AM117" s="641">
        <v>1</v>
      </c>
      <c r="AN117" s="30" t="s">
        <v>17650</v>
      </c>
      <c r="AO117" s="30" t="s">
        <v>17651</v>
      </c>
      <c r="AP117" s="30" t="s">
        <v>17652</v>
      </c>
      <c r="AQ117" s="30" t="s">
        <v>17653</v>
      </c>
      <c r="AR117" s="30" t="s">
        <v>1024</v>
      </c>
      <c r="AS117" s="30">
        <v>1</v>
      </c>
    </row>
    <row r="118" spans="1:45" x14ac:dyDescent="0.25">
      <c r="A118" s="30" t="s">
        <v>716</v>
      </c>
      <c r="B118" s="30" t="s">
        <v>26132</v>
      </c>
      <c r="C118" s="30" t="s">
        <v>24125</v>
      </c>
      <c r="D118" s="139" t="s">
        <v>26052</v>
      </c>
      <c r="E118" s="30" t="s">
        <v>217</v>
      </c>
      <c r="F118" s="30">
        <v>1</v>
      </c>
      <c r="G118" s="30" t="s">
        <v>193</v>
      </c>
      <c r="H118" s="30" t="s">
        <v>194</v>
      </c>
      <c r="I118" s="30" t="s">
        <v>26133</v>
      </c>
      <c r="J118" s="30" t="s">
        <v>210</v>
      </c>
      <c r="K118" s="30" t="s">
        <v>9309</v>
      </c>
      <c r="L118" s="30" t="s">
        <v>6955</v>
      </c>
      <c r="M118" s="30"/>
      <c r="N118" s="30" t="s">
        <v>26528</v>
      </c>
      <c r="O118" s="30" t="s">
        <v>6290</v>
      </c>
      <c r="P118" s="30" t="s">
        <v>26449</v>
      </c>
      <c r="Q118" s="30" t="s">
        <v>26085</v>
      </c>
      <c r="R118" s="30" t="s">
        <v>26057</v>
      </c>
      <c r="S118" s="30" t="s">
        <v>26529</v>
      </c>
      <c r="T118" s="30" t="s">
        <v>26530</v>
      </c>
      <c r="U118" s="30"/>
      <c r="V118" s="30">
        <v>1863</v>
      </c>
      <c r="W118" s="30" t="s">
        <v>24129</v>
      </c>
      <c r="X118" s="30" t="s">
        <v>194</v>
      </c>
      <c r="Y118" s="30" t="s">
        <v>9300</v>
      </c>
      <c r="Z118" s="30"/>
      <c r="AA118" s="30"/>
      <c r="AB118" s="30" t="s">
        <v>9311</v>
      </c>
      <c r="AC118" s="30"/>
      <c r="AD118" s="30"/>
      <c r="AE118" s="30"/>
      <c r="AF118" s="30"/>
      <c r="AG118" s="30"/>
      <c r="AH118" s="30" t="s">
        <v>4714</v>
      </c>
      <c r="AI118" s="30" t="s">
        <v>9433</v>
      </c>
      <c r="AJ118" s="641" t="str">
        <f t="shared" si="2"/>
        <v>351401</v>
      </c>
      <c r="AK118" s="641">
        <v>1</v>
      </c>
      <c r="AL118" s="641">
        <f t="shared" si="3"/>
        <v>1</v>
      </c>
      <c r="AM118" s="641">
        <v>1</v>
      </c>
      <c r="AN118" s="30" t="s">
        <v>17650</v>
      </c>
      <c r="AO118" s="30" t="s">
        <v>17651</v>
      </c>
      <c r="AP118" s="30" t="s">
        <v>17652</v>
      </c>
      <c r="AQ118" s="30" t="s">
        <v>17653</v>
      </c>
      <c r="AR118" s="30" t="s">
        <v>1024</v>
      </c>
      <c r="AS118" s="30">
        <v>1</v>
      </c>
    </row>
    <row r="119" spans="1:45" x14ac:dyDescent="0.25">
      <c r="A119" s="30" t="s">
        <v>258</v>
      </c>
      <c r="B119" s="30" t="s">
        <v>7677</v>
      </c>
      <c r="C119" s="30" t="s">
        <v>778</v>
      </c>
      <c r="D119" s="139" t="s">
        <v>26052</v>
      </c>
      <c r="E119" s="30" t="s">
        <v>217</v>
      </c>
      <c r="F119" s="30">
        <v>1</v>
      </c>
      <c r="G119" s="30" t="s">
        <v>193</v>
      </c>
      <c r="H119" s="30" t="s">
        <v>194</v>
      </c>
      <c r="I119" s="30" t="s">
        <v>26077</v>
      </c>
      <c r="J119" s="30" t="s">
        <v>747</v>
      </c>
      <c r="K119" s="30" t="s">
        <v>9309</v>
      </c>
      <c r="L119" s="30" t="s">
        <v>6955</v>
      </c>
      <c r="M119" s="30"/>
      <c r="N119" s="30" t="s">
        <v>26531</v>
      </c>
      <c r="O119" s="30" t="s">
        <v>6251</v>
      </c>
      <c r="P119" s="30" t="s">
        <v>26230</v>
      </c>
      <c r="Q119" s="30" t="s">
        <v>26241</v>
      </c>
      <c r="R119" s="30" t="s">
        <v>26086</v>
      </c>
      <c r="S119" s="30" t="s">
        <v>26532</v>
      </c>
      <c r="T119" s="30" t="s">
        <v>26533</v>
      </c>
      <c r="U119" s="30"/>
      <c r="V119" s="30">
        <v>1817</v>
      </c>
      <c r="W119" s="30" t="s">
        <v>779</v>
      </c>
      <c r="X119" s="30" t="s">
        <v>194</v>
      </c>
      <c r="Y119" s="30" t="s">
        <v>9300</v>
      </c>
      <c r="Z119" s="30"/>
      <c r="AA119" s="30"/>
      <c r="AB119" s="30" t="s">
        <v>9311</v>
      </c>
      <c r="AC119" s="30"/>
      <c r="AD119" s="30"/>
      <c r="AE119" s="30"/>
      <c r="AF119" s="30"/>
      <c r="AG119" s="30"/>
      <c r="AH119" s="30" t="s">
        <v>4714</v>
      </c>
      <c r="AI119" s="30" t="s">
        <v>778</v>
      </c>
      <c r="AJ119" s="641" t="str">
        <f t="shared" si="2"/>
        <v>524902</v>
      </c>
      <c r="AK119" s="641">
        <v>1</v>
      </c>
      <c r="AL119" s="641">
        <f t="shared" si="3"/>
        <v>1</v>
      </c>
      <c r="AM119" s="641">
        <v>1</v>
      </c>
      <c r="AN119" s="30" t="s">
        <v>17650</v>
      </c>
      <c r="AO119" s="30" t="s">
        <v>17651</v>
      </c>
      <c r="AP119" s="30" t="s">
        <v>17652</v>
      </c>
      <c r="AQ119" s="30" t="s">
        <v>17653</v>
      </c>
      <c r="AR119" s="30" t="s">
        <v>1024</v>
      </c>
      <c r="AS119" s="30">
        <v>1</v>
      </c>
    </row>
    <row r="120" spans="1:45" x14ac:dyDescent="0.25">
      <c r="A120" s="30" t="s">
        <v>26089</v>
      </c>
      <c r="B120" s="30" t="s">
        <v>26534</v>
      </c>
      <c r="C120" s="30" t="s">
        <v>27</v>
      </c>
      <c r="D120" s="139" t="s">
        <v>26052</v>
      </c>
      <c r="E120" s="30" t="s">
        <v>217</v>
      </c>
      <c r="F120" s="30">
        <v>1</v>
      </c>
      <c r="G120" s="30" t="s">
        <v>193</v>
      </c>
      <c r="H120" s="30" t="s">
        <v>194</v>
      </c>
      <c r="I120" s="30" t="s">
        <v>26053</v>
      </c>
      <c r="J120" s="30" t="s">
        <v>210</v>
      </c>
      <c r="K120" s="30" t="s">
        <v>9309</v>
      </c>
      <c r="L120" s="30" t="s">
        <v>6955</v>
      </c>
      <c r="M120" s="30"/>
      <c r="N120" s="30" t="s">
        <v>26535</v>
      </c>
      <c r="O120" s="30" t="s">
        <v>6921</v>
      </c>
      <c r="P120" s="30" t="s">
        <v>26449</v>
      </c>
      <c r="Q120" s="30" t="s">
        <v>26182</v>
      </c>
      <c r="R120" s="30" t="s">
        <v>26183</v>
      </c>
      <c r="S120" s="30" t="s">
        <v>26536</v>
      </c>
      <c r="T120" s="30" t="s">
        <v>26537</v>
      </c>
      <c r="U120" s="30"/>
      <c r="V120" s="30">
        <v>1863</v>
      </c>
      <c r="W120" s="30" t="s">
        <v>440</v>
      </c>
      <c r="X120" s="30" t="s">
        <v>194</v>
      </c>
      <c r="Y120" s="30" t="s">
        <v>9300</v>
      </c>
      <c r="Z120" s="30"/>
      <c r="AA120" s="30"/>
      <c r="AB120" s="30" t="s">
        <v>9311</v>
      </c>
      <c r="AC120" s="30"/>
      <c r="AD120" s="30"/>
      <c r="AE120" s="30"/>
      <c r="AF120" s="30"/>
      <c r="AG120" s="30"/>
      <c r="AH120" s="30" t="s">
        <v>4714</v>
      </c>
      <c r="AI120" s="30" t="s">
        <v>9433</v>
      </c>
      <c r="AJ120" s="641" t="str">
        <f t="shared" si="2"/>
        <v>242307</v>
      </c>
      <c r="AK120" s="641">
        <v>1</v>
      </c>
      <c r="AL120" s="641">
        <f t="shared" si="3"/>
        <v>1</v>
      </c>
      <c r="AM120" s="641">
        <v>1</v>
      </c>
      <c r="AN120" s="30" t="s">
        <v>17650</v>
      </c>
      <c r="AO120" s="30" t="s">
        <v>17651</v>
      </c>
      <c r="AP120" s="30" t="s">
        <v>17652</v>
      </c>
      <c r="AQ120" s="30" t="s">
        <v>17653</v>
      </c>
      <c r="AR120" s="30" t="s">
        <v>1024</v>
      </c>
      <c r="AS120" s="30">
        <v>1</v>
      </c>
    </row>
    <row r="121" spans="1:45" x14ac:dyDescent="0.25">
      <c r="A121" s="30" t="s">
        <v>26089</v>
      </c>
      <c r="B121" s="30" t="s">
        <v>26538</v>
      </c>
      <c r="C121" s="30" t="s">
        <v>46</v>
      </c>
      <c r="D121" s="139" t="s">
        <v>26052</v>
      </c>
      <c r="E121" s="30" t="s">
        <v>217</v>
      </c>
      <c r="F121" s="30">
        <v>1</v>
      </c>
      <c r="G121" s="30" t="s">
        <v>193</v>
      </c>
      <c r="H121" s="30" t="s">
        <v>194</v>
      </c>
      <c r="I121" s="30" t="s">
        <v>26133</v>
      </c>
      <c r="J121" s="30" t="s">
        <v>210</v>
      </c>
      <c r="K121" s="30" t="s">
        <v>9309</v>
      </c>
      <c r="L121" s="30" t="s">
        <v>6955</v>
      </c>
      <c r="M121" s="30"/>
      <c r="N121" s="30" t="s">
        <v>26539</v>
      </c>
      <c r="O121" s="30" t="s">
        <v>6921</v>
      </c>
      <c r="P121" s="30" t="s">
        <v>26449</v>
      </c>
      <c r="Q121" s="30" t="s">
        <v>26085</v>
      </c>
      <c r="R121" s="30" t="s">
        <v>26057</v>
      </c>
      <c r="S121" s="30" t="s">
        <v>26540</v>
      </c>
      <c r="T121" s="30" t="s">
        <v>26541</v>
      </c>
      <c r="U121" s="30"/>
      <c r="V121" s="30">
        <v>1863</v>
      </c>
      <c r="W121" s="30" t="s">
        <v>510</v>
      </c>
      <c r="X121" s="30" t="s">
        <v>194</v>
      </c>
      <c r="Y121" s="30" t="s">
        <v>9300</v>
      </c>
      <c r="Z121" s="30"/>
      <c r="AA121" s="30"/>
      <c r="AB121" s="30" t="s">
        <v>9311</v>
      </c>
      <c r="AC121" s="30"/>
      <c r="AD121" s="30"/>
      <c r="AE121" s="30"/>
      <c r="AF121" s="30"/>
      <c r="AG121" s="30"/>
      <c r="AH121" s="30" t="s">
        <v>4714</v>
      </c>
      <c r="AI121" s="30" t="s">
        <v>9433</v>
      </c>
      <c r="AJ121" s="641" t="str">
        <f t="shared" si="2"/>
        <v>252201</v>
      </c>
      <c r="AK121" s="641">
        <v>1</v>
      </c>
      <c r="AL121" s="641">
        <f t="shared" si="3"/>
        <v>1</v>
      </c>
      <c r="AM121" s="641">
        <v>1</v>
      </c>
      <c r="AN121" s="30" t="s">
        <v>17650</v>
      </c>
      <c r="AO121" s="30" t="s">
        <v>17651</v>
      </c>
      <c r="AP121" s="30" t="s">
        <v>17652</v>
      </c>
      <c r="AQ121" s="30" t="s">
        <v>17653</v>
      </c>
      <c r="AR121" s="30" t="s">
        <v>1024</v>
      </c>
      <c r="AS121" s="30">
        <v>1</v>
      </c>
    </row>
    <row r="122" spans="1:45" x14ac:dyDescent="0.25">
      <c r="A122" s="30" t="s">
        <v>716</v>
      </c>
      <c r="B122" s="30" t="s">
        <v>26542</v>
      </c>
      <c r="C122" s="30" t="s">
        <v>24125</v>
      </c>
      <c r="D122" s="139" t="s">
        <v>26052</v>
      </c>
      <c r="E122" s="30" t="s">
        <v>217</v>
      </c>
      <c r="F122" s="30">
        <v>1</v>
      </c>
      <c r="G122" s="30" t="s">
        <v>193</v>
      </c>
      <c r="H122" s="30" t="s">
        <v>194</v>
      </c>
      <c r="I122" s="30" t="s">
        <v>26053</v>
      </c>
      <c r="J122" s="30" t="s">
        <v>210</v>
      </c>
      <c r="K122" s="30" t="s">
        <v>9309</v>
      </c>
      <c r="L122" s="30" t="s">
        <v>6955</v>
      </c>
      <c r="M122" s="30"/>
      <c r="N122" s="30" t="s">
        <v>26543</v>
      </c>
      <c r="O122" s="30" t="s">
        <v>6261</v>
      </c>
      <c r="P122" s="30" t="s">
        <v>26449</v>
      </c>
      <c r="Q122" s="30" t="s">
        <v>26085</v>
      </c>
      <c r="R122" s="30" t="s">
        <v>26057</v>
      </c>
      <c r="S122" s="30" t="s">
        <v>26544</v>
      </c>
      <c r="T122" s="30" t="s">
        <v>26545</v>
      </c>
      <c r="U122" s="30"/>
      <c r="V122" s="30">
        <v>1863</v>
      </c>
      <c r="W122" s="30" t="s">
        <v>24129</v>
      </c>
      <c r="X122" s="30" t="s">
        <v>194</v>
      </c>
      <c r="Y122" s="30" t="s">
        <v>9300</v>
      </c>
      <c r="Z122" s="30"/>
      <c r="AA122" s="30"/>
      <c r="AB122" s="30" t="s">
        <v>9311</v>
      </c>
      <c r="AC122" s="30"/>
      <c r="AD122" s="30"/>
      <c r="AE122" s="30"/>
      <c r="AF122" s="30"/>
      <c r="AG122" s="30"/>
      <c r="AH122" s="30" t="s">
        <v>4714</v>
      </c>
      <c r="AI122" s="30" t="s">
        <v>9433</v>
      </c>
      <c r="AJ122" s="641" t="str">
        <f t="shared" si="2"/>
        <v>351401</v>
      </c>
      <c r="AK122" s="641">
        <v>1</v>
      </c>
      <c r="AL122" s="641">
        <f t="shared" si="3"/>
        <v>1</v>
      </c>
      <c r="AM122" s="641">
        <v>1</v>
      </c>
      <c r="AN122" s="30" t="s">
        <v>17650</v>
      </c>
      <c r="AO122" s="30" t="s">
        <v>17651</v>
      </c>
      <c r="AP122" s="30" t="s">
        <v>17652</v>
      </c>
      <c r="AQ122" s="30" t="s">
        <v>17653</v>
      </c>
      <c r="AR122" s="30" t="s">
        <v>1024</v>
      </c>
      <c r="AS122" s="30">
        <v>1</v>
      </c>
    </row>
    <row r="123" spans="1:45" x14ac:dyDescent="0.25">
      <c r="A123" s="30" t="s">
        <v>716</v>
      </c>
      <c r="B123" s="30" t="s">
        <v>2764</v>
      </c>
      <c r="C123" s="30" t="s">
        <v>26180</v>
      </c>
      <c r="D123" s="139" t="s">
        <v>26052</v>
      </c>
      <c r="E123" s="30" t="s">
        <v>217</v>
      </c>
      <c r="F123" s="30">
        <v>1</v>
      </c>
      <c r="G123" s="30" t="s">
        <v>193</v>
      </c>
      <c r="H123" s="30" t="s">
        <v>194</v>
      </c>
      <c r="I123" s="30" t="s">
        <v>26053</v>
      </c>
      <c r="J123" s="30" t="s">
        <v>210</v>
      </c>
      <c r="K123" s="30" t="s">
        <v>9309</v>
      </c>
      <c r="L123" s="30" t="s">
        <v>6955</v>
      </c>
      <c r="M123" s="30"/>
      <c r="N123" s="30" t="s">
        <v>26546</v>
      </c>
      <c r="O123" s="30" t="s">
        <v>6286</v>
      </c>
      <c r="P123" s="30" t="s">
        <v>26449</v>
      </c>
      <c r="Q123" s="30" t="s">
        <v>26261</v>
      </c>
      <c r="R123" s="30" t="s">
        <v>26262</v>
      </c>
      <c r="S123" s="30" t="s">
        <v>26547</v>
      </c>
      <c r="T123" s="30" t="s">
        <v>26548</v>
      </c>
      <c r="U123" s="30"/>
      <c r="V123" s="30">
        <v>1863</v>
      </c>
      <c r="W123" s="30" t="s">
        <v>26186</v>
      </c>
      <c r="X123" s="30" t="s">
        <v>194</v>
      </c>
      <c r="Y123" s="30" t="s">
        <v>9300</v>
      </c>
      <c r="Z123" s="30"/>
      <c r="AA123" s="30"/>
      <c r="AB123" s="30" t="s">
        <v>9311</v>
      </c>
      <c r="AC123" s="30"/>
      <c r="AD123" s="30"/>
      <c r="AE123" s="30"/>
      <c r="AF123" s="30"/>
      <c r="AG123" s="30"/>
      <c r="AH123" s="30" t="s">
        <v>4714</v>
      </c>
      <c r="AI123" s="30" t="s">
        <v>9433</v>
      </c>
      <c r="AJ123" s="641" t="str">
        <f t="shared" si="2"/>
        <v>421108</v>
      </c>
      <c r="AK123" s="641">
        <v>1</v>
      </c>
      <c r="AL123" s="641">
        <f t="shared" si="3"/>
        <v>1</v>
      </c>
      <c r="AM123" s="641">
        <v>1</v>
      </c>
      <c r="AN123" s="30" t="s">
        <v>17650</v>
      </c>
      <c r="AO123" s="30" t="s">
        <v>17651</v>
      </c>
      <c r="AP123" s="30" t="s">
        <v>17652</v>
      </c>
      <c r="AQ123" s="30" t="s">
        <v>17653</v>
      </c>
      <c r="AR123" s="30" t="s">
        <v>1024</v>
      </c>
      <c r="AS123" s="30">
        <v>1</v>
      </c>
    </row>
    <row r="124" spans="1:45" x14ac:dyDescent="0.25">
      <c r="A124" s="30" t="s">
        <v>26424</v>
      </c>
      <c r="B124" s="30" t="s">
        <v>26425</v>
      </c>
      <c r="C124" s="30" t="s">
        <v>296</v>
      </c>
      <c r="D124" s="139" t="s">
        <v>26052</v>
      </c>
      <c r="E124" s="30" t="s">
        <v>217</v>
      </c>
      <c r="F124" s="30">
        <v>1</v>
      </c>
      <c r="G124" s="30" t="s">
        <v>193</v>
      </c>
      <c r="H124" s="30" t="s">
        <v>194</v>
      </c>
      <c r="I124" s="30" t="s">
        <v>26133</v>
      </c>
      <c r="J124" s="30" t="s">
        <v>210</v>
      </c>
      <c r="K124" s="30" t="s">
        <v>9309</v>
      </c>
      <c r="L124" s="30" t="s">
        <v>6955</v>
      </c>
      <c r="M124" s="30"/>
      <c r="N124" s="30" t="s">
        <v>26549</v>
      </c>
      <c r="O124" s="30" t="s">
        <v>6269</v>
      </c>
      <c r="P124" s="30" t="s">
        <v>26114</v>
      </c>
      <c r="Q124" s="30" t="s">
        <v>25965</v>
      </c>
      <c r="R124" s="30" t="s">
        <v>26115</v>
      </c>
      <c r="S124" s="30" t="s">
        <v>26550</v>
      </c>
      <c r="T124" s="30" t="s">
        <v>26551</v>
      </c>
      <c r="U124" s="30"/>
      <c r="V124" s="30">
        <v>1863</v>
      </c>
      <c r="W124" s="30" t="s">
        <v>297</v>
      </c>
      <c r="X124" s="30" t="s">
        <v>194</v>
      </c>
      <c r="Y124" s="30" t="s">
        <v>9300</v>
      </c>
      <c r="Z124" s="30"/>
      <c r="AA124" s="30"/>
      <c r="AB124" s="30" t="s">
        <v>9311</v>
      </c>
      <c r="AC124" s="30"/>
      <c r="AD124" s="30"/>
      <c r="AE124" s="30"/>
      <c r="AF124" s="30"/>
      <c r="AG124" s="30"/>
      <c r="AH124" s="30" t="s">
        <v>4714</v>
      </c>
      <c r="AI124" s="30" t="s">
        <v>9433</v>
      </c>
      <c r="AJ124" s="641" t="str">
        <f t="shared" si="2"/>
        <v>214204</v>
      </c>
      <c r="AK124" s="641">
        <v>1</v>
      </c>
      <c r="AL124" s="641">
        <f t="shared" si="3"/>
        <v>1</v>
      </c>
      <c r="AM124" s="641">
        <v>1</v>
      </c>
      <c r="AN124" s="30" t="s">
        <v>17650</v>
      </c>
      <c r="AO124" s="30" t="s">
        <v>17651</v>
      </c>
      <c r="AP124" s="30" t="s">
        <v>17652</v>
      </c>
      <c r="AQ124" s="30" t="s">
        <v>17653</v>
      </c>
      <c r="AR124" s="30" t="s">
        <v>1024</v>
      </c>
      <c r="AS124" s="30">
        <v>1</v>
      </c>
    </row>
    <row r="125" spans="1:45" x14ac:dyDescent="0.25">
      <c r="A125" s="30" t="s">
        <v>26089</v>
      </c>
      <c r="B125" s="30" t="s">
        <v>26552</v>
      </c>
      <c r="C125" s="30" t="s">
        <v>27</v>
      </c>
      <c r="D125" s="139" t="s">
        <v>26052</v>
      </c>
      <c r="E125" s="30" t="s">
        <v>217</v>
      </c>
      <c r="F125" s="30">
        <v>1</v>
      </c>
      <c r="G125" s="30" t="s">
        <v>193</v>
      </c>
      <c r="H125" s="30" t="s">
        <v>194</v>
      </c>
      <c r="I125" s="30" t="s">
        <v>26060</v>
      </c>
      <c r="J125" s="30" t="s">
        <v>210</v>
      </c>
      <c r="K125" s="30" t="s">
        <v>9309</v>
      </c>
      <c r="L125" s="30" t="s">
        <v>6955</v>
      </c>
      <c r="M125" s="30"/>
      <c r="N125" s="30" t="s">
        <v>26553</v>
      </c>
      <c r="O125" s="30" t="s">
        <v>6340</v>
      </c>
      <c r="P125" s="30" t="s">
        <v>26449</v>
      </c>
      <c r="Q125" s="30" t="s">
        <v>25478</v>
      </c>
      <c r="R125" s="30" t="s">
        <v>26139</v>
      </c>
      <c r="S125" s="30" t="s">
        <v>26554</v>
      </c>
      <c r="T125" s="30" t="s">
        <v>26555</v>
      </c>
      <c r="U125" s="30"/>
      <c r="V125" s="30">
        <v>1863</v>
      </c>
      <c r="W125" s="30" t="s">
        <v>440</v>
      </c>
      <c r="X125" s="30" t="s">
        <v>194</v>
      </c>
      <c r="Y125" s="30" t="s">
        <v>9300</v>
      </c>
      <c r="Z125" s="30"/>
      <c r="AA125" s="30"/>
      <c r="AB125" s="30" t="s">
        <v>9311</v>
      </c>
      <c r="AC125" s="30"/>
      <c r="AD125" s="30"/>
      <c r="AE125" s="30"/>
      <c r="AF125" s="30"/>
      <c r="AG125" s="30"/>
      <c r="AH125" s="30" t="s">
        <v>4714</v>
      </c>
      <c r="AI125" s="30" t="s">
        <v>9433</v>
      </c>
      <c r="AJ125" s="641" t="str">
        <f t="shared" si="2"/>
        <v>242307</v>
      </c>
      <c r="AK125" s="641">
        <v>1</v>
      </c>
      <c r="AL125" s="641">
        <f t="shared" si="3"/>
        <v>1</v>
      </c>
      <c r="AM125" s="641">
        <v>1</v>
      </c>
      <c r="AN125" s="30" t="s">
        <v>17650</v>
      </c>
      <c r="AO125" s="30" t="s">
        <v>17651</v>
      </c>
      <c r="AP125" s="30" t="s">
        <v>17652</v>
      </c>
      <c r="AQ125" s="30" t="s">
        <v>17653</v>
      </c>
      <c r="AR125" s="30" t="s">
        <v>1024</v>
      </c>
      <c r="AS125" s="30">
        <v>1</v>
      </c>
    </row>
    <row r="126" spans="1:45" x14ac:dyDescent="0.25">
      <c r="A126" s="30" t="s">
        <v>26089</v>
      </c>
      <c r="B126" s="30" t="s">
        <v>26305</v>
      </c>
      <c r="C126" s="30" t="s">
        <v>26180</v>
      </c>
      <c r="D126" s="139" t="s">
        <v>26052</v>
      </c>
      <c r="E126" s="30" t="s">
        <v>217</v>
      </c>
      <c r="F126" s="30">
        <v>1</v>
      </c>
      <c r="G126" s="30" t="s">
        <v>193</v>
      </c>
      <c r="H126" s="30" t="s">
        <v>194</v>
      </c>
      <c r="I126" s="30" t="s">
        <v>26053</v>
      </c>
      <c r="J126" s="30" t="s">
        <v>316</v>
      </c>
      <c r="K126" s="30" t="s">
        <v>9309</v>
      </c>
      <c r="L126" s="30" t="s">
        <v>6955</v>
      </c>
      <c r="M126" s="30"/>
      <c r="N126" s="30" t="s">
        <v>26556</v>
      </c>
      <c r="O126" s="30" t="s">
        <v>7120</v>
      </c>
      <c r="P126" s="30" t="s">
        <v>26449</v>
      </c>
      <c r="Q126" s="30" t="s">
        <v>26092</v>
      </c>
      <c r="R126" s="30" t="s">
        <v>26093</v>
      </c>
      <c r="S126" s="30" t="s">
        <v>26557</v>
      </c>
      <c r="T126" s="30" t="s">
        <v>26558</v>
      </c>
      <c r="U126" s="30"/>
      <c r="V126" s="30">
        <v>1818</v>
      </c>
      <c r="W126" s="30" t="s">
        <v>26186</v>
      </c>
      <c r="X126" s="30" t="s">
        <v>194</v>
      </c>
      <c r="Y126" s="30" t="s">
        <v>9300</v>
      </c>
      <c r="Z126" s="30"/>
      <c r="AA126" s="30"/>
      <c r="AB126" s="30" t="s">
        <v>9311</v>
      </c>
      <c r="AC126" s="30"/>
      <c r="AD126" s="30"/>
      <c r="AE126" s="30"/>
      <c r="AF126" s="30"/>
      <c r="AG126" s="30"/>
      <c r="AH126" s="30" t="s">
        <v>4714</v>
      </c>
      <c r="AI126" s="30" t="s">
        <v>9433</v>
      </c>
      <c r="AJ126" s="641" t="str">
        <f t="shared" si="2"/>
        <v>421108</v>
      </c>
      <c r="AK126" s="641">
        <v>1</v>
      </c>
      <c r="AL126" s="641">
        <f t="shared" si="3"/>
        <v>1</v>
      </c>
      <c r="AM126" s="641">
        <v>1</v>
      </c>
      <c r="AN126" s="30" t="s">
        <v>17650</v>
      </c>
      <c r="AO126" s="30" t="s">
        <v>17651</v>
      </c>
      <c r="AP126" s="30" t="s">
        <v>17652</v>
      </c>
      <c r="AQ126" s="30" t="s">
        <v>17653</v>
      </c>
      <c r="AR126" s="30" t="s">
        <v>1024</v>
      </c>
      <c r="AS126" s="30">
        <v>1</v>
      </c>
    </row>
    <row r="127" spans="1:45" x14ac:dyDescent="0.25">
      <c r="A127" s="30" t="s">
        <v>23203</v>
      </c>
      <c r="B127" s="30" t="s">
        <v>26559</v>
      </c>
      <c r="C127" s="30" t="s">
        <v>84</v>
      </c>
      <c r="D127" s="139" t="s">
        <v>26052</v>
      </c>
      <c r="E127" s="30" t="s">
        <v>217</v>
      </c>
      <c r="F127" s="30">
        <v>1</v>
      </c>
      <c r="G127" s="30" t="s">
        <v>193</v>
      </c>
      <c r="H127" s="30" t="s">
        <v>194</v>
      </c>
      <c r="I127" s="30" t="s">
        <v>26143</v>
      </c>
      <c r="J127" s="30" t="s">
        <v>316</v>
      </c>
      <c r="K127" s="30" t="s">
        <v>9309</v>
      </c>
      <c r="L127" s="30" t="s">
        <v>6955</v>
      </c>
      <c r="M127" s="30"/>
      <c r="N127" s="30" t="s">
        <v>26560</v>
      </c>
      <c r="O127" s="30" t="s">
        <v>6269</v>
      </c>
      <c r="P127" s="30" t="s">
        <v>26449</v>
      </c>
      <c r="Q127" s="30" t="s">
        <v>26189</v>
      </c>
      <c r="R127" s="30" t="s">
        <v>26190</v>
      </c>
      <c r="S127" s="30" t="s">
        <v>26561</v>
      </c>
      <c r="T127" s="30" t="s">
        <v>26562</v>
      </c>
      <c r="U127" s="30"/>
      <c r="V127" s="30">
        <v>1818</v>
      </c>
      <c r="W127" s="30" t="s">
        <v>2665</v>
      </c>
      <c r="X127" s="30" t="s">
        <v>194</v>
      </c>
      <c r="Y127" s="30" t="s">
        <v>9300</v>
      </c>
      <c r="Z127" s="30"/>
      <c r="AA127" s="30"/>
      <c r="AB127" s="30" t="s">
        <v>9311</v>
      </c>
      <c r="AC127" s="30"/>
      <c r="AD127" s="30"/>
      <c r="AE127" s="30"/>
      <c r="AF127" s="30"/>
      <c r="AG127" s="30"/>
      <c r="AH127" s="30" t="s">
        <v>4714</v>
      </c>
      <c r="AI127" s="30" t="s">
        <v>9433</v>
      </c>
      <c r="AJ127" s="641" t="str">
        <f t="shared" si="2"/>
        <v>541315</v>
      </c>
      <c r="AK127" s="641">
        <v>1</v>
      </c>
      <c r="AL127" s="641">
        <f t="shared" si="3"/>
        <v>1</v>
      </c>
      <c r="AM127" s="641">
        <v>1</v>
      </c>
      <c r="AN127" s="30" t="s">
        <v>17650</v>
      </c>
      <c r="AO127" s="30" t="s">
        <v>17651</v>
      </c>
      <c r="AP127" s="30" t="s">
        <v>17652</v>
      </c>
      <c r="AQ127" s="30" t="s">
        <v>17653</v>
      </c>
      <c r="AR127" s="30" t="s">
        <v>1024</v>
      </c>
      <c r="AS127" s="30">
        <v>1</v>
      </c>
    </row>
    <row r="128" spans="1:45" x14ac:dyDescent="0.25">
      <c r="A128" s="30" t="s">
        <v>26153</v>
      </c>
      <c r="B128" s="30" t="s">
        <v>26563</v>
      </c>
      <c r="C128" s="30" t="s">
        <v>10</v>
      </c>
      <c r="D128" s="139" t="s">
        <v>26052</v>
      </c>
      <c r="E128" s="30" t="s">
        <v>217</v>
      </c>
      <c r="F128" s="30">
        <v>1</v>
      </c>
      <c r="G128" s="30" t="s">
        <v>193</v>
      </c>
      <c r="H128" s="30" t="s">
        <v>194</v>
      </c>
      <c r="I128" s="30" t="s">
        <v>26143</v>
      </c>
      <c r="J128" s="30" t="s">
        <v>210</v>
      </c>
      <c r="K128" s="30" t="s">
        <v>9309</v>
      </c>
      <c r="L128" s="30" t="s">
        <v>6955</v>
      </c>
      <c r="M128" s="30"/>
      <c r="N128" s="30" t="s">
        <v>26564</v>
      </c>
      <c r="O128" s="30" t="s">
        <v>6261</v>
      </c>
      <c r="P128" s="30" t="s">
        <v>26449</v>
      </c>
      <c r="Q128" s="30" t="s">
        <v>26251</v>
      </c>
      <c r="R128" s="30" t="s">
        <v>26252</v>
      </c>
      <c r="S128" s="30" t="s">
        <v>26565</v>
      </c>
      <c r="T128" s="30" t="s">
        <v>26566</v>
      </c>
      <c r="U128" s="30"/>
      <c r="V128" s="30">
        <v>1863</v>
      </c>
      <c r="W128" s="30" t="s">
        <v>484</v>
      </c>
      <c r="X128" s="30" t="s">
        <v>194</v>
      </c>
      <c r="Y128" s="30" t="s">
        <v>9300</v>
      </c>
      <c r="Z128" s="30"/>
      <c r="AA128" s="30"/>
      <c r="AB128" s="30" t="s">
        <v>9311</v>
      </c>
      <c r="AC128" s="30"/>
      <c r="AD128" s="30"/>
      <c r="AE128" s="30"/>
      <c r="AF128" s="30"/>
      <c r="AG128" s="30"/>
      <c r="AH128" s="30" t="s">
        <v>4714</v>
      </c>
      <c r="AI128" s="30" t="s">
        <v>9433</v>
      </c>
      <c r="AJ128" s="641" t="str">
        <f t="shared" si="2"/>
        <v>251401</v>
      </c>
      <c r="AK128" s="641">
        <v>1</v>
      </c>
      <c r="AL128" s="641">
        <f t="shared" si="3"/>
        <v>1</v>
      </c>
      <c r="AM128" s="641">
        <v>1</v>
      </c>
      <c r="AN128" s="30" t="s">
        <v>17650</v>
      </c>
      <c r="AO128" s="30" t="s">
        <v>17651</v>
      </c>
      <c r="AP128" s="30" t="s">
        <v>17652</v>
      </c>
      <c r="AQ128" s="30" t="s">
        <v>17653</v>
      </c>
      <c r="AR128" s="30" t="s">
        <v>1024</v>
      </c>
      <c r="AS128" s="30">
        <v>1</v>
      </c>
    </row>
    <row r="129" spans="1:45" x14ac:dyDescent="0.25">
      <c r="A129" s="30" t="s">
        <v>26089</v>
      </c>
      <c r="B129" s="30" t="s">
        <v>26567</v>
      </c>
      <c r="C129" s="30" t="s">
        <v>136</v>
      </c>
      <c r="D129" s="139" t="s">
        <v>26052</v>
      </c>
      <c r="E129" s="30" t="s">
        <v>217</v>
      </c>
      <c r="F129" s="30">
        <v>1</v>
      </c>
      <c r="G129" s="30" t="s">
        <v>193</v>
      </c>
      <c r="H129" s="30" t="s">
        <v>194</v>
      </c>
      <c r="I129" s="30" t="s">
        <v>26053</v>
      </c>
      <c r="J129" s="30" t="s">
        <v>210</v>
      </c>
      <c r="K129" s="30" t="s">
        <v>9309</v>
      </c>
      <c r="L129" s="30" t="s">
        <v>6955</v>
      </c>
      <c r="M129" s="30"/>
      <c r="N129" s="30" t="s">
        <v>26568</v>
      </c>
      <c r="O129" s="30" t="s">
        <v>6261</v>
      </c>
      <c r="P129" s="30" t="s">
        <v>26449</v>
      </c>
      <c r="Q129" s="30" t="s">
        <v>26261</v>
      </c>
      <c r="R129" s="30" t="s">
        <v>26262</v>
      </c>
      <c r="S129" s="30" t="s">
        <v>26569</v>
      </c>
      <c r="T129" s="30" t="s">
        <v>26570</v>
      </c>
      <c r="U129" s="30"/>
      <c r="V129" s="30">
        <v>1863</v>
      </c>
      <c r="W129" s="30" t="s">
        <v>461</v>
      </c>
      <c r="X129" s="30" t="s">
        <v>194</v>
      </c>
      <c r="Y129" s="30" t="s">
        <v>9300</v>
      </c>
      <c r="Z129" s="30"/>
      <c r="AA129" s="30"/>
      <c r="AB129" s="30" t="s">
        <v>9311</v>
      </c>
      <c r="AC129" s="30"/>
      <c r="AD129" s="30"/>
      <c r="AE129" s="30"/>
      <c r="AF129" s="30"/>
      <c r="AG129" s="30"/>
      <c r="AH129" s="30" t="s">
        <v>4714</v>
      </c>
      <c r="AI129" s="30" t="s">
        <v>9433</v>
      </c>
      <c r="AJ129" s="641" t="str">
        <f t="shared" si="2"/>
        <v>243301</v>
      </c>
      <c r="AK129" s="641">
        <v>1</v>
      </c>
      <c r="AL129" s="641">
        <f t="shared" si="3"/>
        <v>1</v>
      </c>
      <c r="AM129" s="641">
        <v>1</v>
      </c>
      <c r="AN129" s="30" t="s">
        <v>17650</v>
      </c>
      <c r="AO129" s="30" t="s">
        <v>17651</v>
      </c>
      <c r="AP129" s="30" t="s">
        <v>17652</v>
      </c>
      <c r="AQ129" s="30" t="s">
        <v>17653</v>
      </c>
      <c r="AR129" s="30" t="s">
        <v>1024</v>
      </c>
      <c r="AS129" s="30">
        <v>1</v>
      </c>
    </row>
    <row r="130" spans="1:45" x14ac:dyDescent="0.25">
      <c r="A130" s="30" t="s">
        <v>26089</v>
      </c>
      <c r="B130" s="30" t="s">
        <v>24788</v>
      </c>
      <c r="C130" s="30" t="s">
        <v>10</v>
      </c>
      <c r="D130" s="139" t="s">
        <v>26052</v>
      </c>
      <c r="E130" s="30" t="s">
        <v>217</v>
      </c>
      <c r="F130" s="30">
        <v>1</v>
      </c>
      <c r="G130" s="30" t="s">
        <v>193</v>
      </c>
      <c r="H130" s="30" t="s">
        <v>194</v>
      </c>
      <c r="I130" s="30" t="s">
        <v>26053</v>
      </c>
      <c r="J130" s="30" t="s">
        <v>210</v>
      </c>
      <c r="K130" s="30" t="s">
        <v>9309</v>
      </c>
      <c r="L130" s="30" t="s">
        <v>6955</v>
      </c>
      <c r="M130" s="30"/>
      <c r="N130" s="30" t="s">
        <v>26571</v>
      </c>
      <c r="O130" s="30" t="s">
        <v>6261</v>
      </c>
      <c r="P130" s="30" t="s">
        <v>26449</v>
      </c>
      <c r="Q130" s="30" t="s">
        <v>26374</v>
      </c>
      <c r="R130" s="30" t="s">
        <v>26375</v>
      </c>
      <c r="S130" s="30" t="s">
        <v>26572</v>
      </c>
      <c r="T130" s="30" t="s">
        <v>26573</v>
      </c>
      <c r="U130" s="30"/>
      <c r="V130" s="30">
        <v>1863</v>
      </c>
      <c r="W130" s="30" t="s">
        <v>484</v>
      </c>
      <c r="X130" s="30" t="s">
        <v>194</v>
      </c>
      <c r="Y130" s="30" t="s">
        <v>9300</v>
      </c>
      <c r="Z130" s="30"/>
      <c r="AA130" s="30"/>
      <c r="AB130" s="30" t="s">
        <v>9311</v>
      </c>
      <c r="AC130" s="30"/>
      <c r="AD130" s="30"/>
      <c r="AE130" s="30"/>
      <c r="AF130" s="30"/>
      <c r="AG130" s="30"/>
      <c r="AH130" s="30" t="s">
        <v>4714</v>
      </c>
      <c r="AI130" s="30" t="s">
        <v>9433</v>
      </c>
      <c r="AJ130" s="641" t="str">
        <f t="shared" si="2"/>
        <v>251401</v>
      </c>
      <c r="AK130" s="641">
        <v>1</v>
      </c>
      <c r="AL130" s="641">
        <f t="shared" si="3"/>
        <v>1</v>
      </c>
      <c r="AM130" s="641">
        <v>1</v>
      </c>
      <c r="AN130" s="30" t="s">
        <v>17650</v>
      </c>
      <c r="AO130" s="30" t="s">
        <v>17651</v>
      </c>
      <c r="AP130" s="30" t="s">
        <v>17652</v>
      </c>
      <c r="AQ130" s="30" t="s">
        <v>17653</v>
      </c>
      <c r="AR130" s="30" t="s">
        <v>1024</v>
      </c>
      <c r="AS130" s="30">
        <v>1</v>
      </c>
    </row>
    <row r="131" spans="1:45" x14ac:dyDescent="0.25">
      <c r="A131" s="30" t="s">
        <v>26574</v>
      </c>
      <c r="B131" s="30" t="s">
        <v>26575</v>
      </c>
      <c r="C131" s="30" t="s">
        <v>727</v>
      </c>
      <c r="D131" s="139" t="s">
        <v>26052</v>
      </c>
      <c r="E131" s="30" t="s">
        <v>217</v>
      </c>
      <c r="F131" s="30">
        <v>1</v>
      </c>
      <c r="G131" s="30" t="s">
        <v>193</v>
      </c>
      <c r="H131" s="30" t="s">
        <v>194</v>
      </c>
      <c r="I131" s="30" t="s">
        <v>26060</v>
      </c>
      <c r="J131" s="30" t="s">
        <v>408</v>
      </c>
      <c r="K131" s="30" t="s">
        <v>9309</v>
      </c>
      <c r="L131" s="30" t="s">
        <v>6955</v>
      </c>
      <c r="M131" s="30"/>
      <c r="N131" s="30" t="s">
        <v>26576</v>
      </c>
      <c r="O131" s="30" t="s">
        <v>6275</v>
      </c>
      <c r="P131" s="30" t="s">
        <v>26114</v>
      </c>
      <c r="Q131" s="30" t="s">
        <v>25944</v>
      </c>
      <c r="R131" s="30" t="s">
        <v>26115</v>
      </c>
      <c r="S131" s="30" t="s">
        <v>26577</v>
      </c>
      <c r="T131" s="30" t="s">
        <v>26578</v>
      </c>
      <c r="U131" s="30"/>
      <c r="V131" s="30">
        <v>1864</v>
      </c>
      <c r="W131" s="30" t="s">
        <v>728</v>
      </c>
      <c r="X131" s="30" t="s">
        <v>194</v>
      </c>
      <c r="Y131" s="30" t="s">
        <v>9300</v>
      </c>
      <c r="Z131" s="30"/>
      <c r="AA131" s="30"/>
      <c r="AB131" s="30" t="s">
        <v>9311</v>
      </c>
      <c r="AC131" s="30"/>
      <c r="AD131" s="30"/>
      <c r="AE131" s="30"/>
      <c r="AF131" s="30"/>
      <c r="AG131" s="30"/>
      <c r="AH131" s="30" t="s">
        <v>4714</v>
      </c>
      <c r="AI131" s="30" t="s">
        <v>9433</v>
      </c>
      <c r="AJ131" s="641" t="str">
        <f t="shared" ref="AJ131:AJ194" si="4">MID(W131,8,6)</f>
        <v>512001</v>
      </c>
      <c r="AK131" s="641">
        <v>1</v>
      </c>
      <c r="AL131" s="641">
        <f t="shared" ref="AL131:AL194" si="5">F131</f>
        <v>1</v>
      </c>
      <c r="AM131" s="641">
        <v>1</v>
      </c>
      <c r="AN131" s="30" t="s">
        <v>17650</v>
      </c>
      <c r="AO131" s="30" t="s">
        <v>17651</v>
      </c>
      <c r="AP131" s="30" t="s">
        <v>17652</v>
      </c>
      <c r="AQ131" s="30" t="s">
        <v>17653</v>
      </c>
      <c r="AR131" s="30" t="s">
        <v>1024</v>
      </c>
      <c r="AS131" s="30">
        <v>1</v>
      </c>
    </row>
    <row r="132" spans="1:45" x14ac:dyDescent="0.25">
      <c r="A132" s="30" t="s">
        <v>26153</v>
      </c>
      <c r="B132" s="30" t="s">
        <v>26579</v>
      </c>
      <c r="C132" s="30" t="s">
        <v>2861</v>
      </c>
      <c r="D132" s="139" t="s">
        <v>26052</v>
      </c>
      <c r="E132" s="30" t="s">
        <v>217</v>
      </c>
      <c r="F132" s="30">
        <v>1</v>
      </c>
      <c r="G132" s="30" t="s">
        <v>193</v>
      </c>
      <c r="H132" s="30" t="s">
        <v>194</v>
      </c>
      <c r="I132" s="30" t="s">
        <v>23198</v>
      </c>
      <c r="J132" s="30" t="s">
        <v>210</v>
      </c>
      <c r="K132" s="30" t="s">
        <v>9309</v>
      </c>
      <c r="L132" s="30" t="s">
        <v>6955</v>
      </c>
      <c r="M132" s="30"/>
      <c r="N132" s="30" t="s">
        <v>26580</v>
      </c>
      <c r="O132" s="30" t="s">
        <v>6261</v>
      </c>
      <c r="P132" s="30" t="s">
        <v>26449</v>
      </c>
      <c r="Q132" s="30" t="s">
        <v>26159</v>
      </c>
      <c r="R132" s="30" t="s">
        <v>26160</v>
      </c>
      <c r="S132" s="30" t="s">
        <v>26581</v>
      </c>
      <c r="T132" s="30" t="s">
        <v>26582</v>
      </c>
      <c r="U132" s="30"/>
      <c r="V132" s="30">
        <v>1863</v>
      </c>
      <c r="W132" s="30" t="s">
        <v>3629</v>
      </c>
      <c r="X132" s="30" t="s">
        <v>194</v>
      </c>
      <c r="Y132" s="30" t="s">
        <v>9300</v>
      </c>
      <c r="Z132" s="30"/>
      <c r="AA132" s="30"/>
      <c r="AB132" s="30" t="s">
        <v>9311</v>
      </c>
      <c r="AC132" s="30"/>
      <c r="AD132" s="30"/>
      <c r="AE132" s="30"/>
      <c r="AF132" s="30"/>
      <c r="AG132" s="30"/>
      <c r="AH132" s="30" t="s">
        <v>4714</v>
      </c>
      <c r="AI132" s="30" t="s">
        <v>9433</v>
      </c>
      <c r="AJ132" s="641" t="str">
        <f t="shared" si="4"/>
        <v>251903</v>
      </c>
      <c r="AK132" s="641">
        <v>1</v>
      </c>
      <c r="AL132" s="641">
        <f t="shared" si="5"/>
        <v>1</v>
      </c>
      <c r="AM132" s="641">
        <v>1</v>
      </c>
      <c r="AN132" s="30" t="s">
        <v>17650</v>
      </c>
      <c r="AO132" s="30" t="s">
        <v>17651</v>
      </c>
      <c r="AP132" s="30" t="s">
        <v>17652</v>
      </c>
      <c r="AQ132" s="30" t="s">
        <v>17653</v>
      </c>
      <c r="AR132" s="30" t="s">
        <v>1024</v>
      </c>
      <c r="AS132" s="30">
        <v>1</v>
      </c>
    </row>
    <row r="133" spans="1:45" x14ac:dyDescent="0.25">
      <c r="A133" s="30" t="s">
        <v>26089</v>
      </c>
      <c r="B133" s="30" t="s">
        <v>1053</v>
      </c>
      <c r="C133" s="30" t="s">
        <v>10</v>
      </c>
      <c r="D133" s="139" t="s">
        <v>26052</v>
      </c>
      <c r="E133" s="30" t="s">
        <v>217</v>
      </c>
      <c r="F133" s="30">
        <v>1</v>
      </c>
      <c r="G133" s="30" t="s">
        <v>193</v>
      </c>
      <c r="H133" s="30" t="s">
        <v>194</v>
      </c>
      <c r="I133" s="30" t="s">
        <v>23198</v>
      </c>
      <c r="J133" s="30" t="s">
        <v>210</v>
      </c>
      <c r="K133" s="30" t="s">
        <v>9309</v>
      </c>
      <c r="L133" s="30" t="s">
        <v>6955</v>
      </c>
      <c r="M133" s="30"/>
      <c r="N133" s="30" t="s">
        <v>26583</v>
      </c>
      <c r="O133" s="30" t="s">
        <v>6261</v>
      </c>
      <c r="P133" s="30" t="s">
        <v>26449</v>
      </c>
      <c r="Q133" s="30" t="s">
        <v>26584</v>
      </c>
      <c r="R133" s="30" t="s">
        <v>26099</v>
      </c>
      <c r="S133" s="30" t="s">
        <v>26585</v>
      </c>
      <c r="T133" s="30" t="s">
        <v>26586</v>
      </c>
      <c r="U133" s="30"/>
      <c r="V133" s="30">
        <v>1863</v>
      </c>
      <c r="W133" s="30" t="s">
        <v>484</v>
      </c>
      <c r="X133" s="30" t="s">
        <v>194</v>
      </c>
      <c r="Y133" s="30" t="s">
        <v>9300</v>
      </c>
      <c r="Z133" s="30"/>
      <c r="AA133" s="30"/>
      <c r="AB133" s="30" t="s">
        <v>9311</v>
      </c>
      <c r="AC133" s="30"/>
      <c r="AD133" s="30"/>
      <c r="AE133" s="30"/>
      <c r="AF133" s="30"/>
      <c r="AG133" s="30"/>
      <c r="AH133" s="30" t="s">
        <v>4714</v>
      </c>
      <c r="AI133" s="30" t="s">
        <v>9433</v>
      </c>
      <c r="AJ133" s="641" t="str">
        <f t="shared" si="4"/>
        <v>251401</v>
      </c>
      <c r="AK133" s="641">
        <v>1</v>
      </c>
      <c r="AL133" s="641">
        <f t="shared" si="5"/>
        <v>1</v>
      </c>
      <c r="AM133" s="641">
        <v>1</v>
      </c>
      <c r="AN133" s="30" t="s">
        <v>17650</v>
      </c>
      <c r="AO133" s="30" t="s">
        <v>17651</v>
      </c>
      <c r="AP133" s="30" t="s">
        <v>17652</v>
      </c>
      <c r="AQ133" s="30" t="s">
        <v>17653</v>
      </c>
      <c r="AR133" s="30" t="s">
        <v>1024</v>
      </c>
      <c r="AS133" s="30">
        <v>1</v>
      </c>
    </row>
    <row r="134" spans="1:45" x14ac:dyDescent="0.25">
      <c r="A134" s="30" t="s">
        <v>26153</v>
      </c>
      <c r="B134" s="30" t="s">
        <v>26587</v>
      </c>
      <c r="C134" s="30" t="s">
        <v>2861</v>
      </c>
      <c r="D134" s="139" t="s">
        <v>26052</v>
      </c>
      <c r="E134" s="30" t="s">
        <v>217</v>
      </c>
      <c r="F134" s="30">
        <v>1</v>
      </c>
      <c r="G134" s="30" t="s">
        <v>193</v>
      </c>
      <c r="H134" s="30" t="s">
        <v>194</v>
      </c>
      <c r="I134" s="30" t="s">
        <v>23198</v>
      </c>
      <c r="J134" s="30" t="s">
        <v>210</v>
      </c>
      <c r="K134" s="30" t="s">
        <v>9309</v>
      </c>
      <c r="L134" s="30" t="s">
        <v>6955</v>
      </c>
      <c r="M134" s="30"/>
      <c r="N134" s="30" t="s">
        <v>26588</v>
      </c>
      <c r="O134" s="30" t="s">
        <v>6261</v>
      </c>
      <c r="P134" s="30" t="s">
        <v>26449</v>
      </c>
      <c r="Q134" s="30" t="s">
        <v>26251</v>
      </c>
      <c r="R134" s="30" t="s">
        <v>26252</v>
      </c>
      <c r="S134" s="30" t="s">
        <v>26589</v>
      </c>
      <c r="T134" s="30" t="s">
        <v>26590</v>
      </c>
      <c r="U134" s="30"/>
      <c r="V134" s="30">
        <v>1863</v>
      </c>
      <c r="W134" s="30" t="s">
        <v>3629</v>
      </c>
      <c r="X134" s="30" t="s">
        <v>194</v>
      </c>
      <c r="Y134" s="30" t="s">
        <v>9300</v>
      </c>
      <c r="Z134" s="30"/>
      <c r="AA134" s="30"/>
      <c r="AB134" s="30" t="s">
        <v>9311</v>
      </c>
      <c r="AC134" s="30"/>
      <c r="AD134" s="30"/>
      <c r="AE134" s="30"/>
      <c r="AF134" s="30"/>
      <c r="AG134" s="30"/>
      <c r="AH134" s="30" t="s">
        <v>4714</v>
      </c>
      <c r="AI134" s="30" t="s">
        <v>9433</v>
      </c>
      <c r="AJ134" s="641" t="str">
        <f t="shared" si="4"/>
        <v>251903</v>
      </c>
      <c r="AK134" s="641">
        <v>1</v>
      </c>
      <c r="AL134" s="641">
        <f t="shared" si="5"/>
        <v>1</v>
      </c>
      <c r="AM134" s="641">
        <v>1</v>
      </c>
      <c r="AN134" s="30" t="s">
        <v>17650</v>
      </c>
      <c r="AO134" s="30" t="s">
        <v>17651</v>
      </c>
      <c r="AP134" s="30" t="s">
        <v>17652</v>
      </c>
      <c r="AQ134" s="30" t="s">
        <v>17653</v>
      </c>
      <c r="AR134" s="30" t="s">
        <v>1024</v>
      </c>
      <c r="AS134" s="30">
        <v>1</v>
      </c>
    </row>
    <row r="135" spans="1:45" x14ac:dyDescent="0.25">
      <c r="A135" s="30" t="s">
        <v>26591</v>
      </c>
      <c r="B135" s="30" t="s">
        <v>26592</v>
      </c>
      <c r="C135" s="30" t="s">
        <v>17366</v>
      </c>
      <c r="D135" s="139" t="s">
        <v>26052</v>
      </c>
      <c r="E135" s="30" t="s">
        <v>217</v>
      </c>
      <c r="F135" s="30">
        <v>1</v>
      </c>
      <c r="G135" s="30" t="s">
        <v>193</v>
      </c>
      <c r="H135" s="30" t="s">
        <v>194</v>
      </c>
      <c r="I135" s="30" t="s">
        <v>26143</v>
      </c>
      <c r="J135" s="30" t="s">
        <v>26593</v>
      </c>
      <c r="K135" s="30" t="s">
        <v>9309</v>
      </c>
      <c r="L135" s="30" t="s">
        <v>6955</v>
      </c>
      <c r="M135" s="30"/>
      <c r="N135" s="30" t="s">
        <v>26594</v>
      </c>
      <c r="O135" s="30" t="s">
        <v>6275</v>
      </c>
      <c r="P135" s="30" t="s">
        <v>26449</v>
      </c>
      <c r="Q135" s="30" t="s">
        <v>26595</v>
      </c>
      <c r="R135" s="30" t="s">
        <v>26596</v>
      </c>
      <c r="S135" s="30" t="s">
        <v>26597</v>
      </c>
      <c r="T135" s="30" t="s">
        <v>26598</v>
      </c>
      <c r="U135" s="30"/>
      <c r="V135" s="30">
        <v>1803</v>
      </c>
      <c r="W135" s="30" t="s">
        <v>17367</v>
      </c>
      <c r="X135" s="30" t="s">
        <v>194</v>
      </c>
      <c r="Y135" s="30" t="s">
        <v>9300</v>
      </c>
      <c r="Z135" s="30"/>
      <c r="AA135" s="30"/>
      <c r="AB135" s="30" t="s">
        <v>9311</v>
      </c>
      <c r="AC135" s="30"/>
      <c r="AD135" s="30"/>
      <c r="AE135" s="30"/>
      <c r="AF135" s="30"/>
      <c r="AG135" s="30"/>
      <c r="AH135" s="30" t="s">
        <v>4714</v>
      </c>
      <c r="AI135" s="30" t="s">
        <v>9433</v>
      </c>
      <c r="AJ135" s="641" t="str">
        <f t="shared" si="4"/>
        <v>941201</v>
      </c>
      <c r="AK135" s="641">
        <v>1</v>
      </c>
      <c r="AL135" s="641">
        <f t="shared" si="5"/>
        <v>1</v>
      </c>
      <c r="AM135" s="641">
        <v>1</v>
      </c>
      <c r="AN135" s="30" t="s">
        <v>17650</v>
      </c>
      <c r="AO135" s="30" t="s">
        <v>17651</v>
      </c>
      <c r="AP135" s="30" t="s">
        <v>17652</v>
      </c>
      <c r="AQ135" s="30" t="s">
        <v>17653</v>
      </c>
      <c r="AR135" s="30" t="s">
        <v>1024</v>
      </c>
      <c r="AS135" s="30">
        <v>1</v>
      </c>
    </row>
    <row r="136" spans="1:45" x14ac:dyDescent="0.25">
      <c r="A136" s="30" t="s">
        <v>3946</v>
      </c>
      <c r="B136" s="30" t="s">
        <v>26599</v>
      </c>
      <c r="C136" s="30" t="s">
        <v>740</v>
      </c>
      <c r="D136" s="139" t="s">
        <v>26052</v>
      </c>
      <c r="E136" s="30" t="s">
        <v>217</v>
      </c>
      <c r="F136" s="30">
        <v>1</v>
      </c>
      <c r="G136" s="30" t="s">
        <v>193</v>
      </c>
      <c r="H136" s="30" t="s">
        <v>194</v>
      </c>
      <c r="I136" s="30" t="s">
        <v>26053</v>
      </c>
      <c r="J136" s="30" t="s">
        <v>385</v>
      </c>
      <c r="K136" s="30" t="s">
        <v>9309</v>
      </c>
      <c r="L136" s="30" t="s">
        <v>6955</v>
      </c>
      <c r="M136" s="30"/>
      <c r="N136" s="30" t="s">
        <v>26600</v>
      </c>
      <c r="O136" s="30" t="s">
        <v>6249</v>
      </c>
      <c r="P136" s="30" t="s">
        <v>26449</v>
      </c>
      <c r="Q136" s="30" t="s">
        <v>26584</v>
      </c>
      <c r="R136" s="30" t="s">
        <v>26099</v>
      </c>
      <c r="S136" s="30" t="s">
        <v>26601</v>
      </c>
      <c r="T136" s="30" t="s">
        <v>26602</v>
      </c>
      <c r="U136" s="30"/>
      <c r="V136" s="30">
        <v>1861</v>
      </c>
      <c r="W136" s="30" t="s">
        <v>741</v>
      </c>
      <c r="X136" s="30" t="s">
        <v>194</v>
      </c>
      <c r="Y136" s="30" t="s">
        <v>9300</v>
      </c>
      <c r="Z136" s="30"/>
      <c r="AA136" s="30"/>
      <c r="AB136" s="30" t="s">
        <v>9311</v>
      </c>
      <c r="AC136" s="30"/>
      <c r="AD136" s="30"/>
      <c r="AE136" s="30"/>
      <c r="AF136" s="30"/>
      <c r="AG136" s="30"/>
      <c r="AH136" s="30" t="s">
        <v>5109</v>
      </c>
      <c r="AI136" s="30" t="s">
        <v>9433</v>
      </c>
      <c r="AJ136" s="641" t="str">
        <f t="shared" si="4"/>
        <v>522301</v>
      </c>
      <c r="AK136" s="641">
        <v>1</v>
      </c>
      <c r="AL136" s="641">
        <f t="shared" si="5"/>
        <v>1</v>
      </c>
      <c r="AM136" s="641">
        <v>1</v>
      </c>
      <c r="AN136" s="30" t="s">
        <v>17650</v>
      </c>
      <c r="AO136" s="30" t="s">
        <v>17651</v>
      </c>
      <c r="AP136" s="30" t="s">
        <v>17652</v>
      </c>
      <c r="AQ136" s="30" t="s">
        <v>17653</v>
      </c>
      <c r="AR136" s="30" t="s">
        <v>1024</v>
      </c>
      <c r="AS136" s="30">
        <v>1</v>
      </c>
    </row>
    <row r="137" spans="1:45" x14ac:dyDescent="0.25">
      <c r="A137" s="30" t="s">
        <v>258</v>
      </c>
      <c r="B137" s="30" t="s">
        <v>7677</v>
      </c>
      <c r="C137" s="30" t="s">
        <v>778</v>
      </c>
      <c r="D137" s="139" t="s">
        <v>26052</v>
      </c>
      <c r="E137" s="30" t="s">
        <v>217</v>
      </c>
      <c r="F137" s="30">
        <v>1</v>
      </c>
      <c r="G137" s="30" t="s">
        <v>193</v>
      </c>
      <c r="H137" s="30" t="s">
        <v>194</v>
      </c>
      <c r="I137" s="30" t="s">
        <v>26077</v>
      </c>
      <c r="J137" s="30" t="s">
        <v>1977</v>
      </c>
      <c r="K137" s="30" t="s">
        <v>9309</v>
      </c>
      <c r="L137" s="30" t="s">
        <v>6955</v>
      </c>
      <c r="M137" s="30"/>
      <c r="N137" s="30" t="s">
        <v>26603</v>
      </c>
      <c r="O137" s="30" t="s">
        <v>6251</v>
      </c>
      <c r="P137" s="30" t="s">
        <v>26230</v>
      </c>
      <c r="Q137" s="30" t="s">
        <v>26374</v>
      </c>
      <c r="R137" s="30" t="s">
        <v>26160</v>
      </c>
      <c r="S137" s="30" t="s">
        <v>26604</v>
      </c>
      <c r="T137" s="30" t="s">
        <v>26605</v>
      </c>
      <c r="U137" s="30"/>
      <c r="V137" s="30">
        <v>1808</v>
      </c>
      <c r="W137" s="30" t="s">
        <v>779</v>
      </c>
      <c r="X137" s="30" t="s">
        <v>194</v>
      </c>
      <c r="Y137" s="30" t="s">
        <v>9300</v>
      </c>
      <c r="Z137" s="30"/>
      <c r="AA137" s="30"/>
      <c r="AB137" s="30" t="s">
        <v>9311</v>
      </c>
      <c r="AC137" s="30"/>
      <c r="AD137" s="30"/>
      <c r="AE137" s="30"/>
      <c r="AF137" s="30"/>
      <c r="AG137" s="30"/>
      <c r="AH137" s="30" t="s">
        <v>4714</v>
      </c>
      <c r="AI137" s="30" t="s">
        <v>778</v>
      </c>
      <c r="AJ137" s="641" t="str">
        <f t="shared" si="4"/>
        <v>524902</v>
      </c>
      <c r="AK137" s="641">
        <v>1</v>
      </c>
      <c r="AL137" s="641">
        <f t="shared" si="5"/>
        <v>1</v>
      </c>
      <c r="AM137" s="641">
        <v>1</v>
      </c>
      <c r="AN137" s="30" t="s">
        <v>17650</v>
      </c>
      <c r="AO137" s="30" t="s">
        <v>17651</v>
      </c>
      <c r="AP137" s="30" t="s">
        <v>17652</v>
      </c>
      <c r="AQ137" s="30" t="s">
        <v>17653</v>
      </c>
      <c r="AR137" s="30" t="s">
        <v>1024</v>
      </c>
      <c r="AS137" s="30">
        <v>1</v>
      </c>
    </row>
    <row r="138" spans="1:45" x14ac:dyDescent="0.25">
      <c r="A138" s="30" t="s">
        <v>26089</v>
      </c>
      <c r="B138" s="30" t="s">
        <v>26305</v>
      </c>
      <c r="C138" s="30" t="s">
        <v>26180</v>
      </c>
      <c r="D138" s="139" t="s">
        <v>26052</v>
      </c>
      <c r="E138" s="30" t="s">
        <v>217</v>
      </c>
      <c r="F138" s="30">
        <v>1</v>
      </c>
      <c r="G138" s="30" t="s">
        <v>193</v>
      </c>
      <c r="H138" s="30" t="s">
        <v>194</v>
      </c>
      <c r="I138" s="30" t="s">
        <v>26053</v>
      </c>
      <c r="J138" s="30" t="s">
        <v>210</v>
      </c>
      <c r="K138" s="30" t="s">
        <v>9309</v>
      </c>
      <c r="L138" s="30" t="s">
        <v>6955</v>
      </c>
      <c r="M138" s="30"/>
      <c r="N138" s="30" t="s">
        <v>26606</v>
      </c>
      <c r="O138" s="30" t="s">
        <v>7120</v>
      </c>
      <c r="P138" s="30" t="s">
        <v>26449</v>
      </c>
      <c r="Q138" s="30" t="s">
        <v>26092</v>
      </c>
      <c r="R138" s="30" t="s">
        <v>26093</v>
      </c>
      <c r="S138" s="30" t="s">
        <v>26607</v>
      </c>
      <c r="T138" s="30" t="s">
        <v>26608</v>
      </c>
      <c r="U138" s="30"/>
      <c r="V138" s="30">
        <v>1863</v>
      </c>
      <c r="W138" s="30" t="s">
        <v>26186</v>
      </c>
      <c r="X138" s="30" t="s">
        <v>194</v>
      </c>
      <c r="Y138" s="30" t="s">
        <v>9300</v>
      </c>
      <c r="Z138" s="30"/>
      <c r="AA138" s="30"/>
      <c r="AB138" s="30" t="s">
        <v>9311</v>
      </c>
      <c r="AC138" s="30"/>
      <c r="AD138" s="30"/>
      <c r="AE138" s="30"/>
      <c r="AF138" s="30"/>
      <c r="AG138" s="30"/>
      <c r="AH138" s="30" t="s">
        <v>4714</v>
      </c>
      <c r="AI138" s="30" t="s">
        <v>9433</v>
      </c>
      <c r="AJ138" s="641" t="str">
        <f t="shared" si="4"/>
        <v>421108</v>
      </c>
      <c r="AK138" s="641">
        <v>1</v>
      </c>
      <c r="AL138" s="641">
        <f t="shared" si="5"/>
        <v>1</v>
      </c>
      <c r="AM138" s="641">
        <v>1</v>
      </c>
      <c r="AN138" s="30" t="s">
        <v>17650</v>
      </c>
      <c r="AO138" s="30" t="s">
        <v>17651</v>
      </c>
      <c r="AP138" s="30" t="s">
        <v>17652</v>
      </c>
      <c r="AQ138" s="30" t="s">
        <v>17653</v>
      </c>
      <c r="AR138" s="30" t="s">
        <v>1024</v>
      </c>
      <c r="AS138" s="30">
        <v>1</v>
      </c>
    </row>
    <row r="139" spans="1:45" x14ac:dyDescent="0.25">
      <c r="A139" s="30" t="s">
        <v>26089</v>
      </c>
      <c r="B139" s="30" t="s">
        <v>26609</v>
      </c>
      <c r="C139" s="30" t="s">
        <v>129</v>
      </c>
      <c r="D139" s="139" t="s">
        <v>26052</v>
      </c>
      <c r="E139" s="30" t="s">
        <v>217</v>
      </c>
      <c r="F139" s="30">
        <v>1</v>
      </c>
      <c r="G139" s="30" t="s">
        <v>193</v>
      </c>
      <c r="H139" s="30" t="s">
        <v>194</v>
      </c>
      <c r="I139" s="30" t="s">
        <v>26060</v>
      </c>
      <c r="J139" s="30" t="s">
        <v>210</v>
      </c>
      <c r="K139" s="30" t="s">
        <v>9309</v>
      </c>
      <c r="L139" s="30" t="s">
        <v>6955</v>
      </c>
      <c r="M139" s="30"/>
      <c r="N139" s="30" t="s">
        <v>26610</v>
      </c>
      <c r="O139" s="30" t="s">
        <v>6254</v>
      </c>
      <c r="P139" s="30" t="s">
        <v>26449</v>
      </c>
      <c r="Q139" s="30" t="s">
        <v>26261</v>
      </c>
      <c r="R139" s="30" t="s">
        <v>26262</v>
      </c>
      <c r="S139" s="30" t="s">
        <v>26611</v>
      </c>
      <c r="T139" s="30" t="s">
        <v>26612</v>
      </c>
      <c r="U139" s="30"/>
      <c r="V139" s="30">
        <v>1863</v>
      </c>
      <c r="W139" s="30" t="s">
        <v>203</v>
      </c>
      <c r="X139" s="30" t="s">
        <v>194</v>
      </c>
      <c r="Y139" s="30" t="s">
        <v>9300</v>
      </c>
      <c r="Z139" s="30"/>
      <c r="AA139" s="30"/>
      <c r="AB139" s="30" t="s">
        <v>9311</v>
      </c>
      <c r="AC139" s="30"/>
      <c r="AD139" s="30"/>
      <c r="AE139" s="30"/>
      <c r="AF139" s="30"/>
      <c r="AG139" s="30"/>
      <c r="AH139" s="30" t="s">
        <v>4714</v>
      </c>
      <c r="AI139" s="30" t="s">
        <v>9433</v>
      </c>
      <c r="AJ139" s="641" t="str">
        <f t="shared" si="4"/>
        <v>121904</v>
      </c>
      <c r="AK139" s="641">
        <v>1</v>
      </c>
      <c r="AL139" s="641">
        <f t="shared" si="5"/>
        <v>1</v>
      </c>
      <c r="AM139" s="641">
        <v>1</v>
      </c>
      <c r="AN139" s="30" t="s">
        <v>17650</v>
      </c>
      <c r="AO139" s="30" t="s">
        <v>17651</v>
      </c>
      <c r="AP139" s="30" t="s">
        <v>17652</v>
      </c>
      <c r="AQ139" s="30" t="s">
        <v>17653</v>
      </c>
      <c r="AR139" s="30" t="s">
        <v>1024</v>
      </c>
      <c r="AS139" s="30">
        <v>1</v>
      </c>
    </row>
    <row r="140" spans="1:45" x14ac:dyDescent="0.25">
      <c r="A140" s="30" t="s">
        <v>581</v>
      </c>
      <c r="B140" s="30" t="s">
        <v>25354</v>
      </c>
      <c r="C140" s="30" t="s">
        <v>43</v>
      </c>
      <c r="D140" s="139" t="s">
        <v>26052</v>
      </c>
      <c r="E140" s="30" t="s">
        <v>217</v>
      </c>
      <c r="F140" s="30">
        <v>1</v>
      </c>
      <c r="G140" s="30" t="s">
        <v>193</v>
      </c>
      <c r="H140" s="30" t="s">
        <v>194</v>
      </c>
      <c r="I140" s="30" t="s">
        <v>26060</v>
      </c>
      <c r="J140" s="30" t="s">
        <v>1829</v>
      </c>
      <c r="K140" s="30" t="s">
        <v>9309</v>
      </c>
      <c r="L140" s="30" t="s">
        <v>6955</v>
      </c>
      <c r="M140" s="30"/>
      <c r="N140" s="30" t="s">
        <v>26613</v>
      </c>
      <c r="O140" s="30" t="s">
        <v>6251</v>
      </c>
      <c r="P140" s="30" t="s">
        <v>26449</v>
      </c>
      <c r="Q140" s="30" t="s">
        <v>26261</v>
      </c>
      <c r="R140" s="30" t="s">
        <v>26052</v>
      </c>
      <c r="S140" s="30" t="s">
        <v>26614</v>
      </c>
      <c r="T140" s="30" t="s">
        <v>26615</v>
      </c>
      <c r="U140" s="30"/>
      <c r="V140" s="30">
        <v>1816</v>
      </c>
      <c r="W140" s="30" t="s">
        <v>452</v>
      </c>
      <c r="X140" s="30" t="s">
        <v>194</v>
      </c>
      <c r="Y140" s="30" t="s">
        <v>9300</v>
      </c>
      <c r="Z140" s="30"/>
      <c r="AA140" s="30"/>
      <c r="AB140" s="30" t="s">
        <v>9311</v>
      </c>
      <c r="AC140" s="30"/>
      <c r="AD140" s="30"/>
      <c r="AE140" s="30"/>
      <c r="AF140" s="30"/>
      <c r="AG140" s="30"/>
      <c r="AH140" s="30" t="s">
        <v>4714</v>
      </c>
      <c r="AI140" s="30" t="s">
        <v>9433</v>
      </c>
      <c r="AJ140" s="641" t="str">
        <f t="shared" si="4"/>
        <v>243106</v>
      </c>
      <c r="AK140" s="641">
        <v>1</v>
      </c>
      <c r="AL140" s="641">
        <f t="shared" si="5"/>
        <v>1</v>
      </c>
      <c r="AM140" s="641">
        <v>1</v>
      </c>
      <c r="AN140" s="30" t="s">
        <v>17650</v>
      </c>
      <c r="AO140" s="30" t="s">
        <v>17651</v>
      </c>
      <c r="AP140" s="30" t="s">
        <v>17652</v>
      </c>
      <c r="AQ140" s="30" t="s">
        <v>17653</v>
      </c>
      <c r="AR140" s="30" t="s">
        <v>1024</v>
      </c>
      <c r="AS140" s="30">
        <v>1</v>
      </c>
    </row>
    <row r="141" spans="1:45" x14ac:dyDescent="0.25">
      <c r="A141" s="30" t="s">
        <v>26089</v>
      </c>
      <c r="B141" s="30" t="s">
        <v>26616</v>
      </c>
      <c r="C141" s="30" t="s">
        <v>26180</v>
      </c>
      <c r="D141" s="139" t="s">
        <v>26052</v>
      </c>
      <c r="E141" s="30" t="s">
        <v>217</v>
      </c>
      <c r="F141" s="30">
        <v>1</v>
      </c>
      <c r="G141" s="30" t="s">
        <v>193</v>
      </c>
      <c r="H141" s="30" t="s">
        <v>194</v>
      </c>
      <c r="I141" s="30" t="s">
        <v>26053</v>
      </c>
      <c r="J141" s="30" t="s">
        <v>316</v>
      </c>
      <c r="K141" s="30" t="s">
        <v>9309</v>
      </c>
      <c r="L141" s="30" t="s">
        <v>6955</v>
      </c>
      <c r="M141" s="30"/>
      <c r="N141" s="30" t="s">
        <v>26617</v>
      </c>
      <c r="O141" s="30" t="s">
        <v>6286</v>
      </c>
      <c r="P141" s="30" t="s">
        <v>26449</v>
      </c>
      <c r="Q141" s="30" t="s">
        <v>26189</v>
      </c>
      <c r="R141" s="30" t="s">
        <v>26190</v>
      </c>
      <c r="S141" s="30" t="s">
        <v>26618</v>
      </c>
      <c r="T141" s="30" t="s">
        <v>26619</v>
      </c>
      <c r="U141" s="30"/>
      <c r="V141" s="30">
        <v>1818</v>
      </c>
      <c r="W141" s="30" t="s">
        <v>26186</v>
      </c>
      <c r="X141" s="30" t="s">
        <v>194</v>
      </c>
      <c r="Y141" s="30" t="s">
        <v>9300</v>
      </c>
      <c r="Z141" s="30"/>
      <c r="AA141" s="30"/>
      <c r="AB141" s="30" t="s">
        <v>9311</v>
      </c>
      <c r="AC141" s="30"/>
      <c r="AD141" s="30"/>
      <c r="AE141" s="30"/>
      <c r="AF141" s="30"/>
      <c r="AG141" s="30"/>
      <c r="AH141" s="30" t="s">
        <v>4714</v>
      </c>
      <c r="AI141" s="30" t="s">
        <v>9433</v>
      </c>
      <c r="AJ141" s="641" t="str">
        <f t="shared" si="4"/>
        <v>421108</v>
      </c>
      <c r="AK141" s="641">
        <v>1</v>
      </c>
      <c r="AL141" s="641">
        <f t="shared" si="5"/>
        <v>1</v>
      </c>
      <c r="AM141" s="641">
        <v>1</v>
      </c>
      <c r="AN141" s="30" t="s">
        <v>17650</v>
      </c>
      <c r="AO141" s="30" t="s">
        <v>17651</v>
      </c>
      <c r="AP141" s="30" t="s">
        <v>17652</v>
      </c>
      <c r="AQ141" s="30" t="s">
        <v>17653</v>
      </c>
      <c r="AR141" s="30" t="s">
        <v>1024</v>
      </c>
      <c r="AS141" s="30">
        <v>1</v>
      </c>
    </row>
    <row r="142" spans="1:45" x14ac:dyDescent="0.25">
      <c r="A142" s="30" t="s">
        <v>26089</v>
      </c>
      <c r="B142" s="30" t="s">
        <v>26090</v>
      </c>
      <c r="C142" s="30" t="s">
        <v>36</v>
      </c>
      <c r="D142" s="139" t="s">
        <v>26052</v>
      </c>
      <c r="E142" s="30" t="s">
        <v>217</v>
      </c>
      <c r="F142" s="30">
        <v>1</v>
      </c>
      <c r="G142" s="30" t="s">
        <v>193</v>
      </c>
      <c r="H142" s="30" t="s">
        <v>194</v>
      </c>
      <c r="I142" s="30" t="s">
        <v>26053</v>
      </c>
      <c r="J142" s="30" t="s">
        <v>4751</v>
      </c>
      <c r="K142" s="30" t="s">
        <v>9309</v>
      </c>
      <c r="L142" s="30" t="s">
        <v>6955</v>
      </c>
      <c r="M142" s="30"/>
      <c r="N142" s="30" t="s">
        <v>26620</v>
      </c>
      <c r="O142" s="30" t="s">
        <v>7120</v>
      </c>
      <c r="P142" s="30" t="s">
        <v>26449</v>
      </c>
      <c r="Q142" s="30" t="s">
        <v>26092</v>
      </c>
      <c r="R142" s="30" t="s">
        <v>26093</v>
      </c>
      <c r="S142" s="30" t="s">
        <v>26621</v>
      </c>
      <c r="T142" s="30" t="s">
        <v>26622</v>
      </c>
      <c r="U142" s="30"/>
      <c r="V142" s="30">
        <v>1862</v>
      </c>
      <c r="W142" s="30" t="s">
        <v>609</v>
      </c>
      <c r="X142" s="30" t="s">
        <v>194</v>
      </c>
      <c r="Y142" s="30" t="s">
        <v>9300</v>
      </c>
      <c r="Z142" s="30"/>
      <c r="AA142" s="30"/>
      <c r="AB142" s="30" t="s">
        <v>9311</v>
      </c>
      <c r="AC142" s="30"/>
      <c r="AD142" s="30"/>
      <c r="AE142" s="30"/>
      <c r="AF142" s="30"/>
      <c r="AG142" s="30"/>
      <c r="AH142" s="30" t="s">
        <v>4714</v>
      </c>
      <c r="AI142" s="30" t="s">
        <v>9433</v>
      </c>
      <c r="AJ142" s="641" t="str">
        <f t="shared" si="4"/>
        <v>331301</v>
      </c>
      <c r="AK142" s="641">
        <v>1</v>
      </c>
      <c r="AL142" s="641">
        <f t="shared" si="5"/>
        <v>1</v>
      </c>
      <c r="AM142" s="641">
        <v>1</v>
      </c>
      <c r="AN142" s="30" t="s">
        <v>17650</v>
      </c>
      <c r="AO142" s="30" t="s">
        <v>17651</v>
      </c>
      <c r="AP142" s="30" t="s">
        <v>17652</v>
      </c>
      <c r="AQ142" s="30" t="s">
        <v>17653</v>
      </c>
      <c r="AR142" s="30" t="s">
        <v>1024</v>
      </c>
      <c r="AS142" s="30">
        <v>1</v>
      </c>
    </row>
    <row r="143" spans="1:45" x14ac:dyDescent="0.25">
      <c r="A143" s="30" t="s">
        <v>26623</v>
      </c>
      <c r="B143" s="30" t="s">
        <v>26624</v>
      </c>
      <c r="C143" s="30" t="s">
        <v>18431</v>
      </c>
      <c r="D143" s="139" t="s">
        <v>26052</v>
      </c>
      <c r="E143" s="30" t="s">
        <v>217</v>
      </c>
      <c r="F143" s="30">
        <v>1</v>
      </c>
      <c r="G143" s="30" t="s">
        <v>193</v>
      </c>
      <c r="H143" s="30" t="s">
        <v>194</v>
      </c>
      <c r="I143" s="30" t="s">
        <v>26060</v>
      </c>
      <c r="J143" s="30" t="s">
        <v>210</v>
      </c>
      <c r="K143" s="30" t="s">
        <v>9309</v>
      </c>
      <c r="L143" s="30" t="s">
        <v>6955</v>
      </c>
      <c r="M143" s="30"/>
      <c r="N143" s="30" t="s">
        <v>26625</v>
      </c>
      <c r="O143" s="30" t="s">
        <v>6249</v>
      </c>
      <c r="P143" s="30" t="s">
        <v>26449</v>
      </c>
      <c r="Q143" s="30" t="s">
        <v>26468</v>
      </c>
      <c r="R143" s="30" t="s">
        <v>26073</v>
      </c>
      <c r="S143" s="30" t="s">
        <v>26626</v>
      </c>
      <c r="T143" s="30" t="s">
        <v>26627</v>
      </c>
      <c r="U143" s="30"/>
      <c r="V143" s="30">
        <v>1863</v>
      </c>
      <c r="W143" s="30" t="s">
        <v>18435</v>
      </c>
      <c r="X143" s="30" t="s">
        <v>194</v>
      </c>
      <c r="Y143" s="30" t="s">
        <v>9300</v>
      </c>
      <c r="Z143" s="30"/>
      <c r="AA143" s="30"/>
      <c r="AB143" s="30" t="s">
        <v>9311</v>
      </c>
      <c r="AC143" s="30"/>
      <c r="AD143" s="30"/>
      <c r="AE143" s="30"/>
      <c r="AF143" s="30"/>
      <c r="AG143" s="30"/>
      <c r="AH143" s="30" t="s">
        <v>4714</v>
      </c>
      <c r="AI143" s="30" t="s">
        <v>9433</v>
      </c>
      <c r="AJ143" s="641" t="str">
        <f t="shared" si="4"/>
        <v>524502</v>
      </c>
      <c r="AK143" s="641">
        <v>1</v>
      </c>
      <c r="AL143" s="641">
        <f t="shared" si="5"/>
        <v>1</v>
      </c>
      <c r="AM143" s="641">
        <v>1</v>
      </c>
      <c r="AN143" s="30" t="s">
        <v>17650</v>
      </c>
      <c r="AO143" s="30" t="s">
        <v>17651</v>
      </c>
      <c r="AP143" s="30" t="s">
        <v>17652</v>
      </c>
      <c r="AQ143" s="30" t="s">
        <v>17653</v>
      </c>
      <c r="AR143" s="30" t="s">
        <v>1024</v>
      </c>
      <c r="AS143" s="30">
        <v>1</v>
      </c>
    </row>
    <row r="144" spans="1:45" x14ac:dyDescent="0.25">
      <c r="A144" s="30" t="s">
        <v>258</v>
      </c>
      <c r="B144" s="30" t="s">
        <v>26208</v>
      </c>
      <c r="C144" s="30" t="s">
        <v>778</v>
      </c>
      <c r="D144" s="139" t="s">
        <v>26052</v>
      </c>
      <c r="E144" s="30" t="s">
        <v>217</v>
      </c>
      <c r="F144" s="30">
        <v>1</v>
      </c>
      <c r="G144" s="30" t="s">
        <v>193</v>
      </c>
      <c r="H144" s="30" t="s">
        <v>194</v>
      </c>
      <c r="I144" s="30" t="s">
        <v>26053</v>
      </c>
      <c r="J144" s="30" t="s">
        <v>1059</v>
      </c>
      <c r="K144" s="30" t="s">
        <v>9309</v>
      </c>
      <c r="L144" s="30" t="s">
        <v>6955</v>
      </c>
      <c r="M144" s="30"/>
      <c r="N144" s="30" t="s">
        <v>26628</v>
      </c>
      <c r="O144" s="30" t="s">
        <v>6251</v>
      </c>
      <c r="P144" s="30" t="s">
        <v>26449</v>
      </c>
      <c r="Q144" s="30" t="s">
        <v>26182</v>
      </c>
      <c r="R144" s="30" t="s">
        <v>26183</v>
      </c>
      <c r="S144" s="30" t="s">
        <v>26629</v>
      </c>
      <c r="T144" s="30" t="s">
        <v>26630</v>
      </c>
      <c r="U144" s="30"/>
      <c r="V144" s="30">
        <v>1809</v>
      </c>
      <c r="W144" s="30" t="s">
        <v>779</v>
      </c>
      <c r="X144" s="30" t="s">
        <v>194</v>
      </c>
      <c r="Y144" s="30" t="s">
        <v>9300</v>
      </c>
      <c r="Z144" s="30"/>
      <c r="AA144" s="30"/>
      <c r="AB144" s="30" t="s">
        <v>9311</v>
      </c>
      <c r="AC144" s="30"/>
      <c r="AD144" s="30"/>
      <c r="AE144" s="30"/>
      <c r="AF144" s="30"/>
      <c r="AG144" s="30"/>
      <c r="AH144" s="30" t="s">
        <v>4714</v>
      </c>
      <c r="AI144" s="30" t="s">
        <v>9433</v>
      </c>
      <c r="AJ144" s="641" t="str">
        <f t="shared" si="4"/>
        <v>524902</v>
      </c>
      <c r="AK144" s="641">
        <v>1</v>
      </c>
      <c r="AL144" s="641">
        <f t="shared" si="5"/>
        <v>1</v>
      </c>
      <c r="AM144" s="641">
        <v>1</v>
      </c>
      <c r="AN144" s="30" t="s">
        <v>17650</v>
      </c>
      <c r="AO144" s="30" t="s">
        <v>17651</v>
      </c>
      <c r="AP144" s="30" t="s">
        <v>17652</v>
      </c>
      <c r="AQ144" s="30" t="s">
        <v>17653</v>
      </c>
      <c r="AR144" s="30" t="s">
        <v>1024</v>
      </c>
      <c r="AS144" s="30">
        <v>1</v>
      </c>
    </row>
    <row r="145" spans="1:45" x14ac:dyDescent="0.25">
      <c r="A145" s="30" t="s">
        <v>716</v>
      </c>
      <c r="B145" s="30" t="s">
        <v>26631</v>
      </c>
      <c r="C145" s="30" t="s">
        <v>24125</v>
      </c>
      <c r="D145" s="139" t="s">
        <v>26052</v>
      </c>
      <c r="E145" s="30" t="s">
        <v>217</v>
      </c>
      <c r="F145" s="30">
        <v>1</v>
      </c>
      <c r="G145" s="30" t="s">
        <v>193</v>
      </c>
      <c r="H145" s="30" t="s">
        <v>194</v>
      </c>
      <c r="I145" s="30" t="s">
        <v>26133</v>
      </c>
      <c r="J145" s="30" t="s">
        <v>210</v>
      </c>
      <c r="K145" s="30" t="s">
        <v>9309</v>
      </c>
      <c r="L145" s="30" t="s">
        <v>6955</v>
      </c>
      <c r="M145" s="30"/>
      <c r="N145" s="30" t="s">
        <v>26632</v>
      </c>
      <c r="O145" s="30" t="s">
        <v>6921</v>
      </c>
      <c r="P145" s="30" t="s">
        <v>26114</v>
      </c>
      <c r="Q145" s="30" t="s">
        <v>25944</v>
      </c>
      <c r="R145" s="30" t="s">
        <v>26115</v>
      </c>
      <c r="S145" s="30" t="s">
        <v>26633</v>
      </c>
      <c r="T145" s="30" t="s">
        <v>26634</v>
      </c>
      <c r="U145" s="30"/>
      <c r="V145" s="30">
        <v>1863</v>
      </c>
      <c r="W145" s="30" t="s">
        <v>24129</v>
      </c>
      <c r="X145" s="30" t="s">
        <v>194</v>
      </c>
      <c r="Y145" s="30" t="s">
        <v>9300</v>
      </c>
      <c r="Z145" s="30"/>
      <c r="AA145" s="30"/>
      <c r="AB145" s="30" t="s">
        <v>9311</v>
      </c>
      <c r="AC145" s="30"/>
      <c r="AD145" s="30"/>
      <c r="AE145" s="30"/>
      <c r="AF145" s="30"/>
      <c r="AG145" s="30"/>
      <c r="AH145" s="30" t="s">
        <v>4714</v>
      </c>
      <c r="AI145" s="30" t="s">
        <v>9433</v>
      </c>
      <c r="AJ145" s="641" t="str">
        <f t="shared" si="4"/>
        <v>351401</v>
      </c>
      <c r="AK145" s="641">
        <v>1</v>
      </c>
      <c r="AL145" s="641">
        <f t="shared" si="5"/>
        <v>1</v>
      </c>
      <c r="AM145" s="641">
        <v>1</v>
      </c>
      <c r="AN145" s="30" t="s">
        <v>17650</v>
      </c>
      <c r="AO145" s="30" t="s">
        <v>17651</v>
      </c>
      <c r="AP145" s="30" t="s">
        <v>17652</v>
      </c>
      <c r="AQ145" s="30" t="s">
        <v>17653</v>
      </c>
      <c r="AR145" s="30" t="s">
        <v>1024</v>
      </c>
      <c r="AS145" s="30">
        <v>1</v>
      </c>
    </row>
    <row r="146" spans="1:45" x14ac:dyDescent="0.25">
      <c r="A146" s="30" t="s">
        <v>716</v>
      </c>
      <c r="B146" s="30" t="s">
        <v>26635</v>
      </c>
      <c r="C146" s="30" t="s">
        <v>706</v>
      </c>
      <c r="D146" s="139" t="s">
        <v>26052</v>
      </c>
      <c r="E146" s="30" t="s">
        <v>217</v>
      </c>
      <c r="F146" s="30">
        <v>1</v>
      </c>
      <c r="G146" s="30" t="s">
        <v>193</v>
      </c>
      <c r="H146" s="30" t="s">
        <v>194</v>
      </c>
      <c r="I146" s="30" t="s">
        <v>26060</v>
      </c>
      <c r="J146" s="30" t="s">
        <v>210</v>
      </c>
      <c r="K146" s="30" t="s">
        <v>9309</v>
      </c>
      <c r="L146" s="30" t="s">
        <v>6955</v>
      </c>
      <c r="M146" s="30"/>
      <c r="N146" s="30" t="s">
        <v>26636</v>
      </c>
      <c r="O146" s="30" t="s">
        <v>6286</v>
      </c>
      <c r="P146" s="30" t="s">
        <v>26449</v>
      </c>
      <c r="Q146" s="30" t="s">
        <v>26261</v>
      </c>
      <c r="R146" s="30" t="s">
        <v>26262</v>
      </c>
      <c r="S146" s="30" t="s">
        <v>26637</v>
      </c>
      <c r="T146" s="30" t="s">
        <v>26638</v>
      </c>
      <c r="U146" s="30"/>
      <c r="V146" s="30">
        <v>1863</v>
      </c>
      <c r="W146" s="30" t="s">
        <v>707</v>
      </c>
      <c r="X146" s="30" t="s">
        <v>194</v>
      </c>
      <c r="Y146" s="30" t="s">
        <v>9300</v>
      </c>
      <c r="Z146" s="30"/>
      <c r="AA146" s="30"/>
      <c r="AB146" s="30" t="s">
        <v>9311</v>
      </c>
      <c r="AC146" s="30"/>
      <c r="AD146" s="30"/>
      <c r="AE146" s="30"/>
      <c r="AF146" s="30"/>
      <c r="AG146" s="30"/>
      <c r="AH146" s="30" t="s">
        <v>4714</v>
      </c>
      <c r="AI146" s="30" t="s">
        <v>9433</v>
      </c>
      <c r="AJ146" s="641" t="str">
        <f t="shared" si="4"/>
        <v>422201</v>
      </c>
      <c r="AK146" s="641">
        <v>1</v>
      </c>
      <c r="AL146" s="641">
        <f t="shared" si="5"/>
        <v>1</v>
      </c>
      <c r="AM146" s="641">
        <v>1</v>
      </c>
      <c r="AN146" s="30" t="s">
        <v>17650</v>
      </c>
      <c r="AO146" s="30" t="s">
        <v>17651</v>
      </c>
      <c r="AP146" s="30" t="s">
        <v>17652</v>
      </c>
      <c r="AQ146" s="30" t="s">
        <v>17653</v>
      </c>
      <c r="AR146" s="30" t="s">
        <v>1024</v>
      </c>
      <c r="AS146" s="30">
        <v>1</v>
      </c>
    </row>
    <row r="147" spans="1:45" x14ac:dyDescent="0.25">
      <c r="A147" s="30" t="s">
        <v>26153</v>
      </c>
      <c r="B147" s="30" t="s">
        <v>496</v>
      </c>
      <c r="C147" s="30" t="s">
        <v>10</v>
      </c>
      <c r="D147" s="139" t="s">
        <v>26052</v>
      </c>
      <c r="E147" s="30" t="s">
        <v>217</v>
      </c>
      <c r="F147" s="30">
        <v>1</v>
      </c>
      <c r="G147" s="30" t="s">
        <v>193</v>
      </c>
      <c r="H147" s="30" t="s">
        <v>194</v>
      </c>
      <c r="I147" s="30" t="s">
        <v>26143</v>
      </c>
      <c r="J147" s="30" t="s">
        <v>210</v>
      </c>
      <c r="K147" s="30" t="s">
        <v>9309</v>
      </c>
      <c r="L147" s="30" t="s">
        <v>6955</v>
      </c>
      <c r="M147" s="30"/>
      <c r="N147" s="30" t="s">
        <v>26639</v>
      </c>
      <c r="O147" s="30" t="s">
        <v>6269</v>
      </c>
      <c r="P147" s="30" t="s">
        <v>26449</v>
      </c>
      <c r="Q147" s="30" t="s">
        <v>26201</v>
      </c>
      <c r="R147" s="30" t="s">
        <v>24556</v>
      </c>
      <c r="S147" s="30" t="s">
        <v>26640</v>
      </c>
      <c r="T147" s="30" t="s">
        <v>26641</v>
      </c>
      <c r="U147" s="30"/>
      <c r="V147" s="30">
        <v>1863</v>
      </c>
      <c r="W147" s="30" t="s">
        <v>484</v>
      </c>
      <c r="X147" s="30" t="s">
        <v>194</v>
      </c>
      <c r="Y147" s="30" t="s">
        <v>9300</v>
      </c>
      <c r="Z147" s="30"/>
      <c r="AA147" s="30"/>
      <c r="AB147" s="30" t="s">
        <v>9311</v>
      </c>
      <c r="AC147" s="30"/>
      <c r="AD147" s="30"/>
      <c r="AE147" s="30"/>
      <c r="AF147" s="30"/>
      <c r="AG147" s="30"/>
      <c r="AH147" s="30" t="s">
        <v>4714</v>
      </c>
      <c r="AI147" s="30" t="s">
        <v>9433</v>
      </c>
      <c r="AJ147" s="641" t="str">
        <f t="shared" si="4"/>
        <v>251401</v>
      </c>
      <c r="AK147" s="641">
        <v>1</v>
      </c>
      <c r="AL147" s="641">
        <f t="shared" si="5"/>
        <v>1</v>
      </c>
      <c r="AM147" s="641">
        <v>1</v>
      </c>
      <c r="AN147" s="30" t="s">
        <v>17650</v>
      </c>
      <c r="AO147" s="30" t="s">
        <v>17651</v>
      </c>
      <c r="AP147" s="30" t="s">
        <v>17652</v>
      </c>
      <c r="AQ147" s="30" t="s">
        <v>17653</v>
      </c>
      <c r="AR147" s="30" t="s">
        <v>1024</v>
      </c>
      <c r="AS147" s="30">
        <v>1</v>
      </c>
    </row>
    <row r="148" spans="1:45" x14ac:dyDescent="0.25">
      <c r="A148" s="30" t="s">
        <v>26153</v>
      </c>
      <c r="B148" s="30" t="s">
        <v>1053</v>
      </c>
      <c r="C148" s="30" t="s">
        <v>10</v>
      </c>
      <c r="D148" s="139" t="s">
        <v>26052</v>
      </c>
      <c r="E148" s="30" t="s">
        <v>217</v>
      </c>
      <c r="F148" s="30">
        <v>1</v>
      </c>
      <c r="G148" s="30" t="s">
        <v>193</v>
      </c>
      <c r="H148" s="30" t="s">
        <v>194</v>
      </c>
      <c r="I148" s="30" t="s">
        <v>23198</v>
      </c>
      <c r="J148" s="30" t="s">
        <v>210</v>
      </c>
      <c r="K148" s="30" t="s">
        <v>9309</v>
      </c>
      <c r="L148" s="30" t="s">
        <v>6955</v>
      </c>
      <c r="M148" s="30"/>
      <c r="N148" s="30" t="s">
        <v>26642</v>
      </c>
      <c r="O148" s="30" t="s">
        <v>6261</v>
      </c>
      <c r="P148" s="30" t="s">
        <v>26449</v>
      </c>
      <c r="Q148" s="30" t="s">
        <v>26218</v>
      </c>
      <c r="R148" s="30" t="s">
        <v>26219</v>
      </c>
      <c r="S148" s="30" t="s">
        <v>26643</v>
      </c>
      <c r="T148" s="30" t="s">
        <v>26644</v>
      </c>
      <c r="U148" s="30"/>
      <c r="V148" s="30">
        <v>1863</v>
      </c>
      <c r="W148" s="30" t="s">
        <v>484</v>
      </c>
      <c r="X148" s="30" t="s">
        <v>194</v>
      </c>
      <c r="Y148" s="30" t="s">
        <v>9300</v>
      </c>
      <c r="Z148" s="30"/>
      <c r="AA148" s="30"/>
      <c r="AB148" s="30" t="s">
        <v>9311</v>
      </c>
      <c r="AC148" s="30"/>
      <c r="AD148" s="30"/>
      <c r="AE148" s="30"/>
      <c r="AF148" s="30"/>
      <c r="AG148" s="30"/>
      <c r="AH148" s="30" t="s">
        <v>4714</v>
      </c>
      <c r="AI148" s="30" t="s">
        <v>9433</v>
      </c>
      <c r="AJ148" s="641" t="str">
        <f t="shared" si="4"/>
        <v>251401</v>
      </c>
      <c r="AK148" s="641">
        <v>1</v>
      </c>
      <c r="AL148" s="641">
        <f t="shared" si="5"/>
        <v>1</v>
      </c>
      <c r="AM148" s="641">
        <v>1</v>
      </c>
      <c r="AN148" s="30" t="s">
        <v>17650</v>
      </c>
      <c r="AO148" s="30" t="s">
        <v>17651</v>
      </c>
      <c r="AP148" s="30" t="s">
        <v>17652</v>
      </c>
      <c r="AQ148" s="30" t="s">
        <v>17653</v>
      </c>
      <c r="AR148" s="30" t="s">
        <v>1024</v>
      </c>
      <c r="AS148" s="30">
        <v>1</v>
      </c>
    </row>
    <row r="149" spans="1:45" x14ac:dyDescent="0.25">
      <c r="A149" s="30" t="s">
        <v>716</v>
      </c>
      <c r="B149" s="30" t="s">
        <v>26645</v>
      </c>
      <c r="C149" s="30" t="s">
        <v>706</v>
      </c>
      <c r="D149" s="139" t="s">
        <v>26052</v>
      </c>
      <c r="E149" s="30" t="s">
        <v>217</v>
      </c>
      <c r="F149" s="30">
        <v>1</v>
      </c>
      <c r="G149" s="30" t="s">
        <v>193</v>
      </c>
      <c r="H149" s="30" t="s">
        <v>194</v>
      </c>
      <c r="I149" s="30" t="s">
        <v>26060</v>
      </c>
      <c r="J149" s="30" t="s">
        <v>210</v>
      </c>
      <c r="K149" s="30" t="s">
        <v>9309</v>
      </c>
      <c r="L149" s="30" t="s">
        <v>6955</v>
      </c>
      <c r="M149" s="30"/>
      <c r="N149" s="30" t="s">
        <v>26646</v>
      </c>
      <c r="O149" s="30" t="s">
        <v>6286</v>
      </c>
      <c r="P149" s="30" t="s">
        <v>26449</v>
      </c>
      <c r="Q149" s="30" t="s">
        <v>26261</v>
      </c>
      <c r="R149" s="30" t="s">
        <v>26262</v>
      </c>
      <c r="S149" s="30" t="s">
        <v>26647</v>
      </c>
      <c r="T149" s="30" t="s">
        <v>26648</v>
      </c>
      <c r="U149" s="30"/>
      <c r="V149" s="30">
        <v>1863</v>
      </c>
      <c r="W149" s="30" t="s">
        <v>707</v>
      </c>
      <c r="X149" s="30" t="s">
        <v>194</v>
      </c>
      <c r="Y149" s="30" t="s">
        <v>9300</v>
      </c>
      <c r="Z149" s="30"/>
      <c r="AA149" s="30"/>
      <c r="AB149" s="30" t="s">
        <v>9311</v>
      </c>
      <c r="AC149" s="30"/>
      <c r="AD149" s="30"/>
      <c r="AE149" s="30"/>
      <c r="AF149" s="30"/>
      <c r="AG149" s="30"/>
      <c r="AH149" s="30" t="s">
        <v>4714</v>
      </c>
      <c r="AI149" s="30" t="s">
        <v>9433</v>
      </c>
      <c r="AJ149" s="641" t="str">
        <f t="shared" si="4"/>
        <v>422201</v>
      </c>
      <c r="AK149" s="641">
        <v>1</v>
      </c>
      <c r="AL149" s="641">
        <f t="shared" si="5"/>
        <v>1</v>
      </c>
      <c r="AM149" s="641">
        <v>1</v>
      </c>
      <c r="AN149" s="30" t="s">
        <v>17650</v>
      </c>
      <c r="AO149" s="30" t="s">
        <v>17651</v>
      </c>
      <c r="AP149" s="30" t="s">
        <v>17652</v>
      </c>
      <c r="AQ149" s="30" t="s">
        <v>17653</v>
      </c>
      <c r="AR149" s="30" t="s">
        <v>1024</v>
      </c>
      <c r="AS149" s="30">
        <v>1</v>
      </c>
    </row>
    <row r="150" spans="1:45" x14ac:dyDescent="0.25">
      <c r="A150" s="30" t="s">
        <v>26334</v>
      </c>
      <c r="B150" s="30" t="s">
        <v>1322</v>
      </c>
      <c r="C150" s="30" t="s">
        <v>3367</v>
      </c>
      <c r="D150" s="139" t="s">
        <v>26052</v>
      </c>
      <c r="E150" s="30" t="s">
        <v>217</v>
      </c>
      <c r="F150" s="30">
        <v>1</v>
      </c>
      <c r="G150" s="30" t="s">
        <v>193</v>
      </c>
      <c r="H150" s="30" t="s">
        <v>194</v>
      </c>
      <c r="I150" s="30" t="s">
        <v>26060</v>
      </c>
      <c r="J150" s="30" t="s">
        <v>210</v>
      </c>
      <c r="K150" s="30" t="s">
        <v>9309</v>
      </c>
      <c r="L150" s="30" t="s">
        <v>6955</v>
      </c>
      <c r="M150" s="30"/>
      <c r="N150" s="30" t="s">
        <v>26649</v>
      </c>
      <c r="O150" s="30" t="s">
        <v>6261</v>
      </c>
      <c r="P150" s="30" t="s">
        <v>26114</v>
      </c>
      <c r="Q150" s="30" t="s">
        <v>26027</v>
      </c>
      <c r="R150" s="30" t="s">
        <v>26115</v>
      </c>
      <c r="S150" s="30" t="s">
        <v>26650</v>
      </c>
      <c r="T150" s="30" t="s">
        <v>26651</v>
      </c>
      <c r="U150" s="30"/>
      <c r="V150" s="30">
        <v>1863</v>
      </c>
      <c r="W150" s="30" t="s">
        <v>3368</v>
      </c>
      <c r="X150" s="30" t="s">
        <v>194</v>
      </c>
      <c r="Y150" s="30" t="s">
        <v>9300</v>
      </c>
      <c r="Z150" s="30"/>
      <c r="AA150" s="30"/>
      <c r="AB150" s="30" t="s">
        <v>9311</v>
      </c>
      <c r="AC150" s="30"/>
      <c r="AD150" s="30"/>
      <c r="AE150" s="30"/>
      <c r="AF150" s="30"/>
      <c r="AG150" s="30"/>
      <c r="AH150" s="30" t="s">
        <v>4714</v>
      </c>
      <c r="AI150" s="30" t="s">
        <v>9433</v>
      </c>
      <c r="AJ150" s="641" t="str">
        <f t="shared" si="4"/>
        <v>133001</v>
      </c>
      <c r="AK150" s="641">
        <v>1</v>
      </c>
      <c r="AL150" s="641">
        <f t="shared" si="5"/>
        <v>1</v>
      </c>
      <c r="AM150" s="641">
        <v>1</v>
      </c>
      <c r="AN150" s="30" t="s">
        <v>17650</v>
      </c>
      <c r="AO150" s="30" t="s">
        <v>17651</v>
      </c>
      <c r="AP150" s="30" t="s">
        <v>17652</v>
      </c>
      <c r="AQ150" s="30" t="s">
        <v>17653</v>
      </c>
      <c r="AR150" s="30" t="s">
        <v>1024</v>
      </c>
      <c r="AS150" s="30">
        <v>1</v>
      </c>
    </row>
    <row r="151" spans="1:45" x14ac:dyDescent="0.25">
      <c r="A151" s="30" t="s">
        <v>4022</v>
      </c>
      <c r="B151" s="30" t="s">
        <v>8022</v>
      </c>
      <c r="C151" s="30" t="s">
        <v>7617</v>
      </c>
      <c r="D151" s="139" t="s">
        <v>26052</v>
      </c>
      <c r="E151" s="30" t="s">
        <v>217</v>
      </c>
      <c r="F151" s="30">
        <v>1</v>
      </c>
      <c r="G151" s="30" t="s">
        <v>193</v>
      </c>
      <c r="H151" s="30" t="s">
        <v>194</v>
      </c>
      <c r="I151" s="30" t="s">
        <v>26053</v>
      </c>
      <c r="J151" s="30" t="s">
        <v>210</v>
      </c>
      <c r="K151" s="30" t="s">
        <v>9309</v>
      </c>
      <c r="L151" s="30" t="s">
        <v>6955</v>
      </c>
      <c r="M151" s="30"/>
      <c r="N151" s="30" t="s">
        <v>20793</v>
      </c>
      <c r="O151" s="30" t="s">
        <v>6290</v>
      </c>
      <c r="P151" s="30" t="s">
        <v>26114</v>
      </c>
      <c r="Q151" s="30" t="s">
        <v>26027</v>
      </c>
      <c r="R151" s="30" t="s">
        <v>26115</v>
      </c>
      <c r="S151" s="30" t="s">
        <v>26652</v>
      </c>
      <c r="T151" s="30" t="s">
        <v>26653</v>
      </c>
      <c r="U151" s="30"/>
      <c r="V151" s="30">
        <v>1863</v>
      </c>
      <c r="W151" s="30" t="s">
        <v>7620</v>
      </c>
      <c r="X151" s="30" t="s">
        <v>194</v>
      </c>
      <c r="Y151" s="30" t="s">
        <v>9300</v>
      </c>
      <c r="Z151" s="30"/>
      <c r="AA151" s="30"/>
      <c r="AB151" s="30" t="s">
        <v>9311</v>
      </c>
      <c r="AC151" s="30"/>
      <c r="AD151" s="30"/>
      <c r="AE151" s="30"/>
      <c r="AF151" s="30"/>
      <c r="AG151" s="30"/>
      <c r="AH151" s="30" t="s">
        <v>4714</v>
      </c>
      <c r="AI151" s="30" t="s">
        <v>9433</v>
      </c>
      <c r="AJ151" s="641" t="str">
        <f t="shared" si="4"/>
        <v>516903</v>
      </c>
      <c r="AK151" s="641">
        <v>1</v>
      </c>
      <c r="AL151" s="641">
        <f t="shared" si="5"/>
        <v>1</v>
      </c>
      <c r="AM151" s="641">
        <v>1</v>
      </c>
      <c r="AN151" s="30" t="s">
        <v>17650</v>
      </c>
      <c r="AO151" s="30" t="s">
        <v>17651</v>
      </c>
      <c r="AP151" s="30" t="s">
        <v>17652</v>
      </c>
      <c r="AQ151" s="30" t="s">
        <v>17653</v>
      </c>
      <c r="AR151" s="30" t="s">
        <v>1024</v>
      </c>
      <c r="AS151" s="30">
        <v>1</v>
      </c>
    </row>
    <row r="152" spans="1:45" x14ac:dyDescent="0.25">
      <c r="A152" s="30" t="s">
        <v>26654</v>
      </c>
      <c r="B152" s="30" t="s">
        <v>15417</v>
      </c>
      <c r="C152" s="30" t="s">
        <v>4977</v>
      </c>
      <c r="D152" s="139" t="s">
        <v>26052</v>
      </c>
      <c r="E152" s="30" t="s">
        <v>217</v>
      </c>
      <c r="F152" s="30">
        <v>1</v>
      </c>
      <c r="G152" s="30" t="s">
        <v>193</v>
      </c>
      <c r="H152" s="30" t="s">
        <v>194</v>
      </c>
      <c r="I152" s="30" t="s">
        <v>26060</v>
      </c>
      <c r="J152" s="30" t="s">
        <v>316</v>
      </c>
      <c r="K152" s="30" t="s">
        <v>9309</v>
      </c>
      <c r="L152" s="30" t="s">
        <v>6955</v>
      </c>
      <c r="M152" s="30"/>
      <c r="N152" s="30" t="s">
        <v>26655</v>
      </c>
      <c r="O152" s="30" t="s">
        <v>6286</v>
      </c>
      <c r="P152" s="30" t="s">
        <v>26449</v>
      </c>
      <c r="Q152" s="30" t="s">
        <v>26241</v>
      </c>
      <c r="R152" s="30" t="s">
        <v>26242</v>
      </c>
      <c r="S152" s="30" t="s">
        <v>26656</v>
      </c>
      <c r="T152" s="30" t="s">
        <v>26657</v>
      </c>
      <c r="U152" s="30"/>
      <c r="V152" s="30">
        <v>1818</v>
      </c>
      <c r="W152" s="30" t="s">
        <v>4978</v>
      </c>
      <c r="X152" s="30" t="s">
        <v>194</v>
      </c>
      <c r="Y152" s="30" t="s">
        <v>9300</v>
      </c>
      <c r="Z152" s="30"/>
      <c r="AA152" s="30"/>
      <c r="AB152" s="30" t="s">
        <v>9311</v>
      </c>
      <c r="AC152" s="30"/>
      <c r="AD152" s="30"/>
      <c r="AE152" s="30"/>
      <c r="AF152" s="30"/>
      <c r="AG152" s="30"/>
      <c r="AH152" s="30" t="s">
        <v>4714</v>
      </c>
      <c r="AI152" s="30" t="s">
        <v>9433</v>
      </c>
      <c r="AJ152" s="641" t="str">
        <f t="shared" si="4"/>
        <v>242217</v>
      </c>
      <c r="AK152" s="641">
        <v>1</v>
      </c>
      <c r="AL152" s="641">
        <f t="shared" si="5"/>
        <v>1</v>
      </c>
      <c r="AM152" s="641">
        <v>1</v>
      </c>
      <c r="AN152" s="30" t="s">
        <v>17650</v>
      </c>
      <c r="AO152" s="30" t="s">
        <v>17651</v>
      </c>
      <c r="AP152" s="30" t="s">
        <v>17652</v>
      </c>
      <c r="AQ152" s="30" t="s">
        <v>17653</v>
      </c>
      <c r="AR152" s="30" t="s">
        <v>1024</v>
      </c>
      <c r="AS152" s="30">
        <v>1</v>
      </c>
    </row>
    <row r="153" spans="1:45" x14ac:dyDescent="0.25">
      <c r="A153" s="30" t="s">
        <v>716</v>
      </c>
      <c r="B153" s="30" t="s">
        <v>26658</v>
      </c>
      <c r="C153" s="30" t="s">
        <v>2861</v>
      </c>
      <c r="D153" s="139" t="s">
        <v>26052</v>
      </c>
      <c r="E153" s="30" t="s">
        <v>217</v>
      </c>
      <c r="F153" s="30">
        <v>1</v>
      </c>
      <c r="G153" s="30" t="s">
        <v>193</v>
      </c>
      <c r="H153" s="30" t="s">
        <v>194</v>
      </c>
      <c r="I153" s="30" t="s">
        <v>23198</v>
      </c>
      <c r="J153" s="30" t="s">
        <v>210</v>
      </c>
      <c r="K153" s="30" t="s">
        <v>9309</v>
      </c>
      <c r="L153" s="30" t="s">
        <v>6955</v>
      </c>
      <c r="M153" s="30"/>
      <c r="N153" s="30" t="s">
        <v>26659</v>
      </c>
      <c r="O153" s="30" t="s">
        <v>6261</v>
      </c>
      <c r="P153" s="30" t="s">
        <v>26449</v>
      </c>
      <c r="Q153" s="30" t="s">
        <v>26085</v>
      </c>
      <c r="R153" s="30" t="s">
        <v>26057</v>
      </c>
      <c r="S153" s="30" t="s">
        <v>26660</v>
      </c>
      <c r="T153" s="30" t="s">
        <v>26661</v>
      </c>
      <c r="U153" s="30"/>
      <c r="V153" s="30">
        <v>1863</v>
      </c>
      <c r="W153" s="30" t="s">
        <v>3629</v>
      </c>
      <c r="X153" s="30" t="s">
        <v>194</v>
      </c>
      <c r="Y153" s="30" t="s">
        <v>9300</v>
      </c>
      <c r="Z153" s="30"/>
      <c r="AA153" s="30"/>
      <c r="AB153" s="30" t="s">
        <v>9311</v>
      </c>
      <c r="AC153" s="30"/>
      <c r="AD153" s="30"/>
      <c r="AE153" s="30"/>
      <c r="AF153" s="30"/>
      <c r="AG153" s="30"/>
      <c r="AH153" s="30" t="s">
        <v>4714</v>
      </c>
      <c r="AI153" s="30" t="s">
        <v>9433</v>
      </c>
      <c r="AJ153" s="641" t="str">
        <f t="shared" si="4"/>
        <v>251903</v>
      </c>
      <c r="AK153" s="641">
        <v>1</v>
      </c>
      <c r="AL153" s="641">
        <f t="shared" si="5"/>
        <v>1</v>
      </c>
      <c r="AM153" s="641">
        <v>1</v>
      </c>
      <c r="AN153" s="30" t="s">
        <v>17650</v>
      </c>
      <c r="AO153" s="30" t="s">
        <v>17651</v>
      </c>
      <c r="AP153" s="30" t="s">
        <v>17652</v>
      </c>
      <c r="AQ153" s="30" t="s">
        <v>17653</v>
      </c>
      <c r="AR153" s="30" t="s">
        <v>1024</v>
      </c>
      <c r="AS153" s="30">
        <v>1</v>
      </c>
    </row>
    <row r="154" spans="1:45" x14ac:dyDescent="0.25">
      <c r="A154" s="30" t="s">
        <v>25389</v>
      </c>
      <c r="B154" s="30" t="s">
        <v>26662</v>
      </c>
      <c r="C154" s="30" t="s">
        <v>17366</v>
      </c>
      <c r="D154" s="139" t="s">
        <v>26052</v>
      </c>
      <c r="E154" s="30" t="s">
        <v>217</v>
      </c>
      <c r="F154" s="30">
        <v>1</v>
      </c>
      <c r="G154" s="30" t="s">
        <v>193</v>
      </c>
      <c r="H154" s="30" t="s">
        <v>194</v>
      </c>
      <c r="I154" s="30" t="s">
        <v>26143</v>
      </c>
      <c r="J154" s="30" t="s">
        <v>210</v>
      </c>
      <c r="K154" s="30" t="s">
        <v>9309</v>
      </c>
      <c r="L154" s="30" t="s">
        <v>6955</v>
      </c>
      <c r="M154" s="30"/>
      <c r="N154" s="30" t="s">
        <v>26663</v>
      </c>
      <c r="O154" s="30" t="s">
        <v>6343</v>
      </c>
      <c r="P154" s="30" t="s">
        <v>26449</v>
      </c>
      <c r="Q154" s="30" t="s">
        <v>26085</v>
      </c>
      <c r="R154" s="30" t="s">
        <v>26057</v>
      </c>
      <c r="S154" s="30" t="s">
        <v>26664</v>
      </c>
      <c r="T154" s="30" t="s">
        <v>26665</v>
      </c>
      <c r="U154" s="30"/>
      <c r="V154" s="30">
        <v>1863</v>
      </c>
      <c r="W154" s="30" t="s">
        <v>17367</v>
      </c>
      <c r="X154" s="30" t="s">
        <v>194</v>
      </c>
      <c r="Y154" s="30" t="s">
        <v>9300</v>
      </c>
      <c r="Z154" s="30"/>
      <c r="AA154" s="30"/>
      <c r="AB154" s="30" t="s">
        <v>9311</v>
      </c>
      <c r="AC154" s="30"/>
      <c r="AD154" s="30"/>
      <c r="AE154" s="30"/>
      <c r="AF154" s="30"/>
      <c r="AG154" s="30"/>
      <c r="AH154" s="30" t="s">
        <v>4714</v>
      </c>
      <c r="AI154" s="30" t="s">
        <v>9433</v>
      </c>
      <c r="AJ154" s="641" t="str">
        <f t="shared" si="4"/>
        <v>941201</v>
      </c>
      <c r="AK154" s="641">
        <v>1</v>
      </c>
      <c r="AL154" s="641">
        <f t="shared" si="5"/>
        <v>1</v>
      </c>
      <c r="AM154" s="641">
        <v>1</v>
      </c>
      <c r="AN154" s="30" t="s">
        <v>17650</v>
      </c>
      <c r="AO154" s="30" t="s">
        <v>17651</v>
      </c>
      <c r="AP154" s="30" t="s">
        <v>17652</v>
      </c>
      <c r="AQ154" s="30" t="s">
        <v>17653</v>
      </c>
      <c r="AR154" s="30" t="s">
        <v>1024</v>
      </c>
      <c r="AS154" s="30">
        <v>1</v>
      </c>
    </row>
    <row r="155" spans="1:45" x14ac:dyDescent="0.25">
      <c r="A155" s="30" t="s">
        <v>716</v>
      </c>
      <c r="B155" s="30" t="s">
        <v>26666</v>
      </c>
      <c r="C155" s="30" t="s">
        <v>2861</v>
      </c>
      <c r="D155" s="139" t="s">
        <v>26052</v>
      </c>
      <c r="E155" s="30" t="s">
        <v>217</v>
      </c>
      <c r="F155" s="30">
        <v>1</v>
      </c>
      <c r="G155" s="30" t="s">
        <v>193</v>
      </c>
      <c r="H155" s="30" t="s">
        <v>194</v>
      </c>
      <c r="I155" s="30" t="s">
        <v>23198</v>
      </c>
      <c r="J155" s="30" t="s">
        <v>210</v>
      </c>
      <c r="K155" s="30" t="s">
        <v>9309</v>
      </c>
      <c r="L155" s="30" t="s">
        <v>6955</v>
      </c>
      <c r="M155" s="30"/>
      <c r="N155" s="30" t="s">
        <v>26667</v>
      </c>
      <c r="O155" s="30" t="s">
        <v>6921</v>
      </c>
      <c r="P155" s="30" t="s">
        <v>26449</v>
      </c>
      <c r="Q155" s="30" t="s">
        <v>26085</v>
      </c>
      <c r="R155" s="30" t="s">
        <v>26057</v>
      </c>
      <c r="S155" s="30" t="s">
        <v>26668</v>
      </c>
      <c r="T155" s="30" t="s">
        <v>26669</v>
      </c>
      <c r="U155" s="30"/>
      <c r="V155" s="30">
        <v>1863</v>
      </c>
      <c r="W155" s="30" t="s">
        <v>3629</v>
      </c>
      <c r="X155" s="30" t="s">
        <v>194</v>
      </c>
      <c r="Y155" s="30" t="s">
        <v>9300</v>
      </c>
      <c r="Z155" s="30"/>
      <c r="AA155" s="30"/>
      <c r="AB155" s="30" t="s">
        <v>9311</v>
      </c>
      <c r="AC155" s="30"/>
      <c r="AD155" s="30"/>
      <c r="AE155" s="30"/>
      <c r="AF155" s="30"/>
      <c r="AG155" s="30"/>
      <c r="AH155" s="30" t="s">
        <v>4714</v>
      </c>
      <c r="AI155" s="30" t="s">
        <v>9433</v>
      </c>
      <c r="AJ155" s="641" t="str">
        <f t="shared" si="4"/>
        <v>251903</v>
      </c>
      <c r="AK155" s="641">
        <v>1</v>
      </c>
      <c r="AL155" s="641">
        <f t="shared" si="5"/>
        <v>1</v>
      </c>
      <c r="AM155" s="641">
        <v>1</v>
      </c>
      <c r="AN155" s="30" t="s">
        <v>17650</v>
      </c>
      <c r="AO155" s="30" t="s">
        <v>17651</v>
      </c>
      <c r="AP155" s="30" t="s">
        <v>17652</v>
      </c>
      <c r="AQ155" s="30" t="s">
        <v>17653</v>
      </c>
      <c r="AR155" s="30" t="s">
        <v>1024</v>
      </c>
      <c r="AS155" s="30">
        <v>1</v>
      </c>
    </row>
    <row r="156" spans="1:45" x14ac:dyDescent="0.25">
      <c r="A156" s="30" t="s">
        <v>10145</v>
      </c>
      <c r="B156" s="30" t="s">
        <v>26670</v>
      </c>
      <c r="C156" s="30" t="s">
        <v>17</v>
      </c>
      <c r="D156" s="139" t="s">
        <v>26052</v>
      </c>
      <c r="E156" s="30" t="s">
        <v>217</v>
      </c>
      <c r="F156" s="30">
        <v>1</v>
      </c>
      <c r="G156" s="30" t="s">
        <v>193</v>
      </c>
      <c r="H156" s="30" t="s">
        <v>194</v>
      </c>
      <c r="I156" s="30" t="s">
        <v>26060</v>
      </c>
      <c r="J156" s="30" t="s">
        <v>210</v>
      </c>
      <c r="K156" s="30" t="s">
        <v>9309</v>
      </c>
      <c r="L156" s="30" t="s">
        <v>6955</v>
      </c>
      <c r="M156" s="30"/>
      <c r="N156" s="30" t="s">
        <v>26671</v>
      </c>
      <c r="O156" s="30" t="s">
        <v>6249</v>
      </c>
      <c r="P156" s="30" t="s">
        <v>26449</v>
      </c>
      <c r="Q156" s="30" t="s">
        <v>26085</v>
      </c>
      <c r="R156" s="30" t="s">
        <v>26057</v>
      </c>
      <c r="S156" s="30" t="s">
        <v>26672</v>
      </c>
      <c r="T156" s="30" t="s">
        <v>26673</v>
      </c>
      <c r="U156" s="30"/>
      <c r="V156" s="30">
        <v>1863</v>
      </c>
      <c r="W156" s="30" t="s">
        <v>624</v>
      </c>
      <c r="X156" s="30" t="s">
        <v>194</v>
      </c>
      <c r="Y156" s="30" t="s">
        <v>9300</v>
      </c>
      <c r="Z156" s="30"/>
      <c r="AA156" s="30"/>
      <c r="AB156" s="30" t="s">
        <v>9311</v>
      </c>
      <c r="AC156" s="30"/>
      <c r="AD156" s="30"/>
      <c r="AE156" s="30"/>
      <c r="AF156" s="30"/>
      <c r="AG156" s="30"/>
      <c r="AH156" s="30" t="s">
        <v>4714</v>
      </c>
      <c r="AI156" s="30" t="s">
        <v>9433</v>
      </c>
      <c r="AJ156" s="641" t="str">
        <f t="shared" si="4"/>
        <v>332203</v>
      </c>
      <c r="AK156" s="641">
        <v>1</v>
      </c>
      <c r="AL156" s="641">
        <f t="shared" si="5"/>
        <v>1</v>
      </c>
      <c r="AM156" s="641">
        <v>1</v>
      </c>
      <c r="AN156" s="30" t="s">
        <v>17650</v>
      </c>
      <c r="AO156" s="30" t="s">
        <v>17651</v>
      </c>
      <c r="AP156" s="30" t="s">
        <v>17652</v>
      </c>
      <c r="AQ156" s="30" t="s">
        <v>17653</v>
      </c>
      <c r="AR156" s="30" t="s">
        <v>1024</v>
      </c>
      <c r="AS156" s="30">
        <v>1</v>
      </c>
    </row>
    <row r="157" spans="1:45" x14ac:dyDescent="0.25">
      <c r="A157" s="30" t="s">
        <v>26153</v>
      </c>
      <c r="B157" s="30" t="s">
        <v>26674</v>
      </c>
      <c r="C157" s="30" t="s">
        <v>10</v>
      </c>
      <c r="D157" s="139" t="s">
        <v>26052</v>
      </c>
      <c r="E157" s="30" t="s">
        <v>217</v>
      </c>
      <c r="F157" s="30">
        <v>1</v>
      </c>
      <c r="G157" s="30" t="s">
        <v>193</v>
      </c>
      <c r="H157" s="30" t="s">
        <v>194</v>
      </c>
      <c r="I157" s="30" t="s">
        <v>23198</v>
      </c>
      <c r="J157" s="30" t="s">
        <v>210</v>
      </c>
      <c r="K157" s="30" t="s">
        <v>9309</v>
      </c>
      <c r="L157" s="30" t="s">
        <v>6955</v>
      </c>
      <c r="M157" s="30"/>
      <c r="N157" s="30" t="s">
        <v>26675</v>
      </c>
      <c r="O157" s="30" t="s">
        <v>6261</v>
      </c>
      <c r="P157" s="30" t="s">
        <v>26449</v>
      </c>
      <c r="Q157" s="30" t="s">
        <v>26584</v>
      </c>
      <c r="R157" s="30" t="s">
        <v>26099</v>
      </c>
      <c r="S157" s="30" t="s">
        <v>26676</v>
      </c>
      <c r="T157" s="30" t="s">
        <v>26677</v>
      </c>
      <c r="U157" s="30"/>
      <c r="V157" s="30">
        <v>1863</v>
      </c>
      <c r="W157" s="30" t="s">
        <v>484</v>
      </c>
      <c r="X157" s="30" t="s">
        <v>194</v>
      </c>
      <c r="Y157" s="30" t="s">
        <v>9300</v>
      </c>
      <c r="Z157" s="30"/>
      <c r="AA157" s="30"/>
      <c r="AB157" s="30" t="s">
        <v>9311</v>
      </c>
      <c r="AC157" s="30"/>
      <c r="AD157" s="30"/>
      <c r="AE157" s="30"/>
      <c r="AF157" s="30"/>
      <c r="AG157" s="30"/>
      <c r="AH157" s="30" t="s">
        <v>4714</v>
      </c>
      <c r="AI157" s="30" t="s">
        <v>9433</v>
      </c>
      <c r="AJ157" s="641" t="str">
        <f t="shared" si="4"/>
        <v>251401</v>
      </c>
      <c r="AK157" s="641">
        <v>1</v>
      </c>
      <c r="AL157" s="641">
        <f t="shared" si="5"/>
        <v>1</v>
      </c>
      <c r="AM157" s="641">
        <v>1</v>
      </c>
      <c r="AN157" s="30" t="s">
        <v>17650</v>
      </c>
      <c r="AO157" s="30" t="s">
        <v>17651</v>
      </c>
      <c r="AP157" s="30" t="s">
        <v>17652</v>
      </c>
      <c r="AQ157" s="30" t="s">
        <v>17653</v>
      </c>
      <c r="AR157" s="30" t="s">
        <v>1024</v>
      </c>
      <c r="AS157" s="30">
        <v>1</v>
      </c>
    </row>
    <row r="158" spans="1:45" x14ac:dyDescent="0.25">
      <c r="A158" s="30" t="s">
        <v>26678</v>
      </c>
      <c r="B158" s="30" t="s">
        <v>1606</v>
      </c>
      <c r="C158" s="30" t="s">
        <v>22</v>
      </c>
      <c r="D158" s="139" t="s">
        <v>26052</v>
      </c>
      <c r="E158" s="30" t="s">
        <v>217</v>
      </c>
      <c r="F158" s="30">
        <v>1</v>
      </c>
      <c r="G158" s="30" t="s">
        <v>193</v>
      </c>
      <c r="H158" s="30" t="s">
        <v>194</v>
      </c>
      <c r="I158" s="30" t="s">
        <v>26143</v>
      </c>
      <c r="J158" s="30" t="s">
        <v>253</v>
      </c>
      <c r="K158" s="30" t="s">
        <v>9309</v>
      </c>
      <c r="L158" s="30" t="s">
        <v>6955</v>
      </c>
      <c r="M158" s="30"/>
      <c r="N158" s="30" t="s">
        <v>26679</v>
      </c>
      <c r="O158" s="30" t="s">
        <v>21401</v>
      </c>
      <c r="P158" s="30" t="s">
        <v>26449</v>
      </c>
      <c r="Q158" s="30" t="s">
        <v>26189</v>
      </c>
      <c r="R158" s="30" t="s">
        <v>26190</v>
      </c>
      <c r="S158" s="30" t="s">
        <v>26680</v>
      </c>
      <c r="T158" s="30" t="s">
        <v>26681</v>
      </c>
      <c r="U158" s="30"/>
      <c r="V158" s="30">
        <v>1811</v>
      </c>
      <c r="W158" s="30" t="s">
        <v>1608</v>
      </c>
      <c r="X158" s="30" t="s">
        <v>194</v>
      </c>
      <c r="Y158" s="30" t="s">
        <v>9300</v>
      </c>
      <c r="Z158" s="30"/>
      <c r="AA158" s="30"/>
      <c r="AB158" s="30" t="s">
        <v>9311</v>
      </c>
      <c r="AC158" s="30"/>
      <c r="AD158" s="30"/>
      <c r="AE158" s="30"/>
      <c r="AF158" s="30"/>
      <c r="AG158" s="30"/>
      <c r="AH158" s="30" t="s">
        <v>4714</v>
      </c>
      <c r="AI158" s="30" t="s">
        <v>9433</v>
      </c>
      <c r="AJ158" s="641" t="str">
        <f t="shared" si="4"/>
        <v>228101</v>
      </c>
      <c r="AK158" s="641">
        <v>1</v>
      </c>
      <c r="AL158" s="641">
        <f t="shared" si="5"/>
        <v>1</v>
      </c>
      <c r="AM158" s="641">
        <v>1</v>
      </c>
      <c r="AN158" s="30" t="s">
        <v>17650</v>
      </c>
      <c r="AO158" s="30" t="s">
        <v>17651</v>
      </c>
      <c r="AP158" s="30" t="s">
        <v>17652</v>
      </c>
      <c r="AQ158" s="30" t="s">
        <v>17653</v>
      </c>
      <c r="AR158" s="30" t="s">
        <v>1024</v>
      </c>
      <c r="AS158" s="30">
        <v>1</v>
      </c>
    </row>
    <row r="159" spans="1:45" x14ac:dyDescent="0.25">
      <c r="A159" s="30" t="s">
        <v>716</v>
      </c>
      <c r="B159" s="30" t="s">
        <v>26682</v>
      </c>
      <c r="C159" s="30" t="s">
        <v>706</v>
      </c>
      <c r="D159" s="139" t="s">
        <v>26052</v>
      </c>
      <c r="E159" s="30" t="s">
        <v>217</v>
      </c>
      <c r="F159" s="30">
        <v>1</v>
      </c>
      <c r="G159" s="30" t="s">
        <v>193</v>
      </c>
      <c r="H159" s="30" t="s">
        <v>194</v>
      </c>
      <c r="I159" s="30" t="s">
        <v>26053</v>
      </c>
      <c r="J159" s="30" t="s">
        <v>210</v>
      </c>
      <c r="K159" s="30" t="s">
        <v>9309</v>
      </c>
      <c r="L159" s="30" t="s">
        <v>6955</v>
      </c>
      <c r="M159" s="30"/>
      <c r="N159" s="30" t="s">
        <v>26683</v>
      </c>
      <c r="O159" s="30" t="s">
        <v>6286</v>
      </c>
      <c r="P159" s="30" t="s">
        <v>26449</v>
      </c>
      <c r="Q159" s="30" t="s">
        <v>26098</v>
      </c>
      <c r="R159" s="30" t="s">
        <v>26231</v>
      </c>
      <c r="S159" s="30" t="s">
        <v>26684</v>
      </c>
      <c r="T159" s="30" t="s">
        <v>26685</v>
      </c>
      <c r="U159" s="30"/>
      <c r="V159" s="30">
        <v>1863</v>
      </c>
      <c r="W159" s="30" t="s">
        <v>707</v>
      </c>
      <c r="X159" s="30" t="s">
        <v>194</v>
      </c>
      <c r="Y159" s="30" t="s">
        <v>9300</v>
      </c>
      <c r="Z159" s="30"/>
      <c r="AA159" s="30"/>
      <c r="AB159" s="30" t="s">
        <v>9311</v>
      </c>
      <c r="AC159" s="30"/>
      <c r="AD159" s="30"/>
      <c r="AE159" s="30"/>
      <c r="AF159" s="30"/>
      <c r="AG159" s="30"/>
      <c r="AH159" s="30" t="s">
        <v>4714</v>
      </c>
      <c r="AI159" s="30" t="s">
        <v>9433</v>
      </c>
      <c r="AJ159" s="641" t="str">
        <f t="shared" si="4"/>
        <v>422201</v>
      </c>
      <c r="AK159" s="641">
        <v>1</v>
      </c>
      <c r="AL159" s="641">
        <f t="shared" si="5"/>
        <v>1</v>
      </c>
      <c r="AM159" s="641">
        <v>1</v>
      </c>
      <c r="AN159" s="30" t="s">
        <v>17650</v>
      </c>
      <c r="AO159" s="30" t="s">
        <v>17651</v>
      </c>
      <c r="AP159" s="30" t="s">
        <v>17652</v>
      </c>
      <c r="AQ159" s="30" t="s">
        <v>17653</v>
      </c>
      <c r="AR159" s="30" t="s">
        <v>1024</v>
      </c>
      <c r="AS159" s="30">
        <v>1</v>
      </c>
    </row>
    <row r="160" spans="1:45" x14ac:dyDescent="0.25">
      <c r="A160" s="30" t="s">
        <v>26089</v>
      </c>
      <c r="B160" s="30" t="s">
        <v>26686</v>
      </c>
      <c r="C160" s="30" t="s">
        <v>6050</v>
      </c>
      <c r="D160" s="139" t="s">
        <v>26052</v>
      </c>
      <c r="E160" s="30" t="s">
        <v>217</v>
      </c>
      <c r="F160" s="30">
        <v>1</v>
      </c>
      <c r="G160" s="30" t="s">
        <v>193</v>
      </c>
      <c r="H160" s="30" t="s">
        <v>194</v>
      </c>
      <c r="I160" s="30" t="s">
        <v>26053</v>
      </c>
      <c r="J160" s="30" t="s">
        <v>210</v>
      </c>
      <c r="K160" s="30" t="s">
        <v>9309</v>
      </c>
      <c r="L160" s="30" t="s">
        <v>6955</v>
      </c>
      <c r="M160" s="30"/>
      <c r="N160" s="30" t="s">
        <v>26687</v>
      </c>
      <c r="O160" s="30" t="s">
        <v>6921</v>
      </c>
      <c r="P160" s="30" t="s">
        <v>26449</v>
      </c>
      <c r="Q160" s="30" t="s">
        <v>26103</v>
      </c>
      <c r="R160" s="30" t="s">
        <v>26079</v>
      </c>
      <c r="S160" s="30" t="s">
        <v>26688</v>
      </c>
      <c r="T160" s="30" t="s">
        <v>26689</v>
      </c>
      <c r="U160" s="30"/>
      <c r="V160" s="30">
        <v>1863</v>
      </c>
      <c r="W160" s="30" t="s">
        <v>6052</v>
      </c>
      <c r="X160" s="30" t="s">
        <v>194</v>
      </c>
      <c r="Y160" s="30" t="s">
        <v>9300</v>
      </c>
      <c r="Z160" s="30"/>
      <c r="AA160" s="30"/>
      <c r="AB160" s="30" t="s">
        <v>9311</v>
      </c>
      <c r="AC160" s="30"/>
      <c r="AD160" s="30"/>
      <c r="AE160" s="30"/>
      <c r="AF160" s="30"/>
      <c r="AG160" s="30"/>
      <c r="AH160" s="30" t="s">
        <v>4714</v>
      </c>
      <c r="AI160" s="30" t="s">
        <v>9433</v>
      </c>
      <c r="AJ160" s="641" t="str">
        <f t="shared" si="4"/>
        <v>251101</v>
      </c>
      <c r="AK160" s="641">
        <v>1</v>
      </c>
      <c r="AL160" s="641">
        <f t="shared" si="5"/>
        <v>1</v>
      </c>
      <c r="AM160" s="641">
        <v>1</v>
      </c>
      <c r="AN160" s="30" t="s">
        <v>17650</v>
      </c>
      <c r="AO160" s="30" t="s">
        <v>17651</v>
      </c>
      <c r="AP160" s="30" t="s">
        <v>17652</v>
      </c>
      <c r="AQ160" s="30" t="s">
        <v>17653</v>
      </c>
      <c r="AR160" s="30" t="s">
        <v>1024</v>
      </c>
      <c r="AS160" s="30">
        <v>1</v>
      </c>
    </row>
    <row r="161" spans="1:45" x14ac:dyDescent="0.25">
      <c r="A161" s="30" t="s">
        <v>26258</v>
      </c>
      <c r="B161" s="30" t="s">
        <v>26259</v>
      </c>
      <c r="C161" s="30" t="s">
        <v>18783</v>
      </c>
      <c r="D161" s="139" t="s">
        <v>26052</v>
      </c>
      <c r="E161" s="30" t="s">
        <v>217</v>
      </c>
      <c r="F161" s="30">
        <v>1</v>
      </c>
      <c r="G161" s="30" t="s">
        <v>193</v>
      </c>
      <c r="H161" s="30" t="s">
        <v>194</v>
      </c>
      <c r="I161" s="30" t="s">
        <v>26143</v>
      </c>
      <c r="J161" s="30" t="s">
        <v>210</v>
      </c>
      <c r="K161" s="30" t="s">
        <v>9309</v>
      </c>
      <c r="L161" s="30" t="s">
        <v>6955</v>
      </c>
      <c r="M161" s="30"/>
      <c r="N161" s="30" t="s">
        <v>26690</v>
      </c>
      <c r="O161" s="30" t="s">
        <v>6269</v>
      </c>
      <c r="P161" s="30" t="s">
        <v>26449</v>
      </c>
      <c r="Q161" s="30" t="s">
        <v>26103</v>
      </c>
      <c r="R161" s="30" t="s">
        <v>26079</v>
      </c>
      <c r="S161" s="30" t="s">
        <v>26691</v>
      </c>
      <c r="T161" s="30" t="s">
        <v>26692</v>
      </c>
      <c r="U161" s="30"/>
      <c r="V161" s="30">
        <v>1863</v>
      </c>
      <c r="W161" s="30" t="s">
        <v>2538</v>
      </c>
      <c r="X161" s="30" t="s">
        <v>194</v>
      </c>
      <c r="Y161" s="30" t="s">
        <v>9300</v>
      </c>
      <c r="Z161" s="30"/>
      <c r="AA161" s="30"/>
      <c r="AB161" s="30" t="s">
        <v>9311</v>
      </c>
      <c r="AC161" s="30"/>
      <c r="AD161" s="30"/>
      <c r="AE161" s="30"/>
      <c r="AF161" s="30"/>
      <c r="AG161" s="30"/>
      <c r="AH161" s="30" t="s">
        <v>4714</v>
      </c>
      <c r="AI161" s="30" t="s">
        <v>9433</v>
      </c>
      <c r="AJ161" s="641" t="str">
        <f t="shared" si="4"/>
        <v>911207</v>
      </c>
      <c r="AK161" s="641">
        <v>1</v>
      </c>
      <c r="AL161" s="641">
        <f t="shared" si="5"/>
        <v>1</v>
      </c>
      <c r="AM161" s="641">
        <v>1</v>
      </c>
      <c r="AN161" s="30" t="s">
        <v>17650</v>
      </c>
      <c r="AO161" s="30" t="s">
        <v>17651</v>
      </c>
      <c r="AP161" s="30" t="s">
        <v>17652</v>
      </c>
      <c r="AQ161" s="30" t="s">
        <v>17653</v>
      </c>
      <c r="AR161" s="30" t="s">
        <v>1024</v>
      </c>
      <c r="AS161" s="30">
        <v>1</v>
      </c>
    </row>
    <row r="162" spans="1:45" x14ac:dyDescent="0.25">
      <c r="A162" s="30" t="s">
        <v>26089</v>
      </c>
      <c r="B162" s="30" t="s">
        <v>26407</v>
      </c>
      <c r="C162" s="30" t="s">
        <v>10</v>
      </c>
      <c r="D162" s="139" t="s">
        <v>26052</v>
      </c>
      <c r="E162" s="30" t="s">
        <v>217</v>
      </c>
      <c r="F162" s="30">
        <v>1</v>
      </c>
      <c r="G162" s="30" t="s">
        <v>193</v>
      </c>
      <c r="H162" s="30" t="s">
        <v>194</v>
      </c>
      <c r="I162" s="30" t="s">
        <v>23198</v>
      </c>
      <c r="J162" s="30" t="s">
        <v>210</v>
      </c>
      <c r="K162" s="30" t="s">
        <v>9309</v>
      </c>
      <c r="L162" s="30" t="s">
        <v>6955</v>
      </c>
      <c r="M162" s="30"/>
      <c r="N162" s="30" t="s">
        <v>26693</v>
      </c>
      <c r="O162" s="30" t="s">
        <v>6261</v>
      </c>
      <c r="P162" s="30" t="s">
        <v>26449</v>
      </c>
      <c r="Q162" s="30" t="s">
        <v>26584</v>
      </c>
      <c r="R162" s="30" t="s">
        <v>26099</v>
      </c>
      <c r="S162" s="30" t="s">
        <v>26694</v>
      </c>
      <c r="T162" s="30" t="s">
        <v>26695</v>
      </c>
      <c r="U162" s="30"/>
      <c r="V162" s="30">
        <v>1863</v>
      </c>
      <c r="W162" s="30" t="s">
        <v>484</v>
      </c>
      <c r="X162" s="30" t="s">
        <v>194</v>
      </c>
      <c r="Y162" s="30" t="s">
        <v>9300</v>
      </c>
      <c r="Z162" s="30"/>
      <c r="AA162" s="30"/>
      <c r="AB162" s="30" t="s">
        <v>9311</v>
      </c>
      <c r="AC162" s="30"/>
      <c r="AD162" s="30"/>
      <c r="AE162" s="30"/>
      <c r="AF162" s="30"/>
      <c r="AG162" s="30"/>
      <c r="AH162" s="30" t="s">
        <v>4714</v>
      </c>
      <c r="AI162" s="30" t="s">
        <v>9433</v>
      </c>
      <c r="AJ162" s="641" t="str">
        <f t="shared" si="4"/>
        <v>251401</v>
      </c>
      <c r="AK162" s="641">
        <v>1</v>
      </c>
      <c r="AL162" s="641">
        <f t="shared" si="5"/>
        <v>1</v>
      </c>
      <c r="AM162" s="641">
        <v>1</v>
      </c>
      <c r="AN162" s="30" t="s">
        <v>17650</v>
      </c>
      <c r="AO162" s="30" t="s">
        <v>17651</v>
      </c>
      <c r="AP162" s="30" t="s">
        <v>17652</v>
      </c>
      <c r="AQ162" s="30" t="s">
        <v>17653</v>
      </c>
      <c r="AR162" s="30" t="s">
        <v>1024</v>
      </c>
      <c r="AS162" s="30">
        <v>1</v>
      </c>
    </row>
    <row r="163" spans="1:45" x14ac:dyDescent="0.25">
      <c r="A163" s="30" t="s">
        <v>26193</v>
      </c>
      <c r="B163" s="30" t="s">
        <v>26194</v>
      </c>
      <c r="C163" s="30" t="s">
        <v>227</v>
      </c>
      <c r="D163" s="139" t="s">
        <v>26052</v>
      </c>
      <c r="E163" s="30" t="s">
        <v>217</v>
      </c>
      <c r="F163" s="30">
        <v>1</v>
      </c>
      <c r="G163" s="30" t="s">
        <v>193</v>
      </c>
      <c r="H163" s="30" t="s">
        <v>194</v>
      </c>
      <c r="I163" s="30" t="s">
        <v>26053</v>
      </c>
      <c r="J163" s="30" t="s">
        <v>316</v>
      </c>
      <c r="K163" s="30" t="s">
        <v>9309</v>
      </c>
      <c r="L163" s="30" t="s">
        <v>6955</v>
      </c>
      <c r="M163" s="30"/>
      <c r="N163" s="30" t="s">
        <v>26696</v>
      </c>
      <c r="O163" s="30" t="s">
        <v>6269</v>
      </c>
      <c r="P163" s="30" t="s">
        <v>26449</v>
      </c>
      <c r="Q163" s="30" t="s">
        <v>26159</v>
      </c>
      <c r="R163" s="30" t="s">
        <v>26160</v>
      </c>
      <c r="S163" s="30" t="s">
        <v>26697</v>
      </c>
      <c r="T163" s="30" t="s">
        <v>26698</v>
      </c>
      <c r="U163" s="30"/>
      <c r="V163" s="30">
        <v>1818</v>
      </c>
      <c r="W163" s="30" t="s">
        <v>229</v>
      </c>
      <c r="X163" s="30" t="s">
        <v>194</v>
      </c>
      <c r="Y163" s="30" t="s">
        <v>9300</v>
      </c>
      <c r="Z163" s="30"/>
      <c r="AA163" s="30"/>
      <c r="AB163" s="30" t="s">
        <v>9311</v>
      </c>
      <c r="AC163" s="30"/>
      <c r="AD163" s="30"/>
      <c r="AE163" s="30"/>
      <c r="AF163" s="30"/>
      <c r="AG163" s="30"/>
      <c r="AH163" s="30" t="s">
        <v>4714</v>
      </c>
      <c r="AI163" s="30" t="s">
        <v>9433</v>
      </c>
      <c r="AJ163" s="641" t="str">
        <f t="shared" si="4"/>
        <v>132401</v>
      </c>
      <c r="AK163" s="641">
        <v>1</v>
      </c>
      <c r="AL163" s="641">
        <f t="shared" si="5"/>
        <v>1</v>
      </c>
      <c r="AM163" s="641">
        <v>1</v>
      </c>
      <c r="AN163" s="30" t="s">
        <v>17650</v>
      </c>
      <c r="AO163" s="30" t="s">
        <v>17651</v>
      </c>
      <c r="AP163" s="30" t="s">
        <v>17652</v>
      </c>
      <c r="AQ163" s="30" t="s">
        <v>17653</v>
      </c>
      <c r="AR163" s="30" t="s">
        <v>1024</v>
      </c>
      <c r="AS163" s="30">
        <v>1</v>
      </c>
    </row>
    <row r="164" spans="1:45" x14ac:dyDescent="0.25">
      <c r="A164" s="30" t="s">
        <v>716</v>
      </c>
      <c r="B164" s="30" t="s">
        <v>26699</v>
      </c>
      <c r="C164" s="30" t="s">
        <v>26180</v>
      </c>
      <c r="D164" s="139" t="s">
        <v>26052</v>
      </c>
      <c r="E164" s="30" t="s">
        <v>217</v>
      </c>
      <c r="F164" s="30">
        <v>1</v>
      </c>
      <c r="G164" s="30" t="s">
        <v>193</v>
      </c>
      <c r="H164" s="30" t="s">
        <v>194</v>
      </c>
      <c r="I164" s="30" t="s">
        <v>26053</v>
      </c>
      <c r="J164" s="30" t="s">
        <v>210</v>
      </c>
      <c r="K164" s="30" t="s">
        <v>9309</v>
      </c>
      <c r="L164" s="30" t="s">
        <v>6955</v>
      </c>
      <c r="M164" s="30"/>
      <c r="N164" s="30" t="s">
        <v>26700</v>
      </c>
      <c r="O164" s="30" t="s">
        <v>6286</v>
      </c>
      <c r="P164" s="30" t="s">
        <v>26449</v>
      </c>
      <c r="Q164" s="30" t="s">
        <v>26261</v>
      </c>
      <c r="R164" s="30" t="s">
        <v>26262</v>
      </c>
      <c r="S164" s="30" t="s">
        <v>26701</v>
      </c>
      <c r="T164" s="30" t="s">
        <v>26702</v>
      </c>
      <c r="U164" s="30"/>
      <c r="V164" s="30">
        <v>1863</v>
      </c>
      <c r="W164" s="30" t="s">
        <v>26186</v>
      </c>
      <c r="X164" s="30" t="s">
        <v>194</v>
      </c>
      <c r="Y164" s="30" t="s">
        <v>9300</v>
      </c>
      <c r="Z164" s="30"/>
      <c r="AA164" s="30"/>
      <c r="AB164" s="30" t="s">
        <v>9311</v>
      </c>
      <c r="AC164" s="30"/>
      <c r="AD164" s="30"/>
      <c r="AE164" s="30"/>
      <c r="AF164" s="30"/>
      <c r="AG164" s="30"/>
      <c r="AH164" s="30" t="s">
        <v>4714</v>
      </c>
      <c r="AI164" s="30" t="s">
        <v>9433</v>
      </c>
      <c r="AJ164" s="641" t="str">
        <f t="shared" si="4"/>
        <v>421108</v>
      </c>
      <c r="AK164" s="641">
        <v>1</v>
      </c>
      <c r="AL164" s="641">
        <f t="shared" si="5"/>
        <v>1</v>
      </c>
      <c r="AM164" s="641">
        <v>1</v>
      </c>
      <c r="AN164" s="30" t="s">
        <v>17650</v>
      </c>
      <c r="AO164" s="30" t="s">
        <v>17651</v>
      </c>
      <c r="AP164" s="30" t="s">
        <v>17652</v>
      </c>
      <c r="AQ164" s="30" t="s">
        <v>17653</v>
      </c>
      <c r="AR164" s="30" t="s">
        <v>1024</v>
      </c>
      <c r="AS164" s="30">
        <v>1</v>
      </c>
    </row>
    <row r="165" spans="1:45" x14ac:dyDescent="0.25">
      <c r="A165" s="30" t="s">
        <v>26153</v>
      </c>
      <c r="B165" s="30" t="s">
        <v>26703</v>
      </c>
      <c r="C165" s="30" t="s">
        <v>2861</v>
      </c>
      <c r="D165" s="139" t="s">
        <v>26052</v>
      </c>
      <c r="E165" s="30" t="s">
        <v>217</v>
      </c>
      <c r="F165" s="30">
        <v>1</v>
      </c>
      <c r="G165" s="30" t="s">
        <v>193</v>
      </c>
      <c r="H165" s="30" t="s">
        <v>194</v>
      </c>
      <c r="I165" s="30" t="s">
        <v>23198</v>
      </c>
      <c r="J165" s="30" t="s">
        <v>210</v>
      </c>
      <c r="K165" s="30" t="s">
        <v>9309</v>
      </c>
      <c r="L165" s="30" t="s">
        <v>6955</v>
      </c>
      <c r="M165" s="30"/>
      <c r="N165" s="30" t="s">
        <v>26704</v>
      </c>
      <c r="O165" s="30" t="s">
        <v>6261</v>
      </c>
      <c r="P165" s="30" t="s">
        <v>26449</v>
      </c>
      <c r="Q165" s="30" t="s">
        <v>26120</v>
      </c>
      <c r="R165" s="30" t="s">
        <v>24551</v>
      </c>
      <c r="S165" s="30" t="s">
        <v>26705</v>
      </c>
      <c r="T165" s="30" t="s">
        <v>26706</v>
      </c>
      <c r="U165" s="30"/>
      <c r="V165" s="30">
        <v>1863</v>
      </c>
      <c r="W165" s="30" t="s">
        <v>3629</v>
      </c>
      <c r="X165" s="30" t="s">
        <v>194</v>
      </c>
      <c r="Y165" s="30" t="s">
        <v>9300</v>
      </c>
      <c r="Z165" s="30"/>
      <c r="AA165" s="30"/>
      <c r="AB165" s="30" t="s">
        <v>9311</v>
      </c>
      <c r="AC165" s="30"/>
      <c r="AD165" s="30"/>
      <c r="AE165" s="30"/>
      <c r="AF165" s="30"/>
      <c r="AG165" s="30"/>
      <c r="AH165" s="30" t="s">
        <v>4714</v>
      </c>
      <c r="AI165" s="30" t="s">
        <v>9433</v>
      </c>
      <c r="AJ165" s="641" t="str">
        <f t="shared" si="4"/>
        <v>251903</v>
      </c>
      <c r="AK165" s="641">
        <v>1</v>
      </c>
      <c r="AL165" s="641">
        <f t="shared" si="5"/>
        <v>1</v>
      </c>
      <c r="AM165" s="641">
        <v>1</v>
      </c>
      <c r="AN165" s="30" t="s">
        <v>17650</v>
      </c>
      <c r="AO165" s="30" t="s">
        <v>17651</v>
      </c>
      <c r="AP165" s="30" t="s">
        <v>17652</v>
      </c>
      <c r="AQ165" s="30" t="s">
        <v>17653</v>
      </c>
      <c r="AR165" s="30" t="s">
        <v>1024</v>
      </c>
      <c r="AS165" s="30">
        <v>1</v>
      </c>
    </row>
    <row r="166" spans="1:45" x14ac:dyDescent="0.25">
      <c r="A166" s="30" t="s">
        <v>10145</v>
      </c>
      <c r="B166" s="30" t="s">
        <v>10126</v>
      </c>
      <c r="C166" s="30" t="s">
        <v>5333</v>
      </c>
      <c r="D166" s="139" t="s">
        <v>26052</v>
      </c>
      <c r="E166" s="30" t="s">
        <v>217</v>
      </c>
      <c r="F166" s="30">
        <v>1</v>
      </c>
      <c r="G166" s="30" t="s">
        <v>193</v>
      </c>
      <c r="H166" s="30" t="s">
        <v>194</v>
      </c>
      <c r="I166" s="30" t="s">
        <v>26060</v>
      </c>
      <c r="J166" s="30" t="s">
        <v>210</v>
      </c>
      <c r="K166" s="30" t="s">
        <v>9309</v>
      </c>
      <c r="L166" s="30" t="s">
        <v>6955</v>
      </c>
      <c r="M166" s="30"/>
      <c r="N166" s="30" t="s">
        <v>26707</v>
      </c>
      <c r="O166" s="30" t="s">
        <v>6249</v>
      </c>
      <c r="P166" s="30" t="s">
        <v>26449</v>
      </c>
      <c r="Q166" s="30" t="s">
        <v>26261</v>
      </c>
      <c r="R166" s="30" t="s">
        <v>26262</v>
      </c>
      <c r="S166" s="30" t="s">
        <v>26708</v>
      </c>
      <c r="T166" s="30" t="s">
        <v>26709</v>
      </c>
      <c r="U166" s="30"/>
      <c r="V166" s="30">
        <v>1863</v>
      </c>
      <c r="W166" s="30" t="s">
        <v>1536</v>
      </c>
      <c r="X166" s="30" t="s">
        <v>194</v>
      </c>
      <c r="Y166" s="30" t="s">
        <v>9300</v>
      </c>
      <c r="Z166" s="30"/>
      <c r="AA166" s="30"/>
      <c r="AB166" s="30" t="s">
        <v>9311</v>
      </c>
      <c r="AC166" s="30"/>
      <c r="AD166" s="30"/>
      <c r="AE166" s="30"/>
      <c r="AF166" s="30"/>
      <c r="AG166" s="30"/>
      <c r="AH166" s="30" t="s">
        <v>4714</v>
      </c>
      <c r="AI166" s="30" t="s">
        <v>9433</v>
      </c>
      <c r="AJ166" s="641" t="str">
        <f t="shared" si="4"/>
        <v>314401</v>
      </c>
      <c r="AK166" s="641">
        <v>1</v>
      </c>
      <c r="AL166" s="641">
        <f t="shared" si="5"/>
        <v>1</v>
      </c>
      <c r="AM166" s="641">
        <v>1</v>
      </c>
      <c r="AN166" s="30" t="s">
        <v>17650</v>
      </c>
      <c r="AO166" s="30" t="s">
        <v>17651</v>
      </c>
      <c r="AP166" s="30" t="s">
        <v>17652</v>
      </c>
      <c r="AQ166" s="30" t="s">
        <v>17653</v>
      </c>
      <c r="AR166" s="30" t="s">
        <v>1024</v>
      </c>
      <c r="AS166" s="30">
        <v>1</v>
      </c>
    </row>
    <row r="167" spans="1:45" x14ac:dyDescent="0.25">
      <c r="A167" s="30" t="s">
        <v>11415</v>
      </c>
      <c r="B167" s="30" t="s">
        <v>8016</v>
      </c>
      <c r="C167" s="30" t="s">
        <v>99</v>
      </c>
      <c r="D167" s="139" t="s">
        <v>26052</v>
      </c>
      <c r="E167" s="30" t="s">
        <v>217</v>
      </c>
      <c r="F167" s="30">
        <v>1</v>
      </c>
      <c r="G167" s="30" t="s">
        <v>193</v>
      </c>
      <c r="H167" s="30" t="s">
        <v>194</v>
      </c>
      <c r="I167" s="30" t="s">
        <v>23198</v>
      </c>
      <c r="J167" s="30" t="s">
        <v>210</v>
      </c>
      <c r="K167" s="30" t="s">
        <v>9309</v>
      </c>
      <c r="L167" s="30" t="s">
        <v>6955</v>
      </c>
      <c r="M167" s="30"/>
      <c r="N167" s="30" t="s">
        <v>22312</v>
      </c>
      <c r="O167" s="30" t="s">
        <v>6286</v>
      </c>
      <c r="P167" s="30" t="s">
        <v>26114</v>
      </c>
      <c r="Q167" s="30" t="s">
        <v>26027</v>
      </c>
      <c r="R167" s="30" t="s">
        <v>26115</v>
      </c>
      <c r="S167" s="30" t="s">
        <v>26710</v>
      </c>
      <c r="T167" s="30" t="s">
        <v>26711</v>
      </c>
      <c r="U167" s="30"/>
      <c r="V167" s="30">
        <v>1863</v>
      </c>
      <c r="W167" s="30" t="s">
        <v>2421</v>
      </c>
      <c r="X167" s="30" t="s">
        <v>194</v>
      </c>
      <c r="Y167" s="30" t="s">
        <v>9300</v>
      </c>
      <c r="Z167" s="30"/>
      <c r="AA167" s="30"/>
      <c r="AB167" s="30" t="s">
        <v>9311</v>
      </c>
      <c r="AC167" s="30"/>
      <c r="AD167" s="30"/>
      <c r="AE167" s="30"/>
      <c r="AF167" s="30"/>
      <c r="AG167" s="30"/>
      <c r="AH167" s="30" t="s">
        <v>4714</v>
      </c>
      <c r="AI167" s="30" t="s">
        <v>9433</v>
      </c>
      <c r="AJ167" s="641" t="str">
        <f t="shared" si="4"/>
        <v>412001</v>
      </c>
      <c r="AK167" s="641">
        <v>1</v>
      </c>
      <c r="AL167" s="641">
        <f t="shared" si="5"/>
        <v>1</v>
      </c>
      <c r="AM167" s="641">
        <v>1</v>
      </c>
      <c r="AN167" s="30" t="s">
        <v>17650</v>
      </c>
      <c r="AO167" s="30" t="s">
        <v>17651</v>
      </c>
      <c r="AP167" s="30" t="s">
        <v>17652</v>
      </c>
      <c r="AQ167" s="30" t="s">
        <v>17653</v>
      </c>
      <c r="AR167" s="30" t="s">
        <v>1024</v>
      </c>
      <c r="AS167" s="30">
        <v>1</v>
      </c>
    </row>
    <row r="168" spans="1:45" x14ac:dyDescent="0.25">
      <c r="A168" s="30" t="s">
        <v>3946</v>
      </c>
      <c r="B168" s="30" t="s">
        <v>26712</v>
      </c>
      <c r="C168" s="30" t="s">
        <v>740</v>
      </c>
      <c r="D168" s="139" t="s">
        <v>26052</v>
      </c>
      <c r="E168" s="30" t="s">
        <v>217</v>
      </c>
      <c r="F168" s="30">
        <v>1</v>
      </c>
      <c r="G168" s="30" t="s">
        <v>193</v>
      </c>
      <c r="H168" s="30" t="s">
        <v>194</v>
      </c>
      <c r="I168" s="30" t="s">
        <v>26053</v>
      </c>
      <c r="J168" s="30" t="s">
        <v>305</v>
      </c>
      <c r="K168" s="30" t="s">
        <v>9309</v>
      </c>
      <c r="L168" s="30" t="s">
        <v>6955</v>
      </c>
      <c r="M168" s="30"/>
      <c r="N168" s="30" t="s">
        <v>26713</v>
      </c>
      <c r="O168" s="30" t="s">
        <v>6249</v>
      </c>
      <c r="P168" s="30" t="s">
        <v>26449</v>
      </c>
      <c r="Q168" s="30" t="s">
        <v>26092</v>
      </c>
      <c r="R168" s="30" t="s">
        <v>26093</v>
      </c>
      <c r="S168" s="30" t="s">
        <v>26714</v>
      </c>
      <c r="T168" s="30" t="s">
        <v>26715</v>
      </c>
      <c r="U168" s="30"/>
      <c r="V168" s="30">
        <v>1814</v>
      </c>
      <c r="W168" s="30" t="s">
        <v>741</v>
      </c>
      <c r="X168" s="30" t="s">
        <v>194</v>
      </c>
      <c r="Y168" s="30" t="s">
        <v>9300</v>
      </c>
      <c r="Z168" s="30"/>
      <c r="AA168" s="30"/>
      <c r="AB168" s="30" t="s">
        <v>9311</v>
      </c>
      <c r="AC168" s="30"/>
      <c r="AD168" s="30"/>
      <c r="AE168" s="30"/>
      <c r="AF168" s="30"/>
      <c r="AG168" s="30"/>
      <c r="AH168" s="30" t="s">
        <v>4714</v>
      </c>
      <c r="AI168" s="30" t="s">
        <v>9433</v>
      </c>
      <c r="AJ168" s="641" t="str">
        <f t="shared" si="4"/>
        <v>522301</v>
      </c>
      <c r="AK168" s="641">
        <v>1</v>
      </c>
      <c r="AL168" s="641">
        <f t="shared" si="5"/>
        <v>1</v>
      </c>
      <c r="AM168" s="641">
        <v>1</v>
      </c>
      <c r="AN168" s="30" t="s">
        <v>17650</v>
      </c>
      <c r="AO168" s="30" t="s">
        <v>17651</v>
      </c>
      <c r="AP168" s="30" t="s">
        <v>17652</v>
      </c>
      <c r="AQ168" s="30" t="s">
        <v>17653</v>
      </c>
      <c r="AR168" s="30" t="s">
        <v>1024</v>
      </c>
      <c r="AS168" s="30">
        <v>1</v>
      </c>
    </row>
    <row r="169" spans="1:45" x14ac:dyDescent="0.25">
      <c r="A169" s="30" t="s">
        <v>10145</v>
      </c>
      <c r="B169" s="30" t="s">
        <v>10229</v>
      </c>
      <c r="C169" s="30" t="s">
        <v>51</v>
      </c>
      <c r="D169" s="139" t="s">
        <v>26052</v>
      </c>
      <c r="E169" s="30" t="s">
        <v>217</v>
      </c>
      <c r="F169" s="30">
        <v>1</v>
      </c>
      <c r="G169" s="30" t="s">
        <v>193</v>
      </c>
      <c r="H169" s="30" t="s">
        <v>194</v>
      </c>
      <c r="I169" s="30" t="s">
        <v>26053</v>
      </c>
      <c r="J169" s="30" t="s">
        <v>210</v>
      </c>
      <c r="K169" s="30" t="s">
        <v>9309</v>
      </c>
      <c r="L169" s="30" t="s">
        <v>6955</v>
      </c>
      <c r="M169" s="30"/>
      <c r="N169" s="30" t="s">
        <v>26716</v>
      </c>
      <c r="O169" s="30" t="s">
        <v>6249</v>
      </c>
      <c r="P169" s="30" t="s">
        <v>26449</v>
      </c>
      <c r="Q169" s="30" t="s">
        <v>26374</v>
      </c>
      <c r="R169" s="30" t="s">
        <v>26375</v>
      </c>
      <c r="S169" s="30" t="s">
        <v>26717</v>
      </c>
      <c r="T169" s="30" t="s">
        <v>26718</v>
      </c>
      <c r="U169" s="30"/>
      <c r="V169" s="30">
        <v>1863</v>
      </c>
      <c r="W169" s="30" t="s">
        <v>904</v>
      </c>
      <c r="X169" s="30" t="s">
        <v>194</v>
      </c>
      <c r="Y169" s="30" t="s">
        <v>9300</v>
      </c>
      <c r="Z169" s="30"/>
      <c r="AA169" s="30"/>
      <c r="AB169" s="30" t="s">
        <v>9311</v>
      </c>
      <c r="AC169" s="30"/>
      <c r="AD169" s="30"/>
      <c r="AE169" s="30"/>
      <c r="AF169" s="30"/>
      <c r="AG169" s="30"/>
      <c r="AH169" s="30" t="s">
        <v>4714</v>
      </c>
      <c r="AI169" s="30" t="s">
        <v>9433</v>
      </c>
      <c r="AJ169" s="641" t="str">
        <f t="shared" si="4"/>
        <v>523002</v>
      </c>
      <c r="AK169" s="641">
        <v>1</v>
      </c>
      <c r="AL169" s="641">
        <f t="shared" si="5"/>
        <v>1</v>
      </c>
      <c r="AM169" s="641">
        <v>1</v>
      </c>
      <c r="AN169" s="30" t="s">
        <v>17650</v>
      </c>
      <c r="AO169" s="30" t="s">
        <v>17651</v>
      </c>
      <c r="AP169" s="30" t="s">
        <v>17652</v>
      </c>
      <c r="AQ169" s="30" t="s">
        <v>17653</v>
      </c>
      <c r="AR169" s="30" t="s">
        <v>1024</v>
      </c>
      <c r="AS169" s="30">
        <v>1</v>
      </c>
    </row>
    <row r="170" spans="1:45" x14ac:dyDescent="0.25">
      <c r="A170" s="30" t="s">
        <v>26089</v>
      </c>
      <c r="B170" s="30" t="s">
        <v>26268</v>
      </c>
      <c r="C170" s="30" t="s">
        <v>444</v>
      </c>
      <c r="D170" s="139" t="s">
        <v>26052</v>
      </c>
      <c r="E170" s="30" t="s">
        <v>217</v>
      </c>
      <c r="F170" s="30">
        <v>1</v>
      </c>
      <c r="G170" s="30" t="s">
        <v>193</v>
      </c>
      <c r="H170" s="30" t="s">
        <v>194</v>
      </c>
      <c r="I170" s="30" t="s">
        <v>26060</v>
      </c>
      <c r="J170" s="30" t="s">
        <v>210</v>
      </c>
      <c r="K170" s="30" t="s">
        <v>9309</v>
      </c>
      <c r="L170" s="30" t="s">
        <v>6955</v>
      </c>
      <c r="M170" s="30"/>
      <c r="N170" s="30" t="s">
        <v>26719</v>
      </c>
      <c r="O170" s="30" t="s">
        <v>6261</v>
      </c>
      <c r="P170" s="30" t="s">
        <v>26449</v>
      </c>
      <c r="Q170" s="30" t="s">
        <v>26098</v>
      </c>
      <c r="R170" s="30" t="s">
        <v>26231</v>
      </c>
      <c r="S170" s="30" t="s">
        <v>26720</v>
      </c>
      <c r="T170" s="30" t="s">
        <v>26721</v>
      </c>
      <c r="U170" s="30"/>
      <c r="V170" s="30">
        <v>1863</v>
      </c>
      <c r="W170" s="30" t="s">
        <v>445</v>
      </c>
      <c r="X170" s="30" t="s">
        <v>194</v>
      </c>
      <c r="Y170" s="30" t="s">
        <v>9300</v>
      </c>
      <c r="Z170" s="30"/>
      <c r="AA170" s="30"/>
      <c r="AB170" s="30" t="s">
        <v>9311</v>
      </c>
      <c r="AC170" s="30"/>
      <c r="AD170" s="30"/>
      <c r="AE170" s="30"/>
      <c r="AF170" s="30"/>
      <c r="AG170" s="30"/>
      <c r="AH170" s="30" t="s">
        <v>4714</v>
      </c>
      <c r="AI170" s="30" t="s">
        <v>9433</v>
      </c>
      <c r="AJ170" s="641" t="str">
        <f t="shared" si="4"/>
        <v>243103</v>
      </c>
      <c r="AK170" s="641">
        <v>1</v>
      </c>
      <c r="AL170" s="641">
        <f t="shared" si="5"/>
        <v>1</v>
      </c>
      <c r="AM170" s="641">
        <v>1</v>
      </c>
      <c r="AN170" s="30" t="s">
        <v>17650</v>
      </c>
      <c r="AO170" s="30" t="s">
        <v>17651</v>
      </c>
      <c r="AP170" s="30" t="s">
        <v>17652</v>
      </c>
      <c r="AQ170" s="30" t="s">
        <v>17653</v>
      </c>
      <c r="AR170" s="30" t="s">
        <v>1024</v>
      </c>
      <c r="AS170" s="30">
        <v>1</v>
      </c>
    </row>
    <row r="171" spans="1:45" x14ac:dyDescent="0.25">
      <c r="A171" s="30" t="s">
        <v>26089</v>
      </c>
      <c r="B171" s="30" t="s">
        <v>26616</v>
      </c>
      <c r="C171" s="30" t="s">
        <v>26180</v>
      </c>
      <c r="D171" s="139" t="s">
        <v>26052</v>
      </c>
      <c r="E171" s="30" t="s">
        <v>217</v>
      </c>
      <c r="F171" s="30">
        <v>1</v>
      </c>
      <c r="G171" s="30" t="s">
        <v>193</v>
      </c>
      <c r="H171" s="30" t="s">
        <v>194</v>
      </c>
      <c r="I171" s="30" t="s">
        <v>26053</v>
      </c>
      <c r="J171" s="30" t="s">
        <v>210</v>
      </c>
      <c r="K171" s="30" t="s">
        <v>9309</v>
      </c>
      <c r="L171" s="30" t="s">
        <v>6955</v>
      </c>
      <c r="M171" s="30"/>
      <c r="N171" s="30" t="s">
        <v>26722</v>
      </c>
      <c r="O171" s="30" t="s">
        <v>6286</v>
      </c>
      <c r="P171" s="30" t="s">
        <v>26449</v>
      </c>
      <c r="Q171" s="30" t="s">
        <v>26189</v>
      </c>
      <c r="R171" s="30" t="s">
        <v>26190</v>
      </c>
      <c r="S171" s="30" t="s">
        <v>26723</v>
      </c>
      <c r="T171" s="30" t="s">
        <v>26724</v>
      </c>
      <c r="U171" s="30"/>
      <c r="V171" s="30">
        <v>1863</v>
      </c>
      <c r="W171" s="30" t="s">
        <v>26186</v>
      </c>
      <c r="X171" s="30" t="s">
        <v>194</v>
      </c>
      <c r="Y171" s="30" t="s">
        <v>9300</v>
      </c>
      <c r="Z171" s="30"/>
      <c r="AA171" s="30"/>
      <c r="AB171" s="30" t="s">
        <v>9311</v>
      </c>
      <c r="AC171" s="30"/>
      <c r="AD171" s="30"/>
      <c r="AE171" s="30"/>
      <c r="AF171" s="30"/>
      <c r="AG171" s="30"/>
      <c r="AH171" s="30" t="s">
        <v>4714</v>
      </c>
      <c r="AI171" s="30" t="s">
        <v>9433</v>
      </c>
      <c r="AJ171" s="641" t="str">
        <f t="shared" si="4"/>
        <v>421108</v>
      </c>
      <c r="AK171" s="641">
        <v>1</v>
      </c>
      <c r="AL171" s="641">
        <f t="shared" si="5"/>
        <v>1</v>
      </c>
      <c r="AM171" s="641">
        <v>1</v>
      </c>
      <c r="AN171" s="30" t="s">
        <v>17650</v>
      </c>
      <c r="AO171" s="30" t="s">
        <v>17651</v>
      </c>
      <c r="AP171" s="30" t="s">
        <v>17652</v>
      </c>
      <c r="AQ171" s="30" t="s">
        <v>17653</v>
      </c>
      <c r="AR171" s="30" t="s">
        <v>1024</v>
      </c>
      <c r="AS171" s="30">
        <v>1</v>
      </c>
    </row>
    <row r="172" spans="1:45" x14ac:dyDescent="0.25">
      <c r="A172" s="30" t="s">
        <v>26153</v>
      </c>
      <c r="B172" s="30" t="s">
        <v>26725</v>
      </c>
      <c r="C172" s="30" t="s">
        <v>10</v>
      </c>
      <c r="D172" s="139" t="s">
        <v>26052</v>
      </c>
      <c r="E172" s="30" t="s">
        <v>217</v>
      </c>
      <c r="F172" s="30">
        <v>1</v>
      </c>
      <c r="G172" s="30" t="s">
        <v>193</v>
      </c>
      <c r="H172" s="30" t="s">
        <v>194</v>
      </c>
      <c r="I172" s="30" t="s">
        <v>23198</v>
      </c>
      <c r="J172" s="30" t="s">
        <v>210</v>
      </c>
      <c r="K172" s="30" t="s">
        <v>9309</v>
      </c>
      <c r="L172" s="30" t="s">
        <v>6955</v>
      </c>
      <c r="M172" s="30"/>
      <c r="N172" s="30" t="s">
        <v>26726</v>
      </c>
      <c r="O172" s="30" t="s">
        <v>6261</v>
      </c>
      <c r="P172" s="30" t="s">
        <v>26449</v>
      </c>
      <c r="Q172" s="30" t="s">
        <v>26251</v>
      </c>
      <c r="R172" s="30" t="s">
        <v>26252</v>
      </c>
      <c r="S172" s="30" t="s">
        <v>26727</v>
      </c>
      <c r="T172" s="30" t="s">
        <v>26728</v>
      </c>
      <c r="U172" s="30"/>
      <c r="V172" s="30">
        <v>1863</v>
      </c>
      <c r="W172" s="30" t="s">
        <v>484</v>
      </c>
      <c r="X172" s="30" t="s">
        <v>194</v>
      </c>
      <c r="Y172" s="30" t="s">
        <v>9300</v>
      </c>
      <c r="Z172" s="30"/>
      <c r="AA172" s="30"/>
      <c r="AB172" s="30" t="s">
        <v>9311</v>
      </c>
      <c r="AC172" s="30"/>
      <c r="AD172" s="30"/>
      <c r="AE172" s="30"/>
      <c r="AF172" s="30"/>
      <c r="AG172" s="30"/>
      <c r="AH172" s="30" t="s">
        <v>4714</v>
      </c>
      <c r="AI172" s="30" t="s">
        <v>9433</v>
      </c>
      <c r="AJ172" s="641" t="str">
        <f t="shared" si="4"/>
        <v>251401</v>
      </c>
      <c r="AK172" s="641">
        <v>1</v>
      </c>
      <c r="AL172" s="641">
        <f t="shared" si="5"/>
        <v>1</v>
      </c>
      <c r="AM172" s="641">
        <v>1</v>
      </c>
      <c r="AN172" s="30" t="s">
        <v>17650</v>
      </c>
      <c r="AO172" s="30" t="s">
        <v>17651</v>
      </c>
      <c r="AP172" s="30" t="s">
        <v>17652</v>
      </c>
      <c r="AQ172" s="30" t="s">
        <v>17653</v>
      </c>
      <c r="AR172" s="30" t="s">
        <v>1024</v>
      </c>
      <c r="AS172" s="30">
        <v>1</v>
      </c>
    </row>
    <row r="173" spans="1:45" x14ac:dyDescent="0.25">
      <c r="A173" s="30" t="s">
        <v>26193</v>
      </c>
      <c r="B173" s="30" t="s">
        <v>26729</v>
      </c>
      <c r="C173" s="30" t="s">
        <v>4121</v>
      </c>
      <c r="D173" s="139" t="s">
        <v>26052</v>
      </c>
      <c r="E173" s="30" t="s">
        <v>217</v>
      </c>
      <c r="F173" s="30">
        <v>1</v>
      </c>
      <c r="G173" s="30" t="s">
        <v>193</v>
      </c>
      <c r="H173" s="30" t="s">
        <v>194</v>
      </c>
      <c r="I173" s="30" t="s">
        <v>26053</v>
      </c>
      <c r="J173" s="30" t="s">
        <v>210</v>
      </c>
      <c r="K173" s="30" t="s">
        <v>9309</v>
      </c>
      <c r="L173" s="30" t="s">
        <v>6955</v>
      </c>
      <c r="M173" s="30"/>
      <c r="N173" s="30" t="s">
        <v>26730</v>
      </c>
      <c r="O173" s="30" t="s">
        <v>6277</v>
      </c>
      <c r="P173" s="30" t="s">
        <v>26449</v>
      </c>
      <c r="Q173" s="30" t="s">
        <v>25478</v>
      </c>
      <c r="R173" s="30" t="s">
        <v>26139</v>
      </c>
      <c r="S173" s="30" t="s">
        <v>26731</v>
      </c>
      <c r="T173" s="30" t="s">
        <v>26732</v>
      </c>
      <c r="U173" s="30"/>
      <c r="V173" s="30">
        <v>1863</v>
      </c>
      <c r="W173" s="30" t="s">
        <v>4122</v>
      </c>
      <c r="X173" s="30" t="s">
        <v>194</v>
      </c>
      <c r="Y173" s="30" t="s">
        <v>9300</v>
      </c>
      <c r="Z173" s="30"/>
      <c r="AA173" s="30"/>
      <c r="AB173" s="30" t="s">
        <v>9311</v>
      </c>
      <c r="AC173" s="30"/>
      <c r="AD173" s="30"/>
      <c r="AE173" s="30"/>
      <c r="AF173" s="30"/>
      <c r="AG173" s="30"/>
      <c r="AH173" s="30" t="s">
        <v>4714</v>
      </c>
      <c r="AI173" s="30" t="s">
        <v>9433</v>
      </c>
      <c r="AJ173" s="641" t="str">
        <f t="shared" si="4"/>
        <v>132405</v>
      </c>
      <c r="AK173" s="641">
        <v>1</v>
      </c>
      <c r="AL173" s="641">
        <f t="shared" si="5"/>
        <v>1</v>
      </c>
      <c r="AM173" s="641">
        <v>1</v>
      </c>
      <c r="AN173" s="30" t="s">
        <v>17650</v>
      </c>
      <c r="AO173" s="30" t="s">
        <v>17651</v>
      </c>
      <c r="AP173" s="30" t="s">
        <v>17652</v>
      </c>
      <c r="AQ173" s="30" t="s">
        <v>17653</v>
      </c>
      <c r="AR173" s="30" t="s">
        <v>1024</v>
      </c>
      <c r="AS173" s="30">
        <v>1</v>
      </c>
    </row>
    <row r="174" spans="1:45" x14ac:dyDescent="0.25">
      <c r="A174" s="30" t="s">
        <v>10145</v>
      </c>
      <c r="B174" s="30" t="s">
        <v>26733</v>
      </c>
      <c r="C174" s="30" t="s">
        <v>51</v>
      </c>
      <c r="D174" s="139" t="s">
        <v>26052</v>
      </c>
      <c r="E174" s="30" t="s">
        <v>217</v>
      </c>
      <c r="F174" s="30">
        <v>1</v>
      </c>
      <c r="G174" s="30" t="s">
        <v>193</v>
      </c>
      <c r="H174" s="30" t="s">
        <v>194</v>
      </c>
      <c r="I174" s="30" t="s">
        <v>26053</v>
      </c>
      <c r="J174" s="30" t="s">
        <v>976</v>
      </c>
      <c r="K174" s="30" t="s">
        <v>9309</v>
      </c>
      <c r="L174" s="30" t="s">
        <v>6955</v>
      </c>
      <c r="M174" s="30"/>
      <c r="N174" s="30" t="s">
        <v>26734</v>
      </c>
      <c r="O174" s="30" t="s">
        <v>6249</v>
      </c>
      <c r="P174" s="30" t="s">
        <v>26449</v>
      </c>
      <c r="Q174" s="30" t="s">
        <v>26251</v>
      </c>
      <c r="R174" s="30" t="s">
        <v>26252</v>
      </c>
      <c r="S174" s="30" t="s">
        <v>26735</v>
      </c>
      <c r="T174" s="30" t="s">
        <v>26736</v>
      </c>
      <c r="U174" s="30"/>
      <c r="V174" s="30">
        <v>1816</v>
      </c>
      <c r="W174" s="30" t="s">
        <v>904</v>
      </c>
      <c r="X174" s="30" t="s">
        <v>194</v>
      </c>
      <c r="Y174" s="30" t="s">
        <v>9300</v>
      </c>
      <c r="Z174" s="30"/>
      <c r="AA174" s="30"/>
      <c r="AB174" s="30" t="s">
        <v>9311</v>
      </c>
      <c r="AC174" s="30"/>
      <c r="AD174" s="30"/>
      <c r="AE174" s="30"/>
      <c r="AF174" s="30"/>
      <c r="AG174" s="30"/>
      <c r="AH174" s="30" t="s">
        <v>4714</v>
      </c>
      <c r="AI174" s="30" t="s">
        <v>9433</v>
      </c>
      <c r="AJ174" s="641" t="str">
        <f t="shared" si="4"/>
        <v>523002</v>
      </c>
      <c r="AK174" s="641">
        <v>1</v>
      </c>
      <c r="AL174" s="641">
        <f t="shared" si="5"/>
        <v>1</v>
      </c>
      <c r="AM174" s="641">
        <v>1</v>
      </c>
      <c r="AN174" s="30" t="s">
        <v>17650</v>
      </c>
      <c r="AO174" s="30" t="s">
        <v>17651</v>
      </c>
      <c r="AP174" s="30" t="s">
        <v>17652</v>
      </c>
      <c r="AQ174" s="30" t="s">
        <v>17653</v>
      </c>
      <c r="AR174" s="30" t="s">
        <v>1024</v>
      </c>
      <c r="AS174" s="30">
        <v>1</v>
      </c>
    </row>
    <row r="175" spans="1:45" x14ac:dyDescent="0.25">
      <c r="A175" s="30" t="s">
        <v>716</v>
      </c>
      <c r="B175" s="30" t="s">
        <v>26737</v>
      </c>
      <c r="C175" s="30" t="s">
        <v>136</v>
      </c>
      <c r="D175" s="139" t="s">
        <v>26052</v>
      </c>
      <c r="E175" s="30" t="s">
        <v>217</v>
      </c>
      <c r="F175" s="30">
        <v>1</v>
      </c>
      <c r="G175" s="30" t="s">
        <v>193</v>
      </c>
      <c r="H175" s="30" t="s">
        <v>194</v>
      </c>
      <c r="I175" s="30" t="s">
        <v>26053</v>
      </c>
      <c r="J175" s="30" t="s">
        <v>210</v>
      </c>
      <c r="K175" s="30" t="s">
        <v>9309</v>
      </c>
      <c r="L175" s="30" t="s">
        <v>6955</v>
      </c>
      <c r="M175" s="30"/>
      <c r="N175" s="30" t="s">
        <v>26738</v>
      </c>
      <c r="O175" s="30" t="s">
        <v>6249</v>
      </c>
      <c r="P175" s="30" t="s">
        <v>26449</v>
      </c>
      <c r="Q175" s="30" t="s">
        <v>26103</v>
      </c>
      <c r="R175" s="30" t="s">
        <v>26079</v>
      </c>
      <c r="S175" s="30" t="s">
        <v>26739</v>
      </c>
      <c r="T175" s="30" t="s">
        <v>26740</v>
      </c>
      <c r="U175" s="30"/>
      <c r="V175" s="30">
        <v>1863</v>
      </c>
      <c r="W175" s="30" t="s">
        <v>461</v>
      </c>
      <c r="X175" s="30" t="s">
        <v>194</v>
      </c>
      <c r="Y175" s="30" t="s">
        <v>9300</v>
      </c>
      <c r="Z175" s="30"/>
      <c r="AA175" s="30"/>
      <c r="AB175" s="30" t="s">
        <v>9311</v>
      </c>
      <c r="AC175" s="30"/>
      <c r="AD175" s="30"/>
      <c r="AE175" s="30"/>
      <c r="AF175" s="30"/>
      <c r="AG175" s="30"/>
      <c r="AH175" s="30" t="s">
        <v>4714</v>
      </c>
      <c r="AI175" s="30" t="s">
        <v>9433</v>
      </c>
      <c r="AJ175" s="641" t="str">
        <f t="shared" si="4"/>
        <v>243301</v>
      </c>
      <c r="AK175" s="641">
        <v>1</v>
      </c>
      <c r="AL175" s="641">
        <f t="shared" si="5"/>
        <v>1</v>
      </c>
      <c r="AM175" s="641">
        <v>1</v>
      </c>
      <c r="AN175" s="30" t="s">
        <v>17650</v>
      </c>
      <c r="AO175" s="30" t="s">
        <v>17651</v>
      </c>
      <c r="AP175" s="30" t="s">
        <v>17652</v>
      </c>
      <c r="AQ175" s="30" t="s">
        <v>17653</v>
      </c>
      <c r="AR175" s="30" t="s">
        <v>1024</v>
      </c>
      <c r="AS175" s="30">
        <v>1</v>
      </c>
    </row>
    <row r="176" spans="1:45" x14ac:dyDescent="0.25">
      <c r="A176" s="30" t="s">
        <v>26153</v>
      </c>
      <c r="B176" s="30" t="s">
        <v>26741</v>
      </c>
      <c r="C176" s="30" t="s">
        <v>16355</v>
      </c>
      <c r="D176" s="139" t="s">
        <v>26052</v>
      </c>
      <c r="E176" s="30" t="s">
        <v>217</v>
      </c>
      <c r="F176" s="30">
        <v>1</v>
      </c>
      <c r="G176" s="30" t="s">
        <v>193</v>
      </c>
      <c r="H176" s="30" t="s">
        <v>194</v>
      </c>
      <c r="I176" s="30" t="s">
        <v>26060</v>
      </c>
      <c r="J176" s="30" t="s">
        <v>210</v>
      </c>
      <c r="K176" s="30" t="s">
        <v>9309</v>
      </c>
      <c r="L176" s="30" t="s">
        <v>6955</v>
      </c>
      <c r="M176" s="30"/>
      <c r="N176" s="30" t="s">
        <v>26742</v>
      </c>
      <c r="O176" s="30" t="s">
        <v>6261</v>
      </c>
      <c r="P176" s="30" t="s">
        <v>26449</v>
      </c>
      <c r="Q176" s="30" t="s">
        <v>26189</v>
      </c>
      <c r="R176" s="30" t="s">
        <v>26190</v>
      </c>
      <c r="S176" s="30" t="s">
        <v>26743</v>
      </c>
      <c r="T176" s="30" t="s">
        <v>26744</v>
      </c>
      <c r="U176" s="30"/>
      <c r="V176" s="30">
        <v>1863</v>
      </c>
      <c r="W176" s="30" t="s">
        <v>508</v>
      </c>
      <c r="X176" s="30" t="s">
        <v>194</v>
      </c>
      <c r="Y176" s="30" t="s">
        <v>9300</v>
      </c>
      <c r="Z176" s="30"/>
      <c r="AA176" s="30"/>
      <c r="AB176" s="30" t="s">
        <v>9311</v>
      </c>
      <c r="AC176" s="30"/>
      <c r="AD176" s="30"/>
      <c r="AE176" s="30"/>
      <c r="AF176" s="30"/>
      <c r="AG176" s="30"/>
      <c r="AH176" s="30" t="s">
        <v>4714</v>
      </c>
      <c r="AI176" s="30" t="s">
        <v>9433</v>
      </c>
      <c r="AJ176" s="641" t="str">
        <f t="shared" si="4"/>
        <v>252102</v>
      </c>
      <c r="AK176" s="641">
        <v>1</v>
      </c>
      <c r="AL176" s="641">
        <f t="shared" si="5"/>
        <v>1</v>
      </c>
      <c r="AM176" s="641">
        <v>1</v>
      </c>
      <c r="AN176" s="30" t="s">
        <v>17650</v>
      </c>
      <c r="AO176" s="30" t="s">
        <v>17651</v>
      </c>
      <c r="AP176" s="30" t="s">
        <v>17652</v>
      </c>
      <c r="AQ176" s="30" t="s">
        <v>17653</v>
      </c>
      <c r="AR176" s="30" t="s">
        <v>1024</v>
      </c>
      <c r="AS176" s="30">
        <v>1</v>
      </c>
    </row>
    <row r="177" spans="1:45" x14ac:dyDescent="0.25">
      <c r="A177" s="30" t="s">
        <v>716</v>
      </c>
      <c r="B177" s="30" t="s">
        <v>26745</v>
      </c>
      <c r="C177" s="30" t="s">
        <v>706</v>
      </c>
      <c r="D177" s="139" t="s">
        <v>26052</v>
      </c>
      <c r="E177" s="30" t="s">
        <v>217</v>
      </c>
      <c r="F177" s="30">
        <v>1</v>
      </c>
      <c r="G177" s="30" t="s">
        <v>193</v>
      </c>
      <c r="H177" s="30" t="s">
        <v>194</v>
      </c>
      <c r="I177" s="30" t="s">
        <v>26060</v>
      </c>
      <c r="J177" s="30" t="s">
        <v>210</v>
      </c>
      <c r="K177" s="30" t="s">
        <v>9309</v>
      </c>
      <c r="L177" s="30" t="s">
        <v>6955</v>
      </c>
      <c r="M177" s="30"/>
      <c r="N177" s="30" t="s">
        <v>26746</v>
      </c>
      <c r="O177" s="30" t="s">
        <v>6286</v>
      </c>
      <c r="P177" s="30" t="s">
        <v>26449</v>
      </c>
      <c r="Q177" s="30" t="s">
        <v>26098</v>
      </c>
      <c r="R177" s="30" t="s">
        <v>26231</v>
      </c>
      <c r="S177" s="30" t="s">
        <v>26747</v>
      </c>
      <c r="T177" s="30" t="s">
        <v>26748</v>
      </c>
      <c r="U177" s="30"/>
      <c r="V177" s="30">
        <v>1863</v>
      </c>
      <c r="W177" s="30" t="s">
        <v>707</v>
      </c>
      <c r="X177" s="30" t="s">
        <v>194</v>
      </c>
      <c r="Y177" s="30" t="s">
        <v>9300</v>
      </c>
      <c r="Z177" s="30"/>
      <c r="AA177" s="30"/>
      <c r="AB177" s="30" t="s">
        <v>9311</v>
      </c>
      <c r="AC177" s="30"/>
      <c r="AD177" s="30"/>
      <c r="AE177" s="30"/>
      <c r="AF177" s="30"/>
      <c r="AG177" s="30"/>
      <c r="AH177" s="30" t="s">
        <v>4714</v>
      </c>
      <c r="AI177" s="30" t="s">
        <v>9433</v>
      </c>
      <c r="AJ177" s="641" t="str">
        <f t="shared" si="4"/>
        <v>422201</v>
      </c>
      <c r="AK177" s="641">
        <v>1</v>
      </c>
      <c r="AL177" s="641">
        <f>F177</f>
        <v>1</v>
      </c>
      <c r="AM177" s="641">
        <v>1</v>
      </c>
      <c r="AN177" s="30" t="s">
        <v>17650</v>
      </c>
      <c r="AO177" s="30" t="s">
        <v>17651</v>
      </c>
      <c r="AP177" s="30" t="s">
        <v>17652</v>
      </c>
      <c r="AQ177" s="30" t="s">
        <v>17653</v>
      </c>
      <c r="AR177" s="30" t="s">
        <v>1024</v>
      </c>
      <c r="AS177" s="30">
        <v>1</v>
      </c>
    </row>
    <row r="178" spans="1:45" x14ac:dyDescent="0.25">
      <c r="A178" s="30" t="s">
        <v>26153</v>
      </c>
      <c r="B178" s="30" t="s">
        <v>3201</v>
      </c>
      <c r="C178" s="30" t="s">
        <v>10</v>
      </c>
      <c r="D178" s="139" t="s">
        <v>26052</v>
      </c>
      <c r="E178" s="30" t="s">
        <v>217</v>
      </c>
      <c r="F178" s="30">
        <v>1</v>
      </c>
      <c r="G178" s="30" t="s">
        <v>193</v>
      </c>
      <c r="H178" s="30" t="s">
        <v>194</v>
      </c>
      <c r="I178" s="30" t="s">
        <v>23198</v>
      </c>
      <c r="J178" s="30" t="s">
        <v>210</v>
      </c>
      <c r="K178" s="30" t="s">
        <v>9309</v>
      </c>
      <c r="L178" s="30" t="s">
        <v>6955</v>
      </c>
      <c r="M178" s="30"/>
      <c r="N178" s="30" t="s">
        <v>26749</v>
      </c>
      <c r="O178" s="30" t="s">
        <v>7531</v>
      </c>
      <c r="P178" s="30" t="s">
        <v>26449</v>
      </c>
      <c r="Q178" s="30" t="s">
        <v>26182</v>
      </c>
      <c r="R178" s="30" t="s">
        <v>26183</v>
      </c>
      <c r="S178" s="30" t="s">
        <v>26750</v>
      </c>
      <c r="T178" s="30" t="s">
        <v>26751</v>
      </c>
      <c r="U178" s="30"/>
      <c r="V178" s="30">
        <v>1863</v>
      </c>
      <c r="W178" s="30" t="s">
        <v>484</v>
      </c>
      <c r="X178" s="30" t="s">
        <v>194</v>
      </c>
      <c r="Y178" s="30" t="s">
        <v>9300</v>
      </c>
      <c r="Z178" s="30"/>
      <c r="AA178" s="30"/>
      <c r="AB178" s="30" t="s">
        <v>9311</v>
      </c>
      <c r="AC178" s="30"/>
      <c r="AD178" s="30"/>
      <c r="AE178" s="30"/>
      <c r="AF178" s="30"/>
      <c r="AG178" s="30"/>
      <c r="AH178" s="30" t="s">
        <v>4714</v>
      </c>
      <c r="AI178" s="30" t="s">
        <v>9433</v>
      </c>
      <c r="AJ178" s="641" t="str">
        <f t="shared" si="4"/>
        <v>251401</v>
      </c>
      <c r="AK178" s="641">
        <v>1</v>
      </c>
      <c r="AL178" s="641">
        <f t="shared" si="5"/>
        <v>1</v>
      </c>
      <c r="AM178" s="641">
        <v>1</v>
      </c>
      <c r="AN178" s="30" t="s">
        <v>17650</v>
      </c>
      <c r="AO178" s="30" t="s">
        <v>17651</v>
      </c>
      <c r="AP178" s="30" t="s">
        <v>17652</v>
      </c>
      <c r="AQ178" s="30" t="s">
        <v>17653</v>
      </c>
      <c r="AR178" s="30" t="s">
        <v>1024</v>
      </c>
      <c r="AS178" s="30">
        <v>1</v>
      </c>
    </row>
    <row r="179" spans="1:45" x14ac:dyDescent="0.25">
      <c r="A179" s="30" t="s">
        <v>26153</v>
      </c>
      <c r="B179" s="30" t="s">
        <v>26752</v>
      </c>
      <c r="C179" s="30" t="s">
        <v>2861</v>
      </c>
      <c r="D179" s="139" t="s">
        <v>26052</v>
      </c>
      <c r="E179" s="30" t="s">
        <v>217</v>
      </c>
      <c r="F179" s="30">
        <v>1</v>
      </c>
      <c r="G179" s="30" t="s">
        <v>193</v>
      </c>
      <c r="H179" s="30" t="s">
        <v>194</v>
      </c>
      <c r="I179" s="30" t="s">
        <v>23198</v>
      </c>
      <c r="J179" s="30" t="s">
        <v>210</v>
      </c>
      <c r="K179" s="30" t="s">
        <v>9309</v>
      </c>
      <c r="L179" s="30" t="s">
        <v>6955</v>
      </c>
      <c r="M179" s="30"/>
      <c r="N179" s="30" t="s">
        <v>26753</v>
      </c>
      <c r="O179" s="30" t="s">
        <v>6261</v>
      </c>
      <c r="P179" s="30" t="s">
        <v>26449</v>
      </c>
      <c r="Q179" s="30" t="s">
        <v>26092</v>
      </c>
      <c r="R179" s="30" t="s">
        <v>26093</v>
      </c>
      <c r="S179" s="30" t="s">
        <v>26754</v>
      </c>
      <c r="T179" s="30" t="s">
        <v>26755</v>
      </c>
      <c r="U179" s="30"/>
      <c r="V179" s="30">
        <v>1863</v>
      </c>
      <c r="W179" s="30" t="s">
        <v>3629</v>
      </c>
      <c r="X179" s="30" t="s">
        <v>194</v>
      </c>
      <c r="Y179" s="30" t="s">
        <v>9300</v>
      </c>
      <c r="Z179" s="30"/>
      <c r="AA179" s="30"/>
      <c r="AB179" s="30" t="s">
        <v>9311</v>
      </c>
      <c r="AC179" s="30"/>
      <c r="AD179" s="30"/>
      <c r="AE179" s="30"/>
      <c r="AF179" s="30"/>
      <c r="AG179" s="30"/>
      <c r="AH179" s="30" t="s">
        <v>4714</v>
      </c>
      <c r="AI179" s="30" t="s">
        <v>9433</v>
      </c>
      <c r="AJ179" s="641" t="str">
        <f t="shared" si="4"/>
        <v>251903</v>
      </c>
      <c r="AK179" s="641">
        <v>1</v>
      </c>
      <c r="AL179" s="641">
        <f t="shared" si="5"/>
        <v>1</v>
      </c>
      <c r="AM179" s="641">
        <v>1</v>
      </c>
      <c r="AN179" s="30" t="s">
        <v>17650</v>
      </c>
      <c r="AO179" s="30" t="s">
        <v>17651</v>
      </c>
      <c r="AP179" s="30" t="s">
        <v>17652</v>
      </c>
      <c r="AQ179" s="30" t="s">
        <v>17653</v>
      </c>
      <c r="AR179" s="30" t="s">
        <v>1024</v>
      </c>
      <c r="AS179" s="30">
        <v>1</v>
      </c>
    </row>
    <row r="180" spans="1:45" x14ac:dyDescent="0.25">
      <c r="A180" s="30" t="s">
        <v>10145</v>
      </c>
      <c r="B180" s="30" t="s">
        <v>26756</v>
      </c>
      <c r="C180" s="30" t="s">
        <v>22</v>
      </c>
      <c r="D180" s="139" t="s">
        <v>26052</v>
      </c>
      <c r="E180" s="30" t="s">
        <v>217</v>
      </c>
      <c r="F180" s="30">
        <v>1</v>
      </c>
      <c r="G180" s="30" t="s">
        <v>193</v>
      </c>
      <c r="H180" s="30" t="s">
        <v>194</v>
      </c>
      <c r="I180" s="30" t="s">
        <v>26053</v>
      </c>
      <c r="J180" s="30" t="s">
        <v>210</v>
      </c>
      <c r="K180" s="30" t="s">
        <v>9309</v>
      </c>
      <c r="L180" s="30" t="s">
        <v>6955</v>
      </c>
      <c r="M180" s="30"/>
      <c r="N180" s="30" t="s">
        <v>26757</v>
      </c>
      <c r="O180" s="30" t="s">
        <v>6288</v>
      </c>
      <c r="P180" s="30" t="s">
        <v>26449</v>
      </c>
      <c r="Q180" s="30" t="s">
        <v>26108</v>
      </c>
      <c r="R180" s="30" t="s">
        <v>26109</v>
      </c>
      <c r="S180" s="30" t="s">
        <v>26758</v>
      </c>
      <c r="T180" s="30" t="s">
        <v>26759</v>
      </c>
      <c r="U180" s="30"/>
      <c r="V180" s="30">
        <v>1863</v>
      </c>
      <c r="W180" s="30" t="s">
        <v>1608</v>
      </c>
      <c r="X180" s="30" t="s">
        <v>194</v>
      </c>
      <c r="Y180" s="30" t="s">
        <v>9300</v>
      </c>
      <c r="Z180" s="30"/>
      <c r="AA180" s="30"/>
      <c r="AB180" s="30" t="s">
        <v>9311</v>
      </c>
      <c r="AC180" s="30"/>
      <c r="AD180" s="30"/>
      <c r="AE180" s="30"/>
      <c r="AF180" s="30"/>
      <c r="AG180" s="30"/>
      <c r="AH180" s="30" t="s">
        <v>4714</v>
      </c>
      <c r="AI180" s="30" t="s">
        <v>9433</v>
      </c>
      <c r="AJ180" s="641" t="str">
        <f t="shared" si="4"/>
        <v>228101</v>
      </c>
      <c r="AK180" s="641">
        <v>1</v>
      </c>
      <c r="AL180" s="641">
        <f t="shared" si="5"/>
        <v>1</v>
      </c>
      <c r="AM180" s="641">
        <v>1</v>
      </c>
      <c r="AN180" s="30" t="s">
        <v>17650</v>
      </c>
      <c r="AO180" s="30" t="s">
        <v>17651</v>
      </c>
      <c r="AP180" s="30" t="s">
        <v>17652</v>
      </c>
      <c r="AQ180" s="30" t="s">
        <v>17653</v>
      </c>
      <c r="AR180" s="30" t="s">
        <v>1024</v>
      </c>
      <c r="AS180" s="30">
        <v>1</v>
      </c>
    </row>
    <row r="181" spans="1:45" x14ac:dyDescent="0.25">
      <c r="A181" s="30" t="s">
        <v>23858</v>
      </c>
      <c r="B181" s="30" t="s">
        <v>26760</v>
      </c>
      <c r="C181" s="30" t="s">
        <v>26014</v>
      </c>
      <c r="D181" s="139" t="s">
        <v>26052</v>
      </c>
      <c r="E181" s="30" t="s">
        <v>217</v>
      </c>
      <c r="F181" s="30">
        <v>1</v>
      </c>
      <c r="G181" s="30" t="s">
        <v>193</v>
      </c>
      <c r="H181" s="30" t="s">
        <v>194</v>
      </c>
      <c r="I181" s="30" t="s">
        <v>26053</v>
      </c>
      <c r="J181" s="30" t="s">
        <v>2439</v>
      </c>
      <c r="K181" s="30" t="s">
        <v>9309</v>
      </c>
      <c r="L181" s="30" t="s">
        <v>6955</v>
      </c>
      <c r="M181" s="30"/>
      <c r="N181" s="30" t="s">
        <v>26761</v>
      </c>
      <c r="O181" s="30" t="s">
        <v>6275</v>
      </c>
      <c r="P181" s="30" t="s">
        <v>26449</v>
      </c>
      <c r="Q181" s="30" t="s">
        <v>26108</v>
      </c>
      <c r="R181" s="30" t="s">
        <v>26109</v>
      </c>
      <c r="S181" s="30" t="s">
        <v>26762</v>
      </c>
      <c r="T181" s="30" t="s">
        <v>26763</v>
      </c>
      <c r="U181" s="30"/>
      <c r="V181" s="30">
        <v>1804</v>
      </c>
      <c r="W181" s="30" t="s">
        <v>1691</v>
      </c>
      <c r="X181" s="30" t="s">
        <v>194</v>
      </c>
      <c r="Y181" s="30" t="s">
        <v>9300</v>
      </c>
      <c r="Z181" s="30"/>
      <c r="AA181" s="30"/>
      <c r="AB181" s="30" t="s">
        <v>9311</v>
      </c>
      <c r="AC181" s="30"/>
      <c r="AD181" s="30"/>
      <c r="AE181" s="30"/>
      <c r="AF181" s="30"/>
      <c r="AG181" s="30"/>
      <c r="AH181" s="30" t="s">
        <v>4714</v>
      </c>
      <c r="AI181" s="30" t="s">
        <v>9433</v>
      </c>
      <c r="AJ181" s="641" t="str">
        <f t="shared" si="4"/>
        <v>933401</v>
      </c>
      <c r="AK181" s="641">
        <v>1</v>
      </c>
      <c r="AL181" s="641">
        <f t="shared" si="5"/>
        <v>1</v>
      </c>
      <c r="AM181" s="641">
        <v>1</v>
      </c>
      <c r="AN181" s="30" t="s">
        <v>17650</v>
      </c>
      <c r="AO181" s="30" t="s">
        <v>17651</v>
      </c>
      <c r="AP181" s="30" t="s">
        <v>17652</v>
      </c>
      <c r="AQ181" s="30" t="s">
        <v>17653</v>
      </c>
      <c r="AR181" s="30" t="s">
        <v>1024</v>
      </c>
      <c r="AS181" s="30">
        <v>1</v>
      </c>
    </row>
    <row r="182" spans="1:45" x14ac:dyDescent="0.25">
      <c r="A182" s="30" t="s">
        <v>26089</v>
      </c>
      <c r="B182" s="30" t="s">
        <v>26616</v>
      </c>
      <c r="C182" s="30" t="s">
        <v>26180</v>
      </c>
      <c r="D182" s="139" t="s">
        <v>26052</v>
      </c>
      <c r="E182" s="30" t="s">
        <v>217</v>
      </c>
      <c r="F182" s="30">
        <v>1</v>
      </c>
      <c r="G182" s="30" t="s">
        <v>193</v>
      </c>
      <c r="H182" s="30" t="s">
        <v>194</v>
      </c>
      <c r="I182" s="30" t="s">
        <v>26053</v>
      </c>
      <c r="J182" s="30" t="s">
        <v>4751</v>
      </c>
      <c r="K182" s="30" t="s">
        <v>9309</v>
      </c>
      <c r="L182" s="30" t="s">
        <v>6955</v>
      </c>
      <c r="M182" s="30"/>
      <c r="N182" s="30" t="s">
        <v>26764</v>
      </c>
      <c r="O182" s="30" t="s">
        <v>6286</v>
      </c>
      <c r="P182" s="30" t="s">
        <v>26449</v>
      </c>
      <c r="Q182" s="30" t="s">
        <v>26189</v>
      </c>
      <c r="R182" s="30" t="s">
        <v>26190</v>
      </c>
      <c r="S182" s="30" t="s">
        <v>26765</v>
      </c>
      <c r="T182" s="30" t="s">
        <v>26766</v>
      </c>
      <c r="U182" s="30"/>
      <c r="V182" s="30">
        <v>1862</v>
      </c>
      <c r="W182" s="30" t="s">
        <v>26186</v>
      </c>
      <c r="X182" s="30" t="s">
        <v>194</v>
      </c>
      <c r="Y182" s="30" t="s">
        <v>9300</v>
      </c>
      <c r="Z182" s="30"/>
      <c r="AA182" s="30"/>
      <c r="AB182" s="30" t="s">
        <v>9311</v>
      </c>
      <c r="AC182" s="30"/>
      <c r="AD182" s="30"/>
      <c r="AE182" s="30"/>
      <c r="AF182" s="30"/>
      <c r="AG182" s="30"/>
      <c r="AH182" s="30" t="s">
        <v>4714</v>
      </c>
      <c r="AI182" s="30" t="s">
        <v>9433</v>
      </c>
      <c r="AJ182" s="641" t="str">
        <f t="shared" si="4"/>
        <v>421108</v>
      </c>
      <c r="AK182" s="641">
        <v>1</v>
      </c>
      <c r="AL182" s="641">
        <f t="shared" si="5"/>
        <v>1</v>
      </c>
      <c r="AM182" s="641">
        <v>1</v>
      </c>
      <c r="AN182" s="30" t="s">
        <v>17650</v>
      </c>
      <c r="AO182" s="30" t="s">
        <v>17651</v>
      </c>
      <c r="AP182" s="30" t="s">
        <v>17652</v>
      </c>
      <c r="AQ182" s="30" t="s">
        <v>17653</v>
      </c>
      <c r="AR182" s="30" t="s">
        <v>1024</v>
      </c>
      <c r="AS182" s="30">
        <v>1</v>
      </c>
    </row>
    <row r="183" spans="1:45" x14ac:dyDescent="0.25">
      <c r="A183" s="30" t="s">
        <v>258</v>
      </c>
      <c r="B183" s="30" t="s">
        <v>26208</v>
      </c>
      <c r="C183" s="30" t="s">
        <v>778</v>
      </c>
      <c r="D183" s="139" t="s">
        <v>26052</v>
      </c>
      <c r="E183" s="30" t="s">
        <v>217</v>
      </c>
      <c r="F183" s="30">
        <v>1</v>
      </c>
      <c r="G183" s="30" t="s">
        <v>193</v>
      </c>
      <c r="H183" s="30" t="s">
        <v>194</v>
      </c>
      <c r="I183" s="30" t="s">
        <v>26053</v>
      </c>
      <c r="J183" s="30" t="s">
        <v>747</v>
      </c>
      <c r="K183" s="30" t="s">
        <v>9309</v>
      </c>
      <c r="L183" s="30" t="s">
        <v>6955</v>
      </c>
      <c r="M183" s="30"/>
      <c r="N183" s="30" t="s">
        <v>26767</v>
      </c>
      <c r="O183" s="30" t="s">
        <v>6251</v>
      </c>
      <c r="P183" s="30" t="s">
        <v>26449</v>
      </c>
      <c r="Q183" s="30" t="s">
        <v>26182</v>
      </c>
      <c r="R183" s="30" t="s">
        <v>26183</v>
      </c>
      <c r="S183" s="30" t="s">
        <v>26768</v>
      </c>
      <c r="T183" s="30" t="s">
        <v>26769</v>
      </c>
      <c r="U183" s="30"/>
      <c r="V183" s="30">
        <v>1817</v>
      </c>
      <c r="W183" s="30" t="s">
        <v>779</v>
      </c>
      <c r="X183" s="30" t="s">
        <v>194</v>
      </c>
      <c r="Y183" s="30" t="s">
        <v>9300</v>
      </c>
      <c r="Z183" s="30"/>
      <c r="AA183" s="30"/>
      <c r="AB183" s="30" t="s">
        <v>9311</v>
      </c>
      <c r="AC183" s="30"/>
      <c r="AD183" s="30"/>
      <c r="AE183" s="30"/>
      <c r="AF183" s="30"/>
      <c r="AG183" s="30"/>
      <c r="AH183" s="30" t="s">
        <v>4714</v>
      </c>
      <c r="AI183" s="30" t="s">
        <v>9433</v>
      </c>
      <c r="AJ183" s="641" t="str">
        <f t="shared" si="4"/>
        <v>524902</v>
      </c>
      <c r="AK183" s="641">
        <v>1</v>
      </c>
      <c r="AL183" s="641">
        <f t="shared" si="5"/>
        <v>1</v>
      </c>
      <c r="AM183" s="641">
        <v>1</v>
      </c>
      <c r="AN183" s="30" t="s">
        <v>17650</v>
      </c>
      <c r="AO183" s="30" t="s">
        <v>17651</v>
      </c>
      <c r="AP183" s="30" t="s">
        <v>17652</v>
      </c>
      <c r="AQ183" s="30" t="s">
        <v>17653</v>
      </c>
      <c r="AR183" s="30" t="s">
        <v>1024</v>
      </c>
      <c r="AS183" s="30">
        <v>1</v>
      </c>
    </row>
    <row r="184" spans="1:45" x14ac:dyDescent="0.25">
      <c r="A184" s="30" t="s">
        <v>26089</v>
      </c>
      <c r="B184" s="30" t="s">
        <v>26278</v>
      </c>
      <c r="C184" s="30" t="s">
        <v>1766</v>
      </c>
      <c r="D184" s="139" t="s">
        <v>26052</v>
      </c>
      <c r="E184" s="30" t="s">
        <v>217</v>
      </c>
      <c r="F184" s="30">
        <v>1</v>
      </c>
      <c r="G184" s="30" t="s">
        <v>193</v>
      </c>
      <c r="H184" s="30" t="s">
        <v>194</v>
      </c>
      <c r="I184" s="30" t="s">
        <v>26060</v>
      </c>
      <c r="J184" s="30" t="s">
        <v>210</v>
      </c>
      <c r="K184" s="30" t="s">
        <v>9309</v>
      </c>
      <c r="L184" s="30" t="s">
        <v>6955</v>
      </c>
      <c r="M184" s="30"/>
      <c r="N184" s="30" t="s">
        <v>26770</v>
      </c>
      <c r="O184" s="30" t="s">
        <v>6921</v>
      </c>
      <c r="P184" s="30" t="s">
        <v>26449</v>
      </c>
      <c r="Q184" s="30" t="s">
        <v>26374</v>
      </c>
      <c r="R184" s="30" t="s">
        <v>26375</v>
      </c>
      <c r="S184" s="30" t="s">
        <v>26771</v>
      </c>
      <c r="T184" s="30" t="s">
        <v>26772</v>
      </c>
      <c r="U184" s="30"/>
      <c r="V184" s="30">
        <v>1863</v>
      </c>
      <c r="W184" s="30" t="s">
        <v>1767</v>
      </c>
      <c r="X184" s="30" t="s">
        <v>194</v>
      </c>
      <c r="Y184" s="30" t="s">
        <v>9300</v>
      </c>
      <c r="Z184" s="30"/>
      <c r="AA184" s="30"/>
      <c r="AB184" s="30" t="s">
        <v>9311</v>
      </c>
      <c r="AC184" s="30"/>
      <c r="AD184" s="30"/>
      <c r="AE184" s="30"/>
      <c r="AF184" s="30"/>
      <c r="AG184" s="30"/>
      <c r="AH184" s="30" t="s">
        <v>4714</v>
      </c>
      <c r="AI184" s="30" t="s">
        <v>9433</v>
      </c>
      <c r="AJ184" s="641" t="str">
        <f t="shared" si="4"/>
        <v>242112</v>
      </c>
      <c r="AK184" s="641">
        <v>1</v>
      </c>
      <c r="AL184" s="641">
        <f t="shared" si="5"/>
        <v>1</v>
      </c>
      <c r="AM184" s="641">
        <v>1</v>
      </c>
      <c r="AN184" s="30" t="s">
        <v>17650</v>
      </c>
      <c r="AO184" s="30" t="s">
        <v>17651</v>
      </c>
      <c r="AP184" s="30" t="s">
        <v>17652</v>
      </c>
      <c r="AQ184" s="30" t="s">
        <v>17653</v>
      </c>
      <c r="AR184" s="30" t="s">
        <v>1024</v>
      </c>
      <c r="AS184" s="30">
        <v>1</v>
      </c>
    </row>
    <row r="185" spans="1:45" x14ac:dyDescent="0.25">
      <c r="A185" s="30" t="s">
        <v>26089</v>
      </c>
      <c r="B185" s="30" t="s">
        <v>26773</v>
      </c>
      <c r="C185" s="30" t="s">
        <v>3367</v>
      </c>
      <c r="D185" s="139" t="s">
        <v>26052</v>
      </c>
      <c r="E185" s="30" t="s">
        <v>217</v>
      </c>
      <c r="F185" s="30">
        <v>1</v>
      </c>
      <c r="G185" s="30" t="s">
        <v>193</v>
      </c>
      <c r="H185" s="30" t="s">
        <v>194</v>
      </c>
      <c r="I185" s="30" t="s">
        <v>26060</v>
      </c>
      <c r="J185" s="30" t="s">
        <v>210</v>
      </c>
      <c r="K185" s="30" t="s">
        <v>9309</v>
      </c>
      <c r="L185" s="30" t="s">
        <v>6955</v>
      </c>
      <c r="M185" s="30"/>
      <c r="N185" s="30" t="s">
        <v>26774</v>
      </c>
      <c r="O185" s="30" t="s">
        <v>6261</v>
      </c>
      <c r="P185" s="30" t="s">
        <v>26449</v>
      </c>
      <c r="Q185" s="30" t="s">
        <v>26189</v>
      </c>
      <c r="R185" s="30" t="s">
        <v>26190</v>
      </c>
      <c r="S185" s="30" t="s">
        <v>26775</v>
      </c>
      <c r="T185" s="30" t="s">
        <v>26776</v>
      </c>
      <c r="U185" s="30"/>
      <c r="V185" s="30">
        <v>1863</v>
      </c>
      <c r="W185" s="30" t="s">
        <v>3368</v>
      </c>
      <c r="X185" s="30" t="s">
        <v>194</v>
      </c>
      <c r="Y185" s="30" t="s">
        <v>9300</v>
      </c>
      <c r="Z185" s="30"/>
      <c r="AA185" s="30"/>
      <c r="AB185" s="30" t="s">
        <v>9311</v>
      </c>
      <c r="AC185" s="30"/>
      <c r="AD185" s="30"/>
      <c r="AE185" s="30"/>
      <c r="AF185" s="30"/>
      <c r="AG185" s="30"/>
      <c r="AH185" s="30" t="s">
        <v>4714</v>
      </c>
      <c r="AI185" s="30" t="s">
        <v>9433</v>
      </c>
      <c r="AJ185" s="641" t="str">
        <f t="shared" si="4"/>
        <v>133001</v>
      </c>
      <c r="AK185" s="641">
        <v>1</v>
      </c>
      <c r="AL185" s="641">
        <f t="shared" si="5"/>
        <v>1</v>
      </c>
      <c r="AM185" s="641">
        <v>1</v>
      </c>
      <c r="AN185" s="30" t="s">
        <v>17650</v>
      </c>
      <c r="AO185" s="30" t="s">
        <v>17651</v>
      </c>
      <c r="AP185" s="30" t="s">
        <v>17652</v>
      </c>
      <c r="AQ185" s="30" t="s">
        <v>17653</v>
      </c>
      <c r="AR185" s="30" t="s">
        <v>1024</v>
      </c>
      <c r="AS185" s="30">
        <v>1</v>
      </c>
    </row>
    <row r="186" spans="1:45" x14ac:dyDescent="0.25">
      <c r="A186" s="30" t="s">
        <v>26153</v>
      </c>
      <c r="B186" s="30" t="s">
        <v>1053</v>
      </c>
      <c r="C186" s="30" t="s">
        <v>10</v>
      </c>
      <c r="D186" s="139" t="s">
        <v>26052</v>
      </c>
      <c r="E186" s="30" t="s">
        <v>217</v>
      </c>
      <c r="F186" s="30">
        <v>1</v>
      </c>
      <c r="G186" s="30" t="s">
        <v>193</v>
      </c>
      <c r="H186" s="30" t="s">
        <v>194</v>
      </c>
      <c r="I186" s="30" t="s">
        <v>23198</v>
      </c>
      <c r="J186" s="30" t="s">
        <v>210</v>
      </c>
      <c r="K186" s="30" t="s">
        <v>9309</v>
      </c>
      <c r="L186" s="30" t="s">
        <v>6955</v>
      </c>
      <c r="M186" s="30"/>
      <c r="N186" s="30" t="s">
        <v>26777</v>
      </c>
      <c r="O186" s="30" t="s">
        <v>6261</v>
      </c>
      <c r="P186" s="30" t="s">
        <v>26449</v>
      </c>
      <c r="Q186" s="30" t="s">
        <v>26468</v>
      </c>
      <c r="R186" s="30" t="s">
        <v>26073</v>
      </c>
      <c r="S186" s="30" t="s">
        <v>26778</v>
      </c>
      <c r="T186" s="30" t="s">
        <v>26779</v>
      </c>
      <c r="U186" s="30"/>
      <c r="V186" s="30">
        <v>1863</v>
      </c>
      <c r="W186" s="30" t="s">
        <v>484</v>
      </c>
      <c r="X186" s="30" t="s">
        <v>194</v>
      </c>
      <c r="Y186" s="30" t="s">
        <v>9300</v>
      </c>
      <c r="Z186" s="30"/>
      <c r="AA186" s="30"/>
      <c r="AB186" s="30" t="s">
        <v>9311</v>
      </c>
      <c r="AC186" s="30"/>
      <c r="AD186" s="30"/>
      <c r="AE186" s="30"/>
      <c r="AF186" s="30"/>
      <c r="AG186" s="30"/>
      <c r="AH186" s="30" t="s">
        <v>4714</v>
      </c>
      <c r="AI186" s="30" t="s">
        <v>9433</v>
      </c>
      <c r="AJ186" s="641" t="str">
        <f t="shared" si="4"/>
        <v>251401</v>
      </c>
      <c r="AK186" s="641">
        <v>1</v>
      </c>
      <c r="AL186" s="641">
        <f t="shared" si="5"/>
        <v>1</v>
      </c>
      <c r="AM186" s="641">
        <v>1</v>
      </c>
      <c r="AN186" s="30" t="s">
        <v>17650</v>
      </c>
      <c r="AO186" s="30" t="s">
        <v>17651</v>
      </c>
      <c r="AP186" s="30" t="s">
        <v>17652</v>
      </c>
      <c r="AQ186" s="30" t="s">
        <v>17653</v>
      </c>
      <c r="AR186" s="30" t="s">
        <v>1024</v>
      </c>
      <c r="AS186" s="30">
        <v>1</v>
      </c>
    </row>
    <row r="187" spans="1:45" x14ac:dyDescent="0.25">
      <c r="A187" s="30" t="s">
        <v>10145</v>
      </c>
      <c r="B187" s="30" t="s">
        <v>26780</v>
      </c>
      <c r="C187" s="30" t="s">
        <v>389</v>
      </c>
      <c r="D187" s="139" t="s">
        <v>26052</v>
      </c>
      <c r="E187" s="30" t="s">
        <v>217</v>
      </c>
      <c r="F187" s="30">
        <v>1</v>
      </c>
      <c r="G187" s="30" t="s">
        <v>193</v>
      </c>
      <c r="H187" s="30" t="s">
        <v>194</v>
      </c>
      <c r="I187" s="30" t="s">
        <v>26053</v>
      </c>
      <c r="J187" s="30" t="s">
        <v>210</v>
      </c>
      <c r="K187" s="30" t="s">
        <v>9309</v>
      </c>
      <c r="L187" s="30" t="s">
        <v>6955</v>
      </c>
      <c r="M187" s="30"/>
      <c r="N187" s="30" t="s">
        <v>26781</v>
      </c>
      <c r="O187" s="30" t="s">
        <v>6288</v>
      </c>
      <c r="P187" s="30" t="s">
        <v>26114</v>
      </c>
      <c r="Q187" s="30" t="s">
        <v>25965</v>
      </c>
      <c r="R187" s="30" t="s">
        <v>26115</v>
      </c>
      <c r="S187" s="30" t="s">
        <v>26782</v>
      </c>
      <c r="T187" s="30" t="s">
        <v>26783</v>
      </c>
      <c r="U187" s="30"/>
      <c r="V187" s="30">
        <v>1863</v>
      </c>
      <c r="W187" s="30" t="s">
        <v>390</v>
      </c>
      <c r="X187" s="30" t="s">
        <v>194</v>
      </c>
      <c r="Y187" s="30" t="s">
        <v>9300</v>
      </c>
      <c r="Z187" s="30"/>
      <c r="AA187" s="30"/>
      <c r="AB187" s="30" t="s">
        <v>9311</v>
      </c>
      <c r="AC187" s="30"/>
      <c r="AD187" s="30"/>
      <c r="AE187" s="30"/>
      <c r="AF187" s="30"/>
      <c r="AG187" s="30"/>
      <c r="AH187" s="30" t="s">
        <v>4714</v>
      </c>
      <c r="AI187" s="30" t="s">
        <v>9433</v>
      </c>
      <c r="AJ187" s="641" t="str">
        <f t="shared" si="4"/>
        <v>228203</v>
      </c>
      <c r="AK187" s="641">
        <v>1</v>
      </c>
      <c r="AL187" s="641">
        <f t="shared" si="5"/>
        <v>1</v>
      </c>
      <c r="AM187" s="641">
        <v>1</v>
      </c>
      <c r="AN187" s="30" t="s">
        <v>17650</v>
      </c>
      <c r="AO187" s="30" t="s">
        <v>17651</v>
      </c>
      <c r="AP187" s="30" t="s">
        <v>17652</v>
      </c>
      <c r="AQ187" s="30" t="s">
        <v>17653</v>
      </c>
      <c r="AR187" s="30" t="s">
        <v>1024</v>
      </c>
      <c r="AS187" s="30">
        <v>1</v>
      </c>
    </row>
    <row r="188" spans="1:45" x14ac:dyDescent="0.25">
      <c r="A188" s="30" t="s">
        <v>17615</v>
      </c>
      <c r="B188" s="30" t="s">
        <v>26784</v>
      </c>
      <c r="C188" s="30" t="s">
        <v>27</v>
      </c>
      <c r="D188" s="139" t="s">
        <v>26160</v>
      </c>
      <c r="E188" s="30" t="s">
        <v>233</v>
      </c>
      <c r="F188" s="30">
        <v>1</v>
      </c>
      <c r="G188" s="30" t="s">
        <v>193</v>
      </c>
      <c r="H188" s="30" t="s">
        <v>194</v>
      </c>
      <c r="I188" s="30" t="s">
        <v>26143</v>
      </c>
      <c r="J188" s="30" t="s">
        <v>210</v>
      </c>
      <c r="K188" s="30" t="s">
        <v>9309</v>
      </c>
      <c r="L188" s="30" t="s">
        <v>6955</v>
      </c>
      <c r="M188" s="30"/>
      <c r="N188" s="30" t="s">
        <v>26785</v>
      </c>
      <c r="O188" s="30" t="s">
        <v>6340</v>
      </c>
      <c r="P188" s="30" t="s">
        <v>26786</v>
      </c>
      <c r="Q188" s="30" t="s">
        <v>26109</v>
      </c>
      <c r="R188" s="30" t="s">
        <v>26787</v>
      </c>
      <c r="S188" s="30" t="s">
        <v>26788</v>
      </c>
      <c r="T188" s="30" t="s">
        <v>26789</v>
      </c>
      <c r="U188" s="30"/>
      <c r="V188" s="30">
        <v>1863</v>
      </c>
      <c r="W188" s="30" t="s">
        <v>440</v>
      </c>
      <c r="X188" s="30" t="s">
        <v>194</v>
      </c>
      <c r="Y188" s="30" t="s">
        <v>9300</v>
      </c>
      <c r="Z188" s="30"/>
      <c r="AA188" s="30"/>
      <c r="AB188" s="30" t="s">
        <v>9311</v>
      </c>
      <c r="AC188" s="30"/>
      <c r="AD188" s="30"/>
      <c r="AE188" s="30"/>
      <c r="AF188" s="30"/>
      <c r="AG188" s="30"/>
      <c r="AH188" s="30" t="s">
        <v>4714</v>
      </c>
      <c r="AI188" s="30" t="s">
        <v>26784</v>
      </c>
      <c r="AJ188" s="641" t="str">
        <f t="shared" si="4"/>
        <v>242307</v>
      </c>
      <c r="AK188" s="641">
        <v>1</v>
      </c>
      <c r="AL188" s="641">
        <f t="shared" si="5"/>
        <v>1</v>
      </c>
      <c r="AM188" s="641">
        <v>1</v>
      </c>
      <c r="AN188" s="30" t="s">
        <v>17650</v>
      </c>
      <c r="AO188" s="30" t="s">
        <v>17651</v>
      </c>
      <c r="AP188" s="30" t="s">
        <v>17652</v>
      </c>
      <c r="AQ188" s="30" t="s">
        <v>17653</v>
      </c>
      <c r="AR188" s="30" t="s">
        <v>1024</v>
      </c>
      <c r="AS188" s="30">
        <v>1</v>
      </c>
    </row>
    <row r="189" spans="1:45" x14ac:dyDescent="0.25">
      <c r="A189" s="30" t="s">
        <v>14051</v>
      </c>
      <c r="B189" s="30" t="s">
        <v>26790</v>
      </c>
      <c r="C189" s="30" t="s">
        <v>37</v>
      </c>
      <c r="D189" s="139" t="s">
        <v>26160</v>
      </c>
      <c r="E189" s="30" t="s">
        <v>233</v>
      </c>
      <c r="F189" s="30">
        <v>1</v>
      </c>
      <c r="G189" s="30" t="s">
        <v>193</v>
      </c>
      <c r="H189" s="30" t="s">
        <v>194</v>
      </c>
      <c r="I189" s="30" t="s">
        <v>26148</v>
      </c>
      <c r="J189" s="30" t="s">
        <v>253</v>
      </c>
      <c r="K189" s="30" t="s">
        <v>9309</v>
      </c>
      <c r="L189" s="30" t="s">
        <v>6955</v>
      </c>
      <c r="M189" s="30"/>
      <c r="N189" s="30" t="s">
        <v>26791</v>
      </c>
      <c r="O189" s="30" t="s">
        <v>6921</v>
      </c>
      <c r="P189" s="30" t="s">
        <v>26786</v>
      </c>
      <c r="Q189" s="30" t="s">
        <v>26109</v>
      </c>
      <c r="R189" s="30" t="s">
        <v>26787</v>
      </c>
      <c r="S189" s="30" t="s">
        <v>26792</v>
      </c>
      <c r="T189" s="30" t="s">
        <v>26793</v>
      </c>
      <c r="U189" s="30"/>
      <c r="V189" s="30">
        <v>1811</v>
      </c>
      <c r="W189" s="30" t="s">
        <v>516</v>
      </c>
      <c r="X189" s="30" t="s">
        <v>194</v>
      </c>
      <c r="Y189" s="30" t="s">
        <v>9300</v>
      </c>
      <c r="Z189" s="30"/>
      <c r="AA189" s="30"/>
      <c r="AB189" s="30" t="s">
        <v>9311</v>
      </c>
      <c r="AC189" s="30"/>
      <c r="AD189" s="30"/>
      <c r="AE189" s="30"/>
      <c r="AF189" s="30"/>
      <c r="AG189" s="30"/>
      <c r="AH189" s="30" t="s">
        <v>4714</v>
      </c>
      <c r="AI189" s="30" t="s">
        <v>26790</v>
      </c>
      <c r="AJ189" s="641" t="str">
        <f t="shared" si="4"/>
        <v>252302</v>
      </c>
      <c r="AK189" s="641">
        <v>1</v>
      </c>
      <c r="AL189" s="641">
        <f t="shared" si="5"/>
        <v>1</v>
      </c>
      <c r="AM189" s="641">
        <v>1</v>
      </c>
      <c r="AN189" s="30" t="s">
        <v>17650</v>
      </c>
      <c r="AO189" s="30" t="s">
        <v>17651</v>
      </c>
      <c r="AP189" s="30" t="s">
        <v>17652</v>
      </c>
      <c r="AQ189" s="30" t="s">
        <v>17653</v>
      </c>
      <c r="AR189" s="30" t="s">
        <v>1024</v>
      </c>
      <c r="AS189" s="30">
        <v>1</v>
      </c>
    </row>
    <row r="190" spans="1:45" x14ac:dyDescent="0.25">
      <c r="A190" s="30" t="s">
        <v>1647</v>
      </c>
      <c r="B190" s="30" t="s">
        <v>1014</v>
      </c>
      <c r="C190" s="30" t="s">
        <v>95</v>
      </c>
      <c r="D190" s="139" t="s">
        <v>26160</v>
      </c>
      <c r="E190" s="30" t="s">
        <v>233</v>
      </c>
      <c r="F190" s="30">
        <v>1</v>
      </c>
      <c r="G190" s="30" t="s">
        <v>193</v>
      </c>
      <c r="H190" s="30" t="s">
        <v>194</v>
      </c>
      <c r="I190" s="30" t="s">
        <v>26143</v>
      </c>
      <c r="J190" s="30" t="s">
        <v>385</v>
      </c>
      <c r="K190" s="30" t="s">
        <v>9309</v>
      </c>
      <c r="L190" s="30" t="s">
        <v>6955</v>
      </c>
      <c r="M190" s="30"/>
      <c r="N190" s="30" t="s">
        <v>26794</v>
      </c>
      <c r="O190" s="30" t="s">
        <v>6249</v>
      </c>
      <c r="P190" s="30" t="s">
        <v>26786</v>
      </c>
      <c r="Q190" s="30" t="s">
        <v>26109</v>
      </c>
      <c r="R190" s="30" t="s">
        <v>26787</v>
      </c>
      <c r="S190" s="30" t="s">
        <v>26795</v>
      </c>
      <c r="T190" s="30" t="s">
        <v>26796</v>
      </c>
      <c r="U190" s="30"/>
      <c r="V190" s="30">
        <v>1861</v>
      </c>
      <c r="W190" s="30" t="s">
        <v>1015</v>
      </c>
      <c r="X190" s="30" t="s">
        <v>194</v>
      </c>
      <c r="Y190" s="30" t="s">
        <v>9300</v>
      </c>
      <c r="Z190" s="30"/>
      <c r="AA190" s="30"/>
      <c r="AB190" s="30" t="s">
        <v>9311</v>
      </c>
      <c r="AC190" s="30"/>
      <c r="AD190" s="30"/>
      <c r="AE190" s="30"/>
      <c r="AF190" s="30"/>
      <c r="AG190" s="30"/>
      <c r="AH190" s="30" t="s">
        <v>4714</v>
      </c>
      <c r="AI190" s="30" t="s">
        <v>1014</v>
      </c>
      <c r="AJ190" s="641" t="str">
        <f t="shared" si="4"/>
        <v>122102</v>
      </c>
      <c r="AK190" s="641">
        <v>1</v>
      </c>
      <c r="AL190" s="641">
        <f t="shared" si="5"/>
        <v>1</v>
      </c>
      <c r="AM190" s="641">
        <v>1</v>
      </c>
      <c r="AN190" s="30" t="s">
        <v>17650</v>
      </c>
      <c r="AO190" s="30" t="s">
        <v>17651</v>
      </c>
      <c r="AP190" s="30" t="s">
        <v>17652</v>
      </c>
      <c r="AQ190" s="30" t="s">
        <v>17653</v>
      </c>
      <c r="AR190" s="30" t="s">
        <v>1024</v>
      </c>
      <c r="AS190" s="30">
        <v>1</v>
      </c>
    </row>
    <row r="191" spans="1:45" x14ac:dyDescent="0.25">
      <c r="A191" s="30" t="s">
        <v>1647</v>
      </c>
      <c r="B191" s="30" t="s">
        <v>1014</v>
      </c>
      <c r="C191" s="30" t="s">
        <v>95</v>
      </c>
      <c r="D191" s="139" t="s">
        <v>26160</v>
      </c>
      <c r="E191" s="30" t="s">
        <v>233</v>
      </c>
      <c r="F191" s="30">
        <v>1</v>
      </c>
      <c r="G191" s="30" t="s">
        <v>193</v>
      </c>
      <c r="H191" s="30" t="s">
        <v>194</v>
      </c>
      <c r="I191" s="30" t="s">
        <v>26143</v>
      </c>
      <c r="J191" s="30" t="s">
        <v>210</v>
      </c>
      <c r="K191" s="30" t="s">
        <v>9309</v>
      </c>
      <c r="L191" s="30" t="s">
        <v>6955</v>
      </c>
      <c r="M191" s="30"/>
      <c r="N191" s="30" t="s">
        <v>26797</v>
      </c>
      <c r="O191" s="30" t="s">
        <v>6249</v>
      </c>
      <c r="P191" s="30" t="s">
        <v>26786</v>
      </c>
      <c r="Q191" s="30" t="s">
        <v>26109</v>
      </c>
      <c r="R191" s="30" t="s">
        <v>26787</v>
      </c>
      <c r="S191" s="30" t="s">
        <v>26798</v>
      </c>
      <c r="T191" s="30" t="s">
        <v>26799</v>
      </c>
      <c r="U191" s="30"/>
      <c r="V191" s="30">
        <v>1863</v>
      </c>
      <c r="W191" s="30" t="s">
        <v>1015</v>
      </c>
      <c r="X191" s="30" t="s">
        <v>194</v>
      </c>
      <c r="Y191" s="30" t="s">
        <v>9300</v>
      </c>
      <c r="Z191" s="30"/>
      <c r="AA191" s="30"/>
      <c r="AB191" s="30" t="s">
        <v>9311</v>
      </c>
      <c r="AC191" s="30"/>
      <c r="AD191" s="30"/>
      <c r="AE191" s="30"/>
      <c r="AF191" s="30"/>
      <c r="AG191" s="30"/>
      <c r="AH191" s="30" t="s">
        <v>4714</v>
      </c>
      <c r="AI191" s="30" t="s">
        <v>1014</v>
      </c>
      <c r="AJ191" s="641" t="str">
        <f t="shared" si="4"/>
        <v>122102</v>
      </c>
      <c r="AK191" s="641">
        <v>1</v>
      </c>
      <c r="AL191" s="641">
        <f t="shared" si="5"/>
        <v>1</v>
      </c>
      <c r="AM191" s="641">
        <v>1</v>
      </c>
      <c r="AN191" s="30" t="s">
        <v>17650</v>
      </c>
      <c r="AO191" s="30" t="s">
        <v>17651</v>
      </c>
      <c r="AP191" s="30" t="s">
        <v>17652</v>
      </c>
      <c r="AQ191" s="30" t="s">
        <v>17653</v>
      </c>
      <c r="AR191" s="30" t="s">
        <v>1024</v>
      </c>
      <c r="AS191" s="30">
        <v>1</v>
      </c>
    </row>
    <row r="192" spans="1:45" x14ac:dyDescent="0.25">
      <c r="A192" s="30" t="s">
        <v>1647</v>
      </c>
      <c r="B192" s="30" t="s">
        <v>1014</v>
      </c>
      <c r="C192" s="30" t="s">
        <v>95</v>
      </c>
      <c r="D192" s="139" t="s">
        <v>26160</v>
      </c>
      <c r="E192" s="30" t="s">
        <v>233</v>
      </c>
      <c r="F192" s="30">
        <v>1</v>
      </c>
      <c r="G192" s="30" t="s">
        <v>193</v>
      </c>
      <c r="H192" s="30" t="s">
        <v>194</v>
      </c>
      <c r="I192" s="30" t="s">
        <v>26143</v>
      </c>
      <c r="J192" s="30" t="s">
        <v>4751</v>
      </c>
      <c r="K192" s="30" t="s">
        <v>9309</v>
      </c>
      <c r="L192" s="30" t="s">
        <v>6955</v>
      </c>
      <c r="M192" s="30"/>
      <c r="N192" s="30" t="s">
        <v>26800</v>
      </c>
      <c r="O192" s="30" t="s">
        <v>6249</v>
      </c>
      <c r="P192" s="30" t="s">
        <v>26786</v>
      </c>
      <c r="Q192" s="30" t="s">
        <v>26109</v>
      </c>
      <c r="R192" s="30" t="s">
        <v>26787</v>
      </c>
      <c r="S192" s="30" t="s">
        <v>26801</v>
      </c>
      <c r="T192" s="30" t="s">
        <v>26802</v>
      </c>
      <c r="U192" s="30"/>
      <c r="V192" s="30">
        <v>1862</v>
      </c>
      <c r="W192" s="30" t="s">
        <v>1015</v>
      </c>
      <c r="X192" s="30" t="s">
        <v>194</v>
      </c>
      <c r="Y192" s="30" t="s">
        <v>9300</v>
      </c>
      <c r="Z192" s="30"/>
      <c r="AA192" s="30"/>
      <c r="AB192" s="30" t="s">
        <v>9311</v>
      </c>
      <c r="AC192" s="30"/>
      <c r="AD192" s="30"/>
      <c r="AE192" s="30"/>
      <c r="AF192" s="30"/>
      <c r="AG192" s="30"/>
      <c r="AH192" s="30" t="s">
        <v>4714</v>
      </c>
      <c r="AI192" s="30" t="s">
        <v>1014</v>
      </c>
      <c r="AJ192" s="641" t="str">
        <f t="shared" si="4"/>
        <v>122102</v>
      </c>
      <c r="AK192" s="641">
        <v>1</v>
      </c>
      <c r="AL192" s="641">
        <f t="shared" si="5"/>
        <v>1</v>
      </c>
      <c r="AM192" s="641">
        <v>1</v>
      </c>
      <c r="AN192" s="30" t="s">
        <v>17650</v>
      </c>
      <c r="AO192" s="30" t="s">
        <v>17651</v>
      </c>
      <c r="AP192" s="30" t="s">
        <v>17652</v>
      </c>
      <c r="AQ192" s="30" t="s">
        <v>17653</v>
      </c>
      <c r="AR192" s="30" t="s">
        <v>1024</v>
      </c>
      <c r="AS192" s="30">
        <v>1</v>
      </c>
    </row>
    <row r="193" spans="1:45" x14ac:dyDescent="0.25">
      <c r="A193" s="30" t="s">
        <v>26803</v>
      </c>
      <c r="B193" s="30" t="s">
        <v>26804</v>
      </c>
      <c r="C193" s="30" t="s">
        <v>26805</v>
      </c>
      <c r="D193" s="139" t="s">
        <v>26160</v>
      </c>
      <c r="E193" s="30" t="s">
        <v>233</v>
      </c>
      <c r="F193" s="30">
        <v>1</v>
      </c>
      <c r="G193" s="30" t="s">
        <v>193</v>
      </c>
      <c r="H193" s="30" t="s">
        <v>194</v>
      </c>
      <c r="I193" s="30" t="s">
        <v>26143</v>
      </c>
      <c r="J193" s="30" t="s">
        <v>9302</v>
      </c>
      <c r="K193" s="30" t="s">
        <v>9309</v>
      </c>
      <c r="L193" s="30" t="s">
        <v>6955</v>
      </c>
      <c r="M193" s="30"/>
      <c r="N193" s="30" t="s">
        <v>26806</v>
      </c>
      <c r="O193" s="30" t="s">
        <v>6275</v>
      </c>
      <c r="P193" s="30" t="s">
        <v>26786</v>
      </c>
      <c r="Q193" s="30" t="s">
        <v>26109</v>
      </c>
      <c r="R193" s="30" t="s">
        <v>26787</v>
      </c>
      <c r="S193" s="30" t="s">
        <v>26807</v>
      </c>
      <c r="T193" s="30" t="s">
        <v>26808</v>
      </c>
      <c r="U193" s="139"/>
      <c r="V193" s="139" t="s">
        <v>28321</v>
      </c>
      <c r="W193" s="30" t="s">
        <v>26809</v>
      </c>
      <c r="X193" s="30" t="s">
        <v>193</v>
      </c>
      <c r="Y193" s="30" t="s">
        <v>9310</v>
      </c>
      <c r="Z193" s="30"/>
      <c r="AA193" s="30"/>
      <c r="AB193" s="30" t="s">
        <v>9311</v>
      </c>
      <c r="AC193" s="30"/>
      <c r="AD193" s="30"/>
      <c r="AE193" s="30"/>
      <c r="AF193" s="30"/>
      <c r="AG193" s="30"/>
      <c r="AH193" s="30" t="s">
        <v>4714</v>
      </c>
      <c r="AI193" s="30" t="s">
        <v>26804</v>
      </c>
      <c r="AJ193" s="641" t="str">
        <f t="shared" si="4"/>
        <v>931207</v>
      </c>
      <c r="AK193" s="641">
        <v>1</v>
      </c>
      <c r="AL193" s="641">
        <f t="shared" si="5"/>
        <v>1</v>
      </c>
      <c r="AM193" s="641">
        <v>1</v>
      </c>
      <c r="AN193" s="30" t="s">
        <v>17650</v>
      </c>
      <c r="AO193" s="30" t="s">
        <v>17651</v>
      </c>
      <c r="AP193" s="30" t="s">
        <v>17652</v>
      </c>
      <c r="AQ193" s="30" t="s">
        <v>17653</v>
      </c>
      <c r="AR193" s="30" t="s">
        <v>1024</v>
      </c>
      <c r="AS193" s="30">
        <v>1</v>
      </c>
    </row>
    <row r="194" spans="1:45" x14ac:dyDescent="0.25">
      <c r="A194" s="30" t="s">
        <v>26810</v>
      </c>
      <c r="B194" s="30" t="s">
        <v>26811</v>
      </c>
      <c r="C194" s="30" t="s">
        <v>706</v>
      </c>
      <c r="D194" s="139" t="s">
        <v>26160</v>
      </c>
      <c r="E194" s="30" t="s">
        <v>233</v>
      </c>
      <c r="F194" s="30">
        <v>1</v>
      </c>
      <c r="G194" s="30" t="s">
        <v>193</v>
      </c>
      <c r="H194" s="30" t="s">
        <v>194</v>
      </c>
      <c r="I194" s="30" t="s">
        <v>26143</v>
      </c>
      <c r="J194" s="30" t="s">
        <v>9302</v>
      </c>
      <c r="K194" s="30" t="s">
        <v>9309</v>
      </c>
      <c r="L194" s="30" t="s">
        <v>6955</v>
      </c>
      <c r="M194" s="30"/>
      <c r="N194" s="30" t="s">
        <v>26812</v>
      </c>
      <c r="O194" s="30" t="s">
        <v>6249</v>
      </c>
      <c r="P194" s="30" t="s">
        <v>26786</v>
      </c>
      <c r="Q194" s="30" t="s">
        <v>26109</v>
      </c>
      <c r="R194" s="30" t="s">
        <v>26787</v>
      </c>
      <c r="S194" s="30" t="s">
        <v>26813</v>
      </c>
      <c r="T194" s="30" t="s">
        <v>26814</v>
      </c>
      <c r="U194" s="139"/>
      <c r="V194" s="139" t="s">
        <v>28321</v>
      </c>
      <c r="W194" s="30" t="s">
        <v>707</v>
      </c>
      <c r="X194" s="30" t="s">
        <v>193</v>
      </c>
      <c r="Y194" s="30" t="s">
        <v>9310</v>
      </c>
      <c r="Z194" s="30"/>
      <c r="AA194" s="30"/>
      <c r="AB194" s="30" t="s">
        <v>9311</v>
      </c>
      <c r="AC194" s="30"/>
      <c r="AD194" s="30"/>
      <c r="AE194" s="30"/>
      <c r="AF194" s="30"/>
      <c r="AG194" s="30"/>
      <c r="AH194" s="30" t="s">
        <v>4714</v>
      </c>
      <c r="AI194" s="30" t="s">
        <v>26811</v>
      </c>
      <c r="AJ194" s="641" t="str">
        <f t="shared" si="4"/>
        <v>422201</v>
      </c>
      <c r="AK194" s="641">
        <v>1</v>
      </c>
      <c r="AL194" s="641">
        <f t="shared" si="5"/>
        <v>1</v>
      </c>
      <c r="AM194" s="641">
        <v>1</v>
      </c>
      <c r="AN194" s="30" t="s">
        <v>17650</v>
      </c>
      <c r="AO194" s="30" t="s">
        <v>17651</v>
      </c>
      <c r="AP194" s="30" t="s">
        <v>17652</v>
      </c>
      <c r="AQ194" s="30" t="s">
        <v>17653</v>
      </c>
      <c r="AR194" s="30" t="s">
        <v>1024</v>
      </c>
      <c r="AS194" s="30">
        <v>1</v>
      </c>
    </row>
    <row r="195" spans="1:45" x14ac:dyDescent="0.25">
      <c r="A195" s="30" t="s">
        <v>25522</v>
      </c>
      <c r="B195" s="30" t="s">
        <v>632</v>
      </c>
      <c r="C195" s="30" t="s">
        <v>17</v>
      </c>
      <c r="D195" s="139" t="s">
        <v>26160</v>
      </c>
      <c r="E195" s="30" t="s">
        <v>233</v>
      </c>
      <c r="F195" s="30">
        <v>1</v>
      </c>
      <c r="G195" s="30" t="s">
        <v>193</v>
      </c>
      <c r="H195" s="30" t="s">
        <v>194</v>
      </c>
      <c r="I195" s="30" t="s">
        <v>26077</v>
      </c>
      <c r="J195" s="30" t="s">
        <v>9302</v>
      </c>
      <c r="K195" s="30" t="s">
        <v>9309</v>
      </c>
      <c r="L195" s="30" t="s">
        <v>6955</v>
      </c>
      <c r="M195" s="30"/>
      <c r="N195" s="30" t="s">
        <v>26815</v>
      </c>
      <c r="O195" s="30" t="s">
        <v>6249</v>
      </c>
      <c r="P195" s="30" t="s">
        <v>26816</v>
      </c>
      <c r="Q195" s="30" t="s">
        <v>26109</v>
      </c>
      <c r="R195" s="30" t="s">
        <v>26787</v>
      </c>
      <c r="S195" s="30" t="s">
        <v>26817</v>
      </c>
      <c r="T195" s="30" t="s">
        <v>26818</v>
      </c>
      <c r="U195" s="139"/>
      <c r="V195" s="139" t="s">
        <v>28321</v>
      </c>
      <c r="W195" s="30" t="s">
        <v>624</v>
      </c>
      <c r="X195" s="30" t="s">
        <v>193</v>
      </c>
      <c r="Y195" s="30" t="s">
        <v>9310</v>
      </c>
      <c r="Z195" s="30"/>
      <c r="AA195" s="30"/>
      <c r="AB195" s="30" t="s">
        <v>9311</v>
      </c>
      <c r="AC195" s="30"/>
      <c r="AD195" s="30"/>
      <c r="AE195" s="30"/>
      <c r="AF195" s="30"/>
      <c r="AG195" s="30"/>
      <c r="AH195" s="30" t="s">
        <v>4714</v>
      </c>
      <c r="AI195" s="30" t="s">
        <v>17</v>
      </c>
      <c r="AJ195" s="641" t="str">
        <f t="shared" ref="AJ195:AJ258" si="6">MID(W195,8,6)</f>
        <v>332203</v>
      </c>
      <c r="AK195" s="641">
        <v>1</v>
      </c>
      <c r="AL195" s="641">
        <f t="shared" ref="AL195:AL258" si="7">F195</f>
        <v>1</v>
      </c>
      <c r="AM195" s="641">
        <v>1</v>
      </c>
      <c r="AN195" s="30" t="s">
        <v>17650</v>
      </c>
      <c r="AO195" s="30" t="s">
        <v>17651</v>
      </c>
      <c r="AP195" s="30" t="s">
        <v>17652</v>
      </c>
      <c r="AQ195" s="30" t="s">
        <v>17653</v>
      </c>
      <c r="AR195" s="30" t="s">
        <v>1024</v>
      </c>
      <c r="AS195" s="30">
        <v>1</v>
      </c>
    </row>
    <row r="196" spans="1:45" x14ac:dyDescent="0.25">
      <c r="A196" s="30" t="s">
        <v>26819</v>
      </c>
      <c r="B196" s="30" t="s">
        <v>23163</v>
      </c>
      <c r="C196" s="30" t="s">
        <v>17</v>
      </c>
      <c r="D196" s="139" t="s">
        <v>26160</v>
      </c>
      <c r="E196" s="30" t="s">
        <v>233</v>
      </c>
      <c r="F196" s="30">
        <v>1</v>
      </c>
      <c r="G196" s="30" t="s">
        <v>193</v>
      </c>
      <c r="H196" s="30" t="s">
        <v>194</v>
      </c>
      <c r="I196" s="30" t="s">
        <v>26143</v>
      </c>
      <c r="J196" s="30" t="s">
        <v>9302</v>
      </c>
      <c r="K196" s="30" t="s">
        <v>9309</v>
      </c>
      <c r="L196" s="30" t="s">
        <v>6955</v>
      </c>
      <c r="M196" s="30"/>
      <c r="N196" s="30" t="s">
        <v>26820</v>
      </c>
      <c r="O196" s="30" t="s">
        <v>6249</v>
      </c>
      <c r="P196" s="30" t="s">
        <v>26786</v>
      </c>
      <c r="Q196" s="30" t="s">
        <v>26109</v>
      </c>
      <c r="R196" s="30" t="s">
        <v>26787</v>
      </c>
      <c r="S196" s="30" t="s">
        <v>26821</v>
      </c>
      <c r="T196" s="30" t="s">
        <v>26822</v>
      </c>
      <c r="U196" s="139"/>
      <c r="V196" s="139" t="s">
        <v>28321</v>
      </c>
      <c r="W196" s="30" t="s">
        <v>624</v>
      </c>
      <c r="X196" s="30" t="s">
        <v>193</v>
      </c>
      <c r="Y196" s="30" t="s">
        <v>9310</v>
      </c>
      <c r="Z196" s="30"/>
      <c r="AA196" s="30"/>
      <c r="AB196" s="30" t="s">
        <v>9311</v>
      </c>
      <c r="AC196" s="30"/>
      <c r="AD196" s="30"/>
      <c r="AE196" s="30"/>
      <c r="AF196" s="30"/>
      <c r="AG196" s="30"/>
      <c r="AH196" s="30" t="s">
        <v>4714</v>
      </c>
      <c r="AI196" s="30" t="s">
        <v>23163</v>
      </c>
      <c r="AJ196" s="641" t="str">
        <f t="shared" si="6"/>
        <v>332203</v>
      </c>
      <c r="AK196" s="641">
        <v>1</v>
      </c>
      <c r="AL196" s="641">
        <f t="shared" si="7"/>
        <v>1</v>
      </c>
      <c r="AM196" s="641">
        <v>1</v>
      </c>
      <c r="AN196" s="30" t="s">
        <v>17650</v>
      </c>
      <c r="AO196" s="30" t="s">
        <v>17651</v>
      </c>
      <c r="AP196" s="30" t="s">
        <v>17652</v>
      </c>
      <c r="AQ196" s="30" t="s">
        <v>17653</v>
      </c>
      <c r="AR196" s="30" t="s">
        <v>1024</v>
      </c>
      <c r="AS196" s="30">
        <v>1</v>
      </c>
    </row>
    <row r="197" spans="1:45" x14ac:dyDescent="0.25">
      <c r="A197" s="30" t="s">
        <v>26823</v>
      </c>
      <c r="B197" s="30" t="s">
        <v>26824</v>
      </c>
      <c r="C197" s="30" t="s">
        <v>30</v>
      </c>
      <c r="D197" s="139" t="s">
        <v>26160</v>
      </c>
      <c r="E197" s="30" t="s">
        <v>233</v>
      </c>
      <c r="F197" s="30">
        <v>1</v>
      </c>
      <c r="G197" s="30" t="s">
        <v>193</v>
      </c>
      <c r="H197" s="30" t="s">
        <v>194</v>
      </c>
      <c r="I197" s="30" t="s">
        <v>26148</v>
      </c>
      <c r="J197" s="30" t="s">
        <v>9302</v>
      </c>
      <c r="K197" s="30" t="s">
        <v>9309</v>
      </c>
      <c r="L197" s="30" t="s">
        <v>6955</v>
      </c>
      <c r="M197" s="30"/>
      <c r="N197" s="30" t="s">
        <v>26825</v>
      </c>
      <c r="O197" s="30" t="s">
        <v>6245</v>
      </c>
      <c r="P197" s="30" t="s">
        <v>26786</v>
      </c>
      <c r="Q197" s="30" t="s">
        <v>26109</v>
      </c>
      <c r="R197" s="30" t="s">
        <v>26787</v>
      </c>
      <c r="S197" s="30" t="s">
        <v>26826</v>
      </c>
      <c r="T197" s="30" t="s">
        <v>26827</v>
      </c>
      <c r="U197" s="139"/>
      <c r="V197" s="139" t="s">
        <v>28321</v>
      </c>
      <c r="W197" s="30" t="s">
        <v>1025</v>
      </c>
      <c r="X197" s="30" t="s">
        <v>193</v>
      </c>
      <c r="Y197" s="30" t="s">
        <v>9310</v>
      </c>
      <c r="Z197" s="30"/>
      <c r="AA197" s="30"/>
      <c r="AB197" s="30" t="s">
        <v>9311</v>
      </c>
      <c r="AC197" s="30"/>
      <c r="AD197" s="30"/>
      <c r="AE197" s="30"/>
      <c r="AF197" s="30"/>
      <c r="AG197" s="30"/>
      <c r="AH197" s="30" t="s">
        <v>4714</v>
      </c>
      <c r="AI197" s="30" t="s">
        <v>26824</v>
      </c>
      <c r="AJ197" s="641" t="str">
        <f t="shared" si="6"/>
        <v>214207</v>
      </c>
      <c r="AK197" s="641">
        <v>1</v>
      </c>
      <c r="AL197" s="641">
        <f t="shared" si="7"/>
        <v>1</v>
      </c>
      <c r="AM197" s="641">
        <v>1</v>
      </c>
      <c r="AN197" s="30" t="s">
        <v>17650</v>
      </c>
      <c r="AO197" s="30" t="s">
        <v>17651</v>
      </c>
      <c r="AP197" s="30" t="s">
        <v>17652</v>
      </c>
      <c r="AQ197" s="30" t="s">
        <v>17653</v>
      </c>
      <c r="AR197" s="30" t="s">
        <v>1024</v>
      </c>
      <c r="AS197" s="30">
        <v>1</v>
      </c>
    </row>
    <row r="198" spans="1:45" x14ac:dyDescent="0.25">
      <c r="A198" s="30" t="s">
        <v>26823</v>
      </c>
      <c r="B198" s="30" t="s">
        <v>26828</v>
      </c>
      <c r="C198" s="30" t="s">
        <v>10</v>
      </c>
      <c r="D198" s="139" t="s">
        <v>26160</v>
      </c>
      <c r="E198" s="30" t="s">
        <v>233</v>
      </c>
      <c r="F198" s="30">
        <v>1</v>
      </c>
      <c r="G198" s="30" t="s">
        <v>193</v>
      </c>
      <c r="H198" s="30" t="s">
        <v>194</v>
      </c>
      <c r="I198" s="30" t="s">
        <v>23198</v>
      </c>
      <c r="J198" s="30" t="s">
        <v>9302</v>
      </c>
      <c r="K198" s="30" t="s">
        <v>9309</v>
      </c>
      <c r="L198" s="30" t="s">
        <v>6955</v>
      </c>
      <c r="M198" s="30"/>
      <c r="N198" s="30" t="s">
        <v>26829</v>
      </c>
      <c r="O198" s="30" t="s">
        <v>6245</v>
      </c>
      <c r="P198" s="30" t="s">
        <v>26786</v>
      </c>
      <c r="Q198" s="30" t="s">
        <v>26109</v>
      </c>
      <c r="R198" s="30" t="s">
        <v>26787</v>
      </c>
      <c r="S198" s="30" t="s">
        <v>26830</v>
      </c>
      <c r="T198" s="30" t="s">
        <v>26831</v>
      </c>
      <c r="U198" s="139"/>
      <c r="V198" s="139" t="s">
        <v>28321</v>
      </c>
      <c r="W198" s="30" t="s">
        <v>484</v>
      </c>
      <c r="X198" s="30" t="s">
        <v>193</v>
      </c>
      <c r="Y198" s="30" t="s">
        <v>9310</v>
      </c>
      <c r="Z198" s="30"/>
      <c r="AA198" s="30"/>
      <c r="AB198" s="30" t="s">
        <v>9311</v>
      </c>
      <c r="AC198" s="30"/>
      <c r="AD198" s="30"/>
      <c r="AE198" s="30"/>
      <c r="AF198" s="30"/>
      <c r="AG198" s="30"/>
      <c r="AH198" s="30" t="s">
        <v>4714</v>
      </c>
      <c r="AI198" s="30" t="s">
        <v>26828</v>
      </c>
      <c r="AJ198" s="641" t="str">
        <f t="shared" si="6"/>
        <v>251401</v>
      </c>
      <c r="AK198" s="641">
        <v>1</v>
      </c>
      <c r="AL198" s="641">
        <f t="shared" si="7"/>
        <v>1</v>
      </c>
      <c r="AM198" s="641">
        <v>1</v>
      </c>
      <c r="AN198" s="30" t="s">
        <v>17650</v>
      </c>
      <c r="AO198" s="30" t="s">
        <v>17651</v>
      </c>
      <c r="AP198" s="30" t="s">
        <v>17652</v>
      </c>
      <c r="AQ198" s="30" t="s">
        <v>17653</v>
      </c>
      <c r="AR198" s="30" t="s">
        <v>1024</v>
      </c>
      <c r="AS198" s="30">
        <v>1</v>
      </c>
    </row>
    <row r="199" spans="1:45" x14ac:dyDescent="0.25">
      <c r="A199" s="30" t="s">
        <v>26832</v>
      </c>
      <c r="B199" s="30" t="s">
        <v>26833</v>
      </c>
      <c r="C199" s="30" t="s">
        <v>2926</v>
      </c>
      <c r="D199" s="139" t="s">
        <v>26160</v>
      </c>
      <c r="E199" s="30" t="s">
        <v>233</v>
      </c>
      <c r="F199" s="30">
        <v>1</v>
      </c>
      <c r="G199" s="30" t="s">
        <v>193</v>
      </c>
      <c r="H199" s="30" t="s">
        <v>194</v>
      </c>
      <c r="I199" s="30" t="s">
        <v>26148</v>
      </c>
      <c r="J199" s="30" t="s">
        <v>4751</v>
      </c>
      <c r="K199" s="30" t="s">
        <v>9309</v>
      </c>
      <c r="L199" s="30" t="s">
        <v>6955</v>
      </c>
      <c r="M199" s="30"/>
      <c r="N199" s="30" t="s">
        <v>26834</v>
      </c>
      <c r="O199" s="30" t="s">
        <v>6306</v>
      </c>
      <c r="P199" s="30" t="s">
        <v>26786</v>
      </c>
      <c r="Q199" s="30" t="s">
        <v>26109</v>
      </c>
      <c r="R199" s="30" t="s">
        <v>23804</v>
      </c>
      <c r="S199" s="30" t="s">
        <v>26835</v>
      </c>
      <c r="T199" s="30" t="s">
        <v>26836</v>
      </c>
      <c r="U199" s="30"/>
      <c r="V199" s="139">
        <v>1862</v>
      </c>
      <c r="W199" s="30" t="s">
        <v>6411</v>
      </c>
      <c r="X199" s="30" t="s">
        <v>194</v>
      </c>
      <c r="Y199" s="30" t="s">
        <v>9300</v>
      </c>
      <c r="Z199" s="30"/>
      <c r="AA199" s="30"/>
      <c r="AB199" s="30" t="s">
        <v>9311</v>
      </c>
      <c r="AC199" s="30"/>
      <c r="AD199" s="30"/>
      <c r="AE199" s="30"/>
      <c r="AF199" s="30"/>
      <c r="AG199" s="30"/>
      <c r="AH199" s="30" t="s">
        <v>4714</v>
      </c>
      <c r="AI199" s="30" t="s">
        <v>26833</v>
      </c>
      <c r="AJ199" s="641" t="str">
        <f t="shared" si="6"/>
        <v>215101</v>
      </c>
      <c r="AK199" s="641">
        <v>1</v>
      </c>
      <c r="AL199" s="641">
        <f t="shared" si="7"/>
        <v>1</v>
      </c>
      <c r="AM199" s="641">
        <v>1</v>
      </c>
      <c r="AN199" s="30" t="s">
        <v>17650</v>
      </c>
      <c r="AO199" s="30" t="s">
        <v>17651</v>
      </c>
      <c r="AP199" s="30" t="s">
        <v>17652</v>
      </c>
      <c r="AQ199" s="30" t="s">
        <v>17653</v>
      </c>
      <c r="AR199" s="30" t="s">
        <v>1024</v>
      </c>
      <c r="AS199" s="30">
        <v>1</v>
      </c>
    </row>
    <row r="200" spans="1:45" x14ac:dyDescent="0.25">
      <c r="A200" s="30" t="s">
        <v>8656</v>
      </c>
      <c r="B200" s="30" t="s">
        <v>8657</v>
      </c>
      <c r="C200" s="30" t="s">
        <v>396</v>
      </c>
      <c r="D200" s="139" t="s">
        <v>26160</v>
      </c>
      <c r="E200" s="30" t="s">
        <v>233</v>
      </c>
      <c r="F200" s="30">
        <v>1</v>
      </c>
      <c r="G200" s="30" t="s">
        <v>193</v>
      </c>
      <c r="H200" s="30" t="s">
        <v>194</v>
      </c>
      <c r="I200" s="30" t="s">
        <v>26143</v>
      </c>
      <c r="J200" s="30" t="s">
        <v>9302</v>
      </c>
      <c r="K200" s="30" t="s">
        <v>9309</v>
      </c>
      <c r="L200" s="30" t="s">
        <v>6955</v>
      </c>
      <c r="M200" s="30"/>
      <c r="N200" s="30" t="s">
        <v>26837</v>
      </c>
      <c r="O200" s="30" t="s">
        <v>6312</v>
      </c>
      <c r="P200" s="30" t="s">
        <v>26786</v>
      </c>
      <c r="Q200" s="30" t="s">
        <v>26109</v>
      </c>
      <c r="R200" s="30" t="s">
        <v>26787</v>
      </c>
      <c r="S200" s="30" t="s">
        <v>26838</v>
      </c>
      <c r="T200" s="30" t="s">
        <v>26839</v>
      </c>
      <c r="U200" s="139"/>
      <c r="V200" s="139" t="s">
        <v>28321</v>
      </c>
      <c r="W200" s="30" t="s">
        <v>397</v>
      </c>
      <c r="X200" s="30" t="s">
        <v>193</v>
      </c>
      <c r="Y200" s="30" t="s">
        <v>9310</v>
      </c>
      <c r="Z200" s="30"/>
      <c r="AA200" s="30"/>
      <c r="AB200" s="30" t="s">
        <v>9311</v>
      </c>
      <c r="AC200" s="30"/>
      <c r="AD200" s="30"/>
      <c r="AE200" s="30"/>
      <c r="AF200" s="30"/>
      <c r="AG200" s="30"/>
      <c r="AH200" s="30" t="s">
        <v>4714</v>
      </c>
      <c r="AI200" s="30" t="s">
        <v>8657</v>
      </c>
      <c r="AJ200" s="641" t="str">
        <f t="shared" si="6"/>
        <v>235301</v>
      </c>
      <c r="AK200" s="641">
        <v>1</v>
      </c>
      <c r="AL200" s="641">
        <f t="shared" si="7"/>
        <v>1</v>
      </c>
      <c r="AM200" s="641">
        <v>1</v>
      </c>
      <c r="AN200" s="30" t="s">
        <v>17650</v>
      </c>
      <c r="AO200" s="30" t="s">
        <v>17651</v>
      </c>
      <c r="AP200" s="30" t="s">
        <v>17652</v>
      </c>
      <c r="AQ200" s="30" t="s">
        <v>17653</v>
      </c>
      <c r="AR200" s="30" t="s">
        <v>1024</v>
      </c>
      <c r="AS200" s="30">
        <v>1</v>
      </c>
    </row>
    <row r="201" spans="1:45" x14ac:dyDescent="0.25">
      <c r="A201" s="30" t="s">
        <v>26089</v>
      </c>
      <c r="B201" s="30" t="s">
        <v>26167</v>
      </c>
      <c r="C201" s="30" t="s">
        <v>16355</v>
      </c>
      <c r="D201" s="139" t="s">
        <v>26160</v>
      </c>
      <c r="E201" s="30" t="s">
        <v>217</v>
      </c>
      <c r="F201" s="30">
        <v>1</v>
      </c>
      <c r="G201" s="30" t="s">
        <v>193</v>
      </c>
      <c r="H201" s="30" t="s">
        <v>194</v>
      </c>
      <c r="I201" s="30" t="s">
        <v>26143</v>
      </c>
      <c r="J201" s="30" t="s">
        <v>210</v>
      </c>
      <c r="K201" s="30" t="s">
        <v>9309</v>
      </c>
      <c r="L201" s="30" t="s">
        <v>6955</v>
      </c>
      <c r="M201" s="30"/>
      <c r="N201" s="30" t="s">
        <v>26168</v>
      </c>
      <c r="O201" s="30" t="s">
        <v>6261</v>
      </c>
      <c r="P201" s="30" t="s">
        <v>26840</v>
      </c>
      <c r="Q201" s="30" t="s">
        <v>26085</v>
      </c>
      <c r="R201" s="30" t="s">
        <v>26057</v>
      </c>
      <c r="S201" s="30" t="s">
        <v>26841</v>
      </c>
      <c r="T201" s="30" t="s">
        <v>26842</v>
      </c>
      <c r="U201" s="30"/>
      <c r="V201" s="139">
        <v>1863</v>
      </c>
      <c r="W201" s="30" t="s">
        <v>508</v>
      </c>
      <c r="X201" s="30" t="s">
        <v>194</v>
      </c>
      <c r="Y201" s="30" t="s">
        <v>9300</v>
      </c>
      <c r="Z201" s="30"/>
      <c r="AA201" s="30"/>
      <c r="AB201" s="30" t="s">
        <v>9311</v>
      </c>
      <c r="AC201" s="30"/>
      <c r="AD201" s="30"/>
      <c r="AE201" s="30"/>
      <c r="AF201" s="30"/>
      <c r="AG201" s="30"/>
      <c r="AH201" s="30" t="s">
        <v>4714</v>
      </c>
      <c r="AI201" s="30" t="s">
        <v>9433</v>
      </c>
      <c r="AJ201" s="641" t="str">
        <f t="shared" si="6"/>
        <v>252102</v>
      </c>
      <c r="AK201" s="641">
        <v>1</v>
      </c>
      <c r="AL201" s="641">
        <f t="shared" si="7"/>
        <v>1</v>
      </c>
      <c r="AM201" s="641">
        <v>1</v>
      </c>
      <c r="AN201" s="30" t="s">
        <v>17650</v>
      </c>
      <c r="AO201" s="30" t="s">
        <v>17651</v>
      </c>
      <c r="AP201" s="30" t="s">
        <v>17652</v>
      </c>
      <c r="AQ201" s="30" t="s">
        <v>17653</v>
      </c>
      <c r="AR201" s="30" t="s">
        <v>1024</v>
      </c>
      <c r="AS201" s="30">
        <v>1</v>
      </c>
    </row>
    <row r="202" spans="1:45" x14ac:dyDescent="0.25">
      <c r="A202" s="30" t="s">
        <v>4022</v>
      </c>
      <c r="B202" s="30" t="s">
        <v>26843</v>
      </c>
      <c r="C202" s="30" t="s">
        <v>19</v>
      </c>
      <c r="D202" s="139" t="s">
        <v>26160</v>
      </c>
      <c r="E202" s="30" t="s">
        <v>217</v>
      </c>
      <c r="F202" s="30">
        <v>1</v>
      </c>
      <c r="G202" s="30" t="s">
        <v>193</v>
      </c>
      <c r="H202" s="30" t="s">
        <v>194</v>
      </c>
      <c r="I202" s="30" t="s">
        <v>26143</v>
      </c>
      <c r="J202" s="30" t="s">
        <v>26844</v>
      </c>
      <c r="K202" s="30" t="s">
        <v>9309</v>
      </c>
      <c r="L202" s="30" t="s">
        <v>6955</v>
      </c>
      <c r="M202" s="30"/>
      <c r="N202" s="30" t="s">
        <v>26845</v>
      </c>
      <c r="O202" s="30" t="s">
        <v>6258</v>
      </c>
      <c r="P202" s="30" t="s">
        <v>26846</v>
      </c>
      <c r="Q202" s="30" t="s">
        <v>26027</v>
      </c>
      <c r="R202" s="30" t="s">
        <v>26847</v>
      </c>
      <c r="S202" s="30" t="s">
        <v>26848</v>
      </c>
      <c r="T202" s="30" t="s">
        <v>26849</v>
      </c>
      <c r="U202" s="139"/>
      <c r="V202" s="139" t="s">
        <v>28321</v>
      </c>
      <c r="W202" s="30" t="s">
        <v>337</v>
      </c>
      <c r="X202" s="30" t="s">
        <v>193</v>
      </c>
      <c r="Y202" s="30" t="s">
        <v>9310</v>
      </c>
      <c r="Z202" s="30"/>
      <c r="AA202" s="30"/>
      <c r="AB202" s="30" t="s">
        <v>9311</v>
      </c>
      <c r="AC202" s="30"/>
      <c r="AD202" s="30"/>
      <c r="AE202" s="30"/>
      <c r="AF202" s="30"/>
      <c r="AG202" s="30"/>
      <c r="AH202" s="30" t="s">
        <v>4714</v>
      </c>
      <c r="AI202" s="30" t="s">
        <v>9433</v>
      </c>
      <c r="AJ202" s="641" t="str">
        <f t="shared" si="6"/>
        <v>214903</v>
      </c>
      <c r="AK202" s="641">
        <v>1</v>
      </c>
      <c r="AL202" s="641">
        <f t="shared" si="7"/>
        <v>1</v>
      </c>
      <c r="AM202" s="641">
        <v>1</v>
      </c>
      <c r="AN202" s="30" t="s">
        <v>17650</v>
      </c>
      <c r="AO202" s="30" t="s">
        <v>17651</v>
      </c>
      <c r="AP202" s="30" t="s">
        <v>17652</v>
      </c>
      <c r="AQ202" s="30" t="s">
        <v>17653</v>
      </c>
      <c r="AR202" s="30" t="s">
        <v>1024</v>
      </c>
      <c r="AS202" s="30">
        <v>1</v>
      </c>
    </row>
    <row r="203" spans="1:45" x14ac:dyDescent="0.25">
      <c r="A203" s="30" t="s">
        <v>581</v>
      </c>
      <c r="B203" s="30" t="s">
        <v>23245</v>
      </c>
      <c r="C203" s="30" t="s">
        <v>3342</v>
      </c>
      <c r="D203" s="139" t="s">
        <v>26160</v>
      </c>
      <c r="E203" s="30" t="s">
        <v>217</v>
      </c>
      <c r="F203" s="30">
        <v>1</v>
      </c>
      <c r="G203" s="30" t="s">
        <v>193</v>
      </c>
      <c r="H203" s="30" t="s">
        <v>194</v>
      </c>
      <c r="I203" s="30" t="s">
        <v>26143</v>
      </c>
      <c r="J203" s="30" t="s">
        <v>253</v>
      </c>
      <c r="K203" s="30" t="s">
        <v>9309</v>
      </c>
      <c r="L203" s="30" t="s">
        <v>6955</v>
      </c>
      <c r="M203" s="30"/>
      <c r="N203" s="30" t="s">
        <v>26850</v>
      </c>
      <c r="O203" s="30" t="s">
        <v>6258</v>
      </c>
      <c r="P203" s="30" t="s">
        <v>26840</v>
      </c>
      <c r="Q203" s="30" t="s">
        <v>26056</v>
      </c>
      <c r="R203" s="30" t="s">
        <v>26231</v>
      </c>
      <c r="S203" s="30" t="s">
        <v>26851</v>
      </c>
      <c r="T203" s="30" t="s">
        <v>26852</v>
      </c>
      <c r="U203" s="30"/>
      <c r="V203" s="139">
        <v>1811</v>
      </c>
      <c r="W203" s="30" t="s">
        <v>3343</v>
      </c>
      <c r="X203" s="30" t="s">
        <v>194</v>
      </c>
      <c r="Y203" s="30" t="s">
        <v>9300</v>
      </c>
      <c r="Z203" s="30"/>
      <c r="AA203" s="30"/>
      <c r="AB203" s="30" t="s">
        <v>9311</v>
      </c>
      <c r="AC203" s="30"/>
      <c r="AD203" s="30"/>
      <c r="AE203" s="30"/>
      <c r="AF203" s="30"/>
      <c r="AG203" s="30"/>
      <c r="AH203" s="30" t="s">
        <v>4714</v>
      </c>
      <c r="AI203" s="30" t="s">
        <v>9433</v>
      </c>
      <c r="AJ203" s="641" t="str">
        <f t="shared" si="6"/>
        <v>741101</v>
      </c>
      <c r="AK203" s="641">
        <v>1</v>
      </c>
      <c r="AL203" s="641">
        <f t="shared" si="7"/>
        <v>1</v>
      </c>
      <c r="AM203" s="641">
        <v>1</v>
      </c>
      <c r="AN203" s="30" t="s">
        <v>17650</v>
      </c>
      <c r="AO203" s="30" t="s">
        <v>17651</v>
      </c>
      <c r="AP203" s="30" t="s">
        <v>17652</v>
      </c>
      <c r="AQ203" s="30" t="s">
        <v>17653</v>
      </c>
      <c r="AR203" s="30" t="s">
        <v>1024</v>
      </c>
      <c r="AS203" s="30">
        <v>1</v>
      </c>
    </row>
    <row r="204" spans="1:45" x14ac:dyDescent="0.25">
      <c r="A204" s="30" t="s">
        <v>716</v>
      </c>
      <c r="B204" s="30" t="s">
        <v>26542</v>
      </c>
      <c r="C204" s="30" t="s">
        <v>3219</v>
      </c>
      <c r="D204" s="139" t="s">
        <v>26160</v>
      </c>
      <c r="E204" s="30" t="s">
        <v>217</v>
      </c>
      <c r="F204" s="30">
        <v>1</v>
      </c>
      <c r="G204" s="30" t="s">
        <v>193</v>
      </c>
      <c r="H204" s="30" t="s">
        <v>194</v>
      </c>
      <c r="I204" s="30" t="s">
        <v>26143</v>
      </c>
      <c r="J204" s="30" t="s">
        <v>210</v>
      </c>
      <c r="K204" s="30" t="s">
        <v>9309</v>
      </c>
      <c r="L204" s="30" t="s">
        <v>6955</v>
      </c>
      <c r="M204" s="30"/>
      <c r="N204" s="30" t="s">
        <v>26543</v>
      </c>
      <c r="O204" s="30" t="s">
        <v>6261</v>
      </c>
      <c r="P204" s="30" t="s">
        <v>26840</v>
      </c>
      <c r="Q204" s="30" t="s">
        <v>26085</v>
      </c>
      <c r="R204" s="30" t="s">
        <v>26057</v>
      </c>
      <c r="S204" s="30" t="s">
        <v>26853</v>
      </c>
      <c r="T204" s="30" t="s">
        <v>26854</v>
      </c>
      <c r="U204" s="30"/>
      <c r="V204" s="139">
        <v>1863</v>
      </c>
      <c r="W204" s="30" t="s">
        <v>3620</v>
      </c>
      <c r="X204" s="30" t="s">
        <v>194</v>
      </c>
      <c r="Y204" s="30" t="s">
        <v>9300</v>
      </c>
      <c r="Z204" s="30"/>
      <c r="AA204" s="30"/>
      <c r="AB204" s="30" t="s">
        <v>9311</v>
      </c>
      <c r="AC204" s="30"/>
      <c r="AD204" s="30"/>
      <c r="AE204" s="30"/>
      <c r="AF204" s="30"/>
      <c r="AG204" s="30"/>
      <c r="AH204" s="30" t="s">
        <v>4714</v>
      </c>
      <c r="AI204" s="30" t="s">
        <v>9433</v>
      </c>
      <c r="AJ204" s="641" t="str">
        <f t="shared" si="6"/>
        <v>243109</v>
      </c>
      <c r="AK204" s="641">
        <v>1</v>
      </c>
      <c r="AL204" s="641">
        <f t="shared" si="7"/>
        <v>1</v>
      </c>
      <c r="AM204" s="641">
        <v>1</v>
      </c>
      <c r="AN204" s="30" t="s">
        <v>17650</v>
      </c>
      <c r="AO204" s="30" t="s">
        <v>17651</v>
      </c>
      <c r="AP204" s="30" t="s">
        <v>17652</v>
      </c>
      <c r="AQ204" s="30" t="s">
        <v>17653</v>
      </c>
      <c r="AR204" s="30" t="s">
        <v>1024</v>
      </c>
      <c r="AS204" s="30">
        <v>1</v>
      </c>
    </row>
    <row r="205" spans="1:45" x14ac:dyDescent="0.25">
      <c r="A205" s="30" t="s">
        <v>26089</v>
      </c>
      <c r="B205" s="30" t="s">
        <v>26616</v>
      </c>
      <c r="C205" s="30" t="s">
        <v>36</v>
      </c>
      <c r="D205" s="139" t="s">
        <v>26160</v>
      </c>
      <c r="E205" s="30" t="s">
        <v>217</v>
      </c>
      <c r="F205" s="30">
        <v>1</v>
      </c>
      <c r="G205" s="30" t="s">
        <v>193</v>
      </c>
      <c r="H205" s="30" t="s">
        <v>194</v>
      </c>
      <c r="I205" s="30" t="s">
        <v>26143</v>
      </c>
      <c r="J205" s="30" t="s">
        <v>4751</v>
      </c>
      <c r="K205" s="30" t="s">
        <v>9309</v>
      </c>
      <c r="L205" s="30" t="s">
        <v>6955</v>
      </c>
      <c r="M205" s="30"/>
      <c r="N205" s="30" t="s">
        <v>26764</v>
      </c>
      <c r="O205" s="30" t="s">
        <v>6286</v>
      </c>
      <c r="P205" s="30" t="s">
        <v>26840</v>
      </c>
      <c r="Q205" s="30" t="s">
        <v>26189</v>
      </c>
      <c r="R205" s="30" t="s">
        <v>26190</v>
      </c>
      <c r="S205" s="30" t="s">
        <v>26855</v>
      </c>
      <c r="T205" s="30" t="s">
        <v>26856</v>
      </c>
      <c r="U205" s="30"/>
      <c r="V205" s="139">
        <v>1862</v>
      </c>
      <c r="W205" s="30" t="s">
        <v>609</v>
      </c>
      <c r="X205" s="30" t="s">
        <v>194</v>
      </c>
      <c r="Y205" s="30" t="s">
        <v>9300</v>
      </c>
      <c r="Z205" s="30"/>
      <c r="AA205" s="30"/>
      <c r="AB205" s="30" t="s">
        <v>9311</v>
      </c>
      <c r="AC205" s="30"/>
      <c r="AD205" s="30"/>
      <c r="AE205" s="30"/>
      <c r="AF205" s="30"/>
      <c r="AG205" s="30"/>
      <c r="AH205" s="30" t="s">
        <v>4714</v>
      </c>
      <c r="AI205" s="30" t="s">
        <v>9433</v>
      </c>
      <c r="AJ205" s="641" t="str">
        <f t="shared" si="6"/>
        <v>331301</v>
      </c>
      <c r="AK205" s="641">
        <v>1</v>
      </c>
      <c r="AL205" s="641">
        <f t="shared" si="7"/>
        <v>1</v>
      </c>
      <c r="AM205" s="641">
        <v>1</v>
      </c>
      <c r="AN205" s="30" t="s">
        <v>17650</v>
      </c>
      <c r="AO205" s="30" t="s">
        <v>17651</v>
      </c>
      <c r="AP205" s="30" t="s">
        <v>17652</v>
      </c>
      <c r="AQ205" s="30" t="s">
        <v>17653</v>
      </c>
      <c r="AR205" s="30" t="s">
        <v>1024</v>
      </c>
      <c r="AS205" s="30">
        <v>1</v>
      </c>
    </row>
    <row r="206" spans="1:45" x14ac:dyDescent="0.25">
      <c r="A206" s="30" t="s">
        <v>26089</v>
      </c>
      <c r="B206" s="30" t="s">
        <v>26567</v>
      </c>
      <c r="C206" s="30" t="s">
        <v>24457</v>
      </c>
      <c r="D206" s="139" t="s">
        <v>26160</v>
      </c>
      <c r="E206" s="30" t="s">
        <v>217</v>
      </c>
      <c r="F206" s="30">
        <v>1</v>
      </c>
      <c r="G206" s="30" t="s">
        <v>193</v>
      </c>
      <c r="H206" s="30" t="s">
        <v>194</v>
      </c>
      <c r="I206" s="30" t="s">
        <v>26148</v>
      </c>
      <c r="J206" s="30" t="s">
        <v>210</v>
      </c>
      <c r="K206" s="30" t="s">
        <v>9309</v>
      </c>
      <c r="L206" s="30" t="s">
        <v>6955</v>
      </c>
      <c r="M206" s="30"/>
      <c r="N206" s="30" t="s">
        <v>26568</v>
      </c>
      <c r="O206" s="30" t="s">
        <v>6261</v>
      </c>
      <c r="P206" s="30" t="s">
        <v>26840</v>
      </c>
      <c r="Q206" s="30" t="s">
        <v>26261</v>
      </c>
      <c r="R206" s="30" t="s">
        <v>26262</v>
      </c>
      <c r="S206" s="30" t="s">
        <v>26857</v>
      </c>
      <c r="T206" s="30" t="s">
        <v>26858</v>
      </c>
      <c r="U206" s="30"/>
      <c r="V206" s="139">
        <v>1863</v>
      </c>
      <c r="W206" s="30" t="s">
        <v>24461</v>
      </c>
      <c r="X206" s="30" t="s">
        <v>194</v>
      </c>
      <c r="Y206" s="30" t="s">
        <v>9300</v>
      </c>
      <c r="Z206" s="30"/>
      <c r="AA206" s="30"/>
      <c r="AB206" s="30" t="s">
        <v>9311</v>
      </c>
      <c r="AC206" s="30"/>
      <c r="AD206" s="30"/>
      <c r="AE206" s="30"/>
      <c r="AF206" s="30"/>
      <c r="AG206" s="30"/>
      <c r="AH206" s="30" t="s">
        <v>4714</v>
      </c>
      <c r="AI206" s="30" t="s">
        <v>9433</v>
      </c>
      <c r="AJ206" s="641" t="str">
        <f t="shared" si="6"/>
        <v>214108</v>
      </c>
      <c r="AK206" s="641">
        <v>1</v>
      </c>
      <c r="AL206" s="641">
        <f t="shared" si="7"/>
        <v>1</v>
      </c>
      <c r="AM206" s="641">
        <v>1</v>
      </c>
      <c r="AN206" s="30" t="s">
        <v>17650</v>
      </c>
      <c r="AO206" s="30" t="s">
        <v>17651</v>
      </c>
      <c r="AP206" s="30" t="s">
        <v>17652</v>
      </c>
      <c r="AQ206" s="30" t="s">
        <v>17653</v>
      </c>
      <c r="AR206" s="30" t="s">
        <v>1024</v>
      </c>
      <c r="AS206" s="30">
        <v>1</v>
      </c>
    </row>
    <row r="207" spans="1:45" x14ac:dyDescent="0.25">
      <c r="A207" s="30" t="s">
        <v>716</v>
      </c>
      <c r="B207" s="30" t="s">
        <v>26324</v>
      </c>
      <c r="C207" s="30" t="s">
        <v>706</v>
      </c>
      <c r="D207" s="139" t="s">
        <v>26160</v>
      </c>
      <c r="E207" s="30" t="s">
        <v>217</v>
      </c>
      <c r="F207" s="30">
        <v>1</v>
      </c>
      <c r="G207" s="30" t="s">
        <v>193</v>
      </c>
      <c r="H207" s="30" t="s">
        <v>194</v>
      </c>
      <c r="I207" s="30" t="s">
        <v>26859</v>
      </c>
      <c r="J207" s="30" t="s">
        <v>210</v>
      </c>
      <c r="K207" s="30" t="s">
        <v>9309</v>
      </c>
      <c r="L207" s="30" t="s">
        <v>6955</v>
      </c>
      <c r="M207" s="30"/>
      <c r="N207" s="30" t="s">
        <v>26325</v>
      </c>
      <c r="O207" s="30" t="s">
        <v>6286</v>
      </c>
      <c r="P207" s="30" t="s">
        <v>26840</v>
      </c>
      <c r="Q207" s="30" t="s">
        <v>26098</v>
      </c>
      <c r="R207" s="30" t="s">
        <v>26231</v>
      </c>
      <c r="S207" s="30" t="s">
        <v>26860</v>
      </c>
      <c r="T207" s="30" t="s">
        <v>26861</v>
      </c>
      <c r="U207" s="30"/>
      <c r="V207" s="139">
        <v>1863</v>
      </c>
      <c r="W207" s="30" t="s">
        <v>707</v>
      </c>
      <c r="X207" s="30" t="s">
        <v>194</v>
      </c>
      <c r="Y207" s="30" t="s">
        <v>9300</v>
      </c>
      <c r="Z207" s="30"/>
      <c r="AA207" s="30"/>
      <c r="AB207" s="30" t="s">
        <v>9311</v>
      </c>
      <c r="AC207" s="30"/>
      <c r="AD207" s="30"/>
      <c r="AE207" s="30"/>
      <c r="AF207" s="30"/>
      <c r="AG207" s="30"/>
      <c r="AH207" s="30" t="s">
        <v>4714</v>
      </c>
      <c r="AI207" s="30" t="s">
        <v>9433</v>
      </c>
      <c r="AJ207" s="641" t="str">
        <f t="shared" si="6"/>
        <v>422201</v>
      </c>
      <c r="AK207" s="641">
        <v>1</v>
      </c>
      <c r="AL207" s="641">
        <f t="shared" si="7"/>
        <v>1</v>
      </c>
      <c r="AM207" s="641">
        <v>1</v>
      </c>
      <c r="AN207" s="30" t="s">
        <v>17650</v>
      </c>
      <c r="AO207" s="30" t="s">
        <v>17651</v>
      </c>
      <c r="AP207" s="30" t="s">
        <v>17652</v>
      </c>
      <c r="AQ207" s="30" t="s">
        <v>17653</v>
      </c>
      <c r="AR207" s="30" t="s">
        <v>1024</v>
      </c>
      <c r="AS207" s="30">
        <v>1</v>
      </c>
    </row>
    <row r="208" spans="1:45" x14ac:dyDescent="0.25">
      <c r="A208" s="30" t="s">
        <v>26290</v>
      </c>
      <c r="B208" s="30" t="s">
        <v>26291</v>
      </c>
      <c r="C208" s="30" t="s">
        <v>706</v>
      </c>
      <c r="D208" s="139" t="s">
        <v>26160</v>
      </c>
      <c r="E208" s="30" t="s">
        <v>217</v>
      </c>
      <c r="F208" s="30">
        <v>1</v>
      </c>
      <c r="G208" s="30" t="s">
        <v>193</v>
      </c>
      <c r="H208" s="30" t="s">
        <v>194</v>
      </c>
      <c r="I208" s="30" t="s">
        <v>26143</v>
      </c>
      <c r="J208" s="30" t="s">
        <v>210</v>
      </c>
      <c r="K208" s="30" t="s">
        <v>9309</v>
      </c>
      <c r="L208" s="30" t="s">
        <v>6955</v>
      </c>
      <c r="M208" s="30"/>
      <c r="N208" s="30" t="s">
        <v>26292</v>
      </c>
      <c r="O208" s="30" t="s">
        <v>6251</v>
      </c>
      <c r="P208" s="30" t="s">
        <v>26840</v>
      </c>
      <c r="Q208" s="30" t="s">
        <v>26103</v>
      </c>
      <c r="R208" s="30" t="s">
        <v>26079</v>
      </c>
      <c r="S208" s="30" t="s">
        <v>26862</v>
      </c>
      <c r="T208" s="30" t="s">
        <v>26863</v>
      </c>
      <c r="U208" s="30"/>
      <c r="V208" s="139">
        <v>1863</v>
      </c>
      <c r="W208" s="30" t="s">
        <v>707</v>
      </c>
      <c r="X208" s="30" t="s">
        <v>194</v>
      </c>
      <c r="Y208" s="30" t="s">
        <v>9300</v>
      </c>
      <c r="Z208" s="30"/>
      <c r="AA208" s="30"/>
      <c r="AB208" s="30" t="s">
        <v>9311</v>
      </c>
      <c r="AC208" s="30"/>
      <c r="AD208" s="30"/>
      <c r="AE208" s="30"/>
      <c r="AF208" s="30"/>
      <c r="AG208" s="30"/>
      <c r="AH208" s="30" t="s">
        <v>4714</v>
      </c>
      <c r="AI208" s="30" t="s">
        <v>9433</v>
      </c>
      <c r="AJ208" s="641" t="str">
        <f t="shared" si="6"/>
        <v>422201</v>
      </c>
      <c r="AK208" s="641">
        <v>1</v>
      </c>
      <c r="AL208" s="641">
        <f t="shared" si="7"/>
        <v>1</v>
      </c>
      <c r="AM208" s="641">
        <v>1</v>
      </c>
      <c r="AN208" s="30" t="s">
        <v>17650</v>
      </c>
      <c r="AO208" s="30" t="s">
        <v>17651</v>
      </c>
      <c r="AP208" s="30" t="s">
        <v>17652</v>
      </c>
      <c r="AQ208" s="30" t="s">
        <v>17653</v>
      </c>
      <c r="AR208" s="30" t="s">
        <v>1024</v>
      </c>
      <c r="AS208" s="30">
        <v>1</v>
      </c>
    </row>
    <row r="209" spans="1:45" x14ac:dyDescent="0.25">
      <c r="A209" s="30" t="s">
        <v>26591</v>
      </c>
      <c r="B209" s="30" t="s">
        <v>26592</v>
      </c>
      <c r="C209" s="30" t="s">
        <v>17366</v>
      </c>
      <c r="D209" s="139" t="s">
        <v>26160</v>
      </c>
      <c r="E209" s="30" t="s">
        <v>217</v>
      </c>
      <c r="F209" s="30">
        <v>1</v>
      </c>
      <c r="G209" s="30" t="s">
        <v>193</v>
      </c>
      <c r="H209" s="30" t="s">
        <v>194</v>
      </c>
      <c r="I209" s="30" t="s">
        <v>26143</v>
      </c>
      <c r="J209" s="30" t="s">
        <v>26593</v>
      </c>
      <c r="K209" s="30" t="s">
        <v>9309</v>
      </c>
      <c r="L209" s="30" t="s">
        <v>6955</v>
      </c>
      <c r="M209" s="30"/>
      <c r="N209" s="30" t="s">
        <v>26594</v>
      </c>
      <c r="O209" s="30" t="s">
        <v>6275</v>
      </c>
      <c r="P209" s="30" t="s">
        <v>26846</v>
      </c>
      <c r="Q209" s="30" t="s">
        <v>26595</v>
      </c>
      <c r="R209" s="30" t="s">
        <v>26847</v>
      </c>
      <c r="S209" s="30" t="s">
        <v>26864</v>
      </c>
      <c r="T209" s="30" t="s">
        <v>26865</v>
      </c>
      <c r="U209" s="30"/>
      <c r="V209" s="139">
        <v>1803</v>
      </c>
      <c r="W209" s="30" t="s">
        <v>17367</v>
      </c>
      <c r="X209" s="30" t="s">
        <v>194</v>
      </c>
      <c r="Y209" s="30" t="s">
        <v>9300</v>
      </c>
      <c r="Z209" s="30"/>
      <c r="AA209" s="30"/>
      <c r="AB209" s="30" t="s">
        <v>9311</v>
      </c>
      <c r="AC209" s="30"/>
      <c r="AD209" s="30"/>
      <c r="AE209" s="30"/>
      <c r="AF209" s="30"/>
      <c r="AG209" s="30"/>
      <c r="AH209" s="30" t="s">
        <v>4714</v>
      </c>
      <c r="AI209" s="30" t="s">
        <v>9433</v>
      </c>
      <c r="AJ209" s="641" t="str">
        <f t="shared" si="6"/>
        <v>941201</v>
      </c>
      <c r="AK209" s="641">
        <v>1</v>
      </c>
      <c r="AL209" s="641">
        <f t="shared" si="7"/>
        <v>1</v>
      </c>
      <c r="AM209" s="641">
        <v>1</v>
      </c>
      <c r="AN209" s="30" t="s">
        <v>17650</v>
      </c>
      <c r="AO209" s="30" t="s">
        <v>17651</v>
      </c>
      <c r="AP209" s="30" t="s">
        <v>17652</v>
      </c>
      <c r="AQ209" s="30" t="s">
        <v>17653</v>
      </c>
      <c r="AR209" s="30" t="s">
        <v>1024</v>
      </c>
      <c r="AS209" s="30">
        <v>1</v>
      </c>
    </row>
    <row r="210" spans="1:45" x14ac:dyDescent="0.25">
      <c r="A210" s="30" t="s">
        <v>26153</v>
      </c>
      <c r="B210" s="30" t="s">
        <v>23921</v>
      </c>
      <c r="C210" s="30" t="s">
        <v>10</v>
      </c>
      <c r="D210" s="139" t="s">
        <v>26160</v>
      </c>
      <c r="E210" s="30" t="s">
        <v>217</v>
      </c>
      <c r="F210" s="30">
        <v>1</v>
      </c>
      <c r="G210" s="30" t="s">
        <v>193</v>
      </c>
      <c r="H210" s="30" t="s">
        <v>194</v>
      </c>
      <c r="I210" s="30" t="s">
        <v>23198</v>
      </c>
      <c r="J210" s="30" t="s">
        <v>210</v>
      </c>
      <c r="K210" s="30" t="s">
        <v>9309</v>
      </c>
      <c r="L210" s="30" t="s">
        <v>6955</v>
      </c>
      <c r="M210" s="30"/>
      <c r="N210" s="30" t="s">
        <v>26866</v>
      </c>
      <c r="O210" s="30" t="s">
        <v>6261</v>
      </c>
      <c r="P210" s="30" t="s">
        <v>26840</v>
      </c>
      <c r="Q210" s="30" t="s">
        <v>26056</v>
      </c>
      <c r="R210" s="30" t="s">
        <v>23128</v>
      </c>
      <c r="S210" s="30" t="s">
        <v>26867</v>
      </c>
      <c r="T210" s="30" t="s">
        <v>26868</v>
      </c>
      <c r="U210" s="30"/>
      <c r="V210" s="139">
        <v>1863</v>
      </c>
      <c r="W210" s="30" t="s">
        <v>484</v>
      </c>
      <c r="X210" s="30" t="s">
        <v>194</v>
      </c>
      <c r="Y210" s="30" t="s">
        <v>9300</v>
      </c>
      <c r="Z210" s="30"/>
      <c r="AA210" s="30"/>
      <c r="AB210" s="30" t="s">
        <v>9311</v>
      </c>
      <c r="AC210" s="30"/>
      <c r="AD210" s="30"/>
      <c r="AE210" s="30"/>
      <c r="AF210" s="30"/>
      <c r="AG210" s="30"/>
      <c r="AH210" s="30" t="s">
        <v>4714</v>
      </c>
      <c r="AI210" s="30" t="s">
        <v>9433</v>
      </c>
      <c r="AJ210" s="641" t="str">
        <f t="shared" si="6"/>
        <v>251401</v>
      </c>
      <c r="AK210" s="641">
        <v>1</v>
      </c>
      <c r="AL210" s="641">
        <f t="shared" si="7"/>
        <v>1</v>
      </c>
      <c r="AM210" s="641">
        <v>1</v>
      </c>
      <c r="AN210" s="30" t="s">
        <v>17650</v>
      </c>
      <c r="AO210" s="30" t="s">
        <v>17651</v>
      </c>
      <c r="AP210" s="30" t="s">
        <v>17652</v>
      </c>
      <c r="AQ210" s="30" t="s">
        <v>17653</v>
      </c>
      <c r="AR210" s="30" t="s">
        <v>1024</v>
      </c>
      <c r="AS210" s="30">
        <v>1</v>
      </c>
    </row>
    <row r="211" spans="1:45" x14ac:dyDescent="0.25">
      <c r="A211" s="30" t="s">
        <v>26089</v>
      </c>
      <c r="B211" s="30" t="s">
        <v>26137</v>
      </c>
      <c r="C211" s="30" t="s">
        <v>27</v>
      </c>
      <c r="D211" s="139" t="s">
        <v>26160</v>
      </c>
      <c r="E211" s="30" t="s">
        <v>217</v>
      </c>
      <c r="F211" s="30">
        <v>1</v>
      </c>
      <c r="G211" s="30" t="s">
        <v>193</v>
      </c>
      <c r="H211" s="30" t="s">
        <v>194</v>
      </c>
      <c r="I211" s="30" t="s">
        <v>26133</v>
      </c>
      <c r="J211" s="30" t="s">
        <v>210</v>
      </c>
      <c r="K211" s="30" t="s">
        <v>9309</v>
      </c>
      <c r="L211" s="30" t="s">
        <v>6955</v>
      </c>
      <c r="M211" s="30"/>
      <c r="N211" s="30" t="s">
        <v>26138</v>
      </c>
      <c r="O211" s="30" t="s">
        <v>6340</v>
      </c>
      <c r="P211" s="30" t="s">
        <v>26846</v>
      </c>
      <c r="Q211" s="30" t="s">
        <v>25478</v>
      </c>
      <c r="R211" s="30" t="s">
        <v>26847</v>
      </c>
      <c r="S211" s="30" t="s">
        <v>26869</v>
      </c>
      <c r="T211" s="30" t="s">
        <v>26870</v>
      </c>
      <c r="U211" s="30"/>
      <c r="V211" s="139">
        <v>1863</v>
      </c>
      <c r="W211" s="30" t="s">
        <v>440</v>
      </c>
      <c r="X211" s="30" t="s">
        <v>194</v>
      </c>
      <c r="Y211" s="30" t="s">
        <v>9300</v>
      </c>
      <c r="Z211" s="30"/>
      <c r="AA211" s="30"/>
      <c r="AB211" s="30" t="s">
        <v>9311</v>
      </c>
      <c r="AC211" s="30"/>
      <c r="AD211" s="30"/>
      <c r="AE211" s="30"/>
      <c r="AF211" s="30"/>
      <c r="AG211" s="30"/>
      <c r="AH211" s="30" t="s">
        <v>4714</v>
      </c>
      <c r="AI211" s="30" t="s">
        <v>9433</v>
      </c>
      <c r="AJ211" s="641" t="str">
        <f t="shared" si="6"/>
        <v>242307</v>
      </c>
      <c r="AK211" s="641">
        <v>1</v>
      </c>
      <c r="AL211" s="641">
        <f t="shared" si="7"/>
        <v>1</v>
      </c>
      <c r="AM211" s="641">
        <v>1</v>
      </c>
      <c r="AN211" s="30" t="s">
        <v>17650</v>
      </c>
      <c r="AO211" s="30" t="s">
        <v>17651</v>
      </c>
      <c r="AP211" s="30" t="s">
        <v>17652</v>
      </c>
      <c r="AQ211" s="30" t="s">
        <v>17653</v>
      </c>
      <c r="AR211" s="30" t="s">
        <v>1024</v>
      </c>
      <c r="AS211" s="30">
        <v>1</v>
      </c>
    </row>
    <row r="212" spans="1:45" x14ac:dyDescent="0.25">
      <c r="A212" s="30" t="s">
        <v>26153</v>
      </c>
      <c r="B212" s="30" t="s">
        <v>1053</v>
      </c>
      <c r="C212" s="30" t="s">
        <v>10</v>
      </c>
      <c r="D212" s="139" t="s">
        <v>26160</v>
      </c>
      <c r="E212" s="30" t="s">
        <v>217</v>
      </c>
      <c r="F212" s="30">
        <v>1</v>
      </c>
      <c r="G212" s="30" t="s">
        <v>193</v>
      </c>
      <c r="H212" s="30" t="s">
        <v>194</v>
      </c>
      <c r="I212" s="30" t="s">
        <v>23198</v>
      </c>
      <c r="J212" s="30" t="s">
        <v>210</v>
      </c>
      <c r="K212" s="30" t="s">
        <v>9309</v>
      </c>
      <c r="L212" s="30" t="s">
        <v>6955</v>
      </c>
      <c r="M212" s="30"/>
      <c r="N212" s="30" t="s">
        <v>26378</v>
      </c>
      <c r="O212" s="30" t="s">
        <v>6261</v>
      </c>
      <c r="P212" s="30" t="s">
        <v>26840</v>
      </c>
      <c r="Q212" s="30" t="s">
        <v>26374</v>
      </c>
      <c r="R212" s="30" t="s">
        <v>26375</v>
      </c>
      <c r="S212" s="30" t="s">
        <v>26871</v>
      </c>
      <c r="T212" s="30" t="s">
        <v>26872</v>
      </c>
      <c r="U212" s="30"/>
      <c r="V212" s="139">
        <v>1863</v>
      </c>
      <c r="W212" s="30" t="s">
        <v>484</v>
      </c>
      <c r="X212" s="30" t="s">
        <v>194</v>
      </c>
      <c r="Y212" s="30" t="s">
        <v>9300</v>
      </c>
      <c r="Z212" s="30"/>
      <c r="AA212" s="30"/>
      <c r="AB212" s="30" t="s">
        <v>9311</v>
      </c>
      <c r="AC212" s="30"/>
      <c r="AD212" s="30"/>
      <c r="AE212" s="30"/>
      <c r="AF212" s="30"/>
      <c r="AG212" s="30"/>
      <c r="AH212" s="30" t="s">
        <v>4714</v>
      </c>
      <c r="AI212" s="30" t="s">
        <v>9433</v>
      </c>
      <c r="AJ212" s="641" t="str">
        <f t="shared" si="6"/>
        <v>251401</v>
      </c>
      <c r="AK212" s="641">
        <v>1</v>
      </c>
      <c r="AL212" s="641">
        <f t="shared" si="7"/>
        <v>1</v>
      </c>
      <c r="AM212" s="641">
        <v>1</v>
      </c>
      <c r="AN212" s="30" t="s">
        <v>17650</v>
      </c>
      <c r="AO212" s="30" t="s">
        <v>17651</v>
      </c>
      <c r="AP212" s="30" t="s">
        <v>17652</v>
      </c>
      <c r="AQ212" s="30" t="s">
        <v>17653</v>
      </c>
      <c r="AR212" s="30" t="s">
        <v>1024</v>
      </c>
      <c r="AS212" s="30">
        <v>1</v>
      </c>
    </row>
    <row r="213" spans="1:45" x14ac:dyDescent="0.25">
      <c r="A213" s="30" t="s">
        <v>26153</v>
      </c>
      <c r="B213" s="30" t="s">
        <v>26873</v>
      </c>
      <c r="C213" s="30" t="s">
        <v>10</v>
      </c>
      <c r="D213" s="139" t="s">
        <v>26160</v>
      </c>
      <c r="E213" s="30" t="s">
        <v>217</v>
      </c>
      <c r="F213" s="30">
        <v>1</v>
      </c>
      <c r="G213" s="30" t="s">
        <v>193</v>
      </c>
      <c r="H213" s="30" t="s">
        <v>194</v>
      </c>
      <c r="I213" s="30" t="s">
        <v>26859</v>
      </c>
      <c r="J213" s="30" t="s">
        <v>210</v>
      </c>
      <c r="K213" s="30" t="s">
        <v>9309</v>
      </c>
      <c r="L213" s="30" t="s">
        <v>6955</v>
      </c>
      <c r="M213" s="30"/>
      <c r="N213" s="30" t="s">
        <v>26874</v>
      </c>
      <c r="O213" s="30" t="s">
        <v>6261</v>
      </c>
      <c r="P213" s="30" t="s">
        <v>26840</v>
      </c>
      <c r="Q213" s="30" t="s">
        <v>26056</v>
      </c>
      <c r="R213" s="30" t="s">
        <v>23128</v>
      </c>
      <c r="S213" s="30" t="s">
        <v>26875</v>
      </c>
      <c r="T213" s="30" t="s">
        <v>26876</v>
      </c>
      <c r="U213" s="30"/>
      <c r="V213" s="139">
        <v>1863</v>
      </c>
      <c r="W213" s="30" t="s">
        <v>484</v>
      </c>
      <c r="X213" s="30" t="s">
        <v>194</v>
      </c>
      <c r="Y213" s="30" t="s">
        <v>9300</v>
      </c>
      <c r="Z213" s="30"/>
      <c r="AA213" s="30"/>
      <c r="AB213" s="30" t="s">
        <v>9311</v>
      </c>
      <c r="AC213" s="30"/>
      <c r="AD213" s="30"/>
      <c r="AE213" s="30"/>
      <c r="AF213" s="30"/>
      <c r="AG213" s="30"/>
      <c r="AH213" s="30" t="s">
        <v>4714</v>
      </c>
      <c r="AI213" s="30" t="s">
        <v>9433</v>
      </c>
      <c r="AJ213" s="641" t="str">
        <f t="shared" si="6"/>
        <v>251401</v>
      </c>
      <c r="AK213" s="641">
        <v>1</v>
      </c>
      <c r="AL213" s="641">
        <f t="shared" si="7"/>
        <v>1</v>
      </c>
      <c r="AM213" s="641">
        <v>1</v>
      </c>
      <c r="AN213" s="30" t="s">
        <v>17650</v>
      </c>
      <c r="AO213" s="30" t="s">
        <v>17651</v>
      </c>
      <c r="AP213" s="30" t="s">
        <v>17652</v>
      </c>
      <c r="AQ213" s="30" t="s">
        <v>17653</v>
      </c>
      <c r="AR213" s="30" t="s">
        <v>1024</v>
      </c>
      <c r="AS213" s="30">
        <v>1</v>
      </c>
    </row>
    <row r="214" spans="1:45" x14ac:dyDescent="0.25">
      <c r="A214" s="30" t="s">
        <v>581</v>
      </c>
      <c r="B214" s="30" t="s">
        <v>23231</v>
      </c>
      <c r="C214" s="30" t="s">
        <v>554</v>
      </c>
      <c r="D214" s="139" t="s">
        <v>26160</v>
      </c>
      <c r="E214" s="30" t="s">
        <v>217</v>
      </c>
      <c r="F214" s="30">
        <v>1</v>
      </c>
      <c r="G214" s="30" t="s">
        <v>193</v>
      </c>
      <c r="H214" s="30" t="s">
        <v>194</v>
      </c>
      <c r="I214" s="30" t="s">
        <v>26143</v>
      </c>
      <c r="J214" s="30" t="s">
        <v>253</v>
      </c>
      <c r="K214" s="30" t="s">
        <v>9309</v>
      </c>
      <c r="L214" s="30" t="s">
        <v>6955</v>
      </c>
      <c r="M214" s="30"/>
      <c r="N214" s="30" t="s">
        <v>26877</v>
      </c>
      <c r="O214" s="30" t="s">
        <v>6363</v>
      </c>
      <c r="P214" s="30" t="s">
        <v>26840</v>
      </c>
      <c r="Q214" s="30" t="s">
        <v>26052</v>
      </c>
      <c r="R214" s="30" t="s">
        <v>26262</v>
      </c>
      <c r="S214" s="30" t="s">
        <v>26878</v>
      </c>
      <c r="T214" s="30" t="s">
        <v>26879</v>
      </c>
      <c r="U214" s="30"/>
      <c r="V214" s="139">
        <v>1811</v>
      </c>
      <c r="W214" s="30" t="s">
        <v>555</v>
      </c>
      <c r="X214" s="30" t="s">
        <v>194</v>
      </c>
      <c r="Y214" s="30" t="s">
        <v>9300</v>
      </c>
      <c r="Z214" s="30"/>
      <c r="AA214" s="30"/>
      <c r="AB214" s="30" t="s">
        <v>9311</v>
      </c>
      <c r="AC214" s="30"/>
      <c r="AD214" s="30"/>
      <c r="AE214" s="30"/>
      <c r="AF214" s="30"/>
      <c r="AG214" s="30"/>
      <c r="AH214" s="30" t="s">
        <v>4714</v>
      </c>
      <c r="AI214" s="30" t="s">
        <v>9433</v>
      </c>
      <c r="AJ214" s="641" t="str">
        <f t="shared" si="6"/>
        <v>311303</v>
      </c>
      <c r="AK214" s="641">
        <v>1</v>
      </c>
      <c r="AL214" s="641">
        <f t="shared" si="7"/>
        <v>1</v>
      </c>
      <c r="AM214" s="641">
        <v>1</v>
      </c>
      <c r="AN214" s="30" t="s">
        <v>17650</v>
      </c>
      <c r="AO214" s="30" t="s">
        <v>17651</v>
      </c>
      <c r="AP214" s="30" t="s">
        <v>17652</v>
      </c>
      <c r="AQ214" s="30" t="s">
        <v>17653</v>
      </c>
      <c r="AR214" s="30" t="s">
        <v>1024</v>
      </c>
      <c r="AS214" s="30">
        <v>1</v>
      </c>
    </row>
    <row r="215" spans="1:45" x14ac:dyDescent="0.25">
      <c r="A215" s="30" t="s">
        <v>716</v>
      </c>
      <c r="B215" s="30" t="s">
        <v>26369</v>
      </c>
      <c r="C215" s="30" t="s">
        <v>24125</v>
      </c>
      <c r="D215" s="139" t="s">
        <v>26160</v>
      </c>
      <c r="E215" s="30" t="s">
        <v>217</v>
      </c>
      <c r="F215" s="30">
        <v>1</v>
      </c>
      <c r="G215" s="30" t="s">
        <v>193</v>
      </c>
      <c r="H215" s="30" t="s">
        <v>194</v>
      </c>
      <c r="I215" s="30" t="s">
        <v>26133</v>
      </c>
      <c r="J215" s="30" t="s">
        <v>210</v>
      </c>
      <c r="K215" s="30" t="s">
        <v>9309</v>
      </c>
      <c r="L215" s="30" t="s">
        <v>6955</v>
      </c>
      <c r="M215" s="30"/>
      <c r="N215" s="30" t="s">
        <v>26880</v>
      </c>
      <c r="O215" s="30" t="s">
        <v>6261</v>
      </c>
      <c r="P215" s="30" t="s">
        <v>26840</v>
      </c>
      <c r="Q215" s="30" t="s">
        <v>26881</v>
      </c>
      <c r="R215" s="30" t="s">
        <v>26882</v>
      </c>
      <c r="S215" s="30" t="s">
        <v>26883</v>
      </c>
      <c r="T215" s="30" t="s">
        <v>26884</v>
      </c>
      <c r="U215" s="30"/>
      <c r="V215" s="139">
        <v>1863</v>
      </c>
      <c r="W215" s="30" t="s">
        <v>24129</v>
      </c>
      <c r="X215" s="30" t="s">
        <v>194</v>
      </c>
      <c r="Y215" s="30" t="s">
        <v>9300</v>
      </c>
      <c r="Z215" s="30"/>
      <c r="AA215" s="30"/>
      <c r="AB215" s="30" t="s">
        <v>9311</v>
      </c>
      <c r="AC215" s="30"/>
      <c r="AD215" s="30"/>
      <c r="AE215" s="30"/>
      <c r="AF215" s="30"/>
      <c r="AG215" s="30"/>
      <c r="AH215" s="30" t="s">
        <v>4714</v>
      </c>
      <c r="AI215" s="30" t="s">
        <v>9433</v>
      </c>
      <c r="AJ215" s="641" t="str">
        <f t="shared" si="6"/>
        <v>351401</v>
      </c>
      <c r="AK215" s="641">
        <v>1</v>
      </c>
      <c r="AL215" s="641">
        <f t="shared" si="7"/>
        <v>1</v>
      </c>
      <c r="AM215" s="641">
        <v>1</v>
      </c>
      <c r="AN215" s="30" t="s">
        <v>17650</v>
      </c>
      <c r="AO215" s="30" t="s">
        <v>17651</v>
      </c>
      <c r="AP215" s="30" t="s">
        <v>17652</v>
      </c>
      <c r="AQ215" s="30" t="s">
        <v>17653</v>
      </c>
      <c r="AR215" s="30" t="s">
        <v>1024</v>
      </c>
      <c r="AS215" s="30">
        <v>1</v>
      </c>
    </row>
    <row r="216" spans="1:45" x14ac:dyDescent="0.25">
      <c r="A216" s="30" t="s">
        <v>26153</v>
      </c>
      <c r="B216" s="30" t="s">
        <v>26741</v>
      </c>
      <c r="C216" s="30" t="s">
        <v>61</v>
      </c>
      <c r="D216" s="139" t="s">
        <v>26160</v>
      </c>
      <c r="E216" s="30" t="s">
        <v>217</v>
      </c>
      <c r="F216" s="30">
        <v>1</v>
      </c>
      <c r="G216" s="30" t="s">
        <v>193</v>
      </c>
      <c r="H216" s="30" t="s">
        <v>194</v>
      </c>
      <c r="I216" s="30" t="s">
        <v>26148</v>
      </c>
      <c r="J216" s="30" t="s">
        <v>210</v>
      </c>
      <c r="K216" s="30" t="s">
        <v>9309</v>
      </c>
      <c r="L216" s="30" t="s">
        <v>6955</v>
      </c>
      <c r="M216" s="30"/>
      <c r="N216" s="30" t="s">
        <v>26885</v>
      </c>
      <c r="O216" s="30" t="s">
        <v>6261</v>
      </c>
      <c r="P216" s="30" t="s">
        <v>26840</v>
      </c>
      <c r="Q216" s="30" t="s">
        <v>26056</v>
      </c>
      <c r="R216" s="30" t="s">
        <v>23128</v>
      </c>
      <c r="S216" s="30" t="s">
        <v>26886</v>
      </c>
      <c r="T216" s="30" t="s">
        <v>26887</v>
      </c>
      <c r="U216" s="30"/>
      <c r="V216" s="139">
        <v>1863</v>
      </c>
      <c r="W216" s="30" t="s">
        <v>2282</v>
      </c>
      <c r="X216" s="30" t="s">
        <v>194</v>
      </c>
      <c r="Y216" s="30" t="s">
        <v>9300</v>
      </c>
      <c r="Z216" s="30"/>
      <c r="AA216" s="30"/>
      <c r="AB216" s="30" t="s">
        <v>9311</v>
      </c>
      <c r="AC216" s="30"/>
      <c r="AD216" s="30"/>
      <c r="AE216" s="30"/>
      <c r="AF216" s="30"/>
      <c r="AG216" s="30"/>
      <c r="AH216" s="30" t="s">
        <v>4714</v>
      </c>
      <c r="AI216" s="30" t="s">
        <v>9433</v>
      </c>
      <c r="AJ216" s="641" t="str">
        <f t="shared" si="6"/>
        <v>251103</v>
      </c>
      <c r="AK216" s="641">
        <v>1</v>
      </c>
      <c r="AL216" s="641">
        <f t="shared" si="7"/>
        <v>1</v>
      </c>
      <c r="AM216" s="641">
        <v>1</v>
      </c>
      <c r="AN216" s="30" t="s">
        <v>17650</v>
      </c>
      <c r="AO216" s="30" t="s">
        <v>17651</v>
      </c>
      <c r="AP216" s="30" t="s">
        <v>17652</v>
      </c>
      <c r="AQ216" s="30" t="s">
        <v>17653</v>
      </c>
      <c r="AR216" s="30" t="s">
        <v>1024</v>
      </c>
      <c r="AS216" s="30">
        <v>1</v>
      </c>
    </row>
    <row r="217" spans="1:45" x14ac:dyDescent="0.25">
      <c r="A217" s="30" t="s">
        <v>581</v>
      </c>
      <c r="B217" s="30" t="s">
        <v>26096</v>
      </c>
      <c r="C217" s="30" t="s">
        <v>43</v>
      </c>
      <c r="D217" s="139" t="s">
        <v>26160</v>
      </c>
      <c r="E217" s="30" t="s">
        <v>217</v>
      </c>
      <c r="F217" s="30">
        <v>1</v>
      </c>
      <c r="G217" s="30" t="s">
        <v>193</v>
      </c>
      <c r="H217" s="30" t="s">
        <v>194</v>
      </c>
      <c r="I217" s="30" t="s">
        <v>26148</v>
      </c>
      <c r="J217" s="30" t="s">
        <v>1829</v>
      </c>
      <c r="K217" s="30" t="s">
        <v>9309</v>
      </c>
      <c r="L217" s="30" t="s">
        <v>6955</v>
      </c>
      <c r="M217" s="30"/>
      <c r="N217" s="30" t="s">
        <v>26097</v>
      </c>
      <c r="O217" s="30" t="s">
        <v>6251</v>
      </c>
      <c r="P217" s="30" t="s">
        <v>26840</v>
      </c>
      <c r="Q217" s="30" t="s">
        <v>26056</v>
      </c>
      <c r="R217" s="30" t="s">
        <v>26099</v>
      </c>
      <c r="S217" s="30" t="s">
        <v>26888</v>
      </c>
      <c r="T217" s="30" t="s">
        <v>26889</v>
      </c>
      <c r="U217" s="30"/>
      <c r="V217" s="139">
        <v>1816</v>
      </c>
      <c r="W217" s="30" t="s">
        <v>452</v>
      </c>
      <c r="X217" s="30" t="s">
        <v>194</v>
      </c>
      <c r="Y217" s="30" t="s">
        <v>9300</v>
      </c>
      <c r="Z217" s="30"/>
      <c r="AA217" s="30"/>
      <c r="AB217" s="30" t="s">
        <v>9311</v>
      </c>
      <c r="AC217" s="30"/>
      <c r="AD217" s="30"/>
      <c r="AE217" s="30"/>
      <c r="AF217" s="30"/>
      <c r="AG217" s="30"/>
      <c r="AH217" s="30" t="s">
        <v>4714</v>
      </c>
      <c r="AI217" s="30" t="s">
        <v>9433</v>
      </c>
      <c r="AJ217" s="641" t="str">
        <f t="shared" si="6"/>
        <v>243106</v>
      </c>
      <c r="AK217" s="641">
        <v>1</v>
      </c>
      <c r="AL217" s="641">
        <f t="shared" si="7"/>
        <v>1</v>
      </c>
      <c r="AM217" s="641">
        <v>1</v>
      </c>
      <c r="AN217" s="30" t="s">
        <v>17650</v>
      </c>
      <c r="AO217" s="30" t="s">
        <v>17651</v>
      </c>
      <c r="AP217" s="30" t="s">
        <v>17652</v>
      </c>
      <c r="AQ217" s="30" t="s">
        <v>17653</v>
      </c>
      <c r="AR217" s="30" t="s">
        <v>1024</v>
      </c>
      <c r="AS217" s="30">
        <v>1</v>
      </c>
    </row>
    <row r="218" spans="1:45" x14ac:dyDescent="0.25">
      <c r="A218" s="30" t="s">
        <v>26089</v>
      </c>
      <c r="B218" s="30" t="s">
        <v>26301</v>
      </c>
      <c r="C218" s="30" t="s">
        <v>8740</v>
      </c>
      <c r="D218" s="139" t="s">
        <v>26160</v>
      </c>
      <c r="E218" s="30" t="s">
        <v>217</v>
      </c>
      <c r="F218" s="30">
        <v>1</v>
      </c>
      <c r="G218" s="30" t="s">
        <v>193</v>
      </c>
      <c r="H218" s="30" t="s">
        <v>194</v>
      </c>
      <c r="I218" s="30" t="s">
        <v>26148</v>
      </c>
      <c r="J218" s="30" t="s">
        <v>210</v>
      </c>
      <c r="K218" s="30" t="s">
        <v>9309</v>
      </c>
      <c r="L218" s="30" t="s">
        <v>6955</v>
      </c>
      <c r="M218" s="30"/>
      <c r="N218" s="30" t="s">
        <v>26302</v>
      </c>
      <c r="O218" s="30" t="s">
        <v>6261</v>
      </c>
      <c r="P218" s="30" t="s">
        <v>26840</v>
      </c>
      <c r="Q218" s="30" t="s">
        <v>26085</v>
      </c>
      <c r="R218" s="30" t="s">
        <v>26057</v>
      </c>
      <c r="S218" s="30" t="s">
        <v>26890</v>
      </c>
      <c r="T218" s="30" t="s">
        <v>26891</v>
      </c>
      <c r="U218" s="30"/>
      <c r="V218" s="139">
        <v>1863</v>
      </c>
      <c r="W218" s="30" t="s">
        <v>8742</v>
      </c>
      <c r="X218" s="30" t="s">
        <v>194</v>
      </c>
      <c r="Y218" s="30" t="s">
        <v>9300</v>
      </c>
      <c r="Z218" s="30"/>
      <c r="AA218" s="30"/>
      <c r="AB218" s="30" t="s">
        <v>9311</v>
      </c>
      <c r="AC218" s="30"/>
      <c r="AD218" s="30"/>
      <c r="AE218" s="30"/>
      <c r="AF218" s="30"/>
      <c r="AG218" s="30"/>
      <c r="AH218" s="30" t="s">
        <v>4714</v>
      </c>
      <c r="AI218" s="30" t="s">
        <v>9433</v>
      </c>
      <c r="AJ218" s="641" t="str">
        <f t="shared" si="6"/>
        <v>251490</v>
      </c>
      <c r="AK218" s="641">
        <v>1</v>
      </c>
      <c r="AL218" s="641">
        <f t="shared" si="7"/>
        <v>1</v>
      </c>
      <c r="AM218" s="641">
        <v>1</v>
      </c>
      <c r="AN218" s="30" t="s">
        <v>17650</v>
      </c>
      <c r="AO218" s="30" t="s">
        <v>17651</v>
      </c>
      <c r="AP218" s="30" t="s">
        <v>17652</v>
      </c>
      <c r="AQ218" s="30" t="s">
        <v>17653</v>
      </c>
      <c r="AR218" s="30" t="s">
        <v>1024</v>
      </c>
      <c r="AS218" s="30">
        <v>1</v>
      </c>
    </row>
    <row r="219" spans="1:45" x14ac:dyDescent="0.25">
      <c r="A219" s="30" t="s">
        <v>26153</v>
      </c>
      <c r="B219" s="30" t="s">
        <v>26495</v>
      </c>
      <c r="C219" s="30" t="s">
        <v>10</v>
      </c>
      <c r="D219" s="139" t="s">
        <v>26160</v>
      </c>
      <c r="E219" s="30" t="s">
        <v>217</v>
      </c>
      <c r="F219" s="30">
        <v>1</v>
      </c>
      <c r="G219" s="30" t="s">
        <v>193</v>
      </c>
      <c r="H219" s="30" t="s">
        <v>194</v>
      </c>
      <c r="I219" s="30" t="s">
        <v>26143</v>
      </c>
      <c r="J219" s="30" t="s">
        <v>210</v>
      </c>
      <c r="K219" s="30" t="s">
        <v>9309</v>
      </c>
      <c r="L219" s="30" t="s">
        <v>6955</v>
      </c>
      <c r="M219" s="30"/>
      <c r="N219" s="30" t="s">
        <v>26496</v>
      </c>
      <c r="O219" s="30" t="s">
        <v>6261</v>
      </c>
      <c r="P219" s="30" t="s">
        <v>26840</v>
      </c>
      <c r="Q219" s="30" t="s">
        <v>26150</v>
      </c>
      <c r="R219" s="30" t="s">
        <v>23804</v>
      </c>
      <c r="S219" s="30" t="s">
        <v>26892</v>
      </c>
      <c r="T219" s="30" t="s">
        <v>26893</v>
      </c>
      <c r="U219" s="30"/>
      <c r="V219" s="139">
        <v>1863</v>
      </c>
      <c r="W219" s="30" t="s">
        <v>484</v>
      </c>
      <c r="X219" s="30" t="s">
        <v>194</v>
      </c>
      <c r="Y219" s="30" t="s">
        <v>9300</v>
      </c>
      <c r="Z219" s="30"/>
      <c r="AA219" s="30"/>
      <c r="AB219" s="30" t="s">
        <v>9311</v>
      </c>
      <c r="AC219" s="30"/>
      <c r="AD219" s="30"/>
      <c r="AE219" s="30"/>
      <c r="AF219" s="30"/>
      <c r="AG219" s="30"/>
      <c r="AH219" s="30" t="s">
        <v>4714</v>
      </c>
      <c r="AI219" s="30" t="s">
        <v>9433</v>
      </c>
      <c r="AJ219" s="641" t="str">
        <f t="shared" si="6"/>
        <v>251401</v>
      </c>
      <c r="AK219" s="641">
        <v>1</v>
      </c>
      <c r="AL219" s="641">
        <f t="shared" si="7"/>
        <v>1</v>
      </c>
      <c r="AM219" s="641">
        <v>1</v>
      </c>
      <c r="AN219" s="30" t="s">
        <v>17650</v>
      </c>
      <c r="AO219" s="30" t="s">
        <v>17651</v>
      </c>
      <c r="AP219" s="30" t="s">
        <v>17652</v>
      </c>
      <c r="AQ219" s="30" t="s">
        <v>17653</v>
      </c>
      <c r="AR219" s="30" t="s">
        <v>1024</v>
      </c>
      <c r="AS219" s="30">
        <v>1</v>
      </c>
    </row>
    <row r="220" spans="1:45" x14ac:dyDescent="0.25">
      <c r="A220" s="30" t="s">
        <v>26678</v>
      </c>
      <c r="B220" s="30" t="s">
        <v>1606</v>
      </c>
      <c r="C220" s="30" t="s">
        <v>22</v>
      </c>
      <c r="D220" s="139" t="s">
        <v>26160</v>
      </c>
      <c r="E220" s="30" t="s">
        <v>217</v>
      </c>
      <c r="F220" s="30">
        <v>1</v>
      </c>
      <c r="G220" s="30" t="s">
        <v>193</v>
      </c>
      <c r="H220" s="30" t="s">
        <v>194</v>
      </c>
      <c r="I220" s="30" t="s">
        <v>26143</v>
      </c>
      <c r="J220" s="30" t="s">
        <v>253</v>
      </c>
      <c r="K220" s="30" t="s">
        <v>9309</v>
      </c>
      <c r="L220" s="30" t="s">
        <v>6955</v>
      </c>
      <c r="M220" s="30"/>
      <c r="N220" s="30" t="s">
        <v>26679</v>
      </c>
      <c r="O220" s="30" t="s">
        <v>21401</v>
      </c>
      <c r="P220" s="30" t="s">
        <v>26840</v>
      </c>
      <c r="Q220" s="30" t="s">
        <v>26189</v>
      </c>
      <c r="R220" s="30" t="s">
        <v>26190</v>
      </c>
      <c r="S220" s="30" t="s">
        <v>26894</v>
      </c>
      <c r="T220" s="30" t="s">
        <v>26895</v>
      </c>
      <c r="U220" s="30"/>
      <c r="V220" s="139">
        <v>1811</v>
      </c>
      <c r="W220" s="30" t="s">
        <v>1608</v>
      </c>
      <c r="X220" s="30" t="s">
        <v>194</v>
      </c>
      <c r="Y220" s="30" t="s">
        <v>9300</v>
      </c>
      <c r="Z220" s="30"/>
      <c r="AA220" s="30"/>
      <c r="AB220" s="30" t="s">
        <v>9311</v>
      </c>
      <c r="AC220" s="30"/>
      <c r="AD220" s="30"/>
      <c r="AE220" s="30"/>
      <c r="AF220" s="30"/>
      <c r="AG220" s="30"/>
      <c r="AH220" s="30" t="s">
        <v>4714</v>
      </c>
      <c r="AI220" s="30" t="s">
        <v>9433</v>
      </c>
      <c r="AJ220" s="641" t="str">
        <f t="shared" si="6"/>
        <v>228101</v>
      </c>
      <c r="AK220" s="641">
        <v>1</v>
      </c>
      <c r="AL220" s="641">
        <f t="shared" si="7"/>
        <v>1</v>
      </c>
      <c r="AM220" s="641">
        <v>1</v>
      </c>
      <c r="AN220" s="30" t="s">
        <v>17650</v>
      </c>
      <c r="AO220" s="30" t="s">
        <v>17651</v>
      </c>
      <c r="AP220" s="30" t="s">
        <v>17652</v>
      </c>
      <c r="AQ220" s="30" t="s">
        <v>17653</v>
      </c>
      <c r="AR220" s="30" t="s">
        <v>1024</v>
      </c>
      <c r="AS220" s="30">
        <v>1</v>
      </c>
    </row>
    <row r="221" spans="1:45" x14ac:dyDescent="0.25">
      <c r="A221" s="30" t="s">
        <v>716</v>
      </c>
      <c r="B221" s="30" t="s">
        <v>26666</v>
      </c>
      <c r="C221" s="30" t="s">
        <v>2861</v>
      </c>
      <c r="D221" s="139" t="s">
        <v>26160</v>
      </c>
      <c r="E221" s="30" t="s">
        <v>217</v>
      </c>
      <c r="F221" s="30">
        <v>1</v>
      </c>
      <c r="G221" s="30" t="s">
        <v>193</v>
      </c>
      <c r="H221" s="30" t="s">
        <v>194</v>
      </c>
      <c r="I221" s="30" t="s">
        <v>23198</v>
      </c>
      <c r="J221" s="30" t="s">
        <v>210</v>
      </c>
      <c r="K221" s="30" t="s">
        <v>9309</v>
      </c>
      <c r="L221" s="30" t="s">
        <v>6955</v>
      </c>
      <c r="M221" s="30"/>
      <c r="N221" s="30" t="s">
        <v>26667</v>
      </c>
      <c r="O221" s="30" t="s">
        <v>6921</v>
      </c>
      <c r="P221" s="30" t="s">
        <v>26840</v>
      </c>
      <c r="Q221" s="30" t="s">
        <v>26085</v>
      </c>
      <c r="R221" s="30" t="s">
        <v>26057</v>
      </c>
      <c r="S221" s="30" t="s">
        <v>26896</v>
      </c>
      <c r="T221" s="30" t="s">
        <v>26897</v>
      </c>
      <c r="U221" s="30"/>
      <c r="V221" s="139">
        <v>1863</v>
      </c>
      <c r="W221" s="30" t="s">
        <v>3629</v>
      </c>
      <c r="X221" s="30" t="s">
        <v>194</v>
      </c>
      <c r="Y221" s="30" t="s">
        <v>9300</v>
      </c>
      <c r="Z221" s="30"/>
      <c r="AA221" s="30"/>
      <c r="AB221" s="30" t="s">
        <v>9311</v>
      </c>
      <c r="AC221" s="30"/>
      <c r="AD221" s="30"/>
      <c r="AE221" s="30"/>
      <c r="AF221" s="30"/>
      <c r="AG221" s="30"/>
      <c r="AH221" s="30" t="s">
        <v>4714</v>
      </c>
      <c r="AI221" s="30" t="s">
        <v>9433</v>
      </c>
      <c r="AJ221" s="641" t="str">
        <f t="shared" si="6"/>
        <v>251903</v>
      </c>
      <c r="AK221" s="641">
        <v>1</v>
      </c>
      <c r="AL221" s="641">
        <f t="shared" si="7"/>
        <v>1</v>
      </c>
      <c r="AM221" s="641">
        <v>1</v>
      </c>
      <c r="AN221" s="30" t="s">
        <v>17650</v>
      </c>
      <c r="AO221" s="30" t="s">
        <v>17651</v>
      </c>
      <c r="AP221" s="30" t="s">
        <v>17652</v>
      </c>
      <c r="AQ221" s="30" t="s">
        <v>17653</v>
      </c>
      <c r="AR221" s="30" t="s">
        <v>1024</v>
      </c>
      <c r="AS221" s="30">
        <v>1</v>
      </c>
    </row>
    <row r="222" spans="1:45" x14ac:dyDescent="0.25">
      <c r="A222" s="30" t="s">
        <v>716</v>
      </c>
      <c r="B222" s="30" t="s">
        <v>26737</v>
      </c>
      <c r="C222" s="30" t="s">
        <v>136</v>
      </c>
      <c r="D222" s="139" t="s">
        <v>26160</v>
      </c>
      <c r="E222" s="30" t="s">
        <v>217</v>
      </c>
      <c r="F222" s="30">
        <v>1</v>
      </c>
      <c r="G222" s="30" t="s">
        <v>193</v>
      </c>
      <c r="H222" s="30" t="s">
        <v>194</v>
      </c>
      <c r="I222" s="30" t="s">
        <v>26143</v>
      </c>
      <c r="J222" s="30" t="s">
        <v>210</v>
      </c>
      <c r="K222" s="30" t="s">
        <v>9309</v>
      </c>
      <c r="L222" s="30" t="s">
        <v>6955</v>
      </c>
      <c r="M222" s="30"/>
      <c r="N222" s="30" t="s">
        <v>26738</v>
      </c>
      <c r="O222" s="30" t="s">
        <v>6249</v>
      </c>
      <c r="P222" s="30" t="s">
        <v>26840</v>
      </c>
      <c r="Q222" s="30" t="s">
        <v>26103</v>
      </c>
      <c r="R222" s="30" t="s">
        <v>26079</v>
      </c>
      <c r="S222" s="30" t="s">
        <v>26898</v>
      </c>
      <c r="T222" s="30" t="s">
        <v>26899</v>
      </c>
      <c r="U222" s="30"/>
      <c r="V222" s="139">
        <v>1863</v>
      </c>
      <c r="W222" s="30" t="s">
        <v>461</v>
      </c>
      <c r="X222" s="30" t="s">
        <v>194</v>
      </c>
      <c r="Y222" s="30" t="s">
        <v>9300</v>
      </c>
      <c r="Z222" s="30"/>
      <c r="AA222" s="30"/>
      <c r="AB222" s="30" t="s">
        <v>9311</v>
      </c>
      <c r="AC222" s="30"/>
      <c r="AD222" s="30"/>
      <c r="AE222" s="30"/>
      <c r="AF222" s="30"/>
      <c r="AG222" s="30"/>
      <c r="AH222" s="30" t="s">
        <v>4714</v>
      </c>
      <c r="AI222" s="30" t="s">
        <v>9433</v>
      </c>
      <c r="AJ222" s="641" t="str">
        <f t="shared" si="6"/>
        <v>243301</v>
      </c>
      <c r="AK222" s="641">
        <v>1</v>
      </c>
      <c r="AL222" s="641">
        <f t="shared" si="7"/>
        <v>1</v>
      </c>
      <c r="AM222" s="641">
        <v>1</v>
      </c>
      <c r="AN222" s="30" t="s">
        <v>17650</v>
      </c>
      <c r="AO222" s="30" t="s">
        <v>17651</v>
      </c>
      <c r="AP222" s="30" t="s">
        <v>17652</v>
      </c>
      <c r="AQ222" s="30" t="s">
        <v>17653</v>
      </c>
      <c r="AR222" s="30" t="s">
        <v>1024</v>
      </c>
      <c r="AS222" s="30">
        <v>1</v>
      </c>
    </row>
    <row r="223" spans="1:45" x14ac:dyDescent="0.25">
      <c r="A223" s="30" t="s">
        <v>10145</v>
      </c>
      <c r="B223" s="30" t="s">
        <v>26227</v>
      </c>
      <c r="C223" s="30" t="s">
        <v>137</v>
      </c>
      <c r="D223" s="139" t="s">
        <v>26160</v>
      </c>
      <c r="E223" s="30" t="s">
        <v>217</v>
      </c>
      <c r="F223" s="30">
        <v>1</v>
      </c>
      <c r="G223" s="30" t="s">
        <v>194</v>
      </c>
      <c r="H223" s="30" t="s">
        <v>193</v>
      </c>
      <c r="I223" s="30" t="s">
        <v>26077</v>
      </c>
      <c r="J223" s="30" t="s">
        <v>26228</v>
      </c>
      <c r="K223" s="30" t="s">
        <v>9309</v>
      </c>
      <c r="L223" s="30" t="s">
        <v>6955</v>
      </c>
      <c r="M223" s="30"/>
      <c r="N223" s="30" t="s">
        <v>26229</v>
      </c>
      <c r="O223" s="30" t="s">
        <v>6343</v>
      </c>
      <c r="P223" s="30" t="s">
        <v>26816</v>
      </c>
      <c r="Q223" s="30" t="s">
        <v>26098</v>
      </c>
      <c r="R223" s="30" t="s">
        <v>26231</v>
      </c>
      <c r="S223" s="30" t="s">
        <v>26900</v>
      </c>
      <c r="T223" s="30" t="s">
        <v>26901</v>
      </c>
      <c r="U223" s="30"/>
      <c r="V223" s="139">
        <v>1816</v>
      </c>
      <c r="W223" s="30" t="s">
        <v>2002</v>
      </c>
      <c r="X223" s="30" t="s">
        <v>194</v>
      </c>
      <c r="Y223" s="30" t="s">
        <v>9300</v>
      </c>
      <c r="Z223" s="30"/>
      <c r="AA223" s="30"/>
      <c r="AB223" s="30" t="s">
        <v>9311</v>
      </c>
      <c r="AC223" s="30"/>
      <c r="AD223" s="30"/>
      <c r="AE223" s="30"/>
      <c r="AF223" s="30"/>
      <c r="AG223" s="30"/>
      <c r="AH223" s="30" t="s">
        <v>4714</v>
      </c>
      <c r="AI223" s="30" t="s">
        <v>26227</v>
      </c>
      <c r="AJ223" s="641" t="str">
        <f t="shared" si="6"/>
        <v>513101</v>
      </c>
      <c r="AK223" s="641">
        <v>1</v>
      </c>
      <c r="AL223" s="641">
        <f t="shared" si="7"/>
        <v>1</v>
      </c>
      <c r="AM223" s="641">
        <v>1</v>
      </c>
      <c r="AN223" s="30" t="s">
        <v>17650</v>
      </c>
      <c r="AO223" s="30" t="s">
        <v>17651</v>
      </c>
      <c r="AP223" s="30" t="s">
        <v>17652</v>
      </c>
      <c r="AQ223" s="30" t="s">
        <v>17653</v>
      </c>
      <c r="AR223" s="30" t="s">
        <v>1024</v>
      </c>
      <c r="AS223" s="30">
        <v>1</v>
      </c>
    </row>
    <row r="224" spans="1:45" x14ac:dyDescent="0.25">
      <c r="A224" s="30" t="s">
        <v>716</v>
      </c>
      <c r="B224" s="30" t="s">
        <v>26902</v>
      </c>
      <c r="C224" s="30" t="s">
        <v>706</v>
      </c>
      <c r="D224" s="139" t="s">
        <v>26160</v>
      </c>
      <c r="E224" s="30" t="s">
        <v>217</v>
      </c>
      <c r="F224" s="30">
        <v>1</v>
      </c>
      <c r="G224" s="30" t="s">
        <v>193</v>
      </c>
      <c r="H224" s="30" t="s">
        <v>194</v>
      </c>
      <c r="I224" s="30" t="s">
        <v>26143</v>
      </c>
      <c r="J224" s="30" t="s">
        <v>210</v>
      </c>
      <c r="K224" s="30" t="s">
        <v>9309</v>
      </c>
      <c r="L224" s="30" t="s">
        <v>6955</v>
      </c>
      <c r="M224" s="30"/>
      <c r="N224" s="30" t="s">
        <v>26903</v>
      </c>
      <c r="O224" s="30" t="s">
        <v>6251</v>
      </c>
      <c r="P224" s="30" t="s">
        <v>26840</v>
      </c>
      <c r="Q224" s="30" t="s">
        <v>26881</v>
      </c>
      <c r="R224" s="30" t="s">
        <v>26882</v>
      </c>
      <c r="S224" s="30" t="s">
        <v>26904</v>
      </c>
      <c r="T224" s="30" t="s">
        <v>26905</v>
      </c>
      <c r="U224" s="30"/>
      <c r="V224" s="30">
        <v>1863</v>
      </c>
      <c r="W224" s="30" t="s">
        <v>707</v>
      </c>
      <c r="X224" s="30" t="s">
        <v>194</v>
      </c>
      <c r="Y224" s="30" t="s">
        <v>9300</v>
      </c>
      <c r="Z224" s="30"/>
      <c r="AA224" s="30"/>
      <c r="AB224" s="30" t="s">
        <v>9311</v>
      </c>
      <c r="AC224" s="30"/>
      <c r="AD224" s="30"/>
      <c r="AE224" s="30"/>
      <c r="AF224" s="30"/>
      <c r="AG224" s="30"/>
      <c r="AH224" s="30" t="s">
        <v>4714</v>
      </c>
      <c r="AI224" s="30" t="s">
        <v>9433</v>
      </c>
      <c r="AJ224" s="641" t="str">
        <f t="shared" si="6"/>
        <v>422201</v>
      </c>
      <c r="AK224" s="641">
        <v>1</v>
      </c>
      <c r="AL224" s="641">
        <f t="shared" si="7"/>
        <v>1</v>
      </c>
      <c r="AM224" s="641">
        <v>1</v>
      </c>
      <c r="AN224" s="30" t="s">
        <v>17650</v>
      </c>
      <c r="AO224" s="30" t="s">
        <v>17651</v>
      </c>
      <c r="AP224" s="30" t="s">
        <v>17652</v>
      </c>
      <c r="AQ224" s="30" t="s">
        <v>17653</v>
      </c>
      <c r="AR224" s="30" t="s">
        <v>1024</v>
      </c>
      <c r="AS224" s="30">
        <v>1</v>
      </c>
    </row>
    <row r="225" spans="1:45" x14ac:dyDescent="0.25">
      <c r="A225" s="30" t="s">
        <v>10145</v>
      </c>
      <c r="B225" s="30" t="s">
        <v>26756</v>
      </c>
      <c r="C225" s="30" t="s">
        <v>22</v>
      </c>
      <c r="D225" s="139" t="s">
        <v>26160</v>
      </c>
      <c r="E225" s="30" t="s">
        <v>217</v>
      </c>
      <c r="F225" s="30">
        <v>1</v>
      </c>
      <c r="G225" s="30" t="s">
        <v>193</v>
      </c>
      <c r="H225" s="30" t="s">
        <v>194</v>
      </c>
      <c r="I225" s="30" t="s">
        <v>26143</v>
      </c>
      <c r="J225" s="30" t="s">
        <v>210</v>
      </c>
      <c r="K225" s="30" t="s">
        <v>9309</v>
      </c>
      <c r="L225" s="30" t="s">
        <v>6955</v>
      </c>
      <c r="M225" s="30"/>
      <c r="N225" s="30" t="s">
        <v>26906</v>
      </c>
      <c r="O225" s="30" t="s">
        <v>6288</v>
      </c>
      <c r="P225" s="30" t="s">
        <v>26840</v>
      </c>
      <c r="Q225" s="30" t="s">
        <v>26086</v>
      </c>
      <c r="R225" s="30" t="s">
        <v>26787</v>
      </c>
      <c r="S225" s="30" t="s">
        <v>26907</v>
      </c>
      <c r="T225" s="30" t="s">
        <v>26908</v>
      </c>
      <c r="U225" s="30"/>
      <c r="V225" s="30">
        <v>1863</v>
      </c>
      <c r="W225" s="30" t="s">
        <v>1608</v>
      </c>
      <c r="X225" s="30" t="s">
        <v>194</v>
      </c>
      <c r="Y225" s="30" t="s">
        <v>9300</v>
      </c>
      <c r="Z225" s="30"/>
      <c r="AA225" s="30"/>
      <c r="AB225" s="30" t="s">
        <v>9311</v>
      </c>
      <c r="AC225" s="30"/>
      <c r="AD225" s="30"/>
      <c r="AE225" s="30"/>
      <c r="AF225" s="30"/>
      <c r="AG225" s="30"/>
      <c r="AH225" s="30" t="s">
        <v>4714</v>
      </c>
      <c r="AI225" s="30" t="s">
        <v>9433</v>
      </c>
      <c r="AJ225" s="641" t="str">
        <f t="shared" si="6"/>
        <v>228101</v>
      </c>
      <c r="AK225" s="641">
        <v>1</v>
      </c>
      <c r="AL225" s="641">
        <f t="shared" si="7"/>
        <v>1</v>
      </c>
      <c r="AM225" s="641">
        <v>1</v>
      </c>
      <c r="AN225" s="30" t="s">
        <v>17650</v>
      </c>
      <c r="AO225" s="30" t="s">
        <v>17651</v>
      </c>
      <c r="AP225" s="30" t="s">
        <v>17652</v>
      </c>
      <c r="AQ225" s="30" t="s">
        <v>17653</v>
      </c>
      <c r="AR225" s="30" t="s">
        <v>1024</v>
      </c>
      <c r="AS225" s="30">
        <v>1</v>
      </c>
    </row>
    <row r="226" spans="1:45" x14ac:dyDescent="0.25">
      <c r="A226" s="30" t="s">
        <v>11415</v>
      </c>
      <c r="B226" s="30" t="s">
        <v>8016</v>
      </c>
      <c r="C226" s="30" t="s">
        <v>99</v>
      </c>
      <c r="D226" s="139" t="s">
        <v>26160</v>
      </c>
      <c r="E226" s="30" t="s">
        <v>217</v>
      </c>
      <c r="F226" s="30">
        <v>1</v>
      </c>
      <c r="G226" s="30" t="s">
        <v>194</v>
      </c>
      <c r="H226" s="30" t="s">
        <v>193</v>
      </c>
      <c r="I226" s="30" t="s">
        <v>23198</v>
      </c>
      <c r="J226" s="30" t="s">
        <v>210</v>
      </c>
      <c r="K226" s="30" t="s">
        <v>9309</v>
      </c>
      <c r="L226" s="30" t="s">
        <v>6955</v>
      </c>
      <c r="M226" s="30"/>
      <c r="N226" s="30" t="s">
        <v>22312</v>
      </c>
      <c r="O226" s="30" t="s">
        <v>6286</v>
      </c>
      <c r="P226" s="30" t="s">
        <v>26846</v>
      </c>
      <c r="Q226" s="30" t="s">
        <v>26027</v>
      </c>
      <c r="R226" s="30" t="s">
        <v>26847</v>
      </c>
      <c r="S226" s="30" t="s">
        <v>26909</v>
      </c>
      <c r="T226" s="30" t="s">
        <v>26910</v>
      </c>
      <c r="U226" s="30"/>
      <c r="V226" s="30">
        <v>1863</v>
      </c>
      <c r="W226" s="30" t="s">
        <v>2421</v>
      </c>
      <c r="X226" s="30" t="s">
        <v>194</v>
      </c>
      <c r="Y226" s="30" t="s">
        <v>9300</v>
      </c>
      <c r="Z226" s="30"/>
      <c r="AA226" s="30"/>
      <c r="AB226" s="30" t="s">
        <v>9311</v>
      </c>
      <c r="AC226" s="30"/>
      <c r="AD226" s="30"/>
      <c r="AE226" s="30"/>
      <c r="AF226" s="30"/>
      <c r="AG226" s="30"/>
      <c r="AH226" s="30" t="s">
        <v>4714</v>
      </c>
      <c r="AI226" s="30" t="s">
        <v>9433</v>
      </c>
      <c r="AJ226" s="641" t="str">
        <f t="shared" si="6"/>
        <v>412001</v>
      </c>
      <c r="AK226" s="641">
        <v>1</v>
      </c>
      <c r="AL226" s="641">
        <f t="shared" si="7"/>
        <v>1</v>
      </c>
      <c r="AM226" s="641">
        <v>1</v>
      </c>
      <c r="AN226" s="30" t="s">
        <v>17650</v>
      </c>
      <c r="AO226" s="30" t="s">
        <v>17651</v>
      </c>
      <c r="AP226" s="30" t="s">
        <v>17652</v>
      </c>
      <c r="AQ226" s="30" t="s">
        <v>17653</v>
      </c>
      <c r="AR226" s="30" t="s">
        <v>1024</v>
      </c>
      <c r="AS226" s="30">
        <v>1</v>
      </c>
    </row>
    <row r="227" spans="1:45" x14ac:dyDescent="0.25">
      <c r="A227" s="30" t="s">
        <v>26153</v>
      </c>
      <c r="B227" s="30" t="s">
        <v>26725</v>
      </c>
      <c r="C227" s="30" t="s">
        <v>10</v>
      </c>
      <c r="D227" s="139" t="s">
        <v>26160</v>
      </c>
      <c r="E227" s="30" t="s">
        <v>217</v>
      </c>
      <c r="F227" s="30">
        <v>1</v>
      </c>
      <c r="G227" s="30" t="s">
        <v>193</v>
      </c>
      <c r="H227" s="30" t="s">
        <v>194</v>
      </c>
      <c r="I227" s="30" t="s">
        <v>23198</v>
      </c>
      <c r="J227" s="30" t="s">
        <v>210</v>
      </c>
      <c r="K227" s="30" t="s">
        <v>9309</v>
      </c>
      <c r="L227" s="30" t="s">
        <v>6955</v>
      </c>
      <c r="M227" s="30"/>
      <c r="N227" s="30" t="s">
        <v>26726</v>
      </c>
      <c r="O227" s="30" t="s">
        <v>6261</v>
      </c>
      <c r="P227" s="30" t="s">
        <v>26840</v>
      </c>
      <c r="Q227" s="30" t="s">
        <v>26251</v>
      </c>
      <c r="R227" s="30" t="s">
        <v>26252</v>
      </c>
      <c r="S227" s="30" t="s">
        <v>26911</v>
      </c>
      <c r="T227" s="30" t="s">
        <v>26912</v>
      </c>
      <c r="U227" s="30"/>
      <c r="V227" s="30">
        <v>1863</v>
      </c>
      <c r="W227" s="30" t="s">
        <v>484</v>
      </c>
      <c r="X227" s="30" t="s">
        <v>194</v>
      </c>
      <c r="Y227" s="30" t="s">
        <v>9300</v>
      </c>
      <c r="Z227" s="30"/>
      <c r="AA227" s="30"/>
      <c r="AB227" s="30" t="s">
        <v>9311</v>
      </c>
      <c r="AC227" s="30"/>
      <c r="AD227" s="30"/>
      <c r="AE227" s="30"/>
      <c r="AF227" s="30"/>
      <c r="AG227" s="30"/>
      <c r="AH227" s="30" t="s">
        <v>4714</v>
      </c>
      <c r="AI227" s="30" t="s">
        <v>9433</v>
      </c>
      <c r="AJ227" s="641" t="str">
        <f t="shared" si="6"/>
        <v>251401</v>
      </c>
      <c r="AK227" s="641">
        <v>1</v>
      </c>
      <c r="AL227" s="641">
        <f t="shared" si="7"/>
        <v>1</v>
      </c>
      <c r="AM227" s="641">
        <v>1</v>
      </c>
      <c r="AN227" s="30" t="s">
        <v>17650</v>
      </c>
      <c r="AO227" s="30" t="s">
        <v>17651</v>
      </c>
      <c r="AP227" s="30" t="s">
        <v>17652</v>
      </c>
      <c r="AQ227" s="30" t="s">
        <v>17653</v>
      </c>
      <c r="AR227" s="30" t="s">
        <v>1024</v>
      </c>
      <c r="AS227" s="30">
        <v>1</v>
      </c>
    </row>
    <row r="228" spans="1:45" x14ac:dyDescent="0.25">
      <c r="A228" s="30" t="s">
        <v>15464</v>
      </c>
      <c r="B228" s="30" t="s">
        <v>22217</v>
      </c>
      <c r="C228" s="30" t="s">
        <v>468</v>
      </c>
      <c r="D228" s="139" t="s">
        <v>26160</v>
      </c>
      <c r="E228" s="30" t="s">
        <v>217</v>
      </c>
      <c r="F228" s="30">
        <v>1</v>
      </c>
      <c r="G228" s="30" t="s">
        <v>193</v>
      </c>
      <c r="H228" s="30" t="s">
        <v>194</v>
      </c>
      <c r="I228" s="30" t="s">
        <v>26143</v>
      </c>
      <c r="J228" s="30" t="s">
        <v>210</v>
      </c>
      <c r="K228" s="30" t="s">
        <v>9309</v>
      </c>
      <c r="L228" s="30" t="s">
        <v>6955</v>
      </c>
      <c r="M228" s="30"/>
      <c r="N228" s="30" t="s">
        <v>22238</v>
      </c>
      <c r="O228" s="30" t="s">
        <v>6251</v>
      </c>
      <c r="P228" s="30" t="s">
        <v>26846</v>
      </c>
      <c r="Q228" s="30" t="s">
        <v>26027</v>
      </c>
      <c r="R228" s="30" t="s">
        <v>26847</v>
      </c>
      <c r="S228" s="30" t="s">
        <v>26913</v>
      </c>
      <c r="T228" s="30" t="s">
        <v>26914</v>
      </c>
      <c r="U228" s="30"/>
      <c r="V228" s="30">
        <v>1863</v>
      </c>
      <c r="W228" s="30" t="s">
        <v>469</v>
      </c>
      <c r="X228" s="30" t="s">
        <v>194</v>
      </c>
      <c r="Y228" s="30" t="s">
        <v>9300</v>
      </c>
      <c r="Z228" s="30"/>
      <c r="AA228" s="30"/>
      <c r="AB228" s="30" t="s">
        <v>9311</v>
      </c>
      <c r="AC228" s="30"/>
      <c r="AD228" s="30"/>
      <c r="AE228" s="30"/>
      <c r="AF228" s="30"/>
      <c r="AG228" s="30"/>
      <c r="AH228" s="30" t="s">
        <v>4714</v>
      </c>
      <c r="AI228" s="30" t="s">
        <v>9433</v>
      </c>
      <c r="AJ228" s="641" t="str">
        <f t="shared" si="6"/>
        <v>243303</v>
      </c>
      <c r="AK228" s="641">
        <v>1</v>
      </c>
      <c r="AL228" s="641">
        <f t="shared" si="7"/>
        <v>1</v>
      </c>
      <c r="AM228" s="641">
        <v>1</v>
      </c>
      <c r="AN228" s="30" t="s">
        <v>17650</v>
      </c>
      <c r="AO228" s="30" t="s">
        <v>17651</v>
      </c>
      <c r="AP228" s="30" t="s">
        <v>17652</v>
      </c>
      <c r="AQ228" s="30" t="s">
        <v>17653</v>
      </c>
      <c r="AR228" s="30" t="s">
        <v>1024</v>
      </c>
      <c r="AS228" s="30">
        <v>1</v>
      </c>
    </row>
    <row r="229" spans="1:45" x14ac:dyDescent="0.25">
      <c r="A229" s="30" t="s">
        <v>26153</v>
      </c>
      <c r="B229" s="30" t="s">
        <v>26915</v>
      </c>
      <c r="C229" s="30" t="s">
        <v>10</v>
      </c>
      <c r="D229" s="139" t="s">
        <v>26160</v>
      </c>
      <c r="E229" s="30" t="s">
        <v>217</v>
      </c>
      <c r="F229" s="30">
        <v>1</v>
      </c>
      <c r="G229" s="30" t="s">
        <v>193</v>
      </c>
      <c r="H229" s="30" t="s">
        <v>194</v>
      </c>
      <c r="I229" s="30" t="s">
        <v>26143</v>
      </c>
      <c r="J229" s="30" t="s">
        <v>210</v>
      </c>
      <c r="K229" s="30" t="s">
        <v>9309</v>
      </c>
      <c r="L229" s="30" t="s">
        <v>6955</v>
      </c>
      <c r="M229" s="30"/>
      <c r="N229" s="30" t="s">
        <v>26916</v>
      </c>
      <c r="O229" s="30" t="s">
        <v>6261</v>
      </c>
      <c r="P229" s="30" t="s">
        <v>26840</v>
      </c>
      <c r="Q229" s="30" t="s">
        <v>26881</v>
      </c>
      <c r="R229" s="30" t="s">
        <v>26882</v>
      </c>
      <c r="S229" s="30" t="s">
        <v>26917</v>
      </c>
      <c r="T229" s="30" t="s">
        <v>26918</v>
      </c>
      <c r="U229" s="30"/>
      <c r="V229" s="30">
        <v>1863</v>
      </c>
      <c r="W229" s="30" t="s">
        <v>484</v>
      </c>
      <c r="X229" s="30" t="s">
        <v>194</v>
      </c>
      <c r="Y229" s="30" t="s">
        <v>9300</v>
      </c>
      <c r="Z229" s="30"/>
      <c r="AA229" s="30"/>
      <c r="AB229" s="30" t="s">
        <v>9311</v>
      </c>
      <c r="AC229" s="30"/>
      <c r="AD229" s="30"/>
      <c r="AE229" s="30"/>
      <c r="AF229" s="30"/>
      <c r="AG229" s="30"/>
      <c r="AH229" s="30" t="s">
        <v>4714</v>
      </c>
      <c r="AI229" s="30" t="s">
        <v>9433</v>
      </c>
      <c r="AJ229" s="641" t="str">
        <f t="shared" si="6"/>
        <v>251401</v>
      </c>
      <c r="AK229" s="641">
        <v>1</v>
      </c>
      <c r="AL229" s="641">
        <f t="shared" si="7"/>
        <v>1</v>
      </c>
      <c r="AM229" s="641">
        <v>1</v>
      </c>
      <c r="AN229" s="30" t="s">
        <v>17650</v>
      </c>
      <c r="AO229" s="30" t="s">
        <v>17651</v>
      </c>
      <c r="AP229" s="30" t="s">
        <v>17652</v>
      </c>
      <c r="AQ229" s="30" t="s">
        <v>17653</v>
      </c>
      <c r="AR229" s="30" t="s">
        <v>1024</v>
      </c>
      <c r="AS229" s="30">
        <v>1</v>
      </c>
    </row>
    <row r="230" spans="1:45" x14ac:dyDescent="0.25">
      <c r="A230" s="30" t="s">
        <v>26153</v>
      </c>
      <c r="B230" s="30" t="s">
        <v>16213</v>
      </c>
      <c r="C230" s="30" t="s">
        <v>10</v>
      </c>
      <c r="D230" s="139" t="s">
        <v>26160</v>
      </c>
      <c r="E230" s="30" t="s">
        <v>217</v>
      </c>
      <c r="F230" s="30">
        <v>1</v>
      </c>
      <c r="G230" s="30" t="s">
        <v>193</v>
      </c>
      <c r="H230" s="30" t="s">
        <v>194</v>
      </c>
      <c r="I230" s="30" t="s">
        <v>23198</v>
      </c>
      <c r="J230" s="30" t="s">
        <v>210</v>
      </c>
      <c r="K230" s="30" t="s">
        <v>9309</v>
      </c>
      <c r="L230" s="30" t="s">
        <v>6955</v>
      </c>
      <c r="M230" s="30"/>
      <c r="N230" s="30" t="s">
        <v>26154</v>
      </c>
      <c r="O230" s="30" t="s">
        <v>6261</v>
      </c>
      <c r="P230" s="30" t="s">
        <v>26840</v>
      </c>
      <c r="Q230" s="30" t="s">
        <v>26120</v>
      </c>
      <c r="R230" s="30" t="s">
        <v>24551</v>
      </c>
      <c r="S230" s="30" t="s">
        <v>26919</v>
      </c>
      <c r="T230" s="30" t="s">
        <v>26920</v>
      </c>
      <c r="U230" s="30"/>
      <c r="V230" s="30">
        <v>1863</v>
      </c>
      <c r="W230" s="30" t="s">
        <v>484</v>
      </c>
      <c r="X230" s="30" t="s">
        <v>194</v>
      </c>
      <c r="Y230" s="30" t="s">
        <v>9300</v>
      </c>
      <c r="Z230" s="30"/>
      <c r="AA230" s="30"/>
      <c r="AB230" s="30" t="s">
        <v>9311</v>
      </c>
      <c r="AC230" s="30"/>
      <c r="AD230" s="30"/>
      <c r="AE230" s="30"/>
      <c r="AF230" s="30"/>
      <c r="AG230" s="30"/>
      <c r="AH230" s="30" t="s">
        <v>4714</v>
      </c>
      <c r="AI230" s="30" t="s">
        <v>9433</v>
      </c>
      <c r="AJ230" s="641" t="str">
        <f t="shared" si="6"/>
        <v>251401</v>
      </c>
      <c r="AK230" s="641">
        <v>1</v>
      </c>
      <c r="AL230" s="641">
        <f t="shared" si="7"/>
        <v>1</v>
      </c>
      <c r="AM230" s="641">
        <v>1</v>
      </c>
      <c r="AN230" s="30" t="s">
        <v>17650</v>
      </c>
      <c r="AO230" s="30" t="s">
        <v>17651</v>
      </c>
      <c r="AP230" s="30" t="s">
        <v>17652</v>
      </c>
      <c r="AQ230" s="30" t="s">
        <v>17653</v>
      </c>
      <c r="AR230" s="30" t="s">
        <v>1024</v>
      </c>
      <c r="AS230" s="30">
        <v>1</v>
      </c>
    </row>
    <row r="231" spans="1:45" x14ac:dyDescent="0.25">
      <c r="A231" s="30" t="s">
        <v>716</v>
      </c>
      <c r="B231" s="30" t="s">
        <v>2764</v>
      </c>
      <c r="C231" s="30" t="s">
        <v>706</v>
      </c>
      <c r="D231" s="139" t="s">
        <v>26160</v>
      </c>
      <c r="E231" s="30" t="s">
        <v>217</v>
      </c>
      <c r="F231" s="30">
        <v>1</v>
      </c>
      <c r="G231" s="30" t="s">
        <v>193</v>
      </c>
      <c r="H231" s="30" t="s">
        <v>194</v>
      </c>
      <c r="I231" s="30" t="s">
        <v>26143</v>
      </c>
      <c r="J231" s="30" t="s">
        <v>210</v>
      </c>
      <c r="K231" s="30" t="s">
        <v>9309</v>
      </c>
      <c r="L231" s="30" t="s">
        <v>6955</v>
      </c>
      <c r="M231" s="30"/>
      <c r="N231" s="30" t="s">
        <v>26546</v>
      </c>
      <c r="O231" s="30" t="s">
        <v>6286</v>
      </c>
      <c r="P231" s="30" t="s">
        <v>26840</v>
      </c>
      <c r="Q231" s="30" t="s">
        <v>26261</v>
      </c>
      <c r="R231" s="30" t="s">
        <v>26262</v>
      </c>
      <c r="S231" s="30" t="s">
        <v>26921</v>
      </c>
      <c r="T231" s="30" t="s">
        <v>26922</v>
      </c>
      <c r="U231" s="30"/>
      <c r="V231" s="30">
        <v>1863</v>
      </c>
      <c r="W231" s="30" t="s">
        <v>707</v>
      </c>
      <c r="X231" s="30" t="s">
        <v>194</v>
      </c>
      <c r="Y231" s="30" t="s">
        <v>9300</v>
      </c>
      <c r="Z231" s="30"/>
      <c r="AA231" s="30"/>
      <c r="AB231" s="30" t="s">
        <v>9311</v>
      </c>
      <c r="AC231" s="30"/>
      <c r="AD231" s="30"/>
      <c r="AE231" s="30"/>
      <c r="AF231" s="30"/>
      <c r="AG231" s="30"/>
      <c r="AH231" s="30" t="s">
        <v>4714</v>
      </c>
      <c r="AI231" s="30" t="s">
        <v>9433</v>
      </c>
      <c r="AJ231" s="641" t="str">
        <f t="shared" si="6"/>
        <v>422201</v>
      </c>
      <c r="AK231" s="641">
        <v>1</v>
      </c>
      <c r="AL231" s="641">
        <f t="shared" si="7"/>
        <v>1</v>
      </c>
      <c r="AM231" s="641">
        <v>1</v>
      </c>
      <c r="AN231" s="30" t="s">
        <v>17650</v>
      </c>
      <c r="AO231" s="30" t="s">
        <v>17651</v>
      </c>
      <c r="AP231" s="30" t="s">
        <v>17652</v>
      </c>
      <c r="AQ231" s="30" t="s">
        <v>17653</v>
      </c>
      <c r="AR231" s="30" t="s">
        <v>1024</v>
      </c>
      <c r="AS231" s="30">
        <v>1</v>
      </c>
    </row>
    <row r="232" spans="1:45" x14ac:dyDescent="0.25">
      <c r="A232" s="30" t="s">
        <v>716</v>
      </c>
      <c r="B232" s="30" t="s">
        <v>26365</v>
      </c>
      <c r="C232" s="30" t="s">
        <v>706</v>
      </c>
      <c r="D232" s="139" t="s">
        <v>26160</v>
      </c>
      <c r="E232" s="30" t="s">
        <v>217</v>
      </c>
      <c r="F232" s="30">
        <v>1</v>
      </c>
      <c r="G232" s="30" t="s">
        <v>193</v>
      </c>
      <c r="H232" s="30" t="s">
        <v>194</v>
      </c>
      <c r="I232" s="30" t="s">
        <v>26143</v>
      </c>
      <c r="J232" s="30" t="s">
        <v>210</v>
      </c>
      <c r="K232" s="30" t="s">
        <v>9309</v>
      </c>
      <c r="L232" s="30" t="s">
        <v>6955</v>
      </c>
      <c r="M232" s="30"/>
      <c r="N232" s="30" t="s">
        <v>26394</v>
      </c>
      <c r="O232" s="30" t="s">
        <v>6251</v>
      </c>
      <c r="P232" s="30" t="s">
        <v>26840</v>
      </c>
      <c r="Q232" s="30" t="s">
        <v>26241</v>
      </c>
      <c r="R232" s="30" t="s">
        <v>26242</v>
      </c>
      <c r="S232" s="30" t="s">
        <v>26923</v>
      </c>
      <c r="T232" s="30" t="s">
        <v>26924</v>
      </c>
      <c r="U232" s="30"/>
      <c r="V232" s="30">
        <v>1863</v>
      </c>
      <c r="W232" s="30" t="s">
        <v>707</v>
      </c>
      <c r="X232" s="30" t="s">
        <v>194</v>
      </c>
      <c r="Y232" s="30" t="s">
        <v>9300</v>
      </c>
      <c r="Z232" s="30"/>
      <c r="AA232" s="30"/>
      <c r="AB232" s="30" t="s">
        <v>9311</v>
      </c>
      <c r="AC232" s="30"/>
      <c r="AD232" s="30"/>
      <c r="AE232" s="30"/>
      <c r="AF232" s="30"/>
      <c r="AG232" s="30"/>
      <c r="AH232" s="30" t="s">
        <v>4714</v>
      </c>
      <c r="AI232" s="30" t="s">
        <v>9433</v>
      </c>
      <c r="AJ232" s="641" t="str">
        <f t="shared" si="6"/>
        <v>422201</v>
      </c>
      <c r="AK232" s="641">
        <v>1</v>
      </c>
      <c r="AL232" s="641">
        <f t="shared" si="7"/>
        <v>1</v>
      </c>
      <c r="AM232" s="641">
        <v>1</v>
      </c>
      <c r="AN232" s="30" t="s">
        <v>17650</v>
      </c>
      <c r="AO232" s="30" t="s">
        <v>17651</v>
      </c>
      <c r="AP232" s="30" t="s">
        <v>17652</v>
      </c>
      <c r="AQ232" s="30" t="s">
        <v>17653</v>
      </c>
      <c r="AR232" s="30" t="s">
        <v>1024</v>
      </c>
      <c r="AS232" s="30">
        <v>1</v>
      </c>
    </row>
    <row r="233" spans="1:45" x14ac:dyDescent="0.25">
      <c r="A233" s="30" t="s">
        <v>26654</v>
      </c>
      <c r="B233" s="30" t="s">
        <v>15417</v>
      </c>
      <c r="C233" s="30" t="s">
        <v>4977</v>
      </c>
      <c r="D233" s="139" t="s">
        <v>26160</v>
      </c>
      <c r="E233" s="30" t="s">
        <v>217</v>
      </c>
      <c r="F233" s="30">
        <v>1</v>
      </c>
      <c r="G233" s="30" t="s">
        <v>193</v>
      </c>
      <c r="H233" s="30" t="s">
        <v>194</v>
      </c>
      <c r="I233" s="30" t="s">
        <v>26143</v>
      </c>
      <c r="J233" s="30" t="s">
        <v>316</v>
      </c>
      <c r="K233" s="30" t="s">
        <v>9309</v>
      </c>
      <c r="L233" s="30" t="s">
        <v>6955</v>
      </c>
      <c r="M233" s="30"/>
      <c r="N233" s="30" t="s">
        <v>26655</v>
      </c>
      <c r="O233" s="30" t="s">
        <v>6286</v>
      </c>
      <c r="P233" s="30" t="s">
        <v>26840</v>
      </c>
      <c r="Q233" s="30" t="s">
        <v>26241</v>
      </c>
      <c r="R233" s="30" t="s">
        <v>26242</v>
      </c>
      <c r="S233" s="30" t="s">
        <v>26925</v>
      </c>
      <c r="T233" s="30" t="s">
        <v>26926</v>
      </c>
      <c r="U233" s="30"/>
      <c r="V233" s="30">
        <v>1818</v>
      </c>
      <c r="W233" s="30" t="s">
        <v>4978</v>
      </c>
      <c r="X233" s="30" t="s">
        <v>194</v>
      </c>
      <c r="Y233" s="30" t="s">
        <v>9300</v>
      </c>
      <c r="Z233" s="30"/>
      <c r="AA233" s="30"/>
      <c r="AB233" s="30" t="s">
        <v>9311</v>
      </c>
      <c r="AC233" s="30"/>
      <c r="AD233" s="30"/>
      <c r="AE233" s="30"/>
      <c r="AF233" s="30"/>
      <c r="AG233" s="30"/>
      <c r="AH233" s="30" t="s">
        <v>4714</v>
      </c>
      <c r="AI233" s="30" t="s">
        <v>9433</v>
      </c>
      <c r="AJ233" s="641" t="str">
        <f t="shared" si="6"/>
        <v>242217</v>
      </c>
      <c r="AK233" s="641">
        <v>1</v>
      </c>
      <c r="AL233" s="641">
        <f t="shared" si="7"/>
        <v>1</v>
      </c>
      <c r="AM233" s="641">
        <v>1</v>
      </c>
      <c r="AN233" s="30" t="s">
        <v>17650</v>
      </c>
      <c r="AO233" s="30" t="s">
        <v>17651</v>
      </c>
      <c r="AP233" s="30" t="s">
        <v>17652</v>
      </c>
      <c r="AQ233" s="30" t="s">
        <v>17653</v>
      </c>
      <c r="AR233" s="30" t="s">
        <v>1024</v>
      </c>
      <c r="AS233" s="30">
        <v>1</v>
      </c>
    </row>
    <row r="234" spans="1:45" x14ac:dyDescent="0.25">
      <c r="A234" s="30" t="s">
        <v>26089</v>
      </c>
      <c r="B234" s="30" t="s">
        <v>26447</v>
      </c>
      <c r="C234" s="30" t="s">
        <v>8740</v>
      </c>
      <c r="D234" s="139" t="s">
        <v>26160</v>
      </c>
      <c r="E234" s="30" t="s">
        <v>217</v>
      </c>
      <c r="F234" s="30">
        <v>1</v>
      </c>
      <c r="G234" s="30" t="s">
        <v>193</v>
      </c>
      <c r="H234" s="30" t="s">
        <v>194</v>
      </c>
      <c r="I234" s="30" t="s">
        <v>26148</v>
      </c>
      <c r="J234" s="30" t="s">
        <v>210</v>
      </c>
      <c r="K234" s="30" t="s">
        <v>9309</v>
      </c>
      <c r="L234" s="30" t="s">
        <v>6955</v>
      </c>
      <c r="M234" s="30"/>
      <c r="N234" s="30" t="s">
        <v>26448</v>
      </c>
      <c r="O234" s="30" t="s">
        <v>6261</v>
      </c>
      <c r="P234" s="30" t="s">
        <v>26840</v>
      </c>
      <c r="Q234" s="30" t="s">
        <v>26218</v>
      </c>
      <c r="R234" s="30" t="s">
        <v>26219</v>
      </c>
      <c r="S234" s="30" t="s">
        <v>26927</v>
      </c>
      <c r="T234" s="30" t="s">
        <v>26928</v>
      </c>
      <c r="U234" s="30"/>
      <c r="V234" s="30">
        <v>1863</v>
      </c>
      <c r="W234" s="30" t="s">
        <v>8742</v>
      </c>
      <c r="X234" s="30" t="s">
        <v>194</v>
      </c>
      <c r="Y234" s="30" t="s">
        <v>9300</v>
      </c>
      <c r="Z234" s="30"/>
      <c r="AA234" s="30"/>
      <c r="AB234" s="30" t="s">
        <v>9311</v>
      </c>
      <c r="AC234" s="30"/>
      <c r="AD234" s="30"/>
      <c r="AE234" s="30"/>
      <c r="AF234" s="30"/>
      <c r="AG234" s="30"/>
      <c r="AH234" s="30" t="s">
        <v>4714</v>
      </c>
      <c r="AI234" s="30" t="s">
        <v>9433</v>
      </c>
      <c r="AJ234" s="641" t="str">
        <f t="shared" si="6"/>
        <v>251490</v>
      </c>
      <c r="AK234" s="641">
        <v>1</v>
      </c>
      <c r="AL234" s="641">
        <f t="shared" si="7"/>
        <v>1</v>
      </c>
      <c r="AM234" s="641">
        <v>1</v>
      </c>
      <c r="AN234" s="30" t="s">
        <v>17650</v>
      </c>
      <c r="AO234" s="30" t="s">
        <v>17651</v>
      </c>
      <c r="AP234" s="30" t="s">
        <v>17652</v>
      </c>
      <c r="AQ234" s="30" t="s">
        <v>17653</v>
      </c>
      <c r="AR234" s="30" t="s">
        <v>1024</v>
      </c>
      <c r="AS234" s="30">
        <v>1</v>
      </c>
    </row>
    <row r="235" spans="1:45" x14ac:dyDescent="0.25">
      <c r="A235" s="30" t="s">
        <v>716</v>
      </c>
      <c r="B235" s="30" t="s">
        <v>26369</v>
      </c>
      <c r="C235" s="30" t="s">
        <v>24125</v>
      </c>
      <c r="D235" s="139" t="s">
        <v>26160</v>
      </c>
      <c r="E235" s="30" t="s">
        <v>217</v>
      </c>
      <c r="F235" s="30">
        <v>1</v>
      </c>
      <c r="G235" s="30" t="s">
        <v>193</v>
      </c>
      <c r="H235" s="30" t="s">
        <v>194</v>
      </c>
      <c r="I235" s="30" t="s">
        <v>26133</v>
      </c>
      <c r="J235" s="30" t="s">
        <v>210</v>
      </c>
      <c r="K235" s="30" t="s">
        <v>9309</v>
      </c>
      <c r="L235" s="30" t="s">
        <v>6955</v>
      </c>
      <c r="M235" s="30"/>
      <c r="N235" s="30" t="s">
        <v>26370</v>
      </c>
      <c r="O235" s="30" t="s">
        <v>6302</v>
      </c>
      <c r="P235" s="30" t="s">
        <v>26840</v>
      </c>
      <c r="Q235" s="30" t="s">
        <v>26085</v>
      </c>
      <c r="R235" s="30" t="s">
        <v>26057</v>
      </c>
      <c r="S235" s="30" t="s">
        <v>26929</v>
      </c>
      <c r="T235" s="30" t="s">
        <v>26930</v>
      </c>
      <c r="U235" s="30"/>
      <c r="V235" s="30">
        <v>1863</v>
      </c>
      <c r="W235" s="30" t="s">
        <v>24129</v>
      </c>
      <c r="X235" s="30" t="s">
        <v>194</v>
      </c>
      <c r="Y235" s="30" t="s">
        <v>9300</v>
      </c>
      <c r="Z235" s="30"/>
      <c r="AA235" s="30"/>
      <c r="AB235" s="30" t="s">
        <v>9311</v>
      </c>
      <c r="AC235" s="30"/>
      <c r="AD235" s="30"/>
      <c r="AE235" s="30"/>
      <c r="AF235" s="30"/>
      <c r="AG235" s="30"/>
      <c r="AH235" s="30" t="s">
        <v>4714</v>
      </c>
      <c r="AI235" s="30" t="s">
        <v>9433</v>
      </c>
      <c r="AJ235" s="641" t="str">
        <f t="shared" si="6"/>
        <v>351401</v>
      </c>
      <c r="AK235" s="641">
        <v>1</v>
      </c>
      <c r="AL235" s="641">
        <f t="shared" si="7"/>
        <v>1</v>
      </c>
      <c r="AM235" s="641">
        <v>1</v>
      </c>
      <c r="AN235" s="30" t="s">
        <v>17650</v>
      </c>
      <c r="AO235" s="30" t="s">
        <v>17651</v>
      </c>
      <c r="AP235" s="30" t="s">
        <v>17652</v>
      </c>
      <c r="AQ235" s="30" t="s">
        <v>17653</v>
      </c>
      <c r="AR235" s="30" t="s">
        <v>1024</v>
      </c>
      <c r="AS235" s="30">
        <v>1</v>
      </c>
    </row>
    <row r="236" spans="1:45" x14ac:dyDescent="0.25">
      <c r="A236" s="30" t="s">
        <v>23858</v>
      </c>
      <c r="B236" s="30" t="s">
        <v>26491</v>
      </c>
      <c r="C236" s="30" t="s">
        <v>740</v>
      </c>
      <c r="D236" s="139" t="s">
        <v>26160</v>
      </c>
      <c r="E236" s="30" t="s">
        <v>217</v>
      </c>
      <c r="F236" s="30">
        <v>1</v>
      </c>
      <c r="G236" s="30" t="s">
        <v>193</v>
      </c>
      <c r="H236" s="30" t="s">
        <v>194</v>
      </c>
      <c r="I236" s="30" t="s">
        <v>26143</v>
      </c>
      <c r="J236" s="30" t="s">
        <v>253</v>
      </c>
      <c r="K236" s="30" t="s">
        <v>9309</v>
      </c>
      <c r="L236" s="30" t="s">
        <v>6955</v>
      </c>
      <c r="M236" s="30"/>
      <c r="N236" s="30" t="s">
        <v>26492</v>
      </c>
      <c r="O236" s="30" t="s">
        <v>6251</v>
      </c>
      <c r="P236" s="30" t="s">
        <v>26840</v>
      </c>
      <c r="Q236" s="30" t="s">
        <v>26150</v>
      </c>
      <c r="R236" s="30" t="s">
        <v>23804</v>
      </c>
      <c r="S236" s="30" t="s">
        <v>26931</v>
      </c>
      <c r="T236" s="30" t="s">
        <v>26932</v>
      </c>
      <c r="U236" s="30"/>
      <c r="V236" s="30">
        <v>1811</v>
      </c>
      <c r="W236" s="30" t="s">
        <v>741</v>
      </c>
      <c r="X236" s="30" t="s">
        <v>194</v>
      </c>
      <c r="Y236" s="30" t="s">
        <v>9300</v>
      </c>
      <c r="Z236" s="30"/>
      <c r="AA236" s="30"/>
      <c r="AB236" s="30" t="s">
        <v>9311</v>
      </c>
      <c r="AC236" s="30"/>
      <c r="AD236" s="30"/>
      <c r="AE236" s="30"/>
      <c r="AF236" s="30"/>
      <c r="AG236" s="30"/>
      <c r="AH236" s="30" t="s">
        <v>4714</v>
      </c>
      <c r="AI236" s="30" t="s">
        <v>9433</v>
      </c>
      <c r="AJ236" s="641" t="str">
        <f t="shared" si="6"/>
        <v>522301</v>
      </c>
      <c r="AK236" s="641">
        <v>1</v>
      </c>
      <c r="AL236" s="641">
        <f t="shared" si="7"/>
        <v>1</v>
      </c>
      <c r="AM236" s="641">
        <v>1</v>
      </c>
      <c r="AN236" s="30" t="s">
        <v>17650</v>
      </c>
      <c r="AO236" s="30" t="s">
        <v>17651</v>
      </c>
      <c r="AP236" s="30" t="s">
        <v>17652</v>
      </c>
      <c r="AQ236" s="30" t="s">
        <v>17653</v>
      </c>
      <c r="AR236" s="30" t="s">
        <v>1024</v>
      </c>
      <c r="AS236" s="30">
        <v>1</v>
      </c>
    </row>
    <row r="237" spans="1:45" x14ac:dyDescent="0.25">
      <c r="A237" s="30" t="s">
        <v>10145</v>
      </c>
      <c r="B237" s="30" t="s">
        <v>26670</v>
      </c>
      <c r="C237" s="30" t="s">
        <v>17</v>
      </c>
      <c r="D237" s="139" t="s">
        <v>26160</v>
      </c>
      <c r="E237" s="30" t="s">
        <v>217</v>
      </c>
      <c r="F237" s="30">
        <v>1</v>
      </c>
      <c r="G237" s="30" t="s">
        <v>193</v>
      </c>
      <c r="H237" s="30" t="s">
        <v>194</v>
      </c>
      <c r="I237" s="30" t="s">
        <v>26148</v>
      </c>
      <c r="J237" s="30" t="s">
        <v>210</v>
      </c>
      <c r="K237" s="30" t="s">
        <v>9309</v>
      </c>
      <c r="L237" s="30" t="s">
        <v>6955</v>
      </c>
      <c r="M237" s="30"/>
      <c r="N237" s="30" t="s">
        <v>26671</v>
      </c>
      <c r="O237" s="30" t="s">
        <v>6249</v>
      </c>
      <c r="P237" s="30" t="s">
        <v>26840</v>
      </c>
      <c r="Q237" s="30" t="s">
        <v>26085</v>
      </c>
      <c r="R237" s="30" t="s">
        <v>26057</v>
      </c>
      <c r="S237" s="30" t="s">
        <v>26933</v>
      </c>
      <c r="T237" s="30" t="s">
        <v>26934</v>
      </c>
      <c r="U237" s="30"/>
      <c r="V237" s="30">
        <v>1863</v>
      </c>
      <c r="W237" s="30" t="s">
        <v>624</v>
      </c>
      <c r="X237" s="30" t="s">
        <v>194</v>
      </c>
      <c r="Y237" s="30" t="s">
        <v>9300</v>
      </c>
      <c r="Z237" s="30"/>
      <c r="AA237" s="30"/>
      <c r="AB237" s="30" t="s">
        <v>9311</v>
      </c>
      <c r="AC237" s="30"/>
      <c r="AD237" s="30"/>
      <c r="AE237" s="30"/>
      <c r="AF237" s="30"/>
      <c r="AG237" s="30"/>
      <c r="AH237" s="30" t="s">
        <v>4714</v>
      </c>
      <c r="AI237" s="30" t="s">
        <v>9433</v>
      </c>
      <c r="AJ237" s="641" t="str">
        <f t="shared" si="6"/>
        <v>332203</v>
      </c>
      <c r="AK237" s="641">
        <v>1</v>
      </c>
      <c r="AL237" s="641">
        <f t="shared" si="7"/>
        <v>1</v>
      </c>
      <c r="AM237" s="641">
        <v>1</v>
      </c>
      <c r="AN237" s="30" t="s">
        <v>17650</v>
      </c>
      <c r="AO237" s="30" t="s">
        <v>17651</v>
      </c>
      <c r="AP237" s="30" t="s">
        <v>17652</v>
      </c>
      <c r="AQ237" s="30" t="s">
        <v>17653</v>
      </c>
      <c r="AR237" s="30" t="s">
        <v>1024</v>
      </c>
      <c r="AS237" s="30">
        <v>1</v>
      </c>
    </row>
    <row r="238" spans="1:45" x14ac:dyDescent="0.25">
      <c r="A238" s="30" t="s">
        <v>716</v>
      </c>
      <c r="B238" s="30" t="s">
        <v>26542</v>
      </c>
      <c r="C238" s="30" t="s">
        <v>3219</v>
      </c>
      <c r="D238" s="139" t="s">
        <v>26160</v>
      </c>
      <c r="E238" s="30" t="s">
        <v>217</v>
      </c>
      <c r="F238" s="30">
        <v>1</v>
      </c>
      <c r="G238" s="30" t="s">
        <v>193</v>
      </c>
      <c r="H238" s="30" t="s">
        <v>194</v>
      </c>
      <c r="I238" s="30" t="s">
        <v>26143</v>
      </c>
      <c r="J238" s="30" t="s">
        <v>210</v>
      </c>
      <c r="K238" s="30" t="s">
        <v>9309</v>
      </c>
      <c r="L238" s="30" t="s">
        <v>6955</v>
      </c>
      <c r="M238" s="30"/>
      <c r="N238" s="30" t="s">
        <v>26935</v>
      </c>
      <c r="O238" s="30" t="s">
        <v>6261</v>
      </c>
      <c r="P238" s="30" t="s">
        <v>26840</v>
      </c>
      <c r="Q238" s="30" t="s">
        <v>26881</v>
      </c>
      <c r="R238" s="30" t="s">
        <v>26882</v>
      </c>
      <c r="S238" s="30" t="s">
        <v>26936</v>
      </c>
      <c r="T238" s="30" t="s">
        <v>26937</v>
      </c>
      <c r="U238" s="30"/>
      <c r="V238" s="30">
        <v>1863</v>
      </c>
      <c r="W238" s="30" t="s">
        <v>3620</v>
      </c>
      <c r="X238" s="30" t="s">
        <v>194</v>
      </c>
      <c r="Y238" s="30" t="s">
        <v>9300</v>
      </c>
      <c r="Z238" s="30"/>
      <c r="AA238" s="30"/>
      <c r="AB238" s="30" t="s">
        <v>9311</v>
      </c>
      <c r="AC238" s="30"/>
      <c r="AD238" s="30"/>
      <c r="AE238" s="30"/>
      <c r="AF238" s="30"/>
      <c r="AG238" s="30"/>
      <c r="AH238" s="30" t="s">
        <v>4714</v>
      </c>
      <c r="AI238" s="30" t="s">
        <v>9433</v>
      </c>
      <c r="AJ238" s="641" t="str">
        <f t="shared" si="6"/>
        <v>243109</v>
      </c>
      <c r="AK238" s="641">
        <v>1</v>
      </c>
      <c r="AL238" s="641">
        <f t="shared" si="7"/>
        <v>1</v>
      </c>
      <c r="AM238" s="641">
        <v>1</v>
      </c>
      <c r="AN238" s="30" t="s">
        <v>17650</v>
      </c>
      <c r="AO238" s="30" t="s">
        <v>17651</v>
      </c>
      <c r="AP238" s="30" t="s">
        <v>17652</v>
      </c>
      <c r="AQ238" s="30" t="s">
        <v>17653</v>
      </c>
      <c r="AR238" s="30" t="s">
        <v>1024</v>
      </c>
      <c r="AS238" s="30">
        <v>1</v>
      </c>
    </row>
    <row r="239" spans="1:45" x14ac:dyDescent="0.25">
      <c r="A239" s="30" t="s">
        <v>26089</v>
      </c>
      <c r="B239" s="30" t="s">
        <v>26567</v>
      </c>
      <c r="C239" s="30" t="s">
        <v>24457</v>
      </c>
      <c r="D239" s="139" t="s">
        <v>26160</v>
      </c>
      <c r="E239" s="30" t="s">
        <v>217</v>
      </c>
      <c r="F239" s="30">
        <v>1</v>
      </c>
      <c r="G239" s="30" t="s">
        <v>193</v>
      </c>
      <c r="H239" s="30" t="s">
        <v>194</v>
      </c>
      <c r="I239" s="30" t="s">
        <v>26148</v>
      </c>
      <c r="J239" s="30" t="s">
        <v>210</v>
      </c>
      <c r="K239" s="30" t="s">
        <v>9309</v>
      </c>
      <c r="L239" s="30" t="s">
        <v>6955</v>
      </c>
      <c r="M239" s="30"/>
      <c r="N239" s="30" t="s">
        <v>26938</v>
      </c>
      <c r="O239" s="30" t="s">
        <v>6261</v>
      </c>
      <c r="P239" s="30" t="s">
        <v>26840</v>
      </c>
      <c r="Q239" s="30" t="s">
        <v>26086</v>
      </c>
      <c r="R239" s="30" t="s">
        <v>26787</v>
      </c>
      <c r="S239" s="30" t="s">
        <v>26939</v>
      </c>
      <c r="T239" s="30" t="s">
        <v>26940</v>
      </c>
      <c r="U239" s="30"/>
      <c r="V239" s="30">
        <v>1863</v>
      </c>
      <c r="W239" s="30" t="s">
        <v>24461</v>
      </c>
      <c r="X239" s="30" t="s">
        <v>194</v>
      </c>
      <c r="Y239" s="30" t="s">
        <v>9300</v>
      </c>
      <c r="Z239" s="30"/>
      <c r="AA239" s="30"/>
      <c r="AB239" s="30" t="s">
        <v>9311</v>
      </c>
      <c r="AC239" s="30"/>
      <c r="AD239" s="30"/>
      <c r="AE239" s="30"/>
      <c r="AF239" s="30"/>
      <c r="AG239" s="30"/>
      <c r="AH239" s="30" t="s">
        <v>4714</v>
      </c>
      <c r="AI239" s="30" t="s">
        <v>9433</v>
      </c>
      <c r="AJ239" s="641" t="str">
        <f t="shared" si="6"/>
        <v>214108</v>
      </c>
      <c r="AK239" s="641">
        <v>1</v>
      </c>
      <c r="AL239" s="641">
        <f t="shared" si="7"/>
        <v>1</v>
      </c>
      <c r="AM239" s="641">
        <v>1</v>
      </c>
      <c r="AN239" s="30" t="s">
        <v>17650</v>
      </c>
      <c r="AO239" s="30" t="s">
        <v>17651</v>
      </c>
      <c r="AP239" s="30" t="s">
        <v>17652</v>
      </c>
      <c r="AQ239" s="30" t="s">
        <v>17653</v>
      </c>
      <c r="AR239" s="30" t="s">
        <v>1024</v>
      </c>
      <c r="AS239" s="30">
        <v>1</v>
      </c>
    </row>
    <row r="240" spans="1:45" x14ac:dyDescent="0.25">
      <c r="A240" s="30" t="s">
        <v>716</v>
      </c>
      <c r="B240" s="30" t="s">
        <v>26666</v>
      </c>
      <c r="C240" s="30" t="s">
        <v>2861</v>
      </c>
      <c r="D240" s="139" t="s">
        <v>26160</v>
      </c>
      <c r="E240" s="30" t="s">
        <v>217</v>
      </c>
      <c r="F240" s="30">
        <v>1</v>
      </c>
      <c r="G240" s="30" t="s">
        <v>193</v>
      </c>
      <c r="H240" s="30" t="s">
        <v>194</v>
      </c>
      <c r="I240" s="30" t="s">
        <v>23198</v>
      </c>
      <c r="J240" s="30" t="s">
        <v>210</v>
      </c>
      <c r="K240" s="30" t="s">
        <v>9309</v>
      </c>
      <c r="L240" s="30" t="s">
        <v>6955</v>
      </c>
      <c r="M240" s="30"/>
      <c r="N240" s="30" t="s">
        <v>26941</v>
      </c>
      <c r="O240" s="30" t="s">
        <v>6921</v>
      </c>
      <c r="P240" s="30" t="s">
        <v>26840</v>
      </c>
      <c r="Q240" s="30" t="s">
        <v>26942</v>
      </c>
      <c r="R240" s="30" t="s">
        <v>23708</v>
      </c>
      <c r="S240" s="30" t="s">
        <v>26943</v>
      </c>
      <c r="T240" s="30" t="s">
        <v>26944</v>
      </c>
      <c r="U240" s="30"/>
      <c r="V240" s="30">
        <v>1863</v>
      </c>
      <c r="W240" s="30" t="s">
        <v>3629</v>
      </c>
      <c r="X240" s="30" t="s">
        <v>194</v>
      </c>
      <c r="Y240" s="30" t="s">
        <v>9300</v>
      </c>
      <c r="Z240" s="30"/>
      <c r="AA240" s="30"/>
      <c r="AB240" s="30" t="s">
        <v>9311</v>
      </c>
      <c r="AC240" s="30"/>
      <c r="AD240" s="30"/>
      <c r="AE240" s="30"/>
      <c r="AF240" s="30"/>
      <c r="AG240" s="30"/>
      <c r="AH240" s="30" t="s">
        <v>4714</v>
      </c>
      <c r="AI240" s="30" t="s">
        <v>9433</v>
      </c>
      <c r="AJ240" s="641" t="str">
        <f t="shared" si="6"/>
        <v>251903</v>
      </c>
      <c r="AK240" s="641">
        <v>1</v>
      </c>
      <c r="AL240" s="641">
        <f t="shared" si="7"/>
        <v>1</v>
      </c>
      <c r="AM240" s="641">
        <v>1</v>
      </c>
      <c r="AN240" s="30" t="s">
        <v>17650</v>
      </c>
      <c r="AO240" s="30" t="s">
        <v>17651</v>
      </c>
      <c r="AP240" s="30" t="s">
        <v>17652</v>
      </c>
      <c r="AQ240" s="30" t="s">
        <v>17653</v>
      </c>
      <c r="AR240" s="30" t="s">
        <v>1024</v>
      </c>
      <c r="AS240" s="30">
        <v>1</v>
      </c>
    </row>
    <row r="241" spans="1:45" x14ac:dyDescent="0.25">
      <c r="A241" s="30" t="s">
        <v>716</v>
      </c>
      <c r="B241" s="30" t="s">
        <v>26658</v>
      </c>
      <c r="C241" s="30" t="s">
        <v>10</v>
      </c>
      <c r="D241" s="139" t="s">
        <v>26160</v>
      </c>
      <c r="E241" s="30" t="s">
        <v>217</v>
      </c>
      <c r="F241" s="30">
        <v>1</v>
      </c>
      <c r="G241" s="30" t="s">
        <v>193</v>
      </c>
      <c r="H241" s="30" t="s">
        <v>194</v>
      </c>
      <c r="I241" s="30" t="s">
        <v>23198</v>
      </c>
      <c r="J241" s="30" t="s">
        <v>210</v>
      </c>
      <c r="K241" s="30" t="s">
        <v>9309</v>
      </c>
      <c r="L241" s="30" t="s">
        <v>6955</v>
      </c>
      <c r="M241" s="30"/>
      <c r="N241" s="30" t="s">
        <v>26659</v>
      </c>
      <c r="O241" s="30" t="s">
        <v>6261</v>
      </c>
      <c r="P241" s="30" t="s">
        <v>26840</v>
      </c>
      <c r="Q241" s="30" t="s">
        <v>26085</v>
      </c>
      <c r="R241" s="30" t="s">
        <v>26057</v>
      </c>
      <c r="S241" s="30" t="s">
        <v>26945</v>
      </c>
      <c r="T241" s="30" t="s">
        <v>26946</v>
      </c>
      <c r="U241" s="30"/>
      <c r="V241" s="30">
        <v>1863</v>
      </c>
      <c r="W241" s="30" t="s">
        <v>484</v>
      </c>
      <c r="X241" s="30" t="s">
        <v>194</v>
      </c>
      <c r="Y241" s="30" t="s">
        <v>9300</v>
      </c>
      <c r="Z241" s="30"/>
      <c r="AA241" s="30"/>
      <c r="AB241" s="30" t="s">
        <v>9311</v>
      </c>
      <c r="AC241" s="30"/>
      <c r="AD241" s="30"/>
      <c r="AE241" s="30"/>
      <c r="AF241" s="30"/>
      <c r="AG241" s="30"/>
      <c r="AH241" s="30" t="s">
        <v>4714</v>
      </c>
      <c r="AI241" s="30" t="s">
        <v>9433</v>
      </c>
      <c r="AJ241" s="641" t="str">
        <f t="shared" si="6"/>
        <v>251401</v>
      </c>
      <c r="AK241" s="641">
        <v>1</v>
      </c>
      <c r="AL241" s="641">
        <f t="shared" si="7"/>
        <v>1</v>
      </c>
      <c r="AM241" s="641">
        <v>1</v>
      </c>
      <c r="AN241" s="30" t="s">
        <v>17650</v>
      </c>
      <c r="AO241" s="30" t="s">
        <v>17651</v>
      </c>
      <c r="AP241" s="30" t="s">
        <v>17652</v>
      </c>
      <c r="AQ241" s="30" t="s">
        <v>17653</v>
      </c>
      <c r="AR241" s="30" t="s">
        <v>1024</v>
      </c>
      <c r="AS241" s="30">
        <v>1</v>
      </c>
    </row>
    <row r="242" spans="1:45" x14ac:dyDescent="0.25">
      <c r="A242" s="30" t="s">
        <v>716</v>
      </c>
      <c r="B242" s="30" t="s">
        <v>26658</v>
      </c>
      <c r="C242" s="30" t="s">
        <v>2861</v>
      </c>
      <c r="D242" s="139" t="s">
        <v>26160</v>
      </c>
      <c r="E242" s="30" t="s">
        <v>217</v>
      </c>
      <c r="F242" s="30">
        <v>1</v>
      </c>
      <c r="G242" s="30" t="s">
        <v>193</v>
      </c>
      <c r="H242" s="30" t="s">
        <v>194</v>
      </c>
      <c r="I242" s="30" t="s">
        <v>23198</v>
      </c>
      <c r="J242" s="30" t="s">
        <v>210</v>
      </c>
      <c r="K242" s="30" t="s">
        <v>9309</v>
      </c>
      <c r="L242" s="30" t="s">
        <v>6955</v>
      </c>
      <c r="M242" s="30"/>
      <c r="N242" s="30" t="s">
        <v>26947</v>
      </c>
      <c r="O242" s="30" t="s">
        <v>6290</v>
      </c>
      <c r="P242" s="30" t="s">
        <v>26840</v>
      </c>
      <c r="Q242" s="30" t="s">
        <v>26942</v>
      </c>
      <c r="R242" s="30" t="s">
        <v>23708</v>
      </c>
      <c r="S242" s="30" t="s">
        <v>26948</v>
      </c>
      <c r="T242" s="30" t="s">
        <v>26949</v>
      </c>
      <c r="U242" s="30"/>
      <c r="V242" s="30">
        <v>1863</v>
      </c>
      <c r="W242" s="30" t="s">
        <v>3629</v>
      </c>
      <c r="X242" s="30" t="s">
        <v>194</v>
      </c>
      <c r="Y242" s="30" t="s">
        <v>9300</v>
      </c>
      <c r="Z242" s="30"/>
      <c r="AA242" s="30"/>
      <c r="AB242" s="30" t="s">
        <v>9311</v>
      </c>
      <c r="AC242" s="30"/>
      <c r="AD242" s="30"/>
      <c r="AE242" s="30"/>
      <c r="AF242" s="30"/>
      <c r="AG242" s="30"/>
      <c r="AH242" s="30" t="s">
        <v>4714</v>
      </c>
      <c r="AI242" s="30" t="s">
        <v>9433</v>
      </c>
      <c r="AJ242" s="641" t="str">
        <f t="shared" si="6"/>
        <v>251903</v>
      </c>
      <c r="AK242" s="641">
        <v>1</v>
      </c>
      <c r="AL242" s="641">
        <f t="shared" si="7"/>
        <v>1</v>
      </c>
      <c r="AM242" s="641">
        <v>1</v>
      </c>
      <c r="AN242" s="30" t="s">
        <v>17650</v>
      </c>
      <c r="AO242" s="30" t="s">
        <v>17651</v>
      </c>
      <c r="AP242" s="30" t="s">
        <v>17652</v>
      </c>
      <c r="AQ242" s="30" t="s">
        <v>17653</v>
      </c>
      <c r="AR242" s="30" t="s">
        <v>1024</v>
      </c>
      <c r="AS242" s="30">
        <v>1</v>
      </c>
    </row>
    <row r="243" spans="1:45" x14ac:dyDescent="0.25">
      <c r="A243" s="30" t="s">
        <v>716</v>
      </c>
      <c r="B243" s="30" t="s">
        <v>26282</v>
      </c>
      <c r="C243" s="30" t="s">
        <v>3219</v>
      </c>
      <c r="D243" s="139" t="s">
        <v>26160</v>
      </c>
      <c r="E243" s="30" t="s">
        <v>217</v>
      </c>
      <c r="F243" s="30">
        <v>1</v>
      </c>
      <c r="G243" s="30" t="s">
        <v>193</v>
      </c>
      <c r="H243" s="30" t="s">
        <v>194</v>
      </c>
      <c r="I243" s="30" t="s">
        <v>26143</v>
      </c>
      <c r="J243" s="30" t="s">
        <v>210</v>
      </c>
      <c r="K243" s="30" t="s">
        <v>9309</v>
      </c>
      <c r="L243" s="30" t="s">
        <v>6955</v>
      </c>
      <c r="M243" s="30"/>
      <c r="N243" s="30" t="s">
        <v>26283</v>
      </c>
      <c r="O243" s="30" t="s">
        <v>6290</v>
      </c>
      <c r="P243" s="30" t="s">
        <v>26840</v>
      </c>
      <c r="Q243" s="30" t="s">
        <v>26085</v>
      </c>
      <c r="R243" s="30" t="s">
        <v>26057</v>
      </c>
      <c r="S243" s="30" t="s">
        <v>26950</v>
      </c>
      <c r="T243" s="30" t="s">
        <v>26951</v>
      </c>
      <c r="U243" s="30"/>
      <c r="V243" s="30">
        <v>1863</v>
      </c>
      <c r="W243" s="30" t="s">
        <v>3620</v>
      </c>
      <c r="X243" s="30" t="s">
        <v>194</v>
      </c>
      <c r="Y243" s="30" t="s">
        <v>9300</v>
      </c>
      <c r="Z243" s="30"/>
      <c r="AA243" s="30"/>
      <c r="AB243" s="30" t="s">
        <v>9311</v>
      </c>
      <c r="AC243" s="30"/>
      <c r="AD243" s="30"/>
      <c r="AE243" s="30"/>
      <c r="AF243" s="30"/>
      <c r="AG243" s="30"/>
      <c r="AH243" s="30" t="s">
        <v>4714</v>
      </c>
      <c r="AI243" s="30" t="s">
        <v>9433</v>
      </c>
      <c r="AJ243" s="641" t="str">
        <f t="shared" si="6"/>
        <v>243109</v>
      </c>
      <c r="AK243" s="641">
        <v>1</v>
      </c>
      <c r="AL243" s="641">
        <f t="shared" si="7"/>
        <v>1</v>
      </c>
      <c r="AM243" s="641">
        <v>1</v>
      </c>
      <c r="AN243" s="30" t="s">
        <v>17650</v>
      </c>
      <c r="AO243" s="30" t="s">
        <v>17651</v>
      </c>
      <c r="AP243" s="30" t="s">
        <v>17652</v>
      </c>
      <c r="AQ243" s="30" t="s">
        <v>17653</v>
      </c>
      <c r="AR243" s="30" t="s">
        <v>1024</v>
      </c>
      <c r="AS243" s="30">
        <v>1</v>
      </c>
    </row>
    <row r="244" spans="1:45" x14ac:dyDescent="0.25">
      <c r="A244" s="30" t="s">
        <v>716</v>
      </c>
      <c r="B244" s="30" t="s">
        <v>26682</v>
      </c>
      <c r="C244" s="30" t="s">
        <v>706</v>
      </c>
      <c r="D244" s="139" t="s">
        <v>26160</v>
      </c>
      <c r="E244" s="30" t="s">
        <v>217</v>
      </c>
      <c r="F244" s="30">
        <v>1</v>
      </c>
      <c r="G244" s="30" t="s">
        <v>193</v>
      </c>
      <c r="H244" s="30" t="s">
        <v>194</v>
      </c>
      <c r="I244" s="30" t="s">
        <v>26148</v>
      </c>
      <c r="J244" s="30" t="s">
        <v>210</v>
      </c>
      <c r="K244" s="30" t="s">
        <v>9309</v>
      </c>
      <c r="L244" s="30" t="s">
        <v>6955</v>
      </c>
      <c r="M244" s="30"/>
      <c r="N244" s="30" t="s">
        <v>26683</v>
      </c>
      <c r="O244" s="30" t="s">
        <v>6286</v>
      </c>
      <c r="P244" s="30" t="s">
        <v>26840</v>
      </c>
      <c r="Q244" s="30" t="s">
        <v>26098</v>
      </c>
      <c r="R244" s="30" t="s">
        <v>26231</v>
      </c>
      <c r="S244" s="30" t="s">
        <v>26952</v>
      </c>
      <c r="T244" s="30" t="s">
        <v>26953</v>
      </c>
      <c r="U244" s="30"/>
      <c r="V244" s="30">
        <v>1863</v>
      </c>
      <c r="W244" s="30" t="s">
        <v>707</v>
      </c>
      <c r="X244" s="30" t="s">
        <v>194</v>
      </c>
      <c r="Y244" s="30" t="s">
        <v>9300</v>
      </c>
      <c r="Z244" s="30"/>
      <c r="AA244" s="30"/>
      <c r="AB244" s="30" t="s">
        <v>9311</v>
      </c>
      <c r="AC244" s="30"/>
      <c r="AD244" s="30"/>
      <c r="AE244" s="30"/>
      <c r="AF244" s="30"/>
      <c r="AG244" s="30"/>
      <c r="AH244" s="30" t="s">
        <v>4714</v>
      </c>
      <c r="AI244" s="30" t="s">
        <v>9433</v>
      </c>
      <c r="AJ244" s="641" t="str">
        <f t="shared" si="6"/>
        <v>422201</v>
      </c>
      <c r="AK244" s="641">
        <v>1</v>
      </c>
      <c r="AL244" s="641">
        <f t="shared" si="7"/>
        <v>1</v>
      </c>
      <c r="AM244" s="641">
        <v>1</v>
      </c>
      <c r="AN244" s="30" t="s">
        <v>17650</v>
      </c>
      <c r="AO244" s="30" t="s">
        <v>17651</v>
      </c>
      <c r="AP244" s="30" t="s">
        <v>17652</v>
      </c>
      <c r="AQ244" s="30" t="s">
        <v>17653</v>
      </c>
      <c r="AR244" s="30" t="s">
        <v>1024</v>
      </c>
      <c r="AS244" s="30">
        <v>1</v>
      </c>
    </row>
    <row r="245" spans="1:45" x14ac:dyDescent="0.25">
      <c r="A245" s="30" t="s">
        <v>26153</v>
      </c>
      <c r="B245" s="30" t="s">
        <v>26477</v>
      </c>
      <c r="C245" s="30" t="s">
        <v>2861</v>
      </c>
      <c r="D245" s="139" t="s">
        <v>26160</v>
      </c>
      <c r="E245" s="30" t="s">
        <v>217</v>
      </c>
      <c r="F245" s="30">
        <v>1</v>
      </c>
      <c r="G245" s="30" t="s">
        <v>193</v>
      </c>
      <c r="H245" s="30" t="s">
        <v>194</v>
      </c>
      <c r="I245" s="30" t="s">
        <v>23198</v>
      </c>
      <c r="J245" s="30" t="s">
        <v>210</v>
      </c>
      <c r="K245" s="30" t="s">
        <v>9309</v>
      </c>
      <c r="L245" s="30" t="s">
        <v>6955</v>
      </c>
      <c r="M245" s="30"/>
      <c r="N245" s="30" t="s">
        <v>26478</v>
      </c>
      <c r="O245" s="30" t="s">
        <v>6261</v>
      </c>
      <c r="P245" s="30" t="s">
        <v>26840</v>
      </c>
      <c r="Q245" s="30" t="s">
        <v>26092</v>
      </c>
      <c r="R245" s="30" t="s">
        <v>26093</v>
      </c>
      <c r="S245" s="30" t="s">
        <v>26954</v>
      </c>
      <c r="T245" s="30" t="s">
        <v>26955</v>
      </c>
      <c r="U245" s="30"/>
      <c r="V245" s="30">
        <v>1863</v>
      </c>
      <c r="W245" s="30" t="s">
        <v>3629</v>
      </c>
      <c r="X245" s="30" t="s">
        <v>194</v>
      </c>
      <c r="Y245" s="30" t="s">
        <v>9300</v>
      </c>
      <c r="Z245" s="30"/>
      <c r="AA245" s="30"/>
      <c r="AB245" s="30" t="s">
        <v>9311</v>
      </c>
      <c r="AC245" s="30"/>
      <c r="AD245" s="30"/>
      <c r="AE245" s="30"/>
      <c r="AF245" s="30"/>
      <c r="AG245" s="30"/>
      <c r="AH245" s="30" t="s">
        <v>4714</v>
      </c>
      <c r="AI245" s="30" t="s">
        <v>9433</v>
      </c>
      <c r="AJ245" s="641" t="str">
        <f t="shared" si="6"/>
        <v>251903</v>
      </c>
      <c r="AK245" s="641">
        <v>1</v>
      </c>
      <c r="AL245" s="641">
        <f t="shared" si="7"/>
        <v>1</v>
      </c>
      <c r="AM245" s="641">
        <v>1</v>
      </c>
      <c r="AN245" s="30" t="s">
        <v>17650</v>
      </c>
      <c r="AO245" s="30" t="s">
        <v>17651</v>
      </c>
      <c r="AP245" s="30" t="s">
        <v>17652</v>
      </c>
      <c r="AQ245" s="30" t="s">
        <v>17653</v>
      </c>
      <c r="AR245" s="30" t="s">
        <v>1024</v>
      </c>
      <c r="AS245" s="30">
        <v>1</v>
      </c>
    </row>
    <row r="246" spans="1:45" x14ac:dyDescent="0.25">
      <c r="A246" s="30" t="s">
        <v>26258</v>
      </c>
      <c r="B246" s="30" t="s">
        <v>26259</v>
      </c>
      <c r="C246" s="30" t="s">
        <v>18783</v>
      </c>
      <c r="D246" s="139" t="s">
        <v>26160</v>
      </c>
      <c r="E246" s="30" t="s">
        <v>217</v>
      </c>
      <c r="F246" s="30">
        <v>1</v>
      </c>
      <c r="G246" s="30" t="s">
        <v>193</v>
      </c>
      <c r="H246" s="30" t="s">
        <v>194</v>
      </c>
      <c r="I246" s="30" t="s">
        <v>26143</v>
      </c>
      <c r="J246" s="30" t="s">
        <v>210</v>
      </c>
      <c r="K246" s="30" t="s">
        <v>9309</v>
      </c>
      <c r="L246" s="30" t="s">
        <v>6955</v>
      </c>
      <c r="M246" s="30"/>
      <c r="N246" s="30" t="s">
        <v>26690</v>
      </c>
      <c r="O246" s="30" t="s">
        <v>6269</v>
      </c>
      <c r="P246" s="30" t="s">
        <v>26840</v>
      </c>
      <c r="Q246" s="30" t="s">
        <v>26103</v>
      </c>
      <c r="R246" s="30" t="s">
        <v>26079</v>
      </c>
      <c r="S246" s="30" t="s">
        <v>26956</v>
      </c>
      <c r="T246" s="30" t="s">
        <v>26957</v>
      </c>
      <c r="U246" s="30"/>
      <c r="V246" s="30">
        <v>1863</v>
      </c>
      <c r="W246" s="30" t="s">
        <v>2538</v>
      </c>
      <c r="X246" s="30" t="s">
        <v>194</v>
      </c>
      <c r="Y246" s="30" t="s">
        <v>9300</v>
      </c>
      <c r="Z246" s="30"/>
      <c r="AA246" s="30"/>
      <c r="AB246" s="30" t="s">
        <v>9311</v>
      </c>
      <c r="AC246" s="30"/>
      <c r="AD246" s="30"/>
      <c r="AE246" s="30"/>
      <c r="AF246" s="30"/>
      <c r="AG246" s="30"/>
      <c r="AH246" s="30" t="s">
        <v>4714</v>
      </c>
      <c r="AI246" s="30" t="s">
        <v>9433</v>
      </c>
      <c r="AJ246" s="641" t="str">
        <f t="shared" si="6"/>
        <v>911207</v>
      </c>
      <c r="AK246" s="641">
        <v>1</v>
      </c>
      <c r="AL246" s="641">
        <f t="shared" si="7"/>
        <v>1</v>
      </c>
      <c r="AM246" s="641">
        <v>1</v>
      </c>
      <c r="AN246" s="30" t="s">
        <v>17650</v>
      </c>
      <c r="AO246" s="30" t="s">
        <v>17651</v>
      </c>
      <c r="AP246" s="30" t="s">
        <v>17652</v>
      </c>
      <c r="AQ246" s="30" t="s">
        <v>17653</v>
      </c>
      <c r="AR246" s="30" t="s">
        <v>1024</v>
      </c>
      <c r="AS246" s="30">
        <v>1</v>
      </c>
    </row>
    <row r="247" spans="1:45" x14ac:dyDescent="0.25">
      <c r="A247" s="30" t="s">
        <v>26153</v>
      </c>
      <c r="B247" s="30" t="s">
        <v>2276</v>
      </c>
      <c r="C247" s="30" t="s">
        <v>10</v>
      </c>
      <c r="D247" s="139" t="s">
        <v>26160</v>
      </c>
      <c r="E247" s="30" t="s">
        <v>217</v>
      </c>
      <c r="F247" s="30">
        <v>1</v>
      </c>
      <c r="G247" s="30" t="s">
        <v>193</v>
      </c>
      <c r="H247" s="30" t="s">
        <v>194</v>
      </c>
      <c r="I247" s="30" t="s">
        <v>26143</v>
      </c>
      <c r="J247" s="30" t="s">
        <v>210</v>
      </c>
      <c r="K247" s="30" t="s">
        <v>9309</v>
      </c>
      <c r="L247" s="30" t="s">
        <v>6955</v>
      </c>
      <c r="M247" s="30"/>
      <c r="N247" s="30" t="s">
        <v>26522</v>
      </c>
      <c r="O247" s="30" t="s">
        <v>6261</v>
      </c>
      <c r="P247" s="30" t="s">
        <v>26840</v>
      </c>
      <c r="Q247" s="30" t="s">
        <v>26120</v>
      </c>
      <c r="R247" s="30" t="s">
        <v>24551</v>
      </c>
      <c r="S247" s="30" t="s">
        <v>26958</v>
      </c>
      <c r="T247" s="30" t="s">
        <v>26959</v>
      </c>
      <c r="U247" s="30"/>
      <c r="V247" s="30">
        <v>1863</v>
      </c>
      <c r="W247" s="30" t="s">
        <v>484</v>
      </c>
      <c r="X247" s="30" t="s">
        <v>194</v>
      </c>
      <c r="Y247" s="30" t="s">
        <v>9300</v>
      </c>
      <c r="Z247" s="30"/>
      <c r="AA247" s="30"/>
      <c r="AB247" s="30" t="s">
        <v>9311</v>
      </c>
      <c r="AC247" s="30"/>
      <c r="AD247" s="30"/>
      <c r="AE247" s="30"/>
      <c r="AF247" s="30"/>
      <c r="AG247" s="30"/>
      <c r="AH247" s="30" t="s">
        <v>4714</v>
      </c>
      <c r="AI247" s="30" t="s">
        <v>9433</v>
      </c>
      <c r="AJ247" s="641" t="str">
        <f t="shared" si="6"/>
        <v>251401</v>
      </c>
      <c r="AK247" s="641">
        <v>1</v>
      </c>
      <c r="AL247" s="641">
        <f t="shared" si="7"/>
        <v>1</v>
      </c>
      <c r="AM247" s="641">
        <v>1</v>
      </c>
      <c r="AN247" s="30" t="s">
        <v>17650</v>
      </c>
      <c r="AO247" s="30" t="s">
        <v>17651</v>
      </c>
      <c r="AP247" s="30" t="s">
        <v>17652</v>
      </c>
      <c r="AQ247" s="30" t="s">
        <v>17653</v>
      </c>
      <c r="AR247" s="30" t="s">
        <v>1024</v>
      </c>
      <c r="AS247" s="30">
        <v>1</v>
      </c>
    </row>
    <row r="248" spans="1:45" x14ac:dyDescent="0.25">
      <c r="A248" s="30" t="s">
        <v>26089</v>
      </c>
      <c r="B248" s="30" t="s">
        <v>26305</v>
      </c>
      <c r="C248" s="30" t="s">
        <v>3438</v>
      </c>
      <c r="D248" s="139" t="s">
        <v>26160</v>
      </c>
      <c r="E248" s="30" t="s">
        <v>217</v>
      </c>
      <c r="F248" s="30">
        <v>1</v>
      </c>
      <c r="G248" s="30" t="s">
        <v>193</v>
      </c>
      <c r="H248" s="30" t="s">
        <v>194</v>
      </c>
      <c r="I248" s="30" t="s">
        <v>26143</v>
      </c>
      <c r="J248" s="30" t="s">
        <v>4751</v>
      </c>
      <c r="K248" s="30" t="s">
        <v>9309</v>
      </c>
      <c r="L248" s="30" t="s">
        <v>6955</v>
      </c>
      <c r="M248" s="30"/>
      <c r="N248" s="30" t="s">
        <v>26306</v>
      </c>
      <c r="O248" s="30" t="s">
        <v>7120</v>
      </c>
      <c r="P248" s="30" t="s">
        <v>26840</v>
      </c>
      <c r="Q248" s="30" t="s">
        <v>26092</v>
      </c>
      <c r="R248" s="30" t="s">
        <v>26093</v>
      </c>
      <c r="S248" s="30" t="s">
        <v>26960</v>
      </c>
      <c r="T248" s="30" t="s">
        <v>26961</v>
      </c>
      <c r="U248" s="30"/>
      <c r="V248" s="30">
        <v>1862</v>
      </c>
      <c r="W248" s="30" t="s">
        <v>3439</v>
      </c>
      <c r="X248" s="30" t="s">
        <v>194</v>
      </c>
      <c r="Y248" s="30" t="s">
        <v>9300</v>
      </c>
      <c r="Z248" s="30"/>
      <c r="AA248" s="30"/>
      <c r="AB248" s="30" t="s">
        <v>9311</v>
      </c>
      <c r="AC248" s="30"/>
      <c r="AD248" s="30"/>
      <c r="AE248" s="30"/>
      <c r="AF248" s="30"/>
      <c r="AG248" s="30"/>
      <c r="AH248" s="30" t="s">
        <v>4714</v>
      </c>
      <c r="AI248" s="30" t="s">
        <v>9433</v>
      </c>
      <c r="AJ248" s="641" t="str">
        <f t="shared" si="6"/>
        <v>334306</v>
      </c>
      <c r="AK248" s="641">
        <v>1</v>
      </c>
      <c r="AL248" s="641">
        <f t="shared" si="7"/>
        <v>1</v>
      </c>
      <c r="AM248" s="641">
        <v>1</v>
      </c>
      <c r="AN248" s="30" t="s">
        <v>17650</v>
      </c>
      <c r="AO248" s="30" t="s">
        <v>17651</v>
      </c>
      <c r="AP248" s="30" t="s">
        <v>17652</v>
      </c>
      <c r="AQ248" s="30" t="s">
        <v>17653</v>
      </c>
      <c r="AR248" s="30" t="s">
        <v>1024</v>
      </c>
      <c r="AS248" s="30">
        <v>1</v>
      </c>
    </row>
    <row r="249" spans="1:45" x14ac:dyDescent="0.25">
      <c r="A249" s="30" t="s">
        <v>15464</v>
      </c>
      <c r="B249" s="30" t="s">
        <v>16319</v>
      </c>
      <c r="C249" s="30" t="s">
        <v>17</v>
      </c>
      <c r="D249" s="139" t="s">
        <v>26160</v>
      </c>
      <c r="E249" s="30" t="s">
        <v>217</v>
      </c>
      <c r="F249" s="30">
        <v>1</v>
      </c>
      <c r="G249" s="30" t="s">
        <v>193</v>
      </c>
      <c r="H249" s="30" t="s">
        <v>194</v>
      </c>
      <c r="I249" s="30" t="s">
        <v>26143</v>
      </c>
      <c r="J249" s="30" t="s">
        <v>210</v>
      </c>
      <c r="K249" s="30" t="s">
        <v>9309</v>
      </c>
      <c r="L249" s="30" t="s">
        <v>6955</v>
      </c>
      <c r="M249" s="30"/>
      <c r="N249" s="30" t="s">
        <v>22191</v>
      </c>
      <c r="O249" s="30" t="s">
        <v>6269</v>
      </c>
      <c r="P249" s="30" t="s">
        <v>26846</v>
      </c>
      <c r="Q249" s="30" t="s">
        <v>26027</v>
      </c>
      <c r="R249" s="30" t="s">
        <v>26847</v>
      </c>
      <c r="S249" s="30" t="s">
        <v>26962</v>
      </c>
      <c r="T249" s="30" t="s">
        <v>26963</v>
      </c>
      <c r="U249" s="30"/>
      <c r="V249" s="30">
        <v>1863</v>
      </c>
      <c r="W249" s="30" t="s">
        <v>624</v>
      </c>
      <c r="X249" s="30" t="s">
        <v>194</v>
      </c>
      <c r="Y249" s="30" t="s">
        <v>9300</v>
      </c>
      <c r="Z249" s="30"/>
      <c r="AA249" s="30"/>
      <c r="AB249" s="30" t="s">
        <v>9311</v>
      </c>
      <c r="AC249" s="30"/>
      <c r="AD249" s="30"/>
      <c r="AE249" s="30"/>
      <c r="AF249" s="30"/>
      <c r="AG249" s="30"/>
      <c r="AH249" s="30" t="s">
        <v>4714</v>
      </c>
      <c r="AI249" s="30" t="s">
        <v>9433</v>
      </c>
      <c r="AJ249" s="641" t="str">
        <f t="shared" si="6"/>
        <v>332203</v>
      </c>
      <c r="AK249" s="641">
        <v>1</v>
      </c>
      <c r="AL249" s="641">
        <f t="shared" si="7"/>
        <v>1</v>
      </c>
      <c r="AM249" s="641">
        <v>1</v>
      </c>
      <c r="AN249" s="30" t="s">
        <v>17650</v>
      </c>
      <c r="AO249" s="30" t="s">
        <v>17651</v>
      </c>
      <c r="AP249" s="30" t="s">
        <v>17652</v>
      </c>
      <c r="AQ249" s="30" t="s">
        <v>17653</v>
      </c>
      <c r="AR249" s="30" t="s">
        <v>1024</v>
      </c>
      <c r="AS249" s="30">
        <v>1</v>
      </c>
    </row>
    <row r="250" spans="1:45" x14ac:dyDescent="0.25">
      <c r="A250" s="30" t="s">
        <v>9886</v>
      </c>
      <c r="B250" s="30" t="s">
        <v>26179</v>
      </c>
      <c r="C250" s="30" t="s">
        <v>706</v>
      </c>
      <c r="D250" s="139" t="s">
        <v>26160</v>
      </c>
      <c r="E250" s="30" t="s">
        <v>217</v>
      </c>
      <c r="F250" s="30">
        <v>1</v>
      </c>
      <c r="G250" s="30" t="s">
        <v>193</v>
      </c>
      <c r="H250" s="30" t="s">
        <v>194</v>
      </c>
      <c r="I250" s="30" t="s">
        <v>26143</v>
      </c>
      <c r="J250" s="30" t="s">
        <v>210</v>
      </c>
      <c r="K250" s="30" t="s">
        <v>9309</v>
      </c>
      <c r="L250" s="30" t="s">
        <v>6955</v>
      </c>
      <c r="M250" s="30"/>
      <c r="N250" s="30" t="s">
        <v>26181</v>
      </c>
      <c r="O250" s="30" t="s">
        <v>6251</v>
      </c>
      <c r="P250" s="30" t="s">
        <v>26840</v>
      </c>
      <c r="Q250" s="30" t="s">
        <v>26182</v>
      </c>
      <c r="R250" s="30" t="s">
        <v>26183</v>
      </c>
      <c r="S250" s="30" t="s">
        <v>26964</v>
      </c>
      <c r="T250" s="30" t="s">
        <v>26965</v>
      </c>
      <c r="U250" s="30"/>
      <c r="V250" s="30">
        <v>1863</v>
      </c>
      <c r="W250" s="30" t="s">
        <v>707</v>
      </c>
      <c r="X250" s="30" t="s">
        <v>194</v>
      </c>
      <c r="Y250" s="30" t="s">
        <v>9300</v>
      </c>
      <c r="Z250" s="30"/>
      <c r="AA250" s="30"/>
      <c r="AB250" s="30" t="s">
        <v>9311</v>
      </c>
      <c r="AC250" s="30"/>
      <c r="AD250" s="30"/>
      <c r="AE250" s="30"/>
      <c r="AF250" s="30"/>
      <c r="AG250" s="30"/>
      <c r="AH250" s="30" t="s">
        <v>4714</v>
      </c>
      <c r="AI250" s="30" t="s">
        <v>9433</v>
      </c>
      <c r="AJ250" s="641" t="str">
        <f t="shared" si="6"/>
        <v>422201</v>
      </c>
      <c r="AK250" s="641">
        <v>1</v>
      </c>
      <c r="AL250" s="641">
        <f t="shared" si="7"/>
        <v>1</v>
      </c>
      <c r="AM250" s="641">
        <v>1</v>
      </c>
      <c r="AN250" s="30" t="s">
        <v>17650</v>
      </c>
      <c r="AO250" s="30" t="s">
        <v>17651</v>
      </c>
      <c r="AP250" s="30" t="s">
        <v>17652</v>
      </c>
      <c r="AQ250" s="30" t="s">
        <v>17653</v>
      </c>
      <c r="AR250" s="30" t="s">
        <v>1024</v>
      </c>
      <c r="AS250" s="30">
        <v>1</v>
      </c>
    </row>
    <row r="251" spans="1:45" x14ac:dyDescent="0.25">
      <c r="A251" s="30" t="s">
        <v>26089</v>
      </c>
      <c r="B251" s="30" t="s">
        <v>26443</v>
      </c>
      <c r="C251" s="30" t="s">
        <v>10</v>
      </c>
      <c r="D251" s="139" t="s">
        <v>26160</v>
      </c>
      <c r="E251" s="30" t="s">
        <v>217</v>
      </c>
      <c r="F251" s="30">
        <v>1</v>
      </c>
      <c r="G251" s="30" t="s">
        <v>193</v>
      </c>
      <c r="H251" s="30" t="s">
        <v>194</v>
      </c>
      <c r="I251" s="30" t="s">
        <v>26859</v>
      </c>
      <c r="J251" s="30" t="s">
        <v>210</v>
      </c>
      <c r="K251" s="30" t="s">
        <v>9309</v>
      </c>
      <c r="L251" s="30" t="s">
        <v>6955</v>
      </c>
      <c r="M251" s="30"/>
      <c r="N251" s="30" t="s">
        <v>26444</v>
      </c>
      <c r="O251" s="30" t="s">
        <v>6921</v>
      </c>
      <c r="P251" s="30" t="s">
        <v>26840</v>
      </c>
      <c r="Q251" s="30" t="s">
        <v>26120</v>
      </c>
      <c r="R251" s="30" t="s">
        <v>24551</v>
      </c>
      <c r="S251" s="30" t="s">
        <v>26966</v>
      </c>
      <c r="T251" s="30" t="s">
        <v>26967</v>
      </c>
      <c r="U251" s="30"/>
      <c r="V251" s="30">
        <v>1863</v>
      </c>
      <c r="W251" s="30" t="s">
        <v>484</v>
      </c>
      <c r="X251" s="30" t="s">
        <v>194</v>
      </c>
      <c r="Y251" s="30" t="s">
        <v>9300</v>
      </c>
      <c r="Z251" s="30"/>
      <c r="AA251" s="30"/>
      <c r="AB251" s="30" t="s">
        <v>9311</v>
      </c>
      <c r="AC251" s="30"/>
      <c r="AD251" s="30"/>
      <c r="AE251" s="30"/>
      <c r="AF251" s="30"/>
      <c r="AG251" s="30"/>
      <c r="AH251" s="30" t="s">
        <v>4714</v>
      </c>
      <c r="AI251" s="30" t="s">
        <v>9433</v>
      </c>
      <c r="AJ251" s="641" t="str">
        <f t="shared" si="6"/>
        <v>251401</v>
      </c>
      <c r="AK251" s="641">
        <v>1</v>
      </c>
      <c r="AL251" s="641">
        <f t="shared" si="7"/>
        <v>1</v>
      </c>
      <c r="AM251" s="641">
        <v>1</v>
      </c>
      <c r="AN251" s="30" t="s">
        <v>17650</v>
      </c>
      <c r="AO251" s="30" t="s">
        <v>17651</v>
      </c>
      <c r="AP251" s="30" t="s">
        <v>17652</v>
      </c>
      <c r="AQ251" s="30" t="s">
        <v>17653</v>
      </c>
      <c r="AR251" s="30" t="s">
        <v>1024</v>
      </c>
      <c r="AS251" s="30">
        <v>1</v>
      </c>
    </row>
    <row r="252" spans="1:45" x14ac:dyDescent="0.25">
      <c r="A252" s="30" t="s">
        <v>26089</v>
      </c>
      <c r="B252" s="30" t="s">
        <v>12181</v>
      </c>
      <c r="C252" s="30" t="s">
        <v>10</v>
      </c>
      <c r="D252" s="139" t="s">
        <v>26160</v>
      </c>
      <c r="E252" s="30" t="s">
        <v>217</v>
      </c>
      <c r="F252" s="30">
        <v>1</v>
      </c>
      <c r="G252" s="30" t="s">
        <v>193</v>
      </c>
      <c r="H252" s="30" t="s">
        <v>194</v>
      </c>
      <c r="I252" s="30" t="s">
        <v>26143</v>
      </c>
      <c r="J252" s="30" t="s">
        <v>210</v>
      </c>
      <c r="K252" s="30" t="s">
        <v>9309</v>
      </c>
      <c r="L252" s="30" t="s">
        <v>6955</v>
      </c>
      <c r="M252" s="30"/>
      <c r="N252" s="30" t="s">
        <v>26968</v>
      </c>
      <c r="O252" s="30" t="s">
        <v>6261</v>
      </c>
      <c r="P252" s="30" t="s">
        <v>26840</v>
      </c>
      <c r="Q252" s="30" t="s">
        <v>26052</v>
      </c>
      <c r="R252" s="30" t="s">
        <v>26969</v>
      </c>
      <c r="S252" s="30" t="s">
        <v>26970</v>
      </c>
      <c r="T252" s="30" t="s">
        <v>26971</v>
      </c>
      <c r="U252" s="30"/>
      <c r="V252" s="30">
        <v>1863</v>
      </c>
      <c r="W252" s="30" t="s">
        <v>484</v>
      </c>
      <c r="X252" s="30" t="s">
        <v>194</v>
      </c>
      <c r="Y252" s="30" t="s">
        <v>9300</v>
      </c>
      <c r="Z252" s="30"/>
      <c r="AA252" s="30"/>
      <c r="AB252" s="30" t="s">
        <v>9311</v>
      </c>
      <c r="AC252" s="30"/>
      <c r="AD252" s="30"/>
      <c r="AE252" s="30"/>
      <c r="AF252" s="30"/>
      <c r="AG252" s="30"/>
      <c r="AH252" s="30" t="s">
        <v>4714</v>
      </c>
      <c r="AI252" s="30" t="s">
        <v>9433</v>
      </c>
      <c r="AJ252" s="641" t="str">
        <f t="shared" si="6"/>
        <v>251401</v>
      </c>
      <c r="AK252" s="641">
        <v>1</v>
      </c>
      <c r="AL252" s="641">
        <f t="shared" si="7"/>
        <v>1</v>
      </c>
      <c r="AM252" s="641">
        <v>1</v>
      </c>
      <c r="AN252" s="30" t="s">
        <v>17650</v>
      </c>
      <c r="AO252" s="30" t="s">
        <v>17651</v>
      </c>
      <c r="AP252" s="30" t="s">
        <v>17652</v>
      </c>
      <c r="AQ252" s="30" t="s">
        <v>17653</v>
      </c>
      <c r="AR252" s="30" t="s">
        <v>1024</v>
      </c>
      <c r="AS252" s="30">
        <v>1</v>
      </c>
    </row>
    <row r="253" spans="1:45" x14ac:dyDescent="0.25">
      <c r="A253" s="30" t="s">
        <v>26153</v>
      </c>
      <c r="B253" s="30" t="s">
        <v>26587</v>
      </c>
      <c r="C253" s="30" t="s">
        <v>2861</v>
      </c>
      <c r="D253" s="139" t="s">
        <v>26160</v>
      </c>
      <c r="E253" s="30" t="s">
        <v>217</v>
      </c>
      <c r="F253" s="30">
        <v>1</v>
      </c>
      <c r="G253" s="30" t="s">
        <v>193</v>
      </c>
      <c r="H253" s="30" t="s">
        <v>194</v>
      </c>
      <c r="I253" s="30" t="s">
        <v>23198</v>
      </c>
      <c r="J253" s="30" t="s">
        <v>210</v>
      </c>
      <c r="K253" s="30" t="s">
        <v>9309</v>
      </c>
      <c r="L253" s="30" t="s">
        <v>6955</v>
      </c>
      <c r="M253" s="30"/>
      <c r="N253" s="30" t="s">
        <v>26588</v>
      </c>
      <c r="O253" s="30" t="s">
        <v>6261</v>
      </c>
      <c r="P253" s="30" t="s">
        <v>26840</v>
      </c>
      <c r="Q253" s="30" t="s">
        <v>26251</v>
      </c>
      <c r="R253" s="30" t="s">
        <v>26252</v>
      </c>
      <c r="S253" s="30" t="s">
        <v>26972</v>
      </c>
      <c r="T253" s="30" t="s">
        <v>26973</v>
      </c>
      <c r="U253" s="30"/>
      <c r="V253" s="30">
        <v>1863</v>
      </c>
      <c r="W253" s="30" t="s">
        <v>3629</v>
      </c>
      <c r="X253" s="30" t="s">
        <v>194</v>
      </c>
      <c r="Y253" s="30" t="s">
        <v>9300</v>
      </c>
      <c r="Z253" s="30"/>
      <c r="AA253" s="30"/>
      <c r="AB253" s="30" t="s">
        <v>9311</v>
      </c>
      <c r="AC253" s="30"/>
      <c r="AD253" s="30"/>
      <c r="AE253" s="30"/>
      <c r="AF253" s="30"/>
      <c r="AG253" s="30"/>
      <c r="AH253" s="30" t="s">
        <v>4714</v>
      </c>
      <c r="AI253" s="30" t="s">
        <v>9433</v>
      </c>
      <c r="AJ253" s="641" t="str">
        <f t="shared" si="6"/>
        <v>251903</v>
      </c>
      <c r="AK253" s="641">
        <v>1</v>
      </c>
      <c r="AL253" s="641">
        <f t="shared" si="7"/>
        <v>1</v>
      </c>
      <c r="AM253" s="641">
        <v>1</v>
      </c>
      <c r="AN253" s="30" t="s">
        <v>17650</v>
      </c>
      <c r="AO253" s="30" t="s">
        <v>17651</v>
      </c>
      <c r="AP253" s="30" t="s">
        <v>17652</v>
      </c>
      <c r="AQ253" s="30" t="s">
        <v>17653</v>
      </c>
      <c r="AR253" s="30" t="s">
        <v>1024</v>
      </c>
      <c r="AS253" s="30">
        <v>1</v>
      </c>
    </row>
    <row r="254" spans="1:45" x14ac:dyDescent="0.25">
      <c r="A254" s="30" t="s">
        <v>716</v>
      </c>
      <c r="B254" s="30" t="s">
        <v>26282</v>
      </c>
      <c r="C254" s="30" t="s">
        <v>3219</v>
      </c>
      <c r="D254" s="139" t="s">
        <v>26160</v>
      </c>
      <c r="E254" s="30" t="s">
        <v>217</v>
      </c>
      <c r="F254" s="30">
        <v>1</v>
      </c>
      <c r="G254" s="30" t="s">
        <v>193</v>
      </c>
      <c r="H254" s="30" t="s">
        <v>194</v>
      </c>
      <c r="I254" s="30" t="s">
        <v>26143</v>
      </c>
      <c r="J254" s="30" t="s">
        <v>210</v>
      </c>
      <c r="K254" s="30" t="s">
        <v>9309</v>
      </c>
      <c r="L254" s="30" t="s">
        <v>6955</v>
      </c>
      <c r="M254" s="30"/>
      <c r="N254" s="30" t="s">
        <v>26974</v>
      </c>
      <c r="O254" s="30" t="s">
        <v>6290</v>
      </c>
      <c r="P254" s="30" t="s">
        <v>26840</v>
      </c>
      <c r="Q254" s="30" t="s">
        <v>26942</v>
      </c>
      <c r="R254" s="30" t="s">
        <v>23708</v>
      </c>
      <c r="S254" s="30" t="s">
        <v>26975</v>
      </c>
      <c r="T254" s="30" t="s">
        <v>26976</v>
      </c>
      <c r="U254" s="30"/>
      <c r="V254" s="30">
        <v>1863</v>
      </c>
      <c r="W254" s="30" t="s">
        <v>3620</v>
      </c>
      <c r="X254" s="30" t="s">
        <v>194</v>
      </c>
      <c r="Y254" s="30" t="s">
        <v>9300</v>
      </c>
      <c r="Z254" s="30"/>
      <c r="AA254" s="30"/>
      <c r="AB254" s="30" t="s">
        <v>9311</v>
      </c>
      <c r="AC254" s="30"/>
      <c r="AD254" s="30"/>
      <c r="AE254" s="30"/>
      <c r="AF254" s="30"/>
      <c r="AG254" s="30"/>
      <c r="AH254" s="30" t="s">
        <v>4714</v>
      </c>
      <c r="AI254" s="30" t="s">
        <v>9433</v>
      </c>
      <c r="AJ254" s="641" t="str">
        <f t="shared" si="6"/>
        <v>243109</v>
      </c>
      <c r="AK254" s="641">
        <v>1</v>
      </c>
      <c r="AL254" s="641">
        <f t="shared" si="7"/>
        <v>1</v>
      </c>
      <c r="AM254" s="641">
        <v>1</v>
      </c>
      <c r="AN254" s="30" t="s">
        <v>17650</v>
      </c>
      <c r="AO254" s="30" t="s">
        <v>17651</v>
      </c>
      <c r="AP254" s="30" t="s">
        <v>17652</v>
      </c>
      <c r="AQ254" s="30" t="s">
        <v>17653</v>
      </c>
      <c r="AR254" s="30" t="s">
        <v>1024</v>
      </c>
      <c r="AS254" s="30">
        <v>1</v>
      </c>
    </row>
    <row r="255" spans="1:45" x14ac:dyDescent="0.25">
      <c r="A255" s="30" t="s">
        <v>26089</v>
      </c>
      <c r="B255" s="30" t="s">
        <v>26090</v>
      </c>
      <c r="C255" s="30" t="s">
        <v>36</v>
      </c>
      <c r="D255" s="139" t="s">
        <v>26160</v>
      </c>
      <c r="E255" s="30" t="s">
        <v>217</v>
      </c>
      <c r="F255" s="30">
        <v>1</v>
      </c>
      <c r="G255" s="30" t="s">
        <v>193</v>
      </c>
      <c r="H255" s="30" t="s">
        <v>194</v>
      </c>
      <c r="I255" s="30" t="s">
        <v>26143</v>
      </c>
      <c r="J255" s="30" t="s">
        <v>4751</v>
      </c>
      <c r="K255" s="30" t="s">
        <v>9309</v>
      </c>
      <c r="L255" s="30" t="s">
        <v>6955</v>
      </c>
      <c r="M255" s="30"/>
      <c r="N255" s="30" t="s">
        <v>26620</v>
      </c>
      <c r="O255" s="30" t="s">
        <v>7120</v>
      </c>
      <c r="P255" s="30" t="s">
        <v>26840</v>
      </c>
      <c r="Q255" s="30" t="s">
        <v>26092</v>
      </c>
      <c r="R255" s="30" t="s">
        <v>26093</v>
      </c>
      <c r="S255" s="30" t="s">
        <v>26977</v>
      </c>
      <c r="T255" s="30" t="s">
        <v>26978</v>
      </c>
      <c r="U255" s="30"/>
      <c r="V255" s="30">
        <v>1862</v>
      </c>
      <c r="W255" s="30" t="s">
        <v>609</v>
      </c>
      <c r="X255" s="30" t="s">
        <v>194</v>
      </c>
      <c r="Y255" s="30" t="s">
        <v>9300</v>
      </c>
      <c r="Z255" s="30"/>
      <c r="AA255" s="30"/>
      <c r="AB255" s="30" t="s">
        <v>9311</v>
      </c>
      <c r="AC255" s="30"/>
      <c r="AD255" s="30"/>
      <c r="AE255" s="30"/>
      <c r="AF255" s="30"/>
      <c r="AG255" s="30"/>
      <c r="AH255" s="30" t="s">
        <v>4714</v>
      </c>
      <c r="AI255" s="30" t="s">
        <v>9433</v>
      </c>
      <c r="AJ255" s="641" t="str">
        <f t="shared" si="6"/>
        <v>331301</v>
      </c>
      <c r="AK255" s="641">
        <v>1</v>
      </c>
      <c r="AL255" s="641">
        <f t="shared" si="7"/>
        <v>1</v>
      </c>
      <c r="AM255" s="641">
        <v>1</v>
      </c>
      <c r="AN255" s="30" t="s">
        <v>17650</v>
      </c>
      <c r="AO255" s="30" t="s">
        <v>17651</v>
      </c>
      <c r="AP255" s="30" t="s">
        <v>17652</v>
      </c>
      <c r="AQ255" s="30" t="s">
        <v>17653</v>
      </c>
      <c r="AR255" s="30" t="s">
        <v>1024</v>
      </c>
      <c r="AS255" s="30">
        <v>1</v>
      </c>
    </row>
    <row r="256" spans="1:45" x14ac:dyDescent="0.25">
      <c r="A256" s="30" t="s">
        <v>581</v>
      </c>
      <c r="B256" s="30" t="s">
        <v>3873</v>
      </c>
      <c r="C256" s="30" t="s">
        <v>62</v>
      </c>
      <c r="D256" s="139" t="s">
        <v>26160</v>
      </c>
      <c r="E256" s="30" t="s">
        <v>217</v>
      </c>
      <c r="F256" s="30">
        <v>1</v>
      </c>
      <c r="G256" s="30" t="s">
        <v>193</v>
      </c>
      <c r="H256" s="30" t="s">
        <v>194</v>
      </c>
      <c r="I256" s="30" t="s">
        <v>26143</v>
      </c>
      <c r="J256" s="30" t="s">
        <v>976</v>
      </c>
      <c r="K256" s="30" t="s">
        <v>9309</v>
      </c>
      <c r="L256" s="30" t="s">
        <v>6955</v>
      </c>
      <c r="M256" s="30"/>
      <c r="N256" s="30" t="s">
        <v>26979</v>
      </c>
      <c r="O256" s="30" t="s">
        <v>6275</v>
      </c>
      <c r="P256" s="30" t="s">
        <v>26840</v>
      </c>
      <c r="Q256" s="30" t="s">
        <v>26073</v>
      </c>
      <c r="R256" s="30" t="s">
        <v>23708</v>
      </c>
      <c r="S256" s="30" t="s">
        <v>26980</v>
      </c>
      <c r="T256" s="30" t="s">
        <v>26981</v>
      </c>
      <c r="U256" s="139"/>
      <c r="V256" s="139" t="s">
        <v>28321</v>
      </c>
      <c r="W256" s="30" t="s">
        <v>601</v>
      </c>
      <c r="X256" s="30" t="s">
        <v>193</v>
      </c>
      <c r="Y256" s="30" t="s">
        <v>9310</v>
      </c>
      <c r="Z256" s="30"/>
      <c r="AA256" s="30"/>
      <c r="AB256" s="30" t="s">
        <v>9311</v>
      </c>
      <c r="AC256" s="30"/>
      <c r="AD256" s="30"/>
      <c r="AE256" s="30"/>
      <c r="AF256" s="30"/>
      <c r="AG256" s="30"/>
      <c r="AH256" s="30" t="s">
        <v>4714</v>
      </c>
      <c r="AI256" s="30" t="s">
        <v>9433</v>
      </c>
      <c r="AJ256" s="641" t="str">
        <f t="shared" si="6"/>
        <v>313904</v>
      </c>
      <c r="AK256" s="641">
        <v>1</v>
      </c>
      <c r="AL256" s="641">
        <f t="shared" si="7"/>
        <v>1</v>
      </c>
      <c r="AM256" s="641">
        <v>1</v>
      </c>
      <c r="AN256" s="30" t="s">
        <v>17650</v>
      </c>
      <c r="AO256" s="30" t="s">
        <v>17651</v>
      </c>
      <c r="AP256" s="30" t="s">
        <v>17652</v>
      </c>
      <c r="AQ256" s="30" t="s">
        <v>17653</v>
      </c>
      <c r="AR256" s="30" t="s">
        <v>1024</v>
      </c>
      <c r="AS256" s="30">
        <v>1</v>
      </c>
    </row>
    <row r="257" spans="1:45" x14ac:dyDescent="0.25">
      <c r="A257" s="30" t="s">
        <v>716</v>
      </c>
      <c r="B257" s="30" t="s">
        <v>26699</v>
      </c>
      <c r="C257" s="30" t="s">
        <v>706</v>
      </c>
      <c r="D257" s="139" t="s">
        <v>26160</v>
      </c>
      <c r="E257" s="30" t="s">
        <v>217</v>
      </c>
      <c r="F257" s="30">
        <v>1</v>
      </c>
      <c r="G257" s="30" t="s">
        <v>193</v>
      </c>
      <c r="H257" s="30" t="s">
        <v>194</v>
      </c>
      <c r="I257" s="30" t="s">
        <v>26143</v>
      </c>
      <c r="J257" s="30" t="s">
        <v>210</v>
      </c>
      <c r="K257" s="30" t="s">
        <v>9309</v>
      </c>
      <c r="L257" s="30" t="s">
        <v>6955</v>
      </c>
      <c r="M257" s="30"/>
      <c r="N257" s="30" t="s">
        <v>26700</v>
      </c>
      <c r="O257" s="30" t="s">
        <v>6286</v>
      </c>
      <c r="P257" s="30" t="s">
        <v>26840</v>
      </c>
      <c r="Q257" s="30" t="s">
        <v>26261</v>
      </c>
      <c r="R257" s="30" t="s">
        <v>26262</v>
      </c>
      <c r="S257" s="30" t="s">
        <v>26982</v>
      </c>
      <c r="T257" s="30">
        <v>49435354</v>
      </c>
      <c r="U257" s="30"/>
      <c r="V257" s="139">
        <v>1863</v>
      </c>
      <c r="W257" s="30" t="s">
        <v>707</v>
      </c>
      <c r="X257" s="30" t="s">
        <v>194</v>
      </c>
      <c r="Y257" s="30" t="s">
        <v>9300</v>
      </c>
      <c r="Z257" s="30"/>
      <c r="AA257" s="30"/>
      <c r="AB257" s="30" t="s">
        <v>9311</v>
      </c>
      <c r="AC257" s="30"/>
      <c r="AD257" s="30"/>
      <c r="AE257" s="30"/>
      <c r="AF257" s="30"/>
      <c r="AG257" s="30"/>
      <c r="AH257" s="30" t="s">
        <v>4714</v>
      </c>
      <c r="AI257" s="30" t="s">
        <v>9433</v>
      </c>
      <c r="AJ257" s="641" t="str">
        <f t="shared" si="6"/>
        <v>422201</v>
      </c>
      <c r="AK257" s="641">
        <v>1</v>
      </c>
      <c r="AL257" s="641">
        <f t="shared" si="7"/>
        <v>1</v>
      </c>
      <c r="AM257" s="641">
        <v>1</v>
      </c>
      <c r="AN257" s="30" t="s">
        <v>17650</v>
      </c>
      <c r="AO257" s="30" t="s">
        <v>17651</v>
      </c>
      <c r="AP257" s="30" t="s">
        <v>17652</v>
      </c>
      <c r="AQ257" s="30" t="s">
        <v>17653</v>
      </c>
      <c r="AR257" s="30" t="s">
        <v>1024</v>
      </c>
      <c r="AS257" s="30">
        <v>1</v>
      </c>
    </row>
    <row r="258" spans="1:45" x14ac:dyDescent="0.25">
      <c r="A258" s="30" t="s">
        <v>26198</v>
      </c>
      <c r="B258" s="30" t="s">
        <v>26199</v>
      </c>
      <c r="C258" s="30" t="s">
        <v>21</v>
      </c>
      <c r="D258" s="139" t="s">
        <v>26160</v>
      </c>
      <c r="E258" s="30" t="s">
        <v>217</v>
      </c>
      <c r="F258" s="30">
        <v>1</v>
      </c>
      <c r="G258" s="30" t="s">
        <v>193</v>
      </c>
      <c r="H258" s="30" t="s">
        <v>194</v>
      </c>
      <c r="I258" s="30" t="s">
        <v>26133</v>
      </c>
      <c r="J258" s="30" t="s">
        <v>316</v>
      </c>
      <c r="K258" s="30" t="s">
        <v>9309</v>
      </c>
      <c r="L258" s="30" t="s">
        <v>6955</v>
      </c>
      <c r="M258" s="30"/>
      <c r="N258" s="30" t="s">
        <v>26200</v>
      </c>
      <c r="O258" s="30" t="s">
        <v>6256</v>
      </c>
      <c r="P258" s="30" t="s">
        <v>26840</v>
      </c>
      <c r="Q258" s="30" t="s">
        <v>26201</v>
      </c>
      <c r="R258" s="30" t="s">
        <v>24556</v>
      </c>
      <c r="S258" s="30" t="s">
        <v>26983</v>
      </c>
      <c r="T258" s="30" t="s">
        <v>26984</v>
      </c>
      <c r="U258" s="30"/>
      <c r="V258" s="139">
        <v>1818</v>
      </c>
      <c r="W258" s="30" t="s">
        <v>293</v>
      </c>
      <c r="X258" s="30" t="s">
        <v>194</v>
      </c>
      <c r="Y258" s="30" t="s">
        <v>9300</v>
      </c>
      <c r="Z258" s="30"/>
      <c r="AA258" s="30"/>
      <c r="AB258" s="30" t="s">
        <v>9311</v>
      </c>
      <c r="AC258" s="30"/>
      <c r="AD258" s="30"/>
      <c r="AE258" s="30"/>
      <c r="AF258" s="30"/>
      <c r="AG258" s="30"/>
      <c r="AH258" s="30" t="s">
        <v>4714</v>
      </c>
      <c r="AI258" s="30" t="s">
        <v>9433</v>
      </c>
      <c r="AJ258" s="641" t="str">
        <f t="shared" si="6"/>
        <v>214202</v>
      </c>
      <c r="AK258" s="641">
        <v>1</v>
      </c>
      <c r="AL258" s="641">
        <f t="shared" si="7"/>
        <v>1</v>
      </c>
      <c r="AM258" s="641">
        <v>1</v>
      </c>
      <c r="AN258" s="30" t="s">
        <v>17650</v>
      </c>
      <c r="AO258" s="30" t="s">
        <v>17651</v>
      </c>
      <c r="AP258" s="30" t="s">
        <v>17652</v>
      </c>
      <c r="AQ258" s="30" t="s">
        <v>17653</v>
      </c>
      <c r="AR258" s="30" t="s">
        <v>1024</v>
      </c>
      <c r="AS258" s="30">
        <v>1</v>
      </c>
    </row>
    <row r="259" spans="1:45" x14ac:dyDescent="0.25">
      <c r="A259" s="30" t="s">
        <v>26238</v>
      </c>
      <c r="B259" s="30" t="s">
        <v>26239</v>
      </c>
      <c r="C259" s="30" t="s">
        <v>822</v>
      </c>
      <c r="D259" s="139" t="s">
        <v>26160</v>
      </c>
      <c r="E259" s="30" t="s">
        <v>217</v>
      </c>
      <c r="F259" s="30">
        <v>1</v>
      </c>
      <c r="G259" s="30" t="s">
        <v>193</v>
      </c>
      <c r="H259" s="30" t="s">
        <v>194</v>
      </c>
      <c r="I259" s="30" t="s">
        <v>26143</v>
      </c>
      <c r="J259" s="30" t="s">
        <v>210</v>
      </c>
      <c r="K259" s="30" t="s">
        <v>9309</v>
      </c>
      <c r="L259" s="30" t="s">
        <v>6955</v>
      </c>
      <c r="M259" s="30"/>
      <c r="N259" s="30" t="s">
        <v>26240</v>
      </c>
      <c r="O259" s="30" t="s">
        <v>6275</v>
      </c>
      <c r="P259" s="30" t="s">
        <v>26840</v>
      </c>
      <c r="Q259" s="30" t="s">
        <v>26241</v>
      </c>
      <c r="R259" s="30" t="s">
        <v>26242</v>
      </c>
      <c r="S259" s="30" t="s">
        <v>26985</v>
      </c>
      <c r="T259" s="30" t="s">
        <v>26986</v>
      </c>
      <c r="U259" s="30"/>
      <c r="V259" s="139">
        <v>1863</v>
      </c>
      <c r="W259" s="30" t="s">
        <v>823</v>
      </c>
      <c r="X259" s="30" t="s">
        <v>194</v>
      </c>
      <c r="Y259" s="30" t="s">
        <v>9300</v>
      </c>
      <c r="Z259" s="30"/>
      <c r="AA259" s="30"/>
      <c r="AB259" s="30" t="s">
        <v>9311</v>
      </c>
      <c r="AC259" s="30"/>
      <c r="AD259" s="30"/>
      <c r="AE259" s="30"/>
      <c r="AF259" s="30"/>
      <c r="AG259" s="30"/>
      <c r="AH259" s="30" t="s">
        <v>4714</v>
      </c>
      <c r="AI259" s="30" t="s">
        <v>9433</v>
      </c>
      <c r="AJ259" s="641" t="str">
        <f t="shared" ref="AJ259:AJ322" si="8">MID(W259,8,6)</f>
        <v>741103</v>
      </c>
      <c r="AK259" s="641">
        <v>1</v>
      </c>
      <c r="AL259" s="641">
        <f t="shared" ref="AL259:AL322" si="9">F259</f>
        <v>1</v>
      </c>
      <c r="AM259" s="641">
        <v>1</v>
      </c>
      <c r="AN259" s="30" t="s">
        <v>17650</v>
      </c>
      <c r="AO259" s="30" t="s">
        <v>17651</v>
      </c>
      <c r="AP259" s="30" t="s">
        <v>17652</v>
      </c>
      <c r="AQ259" s="30" t="s">
        <v>17653</v>
      </c>
      <c r="AR259" s="30" t="s">
        <v>1024</v>
      </c>
      <c r="AS259" s="30">
        <v>1</v>
      </c>
    </row>
    <row r="260" spans="1:45" x14ac:dyDescent="0.25">
      <c r="A260" s="30" t="s">
        <v>26089</v>
      </c>
      <c r="B260" s="30" t="s">
        <v>26278</v>
      </c>
      <c r="C260" s="30" t="s">
        <v>10</v>
      </c>
      <c r="D260" s="139" t="s">
        <v>26160</v>
      </c>
      <c r="E260" s="30" t="s">
        <v>217</v>
      </c>
      <c r="F260" s="30">
        <v>1</v>
      </c>
      <c r="G260" s="30" t="s">
        <v>193</v>
      </c>
      <c r="H260" s="30" t="s">
        <v>194</v>
      </c>
      <c r="I260" s="30" t="s">
        <v>26859</v>
      </c>
      <c r="J260" s="30" t="s">
        <v>210</v>
      </c>
      <c r="K260" s="30" t="s">
        <v>9309</v>
      </c>
      <c r="L260" s="30" t="s">
        <v>6955</v>
      </c>
      <c r="M260" s="30"/>
      <c r="N260" s="30" t="s">
        <v>26279</v>
      </c>
      <c r="O260" s="30" t="s">
        <v>6261</v>
      </c>
      <c r="P260" s="30" t="s">
        <v>26840</v>
      </c>
      <c r="Q260" s="30" t="s">
        <v>26261</v>
      </c>
      <c r="R260" s="30" t="s">
        <v>26262</v>
      </c>
      <c r="S260" s="30" t="s">
        <v>26987</v>
      </c>
      <c r="T260" s="30" t="s">
        <v>26988</v>
      </c>
      <c r="U260" s="30"/>
      <c r="V260" s="139">
        <v>1863</v>
      </c>
      <c r="W260" s="30" t="s">
        <v>484</v>
      </c>
      <c r="X260" s="30" t="s">
        <v>194</v>
      </c>
      <c r="Y260" s="30" t="s">
        <v>9300</v>
      </c>
      <c r="Z260" s="30"/>
      <c r="AA260" s="30"/>
      <c r="AB260" s="30" t="s">
        <v>9311</v>
      </c>
      <c r="AC260" s="30"/>
      <c r="AD260" s="30"/>
      <c r="AE260" s="30"/>
      <c r="AF260" s="30"/>
      <c r="AG260" s="30"/>
      <c r="AH260" s="30" t="s">
        <v>4714</v>
      </c>
      <c r="AI260" s="30" t="s">
        <v>9433</v>
      </c>
      <c r="AJ260" s="641" t="str">
        <f t="shared" si="8"/>
        <v>251401</v>
      </c>
      <c r="AK260" s="641">
        <v>1</v>
      </c>
      <c r="AL260" s="641">
        <f t="shared" si="9"/>
        <v>1</v>
      </c>
      <c r="AM260" s="641">
        <v>1</v>
      </c>
      <c r="AN260" s="30" t="s">
        <v>17650</v>
      </c>
      <c r="AO260" s="30" t="s">
        <v>17651</v>
      </c>
      <c r="AP260" s="30" t="s">
        <v>17652</v>
      </c>
      <c r="AQ260" s="30" t="s">
        <v>17653</v>
      </c>
      <c r="AR260" s="30" t="s">
        <v>1024</v>
      </c>
      <c r="AS260" s="30">
        <v>1</v>
      </c>
    </row>
    <row r="261" spans="1:45" x14ac:dyDescent="0.25">
      <c r="A261" s="30" t="s">
        <v>26089</v>
      </c>
      <c r="B261" s="30" t="s">
        <v>24788</v>
      </c>
      <c r="C261" s="30" t="s">
        <v>10</v>
      </c>
      <c r="D261" s="139" t="s">
        <v>26160</v>
      </c>
      <c r="E261" s="30" t="s">
        <v>217</v>
      </c>
      <c r="F261" s="30">
        <v>1</v>
      </c>
      <c r="G261" s="30" t="s">
        <v>193</v>
      </c>
      <c r="H261" s="30" t="s">
        <v>194</v>
      </c>
      <c r="I261" s="30" t="s">
        <v>26143</v>
      </c>
      <c r="J261" s="30" t="s">
        <v>210</v>
      </c>
      <c r="K261" s="30" t="s">
        <v>9309</v>
      </c>
      <c r="L261" s="30" t="s">
        <v>6955</v>
      </c>
      <c r="M261" s="30"/>
      <c r="N261" s="30" t="s">
        <v>26571</v>
      </c>
      <c r="O261" s="30" t="s">
        <v>6261</v>
      </c>
      <c r="P261" s="30" t="s">
        <v>26840</v>
      </c>
      <c r="Q261" s="30" t="s">
        <v>26374</v>
      </c>
      <c r="R261" s="30" t="s">
        <v>26375</v>
      </c>
      <c r="S261" s="30" t="s">
        <v>26989</v>
      </c>
      <c r="T261" s="30" t="s">
        <v>26990</v>
      </c>
      <c r="U261" s="30"/>
      <c r="V261" s="139">
        <v>1863</v>
      </c>
      <c r="W261" s="30" t="s">
        <v>484</v>
      </c>
      <c r="X261" s="30" t="s">
        <v>194</v>
      </c>
      <c r="Y261" s="30" t="s">
        <v>9300</v>
      </c>
      <c r="Z261" s="30"/>
      <c r="AA261" s="30"/>
      <c r="AB261" s="30" t="s">
        <v>9311</v>
      </c>
      <c r="AC261" s="30"/>
      <c r="AD261" s="30"/>
      <c r="AE261" s="30"/>
      <c r="AF261" s="30"/>
      <c r="AG261" s="30"/>
      <c r="AH261" s="30" t="s">
        <v>4714</v>
      </c>
      <c r="AI261" s="30" t="s">
        <v>9433</v>
      </c>
      <c r="AJ261" s="641" t="str">
        <f t="shared" si="8"/>
        <v>251401</v>
      </c>
      <c r="AK261" s="641">
        <v>1</v>
      </c>
      <c r="AL261" s="641">
        <f t="shared" si="9"/>
        <v>1</v>
      </c>
      <c r="AM261" s="641">
        <v>1</v>
      </c>
      <c r="AN261" s="30" t="s">
        <v>17650</v>
      </c>
      <c r="AO261" s="30" t="s">
        <v>17651</v>
      </c>
      <c r="AP261" s="30" t="s">
        <v>17652</v>
      </c>
      <c r="AQ261" s="30" t="s">
        <v>17653</v>
      </c>
      <c r="AR261" s="30" t="s">
        <v>1024</v>
      </c>
      <c r="AS261" s="30">
        <v>1</v>
      </c>
    </row>
    <row r="262" spans="1:45" x14ac:dyDescent="0.25">
      <c r="A262" s="30" t="s">
        <v>716</v>
      </c>
      <c r="B262" s="30" t="s">
        <v>26106</v>
      </c>
      <c r="C262" s="30" t="s">
        <v>153</v>
      </c>
      <c r="D262" s="139" t="s">
        <v>26160</v>
      </c>
      <c r="E262" s="30" t="s">
        <v>217</v>
      </c>
      <c r="F262" s="30">
        <v>1</v>
      </c>
      <c r="G262" s="30" t="s">
        <v>193</v>
      </c>
      <c r="H262" s="30" t="s">
        <v>194</v>
      </c>
      <c r="I262" s="30" t="s">
        <v>26143</v>
      </c>
      <c r="J262" s="30" t="s">
        <v>210</v>
      </c>
      <c r="K262" s="30" t="s">
        <v>9309</v>
      </c>
      <c r="L262" s="30" t="s">
        <v>6955</v>
      </c>
      <c r="M262" s="30"/>
      <c r="N262" s="30" t="s">
        <v>26401</v>
      </c>
      <c r="O262" s="30" t="s">
        <v>6290</v>
      </c>
      <c r="P262" s="30" t="s">
        <v>26840</v>
      </c>
      <c r="Q262" s="30" t="s">
        <v>26085</v>
      </c>
      <c r="R262" s="30" t="s">
        <v>26057</v>
      </c>
      <c r="S262" s="30" t="s">
        <v>26991</v>
      </c>
      <c r="T262" s="30" t="s">
        <v>26992</v>
      </c>
      <c r="U262" s="30"/>
      <c r="V262" s="139">
        <v>1863</v>
      </c>
      <c r="W262" s="30" t="s">
        <v>2293</v>
      </c>
      <c r="X262" s="30" t="s">
        <v>194</v>
      </c>
      <c r="Y262" s="30" t="s">
        <v>9300</v>
      </c>
      <c r="Z262" s="30"/>
      <c r="AA262" s="30"/>
      <c r="AB262" s="30" t="s">
        <v>9311</v>
      </c>
      <c r="AC262" s="30"/>
      <c r="AD262" s="30"/>
      <c r="AE262" s="30"/>
      <c r="AF262" s="30"/>
      <c r="AG262" s="30"/>
      <c r="AH262" s="30" t="s">
        <v>4714</v>
      </c>
      <c r="AI262" s="30" t="s">
        <v>9433</v>
      </c>
      <c r="AJ262" s="641" t="str">
        <f t="shared" si="8"/>
        <v>333903</v>
      </c>
      <c r="AK262" s="641">
        <v>1</v>
      </c>
      <c r="AL262" s="641">
        <f t="shared" si="9"/>
        <v>1</v>
      </c>
      <c r="AM262" s="641">
        <v>1</v>
      </c>
      <c r="AN262" s="30" t="s">
        <v>17650</v>
      </c>
      <c r="AO262" s="30" t="s">
        <v>17651</v>
      </c>
      <c r="AP262" s="30" t="s">
        <v>17652</v>
      </c>
      <c r="AQ262" s="30" t="s">
        <v>17653</v>
      </c>
      <c r="AR262" s="30" t="s">
        <v>1024</v>
      </c>
      <c r="AS262" s="30">
        <v>1</v>
      </c>
    </row>
    <row r="263" spans="1:45" x14ac:dyDescent="0.25">
      <c r="A263" s="30" t="s">
        <v>26153</v>
      </c>
      <c r="B263" s="30" t="s">
        <v>1053</v>
      </c>
      <c r="C263" s="30" t="s">
        <v>10</v>
      </c>
      <c r="D263" s="139" t="s">
        <v>26160</v>
      </c>
      <c r="E263" s="30" t="s">
        <v>217</v>
      </c>
      <c r="F263" s="30">
        <v>1</v>
      </c>
      <c r="G263" s="30" t="s">
        <v>193</v>
      </c>
      <c r="H263" s="30" t="s">
        <v>194</v>
      </c>
      <c r="I263" s="30" t="s">
        <v>23198</v>
      </c>
      <c r="J263" s="30" t="s">
        <v>210</v>
      </c>
      <c r="K263" s="30" t="s">
        <v>9309</v>
      </c>
      <c r="L263" s="30" t="s">
        <v>6955</v>
      </c>
      <c r="M263" s="30"/>
      <c r="N263" s="30" t="s">
        <v>26642</v>
      </c>
      <c r="O263" s="30" t="s">
        <v>6261</v>
      </c>
      <c r="P263" s="30" t="s">
        <v>26840</v>
      </c>
      <c r="Q263" s="30" t="s">
        <v>26218</v>
      </c>
      <c r="R263" s="30" t="s">
        <v>26219</v>
      </c>
      <c r="S263" s="30" t="s">
        <v>26993</v>
      </c>
      <c r="T263" s="30" t="s">
        <v>26994</v>
      </c>
      <c r="U263" s="30"/>
      <c r="V263" s="139">
        <v>1863</v>
      </c>
      <c r="W263" s="30" t="s">
        <v>484</v>
      </c>
      <c r="X263" s="30" t="s">
        <v>194</v>
      </c>
      <c r="Y263" s="30" t="s">
        <v>9300</v>
      </c>
      <c r="Z263" s="30"/>
      <c r="AA263" s="30"/>
      <c r="AB263" s="30" t="s">
        <v>9311</v>
      </c>
      <c r="AC263" s="30"/>
      <c r="AD263" s="30"/>
      <c r="AE263" s="30"/>
      <c r="AF263" s="30"/>
      <c r="AG263" s="30"/>
      <c r="AH263" s="30" t="s">
        <v>4714</v>
      </c>
      <c r="AI263" s="30" t="s">
        <v>9433</v>
      </c>
      <c r="AJ263" s="641" t="str">
        <f t="shared" si="8"/>
        <v>251401</v>
      </c>
      <c r="AK263" s="641">
        <v>1</v>
      </c>
      <c r="AL263" s="641">
        <f t="shared" si="9"/>
        <v>1</v>
      </c>
      <c r="AM263" s="641">
        <v>1</v>
      </c>
      <c r="AN263" s="30" t="s">
        <v>17650</v>
      </c>
      <c r="AO263" s="30" t="s">
        <v>17651</v>
      </c>
      <c r="AP263" s="30" t="s">
        <v>17652</v>
      </c>
      <c r="AQ263" s="30" t="s">
        <v>17653</v>
      </c>
      <c r="AR263" s="30" t="s">
        <v>1024</v>
      </c>
      <c r="AS263" s="30">
        <v>1</v>
      </c>
    </row>
    <row r="264" spans="1:45" x14ac:dyDescent="0.25">
      <c r="A264" s="30" t="s">
        <v>26334</v>
      </c>
      <c r="B264" s="30" t="s">
        <v>26335</v>
      </c>
      <c r="C264" s="30" t="s">
        <v>2861</v>
      </c>
      <c r="D264" s="139" t="s">
        <v>26160</v>
      </c>
      <c r="E264" s="30" t="s">
        <v>217</v>
      </c>
      <c r="F264" s="30">
        <v>1</v>
      </c>
      <c r="G264" s="30" t="s">
        <v>193</v>
      </c>
      <c r="H264" s="30" t="s">
        <v>194</v>
      </c>
      <c r="I264" s="30" t="s">
        <v>26143</v>
      </c>
      <c r="J264" s="30" t="s">
        <v>210</v>
      </c>
      <c r="K264" s="30" t="s">
        <v>9309</v>
      </c>
      <c r="L264" s="30" t="s">
        <v>6955</v>
      </c>
      <c r="M264" s="30"/>
      <c r="N264" s="30" t="s">
        <v>26336</v>
      </c>
      <c r="O264" s="30" t="s">
        <v>6261</v>
      </c>
      <c r="P264" s="30" t="s">
        <v>26840</v>
      </c>
      <c r="Q264" s="30" t="s">
        <v>26182</v>
      </c>
      <c r="R264" s="30" t="s">
        <v>26183</v>
      </c>
      <c r="S264" s="30" t="s">
        <v>26995</v>
      </c>
      <c r="T264" s="30" t="s">
        <v>26996</v>
      </c>
      <c r="U264" s="30"/>
      <c r="V264" s="139">
        <v>1863</v>
      </c>
      <c r="W264" s="30" t="s">
        <v>3629</v>
      </c>
      <c r="X264" s="30" t="s">
        <v>194</v>
      </c>
      <c r="Y264" s="30" t="s">
        <v>9300</v>
      </c>
      <c r="Z264" s="30"/>
      <c r="AA264" s="30"/>
      <c r="AB264" s="30" t="s">
        <v>9311</v>
      </c>
      <c r="AC264" s="30"/>
      <c r="AD264" s="30"/>
      <c r="AE264" s="30"/>
      <c r="AF264" s="30"/>
      <c r="AG264" s="30"/>
      <c r="AH264" s="30" t="s">
        <v>4714</v>
      </c>
      <c r="AI264" s="30" t="s">
        <v>9433</v>
      </c>
      <c r="AJ264" s="641" t="str">
        <f t="shared" si="8"/>
        <v>251903</v>
      </c>
      <c r="AK264" s="641">
        <v>1</v>
      </c>
      <c r="AL264" s="641">
        <f t="shared" si="9"/>
        <v>1</v>
      </c>
      <c r="AM264" s="641">
        <v>1</v>
      </c>
      <c r="AN264" s="30" t="s">
        <v>17650</v>
      </c>
      <c r="AO264" s="30" t="s">
        <v>17651</v>
      </c>
      <c r="AP264" s="30" t="s">
        <v>17652</v>
      </c>
      <c r="AQ264" s="30" t="s">
        <v>17653</v>
      </c>
      <c r="AR264" s="30" t="s">
        <v>1024</v>
      </c>
      <c r="AS264" s="30">
        <v>1</v>
      </c>
    </row>
    <row r="265" spans="1:45" x14ac:dyDescent="0.25">
      <c r="A265" s="30" t="s">
        <v>23858</v>
      </c>
      <c r="B265" s="30" t="s">
        <v>23859</v>
      </c>
      <c r="C265" s="30" t="s">
        <v>110</v>
      </c>
      <c r="D265" s="139" t="s">
        <v>26160</v>
      </c>
      <c r="E265" s="30" t="s">
        <v>217</v>
      </c>
      <c r="F265" s="30">
        <v>1</v>
      </c>
      <c r="G265" s="30" t="s">
        <v>193</v>
      </c>
      <c r="H265" s="30" t="s">
        <v>194</v>
      </c>
      <c r="I265" s="30" t="s">
        <v>26143</v>
      </c>
      <c r="J265" s="30" t="s">
        <v>253</v>
      </c>
      <c r="K265" s="30" t="s">
        <v>9309</v>
      </c>
      <c r="L265" s="30" t="s">
        <v>6955</v>
      </c>
      <c r="M265" s="30"/>
      <c r="N265" s="30" t="s">
        <v>26317</v>
      </c>
      <c r="O265" s="30" t="s">
        <v>6275</v>
      </c>
      <c r="P265" s="30" t="s">
        <v>26846</v>
      </c>
      <c r="Q265" s="30" t="s">
        <v>25478</v>
      </c>
      <c r="R265" s="30" t="s">
        <v>26847</v>
      </c>
      <c r="S265" s="30" t="s">
        <v>26997</v>
      </c>
      <c r="T265" s="30" t="s">
        <v>26998</v>
      </c>
      <c r="U265" s="30"/>
      <c r="V265" s="139">
        <v>1811</v>
      </c>
      <c r="W265" s="30" t="s">
        <v>621</v>
      </c>
      <c r="X265" s="30" t="s">
        <v>194</v>
      </c>
      <c r="Y265" s="30" t="s">
        <v>9300</v>
      </c>
      <c r="Z265" s="30"/>
      <c r="AA265" s="30"/>
      <c r="AB265" s="30" t="s">
        <v>9311</v>
      </c>
      <c r="AC265" s="30"/>
      <c r="AD265" s="30"/>
      <c r="AE265" s="30"/>
      <c r="AF265" s="30"/>
      <c r="AG265" s="30"/>
      <c r="AH265" s="30" t="s">
        <v>4714</v>
      </c>
      <c r="AI265" s="30" t="s">
        <v>9433</v>
      </c>
      <c r="AJ265" s="641" t="str">
        <f t="shared" si="8"/>
        <v>332201</v>
      </c>
      <c r="AK265" s="641">
        <v>1</v>
      </c>
      <c r="AL265" s="641">
        <f t="shared" si="9"/>
        <v>1</v>
      </c>
      <c r="AM265" s="641">
        <v>1</v>
      </c>
      <c r="AN265" s="30" t="s">
        <v>17650</v>
      </c>
      <c r="AO265" s="30" t="s">
        <v>17651</v>
      </c>
      <c r="AP265" s="30" t="s">
        <v>17652</v>
      </c>
      <c r="AQ265" s="30" t="s">
        <v>17653</v>
      </c>
      <c r="AR265" s="30" t="s">
        <v>1024</v>
      </c>
      <c r="AS265" s="30">
        <v>1</v>
      </c>
    </row>
    <row r="266" spans="1:45" x14ac:dyDescent="0.25">
      <c r="A266" s="30" t="s">
        <v>716</v>
      </c>
      <c r="B266" s="30" t="s">
        <v>26737</v>
      </c>
      <c r="C266" s="30" t="s">
        <v>136</v>
      </c>
      <c r="D266" s="139" t="s">
        <v>26160</v>
      </c>
      <c r="E266" s="30" t="s">
        <v>217</v>
      </c>
      <c r="F266" s="30">
        <v>1</v>
      </c>
      <c r="G266" s="30" t="s">
        <v>193</v>
      </c>
      <c r="H266" s="30" t="s">
        <v>194</v>
      </c>
      <c r="I266" s="30" t="s">
        <v>26143</v>
      </c>
      <c r="J266" s="30" t="s">
        <v>210</v>
      </c>
      <c r="K266" s="30" t="s">
        <v>9309</v>
      </c>
      <c r="L266" s="30" t="s">
        <v>6955</v>
      </c>
      <c r="M266" s="30"/>
      <c r="N266" s="30" t="s">
        <v>26999</v>
      </c>
      <c r="O266" s="30" t="s">
        <v>6249</v>
      </c>
      <c r="P266" s="30" t="s">
        <v>26840</v>
      </c>
      <c r="Q266" s="30" t="s">
        <v>26881</v>
      </c>
      <c r="R266" s="30" t="s">
        <v>26882</v>
      </c>
      <c r="S266" s="30" t="s">
        <v>27000</v>
      </c>
      <c r="T266" s="30" t="s">
        <v>27001</v>
      </c>
      <c r="U266" s="30"/>
      <c r="V266" s="139">
        <v>1863</v>
      </c>
      <c r="W266" s="30" t="s">
        <v>461</v>
      </c>
      <c r="X266" s="30" t="s">
        <v>194</v>
      </c>
      <c r="Y266" s="30" t="s">
        <v>9300</v>
      </c>
      <c r="Z266" s="30"/>
      <c r="AA266" s="30"/>
      <c r="AB266" s="30" t="s">
        <v>9311</v>
      </c>
      <c r="AC266" s="30"/>
      <c r="AD266" s="30"/>
      <c r="AE266" s="30"/>
      <c r="AF266" s="30"/>
      <c r="AG266" s="30"/>
      <c r="AH266" s="30" t="s">
        <v>4714</v>
      </c>
      <c r="AI266" s="30" t="s">
        <v>9433</v>
      </c>
      <c r="AJ266" s="641" t="str">
        <f t="shared" si="8"/>
        <v>243301</v>
      </c>
      <c r="AK266" s="641">
        <v>1</v>
      </c>
      <c r="AL266" s="641">
        <f t="shared" si="9"/>
        <v>1</v>
      </c>
      <c r="AM266" s="641">
        <v>1</v>
      </c>
      <c r="AN266" s="30" t="s">
        <v>17650</v>
      </c>
      <c r="AO266" s="30" t="s">
        <v>17651</v>
      </c>
      <c r="AP266" s="30" t="s">
        <v>17652</v>
      </c>
      <c r="AQ266" s="30" t="s">
        <v>17653</v>
      </c>
      <c r="AR266" s="30" t="s">
        <v>1024</v>
      </c>
      <c r="AS266" s="30">
        <v>1</v>
      </c>
    </row>
    <row r="267" spans="1:45" x14ac:dyDescent="0.25">
      <c r="A267" s="30" t="s">
        <v>9886</v>
      </c>
      <c r="B267" s="30" t="s">
        <v>26147</v>
      </c>
      <c r="C267" s="30" t="s">
        <v>17</v>
      </c>
      <c r="D267" s="139" t="s">
        <v>26160</v>
      </c>
      <c r="E267" s="30" t="s">
        <v>217</v>
      </c>
      <c r="F267" s="30">
        <v>1</v>
      </c>
      <c r="G267" s="30" t="s">
        <v>193</v>
      </c>
      <c r="H267" s="30" t="s">
        <v>194</v>
      </c>
      <c r="I267" s="30" t="s">
        <v>26143</v>
      </c>
      <c r="J267" s="30" t="s">
        <v>210</v>
      </c>
      <c r="K267" s="30" t="s">
        <v>9309</v>
      </c>
      <c r="L267" s="30" t="s">
        <v>6955</v>
      </c>
      <c r="M267" s="30"/>
      <c r="N267" s="30" t="s">
        <v>26149</v>
      </c>
      <c r="O267" s="30" t="s">
        <v>6275</v>
      </c>
      <c r="P267" s="30" t="s">
        <v>26840</v>
      </c>
      <c r="Q267" s="30" t="s">
        <v>26150</v>
      </c>
      <c r="R267" s="30" t="s">
        <v>23804</v>
      </c>
      <c r="S267" s="30" t="s">
        <v>27002</v>
      </c>
      <c r="T267" s="30" t="s">
        <v>27003</v>
      </c>
      <c r="U267" s="30"/>
      <c r="V267" s="139">
        <v>1863</v>
      </c>
      <c r="W267" s="30" t="s">
        <v>624</v>
      </c>
      <c r="X267" s="30" t="s">
        <v>194</v>
      </c>
      <c r="Y267" s="30" t="s">
        <v>9300</v>
      </c>
      <c r="Z267" s="30"/>
      <c r="AA267" s="30"/>
      <c r="AB267" s="30" t="s">
        <v>9311</v>
      </c>
      <c r="AC267" s="30"/>
      <c r="AD267" s="30"/>
      <c r="AE267" s="30"/>
      <c r="AF267" s="30"/>
      <c r="AG267" s="30"/>
      <c r="AH267" s="30" t="s">
        <v>4714</v>
      </c>
      <c r="AI267" s="30" t="s">
        <v>9433</v>
      </c>
      <c r="AJ267" s="641" t="str">
        <f t="shared" si="8"/>
        <v>332203</v>
      </c>
      <c r="AK267" s="641">
        <v>1</v>
      </c>
      <c r="AL267" s="641">
        <f t="shared" si="9"/>
        <v>1</v>
      </c>
      <c r="AM267" s="641">
        <v>1</v>
      </c>
      <c r="AN267" s="30" t="s">
        <v>17650</v>
      </c>
      <c r="AO267" s="30" t="s">
        <v>17651</v>
      </c>
      <c r="AP267" s="30" t="s">
        <v>17652</v>
      </c>
      <c r="AQ267" s="30" t="s">
        <v>17653</v>
      </c>
      <c r="AR267" s="30" t="s">
        <v>1024</v>
      </c>
      <c r="AS267" s="30">
        <v>1</v>
      </c>
    </row>
    <row r="268" spans="1:45" x14ac:dyDescent="0.25">
      <c r="A268" s="30" t="s">
        <v>26089</v>
      </c>
      <c r="B268" s="30" t="s">
        <v>26268</v>
      </c>
      <c r="C268" s="30" t="s">
        <v>10</v>
      </c>
      <c r="D268" s="139" t="s">
        <v>26160</v>
      </c>
      <c r="E268" s="30" t="s">
        <v>217</v>
      </c>
      <c r="F268" s="30">
        <v>1</v>
      </c>
      <c r="G268" s="30" t="s">
        <v>193</v>
      </c>
      <c r="H268" s="30" t="s">
        <v>194</v>
      </c>
      <c r="I268" s="30" t="s">
        <v>26148</v>
      </c>
      <c r="J268" s="30" t="s">
        <v>210</v>
      </c>
      <c r="K268" s="30" t="s">
        <v>9309</v>
      </c>
      <c r="L268" s="30" t="s">
        <v>6955</v>
      </c>
      <c r="M268" s="30"/>
      <c r="N268" s="30" t="s">
        <v>26719</v>
      </c>
      <c r="O268" s="30" t="s">
        <v>6261</v>
      </c>
      <c r="P268" s="30" t="s">
        <v>26840</v>
      </c>
      <c r="Q268" s="30" t="s">
        <v>26098</v>
      </c>
      <c r="R268" s="30" t="s">
        <v>26231</v>
      </c>
      <c r="S268" s="30" t="s">
        <v>27004</v>
      </c>
      <c r="T268" s="30" t="s">
        <v>27005</v>
      </c>
      <c r="U268" s="30"/>
      <c r="V268" s="139">
        <v>1863</v>
      </c>
      <c r="W268" s="30" t="s">
        <v>484</v>
      </c>
      <c r="X268" s="30" t="s">
        <v>194</v>
      </c>
      <c r="Y268" s="30" t="s">
        <v>9300</v>
      </c>
      <c r="Z268" s="30"/>
      <c r="AA268" s="30"/>
      <c r="AB268" s="30" t="s">
        <v>9311</v>
      </c>
      <c r="AC268" s="30"/>
      <c r="AD268" s="30"/>
      <c r="AE268" s="30"/>
      <c r="AF268" s="30"/>
      <c r="AG268" s="30"/>
      <c r="AH268" s="30" t="s">
        <v>4714</v>
      </c>
      <c r="AI268" s="30" t="s">
        <v>9433</v>
      </c>
      <c r="AJ268" s="641" t="str">
        <f t="shared" si="8"/>
        <v>251401</v>
      </c>
      <c r="AK268" s="641">
        <v>1</v>
      </c>
      <c r="AL268" s="641">
        <f t="shared" si="9"/>
        <v>1</v>
      </c>
      <c r="AM268" s="641">
        <v>1</v>
      </c>
      <c r="AN268" s="30" t="s">
        <v>17650</v>
      </c>
      <c r="AO268" s="30" t="s">
        <v>17651</v>
      </c>
      <c r="AP268" s="30" t="s">
        <v>17652</v>
      </c>
      <c r="AQ268" s="30" t="s">
        <v>17653</v>
      </c>
      <c r="AR268" s="30" t="s">
        <v>1024</v>
      </c>
      <c r="AS268" s="30">
        <v>1</v>
      </c>
    </row>
    <row r="269" spans="1:45" x14ac:dyDescent="0.25">
      <c r="A269" s="30" t="s">
        <v>581</v>
      </c>
      <c r="B269" s="30" t="s">
        <v>20370</v>
      </c>
      <c r="C269" s="30" t="s">
        <v>122</v>
      </c>
      <c r="D269" s="139" t="s">
        <v>26160</v>
      </c>
      <c r="E269" s="30" t="s">
        <v>217</v>
      </c>
      <c r="F269" s="30">
        <v>1</v>
      </c>
      <c r="G269" s="30" t="s">
        <v>193</v>
      </c>
      <c r="H269" s="30" t="s">
        <v>194</v>
      </c>
      <c r="I269" s="30" t="s">
        <v>26859</v>
      </c>
      <c r="J269" s="30" t="s">
        <v>210</v>
      </c>
      <c r="K269" s="30" t="s">
        <v>9309</v>
      </c>
      <c r="L269" s="30" t="s">
        <v>6955</v>
      </c>
      <c r="M269" s="30"/>
      <c r="N269" s="30" t="s">
        <v>27006</v>
      </c>
      <c r="O269" s="30" t="s">
        <v>6249</v>
      </c>
      <c r="P269" s="30" t="s">
        <v>26840</v>
      </c>
      <c r="Q269" s="30" t="s">
        <v>26073</v>
      </c>
      <c r="R269" s="30" t="s">
        <v>23708</v>
      </c>
      <c r="S269" s="30" t="s">
        <v>27007</v>
      </c>
      <c r="T269" s="30" t="s">
        <v>27008</v>
      </c>
      <c r="U269" s="30"/>
      <c r="V269" s="139">
        <v>1863</v>
      </c>
      <c r="W269" s="30" t="s">
        <v>655</v>
      </c>
      <c r="X269" s="30" t="s">
        <v>194</v>
      </c>
      <c r="Y269" s="30" t="s">
        <v>9300</v>
      </c>
      <c r="Z269" s="30"/>
      <c r="AA269" s="30"/>
      <c r="AB269" s="30" t="s">
        <v>9311</v>
      </c>
      <c r="AC269" s="30"/>
      <c r="AD269" s="30"/>
      <c r="AE269" s="30"/>
      <c r="AF269" s="30"/>
      <c r="AG269" s="30"/>
      <c r="AH269" s="30" t="s">
        <v>4714</v>
      </c>
      <c r="AI269" s="30" t="s">
        <v>9433</v>
      </c>
      <c r="AJ269" s="641" t="str">
        <f t="shared" si="8"/>
        <v>332301</v>
      </c>
      <c r="AK269" s="641">
        <v>1</v>
      </c>
      <c r="AL269" s="641">
        <f t="shared" si="9"/>
        <v>1</v>
      </c>
      <c r="AM269" s="641">
        <v>1</v>
      </c>
      <c r="AN269" s="30" t="s">
        <v>17650</v>
      </c>
      <c r="AO269" s="30" t="s">
        <v>17651</v>
      </c>
      <c r="AP269" s="30" t="s">
        <v>17652</v>
      </c>
      <c r="AQ269" s="30" t="s">
        <v>17653</v>
      </c>
      <c r="AR269" s="30" t="s">
        <v>1024</v>
      </c>
      <c r="AS269" s="30">
        <v>1</v>
      </c>
    </row>
    <row r="270" spans="1:45" x14ac:dyDescent="0.25">
      <c r="A270" s="30" t="s">
        <v>716</v>
      </c>
      <c r="B270" s="30" t="s">
        <v>27009</v>
      </c>
      <c r="C270" s="30" t="s">
        <v>706</v>
      </c>
      <c r="D270" s="139" t="s">
        <v>26160</v>
      </c>
      <c r="E270" s="30" t="s">
        <v>217</v>
      </c>
      <c r="F270" s="30">
        <v>1</v>
      </c>
      <c r="G270" s="30" t="s">
        <v>193</v>
      </c>
      <c r="H270" s="30" t="s">
        <v>194</v>
      </c>
      <c r="I270" s="30" t="s">
        <v>26143</v>
      </c>
      <c r="J270" s="30" t="s">
        <v>210</v>
      </c>
      <c r="K270" s="30" t="s">
        <v>9309</v>
      </c>
      <c r="L270" s="30" t="s">
        <v>6955</v>
      </c>
      <c r="M270" s="30"/>
      <c r="N270" s="30" t="s">
        <v>27010</v>
      </c>
      <c r="O270" s="30" t="s">
        <v>6251</v>
      </c>
      <c r="P270" s="30" t="s">
        <v>26840</v>
      </c>
      <c r="Q270" s="30" t="s">
        <v>26881</v>
      </c>
      <c r="R270" s="30" t="s">
        <v>26882</v>
      </c>
      <c r="S270" s="30" t="s">
        <v>27011</v>
      </c>
      <c r="T270" s="30" t="s">
        <v>27012</v>
      </c>
      <c r="U270" s="30"/>
      <c r="V270" s="139">
        <v>1863</v>
      </c>
      <c r="W270" s="30" t="s">
        <v>707</v>
      </c>
      <c r="X270" s="30" t="s">
        <v>194</v>
      </c>
      <c r="Y270" s="30" t="s">
        <v>9300</v>
      </c>
      <c r="Z270" s="30"/>
      <c r="AA270" s="30"/>
      <c r="AB270" s="30" t="s">
        <v>9311</v>
      </c>
      <c r="AC270" s="30"/>
      <c r="AD270" s="30"/>
      <c r="AE270" s="30"/>
      <c r="AF270" s="30"/>
      <c r="AG270" s="30"/>
      <c r="AH270" s="30" t="s">
        <v>4714</v>
      </c>
      <c r="AI270" s="30" t="s">
        <v>9433</v>
      </c>
      <c r="AJ270" s="641" t="str">
        <f t="shared" si="8"/>
        <v>422201</v>
      </c>
      <c r="AK270" s="641">
        <v>1</v>
      </c>
      <c r="AL270" s="641">
        <f t="shared" si="9"/>
        <v>1</v>
      </c>
      <c r="AM270" s="641">
        <v>1</v>
      </c>
      <c r="AN270" s="30" t="s">
        <v>17650</v>
      </c>
      <c r="AO270" s="30" t="s">
        <v>17651</v>
      </c>
      <c r="AP270" s="30" t="s">
        <v>17652</v>
      </c>
      <c r="AQ270" s="30" t="s">
        <v>17653</v>
      </c>
      <c r="AR270" s="30" t="s">
        <v>1024</v>
      </c>
      <c r="AS270" s="30">
        <v>1</v>
      </c>
    </row>
    <row r="271" spans="1:45" x14ac:dyDescent="0.25">
      <c r="A271" s="30" t="s">
        <v>26153</v>
      </c>
      <c r="B271" s="30" t="s">
        <v>26703</v>
      </c>
      <c r="C271" s="30" t="s">
        <v>2861</v>
      </c>
      <c r="D271" s="139" t="s">
        <v>26160</v>
      </c>
      <c r="E271" s="30" t="s">
        <v>217</v>
      </c>
      <c r="F271" s="30">
        <v>1</v>
      </c>
      <c r="G271" s="30" t="s">
        <v>193</v>
      </c>
      <c r="H271" s="30" t="s">
        <v>194</v>
      </c>
      <c r="I271" s="30" t="s">
        <v>23198</v>
      </c>
      <c r="J271" s="30" t="s">
        <v>210</v>
      </c>
      <c r="K271" s="30" t="s">
        <v>9309</v>
      </c>
      <c r="L271" s="30" t="s">
        <v>6955</v>
      </c>
      <c r="M271" s="30"/>
      <c r="N271" s="30" t="s">
        <v>26704</v>
      </c>
      <c r="O271" s="30" t="s">
        <v>6261</v>
      </c>
      <c r="P271" s="30" t="s">
        <v>26840</v>
      </c>
      <c r="Q271" s="30" t="s">
        <v>26120</v>
      </c>
      <c r="R271" s="30" t="s">
        <v>24551</v>
      </c>
      <c r="S271" s="30" t="s">
        <v>27013</v>
      </c>
      <c r="T271" s="30" t="s">
        <v>27014</v>
      </c>
      <c r="U271" s="30"/>
      <c r="V271" s="139">
        <v>1863</v>
      </c>
      <c r="W271" s="30" t="s">
        <v>3629</v>
      </c>
      <c r="X271" s="30" t="s">
        <v>194</v>
      </c>
      <c r="Y271" s="30" t="s">
        <v>9300</v>
      </c>
      <c r="Z271" s="30"/>
      <c r="AA271" s="30"/>
      <c r="AB271" s="30" t="s">
        <v>9311</v>
      </c>
      <c r="AC271" s="30"/>
      <c r="AD271" s="30"/>
      <c r="AE271" s="30"/>
      <c r="AF271" s="30"/>
      <c r="AG271" s="30"/>
      <c r="AH271" s="30" t="s">
        <v>4714</v>
      </c>
      <c r="AI271" s="30" t="s">
        <v>9433</v>
      </c>
      <c r="AJ271" s="641" t="str">
        <f t="shared" si="8"/>
        <v>251903</v>
      </c>
      <c r="AK271" s="641">
        <v>1</v>
      </c>
      <c r="AL271" s="641">
        <f t="shared" si="9"/>
        <v>1</v>
      </c>
      <c r="AM271" s="641">
        <v>1</v>
      </c>
      <c r="AN271" s="30" t="s">
        <v>17650</v>
      </c>
      <c r="AO271" s="30" t="s">
        <v>17651</v>
      </c>
      <c r="AP271" s="30" t="s">
        <v>17652</v>
      </c>
      <c r="AQ271" s="30" t="s">
        <v>17653</v>
      </c>
      <c r="AR271" s="30" t="s">
        <v>1024</v>
      </c>
      <c r="AS271" s="30">
        <v>1</v>
      </c>
    </row>
    <row r="272" spans="1:45" x14ac:dyDescent="0.25">
      <c r="A272" s="30" t="s">
        <v>26153</v>
      </c>
      <c r="B272" s="30" t="s">
        <v>27015</v>
      </c>
      <c r="C272" s="30" t="s">
        <v>10</v>
      </c>
      <c r="D272" s="139" t="s">
        <v>26160</v>
      </c>
      <c r="E272" s="30" t="s">
        <v>217</v>
      </c>
      <c r="F272" s="30">
        <v>1</v>
      </c>
      <c r="G272" s="30" t="s">
        <v>193</v>
      </c>
      <c r="H272" s="30" t="s">
        <v>194</v>
      </c>
      <c r="I272" s="30" t="s">
        <v>26143</v>
      </c>
      <c r="J272" s="30" t="s">
        <v>210</v>
      </c>
      <c r="K272" s="30" t="s">
        <v>9309</v>
      </c>
      <c r="L272" s="30" t="s">
        <v>6955</v>
      </c>
      <c r="M272" s="30"/>
      <c r="N272" s="30" t="s">
        <v>27016</v>
      </c>
      <c r="O272" s="30" t="s">
        <v>6261</v>
      </c>
      <c r="P272" s="30" t="s">
        <v>26840</v>
      </c>
      <c r="Q272" s="30" t="s">
        <v>26881</v>
      </c>
      <c r="R272" s="30" t="s">
        <v>26882</v>
      </c>
      <c r="S272" s="30" t="s">
        <v>27017</v>
      </c>
      <c r="T272" s="30" t="s">
        <v>27018</v>
      </c>
      <c r="U272" s="30"/>
      <c r="V272" s="139">
        <v>1863</v>
      </c>
      <c r="W272" s="30" t="s">
        <v>484</v>
      </c>
      <c r="X272" s="30" t="s">
        <v>194</v>
      </c>
      <c r="Y272" s="30" t="s">
        <v>9300</v>
      </c>
      <c r="Z272" s="30"/>
      <c r="AA272" s="30"/>
      <c r="AB272" s="30" t="s">
        <v>9311</v>
      </c>
      <c r="AC272" s="30"/>
      <c r="AD272" s="30"/>
      <c r="AE272" s="30"/>
      <c r="AF272" s="30"/>
      <c r="AG272" s="30"/>
      <c r="AH272" s="30" t="s">
        <v>4714</v>
      </c>
      <c r="AI272" s="30" t="s">
        <v>9433</v>
      </c>
      <c r="AJ272" s="641" t="str">
        <f t="shared" si="8"/>
        <v>251401</v>
      </c>
      <c r="AK272" s="641">
        <v>1</v>
      </c>
      <c r="AL272" s="641">
        <f t="shared" si="9"/>
        <v>1</v>
      </c>
      <c r="AM272" s="641">
        <v>1</v>
      </c>
      <c r="AN272" s="30" t="s">
        <v>17650</v>
      </c>
      <c r="AO272" s="30" t="s">
        <v>17651</v>
      </c>
      <c r="AP272" s="30" t="s">
        <v>17652</v>
      </c>
      <c r="AQ272" s="30" t="s">
        <v>17653</v>
      </c>
      <c r="AR272" s="30" t="s">
        <v>1024</v>
      </c>
      <c r="AS272" s="30">
        <v>1</v>
      </c>
    </row>
    <row r="273" spans="1:45" x14ac:dyDescent="0.25">
      <c r="A273" s="30" t="s">
        <v>26089</v>
      </c>
      <c r="B273" s="30" t="s">
        <v>27019</v>
      </c>
      <c r="C273" s="30" t="s">
        <v>10</v>
      </c>
      <c r="D273" s="139" t="s">
        <v>26160</v>
      </c>
      <c r="E273" s="30" t="s">
        <v>217</v>
      </c>
      <c r="F273" s="30">
        <v>1</v>
      </c>
      <c r="G273" s="30" t="s">
        <v>193</v>
      </c>
      <c r="H273" s="30" t="s">
        <v>194</v>
      </c>
      <c r="I273" s="30" t="s">
        <v>26143</v>
      </c>
      <c r="J273" s="30" t="s">
        <v>210</v>
      </c>
      <c r="K273" s="30" t="s">
        <v>9309</v>
      </c>
      <c r="L273" s="30" t="s">
        <v>6955</v>
      </c>
      <c r="M273" s="30"/>
      <c r="N273" s="30" t="s">
        <v>27020</v>
      </c>
      <c r="O273" s="30" t="s">
        <v>6261</v>
      </c>
      <c r="P273" s="30" t="s">
        <v>26840</v>
      </c>
      <c r="Q273" s="30" t="s">
        <v>26073</v>
      </c>
      <c r="R273" s="30" t="s">
        <v>27021</v>
      </c>
      <c r="S273" s="30" t="s">
        <v>27022</v>
      </c>
      <c r="T273" s="30" t="s">
        <v>27023</v>
      </c>
      <c r="U273" s="30"/>
      <c r="V273" s="139">
        <v>1863</v>
      </c>
      <c r="W273" s="30" t="s">
        <v>484</v>
      </c>
      <c r="X273" s="30" t="s">
        <v>194</v>
      </c>
      <c r="Y273" s="30" t="s">
        <v>9300</v>
      </c>
      <c r="Z273" s="30"/>
      <c r="AA273" s="30"/>
      <c r="AB273" s="30" t="s">
        <v>9311</v>
      </c>
      <c r="AC273" s="30"/>
      <c r="AD273" s="30"/>
      <c r="AE273" s="30"/>
      <c r="AF273" s="30"/>
      <c r="AG273" s="30"/>
      <c r="AH273" s="30" t="s">
        <v>4714</v>
      </c>
      <c r="AI273" s="30" t="s">
        <v>9433</v>
      </c>
      <c r="AJ273" s="641" t="str">
        <f t="shared" si="8"/>
        <v>251401</v>
      </c>
      <c r="AK273" s="641">
        <v>1</v>
      </c>
      <c r="AL273" s="641">
        <f t="shared" si="9"/>
        <v>1</v>
      </c>
      <c r="AM273" s="641">
        <v>1</v>
      </c>
      <c r="AN273" s="30" t="s">
        <v>17650</v>
      </c>
      <c r="AO273" s="30" t="s">
        <v>17651</v>
      </c>
      <c r="AP273" s="30" t="s">
        <v>17652</v>
      </c>
      <c r="AQ273" s="30" t="s">
        <v>17653</v>
      </c>
      <c r="AR273" s="30" t="s">
        <v>1024</v>
      </c>
      <c r="AS273" s="30">
        <v>1</v>
      </c>
    </row>
    <row r="274" spans="1:45" x14ac:dyDescent="0.25">
      <c r="A274" s="30" t="s">
        <v>581</v>
      </c>
      <c r="B274" s="30" t="s">
        <v>27024</v>
      </c>
      <c r="C274" s="30" t="s">
        <v>67</v>
      </c>
      <c r="D274" s="139" t="s">
        <v>26160</v>
      </c>
      <c r="E274" s="30" t="s">
        <v>217</v>
      </c>
      <c r="F274" s="30">
        <v>1</v>
      </c>
      <c r="G274" s="30" t="s">
        <v>193</v>
      </c>
      <c r="H274" s="30" t="s">
        <v>194</v>
      </c>
      <c r="I274" s="30" t="s">
        <v>26143</v>
      </c>
      <c r="J274" s="30" t="s">
        <v>976</v>
      </c>
      <c r="K274" s="30" t="s">
        <v>9309</v>
      </c>
      <c r="L274" s="30" t="s">
        <v>6955</v>
      </c>
      <c r="M274" s="30"/>
      <c r="N274" s="30" t="s">
        <v>27025</v>
      </c>
      <c r="O274" s="30" t="s">
        <v>6275</v>
      </c>
      <c r="P274" s="30" t="s">
        <v>26840</v>
      </c>
      <c r="Q274" s="30" t="s">
        <v>26052</v>
      </c>
      <c r="R274" s="30" t="s">
        <v>26262</v>
      </c>
      <c r="S274" s="30" t="s">
        <v>27026</v>
      </c>
      <c r="T274" s="30" t="s">
        <v>27027</v>
      </c>
      <c r="U274" s="139"/>
      <c r="V274" s="139" t="s">
        <v>28321</v>
      </c>
      <c r="W274" s="30" t="s">
        <v>709</v>
      </c>
      <c r="X274" s="30" t="s">
        <v>193</v>
      </c>
      <c r="Y274" s="30" t="s">
        <v>9310</v>
      </c>
      <c r="Z274" s="30"/>
      <c r="AA274" s="30"/>
      <c r="AB274" s="30" t="s">
        <v>9311</v>
      </c>
      <c r="AC274" s="30"/>
      <c r="AD274" s="30"/>
      <c r="AE274" s="30"/>
      <c r="AF274" s="30"/>
      <c r="AG274" s="30"/>
      <c r="AH274" s="30" t="s">
        <v>4714</v>
      </c>
      <c r="AI274" s="30" t="s">
        <v>9433</v>
      </c>
      <c r="AJ274" s="641" t="str">
        <f t="shared" si="8"/>
        <v>432103</v>
      </c>
      <c r="AK274" s="641">
        <v>1</v>
      </c>
      <c r="AL274" s="641">
        <f t="shared" si="9"/>
        <v>1</v>
      </c>
      <c r="AM274" s="641">
        <v>1</v>
      </c>
      <c r="AN274" s="30" t="s">
        <v>17650</v>
      </c>
      <c r="AO274" s="30" t="s">
        <v>17651</v>
      </c>
      <c r="AP274" s="30" t="s">
        <v>17652</v>
      </c>
      <c r="AQ274" s="30" t="s">
        <v>17653</v>
      </c>
      <c r="AR274" s="30" t="s">
        <v>1024</v>
      </c>
      <c r="AS274" s="30">
        <v>1</v>
      </c>
    </row>
    <row r="275" spans="1:45" x14ac:dyDescent="0.25">
      <c r="A275" s="30" t="s">
        <v>716</v>
      </c>
      <c r="B275" s="30" t="s">
        <v>26132</v>
      </c>
      <c r="C275" s="30" t="s">
        <v>24125</v>
      </c>
      <c r="D275" s="139" t="s">
        <v>26160</v>
      </c>
      <c r="E275" s="30" t="s">
        <v>217</v>
      </c>
      <c r="F275" s="30">
        <v>1</v>
      </c>
      <c r="G275" s="30" t="s">
        <v>193</v>
      </c>
      <c r="H275" s="30" t="s">
        <v>194</v>
      </c>
      <c r="I275" s="30" t="s">
        <v>26133</v>
      </c>
      <c r="J275" s="30" t="s">
        <v>210</v>
      </c>
      <c r="K275" s="30" t="s">
        <v>9309</v>
      </c>
      <c r="L275" s="30" t="s">
        <v>6955</v>
      </c>
      <c r="M275" s="30"/>
      <c r="N275" s="30" t="s">
        <v>27028</v>
      </c>
      <c r="O275" s="30" t="s">
        <v>6290</v>
      </c>
      <c r="P275" s="30" t="s">
        <v>26840</v>
      </c>
      <c r="Q275" s="30" t="s">
        <v>26942</v>
      </c>
      <c r="R275" s="30" t="s">
        <v>23708</v>
      </c>
      <c r="S275" s="30" t="s">
        <v>27029</v>
      </c>
      <c r="T275" s="30" t="s">
        <v>27030</v>
      </c>
      <c r="U275" s="30"/>
      <c r="V275" s="139">
        <v>1863</v>
      </c>
      <c r="W275" s="30" t="s">
        <v>24129</v>
      </c>
      <c r="X275" s="30" t="s">
        <v>194</v>
      </c>
      <c r="Y275" s="30" t="s">
        <v>9300</v>
      </c>
      <c r="Z275" s="30"/>
      <c r="AA275" s="30"/>
      <c r="AB275" s="30" t="s">
        <v>9311</v>
      </c>
      <c r="AC275" s="30"/>
      <c r="AD275" s="30"/>
      <c r="AE275" s="30"/>
      <c r="AF275" s="30"/>
      <c r="AG275" s="30"/>
      <c r="AH275" s="30" t="s">
        <v>4714</v>
      </c>
      <c r="AI275" s="30" t="s">
        <v>9433</v>
      </c>
      <c r="AJ275" s="641" t="str">
        <f t="shared" si="8"/>
        <v>351401</v>
      </c>
      <c r="AK275" s="641">
        <v>1</v>
      </c>
      <c r="AL275" s="641">
        <f>F275</f>
        <v>1</v>
      </c>
      <c r="AM275" s="641">
        <v>1</v>
      </c>
      <c r="AN275" s="30" t="s">
        <v>17650</v>
      </c>
      <c r="AO275" s="30" t="s">
        <v>17651</v>
      </c>
      <c r="AP275" s="30" t="s">
        <v>17652</v>
      </c>
      <c r="AQ275" s="30" t="s">
        <v>17653</v>
      </c>
      <c r="AR275" s="30" t="s">
        <v>1024</v>
      </c>
      <c r="AS275" s="30">
        <v>1</v>
      </c>
    </row>
    <row r="276" spans="1:45" x14ac:dyDescent="0.25">
      <c r="A276" s="30" t="s">
        <v>26153</v>
      </c>
      <c r="B276" s="30" t="s">
        <v>26563</v>
      </c>
      <c r="C276" s="30" t="s">
        <v>10</v>
      </c>
      <c r="D276" s="139" t="s">
        <v>26160</v>
      </c>
      <c r="E276" s="30" t="s">
        <v>217</v>
      </c>
      <c r="F276" s="30">
        <v>1</v>
      </c>
      <c r="G276" s="30" t="s">
        <v>193</v>
      </c>
      <c r="H276" s="30" t="s">
        <v>194</v>
      </c>
      <c r="I276" s="30" t="s">
        <v>26143</v>
      </c>
      <c r="J276" s="30" t="s">
        <v>210</v>
      </c>
      <c r="K276" s="30" t="s">
        <v>9309</v>
      </c>
      <c r="L276" s="30" t="s">
        <v>6955</v>
      </c>
      <c r="M276" s="30"/>
      <c r="N276" s="30" t="s">
        <v>26564</v>
      </c>
      <c r="O276" s="30" t="s">
        <v>6261</v>
      </c>
      <c r="P276" s="30" t="s">
        <v>26840</v>
      </c>
      <c r="Q276" s="30" t="s">
        <v>26251</v>
      </c>
      <c r="R276" s="30" t="s">
        <v>26252</v>
      </c>
      <c r="S276" s="30" t="s">
        <v>27031</v>
      </c>
      <c r="T276" s="30" t="s">
        <v>27032</v>
      </c>
      <c r="U276" s="30"/>
      <c r="V276" s="139">
        <v>1863</v>
      </c>
      <c r="W276" s="30" t="s">
        <v>484</v>
      </c>
      <c r="X276" s="30" t="s">
        <v>194</v>
      </c>
      <c r="Y276" s="30" t="s">
        <v>9300</v>
      </c>
      <c r="Z276" s="30"/>
      <c r="AA276" s="30"/>
      <c r="AB276" s="30" t="s">
        <v>9311</v>
      </c>
      <c r="AC276" s="30"/>
      <c r="AD276" s="30"/>
      <c r="AE276" s="30"/>
      <c r="AF276" s="30"/>
      <c r="AG276" s="30"/>
      <c r="AH276" s="30" t="s">
        <v>4714</v>
      </c>
      <c r="AI276" s="30" t="s">
        <v>9433</v>
      </c>
      <c r="AJ276" s="641" t="str">
        <f t="shared" si="8"/>
        <v>251401</v>
      </c>
      <c r="AK276" s="641">
        <v>1</v>
      </c>
      <c r="AL276" s="641">
        <f t="shared" si="9"/>
        <v>1</v>
      </c>
      <c r="AM276" s="641">
        <v>1</v>
      </c>
      <c r="AN276" s="30" t="s">
        <v>17650</v>
      </c>
      <c r="AO276" s="30" t="s">
        <v>17651</v>
      </c>
      <c r="AP276" s="30" t="s">
        <v>17652</v>
      </c>
      <c r="AQ276" s="30" t="s">
        <v>17653</v>
      </c>
      <c r="AR276" s="30" t="s">
        <v>1024</v>
      </c>
      <c r="AS276" s="30">
        <v>1</v>
      </c>
    </row>
    <row r="277" spans="1:45" x14ac:dyDescent="0.25">
      <c r="A277" s="30" t="s">
        <v>26153</v>
      </c>
      <c r="B277" s="30" t="s">
        <v>26741</v>
      </c>
      <c r="C277" s="30" t="s">
        <v>61</v>
      </c>
      <c r="D277" s="139" t="s">
        <v>26160</v>
      </c>
      <c r="E277" s="30" t="s">
        <v>217</v>
      </c>
      <c r="F277" s="30">
        <v>1</v>
      </c>
      <c r="G277" s="30" t="s">
        <v>193</v>
      </c>
      <c r="H277" s="30" t="s">
        <v>194</v>
      </c>
      <c r="I277" s="30" t="s">
        <v>26148</v>
      </c>
      <c r="J277" s="30" t="s">
        <v>210</v>
      </c>
      <c r="K277" s="30" t="s">
        <v>9309</v>
      </c>
      <c r="L277" s="30" t="s">
        <v>6955</v>
      </c>
      <c r="M277" s="30"/>
      <c r="N277" s="30" t="s">
        <v>26742</v>
      </c>
      <c r="O277" s="30" t="s">
        <v>6261</v>
      </c>
      <c r="P277" s="30" t="s">
        <v>26840</v>
      </c>
      <c r="Q277" s="30" t="s">
        <v>26189</v>
      </c>
      <c r="R277" s="30" t="s">
        <v>26190</v>
      </c>
      <c r="S277" s="30" t="s">
        <v>27033</v>
      </c>
      <c r="T277" s="30" t="s">
        <v>27034</v>
      </c>
      <c r="U277" s="30"/>
      <c r="V277" s="139">
        <v>1863</v>
      </c>
      <c r="W277" s="30" t="s">
        <v>2282</v>
      </c>
      <c r="X277" s="30" t="s">
        <v>194</v>
      </c>
      <c r="Y277" s="30" t="s">
        <v>9300</v>
      </c>
      <c r="Z277" s="30"/>
      <c r="AA277" s="30"/>
      <c r="AB277" s="30" t="s">
        <v>9311</v>
      </c>
      <c r="AC277" s="30"/>
      <c r="AD277" s="30"/>
      <c r="AE277" s="30"/>
      <c r="AF277" s="30"/>
      <c r="AG277" s="30"/>
      <c r="AH277" s="30" t="s">
        <v>4714</v>
      </c>
      <c r="AI277" s="30" t="s">
        <v>9433</v>
      </c>
      <c r="AJ277" s="641" t="str">
        <f t="shared" si="8"/>
        <v>251103</v>
      </c>
      <c r="AK277" s="641">
        <v>1</v>
      </c>
      <c r="AL277" s="641">
        <f t="shared" si="9"/>
        <v>1</v>
      </c>
      <c r="AM277" s="641">
        <v>1</v>
      </c>
      <c r="AN277" s="30" t="s">
        <v>17650</v>
      </c>
      <c r="AO277" s="30" t="s">
        <v>17651</v>
      </c>
      <c r="AP277" s="30" t="s">
        <v>17652</v>
      </c>
      <c r="AQ277" s="30" t="s">
        <v>17653</v>
      </c>
      <c r="AR277" s="30" t="s">
        <v>1024</v>
      </c>
      <c r="AS277" s="30">
        <v>1</v>
      </c>
    </row>
    <row r="278" spans="1:45" x14ac:dyDescent="0.25">
      <c r="A278" s="30" t="s">
        <v>26153</v>
      </c>
      <c r="B278" s="30" t="s">
        <v>26752</v>
      </c>
      <c r="C278" s="30" t="s">
        <v>2861</v>
      </c>
      <c r="D278" s="139" t="s">
        <v>26160</v>
      </c>
      <c r="E278" s="30" t="s">
        <v>217</v>
      </c>
      <c r="F278" s="30">
        <v>1</v>
      </c>
      <c r="G278" s="30" t="s">
        <v>193</v>
      </c>
      <c r="H278" s="30" t="s">
        <v>194</v>
      </c>
      <c r="I278" s="30" t="s">
        <v>23198</v>
      </c>
      <c r="J278" s="30" t="s">
        <v>210</v>
      </c>
      <c r="K278" s="30" t="s">
        <v>9309</v>
      </c>
      <c r="L278" s="30" t="s">
        <v>6955</v>
      </c>
      <c r="M278" s="30"/>
      <c r="N278" s="30" t="s">
        <v>27035</v>
      </c>
      <c r="O278" s="30" t="s">
        <v>6261</v>
      </c>
      <c r="P278" s="30" t="s">
        <v>26840</v>
      </c>
      <c r="Q278" s="30" t="s">
        <v>26881</v>
      </c>
      <c r="R278" s="30" t="s">
        <v>26882</v>
      </c>
      <c r="S278" s="30" t="s">
        <v>27036</v>
      </c>
      <c r="T278" s="30" t="s">
        <v>27037</v>
      </c>
      <c r="U278" s="30"/>
      <c r="V278" s="139">
        <v>1863</v>
      </c>
      <c r="W278" s="30" t="s">
        <v>3629</v>
      </c>
      <c r="X278" s="30" t="s">
        <v>194</v>
      </c>
      <c r="Y278" s="30" t="s">
        <v>9300</v>
      </c>
      <c r="Z278" s="30"/>
      <c r="AA278" s="30"/>
      <c r="AB278" s="30" t="s">
        <v>9311</v>
      </c>
      <c r="AC278" s="30"/>
      <c r="AD278" s="30"/>
      <c r="AE278" s="30"/>
      <c r="AF278" s="30"/>
      <c r="AG278" s="30"/>
      <c r="AH278" s="30" t="s">
        <v>4714</v>
      </c>
      <c r="AI278" s="30" t="s">
        <v>9433</v>
      </c>
      <c r="AJ278" s="641" t="str">
        <f t="shared" si="8"/>
        <v>251903</v>
      </c>
      <c r="AK278" s="641">
        <v>1</v>
      </c>
      <c r="AL278" s="641">
        <f t="shared" si="9"/>
        <v>1</v>
      </c>
      <c r="AM278" s="641">
        <v>1</v>
      </c>
      <c r="AN278" s="30" t="s">
        <v>17650</v>
      </c>
      <c r="AO278" s="30" t="s">
        <v>17651</v>
      </c>
      <c r="AP278" s="30" t="s">
        <v>17652</v>
      </c>
      <c r="AQ278" s="30" t="s">
        <v>17653</v>
      </c>
      <c r="AR278" s="30" t="s">
        <v>1024</v>
      </c>
      <c r="AS278" s="30">
        <v>1</v>
      </c>
    </row>
    <row r="279" spans="1:45" x14ac:dyDescent="0.25">
      <c r="A279" s="30" t="s">
        <v>258</v>
      </c>
      <c r="B279" s="30" t="s">
        <v>7677</v>
      </c>
      <c r="C279" s="30" t="s">
        <v>778</v>
      </c>
      <c r="D279" s="139" t="s">
        <v>26160</v>
      </c>
      <c r="E279" s="30" t="s">
        <v>217</v>
      </c>
      <c r="F279" s="30">
        <v>1</v>
      </c>
      <c r="G279" s="30" t="s">
        <v>193</v>
      </c>
      <c r="H279" s="30" t="s">
        <v>194</v>
      </c>
      <c r="I279" s="30" t="s">
        <v>26077</v>
      </c>
      <c r="J279" s="30" t="s">
        <v>316</v>
      </c>
      <c r="K279" s="30" t="s">
        <v>9309</v>
      </c>
      <c r="L279" s="30" t="s">
        <v>6955</v>
      </c>
      <c r="M279" s="30"/>
      <c r="N279" s="30" t="s">
        <v>26339</v>
      </c>
      <c r="O279" s="30" t="s">
        <v>6251</v>
      </c>
      <c r="P279" s="30" t="s">
        <v>26816</v>
      </c>
      <c r="Q279" s="30" t="s">
        <v>26261</v>
      </c>
      <c r="R279" s="30" t="s">
        <v>26262</v>
      </c>
      <c r="S279" s="30" t="s">
        <v>27038</v>
      </c>
      <c r="T279" s="30" t="s">
        <v>27039</v>
      </c>
      <c r="U279" s="30"/>
      <c r="V279" s="30">
        <v>1818</v>
      </c>
      <c r="W279" s="30" t="s">
        <v>779</v>
      </c>
      <c r="X279" s="30" t="s">
        <v>194</v>
      </c>
      <c r="Y279" s="30" t="s">
        <v>9300</v>
      </c>
      <c r="Z279" s="30"/>
      <c r="AA279" s="30"/>
      <c r="AB279" s="30" t="s">
        <v>9311</v>
      </c>
      <c r="AC279" s="30"/>
      <c r="AD279" s="30"/>
      <c r="AE279" s="30"/>
      <c r="AF279" s="30"/>
      <c r="AG279" s="30"/>
      <c r="AH279" s="30" t="s">
        <v>4714</v>
      </c>
      <c r="AI279" s="30" t="s">
        <v>778</v>
      </c>
      <c r="AJ279" s="641" t="str">
        <f t="shared" si="8"/>
        <v>524902</v>
      </c>
      <c r="AK279" s="641">
        <v>1</v>
      </c>
      <c r="AL279" s="641">
        <f t="shared" si="9"/>
        <v>1</v>
      </c>
      <c r="AM279" s="641">
        <v>1</v>
      </c>
      <c r="AN279" s="30" t="s">
        <v>17650</v>
      </c>
      <c r="AO279" s="30" t="s">
        <v>17651</v>
      </c>
      <c r="AP279" s="30" t="s">
        <v>17652</v>
      </c>
      <c r="AQ279" s="30" t="s">
        <v>17653</v>
      </c>
      <c r="AR279" s="30" t="s">
        <v>1024</v>
      </c>
      <c r="AS279" s="30">
        <v>1</v>
      </c>
    </row>
    <row r="280" spans="1:45" x14ac:dyDescent="0.25">
      <c r="A280" s="30" t="s">
        <v>26089</v>
      </c>
      <c r="B280" s="30" t="s">
        <v>26616</v>
      </c>
      <c r="C280" s="30" t="s">
        <v>36</v>
      </c>
      <c r="D280" s="139" t="s">
        <v>26160</v>
      </c>
      <c r="E280" s="30" t="s">
        <v>217</v>
      </c>
      <c r="F280" s="30">
        <v>1</v>
      </c>
      <c r="G280" s="30" t="s">
        <v>193</v>
      </c>
      <c r="H280" s="30" t="s">
        <v>194</v>
      </c>
      <c r="I280" s="30" t="s">
        <v>26143</v>
      </c>
      <c r="J280" s="30" t="s">
        <v>316</v>
      </c>
      <c r="K280" s="30" t="s">
        <v>9309</v>
      </c>
      <c r="L280" s="30" t="s">
        <v>6955</v>
      </c>
      <c r="M280" s="30"/>
      <c r="N280" s="30" t="s">
        <v>26617</v>
      </c>
      <c r="O280" s="30" t="s">
        <v>6286</v>
      </c>
      <c r="P280" s="30" t="s">
        <v>26840</v>
      </c>
      <c r="Q280" s="30" t="s">
        <v>26189</v>
      </c>
      <c r="R280" s="30" t="s">
        <v>26190</v>
      </c>
      <c r="S280" s="30" t="s">
        <v>27040</v>
      </c>
      <c r="T280" s="30" t="s">
        <v>27041</v>
      </c>
      <c r="U280" s="30"/>
      <c r="V280" s="30">
        <v>1818</v>
      </c>
      <c r="W280" s="30" t="s">
        <v>609</v>
      </c>
      <c r="X280" s="30" t="s">
        <v>194</v>
      </c>
      <c r="Y280" s="30" t="s">
        <v>9300</v>
      </c>
      <c r="Z280" s="30"/>
      <c r="AA280" s="30"/>
      <c r="AB280" s="30" t="s">
        <v>9311</v>
      </c>
      <c r="AC280" s="30"/>
      <c r="AD280" s="30"/>
      <c r="AE280" s="30"/>
      <c r="AF280" s="30"/>
      <c r="AG280" s="30"/>
      <c r="AH280" s="30" t="s">
        <v>4714</v>
      </c>
      <c r="AI280" s="30" t="s">
        <v>9433</v>
      </c>
      <c r="AJ280" s="641" t="str">
        <f t="shared" si="8"/>
        <v>331301</v>
      </c>
      <c r="AK280" s="641">
        <v>1</v>
      </c>
      <c r="AL280" s="641">
        <f t="shared" si="9"/>
        <v>1</v>
      </c>
      <c r="AM280" s="641">
        <v>1</v>
      </c>
      <c r="AN280" s="30" t="s">
        <v>17650</v>
      </c>
      <c r="AO280" s="30" t="s">
        <v>17651</v>
      </c>
      <c r="AP280" s="30" t="s">
        <v>17652</v>
      </c>
      <c r="AQ280" s="30" t="s">
        <v>17653</v>
      </c>
      <c r="AR280" s="30" t="s">
        <v>1024</v>
      </c>
      <c r="AS280" s="30">
        <v>1</v>
      </c>
    </row>
    <row r="281" spans="1:45" x14ac:dyDescent="0.25">
      <c r="A281" s="30" t="s">
        <v>26024</v>
      </c>
      <c r="B281" s="30" t="s">
        <v>26025</v>
      </c>
      <c r="C281" s="30" t="s">
        <v>17</v>
      </c>
      <c r="D281" s="139" t="s">
        <v>26160</v>
      </c>
      <c r="E281" s="30" t="s">
        <v>217</v>
      </c>
      <c r="F281" s="30">
        <v>1</v>
      </c>
      <c r="G281" s="30" t="s">
        <v>193</v>
      </c>
      <c r="H281" s="30" t="s">
        <v>194</v>
      </c>
      <c r="I281" s="30" t="s">
        <v>26143</v>
      </c>
      <c r="J281" s="30" t="s">
        <v>210</v>
      </c>
      <c r="K281" s="30" t="s">
        <v>9309</v>
      </c>
      <c r="L281" s="30" t="s">
        <v>6955</v>
      </c>
      <c r="M281" s="30"/>
      <c r="N281" s="30" t="s">
        <v>26471</v>
      </c>
      <c r="O281" s="30" t="s">
        <v>6249</v>
      </c>
      <c r="P281" s="30" t="s">
        <v>26840</v>
      </c>
      <c r="Q281" s="30" t="s">
        <v>26182</v>
      </c>
      <c r="R281" s="30" t="s">
        <v>26183</v>
      </c>
      <c r="S281" s="30" t="s">
        <v>27042</v>
      </c>
      <c r="T281" s="30" t="s">
        <v>27043</v>
      </c>
      <c r="U281" s="30"/>
      <c r="V281" s="30">
        <v>1863</v>
      </c>
      <c r="W281" s="30" t="s">
        <v>624</v>
      </c>
      <c r="X281" s="30" t="s">
        <v>194</v>
      </c>
      <c r="Y281" s="30" t="s">
        <v>9300</v>
      </c>
      <c r="Z281" s="30"/>
      <c r="AA281" s="30"/>
      <c r="AB281" s="30" t="s">
        <v>9311</v>
      </c>
      <c r="AC281" s="30"/>
      <c r="AD281" s="30"/>
      <c r="AE281" s="30"/>
      <c r="AF281" s="30"/>
      <c r="AG281" s="30"/>
      <c r="AH281" s="30" t="s">
        <v>4714</v>
      </c>
      <c r="AI281" s="30" t="s">
        <v>9433</v>
      </c>
      <c r="AJ281" s="641" t="str">
        <f t="shared" si="8"/>
        <v>332203</v>
      </c>
      <c r="AK281" s="641">
        <v>1</v>
      </c>
      <c r="AL281" s="641">
        <f t="shared" si="9"/>
        <v>1</v>
      </c>
      <c r="AM281" s="641">
        <v>1</v>
      </c>
      <c r="AN281" s="30" t="s">
        <v>17650</v>
      </c>
      <c r="AO281" s="30" t="s">
        <v>17651</v>
      </c>
      <c r="AP281" s="30" t="s">
        <v>17652</v>
      </c>
      <c r="AQ281" s="30" t="s">
        <v>17653</v>
      </c>
      <c r="AR281" s="30" t="s">
        <v>1024</v>
      </c>
      <c r="AS281" s="30">
        <v>1</v>
      </c>
    </row>
    <row r="282" spans="1:45" x14ac:dyDescent="0.25">
      <c r="A282" s="30" t="s">
        <v>716</v>
      </c>
      <c r="B282" s="30" t="s">
        <v>27044</v>
      </c>
      <c r="C282" s="30" t="s">
        <v>706</v>
      </c>
      <c r="D282" s="139" t="s">
        <v>26160</v>
      </c>
      <c r="E282" s="30" t="s">
        <v>217</v>
      </c>
      <c r="F282" s="30">
        <v>1</v>
      </c>
      <c r="G282" s="30" t="s">
        <v>193</v>
      </c>
      <c r="H282" s="30" t="s">
        <v>194</v>
      </c>
      <c r="I282" s="30" t="s">
        <v>26143</v>
      </c>
      <c r="J282" s="30" t="s">
        <v>210</v>
      </c>
      <c r="K282" s="30" t="s">
        <v>9309</v>
      </c>
      <c r="L282" s="30" t="s">
        <v>6955</v>
      </c>
      <c r="M282" s="30"/>
      <c r="N282" s="30" t="s">
        <v>27045</v>
      </c>
      <c r="O282" s="30" t="s">
        <v>6251</v>
      </c>
      <c r="P282" s="30" t="s">
        <v>26840</v>
      </c>
      <c r="Q282" s="30" t="s">
        <v>26881</v>
      </c>
      <c r="R282" s="30" t="s">
        <v>26882</v>
      </c>
      <c r="S282" s="30" t="s">
        <v>27046</v>
      </c>
      <c r="T282" s="30" t="s">
        <v>27047</v>
      </c>
      <c r="U282" s="30"/>
      <c r="V282" s="30">
        <v>1863</v>
      </c>
      <c r="W282" s="30" t="s">
        <v>707</v>
      </c>
      <c r="X282" s="30" t="s">
        <v>194</v>
      </c>
      <c r="Y282" s="30" t="s">
        <v>9300</v>
      </c>
      <c r="Z282" s="30"/>
      <c r="AA282" s="30"/>
      <c r="AB282" s="30" t="s">
        <v>9311</v>
      </c>
      <c r="AC282" s="30"/>
      <c r="AD282" s="30"/>
      <c r="AE282" s="30"/>
      <c r="AF282" s="30"/>
      <c r="AG282" s="30"/>
      <c r="AH282" s="30" t="s">
        <v>4714</v>
      </c>
      <c r="AI282" s="30" t="s">
        <v>9433</v>
      </c>
      <c r="AJ282" s="641" t="str">
        <f t="shared" si="8"/>
        <v>422201</v>
      </c>
      <c r="AK282" s="641">
        <v>1</v>
      </c>
      <c r="AL282" s="641">
        <f t="shared" si="9"/>
        <v>1</v>
      </c>
      <c r="AM282" s="641">
        <v>1</v>
      </c>
      <c r="AN282" s="30" t="s">
        <v>17650</v>
      </c>
      <c r="AO282" s="30" t="s">
        <v>17651</v>
      </c>
      <c r="AP282" s="30" t="s">
        <v>17652</v>
      </c>
      <c r="AQ282" s="30" t="s">
        <v>17653</v>
      </c>
      <c r="AR282" s="30" t="s">
        <v>1024</v>
      </c>
      <c r="AS282" s="30">
        <v>1</v>
      </c>
    </row>
    <row r="283" spans="1:45" x14ac:dyDescent="0.25">
      <c r="A283" s="30" t="s">
        <v>258</v>
      </c>
      <c r="B283" s="30" t="s">
        <v>26208</v>
      </c>
      <c r="C283" s="30" t="s">
        <v>778</v>
      </c>
      <c r="D283" s="139" t="s">
        <v>26160</v>
      </c>
      <c r="E283" s="30" t="s">
        <v>217</v>
      </c>
      <c r="F283" s="30">
        <v>1</v>
      </c>
      <c r="G283" s="30" t="s">
        <v>193</v>
      </c>
      <c r="H283" s="30" t="s">
        <v>194</v>
      </c>
      <c r="I283" s="30" t="s">
        <v>26143</v>
      </c>
      <c r="J283" s="30" t="s">
        <v>747</v>
      </c>
      <c r="K283" s="30" t="s">
        <v>9309</v>
      </c>
      <c r="L283" s="30" t="s">
        <v>6955</v>
      </c>
      <c r="M283" s="30"/>
      <c r="N283" s="30" t="s">
        <v>26767</v>
      </c>
      <c r="O283" s="30" t="s">
        <v>6251</v>
      </c>
      <c r="P283" s="30" t="s">
        <v>26840</v>
      </c>
      <c r="Q283" s="30" t="s">
        <v>26073</v>
      </c>
      <c r="R283" s="30" t="s">
        <v>26183</v>
      </c>
      <c r="S283" s="30" t="s">
        <v>27048</v>
      </c>
      <c r="T283" s="30" t="s">
        <v>27049</v>
      </c>
      <c r="U283" s="30"/>
      <c r="V283" s="30">
        <v>1817</v>
      </c>
      <c r="W283" s="30" t="s">
        <v>779</v>
      </c>
      <c r="X283" s="30" t="s">
        <v>194</v>
      </c>
      <c r="Y283" s="30" t="s">
        <v>9300</v>
      </c>
      <c r="Z283" s="30"/>
      <c r="AA283" s="30"/>
      <c r="AB283" s="30" t="s">
        <v>9311</v>
      </c>
      <c r="AC283" s="30"/>
      <c r="AD283" s="30"/>
      <c r="AE283" s="30"/>
      <c r="AF283" s="30"/>
      <c r="AG283" s="30"/>
      <c r="AH283" s="30" t="s">
        <v>4714</v>
      </c>
      <c r="AI283" s="30" t="s">
        <v>9433</v>
      </c>
      <c r="AJ283" s="641" t="str">
        <f t="shared" si="8"/>
        <v>524902</v>
      </c>
      <c r="AK283" s="641">
        <v>1</v>
      </c>
      <c r="AL283" s="641">
        <f t="shared" si="9"/>
        <v>1</v>
      </c>
      <c r="AM283" s="641">
        <v>1</v>
      </c>
      <c r="AN283" s="30" t="s">
        <v>17650</v>
      </c>
      <c r="AO283" s="30" t="s">
        <v>17651</v>
      </c>
      <c r="AP283" s="30" t="s">
        <v>17652</v>
      </c>
      <c r="AQ283" s="30" t="s">
        <v>17653</v>
      </c>
      <c r="AR283" s="30" t="s">
        <v>1024</v>
      </c>
      <c r="AS283" s="30">
        <v>1</v>
      </c>
    </row>
    <row r="284" spans="1:45" x14ac:dyDescent="0.25">
      <c r="A284" s="30" t="s">
        <v>716</v>
      </c>
      <c r="B284" s="30" t="s">
        <v>26282</v>
      </c>
      <c r="C284" s="30" t="s">
        <v>3219</v>
      </c>
      <c r="D284" s="139" t="s">
        <v>26160</v>
      </c>
      <c r="E284" s="30" t="s">
        <v>217</v>
      </c>
      <c r="F284" s="30">
        <v>1</v>
      </c>
      <c r="G284" s="30" t="s">
        <v>193</v>
      </c>
      <c r="H284" s="30" t="s">
        <v>194</v>
      </c>
      <c r="I284" s="30" t="s">
        <v>26143</v>
      </c>
      <c r="J284" s="30" t="s">
        <v>210</v>
      </c>
      <c r="K284" s="30" t="s">
        <v>9309</v>
      </c>
      <c r="L284" s="30" t="s">
        <v>6955</v>
      </c>
      <c r="M284" s="30"/>
      <c r="N284" s="30" t="s">
        <v>26509</v>
      </c>
      <c r="O284" s="30" t="s">
        <v>6290</v>
      </c>
      <c r="P284" s="30" t="s">
        <v>26846</v>
      </c>
      <c r="Q284" s="30" t="s">
        <v>25478</v>
      </c>
      <c r="R284" s="30" t="s">
        <v>26847</v>
      </c>
      <c r="S284" s="30" t="s">
        <v>27050</v>
      </c>
      <c r="T284" s="30" t="s">
        <v>27051</v>
      </c>
      <c r="U284" s="30"/>
      <c r="V284" s="30">
        <v>1863</v>
      </c>
      <c r="W284" s="30" t="s">
        <v>3620</v>
      </c>
      <c r="X284" s="30" t="s">
        <v>194</v>
      </c>
      <c r="Y284" s="30" t="s">
        <v>9300</v>
      </c>
      <c r="Z284" s="30"/>
      <c r="AA284" s="30"/>
      <c r="AB284" s="30" t="s">
        <v>9311</v>
      </c>
      <c r="AC284" s="30"/>
      <c r="AD284" s="30"/>
      <c r="AE284" s="30"/>
      <c r="AF284" s="30"/>
      <c r="AG284" s="30"/>
      <c r="AH284" s="30" t="s">
        <v>4714</v>
      </c>
      <c r="AI284" s="30" t="s">
        <v>9433</v>
      </c>
      <c r="AJ284" s="641" t="str">
        <f t="shared" si="8"/>
        <v>243109</v>
      </c>
      <c r="AK284" s="641">
        <v>1</v>
      </c>
      <c r="AL284" s="641">
        <f t="shared" si="9"/>
        <v>1</v>
      </c>
      <c r="AM284" s="641">
        <v>1</v>
      </c>
      <c r="AN284" s="30" t="s">
        <v>17650</v>
      </c>
      <c r="AO284" s="30" t="s">
        <v>17651</v>
      </c>
      <c r="AP284" s="30" t="s">
        <v>17652</v>
      </c>
      <c r="AQ284" s="30" t="s">
        <v>17653</v>
      </c>
      <c r="AR284" s="30" t="s">
        <v>1024</v>
      </c>
      <c r="AS284" s="30">
        <v>1</v>
      </c>
    </row>
    <row r="285" spans="1:45" x14ac:dyDescent="0.25">
      <c r="A285" s="30" t="s">
        <v>26258</v>
      </c>
      <c r="B285" s="30" t="s">
        <v>26259</v>
      </c>
      <c r="C285" s="30" t="s">
        <v>18783</v>
      </c>
      <c r="D285" s="139" t="s">
        <v>26160</v>
      </c>
      <c r="E285" s="30" t="s">
        <v>217</v>
      </c>
      <c r="F285" s="30">
        <v>1</v>
      </c>
      <c r="G285" s="30" t="s">
        <v>193</v>
      </c>
      <c r="H285" s="30" t="s">
        <v>194</v>
      </c>
      <c r="I285" s="30" t="s">
        <v>26143</v>
      </c>
      <c r="J285" s="30" t="s">
        <v>210</v>
      </c>
      <c r="K285" s="30" t="s">
        <v>9309</v>
      </c>
      <c r="L285" s="30" t="s">
        <v>6955</v>
      </c>
      <c r="M285" s="30"/>
      <c r="N285" s="30" t="s">
        <v>26260</v>
      </c>
      <c r="O285" s="30" t="s">
        <v>6269</v>
      </c>
      <c r="P285" s="30" t="s">
        <v>26840</v>
      </c>
      <c r="Q285" s="30" t="s">
        <v>26261</v>
      </c>
      <c r="R285" s="30" t="s">
        <v>26262</v>
      </c>
      <c r="S285" s="30" t="s">
        <v>27052</v>
      </c>
      <c r="T285" s="30" t="s">
        <v>27053</v>
      </c>
      <c r="U285" s="30"/>
      <c r="V285" s="30">
        <v>1863</v>
      </c>
      <c r="W285" s="30" t="s">
        <v>2538</v>
      </c>
      <c r="X285" s="30" t="s">
        <v>194</v>
      </c>
      <c r="Y285" s="30" t="s">
        <v>9300</v>
      </c>
      <c r="Z285" s="30"/>
      <c r="AA285" s="30"/>
      <c r="AB285" s="30" t="s">
        <v>9311</v>
      </c>
      <c r="AC285" s="30"/>
      <c r="AD285" s="30"/>
      <c r="AE285" s="30"/>
      <c r="AF285" s="30"/>
      <c r="AG285" s="30"/>
      <c r="AH285" s="30" t="s">
        <v>4714</v>
      </c>
      <c r="AI285" s="30" t="s">
        <v>9433</v>
      </c>
      <c r="AJ285" s="641" t="str">
        <f t="shared" si="8"/>
        <v>911207</v>
      </c>
      <c r="AK285" s="641">
        <v>1</v>
      </c>
      <c r="AL285" s="641">
        <f t="shared" si="9"/>
        <v>1</v>
      </c>
      <c r="AM285" s="641">
        <v>1</v>
      </c>
      <c r="AN285" s="30" t="s">
        <v>17650</v>
      </c>
      <c r="AO285" s="30" t="s">
        <v>17651</v>
      </c>
      <c r="AP285" s="30" t="s">
        <v>17652</v>
      </c>
      <c r="AQ285" s="30" t="s">
        <v>17653</v>
      </c>
      <c r="AR285" s="30" t="s">
        <v>1024</v>
      </c>
      <c r="AS285" s="30">
        <v>1</v>
      </c>
    </row>
    <row r="286" spans="1:45" x14ac:dyDescent="0.25">
      <c r="A286" s="30" t="s">
        <v>26089</v>
      </c>
      <c r="B286" s="30" t="s">
        <v>26407</v>
      </c>
      <c r="C286" s="30" t="s">
        <v>10</v>
      </c>
      <c r="D286" s="139" t="s">
        <v>26160</v>
      </c>
      <c r="E286" s="30" t="s">
        <v>217</v>
      </c>
      <c r="F286" s="30">
        <v>1</v>
      </c>
      <c r="G286" s="30" t="s">
        <v>193</v>
      </c>
      <c r="H286" s="30" t="s">
        <v>194</v>
      </c>
      <c r="I286" s="30" t="s">
        <v>23198</v>
      </c>
      <c r="J286" s="30" t="s">
        <v>210</v>
      </c>
      <c r="K286" s="30" t="s">
        <v>9309</v>
      </c>
      <c r="L286" s="30" t="s">
        <v>6955</v>
      </c>
      <c r="M286" s="30"/>
      <c r="N286" s="30" t="s">
        <v>26693</v>
      </c>
      <c r="O286" s="30" t="s">
        <v>6261</v>
      </c>
      <c r="P286" s="30" t="s">
        <v>26840</v>
      </c>
      <c r="Q286" s="30" t="s">
        <v>26584</v>
      </c>
      <c r="R286" s="30" t="s">
        <v>26099</v>
      </c>
      <c r="S286" s="30" t="s">
        <v>27054</v>
      </c>
      <c r="T286" s="30" t="s">
        <v>27055</v>
      </c>
      <c r="U286" s="30"/>
      <c r="V286" s="30">
        <v>1863</v>
      </c>
      <c r="W286" s="30" t="s">
        <v>484</v>
      </c>
      <c r="X286" s="30" t="s">
        <v>194</v>
      </c>
      <c r="Y286" s="30" t="s">
        <v>9300</v>
      </c>
      <c r="Z286" s="30"/>
      <c r="AA286" s="30"/>
      <c r="AB286" s="30" t="s">
        <v>9311</v>
      </c>
      <c r="AC286" s="30"/>
      <c r="AD286" s="30"/>
      <c r="AE286" s="30"/>
      <c r="AF286" s="30"/>
      <c r="AG286" s="30"/>
      <c r="AH286" s="30" t="s">
        <v>4714</v>
      </c>
      <c r="AI286" s="30" t="s">
        <v>9433</v>
      </c>
      <c r="AJ286" s="641" t="str">
        <f t="shared" si="8"/>
        <v>251401</v>
      </c>
      <c r="AK286" s="641">
        <v>1</v>
      </c>
      <c r="AL286" s="641">
        <f t="shared" si="9"/>
        <v>1</v>
      </c>
      <c r="AM286" s="641">
        <v>1</v>
      </c>
      <c r="AN286" s="30" t="s">
        <v>17650</v>
      </c>
      <c r="AO286" s="30" t="s">
        <v>17651</v>
      </c>
      <c r="AP286" s="30" t="s">
        <v>17652</v>
      </c>
      <c r="AQ286" s="30" t="s">
        <v>17653</v>
      </c>
      <c r="AR286" s="30" t="s">
        <v>1024</v>
      </c>
      <c r="AS286" s="30">
        <v>1</v>
      </c>
    </row>
    <row r="287" spans="1:45" x14ac:dyDescent="0.25">
      <c r="A287" s="30" t="s">
        <v>26193</v>
      </c>
      <c r="B287" s="30" t="s">
        <v>26729</v>
      </c>
      <c r="C287" s="30" t="s">
        <v>119</v>
      </c>
      <c r="D287" s="139" t="s">
        <v>26160</v>
      </c>
      <c r="E287" s="30" t="s">
        <v>217</v>
      </c>
      <c r="F287" s="30">
        <v>1</v>
      </c>
      <c r="G287" s="30" t="s">
        <v>193</v>
      </c>
      <c r="H287" s="30" t="s">
        <v>194</v>
      </c>
      <c r="I287" s="30" t="s">
        <v>26148</v>
      </c>
      <c r="J287" s="30" t="s">
        <v>210</v>
      </c>
      <c r="K287" s="30" t="s">
        <v>9309</v>
      </c>
      <c r="L287" s="30" t="s">
        <v>6955</v>
      </c>
      <c r="M287" s="30"/>
      <c r="N287" s="30" t="s">
        <v>26730</v>
      </c>
      <c r="O287" s="30" t="s">
        <v>6277</v>
      </c>
      <c r="P287" s="30" t="s">
        <v>26846</v>
      </c>
      <c r="Q287" s="30" t="s">
        <v>25478</v>
      </c>
      <c r="R287" s="30" t="s">
        <v>26847</v>
      </c>
      <c r="S287" s="30" t="s">
        <v>27056</v>
      </c>
      <c r="T287" s="30" t="s">
        <v>27057</v>
      </c>
      <c r="U287" s="30"/>
      <c r="V287" s="30">
        <v>1863</v>
      </c>
      <c r="W287" s="30" t="s">
        <v>666</v>
      </c>
      <c r="X287" s="30" t="s">
        <v>194</v>
      </c>
      <c r="Y287" s="30" t="s">
        <v>9300</v>
      </c>
      <c r="Z287" s="30"/>
      <c r="AA287" s="30"/>
      <c r="AB287" s="30" t="s">
        <v>9311</v>
      </c>
      <c r="AC287" s="30"/>
      <c r="AD287" s="30"/>
      <c r="AE287" s="30"/>
      <c r="AF287" s="30"/>
      <c r="AG287" s="30"/>
      <c r="AH287" s="30" t="s">
        <v>4714</v>
      </c>
      <c r="AI287" s="30" t="s">
        <v>9433</v>
      </c>
      <c r="AJ287" s="641" t="str">
        <f t="shared" si="8"/>
        <v>333105</v>
      </c>
      <c r="AK287" s="641">
        <v>1</v>
      </c>
      <c r="AL287" s="641">
        <f t="shared" si="9"/>
        <v>1</v>
      </c>
      <c r="AM287" s="641">
        <v>1</v>
      </c>
      <c r="AN287" s="30" t="s">
        <v>17650</v>
      </c>
      <c r="AO287" s="30" t="s">
        <v>17651</v>
      </c>
      <c r="AP287" s="30" t="s">
        <v>17652</v>
      </c>
      <c r="AQ287" s="30" t="s">
        <v>17653</v>
      </c>
      <c r="AR287" s="30" t="s">
        <v>1024</v>
      </c>
      <c r="AS287" s="30">
        <v>1</v>
      </c>
    </row>
    <row r="288" spans="1:45" x14ac:dyDescent="0.25">
      <c r="A288" s="30" t="s">
        <v>10145</v>
      </c>
      <c r="B288" s="30" t="s">
        <v>10229</v>
      </c>
      <c r="C288" s="30" t="s">
        <v>740</v>
      </c>
      <c r="D288" s="139" t="s">
        <v>26160</v>
      </c>
      <c r="E288" s="30" t="s">
        <v>217</v>
      </c>
      <c r="F288" s="30">
        <v>1</v>
      </c>
      <c r="G288" s="30" t="s">
        <v>193</v>
      </c>
      <c r="H288" s="30" t="s">
        <v>194</v>
      </c>
      <c r="I288" s="30" t="s">
        <v>26143</v>
      </c>
      <c r="J288" s="30" t="s">
        <v>210</v>
      </c>
      <c r="K288" s="30" t="s">
        <v>9309</v>
      </c>
      <c r="L288" s="30" t="s">
        <v>6955</v>
      </c>
      <c r="M288" s="30"/>
      <c r="N288" s="30" t="s">
        <v>26716</v>
      </c>
      <c r="O288" s="30" t="s">
        <v>6249</v>
      </c>
      <c r="P288" s="30" t="s">
        <v>26840</v>
      </c>
      <c r="Q288" s="30" t="s">
        <v>26374</v>
      </c>
      <c r="R288" s="30" t="s">
        <v>26375</v>
      </c>
      <c r="S288" s="30" t="s">
        <v>27058</v>
      </c>
      <c r="T288" s="30" t="s">
        <v>27059</v>
      </c>
      <c r="U288" s="30"/>
      <c r="V288" s="30">
        <v>1863</v>
      </c>
      <c r="W288" s="30" t="s">
        <v>741</v>
      </c>
      <c r="X288" s="30" t="s">
        <v>194</v>
      </c>
      <c r="Y288" s="30" t="s">
        <v>9300</v>
      </c>
      <c r="Z288" s="30"/>
      <c r="AA288" s="30"/>
      <c r="AB288" s="30" t="s">
        <v>9311</v>
      </c>
      <c r="AC288" s="30"/>
      <c r="AD288" s="30"/>
      <c r="AE288" s="30"/>
      <c r="AF288" s="30"/>
      <c r="AG288" s="30"/>
      <c r="AH288" s="30" t="s">
        <v>4714</v>
      </c>
      <c r="AI288" s="30" t="s">
        <v>9433</v>
      </c>
      <c r="AJ288" s="641" t="str">
        <f t="shared" si="8"/>
        <v>522301</v>
      </c>
      <c r="AK288" s="641">
        <v>1</v>
      </c>
      <c r="AL288" s="641">
        <f t="shared" si="9"/>
        <v>1</v>
      </c>
      <c r="AM288" s="641">
        <v>1</v>
      </c>
      <c r="AN288" s="30" t="s">
        <v>17650</v>
      </c>
      <c r="AO288" s="30" t="s">
        <v>17651</v>
      </c>
      <c r="AP288" s="30" t="s">
        <v>17652</v>
      </c>
      <c r="AQ288" s="30" t="s">
        <v>17653</v>
      </c>
      <c r="AR288" s="30" t="s">
        <v>1024</v>
      </c>
      <c r="AS288" s="30">
        <v>1</v>
      </c>
    </row>
    <row r="289" spans="1:45" x14ac:dyDescent="0.25">
      <c r="A289" s="30" t="s">
        <v>26153</v>
      </c>
      <c r="B289" s="30" t="s">
        <v>26390</v>
      </c>
      <c r="C289" s="30" t="s">
        <v>10</v>
      </c>
      <c r="D289" s="139" t="s">
        <v>26160</v>
      </c>
      <c r="E289" s="30" t="s">
        <v>217</v>
      </c>
      <c r="F289" s="30">
        <v>1</v>
      </c>
      <c r="G289" s="30" t="s">
        <v>193</v>
      </c>
      <c r="H289" s="30" t="s">
        <v>194</v>
      </c>
      <c r="I289" s="30" t="s">
        <v>26143</v>
      </c>
      <c r="J289" s="30" t="s">
        <v>210</v>
      </c>
      <c r="K289" s="30" t="s">
        <v>9309</v>
      </c>
      <c r="L289" s="30" t="s">
        <v>6955</v>
      </c>
      <c r="M289" s="30"/>
      <c r="N289" s="30" t="s">
        <v>26391</v>
      </c>
      <c r="O289" s="30" t="s">
        <v>6261</v>
      </c>
      <c r="P289" s="30" t="s">
        <v>26846</v>
      </c>
      <c r="Q289" s="30" t="s">
        <v>25478</v>
      </c>
      <c r="R289" s="30" t="s">
        <v>26847</v>
      </c>
      <c r="S289" s="30" t="s">
        <v>27060</v>
      </c>
      <c r="T289" s="30" t="s">
        <v>27061</v>
      </c>
      <c r="U289" s="30"/>
      <c r="V289" s="30">
        <v>1863</v>
      </c>
      <c r="W289" s="30" t="s">
        <v>484</v>
      </c>
      <c r="X289" s="30" t="s">
        <v>194</v>
      </c>
      <c r="Y289" s="30" t="s">
        <v>9300</v>
      </c>
      <c r="Z289" s="30"/>
      <c r="AA289" s="30"/>
      <c r="AB289" s="30" t="s">
        <v>9311</v>
      </c>
      <c r="AC289" s="30"/>
      <c r="AD289" s="30"/>
      <c r="AE289" s="30"/>
      <c r="AF289" s="30"/>
      <c r="AG289" s="30"/>
      <c r="AH289" s="30" t="s">
        <v>4714</v>
      </c>
      <c r="AI289" s="30" t="s">
        <v>9433</v>
      </c>
      <c r="AJ289" s="641" t="str">
        <f t="shared" si="8"/>
        <v>251401</v>
      </c>
      <c r="AK289" s="641">
        <v>1</v>
      </c>
      <c r="AL289" s="641">
        <f t="shared" si="9"/>
        <v>1</v>
      </c>
      <c r="AM289" s="641">
        <v>1</v>
      </c>
      <c r="AN289" s="30" t="s">
        <v>17650</v>
      </c>
      <c r="AO289" s="30" t="s">
        <v>17651</v>
      </c>
      <c r="AP289" s="30" t="s">
        <v>17652</v>
      </c>
      <c r="AQ289" s="30" t="s">
        <v>17653</v>
      </c>
      <c r="AR289" s="30" t="s">
        <v>1024</v>
      </c>
      <c r="AS289" s="30">
        <v>1</v>
      </c>
    </row>
    <row r="290" spans="1:45" x14ac:dyDescent="0.25">
      <c r="A290" s="30" t="s">
        <v>581</v>
      </c>
      <c r="B290" s="30" t="s">
        <v>22332</v>
      </c>
      <c r="C290" s="30" t="s">
        <v>83</v>
      </c>
      <c r="D290" s="139" t="s">
        <v>26160</v>
      </c>
      <c r="E290" s="30" t="s">
        <v>217</v>
      </c>
      <c r="F290" s="30">
        <v>1</v>
      </c>
      <c r="G290" s="30" t="s">
        <v>193</v>
      </c>
      <c r="H290" s="30" t="s">
        <v>194</v>
      </c>
      <c r="I290" s="30" t="s">
        <v>26143</v>
      </c>
      <c r="J290" s="30" t="s">
        <v>253</v>
      </c>
      <c r="K290" s="30" t="s">
        <v>9309</v>
      </c>
      <c r="L290" s="30" t="s">
        <v>6955</v>
      </c>
      <c r="M290" s="30"/>
      <c r="N290" s="30" t="s">
        <v>26404</v>
      </c>
      <c r="O290" s="30" t="s">
        <v>6258</v>
      </c>
      <c r="P290" s="30" t="s">
        <v>26840</v>
      </c>
      <c r="Q290" s="30" t="s">
        <v>26073</v>
      </c>
      <c r="R290" s="30" t="s">
        <v>24551</v>
      </c>
      <c r="S290" s="30" t="s">
        <v>27062</v>
      </c>
      <c r="T290" s="30" t="s">
        <v>27063</v>
      </c>
      <c r="U290" s="30"/>
      <c r="V290" s="30">
        <v>1811</v>
      </c>
      <c r="W290" s="30" t="s">
        <v>791</v>
      </c>
      <c r="X290" s="30" t="s">
        <v>194</v>
      </c>
      <c r="Y290" s="30" t="s">
        <v>9300</v>
      </c>
      <c r="Z290" s="30"/>
      <c r="AA290" s="30"/>
      <c r="AB290" s="30" t="s">
        <v>9311</v>
      </c>
      <c r="AC290" s="30"/>
      <c r="AD290" s="30"/>
      <c r="AE290" s="30"/>
      <c r="AF290" s="30"/>
      <c r="AG290" s="30"/>
      <c r="AH290" s="30" t="s">
        <v>4714</v>
      </c>
      <c r="AI290" s="30" t="s">
        <v>9433</v>
      </c>
      <c r="AJ290" s="641" t="str">
        <f t="shared" si="8"/>
        <v>721204</v>
      </c>
      <c r="AK290" s="641">
        <v>1</v>
      </c>
      <c r="AL290" s="641">
        <f t="shared" si="9"/>
        <v>1</v>
      </c>
      <c r="AM290" s="641">
        <v>1</v>
      </c>
      <c r="AN290" s="30" t="s">
        <v>17650</v>
      </c>
      <c r="AO290" s="30" t="s">
        <v>17651</v>
      </c>
      <c r="AP290" s="30" t="s">
        <v>17652</v>
      </c>
      <c r="AQ290" s="30" t="s">
        <v>17653</v>
      </c>
      <c r="AR290" s="30" t="s">
        <v>1024</v>
      </c>
      <c r="AS290" s="30">
        <v>1</v>
      </c>
    </row>
    <row r="291" spans="1:45" x14ac:dyDescent="0.25">
      <c r="A291" s="30" t="s">
        <v>716</v>
      </c>
      <c r="B291" s="30" t="s">
        <v>26745</v>
      </c>
      <c r="C291" s="30" t="s">
        <v>706</v>
      </c>
      <c r="D291" s="139" t="s">
        <v>26160</v>
      </c>
      <c r="E291" s="30" t="s">
        <v>217</v>
      </c>
      <c r="F291" s="30">
        <v>1</v>
      </c>
      <c r="G291" s="30" t="s">
        <v>193</v>
      </c>
      <c r="H291" s="30" t="s">
        <v>194</v>
      </c>
      <c r="I291" s="30" t="s">
        <v>26143</v>
      </c>
      <c r="J291" s="30" t="s">
        <v>210</v>
      </c>
      <c r="K291" s="30" t="s">
        <v>9309</v>
      </c>
      <c r="L291" s="30" t="s">
        <v>6955</v>
      </c>
      <c r="M291" s="30"/>
      <c r="N291" s="30" t="s">
        <v>26746</v>
      </c>
      <c r="O291" s="30" t="s">
        <v>6286</v>
      </c>
      <c r="P291" s="30" t="s">
        <v>26840</v>
      </c>
      <c r="Q291" s="30" t="s">
        <v>26098</v>
      </c>
      <c r="R291" s="30" t="s">
        <v>26231</v>
      </c>
      <c r="S291" s="30" t="s">
        <v>27064</v>
      </c>
      <c r="T291" s="30" t="s">
        <v>27065</v>
      </c>
      <c r="U291" s="30"/>
      <c r="V291" s="30">
        <v>1863</v>
      </c>
      <c r="W291" s="30" t="s">
        <v>707</v>
      </c>
      <c r="X291" s="30" t="s">
        <v>194</v>
      </c>
      <c r="Y291" s="30" t="s">
        <v>9300</v>
      </c>
      <c r="Z291" s="30"/>
      <c r="AA291" s="30"/>
      <c r="AB291" s="30" t="s">
        <v>9311</v>
      </c>
      <c r="AC291" s="30"/>
      <c r="AD291" s="30"/>
      <c r="AE291" s="30"/>
      <c r="AF291" s="30"/>
      <c r="AG291" s="30"/>
      <c r="AH291" s="30" t="s">
        <v>4714</v>
      </c>
      <c r="AI291" s="30" t="s">
        <v>9433</v>
      </c>
      <c r="AJ291" s="641" t="str">
        <f t="shared" si="8"/>
        <v>422201</v>
      </c>
      <c r="AK291" s="641">
        <v>1</v>
      </c>
      <c r="AL291" s="641">
        <f t="shared" si="9"/>
        <v>1</v>
      </c>
      <c r="AM291" s="641">
        <v>1</v>
      </c>
      <c r="AN291" s="30" t="s">
        <v>17650</v>
      </c>
      <c r="AO291" s="30" t="s">
        <v>17651</v>
      </c>
      <c r="AP291" s="30" t="s">
        <v>17652</v>
      </c>
      <c r="AQ291" s="30" t="s">
        <v>17653</v>
      </c>
      <c r="AR291" s="30" t="s">
        <v>1024</v>
      </c>
      <c r="AS291" s="30">
        <v>1</v>
      </c>
    </row>
    <row r="292" spans="1:45" x14ac:dyDescent="0.25">
      <c r="A292" s="30" t="s">
        <v>26089</v>
      </c>
      <c r="B292" s="30" t="s">
        <v>26090</v>
      </c>
      <c r="C292" s="30" t="s">
        <v>36</v>
      </c>
      <c r="D292" s="139" t="s">
        <v>26160</v>
      </c>
      <c r="E292" s="30" t="s">
        <v>217</v>
      </c>
      <c r="F292" s="30">
        <v>1</v>
      </c>
      <c r="G292" s="30" t="s">
        <v>193</v>
      </c>
      <c r="H292" s="30" t="s">
        <v>194</v>
      </c>
      <c r="I292" s="30" t="s">
        <v>26143</v>
      </c>
      <c r="J292" s="30" t="s">
        <v>316</v>
      </c>
      <c r="K292" s="30" t="s">
        <v>9309</v>
      </c>
      <c r="L292" s="30" t="s">
        <v>6955</v>
      </c>
      <c r="M292" s="30"/>
      <c r="N292" s="30" t="s">
        <v>26091</v>
      </c>
      <c r="O292" s="30" t="s">
        <v>7120</v>
      </c>
      <c r="P292" s="30" t="s">
        <v>26840</v>
      </c>
      <c r="Q292" s="30" t="s">
        <v>26092</v>
      </c>
      <c r="R292" s="30" t="s">
        <v>26093</v>
      </c>
      <c r="S292" s="30" t="s">
        <v>27066</v>
      </c>
      <c r="T292" s="30" t="s">
        <v>27067</v>
      </c>
      <c r="U292" s="30"/>
      <c r="V292" s="30">
        <v>1818</v>
      </c>
      <c r="W292" s="30" t="s">
        <v>609</v>
      </c>
      <c r="X292" s="30" t="s">
        <v>194</v>
      </c>
      <c r="Y292" s="30" t="s">
        <v>9300</v>
      </c>
      <c r="Z292" s="30"/>
      <c r="AA292" s="30"/>
      <c r="AB292" s="30" t="s">
        <v>9311</v>
      </c>
      <c r="AC292" s="30"/>
      <c r="AD292" s="30"/>
      <c r="AE292" s="30"/>
      <c r="AF292" s="30"/>
      <c r="AG292" s="30"/>
      <c r="AH292" s="30" t="s">
        <v>4714</v>
      </c>
      <c r="AI292" s="30" t="s">
        <v>9433</v>
      </c>
      <c r="AJ292" s="641" t="str">
        <f t="shared" si="8"/>
        <v>331301</v>
      </c>
      <c r="AK292" s="641">
        <v>1</v>
      </c>
      <c r="AL292" s="641">
        <f t="shared" si="9"/>
        <v>1</v>
      </c>
      <c r="AM292" s="641">
        <v>1</v>
      </c>
      <c r="AN292" s="30" t="s">
        <v>17650</v>
      </c>
      <c r="AO292" s="30" t="s">
        <v>17651</v>
      </c>
      <c r="AP292" s="30" t="s">
        <v>17652</v>
      </c>
      <c r="AQ292" s="30" t="s">
        <v>17653</v>
      </c>
      <c r="AR292" s="30" t="s">
        <v>1024</v>
      </c>
      <c r="AS292" s="30">
        <v>1</v>
      </c>
    </row>
    <row r="293" spans="1:45" x14ac:dyDescent="0.25">
      <c r="A293" s="30" t="s">
        <v>26153</v>
      </c>
      <c r="B293" s="30" t="s">
        <v>26187</v>
      </c>
      <c r="C293" s="30" t="s">
        <v>10</v>
      </c>
      <c r="D293" s="139" t="s">
        <v>26160</v>
      </c>
      <c r="E293" s="30" t="s">
        <v>217</v>
      </c>
      <c r="F293" s="30">
        <v>1</v>
      </c>
      <c r="G293" s="30" t="s">
        <v>193</v>
      </c>
      <c r="H293" s="30" t="s">
        <v>194</v>
      </c>
      <c r="I293" s="30" t="s">
        <v>23198</v>
      </c>
      <c r="J293" s="30" t="s">
        <v>210</v>
      </c>
      <c r="K293" s="30" t="s">
        <v>9309</v>
      </c>
      <c r="L293" s="30" t="s">
        <v>6955</v>
      </c>
      <c r="M293" s="30"/>
      <c r="N293" s="30" t="s">
        <v>26188</v>
      </c>
      <c r="O293" s="30" t="s">
        <v>6261</v>
      </c>
      <c r="P293" s="30" t="s">
        <v>26840</v>
      </c>
      <c r="Q293" s="30" t="s">
        <v>26189</v>
      </c>
      <c r="R293" s="30" t="s">
        <v>26190</v>
      </c>
      <c r="S293" s="30" t="s">
        <v>27068</v>
      </c>
      <c r="T293" s="30" t="s">
        <v>27069</v>
      </c>
      <c r="U293" s="30"/>
      <c r="V293" s="30">
        <v>1863</v>
      </c>
      <c r="W293" s="30" t="s">
        <v>484</v>
      </c>
      <c r="X293" s="30" t="s">
        <v>194</v>
      </c>
      <c r="Y293" s="30" t="s">
        <v>9300</v>
      </c>
      <c r="Z293" s="30"/>
      <c r="AA293" s="30"/>
      <c r="AB293" s="30" t="s">
        <v>9311</v>
      </c>
      <c r="AC293" s="30"/>
      <c r="AD293" s="30"/>
      <c r="AE293" s="30"/>
      <c r="AF293" s="30"/>
      <c r="AG293" s="30"/>
      <c r="AH293" s="30" t="s">
        <v>4714</v>
      </c>
      <c r="AI293" s="30" t="s">
        <v>9433</v>
      </c>
      <c r="AJ293" s="641" t="str">
        <f t="shared" si="8"/>
        <v>251401</v>
      </c>
      <c r="AK293" s="641">
        <v>1</v>
      </c>
      <c r="AL293" s="641">
        <f t="shared" si="9"/>
        <v>1</v>
      </c>
      <c r="AM293" s="641">
        <v>1</v>
      </c>
      <c r="AN293" s="30" t="s">
        <v>17650</v>
      </c>
      <c r="AO293" s="30" t="s">
        <v>17651</v>
      </c>
      <c r="AP293" s="30" t="s">
        <v>17652</v>
      </c>
      <c r="AQ293" s="30" t="s">
        <v>17653</v>
      </c>
      <c r="AR293" s="30" t="s">
        <v>1024</v>
      </c>
      <c r="AS293" s="30">
        <v>1</v>
      </c>
    </row>
    <row r="294" spans="1:45" x14ac:dyDescent="0.25">
      <c r="A294" s="30" t="s">
        <v>2308</v>
      </c>
      <c r="B294" s="30" t="s">
        <v>26216</v>
      </c>
      <c r="C294" s="30" t="s">
        <v>17</v>
      </c>
      <c r="D294" s="139" t="s">
        <v>26160</v>
      </c>
      <c r="E294" s="30" t="s">
        <v>217</v>
      </c>
      <c r="F294" s="30">
        <v>1</v>
      </c>
      <c r="G294" s="30" t="s">
        <v>193</v>
      </c>
      <c r="H294" s="30" t="s">
        <v>194</v>
      </c>
      <c r="I294" s="30" t="s">
        <v>26143</v>
      </c>
      <c r="J294" s="30" t="s">
        <v>316</v>
      </c>
      <c r="K294" s="30" t="s">
        <v>9309</v>
      </c>
      <c r="L294" s="30" t="s">
        <v>6955</v>
      </c>
      <c r="M294" s="30"/>
      <c r="N294" s="30" t="s">
        <v>26217</v>
      </c>
      <c r="O294" s="30" t="s">
        <v>6269</v>
      </c>
      <c r="P294" s="30" t="s">
        <v>26840</v>
      </c>
      <c r="Q294" s="30" t="s">
        <v>26218</v>
      </c>
      <c r="R294" s="30" t="s">
        <v>26219</v>
      </c>
      <c r="S294" s="30" t="s">
        <v>27070</v>
      </c>
      <c r="T294" s="30" t="s">
        <v>27071</v>
      </c>
      <c r="U294" s="30"/>
      <c r="V294" s="30">
        <v>1818</v>
      </c>
      <c r="W294" s="30" t="s">
        <v>624</v>
      </c>
      <c r="X294" s="30" t="s">
        <v>194</v>
      </c>
      <c r="Y294" s="30" t="s">
        <v>9300</v>
      </c>
      <c r="Z294" s="30"/>
      <c r="AA294" s="30"/>
      <c r="AB294" s="30" t="s">
        <v>9311</v>
      </c>
      <c r="AC294" s="30"/>
      <c r="AD294" s="30"/>
      <c r="AE294" s="30"/>
      <c r="AF294" s="30"/>
      <c r="AG294" s="30"/>
      <c r="AH294" s="30" t="s">
        <v>4714</v>
      </c>
      <c r="AI294" s="30" t="s">
        <v>9433</v>
      </c>
      <c r="AJ294" s="641" t="str">
        <f t="shared" si="8"/>
        <v>332203</v>
      </c>
      <c r="AK294" s="641">
        <v>1</v>
      </c>
      <c r="AL294" s="641">
        <f t="shared" si="9"/>
        <v>1</v>
      </c>
      <c r="AM294" s="641">
        <v>1</v>
      </c>
      <c r="AN294" s="30" t="s">
        <v>17650</v>
      </c>
      <c r="AO294" s="30" t="s">
        <v>17651</v>
      </c>
      <c r="AP294" s="30" t="s">
        <v>17652</v>
      </c>
      <c r="AQ294" s="30" t="s">
        <v>17653</v>
      </c>
      <c r="AR294" s="30" t="s">
        <v>1024</v>
      </c>
      <c r="AS294" s="30">
        <v>1</v>
      </c>
    </row>
    <row r="295" spans="1:45" x14ac:dyDescent="0.25">
      <c r="A295" s="30" t="s">
        <v>10145</v>
      </c>
      <c r="B295" s="30" t="s">
        <v>26733</v>
      </c>
      <c r="C295" s="30" t="s">
        <v>740</v>
      </c>
      <c r="D295" s="139" t="s">
        <v>26160</v>
      </c>
      <c r="E295" s="30" t="s">
        <v>217</v>
      </c>
      <c r="F295" s="30">
        <v>1</v>
      </c>
      <c r="G295" s="30" t="s">
        <v>193</v>
      </c>
      <c r="H295" s="30" t="s">
        <v>194</v>
      </c>
      <c r="I295" s="30" t="s">
        <v>26143</v>
      </c>
      <c r="J295" s="30" t="s">
        <v>976</v>
      </c>
      <c r="K295" s="30" t="s">
        <v>9309</v>
      </c>
      <c r="L295" s="30" t="s">
        <v>6955</v>
      </c>
      <c r="M295" s="30"/>
      <c r="N295" s="30" t="s">
        <v>26734</v>
      </c>
      <c r="O295" s="30" t="s">
        <v>6249</v>
      </c>
      <c r="P295" s="30" t="s">
        <v>26840</v>
      </c>
      <c r="Q295" s="30" t="s">
        <v>26251</v>
      </c>
      <c r="R295" s="30" t="s">
        <v>26252</v>
      </c>
      <c r="S295" s="30" t="s">
        <v>27072</v>
      </c>
      <c r="T295" s="30" t="s">
        <v>27073</v>
      </c>
      <c r="U295" s="139"/>
      <c r="V295" s="139" t="s">
        <v>28321</v>
      </c>
      <c r="W295" s="30" t="s">
        <v>741</v>
      </c>
      <c r="X295" s="30" t="s">
        <v>193</v>
      </c>
      <c r="Y295" s="30" t="s">
        <v>9310</v>
      </c>
      <c r="Z295" s="30"/>
      <c r="AA295" s="30"/>
      <c r="AB295" s="30" t="s">
        <v>9311</v>
      </c>
      <c r="AC295" s="30"/>
      <c r="AD295" s="30"/>
      <c r="AE295" s="30"/>
      <c r="AF295" s="30"/>
      <c r="AG295" s="30"/>
      <c r="AH295" s="30" t="s">
        <v>4714</v>
      </c>
      <c r="AI295" s="30" t="s">
        <v>9433</v>
      </c>
      <c r="AJ295" s="641" t="str">
        <f t="shared" si="8"/>
        <v>522301</v>
      </c>
      <c r="AK295" s="641">
        <v>1</v>
      </c>
      <c r="AL295" s="641">
        <f t="shared" si="9"/>
        <v>1</v>
      </c>
      <c r="AM295" s="641">
        <v>1</v>
      </c>
      <c r="AN295" s="30" t="s">
        <v>17650</v>
      </c>
      <c r="AO295" s="30" t="s">
        <v>17651</v>
      </c>
      <c r="AP295" s="30" t="s">
        <v>17652</v>
      </c>
      <c r="AQ295" s="30" t="s">
        <v>17653</v>
      </c>
      <c r="AR295" s="30" t="s">
        <v>1024</v>
      </c>
      <c r="AS295" s="30">
        <v>1</v>
      </c>
    </row>
    <row r="296" spans="1:45" x14ac:dyDescent="0.25">
      <c r="A296" s="30" t="s">
        <v>26153</v>
      </c>
      <c r="B296" s="30" t="s">
        <v>26752</v>
      </c>
      <c r="C296" s="30" t="s">
        <v>2861</v>
      </c>
      <c r="D296" s="139" t="s">
        <v>26160</v>
      </c>
      <c r="E296" s="30" t="s">
        <v>217</v>
      </c>
      <c r="F296" s="30">
        <v>1</v>
      </c>
      <c r="G296" s="30" t="s">
        <v>193</v>
      </c>
      <c r="H296" s="30" t="s">
        <v>194</v>
      </c>
      <c r="I296" s="30" t="s">
        <v>23198</v>
      </c>
      <c r="J296" s="30" t="s">
        <v>210</v>
      </c>
      <c r="K296" s="30" t="s">
        <v>9309</v>
      </c>
      <c r="L296" s="30" t="s">
        <v>6955</v>
      </c>
      <c r="M296" s="30"/>
      <c r="N296" s="30" t="s">
        <v>26753</v>
      </c>
      <c r="O296" s="30" t="s">
        <v>6261</v>
      </c>
      <c r="P296" s="30" t="s">
        <v>26840</v>
      </c>
      <c r="Q296" s="30" t="s">
        <v>26092</v>
      </c>
      <c r="R296" s="30" t="s">
        <v>26093</v>
      </c>
      <c r="S296" s="30" t="s">
        <v>27074</v>
      </c>
      <c r="T296" s="30" t="s">
        <v>27075</v>
      </c>
      <c r="U296" s="30"/>
      <c r="V296" s="139">
        <v>1863</v>
      </c>
      <c r="W296" s="30" t="s">
        <v>3629</v>
      </c>
      <c r="X296" s="30" t="s">
        <v>194</v>
      </c>
      <c r="Y296" s="30" t="s">
        <v>9300</v>
      </c>
      <c r="Z296" s="30"/>
      <c r="AA296" s="30"/>
      <c r="AB296" s="30" t="s">
        <v>9311</v>
      </c>
      <c r="AC296" s="30"/>
      <c r="AD296" s="30"/>
      <c r="AE296" s="30"/>
      <c r="AF296" s="30"/>
      <c r="AG296" s="30"/>
      <c r="AH296" s="30" t="s">
        <v>4714</v>
      </c>
      <c r="AI296" s="30" t="s">
        <v>9433</v>
      </c>
      <c r="AJ296" s="641" t="str">
        <f t="shared" si="8"/>
        <v>251903</v>
      </c>
      <c r="AK296" s="641">
        <v>1</v>
      </c>
      <c r="AL296" s="641">
        <f t="shared" si="9"/>
        <v>1</v>
      </c>
      <c r="AM296" s="641">
        <v>1</v>
      </c>
      <c r="AN296" s="30" t="s">
        <v>17650</v>
      </c>
      <c r="AO296" s="30" t="s">
        <v>17651</v>
      </c>
      <c r="AP296" s="30" t="s">
        <v>17652</v>
      </c>
      <c r="AQ296" s="30" t="s">
        <v>17653</v>
      </c>
      <c r="AR296" s="30" t="s">
        <v>1024</v>
      </c>
      <c r="AS296" s="30">
        <v>1</v>
      </c>
    </row>
    <row r="297" spans="1:45" x14ac:dyDescent="0.25">
      <c r="A297" s="30" t="s">
        <v>10002</v>
      </c>
      <c r="B297" s="30" t="s">
        <v>26487</v>
      </c>
      <c r="C297" s="30" t="s">
        <v>74</v>
      </c>
      <c r="D297" s="139" t="s">
        <v>26160</v>
      </c>
      <c r="E297" s="30" t="s">
        <v>217</v>
      </c>
      <c r="F297" s="30">
        <v>1</v>
      </c>
      <c r="G297" s="30" t="s">
        <v>193</v>
      </c>
      <c r="H297" s="30" t="s">
        <v>194</v>
      </c>
      <c r="I297" s="30" t="s">
        <v>26143</v>
      </c>
      <c r="J297" s="30" t="s">
        <v>4751</v>
      </c>
      <c r="K297" s="30" t="s">
        <v>9309</v>
      </c>
      <c r="L297" s="30" t="s">
        <v>6955</v>
      </c>
      <c r="M297" s="30"/>
      <c r="N297" s="30" t="s">
        <v>26488</v>
      </c>
      <c r="O297" s="30" t="s">
        <v>6277</v>
      </c>
      <c r="P297" s="30" t="s">
        <v>26840</v>
      </c>
      <c r="Q297" s="30" t="s">
        <v>26120</v>
      </c>
      <c r="R297" s="30" t="s">
        <v>24551</v>
      </c>
      <c r="S297" s="30" t="s">
        <v>27076</v>
      </c>
      <c r="T297" s="30" t="s">
        <v>27077</v>
      </c>
      <c r="U297" s="30"/>
      <c r="V297" s="139">
        <v>1862</v>
      </c>
      <c r="W297" s="30" t="s">
        <v>246</v>
      </c>
      <c r="X297" s="30" t="s">
        <v>194</v>
      </c>
      <c r="Y297" s="30" t="s">
        <v>9300</v>
      </c>
      <c r="Z297" s="30"/>
      <c r="AA297" s="30"/>
      <c r="AB297" s="30" t="s">
        <v>9311</v>
      </c>
      <c r="AC297" s="30"/>
      <c r="AD297" s="30"/>
      <c r="AE297" s="30"/>
      <c r="AF297" s="30"/>
      <c r="AG297" s="30"/>
      <c r="AH297" s="30" t="s">
        <v>4714</v>
      </c>
      <c r="AI297" s="30" t="s">
        <v>9433</v>
      </c>
      <c r="AJ297" s="641" t="str">
        <f t="shared" si="8"/>
        <v>142004</v>
      </c>
      <c r="AK297" s="641">
        <v>1</v>
      </c>
      <c r="AL297" s="641">
        <f t="shared" si="9"/>
        <v>1</v>
      </c>
      <c r="AM297" s="641">
        <v>1</v>
      </c>
      <c r="AN297" s="30" t="s">
        <v>17650</v>
      </c>
      <c r="AO297" s="30" t="s">
        <v>17651</v>
      </c>
      <c r="AP297" s="30" t="s">
        <v>17652</v>
      </c>
      <c r="AQ297" s="30" t="s">
        <v>17653</v>
      </c>
      <c r="AR297" s="30" t="s">
        <v>1024</v>
      </c>
      <c r="AS297" s="30">
        <v>1</v>
      </c>
    </row>
    <row r="298" spans="1:45" x14ac:dyDescent="0.25">
      <c r="A298" s="30" t="s">
        <v>10145</v>
      </c>
      <c r="B298" s="30" t="s">
        <v>27078</v>
      </c>
      <c r="C298" s="30" t="s">
        <v>43</v>
      </c>
      <c r="D298" s="139" t="s">
        <v>26160</v>
      </c>
      <c r="E298" s="30" t="s">
        <v>217</v>
      </c>
      <c r="F298" s="30">
        <v>1</v>
      </c>
      <c r="G298" s="30" t="s">
        <v>193</v>
      </c>
      <c r="H298" s="30" t="s">
        <v>194</v>
      </c>
      <c r="I298" s="30" t="s">
        <v>26143</v>
      </c>
      <c r="J298" s="30" t="s">
        <v>26228</v>
      </c>
      <c r="K298" s="30" t="s">
        <v>9309</v>
      </c>
      <c r="L298" s="30" t="s">
        <v>6955</v>
      </c>
      <c r="M298" s="30"/>
      <c r="N298" s="30" t="s">
        <v>27079</v>
      </c>
      <c r="O298" s="30" t="s">
        <v>6343</v>
      </c>
      <c r="P298" s="30" t="s">
        <v>26840</v>
      </c>
      <c r="Q298" s="30" t="s">
        <v>26073</v>
      </c>
      <c r="R298" s="30" t="s">
        <v>27021</v>
      </c>
      <c r="S298" s="30" t="s">
        <v>27080</v>
      </c>
      <c r="T298" s="30" t="s">
        <v>27081</v>
      </c>
      <c r="U298" s="139"/>
      <c r="V298" s="139" t="s">
        <v>28321</v>
      </c>
      <c r="W298" s="30" t="s">
        <v>452</v>
      </c>
      <c r="X298" s="30" t="s">
        <v>193</v>
      </c>
      <c r="Y298" s="30" t="s">
        <v>9310</v>
      </c>
      <c r="Z298" s="30"/>
      <c r="AA298" s="30"/>
      <c r="AB298" s="30" t="s">
        <v>9311</v>
      </c>
      <c r="AC298" s="30"/>
      <c r="AD298" s="30"/>
      <c r="AE298" s="30"/>
      <c r="AF298" s="30"/>
      <c r="AG298" s="30"/>
      <c r="AH298" s="30" t="s">
        <v>4714</v>
      </c>
      <c r="AI298" s="30" t="s">
        <v>9433</v>
      </c>
      <c r="AJ298" s="641" t="str">
        <f t="shared" si="8"/>
        <v>243106</v>
      </c>
      <c r="AK298" s="641">
        <v>1</v>
      </c>
      <c r="AL298" s="641">
        <f t="shared" si="9"/>
        <v>1</v>
      </c>
      <c r="AM298" s="641">
        <v>1</v>
      </c>
      <c r="AN298" s="30" t="s">
        <v>17650</v>
      </c>
      <c r="AO298" s="30" t="s">
        <v>17651</v>
      </c>
      <c r="AP298" s="30" t="s">
        <v>17652</v>
      </c>
      <c r="AQ298" s="30" t="s">
        <v>17653</v>
      </c>
      <c r="AR298" s="30" t="s">
        <v>1024</v>
      </c>
      <c r="AS298" s="30">
        <v>1</v>
      </c>
    </row>
    <row r="299" spans="1:45" x14ac:dyDescent="0.25">
      <c r="A299" s="30" t="s">
        <v>26153</v>
      </c>
      <c r="B299" s="30" t="s">
        <v>26455</v>
      </c>
      <c r="C299" s="30" t="s">
        <v>10</v>
      </c>
      <c r="D299" s="139" t="s">
        <v>26160</v>
      </c>
      <c r="E299" s="30" t="s">
        <v>217</v>
      </c>
      <c r="F299" s="30">
        <v>1</v>
      </c>
      <c r="G299" s="30" t="s">
        <v>193</v>
      </c>
      <c r="H299" s="30" t="s">
        <v>194</v>
      </c>
      <c r="I299" s="30" t="s">
        <v>23198</v>
      </c>
      <c r="J299" s="30" t="s">
        <v>210</v>
      </c>
      <c r="K299" s="30" t="s">
        <v>9309</v>
      </c>
      <c r="L299" s="30" t="s">
        <v>6955</v>
      </c>
      <c r="M299" s="30"/>
      <c r="N299" s="30" t="s">
        <v>26456</v>
      </c>
      <c r="O299" s="30" t="s">
        <v>6261</v>
      </c>
      <c r="P299" s="30" t="s">
        <v>26846</v>
      </c>
      <c r="Q299" s="30" t="s">
        <v>25478</v>
      </c>
      <c r="R299" s="30" t="s">
        <v>26847</v>
      </c>
      <c r="S299" s="30" t="s">
        <v>27082</v>
      </c>
      <c r="T299" s="30" t="s">
        <v>27083</v>
      </c>
      <c r="U299" s="30"/>
      <c r="V299" s="139">
        <v>1863</v>
      </c>
      <c r="W299" s="30" t="s">
        <v>484</v>
      </c>
      <c r="X299" s="30" t="s">
        <v>194</v>
      </c>
      <c r="Y299" s="30" t="s">
        <v>9300</v>
      </c>
      <c r="Z299" s="30"/>
      <c r="AA299" s="30"/>
      <c r="AB299" s="30" t="s">
        <v>9311</v>
      </c>
      <c r="AC299" s="30"/>
      <c r="AD299" s="30"/>
      <c r="AE299" s="30"/>
      <c r="AF299" s="30"/>
      <c r="AG299" s="30"/>
      <c r="AH299" s="30" t="s">
        <v>4714</v>
      </c>
      <c r="AI299" s="30" t="s">
        <v>9433</v>
      </c>
      <c r="AJ299" s="641" t="str">
        <f t="shared" si="8"/>
        <v>251401</v>
      </c>
      <c r="AK299" s="641">
        <v>1</v>
      </c>
      <c r="AL299" s="641">
        <f t="shared" si="9"/>
        <v>1</v>
      </c>
      <c r="AM299" s="641">
        <v>1</v>
      </c>
      <c r="AN299" s="30" t="s">
        <v>17650</v>
      </c>
      <c r="AO299" s="30" t="s">
        <v>17651</v>
      </c>
      <c r="AP299" s="30" t="s">
        <v>17652</v>
      </c>
      <c r="AQ299" s="30" t="s">
        <v>17653</v>
      </c>
      <c r="AR299" s="30" t="s">
        <v>1024</v>
      </c>
      <c r="AS299" s="30">
        <v>1</v>
      </c>
    </row>
    <row r="300" spans="1:45" x14ac:dyDescent="0.25">
      <c r="A300" s="30" t="s">
        <v>26089</v>
      </c>
      <c r="B300" s="30" t="s">
        <v>26305</v>
      </c>
      <c r="C300" s="30" t="s">
        <v>3438</v>
      </c>
      <c r="D300" s="139" t="s">
        <v>26160</v>
      </c>
      <c r="E300" s="30" t="s">
        <v>217</v>
      </c>
      <c r="F300" s="30">
        <v>1</v>
      </c>
      <c r="G300" s="30" t="s">
        <v>193</v>
      </c>
      <c r="H300" s="30" t="s">
        <v>194</v>
      </c>
      <c r="I300" s="30" t="s">
        <v>26143</v>
      </c>
      <c r="J300" s="30" t="s">
        <v>210</v>
      </c>
      <c r="K300" s="30" t="s">
        <v>9309</v>
      </c>
      <c r="L300" s="30" t="s">
        <v>6955</v>
      </c>
      <c r="M300" s="30"/>
      <c r="N300" s="30" t="s">
        <v>26606</v>
      </c>
      <c r="O300" s="30" t="s">
        <v>7120</v>
      </c>
      <c r="P300" s="30" t="s">
        <v>26840</v>
      </c>
      <c r="Q300" s="30" t="s">
        <v>26092</v>
      </c>
      <c r="R300" s="30" t="s">
        <v>26093</v>
      </c>
      <c r="S300" s="30" t="s">
        <v>27084</v>
      </c>
      <c r="T300" s="30" t="s">
        <v>27085</v>
      </c>
      <c r="U300" s="30"/>
      <c r="V300" s="139">
        <v>1863</v>
      </c>
      <c r="W300" s="30" t="s">
        <v>3439</v>
      </c>
      <c r="X300" s="30" t="s">
        <v>194</v>
      </c>
      <c r="Y300" s="30" t="s">
        <v>9300</v>
      </c>
      <c r="Z300" s="30"/>
      <c r="AA300" s="30"/>
      <c r="AB300" s="30" t="s">
        <v>9311</v>
      </c>
      <c r="AC300" s="30"/>
      <c r="AD300" s="30"/>
      <c r="AE300" s="30"/>
      <c r="AF300" s="30"/>
      <c r="AG300" s="30"/>
      <c r="AH300" s="30" t="s">
        <v>4714</v>
      </c>
      <c r="AI300" s="30" t="s">
        <v>9433</v>
      </c>
      <c r="AJ300" s="641" t="str">
        <f t="shared" si="8"/>
        <v>334306</v>
      </c>
      <c r="AK300" s="641">
        <v>1</v>
      </c>
      <c r="AL300" s="641">
        <f t="shared" si="9"/>
        <v>1</v>
      </c>
      <c r="AM300" s="641">
        <v>1</v>
      </c>
      <c r="AN300" s="30" t="s">
        <v>17650</v>
      </c>
      <c r="AO300" s="30" t="s">
        <v>17651</v>
      </c>
      <c r="AP300" s="30" t="s">
        <v>17652</v>
      </c>
      <c r="AQ300" s="30" t="s">
        <v>17653</v>
      </c>
      <c r="AR300" s="30" t="s">
        <v>1024</v>
      </c>
      <c r="AS300" s="30">
        <v>1</v>
      </c>
    </row>
    <row r="301" spans="1:45" x14ac:dyDescent="0.25">
      <c r="A301" s="30" t="s">
        <v>26089</v>
      </c>
      <c r="B301" s="30" t="s">
        <v>26534</v>
      </c>
      <c r="C301" s="30" t="s">
        <v>1136</v>
      </c>
      <c r="D301" s="139" t="s">
        <v>26160</v>
      </c>
      <c r="E301" s="30" t="s">
        <v>217</v>
      </c>
      <c r="F301" s="30">
        <v>1</v>
      </c>
      <c r="G301" s="30" t="s">
        <v>193</v>
      </c>
      <c r="H301" s="30" t="s">
        <v>194</v>
      </c>
      <c r="I301" s="30" t="s">
        <v>26148</v>
      </c>
      <c r="J301" s="30" t="s">
        <v>210</v>
      </c>
      <c r="K301" s="30" t="s">
        <v>9309</v>
      </c>
      <c r="L301" s="30" t="s">
        <v>6955</v>
      </c>
      <c r="M301" s="30"/>
      <c r="N301" s="30" t="s">
        <v>26535</v>
      </c>
      <c r="O301" s="30" t="s">
        <v>6921</v>
      </c>
      <c r="P301" s="30" t="s">
        <v>26840</v>
      </c>
      <c r="Q301" s="30" t="s">
        <v>26182</v>
      </c>
      <c r="R301" s="30" t="s">
        <v>26183</v>
      </c>
      <c r="S301" s="30" t="s">
        <v>27086</v>
      </c>
      <c r="T301" s="30" t="s">
        <v>27087</v>
      </c>
      <c r="U301" s="30"/>
      <c r="V301" s="139">
        <v>1863</v>
      </c>
      <c r="W301" s="30" t="s">
        <v>1137</v>
      </c>
      <c r="X301" s="30" t="s">
        <v>194</v>
      </c>
      <c r="Y301" s="30" t="s">
        <v>9300</v>
      </c>
      <c r="Z301" s="30"/>
      <c r="AA301" s="30"/>
      <c r="AB301" s="30" t="s">
        <v>9311</v>
      </c>
      <c r="AC301" s="30"/>
      <c r="AD301" s="30"/>
      <c r="AE301" s="30"/>
      <c r="AF301" s="30"/>
      <c r="AG301" s="30"/>
      <c r="AH301" s="30" t="s">
        <v>4714</v>
      </c>
      <c r="AI301" s="30" t="s">
        <v>9433</v>
      </c>
      <c r="AJ301" s="641" t="str">
        <f t="shared" si="8"/>
        <v>121201</v>
      </c>
      <c r="AK301" s="641">
        <v>1</v>
      </c>
      <c r="AL301" s="641">
        <f t="shared" si="9"/>
        <v>1</v>
      </c>
      <c r="AM301" s="641">
        <v>1</v>
      </c>
      <c r="AN301" s="30" t="s">
        <v>17650</v>
      </c>
      <c r="AO301" s="30" t="s">
        <v>17651</v>
      </c>
      <c r="AP301" s="30" t="s">
        <v>17652</v>
      </c>
      <c r="AQ301" s="30" t="s">
        <v>17653</v>
      </c>
      <c r="AR301" s="30" t="s">
        <v>1024</v>
      </c>
      <c r="AS301" s="30">
        <v>1</v>
      </c>
    </row>
    <row r="302" spans="1:45" x14ac:dyDescent="0.25">
      <c r="A302" s="30" t="s">
        <v>26089</v>
      </c>
      <c r="B302" s="30" t="s">
        <v>26352</v>
      </c>
      <c r="C302" s="30" t="s">
        <v>20</v>
      </c>
      <c r="D302" s="139" t="s">
        <v>26160</v>
      </c>
      <c r="E302" s="30" t="s">
        <v>217</v>
      </c>
      <c r="F302" s="30">
        <v>1</v>
      </c>
      <c r="G302" s="30" t="s">
        <v>193</v>
      </c>
      <c r="H302" s="30" t="s">
        <v>194</v>
      </c>
      <c r="I302" s="30" t="s">
        <v>26148</v>
      </c>
      <c r="J302" s="30" t="s">
        <v>210</v>
      </c>
      <c r="K302" s="30" t="s">
        <v>9309</v>
      </c>
      <c r="L302" s="30" t="s">
        <v>6955</v>
      </c>
      <c r="M302" s="30"/>
      <c r="N302" s="30" t="s">
        <v>26353</v>
      </c>
      <c r="O302" s="30" t="s">
        <v>6261</v>
      </c>
      <c r="P302" s="30" t="s">
        <v>26840</v>
      </c>
      <c r="Q302" s="30" t="s">
        <v>26150</v>
      </c>
      <c r="R302" s="30" t="s">
        <v>23804</v>
      </c>
      <c r="S302" s="30" t="s">
        <v>27088</v>
      </c>
      <c r="T302" s="30" t="s">
        <v>27089</v>
      </c>
      <c r="U302" s="30"/>
      <c r="V302" s="139">
        <v>1863</v>
      </c>
      <c r="W302" s="30" t="s">
        <v>286</v>
      </c>
      <c r="X302" s="30" t="s">
        <v>194</v>
      </c>
      <c r="Y302" s="30" t="s">
        <v>9300</v>
      </c>
      <c r="Z302" s="30"/>
      <c r="AA302" s="30"/>
      <c r="AB302" s="30" t="s">
        <v>9311</v>
      </c>
      <c r="AC302" s="30"/>
      <c r="AD302" s="30"/>
      <c r="AE302" s="30"/>
      <c r="AF302" s="30"/>
      <c r="AG302" s="30"/>
      <c r="AH302" s="30" t="s">
        <v>4714</v>
      </c>
      <c r="AI302" s="30" t="s">
        <v>9433</v>
      </c>
      <c r="AJ302" s="641" t="str">
        <f t="shared" si="8"/>
        <v>214109</v>
      </c>
      <c r="AK302" s="641">
        <v>1</v>
      </c>
      <c r="AL302" s="641">
        <f t="shared" si="9"/>
        <v>1</v>
      </c>
      <c r="AM302" s="641">
        <v>1</v>
      </c>
      <c r="AN302" s="30" t="s">
        <v>17650</v>
      </c>
      <c r="AO302" s="30" t="s">
        <v>17651</v>
      </c>
      <c r="AP302" s="30" t="s">
        <v>17652</v>
      </c>
      <c r="AQ302" s="30" t="s">
        <v>17653</v>
      </c>
      <c r="AR302" s="30" t="s">
        <v>1024</v>
      </c>
      <c r="AS302" s="30">
        <v>1</v>
      </c>
    </row>
    <row r="303" spans="1:45" x14ac:dyDescent="0.25">
      <c r="A303" s="30" t="s">
        <v>26089</v>
      </c>
      <c r="B303" s="30" t="s">
        <v>26552</v>
      </c>
      <c r="C303" s="30" t="s">
        <v>27</v>
      </c>
      <c r="D303" s="139" t="s">
        <v>26160</v>
      </c>
      <c r="E303" s="30" t="s">
        <v>217</v>
      </c>
      <c r="F303" s="30">
        <v>1</v>
      </c>
      <c r="G303" s="30" t="s">
        <v>193</v>
      </c>
      <c r="H303" s="30" t="s">
        <v>194</v>
      </c>
      <c r="I303" s="30" t="s">
        <v>26148</v>
      </c>
      <c r="J303" s="30" t="s">
        <v>210</v>
      </c>
      <c r="K303" s="30" t="s">
        <v>9309</v>
      </c>
      <c r="L303" s="30" t="s">
        <v>6955</v>
      </c>
      <c r="M303" s="30"/>
      <c r="N303" s="30" t="s">
        <v>26553</v>
      </c>
      <c r="O303" s="30" t="s">
        <v>6340</v>
      </c>
      <c r="P303" s="30" t="s">
        <v>26846</v>
      </c>
      <c r="Q303" s="30" t="s">
        <v>25478</v>
      </c>
      <c r="R303" s="30" t="s">
        <v>26847</v>
      </c>
      <c r="S303" s="30" t="s">
        <v>27090</v>
      </c>
      <c r="T303" s="30" t="s">
        <v>27091</v>
      </c>
      <c r="U303" s="30"/>
      <c r="V303" s="139">
        <v>1863</v>
      </c>
      <c r="W303" s="30" t="s">
        <v>440</v>
      </c>
      <c r="X303" s="30" t="s">
        <v>194</v>
      </c>
      <c r="Y303" s="30" t="s">
        <v>9300</v>
      </c>
      <c r="Z303" s="30"/>
      <c r="AA303" s="30"/>
      <c r="AB303" s="30" t="s">
        <v>9311</v>
      </c>
      <c r="AC303" s="30"/>
      <c r="AD303" s="30"/>
      <c r="AE303" s="30"/>
      <c r="AF303" s="30"/>
      <c r="AG303" s="30"/>
      <c r="AH303" s="30" t="s">
        <v>4714</v>
      </c>
      <c r="AI303" s="30" t="s">
        <v>9433</v>
      </c>
      <c r="AJ303" s="641" t="str">
        <f t="shared" si="8"/>
        <v>242307</v>
      </c>
      <c r="AK303" s="641">
        <v>1</v>
      </c>
      <c r="AL303" s="641">
        <f t="shared" si="9"/>
        <v>1</v>
      </c>
      <c r="AM303" s="641">
        <v>1</v>
      </c>
      <c r="AN303" s="30" t="s">
        <v>17650</v>
      </c>
      <c r="AO303" s="30" t="s">
        <v>17651</v>
      </c>
      <c r="AP303" s="30" t="s">
        <v>17652</v>
      </c>
      <c r="AQ303" s="30" t="s">
        <v>17653</v>
      </c>
      <c r="AR303" s="30" t="s">
        <v>1024</v>
      </c>
      <c r="AS303" s="30">
        <v>1</v>
      </c>
    </row>
    <row r="304" spans="1:45" x14ac:dyDescent="0.25">
      <c r="A304" s="30" t="s">
        <v>9886</v>
      </c>
      <c r="B304" s="30" t="s">
        <v>27092</v>
      </c>
      <c r="C304" s="30" t="s">
        <v>153</v>
      </c>
      <c r="D304" s="139" t="s">
        <v>26160</v>
      </c>
      <c r="E304" s="30" t="s">
        <v>217</v>
      </c>
      <c r="F304" s="30">
        <v>1</v>
      </c>
      <c r="G304" s="30" t="s">
        <v>193</v>
      </c>
      <c r="H304" s="30" t="s">
        <v>194</v>
      </c>
      <c r="I304" s="30" t="s">
        <v>23198</v>
      </c>
      <c r="J304" s="30" t="s">
        <v>210</v>
      </c>
      <c r="K304" s="30" t="s">
        <v>9309</v>
      </c>
      <c r="L304" s="30" t="s">
        <v>6955</v>
      </c>
      <c r="M304" s="30"/>
      <c r="N304" s="30" t="s">
        <v>27093</v>
      </c>
      <c r="O304" s="30" t="s">
        <v>6249</v>
      </c>
      <c r="P304" s="30" t="s">
        <v>26840</v>
      </c>
      <c r="Q304" s="30" t="s">
        <v>26942</v>
      </c>
      <c r="R304" s="30" t="s">
        <v>23708</v>
      </c>
      <c r="S304" s="30" t="s">
        <v>27094</v>
      </c>
      <c r="T304" s="30" t="s">
        <v>27095</v>
      </c>
      <c r="U304" s="30"/>
      <c r="V304" s="139">
        <v>1863</v>
      </c>
      <c r="W304" s="30" t="s">
        <v>2293</v>
      </c>
      <c r="X304" s="30" t="s">
        <v>194</v>
      </c>
      <c r="Y304" s="30" t="s">
        <v>9300</v>
      </c>
      <c r="Z304" s="30"/>
      <c r="AA304" s="30"/>
      <c r="AB304" s="30" t="s">
        <v>9311</v>
      </c>
      <c r="AC304" s="30"/>
      <c r="AD304" s="30"/>
      <c r="AE304" s="30"/>
      <c r="AF304" s="30"/>
      <c r="AG304" s="30"/>
      <c r="AH304" s="30" t="s">
        <v>4714</v>
      </c>
      <c r="AI304" s="30" t="s">
        <v>9433</v>
      </c>
      <c r="AJ304" s="641" t="str">
        <f t="shared" si="8"/>
        <v>333903</v>
      </c>
      <c r="AK304" s="641">
        <v>1</v>
      </c>
      <c r="AL304" s="641">
        <f t="shared" si="9"/>
        <v>1</v>
      </c>
      <c r="AM304" s="641">
        <v>1</v>
      </c>
      <c r="AN304" s="30" t="s">
        <v>17650</v>
      </c>
      <c r="AO304" s="30" t="s">
        <v>17651</v>
      </c>
      <c r="AP304" s="30" t="s">
        <v>17652</v>
      </c>
      <c r="AQ304" s="30" t="s">
        <v>17653</v>
      </c>
      <c r="AR304" s="30" t="s">
        <v>1024</v>
      </c>
      <c r="AS304" s="30">
        <v>1</v>
      </c>
    </row>
    <row r="305" spans="1:45" x14ac:dyDescent="0.25">
      <c r="A305" s="30" t="s">
        <v>26089</v>
      </c>
      <c r="B305" s="30" t="s">
        <v>26407</v>
      </c>
      <c r="C305" s="30" t="s">
        <v>10</v>
      </c>
      <c r="D305" s="139" t="s">
        <v>26160</v>
      </c>
      <c r="E305" s="30" t="s">
        <v>217</v>
      </c>
      <c r="F305" s="30">
        <v>1</v>
      </c>
      <c r="G305" s="30" t="s">
        <v>193</v>
      </c>
      <c r="H305" s="30" t="s">
        <v>194</v>
      </c>
      <c r="I305" s="30" t="s">
        <v>23198</v>
      </c>
      <c r="J305" s="30" t="s">
        <v>210</v>
      </c>
      <c r="K305" s="30" t="s">
        <v>9309</v>
      </c>
      <c r="L305" s="30" t="s">
        <v>6955</v>
      </c>
      <c r="M305" s="30"/>
      <c r="N305" s="30" t="s">
        <v>26408</v>
      </c>
      <c r="O305" s="30" t="s">
        <v>6261</v>
      </c>
      <c r="P305" s="30" t="s">
        <v>26840</v>
      </c>
      <c r="Q305" s="30" t="s">
        <v>26150</v>
      </c>
      <c r="R305" s="30" t="s">
        <v>23804</v>
      </c>
      <c r="S305" s="30" t="s">
        <v>27096</v>
      </c>
      <c r="T305" s="30" t="s">
        <v>27097</v>
      </c>
      <c r="U305" s="30"/>
      <c r="V305" s="139">
        <v>1863</v>
      </c>
      <c r="W305" s="30" t="s">
        <v>484</v>
      </c>
      <c r="X305" s="30" t="s">
        <v>194</v>
      </c>
      <c r="Y305" s="30" t="s">
        <v>9300</v>
      </c>
      <c r="Z305" s="30"/>
      <c r="AA305" s="30"/>
      <c r="AB305" s="30" t="s">
        <v>9311</v>
      </c>
      <c r="AC305" s="30"/>
      <c r="AD305" s="30"/>
      <c r="AE305" s="30"/>
      <c r="AF305" s="30"/>
      <c r="AG305" s="30"/>
      <c r="AH305" s="30" t="s">
        <v>4714</v>
      </c>
      <c r="AI305" s="30" t="s">
        <v>9433</v>
      </c>
      <c r="AJ305" s="641" t="str">
        <f t="shared" si="8"/>
        <v>251401</v>
      </c>
      <c r="AK305" s="641">
        <v>1</v>
      </c>
      <c r="AL305" s="641">
        <f t="shared" si="9"/>
        <v>1</v>
      </c>
      <c r="AM305" s="641">
        <v>1</v>
      </c>
      <c r="AN305" s="30" t="s">
        <v>17650</v>
      </c>
      <c r="AO305" s="30" t="s">
        <v>17651</v>
      </c>
      <c r="AP305" s="30" t="s">
        <v>17652</v>
      </c>
      <c r="AQ305" s="30" t="s">
        <v>17653</v>
      </c>
      <c r="AR305" s="30" t="s">
        <v>1024</v>
      </c>
      <c r="AS305" s="30">
        <v>1</v>
      </c>
    </row>
    <row r="306" spans="1:45" x14ac:dyDescent="0.25">
      <c r="A306" s="30" t="s">
        <v>716</v>
      </c>
      <c r="B306" s="30" t="s">
        <v>27098</v>
      </c>
      <c r="C306" s="30" t="s">
        <v>706</v>
      </c>
      <c r="D306" s="139" t="s">
        <v>26160</v>
      </c>
      <c r="E306" s="30" t="s">
        <v>217</v>
      </c>
      <c r="F306" s="30">
        <v>1</v>
      </c>
      <c r="G306" s="30" t="s">
        <v>193</v>
      </c>
      <c r="H306" s="30" t="s">
        <v>194</v>
      </c>
      <c r="I306" s="30" t="s">
        <v>26143</v>
      </c>
      <c r="J306" s="30" t="s">
        <v>210</v>
      </c>
      <c r="K306" s="30" t="s">
        <v>9309</v>
      </c>
      <c r="L306" s="30" t="s">
        <v>6955</v>
      </c>
      <c r="M306" s="30"/>
      <c r="N306" s="30" t="s">
        <v>27099</v>
      </c>
      <c r="O306" s="30" t="s">
        <v>6286</v>
      </c>
      <c r="P306" s="30" t="s">
        <v>26840</v>
      </c>
      <c r="Q306" s="30" t="s">
        <v>26073</v>
      </c>
      <c r="R306" s="30" t="s">
        <v>27021</v>
      </c>
      <c r="S306" s="30" t="s">
        <v>27100</v>
      </c>
      <c r="T306" s="30" t="s">
        <v>27101</v>
      </c>
      <c r="U306" s="30"/>
      <c r="V306" s="139">
        <v>1863</v>
      </c>
      <c r="W306" s="30" t="s">
        <v>707</v>
      </c>
      <c r="X306" s="30" t="s">
        <v>194</v>
      </c>
      <c r="Y306" s="30" t="s">
        <v>9300</v>
      </c>
      <c r="Z306" s="30"/>
      <c r="AA306" s="30"/>
      <c r="AB306" s="30" t="s">
        <v>9311</v>
      </c>
      <c r="AC306" s="30"/>
      <c r="AD306" s="30"/>
      <c r="AE306" s="30"/>
      <c r="AF306" s="30"/>
      <c r="AG306" s="30"/>
      <c r="AH306" s="30" t="s">
        <v>4714</v>
      </c>
      <c r="AI306" s="30" t="s">
        <v>9433</v>
      </c>
      <c r="AJ306" s="641" t="str">
        <f t="shared" si="8"/>
        <v>422201</v>
      </c>
      <c r="AK306" s="641">
        <v>1</v>
      </c>
      <c r="AL306" s="641">
        <f t="shared" si="9"/>
        <v>1</v>
      </c>
      <c r="AM306" s="641">
        <v>1</v>
      </c>
      <c r="AN306" s="30" t="s">
        <v>17650</v>
      </c>
      <c r="AO306" s="30" t="s">
        <v>17651</v>
      </c>
      <c r="AP306" s="30" t="s">
        <v>17652</v>
      </c>
      <c r="AQ306" s="30" t="s">
        <v>17653</v>
      </c>
      <c r="AR306" s="30" t="s">
        <v>1024</v>
      </c>
      <c r="AS306" s="30">
        <v>1</v>
      </c>
    </row>
    <row r="307" spans="1:45" x14ac:dyDescent="0.25">
      <c r="A307" s="30" t="s">
        <v>26089</v>
      </c>
      <c r="B307" s="30" t="s">
        <v>26245</v>
      </c>
      <c r="C307" s="30" t="s">
        <v>16355</v>
      </c>
      <c r="D307" s="139" t="s">
        <v>26160</v>
      </c>
      <c r="E307" s="30" t="s">
        <v>217</v>
      </c>
      <c r="F307" s="30">
        <v>1</v>
      </c>
      <c r="G307" s="30" t="s">
        <v>193</v>
      </c>
      <c r="H307" s="30" t="s">
        <v>194</v>
      </c>
      <c r="I307" s="30" t="s">
        <v>26143</v>
      </c>
      <c r="J307" s="30" t="s">
        <v>210</v>
      </c>
      <c r="K307" s="30" t="s">
        <v>9309</v>
      </c>
      <c r="L307" s="30" t="s">
        <v>6955</v>
      </c>
      <c r="M307" s="30"/>
      <c r="N307" s="30" t="s">
        <v>26246</v>
      </c>
      <c r="O307" s="30" t="s">
        <v>6921</v>
      </c>
      <c r="P307" s="30" t="s">
        <v>26840</v>
      </c>
      <c r="Q307" s="30" t="s">
        <v>26120</v>
      </c>
      <c r="R307" s="30" t="s">
        <v>24551</v>
      </c>
      <c r="S307" s="30" t="s">
        <v>27102</v>
      </c>
      <c r="T307" s="30" t="s">
        <v>27103</v>
      </c>
      <c r="U307" s="30"/>
      <c r="V307" s="139">
        <v>1863</v>
      </c>
      <c r="W307" s="30" t="s">
        <v>508</v>
      </c>
      <c r="X307" s="30" t="s">
        <v>194</v>
      </c>
      <c r="Y307" s="30" t="s">
        <v>9300</v>
      </c>
      <c r="Z307" s="30"/>
      <c r="AA307" s="30"/>
      <c r="AB307" s="30" t="s">
        <v>9311</v>
      </c>
      <c r="AC307" s="30"/>
      <c r="AD307" s="30"/>
      <c r="AE307" s="30"/>
      <c r="AF307" s="30"/>
      <c r="AG307" s="30"/>
      <c r="AH307" s="30" t="s">
        <v>4714</v>
      </c>
      <c r="AI307" s="30" t="s">
        <v>9433</v>
      </c>
      <c r="AJ307" s="641" t="str">
        <f t="shared" si="8"/>
        <v>252102</v>
      </c>
      <c r="AK307" s="641">
        <v>1</v>
      </c>
      <c r="AL307" s="641">
        <f t="shared" si="9"/>
        <v>1</v>
      </c>
      <c r="AM307" s="641">
        <v>1</v>
      </c>
      <c r="AN307" s="30" t="s">
        <v>17650</v>
      </c>
      <c r="AO307" s="30" t="s">
        <v>17651</v>
      </c>
      <c r="AP307" s="30" t="s">
        <v>17652</v>
      </c>
      <c r="AQ307" s="30" t="s">
        <v>17653</v>
      </c>
      <c r="AR307" s="30" t="s">
        <v>1024</v>
      </c>
      <c r="AS307" s="30">
        <v>1</v>
      </c>
    </row>
    <row r="308" spans="1:45" x14ac:dyDescent="0.25">
      <c r="A308" s="30" t="s">
        <v>716</v>
      </c>
      <c r="B308" s="30" t="s">
        <v>26282</v>
      </c>
      <c r="C308" s="30" t="s">
        <v>3219</v>
      </c>
      <c r="D308" s="139" t="s">
        <v>26160</v>
      </c>
      <c r="E308" s="30" t="s">
        <v>217</v>
      </c>
      <c r="F308" s="30">
        <v>1</v>
      </c>
      <c r="G308" s="30" t="s">
        <v>193</v>
      </c>
      <c r="H308" s="30" t="s">
        <v>194</v>
      </c>
      <c r="I308" s="30" t="s">
        <v>26143</v>
      </c>
      <c r="J308" s="30" t="s">
        <v>210</v>
      </c>
      <c r="K308" s="30" t="s">
        <v>9309</v>
      </c>
      <c r="L308" s="30" t="s">
        <v>6955</v>
      </c>
      <c r="M308" s="30"/>
      <c r="N308" s="30" t="s">
        <v>26481</v>
      </c>
      <c r="O308" s="30" t="s">
        <v>6290</v>
      </c>
      <c r="P308" s="30" t="s">
        <v>26840</v>
      </c>
      <c r="Q308" s="30" t="s">
        <v>26201</v>
      </c>
      <c r="R308" s="30" t="s">
        <v>24556</v>
      </c>
      <c r="S308" s="30" t="s">
        <v>27104</v>
      </c>
      <c r="T308" s="30" t="s">
        <v>27105</v>
      </c>
      <c r="U308" s="30"/>
      <c r="V308" s="139">
        <v>1863</v>
      </c>
      <c r="W308" s="30" t="s">
        <v>3620</v>
      </c>
      <c r="X308" s="30" t="s">
        <v>194</v>
      </c>
      <c r="Y308" s="30" t="s">
        <v>9300</v>
      </c>
      <c r="Z308" s="30"/>
      <c r="AA308" s="30"/>
      <c r="AB308" s="30" t="s">
        <v>9311</v>
      </c>
      <c r="AC308" s="30"/>
      <c r="AD308" s="30"/>
      <c r="AE308" s="30"/>
      <c r="AF308" s="30"/>
      <c r="AG308" s="30"/>
      <c r="AH308" s="30" t="s">
        <v>4714</v>
      </c>
      <c r="AI308" s="30" t="s">
        <v>9433</v>
      </c>
      <c r="AJ308" s="641" t="str">
        <f t="shared" si="8"/>
        <v>243109</v>
      </c>
      <c r="AK308" s="641">
        <v>1</v>
      </c>
      <c r="AL308" s="641">
        <f t="shared" si="9"/>
        <v>1</v>
      </c>
      <c r="AM308" s="641">
        <v>1</v>
      </c>
      <c r="AN308" s="30" t="s">
        <v>17650</v>
      </c>
      <c r="AO308" s="30" t="s">
        <v>17651</v>
      </c>
      <c r="AP308" s="30" t="s">
        <v>17652</v>
      </c>
      <c r="AQ308" s="30" t="s">
        <v>17653</v>
      </c>
      <c r="AR308" s="30" t="s">
        <v>1024</v>
      </c>
      <c r="AS308" s="30">
        <v>1</v>
      </c>
    </row>
    <row r="309" spans="1:45" x14ac:dyDescent="0.25">
      <c r="A309" s="30" t="s">
        <v>26089</v>
      </c>
      <c r="B309" s="30" t="s">
        <v>26616</v>
      </c>
      <c r="C309" s="30" t="s">
        <v>36</v>
      </c>
      <c r="D309" s="139" t="s">
        <v>26160</v>
      </c>
      <c r="E309" s="30" t="s">
        <v>217</v>
      </c>
      <c r="F309" s="30">
        <v>1</v>
      </c>
      <c r="G309" s="30" t="s">
        <v>193</v>
      </c>
      <c r="H309" s="30" t="s">
        <v>194</v>
      </c>
      <c r="I309" s="30" t="s">
        <v>26143</v>
      </c>
      <c r="J309" s="30" t="s">
        <v>210</v>
      </c>
      <c r="K309" s="30" t="s">
        <v>9309</v>
      </c>
      <c r="L309" s="30" t="s">
        <v>6955</v>
      </c>
      <c r="M309" s="30"/>
      <c r="N309" s="30" t="s">
        <v>26722</v>
      </c>
      <c r="O309" s="30" t="s">
        <v>6286</v>
      </c>
      <c r="P309" s="30" t="s">
        <v>26840</v>
      </c>
      <c r="Q309" s="30" t="s">
        <v>26189</v>
      </c>
      <c r="R309" s="30" t="s">
        <v>26190</v>
      </c>
      <c r="S309" s="30" t="s">
        <v>27106</v>
      </c>
      <c r="T309" s="30" t="s">
        <v>27107</v>
      </c>
      <c r="U309" s="30"/>
      <c r="V309" s="139">
        <v>1863</v>
      </c>
      <c r="W309" s="30" t="s">
        <v>609</v>
      </c>
      <c r="X309" s="30" t="s">
        <v>194</v>
      </c>
      <c r="Y309" s="30" t="s">
        <v>9300</v>
      </c>
      <c r="Z309" s="30"/>
      <c r="AA309" s="30"/>
      <c r="AB309" s="30" t="s">
        <v>9311</v>
      </c>
      <c r="AC309" s="30"/>
      <c r="AD309" s="30"/>
      <c r="AE309" s="30"/>
      <c r="AF309" s="30"/>
      <c r="AG309" s="30"/>
      <c r="AH309" s="30" t="s">
        <v>4714</v>
      </c>
      <c r="AI309" s="30" t="s">
        <v>9433</v>
      </c>
      <c r="AJ309" s="641" t="str">
        <f t="shared" si="8"/>
        <v>331301</v>
      </c>
      <c r="AK309" s="641">
        <v>1</v>
      </c>
      <c r="AL309" s="641">
        <f t="shared" si="9"/>
        <v>1</v>
      </c>
      <c r="AM309" s="641">
        <v>1</v>
      </c>
      <c r="AN309" s="30" t="s">
        <v>17650</v>
      </c>
      <c r="AO309" s="30" t="s">
        <v>17651</v>
      </c>
      <c r="AP309" s="30" t="s">
        <v>17652</v>
      </c>
      <c r="AQ309" s="30" t="s">
        <v>17653</v>
      </c>
      <c r="AR309" s="30" t="s">
        <v>1024</v>
      </c>
      <c r="AS309" s="30">
        <v>1</v>
      </c>
    </row>
    <row r="310" spans="1:45" x14ac:dyDescent="0.25">
      <c r="A310" s="30" t="s">
        <v>581</v>
      </c>
      <c r="B310" s="30" t="s">
        <v>3873</v>
      </c>
      <c r="C310" s="30" t="s">
        <v>5326</v>
      </c>
      <c r="D310" s="139" t="s">
        <v>26160</v>
      </c>
      <c r="E310" s="30" t="s">
        <v>217</v>
      </c>
      <c r="F310" s="30">
        <v>1</v>
      </c>
      <c r="G310" s="30" t="s">
        <v>193</v>
      </c>
      <c r="H310" s="30" t="s">
        <v>194</v>
      </c>
      <c r="I310" s="30" t="s">
        <v>26143</v>
      </c>
      <c r="J310" s="30" t="s">
        <v>976</v>
      </c>
      <c r="K310" s="30" t="s">
        <v>9309</v>
      </c>
      <c r="L310" s="30" t="s">
        <v>6955</v>
      </c>
      <c r="M310" s="30"/>
      <c r="N310" s="30" t="s">
        <v>27108</v>
      </c>
      <c r="O310" s="30" t="s">
        <v>6275</v>
      </c>
      <c r="P310" s="30" t="s">
        <v>26840</v>
      </c>
      <c r="Q310" s="30" t="s">
        <v>26052</v>
      </c>
      <c r="R310" s="30" t="s">
        <v>26262</v>
      </c>
      <c r="S310" s="30" t="s">
        <v>27109</v>
      </c>
      <c r="T310" s="30" t="s">
        <v>27110</v>
      </c>
      <c r="U310" s="139"/>
      <c r="V310" s="139" t="s">
        <v>28321</v>
      </c>
      <c r="W310" s="30" t="s">
        <v>584</v>
      </c>
      <c r="X310" s="30" t="s">
        <v>193</v>
      </c>
      <c r="Y310" s="30" t="s">
        <v>9310</v>
      </c>
      <c r="Z310" s="30"/>
      <c r="AA310" s="30"/>
      <c r="AB310" s="30" t="s">
        <v>9311</v>
      </c>
      <c r="AC310" s="30"/>
      <c r="AD310" s="30"/>
      <c r="AE310" s="30"/>
      <c r="AF310" s="30"/>
      <c r="AG310" s="30"/>
      <c r="AH310" s="30" t="s">
        <v>4714</v>
      </c>
      <c r="AI310" s="30" t="s">
        <v>9433</v>
      </c>
      <c r="AJ310" s="641" t="str">
        <f t="shared" si="8"/>
        <v>311937</v>
      </c>
      <c r="AK310" s="641">
        <v>1</v>
      </c>
      <c r="AL310" s="641">
        <f t="shared" si="9"/>
        <v>1</v>
      </c>
      <c r="AM310" s="641">
        <v>1</v>
      </c>
      <c r="AN310" s="30" t="s">
        <v>17650</v>
      </c>
      <c r="AO310" s="30" t="s">
        <v>17651</v>
      </c>
      <c r="AP310" s="30" t="s">
        <v>17652</v>
      </c>
      <c r="AQ310" s="30" t="s">
        <v>17653</v>
      </c>
      <c r="AR310" s="30" t="s">
        <v>1024</v>
      </c>
      <c r="AS310" s="30">
        <v>1</v>
      </c>
    </row>
    <row r="311" spans="1:45" x14ac:dyDescent="0.25">
      <c r="A311" s="30" t="s">
        <v>26089</v>
      </c>
      <c r="B311" s="30" t="s">
        <v>26609</v>
      </c>
      <c r="C311" s="30" t="s">
        <v>129</v>
      </c>
      <c r="D311" s="139" t="s">
        <v>26160</v>
      </c>
      <c r="E311" s="30" t="s">
        <v>217</v>
      </c>
      <c r="F311" s="30">
        <v>1</v>
      </c>
      <c r="G311" s="30" t="s">
        <v>193</v>
      </c>
      <c r="H311" s="30" t="s">
        <v>194</v>
      </c>
      <c r="I311" s="30" t="s">
        <v>26148</v>
      </c>
      <c r="J311" s="30" t="s">
        <v>210</v>
      </c>
      <c r="K311" s="30" t="s">
        <v>9309</v>
      </c>
      <c r="L311" s="30" t="s">
        <v>6955</v>
      </c>
      <c r="M311" s="30"/>
      <c r="N311" s="30" t="s">
        <v>26610</v>
      </c>
      <c r="O311" s="30" t="s">
        <v>6254</v>
      </c>
      <c r="P311" s="30" t="s">
        <v>26840</v>
      </c>
      <c r="Q311" s="30" t="s">
        <v>26261</v>
      </c>
      <c r="R311" s="30" t="s">
        <v>26262</v>
      </c>
      <c r="S311" s="30" t="s">
        <v>27111</v>
      </c>
      <c r="T311" s="30" t="s">
        <v>27112</v>
      </c>
      <c r="U311" s="30"/>
      <c r="V311" s="139">
        <v>1863</v>
      </c>
      <c r="W311" s="30" t="s">
        <v>203</v>
      </c>
      <c r="X311" s="30" t="s">
        <v>194</v>
      </c>
      <c r="Y311" s="30" t="s">
        <v>9300</v>
      </c>
      <c r="Z311" s="30"/>
      <c r="AA311" s="30"/>
      <c r="AB311" s="30" t="s">
        <v>9311</v>
      </c>
      <c r="AC311" s="30"/>
      <c r="AD311" s="30"/>
      <c r="AE311" s="30"/>
      <c r="AF311" s="30"/>
      <c r="AG311" s="30"/>
      <c r="AH311" s="30" t="s">
        <v>4714</v>
      </c>
      <c r="AI311" s="30" t="s">
        <v>9433</v>
      </c>
      <c r="AJ311" s="641" t="str">
        <f t="shared" si="8"/>
        <v>121904</v>
      </c>
      <c r="AK311" s="641">
        <v>1</v>
      </c>
      <c r="AL311" s="641">
        <f t="shared" si="9"/>
        <v>1</v>
      </c>
      <c r="AM311" s="641">
        <v>1</v>
      </c>
      <c r="AN311" s="30" t="s">
        <v>17650</v>
      </c>
      <c r="AO311" s="30" t="s">
        <v>17651</v>
      </c>
      <c r="AP311" s="30" t="s">
        <v>17652</v>
      </c>
      <c r="AQ311" s="30" t="s">
        <v>17653</v>
      </c>
      <c r="AR311" s="30" t="s">
        <v>1024</v>
      </c>
      <c r="AS311" s="30">
        <v>1</v>
      </c>
    </row>
    <row r="312" spans="1:45" x14ac:dyDescent="0.25">
      <c r="A312" s="30" t="s">
        <v>26089</v>
      </c>
      <c r="B312" s="30" t="s">
        <v>2276</v>
      </c>
      <c r="C312" s="30" t="s">
        <v>10</v>
      </c>
      <c r="D312" s="139" t="s">
        <v>26160</v>
      </c>
      <c r="E312" s="30" t="s">
        <v>217</v>
      </c>
      <c r="F312" s="30">
        <v>1</v>
      </c>
      <c r="G312" s="30" t="s">
        <v>193</v>
      </c>
      <c r="H312" s="30" t="s">
        <v>194</v>
      </c>
      <c r="I312" s="30" t="s">
        <v>26143</v>
      </c>
      <c r="J312" s="30" t="s">
        <v>210</v>
      </c>
      <c r="K312" s="30" t="s">
        <v>9309</v>
      </c>
      <c r="L312" s="30" t="s">
        <v>6955</v>
      </c>
      <c r="M312" s="30"/>
      <c r="N312" s="30" t="s">
        <v>26102</v>
      </c>
      <c r="O312" s="30" t="s">
        <v>6261</v>
      </c>
      <c r="P312" s="30" t="s">
        <v>26840</v>
      </c>
      <c r="Q312" s="30" t="s">
        <v>26103</v>
      </c>
      <c r="R312" s="30" t="s">
        <v>26079</v>
      </c>
      <c r="S312" s="30" t="s">
        <v>27113</v>
      </c>
      <c r="T312" s="30" t="s">
        <v>27114</v>
      </c>
      <c r="U312" s="30"/>
      <c r="V312" s="139">
        <v>1863</v>
      </c>
      <c r="W312" s="30" t="s">
        <v>484</v>
      </c>
      <c r="X312" s="30" t="s">
        <v>194</v>
      </c>
      <c r="Y312" s="30" t="s">
        <v>9300</v>
      </c>
      <c r="Z312" s="30"/>
      <c r="AA312" s="30"/>
      <c r="AB312" s="30" t="s">
        <v>9311</v>
      </c>
      <c r="AC312" s="30"/>
      <c r="AD312" s="30"/>
      <c r="AE312" s="30"/>
      <c r="AF312" s="30"/>
      <c r="AG312" s="30"/>
      <c r="AH312" s="30" t="s">
        <v>4714</v>
      </c>
      <c r="AI312" s="30" t="s">
        <v>9433</v>
      </c>
      <c r="AJ312" s="641" t="str">
        <f t="shared" si="8"/>
        <v>251401</v>
      </c>
      <c r="AK312" s="641">
        <v>1</v>
      </c>
      <c r="AL312" s="641">
        <f t="shared" si="9"/>
        <v>1</v>
      </c>
      <c r="AM312" s="641">
        <v>1</v>
      </c>
      <c r="AN312" s="30" t="s">
        <v>17650</v>
      </c>
      <c r="AO312" s="30" t="s">
        <v>17651</v>
      </c>
      <c r="AP312" s="30" t="s">
        <v>17652</v>
      </c>
      <c r="AQ312" s="30" t="s">
        <v>17653</v>
      </c>
      <c r="AR312" s="30" t="s">
        <v>1024</v>
      </c>
      <c r="AS312" s="30">
        <v>1</v>
      </c>
    </row>
    <row r="313" spans="1:45" x14ac:dyDescent="0.25">
      <c r="A313" s="30" t="s">
        <v>26153</v>
      </c>
      <c r="B313" s="30" t="s">
        <v>3201</v>
      </c>
      <c r="C313" s="30" t="s">
        <v>10</v>
      </c>
      <c r="D313" s="139" t="s">
        <v>26160</v>
      </c>
      <c r="E313" s="30" t="s">
        <v>217</v>
      </c>
      <c r="F313" s="30">
        <v>1</v>
      </c>
      <c r="G313" s="30" t="s">
        <v>193</v>
      </c>
      <c r="H313" s="30" t="s">
        <v>194</v>
      </c>
      <c r="I313" s="30" t="s">
        <v>23198</v>
      </c>
      <c r="J313" s="30" t="s">
        <v>210</v>
      </c>
      <c r="K313" s="30" t="s">
        <v>9309</v>
      </c>
      <c r="L313" s="30" t="s">
        <v>6955</v>
      </c>
      <c r="M313" s="30"/>
      <c r="N313" s="30" t="s">
        <v>26749</v>
      </c>
      <c r="O313" s="30" t="s">
        <v>7531</v>
      </c>
      <c r="P313" s="30" t="s">
        <v>26840</v>
      </c>
      <c r="Q313" s="30" t="s">
        <v>26182</v>
      </c>
      <c r="R313" s="30" t="s">
        <v>26183</v>
      </c>
      <c r="S313" s="30" t="s">
        <v>27115</v>
      </c>
      <c r="T313" s="30" t="s">
        <v>27116</v>
      </c>
      <c r="U313" s="30"/>
      <c r="V313" s="139">
        <v>1863</v>
      </c>
      <c r="W313" s="30" t="s">
        <v>484</v>
      </c>
      <c r="X313" s="30" t="s">
        <v>194</v>
      </c>
      <c r="Y313" s="30" t="s">
        <v>9300</v>
      </c>
      <c r="Z313" s="30"/>
      <c r="AA313" s="30"/>
      <c r="AB313" s="30" t="s">
        <v>9311</v>
      </c>
      <c r="AC313" s="30"/>
      <c r="AD313" s="30"/>
      <c r="AE313" s="30"/>
      <c r="AF313" s="30"/>
      <c r="AG313" s="30"/>
      <c r="AH313" s="30" t="s">
        <v>4714</v>
      </c>
      <c r="AI313" s="30" t="s">
        <v>9433</v>
      </c>
      <c r="AJ313" s="641" t="str">
        <f t="shared" si="8"/>
        <v>251401</v>
      </c>
      <c r="AK313" s="641">
        <v>1</v>
      </c>
      <c r="AL313" s="641">
        <f t="shared" si="9"/>
        <v>1</v>
      </c>
      <c r="AM313" s="641">
        <v>1</v>
      </c>
      <c r="AN313" s="30" t="s">
        <v>17650</v>
      </c>
      <c r="AO313" s="30" t="s">
        <v>17651</v>
      </c>
      <c r="AP313" s="30" t="s">
        <v>17652</v>
      </c>
      <c r="AQ313" s="30" t="s">
        <v>17653</v>
      </c>
      <c r="AR313" s="30" t="s">
        <v>1024</v>
      </c>
      <c r="AS313" s="30">
        <v>1</v>
      </c>
    </row>
    <row r="314" spans="1:45" x14ac:dyDescent="0.25">
      <c r="A314" s="30" t="s">
        <v>26198</v>
      </c>
      <c r="B314" s="30" t="s">
        <v>26212</v>
      </c>
      <c r="C314" s="30" t="s">
        <v>17</v>
      </c>
      <c r="D314" s="139" t="s">
        <v>26160</v>
      </c>
      <c r="E314" s="30" t="s">
        <v>217</v>
      </c>
      <c r="F314" s="30">
        <v>1</v>
      </c>
      <c r="G314" s="30" t="s">
        <v>193</v>
      </c>
      <c r="H314" s="30" t="s">
        <v>194</v>
      </c>
      <c r="I314" s="30" t="s">
        <v>26148</v>
      </c>
      <c r="J314" s="30" t="s">
        <v>210</v>
      </c>
      <c r="K314" s="30" t="s">
        <v>9309</v>
      </c>
      <c r="L314" s="30" t="s">
        <v>6955</v>
      </c>
      <c r="M314" s="30"/>
      <c r="N314" s="30" t="s">
        <v>26213</v>
      </c>
      <c r="O314" s="30" t="s">
        <v>6251</v>
      </c>
      <c r="P314" s="30" t="s">
        <v>26840</v>
      </c>
      <c r="Q314" s="30" t="s">
        <v>26092</v>
      </c>
      <c r="R314" s="30" t="s">
        <v>26093</v>
      </c>
      <c r="S314" s="30" t="s">
        <v>27117</v>
      </c>
      <c r="T314" s="30" t="s">
        <v>27118</v>
      </c>
      <c r="U314" s="30"/>
      <c r="V314" s="139">
        <v>1863</v>
      </c>
      <c r="W314" s="30" t="s">
        <v>624</v>
      </c>
      <c r="X314" s="30" t="s">
        <v>194</v>
      </c>
      <c r="Y314" s="30" t="s">
        <v>9300</v>
      </c>
      <c r="Z314" s="30"/>
      <c r="AA314" s="30"/>
      <c r="AB314" s="30" t="s">
        <v>9311</v>
      </c>
      <c r="AC314" s="30"/>
      <c r="AD314" s="30"/>
      <c r="AE314" s="30"/>
      <c r="AF314" s="30"/>
      <c r="AG314" s="30"/>
      <c r="AH314" s="30" t="s">
        <v>4714</v>
      </c>
      <c r="AI314" s="30" t="s">
        <v>9433</v>
      </c>
      <c r="AJ314" s="641" t="str">
        <f t="shared" si="8"/>
        <v>332203</v>
      </c>
      <c r="AK314" s="641">
        <v>1</v>
      </c>
      <c r="AL314" s="641">
        <f t="shared" si="9"/>
        <v>1</v>
      </c>
      <c r="AM314" s="641">
        <v>1</v>
      </c>
      <c r="AN314" s="30" t="s">
        <v>17650</v>
      </c>
      <c r="AO314" s="30" t="s">
        <v>17651</v>
      </c>
      <c r="AP314" s="30" t="s">
        <v>17652</v>
      </c>
      <c r="AQ314" s="30" t="s">
        <v>17653</v>
      </c>
      <c r="AR314" s="30" t="s">
        <v>1024</v>
      </c>
      <c r="AS314" s="30">
        <v>1</v>
      </c>
    </row>
    <row r="315" spans="1:45" x14ac:dyDescent="0.25">
      <c r="A315" s="30" t="s">
        <v>26089</v>
      </c>
      <c r="B315" s="30" t="s">
        <v>26414</v>
      </c>
      <c r="C315" s="30" t="s">
        <v>36</v>
      </c>
      <c r="D315" s="139" t="s">
        <v>26160</v>
      </c>
      <c r="E315" s="30" t="s">
        <v>217</v>
      </c>
      <c r="F315" s="30">
        <v>1</v>
      </c>
      <c r="G315" s="30" t="s">
        <v>193</v>
      </c>
      <c r="H315" s="30" t="s">
        <v>194</v>
      </c>
      <c r="I315" s="30" t="s">
        <v>26148</v>
      </c>
      <c r="J315" s="30" t="s">
        <v>210</v>
      </c>
      <c r="K315" s="30" t="s">
        <v>9309</v>
      </c>
      <c r="L315" s="30" t="s">
        <v>6955</v>
      </c>
      <c r="M315" s="30"/>
      <c r="N315" s="30" t="s">
        <v>26415</v>
      </c>
      <c r="O315" s="30" t="s">
        <v>7120</v>
      </c>
      <c r="P315" s="30" t="s">
        <v>26840</v>
      </c>
      <c r="Q315" s="30" t="s">
        <v>26120</v>
      </c>
      <c r="R315" s="30" t="s">
        <v>24551</v>
      </c>
      <c r="S315" s="30" t="s">
        <v>27119</v>
      </c>
      <c r="T315" s="30" t="s">
        <v>27120</v>
      </c>
      <c r="U315" s="30"/>
      <c r="V315" s="139">
        <v>1863</v>
      </c>
      <c r="W315" s="30" t="s">
        <v>609</v>
      </c>
      <c r="X315" s="30" t="s">
        <v>194</v>
      </c>
      <c r="Y315" s="30" t="s">
        <v>9300</v>
      </c>
      <c r="Z315" s="30"/>
      <c r="AA315" s="30"/>
      <c r="AB315" s="30" t="s">
        <v>9311</v>
      </c>
      <c r="AC315" s="30"/>
      <c r="AD315" s="30"/>
      <c r="AE315" s="30"/>
      <c r="AF315" s="30"/>
      <c r="AG315" s="30"/>
      <c r="AH315" s="30" t="s">
        <v>4714</v>
      </c>
      <c r="AI315" s="30" t="s">
        <v>9433</v>
      </c>
      <c r="AJ315" s="641" t="str">
        <f t="shared" si="8"/>
        <v>331301</v>
      </c>
      <c r="AK315" s="641">
        <v>1</v>
      </c>
      <c r="AL315" s="641">
        <f t="shared" si="9"/>
        <v>1</v>
      </c>
      <c r="AM315" s="641">
        <v>1</v>
      </c>
      <c r="AN315" s="30" t="s">
        <v>17650</v>
      </c>
      <c r="AO315" s="30" t="s">
        <v>17651</v>
      </c>
      <c r="AP315" s="30" t="s">
        <v>17652</v>
      </c>
      <c r="AQ315" s="30" t="s">
        <v>17653</v>
      </c>
      <c r="AR315" s="30" t="s">
        <v>1024</v>
      </c>
      <c r="AS315" s="30">
        <v>1</v>
      </c>
    </row>
    <row r="316" spans="1:45" x14ac:dyDescent="0.25">
      <c r="A316" s="30" t="s">
        <v>10145</v>
      </c>
      <c r="B316" s="30" t="s">
        <v>26518</v>
      </c>
      <c r="C316" s="30" t="s">
        <v>3968</v>
      </c>
      <c r="D316" s="139" t="s">
        <v>26160</v>
      </c>
      <c r="E316" s="30" t="s">
        <v>217</v>
      </c>
      <c r="F316" s="30">
        <v>1</v>
      </c>
      <c r="G316" s="30" t="s">
        <v>193</v>
      </c>
      <c r="H316" s="30" t="s">
        <v>194</v>
      </c>
      <c r="I316" s="30" t="s">
        <v>26143</v>
      </c>
      <c r="J316" s="30" t="s">
        <v>26228</v>
      </c>
      <c r="K316" s="30" t="s">
        <v>9309</v>
      </c>
      <c r="L316" s="30" t="s">
        <v>6955</v>
      </c>
      <c r="M316" s="30"/>
      <c r="N316" s="30" t="s">
        <v>26519</v>
      </c>
      <c r="O316" s="30" t="s">
        <v>6343</v>
      </c>
      <c r="P316" s="30" t="s">
        <v>26840</v>
      </c>
      <c r="Q316" s="30" t="s">
        <v>26218</v>
      </c>
      <c r="R316" s="30" t="s">
        <v>26219</v>
      </c>
      <c r="S316" s="30" t="s">
        <v>27121</v>
      </c>
      <c r="T316" s="30" t="s">
        <v>27122</v>
      </c>
      <c r="U316" s="139"/>
      <c r="V316" s="139" t="s">
        <v>28321</v>
      </c>
      <c r="W316" s="30" t="s">
        <v>3969</v>
      </c>
      <c r="X316" s="30" t="s">
        <v>193</v>
      </c>
      <c r="Y316" s="30" t="s">
        <v>9310</v>
      </c>
      <c r="Z316" s="30"/>
      <c r="AA316" s="30"/>
      <c r="AB316" s="30" t="s">
        <v>9311</v>
      </c>
      <c r="AC316" s="30"/>
      <c r="AD316" s="30"/>
      <c r="AE316" s="30"/>
      <c r="AF316" s="30"/>
      <c r="AG316" s="30"/>
      <c r="AH316" s="30" t="s">
        <v>4714</v>
      </c>
      <c r="AI316" s="30" t="s">
        <v>9433</v>
      </c>
      <c r="AJ316" s="641" t="str">
        <f t="shared" si="8"/>
        <v>141103</v>
      </c>
      <c r="AK316" s="641">
        <v>1</v>
      </c>
      <c r="AL316" s="641">
        <f t="shared" si="9"/>
        <v>1</v>
      </c>
      <c r="AM316" s="641">
        <v>1</v>
      </c>
      <c r="AN316" s="30" t="s">
        <v>17650</v>
      </c>
      <c r="AO316" s="30" t="s">
        <v>17651</v>
      </c>
      <c r="AP316" s="30" t="s">
        <v>17652</v>
      </c>
      <c r="AQ316" s="30" t="s">
        <v>17653</v>
      </c>
      <c r="AR316" s="30" t="s">
        <v>1024</v>
      </c>
      <c r="AS316" s="30">
        <v>1</v>
      </c>
    </row>
    <row r="317" spans="1:45" x14ac:dyDescent="0.25">
      <c r="A317" s="30" t="s">
        <v>26089</v>
      </c>
      <c r="B317" s="30" t="s">
        <v>4055</v>
      </c>
      <c r="C317" s="30" t="s">
        <v>10</v>
      </c>
      <c r="D317" s="139" t="s">
        <v>26160</v>
      </c>
      <c r="E317" s="30" t="s">
        <v>217</v>
      </c>
      <c r="F317" s="30">
        <v>1</v>
      </c>
      <c r="G317" s="30" t="s">
        <v>193</v>
      </c>
      <c r="H317" s="30" t="s">
        <v>194</v>
      </c>
      <c r="I317" s="30" t="s">
        <v>26143</v>
      </c>
      <c r="J317" s="30" t="s">
        <v>210</v>
      </c>
      <c r="K317" s="30" t="s">
        <v>9309</v>
      </c>
      <c r="L317" s="30" t="s">
        <v>6955</v>
      </c>
      <c r="M317" s="30"/>
      <c r="N317" s="30" t="s">
        <v>26328</v>
      </c>
      <c r="O317" s="30" t="s">
        <v>6261</v>
      </c>
      <c r="P317" s="30" t="s">
        <v>26840</v>
      </c>
      <c r="Q317" s="30" t="s">
        <v>26218</v>
      </c>
      <c r="R317" s="30" t="s">
        <v>26219</v>
      </c>
      <c r="S317" s="30" t="s">
        <v>27123</v>
      </c>
      <c r="T317" s="30" t="s">
        <v>27124</v>
      </c>
      <c r="U317" s="30"/>
      <c r="V317" s="139">
        <v>1863</v>
      </c>
      <c r="W317" s="30" t="s">
        <v>484</v>
      </c>
      <c r="X317" s="30" t="s">
        <v>194</v>
      </c>
      <c r="Y317" s="30" t="s">
        <v>9300</v>
      </c>
      <c r="Z317" s="30"/>
      <c r="AA317" s="30"/>
      <c r="AB317" s="30" t="s">
        <v>9311</v>
      </c>
      <c r="AC317" s="30"/>
      <c r="AD317" s="30"/>
      <c r="AE317" s="30"/>
      <c r="AF317" s="30"/>
      <c r="AG317" s="30"/>
      <c r="AH317" s="30" t="s">
        <v>4714</v>
      </c>
      <c r="AI317" s="30" t="s">
        <v>9433</v>
      </c>
      <c r="AJ317" s="641" t="str">
        <f t="shared" si="8"/>
        <v>251401</v>
      </c>
      <c r="AK317" s="641">
        <v>1</v>
      </c>
      <c r="AL317" s="641">
        <f t="shared" si="9"/>
        <v>1</v>
      </c>
      <c r="AM317" s="641">
        <v>1</v>
      </c>
      <c r="AN317" s="30" t="s">
        <v>17650</v>
      </c>
      <c r="AO317" s="30" t="s">
        <v>17651</v>
      </c>
      <c r="AP317" s="30" t="s">
        <v>17652</v>
      </c>
      <c r="AQ317" s="30" t="s">
        <v>17653</v>
      </c>
      <c r="AR317" s="30" t="s">
        <v>1024</v>
      </c>
      <c r="AS317" s="30">
        <v>1</v>
      </c>
    </row>
    <row r="318" spans="1:45" x14ac:dyDescent="0.25">
      <c r="A318" s="30" t="s">
        <v>26089</v>
      </c>
      <c r="B318" s="30" t="s">
        <v>26502</v>
      </c>
      <c r="C318" s="30" t="s">
        <v>24125</v>
      </c>
      <c r="D318" s="139" t="s">
        <v>26160</v>
      </c>
      <c r="E318" s="30" t="s">
        <v>217</v>
      </c>
      <c r="F318" s="30">
        <v>1</v>
      </c>
      <c r="G318" s="30" t="s">
        <v>193</v>
      </c>
      <c r="H318" s="30" t="s">
        <v>194</v>
      </c>
      <c r="I318" s="30" t="s">
        <v>26133</v>
      </c>
      <c r="J318" s="30" t="s">
        <v>210</v>
      </c>
      <c r="K318" s="30" t="s">
        <v>9309</v>
      </c>
      <c r="L318" s="30" t="s">
        <v>6955</v>
      </c>
      <c r="M318" s="30"/>
      <c r="N318" s="30" t="s">
        <v>26503</v>
      </c>
      <c r="O318" s="30" t="s">
        <v>6261</v>
      </c>
      <c r="P318" s="30" t="s">
        <v>26840</v>
      </c>
      <c r="Q318" s="30" t="s">
        <v>26092</v>
      </c>
      <c r="R318" s="30" t="s">
        <v>26093</v>
      </c>
      <c r="S318" s="30" t="s">
        <v>27125</v>
      </c>
      <c r="T318" s="30" t="s">
        <v>27126</v>
      </c>
      <c r="U318" s="30"/>
      <c r="V318" s="139">
        <v>1863</v>
      </c>
      <c r="W318" s="30" t="s">
        <v>24129</v>
      </c>
      <c r="X318" s="30" t="s">
        <v>194</v>
      </c>
      <c r="Y318" s="30" t="s">
        <v>9300</v>
      </c>
      <c r="Z318" s="30"/>
      <c r="AA318" s="30"/>
      <c r="AB318" s="30" t="s">
        <v>9311</v>
      </c>
      <c r="AC318" s="30"/>
      <c r="AD318" s="30"/>
      <c r="AE318" s="30"/>
      <c r="AF318" s="30"/>
      <c r="AG318" s="30"/>
      <c r="AH318" s="30" t="s">
        <v>4714</v>
      </c>
      <c r="AI318" s="30" t="s">
        <v>9433</v>
      </c>
      <c r="AJ318" s="641" t="str">
        <f t="shared" si="8"/>
        <v>351401</v>
      </c>
      <c r="AK318" s="641">
        <v>1</v>
      </c>
      <c r="AL318" s="641">
        <f t="shared" si="9"/>
        <v>1</v>
      </c>
      <c r="AM318" s="641">
        <v>1</v>
      </c>
      <c r="AN318" s="30" t="s">
        <v>17650</v>
      </c>
      <c r="AO318" s="30" t="s">
        <v>17651</v>
      </c>
      <c r="AP318" s="30" t="s">
        <v>17652</v>
      </c>
      <c r="AQ318" s="30" t="s">
        <v>17653</v>
      </c>
      <c r="AR318" s="30" t="s">
        <v>1024</v>
      </c>
      <c r="AS318" s="30">
        <v>1</v>
      </c>
    </row>
    <row r="319" spans="1:45" x14ac:dyDescent="0.25">
      <c r="A319" s="30" t="s">
        <v>10145</v>
      </c>
      <c r="B319" s="30" t="s">
        <v>261</v>
      </c>
      <c r="C319" s="30" t="s">
        <v>74</v>
      </c>
      <c r="D319" s="139" t="s">
        <v>26160</v>
      </c>
      <c r="E319" s="30" t="s">
        <v>217</v>
      </c>
      <c r="F319" s="30">
        <v>1</v>
      </c>
      <c r="G319" s="30" t="s">
        <v>193</v>
      </c>
      <c r="H319" s="30" t="s">
        <v>194</v>
      </c>
      <c r="I319" s="30" t="s">
        <v>26143</v>
      </c>
      <c r="J319" s="30" t="s">
        <v>210</v>
      </c>
      <c r="K319" s="30" t="s">
        <v>9309</v>
      </c>
      <c r="L319" s="30" t="s">
        <v>6955</v>
      </c>
      <c r="M319" s="30"/>
      <c r="N319" s="30" t="s">
        <v>26255</v>
      </c>
      <c r="O319" s="30" t="s">
        <v>6249</v>
      </c>
      <c r="P319" s="30" t="s">
        <v>26840</v>
      </c>
      <c r="Q319" s="30" t="s">
        <v>26251</v>
      </c>
      <c r="R319" s="30" t="s">
        <v>26252</v>
      </c>
      <c r="S319" s="30" t="s">
        <v>27127</v>
      </c>
      <c r="T319" s="30" t="s">
        <v>27128</v>
      </c>
      <c r="U319" s="30"/>
      <c r="V319" s="139">
        <v>1863</v>
      </c>
      <c r="W319" s="30" t="s">
        <v>246</v>
      </c>
      <c r="X319" s="30" t="s">
        <v>194</v>
      </c>
      <c r="Y319" s="30" t="s">
        <v>9300</v>
      </c>
      <c r="Z319" s="30"/>
      <c r="AA319" s="30"/>
      <c r="AB319" s="30" t="s">
        <v>9311</v>
      </c>
      <c r="AC319" s="30"/>
      <c r="AD319" s="30"/>
      <c r="AE319" s="30"/>
      <c r="AF319" s="30"/>
      <c r="AG319" s="30"/>
      <c r="AH319" s="30" t="s">
        <v>4714</v>
      </c>
      <c r="AI319" s="30" t="s">
        <v>9433</v>
      </c>
      <c r="AJ319" s="641" t="str">
        <f t="shared" si="8"/>
        <v>142004</v>
      </c>
      <c r="AK319" s="641">
        <v>1</v>
      </c>
      <c r="AL319" s="641">
        <f t="shared" si="9"/>
        <v>1</v>
      </c>
      <c r="AM319" s="641">
        <v>1</v>
      </c>
      <c r="AN319" s="30" t="s">
        <v>17650</v>
      </c>
      <c r="AO319" s="30" t="s">
        <v>17651</v>
      </c>
      <c r="AP319" s="30" t="s">
        <v>17652</v>
      </c>
      <c r="AQ319" s="30" t="s">
        <v>17653</v>
      </c>
      <c r="AR319" s="30" t="s">
        <v>1024</v>
      </c>
      <c r="AS319" s="30">
        <v>1</v>
      </c>
    </row>
    <row r="320" spans="1:45" x14ac:dyDescent="0.25">
      <c r="A320" s="30" t="s">
        <v>581</v>
      </c>
      <c r="B320" s="30" t="s">
        <v>20370</v>
      </c>
      <c r="C320" s="30" t="s">
        <v>122</v>
      </c>
      <c r="D320" s="139" t="s">
        <v>26160</v>
      </c>
      <c r="E320" s="30" t="s">
        <v>217</v>
      </c>
      <c r="F320" s="30">
        <v>1</v>
      </c>
      <c r="G320" s="30" t="s">
        <v>193</v>
      </c>
      <c r="H320" s="30" t="s">
        <v>194</v>
      </c>
      <c r="I320" s="30" t="s">
        <v>26859</v>
      </c>
      <c r="J320" s="30" t="s">
        <v>210</v>
      </c>
      <c r="K320" s="30" t="s">
        <v>9309</v>
      </c>
      <c r="L320" s="30" t="s">
        <v>6955</v>
      </c>
      <c r="M320" s="30"/>
      <c r="N320" s="30" t="s">
        <v>27129</v>
      </c>
      <c r="O320" s="30" t="s">
        <v>6249</v>
      </c>
      <c r="P320" s="30" t="s">
        <v>26840</v>
      </c>
      <c r="Q320" s="30" t="s">
        <v>26086</v>
      </c>
      <c r="R320" s="30" t="s">
        <v>26057</v>
      </c>
      <c r="S320" s="30" t="s">
        <v>27130</v>
      </c>
      <c r="T320" s="30" t="s">
        <v>27131</v>
      </c>
      <c r="U320" s="30"/>
      <c r="V320" s="139">
        <v>1863</v>
      </c>
      <c r="W320" s="30" t="s">
        <v>655</v>
      </c>
      <c r="X320" s="30" t="s">
        <v>194</v>
      </c>
      <c r="Y320" s="30" t="s">
        <v>9300</v>
      </c>
      <c r="Z320" s="30"/>
      <c r="AA320" s="30"/>
      <c r="AB320" s="30" t="s">
        <v>9311</v>
      </c>
      <c r="AC320" s="30"/>
      <c r="AD320" s="30"/>
      <c r="AE320" s="30"/>
      <c r="AF320" s="30"/>
      <c r="AG320" s="30"/>
      <c r="AH320" s="30" t="s">
        <v>4714</v>
      </c>
      <c r="AI320" s="30" t="s">
        <v>9433</v>
      </c>
      <c r="AJ320" s="641" t="str">
        <f t="shared" si="8"/>
        <v>332301</v>
      </c>
      <c r="AK320" s="641">
        <v>1</v>
      </c>
      <c r="AL320" s="641">
        <f t="shared" si="9"/>
        <v>1</v>
      </c>
      <c r="AM320" s="641">
        <v>1</v>
      </c>
      <c r="AN320" s="30" t="s">
        <v>17650</v>
      </c>
      <c r="AO320" s="30" t="s">
        <v>17651</v>
      </c>
      <c r="AP320" s="30" t="s">
        <v>17652</v>
      </c>
      <c r="AQ320" s="30" t="s">
        <v>17653</v>
      </c>
      <c r="AR320" s="30" t="s">
        <v>1024</v>
      </c>
      <c r="AS320" s="30">
        <v>1</v>
      </c>
    </row>
    <row r="321" spans="1:45" x14ac:dyDescent="0.25">
      <c r="A321" s="30" t="s">
        <v>26153</v>
      </c>
      <c r="B321" s="30" t="s">
        <v>26579</v>
      </c>
      <c r="C321" s="30" t="s">
        <v>2861</v>
      </c>
      <c r="D321" s="139" t="s">
        <v>26160</v>
      </c>
      <c r="E321" s="30" t="s">
        <v>217</v>
      </c>
      <c r="F321" s="30">
        <v>1</v>
      </c>
      <c r="G321" s="30" t="s">
        <v>193</v>
      </c>
      <c r="H321" s="30" t="s">
        <v>194</v>
      </c>
      <c r="I321" s="30" t="s">
        <v>23198</v>
      </c>
      <c r="J321" s="30" t="s">
        <v>210</v>
      </c>
      <c r="K321" s="30" t="s">
        <v>9309</v>
      </c>
      <c r="L321" s="30" t="s">
        <v>6955</v>
      </c>
      <c r="M321" s="30"/>
      <c r="N321" s="30" t="s">
        <v>27132</v>
      </c>
      <c r="O321" s="30" t="s">
        <v>6261</v>
      </c>
      <c r="P321" s="30" t="s">
        <v>26840</v>
      </c>
      <c r="Q321" s="30" t="s">
        <v>26056</v>
      </c>
      <c r="R321" s="30" t="s">
        <v>23128</v>
      </c>
      <c r="S321" s="30" t="s">
        <v>27133</v>
      </c>
      <c r="T321" s="30" t="s">
        <v>27134</v>
      </c>
      <c r="U321" s="30"/>
      <c r="V321" s="139">
        <v>1863</v>
      </c>
      <c r="W321" s="30" t="s">
        <v>3629</v>
      </c>
      <c r="X321" s="30" t="s">
        <v>194</v>
      </c>
      <c r="Y321" s="30" t="s">
        <v>9300</v>
      </c>
      <c r="Z321" s="30"/>
      <c r="AA321" s="30"/>
      <c r="AB321" s="30" t="s">
        <v>9311</v>
      </c>
      <c r="AC321" s="30"/>
      <c r="AD321" s="30"/>
      <c r="AE321" s="30"/>
      <c r="AF321" s="30"/>
      <c r="AG321" s="30"/>
      <c r="AH321" s="30" t="s">
        <v>4714</v>
      </c>
      <c r="AI321" s="30" t="s">
        <v>9433</v>
      </c>
      <c r="AJ321" s="641" t="str">
        <f t="shared" si="8"/>
        <v>251903</v>
      </c>
      <c r="AK321" s="641">
        <v>1</v>
      </c>
      <c r="AL321" s="641">
        <f t="shared" si="9"/>
        <v>1</v>
      </c>
      <c r="AM321" s="641">
        <v>1</v>
      </c>
      <c r="AN321" s="30" t="s">
        <v>17650</v>
      </c>
      <c r="AO321" s="30" t="s">
        <v>17651</v>
      </c>
      <c r="AP321" s="30" t="s">
        <v>17652</v>
      </c>
      <c r="AQ321" s="30" t="s">
        <v>17653</v>
      </c>
      <c r="AR321" s="30" t="s">
        <v>1024</v>
      </c>
      <c r="AS321" s="30">
        <v>1</v>
      </c>
    </row>
    <row r="322" spans="1:45" x14ac:dyDescent="0.25">
      <c r="A322" s="30" t="s">
        <v>581</v>
      </c>
      <c r="B322" s="30" t="s">
        <v>2788</v>
      </c>
      <c r="C322" s="30" t="s">
        <v>62</v>
      </c>
      <c r="D322" s="139" t="s">
        <v>26160</v>
      </c>
      <c r="E322" s="30" t="s">
        <v>217</v>
      </c>
      <c r="F322" s="30">
        <v>1</v>
      </c>
      <c r="G322" s="30" t="s">
        <v>193</v>
      </c>
      <c r="H322" s="30" t="s">
        <v>194</v>
      </c>
      <c r="I322" s="30" t="s">
        <v>26143</v>
      </c>
      <c r="J322" s="30" t="s">
        <v>253</v>
      </c>
      <c r="K322" s="30" t="s">
        <v>9309</v>
      </c>
      <c r="L322" s="30" t="s">
        <v>6955</v>
      </c>
      <c r="M322" s="30"/>
      <c r="N322" s="30" t="s">
        <v>26484</v>
      </c>
      <c r="O322" s="30" t="s">
        <v>6275</v>
      </c>
      <c r="P322" s="30" t="s">
        <v>26840</v>
      </c>
      <c r="Q322" s="30" t="s">
        <v>26073</v>
      </c>
      <c r="R322" s="30" t="s">
        <v>24551</v>
      </c>
      <c r="S322" s="30" t="s">
        <v>27135</v>
      </c>
      <c r="T322" s="30" t="s">
        <v>27136</v>
      </c>
      <c r="U322" s="30"/>
      <c r="V322" s="139">
        <v>1811</v>
      </c>
      <c r="W322" s="30" t="s">
        <v>601</v>
      </c>
      <c r="X322" s="30" t="s">
        <v>194</v>
      </c>
      <c r="Y322" s="30" t="s">
        <v>9300</v>
      </c>
      <c r="Z322" s="30"/>
      <c r="AA322" s="30"/>
      <c r="AB322" s="30" t="s">
        <v>9311</v>
      </c>
      <c r="AC322" s="30"/>
      <c r="AD322" s="30"/>
      <c r="AE322" s="30"/>
      <c r="AF322" s="30"/>
      <c r="AG322" s="30"/>
      <c r="AH322" s="30" t="s">
        <v>4714</v>
      </c>
      <c r="AI322" s="30" t="s">
        <v>9433</v>
      </c>
      <c r="AJ322" s="641" t="str">
        <f t="shared" si="8"/>
        <v>313904</v>
      </c>
      <c r="AK322" s="641">
        <v>1</v>
      </c>
      <c r="AL322" s="641">
        <f t="shared" si="9"/>
        <v>1</v>
      </c>
      <c r="AM322" s="641">
        <v>1</v>
      </c>
      <c r="AN322" s="30" t="s">
        <v>17650</v>
      </c>
      <c r="AO322" s="30" t="s">
        <v>17651</v>
      </c>
      <c r="AP322" s="30" t="s">
        <v>17652</v>
      </c>
      <c r="AQ322" s="30" t="s">
        <v>17653</v>
      </c>
      <c r="AR322" s="30" t="s">
        <v>1024</v>
      </c>
      <c r="AS322" s="30">
        <v>1</v>
      </c>
    </row>
    <row r="323" spans="1:45" x14ac:dyDescent="0.25">
      <c r="A323" s="30" t="s">
        <v>10145</v>
      </c>
      <c r="B323" s="30" t="s">
        <v>2516</v>
      </c>
      <c r="C323" s="30" t="s">
        <v>43</v>
      </c>
      <c r="D323" s="139" t="s">
        <v>26160</v>
      </c>
      <c r="E323" s="30" t="s">
        <v>217</v>
      </c>
      <c r="F323" s="30">
        <v>1</v>
      </c>
      <c r="G323" s="30" t="s">
        <v>193</v>
      </c>
      <c r="H323" s="30" t="s">
        <v>194</v>
      </c>
      <c r="I323" s="30" t="s">
        <v>26143</v>
      </c>
      <c r="J323" s="30" t="s">
        <v>26228</v>
      </c>
      <c r="K323" s="30" t="s">
        <v>9309</v>
      </c>
      <c r="L323" s="30" t="s">
        <v>6955</v>
      </c>
      <c r="M323" s="30"/>
      <c r="N323" s="30" t="s">
        <v>26525</v>
      </c>
      <c r="O323" s="30" t="s">
        <v>6249</v>
      </c>
      <c r="P323" s="30" t="s">
        <v>26846</v>
      </c>
      <c r="Q323" s="30" t="s">
        <v>25478</v>
      </c>
      <c r="R323" s="30" t="s">
        <v>26847</v>
      </c>
      <c r="S323" s="30" t="s">
        <v>27137</v>
      </c>
      <c r="T323" s="30" t="s">
        <v>27138</v>
      </c>
      <c r="U323" s="139"/>
      <c r="V323" s="139" t="s">
        <v>28321</v>
      </c>
      <c r="W323" s="30" t="s">
        <v>452</v>
      </c>
      <c r="X323" s="30" t="s">
        <v>193</v>
      </c>
      <c r="Y323" s="30" t="s">
        <v>9310</v>
      </c>
      <c r="Z323" s="30"/>
      <c r="AA323" s="30"/>
      <c r="AB323" s="30" t="s">
        <v>9311</v>
      </c>
      <c r="AC323" s="30"/>
      <c r="AD323" s="30"/>
      <c r="AE323" s="30"/>
      <c r="AF323" s="30"/>
      <c r="AG323" s="30"/>
      <c r="AH323" s="30" t="s">
        <v>4714</v>
      </c>
      <c r="AI323" s="30" t="s">
        <v>9433</v>
      </c>
      <c r="AJ323" s="641" t="str">
        <f t="shared" ref="AJ323:AJ386" si="10">MID(W323,8,6)</f>
        <v>243106</v>
      </c>
      <c r="AK323" s="641">
        <v>1</v>
      </c>
      <c r="AL323" s="641">
        <f t="shared" ref="AL323:AL386" si="11">F323</f>
        <v>1</v>
      </c>
      <c r="AM323" s="641">
        <v>1</v>
      </c>
      <c r="AN323" s="30" t="s">
        <v>17650</v>
      </c>
      <c r="AO323" s="30" t="s">
        <v>17651</v>
      </c>
      <c r="AP323" s="30" t="s">
        <v>17652</v>
      </c>
      <c r="AQ323" s="30" t="s">
        <v>17653</v>
      </c>
      <c r="AR323" s="30" t="s">
        <v>1024</v>
      </c>
      <c r="AS323" s="30">
        <v>1</v>
      </c>
    </row>
    <row r="324" spans="1:45" x14ac:dyDescent="0.25">
      <c r="A324" s="30" t="s">
        <v>25389</v>
      </c>
      <c r="B324" s="30" t="s">
        <v>26662</v>
      </c>
      <c r="C324" s="30" t="s">
        <v>727</v>
      </c>
      <c r="D324" s="139" t="s">
        <v>26160</v>
      </c>
      <c r="E324" s="30" t="s">
        <v>217</v>
      </c>
      <c r="F324" s="30">
        <v>1</v>
      </c>
      <c r="G324" s="30" t="s">
        <v>193</v>
      </c>
      <c r="H324" s="30" t="s">
        <v>194</v>
      </c>
      <c r="I324" s="30" t="s">
        <v>26143</v>
      </c>
      <c r="J324" s="30" t="s">
        <v>210</v>
      </c>
      <c r="K324" s="30" t="s">
        <v>9309</v>
      </c>
      <c r="L324" s="30" t="s">
        <v>6955</v>
      </c>
      <c r="M324" s="30"/>
      <c r="N324" s="30" t="s">
        <v>26663</v>
      </c>
      <c r="O324" s="30" t="s">
        <v>6343</v>
      </c>
      <c r="P324" s="30" t="s">
        <v>26840</v>
      </c>
      <c r="Q324" s="30" t="s">
        <v>26085</v>
      </c>
      <c r="R324" s="30" t="s">
        <v>26057</v>
      </c>
      <c r="S324" s="30" t="s">
        <v>27139</v>
      </c>
      <c r="T324" s="30" t="s">
        <v>27140</v>
      </c>
      <c r="U324" s="30"/>
      <c r="V324" s="139">
        <v>1863</v>
      </c>
      <c r="W324" s="30" t="s">
        <v>728</v>
      </c>
      <c r="X324" s="30" t="s">
        <v>194</v>
      </c>
      <c r="Y324" s="30" t="s">
        <v>9300</v>
      </c>
      <c r="Z324" s="30"/>
      <c r="AA324" s="30"/>
      <c r="AB324" s="30" t="s">
        <v>9311</v>
      </c>
      <c r="AC324" s="30"/>
      <c r="AD324" s="30"/>
      <c r="AE324" s="30"/>
      <c r="AF324" s="30"/>
      <c r="AG324" s="30"/>
      <c r="AH324" s="30" t="s">
        <v>4714</v>
      </c>
      <c r="AI324" s="30" t="s">
        <v>9433</v>
      </c>
      <c r="AJ324" s="641" t="str">
        <f t="shared" si="10"/>
        <v>512001</v>
      </c>
      <c r="AK324" s="641">
        <v>1</v>
      </c>
      <c r="AL324" s="641">
        <f t="shared" si="11"/>
        <v>1</v>
      </c>
      <c r="AM324" s="641">
        <v>1</v>
      </c>
      <c r="AN324" s="30" t="s">
        <v>17650</v>
      </c>
      <c r="AO324" s="30" t="s">
        <v>17651</v>
      </c>
      <c r="AP324" s="30" t="s">
        <v>17652</v>
      </c>
      <c r="AQ324" s="30" t="s">
        <v>17653</v>
      </c>
      <c r="AR324" s="30" t="s">
        <v>1024</v>
      </c>
      <c r="AS324" s="30">
        <v>1</v>
      </c>
    </row>
    <row r="325" spans="1:45" x14ac:dyDescent="0.25">
      <c r="A325" s="30" t="s">
        <v>4022</v>
      </c>
      <c r="B325" s="30" t="s">
        <v>8022</v>
      </c>
      <c r="C325" s="30" t="s">
        <v>7617</v>
      </c>
      <c r="D325" s="139" t="s">
        <v>26160</v>
      </c>
      <c r="E325" s="30" t="s">
        <v>217</v>
      </c>
      <c r="F325" s="30">
        <v>1</v>
      </c>
      <c r="G325" s="30" t="s">
        <v>193</v>
      </c>
      <c r="H325" s="30" t="s">
        <v>194</v>
      </c>
      <c r="I325" s="30" t="s">
        <v>26143</v>
      </c>
      <c r="J325" s="30" t="s">
        <v>210</v>
      </c>
      <c r="K325" s="30" t="s">
        <v>9309</v>
      </c>
      <c r="L325" s="30" t="s">
        <v>6955</v>
      </c>
      <c r="M325" s="30"/>
      <c r="N325" s="30" t="s">
        <v>20793</v>
      </c>
      <c r="O325" s="30" t="s">
        <v>6290</v>
      </c>
      <c r="P325" s="30" t="s">
        <v>26846</v>
      </c>
      <c r="Q325" s="30" t="s">
        <v>26027</v>
      </c>
      <c r="R325" s="30" t="s">
        <v>26847</v>
      </c>
      <c r="S325" s="30" t="s">
        <v>27141</v>
      </c>
      <c r="T325" s="30" t="s">
        <v>27142</v>
      </c>
      <c r="U325" s="30"/>
      <c r="V325" s="139">
        <v>1863</v>
      </c>
      <c r="W325" s="30" t="s">
        <v>7620</v>
      </c>
      <c r="X325" s="30" t="s">
        <v>194</v>
      </c>
      <c r="Y325" s="30" t="s">
        <v>9300</v>
      </c>
      <c r="Z325" s="30"/>
      <c r="AA325" s="30"/>
      <c r="AB325" s="30" t="s">
        <v>9311</v>
      </c>
      <c r="AC325" s="30"/>
      <c r="AD325" s="30"/>
      <c r="AE325" s="30"/>
      <c r="AF325" s="30"/>
      <c r="AG325" s="30"/>
      <c r="AH325" s="30" t="s">
        <v>4714</v>
      </c>
      <c r="AI325" s="30" t="s">
        <v>9433</v>
      </c>
      <c r="AJ325" s="641" t="str">
        <f t="shared" si="10"/>
        <v>516903</v>
      </c>
      <c r="AK325" s="641">
        <v>1</v>
      </c>
      <c r="AL325" s="641">
        <f t="shared" si="11"/>
        <v>1</v>
      </c>
      <c r="AM325" s="641">
        <v>1</v>
      </c>
      <c r="AN325" s="30" t="s">
        <v>17650</v>
      </c>
      <c r="AO325" s="30" t="s">
        <v>17651</v>
      </c>
      <c r="AP325" s="30" t="s">
        <v>17652</v>
      </c>
      <c r="AQ325" s="30" t="s">
        <v>17653</v>
      </c>
      <c r="AR325" s="30" t="s">
        <v>1024</v>
      </c>
      <c r="AS325" s="30">
        <v>1</v>
      </c>
    </row>
    <row r="326" spans="1:45" x14ac:dyDescent="0.25">
      <c r="A326" s="30" t="s">
        <v>26089</v>
      </c>
      <c r="B326" s="30" t="s">
        <v>27143</v>
      </c>
      <c r="C326" s="30" t="s">
        <v>8740</v>
      </c>
      <c r="D326" s="139" t="s">
        <v>26160</v>
      </c>
      <c r="E326" s="30" t="s">
        <v>217</v>
      </c>
      <c r="F326" s="30">
        <v>1</v>
      </c>
      <c r="G326" s="30" t="s">
        <v>193</v>
      </c>
      <c r="H326" s="30" t="s">
        <v>194</v>
      </c>
      <c r="I326" s="30" t="s">
        <v>26148</v>
      </c>
      <c r="J326" s="30" t="s">
        <v>210</v>
      </c>
      <c r="K326" s="30" t="s">
        <v>9309</v>
      </c>
      <c r="L326" s="30" t="s">
        <v>6955</v>
      </c>
      <c r="M326" s="30"/>
      <c r="N326" s="30" t="s">
        <v>27144</v>
      </c>
      <c r="O326" s="30" t="s">
        <v>6261</v>
      </c>
      <c r="P326" s="30" t="s">
        <v>26840</v>
      </c>
      <c r="Q326" s="30" t="s">
        <v>26881</v>
      </c>
      <c r="R326" s="30" t="s">
        <v>26882</v>
      </c>
      <c r="S326" s="30" t="s">
        <v>27145</v>
      </c>
      <c r="T326" s="30" t="s">
        <v>27146</v>
      </c>
      <c r="U326" s="30"/>
      <c r="V326" s="139">
        <v>1863</v>
      </c>
      <c r="W326" s="30" t="s">
        <v>8742</v>
      </c>
      <c r="X326" s="30" t="s">
        <v>194</v>
      </c>
      <c r="Y326" s="30" t="s">
        <v>9300</v>
      </c>
      <c r="Z326" s="30"/>
      <c r="AA326" s="30"/>
      <c r="AB326" s="30" t="s">
        <v>9311</v>
      </c>
      <c r="AC326" s="30"/>
      <c r="AD326" s="30"/>
      <c r="AE326" s="30"/>
      <c r="AF326" s="30"/>
      <c r="AG326" s="30"/>
      <c r="AH326" s="30" t="s">
        <v>4714</v>
      </c>
      <c r="AI326" s="30" t="s">
        <v>9433</v>
      </c>
      <c r="AJ326" s="641" t="str">
        <f t="shared" si="10"/>
        <v>251490</v>
      </c>
      <c r="AK326" s="641">
        <v>1</v>
      </c>
      <c r="AL326" s="641">
        <f t="shared" si="11"/>
        <v>1</v>
      </c>
      <c r="AM326" s="641">
        <v>1</v>
      </c>
      <c r="AN326" s="30" t="s">
        <v>17650</v>
      </c>
      <c r="AO326" s="30" t="s">
        <v>17651</v>
      </c>
      <c r="AP326" s="30" t="s">
        <v>17652</v>
      </c>
      <c r="AQ326" s="30" t="s">
        <v>17653</v>
      </c>
      <c r="AR326" s="30" t="s">
        <v>1024</v>
      </c>
      <c r="AS326" s="30">
        <v>1</v>
      </c>
    </row>
    <row r="327" spans="1:45" x14ac:dyDescent="0.25">
      <c r="A327" s="30" t="s">
        <v>26089</v>
      </c>
      <c r="B327" s="30" t="s">
        <v>26305</v>
      </c>
      <c r="C327" s="30" t="s">
        <v>3438</v>
      </c>
      <c r="D327" s="139" t="s">
        <v>26160</v>
      </c>
      <c r="E327" s="30" t="s">
        <v>217</v>
      </c>
      <c r="F327" s="30">
        <v>1</v>
      </c>
      <c r="G327" s="30" t="s">
        <v>193</v>
      </c>
      <c r="H327" s="30" t="s">
        <v>194</v>
      </c>
      <c r="I327" s="30" t="s">
        <v>26143</v>
      </c>
      <c r="J327" s="30" t="s">
        <v>316</v>
      </c>
      <c r="K327" s="30" t="s">
        <v>9309</v>
      </c>
      <c r="L327" s="30" t="s">
        <v>6955</v>
      </c>
      <c r="M327" s="30"/>
      <c r="N327" s="30" t="s">
        <v>26556</v>
      </c>
      <c r="O327" s="30" t="s">
        <v>7120</v>
      </c>
      <c r="P327" s="30" t="s">
        <v>26840</v>
      </c>
      <c r="Q327" s="30" t="s">
        <v>26092</v>
      </c>
      <c r="R327" s="30" t="s">
        <v>26093</v>
      </c>
      <c r="S327" s="30" t="s">
        <v>27147</v>
      </c>
      <c r="T327" s="30" t="s">
        <v>27148</v>
      </c>
      <c r="U327" s="30"/>
      <c r="V327" s="139">
        <v>1818</v>
      </c>
      <c r="W327" s="30" t="s">
        <v>3439</v>
      </c>
      <c r="X327" s="30" t="s">
        <v>194</v>
      </c>
      <c r="Y327" s="30" t="s">
        <v>9300</v>
      </c>
      <c r="Z327" s="30"/>
      <c r="AA327" s="30"/>
      <c r="AB327" s="30" t="s">
        <v>9311</v>
      </c>
      <c r="AC327" s="30"/>
      <c r="AD327" s="30"/>
      <c r="AE327" s="30"/>
      <c r="AF327" s="30"/>
      <c r="AG327" s="30"/>
      <c r="AH327" s="30" t="s">
        <v>4714</v>
      </c>
      <c r="AI327" s="30" t="s">
        <v>9433</v>
      </c>
      <c r="AJ327" s="641" t="str">
        <f t="shared" si="10"/>
        <v>334306</v>
      </c>
      <c r="AK327" s="641">
        <v>1</v>
      </c>
      <c r="AL327" s="641">
        <f t="shared" si="11"/>
        <v>1</v>
      </c>
      <c r="AM327" s="641">
        <v>1</v>
      </c>
      <c r="AN327" s="30" t="s">
        <v>17650</v>
      </c>
      <c r="AO327" s="30" t="s">
        <v>17651</v>
      </c>
      <c r="AP327" s="30" t="s">
        <v>17652</v>
      </c>
      <c r="AQ327" s="30" t="s">
        <v>17653</v>
      </c>
      <c r="AR327" s="30" t="s">
        <v>1024</v>
      </c>
      <c r="AS327" s="30">
        <v>1</v>
      </c>
    </row>
    <row r="328" spans="1:45" x14ac:dyDescent="0.25">
      <c r="A328" s="30" t="s">
        <v>716</v>
      </c>
      <c r="B328" s="30" t="s">
        <v>26365</v>
      </c>
      <c r="C328" s="30" t="s">
        <v>706</v>
      </c>
      <c r="D328" s="139" t="s">
        <v>26160</v>
      </c>
      <c r="E328" s="30" t="s">
        <v>217</v>
      </c>
      <c r="F328" s="30">
        <v>1</v>
      </c>
      <c r="G328" s="30" t="s">
        <v>193</v>
      </c>
      <c r="H328" s="30" t="s">
        <v>194</v>
      </c>
      <c r="I328" s="30" t="s">
        <v>26143</v>
      </c>
      <c r="J328" s="30" t="s">
        <v>210</v>
      </c>
      <c r="K328" s="30" t="s">
        <v>9309</v>
      </c>
      <c r="L328" s="30" t="s">
        <v>6955</v>
      </c>
      <c r="M328" s="30"/>
      <c r="N328" s="30" t="s">
        <v>26366</v>
      </c>
      <c r="O328" s="30" t="s">
        <v>6251</v>
      </c>
      <c r="P328" s="30" t="s">
        <v>26840</v>
      </c>
      <c r="Q328" s="30" t="s">
        <v>26241</v>
      </c>
      <c r="R328" s="30" t="s">
        <v>26242</v>
      </c>
      <c r="S328" s="30" t="s">
        <v>27149</v>
      </c>
      <c r="T328" s="30" t="s">
        <v>27150</v>
      </c>
      <c r="U328" s="30"/>
      <c r="V328" s="139">
        <v>1863</v>
      </c>
      <c r="W328" s="30" t="s">
        <v>707</v>
      </c>
      <c r="X328" s="30" t="s">
        <v>194</v>
      </c>
      <c r="Y328" s="30" t="s">
        <v>9300</v>
      </c>
      <c r="Z328" s="30"/>
      <c r="AA328" s="30"/>
      <c r="AB328" s="30" t="s">
        <v>9311</v>
      </c>
      <c r="AC328" s="30"/>
      <c r="AD328" s="30"/>
      <c r="AE328" s="30"/>
      <c r="AF328" s="30"/>
      <c r="AG328" s="30"/>
      <c r="AH328" s="30" t="s">
        <v>4714</v>
      </c>
      <c r="AI328" s="30" t="s">
        <v>9433</v>
      </c>
      <c r="AJ328" s="641" t="str">
        <f t="shared" si="10"/>
        <v>422201</v>
      </c>
      <c r="AK328" s="641">
        <v>1</v>
      </c>
      <c r="AL328" s="641">
        <f t="shared" si="11"/>
        <v>1</v>
      </c>
      <c r="AM328" s="641">
        <v>1</v>
      </c>
      <c r="AN328" s="30" t="s">
        <v>17650</v>
      </c>
      <c r="AO328" s="30" t="s">
        <v>17651</v>
      </c>
      <c r="AP328" s="30" t="s">
        <v>17652</v>
      </c>
      <c r="AQ328" s="30" t="s">
        <v>17653</v>
      </c>
      <c r="AR328" s="30" t="s">
        <v>1024</v>
      </c>
      <c r="AS328" s="30">
        <v>1</v>
      </c>
    </row>
    <row r="329" spans="1:45" x14ac:dyDescent="0.25">
      <c r="A329" s="30" t="s">
        <v>258</v>
      </c>
      <c r="B329" s="30" t="s">
        <v>26208</v>
      </c>
      <c r="C329" s="30" t="s">
        <v>778</v>
      </c>
      <c r="D329" s="139" t="s">
        <v>26160</v>
      </c>
      <c r="E329" s="30" t="s">
        <v>217</v>
      </c>
      <c r="F329" s="30">
        <v>1</v>
      </c>
      <c r="G329" s="30" t="s">
        <v>193</v>
      </c>
      <c r="H329" s="30" t="s">
        <v>194</v>
      </c>
      <c r="I329" s="30" t="s">
        <v>26143</v>
      </c>
      <c r="J329" s="30" t="s">
        <v>1059</v>
      </c>
      <c r="K329" s="30" t="s">
        <v>9309</v>
      </c>
      <c r="L329" s="30" t="s">
        <v>6955</v>
      </c>
      <c r="M329" s="30"/>
      <c r="N329" s="30" t="s">
        <v>26628</v>
      </c>
      <c r="O329" s="30" t="s">
        <v>6251</v>
      </c>
      <c r="P329" s="30" t="s">
        <v>26840</v>
      </c>
      <c r="Q329" s="30" t="s">
        <v>26073</v>
      </c>
      <c r="R329" s="30" t="s">
        <v>26183</v>
      </c>
      <c r="S329" s="30" t="s">
        <v>27151</v>
      </c>
      <c r="T329" s="30" t="s">
        <v>27152</v>
      </c>
      <c r="U329" s="30"/>
      <c r="V329" s="139">
        <v>1809</v>
      </c>
      <c r="W329" s="30" t="s">
        <v>779</v>
      </c>
      <c r="X329" s="30" t="s">
        <v>194</v>
      </c>
      <c r="Y329" s="30" t="s">
        <v>9300</v>
      </c>
      <c r="Z329" s="30"/>
      <c r="AA329" s="30"/>
      <c r="AB329" s="30" t="s">
        <v>9311</v>
      </c>
      <c r="AC329" s="30"/>
      <c r="AD329" s="30"/>
      <c r="AE329" s="30"/>
      <c r="AF329" s="30"/>
      <c r="AG329" s="30"/>
      <c r="AH329" s="30" t="s">
        <v>4714</v>
      </c>
      <c r="AI329" s="30" t="s">
        <v>9433</v>
      </c>
      <c r="AJ329" s="641" t="str">
        <f t="shared" si="10"/>
        <v>524902</v>
      </c>
      <c r="AK329" s="641">
        <v>1</v>
      </c>
      <c r="AL329" s="641">
        <f t="shared" si="11"/>
        <v>1</v>
      </c>
      <c r="AM329" s="641">
        <v>1</v>
      </c>
      <c r="AN329" s="30" t="s">
        <v>17650</v>
      </c>
      <c r="AO329" s="30" t="s">
        <v>17651</v>
      </c>
      <c r="AP329" s="30" t="s">
        <v>17652</v>
      </c>
      <c r="AQ329" s="30" t="s">
        <v>17653</v>
      </c>
      <c r="AR329" s="30" t="s">
        <v>1024</v>
      </c>
      <c r="AS329" s="30">
        <v>1</v>
      </c>
    </row>
    <row r="330" spans="1:45" x14ac:dyDescent="0.25">
      <c r="A330" s="30" t="s">
        <v>26089</v>
      </c>
      <c r="B330" s="30" t="s">
        <v>26538</v>
      </c>
      <c r="C330" s="30" t="s">
        <v>46</v>
      </c>
      <c r="D330" s="139" t="s">
        <v>26160</v>
      </c>
      <c r="E330" s="30" t="s">
        <v>217</v>
      </c>
      <c r="F330" s="30">
        <v>1</v>
      </c>
      <c r="G330" s="30" t="s">
        <v>193</v>
      </c>
      <c r="H330" s="30" t="s">
        <v>194</v>
      </c>
      <c r="I330" s="30" t="s">
        <v>26133</v>
      </c>
      <c r="J330" s="30" t="s">
        <v>210</v>
      </c>
      <c r="K330" s="30" t="s">
        <v>9309</v>
      </c>
      <c r="L330" s="30" t="s">
        <v>6955</v>
      </c>
      <c r="M330" s="30"/>
      <c r="N330" s="30" t="s">
        <v>26539</v>
      </c>
      <c r="O330" s="30" t="s">
        <v>6921</v>
      </c>
      <c r="P330" s="30" t="s">
        <v>26840</v>
      </c>
      <c r="Q330" s="30" t="s">
        <v>26085</v>
      </c>
      <c r="R330" s="30" t="s">
        <v>26057</v>
      </c>
      <c r="S330" s="30" t="s">
        <v>27153</v>
      </c>
      <c r="T330" s="30" t="s">
        <v>27154</v>
      </c>
      <c r="U330" s="30"/>
      <c r="V330" s="139">
        <v>1863</v>
      </c>
      <c r="W330" s="30" t="s">
        <v>510</v>
      </c>
      <c r="X330" s="30" t="s">
        <v>194</v>
      </c>
      <c r="Y330" s="30" t="s">
        <v>9300</v>
      </c>
      <c r="Z330" s="30"/>
      <c r="AA330" s="30"/>
      <c r="AB330" s="30" t="s">
        <v>9311</v>
      </c>
      <c r="AC330" s="30"/>
      <c r="AD330" s="30"/>
      <c r="AE330" s="30"/>
      <c r="AF330" s="30"/>
      <c r="AG330" s="30"/>
      <c r="AH330" s="30" t="s">
        <v>4714</v>
      </c>
      <c r="AI330" s="30" t="s">
        <v>9433</v>
      </c>
      <c r="AJ330" s="641" t="str">
        <f t="shared" si="10"/>
        <v>252201</v>
      </c>
      <c r="AK330" s="641">
        <v>1</v>
      </c>
      <c r="AL330" s="641">
        <f t="shared" si="11"/>
        <v>1</v>
      </c>
      <c r="AM330" s="641">
        <v>1</v>
      </c>
      <c r="AN330" s="30" t="s">
        <v>17650</v>
      </c>
      <c r="AO330" s="30" t="s">
        <v>17651</v>
      </c>
      <c r="AP330" s="30" t="s">
        <v>17652</v>
      </c>
      <c r="AQ330" s="30" t="s">
        <v>17653</v>
      </c>
      <c r="AR330" s="30" t="s">
        <v>1024</v>
      </c>
      <c r="AS330" s="30">
        <v>1</v>
      </c>
    </row>
    <row r="331" spans="1:45" x14ac:dyDescent="0.25">
      <c r="A331" s="30" t="s">
        <v>716</v>
      </c>
      <c r="B331" s="30" t="s">
        <v>26342</v>
      </c>
      <c r="C331" s="30" t="s">
        <v>3219</v>
      </c>
      <c r="D331" s="139" t="s">
        <v>26160</v>
      </c>
      <c r="E331" s="30" t="s">
        <v>217</v>
      </c>
      <c r="F331" s="30">
        <v>1</v>
      </c>
      <c r="G331" s="30" t="s">
        <v>193</v>
      </c>
      <c r="H331" s="30" t="s">
        <v>194</v>
      </c>
      <c r="I331" s="30" t="s">
        <v>26143</v>
      </c>
      <c r="J331" s="30" t="s">
        <v>210</v>
      </c>
      <c r="K331" s="30" t="s">
        <v>9309</v>
      </c>
      <c r="L331" s="30" t="s">
        <v>6955</v>
      </c>
      <c r="M331" s="30"/>
      <c r="N331" s="30" t="s">
        <v>26356</v>
      </c>
      <c r="O331" s="30" t="s">
        <v>6921</v>
      </c>
      <c r="P331" s="30" t="s">
        <v>26840</v>
      </c>
      <c r="Q331" s="30" t="s">
        <v>26085</v>
      </c>
      <c r="R331" s="30" t="s">
        <v>26057</v>
      </c>
      <c r="S331" s="30" t="s">
        <v>27155</v>
      </c>
      <c r="T331" s="30" t="s">
        <v>27156</v>
      </c>
      <c r="U331" s="30"/>
      <c r="V331" s="139">
        <v>1863</v>
      </c>
      <c r="W331" s="30" t="s">
        <v>3620</v>
      </c>
      <c r="X331" s="30" t="s">
        <v>194</v>
      </c>
      <c r="Y331" s="30" t="s">
        <v>9300</v>
      </c>
      <c r="Z331" s="30"/>
      <c r="AA331" s="30"/>
      <c r="AB331" s="30" t="s">
        <v>9311</v>
      </c>
      <c r="AC331" s="30"/>
      <c r="AD331" s="30"/>
      <c r="AE331" s="30"/>
      <c r="AF331" s="30"/>
      <c r="AG331" s="30"/>
      <c r="AH331" s="30" t="s">
        <v>4714</v>
      </c>
      <c r="AI331" s="30" t="s">
        <v>9433</v>
      </c>
      <c r="AJ331" s="641" t="str">
        <f t="shared" si="10"/>
        <v>243109</v>
      </c>
      <c r="AK331" s="641">
        <v>1</v>
      </c>
      <c r="AL331" s="641">
        <f t="shared" si="11"/>
        <v>1</v>
      </c>
      <c r="AM331" s="641">
        <v>1</v>
      </c>
      <c r="AN331" s="30" t="s">
        <v>17650</v>
      </c>
      <c r="AO331" s="30" t="s">
        <v>17651</v>
      </c>
      <c r="AP331" s="30" t="s">
        <v>17652</v>
      </c>
      <c r="AQ331" s="30" t="s">
        <v>17653</v>
      </c>
      <c r="AR331" s="30" t="s">
        <v>1024</v>
      </c>
      <c r="AS331" s="30">
        <v>1</v>
      </c>
    </row>
    <row r="332" spans="1:45" x14ac:dyDescent="0.25">
      <c r="A332" s="30" t="s">
        <v>10145</v>
      </c>
      <c r="B332" s="30" t="s">
        <v>26118</v>
      </c>
      <c r="C332" s="30" t="s">
        <v>35</v>
      </c>
      <c r="D332" s="139" t="s">
        <v>26160</v>
      </c>
      <c r="E332" s="30" t="s">
        <v>217</v>
      </c>
      <c r="F332" s="30">
        <v>1</v>
      </c>
      <c r="G332" s="30" t="s">
        <v>193</v>
      </c>
      <c r="H332" s="30" t="s">
        <v>194</v>
      </c>
      <c r="I332" s="30" t="s">
        <v>26143</v>
      </c>
      <c r="J332" s="30" t="s">
        <v>210</v>
      </c>
      <c r="K332" s="30" t="s">
        <v>9309</v>
      </c>
      <c r="L332" s="30" t="s">
        <v>6955</v>
      </c>
      <c r="M332" s="30"/>
      <c r="N332" s="30" t="s">
        <v>26119</v>
      </c>
      <c r="O332" s="30" t="s">
        <v>6249</v>
      </c>
      <c r="P332" s="30" t="s">
        <v>26840</v>
      </c>
      <c r="Q332" s="30" t="s">
        <v>26120</v>
      </c>
      <c r="R332" s="30" t="s">
        <v>24551</v>
      </c>
      <c r="S332" s="30" t="s">
        <v>27157</v>
      </c>
      <c r="T332" s="30" t="s">
        <v>27158</v>
      </c>
      <c r="U332" s="30"/>
      <c r="V332" s="139">
        <v>1863</v>
      </c>
      <c r="W332" s="30" t="s">
        <v>207</v>
      </c>
      <c r="X332" s="30" t="s">
        <v>194</v>
      </c>
      <c r="Y332" s="30" t="s">
        <v>9300</v>
      </c>
      <c r="Z332" s="30"/>
      <c r="AA332" s="30"/>
      <c r="AB332" s="30" t="s">
        <v>9311</v>
      </c>
      <c r="AC332" s="30"/>
      <c r="AD332" s="30"/>
      <c r="AE332" s="30"/>
      <c r="AF332" s="30"/>
      <c r="AG332" s="30"/>
      <c r="AH332" s="30" t="s">
        <v>4714</v>
      </c>
      <c r="AI332" s="30" t="s">
        <v>9433</v>
      </c>
      <c r="AJ332" s="641" t="str">
        <f t="shared" si="10"/>
        <v>122106</v>
      </c>
      <c r="AK332" s="641">
        <v>1</v>
      </c>
      <c r="AL332" s="641">
        <f t="shared" si="11"/>
        <v>1</v>
      </c>
      <c r="AM332" s="641">
        <v>1</v>
      </c>
      <c r="AN332" s="30" t="s">
        <v>17650</v>
      </c>
      <c r="AO332" s="30" t="s">
        <v>17651</v>
      </c>
      <c r="AP332" s="30" t="s">
        <v>17652</v>
      </c>
      <c r="AQ332" s="30" t="s">
        <v>17653</v>
      </c>
      <c r="AR332" s="30" t="s">
        <v>1024</v>
      </c>
      <c r="AS332" s="30">
        <v>1</v>
      </c>
    </row>
    <row r="333" spans="1:45" x14ac:dyDescent="0.25">
      <c r="A333" s="30" t="s">
        <v>23858</v>
      </c>
      <c r="B333" s="30" t="s">
        <v>26320</v>
      </c>
      <c r="C333" s="30" t="s">
        <v>110</v>
      </c>
      <c r="D333" s="139" t="s">
        <v>26160</v>
      </c>
      <c r="E333" s="30" t="s">
        <v>217</v>
      </c>
      <c r="F333" s="30">
        <v>1</v>
      </c>
      <c r="G333" s="30" t="s">
        <v>193</v>
      </c>
      <c r="H333" s="30" t="s">
        <v>194</v>
      </c>
      <c r="I333" s="30" t="s">
        <v>26143</v>
      </c>
      <c r="J333" s="30" t="s">
        <v>253</v>
      </c>
      <c r="K333" s="30" t="s">
        <v>9309</v>
      </c>
      <c r="L333" s="30" t="s">
        <v>6955</v>
      </c>
      <c r="M333" s="30"/>
      <c r="N333" s="30" t="s">
        <v>26321</v>
      </c>
      <c r="O333" s="30" t="s">
        <v>6251</v>
      </c>
      <c r="P333" s="30" t="s">
        <v>26840</v>
      </c>
      <c r="Q333" s="30" t="s">
        <v>26150</v>
      </c>
      <c r="R333" s="30" t="s">
        <v>23804</v>
      </c>
      <c r="S333" s="30" t="s">
        <v>27159</v>
      </c>
      <c r="T333" s="30" t="s">
        <v>27160</v>
      </c>
      <c r="U333" s="30"/>
      <c r="V333" s="139">
        <v>1811</v>
      </c>
      <c r="W333" s="30" t="s">
        <v>621</v>
      </c>
      <c r="X333" s="30" t="s">
        <v>194</v>
      </c>
      <c r="Y333" s="30" t="s">
        <v>9300</v>
      </c>
      <c r="Z333" s="30"/>
      <c r="AA333" s="30"/>
      <c r="AB333" s="30" t="s">
        <v>9311</v>
      </c>
      <c r="AC333" s="30"/>
      <c r="AD333" s="30"/>
      <c r="AE333" s="30"/>
      <c r="AF333" s="30"/>
      <c r="AG333" s="30"/>
      <c r="AH333" s="30" t="s">
        <v>4714</v>
      </c>
      <c r="AI333" s="30" t="s">
        <v>9433</v>
      </c>
      <c r="AJ333" s="641" t="str">
        <f t="shared" si="10"/>
        <v>332201</v>
      </c>
      <c r="AK333" s="641">
        <v>1</v>
      </c>
      <c r="AL333" s="641">
        <f t="shared" si="11"/>
        <v>1</v>
      </c>
      <c r="AM333" s="641">
        <v>1</v>
      </c>
      <c r="AN333" s="30" t="s">
        <v>17650</v>
      </c>
      <c r="AO333" s="30" t="s">
        <v>17651</v>
      </c>
      <c r="AP333" s="30" t="s">
        <v>17652</v>
      </c>
      <c r="AQ333" s="30" t="s">
        <v>17653</v>
      </c>
      <c r="AR333" s="30" t="s">
        <v>1024</v>
      </c>
      <c r="AS333" s="30">
        <v>1</v>
      </c>
    </row>
    <row r="334" spans="1:45" x14ac:dyDescent="0.25">
      <c r="A334" s="30" t="s">
        <v>258</v>
      </c>
      <c r="B334" s="30" t="s">
        <v>26208</v>
      </c>
      <c r="C334" s="30" t="s">
        <v>778</v>
      </c>
      <c r="D334" s="139" t="s">
        <v>26160</v>
      </c>
      <c r="E334" s="30" t="s">
        <v>217</v>
      </c>
      <c r="F334" s="30">
        <v>1</v>
      </c>
      <c r="G334" s="30" t="s">
        <v>193</v>
      </c>
      <c r="H334" s="30" t="s">
        <v>194</v>
      </c>
      <c r="I334" s="30" t="s">
        <v>26143</v>
      </c>
      <c r="J334" s="30" t="s">
        <v>408</v>
      </c>
      <c r="K334" s="30" t="s">
        <v>9309</v>
      </c>
      <c r="L334" s="30" t="s">
        <v>6955</v>
      </c>
      <c r="M334" s="30"/>
      <c r="N334" s="30" t="s">
        <v>26209</v>
      </c>
      <c r="O334" s="30" t="s">
        <v>6251</v>
      </c>
      <c r="P334" s="30" t="s">
        <v>26840</v>
      </c>
      <c r="Q334" s="30" t="s">
        <v>26073</v>
      </c>
      <c r="R334" s="30" t="s">
        <v>26183</v>
      </c>
      <c r="S334" s="30" t="s">
        <v>27161</v>
      </c>
      <c r="T334" s="30" t="s">
        <v>27162</v>
      </c>
      <c r="U334" s="30"/>
      <c r="V334" s="139">
        <v>1864</v>
      </c>
      <c r="W334" s="30" t="s">
        <v>779</v>
      </c>
      <c r="X334" s="30" t="s">
        <v>194</v>
      </c>
      <c r="Y334" s="30" t="s">
        <v>9300</v>
      </c>
      <c r="Z334" s="30"/>
      <c r="AA334" s="30"/>
      <c r="AB334" s="30" t="s">
        <v>9311</v>
      </c>
      <c r="AC334" s="30"/>
      <c r="AD334" s="30"/>
      <c r="AE334" s="30"/>
      <c r="AF334" s="30"/>
      <c r="AG334" s="30"/>
      <c r="AH334" s="30" t="s">
        <v>4714</v>
      </c>
      <c r="AI334" s="30" t="s">
        <v>9433</v>
      </c>
      <c r="AJ334" s="641" t="str">
        <f t="shared" si="10"/>
        <v>524902</v>
      </c>
      <c r="AK334" s="641">
        <v>1</v>
      </c>
      <c r="AL334" s="641">
        <f t="shared" si="11"/>
        <v>1</v>
      </c>
      <c r="AM334" s="641">
        <v>1</v>
      </c>
      <c r="AN334" s="30" t="s">
        <v>17650</v>
      </c>
      <c r="AO334" s="30" t="s">
        <v>17651</v>
      </c>
      <c r="AP334" s="30" t="s">
        <v>17652</v>
      </c>
      <c r="AQ334" s="30" t="s">
        <v>17653</v>
      </c>
      <c r="AR334" s="30" t="s">
        <v>1024</v>
      </c>
      <c r="AS334" s="30">
        <v>1</v>
      </c>
    </row>
    <row r="335" spans="1:45" x14ac:dyDescent="0.25">
      <c r="A335" s="30" t="s">
        <v>716</v>
      </c>
      <c r="B335" s="30" t="s">
        <v>26342</v>
      </c>
      <c r="C335" s="30" t="s">
        <v>3219</v>
      </c>
      <c r="D335" s="139" t="s">
        <v>26160</v>
      </c>
      <c r="E335" s="30" t="s">
        <v>217</v>
      </c>
      <c r="F335" s="30">
        <v>1</v>
      </c>
      <c r="G335" s="30" t="s">
        <v>193</v>
      </c>
      <c r="H335" s="30" t="s">
        <v>194</v>
      </c>
      <c r="I335" s="30" t="s">
        <v>26143</v>
      </c>
      <c r="J335" s="30" t="s">
        <v>210</v>
      </c>
      <c r="K335" s="30" t="s">
        <v>9309</v>
      </c>
      <c r="L335" s="30" t="s">
        <v>6955</v>
      </c>
      <c r="M335" s="30"/>
      <c r="N335" s="30" t="s">
        <v>27163</v>
      </c>
      <c r="O335" s="30" t="s">
        <v>6261</v>
      </c>
      <c r="P335" s="30" t="s">
        <v>26840</v>
      </c>
      <c r="Q335" s="30" t="s">
        <v>26881</v>
      </c>
      <c r="R335" s="30" t="s">
        <v>26882</v>
      </c>
      <c r="S335" s="30" t="s">
        <v>27164</v>
      </c>
      <c r="T335" s="30" t="s">
        <v>27165</v>
      </c>
      <c r="U335" s="30"/>
      <c r="V335" s="139">
        <v>1863</v>
      </c>
      <c r="W335" s="30" t="s">
        <v>3620</v>
      </c>
      <c r="X335" s="30" t="s">
        <v>194</v>
      </c>
      <c r="Y335" s="30" t="s">
        <v>9300</v>
      </c>
      <c r="Z335" s="30"/>
      <c r="AA335" s="30"/>
      <c r="AB335" s="30" t="s">
        <v>9311</v>
      </c>
      <c r="AC335" s="30"/>
      <c r="AD335" s="30"/>
      <c r="AE335" s="30"/>
      <c r="AF335" s="30"/>
      <c r="AG335" s="30"/>
      <c r="AH335" s="30" t="s">
        <v>4714</v>
      </c>
      <c r="AI335" s="30" t="s">
        <v>9433</v>
      </c>
      <c r="AJ335" s="641" t="str">
        <f t="shared" si="10"/>
        <v>243109</v>
      </c>
      <c r="AK335" s="641">
        <v>1</v>
      </c>
      <c r="AL335" s="641">
        <f t="shared" si="11"/>
        <v>1</v>
      </c>
      <c r="AM335" s="641">
        <v>1</v>
      </c>
      <c r="AN335" s="30" t="s">
        <v>17650</v>
      </c>
      <c r="AO335" s="30" t="s">
        <v>17651</v>
      </c>
      <c r="AP335" s="30" t="s">
        <v>17652</v>
      </c>
      <c r="AQ335" s="30" t="s">
        <v>17653</v>
      </c>
      <c r="AR335" s="30" t="s">
        <v>1024</v>
      </c>
      <c r="AS335" s="30">
        <v>1</v>
      </c>
    </row>
    <row r="336" spans="1:45" x14ac:dyDescent="0.25">
      <c r="A336" s="30" t="s">
        <v>26198</v>
      </c>
      <c r="B336" s="30" t="s">
        <v>26212</v>
      </c>
      <c r="C336" s="30" t="s">
        <v>17</v>
      </c>
      <c r="D336" s="139" t="s">
        <v>26160</v>
      </c>
      <c r="E336" s="30" t="s">
        <v>217</v>
      </c>
      <c r="F336" s="30">
        <v>1</v>
      </c>
      <c r="G336" s="30" t="s">
        <v>193</v>
      </c>
      <c r="H336" s="30" t="s">
        <v>194</v>
      </c>
      <c r="I336" s="30" t="s">
        <v>26148</v>
      </c>
      <c r="J336" s="30" t="s">
        <v>210</v>
      </c>
      <c r="K336" s="30" t="s">
        <v>9309</v>
      </c>
      <c r="L336" s="30" t="s">
        <v>6955</v>
      </c>
      <c r="M336" s="30"/>
      <c r="N336" s="30" t="s">
        <v>26295</v>
      </c>
      <c r="O336" s="30" t="s">
        <v>6327</v>
      </c>
      <c r="P336" s="30" t="s">
        <v>26846</v>
      </c>
      <c r="Q336" s="30" t="s">
        <v>25478</v>
      </c>
      <c r="R336" s="30" t="s">
        <v>26847</v>
      </c>
      <c r="S336" s="30" t="s">
        <v>27166</v>
      </c>
      <c r="T336" s="30" t="s">
        <v>27167</v>
      </c>
      <c r="U336" s="30"/>
      <c r="V336" s="139">
        <v>1863</v>
      </c>
      <c r="W336" s="30" t="s">
        <v>624</v>
      </c>
      <c r="X336" s="30" t="s">
        <v>194</v>
      </c>
      <c r="Y336" s="30" t="s">
        <v>9300</v>
      </c>
      <c r="Z336" s="30"/>
      <c r="AA336" s="30"/>
      <c r="AB336" s="30" t="s">
        <v>9311</v>
      </c>
      <c r="AC336" s="30"/>
      <c r="AD336" s="30"/>
      <c r="AE336" s="30"/>
      <c r="AF336" s="30"/>
      <c r="AG336" s="30"/>
      <c r="AH336" s="30" t="s">
        <v>4714</v>
      </c>
      <c r="AI336" s="30" t="s">
        <v>9433</v>
      </c>
      <c r="AJ336" s="641" t="str">
        <f t="shared" si="10"/>
        <v>332203</v>
      </c>
      <c r="AK336" s="641">
        <v>1</v>
      </c>
      <c r="AL336" s="641">
        <f t="shared" si="11"/>
        <v>1</v>
      </c>
      <c r="AM336" s="641">
        <v>1</v>
      </c>
      <c r="AN336" s="30" t="s">
        <v>17650</v>
      </c>
      <c r="AO336" s="30" t="s">
        <v>17651</v>
      </c>
      <c r="AP336" s="30" t="s">
        <v>17652</v>
      </c>
      <c r="AQ336" s="30" t="s">
        <v>17653</v>
      </c>
      <c r="AR336" s="30" t="s">
        <v>1024</v>
      </c>
      <c r="AS336" s="30">
        <v>1</v>
      </c>
    </row>
    <row r="337" spans="1:45" x14ac:dyDescent="0.25">
      <c r="A337" s="30" t="s">
        <v>26089</v>
      </c>
      <c r="B337" s="30" t="s">
        <v>26278</v>
      </c>
      <c r="C337" s="30" t="s">
        <v>10</v>
      </c>
      <c r="D337" s="139" t="s">
        <v>26160</v>
      </c>
      <c r="E337" s="30" t="s">
        <v>217</v>
      </c>
      <c r="F337" s="30">
        <v>1</v>
      </c>
      <c r="G337" s="30" t="s">
        <v>193</v>
      </c>
      <c r="H337" s="30" t="s">
        <v>194</v>
      </c>
      <c r="I337" s="30" t="s">
        <v>26859</v>
      </c>
      <c r="J337" s="30" t="s">
        <v>210</v>
      </c>
      <c r="K337" s="30" t="s">
        <v>9309</v>
      </c>
      <c r="L337" s="30" t="s">
        <v>6955</v>
      </c>
      <c r="M337" s="30"/>
      <c r="N337" s="30" t="s">
        <v>26770</v>
      </c>
      <c r="O337" s="30" t="s">
        <v>6921</v>
      </c>
      <c r="P337" s="30" t="s">
        <v>26840</v>
      </c>
      <c r="Q337" s="30" t="s">
        <v>26374</v>
      </c>
      <c r="R337" s="30" t="s">
        <v>26375</v>
      </c>
      <c r="S337" s="30" t="s">
        <v>27168</v>
      </c>
      <c r="T337" s="30" t="s">
        <v>27169</v>
      </c>
      <c r="U337" s="30"/>
      <c r="V337" s="139">
        <v>1863</v>
      </c>
      <c r="W337" s="30" t="s">
        <v>484</v>
      </c>
      <c r="X337" s="30" t="s">
        <v>194</v>
      </c>
      <c r="Y337" s="30" t="s">
        <v>9300</v>
      </c>
      <c r="Z337" s="30"/>
      <c r="AA337" s="30"/>
      <c r="AB337" s="30" t="s">
        <v>9311</v>
      </c>
      <c r="AC337" s="30"/>
      <c r="AD337" s="30"/>
      <c r="AE337" s="30"/>
      <c r="AF337" s="30"/>
      <c r="AG337" s="30"/>
      <c r="AH337" s="30" t="s">
        <v>4714</v>
      </c>
      <c r="AI337" s="30" t="s">
        <v>9433</v>
      </c>
      <c r="AJ337" s="641" t="str">
        <f t="shared" si="10"/>
        <v>251401</v>
      </c>
      <c r="AK337" s="641">
        <v>1</v>
      </c>
      <c r="AL337" s="641">
        <f t="shared" si="11"/>
        <v>1</v>
      </c>
      <c r="AM337" s="641">
        <v>1</v>
      </c>
      <c r="AN337" s="30" t="s">
        <v>17650</v>
      </c>
      <c r="AO337" s="30" t="s">
        <v>17651</v>
      </c>
      <c r="AP337" s="30" t="s">
        <v>17652</v>
      </c>
      <c r="AQ337" s="30" t="s">
        <v>17653</v>
      </c>
      <c r="AR337" s="30" t="s">
        <v>1024</v>
      </c>
      <c r="AS337" s="30">
        <v>1</v>
      </c>
    </row>
    <row r="338" spans="1:45" x14ac:dyDescent="0.25">
      <c r="A338" s="30" t="s">
        <v>716</v>
      </c>
      <c r="B338" s="30" t="s">
        <v>26282</v>
      </c>
      <c r="C338" s="30" t="s">
        <v>3219</v>
      </c>
      <c r="D338" s="139" t="s">
        <v>26160</v>
      </c>
      <c r="E338" s="30" t="s">
        <v>217</v>
      </c>
      <c r="F338" s="30">
        <v>1</v>
      </c>
      <c r="G338" s="30" t="s">
        <v>193</v>
      </c>
      <c r="H338" s="30" t="s">
        <v>194</v>
      </c>
      <c r="I338" s="30" t="s">
        <v>26143</v>
      </c>
      <c r="J338" s="30" t="s">
        <v>210</v>
      </c>
      <c r="K338" s="30" t="s">
        <v>9309</v>
      </c>
      <c r="L338" s="30" t="s">
        <v>6955</v>
      </c>
      <c r="M338" s="30"/>
      <c r="N338" s="30" t="s">
        <v>27170</v>
      </c>
      <c r="O338" s="30" t="s">
        <v>6261</v>
      </c>
      <c r="P338" s="30" t="s">
        <v>26840</v>
      </c>
      <c r="Q338" s="30" t="s">
        <v>26881</v>
      </c>
      <c r="R338" s="30" t="s">
        <v>26882</v>
      </c>
      <c r="S338" s="30" t="s">
        <v>27171</v>
      </c>
      <c r="T338" s="30" t="s">
        <v>27172</v>
      </c>
      <c r="U338" s="30"/>
      <c r="V338" s="139">
        <v>1863</v>
      </c>
      <c r="W338" s="30" t="s">
        <v>3620</v>
      </c>
      <c r="X338" s="30" t="s">
        <v>194</v>
      </c>
      <c r="Y338" s="30" t="s">
        <v>9300</v>
      </c>
      <c r="Z338" s="30"/>
      <c r="AA338" s="30"/>
      <c r="AB338" s="30" t="s">
        <v>9311</v>
      </c>
      <c r="AC338" s="30"/>
      <c r="AD338" s="30"/>
      <c r="AE338" s="30"/>
      <c r="AF338" s="30"/>
      <c r="AG338" s="30"/>
      <c r="AH338" s="30" t="s">
        <v>4714</v>
      </c>
      <c r="AI338" s="30" t="s">
        <v>9433</v>
      </c>
      <c r="AJ338" s="641" t="str">
        <f t="shared" si="10"/>
        <v>243109</v>
      </c>
      <c r="AK338" s="641">
        <v>1</v>
      </c>
      <c r="AL338" s="641">
        <f t="shared" si="11"/>
        <v>1</v>
      </c>
      <c r="AM338" s="641">
        <v>1</v>
      </c>
      <c r="AN338" s="30" t="s">
        <v>17650</v>
      </c>
      <c r="AO338" s="30" t="s">
        <v>17651</v>
      </c>
      <c r="AP338" s="30" t="s">
        <v>17652</v>
      </c>
      <c r="AQ338" s="30" t="s">
        <v>17653</v>
      </c>
      <c r="AR338" s="30" t="s">
        <v>1024</v>
      </c>
      <c r="AS338" s="30">
        <v>1</v>
      </c>
    </row>
    <row r="339" spans="1:45" x14ac:dyDescent="0.25">
      <c r="A339" s="30" t="s">
        <v>23203</v>
      </c>
      <c r="B339" s="30" t="s">
        <v>26142</v>
      </c>
      <c r="C339" s="30" t="s">
        <v>18783</v>
      </c>
      <c r="D339" s="139" t="s">
        <v>26160</v>
      </c>
      <c r="E339" s="30" t="s">
        <v>217</v>
      </c>
      <c r="F339" s="30">
        <v>1</v>
      </c>
      <c r="G339" s="30" t="s">
        <v>193</v>
      </c>
      <c r="H339" s="30" t="s">
        <v>194</v>
      </c>
      <c r="I339" s="30" t="s">
        <v>26143</v>
      </c>
      <c r="J339" s="30" t="s">
        <v>2183</v>
      </c>
      <c r="K339" s="30" t="s">
        <v>9309</v>
      </c>
      <c r="L339" s="30" t="s">
        <v>6955</v>
      </c>
      <c r="M339" s="30"/>
      <c r="N339" s="30" t="s">
        <v>26144</v>
      </c>
      <c r="O339" s="30" t="s">
        <v>6275</v>
      </c>
      <c r="P339" s="30" t="s">
        <v>26846</v>
      </c>
      <c r="Q339" s="30" t="s">
        <v>25478</v>
      </c>
      <c r="R339" s="30" t="s">
        <v>26847</v>
      </c>
      <c r="S339" s="30" t="s">
        <v>27173</v>
      </c>
      <c r="T339" s="30" t="s">
        <v>27174</v>
      </c>
      <c r="U339" s="30"/>
      <c r="V339" s="139">
        <v>1820</v>
      </c>
      <c r="W339" s="30" t="s">
        <v>2538</v>
      </c>
      <c r="X339" s="30" t="s">
        <v>194</v>
      </c>
      <c r="Y339" s="30" t="s">
        <v>9300</v>
      </c>
      <c r="Z339" s="30"/>
      <c r="AA339" s="30"/>
      <c r="AB339" s="30" t="s">
        <v>9311</v>
      </c>
      <c r="AC339" s="30"/>
      <c r="AD339" s="30"/>
      <c r="AE339" s="30"/>
      <c r="AF339" s="30"/>
      <c r="AG339" s="30"/>
      <c r="AH339" s="30" t="s">
        <v>4714</v>
      </c>
      <c r="AI339" s="30" t="s">
        <v>9433</v>
      </c>
      <c r="AJ339" s="641" t="str">
        <f t="shared" si="10"/>
        <v>911207</v>
      </c>
      <c r="AK339" s="641">
        <v>1</v>
      </c>
      <c r="AL339" s="641">
        <f t="shared" si="11"/>
        <v>1</v>
      </c>
      <c r="AM339" s="641">
        <v>1</v>
      </c>
      <c r="AN339" s="30" t="s">
        <v>17650</v>
      </c>
      <c r="AO339" s="30" t="s">
        <v>17651</v>
      </c>
      <c r="AP339" s="30" t="s">
        <v>17652</v>
      </c>
      <c r="AQ339" s="30" t="s">
        <v>17653</v>
      </c>
      <c r="AR339" s="30" t="s">
        <v>1024</v>
      </c>
      <c r="AS339" s="30">
        <v>1</v>
      </c>
    </row>
    <row r="340" spans="1:45" x14ac:dyDescent="0.25">
      <c r="A340" s="30" t="s">
        <v>716</v>
      </c>
      <c r="B340" s="30" t="s">
        <v>26132</v>
      </c>
      <c r="C340" s="30" t="s">
        <v>24125</v>
      </c>
      <c r="D340" s="139" t="s">
        <v>26160</v>
      </c>
      <c r="E340" s="30" t="s">
        <v>217</v>
      </c>
      <c r="F340" s="30">
        <v>1</v>
      </c>
      <c r="G340" s="30" t="s">
        <v>193</v>
      </c>
      <c r="H340" s="30" t="s">
        <v>194</v>
      </c>
      <c r="I340" s="30" t="s">
        <v>26133</v>
      </c>
      <c r="J340" s="30" t="s">
        <v>210</v>
      </c>
      <c r="K340" s="30" t="s">
        <v>9309</v>
      </c>
      <c r="L340" s="30" t="s">
        <v>6955</v>
      </c>
      <c r="M340" s="30"/>
      <c r="N340" s="30" t="s">
        <v>26528</v>
      </c>
      <c r="O340" s="30" t="s">
        <v>6290</v>
      </c>
      <c r="P340" s="30" t="s">
        <v>26840</v>
      </c>
      <c r="Q340" s="30" t="s">
        <v>26085</v>
      </c>
      <c r="R340" s="30" t="s">
        <v>26057</v>
      </c>
      <c r="S340" s="30" t="s">
        <v>27175</v>
      </c>
      <c r="T340" s="30" t="s">
        <v>27176</v>
      </c>
      <c r="U340" s="30"/>
      <c r="V340" s="139">
        <v>1863</v>
      </c>
      <c r="W340" s="30" t="s">
        <v>24129</v>
      </c>
      <c r="X340" s="30" t="s">
        <v>194</v>
      </c>
      <c r="Y340" s="30" t="s">
        <v>9300</v>
      </c>
      <c r="Z340" s="30"/>
      <c r="AA340" s="30"/>
      <c r="AB340" s="30" t="s">
        <v>9311</v>
      </c>
      <c r="AC340" s="30"/>
      <c r="AD340" s="30"/>
      <c r="AE340" s="30"/>
      <c r="AF340" s="30"/>
      <c r="AG340" s="30"/>
      <c r="AH340" s="30" t="s">
        <v>4714</v>
      </c>
      <c r="AI340" s="30" t="s">
        <v>9433</v>
      </c>
      <c r="AJ340" s="641" t="str">
        <f t="shared" si="10"/>
        <v>351401</v>
      </c>
      <c r="AK340" s="641">
        <v>1</v>
      </c>
      <c r="AL340" s="641">
        <f t="shared" si="11"/>
        <v>1</v>
      </c>
      <c r="AM340" s="641">
        <v>1</v>
      </c>
      <c r="AN340" s="30" t="s">
        <v>17650</v>
      </c>
      <c r="AO340" s="30" t="s">
        <v>17651</v>
      </c>
      <c r="AP340" s="30" t="s">
        <v>17652</v>
      </c>
      <c r="AQ340" s="30" t="s">
        <v>17653</v>
      </c>
      <c r="AR340" s="30" t="s">
        <v>1024</v>
      </c>
      <c r="AS340" s="30">
        <v>1</v>
      </c>
    </row>
    <row r="341" spans="1:45" x14ac:dyDescent="0.25">
      <c r="A341" s="30" t="s">
        <v>26089</v>
      </c>
      <c r="B341" s="30" t="s">
        <v>27177</v>
      </c>
      <c r="C341" s="30" t="s">
        <v>480</v>
      </c>
      <c r="D341" s="139" t="s">
        <v>26160</v>
      </c>
      <c r="E341" s="30" t="s">
        <v>217</v>
      </c>
      <c r="F341" s="30">
        <v>1</v>
      </c>
      <c r="G341" s="30" t="s">
        <v>193</v>
      </c>
      <c r="H341" s="30" t="s">
        <v>194</v>
      </c>
      <c r="I341" s="30" t="s">
        <v>26148</v>
      </c>
      <c r="J341" s="30" t="s">
        <v>210</v>
      </c>
      <c r="K341" s="30" t="s">
        <v>9309</v>
      </c>
      <c r="L341" s="30" t="s">
        <v>6955</v>
      </c>
      <c r="M341" s="30"/>
      <c r="N341" s="30" t="s">
        <v>27178</v>
      </c>
      <c r="O341" s="30" t="s">
        <v>6921</v>
      </c>
      <c r="P341" s="30" t="s">
        <v>26840</v>
      </c>
      <c r="Q341" s="30" t="s">
        <v>26073</v>
      </c>
      <c r="R341" s="30" t="s">
        <v>27021</v>
      </c>
      <c r="S341" s="30" t="s">
        <v>27179</v>
      </c>
      <c r="T341" s="30" t="s">
        <v>27180</v>
      </c>
      <c r="U341" s="30"/>
      <c r="V341" s="139">
        <v>1863</v>
      </c>
      <c r="W341" s="30" t="s">
        <v>481</v>
      </c>
      <c r="X341" s="30" t="s">
        <v>194</v>
      </c>
      <c r="Y341" s="30" t="s">
        <v>9300</v>
      </c>
      <c r="Z341" s="30"/>
      <c r="AA341" s="30"/>
      <c r="AB341" s="30" t="s">
        <v>9311</v>
      </c>
      <c r="AC341" s="30"/>
      <c r="AD341" s="30"/>
      <c r="AE341" s="30"/>
      <c r="AF341" s="30"/>
      <c r="AG341" s="30"/>
      <c r="AH341" s="30" t="s">
        <v>4714</v>
      </c>
      <c r="AI341" s="30" t="s">
        <v>9433</v>
      </c>
      <c r="AJ341" s="641" t="str">
        <f t="shared" si="10"/>
        <v>251201</v>
      </c>
      <c r="AK341" s="641">
        <v>1</v>
      </c>
      <c r="AL341" s="641">
        <f t="shared" si="11"/>
        <v>1</v>
      </c>
      <c r="AM341" s="641">
        <v>1</v>
      </c>
      <c r="AN341" s="30" t="s">
        <v>17650</v>
      </c>
      <c r="AO341" s="30" t="s">
        <v>17651</v>
      </c>
      <c r="AP341" s="30" t="s">
        <v>17652</v>
      </c>
      <c r="AQ341" s="30" t="s">
        <v>17653</v>
      </c>
      <c r="AR341" s="30" t="s">
        <v>1024</v>
      </c>
      <c r="AS341" s="30">
        <v>1</v>
      </c>
    </row>
    <row r="342" spans="1:45" x14ac:dyDescent="0.25">
      <c r="A342" s="30" t="s">
        <v>26290</v>
      </c>
      <c r="B342" s="30" t="s">
        <v>27181</v>
      </c>
      <c r="C342" s="30" t="s">
        <v>706</v>
      </c>
      <c r="D342" s="139" t="s">
        <v>26160</v>
      </c>
      <c r="E342" s="30" t="s">
        <v>217</v>
      </c>
      <c r="F342" s="30">
        <v>1</v>
      </c>
      <c r="G342" s="30" t="s">
        <v>193</v>
      </c>
      <c r="H342" s="30" t="s">
        <v>194</v>
      </c>
      <c r="I342" s="30" t="s">
        <v>26859</v>
      </c>
      <c r="J342" s="30" t="s">
        <v>210</v>
      </c>
      <c r="K342" s="30" t="s">
        <v>9309</v>
      </c>
      <c r="L342" s="30" t="s">
        <v>6955</v>
      </c>
      <c r="M342" s="30"/>
      <c r="N342" s="30" t="s">
        <v>27182</v>
      </c>
      <c r="O342" s="30" t="s">
        <v>6251</v>
      </c>
      <c r="P342" s="30" t="s">
        <v>26840</v>
      </c>
      <c r="Q342" s="30" t="s">
        <v>26881</v>
      </c>
      <c r="R342" s="30" t="s">
        <v>26882</v>
      </c>
      <c r="S342" s="30" t="s">
        <v>27183</v>
      </c>
      <c r="T342" s="30" t="s">
        <v>27184</v>
      </c>
      <c r="U342" s="30"/>
      <c r="V342" s="139">
        <v>1863</v>
      </c>
      <c r="W342" s="30" t="s">
        <v>707</v>
      </c>
      <c r="X342" s="30" t="s">
        <v>194</v>
      </c>
      <c r="Y342" s="30" t="s">
        <v>9300</v>
      </c>
      <c r="Z342" s="30"/>
      <c r="AA342" s="30"/>
      <c r="AB342" s="30" t="s">
        <v>9311</v>
      </c>
      <c r="AC342" s="30"/>
      <c r="AD342" s="30"/>
      <c r="AE342" s="30"/>
      <c r="AF342" s="30"/>
      <c r="AG342" s="30"/>
      <c r="AH342" s="30" t="s">
        <v>4714</v>
      </c>
      <c r="AI342" s="30" t="s">
        <v>9433</v>
      </c>
      <c r="AJ342" s="641" t="str">
        <f t="shared" si="10"/>
        <v>422201</v>
      </c>
      <c r="AK342" s="641">
        <v>1</v>
      </c>
      <c r="AL342" s="641">
        <f t="shared" si="11"/>
        <v>1</v>
      </c>
      <c r="AM342" s="641">
        <v>1</v>
      </c>
      <c r="AN342" s="30" t="s">
        <v>17650</v>
      </c>
      <c r="AO342" s="30" t="s">
        <v>17651</v>
      </c>
      <c r="AP342" s="30" t="s">
        <v>17652</v>
      </c>
      <c r="AQ342" s="30" t="s">
        <v>17653</v>
      </c>
      <c r="AR342" s="30" t="s">
        <v>1024</v>
      </c>
      <c r="AS342" s="30">
        <v>1</v>
      </c>
    </row>
    <row r="343" spans="1:45" x14ac:dyDescent="0.25">
      <c r="A343" s="30" t="s">
        <v>26153</v>
      </c>
      <c r="B343" s="30" t="s">
        <v>26204</v>
      </c>
      <c r="C343" s="30" t="s">
        <v>10</v>
      </c>
      <c r="D343" s="139" t="s">
        <v>26160</v>
      </c>
      <c r="E343" s="30" t="s">
        <v>217</v>
      </c>
      <c r="F343" s="30">
        <v>1</v>
      </c>
      <c r="G343" s="30" t="s">
        <v>193</v>
      </c>
      <c r="H343" s="30" t="s">
        <v>194</v>
      </c>
      <c r="I343" s="30" t="s">
        <v>26143</v>
      </c>
      <c r="J343" s="30" t="s">
        <v>210</v>
      </c>
      <c r="K343" s="30" t="s">
        <v>9309</v>
      </c>
      <c r="L343" s="30" t="s">
        <v>6955</v>
      </c>
      <c r="M343" s="30"/>
      <c r="N343" s="30" t="s">
        <v>26205</v>
      </c>
      <c r="O343" s="30" t="s">
        <v>6261</v>
      </c>
      <c r="P343" s="30" t="s">
        <v>26846</v>
      </c>
      <c r="Q343" s="30" t="s">
        <v>25478</v>
      </c>
      <c r="R343" s="30" t="s">
        <v>26847</v>
      </c>
      <c r="S343" s="30" t="s">
        <v>27185</v>
      </c>
      <c r="T343" s="30" t="s">
        <v>27186</v>
      </c>
      <c r="U343" s="30"/>
      <c r="V343" s="139">
        <v>1863</v>
      </c>
      <c r="W343" s="30" t="s">
        <v>484</v>
      </c>
      <c r="X343" s="30" t="s">
        <v>194</v>
      </c>
      <c r="Y343" s="30" t="s">
        <v>9300</v>
      </c>
      <c r="Z343" s="30"/>
      <c r="AA343" s="30"/>
      <c r="AB343" s="30" t="s">
        <v>9311</v>
      </c>
      <c r="AC343" s="30"/>
      <c r="AD343" s="30"/>
      <c r="AE343" s="30"/>
      <c r="AF343" s="30"/>
      <c r="AG343" s="30"/>
      <c r="AH343" s="30" t="s">
        <v>4714</v>
      </c>
      <c r="AI343" s="30" t="s">
        <v>9433</v>
      </c>
      <c r="AJ343" s="641" t="str">
        <f t="shared" si="10"/>
        <v>251401</v>
      </c>
      <c r="AK343" s="641">
        <v>1</v>
      </c>
      <c r="AL343" s="641">
        <f t="shared" si="11"/>
        <v>1</v>
      </c>
      <c r="AM343" s="641">
        <v>1</v>
      </c>
      <c r="AN343" s="30" t="s">
        <v>17650</v>
      </c>
      <c r="AO343" s="30" t="s">
        <v>17651</v>
      </c>
      <c r="AP343" s="30" t="s">
        <v>17652</v>
      </c>
      <c r="AQ343" s="30" t="s">
        <v>17653</v>
      </c>
      <c r="AR343" s="30" t="s">
        <v>1024</v>
      </c>
      <c r="AS343" s="30">
        <v>1</v>
      </c>
    </row>
    <row r="344" spans="1:45" x14ac:dyDescent="0.25">
      <c r="A344" s="30" t="s">
        <v>716</v>
      </c>
      <c r="B344" s="30" t="s">
        <v>26132</v>
      </c>
      <c r="C344" s="30" t="s">
        <v>24125</v>
      </c>
      <c r="D344" s="139" t="s">
        <v>26160</v>
      </c>
      <c r="E344" s="30" t="s">
        <v>217</v>
      </c>
      <c r="F344" s="30">
        <v>1</v>
      </c>
      <c r="G344" s="30" t="s">
        <v>193</v>
      </c>
      <c r="H344" s="30" t="s">
        <v>194</v>
      </c>
      <c r="I344" s="30" t="s">
        <v>26133</v>
      </c>
      <c r="J344" s="30" t="s">
        <v>210</v>
      </c>
      <c r="K344" s="30" t="s">
        <v>9309</v>
      </c>
      <c r="L344" s="30" t="s">
        <v>6955</v>
      </c>
      <c r="M344" s="30"/>
      <c r="N344" s="30" t="s">
        <v>26265</v>
      </c>
      <c r="O344" s="30" t="s">
        <v>6290</v>
      </c>
      <c r="P344" s="30" t="s">
        <v>26846</v>
      </c>
      <c r="Q344" s="30" t="s">
        <v>25478</v>
      </c>
      <c r="R344" s="30" t="s">
        <v>26847</v>
      </c>
      <c r="S344" s="30" t="s">
        <v>27187</v>
      </c>
      <c r="T344" s="30" t="s">
        <v>27188</v>
      </c>
      <c r="U344" s="30"/>
      <c r="V344" s="139">
        <v>1863</v>
      </c>
      <c r="W344" s="30" t="s">
        <v>24129</v>
      </c>
      <c r="X344" s="30" t="s">
        <v>194</v>
      </c>
      <c r="Y344" s="30" t="s">
        <v>9300</v>
      </c>
      <c r="Z344" s="30"/>
      <c r="AA344" s="30"/>
      <c r="AB344" s="30" t="s">
        <v>9311</v>
      </c>
      <c r="AC344" s="30"/>
      <c r="AD344" s="30"/>
      <c r="AE344" s="30"/>
      <c r="AF344" s="30"/>
      <c r="AG344" s="30"/>
      <c r="AH344" s="30" t="s">
        <v>4714</v>
      </c>
      <c r="AI344" s="30" t="s">
        <v>9433</v>
      </c>
      <c r="AJ344" s="641" t="str">
        <f t="shared" si="10"/>
        <v>351401</v>
      </c>
      <c r="AK344" s="641">
        <v>1</v>
      </c>
      <c r="AL344" s="641">
        <f t="shared" si="11"/>
        <v>1</v>
      </c>
      <c r="AM344" s="641">
        <v>1</v>
      </c>
      <c r="AN344" s="30" t="s">
        <v>17650</v>
      </c>
      <c r="AO344" s="30" t="s">
        <v>17651</v>
      </c>
      <c r="AP344" s="30" t="s">
        <v>17652</v>
      </c>
      <c r="AQ344" s="30" t="s">
        <v>17653</v>
      </c>
      <c r="AR344" s="30" t="s">
        <v>1024</v>
      </c>
      <c r="AS344" s="30">
        <v>1</v>
      </c>
    </row>
    <row r="345" spans="1:45" x14ac:dyDescent="0.25">
      <c r="A345" s="30" t="s">
        <v>716</v>
      </c>
      <c r="B345" s="30" t="s">
        <v>26635</v>
      </c>
      <c r="C345" s="30" t="s">
        <v>706</v>
      </c>
      <c r="D345" s="139" t="s">
        <v>26160</v>
      </c>
      <c r="E345" s="30" t="s">
        <v>217</v>
      </c>
      <c r="F345" s="30">
        <v>1</v>
      </c>
      <c r="G345" s="30" t="s">
        <v>193</v>
      </c>
      <c r="H345" s="30" t="s">
        <v>194</v>
      </c>
      <c r="I345" s="30" t="s">
        <v>26143</v>
      </c>
      <c r="J345" s="30" t="s">
        <v>210</v>
      </c>
      <c r="K345" s="30" t="s">
        <v>9309</v>
      </c>
      <c r="L345" s="30" t="s">
        <v>6955</v>
      </c>
      <c r="M345" s="30"/>
      <c r="N345" s="30" t="s">
        <v>26636</v>
      </c>
      <c r="O345" s="30" t="s">
        <v>6286</v>
      </c>
      <c r="P345" s="30" t="s">
        <v>26840</v>
      </c>
      <c r="Q345" s="30" t="s">
        <v>26261</v>
      </c>
      <c r="R345" s="30" t="s">
        <v>26262</v>
      </c>
      <c r="S345" s="30" t="s">
        <v>27189</v>
      </c>
      <c r="T345" s="30" t="s">
        <v>27190</v>
      </c>
      <c r="U345" s="30"/>
      <c r="V345" s="139">
        <v>1863</v>
      </c>
      <c r="W345" s="30" t="s">
        <v>707</v>
      </c>
      <c r="X345" s="30" t="s">
        <v>194</v>
      </c>
      <c r="Y345" s="30" t="s">
        <v>9300</v>
      </c>
      <c r="Z345" s="30"/>
      <c r="AA345" s="30"/>
      <c r="AB345" s="30" t="s">
        <v>9311</v>
      </c>
      <c r="AC345" s="30"/>
      <c r="AD345" s="30"/>
      <c r="AE345" s="30"/>
      <c r="AF345" s="30"/>
      <c r="AG345" s="30"/>
      <c r="AH345" s="30" t="s">
        <v>4714</v>
      </c>
      <c r="AI345" s="30" t="s">
        <v>9433</v>
      </c>
      <c r="AJ345" s="641" t="str">
        <f t="shared" si="10"/>
        <v>422201</v>
      </c>
      <c r="AK345" s="641">
        <v>1</v>
      </c>
      <c r="AL345" s="641">
        <f t="shared" si="11"/>
        <v>1</v>
      </c>
      <c r="AM345" s="641">
        <v>1</v>
      </c>
      <c r="AN345" s="30" t="s">
        <v>17650</v>
      </c>
      <c r="AO345" s="30" t="s">
        <v>17651</v>
      </c>
      <c r="AP345" s="30" t="s">
        <v>17652</v>
      </c>
      <c r="AQ345" s="30" t="s">
        <v>17653</v>
      </c>
      <c r="AR345" s="30" t="s">
        <v>1024</v>
      </c>
      <c r="AS345" s="30">
        <v>1</v>
      </c>
    </row>
    <row r="346" spans="1:45" x14ac:dyDescent="0.25">
      <c r="A346" s="30" t="s">
        <v>26089</v>
      </c>
      <c r="B346" s="30" t="s">
        <v>26301</v>
      </c>
      <c r="C346" s="30" t="s">
        <v>8740</v>
      </c>
      <c r="D346" s="139" t="s">
        <v>26160</v>
      </c>
      <c r="E346" s="30" t="s">
        <v>217</v>
      </c>
      <c r="F346" s="30">
        <v>1</v>
      </c>
      <c r="G346" s="30" t="s">
        <v>193</v>
      </c>
      <c r="H346" s="30" t="s">
        <v>194</v>
      </c>
      <c r="I346" s="30" t="s">
        <v>26148</v>
      </c>
      <c r="J346" s="30" t="s">
        <v>210</v>
      </c>
      <c r="K346" s="30" t="s">
        <v>9309</v>
      </c>
      <c r="L346" s="30" t="s">
        <v>6955</v>
      </c>
      <c r="M346" s="30"/>
      <c r="N346" s="30" t="s">
        <v>27191</v>
      </c>
      <c r="O346" s="30" t="s">
        <v>6261</v>
      </c>
      <c r="P346" s="30" t="s">
        <v>26840</v>
      </c>
      <c r="Q346" s="30" t="s">
        <v>26086</v>
      </c>
      <c r="R346" s="30" t="s">
        <v>26787</v>
      </c>
      <c r="S346" s="30" t="s">
        <v>27192</v>
      </c>
      <c r="T346" s="30" t="s">
        <v>27193</v>
      </c>
      <c r="U346" s="30"/>
      <c r="V346" s="139">
        <v>1863</v>
      </c>
      <c r="W346" s="30" t="s">
        <v>8742</v>
      </c>
      <c r="X346" s="30" t="s">
        <v>194</v>
      </c>
      <c r="Y346" s="30" t="s">
        <v>9300</v>
      </c>
      <c r="Z346" s="30"/>
      <c r="AA346" s="30"/>
      <c r="AB346" s="30" t="s">
        <v>9311</v>
      </c>
      <c r="AC346" s="30"/>
      <c r="AD346" s="30"/>
      <c r="AE346" s="30"/>
      <c r="AF346" s="30"/>
      <c r="AG346" s="30"/>
      <c r="AH346" s="30" t="s">
        <v>4714</v>
      </c>
      <c r="AI346" s="30" t="s">
        <v>9433</v>
      </c>
      <c r="AJ346" s="641" t="str">
        <f t="shared" si="10"/>
        <v>251490</v>
      </c>
      <c r="AK346" s="641">
        <v>1</v>
      </c>
      <c r="AL346" s="641">
        <f t="shared" si="11"/>
        <v>1</v>
      </c>
      <c r="AM346" s="641">
        <v>1</v>
      </c>
      <c r="AN346" s="30" t="s">
        <v>17650</v>
      </c>
      <c r="AO346" s="30" t="s">
        <v>17651</v>
      </c>
      <c r="AP346" s="30" t="s">
        <v>17652</v>
      </c>
      <c r="AQ346" s="30" t="s">
        <v>17653</v>
      </c>
      <c r="AR346" s="30" t="s">
        <v>1024</v>
      </c>
      <c r="AS346" s="30">
        <v>1</v>
      </c>
    </row>
    <row r="347" spans="1:45" x14ac:dyDescent="0.25">
      <c r="A347" s="30" t="s">
        <v>23203</v>
      </c>
      <c r="B347" s="30" t="s">
        <v>26559</v>
      </c>
      <c r="C347" s="30" t="s">
        <v>84</v>
      </c>
      <c r="D347" s="139" t="s">
        <v>26160</v>
      </c>
      <c r="E347" s="30" t="s">
        <v>217</v>
      </c>
      <c r="F347" s="30">
        <v>1</v>
      </c>
      <c r="G347" s="30" t="s">
        <v>193</v>
      </c>
      <c r="H347" s="30" t="s">
        <v>194</v>
      </c>
      <c r="I347" s="30" t="s">
        <v>26143</v>
      </c>
      <c r="J347" s="30" t="s">
        <v>316</v>
      </c>
      <c r="K347" s="30" t="s">
        <v>9309</v>
      </c>
      <c r="L347" s="30" t="s">
        <v>6955</v>
      </c>
      <c r="M347" s="30"/>
      <c r="N347" s="30" t="s">
        <v>26560</v>
      </c>
      <c r="O347" s="30" t="s">
        <v>6269</v>
      </c>
      <c r="P347" s="30" t="s">
        <v>26840</v>
      </c>
      <c r="Q347" s="30" t="s">
        <v>26189</v>
      </c>
      <c r="R347" s="30" t="s">
        <v>26190</v>
      </c>
      <c r="S347" s="30" t="s">
        <v>27194</v>
      </c>
      <c r="T347" s="30" t="s">
        <v>27195</v>
      </c>
      <c r="U347" s="30"/>
      <c r="V347" s="139">
        <v>1818</v>
      </c>
      <c r="W347" s="30" t="s">
        <v>2665</v>
      </c>
      <c r="X347" s="30" t="s">
        <v>194</v>
      </c>
      <c r="Y347" s="30" t="s">
        <v>9300</v>
      </c>
      <c r="Z347" s="30"/>
      <c r="AA347" s="30"/>
      <c r="AB347" s="30" t="s">
        <v>9311</v>
      </c>
      <c r="AC347" s="30"/>
      <c r="AD347" s="30"/>
      <c r="AE347" s="30"/>
      <c r="AF347" s="30"/>
      <c r="AG347" s="30"/>
      <c r="AH347" s="30" t="s">
        <v>4714</v>
      </c>
      <c r="AI347" s="30" t="s">
        <v>9433</v>
      </c>
      <c r="AJ347" s="641" t="str">
        <f t="shared" si="10"/>
        <v>541315</v>
      </c>
      <c r="AK347" s="641">
        <v>1</v>
      </c>
      <c r="AL347" s="641">
        <f t="shared" si="11"/>
        <v>1</v>
      </c>
      <c r="AM347" s="641">
        <v>1</v>
      </c>
      <c r="AN347" s="30" t="s">
        <v>17650</v>
      </c>
      <c r="AO347" s="30" t="s">
        <v>17651</v>
      </c>
      <c r="AP347" s="30" t="s">
        <v>17652</v>
      </c>
      <c r="AQ347" s="30" t="s">
        <v>17653</v>
      </c>
      <c r="AR347" s="30" t="s">
        <v>1024</v>
      </c>
      <c r="AS347" s="30">
        <v>1</v>
      </c>
    </row>
    <row r="348" spans="1:45" x14ac:dyDescent="0.25">
      <c r="A348" s="30" t="s">
        <v>3946</v>
      </c>
      <c r="B348" s="30" t="s">
        <v>26599</v>
      </c>
      <c r="C348" s="30" t="s">
        <v>740</v>
      </c>
      <c r="D348" s="139" t="s">
        <v>26160</v>
      </c>
      <c r="E348" s="30" t="s">
        <v>217</v>
      </c>
      <c r="F348" s="30">
        <v>1</v>
      </c>
      <c r="G348" s="30" t="s">
        <v>193</v>
      </c>
      <c r="H348" s="30" t="s">
        <v>194</v>
      </c>
      <c r="I348" s="30" t="s">
        <v>26143</v>
      </c>
      <c r="J348" s="30" t="s">
        <v>385</v>
      </c>
      <c r="K348" s="30" t="s">
        <v>9309</v>
      </c>
      <c r="L348" s="30" t="s">
        <v>6955</v>
      </c>
      <c r="M348" s="30"/>
      <c r="N348" s="30" t="s">
        <v>26600</v>
      </c>
      <c r="O348" s="30" t="s">
        <v>6249</v>
      </c>
      <c r="P348" s="30" t="s">
        <v>26840</v>
      </c>
      <c r="Q348" s="30" t="s">
        <v>26584</v>
      </c>
      <c r="R348" s="30" t="s">
        <v>26099</v>
      </c>
      <c r="S348" s="30" t="s">
        <v>27196</v>
      </c>
      <c r="T348" s="30" t="s">
        <v>27197</v>
      </c>
      <c r="U348" s="30"/>
      <c r="V348" s="139">
        <v>1861</v>
      </c>
      <c r="W348" s="30" t="s">
        <v>741</v>
      </c>
      <c r="X348" s="30" t="s">
        <v>194</v>
      </c>
      <c r="Y348" s="30" t="s">
        <v>9300</v>
      </c>
      <c r="Z348" s="30"/>
      <c r="AA348" s="30"/>
      <c r="AB348" s="30" t="s">
        <v>9311</v>
      </c>
      <c r="AC348" s="30"/>
      <c r="AD348" s="30"/>
      <c r="AE348" s="30"/>
      <c r="AF348" s="30"/>
      <c r="AG348" s="30"/>
      <c r="AH348" s="30" t="s">
        <v>5109</v>
      </c>
      <c r="AI348" s="30" t="s">
        <v>9433</v>
      </c>
      <c r="AJ348" s="641" t="str">
        <f t="shared" si="10"/>
        <v>522301</v>
      </c>
      <c r="AK348" s="641">
        <v>1</v>
      </c>
      <c r="AL348" s="641">
        <f t="shared" si="11"/>
        <v>1</v>
      </c>
      <c r="AM348" s="641">
        <v>1</v>
      </c>
      <c r="AN348" s="30" t="s">
        <v>17650</v>
      </c>
      <c r="AO348" s="30" t="s">
        <v>17651</v>
      </c>
      <c r="AP348" s="30" t="s">
        <v>17652</v>
      </c>
      <c r="AQ348" s="30" t="s">
        <v>17653</v>
      </c>
      <c r="AR348" s="30" t="s">
        <v>1024</v>
      </c>
      <c r="AS348" s="30">
        <v>1</v>
      </c>
    </row>
    <row r="349" spans="1:45" x14ac:dyDescent="0.25">
      <c r="A349" s="30" t="s">
        <v>26153</v>
      </c>
      <c r="B349" s="30" t="s">
        <v>27198</v>
      </c>
      <c r="C349" s="30" t="s">
        <v>10</v>
      </c>
      <c r="D349" s="139" t="s">
        <v>26160</v>
      </c>
      <c r="E349" s="30" t="s">
        <v>217</v>
      </c>
      <c r="F349" s="30">
        <v>1</v>
      </c>
      <c r="G349" s="30" t="s">
        <v>193</v>
      </c>
      <c r="H349" s="30" t="s">
        <v>194</v>
      </c>
      <c r="I349" s="30" t="s">
        <v>23198</v>
      </c>
      <c r="J349" s="30" t="s">
        <v>210</v>
      </c>
      <c r="K349" s="30" t="s">
        <v>9309</v>
      </c>
      <c r="L349" s="30" t="s">
        <v>6955</v>
      </c>
      <c r="M349" s="30"/>
      <c r="N349" s="30" t="s">
        <v>27199</v>
      </c>
      <c r="O349" s="30" t="s">
        <v>6261</v>
      </c>
      <c r="P349" s="30" t="s">
        <v>26840</v>
      </c>
      <c r="Q349" s="30" t="s">
        <v>26086</v>
      </c>
      <c r="R349" s="30" t="s">
        <v>26787</v>
      </c>
      <c r="S349" s="30" t="s">
        <v>27200</v>
      </c>
      <c r="T349" s="30" t="s">
        <v>27201</v>
      </c>
      <c r="U349" s="30"/>
      <c r="V349" s="139">
        <v>1863</v>
      </c>
      <c r="W349" s="30" t="s">
        <v>484</v>
      </c>
      <c r="X349" s="30" t="s">
        <v>194</v>
      </c>
      <c r="Y349" s="30" t="s">
        <v>9300</v>
      </c>
      <c r="Z349" s="30"/>
      <c r="AA349" s="30"/>
      <c r="AB349" s="30" t="s">
        <v>9311</v>
      </c>
      <c r="AC349" s="30"/>
      <c r="AD349" s="30"/>
      <c r="AE349" s="30"/>
      <c r="AF349" s="30"/>
      <c r="AG349" s="30"/>
      <c r="AH349" s="30" t="s">
        <v>4714</v>
      </c>
      <c r="AI349" s="30" t="s">
        <v>9433</v>
      </c>
      <c r="AJ349" s="641" t="str">
        <f t="shared" si="10"/>
        <v>251401</v>
      </c>
      <c r="AK349" s="641">
        <v>1</v>
      </c>
      <c r="AL349" s="641">
        <f t="shared" si="11"/>
        <v>1</v>
      </c>
      <c r="AM349" s="641">
        <v>1</v>
      </c>
      <c r="AN349" s="30" t="s">
        <v>17650</v>
      </c>
      <c r="AO349" s="30" t="s">
        <v>17651</v>
      </c>
      <c r="AP349" s="30" t="s">
        <v>17652</v>
      </c>
      <c r="AQ349" s="30" t="s">
        <v>17653</v>
      </c>
      <c r="AR349" s="30" t="s">
        <v>1024</v>
      </c>
      <c r="AS349" s="30">
        <v>1</v>
      </c>
    </row>
    <row r="350" spans="1:45" x14ac:dyDescent="0.25">
      <c r="A350" s="30" t="s">
        <v>716</v>
      </c>
      <c r="B350" s="30" t="s">
        <v>26106</v>
      </c>
      <c r="C350" s="30" t="s">
        <v>153</v>
      </c>
      <c r="D350" s="139" t="s">
        <v>26160</v>
      </c>
      <c r="E350" s="30" t="s">
        <v>217</v>
      </c>
      <c r="F350" s="30">
        <v>1</v>
      </c>
      <c r="G350" s="30" t="s">
        <v>193</v>
      </c>
      <c r="H350" s="30" t="s">
        <v>194</v>
      </c>
      <c r="I350" s="30" t="s">
        <v>26143</v>
      </c>
      <c r="J350" s="30" t="s">
        <v>210</v>
      </c>
      <c r="K350" s="30" t="s">
        <v>9309</v>
      </c>
      <c r="L350" s="30" t="s">
        <v>6955</v>
      </c>
      <c r="M350" s="30"/>
      <c r="N350" s="30" t="s">
        <v>26421</v>
      </c>
      <c r="O350" s="30" t="s">
        <v>6290</v>
      </c>
      <c r="P350" s="30" t="s">
        <v>26846</v>
      </c>
      <c r="Q350" s="30" t="s">
        <v>25478</v>
      </c>
      <c r="R350" s="30" t="s">
        <v>26847</v>
      </c>
      <c r="S350" s="30" t="s">
        <v>27202</v>
      </c>
      <c r="T350" s="30" t="s">
        <v>27203</v>
      </c>
      <c r="U350" s="30"/>
      <c r="V350" s="139">
        <v>1863</v>
      </c>
      <c r="W350" s="30" t="s">
        <v>2293</v>
      </c>
      <c r="X350" s="30" t="s">
        <v>194</v>
      </c>
      <c r="Y350" s="30" t="s">
        <v>9300</v>
      </c>
      <c r="Z350" s="30"/>
      <c r="AA350" s="30"/>
      <c r="AB350" s="30" t="s">
        <v>9311</v>
      </c>
      <c r="AC350" s="30"/>
      <c r="AD350" s="30"/>
      <c r="AE350" s="30"/>
      <c r="AF350" s="30"/>
      <c r="AG350" s="30"/>
      <c r="AH350" s="30" t="s">
        <v>4714</v>
      </c>
      <c r="AI350" s="30" t="s">
        <v>9433</v>
      </c>
      <c r="AJ350" s="641" t="str">
        <f t="shared" si="10"/>
        <v>333903</v>
      </c>
      <c r="AK350" s="641">
        <v>1</v>
      </c>
      <c r="AL350" s="641">
        <f t="shared" si="11"/>
        <v>1</v>
      </c>
      <c r="AM350" s="641">
        <v>1</v>
      </c>
      <c r="AN350" s="30" t="s">
        <v>17650</v>
      </c>
      <c r="AO350" s="30" t="s">
        <v>17651</v>
      </c>
      <c r="AP350" s="30" t="s">
        <v>17652</v>
      </c>
      <c r="AQ350" s="30" t="s">
        <v>17653</v>
      </c>
      <c r="AR350" s="30" t="s">
        <v>1024</v>
      </c>
      <c r="AS350" s="30">
        <v>1</v>
      </c>
    </row>
    <row r="351" spans="1:45" x14ac:dyDescent="0.25">
      <c r="A351" s="30" t="s">
        <v>26089</v>
      </c>
      <c r="B351" s="30" t="s">
        <v>26686</v>
      </c>
      <c r="C351" s="30" t="s">
        <v>2861</v>
      </c>
      <c r="D351" s="139" t="s">
        <v>26160</v>
      </c>
      <c r="E351" s="30" t="s">
        <v>217</v>
      </c>
      <c r="F351" s="30">
        <v>1</v>
      </c>
      <c r="G351" s="30" t="s">
        <v>193</v>
      </c>
      <c r="H351" s="30" t="s">
        <v>194</v>
      </c>
      <c r="I351" s="30" t="s">
        <v>26143</v>
      </c>
      <c r="J351" s="30" t="s">
        <v>210</v>
      </c>
      <c r="K351" s="30" t="s">
        <v>9309</v>
      </c>
      <c r="L351" s="30" t="s">
        <v>6955</v>
      </c>
      <c r="M351" s="30"/>
      <c r="N351" s="30" t="s">
        <v>26687</v>
      </c>
      <c r="O351" s="30" t="s">
        <v>6921</v>
      </c>
      <c r="P351" s="30" t="s">
        <v>26840</v>
      </c>
      <c r="Q351" s="30" t="s">
        <v>26103</v>
      </c>
      <c r="R351" s="30" t="s">
        <v>26079</v>
      </c>
      <c r="S351" s="30" t="s">
        <v>27204</v>
      </c>
      <c r="T351" s="30" t="s">
        <v>27205</v>
      </c>
      <c r="U351" s="30"/>
      <c r="V351" s="139">
        <v>1863</v>
      </c>
      <c r="W351" s="30" t="s">
        <v>3629</v>
      </c>
      <c r="X351" s="30" t="s">
        <v>194</v>
      </c>
      <c r="Y351" s="30" t="s">
        <v>9300</v>
      </c>
      <c r="Z351" s="30"/>
      <c r="AA351" s="30"/>
      <c r="AB351" s="30" t="s">
        <v>9311</v>
      </c>
      <c r="AC351" s="30"/>
      <c r="AD351" s="30"/>
      <c r="AE351" s="30"/>
      <c r="AF351" s="30"/>
      <c r="AG351" s="30"/>
      <c r="AH351" s="30" t="s">
        <v>4714</v>
      </c>
      <c r="AI351" s="30" t="s">
        <v>9433</v>
      </c>
      <c r="AJ351" s="641" t="str">
        <f t="shared" si="10"/>
        <v>251903</v>
      </c>
      <c r="AK351" s="641">
        <v>1</v>
      </c>
      <c r="AL351" s="641">
        <f t="shared" si="11"/>
        <v>1</v>
      </c>
      <c r="AM351" s="641">
        <v>1</v>
      </c>
      <c r="AN351" s="30" t="s">
        <v>17650</v>
      </c>
      <c r="AO351" s="30" t="s">
        <v>17651</v>
      </c>
      <c r="AP351" s="30" t="s">
        <v>17652</v>
      </c>
      <c r="AQ351" s="30" t="s">
        <v>17653</v>
      </c>
      <c r="AR351" s="30" t="s">
        <v>1024</v>
      </c>
      <c r="AS351" s="30">
        <v>1</v>
      </c>
    </row>
    <row r="352" spans="1:45" x14ac:dyDescent="0.25">
      <c r="A352" s="30" t="s">
        <v>26089</v>
      </c>
      <c r="B352" s="30" t="s">
        <v>1053</v>
      </c>
      <c r="C352" s="30" t="s">
        <v>10</v>
      </c>
      <c r="D352" s="139" t="s">
        <v>26160</v>
      </c>
      <c r="E352" s="30" t="s">
        <v>217</v>
      </c>
      <c r="F352" s="30">
        <v>1</v>
      </c>
      <c r="G352" s="30" t="s">
        <v>193</v>
      </c>
      <c r="H352" s="30" t="s">
        <v>194</v>
      </c>
      <c r="I352" s="30" t="s">
        <v>23198</v>
      </c>
      <c r="J352" s="30" t="s">
        <v>210</v>
      </c>
      <c r="K352" s="30" t="s">
        <v>9309</v>
      </c>
      <c r="L352" s="30" t="s">
        <v>6955</v>
      </c>
      <c r="M352" s="30"/>
      <c r="N352" s="30" t="s">
        <v>26583</v>
      </c>
      <c r="O352" s="30" t="s">
        <v>6261</v>
      </c>
      <c r="P352" s="30" t="s">
        <v>26840</v>
      </c>
      <c r="Q352" s="30" t="s">
        <v>26584</v>
      </c>
      <c r="R352" s="30" t="s">
        <v>26099</v>
      </c>
      <c r="S352" s="30" t="s">
        <v>27206</v>
      </c>
      <c r="T352" s="30" t="s">
        <v>27207</v>
      </c>
      <c r="U352" s="30"/>
      <c r="V352" s="139">
        <v>1863</v>
      </c>
      <c r="W352" s="30" t="s">
        <v>484</v>
      </c>
      <c r="X352" s="30" t="s">
        <v>194</v>
      </c>
      <c r="Y352" s="30" t="s">
        <v>9300</v>
      </c>
      <c r="Z352" s="30"/>
      <c r="AA352" s="30"/>
      <c r="AB352" s="30" t="s">
        <v>9311</v>
      </c>
      <c r="AC352" s="30"/>
      <c r="AD352" s="30"/>
      <c r="AE352" s="30"/>
      <c r="AF352" s="30"/>
      <c r="AG352" s="30"/>
      <c r="AH352" s="30" t="s">
        <v>4714</v>
      </c>
      <c r="AI352" s="30" t="s">
        <v>9433</v>
      </c>
      <c r="AJ352" s="641" t="str">
        <f t="shared" si="10"/>
        <v>251401</v>
      </c>
      <c r="AK352" s="641">
        <v>1</v>
      </c>
      <c r="AL352" s="641">
        <f t="shared" si="11"/>
        <v>1</v>
      </c>
      <c r="AM352" s="641">
        <v>1</v>
      </c>
      <c r="AN352" s="30" t="s">
        <v>17650</v>
      </c>
      <c r="AO352" s="30" t="s">
        <v>17651</v>
      </c>
      <c r="AP352" s="30" t="s">
        <v>17652</v>
      </c>
      <c r="AQ352" s="30" t="s">
        <v>17653</v>
      </c>
      <c r="AR352" s="30" t="s">
        <v>1024</v>
      </c>
      <c r="AS352" s="30">
        <v>1</v>
      </c>
    </row>
    <row r="353" spans="1:45" x14ac:dyDescent="0.25">
      <c r="A353" s="30" t="s">
        <v>581</v>
      </c>
      <c r="B353" s="30" t="s">
        <v>26234</v>
      </c>
      <c r="C353" s="30" t="s">
        <v>122</v>
      </c>
      <c r="D353" s="139" t="s">
        <v>26160</v>
      </c>
      <c r="E353" s="30" t="s">
        <v>217</v>
      </c>
      <c r="F353" s="30">
        <v>1</v>
      </c>
      <c r="G353" s="30" t="s">
        <v>193</v>
      </c>
      <c r="H353" s="30" t="s">
        <v>194</v>
      </c>
      <c r="I353" s="30" t="s">
        <v>26143</v>
      </c>
      <c r="J353" s="30" t="s">
        <v>210</v>
      </c>
      <c r="K353" s="30" t="s">
        <v>9309</v>
      </c>
      <c r="L353" s="30" t="s">
        <v>6955</v>
      </c>
      <c r="M353" s="30"/>
      <c r="N353" s="30" t="s">
        <v>26235</v>
      </c>
      <c r="O353" s="30" t="s">
        <v>6249</v>
      </c>
      <c r="P353" s="30" t="s">
        <v>26840</v>
      </c>
      <c r="Q353" s="30" t="s">
        <v>26086</v>
      </c>
      <c r="R353" s="30" t="s">
        <v>26219</v>
      </c>
      <c r="S353" s="30" t="s">
        <v>27208</v>
      </c>
      <c r="T353" s="30" t="s">
        <v>27209</v>
      </c>
      <c r="U353" s="30"/>
      <c r="V353" s="139">
        <v>1863</v>
      </c>
      <c r="W353" s="30" t="s">
        <v>655</v>
      </c>
      <c r="X353" s="30" t="s">
        <v>194</v>
      </c>
      <c r="Y353" s="30" t="s">
        <v>9300</v>
      </c>
      <c r="Z353" s="30"/>
      <c r="AA353" s="30"/>
      <c r="AB353" s="30" t="s">
        <v>9311</v>
      </c>
      <c r="AC353" s="30"/>
      <c r="AD353" s="30"/>
      <c r="AE353" s="30"/>
      <c r="AF353" s="30"/>
      <c r="AG353" s="30"/>
      <c r="AH353" s="30" t="s">
        <v>4714</v>
      </c>
      <c r="AI353" s="30" t="s">
        <v>9433</v>
      </c>
      <c r="AJ353" s="641" t="str">
        <f t="shared" si="10"/>
        <v>332301</v>
      </c>
      <c r="AK353" s="641">
        <v>1</v>
      </c>
      <c r="AL353" s="641">
        <f t="shared" si="11"/>
        <v>1</v>
      </c>
      <c r="AM353" s="641">
        <v>1</v>
      </c>
      <c r="AN353" s="30" t="s">
        <v>17650</v>
      </c>
      <c r="AO353" s="30" t="s">
        <v>17651</v>
      </c>
      <c r="AP353" s="30" t="s">
        <v>17652</v>
      </c>
      <c r="AQ353" s="30" t="s">
        <v>17653</v>
      </c>
      <c r="AR353" s="30" t="s">
        <v>1024</v>
      </c>
      <c r="AS353" s="30">
        <v>1</v>
      </c>
    </row>
    <row r="354" spans="1:45" x14ac:dyDescent="0.25">
      <c r="A354" s="30" t="s">
        <v>10145</v>
      </c>
      <c r="B354" s="30" t="s">
        <v>10126</v>
      </c>
      <c r="C354" s="30" t="s">
        <v>20</v>
      </c>
      <c r="D354" s="139" t="s">
        <v>26160</v>
      </c>
      <c r="E354" s="30" t="s">
        <v>217</v>
      </c>
      <c r="F354" s="30">
        <v>1</v>
      </c>
      <c r="G354" s="30" t="s">
        <v>193</v>
      </c>
      <c r="H354" s="30" t="s">
        <v>194</v>
      </c>
      <c r="I354" s="30" t="s">
        <v>26148</v>
      </c>
      <c r="J354" s="30" t="s">
        <v>210</v>
      </c>
      <c r="K354" s="30" t="s">
        <v>9309</v>
      </c>
      <c r="L354" s="30" t="s">
        <v>6955</v>
      </c>
      <c r="M354" s="30"/>
      <c r="N354" s="30" t="s">
        <v>26707</v>
      </c>
      <c r="O354" s="30" t="s">
        <v>6249</v>
      </c>
      <c r="P354" s="30" t="s">
        <v>26840</v>
      </c>
      <c r="Q354" s="30" t="s">
        <v>26261</v>
      </c>
      <c r="R354" s="30" t="s">
        <v>26262</v>
      </c>
      <c r="S354" s="30" t="s">
        <v>27210</v>
      </c>
      <c r="T354" s="30" t="s">
        <v>27211</v>
      </c>
      <c r="U354" s="30"/>
      <c r="V354" s="139">
        <v>1863</v>
      </c>
      <c r="W354" s="30" t="s">
        <v>286</v>
      </c>
      <c r="X354" s="30" t="s">
        <v>194</v>
      </c>
      <c r="Y354" s="30" t="s">
        <v>9300</v>
      </c>
      <c r="Z354" s="30"/>
      <c r="AA354" s="30"/>
      <c r="AB354" s="30" t="s">
        <v>9311</v>
      </c>
      <c r="AC354" s="30"/>
      <c r="AD354" s="30"/>
      <c r="AE354" s="30"/>
      <c r="AF354" s="30"/>
      <c r="AG354" s="30"/>
      <c r="AH354" s="30" t="s">
        <v>4714</v>
      </c>
      <c r="AI354" s="30" t="s">
        <v>9433</v>
      </c>
      <c r="AJ354" s="641" t="str">
        <f t="shared" si="10"/>
        <v>214109</v>
      </c>
      <c r="AK354" s="641">
        <v>1</v>
      </c>
      <c r="AL354" s="641">
        <f t="shared" si="11"/>
        <v>1</v>
      </c>
      <c r="AM354" s="641">
        <v>1</v>
      </c>
      <c r="AN354" s="30" t="s">
        <v>17650</v>
      </c>
      <c r="AO354" s="30" t="s">
        <v>17651</v>
      </c>
      <c r="AP354" s="30" t="s">
        <v>17652</v>
      </c>
      <c r="AQ354" s="30" t="s">
        <v>17653</v>
      </c>
      <c r="AR354" s="30" t="s">
        <v>1024</v>
      </c>
      <c r="AS354" s="30">
        <v>1</v>
      </c>
    </row>
    <row r="355" spans="1:45" x14ac:dyDescent="0.25">
      <c r="A355" s="30" t="s">
        <v>716</v>
      </c>
      <c r="B355" s="30" t="s">
        <v>26132</v>
      </c>
      <c r="C355" s="30" t="s">
        <v>24125</v>
      </c>
      <c r="D355" s="139" t="s">
        <v>26160</v>
      </c>
      <c r="E355" s="30" t="s">
        <v>217</v>
      </c>
      <c r="F355" s="30">
        <v>1</v>
      </c>
      <c r="G355" s="30" t="s">
        <v>193</v>
      </c>
      <c r="H355" s="30" t="s">
        <v>194</v>
      </c>
      <c r="I355" s="30" t="s">
        <v>26133</v>
      </c>
      <c r="J355" s="30" t="s">
        <v>210</v>
      </c>
      <c r="K355" s="30" t="s">
        <v>9309</v>
      </c>
      <c r="L355" s="30" t="s">
        <v>6955</v>
      </c>
      <c r="M355" s="30"/>
      <c r="N355" s="30" t="s">
        <v>26298</v>
      </c>
      <c r="O355" s="30" t="s">
        <v>6290</v>
      </c>
      <c r="P355" s="30" t="s">
        <v>26840</v>
      </c>
      <c r="Q355" s="30" t="s">
        <v>26201</v>
      </c>
      <c r="R355" s="30" t="s">
        <v>24556</v>
      </c>
      <c r="S355" s="30" t="s">
        <v>27212</v>
      </c>
      <c r="T355" s="30" t="s">
        <v>27213</v>
      </c>
      <c r="U355" s="30"/>
      <c r="V355" s="139">
        <v>1863</v>
      </c>
      <c r="W355" s="30" t="s">
        <v>24129</v>
      </c>
      <c r="X355" s="30" t="s">
        <v>194</v>
      </c>
      <c r="Y355" s="30" t="s">
        <v>9300</v>
      </c>
      <c r="Z355" s="30"/>
      <c r="AA355" s="30"/>
      <c r="AB355" s="30" t="s">
        <v>9311</v>
      </c>
      <c r="AC355" s="30"/>
      <c r="AD355" s="30"/>
      <c r="AE355" s="30"/>
      <c r="AF355" s="30"/>
      <c r="AG355" s="30"/>
      <c r="AH355" s="30" t="s">
        <v>4714</v>
      </c>
      <c r="AI355" s="30" t="s">
        <v>9433</v>
      </c>
      <c r="AJ355" s="641" t="str">
        <f t="shared" si="10"/>
        <v>351401</v>
      </c>
      <c r="AK355" s="641">
        <v>1</v>
      </c>
      <c r="AL355" s="641">
        <f t="shared" si="11"/>
        <v>1</v>
      </c>
      <c r="AM355" s="641">
        <v>1</v>
      </c>
      <c r="AN355" s="30" t="s">
        <v>17650</v>
      </c>
      <c r="AO355" s="30" t="s">
        <v>17651</v>
      </c>
      <c r="AP355" s="30" t="s">
        <v>17652</v>
      </c>
      <c r="AQ355" s="30" t="s">
        <v>17653</v>
      </c>
      <c r="AR355" s="30" t="s">
        <v>1024</v>
      </c>
      <c r="AS355" s="30">
        <v>1</v>
      </c>
    </row>
    <row r="356" spans="1:45" x14ac:dyDescent="0.25">
      <c r="A356" s="30" t="s">
        <v>10145</v>
      </c>
      <c r="B356" s="30" t="s">
        <v>27078</v>
      </c>
      <c r="C356" s="30" t="s">
        <v>43</v>
      </c>
      <c r="D356" s="139" t="s">
        <v>26160</v>
      </c>
      <c r="E356" s="30" t="s">
        <v>217</v>
      </c>
      <c r="F356" s="30">
        <v>1</v>
      </c>
      <c r="G356" s="30" t="s">
        <v>193</v>
      </c>
      <c r="H356" s="30" t="s">
        <v>194</v>
      </c>
      <c r="I356" s="30" t="s">
        <v>26143</v>
      </c>
      <c r="J356" s="30" t="s">
        <v>26228</v>
      </c>
      <c r="K356" s="30" t="s">
        <v>9309</v>
      </c>
      <c r="L356" s="30" t="s">
        <v>6955</v>
      </c>
      <c r="M356" s="30"/>
      <c r="N356" s="30" t="s">
        <v>27214</v>
      </c>
      <c r="O356" s="30" t="s">
        <v>6343</v>
      </c>
      <c r="P356" s="30" t="s">
        <v>26840</v>
      </c>
      <c r="Q356" s="30" t="s">
        <v>26086</v>
      </c>
      <c r="R356" s="30" t="s">
        <v>26787</v>
      </c>
      <c r="S356" s="30" t="s">
        <v>27215</v>
      </c>
      <c r="T356" s="30" t="s">
        <v>27216</v>
      </c>
      <c r="U356" s="139"/>
      <c r="V356" s="139" t="s">
        <v>28321</v>
      </c>
      <c r="W356" s="30" t="s">
        <v>452</v>
      </c>
      <c r="X356" s="30" t="s">
        <v>193</v>
      </c>
      <c r="Y356" s="30" t="s">
        <v>9310</v>
      </c>
      <c r="Z356" s="30"/>
      <c r="AA356" s="30"/>
      <c r="AB356" s="30" t="s">
        <v>9311</v>
      </c>
      <c r="AC356" s="30"/>
      <c r="AD356" s="30"/>
      <c r="AE356" s="30"/>
      <c r="AF356" s="30"/>
      <c r="AG356" s="30"/>
      <c r="AH356" s="30" t="s">
        <v>4714</v>
      </c>
      <c r="AI356" s="30" t="s">
        <v>9433</v>
      </c>
      <c r="AJ356" s="641" t="str">
        <f t="shared" si="10"/>
        <v>243106</v>
      </c>
      <c r="AK356" s="641">
        <v>1</v>
      </c>
      <c r="AL356" s="641">
        <f t="shared" si="11"/>
        <v>1</v>
      </c>
      <c r="AM356" s="641">
        <v>1</v>
      </c>
      <c r="AN356" s="30" t="s">
        <v>17650</v>
      </c>
      <c r="AO356" s="30" t="s">
        <v>17651</v>
      </c>
      <c r="AP356" s="30" t="s">
        <v>17652</v>
      </c>
      <c r="AQ356" s="30" t="s">
        <v>17653</v>
      </c>
      <c r="AR356" s="30" t="s">
        <v>1024</v>
      </c>
      <c r="AS356" s="30">
        <v>1</v>
      </c>
    </row>
    <row r="357" spans="1:45" x14ac:dyDescent="0.25">
      <c r="A357" s="30" t="s">
        <v>26198</v>
      </c>
      <c r="B357" s="30" t="s">
        <v>26199</v>
      </c>
      <c r="C357" s="30" t="s">
        <v>11493</v>
      </c>
      <c r="D357" s="139" t="s">
        <v>26160</v>
      </c>
      <c r="E357" s="30" t="s">
        <v>217</v>
      </c>
      <c r="F357" s="30">
        <v>1</v>
      </c>
      <c r="G357" s="30" t="s">
        <v>193</v>
      </c>
      <c r="H357" s="30" t="s">
        <v>194</v>
      </c>
      <c r="I357" s="30" t="s">
        <v>26133</v>
      </c>
      <c r="J357" s="30" t="s">
        <v>316</v>
      </c>
      <c r="K357" s="30" t="s">
        <v>9309</v>
      </c>
      <c r="L357" s="30" t="s">
        <v>6955</v>
      </c>
      <c r="M357" s="30"/>
      <c r="N357" s="30" t="s">
        <v>27217</v>
      </c>
      <c r="O357" s="30" t="s">
        <v>6256</v>
      </c>
      <c r="P357" s="30" t="s">
        <v>26840</v>
      </c>
      <c r="Q357" s="30" t="s">
        <v>26881</v>
      </c>
      <c r="R357" s="30" t="s">
        <v>26882</v>
      </c>
      <c r="S357" s="30" t="s">
        <v>27218</v>
      </c>
      <c r="T357" s="30">
        <v>49438913</v>
      </c>
      <c r="U357" s="30"/>
      <c r="V357" s="139" t="s">
        <v>10012</v>
      </c>
      <c r="W357" s="30" t="s">
        <v>11497</v>
      </c>
      <c r="X357" s="30" t="s">
        <v>194</v>
      </c>
      <c r="Y357" s="30" t="s">
        <v>9300</v>
      </c>
      <c r="Z357" s="30"/>
      <c r="AA357" s="30"/>
      <c r="AB357" s="30" t="s">
        <v>9311</v>
      </c>
      <c r="AC357" s="30"/>
      <c r="AD357" s="30"/>
      <c r="AE357" s="30"/>
      <c r="AF357" s="30"/>
      <c r="AG357" s="30"/>
      <c r="AH357" s="30" t="s">
        <v>4714</v>
      </c>
      <c r="AI357" s="30" t="s">
        <v>9433</v>
      </c>
      <c r="AJ357" s="641" t="str">
        <f t="shared" si="10"/>
        <v>214306</v>
      </c>
      <c r="AK357" s="641">
        <v>1</v>
      </c>
      <c r="AL357" s="641">
        <f t="shared" si="11"/>
        <v>1</v>
      </c>
      <c r="AM357" s="641">
        <v>1</v>
      </c>
      <c r="AN357" s="30" t="s">
        <v>17650</v>
      </c>
      <c r="AO357" s="30" t="s">
        <v>17651</v>
      </c>
      <c r="AP357" s="30" t="s">
        <v>17652</v>
      </c>
      <c r="AQ357" s="30" t="s">
        <v>17653</v>
      </c>
      <c r="AR357" s="30" t="s">
        <v>1024</v>
      </c>
      <c r="AS357" s="30">
        <v>1</v>
      </c>
    </row>
    <row r="358" spans="1:45" x14ac:dyDescent="0.25">
      <c r="A358" s="30" t="s">
        <v>26153</v>
      </c>
      <c r="B358" s="30" t="s">
        <v>496</v>
      </c>
      <c r="C358" s="30" t="s">
        <v>10</v>
      </c>
      <c r="D358" s="139" t="s">
        <v>26160</v>
      </c>
      <c r="E358" s="30" t="s">
        <v>217</v>
      </c>
      <c r="F358" s="30">
        <v>1</v>
      </c>
      <c r="G358" s="30" t="s">
        <v>193</v>
      </c>
      <c r="H358" s="30" t="s">
        <v>194</v>
      </c>
      <c r="I358" s="30" t="s">
        <v>26143</v>
      </c>
      <c r="J358" s="30" t="s">
        <v>210</v>
      </c>
      <c r="K358" s="30" t="s">
        <v>9309</v>
      </c>
      <c r="L358" s="30" t="s">
        <v>6955</v>
      </c>
      <c r="M358" s="30"/>
      <c r="N358" s="30" t="s">
        <v>26639</v>
      </c>
      <c r="O358" s="30" t="s">
        <v>6269</v>
      </c>
      <c r="P358" s="30" t="s">
        <v>26840</v>
      </c>
      <c r="Q358" s="30" t="s">
        <v>26201</v>
      </c>
      <c r="R358" s="30" t="s">
        <v>24556</v>
      </c>
      <c r="S358" s="30" t="s">
        <v>27219</v>
      </c>
      <c r="T358" s="30" t="s">
        <v>27220</v>
      </c>
      <c r="U358" s="30"/>
      <c r="V358" s="139" t="s">
        <v>9334</v>
      </c>
      <c r="W358" s="30" t="s">
        <v>484</v>
      </c>
      <c r="X358" s="30" t="s">
        <v>194</v>
      </c>
      <c r="Y358" s="30" t="s">
        <v>9300</v>
      </c>
      <c r="Z358" s="30"/>
      <c r="AA358" s="30"/>
      <c r="AB358" s="30" t="s">
        <v>9311</v>
      </c>
      <c r="AC358" s="30"/>
      <c r="AD358" s="30"/>
      <c r="AE358" s="30"/>
      <c r="AF358" s="30"/>
      <c r="AG358" s="30"/>
      <c r="AH358" s="30" t="s">
        <v>4714</v>
      </c>
      <c r="AI358" s="30" t="s">
        <v>9433</v>
      </c>
      <c r="AJ358" s="641" t="str">
        <f t="shared" si="10"/>
        <v>251401</v>
      </c>
      <c r="AK358" s="641">
        <v>1</v>
      </c>
      <c r="AL358" s="641">
        <f t="shared" si="11"/>
        <v>1</v>
      </c>
      <c r="AM358" s="641">
        <v>1</v>
      </c>
      <c r="AN358" s="30" t="s">
        <v>17650</v>
      </c>
      <c r="AO358" s="30" t="s">
        <v>17651</v>
      </c>
      <c r="AP358" s="30" t="s">
        <v>17652</v>
      </c>
      <c r="AQ358" s="30" t="s">
        <v>17653</v>
      </c>
      <c r="AR358" s="30" t="s">
        <v>1024</v>
      </c>
      <c r="AS358" s="30">
        <v>1</v>
      </c>
    </row>
    <row r="359" spans="1:45" x14ac:dyDescent="0.25">
      <c r="A359" s="30" t="s">
        <v>3946</v>
      </c>
      <c r="B359" s="30" t="s">
        <v>26712</v>
      </c>
      <c r="C359" s="30" t="s">
        <v>740</v>
      </c>
      <c r="D359" s="139" t="s">
        <v>26160</v>
      </c>
      <c r="E359" s="30" t="s">
        <v>217</v>
      </c>
      <c r="F359" s="30">
        <v>1</v>
      </c>
      <c r="G359" s="30" t="s">
        <v>193</v>
      </c>
      <c r="H359" s="30" t="s">
        <v>194</v>
      </c>
      <c r="I359" s="30" t="s">
        <v>26143</v>
      </c>
      <c r="J359" s="30" t="s">
        <v>305</v>
      </c>
      <c r="K359" s="30" t="s">
        <v>9309</v>
      </c>
      <c r="L359" s="30" t="s">
        <v>6955</v>
      </c>
      <c r="M359" s="30"/>
      <c r="N359" s="30" t="s">
        <v>26713</v>
      </c>
      <c r="O359" s="30" t="s">
        <v>6249</v>
      </c>
      <c r="P359" s="30" t="s">
        <v>26840</v>
      </c>
      <c r="Q359" s="30" t="s">
        <v>26092</v>
      </c>
      <c r="R359" s="30" t="s">
        <v>26093</v>
      </c>
      <c r="S359" s="30" t="s">
        <v>27221</v>
      </c>
      <c r="T359" s="30" t="s">
        <v>27222</v>
      </c>
      <c r="U359" s="30"/>
      <c r="V359" s="139" t="s">
        <v>9753</v>
      </c>
      <c r="W359" s="30" t="s">
        <v>741</v>
      </c>
      <c r="X359" s="30" t="s">
        <v>194</v>
      </c>
      <c r="Y359" s="30" t="s">
        <v>9300</v>
      </c>
      <c r="Z359" s="30"/>
      <c r="AA359" s="30"/>
      <c r="AB359" s="30" t="s">
        <v>9311</v>
      </c>
      <c r="AC359" s="30"/>
      <c r="AD359" s="30"/>
      <c r="AE359" s="30"/>
      <c r="AF359" s="30"/>
      <c r="AG359" s="30"/>
      <c r="AH359" s="30" t="s">
        <v>5109</v>
      </c>
      <c r="AI359" s="30" t="s">
        <v>9433</v>
      </c>
      <c r="AJ359" s="641" t="str">
        <f t="shared" si="10"/>
        <v>522301</v>
      </c>
      <c r="AK359" s="641">
        <v>1</v>
      </c>
      <c r="AL359" s="641">
        <f t="shared" si="11"/>
        <v>1</v>
      </c>
      <c r="AM359" s="641">
        <v>1</v>
      </c>
      <c r="AN359" s="30" t="s">
        <v>17650</v>
      </c>
      <c r="AO359" s="30" t="s">
        <v>17651</v>
      </c>
      <c r="AP359" s="30" t="s">
        <v>17652</v>
      </c>
      <c r="AQ359" s="30" t="s">
        <v>17653</v>
      </c>
      <c r="AR359" s="30" t="s">
        <v>1024</v>
      </c>
      <c r="AS359" s="30">
        <v>1</v>
      </c>
    </row>
    <row r="360" spans="1:45" x14ac:dyDescent="0.25">
      <c r="A360" s="30" t="s">
        <v>26089</v>
      </c>
      <c r="B360" s="30" t="s">
        <v>26459</v>
      </c>
      <c r="C360" s="30" t="s">
        <v>8740</v>
      </c>
      <c r="D360" s="139" t="s">
        <v>26160</v>
      </c>
      <c r="E360" s="30" t="s">
        <v>217</v>
      </c>
      <c r="F360" s="30">
        <v>1</v>
      </c>
      <c r="G360" s="30" t="s">
        <v>193</v>
      </c>
      <c r="H360" s="30" t="s">
        <v>194</v>
      </c>
      <c r="I360" s="30" t="s">
        <v>26148</v>
      </c>
      <c r="J360" s="30" t="s">
        <v>210</v>
      </c>
      <c r="K360" s="30" t="s">
        <v>9309</v>
      </c>
      <c r="L360" s="30" t="s">
        <v>6955</v>
      </c>
      <c r="M360" s="30"/>
      <c r="N360" s="30" t="s">
        <v>26460</v>
      </c>
      <c r="O360" s="30" t="s">
        <v>6261</v>
      </c>
      <c r="P360" s="30" t="s">
        <v>26840</v>
      </c>
      <c r="Q360" s="30" t="s">
        <v>26261</v>
      </c>
      <c r="R360" s="30" t="s">
        <v>26262</v>
      </c>
      <c r="S360" s="30" t="s">
        <v>27223</v>
      </c>
      <c r="T360" s="30" t="s">
        <v>27224</v>
      </c>
      <c r="U360" s="30"/>
      <c r="V360" s="139" t="s">
        <v>9334</v>
      </c>
      <c r="W360" s="30" t="s">
        <v>8742</v>
      </c>
      <c r="X360" s="30" t="s">
        <v>194</v>
      </c>
      <c r="Y360" s="30" t="s">
        <v>9300</v>
      </c>
      <c r="Z360" s="30"/>
      <c r="AA360" s="30"/>
      <c r="AB360" s="30" t="s">
        <v>9311</v>
      </c>
      <c r="AC360" s="30"/>
      <c r="AD360" s="30"/>
      <c r="AE360" s="30"/>
      <c r="AF360" s="30"/>
      <c r="AG360" s="30"/>
      <c r="AH360" s="30" t="s">
        <v>4714</v>
      </c>
      <c r="AI360" s="30" t="s">
        <v>9433</v>
      </c>
      <c r="AJ360" s="641" t="str">
        <f t="shared" si="10"/>
        <v>251490</v>
      </c>
      <c r="AK360" s="641">
        <v>1</v>
      </c>
      <c r="AL360" s="641">
        <f t="shared" si="11"/>
        <v>1</v>
      </c>
      <c r="AM360" s="641">
        <v>1</v>
      </c>
      <c r="AN360" s="30" t="s">
        <v>17650</v>
      </c>
      <c r="AO360" s="30" t="s">
        <v>17651</v>
      </c>
      <c r="AP360" s="30" t="s">
        <v>17652</v>
      </c>
      <c r="AQ360" s="30" t="s">
        <v>17653</v>
      </c>
      <c r="AR360" s="30" t="s">
        <v>1024</v>
      </c>
      <c r="AS360" s="30">
        <v>1</v>
      </c>
    </row>
    <row r="361" spans="1:45" x14ac:dyDescent="0.25">
      <c r="A361" s="30" t="s">
        <v>26153</v>
      </c>
      <c r="B361" s="30" t="s">
        <v>26674</v>
      </c>
      <c r="C361" s="30" t="s">
        <v>10</v>
      </c>
      <c r="D361" s="139" t="s">
        <v>26160</v>
      </c>
      <c r="E361" s="30" t="s">
        <v>217</v>
      </c>
      <c r="F361" s="30">
        <v>1</v>
      </c>
      <c r="G361" s="30" t="s">
        <v>193</v>
      </c>
      <c r="H361" s="30" t="s">
        <v>194</v>
      </c>
      <c r="I361" s="30" t="s">
        <v>23198</v>
      </c>
      <c r="J361" s="30" t="s">
        <v>210</v>
      </c>
      <c r="K361" s="30" t="s">
        <v>9309</v>
      </c>
      <c r="L361" s="30" t="s">
        <v>6955</v>
      </c>
      <c r="M361" s="30"/>
      <c r="N361" s="30" t="s">
        <v>26675</v>
      </c>
      <c r="O361" s="30" t="s">
        <v>6261</v>
      </c>
      <c r="P361" s="30" t="s">
        <v>26840</v>
      </c>
      <c r="Q361" s="30" t="s">
        <v>26584</v>
      </c>
      <c r="R361" s="30" t="s">
        <v>26099</v>
      </c>
      <c r="S361" s="30" t="s">
        <v>27225</v>
      </c>
      <c r="T361" s="30" t="s">
        <v>27226</v>
      </c>
      <c r="U361" s="30"/>
      <c r="V361" s="139" t="s">
        <v>9334</v>
      </c>
      <c r="W361" s="30" t="s">
        <v>484</v>
      </c>
      <c r="X361" s="30" t="s">
        <v>194</v>
      </c>
      <c r="Y361" s="30" t="s">
        <v>9300</v>
      </c>
      <c r="Z361" s="30"/>
      <c r="AA361" s="30"/>
      <c r="AB361" s="30" t="s">
        <v>9311</v>
      </c>
      <c r="AC361" s="30"/>
      <c r="AD361" s="30"/>
      <c r="AE361" s="30"/>
      <c r="AF361" s="30"/>
      <c r="AG361" s="30"/>
      <c r="AH361" s="30" t="s">
        <v>4714</v>
      </c>
      <c r="AI361" s="30" t="s">
        <v>9433</v>
      </c>
      <c r="AJ361" s="641" t="str">
        <f t="shared" si="10"/>
        <v>251401</v>
      </c>
      <c r="AK361" s="641">
        <v>1</v>
      </c>
      <c r="AL361" s="641">
        <f t="shared" si="11"/>
        <v>1</v>
      </c>
      <c r="AM361" s="641">
        <v>1</v>
      </c>
      <c r="AN361" s="30" t="s">
        <v>17650</v>
      </c>
      <c r="AO361" s="30" t="s">
        <v>17651</v>
      </c>
      <c r="AP361" s="30" t="s">
        <v>17652</v>
      </c>
      <c r="AQ361" s="30" t="s">
        <v>17653</v>
      </c>
      <c r="AR361" s="30" t="s">
        <v>1024</v>
      </c>
      <c r="AS361" s="30">
        <v>1</v>
      </c>
    </row>
    <row r="362" spans="1:45" x14ac:dyDescent="0.25">
      <c r="A362" s="30" t="s">
        <v>26089</v>
      </c>
      <c r="B362" s="30" t="s">
        <v>24788</v>
      </c>
      <c r="C362" s="30" t="s">
        <v>10</v>
      </c>
      <c r="D362" s="139" t="s">
        <v>26160</v>
      </c>
      <c r="E362" s="30" t="s">
        <v>217</v>
      </c>
      <c r="F362" s="30">
        <v>1</v>
      </c>
      <c r="G362" s="30" t="s">
        <v>193</v>
      </c>
      <c r="H362" s="30" t="s">
        <v>194</v>
      </c>
      <c r="I362" s="30" t="s">
        <v>26143</v>
      </c>
      <c r="J362" s="30" t="s">
        <v>210</v>
      </c>
      <c r="K362" s="30" t="s">
        <v>9309</v>
      </c>
      <c r="L362" s="30" t="s">
        <v>6955</v>
      </c>
      <c r="M362" s="30"/>
      <c r="N362" s="30" t="s">
        <v>26331</v>
      </c>
      <c r="O362" s="30" t="s">
        <v>6261</v>
      </c>
      <c r="P362" s="30" t="s">
        <v>26840</v>
      </c>
      <c r="Q362" s="30" t="s">
        <v>26241</v>
      </c>
      <c r="R362" s="30" t="s">
        <v>26242</v>
      </c>
      <c r="S362" s="30" t="s">
        <v>27227</v>
      </c>
      <c r="T362" s="30" t="s">
        <v>27228</v>
      </c>
      <c r="U362" s="30"/>
      <c r="V362" s="139" t="s">
        <v>9334</v>
      </c>
      <c r="W362" s="30" t="s">
        <v>484</v>
      </c>
      <c r="X362" s="30" t="s">
        <v>194</v>
      </c>
      <c r="Y362" s="30" t="s">
        <v>9300</v>
      </c>
      <c r="Z362" s="30"/>
      <c r="AA362" s="30"/>
      <c r="AB362" s="30" t="s">
        <v>9311</v>
      </c>
      <c r="AC362" s="30"/>
      <c r="AD362" s="30"/>
      <c r="AE362" s="30"/>
      <c r="AF362" s="30"/>
      <c r="AG362" s="30"/>
      <c r="AH362" s="30" t="s">
        <v>4714</v>
      </c>
      <c r="AI362" s="30" t="s">
        <v>9433</v>
      </c>
      <c r="AJ362" s="641" t="str">
        <f t="shared" si="10"/>
        <v>251401</v>
      </c>
      <c r="AK362" s="641">
        <v>1</v>
      </c>
      <c r="AL362" s="641">
        <f t="shared" si="11"/>
        <v>1</v>
      </c>
      <c r="AM362" s="641">
        <v>1</v>
      </c>
      <c r="AN362" s="30" t="s">
        <v>17650</v>
      </c>
      <c r="AO362" s="30" t="s">
        <v>17651</v>
      </c>
      <c r="AP362" s="30" t="s">
        <v>17652</v>
      </c>
      <c r="AQ362" s="30" t="s">
        <v>17653</v>
      </c>
      <c r="AR362" s="30" t="s">
        <v>1024</v>
      </c>
      <c r="AS362" s="30">
        <v>1</v>
      </c>
    </row>
    <row r="363" spans="1:45" x14ac:dyDescent="0.25">
      <c r="A363" s="30" t="s">
        <v>716</v>
      </c>
      <c r="B363" s="30" t="s">
        <v>26282</v>
      </c>
      <c r="C363" s="30" t="s">
        <v>3219</v>
      </c>
      <c r="D363" s="139" t="s">
        <v>26160</v>
      </c>
      <c r="E363" s="30" t="s">
        <v>217</v>
      </c>
      <c r="F363" s="30">
        <v>1</v>
      </c>
      <c r="G363" s="30" t="s">
        <v>193</v>
      </c>
      <c r="H363" s="30" t="s">
        <v>194</v>
      </c>
      <c r="I363" s="30" t="s">
        <v>26143</v>
      </c>
      <c r="J363" s="30" t="s">
        <v>210</v>
      </c>
      <c r="K363" s="30" t="s">
        <v>9309</v>
      </c>
      <c r="L363" s="30" t="s">
        <v>6955</v>
      </c>
      <c r="M363" s="30"/>
      <c r="N363" s="30" t="s">
        <v>26452</v>
      </c>
      <c r="O363" s="30" t="s">
        <v>6290</v>
      </c>
      <c r="P363" s="30" t="s">
        <v>26840</v>
      </c>
      <c r="Q363" s="30" t="s">
        <v>26085</v>
      </c>
      <c r="R363" s="30" t="s">
        <v>26057</v>
      </c>
      <c r="S363" s="30" t="s">
        <v>27229</v>
      </c>
      <c r="T363" s="30" t="s">
        <v>27230</v>
      </c>
      <c r="U363" s="30"/>
      <c r="V363" s="139" t="s">
        <v>9334</v>
      </c>
      <c r="W363" s="30" t="s">
        <v>3620</v>
      </c>
      <c r="X363" s="30" t="s">
        <v>194</v>
      </c>
      <c r="Y363" s="30" t="s">
        <v>9300</v>
      </c>
      <c r="Z363" s="30"/>
      <c r="AA363" s="30"/>
      <c r="AB363" s="30" t="s">
        <v>9311</v>
      </c>
      <c r="AC363" s="30"/>
      <c r="AD363" s="30"/>
      <c r="AE363" s="30"/>
      <c r="AF363" s="30"/>
      <c r="AG363" s="30"/>
      <c r="AH363" s="30" t="s">
        <v>4714</v>
      </c>
      <c r="AI363" s="30" t="s">
        <v>9433</v>
      </c>
      <c r="AJ363" s="641" t="str">
        <f t="shared" si="10"/>
        <v>243109</v>
      </c>
      <c r="AK363" s="641">
        <v>1</v>
      </c>
      <c r="AL363" s="641">
        <f t="shared" si="11"/>
        <v>1</v>
      </c>
      <c r="AM363" s="641">
        <v>1</v>
      </c>
      <c r="AN363" s="30" t="s">
        <v>17650</v>
      </c>
      <c r="AO363" s="30" t="s">
        <v>17651</v>
      </c>
      <c r="AP363" s="30" t="s">
        <v>17652</v>
      </c>
      <c r="AQ363" s="30" t="s">
        <v>17653</v>
      </c>
      <c r="AR363" s="30" t="s">
        <v>1024</v>
      </c>
      <c r="AS363" s="30">
        <v>1</v>
      </c>
    </row>
    <row r="364" spans="1:45" x14ac:dyDescent="0.25">
      <c r="A364" s="30" t="s">
        <v>581</v>
      </c>
      <c r="B364" s="30" t="s">
        <v>23353</v>
      </c>
      <c r="C364" s="30" t="s">
        <v>554</v>
      </c>
      <c r="D364" s="139" t="s">
        <v>26160</v>
      </c>
      <c r="E364" s="30" t="s">
        <v>217</v>
      </c>
      <c r="F364" s="30">
        <v>1</v>
      </c>
      <c r="G364" s="30" t="s">
        <v>193</v>
      </c>
      <c r="H364" s="30" t="s">
        <v>194</v>
      </c>
      <c r="I364" s="30" t="s">
        <v>26148</v>
      </c>
      <c r="J364" s="30" t="s">
        <v>253</v>
      </c>
      <c r="K364" s="30" t="s">
        <v>9309</v>
      </c>
      <c r="L364" s="30" t="s">
        <v>6955</v>
      </c>
      <c r="M364" s="30"/>
      <c r="N364" s="30" t="s">
        <v>27231</v>
      </c>
      <c r="O364" s="30" t="s">
        <v>6258</v>
      </c>
      <c r="P364" s="30" t="s">
        <v>26840</v>
      </c>
      <c r="Q364" s="30" t="s">
        <v>26052</v>
      </c>
      <c r="R364" s="30" t="s">
        <v>26262</v>
      </c>
      <c r="S364" s="30" t="s">
        <v>27232</v>
      </c>
      <c r="T364" s="30" t="s">
        <v>27233</v>
      </c>
      <c r="U364" s="30"/>
      <c r="V364" s="139" t="s">
        <v>9468</v>
      </c>
      <c r="W364" s="30" t="s">
        <v>555</v>
      </c>
      <c r="X364" s="30" t="s">
        <v>194</v>
      </c>
      <c r="Y364" s="30" t="s">
        <v>9300</v>
      </c>
      <c r="Z364" s="30"/>
      <c r="AA364" s="30"/>
      <c r="AB364" s="30" t="s">
        <v>9311</v>
      </c>
      <c r="AC364" s="30"/>
      <c r="AD364" s="30"/>
      <c r="AE364" s="30"/>
      <c r="AF364" s="30"/>
      <c r="AG364" s="30"/>
      <c r="AH364" s="30" t="s">
        <v>4714</v>
      </c>
      <c r="AI364" s="30" t="s">
        <v>9433</v>
      </c>
      <c r="AJ364" s="641" t="str">
        <f t="shared" si="10"/>
        <v>311303</v>
      </c>
      <c r="AK364" s="641">
        <v>1</v>
      </c>
      <c r="AL364" s="641">
        <f t="shared" si="11"/>
        <v>1</v>
      </c>
      <c r="AM364" s="641">
        <v>1</v>
      </c>
      <c r="AN364" s="30" t="s">
        <v>17650</v>
      </c>
      <c r="AO364" s="30" t="s">
        <v>17651</v>
      </c>
      <c r="AP364" s="30" t="s">
        <v>17652</v>
      </c>
      <c r="AQ364" s="30" t="s">
        <v>17653</v>
      </c>
      <c r="AR364" s="30" t="s">
        <v>1024</v>
      </c>
      <c r="AS364" s="30">
        <v>1</v>
      </c>
    </row>
    <row r="365" spans="1:45" x14ac:dyDescent="0.25">
      <c r="A365" s="30" t="s">
        <v>26089</v>
      </c>
      <c r="B365" s="30" t="s">
        <v>12181</v>
      </c>
      <c r="C365" s="30" t="s">
        <v>10</v>
      </c>
      <c r="D365" s="139" t="s">
        <v>26160</v>
      </c>
      <c r="E365" s="30" t="s">
        <v>217</v>
      </c>
      <c r="F365" s="30">
        <v>1</v>
      </c>
      <c r="G365" s="30" t="s">
        <v>193</v>
      </c>
      <c r="H365" s="30" t="s">
        <v>194</v>
      </c>
      <c r="I365" s="30" t="s">
        <v>26143</v>
      </c>
      <c r="J365" s="30" t="s">
        <v>210</v>
      </c>
      <c r="K365" s="30" t="s">
        <v>9309</v>
      </c>
      <c r="L365" s="30" t="s">
        <v>6955</v>
      </c>
      <c r="M365" s="30"/>
      <c r="N365" s="30" t="s">
        <v>26373</v>
      </c>
      <c r="O365" s="30" t="s">
        <v>6261</v>
      </c>
      <c r="P365" s="30" t="s">
        <v>26840</v>
      </c>
      <c r="Q365" s="30" t="s">
        <v>26374</v>
      </c>
      <c r="R365" s="30" t="s">
        <v>26375</v>
      </c>
      <c r="S365" s="30" t="s">
        <v>27234</v>
      </c>
      <c r="T365" s="30" t="s">
        <v>27235</v>
      </c>
      <c r="U365" s="30"/>
      <c r="V365" s="139" t="s">
        <v>9334</v>
      </c>
      <c r="W365" s="30" t="s">
        <v>484</v>
      </c>
      <c r="X365" s="30" t="s">
        <v>194</v>
      </c>
      <c r="Y365" s="30" t="s">
        <v>9300</v>
      </c>
      <c r="Z365" s="30"/>
      <c r="AA365" s="30"/>
      <c r="AB365" s="30" t="s">
        <v>9311</v>
      </c>
      <c r="AC365" s="30"/>
      <c r="AD365" s="30"/>
      <c r="AE365" s="30"/>
      <c r="AF365" s="30"/>
      <c r="AG365" s="30"/>
      <c r="AH365" s="30" t="s">
        <v>4714</v>
      </c>
      <c r="AI365" s="30" t="s">
        <v>9433</v>
      </c>
      <c r="AJ365" s="641" t="str">
        <f t="shared" si="10"/>
        <v>251401</v>
      </c>
      <c r="AK365" s="641">
        <v>1</v>
      </c>
      <c r="AL365" s="641">
        <f t="shared" si="11"/>
        <v>1</v>
      </c>
      <c r="AM365" s="641">
        <v>1</v>
      </c>
      <c r="AN365" s="30" t="s">
        <v>17650</v>
      </c>
      <c r="AO365" s="30" t="s">
        <v>17651</v>
      </c>
      <c r="AP365" s="30" t="s">
        <v>17652</v>
      </c>
      <c r="AQ365" s="30" t="s">
        <v>17653</v>
      </c>
      <c r="AR365" s="30" t="s">
        <v>1024</v>
      </c>
      <c r="AS365" s="30">
        <v>1</v>
      </c>
    </row>
    <row r="366" spans="1:45" x14ac:dyDescent="0.25">
      <c r="A366" s="30" t="s">
        <v>26089</v>
      </c>
      <c r="B366" s="30" t="s">
        <v>26773</v>
      </c>
      <c r="C366" s="30" t="s">
        <v>10</v>
      </c>
      <c r="D366" s="139" t="s">
        <v>26160</v>
      </c>
      <c r="E366" s="30" t="s">
        <v>217</v>
      </c>
      <c r="F366" s="30">
        <v>1</v>
      </c>
      <c r="G366" s="30" t="s">
        <v>193</v>
      </c>
      <c r="H366" s="30" t="s">
        <v>194</v>
      </c>
      <c r="I366" s="30" t="s">
        <v>26148</v>
      </c>
      <c r="J366" s="30" t="s">
        <v>210</v>
      </c>
      <c r="K366" s="30" t="s">
        <v>9309</v>
      </c>
      <c r="L366" s="30" t="s">
        <v>6955</v>
      </c>
      <c r="M366" s="30"/>
      <c r="N366" s="30" t="s">
        <v>26774</v>
      </c>
      <c r="O366" s="30" t="s">
        <v>6261</v>
      </c>
      <c r="P366" s="30" t="s">
        <v>27236</v>
      </c>
      <c r="Q366" s="30" t="s">
        <v>26189</v>
      </c>
      <c r="R366" s="30" t="s">
        <v>26190</v>
      </c>
      <c r="S366" s="30" t="s">
        <v>27237</v>
      </c>
      <c r="T366" s="30" t="s">
        <v>27238</v>
      </c>
      <c r="U366" s="30"/>
      <c r="V366" s="139" t="s">
        <v>9334</v>
      </c>
      <c r="W366" s="30" t="s">
        <v>484</v>
      </c>
      <c r="X366" s="30" t="s">
        <v>194</v>
      </c>
      <c r="Y366" s="30" t="s">
        <v>9300</v>
      </c>
      <c r="Z366" s="30"/>
      <c r="AA366" s="30"/>
      <c r="AB366" s="30" t="s">
        <v>9311</v>
      </c>
      <c r="AC366" s="30"/>
      <c r="AD366" s="30"/>
      <c r="AE366" s="30"/>
      <c r="AF366" s="30"/>
      <c r="AG366" s="30"/>
      <c r="AH366" s="30" t="s">
        <v>4714</v>
      </c>
      <c r="AI366" s="30" t="s">
        <v>9433</v>
      </c>
      <c r="AJ366" s="641" t="str">
        <f t="shared" si="10"/>
        <v>251401</v>
      </c>
      <c r="AK366" s="641">
        <v>1</v>
      </c>
      <c r="AL366" s="641">
        <f t="shared" si="11"/>
        <v>1</v>
      </c>
      <c r="AM366" s="641">
        <v>1</v>
      </c>
      <c r="AN366" s="30" t="s">
        <v>17650</v>
      </c>
      <c r="AO366" s="30" t="s">
        <v>17651</v>
      </c>
      <c r="AP366" s="30" t="s">
        <v>17652</v>
      </c>
      <c r="AQ366" s="30" t="s">
        <v>17653</v>
      </c>
      <c r="AR366" s="30" t="s">
        <v>1024</v>
      </c>
      <c r="AS366" s="30">
        <v>1</v>
      </c>
    </row>
    <row r="367" spans="1:45" x14ac:dyDescent="0.25">
      <c r="A367" s="30" t="s">
        <v>26089</v>
      </c>
      <c r="B367" s="30" t="s">
        <v>26268</v>
      </c>
      <c r="C367" s="30" t="s">
        <v>8740</v>
      </c>
      <c r="D367" s="139" t="s">
        <v>26160</v>
      </c>
      <c r="E367" s="30" t="s">
        <v>217</v>
      </c>
      <c r="F367" s="30">
        <v>1</v>
      </c>
      <c r="G367" s="30" t="s">
        <v>193</v>
      </c>
      <c r="H367" s="30" t="s">
        <v>194</v>
      </c>
      <c r="I367" s="30" t="s">
        <v>26148</v>
      </c>
      <c r="J367" s="30" t="s">
        <v>210</v>
      </c>
      <c r="K367" s="30" t="s">
        <v>9309</v>
      </c>
      <c r="L367" s="30" t="s">
        <v>6955</v>
      </c>
      <c r="M367" s="30"/>
      <c r="N367" s="30" t="s">
        <v>26269</v>
      </c>
      <c r="O367" s="30" t="s">
        <v>6261</v>
      </c>
      <c r="P367" s="30" t="s">
        <v>27236</v>
      </c>
      <c r="Q367" s="30" t="s">
        <v>26150</v>
      </c>
      <c r="R367" s="30" t="s">
        <v>23804</v>
      </c>
      <c r="S367" s="30" t="s">
        <v>27239</v>
      </c>
      <c r="T367" s="30" t="s">
        <v>27240</v>
      </c>
      <c r="U367" s="30"/>
      <c r="V367" s="139" t="s">
        <v>9334</v>
      </c>
      <c r="W367" s="30" t="s">
        <v>8742</v>
      </c>
      <c r="X367" s="30" t="s">
        <v>194</v>
      </c>
      <c r="Y367" s="30" t="s">
        <v>9300</v>
      </c>
      <c r="Z367" s="30"/>
      <c r="AA367" s="30"/>
      <c r="AB367" s="30" t="s">
        <v>9311</v>
      </c>
      <c r="AC367" s="30"/>
      <c r="AD367" s="30"/>
      <c r="AE367" s="30"/>
      <c r="AF367" s="30"/>
      <c r="AG367" s="30"/>
      <c r="AH367" s="30" t="s">
        <v>4714</v>
      </c>
      <c r="AI367" s="30" t="s">
        <v>9433</v>
      </c>
      <c r="AJ367" s="641" t="str">
        <f t="shared" si="10"/>
        <v>251490</v>
      </c>
      <c r="AK367" s="641">
        <v>1</v>
      </c>
      <c r="AL367" s="641">
        <f t="shared" si="11"/>
        <v>1</v>
      </c>
      <c r="AM367" s="641">
        <v>1</v>
      </c>
      <c r="AN367" s="30" t="s">
        <v>17650</v>
      </c>
      <c r="AO367" s="30" t="s">
        <v>17651</v>
      </c>
      <c r="AP367" s="30" t="s">
        <v>17652</v>
      </c>
      <c r="AQ367" s="30" t="s">
        <v>17653</v>
      </c>
      <c r="AR367" s="30" t="s">
        <v>1024</v>
      </c>
      <c r="AS367" s="30">
        <v>1</v>
      </c>
    </row>
    <row r="368" spans="1:45" x14ac:dyDescent="0.25">
      <c r="A368" s="30" t="s">
        <v>26089</v>
      </c>
      <c r="B368" s="30" t="s">
        <v>26090</v>
      </c>
      <c r="C368" s="30" t="s">
        <v>36</v>
      </c>
      <c r="D368" s="139" t="s">
        <v>26160</v>
      </c>
      <c r="E368" s="30" t="s">
        <v>217</v>
      </c>
      <c r="F368" s="30">
        <v>1</v>
      </c>
      <c r="G368" s="30" t="s">
        <v>193</v>
      </c>
      <c r="H368" s="30" t="s">
        <v>194</v>
      </c>
      <c r="I368" s="30" t="s">
        <v>26143</v>
      </c>
      <c r="J368" s="30" t="s">
        <v>210</v>
      </c>
      <c r="K368" s="30" t="s">
        <v>9309</v>
      </c>
      <c r="L368" s="30" t="s">
        <v>6955</v>
      </c>
      <c r="M368" s="30"/>
      <c r="N368" s="30" t="s">
        <v>26474</v>
      </c>
      <c r="O368" s="30" t="s">
        <v>7120</v>
      </c>
      <c r="P368" s="30" t="s">
        <v>27236</v>
      </c>
      <c r="Q368" s="30" t="s">
        <v>26092</v>
      </c>
      <c r="R368" s="30" t="s">
        <v>26093</v>
      </c>
      <c r="S368" s="30" t="s">
        <v>27241</v>
      </c>
      <c r="T368" s="30" t="s">
        <v>27242</v>
      </c>
      <c r="U368" s="30"/>
      <c r="V368" s="139" t="s">
        <v>9334</v>
      </c>
      <c r="W368" s="30" t="s">
        <v>609</v>
      </c>
      <c r="X368" s="30" t="s">
        <v>194</v>
      </c>
      <c r="Y368" s="30" t="s">
        <v>9300</v>
      </c>
      <c r="Z368" s="30"/>
      <c r="AA368" s="30"/>
      <c r="AB368" s="30" t="s">
        <v>9311</v>
      </c>
      <c r="AC368" s="30"/>
      <c r="AD368" s="30"/>
      <c r="AE368" s="30"/>
      <c r="AF368" s="30"/>
      <c r="AG368" s="30"/>
      <c r="AH368" s="30" t="s">
        <v>4714</v>
      </c>
      <c r="AI368" s="30" t="s">
        <v>9433</v>
      </c>
      <c r="AJ368" s="641" t="str">
        <f t="shared" si="10"/>
        <v>331301</v>
      </c>
      <c r="AK368" s="641">
        <v>1</v>
      </c>
      <c r="AL368" s="641">
        <f t="shared" si="11"/>
        <v>1</v>
      </c>
      <c r="AM368" s="641">
        <v>1</v>
      </c>
      <c r="AN368" s="30" t="s">
        <v>17650</v>
      </c>
      <c r="AO368" s="30" t="s">
        <v>17651</v>
      </c>
      <c r="AP368" s="30" t="s">
        <v>17652</v>
      </c>
      <c r="AQ368" s="30" t="s">
        <v>17653</v>
      </c>
      <c r="AR368" s="30" t="s">
        <v>1024</v>
      </c>
      <c r="AS368" s="30">
        <v>1</v>
      </c>
    </row>
    <row r="369" spans="1:45" x14ac:dyDescent="0.25">
      <c r="A369" s="30" t="s">
        <v>716</v>
      </c>
      <c r="B369" s="30" t="s">
        <v>26249</v>
      </c>
      <c r="C369" s="30" t="s">
        <v>18</v>
      </c>
      <c r="D369" s="139" t="s">
        <v>26160</v>
      </c>
      <c r="E369" s="30" t="s">
        <v>217</v>
      </c>
      <c r="F369" s="30">
        <v>1</v>
      </c>
      <c r="G369" s="30" t="s">
        <v>193</v>
      </c>
      <c r="H369" s="30" t="s">
        <v>194</v>
      </c>
      <c r="I369" s="30" t="s">
        <v>26148</v>
      </c>
      <c r="J369" s="30" t="s">
        <v>210</v>
      </c>
      <c r="K369" s="30" t="s">
        <v>9309</v>
      </c>
      <c r="L369" s="30" t="s">
        <v>6955</v>
      </c>
      <c r="M369" s="30"/>
      <c r="N369" s="30" t="s">
        <v>26250</v>
      </c>
      <c r="O369" s="30" t="s">
        <v>6340</v>
      </c>
      <c r="P369" s="30" t="s">
        <v>27236</v>
      </c>
      <c r="Q369" s="30" t="s">
        <v>26251</v>
      </c>
      <c r="R369" s="30" t="s">
        <v>26252</v>
      </c>
      <c r="S369" s="30" t="s">
        <v>27243</v>
      </c>
      <c r="T369" s="30" t="s">
        <v>27244</v>
      </c>
      <c r="U369" s="30"/>
      <c r="V369" s="139" t="s">
        <v>9334</v>
      </c>
      <c r="W369" s="30" t="s">
        <v>1476</v>
      </c>
      <c r="X369" s="30" t="s">
        <v>194</v>
      </c>
      <c r="Y369" s="30" t="s">
        <v>9300</v>
      </c>
      <c r="Z369" s="30"/>
      <c r="AA369" s="30"/>
      <c r="AB369" s="30" t="s">
        <v>9311</v>
      </c>
      <c r="AC369" s="30"/>
      <c r="AD369" s="30"/>
      <c r="AE369" s="30"/>
      <c r="AF369" s="30"/>
      <c r="AG369" s="30"/>
      <c r="AH369" s="30" t="s">
        <v>5109</v>
      </c>
      <c r="AI369" s="30" t="s">
        <v>9433</v>
      </c>
      <c r="AJ369" s="641" t="str">
        <f t="shared" si="10"/>
        <v>242309</v>
      </c>
      <c r="AK369" s="641">
        <v>1</v>
      </c>
      <c r="AL369" s="641">
        <f t="shared" si="11"/>
        <v>1</v>
      </c>
      <c r="AM369" s="641">
        <v>1</v>
      </c>
      <c r="AN369" s="30" t="s">
        <v>17650</v>
      </c>
      <c r="AO369" s="30" t="s">
        <v>17651</v>
      </c>
      <c r="AP369" s="30" t="s">
        <v>17652</v>
      </c>
      <c r="AQ369" s="30" t="s">
        <v>17653</v>
      </c>
      <c r="AR369" s="30" t="s">
        <v>1024</v>
      </c>
      <c r="AS369" s="30">
        <v>1</v>
      </c>
    </row>
    <row r="370" spans="1:45" x14ac:dyDescent="0.25">
      <c r="A370" s="30" t="s">
        <v>716</v>
      </c>
      <c r="B370" s="30" t="s">
        <v>26745</v>
      </c>
      <c r="C370" s="30" t="s">
        <v>706</v>
      </c>
      <c r="D370" s="139" t="s">
        <v>26160</v>
      </c>
      <c r="E370" s="30" t="s">
        <v>217</v>
      </c>
      <c r="F370" s="30">
        <v>1</v>
      </c>
      <c r="G370" s="30" t="s">
        <v>193</v>
      </c>
      <c r="H370" s="30" t="s">
        <v>194</v>
      </c>
      <c r="I370" s="30" t="s">
        <v>26143</v>
      </c>
      <c r="J370" s="30" t="s">
        <v>210</v>
      </c>
      <c r="K370" s="30" t="s">
        <v>9309</v>
      </c>
      <c r="L370" s="30" t="s">
        <v>6955</v>
      </c>
      <c r="M370" s="30"/>
      <c r="N370" s="30" t="s">
        <v>27245</v>
      </c>
      <c r="O370" s="30" t="s">
        <v>6251</v>
      </c>
      <c r="P370" s="30" t="s">
        <v>27236</v>
      </c>
      <c r="Q370" s="30" t="s">
        <v>26881</v>
      </c>
      <c r="R370" s="30" t="s">
        <v>26882</v>
      </c>
      <c r="S370" s="30" t="s">
        <v>27246</v>
      </c>
      <c r="T370" s="30" t="s">
        <v>27247</v>
      </c>
      <c r="U370" s="30"/>
      <c r="V370" s="139" t="s">
        <v>9334</v>
      </c>
      <c r="W370" s="30" t="s">
        <v>707</v>
      </c>
      <c r="X370" s="30" t="s">
        <v>194</v>
      </c>
      <c r="Y370" s="30" t="s">
        <v>9300</v>
      </c>
      <c r="Z370" s="30"/>
      <c r="AA370" s="30"/>
      <c r="AB370" s="30" t="s">
        <v>9311</v>
      </c>
      <c r="AC370" s="30"/>
      <c r="AD370" s="30"/>
      <c r="AE370" s="30"/>
      <c r="AF370" s="30"/>
      <c r="AG370" s="30"/>
      <c r="AH370" s="30" t="s">
        <v>4714</v>
      </c>
      <c r="AI370" s="30" t="s">
        <v>9433</v>
      </c>
      <c r="AJ370" s="641" t="str">
        <f t="shared" si="10"/>
        <v>422201</v>
      </c>
      <c r="AK370" s="641">
        <v>1</v>
      </c>
      <c r="AL370" s="641">
        <f t="shared" si="11"/>
        <v>1</v>
      </c>
      <c r="AM370" s="641">
        <v>1</v>
      </c>
      <c r="AN370" s="30" t="s">
        <v>17650</v>
      </c>
      <c r="AO370" s="30" t="s">
        <v>17651</v>
      </c>
      <c r="AP370" s="30" t="s">
        <v>17652</v>
      </c>
      <c r="AQ370" s="30" t="s">
        <v>17653</v>
      </c>
      <c r="AR370" s="30" t="s">
        <v>1024</v>
      </c>
      <c r="AS370" s="30">
        <v>1</v>
      </c>
    </row>
    <row r="371" spans="1:45" x14ac:dyDescent="0.25">
      <c r="A371" s="30" t="s">
        <v>716</v>
      </c>
      <c r="B371" s="30" t="s">
        <v>26645</v>
      </c>
      <c r="C371" s="30" t="s">
        <v>706</v>
      </c>
      <c r="D371" s="139" t="s">
        <v>26160</v>
      </c>
      <c r="E371" s="30" t="s">
        <v>217</v>
      </c>
      <c r="F371" s="30">
        <v>1</v>
      </c>
      <c r="G371" s="30" t="s">
        <v>193</v>
      </c>
      <c r="H371" s="30" t="s">
        <v>194</v>
      </c>
      <c r="I371" s="30" t="s">
        <v>26143</v>
      </c>
      <c r="J371" s="30" t="s">
        <v>210</v>
      </c>
      <c r="K371" s="30" t="s">
        <v>9309</v>
      </c>
      <c r="L371" s="30" t="s">
        <v>6955</v>
      </c>
      <c r="M371" s="30"/>
      <c r="N371" s="30" t="s">
        <v>26646</v>
      </c>
      <c r="O371" s="30" t="s">
        <v>6286</v>
      </c>
      <c r="P371" s="30" t="s">
        <v>27236</v>
      </c>
      <c r="Q371" s="30" t="s">
        <v>26261</v>
      </c>
      <c r="R371" s="30" t="s">
        <v>26262</v>
      </c>
      <c r="S371" s="30" t="s">
        <v>27248</v>
      </c>
      <c r="T371" s="30" t="s">
        <v>27249</v>
      </c>
      <c r="U371" s="30"/>
      <c r="V371" s="139" t="s">
        <v>9334</v>
      </c>
      <c r="W371" s="30" t="s">
        <v>707</v>
      </c>
      <c r="X371" s="30" t="s">
        <v>194</v>
      </c>
      <c r="Y371" s="30" t="s">
        <v>9300</v>
      </c>
      <c r="Z371" s="30"/>
      <c r="AA371" s="30"/>
      <c r="AB371" s="30" t="s">
        <v>9311</v>
      </c>
      <c r="AC371" s="30"/>
      <c r="AD371" s="30"/>
      <c r="AE371" s="30"/>
      <c r="AF371" s="30"/>
      <c r="AG371" s="30"/>
      <c r="AH371" s="30" t="s">
        <v>4714</v>
      </c>
      <c r="AI371" s="30" t="s">
        <v>9433</v>
      </c>
      <c r="AJ371" s="641" t="str">
        <f t="shared" si="10"/>
        <v>422201</v>
      </c>
      <c r="AK371" s="641">
        <v>1</v>
      </c>
      <c r="AL371" s="641">
        <f t="shared" si="11"/>
        <v>1</v>
      </c>
      <c r="AM371" s="641">
        <v>1</v>
      </c>
      <c r="AN371" s="30" t="s">
        <v>17650</v>
      </c>
      <c r="AO371" s="30" t="s">
        <v>17651</v>
      </c>
      <c r="AP371" s="30" t="s">
        <v>17652</v>
      </c>
      <c r="AQ371" s="30" t="s">
        <v>17653</v>
      </c>
      <c r="AR371" s="30" t="s">
        <v>1024</v>
      </c>
      <c r="AS371" s="30">
        <v>1</v>
      </c>
    </row>
    <row r="372" spans="1:45" x14ac:dyDescent="0.25">
      <c r="A372" s="30" t="s">
        <v>26153</v>
      </c>
      <c r="B372" s="30" t="s">
        <v>1419</v>
      </c>
      <c r="C372" s="30" t="s">
        <v>10</v>
      </c>
      <c r="D372" s="139" t="s">
        <v>26160</v>
      </c>
      <c r="E372" s="30" t="s">
        <v>217</v>
      </c>
      <c r="F372" s="30">
        <v>1</v>
      </c>
      <c r="G372" s="30" t="s">
        <v>193</v>
      </c>
      <c r="H372" s="30" t="s">
        <v>194</v>
      </c>
      <c r="I372" s="30" t="s">
        <v>26143</v>
      </c>
      <c r="J372" s="30" t="s">
        <v>210</v>
      </c>
      <c r="K372" s="30" t="s">
        <v>9309</v>
      </c>
      <c r="L372" s="30" t="s">
        <v>6955</v>
      </c>
      <c r="M372" s="30"/>
      <c r="N372" s="30" t="s">
        <v>26411</v>
      </c>
      <c r="O372" s="30" t="s">
        <v>6261</v>
      </c>
      <c r="P372" s="30" t="s">
        <v>27236</v>
      </c>
      <c r="Q372" s="30" t="s">
        <v>26103</v>
      </c>
      <c r="R372" s="30" t="s">
        <v>26079</v>
      </c>
      <c r="S372" s="30" t="s">
        <v>27250</v>
      </c>
      <c r="T372" s="30" t="s">
        <v>27251</v>
      </c>
      <c r="U372" s="30"/>
      <c r="V372" s="139" t="s">
        <v>9334</v>
      </c>
      <c r="W372" s="30" t="s">
        <v>484</v>
      </c>
      <c r="X372" s="30" t="s">
        <v>194</v>
      </c>
      <c r="Y372" s="30" t="s">
        <v>9300</v>
      </c>
      <c r="Z372" s="30"/>
      <c r="AA372" s="30"/>
      <c r="AB372" s="30" t="s">
        <v>9311</v>
      </c>
      <c r="AC372" s="30"/>
      <c r="AD372" s="30"/>
      <c r="AE372" s="30"/>
      <c r="AF372" s="30"/>
      <c r="AG372" s="30"/>
      <c r="AH372" s="30" t="s">
        <v>4714</v>
      </c>
      <c r="AI372" s="30" t="s">
        <v>9433</v>
      </c>
      <c r="AJ372" s="641" t="str">
        <f t="shared" si="10"/>
        <v>251401</v>
      </c>
      <c r="AK372" s="641">
        <v>1</v>
      </c>
      <c r="AL372" s="641">
        <f t="shared" si="11"/>
        <v>1</v>
      </c>
      <c r="AM372" s="641">
        <v>1</v>
      </c>
      <c r="AN372" s="30" t="s">
        <v>17650</v>
      </c>
      <c r="AO372" s="30" t="s">
        <v>17651</v>
      </c>
      <c r="AP372" s="30" t="s">
        <v>17652</v>
      </c>
      <c r="AQ372" s="30" t="s">
        <v>17653</v>
      </c>
      <c r="AR372" s="30" t="s">
        <v>1024</v>
      </c>
      <c r="AS372" s="30">
        <v>1</v>
      </c>
    </row>
    <row r="373" spans="1:45" x14ac:dyDescent="0.25">
      <c r="A373" s="30" t="s">
        <v>16950</v>
      </c>
      <c r="B373" s="30" t="s">
        <v>27252</v>
      </c>
      <c r="C373" s="30" t="s">
        <v>2644</v>
      </c>
      <c r="D373" s="139" t="s">
        <v>26079</v>
      </c>
      <c r="E373" s="30" t="s">
        <v>233</v>
      </c>
      <c r="F373" s="30">
        <v>1</v>
      </c>
      <c r="G373" s="30" t="s">
        <v>193</v>
      </c>
      <c r="H373" s="30" t="s">
        <v>194</v>
      </c>
      <c r="I373" s="30" t="s">
        <v>27253</v>
      </c>
      <c r="J373" s="30" t="s">
        <v>210</v>
      </c>
      <c r="K373" s="30" t="s">
        <v>9309</v>
      </c>
      <c r="L373" s="30" t="s">
        <v>6955</v>
      </c>
      <c r="M373" s="30"/>
      <c r="N373" s="30" t="s">
        <v>27254</v>
      </c>
      <c r="O373" s="30" t="s">
        <v>6363</v>
      </c>
      <c r="P373" s="30" t="s">
        <v>27255</v>
      </c>
      <c r="Q373" s="30" t="s">
        <v>26099</v>
      </c>
      <c r="R373" s="30" t="s">
        <v>27256</v>
      </c>
      <c r="S373" s="30" t="s">
        <v>27257</v>
      </c>
      <c r="T373" s="30" t="s">
        <v>27258</v>
      </c>
      <c r="U373" s="30"/>
      <c r="V373" s="139" t="s">
        <v>9334</v>
      </c>
      <c r="W373" s="30" t="s">
        <v>2645</v>
      </c>
      <c r="X373" s="30" t="s">
        <v>194</v>
      </c>
      <c r="Y373" s="30" t="s">
        <v>9300</v>
      </c>
      <c r="Z373" s="30"/>
      <c r="AA373" s="30"/>
      <c r="AB373" s="30" t="s">
        <v>9311</v>
      </c>
      <c r="AC373" s="30"/>
      <c r="AD373" s="30"/>
      <c r="AE373" s="30"/>
      <c r="AF373" s="30"/>
      <c r="AG373" s="30"/>
      <c r="AH373" s="30" t="s">
        <v>4714</v>
      </c>
      <c r="AI373" s="30" t="s">
        <v>27252</v>
      </c>
      <c r="AJ373" s="641" t="str">
        <f t="shared" si="10"/>
        <v>311307</v>
      </c>
      <c r="AK373" s="641">
        <v>1</v>
      </c>
      <c r="AL373" s="641">
        <f t="shared" si="11"/>
        <v>1</v>
      </c>
      <c r="AM373" s="641">
        <v>1</v>
      </c>
      <c r="AN373" s="30" t="s">
        <v>17650</v>
      </c>
      <c r="AO373" s="30" t="s">
        <v>17651</v>
      </c>
      <c r="AP373" s="30" t="s">
        <v>17652</v>
      </c>
      <c r="AQ373" s="30" t="s">
        <v>17653</v>
      </c>
      <c r="AR373" s="30" t="s">
        <v>1024</v>
      </c>
      <c r="AS373" s="30">
        <v>1</v>
      </c>
    </row>
    <row r="374" spans="1:45" x14ac:dyDescent="0.25">
      <c r="A374" s="30" t="s">
        <v>6036</v>
      </c>
      <c r="B374" s="30" t="s">
        <v>2821</v>
      </c>
      <c r="C374" s="30" t="s">
        <v>27259</v>
      </c>
      <c r="D374" s="139" t="s">
        <v>26079</v>
      </c>
      <c r="E374" s="30" t="s">
        <v>233</v>
      </c>
      <c r="F374" s="30">
        <v>1</v>
      </c>
      <c r="G374" s="30" t="s">
        <v>193</v>
      </c>
      <c r="H374" s="30" t="s">
        <v>194</v>
      </c>
      <c r="I374" s="30" t="s">
        <v>27260</v>
      </c>
      <c r="J374" s="30" t="s">
        <v>23754</v>
      </c>
      <c r="K374" s="30" t="s">
        <v>9309</v>
      </c>
      <c r="L374" s="30" t="s">
        <v>6955</v>
      </c>
      <c r="M374" s="30"/>
      <c r="N374" s="30" t="s">
        <v>27261</v>
      </c>
      <c r="O374" s="30" t="s">
        <v>6363</v>
      </c>
      <c r="P374" s="30" t="s">
        <v>27255</v>
      </c>
      <c r="Q374" s="30" t="s">
        <v>26099</v>
      </c>
      <c r="R374" s="30" t="s">
        <v>27256</v>
      </c>
      <c r="S374" s="30" t="s">
        <v>27262</v>
      </c>
      <c r="T374" s="30" t="s">
        <v>27263</v>
      </c>
      <c r="U374" s="139"/>
      <c r="V374" s="139" t="s">
        <v>28321</v>
      </c>
      <c r="W374" s="30" t="s">
        <v>27264</v>
      </c>
      <c r="X374" s="30" t="s">
        <v>193</v>
      </c>
      <c r="Y374" s="30" t="s">
        <v>9310</v>
      </c>
      <c r="Z374" s="30"/>
      <c r="AA374" s="30"/>
      <c r="AB374" s="30" t="s">
        <v>9311</v>
      </c>
      <c r="AC374" s="30"/>
      <c r="AD374" s="30"/>
      <c r="AE374" s="30"/>
      <c r="AF374" s="30"/>
      <c r="AG374" s="30"/>
      <c r="AH374" s="30" t="s">
        <v>4714</v>
      </c>
      <c r="AI374" s="30" t="s">
        <v>2821</v>
      </c>
      <c r="AJ374" s="641" t="str">
        <f t="shared" si="10"/>
        <v>132190</v>
      </c>
      <c r="AK374" s="641">
        <v>1</v>
      </c>
      <c r="AL374" s="641">
        <f t="shared" si="11"/>
        <v>1</v>
      </c>
      <c r="AM374" s="641">
        <v>1</v>
      </c>
      <c r="AN374" s="30" t="s">
        <v>17650</v>
      </c>
      <c r="AO374" s="30" t="s">
        <v>17651</v>
      </c>
      <c r="AP374" s="30" t="s">
        <v>17652</v>
      </c>
      <c r="AQ374" s="30" t="s">
        <v>17653</v>
      </c>
      <c r="AR374" s="30" t="s">
        <v>1024</v>
      </c>
      <c r="AS374" s="30">
        <v>1</v>
      </c>
    </row>
    <row r="375" spans="1:45" x14ac:dyDescent="0.25">
      <c r="A375" s="30" t="s">
        <v>17184</v>
      </c>
      <c r="B375" s="30" t="s">
        <v>119</v>
      </c>
      <c r="C375" s="30" t="s">
        <v>119</v>
      </c>
      <c r="D375" s="139" t="s">
        <v>26079</v>
      </c>
      <c r="E375" s="30" t="s">
        <v>233</v>
      </c>
      <c r="F375" s="30">
        <v>1</v>
      </c>
      <c r="G375" s="30" t="s">
        <v>193</v>
      </c>
      <c r="H375" s="30" t="s">
        <v>194</v>
      </c>
      <c r="I375" s="30" t="s">
        <v>26077</v>
      </c>
      <c r="J375" s="30" t="s">
        <v>253</v>
      </c>
      <c r="K375" s="30" t="s">
        <v>9309</v>
      </c>
      <c r="L375" s="30" t="s">
        <v>6955</v>
      </c>
      <c r="M375" s="30"/>
      <c r="N375" s="30" t="s">
        <v>27265</v>
      </c>
      <c r="O375" s="30" t="s">
        <v>6266</v>
      </c>
      <c r="P375" s="30" t="s">
        <v>27255</v>
      </c>
      <c r="Q375" s="30" t="s">
        <v>26099</v>
      </c>
      <c r="R375" s="30" t="s">
        <v>27256</v>
      </c>
      <c r="S375" s="30" t="s">
        <v>27266</v>
      </c>
      <c r="T375" s="30" t="s">
        <v>27267</v>
      </c>
      <c r="U375" s="30"/>
      <c r="V375" s="139" t="s">
        <v>9468</v>
      </c>
      <c r="W375" s="30" t="s">
        <v>666</v>
      </c>
      <c r="X375" s="30" t="s">
        <v>194</v>
      </c>
      <c r="Y375" s="30" t="s">
        <v>9300</v>
      </c>
      <c r="Z375" s="30"/>
      <c r="AA375" s="30"/>
      <c r="AB375" s="30" t="s">
        <v>9311</v>
      </c>
      <c r="AC375" s="30"/>
      <c r="AD375" s="30"/>
      <c r="AE375" s="30"/>
      <c r="AF375" s="30"/>
      <c r="AG375" s="30"/>
      <c r="AH375" s="30" t="s">
        <v>4714</v>
      </c>
      <c r="AI375" s="30" t="s">
        <v>119</v>
      </c>
      <c r="AJ375" s="641" t="str">
        <f t="shared" si="10"/>
        <v>333105</v>
      </c>
      <c r="AK375" s="641">
        <v>1</v>
      </c>
      <c r="AL375" s="641">
        <f t="shared" si="11"/>
        <v>1</v>
      </c>
      <c r="AM375" s="641">
        <v>1</v>
      </c>
      <c r="AN375" s="30" t="s">
        <v>17650</v>
      </c>
      <c r="AO375" s="30" t="s">
        <v>17651</v>
      </c>
      <c r="AP375" s="30" t="s">
        <v>17652</v>
      </c>
      <c r="AQ375" s="30" t="s">
        <v>17653</v>
      </c>
      <c r="AR375" s="30" t="s">
        <v>1024</v>
      </c>
      <c r="AS375" s="30">
        <v>1</v>
      </c>
    </row>
    <row r="376" spans="1:45" x14ac:dyDescent="0.25">
      <c r="A376" s="30" t="s">
        <v>22248</v>
      </c>
      <c r="B376" s="30" t="s">
        <v>19222</v>
      </c>
      <c r="C376" s="30" t="s">
        <v>43</v>
      </c>
      <c r="D376" s="139" t="s">
        <v>26079</v>
      </c>
      <c r="E376" s="30" t="s">
        <v>233</v>
      </c>
      <c r="F376" s="30">
        <v>1</v>
      </c>
      <c r="G376" s="30" t="s">
        <v>193</v>
      </c>
      <c r="H376" s="30" t="s">
        <v>194</v>
      </c>
      <c r="I376" s="30" t="s">
        <v>27253</v>
      </c>
      <c r="J376" s="30" t="s">
        <v>210</v>
      </c>
      <c r="K376" s="30" t="s">
        <v>9309</v>
      </c>
      <c r="L376" s="30" t="s">
        <v>6955</v>
      </c>
      <c r="M376" s="30"/>
      <c r="N376" s="30" t="s">
        <v>27268</v>
      </c>
      <c r="O376" s="30" t="s">
        <v>6249</v>
      </c>
      <c r="P376" s="30" t="s">
        <v>27255</v>
      </c>
      <c r="Q376" s="30" t="s">
        <v>26099</v>
      </c>
      <c r="R376" s="30" t="s">
        <v>26133</v>
      </c>
      <c r="S376" s="30" t="s">
        <v>27269</v>
      </c>
      <c r="T376" s="30" t="s">
        <v>27270</v>
      </c>
      <c r="U376" s="30"/>
      <c r="V376" s="139" t="s">
        <v>9334</v>
      </c>
      <c r="W376" s="30" t="s">
        <v>452</v>
      </c>
      <c r="X376" s="30" t="s">
        <v>194</v>
      </c>
      <c r="Y376" s="30" t="s">
        <v>9300</v>
      </c>
      <c r="Z376" s="30"/>
      <c r="AA376" s="30"/>
      <c r="AB376" s="30" t="s">
        <v>9311</v>
      </c>
      <c r="AC376" s="30"/>
      <c r="AD376" s="30"/>
      <c r="AE376" s="30"/>
      <c r="AF376" s="30"/>
      <c r="AG376" s="30"/>
      <c r="AH376" s="30" t="s">
        <v>4714</v>
      </c>
      <c r="AI376" s="30" t="s">
        <v>19222</v>
      </c>
      <c r="AJ376" s="641" t="str">
        <f t="shared" si="10"/>
        <v>243106</v>
      </c>
      <c r="AK376" s="641">
        <v>1</v>
      </c>
      <c r="AL376" s="641">
        <f t="shared" si="11"/>
        <v>1</v>
      </c>
      <c r="AM376" s="641">
        <v>1</v>
      </c>
      <c r="AN376" s="30" t="s">
        <v>17650</v>
      </c>
      <c r="AO376" s="30" t="s">
        <v>17651</v>
      </c>
      <c r="AP376" s="30" t="s">
        <v>17652</v>
      </c>
      <c r="AQ376" s="30" t="s">
        <v>17653</v>
      </c>
      <c r="AR376" s="30" t="s">
        <v>1024</v>
      </c>
      <c r="AS376" s="30">
        <v>1</v>
      </c>
    </row>
    <row r="377" spans="1:45" x14ac:dyDescent="0.25">
      <c r="A377" s="30" t="s">
        <v>2093</v>
      </c>
      <c r="B377" s="30" t="s">
        <v>2770</v>
      </c>
      <c r="C377" s="30" t="s">
        <v>37</v>
      </c>
      <c r="D377" s="139" t="s">
        <v>26079</v>
      </c>
      <c r="E377" s="30" t="s">
        <v>233</v>
      </c>
      <c r="F377" s="30">
        <v>1</v>
      </c>
      <c r="G377" s="30" t="s">
        <v>193</v>
      </c>
      <c r="H377" s="30" t="s">
        <v>194</v>
      </c>
      <c r="I377" s="30" t="s">
        <v>27253</v>
      </c>
      <c r="J377" s="30" t="s">
        <v>210</v>
      </c>
      <c r="K377" s="30" t="s">
        <v>9309</v>
      </c>
      <c r="L377" s="30" t="s">
        <v>6955</v>
      </c>
      <c r="M377" s="30"/>
      <c r="N377" s="30" t="s">
        <v>27271</v>
      </c>
      <c r="O377" s="30" t="s">
        <v>6306</v>
      </c>
      <c r="P377" s="30" t="s">
        <v>27255</v>
      </c>
      <c r="Q377" s="30" t="s">
        <v>26099</v>
      </c>
      <c r="R377" s="30" t="s">
        <v>26093</v>
      </c>
      <c r="S377" s="30" t="s">
        <v>27272</v>
      </c>
      <c r="T377" s="30" t="s">
        <v>27273</v>
      </c>
      <c r="U377" s="30"/>
      <c r="V377" s="139" t="s">
        <v>9334</v>
      </c>
      <c r="W377" s="30" t="s">
        <v>516</v>
      </c>
      <c r="X377" s="30" t="s">
        <v>194</v>
      </c>
      <c r="Y377" s="30" t="s">
        <v>9300</v>
      </c>
      <c r="Z377" s="30"/>
      <c r="AA377" s="30"/>
      <c r="AB377" s="30" t="s">
        <v>9311</v>
      </c>
      <c r="AC377" s="30"/>
      <c r="AD377" s="30"/>
      <c r="AE377" s="30"/>
      <c r="AF377" s="30"/>
      <c r="AG377" s="30"/>
      <c r="AH377" s="30" t="s">
        <v>4714</v>
      </c>
      <c r="AI377" s="30" t="s">
        <v>2770</v>
      </c>
      <c r="AJ377" s="641" t="str">
        <f t="shared" si="10"/>
        <v>252302</v>
      </c>
      <c r="AK377" s="641">
        <v>1</v>
      </c>
      <c r="AL377" s="641">
        <f t="shared" si="11"/>
        <v>1</v>
      </c>
      <c r="AM377" s="641">
        <v>1</v>
      </c>
      <c r="AN377" s="30" t="s">
        <v>17650</v>
      </c>
      <c r="AO377" s="30" t="s">
        <v>17651</v>
      </c>
      <c r="AP377" s="30" t="s">
        <v>17652</v>
      </c>
      <c r="AQ377" s="30" t="s">
        <v>17653</v>
      </c>
      <c r="AR377" s="30" t="s">
        <v>1024</v>
      </c>
      <c r="AS377" s="30">
        <v>1</v>
      </c>
    </row>
    <row r="378" spans="1:45" x14ac:dyDescent="0.25">
      <c r="A378" s="30" t="s">
        <v>26076</v>
      </c>
      <c r="B378" s="30" t="s">
        <v>1173</v>
      </c>
      <c r="C378" s="30" t="s">
        <v>1173</v>
      </c>
      <c r="D378" s="139" t="s">
        <v>26079</v>
      </c>
      <c r="E378" s="30" t="s">
        <v>233</v>
      </c>
      <c r="F378" s="30">
        <v>1</v>
      </c>
      <c r="G378" s="30" t="s">
        <v>193</v>
      </c>
      <c r="H378" s="30" t="s">
        <v>194</v>
      </c>
      <c r="I378" s="30" t="s">
        <v>26077</v>
      </c>
      <c r="J378" s="30" t="s">
        <v>259</v>
      </c>
      <c r="K378" s="30" t="s">
        <v>9309</v>
      </c>
      <c r="L378" s="30" t="s">
        <v>6955</v>
      </c>
      <c r="M378" s="30"/>
      <c r="N378" s="30" t="s">
        <v>27274</v>
      </c>
      <c r="O378" s="30" t="s">
        <v>6256</v>
      </c>
      <c r="P378" s="30" t="s">
        <v>27255</v>
      </c>
      <c r="Q378" s="30" t="s">
        <v>26099</v>
      </c>
      <c r="R378" s="30" t="s">
        <v>26231</v>
      </c>
      <c r="S378" s="30" t="s">
        <v>27275</v>
      </c>
      <c r="T378" s="30" t="s">
        <v>27276</v>
      </c>
      <c r="U378" s="30"/>
      <c r="V378" s="139" t="s">
        <v>10136</v>
      </c>
      <c r="W378" s="30" t="s">
        <v>1174</v>
      </c>
      <c r="X378" s="30" t="s">
        <v>194</v>
      </c>
      <c r="Y378" s="30" t="s">
        <v>9300</v>
      </c>
      <c r="Z378" s="30"/>
      <c r="AA378" s="30"/>
      <c r="AB378" s="30" t="s">
        <v>9311</v>
      </c>
      <c r="AC378" s="30"/>
      <c r="AD378" s="30"/>
      <c r="AE378" s="30"/>
      <c r="AF378" s="30"/>
      <c r="AG378" s="30"/>
      <c r="AH378" s="30" t="s">
        <v>4714</v>
      </c>
      <c r="AI378" s="30" t="s">
        <v>1173</v>
      </c>
      <c r="AJ378" s="641" t="str">
        <f t="shared" si="10"/>
        <v>242211</v>
      </c>
      <c r="AK378" s="641">
        <v>1</v>
      </c>
      <c r="AL378" s="641">
        <f t="shared" si="11"/>
        <v>1</v>
      </c>
      <c r="AM378" s="641">
        <v>1</v>
      </c>
      <c r="AN378" s="30" t="s">
        <v>17650</v>
      </c>
      <c r="AO378" s="30" t="s">
        <v>17651</v>
      </c>
      <c r="AP378" s="30" t="s">
        <v>17652</v>
      </c>
      <c r="AQ378" s="30" t="s">
        <v>17653</v>
      </c>
      <c r="AR378" s="30" t="s">
        <v>1024</v>
      </c>
      <c r="AS378" s="30">
        <v>1</v>
      </c>
    </row>
    <row r="379" spans="1:45" x14ac:dyDescent="0.25">
      <c r="A379" s="30" t="s">
        <v>716</v>
      </c>
      <c r="B379" s="30" t="s">
        <v>26635</v>
      </c>
      <c r="C379" s="30" t="s">
        <v>706</v>
      </c>
      <c r="D379" s="139" t="s">
        <v>26079</v>
      </c>
      <c r="E379" s="30" t="s">
        <v>217</v>
      </c>
      <c r="F379" s="30">
        <v>1</v>
      </c>
      <c r="G379" s="30" t="s">
        <v>193</v>
      </c>
      <c r="H379" s="30" t="s">
        <v>194</v>
      </c>
      <c r="I379" s="30" t="s">
        <v>27277</v>
      </c>
      <c r="J379" s="30" t="s">
        <v>210</v>
      </c>
      <c r="K379" s="30" t="s">
        <v>9309</v>
      </c>
      <c r="L379" s="30" t="s">
        <v>6955</v>
      </c>
      <c r="M379" s="30"/>
      <c r="N379" s="30" t="s">
        <v>27278</v>
      </c>
      <c r="O379" s="30" t="s">
        <v>6251</v>
      </c>
      <c r="P379" s="30" t="s">
        <v>27279</v>
      </c>
      <c r="Q379" s="30" t="s">
        <v>26139</v>
      </c>
      <c r="R379" s="30" t="s">
        <v>27256</v>
      </c>
      <c r="S379" s="30" t="s">
        <v>27280</v>
      </c>
      <c r="T379" s="30" t="s">
        <v>27281</v>
      </c>
      <c r="U379" s="30"/>
      <c r="V379" s="139" t="s">
        <v>9334</v>
      </c>
      <c r="W379" s="30" t="s">
        <v>707</v>
      </c>
      <c r="X379" s="30" t="s">
        <v>194</v>
      </c>
      <c r="Y379" s="30" t="s">
        <v>9300</v>
      </c>
      <c r="Z379" s="30"/>
      <c r="AA379" s="30"/>
      <c r="AB379" s="30" t="s">
        <v>9311</v>
      </c>
      <c r="AC379" s="30"/>
      <c r="AD379" s="30"/>
      <c r="AE379" s="30"/>
      <c r="AF379" s="30"/>
      <c r="AG379" s="30"/>
      <c r="AH379" s="30" t="s">
        <v>4714</v>
      </c>
      <c r="AI379" s="30" t="s">
        <v>9433</v>
      </c>
      <c r="AJ379" s="641" t="str">
        <f t="shared" si="10"/>
        <v>422201</v>
      </c>
      <c r="AK379" s="641">
        <v>1</v>
      </c>
      <c r="AL379" s="641">
        <f t="shared" si="11"/>
        <v>1</v>
      </c>
      <c r="AM379" s="641">
        <v>1</v>
      </c>
      <c r="AN379" s="30" t="s">
        <v>17650</v>
      </c>
      <c r="AO379" s="30" t="s">
        <v>17651</v>
      </c>
      <c r="AP379" s="30" t="s">
        <v>17652</v>
      </c>
      <c r="AQ379" s="30" t="s">
        <v>17653</v>
      </c>
      <c r="AR379" s="30" t="s">
        <v>1024</v>
      </c>
      <c r="AS379" s="30">
        <v>1</v>
      </c>
    </row>
    <row r="380" spans="1:45" x14ac:dyDescent="0.25">
      <c r="A380" s="30" t="s">
        <v>26153</v>
      </c>
      <c r="B380" s="30" t="s">
        <v>27198</v>
      </c>
      <c r="C380" s="30" t="s">
        <v>10</v>
      </c>
      <c r="D380" s="139" t="s">
        <v>26079</v>
      </c>
      <c r="E380" s="30" t="s">
        <v>217</v>
      </c>
      <c r="F380" s="30">
        <v>1</v>
      </c>
      <c r="G380" s="30" t="s">
        <v>193</v>
      </c>
      <c r="H380" s="30" t="s">
        <v>194</v>
      </c>
      <c r="I380" s="30" t="s">
        <v>23198</v>
      </c>
      <c r="J380" s="30" t="s">
        <v>210</v>
      </c>
      <c r="K380" s="30" t="s">
        <v>9309</v>
      </c>
      <c r="L380" s="30" t="s">
        <v>6955</v>
      </c>
      <c r="M380" s="30"/>
      <c r="N380" s="30" t="s">
        <v>27199</v>
      </c>
      <c r="O380" s="30" t="s">
        <v>6261</v>
      </c>
      <c r="P380" s="30" t="s">
        <v>27279</v>
      </c>
      <c r="Q380" s="30" t="s">
        <v>26086</v>
      </c>
      <c r="R380" s="30" t="s">
        <v>26787</v>
      </c>
      <c r="S380" s="30" t="s">
        <v>27282</v>
      </c>
      <c r="T380" s="30" t="s">
        <v>27283</v>
      </c>
      <c r="U380" s="30"/>
      <c r="V380" s="139" t="s">
        <v>9334</v>
      </c>
      <c r="W380" s="30" t="s">
        <v>484</v>
      </c>
      <c r="X380" s="30" t="s">
        <v>194</v>
      </c>
      <c r="Y380" s="30" t="s">
        <v>9300</v>
      </c>
      <c r="Z380" s="30"/>
      <c r="AA380" s="30"/>
      <c r="AB380" s="30" t="s">
        <v>9311</v>
      </c>
      <c r="AC380" s="30"/>
      <c r="AD380" s="30"/>
      <c r="AE380" s="30"/>
      <c r="AF380" s="30"/>
      <c r="AG380" s="30"/>
      <c r="AH380" s="30" t="s">
        <v>4714</v>
      </c>
      <c r="AI380" s="30" t="s">
        <v>9433</v>
      </c>
      <c r="AJ380" s="641" t="str">
        <f t="shared" si="10"/>
        <v>251401</v>
      </c>
      <c r="AK380" s="641">
        <v>1</v>
      </c>
      <c r="AL380" s="641">
        <f t="shared" si="11"/>
        <v>1</v>
      </c>
      <c r="AM380" s="641">
        <v>1</v>
      </c>
      <c r="AN380" s="30" t="s">
        <v>17650</v>
      </c>
      <c r="AO380" s="30" t="s">
        <v>17651</v>
      </c>
      <c r="AP380" s="30" t="s">
        <v>17652</v>
      </c>
      <c r="AQ380" s="30" t="s">
        <v>17653</v>
      </c>
      <c r="AR380" s="30" t="s">
        <v>1024</v>
      </c>
      <c r="AS380" s="30">
        <v>1</v>
      </c>
    </row>
    <row r="381" spans="1:45" x14ac:dyDescent="0.25">
      <c r="A381" s="30" t="s">
        <v>26089</v>
      </c>
      <c r="B381" s="30" t="s">
        <v>26459</v>
      </c>
      <c r="C381" s="30" t="s">
        <v>129</v>
      </c>
      <c r="D381" s="139" t="s">
        <v>26079</v>
      </c>
      <c r="E381" s="30" t="s">
        <v>217</v>
      </c>
      <c r="F381" s="30">
        <v>1</v>
      </c>
      <c r="G381" s="30" t="s">
        <v>193</v>
      </c>
      <c r="H381" s="30" t="s">
        <v>194</v>
      </c>
      <c r="I381" s="30" t="s">
        <v>27253</v>
      </c>
      <c r="J381" s="30" t="s">
        <v>210</v>
      </c>
      <c r="K381" s="30" t="s">
        <v>9309</v>
      </c>
      <c r="L381" s="30" t="s">
        <v>6955</v>
      </c>
      <c r="M381" s="30"/>
      <c r="N381" s="30" t="s">
        <v>26460</v>
      </c>
      <c r="O381" s="30" t="s">
        <v>6261</v>
      </c>
      <c r="P381" s="30" t="s">
        <v>27279</v>
      </c>
      <c r="Q381" s="30" t="s">
        <v>26261</v>
      </c>
      <c r="R381" s="30" t="s">
        <v>26262</v>
      </c>
      <c r="S381" s="30" t="s">
        <v>27284</v>
      </c>
      <c r="T381" s="30" t="s">
        <v>27285</v>
      </c>
      <c r="U381" s="30"/>
      <c r="V381" s="139" t="s">
        <v>9334</v>
      </c>
      <c r="W381" s="30" t="s">
        <v>203</v>
      </c>
      <c r="X381" s="30" t="s">
        <v>194</v>
      </c>
      <c r="Y381" s="30" t="s">
        <v>9300</v>
      </c>
      <c r="Z381" s="30"/>
      <c r="AA381" s="30"/>
      <c r="AB381" s="30" t="s">
        <v>9311</v>
      </c>
      <c r="AC381" s="30"/>
      <c r="AD381" s="30"/>
      <c r="AE381" s="30"/>
      <c r="AF381" s="30"/>
      <c r="AG381" s="30"/>
      <c r="AH381" s="30" t="s">
        <v>4714</v>
      </c>
      <c r="AI381" s="30" t="s">
        <v>9433</v>
      </c>
      <c r="AJ381" s="641" t="str">
        <f t="shared" si="10"/>
        <v>121904</v>
      </c>
      <c r="AK381" s="641">
        <v>1</v>
      </c>
      <c r="AL381" s="641">
        <f t="shared" si="11"/>
        <v>1</v>
      </c>
      <c r="AM381" s="641">
        <v>1</v>
      </c>
      <c r="AN381" s="30" t="s">
        <v>17650</v>
      </c>
      <c r="AO381" s="30" t="s">
        <v>17651</v>
      </c>
      <c r="AP381" s="30" t="s">
        <v>17652</v>
      </c>
      <c r="AQ381" s="30" t="s">
        <v>17653</v>
      </c>
      <c r="AR381" s="30" t="s">
        <v>1024</v>
      </c>
      <c r="AS381" s="30">
        <v>1</v>
      </c>
    </row>
    <row r="382" spans="1:45" x14ac:dyDescent="0.25">
      <c r="A382" s="30" t="s">
        <v>9886</v>
      </c>
      <c r="B382" s="30" t="s">
        <v>26179</v>
      </c>
      <c r="C382" s="30" t="s">
        <v>706</v>
      </c>
      <c r="D382" s="139" t="s">
        <v>26079</v>
      </c>
      <c r="E382" s="30" t="s">
        <v>217</v>
      </c>
      <c r="F382" s="30">
        <v>1</v>
      </c>
      <c r="G382" s="30" t="s">
        <v>193</v>
      </c>
      <c r="H382" s="30" t="s">
        <v>194</v>
      </c>
      <c r="I382" s="30" t="s">
        <v>27260</v>
      </c>
      <c r="J382" s="30" t="s">
        <v>210</v>
      </c>
      <c r="K382" s="30" t="s">
        <v>9309</v>
      </c>
      <c r="L382" s="30" t="s">
        <v>6955</v>
      </c>
      <c r="M382" s="30"/>
      <c r="N382" s="30" t="s">
        <v>26181</v>
      </c>
      <c r="O382" s="30" t="s">
        <v>6251</v>
      </c>
      <c r="P382" s="30" t="s">
        <v>27279</v>
      </c>
      <c r="Q382" s="30" t="s">
        <v>26182</v>
      </c>
      <c r="R382" s="30" t="s">
        <v>26183</v>
      </c>
      <c r="S382" s="30" t="s">
        <v>27286</v>
      </c>
      <c r="T382" s="30" t="s">
        <v>27287</v>
      </c>
      <c r="U382" s="30"/>
      <c r="V382" s="139" t="s">
        <v>9334</v>
      </c>
      <c r="W382" s="30" t="s">
        <v>707</v>
      </c>
      <c r="X382" s="30" t="s">
        <v>194</v>
      </c>
      <c r="Y382" s="30" t="s">
        <v>9300</v>
      </c>
      <c r="Z382" s="30"/>
      <c r="AA382" s="30"/>
      <c r="AB382" s="30" t="s">
        <v>9311</v>
      </c>
      <c r="AC382" s="30"/>
      <c r="AD382" s="30"/>
      <c r="AE382" s="30"/>
      <c r="AF382" s="30"/>
      <c r="AG382" s="30"/>
      <c r="AH382" s="30" t="s">
        <v>4714</v>
      </c>
      <c r="AI382" s="30" t="s">
        <v>9433</v>
      </c>
      <c r="AJ382" s="641" t="str">
        <f t="shared" si="10"/>
        <v>422201</v>
      </c>
      <c r="AK382" s="641">
        <v>1</v>
      </c>
      <c r="AL382" s="641">
        <f t="shared" si="11"/>
        <v>1</v>
      </c>
      <c r="AM382" s="641">
        <v>1</v>
      </c>
      <c r="AN382" s="30" t="s">
        <v>17650</v>
      </c>
      <c r="AO382" s="30" t="s">
        <v>17651</v>
      </c>
      <c r="AP382" s="30" t="s">
        <v>17652</v>
      </c>
      <c r="AQ382" s="30" t="s">
        <v>17653</v>
      </c>
      <c r="AR382" s="30" t="s">
        <v>1024</v>
      </c>
      <c r="AS382" s="30">
        <v>1</v>
      </c>
    </row>
    <row r="383" spans="1:45" x14ac:dyDescent="0.25">
      <c r="A383" s="30" t="s">
        <v>26089</v>
      </c>
      <c r="B383" s="30" t="s">
        <v>26278</v>
      </c>
      <c r="C383" s="30" t="s">
        <v>16281</v>
      </c>
      <c r="D383" s="139" t="s">
        <v>26079</v>
      </c>
      <c r="E383" s="30" t="s">
        <v>217</v>
      </c>
      <c r="F383" s="30">
        <v>1</v>
      </c>
      <c r="G383" s="30" t="s">
        <v>193</v>
      </c>
      <c r="H383" s="30" t="s">
        <v>194</v>
      </c>
      <c r="I383" s="30" t="s">
        <v>27253</v>
      </c>
      <c r="J383" s="30" t="s">
        <v>210</v>
      </c>
      <c r="K383" s="30" t="s">
        <v>9309</v>
      </c>
      <c r="L383" s="30" t="s">
        <v>6955</v>
      </c>
      <c r="M383" s="30"/>
      <c r="N383" s="30" t="s">
        <v>26279</v>
      </c>
      <c r="O383" s="30" t="s">
        <v>6261</v>
      </c>
      <c r="P383" s="30" t="s">
        <v>27279</v>
      </c>
      <c r="Q383" s="30" t="s">
        <v>26261</v>
      </c>
      <c r="R383" s="30" t="s">
        <v>26262</v>
      </c>
      <c r="S383" s="30" t="s">
        <v>27288</v>
      </c>
      <c r="T383" s="30" t="s">
        <v>27289</v>
      </c>
      <c r="U383" s="30"/>
      <c r="V383" s="139" t="s">
        <v>9334</v>
      </c>
      <c r="W383" s="30" t="s">
        <v>9002</v>
      </c>
      <c r="X383" s="30" t="s">
        <v>194</v>
      </c>
      <c r="Y383" s="30" t="s">
        <v>9300</v>
      </c>
      <c r="Z383" s="30"/>
      <c r="AA383" s="30"/>
      <c r="AB383" s="30" t="s">
        <v>9311</v>
      </c>
      <c r="AC383" s="30"/>
      <c r="AD383" s="30"/>
      <c r="AE383" s="30"/>
      <c r="AF383" s="30"/>
      <c r="AG383" s="30"/>
      <c r="AH383" s="30" t="s">
        <v>4714</v>
      </c>
      <c r="AI383" s="30" t="s">
        <v>9433</v>
      </c>
      <c r="AJ383" s="641" t="str">
        <f t="shared" si="10"/>
        <v>252902</v>
      </c>
      <c r="AK383" s="641">
        <v>1</v>
      </c>
      <c r="AL383" s="641">
        <f t="shared" si="11"/>
        <v>1</v>
      </c>
      <c r="AM383" s="641">
        <v>1</v>
      </c>
      <c r="AN383" s="30" t="s">
        <v>17650</v>
      </c>
      <c r="AO383" s="30" t="s">
        <v>17651</v>
      </c>
      <c r="AP383" s="30" t="s">
        <v>17652</v>
      </c>
      <c r="AQ383" s="30" t="s">
        <v>17653</v>
      </c>
      <c r="AR383" s="30" t="s">
        <v>1024</v>
      </c>
      <c r="AS383" s="30">
        <v>1</v>
      </c>
    </row>
    <row r="384" spans="1:45" x14ac:dyDescent="0.25">
      <c r="A384" s="30" t="s">
        <v>716</v>
      </c>
      <c r="B384" s="30" t="s">
        <v>26342</v>
      </c>
      <c r="C384" s="30" t="s">
        <v>27290</v>
      </c>
      <c r="D384" s="139" t="s">
        <v>26079</v>
      </c>
      <c r="E384" s="30" t="s">
        <v>217</v>
      </c>
      <c r="F384" s="30">
        <v>1</v>
      </c>
      <c r="G384" s="30" t="s">
        <v>193</v>
      </c>
      <c r="H384" s="30" t="s">
        <v>194</v>
      </c>
      <c r="I384" s="30" t="s">
        <v>27277</v>
      </c>
      <c r="J384" s="30" t="s">
        <v>210</v>
      </c>
      <c r="K384" s="30" t="s">
        <v>9309</v>
      </c>
      <c r="L384" s="30" t="s">
        <v>6955</v>
      </c>
      <c r="M384" s="30"/>
      <c r="N384" s="30" t="s">
        <v>26356</v>
      </c>
      <c r="O384" s="30" t="s">
        <v>6921</v>
      </c>
      <c r="P384" s="30" t="s">
        <v>27279</v>
      </c>
      <c r="Q384" s="30" t="s">
        <v>26085</v>
      </c>
      <c r="R384" s="30" t="s">
        <v>26057</v>
      </c>
      <c r="S384" s="30" t="s">
        <v>27291</v>
      </c>
      <c r="T384" s="30" t="s">
        <v>27292</v>
      </c>
      <c r="U384" s="30"/>
      <c r="V384" s="139" t="s">
        <v>9334</v>
      </c>
      <c r="W384" s="30" t="s">
        <v>27293</v>
      </c>
      <c r="X384" s="30" t="s">
        <v>194</v>
      </c>
      <c r="Y384" s="30" t="s">
        <v>9300</v>
      </c>
      <c r="Z384" s="30"/>
      <c r="AA384" s="30"/>
      <c r="AB384" s="30" t="s">
        <v>9311</v>
      </c>
      <c r="AC384" s="30"/>
      <c r="AD384" s="30"/>
      <c r="AE384" s="30"/>
      <c r="AF384" s="30"/>
      <c r="AG384" s="30"/>
      <c r="AH384" s="30" t="s">
        <v>4714</v>
      </c>
      <c r="AI384" s="30" t="s">
        <v>9433</v>
      </c>
      <c r="AJ384" s="641" t="str">
        <f t="shared" si="10"/>
        <v>352290</v>
      </c>
      <c r="AK384" s="641">
        <v>1</v>
      </c>
      <c r="AL384" s="641">
        <f t="shared" si="11"/>
        <v>1</v>
      </c>
      <c r="AM384" s="641">
        <v>1</v>
      </c>
      <c r="AN384" s="30" t="s">
        <v>17650</v>
      </c>
      <c r="AO384" s="30" t="s">
        <v>17651</v>
      </c>
      <c r="AP384" s="30" t="s">
        <v>17652</v>
      </c>
      <c r="AQ384" s="30" t="s">
        <v>17653</v>
      </c>
      <c r="AR384" s="30" t="s">
        <v>1024</v>
      </c>
      <c r="AS384" s="30">
        <v>1</v>
      </c>
    </row>
    <row r="385" spans="1:45" x14ac:dyDescent="0.25">
      <c r="A385" s="30" t="s">
        <v>9886</v>
      </c>
      <c r="B385" s="30" t="s">
        <v>27092</v>
      </c>
      <c r="C385" s="30" t="s">
        <v>153</v>
      </c>
      <c r="D385" s="139" t="s">
        <v>26079</v>
      </c>
      <c r="E385" s="30" t="s">
        <v>217</v>
      </c>
      <c r="F385" s="30">
        <v>1</v>
      </c>
      <c r="G385" s="30" t="s">
        <v>193</v>
      </c>
      <c r="H385" s="30" t="s">
        <v>194</v>
      </c>
      <c r="I385" s="30" t="s">
        <v>23198</v>
      </c>
      <c r="J385" s="30" t="s">
        <v>210</v>
      </c>
      <c r="K385" s="30" t="s">
        <v>9309</v>
      </c>
      <c r="L385" s="30" t="s">
        <v>6955</v>
      </c>
      <c r="M385" s="30"/>
      <c r="N385" s="30" t="s">
        <v>27093</v>
      </c>
      <c r="O385" s="30" t="s">
        <v>6249</v>
      </c>
      <c r="P385" s="30" t="s">
        <v>27279</v>
      </c>
      <c r="Q385" s="30" t="s">
        <v>26942</v>
      </c>
      <c r="R385" s="30" t="s">
        <v>23708</v>
      </c>
      <c r="S385" s="30" t="s">
        <v>27294</v>
      </c>
      <c r="T385" s="30" t="s">
        <v>27295</v>
      </c>
      <c r="U385" s="30"/>
      <c r="V385" s="139" t="s">
        <v>9334</v>
      </c>
      <c r="W385" s="30" t="s">
        <v>2293</v>
      </c>
      <c r="X385" s="30" t="s">
        <v>194</v>
      </c>
      <c r="Y385" s="30" t="s">
        <v>9300</v>
      </c>
      <c r="Z385" s="30"/>
      <c r="AA385" s="30"/>
      <c r="AB385" s="30" t="s">
        <v>9311</v>
      </c>
      <c r="AC385" s="30"/>
      <c r="AD385" s="30"/>
      <c r="AE385" s="30"/>
      <c r="AF385" s="30"/>
      <c r="AG385" s="30"/>
      <c r="AH385" s="30" t="s">
        <v>4714</v>
      </c>
      <c r="AI385" s="30" t="s">
        <v>9433</v>
      </c>
      <c r="AJ385" s="641" t="str">
        <f t="shared" si="10"/>
        <v>333903</v>
      </c>
      <c r="AK385" s="641">
        <v>1</v>
      </c>
      <c r="AL385" s="641">
        <f t="shared" si="11"/>
        <v>1</v>
      </c>
      <c r="AM385" s="641">
        <v>1</v>
      </c>
      <c r="AN385" s="30" t="s">
        <v>17650</v>
      </c>
      <c r="AO385" s="30" t="s">
        <v>17651</v>
      </c>
      <c r="AP385" s="30" t="s">
        <v>17652</v>
      </c>
      <c r="AQ385" s="30" t="s">
        <v>17653</v>
      </c>
      <c r="AR385" s="30" t="s">
        <v>1024</v>
      </c>
      <c r="AS385" s="30">
        <v>1</v>
      </c>
    </row>
    <row r="386" spans="1:45" x14ac:dyDescent="0.25">
      <c r="A386" s="30" t="s">
        <v>716</v>
      </c>
      <c r="B386" s="30" t="s">
        <v>26658</v>
      </c>
      <c r="C386" s="30" t="s">
        <v>2861</v>
      </c>
      <c r="D386" s="139" t="s">
        <v>26079</v>
      </c>
      <c r="E386" s="30" t="s">
        <v>217</v>
      </c>
      <c r="F386" s="30">
        <v>1</v>
      </c>
      <c r="G386" s="30" t="s">
        <v>193</v>
      </c>
      <c r="H386" s="30" t="s">
        <v>194</v>
      </c>
      <c r="I386" s="30" t="s">
        <v>23198</v>
      </c>
      <c r="J386" s="30" t="s">
        <v>210</v>
      </c>
      <c r="K386" s="30" t="s">
        <v>9309</v>
      </c>
      <c r="L386" s="30" t="s">
        <v>6955</v>
      </c>
      <c r="M386" s="30"/>
      <c r="N386" s="30" t="s">
        <v>26947</v>
      </c>
      <c r="O386" s="30" t="s">
        <v>6290</v>
      </c>
      <c r="P386" s="30" t="s">
        <v>27279</v>
      </c>
      <c r="Q386" s="30" t="s">
        <v>26942</v>
      </c>
      <c r="R386" s="30" t="s">
        <v>23708</v>
      </c>
      <c r="S386" s="30" t="s">
        <v>27296</v>
      </c>
      <c r="T386" s="30" t="s">
        <v>27297</v>
      </c>
      <c r="U386" s="30"/>
      <c r="V386" s="139" t="s">
        <v>9334</v>
      </c>
      <c r="W386" s="30" t="s">
        <v>3629</v>
      </c>
      <c r="X386" s="30" t="s">
        <v>194</v>
      </c>
      <c r="Y386" s="30" t="s">
        <v>9300</v>
      </c>
      <c r="Z386" s="30"/>
      <c r="AA386" s="30"/>
      <c r="AB386" s="30" t="s">
        <v>9311</v>
      </c>
      <c r="AC386" s="30"/>
      <c r="AD386" s="30"/>
      <c r="AE386" s="30"/>
      <c r="AF386" s="30"/>
      <c r="AG386" s="30"/>
      <c r="AH386" s="30" t="s">
        <v>4714</v>
      </c>
      <c r="AI386" s="30" t="s">
        <v>9433</v>
      </c>
      <c r="AJ386" s="641" t="str">
        <f t="shared" si="10"/>
        <v>251903</v>
      </c>
      <c r="AK386" s="641">
        <v>1</v>
      </c>
      <c r="AL386" s="641">
        <f t="shared" si="11"/>
        <v>1</v>
      </c>
      <c r="AM386" s="641">
        <v>1</v>
      </c>
      <c r="AN386" s="30" t="s">
        <v>17650</v>
      </c>
      <c r="AO386" s="30" t="s">
        <v>17651</v>
      </c>
      <c r="AP386" s="30" t="s">
        <v>17652</v>
      </c>
      <c r="AQ386" s="30" t="s">
        <v>17653</v>
      </c>
      <c r="AR386" s="30" t="s">
        <v>1024</v>
      </c>
      <c r="AS386" s="30">
        <v>1</v>
      </c>
    </row>
    <row r="387" spans="1:45" x14ac:dyDescent="0.25">
      <c r="A387" s="30" t="s">
        <v>26153</v>
      </c>
      <c r="B387" s="30" t="s">
        <v>27298</v>
      </c>
      <c r="C387" s="30" t="s">
        <v>10</v>
      </c>
      <c r="D387" s="139" t="s">
        <v>26079</v>
      </c>
      <c r="E387" s="30" t="s">
        <v>217</v>
      </c>
      <c r="F387" s="30">
        <v>1</v>
      </c>
      <c r="G387" s="30" t="s">
        <v>193</v>
      </c>
      <c r="H387" s="30" t="s">
        <v>194</v>
      </c>
      <c r="I387" s="30" t="s">
        <v>27253</v>
      </c>
      <c r="J387" s="30" t="s">
        <v>210</v>
      </c>
      <c r="K387" s="30" t="s">
        <v>9309</v>
      </c>
      <c r="L387" s="30" t="s">
        <v>6955</v>
      </c>
      <c r="M387" s="30"/>
      <c r="N387" s="30" t="s">
        <v>27299</v>
      </c>
      <c r="O387" s="30" t="s">
        <v>6261</v>
      </c>
      <c r="P387" s="30" t="s">
        <v>27279</v>
      </c>
      <c r="Q387" s="30" t="s">
        <v>25893</v>
      </c>
      <c r="R387" s="30" t="s">
        <v>27300</v>
      </c>
      <c r="S387" s="30" t="s">
        <v>27301</v>
      </c>
      <c r="T387" s="30" t="s">
        <v>27302</v>
      </c>
      <c r="U387" s="30"/>
      <c r="V387" s="139" t="s">
        <v>9334</v>
      </c>
      <c r="W387" s="30" t="s">
        <v>484</v>
      </c>
      <c r="X387" s="30" t="s">
        <v>194</v>
      </c>
      <c r="Y387" s="30" t="s">
        <v>9300</v>
      </c>
      <c r="Z387" s="30"/>
      <c r="AA387" s="30"/>
      <c r="AB387" s="30" t="s">
        <v>9311</v>
      </c>
      <c r="AC387" s="30"/>
      <c r="AD387" s="30"/>
      <c r="AE387" s="30"/>
      <c r="AF387" s="30"/>
      <c r="AG387" s="30"/>
      <c r="AH387" s="30" t="s">
        <v>4714</v>
      </c>
      <c r="AI387" s="30" t="s">
        <v>9433</v>
      </c>
      <c r="AJ387" s="641" t="str">
        <f t="shared" ref="AJ387:AJ450" si="12">MID(W387,8,6)</f>
        <v>251401</v>
      </c>
      <c r="AK387" s="641">
        <v>1</v>
      </c>
      <c r="AL387" s="641">
        <f t="shared" ref="AL387:AL450" si="13">F387</f>
        <v>1</v>
      </c>
      <c r="AM387" s="641">
        <v>1</v>
      </c>
      <c r="AN387" s="30" t="s">
        <v>17650</v>
      </c>
      <c r="AO387" s="30" t="s">
        <v>17651</v>
      </c>
      <c r="AP387" s="30" t="s">
        <v>17652</v>
      </c>
      <c r="AQ387" s="30" t="s">
        <v>17653</v>
      </c>
      <c r="AR387" s="30" t="s">
        <v>1024</v>
      </c>
      <c r="AS387" s="30">
        <v>1</v>
      </c>
    </row>
    <row r="388" spans="1:45" x14ac:dyDescent="0.25">
      <c r="A388" s="30" t="s">
        <v>581</v>
      </c>
      <c r="B388" s="30" t="s">
        <v>20370</v>
      </c>
      <c r="C388" s="30" t="s">
        <v>122</v>
      </c>
      <c r="D388" s="139" t="s">
        <v>26079</v>
      </c>
      <c r="E388" s="30" t="s">
        <v>217</v>
      </c>
      <c r="F388" s="30">
        <v>1</v>
      </c>
      <c r="G388" s="30" t="s">
        <v>193</v>
      </c>
      <c r="H388" s="30" t="s">
        <v>194</v>
      </c>
      <c r="I388" s="30" t="s">
        <v>27253</v>
      </c>
      <c r="J388" s="30" t="s">
        <v>210</v>
      </c>
      <c r="K388" s="30" t="s">
        <v>9309</v>
      </c>
      <c r="L388" s="30" t="s">
        <v>6955</v>
      </c>
      <c r="M388" s="30"/>
      <c r="N388" s="30" t="s">
        <v>27006</v>
      </c>
      <c r="O388" s="30" t="s">
        <v>6249</v>
      </c>
      <c r="P388" s="30" t="s">
        <v>27279</v>
      </c>
      <c r="Q388" s="30" t="s">
        <v>24551</v>
      </c>
      <c r="R388" s="30" t="s">
        <v>23708</v>
      </c>
      <c r="S388" s="30" t="s">
        <v>27303</v>
      </c>
      <c r="T388" s="30" t="s">
        <v>27304</v>
      </c>
      <c r="U388" s="30"/>
      <c r="V388" s="139" t="s">
        <v>9334</v>
      </c>
      <c r="W388" s="30" t="s">
        <v>655</v>
      </c>
      <c r="X388" s="30" t="s">
        <v>194</v>
      </c>
      <c r="Y388" s="30" t="s">
        <v>9300</v>
      </c>
      <c r="Z388" s="30"/>
      <c r="AA388" s="30"/>
      <c r="AB388" s="30" t="s">
        <v>9311</v>
      </c>
      <c r="AC388" s="30"/>
      <c r="AD388" s="30"/>
      <c r="AE388" s="30"/>
      <c r="AF388" s="30"/>
      <c r="AG388" s="30"/>
      <c r="AH388" s="30" t="s">
        <v>4714</v>
      </c>
      <c r="AI388" s="30" t="s">
        <v>9433</v>
      </c>
      <c r="AJ388" s="641" t="str">
        <f t="shared" si="12"/>
        <v>332301</v>
      </c>
      <c r="AK388" s="641">
        <v>1</v>
      </c>
      <c r="AL388" s="641">
        <f t="shared" si="13"/>
        <v>1</v>
      </c>
      <c r="AM388" s="641">
        <v>1</v>
      </c>
      <c r="AN388" s="30" t="s">
        <v>17650</v>
      </c>
      <c r="AO388" s="30" t="s">
        <v>17651</v>
      </c>
      <c r="AP388" s="30" t="s">
        <v>17652</v>
      </c>
      <c r="AQ388" s="30" t="s">
        <v>17653</v>
      </c>
      <c r="AR388" s="30" t="s">
        <v>1024</v>
      </c>
      <c r="AS388" s="30">
        <v>1</v>
      </c>
    </row>
    <row r="389" spans="1:45" x14ac:dyDescent="0.25">
      <c r="A389" s="30" t="s">
        <v>581</v>
      </c>
      <c r="B389" s="30" t="s">
        <v>3873</v>
      </c>
      <c r="C389" s="30" t="s">
        <v>62</v>
      </c>
      <c r="D389" s="139" t="s">
        <v>26079</v>
      </c>
      <c r="E389" s="30" t="s">
        <v>217</v>
      </c>
      <c r="F389" s="30">
        <v>1</v>
      </c>
      <c r="G389" s="30" t="s">
        <v>193</v>
      </c>
      <c r="H389" s="30" t="s">
        <v>194</v>
      </c>
      <c r="I389" s="30" t="s">
        <v>27253</v>
      </c>
      <c r="J389" s="30" t="s">
        <v>976</v>
      </c>
      <c r="K389" s="30" t="s">
        <v>9309</v>
      </c>
      <c r="L389" s="30" t="s">
        <v>6955</v>
      </c>
      <c r="M389" s="30"/>
      <c r="N389" s="30" t="s">
        <v>27108</v>
      </c>
      <c r="O389" s="30" t="s">
        <v>6275</v>
      </c>
      <c r="P389" s="30" t="s">
        <v>27279</v>
      </c>
      <c r="Q389" s="30" t="s">
        <v>26160</v>
      </c>
      <c r="R389" s="30" t="s">
        <v>26262</v>
      </c>
      <c r="S389" s="30" t="s">
        <v>27305</v>
      </c>
      <c r="T389" s="30" t="s">
        <v>27306</v>
      </c>
      <c r="U389" s="139"/>
      <c r="V389" s="139" t="s">
        <v>28321</v>
      </c>
      <c r="W389" s="30" t="s">
        <v>601</v>
      </c>
      <c r="X389" s="30" t="s">
        <v>193</v>
      </c>
      <c r="Y389" s="30" t="s">
        <v>9310</v>
      </c>
      <c r="Z389" s="30"/>
      <c r="AA389" s="30"/>
      <c r="AB389" s="30" t="s">
        <v>9311</v>
      </c>
      <c r="AC389" s="30"/>
      <c r="AD389" s="30"/>
      <c r="AE389" s="30"/>
      <c r="AF389" s="30"/>
      <c r="AG389" s="30"/>
      <c r="AH389" s="30" t="s">
        <v>4714</v>
      </c>
      <c r="AI389" s="30" t="s">
        <v>9433</v>
      </c>
      <c r="AJ389" s="641" t="str">
        <f t="shared" si="12"/>
        <v>313904</v>
      </c>
      <c r="AK389" s="641">
        <v>1</v>
      </c>
      <c r="AL389" s="641">
        <f t="shared" si="13"/>
        <v>1</v>
      </c>
      <c r="AM389" s="641">
        <v>1</v>
      </c>
      <c r="AN389" s="30" t="s">
        <v>17650</v>
      </c>
      <c r="AO389" s="30" t="s">
        <v>17651</v>
      </c>
      <c r="AP389" s="30" t="s">
        <v>17652</v>
      </c>
      <c r="AQ389" s="30" t="s">
        <v>17653</v>
      </c>
      <c r="AR389" s="30" t="s">
        <v>1024</v>
      </c>
      <c r="AS389" s="30">
        <v>1</v>
      </c>
    </row>
    <row r="390" spans="1:45" x14ac:dyDescent="0.25">
      <c r="A390" s="30" t="s">
        <v>716</v>
      </c>
      <c r="B390" s="30" t="s">
        <v>27307</v>
      </c>
      <c r="C390" s="30" t="s">
        <v>706</v>
      </c>
      <c r="D390" s="139" t="s">
        <v>26079</v>
      </c>
      <c r="E390" s="30" t="s">
        <v>217</v>
      </c>
      <c r="F390" s="30">
        <v>1</v>
      </c>
      <c r="G390" s="30" t="s">
        <v>193</v>
      </c>
      <c r="H390" s="30" t="s">
        <v>194</v>
      </c>
      <c r="I390" s="30" t="s">
        <v>27253</v>
      </c>
      <c r="J390" s="30" t="s">
        <v>210</v>
      </c>
      <c r="K390" s="30" t="s">
        <v>9309</v>
      </c>
      <c r="L390" s="30" t="s">
        <v>6955</v>
      </c>
      <c r="M390" s="30"/>
      <c r="N390" s="30" t="s">
        <v>27308</v>
      </c>
      <c r="O390" s="30" t="s">
        <v>6327</v>
      </c>
      <c r="P390" s="30" t="s">
        <v>27279</v>
      </c>
      <c r="Q390" s="30" t="s">
        <v>26139</v>
      </c>
      <c r="R390" s="30" t="s">
        <v>27256</v>
      </c>
      <c r="S390" s="30" t="s">
        <v>27309</v>
      </c>
      <c r="T390" s="30" t="s">
        <v>27310</v>
      </c>
      <c r="U390" s="30"/>
      <c r="V390" s="139" t="s">
        <v>9334</v>
      </c>
      <c r="W390" s="30" t="s">
        <v>707</v>
      </c>
      <c r="X390" s="30" t="s">
        <v>194</v>
      </c>
      <c r="Y390" s="30" t="s">
        <v>9300</v>
      </c>
      <c r="Z390" s="30"/>
      <c r="AA390" s="30"/>
      <c r="AB390" s="30" t="s">
        <v>9311</v>
      </c>
      <c r="AC390" s="30"/>
      <c r="AD390" s="30"/>
      <c r="AE390" s="30"/>
      <c r="AF390" s="30"/>
      <c r="AG390" s="30"/>
      <c r="AH390" s="30" t="s">
        <v>4714</v>
      </c>
      <c r="AI390" s="30" t="s">
        <v>9433</v>
      </c>
      <c r="AJ390" s="641" t="str">
        <f t="shared" si="12"/>
        <v>422201</v>
      </c>
      <c r="AK390" s="641">
        <v>1</v>
      </c>
      <c r="AL390" s="641">
        <f t="shared" si="13"/>
        <v>1</v>
      </c>
      <c r="AM390" s="641">
        <v>1</v>
      </c>
      <c r="AN390" s="30" t="s">
        <v>17650</v>
      </c>
      <c r="AO390" s="30" t="s">
        <v>17651</v>
      </c>
      <c r="AP390" s="30" t="s">
        <v>17652</v>
      </c>
      <c r="AQ390" s="30" t="s">
        <v>17653</v>
      </c>
      <c r="AR390" s="30" t="s">
        <v>1024</v>
      </c>
      <c r="AS390" s="30">
        <v>1</v>
      </c>
    </row>
    <row r="391" spans="1:45" x14ac:dyDescent="0.25">
      <c r="A391" s="30" t="s">
        <v>26678</v>
      </c>
      <c r="B391" s="30" t="s">
        <v>1606</v>
      </c>
      <c r="C391" s="30" t="s">
        <v>22</v>
      </c>
      <c r="D391" s="139" t="s">
        <v>26079</v>
      </c>
      <c r="E391" s="30" t="s">
        <v>217</v>
      </c>
      <c r="F391" s="30">
        <v>1</v>
      </c>
      <c r="G391" s="30" t="s">
        <v>193</v>
      </c>
      <c r="H391" s="30" t="s">
        <v>194</v>
      </c>
      <c r="I391" s="30" t="s">
        <v>27253</v>
      </c>
      <c r="J391" s="30" t="s">
        <v>253</v>
      </c>
      <c r="K391" s="30" t="s">
        <v>9309</v>
      </c>
      <c r="L391" s="30" t="s">
        <v>6955</v>
      </c>
      <c r="M391" s="30"/>
      <c r="N391" s="30" t="s">
        <v>26679</v>
      </c>
      <c r="O391" s="30" t="s">
        <v>21401</v>
      </c>
      <c r="P391" s="30" t="s">
        <v>27311</v>
      </c>
      <c r="Q391" s="30" t="s">
        <v>26189</v>
      </c>
      <c r="R391" s="30" t="s">
        <v>27312</v>
      </c>
      <c r="S391" s="30" t="s">
        <v>27313</v>
      </c>
      <c r="T391" s="30" t="s">
        <v>27314</v>
      </c>
      <c r="U391" s="30"/>
      <c r="V391" s="139" t="s">
        <v>9468</v>
      </c>
      <c r="W391" s="30" t="s">
        <v>1608</v>
      </c>
      <c r="X391" s="30" t="s">
        <v>194</v>
      </c>
      <c r="Y391" s="30" t="s">
        <v>9300</v>
      </c>
      <c r="Z391" s="30"/>
      <c r="AA391" s="30"/>
      <c r="AB391" s="30" t="s">
        <v>9311</v>
      </c>
      <c r="AC391" s="30"/>
      <c r="AD391" s="30"/>
      <c r="AE391" s="30"/>
      <c r="AF391" s="30"/>
      <c r="AG391" s="30"/>
      <c r="AH391" s="30" t="s">
        <v>4714</v>
      </c>
      <c r="AI391" s="30" t="s">
        <v>9433</v>
      </c>
      <c r="AJ391" s="641" t="str">
        <f t="shared" si="12"/>
        <v>228101</v>
      </c>
      <c r="AK391" s="641">
        <v>1</v>
      </c>
      <c r="AL391" s="641">
        <f t="shared" si="13"/>
        <v>1</v>
      </c>
      <c r="AM391" s="641">
        <v>1</v>
      </c>
      <c r="AN391" s="30" t="s">
        <v>17650</v>
      </c>
      <c r="AO391" s="30" t="s">
        <v>17651</v>
      </c>
      <c r="AP391" s="30" t="s">
        <v>17652</v>
      </c>
      <c r="AQ391" s="30" t="s">
        <v>17653</v>
      </c>
      <c r="AR391" s="30" t="s">
        <v>1024</v>
      </c>
      <c r="AS391" s="30">
        <v>1</v>
      </c>
    </row>
    <row r="392" spans="1:45" x14ac:dyDescent="0.25">
      <c r="A392" s="30" t="s">
        <v>26089</v>
      </c>
      <c r="B392" s="30" t="s">
        <v>26502</v>
      </c>
      <c r="C392" s="30" t="s">
        <v>46</v>
      </c>
      <c r="D392" s="139" t="s">
        <v>26079</v>
      </c>
      <c r="E392" s="30" t="s">
        <v>217</v>
      </c>
      <c r="F392" s="30">
        <v>1</v>
      </c>
      <c r="G392" s="30" t="s">
        <v>193</v>
      </c>
      <c r="H392" s="30" t="s">
        <v>194</v>
      </c>
      <c r="I392" s="30" t="s">
        <v>26133</v>
      </c>
      <c r="J392" s="30" t="s">
        <v>210</v>
      </c>
      <c r="K392" s="30" t="s">
        <v>9309</v>
      </c>
      <c r="L392" s="30" t="s">
        <v>6955</v>
      </c>
      <c r="M392" s="30"/>
      <c r="N392" s="30" t="s">
        <v>26503</v>
      </c>
      <c r="O392" s="30" t="s">
        <v>6261</v>
      </c>
      <c r="P392" s="30" t="s">
        <v>27279</v>
      </c>
      <c r="Q392" s="30" t="s">
        <v>26092</v>
      </c>
      <c r="R392" s="30" t="s">
        <v>26093</v>
      </c>
      <c r="S392" s="30" t="s">
        <v>27315</v>
      </c>
      <c r="T392" s="30" t="s">
        <v>27316</v>
      </c>
      <c r="U392" s="30"/>
      <c r="V392" s="139" t="s">
        <v>9334</v>
      </c>
      <c r="W392" s="30" t="s">
        <v>510</v>
      </c>
      <c r="X392" s="30" t="s">
        <v>194</v>
      </c>
      <c r="Y392" s="30" t="s">
        <v>9300</v>
      </c>
      <c r="Z392" s="30"/>
      <c r="AA392" s="30"/>
      <c r="AB392" s="30" t="s">
        <v>9311</v>
      </c>
      <c r="AC392" s="30"/>
      <c r="AD392" s="30"/>
      <c r="AE392" s="30"/>
      <c r="AF392" s="30"/>
      <c r="AG392" s="30"/>
      <c r="AH392" s="30" t="s">
        <v>4714</v>
      </c>
      <c r="AI392" s="30" t="s">
        <v>9433</v>
      </c>
      <c r="AJ392" s="641" t="str">
        <f t="shared" si="12"/>
        <v>252201</v>
      </c>
      <c r="AK392" s="641">
        <v>1</v>
      </c>
      <c r="AL392" s="641">
        <f t="shared" si="13"/>
        <v>1</v>
      </c>
      <c r="AM392" s="641">
        <v>1</v>
      </c>
      <c r="AN392" s="30" t="s">
        <v>17650</v>
      </c>
      <c r="AO392" s="30" t="s">
        <v>17651</v>
      </c>
      <c r="AP392" s="30" t="s">
        <v>17652</v>
      </c>
      <c r="AQ392" s="30" t="s">
        <v>17653</v>
      </c>
      <c r="AR392" s="30" t="s">
        <v>1024</v>
      </c>
      <c r="AS392" s="30">
        <v>1</v>
      </c>
    </row>
    <row r="393" spans="1:45" x14ac:dyDescent="0.25">
      <c r="A393" s="30" t="s">
        <v>716</v>
      </c>
      <c r="B393" s="30" t="s">
        <v>26658</v>
      </c>
      <c r="C393" s="30" t="s">
        <v>2861</v>
      </c>
      <c r="D393" s="139" t="s">
        <v>26079</v>
      </c>
      <c r="E393" s="30" t="s">
        <v>217</v>
      </c>
      <c r="F393" s="30">
        <v>1</v>
      </c>
      <c r="G393" s="30" t="s">
        <v>193</v>
      </c>
      <c r="H393" s="30" t="s">
        <v>194</v>
      </c>
      <c r="I393" s="30" t="s">
        <v>23198</v>
      </c>
      <c r="J393" s="30" t="s">
        <v>210</v>
      </c>
      <c r="K393" s="30" t="s">
        <v>9309</v>
      </c>
      <c r="L393" s="30" t="s">
        <v>6955</v>
      </c>
      <c r="M393" s="30"/>
      <c r="N393" s="30" t="s">
        <v>26659</v>
      </c>
      <c r="O393" s="30" t="s">
        <v>6261</v>
      </c>
      <c r="P393" s="30" t="s">
        <v>27279</v>
      </c>
      <c r="Q393" s="30" t="s">
        <v>26085</v>
      </c>
      <c r="R393" s="30" t="s">
        <v>26057</v>
      </c>
      <c r="S393" s="30" t="s">
        <v>27317</v>
      </c>
      <c r="T393" s="30" t="s">
        <v>27318</v>
      </c>
      <c r="U393" s="30"/>
      <c r="V393" s="139" t="s">
        <v>9334</v>
      </c>
      <c r="W393" s="30" t="s">
        <v>3629</v>
      </c>
      <c r="X393" s="30" t="s">
        <v>194</v>
      </c>
      <c r="Y393" s="30" t="s">
        <v>9300</v>
      </c>
      <c r="Z393" s="30"/>
      <c r="AA393" s="30"/>
      <c r="AB393" s="30" t="s">
        <v>9311</v>
      </c>
      <c r="AC393" s="30"/>
      <c r="AD393" s="30"/>
      <c r="AE393" s="30"/>
      <c r="AF393" s="30"/>
      <c r="AG393" s="30"/>
      <c r="AH393" s="30" t="s">
        <v>4714</v>
      </c>
      <c r="AI393" s="30" t="s">
        <v>9433</v>
      </c>
      <c r="AJ393" s="641" t="str">
        <f t="shared" si="12"/>
        <v>251903</v>
      </c>
      <c r="AK393" s="641">
        <v>1</v>
      </c>
      <c r="AL393" s="641">
        <f t="shared" si="13"/>
        <v>1</v>
      </c>
      <c r="AM393" s="641">
        <v>1</v>
      </c>
      <c r="AN393" s="30" t="s">
        <v>17650</v>
      </c>
      <c r="AO393" s="30" t="s">
        <v>17651</v>
      </c>
      <c r="AP393" s="30" t="s">
        <v>17652</v>
      </c>
      <c r="AQ393" s="30" t="s">
        <v>17653</v>
      </c>
      <c r="AR393" s="30" t="s">
        <v>1024</v>
      </c>
      <c r="AS393" s="30">
        <v>1</v>
      </c>
    </row>
    <row r="394" spans="1:45" x14ac:dyDescent="0.25">
      <c r="A394" s="30" t="s">
        <v>26089</v>
      </c>
      <c r="B394" s="30" t="s">
        <v>26305</v>
      </c>
      <c r="C394" s="30" t="s">
        <v>26180</v>
      </c>
      <c r="D394" s="139" t="s">
        <v>26079</v>
      </c>
      <c r="E394" s="30" t="s">
        <v>217</v>
      </c>
      <c r="F394" s="30">
        <v>1</v>
      </c>
      <c r="G394" s="30" t="s">
        <v>193</v>
      </c>
      <c r="H394" s="30" t="s">
        <v>194</v>
      </c>
      <c r="I394" s="30" t="s">
        <v>27260</v>
      </c>
      <c r="J394" s="30" t="s">
        <v>210</v>
      </c>
      <c r="K394" s="30" t="s">
        <v>9309</v>
      </c>
      <c r="L394" s="30" t="s">
        <v>6955</v>
      </c>
      <c r="M394" s="30"/>
      <c r="N394" s="30" t="s">
        <v>26606</v>
      </c>
      <c r="O394" s="30" t="s">
        <v>7120</v>
      </c>
      <c r="P394" s="30" t="s">
        <v>27279</v>
      </c>
      <c r="Q394" s="30" t="s">
        <v>26092</v>
      </c>
      <c r="R394" s="30" t="s">
        <v>26093</v>
      </c>
      <c r="S394" s="30" t="s">
        <v>27319</v>
      </c>
      <c r="T394" s="30" t="s">
        <v>27320</v>
      </c>
      <c r="U394" s="30"/>
      <c r="V394" s="139" t="s">
        <v>9334</v>
      </c>
      <c r="W394" s="30" t="s">
        <v>26186</v>
      </c>
      <c r="X394" s="30" t="s">
        <v>194</v>
      </c>
      <c r="Y394" s="30" t="s">
        <v>9300</v>
      </c>
      <c r="Z394" s="30"/>
      <c r="AA394" s="30"/>
      <c r="AB394" s="30" t="s">
        <v>9311</v>
      </c>
      <c r="AC394" s="30"/>
      <c r="AD394" s="30"/>
      <c r="AE394" s="30"/>
      <c r="AF394" s="30"/>
      <c r="AG394" s="30"/>
      <c r="AH394" s="30" t="s">
        <v>4714</v>
      </c>
      <c r="AI394" s="30" t="s">
        <v>9433</v>
      </c>
      <c r="AJ394" s="641" t="str">
        <f t="shared" si="12"/>
        <v>421108</v>
      </c>
      <c r="AK394" s="641">
        <v>1</v>
      </c>
      <c r="AL394" s="641">
        <f t="shared" si="13"/>
        <v>1</v>
      </c>
      <c r="AM394" s="641">
        <v>1</v>
      </c>
      <c r="AN394" s="30" t="s">
        <v>17650</v>
      </c>
      <c r="AO394" s="30" t="s">
        <v>17651</v>
      </c>
      <c r="AP394" s="30" t="s">
        <v>17652</v>
      </c>
      <c r="AQ394" s="30" t="s">
        <v>17653</v>
      </c>
      <c r="AR394" s="30" t="s">
        <v>1024</v>
      </c>
      <c r="AS394" s="30">
        <v>1</v>
      </c>
    </row>
    <row r="395" spans="1:45" x14ac:dyDescent="0.25">
      <c r="A395" s="30" t="s">
        <v>4022</v>
      </c>
      <c r="B395" s="30" t="s">
        <v>26843</v>
      </c>
      <c r="C395" s="30" t="s">
        <v>354</v>
      </c>
      <c r="D395" s="139" t="s">
        <v>26079</v>
      </c>
      <c r="E395" s="30" t="s">
        <v>217</v>
      </c>
      <c r="F395" s="30">
        <v>1</v>
      </c>
      <c r="G395" s="30" t="s">
        <v>193</v>
      </c>
      <c r="H395" s="30" t="s">
        <v>194</v>
      </c>
      <c r="I395" s="30" t="s">
        <v>27253</v>
      </c>
      <c r="J395" s="30" t="s">
        <v>6883</v>
      </c>
      <c r="K395" s="30" t="s">
        <v>9309</v>
      </c>
      <c r="L395" s="30" t="s">
        <v>6955</v>
      </c>
      <c r="M395" s="30"/>
      <c r="N395" s="30" t="s">
        <v>27321</v>
      </c>
      <c r="O395" s="30" t="s">
        <v>6258</v>
      </c>
      <c r="P395" s="30" t="s">
        <v>27311</v>
      </c>
      <c r="Q395" s="30" t="s">
        <v>26027</v>
      </c>
      <c r="R395" s="30" t="s">
        <v>27312</v>
      </c>
      <c r="S395" s="30" t="s">
        <v>27322</v>
      </c>
      <c r="T395" s="30" t="s">
        <v>27323</v>
      </c>
      <c r="U395" s="139"/>
      <c r="V395" s="139" t="s">
        <v>28321</v>
      </c>
      <c r="W395" s="30" t="s">
        <v>355</v>
      </c>
      <c r="X395" s="30" t="s">
        <v>193</v>
      </c>
      <c r="Y395" s="30" t="s">
        <v>9310</v>
      </c>
      <c r="Z395" s="30"/>
      <c r="AA395" s="30"/>
      <c r="AB395" s="30" t="s">
        <v>9311</v>
      </c>
      <c r="AC395" s="30"/>
      <c r="AD395" s="30"/>
      <c r="AE395" s="30"/>
      <c r="AF395" s="30"/>
      <c r="AG395" s="30"/>
      <c r="AH395" s="30" t="s">
        <v>4714</v>
      </c>
      <c r="AI395" s="30" t="s">
        <v>9433</v>
      </c>
      <c r="AJ395" s="641" t="str">
        <f t="shared" si="12"/>
        <v>215103</v>
      </c>
      <c r="AK395" s="641">
        <v>1</v>
      </c>
      <c r="AL395" s="641">
        <f t="shared" si="13"/>
        <v>1</v>
      </c>
      <c r="AM395" s="641">
        <v>1</v>
      </c>
      <c r="AN395" s="30" t="s">
        <v>17650</v>
      </c>
      <c r="AO395" s="30" t="s">
        <v>17651</v>
      </c>
      <c r="AP395" s="30" t="s">
        <v>17652</v>
      </c>
      <c r="AQ395" s="30" t="s">
        <v>17653</v>
      </c>
      <c r="AR395" s="30" t="s">
        <v>1024</v>
      </c>
      <c r="AS395" s="30">
        <v>1</v>
      </c>
    </row>
    <row r="396" spans="1:45" x14ac:dyDescent="0.25">
      <c r="A396" s="30" t="s">
        <v>26153</v>
      </c>
      <c r="B396" s="30" t="s">
        <v>23921</v>
      </c>
      <c r="C396" s="30" t="s">
        <v>10</v>
      </c>
      <c r="D396" s="139" t="s">
        <v>26079</v>
      </c>
      <c r="E396" s="30" t="s">
        <v>217</v>
      </c>
      <c r="F396" s="30">
        <v>1</v>
      </c>
      <c r="G396" s="30" t="s">
        <v>193</v>
      </c>
      <c r="H396" s="30" t="s">
        <v>194</v>
      </c>
      <c r="I396" s="30" t="s">
        <v>23198</v>
      </c>
      <c r="J396" s="30" t="s">
        <v>210</v>
      </c>
      <c r="K396" s="30" t="s">
        <v>9309</v>
      </c>
      <c r="L396" s="30" t="s">
        <v>6955</v>
      </c>
      <c r="M396" s="30"/>
      <c r="N396" s="30" t="s">
        <v>26866</v>
      </c>
      <c r="O396" s="30" t="s">
        <v>6261</v>
      </c>
      <c r="P396" s="30" t="s">
        <v>27279</v>
      </c>
      <c r="Q396" s="30" t="s">
        <v>26056</v>
      </c>
      <c r="R396" s="30" t="s">
        <v>23128</v>
      </c>
      <c r="S396" s="30" t="s">
        <v>27324</v>
      </c>
      <c r="T396" s="30" t="s">
        <v>27325</v>
      </c>
      <c r="U396" s="30"/>
      <c r="V396" s="139" t="s">
        <v>9334</v>
      </c>
      <c r="W396" s="30" t="s">
        <v>484</v>
      </c>
      <c r="X396" s="30" t="s">
        <v>194</v>
      </c>
      <c r="Y396" s="30" t="s">
        <v>9300</v>
      </c>
      <c r="Z396" s="30"/>
      <c r="AA396" s="30"/>
      <c r="AB396" s="30" t="s">
        <v>9311</v>
      </c>
      <c r="AC396" s="30"/>
      <c r="AD396" s="30"/>
      <c r="AE396" s="30"/>
      <c r="AF396" s="30"/>
      <c r="AG396" s="30"/>
      <c r="AH396" s="30" t="s">
        <v>4714</v>
      </c>
      <c r="AI396" s="30" t="s">
        <v>9433</v>
      </c>
      <c r="AJ396" s="641" t="str">
        <f t="shared" si="12"/>
        <v>251401</v>
      </c>
      <c r="AK396" s="641">
        <v>1</v>
      </c>
      <c r="AL396" s="641">
        <f t="shared" si="13"/>
        <v>1</v>
      </c>
      <c r="AM396" s="641">
        <v>1</v>
      </c>
      <c r="AN396" s="30" t="s">
        <v>17650</v>
      </c>
      <c r="AO396" s="30" t="s">
        <v>17651</v>
      </c>
      <c r="AP396" s="30" t="s">
        <v>17652</v>
      </c>
      <c r="AQ396" s="30" t="s">
        <v>17653</v>
      </c>
      <c r="AR396" s="30" t="s">
        <v>1024</v>
      </c>
      <c r="AS396" s="30">
        <v>1</v>
      </c>
    </row>
    <row r="397" spans="1:45" x14ac:dyDescent="0.25">
      <c r="A397" s="30" t="s">
        <v>716</v>
      </c>
      <c r="B397" s="30" t="s">
        <v>27326</v>
      </c>
      <c r="C397" s="30" t="s">
        <v>706</v>
      </c>
      <c r="D397" s="139" t="s">
        <v>26079</v>
      </c>
      <c r="E397" s="30" t="s">
        <v>217</v>
      </c>
      <c r="F397" s="30">
        <v>1</v>
      </c>
      <c r="G397" s="30" t="s">
        <v>193</v>
      </c>
      <c r="H397" s="30" t="s">
        <v>194</v>
      </c>
      <c r="I397" s="30" t="s">
        <v>27277</v>
      </c>
      <c r="J397" s="30" t="s">
        <v>210</v>
      </c>
      <c r="K397" s="30" t="s">
        <v>9309</v>
      </c>
      <c r="L397" s="30" t="s">
        <v>6955</v>
      </c>
      <c r="M397" s="30"/>
      <c r="N397" s="30" t="s">
        <v>27327</v>
      </c>
      <c r="O397" s="30" t="s">
        <v>6251</v>
      </c>
      <c r="P397" s="30" t="s">
        <v>27279</v>
      </c>
      <c r="Q397" s="30" t="s">
        <v>26109</v>
      </c>
      <c r="R397" s="30" t="s">
        <v>27328</v>
      </c>
      <c r="S397" s="30" t="s">
        <v>27329</v>
      </c>
      <c r="T397" s="30" t="s">
        <v>27330</v>
      </c>
      <c r="U397" s="30"/>
      <c r="V397" s="139" t="s">
        <v>9334</v>
      </c>
      <c r="W397" s="30" t="s">
        <v>707</v>
      </c>
      <c r="X397" s="30" t="s">
        <v>194</v>
      </c>
      <c r="Y397" s="30" t="s">
        <v>9300</v>
      </c>
      <c r="Z397" s="30"/>
      <c r="AA397" s="30"/>
      <c r="AB397" s="30" t="s">
        <v>9311</v>
      </c>
      <c r="AC397" s="30"/>
      <c r="AD397" s="30"/>
      <c r="AE397" s="30"/>
      <c r="AF397" s="30"/>
      <c r="AG397" s="30"/>
      <c r="AH397" s="30" t="s">
        <v>4714</v>
      </c>
      <c r="AI397" s="30" t="s">
        <v>9433</v>
      </c>
      <c r="AJ397" s="641" t="str">
        <f t="shared" si="12"/>
        <v>422201</v>
      </c>
      <c r="AK397" s="641">
        <v>1</v>
      </c>
      <c r="AL397" s="641">
        <f t="shared" si="13"/>
        <v>1</v>
      </c>
      <c r="AM397" s="641">
        <v>1</v>
      </c>
      <c r="AN397" s="30" t="s">
        <v>17650</v>
      </c>
      <c r="AO397" s="30" t="s">
        <v>17651</v>
      </c>
      <c r="AP397" s="30" t="s">
        <v>17652</v>
      </c>
      <c r="AQ397" s="30" t="s">
        <v>17653</v>
      </c>
      <c r="AR397" s="30" t="s">
        <v>1024</v>
      </c>
      <c r="AS397" s="30">
        <v>1</v>
      </c>
    </row>
    <row r="398" spans="1:45" x14ac:dyDescent="0.25">
      <c r="A398" s="30" t="s">
        <v>716</v>
      </c>
      <c r="B398" s="30" t="s">
        <v>27331</v>
      </c>
      <c r="C398" s="30" t="s">
        <v>706</v>
      </c>
      <c r="D398" s="139" t="s">
        <v>26079</v>
      </c>
      <c r="E398" s="30" t="s">
        <v>217</v>
      </c>
      <c r="F398" s="30">
        <v>1</v>
      </c>
      <c r="G398" s="30" t="s">
        <v>193</v>
      </c>
      <c r="H398" s="30" t="s">
        <v>194</v>
      </c>
      <c r="I398" s="30" t="s">
        <v>27277</v>
      </c>
      <c r="J398" s="30" t="s">
        <v>210</v>
      </c>
      <c r="K398" s="30" t="s">
        <v>9309</v>
      </c>
      <c r="L398" s="30" t="s">
        <v>6955</v>
      </c>
      <c r="M398" s="30"/>
      <c r="N398" s="30" t="s">
        <v>27332</v>
      </c>
      <c r="O398" s="30" t="s">
        <v>6286</v>
      </c>
      <c r="P398" s="30" t="s">
        <v>27279</v>
      </c>
      <c r="Q398" s="30" t="s">
        <v>25893</v>
      </c>
      <c r="R398" s="30" t="s">
        <v>27300</v>
      </c>
      <c r="S398" s="30" t="s">
        <v>27333</v>
      </c>
      <c r="T398" s="30" t="s">
        <v>27334</v>
      </c>
      <c r="U398" s="30"/>
      <c r="V398" s="139" t="s">
        <v>9334</v>
      </c>
      <c r="W398" s="30" t="s">
        <v>707</v>
      </c>
      <c r="X398" s="30" t="s">
        <v>194</v>
      </c>
      <c r="Y398" s="30" t="s">
        <v>9300</v>
      </c>
      <c r="Z398" s="30"/>
      <c r="AA398" s="30"/>
      <c r="AB398" s="30" t="s">
        <v>9311</v>
      </c>
      <c r="AC398" s="30"/>
      <c r="AD398" s="30"/>
      <c r="AE398" s="30"/>
      <c r="AF398" s="30"/>
      <c r="AG398" s="30"/>
      <c r="AH398" s="30" t="s">
        <v>4714</v>
      </c>
      <c r="AI398" s="30" t="s">
        <v>9433</v>
      </c>
      <c r="AJ398" s="641" t="str">
        <f t="shared" si="12"/>
        <v>422201</v>
      </c>
      <c r="AK398" s="641">
        <v>1</v>
      </c>
      <c r="AL398" s="641">
        <f t="shared" si="13"/>
        <v>1</v>
      </c>
      <c r="AM398" s="641">
        <v>1</v>
      </c>
      <c r="AN398" s="30" t="s">
        <v>17650</v>
      </c>
      <c r="AO398" s="30" t="s">
        <v>17651</v>
      </c>
      <c r="AP398" s="30" t="s">
        <v>17652</v>
      </c>
      <c r="AQ398" s="30" t="s">
        <v>17653</v>
      </c>
      <c r="AR398" s="30" t="s">
        <v>1024</v>
      </c>
      <c r="AS398" s="30">
        <v>1</v>
      </c>
    </row>
    <row r="399" spans="1:45" x14ac:dyDescent="0.25">
      <c r="A399" s="30" t="s">
        <v>716</v>
      </c>
      <c r="B399" s="30" t="s">
        <v>26369</v>
      </c>
      <c r="C399" s="30" t="s">
        <v>24125</v>
      </c>
      <c r="D399" s="139" t="s">
        <v>26079</v>
      </c>
      <c r="E399" s="30" t="s">
        <v>217</v>
      </c>
      <c r="F399" s="30">
        <v>1</v>
      </c>
      <c r="G399" s="30" t="s">
        <v>193</v>
      </c>
      <c r="H399" s="30" t="s">
        <v>194</v>
      </c>
      <c r="I399" s="30" t="s">
        <v>26133</v>
      </c>
      <c r="J399" s="30" t="s">
        <v>210</v>
      </c>
      <c r="K399" s="30" t="s">
        <v>9309</v>
      </c>
      <c r="L399" s="30" t="s">
        <v>6955</v>
      </c>
      <c r="M399" s="30"/>
      <c r="N399" s="30" t="s">
        <v>26370</v>
      </c>
      <c r="O399" s="30" t="s">
        <v>6302</v>
      </c>
      <c r="P399" s="30" t="s">
        <v>27279</v>
      </c>
      <c r="Q399" s="30" t="s">
        <v>26085</v>
      </c>
      <c r="R399" s="30" t="s">
        <v>26057</v>
      </c>
      <c r="S399" s="30" t="s">
        <v>27335</v>
      </c>
      <c r="T399" s="30" t="s">
        <v>27336</v>
      </c>
      <c r="U399" s="30"/>
      <c r="V399" s="139" t="s">
        <v>9334</v>
      </c>
      <c r="W399" s="30" t="s">
        <v>24129</v>
      </c>
      <c r="X399" s="30" t="s">
        <v>194</v>
      </c>
      <c r="Y399" s="30" t="s">
        <v>9300</v>
      </c>
      <c r="Z399" s="30"/>
      <c r="AA399" s="30"/>
      <c r="AB399" s="30" t="s">
        <v>9311</v>
      </c>
      <c r="AC399" s="30"/>
      <c r="AD399" s="30"/>
      <c r="AE399" s="30"/>
      <c r="AF399" s="30"/>
      <c r="AG399" s="30"/>
      <c r="AH399" s="30" t="s">
        <v>4714</v>
      </c>
      <c r="AI399" s="30" t="s">
        <v>9433</v>
      </c>
      <c r="AJ399" s="641" t="str">
        <f t="shared" si="12"/>
        <v>351401</v>
      </c>
      <c r="AK399" s="641">
        <v>1</v>
      </c>
      <c r="AL399" s="641">
        <f t="shared" si="13"/>
        <v>1</v>
      </c>
      <c r="AM399" s="641">
        <v>1</v>
      </c>
      <c r="AN399" s="30" t="s">
        <v>17650</v>
      </c>
      <c r="AO399" s="30" t="s">
        <v>17651</v>
      </c>
      <c r="AP399" s="30" t="s">
        <v>17652</v>
      </c>
      <c r="AQ399" s="30" t="s">
        <v>17653</v>
      </c>
      <c r="AR399" s="30" t="s">
        <v>1024</v>
      </c>
      <c r="AS399" s="30">
        <v>1</v>
      </c>
    </row>
    <row r="400" spans="1:45" x14ac:dyDescent="0.25">
      <c r="A400" s="30" t="s">
        <v>10145</v>
      </c>
      <c r="B400" s="30" t="s">
        <v>26518</v>
      </c>
      <c r="C400" s="30" t="s">
        <v>3968</v>
      </c>
      <c r="D400" s="139" t="s">
        <v>26079</v>
      </c>
      <c r="E400" s="30" t="s">
        <v>217</v>
      </c>
      <c r="F400" s="30">
        <v>1</v>
      </c>
      <c r="G400" s="30" t="s">
        <v>193</v>
      </c>
      <c r="H400" s="30" t="s">
        <v>194</v>
      </c>
      <c r="I400" s="30" t="s">
        <v>27253</v>
      </c>
      <c r="J400" s="30" t="s">
        <v>26228</v>
      </c>
      <c r="K400" s="30" t="s">
        <v>9309</v>
      </c>
      <c r="L400" s="30" t="s">
        <v>6955</v>
      </c>
      <c r="M400" s="30"/>
      <c r="N400" s="30" t="s">
        <v>26519</v>
      </c>
      <c r="O400" s="30" t="s">
        <v>6343</v>
      </c>
      <c r="P400" s="30" t="s">
        <v>27279</v>
      </c>
      <c r="Q400" s="30" t="s">
        <v>26218</v>
      </c>
      <c r="R400" s="30" t="s">
        <v>26219</v>
      </c>
      <c r="S400" s="30" t="s">
        <v>27337</v>
      </c>
      <c r="T400" s="30" t="s">
        <v>27338</v>
      </c>
      <c r="U400" s="139"/>
      <c r="V400" s="139" t="s">
        <v>28321</v>
      </c>
      <c r="W400" s="30" t="s">
        <v>3969</v>
      </c>
      <c r="X400" s="30" t="s">
        <v>193</v>
      </c>
      <c r="Y400" s="30" t="s">
        <v>9310</v>
      </c>
      <c r="Z400" s="30"/>
      <c r="AA400" s="30"/>
      <c r="AB400" s="30" t="s">
        <v>9311</v>
      </c>
      <c r="AC400" s="30"/>
      <c r="AD400" s="30"/>
      <c r="AE400" s="30"/>
      <c r="AF400" s="30"/>
      <c r="AG400" s="30"/>
      <c r="AH400" s="30" t="s">
        <v>4714</v>
      </c>
      <c r="AI400" s="30" t="s">
        <v>9433</v>
      </c>
      <c r="AJ400" s="641" t="str">
        <f t="shared" si="12"/>
        <v>141103</v>
      </c>
      <c r="AK400" s="641">
        <v>1</v>
      </c>
      <c r="AL400" s="641">
        <f t="shared" si="13"/>
        <v>1</v>
      </c>
      <c r="AM400" s="641">
        <v>1</v>
      </c>
      <c r="AN400" s="30" t="s">
        <v>17650</v>
      </c>
      <c r="AO400" s="30" t="s">
        <v>17651</v>
      </c>
      <c r="AP400" s="30" t="s">
        <v>17652</v>
      </c>
      <c r="AQ400" s="30" t="s">
        <v>17653</v>
      </c>
      <c r="AR400" s="30" t="s">
        <v>1024</v>
      </c>
      <c r="AS400" s="30">
        <v>1</v>
      </c>
    </row>
    <row r="401" spans="1:45" x14ac:dyDescent="0.25">
      <c r="A401" s="30" t="s">
        <v>716</v>
      </c>
      <c r="B401" s="30" t="s">
        <v>27044</v>
      </c>
      <c r="C401" s="30" t="s">
        <v>706</v>
      </c>
      <c r="D401" s="139" t="s">
        <v>26079</v>
      </c>
      <c r="E401" s="30" t="s">
        <v>217</v>
      </c>
      <c r="F401" s="30">
        <v>1</v>
      </c>
      <c r="G401" s="30" t="s">
        <v>193</v>
      </c>
      <c r="H401" s="30" t="s">
        <v>194</v>
      </c>
      <c r="I401" s="30" t="s">
        <v>27260</v>
      </c>
      <c r="J401" s="30" t="s">
        <v>210</v>
      </c>
      <c r="K401" s="30" t="s">
        <v>9309</v>
      </c>
      <c r="L401" s="30" t="s">
        <v>6955</v>
      </c>
      <c r="M401" s="30"/>
      <c r="N401" s="30" t="s">
        <v>27339</v>
      </c>
      <c r="O401" s="30" t="s">
        <v>6251</v>
      </c>
      <c r="P401" s="30" t="s">
        <v>27279</v>
      </c>
      <c r="Q401" s="30" t="s">
        <v>26160</v>
      </c>
      <c r="R401" s="30" t="s">
        <v>27340</v>
      </c>
      <c r="S401" s="30" t="s">
        <v>27341</v>
      </c>
      <c r="T401" s="30" t="s">
        <v>27342</v>
      </c>
      <c r="U401" s="30"/>
      <c r="V401" s="139">
        <v>1863</v>
      </c>
      <c r="W401" s="30" t="s">
        <v>707</v>
      </c>
      <c r="X401" s="30" t="s">
        <v>194</v>
      </c>
      <c r="Y401" s="30" t="s">
        <v>9300</v>
      </c>
      <c r="Z401" s="30"/>
      <c r="AA401" s="30"/>
      <c r="AB401" s="30" t="s">
        <v>9311</v>
      </c>
      <c r="AC401" s="30"/>
      <c r="AD401" s="30"/>
      <c r="AE401" s="30"/>
      <c r="AF401" s="30"/>
      <c r="AG401" s="30"/>
      <c r="AH401" s="30" t="s">
        <v>4714</v>
      </c>
      <c r="AI401" s="30" t="s">
        <v>9433</v>
      </c>
      <c r="AJ401" s="641" t="str">
        <f t="shared" si="12"/>
        <v>422201</v>
      </c>
      <c r="AK401" s="641">
        <v>1</v>
      </c>
      <c r="AL401" s="641">
        <f t="shared" si="13"/>
        <v>1</v>
      </c>
      <c r="AM401" s="641">
        <v>1</v>
      </c>
      <c r="AN401" s="30" t="s">
        <v>17650</v>
      </c>
      <c r="AO401" s="30" t="s">
        <v>17651</v>
      </c>
      <c r="AP401" s="30" t="s">
        <v>17652</v>
      </c>
      <c r="AQ401" s="30" t="s">
        <v>17653</v>
      </c>
      <c r="AR401" s="30" t="s">
        <v>1024</v>
      </c>
      <c r="AS401" s="30">
        <v>1</v>
      </c>
    </row>
    <row r="402" spans="1:45" x14ac:dyDescent="0.25">
      <c r="A402" s="30" t="s">
        <v>26193</v>
      </c>
      <c r="B402" s="30" t="s">
        <v>27343</v>
      </c>
      <c r="C402" s="30" t="s">
        <v>227</v>
      </c>
      <c r="D402" s="139" t="s">
        <v>26079</v>
      </c>
      <c r="E402" s="30" t="s">
        <v>217</v>
      </c>
      <c r="F402" s="30">
        <v>1</v>
      </c>
      <c r="G402" s="30" t="s">
        <v>193</v>
      </c>
      <c r="H402" s="30" t="s">
        <v>194</v>
      </c>
      <c r="I402" s="30" t="s">
        <v>27260</v>
      </c>
      <c r="J402" s="30" t="s">
        <v>210</v>
      </c>
      <c r="K402" s="30" t="s">
        <v>9309</v>
      </c>
      <c r="L402" s="30" t="s">
        <v>6955</v>
      </c>
      <c r="M402" s="30"/>
      <c r="N402" s="30" t="s">
        <v>27344</v>
      </c>
      <c r="O402" s="30" t="s">
        <v>6269</v>
      </c>
      <c r="P402" s="30" t="s">
        <v>27279</v>
      </c>
      <c r="Q402" s="30" t="s">
        <v>26109</v>
      </c>
      <c r="R402" s="30" t="s">
        <v>27328</v>
      </c>
      <c r="S402" s="30" t="s">
        <v>27345</v>
      </c>
      <c r="T402" s="30" t="s">
        <v>27346</v>
      </c>
      <c r="U402" s="30"/>
      <c r="V402" s="139">
        <v>1863</v>
      </c>
      <c r="W402" s="30" t="s">
        <v>229</v>
      </c>
      <c r="X402" s="30" t="s">
        <v>194</v>
      </c>
      <c r="Y402" s="30" t="s">
        <v>9300</v>
      </c>
      <c r="Z402" s="30"/>
      <c r="AA402" s="30"/>
      <c r="AB402" s="30" t="s">
        <v>9311</v>
      </c>
      <c r="AC402" s="30"/>
      <c r="AD402" s="30"/>
      <c r="AE402" s="30"/>
      <c r="AF402" s="30"/>
      <c r="AG402" s="30"/>
      <c r="AH402" s="30" t="s">
        <v>4714</v>
      </c>
      <c r="AI402" s="30" t="s">
        <v>9433</v>
      </c>
      <c r="AJ402" s="641" t="str">
        <f t="shared" si="12"/>
        <v>132401</v>
      </c>
      <c r="AK402" s="641">
        <v>1</v>
      </c>
      <c r="AL402" s="641">
        <f t="shared" si="13"/>
        <v>1</v>
      </c>
      <c r="AM402" s="641">
        <v>1</v>
      </c>
      <c r="AN402" s="30" t="s">
        <v>17650</v>
      </c>
      <c r="AO402" s="30" t="s">
        <v>17651</v>
      </c>
      <c r="AP402" s="30" t="s">
        <v>17652</v>
      </c>
      <c r="AQ402" s="30" t="s">
        <v>17653</v>
      </c>
      <c r="AR402" s="30" t="s">
        <v>1024</v>
      </c>
      <c r="AS402" s="30">
        <v>1</v>
      </c>
    </row>
    <row r="403" spans="1:45" x14ac:dyDescent="0.25">
      <c r="A403" s="30" t="s">
        <v>26153</v>
      </c>
      <c r="B403" s="30" t="s">
        <v>26579</v>
      </c>
      <c r="C403" s="30" t="s">
        <v>2861</v>
      </c>
      <c r="D403" s="139" t="s">
        <v>26079</v>
      </c>
      <c r="E403" s="30" t="s">
        <v>217</v>
      </c>
      <c r="F403" s="30">
        <v>1</v>
      </c>
      <c r="G403" s="30" t="s">
        <v>193</v>
      </c>
      <c r="H403" s="30" t="s">
        <v>194</v>
      </c>
      <c r="I403" s="30" t="s">
        <v>23198</v>
      </c>
      <c r="J403" s="30" t="s">
        <v>210</v>
      </c>
      <c r="K403" s="30" t="s">
        <v>9309</v>
      </c>
      <c r="L403" s="30" t="s">
        <v>6955</v>
      </c>
      <c r="M403" s="30"/>
      <c r="N403" s="30" t="s">
        <v>27132</v>
      </c>
      <c r="O403" s="30" t="s">
        <v>6261</v>
      </c>
      <c r="P403" s="30" t="s">
        <v>27279</v>
      </c>
      <c r="Q403" s="30" t="s">
        <v>26056</v>
      </c>
      <c r="R403" s="30" t="s">
        <v>23128</v>
      </c>
      <c r="S403" s="30" t="s">
        <v>27347</v>
      </c>
      <c r="T403" s="30" t="s">
        <v>27348</v>
      </c>
      <c r="U403" s="30"/>
      <c r="V403" s="139" t="s">
        <v>9334</v>
      </c>
      <c r="W403" s="30" t="s">
        <v>3629</v>
      </c>
      <c r="X403" s="30" t="s">
        <v>194</v>
      </c>
      <c r="Y403" s="30" t="s">
        <v>9300</v>
      </c>
      <c r="Z403" s="30"/>
      <c r="AA403" s="30"/>
      <c r="AB403" s="30" t="s">
        <v>9311</v>
      </c>
      <c r="AC403" s="30"/>
      <c r="AD403" s="30"/>
      <c r="AE403" s="30"/>
      <c r="AF403" s="30"/>
      <c r="AG403" s="30"/>
      <c r="AH403" s="30" t="s">
        <v>4714</v>
      </c>
      <c r="AI403" s="30" t="s">
        <v>9433</v>
      </c>
      <c r="AJ403" s="641" t="str">
        <f t="shared" si="12"/>
        <v>251903</v>
      </c>
      <c r="AK403" s="641">
        <v>1</v>
      </c>
      <c r="AL403" s="641">
        <f t="shared" si="13"/>
        <v>1</v>
      </c>
      <c r="AM403" s="641">
        <v>1</v>
      </c>
      <c r="AN403" s="30" t="s">
        <v>17650</v>
      </c>
      <c r="AO403" s="30" t="s">
        <v>17651</v>
      </c>
      <c r="AP403" s="30" t="s">
        <v>17652</v>
      </c>
      <c r="AQ403" s="30" t="s">
        <v>17653</v>
      </c>
      <c r="AR403" s="30" t="s">
        <v>1024</v>
      </c>
      <c r="AS403" s="30">
        <v>1</v>
      </c>
    </row>
    <row r="404" spans="1:45" x14ac:dyDescent="0.25">
      <c r="A404" s="30" t="s">
        <v>716</v>
      </c>
      <c r="B404" s="30" t="s">
        <v>27098</v>
      </c>
      <c r="C404" s="30" t="s">
        <v>706</v>
      </c>
      <c r="D404" s="139" t="s">
        <v>26079</v>
      </c>
      <c r="E404" s="30" t="s">
        <v>217</v>
      </c>
      <c r="F404" s="30">
        <v>1</v>
      </c>
      <c r="G404" s="30" t="s">
        <v>193</v>
      </c>
      <c r="H404" s="30" t="s">
        <v>194</v>
      </c>
      <c r="I404" s="30" t="s">
        <v>27277</v>
      </c>
      <c r="J404" s="30" t="s">
        <v>210</v>
      </c>
      <c r="K404" s="30" t="s">
        <v>9309</v>
      </c>
      <c r="L404" s="30" t="s">
        <v>6955</v>
      </c>
      <c r="M404" s="30"/>
      <c r="N404" s="30" t="s">
        <v>27099</v>
      </c>
      <c r="O404" s="30" t="s">
        <v>6286</v>
      </c>
      <c r="P404" s="30" t="s">
        <v>27279</v>
      </c>
      <c r="Q404" s="30" t="s">
        <v>26073</v>
      </c>
      <c r="R404" s="30" t="s">
        <v>27021</v>
      </c>
      <c r="S404" s="30" t="s">
        <v>27349</v>
      </c>
      <c r="T404" s="30" t="s">
        <v>27350</v>
      </c>
      <c r="U404" s="30"/>
      <c r="V404" s="139" t="s">
        <v>9334</v>
      </c>
      <c r="W404" s="30" t="s">
        <v>707</v>
      </c>
      <c r="X404" s="30" t="s">
        <v>194</v>
      </c>
      <c r="Y404" s="30" t="s">
        <v>9300</v>
      </c>
      <c r="Z404" s="30"/>
      <c r="AA404" s="30"/>
      <c r="AB404" s="30" t="s">
        <v>9311</v>
      </c>
      <c r="AC404" s="30"/>
      <c r="AD404" s="30"/>
      <c r="AE404" s="30"/>
      <c r="AF404" s="30"/>
      <c r="AG404" s="30"/>
      <c r="AH404" s="30" t="s">
        <v>4714</v>
      </c>
      <c r="AI404" s="30" t="s">
        <v>9433</v>
      </c>
      <c r="AJ404" s="641" t="str">
        <f t="shared" si="12"/>
        <v>422201</v>
      </c>
      <c r="AK404" s="641">
        <v>1</v>
      </c>
      <c r="AL404" s="641">
        <f t="shared" si="13"/>
        <v>1</v>
      </c>
      <c r="AM404" s="641">
        <v>1</v>
      </c>
      <c r="AN404" s="30" t="s">
        <v>17650</v>
      </c>
      <c r="AO404" s="30" t="s">
        <v>17651</v>
      </c>
      <c r="AP404" s="30" t="s">
        <v>17652</v>
      </c>
      <c r="AQ404" s="30" t="s">
        <v>17653</v>
      </c>
      <c r="AR404" s="30" t="s">
        <v>1024</v>
      </c>
      <c r="AS404" s="30">
        <v>1</v>
      </c>
    </row>
    <row r="405" spans="1:45" x14ac:dyDescent="0.25">
      <c r="A405" s="30" t="s">
        <v>716</v>
      </c>
      <c r="B405" s="30" t="s">
        <v>26745</v>
      </c>
      <c r="C405" s="30" t="s">
        <v>706</v>
      </c>
      <c r="D405" s="139" t="s">
        <v>26079</v>
      </c>
      <c r="E405" s="30" t="s">
        <v>217</v>
      </c>
      <c r="F405" s="30">
        <v>1</v>
      </c>
      <c r="G405" s="30" t="s">
        <v>193</v>
      </c>
      <c r="H405" s="30" t="s">
        <v>194</v>
      </c>
      <c r="I405" s="30" t="s">
        <v>27277</v>
      </c>
      <c r="J405" s="30" t="s">
        <v>210</v>
      </c>
      <c r="K405" s="30" t="s">
        <v>9309</v>
      </c>
      <c r="L405" s="30" t="s">
        <v>6955</v>
      </c>
      <c r="M405" s="30"/>
      <c r="N405" s="30" t="s">
        <v>27245</v>
      </c>
      <c r="O405" s="30" t="s">
        <v>6251</v>
      </c>
      <c r="P405" s="30" t="s">
        <v>27279</v>
      </c>
      <c r="Q405" s="30" t="s">
        <v>26881</v>
      </c>
      <c r="R405" s="30" t="s">
        <v>26882</v>
      </c>
      <c r="S405" s="30" t="s">
        <v>27351</v>
      </c>
      <c r="T405" s="30" t="s">
        <v>27352</v>
      </c>
      <c r="U405" s="30"/>
      <c r="V405" s="139" t="s">
        <v>9334</v>
      </c>
      <c r="W405" s="30" t="s">
        <v>707</v>
      </c>
      <c r="X405" s="30" t="s">
        <v>194</v>
      </c>
      <c r="Y405" s="30" t="s">
        <v>9300</v>
      </c>
      <c r="Z405" s="30"/>
      <c r="AA405" s="30"/>
      <c r="AB405" s="30" t="s">
        <v>9311</v>
      </c>
      <c r="AC405" s="30"/>
      <c r="AD405" s="30"/>
      <c r="AE405" s="30"/>
      <c r="AF405" s="30"/>
      <c r="AG405" s="30"/>
      <c r="AH405" s="30" t="s">
        <v>4714</v>
      </c>
      <c r="AI405" s="30" t="s">
        <v>9433</v>
      </c>
      <c r="AJ405" s="641" t="str">
        <f t="shared" si="12"/>
        <v>422201</v>
      </c>
      <c r="AK405" s="641">
        <v>1</v>
      </c>
      <c r="AL405" s="641">
        <f t="shared" si="13"/>
        <v>1</v>
      </c>
      <c r="AM405" s="641">
        <v>1</v>
      </c>
      <c r="AN405" s="30" t="s">
        <v>17650</v>
      </c>
      <c r="AO405" s="30" t="s">
        <v>17651</v>
      </c>
      <c r="AP405" s="30" t="s">
        <v>17652</v>
      </c>
      <c r="AQ405" s="30" t="s">
        <v>17653</v>
      </c>
      <c r="AR405" s="30" t="s">
        <v>1024</v>
      </c>
      <c r="AS405" s="30">
        <v>1</v>
      </c>
    </row>
    <row r="406" spans="1:45" x14ac:dyDescent="0.25">
      <c r="A406" s="30" t="s">
        <v>716</v>
      </c>
      <c r="B406" s="30" t="s">
        <v>26282</v>
      </c>
      <c r="C406" s="30" t="s">
        <v>27290</v>
      </c>
      <c r="D406" s="139" t="s">
        <v>26079</v>
      </c>
      <c r="E406" s="30" t="s">
        <v>217</v>
      </c>
      <c r="F406" s="30">
        <v>1</v>
      </c>
      <c r="G406" s="30" t="s">
        <v>193</v>
      </c>
      <c r="H406" s="30" t="s">
        <v>194</v>
      </c>
      <c r="I406" s="30" t="s">
        <v>27277</v>
      </c>
      <c r="J406" s="30" t="s">
        <v>210</v>
      </c>
      <c r="K406" s="30" t="s">
        <v>9309</v>
      </c>
      <c r="L406" s="30" t="s">
        <v>6955</v>
      </c>
      <c r="M406" s="30"/>
      <c r="N406" s="30" t="s">
        <v>26452</v>
      </c>
      <c r="O406" s="30" t="s">
        <v>6290</v>
      </c>
      <c r="P406" s="30" t="s">
        <v>27279</v>
      </c>
      <c r="Q406" s="30" t="s">
        <v>26085</v>
      </c>
      <c r="R406" s="30" t="s">
        <v>26057</v>
      </c>
      <c r="S406" s="30" t="s">
        <v>27353</v>
      </c>
      <c r="T406" s="30" t="s">
        <v>27354</v>
      </c>
      <c r="U406" s="30"/>
      <c r="V406" s="139" t="s">
        <v>9334</v>
      </c>
      <c r="W406" s="30" t="s">
        <v>27293</v>
      </c>
      <c r="X406" s="30" t="s">
        <v>194</v>
      </c>
      <c r="Y406" s="30" t="s">
        <v>9300</v>
      </c>
      <c r="Z406" s="30"/>
      <c r="AA406" s="30"/>
      <c r="AB406" s="30" t="s">
        <v>9311</v>
      </c>
      <c r="AC406" s="30"/>
      <c r="AD406" s="30"/>
      <c r="AE406" s="30"/>
      <c r="AF406" s="30"/>
      <c r="AG406" s="30"/>
      <c r="AH406" s="30" t="s">
        <v>4714</v>
      </c>
      <c r="AI406" s="30" t="s">
        <v>9433</v>
      </c>
      <c r="AJ406" s="641" t="str">
        <f t="shared" si="12"/>
        <v>352290</v>
      </c>
      <c r="AK406" s="641">
        <v>1</v>
      </c>
      <c r="AL406" s="641">
        <f t="shared" si="13"/>
        <v>1</v>
      </c>
      <c r="AM406" s="641">
        <v>1</v>
      </c>
      <c r="AN406" s="30" t="s">
        <v>17650</v>
      </c>
      <c r="AO406" s="30" t="s">
        <v>17651</v>
      </c>
      <c r="AP406" s="30" t="s">
        <v>17652</v>
      </c>
      <c r="AQ406" s="30" t="s">
        <v>17653</v>
      </c>
      <c r="AR406" s="30" t="s">
        <v>1024</v>
      </c>
      <c r="AS406" s="30">
        <v>1</v>
      </c>
    </row>
    <row r="407" spans="1:45" x14ac:dyDescent="0.25">
      <c r="A407" s="30" t="s">
        <v>716</v>
      </c>
      <c r="B407" s="30" t="s">
        <v>26737</v>
      </c>
      <c r="C407" s="30" t="s">
        <v>136</v>
      </c>
      <c r="D407" s="139" t="s">
        <v>26079</v>
      </c>
      <c r="E407" s="30" t="s">
        <v>217</v>
      </c>
      <c r="F407" s="30">
        <v>1</v>
      </c>
      <c r="G407" s="30" t="s">
        <v>193</v>
      </c>
      <c r="H407" s="30" t="s">
        <v>194</v>
      </c>
      <c r="I407" s="30" t="s">
        <v>27253</v>
      </c>
      <c r="J407" s="30" t="s">
        <v>210</v>
      </c>
      <c r="K407" s="30" t="s">
        <v>9309</v>
      </c>
      <c r="L407" s="30" t="s">
        <v>6955</v>
      </c>
      <c r="M407" s="30"/>
      <c r="N407" s="30" t="s">
        <v>26999</v>
      </c>
      <c r="O407" s="30" t="s">
        <v>6249</v>
      </c>
      <c r="P407" s="30" t="s">
        <v>27279</v>
      </c>
      <c r="Q407" s="30" t="s">
        <v>26881</v>
      </c>
      <c r="R407" s="30" t="s">
        <v>26882</v>
      </c>
      <c r="S407" s="30" t="s">
        <v>27355</v>
      </c>
      <c r="T407" s="30" t="s">
        <v>27356</v>
      </c>
      <c r="U407" s="30"/>
      <c r="V407" s="139" t="s">
        <v>9334</v>
      </c>
      <c r="W407" s="30" t="s">
        <v>461</v>
      </c>
      <c r="X407" s="30" t="s">
        <v>194</v>
      </c>
      <c r="Y407" s="30" t="s">
        <v>9300</v>
      </c>
      <c r="Z407" s="30"/>
      <c r="AA407" s="30"/>
      <c r="AB407" s="30" t="s">
        <v>9311</v>
      </c>
      <c r="AC407" s="30"/>
      <c r="AD407" s="30"/>
      <c r="AE407" s="30"/>
      <c r="AF407" s="30"/>
      <c r="AG407" s="30"/>
      <c r="AH407" s="30" t="s">
        <v>4714</v>
      </c>
      <c r="AI407" s="30" t="s">
        <v>9433</v>
      </c>
      <c r="AJ407" s="641" t="str">
        <f t="shared" si="12"/>
        <v>243301</v>
      </c>
      <c r="AK407" s="641">
        <v>1</v>
      </c>
      <c r="AL407" s="641">
        <f t="shared" si="13"/>
        <v>1</v>
      </c>
      <c r="AM407" s="641">
        <v>1</v>
      </c>
      <c r="AN407" s="30" t="s">
        <v>17650</v>
      </c>
      <c r="AO407" s="30" t="s">
        <v>17651</v>
      </c>
      <c r="AP407" s="30" t="s">
        <v>17652</v>
      </c>
      <c r="AQ407" s="30" t="s">
        <v>17653</v>
      </c>
      <c r="AR407" s="30" t="s">
        <v>1024</v>
      </c>
      <c r="AS407" s="30">
        <v>1</v>
      </c>
    </row>
    <row r="408" spans="1:45" x14ac:dyDescent="0.25">
      <c r="A408" s="30" t="s">
        <v>716</v>
      </c>
      <c r="B408" s="30" t="s">
        <v>27009</v>
      </c>
      <c r="C408" s="30" t="s">
        <v>706</v>
      </c>
      <c r="D408" s="139" t="s">
        <v>26079</v>
      </c>
      <c r="E408" s="30" t="s">
        <v>217</v>
      </c>
      <c r="F408" s="30">
        <v>1</v>
      </c>
      <c r="G408" s="30" t="s">
        <v>193</v>
      </c>
      <c r="H408" s="30" t="s">
        <v>194</v>
      </c>
      <c r="I408" s="30" t="s">
        <v>27260</v>
      </c>
      <c r="J408" s="30" t="s">
        <v>210</v>
      </c>
      <c r="K408" s="30" t="s">
        <v>9309</v>
      </c>
      <c r="L408" s="30" t="s">
        <v>6955</v>
      </c>
      <c r="M408" s="30"/>
      <c r="N408" s="30" t="s">
        <v>27010</v>
      </c>
      <c r="O408" s="30" t="s">
        <v>6251</v>
      </c>
      <c r="P408" s="30" t="s">
        <v>27279</v>
      </c>
      <c r="Q408" s="30" t="s">
        <v>26881</v>
      </c>
      <c r="R408" s="30" t="s">
        <v>26882</v>
      </c>
      <c r="S408" s="30" t="s">
        <v>27357</v>
      </c>
      <c r="T408" s="30" t="s">
        <v>27358</v>
      </c>
      <c r="U408" s="30"/>
      <c r="V408" s="139" t="s">
        <v>9334</v>
      </c>
      <c r="W408" s="30" t="s">
        <v>707</v>
      </c>
      <c r="X408" s="30" t="s">
        <v>194</v>
      </c>
      <c r="Y408" s="30" t="s">
        <v>9300</v>
      </c>
      <c r="Z408" s="30"/>
      <c r="AA408" s="30"/>
      <c r="AB408" s="30" t="s">
        <v>9311</v>
      </c>
      <c r="AC408" s="30"/>
      <c r="AD408" s="30"/>
      <c r="AE408" s="30"/>
      <c r="AF408" s="30"/>
      <c r="AG408" s="30"/>
      <c r="AH408" s="30" t="s">
        <v>4714</v>
      </c>
      <c r="AI408" s="30" t="s">
        <v>9433</v>
      </c>
      <c r="AJ408" s="641" t="str">
        <f t="shared" si="12"/>
        <v>422201</v>
      </c>
      <c r="AK408" s="641">
        <v>1</v>
      </c>
      <c r="AL408" s="641">
        <f t="shared" si="13"/>
        <v>1</v>
      </c>
      <c r="AM408" s="641">
        <v>1</v>
      </c>
      <c r="AN408" s="30" t="s">
        <v>17650</v>
      </c>
      <c r="AO408" s="30" t="s">
        <v>17651</v>
      </c>
      <c r="AP408" s="30" t="s">
        <v>17652</v>
      </c>
      <c r="AQ408" s="30" t="s">
        <v>17653</v>
      </c>
      <c r="AR408" s="30" t="s">
        <v>1024</v>
      </c>
      <c r="AS408" s="30">
        <v>1</v>
      </c>
    </row>
    <row r="409" spans="1:45" x14ac:dyDescent="0.25">
      <c r="A409" s="30" t="s">
        <v>26153</v>
      </c>
      <c r="B409" s="30" t="s">
        <v>27359</v>
      </c>
      <c r="C409" s="30" t="s">
        <v>10</v>
      </c>
      <c r="D409" s="139" t="s">
        <v>26079</v>
      </c>
      <c r="E409" s="30" t="s">
        <v>217</v>
      </c>
      <c r="F409" s="30">
        <v>1</v>
      </c>
      <c r="G409" s="30" t="s">
        <v>193</v>
      </c>
      <c r="H409" s="30" t="s">
        <v>194</v>
      </c>
      <c r="I409" s="30" t="s">
        <v>27253</v>
      </c>
      <c r="J409" s="30" t="s">
        <v>210</v>
      </c>
      <c r="K409" s="30" t="s">
        <v>9309</v>
      </c>
      <c r="L409" s="30" t="s">
        <v>6955</v>
      </c>
      <c r="M409" s="30"/>
      <c r="N409" s="30" t="s">
        <v>27360</v>
      </c>
      <c r="O409" s="30" t="s">
        <v>6261</v>
      </c>
      <c r="P409" s="30" t="s">
        <v>27279</v>
      </c>
      <c r="Q409" s="30" t="s">
        <v>24551</v>
      </c>
      <c r="R409" s="30" t="s">
        <v>27361</v>
      </c>
      <c r="S409" s="30" t="s">
        <v>27362</v>
      </c>
      <c r="T409" s="30" t="s">
        <v>27363</v>
      </c>
      <c r="U409" s="30"/>
      <c r="V409" s="139" t="s">
        <v>9334</v>
      </c>
      <c r="W409" s="30" t="s">
        <v>484</v>
      </c>
      <c r="X409" s="30" t="s">
        <v>194</v>
      </c>
      <c r="Y409" s="30" t="s">
        <v>9300</v>
      </c>
      <c r="Z409" s="30"/>
      <c r="AA409" s="30"/>
      <c r="AB409" s="30" t="s">
        <v>9311</v>
      </c>
      <c r="AC409" s="30"/>
      <c r="AD409" s="30"/>
      <c r="AE409" s="30"/>
      <c r="AF409" s="30"/>
      <c r="AG409" s="30"/>
      <c r="AH409" s="30" t="s">
        <v>4714</v>
      </c>
      <c r="AI409" s="30" t="s">
        <v>9433</v>
      </c>
      <c r="AJ409" s="641" t="str">
        <f t="shared" si="12"/>
        <v>251401</v>
      </c>
      <c r="AK409" s="641">
        <v>1</v>
      </c>
      <c r="AL409" s="641">
        <f t="shared" si="13"/>
        <v>1</v>
      </c>
      <c r="AM409" s="641">
        <v>1</v>
      </c>
      <c r="AN409" s="30" t="s">
        <v>17650</v>
      </c>
      <c r="AO409" s="30" t="s">
        <v>17651</v>
      </c>
      <c r="AP409" s="30" t="s">
        <v>17652</v>
      </c>
      <c r="AQ409" s="30" t="s">
        <v>17653</v>
      </c>
      <c r="AR409" s="30" t="s">
        <v>1024</v>
      </c>
      <c r="AS409" s="30">
        <v>1</v>
      </c>
    </row>
    <row r="410" spans="1:45" x14ac:dyDescent="0.25">
      <c r="A410" s="30" t="s">
        <v>26089</v>
      </c>
      <c r="B410" s="30" t="s">
        <v>26352</v>
      </c>
      <c r="C410" s="30" t="s">
        <v>3210</v>
      </c>
      <c r="D410" s="139" t="s">
        <v>26079</v>
      </c>
      <c r="E410" s="30" t="s">
        <v>217</v>
      </c>
      <c r="F410" s="30">
        <v>1</v>
      </c>
      <c r="G410" s="30" t="s">
        <v>193</v>
      </c>
      <c r="H410" s="30" t="s">
        <v>194</v>
      </c>
      <c r="I410" s="30" t="s">
        <v>27253</v>
      </c>
      <c r="J410" s="30" t="s">
        <v>210</v>
      </c>
      <c r="K410" s="30" t="s">
        <v>9309</v>
      </c>
      <c r="L410" s="30" t="s">
        <v>6955</v>
      </c>
      <c r="M410" s="30"/>
      <c r="N410" s="30" t="s">
        <v>26353</v>
      </c>
      <c r="O410" s="30" t="s">
        <v>6261</v>
      </c>
      <c r="P410" s="30" t="s">
        <v>27279</v>
      </c>
      <c r="Q410" s="30" t="s">
        <v>26150</v>
      </c>
      <c r="R410" s="30" t="s">
        <v>23804</v>
      </c>
      <c r="S410" s="30" t="s">
        <v>27364</v>
      </c>
      <c r="T410" s="30" t="s">
        <v>27365</v>
      </c>
      <c r="U410" s="30"/>
      <c r="V410" s="139" t="s">
        <v>9334</v>
      </c>
      <c r="W410" s="30" t="s">
        <v>16656</v>
      </c>
      <c r="X410" s="30" t="s">
        <v>194</v>
      </c>
      <c r="Y410" s="30" t="s">
        <v>9300</v>
      </c>
      <c r="Z410" s="30"/>
      <c r="AA410" s="30"/>
      <c r="AB410" s="30" t="s">
        <v>9311</v>
      </c>
      <c r="AC410" s="30"/>
      <c r="AD410" s="30"/>
      <c r="AE410" s="30"/>
      <c r="AF410" s="30"/>
      <c r="AG410" s="30"/>
      <c r="AH410" s="30" t="s">
        <v>4714</v>
      </c>
      <c r="AI410" s="30" t="s">
        <v>9433</v>
      </c>
      <c r="AJ410" s="641" t="str">
        <f t="shared" si="12"/>
        <v>122301</v>
      </c>
      <c r="AK410" s="641">
        <v>1</v>
      </c>
      <c r="AL410" s="641">
        <f t="shared" si="13"/>
        <v>1</v>
      </c>
      <c r="AM410" s="641">
        <v>1</v>
      </c>
      <c r="AN410" s="30" t="s">
        <v>17650</v>
      </c>
      <c r="AO410" s="30" t="s">
        <v>17651</v>
      </c>
      <c r="AP410" s="30" t="s">
        <v>17652</v>
      </c>
      <c r="AQ410" s="30" t="s">
        <v>17653</v>
      </c>
      <c r="AR410" s="30" t="s">
        <v>1024</v>
      </c>
      <c r="AS410" s="30">
        <v>1</v>
      </c>
    </row>
    <row r="411" spans="1:45" x14ac:dyDescent="0.25">
      <c r="A411" s="30" t="s">
        <v>716</v>
      </c>
      <c r="B411" s="30" t="s">
        <v>27331</v>
      </c>
      <c r="C411" s="30" t="s">
        <v>706</v>
      </c>
      <c r="D411" s="139" t="s">
        <v>26079</v>
      </c>
      <c r="E411" s="30" t="s">
        <v>217</v>
      </c>
      <c r="F411" s="30">
        <v>1</v>
      </c>
      <c r="G411" s="30" t="s">
        <v>193</v>
      </c>
      <c r="H411" s="30" t="s">
        <v>194</v>
      </c>
      <c r="I411" s="30" t="s">
        <v>27277</v>
      </c>
      <c r="J411" s="30" t="s">
        <v>210</v>
      </c>
      <c r="K411" s="30" t="s">
        <v>9309</v>
      </c>
      <c r="L411" s="30" t="s">
        <v>6955</v>
      </c>
      <c r="M411" s="30"/>
      <c r="N411" s="30" t="s">
        <v>27366</v>
      </c>
      <c r="O411" s="30" t="s">
        <v>6286</v>
      </c>
      <c r="P411" s="30" t="s">
        <v>27279</v>
      </c>
      <c r="Q411" s="30" t="s">
        <v>24551</v>
      </c>
      <c r="R411" s="30" t="s">
        <v>27361</v>
      </c>
      <c r="S411" s="30" t="s">
        <v>27367</v>
      </c>
      <c r="T411" s="30" t="s">
        <v>27368</v>
      </c>
      <c r="U411" s="30"/>
      <c r="V411" s="139" t="s">
        <v>9334</v>
      </c>
      <c r="W411" s="30" t="s">
        <v>707</v>
      </c>
      <c r="X411" s="30" t="s">
        <v>194</v>
      </c>
      <c r="Y411" s="30" t="s">
        <v>9300</v>
      </c>
      <c r="Z411" s="30"/>
      <c r="AA411" s="30"/>
      <c r="AB411" s="30" t="s">
        <v>9311</v>
      </c>
      <c r="AC411" s="30"/>
      <c r="AD411" s="30"/>
      <c r="AE411" s="30"/>
      <c r="AF411" s="30"/>
      <c r="AG411" s="30"/>
      <c r="AH411" s="30" t="s">
        <v>4714</v>
      </c>
      <c r="AI411" s="30" t="s">
        <v>9433</v>
      </c>
      <c r="AJ411" s="641" t="str">
        <f t="shared" si="12"/>
        <v>422201</v>
      </c>
      <c r="AK411" s="641">
        <v>1</v>
      </c>
      <c r="AL411" s="641">
        <f t="shared" si="13"/>
        <v>1</v>
      </c>
      <c r="AM411" s="641">
        <v>1</v>
      </c>
      <c r="AN411" s="30" t="s">
        <v>17650</v>
      </c>
      <c r="AO411" s="30" t="s">
        <v>17651</v>
      </c>
      <c r="AP411" s="30" t="s">
        <v>17652</v>
      </c>
      <c r="AQ411" s="30" t="s">
        <v>17653</v>
      </c>
      <c r="AR411" s="30" t="s">
        <v>1024</v>
      </c>
      <c r="AS411" s="30">
        <v>1</v>
      </c>
    </row>
    <row r="412" spans="1:45" x14ac:dyDescent="0.25">
      <c r="A412" s="30" t="s">
        <v>716</v>
      </c>
      <c r="B412" s="30" t="s">
        <v>26132</v>
      </c>
      <c r="C412" s="30" t="s">
        <v>24125</v>
      </c>
      <c r="D412" s="139" t="s">
        <v>26079</v>
      </c>
      <c r="E412" s="30" t="s">
        <v>217</v>
      </c>
      <c r="F412" s="30">
        <v>1</v>
      </c>
      <c r="G412" s="30" t="s">
        <v>193</v>
      </c>
      <c r="H412" s="30" t="s">
        <v>194</v>
      </c>
      <c r="I412" s="30" t="s">
        <v>26133</v>
      </c>
      <c r="J412" s="30" t="s">
        <v>210</v>
      </c>
      <c r="K412" s="30" t="s">
        <v>9309</v>
      </c>
      <c r="L412" s="30" t="s">
        <v>6955</v>
      </c>
      <c r="M412" s="30"/>
      <c r="N412" s="30" t="s">
        <v>27028</v>
      </c>
      <c r="O412" s="30" t="s">
        <v>6290</v>
      </c>
      <c r="P412" s="30" t="s">
        <v>27279</v>
      </c>
      <c r="Q412" s="30" t="s">
        <v>26942</v>
      </c>
      <c r="R412" s="30" t="s">
        <v>23708</v>
      </c>
      <c r="S412" s="30" t="s">
        <v>27369</v>
      </c>
      <c r="T412" s="30" t="s">
        <v>27370</v>
      </c>
      <c r="U412" s="30"/>
      <c r="V412" s="139" t="s">
        <v>9334</v>
      </c>
      <c r="W412" s="30" t="s">
        <v>24129</v>
      </c>
      <c r="X412" s="30" t="s">
        <v>194</v>
      </c>
      <c r="Y412" s="30" t="s">
        <v>9300</v>
      </c>
      <c r="Z412" s="30"/>
      <c r="AA412" s="30"/>
      <c r="AB412" s="30" t="s">
        <v>9311</v>
      </c>
      <c r="AC412" s="30"/>
      <c r="AD412" s="30"/>
      <c r="AE412" s="30"/>
      <c r="AF412" s="30"/>
      <c r="AG412" s="30"/>
      <c r="AH412" s="30" t="s">
        <v>4714</v>
      </c>
      <c r="AI412" s="30" t="s">
        <v>9433</v>
      </c>
      <c r="AJ412" s="641" t="str">
        <f t="shared" si="12"/>
        <v>351401</v>
      </c>
      <c r="AK412" s="641">
        <v>1</v>
      </c>
      <c r="AL412" s="641">
        <f t="shared" si="13"/>
        <v>1</v>
      </c>
      <c r="AM412" s="641">
        <v>1</v>
      </c>
      <c r="AN412" s="30" t="s">
        <v>17650</v>
      </c>
      <c r="AO412" s="30" t="s">
        <v>17651</v>
      </c>
      <c r="AP412" s="30" t="s">
        <v>17652</v>
      </c>
      <c r="AQ412" s="30" t="s">
        <v>17653</v>
      </c>
      <c r="AR412" s="30" t="s">
        <v>1024</v>
      </c>
      <c r="AS412" s="30">
        <v>1</v>
      </c>
    </row>
    <row r="413" spans="1:45" x14ac:dyDescent="0.25">
      <c r="A413" s="30" t="s">
        <v>26089</v>
      </c>
      <c r="B413" s="30" t="s">
        <v>27371</v>
      </c>
      <c r="C413" s="30" t="s">
        <v>5326</v>
      </c>
      <c r="D413" s="139" t="s">
        <v>26079</v>
      </c>
      <c r="E413" s="30" t="s">
        <v>217</v>
      </c>
      <c r="F413" s="30">
        <v>1</v>
      </c>
      <c r="G413" s="30" t="s">
        <v>193</v>
      </c>
      <c r="H413" s="30" t="s">
        <v>194</v>
      </c>
      <c r="I413" s="30" t="s">
        <v>27253</v>
      </c>
      <c r="J413" s="30" t="s">
        <v>210</v>
      </c>
      <c r="K413" s="30" t="s">
        <v>9309</v>
      </c>
      <c r="L413" s="30" t="s">
        <v>6955</v>
      </c>
      <c r="M413" s="30"/>
      <c r="N413" s="30" t="s">
        <v>27372</v>
      </c>
      <c r="O413" s="30" t="s">
        <v>6261</v>
      </c>
      <c r="P413" s="30" t="s">
        <v>27279</v>
      </c>
      <c r="Q413" s="30" t="s">
        <v>26109</v>
      </c>
      <c r="R413" s="30" t="s">
        <v>27328</v>
      </c>
      <c r="S413" s="30" t="s">
        <v>27373</v>
      </c>
      <c r="T413" s="30" t="s">
        <v>27374</v>
      </c>
      <c r="U413" s="30"/>
      <c r="V413" s="139" t="s">
        <v>9334</v>
      </c>
      <c r="W413" s="30" t="s">
        <v>584</v>
      </c>
      <c r="X413" s="30" t="s">
        <v>194</v>
      </c>
      <c r="Y413" s="30" t="s">
        <v>9300</v>
      </c>
      <c r="Z413" s="30"/>
      <c r="AA413" s="30"/>
      <c r="AB413" s="30" t="s">
        <v>9311</v>
      </c>
      <c r="AC413" s="30"/>
      <c r="AD413" s="30"/>
      <c r="AE413" s="30"/>
      <c r="AF413" s="30"/>
      <c r="AG413" s="30"/>
      <c r="AH413" s="30" t="s">
        <v>4714</v>
      </c>
      <c r="AI413" s="30" t="s">
        <v>9433</v>
      </c>
      <c r="AJ413" s="641" t="str">
        <f t="shared" si="12"/>
        <v>311937</v>
      </c>
      <c r="AK413" s="641">
        <v>1</v>
      </c>
      <c r="AL413" s="641">
        <f t="shared" si="13"/>
        <v>1</v>
      </c>
      <c r="AM413" s="641">
        <v>1</v>
      </c>
      <c r="AN413" s="30" t="s">
        <v>17650</v>
      </c>
      <c r="AO413" s="30" t="s">
        <v>17651</v>
      </c>
      <c r="AP413" s="30" t="s">
        <v>17652</v>
      </c>
      <c r="AQ413" s="30" t="s">
        <v>17653</v>
      </c>
      <c r="AR413" s="30" t="s">
        <v>1024</v>
      </c>
      <c r="AS413" s="30">
        <v>1</v>
      </c>
    </row>
    <row r="414" spans="1:45" x14ac:dyDescent="0.25">
      <c r="A414" s="30" t="s">
        <v>26334</v>
      </c>
      <c r="B414" s="30" t="s">
        <v>26335</v>
      </c>
      <c r="C414" s="30" t="s">
        <v>2861</v>
      </c>
      <c r="D414" s="139" t="s">
        <v>26079</v>
      </c>
      <c r="E414" s="30" t="s">
        <v>217</v>
      </c>
      <c r="F414" s="30">
        <v>1</v>
      </c>
      <c r="G414" s="30" t="s">
        <v>193</v>
      </c>
      <c r="H414" s="30" t="s">
        <v>194</v>
      </c>
      <c r="I414" s="30" t="s">
        <v>27253</v>
      </c>
      <c r="J414" s="30" t="s">
        <v>210</v>
      </c>
      <c r="K414" s="30" t="s">
        <v>9309</v>
      </c>
      <c r="L414" s="30" t="s">
        <v>6955</v>
      </c>
      <c r="M414" s="30"/>
      <c r="N414" s="30" t="s">
        <v>26336</v>
      </c>
      <c r="O414" s="30" t="s">
        <v>6261</v>
      </c>
      <c r="P414" s="30" t="s">
        <v>27279</v>
      </c>
      <c r="Q414" s="30" t="s">
        <v>26182</v>
      </c>
      <c r="R414" s="30" t="s">
        <v>26183</v>
      </c>
      <c r="S414" s="30" t="s">
        <v>27375</v>
      </c>
      <c r="T414" s="30" t="s">
        <v>27376</v>
      </c>
      <c r="U414" s="30"/>
      <c r="V414" s="139" t="s">
        <v>9334</v>
      </c>
      <c r="W414" s="30" t="s">
        <v>3629</v>
      </c>
      <c r="X414" s="30" t="s">
        <v>194</v>
      </c>
      <c r="Y414" s="30" t="s">
        <v>9300</v>
      </c>
      <c r="Z414" s="30"/>
      <c r="AA414" s="30"/>
      <c r="AB414" s="30" t="s">
        <v>9311</v>
      </c>
      <c r="AC414" s="30"/>
      <c r="AD414" s="30"/>
      <c r="AE414" s="30"/>
      <c r="AF414" s="30"/>
      <c r="AG414" s="30"/>
      <c r="AH414" s="30" t="s">
        <v>4714</v>
      </c>
      <c r="AI414" s="30" t="s">
        <v>9433</v>
      </c>
      <c r="AJ414" s="641" t="str">
        <f t="shared" si="12"/>
        <v>251903</v>
      </c>
      <c r="AK414" s="641">
        <v>1</v>
      </c>
      <c r="AL414" s="641">
        <f t="shared" si="13"/>
        <v>1</v>
      </c>
      <c r="AM414" s="641">
        <v>1</v>
      </c>
      <c r="AN414" s="30" t="s">
        <v>17650</v>
      </c>
      <c r="AO414" s="30" t="s">
        <v>17651</v>
      </c>
      <c r="AP414" s="30" t="s">
        <v>17652</v>
      </c>
      <c r="AQ414" s="30" t="s">
        <v>17653</v>
      </c>
      <c r="AR414" s="30" t="s">
        <v>1024</v>
      </c>
      <c r="AS414" s="30">
        <v>1</v>
      </c>
    </row>
    <row r="415" spans="1:45" x14ac:dyDescent="0.25">
      <c r="A415" s="30" t="s">
        <v>716</v>
      </c>
      <c r="B415" s="30" t="s">
        <v>27331</v>
      </c>
      <c r="C415" s="30" t="s">
        <v>706</v>
      </c>
      <c r="D415" s="139" t="s">
        <v>26079</v>
      </c>
      <c r="E415" s="30" t="s">
        <v>217</v>
      </c>
      <c r="F415" s="30">
        <v>1</v>
      </c>
      <c r="G415" s="30" t="s">
        <v>193</v>
      </c>
      <c r="H415" s="30" t="s">
        <v>194</v>
      </c>
      <c r="I415" s="30" t="s">
        <v>27277</v>
      </c>
      <c r="J415" s="30" t="s">
        <v>210</v>
      </c>
      <c r="K415" s="30" t="s">
        <v>9309</v>
      </c>
      <c r="L415" s="30" t="s">
        <v>6955</v>
      </c>
      <c r="M415" s="30"/>
      <c r="N415" s="30" t="s">
        <v>27377</v>
      </c>
      <c r="O415" s="30" t="s">
        <v>6286</v>
      </c>
      <c r="P415" s="30" t="s">
        <v>27279</v>
      </c>
      <c r="Q415" s="30" t="s">
        <v>26160</v>
      </c>
      <c r="R415" s="30" t="s">
        <v>27340</v>
      </c>
      <c r="S415" s="30" t="s">
        <v>27378</v>
      </c>
      <c r="T415" s="30" t="s">
        <v>27379</v>
      </c>
      <c r="U415" s="30"/>
      <c r="V415" s="139" t="s">
        <v>9334</v>
      </c>
      <c r="W415" s="30" t="s">
        <v>707</v>
      </c>
      <c r="X415" s="30" t="s">
        <v>194</v>
      </c>
      <c r="Y415" s="30" t="s">
        <v>9300</v>
      </c>
      <c r="Z415" s="30"/>
      <c r="AA415" s="30"/>
      <c r="AB415" s="30" t="s">
        <v>9311</v>
      </c>
      <c r="AC415" s="30"/>
      <c r="AD415" s="30"/>
      <c r="AE415" s="30"/>
      <c r="AF415" s="30"/>
      <c r="AG415" s="30"/>
      <c r="AH415" s="30" t="s">
        <v>4714</v>
      </c>
      <c r="AI415" s="30" t="s">
        <v>9433</v>
      </c>
      <c r="AJ415" s="641" t="str">
        <f t="shared" si="12"/>
        <v>422201</v>
      </c>
      <c r="AK415" s="641">
        <v>1</v>
      </c>
      <c r="AL415" s="641">
        <f t="shared" si="13"/>
        <v>1</v>
      </c>
      <c r="AM415" s="641">
        <v>1</v>
      </c>
      <c r="AN415" s="30" t="s">
        <v>17650</v>
      </c>
      <c r="AO415" s="30" t="s">
        <v>17651</v>
      </c>
      <c r="AP415" s="30" t="s">
        <v>17652</v>
      </c>
      <c r="AQ415" s="30" t="s">
        <v>17653</v>
      </c>
      <c r="AR415" s="30" t="s">
        <v>1024</v>
      </c>
      <c r="AS415" s="30">
        <v>1</v>
      </c>
    </row>
    <row r="416" spans="1:45" x14ac:dyDescent="0.25">
      <c r="A416" s="30" t="s">
        <v>26089</v>
      </c>
      <c r="B416" s="30" t="s">
        <v>27177</v>
      </c>
      <c r="C416" s="30" t="s">
        <v>420</v>
      </c>
      <c r="D416" s="139" t="s">
        <v>26079</v>
      </c>
      <c r="E416" s="30" t="s">
        <v>217</v>
      </c>
      <c r="F416" s="30">
        <v>1</v>
      </c>
      <c r="G416" s="30" t="s">
        <v>193</v>
      </c>
      <c r="H416" s="30" t="s">
        <v>194</v>
      </c>
      <c r="I416" s="30" t="s">
        <v>27253</v>
      </c>
      <c r="J416" s="30" t="s">
        <v>210</v>
      </c>
      <c r="K416" s="30" t="s">
        <v>9309</v>
      </c>
      <c r="L416" s="30" t="s">
        <v>6955</v>
      </c>
      <c r="M416" s="30"/>
      <c r="N416" s="30" t="s">
        <v>27178</v>
      </c>
      <c r="O416" s="30" t="s">
        <v>6921</v>
      </c>
      <c r="P416" s="30" t="s">
        <v>27279</v>
      </c>
      <c r="Q416" s="30" t="s">
        <v>26073</v>
      </c>
      <c r="R416" s="30" t="s">
        <v>27021</v>
      </c>
      <c r="S416" s="30" t="s">
        <v>27380</v>
      </c>
      <c r="T416" s="30" t="s">
        <v>27381</v>
      </c>
      <c r="U416" s="30"/>
      <c r="V416" s="139" t="s">
        <v>9334</v>
      </c>
      <c r="W416" s="30" t="s">
        <v>421</v>
      </c>
      <c r="X416" s="30" t="s">
        <v>194</v>
      </c>
      <c r="Y416" s="30" t="s">
        <v>9300</v>
      </c>
      <c r="Z416" s="30"/>
      <c r="AA416" s="30"/>
      <c r="AB416" s="30" t="s">
        <v>9311</v>
      </c>
      <c r="AC416" s="30"/>
      <c r="AD416" s="30"/>
      <c r="AE416" s="30"/>
      <c r="AF416" s="30"/>
      <c r="AG416" s="30"/>
      <c r="AH416" s="30" t="s">
        <v>4714</v>
      </c>
      <c r="AI416" s="30" t="s">
        <v>9433</v>
      </c>
      <c r="AJ416" s="641" t="str">
        <f t="shared" si="12"/>
        <v>241306</v>
      </c>
      <c r="AK416" s="641">
        <v>1</v>
      </c>
      <c r="AL416" s="641">
        <f t="shared" si="13"/>
        <v>1</v>
      </c>
      <c r="AM416" s="641">
        <v>1</v>
      </c>
      <c r="AN416" s="30" t="s">
        <v>17650</v>
      </c>
      <c r="AO416" s="30" t="s">
        <v>17651</v>
      </c>
      <c r="AP416" s="30" t="s">
        <v>17652</v>
      </c>
      <c r="AQ416" s="30" t="s">
        <v>17653</v>
      </c>
      <c r="AR416" s="30" t="s">
        <v>1024</v>
      </c>
      <c r="AS416" s="30">
        <v>1</v>
      </c>
    </row>
    <row r="417" spans="1:45" x14ac:dyDescent="0.25">
      <c r="A417" s="30" t="s">
        <v>26089</v>
      </c>
      <c r="B417" s="30" t="s">
        <v>26090</v>
      </c>
      <c r="C417" s="30" t="s">
        <v>36</v>
      </c>
      <c r="D417" s="139" t="s">
        <v>26079</v>
      </c>
      <c r="E417" s="30" t="s">
        <v>217</v>
      </c>
      <c r="F417" s="30">
        <v>1</v>
      </c>
      <c r="G417" s="30" t="s">
        <v>193</v>
      </c>
      <c r="H417" s="30" t="s">
        <v>194</v>
      </c>
      <c r="I417" s="30" t="s">
        <v>27253</v>
      </c>
      <c r="J417" s="30" t="s">
        <v>210</v>
      </c>
      <c r="K417" s="30" t="s">
        <v>9309</v>
      </c>
      <c r="L417" s="30" t="s">
        <v>6955</v>
      </c>
      <c r="M417" s="30"/>
      <c r="N417" s="30" t="s">
        <v>26474</v>
      </c>
      <c r="O417" s="30" t="s">
        <v>7120</v>
      </c>
      <c r="P417" s="30" t="s">
        <v>27279</v>
      </c>
      <c r="Q417" s="30" t="s">
        <v>26092</v>
      </c>
      <c r="R417" s="30" t="s">
        <v>26093</v>
      </c>
      <c r="S417" s="30" t="s">
        <v>27382</v>
      </c>
      <c r="T417" s="30" t="s">
        <v>27383</v>
      </c>
      <c r="U417" s="30"/>
      <c r="V417" s="139" t="s">
        <v>9334</v>
      </c>
      <c r="W417" s="30" t="s">
        <v>609</v>
      </c>
      <c r="X417" s="30" t="s">
        <v>194</v>
      </c>
      <c r="Y417" s="30" t="s">
        <v>9300</v>
      </c>
      <c r="Z417" s="30"/>
      <c r="AA417" s="30"/>
      <c r="AB417" s="30" t="s">
        <v>9311</v>
      </c>
      <c r="AC417" s="30"/>
      <c r="AD417" s="30"/>
      <c r="AE417" s="30"/>
      <c r="AF417" s="30"/>
      <c r="AG417" s="30"/>
      <c r="AH417" s="30" t="s">
        <v>4714</v>
      </c>
      <c r="AI417" s="30" t="s">
        <v>9433</v>
      </c>
      <c r="AJ417" s="641" t="str">
        <f t="shared" si="12"/>
        <v>331301</v>
      </c>
      <c r="AK417" s="641">
        <v>1</v>
      </c>
      <c r="AL417" s="641">
        <f t="shared" si="13"/>
        <v>1</v>
      </c>
      <c r="AM417" s="641">
        <v>1</v>
      </c>
      <c r="AN417" s="30" t="s">
        <v>17650</v>
      </c>
      <c r="AO417" s="30" t="s">
        <v>17651</v>
      </c>
      <c r="AP417" s="30" t="s">
        <v>17652</v>
      </c>
      <c r="AQ417" s="30" t="s">
        <v>17653</v>
      </c>
      <c r="AR417" s="30" t="s">
        <v>1024</v>
      </c>
      <c r="AS417" s="30">
        <v>1</v>
      </c>
    </row>
    <row r="418" spans="1:45" x14ac:dyDescent="0.25">
      <c r="A418" s="30" t="s">
        <v>26193</v>
      </c>
      <c r="B418" s="30" t="s">
        <v>26194</v>
      </c>
      <c r="C418" s="30" t="s">
        <v>227</v>
      </c>
      <c r="D418" s="139" t="s">
        <v>26079</v>
      </c>
      <c r="E418" s="30" t="s">
        <v>217</v>
      </c>
      <c r="F418" s="30">
        <v>1</v>
      </c>
      <c r="G418" s="30" t="s">
        <v>193</v>
      </c>
      <c r="H418" s="30" t="s">
        <v>194</v>
      </c>
      <c r="I418" s="30" t="s">
        <v>27277</v>
      </c>
      <c r="J418" s="30" t="s">
        <v>210</v>
      </c>
      <c r="K418" s="30" t="s">
        <v>9309</v>
      </c>
      <c r="L418" s="30" t="s">
        <v>6955</v>
      </c>
      <c r="M418" s="30"/>
      <c r="N418" s="30" t="s">
        <v>27384</v>
      </c>
      <c r="O418" s="30" t="s">
        <v>6277</v>
      </c>
      <c r="P418" s="30" t="s">
        <v>27279</v>
      </c>
      <c r="Q418" s="30" t="s">
        <v>26109</v>
      </c>
      <c r="R418" s="30" t="s">
        <v>27328</v>
      </c>
      <c r="S418" s="30" t="s">
        <v>27385</v>
      </c>
      <c r="T418" s="30" t="s">
        <v>27386</v>
      </c>
      <c r="U418" s="30"/>
      <c r="V418" s="139" t="s">
        <v>9334</v>
      </c>
      <c r="W418" s="30" t="s">
        <v>229</v>
      </c>
      <c r="X418" s="30" t="s">
        <v>194</v>
      </c>
      <c r="Y418" s="30" t="s">
        <v>9300</v>
      </c>
      <c r="Z418" s="30"/>
      <c r="AA418" s="30"/>
      <c r="AB418" s="30" t="s">
        <v>9311</v>
      </c>
      <c r="AC418" s="30"/>
      <c r="AD418" s="30"/>
      <c r="AE418" s="30"/>
      <c r="AF418" s="30"/>
      <c r="AG418" s="30"/>
      <c r="AH418" s="30" t="s">
        <v>4714</v>
      </c>
      <c r="AI418" s="30" t="s">
        <v>9433</v>
      </c>
      <c r="AJ418" s="641" t="str">
        <f t="shared" si="12"/>
        <v>132401</v>
      </c>
      <c r="AK418" s="641">
        <v>1</v>
      </c>
      <c r="AL418" s="641">
        <f t="shared" si="13"/>
        <v>1</v>
      </c>
      <c r="AM418" s="641">
        <v>1</v>
      </c>
      <c r="AN418" s="30" t="s">
        <v>17650</v>
      </c>
      <c r="AO418" s="30" t="s">
        <v>17651</v>
      </c>
      <c r="AP418" s="30" t="s">
        <v>17652</v>
      </c>
      <c r="AQ418" s="30" t="s">
        <v>17653</v>
      </c>
      <c r="AR418" s="30" t="s">
        <v>1024</v>
      </c>
      <c r="AS418" s="30">
        <v>1</v>
      </c>
    </row>
    <row r="419" spans="1:45" x14ac:dyDescent="0.25">
      <c r="A419" s="30" t="s">
        <v>716</v>
      </c>
      <c r="B419" s="30" t="s">
        <v>26635</v>
      </c>
      <c r="C419" s="30" t="s">
        <v>706</v>
      </c>
      <c r="D419" s="139" t="s">
        <v>26079</v>
      </c>
      <c r="E419" s="30" t="s">
        <v>217</v>
      </c>
      <c r="F419" s="30">
        <v>1</v>
      </c>
      <c r="G419" s="30" t="s">
        <v>193</v>
      </c>
      <c r="H419" s="30" t="s">
        <v>194</v>
      </c>
      <c r="I419" s="30" t="s">
        <v>27277</v>
      </c>
      <c r="J419" s="30" t="s">
        <v>210</v>
      </c>
      <c r="K419" s="30" t="s">
        <v>9309</v>
      </c>
      <c r="L419" s="30" t="s">
        <v>6955</v>
      </c>
      <c r="M419" s="30"/>
      <c r="N419" s="30" t="s">
        <v>27387</v>
      </c>
      <c r="O419" s="30" t="s">
        <v>6251</v>
      </c>
      <c r="P419" s="30" t="s">
        <v>27279</v>
      </c>
      <c r="Q419" s="30" t="s">
        <v>26109</v>
      </c>
      <c r="R419" s="30" t="s">
        <v>27328</v>
      </c>
      <c r="S419" s="30" t="s">
        <v>27388</v>
      </c>
      <c r="T419" s="30" t="s">
        <v>27389</v>
      </c>
      <c r="U419" s="30"/>
      <c r="V419" s="139" t="s">
        <v>9334</v>
      </c>
      <c r="W419" s="30" t="s">
        <v>707</v>
      </c>
      <c r="X419" s="30" t="s">
        <v>194</v>
      </c>
      <c r="Y419" s="30" t="s">
        <v>9300</v>
      </c>
      <c r="Z419" s="30"/>
      <c r="AA419" s="30"/>
      <c r="AB419" s="30" t="s">
        <v>9311</v>
      </c>
      <c r="AC419" s="30"/>
      <c r="AD419" s="30"/>
      <c r="AE419" s="30"/>
      <c r="AF419" s="30"/>
      <c r="AG419" s="30"/>
      <c r="AH419" s="30" t="s">
        <v>4714</v>
      </c>
      <c r="AI419" s="30" t="s">
        <v>9433</v>
      </c>
      <c r="AJ419" s="641" t="str">
        <f t="shared" si="12"/>
        <v>422201</v>
      </c>
      <c r="AK419" s="641">
        <v>1</v>
      </c>
      <c r="AL419" s="641">
        <f t="shared" si="13"/>
        <v>1</v>
      </c>
      <c r="AM419" s="641">
        <v>1</v>
      </c>
      <c r="AN419" s="30" t="s">
        <v>17650</v>
      </c>
      <c r="AO419" s="30" t="s">
        <v>17651</v>
      </c>
      <c r="AP419" s="30" t="s">
        <v>17652</v>
      </c>
      <c r="AQ419" s="30" t="s">
        <v>17653</v>
      </c>
      <c r="AR419" s="30" t="s">
        <v>1024</v>
      </c>
      <c r="AS419" s="30">
        <v>1</v>
      </c>
    </row>
    <row r="420" spans="1:45" x14ac:dyDescent="0.25">
      <c r="A420" s="30" t="s">
        <v>26153</v>
      </c>
      <c r="B420" s="30" t="s">
        <v>27390</v>
      </c>
      <c r="C420" s="30" t="s">
        <v>10</v>
      </c>
      <c r="D420" s="139" t="s">
        <v>26079</v>
      </c>
      <c r="E420" s="30" t="s">
        <v>217</v>
      </c>
      <c r="F420" s="30">
        <v>1</v>
      </c>
      <c r="G420" s="30" t="s">
        <v>193</v>
      </c>
      <c r="H420" s="30" t="s">
        <v>194</v>
      </c>
      <c r="I420" s="30" t="s">
        <v>23198</v>
      </c>
      <c r="J420" s="30" t="s">
        <v>210</v>
      </c>
      <c r="K420" s="30" t="s">
        <v>9309</v>
      </c>
      <c r="L420" s="30" t="s">
        <v>6955</v>
      </c>
      <c r="M420" s="30"/>
      <c r="N420" s="30" t="s">
        <v>27391</v>
      </c>
      <c r="O420" s="30" t="s">
        <v>6261</v>
      </c>
      <c r="P420" s="30" t="s">
        <v>27279</v>
      </c>
      <c r="Q420" s="30" t="s">
        <v>24551</v>
      </c>
      <c r="R420" s="30" t="s">
        <v>27361</v>
      </c>
      <c r="S420" s="30" t="s">
        <v>27392</v>
      </c>
      <c r="T420" s="30" t="s">
        <v>27393</v>
      </c>
      <c r="U420" s="30"/>
      <c r="V420" s="139" t="s">
        <v>9334</v>
      </c>
      <c r="W420" s="30" t="s">
        <v>484</v>
      </c>
      <c r="X420" s="30" t="s">
        <v>194</v>
      </c>
      <c r="Y420" s="30" t="s">
        <v>9300</v>
      </c>
      <c r="Z420" s="30"/>
      <c r="AA420" s="30"/>
      <c r="AB420" s="30" t="s">
        <v>9311</v>
      </c>
      <c r="AC420" s="30"/>
      <c r="AD420" s="30"/>
      <c r="AE420" s="30"/>
      <c r="AF420" s="30"/>
      <c r="AG420" s="30"/>
      <c r="AH420" s="30" t="s">
        <v>4714</v>
      </c>
      <c r="AI420" s="30" t="s">
        <v>9433</v>
      </c>
      <c r="AJ420" s="641" t="str">
        <f t="shared" si="12"/>
        <v>251401</v>
      </c>
      <c r="AK420" s="641">
        <v>1</v>
      </c>
      <c r="AL420" s="641">
        <f t="shared" si="13"/>
        <v>1</v>
      </c>
      <c r="AM420" s="641">
        <v>1</v>
      </c>
      <c r="AN420" s="30" t="s">
        <v>17650</v>
      </c>
      <c r="AO420" s="30" t="s">
        <v>17651</v>
      </c>
      <c r="AP420" s="30" t="s">
        <v>17652</v>
      </c>
      <c r="AQ420" s="30" t="s">
        <v>17653</v>
      </c>
      <c r="AR420" s="30" t="s">
        <v>1024</v>
      </c>
      <c r="AS420" s="30">
        <v>1</v>
      </c>
    </row>
    <row r="421" spans="1:45" x14ac:dyDescent="0.25">
      <c r="A421" s="30" t="s">
        <v>26089</v>
      </c>
      <c r="B421" s="30" t="s">
        <v>26167</v>
      </c>
      <c r="C421" s="30" t="s">
        <v>16355</v>
      </c>
      <c r="D421" s="139" t="s">
        <v>26079</v>
      </c>
      <c r="E421" s="30" t="s">
        <v>217</v>
      </c>
      <c r="F421" s="30">
        <v>1</v>
      </c>
      <c r="G421" s="30" t="s">
        <v>193</v>
      </c>
      <c r="H421" s="30" t="s">
        <v>194</v>
      </c>
      <c r="I421" s="30" t="s">
        <v>27260</v>
      </c>
      <c r="J421" s="30" t="s">
        <v>210</v>
      </c>
      <c r="K421" s="30" t="s">
        <v>9309</v>
      </c>
      <c r="L421" s="30" t="s">
        <v>6955</v>
      </c>
      <c r="M421" s="30"/>
      <c r="N421" s="30" t="s">
        <v>26168</v>
      </c>
      <c r="O421" s="30" t="s">
        <v>6261</v>
      </c>
      <c r="P421" s="30" t="s">
        <v>27279</v>
      </c>
      <c r="Q421" s="30" t="s">
        <v>26085</v>
      </c>
      <c r="R421" s="30" t="s">
        <v>26057</v>
      </c>
      <c r="S421" s="30" t="s">
        <v>27394</v>
      </c>
      <c r="T421" s="30" t="s">
        <v>27395</v>
      </c>
      <c r="U421" s="30"/>
      <c r="V421" s="139" t="s">
        <v>9334</v>
      </c>
      <c r="W421" s="30" t="s">
        <v>508</v>
      </c>
      <c r="X421" s="30" t="s">
        <v>194</v>
      </c>
      <c r="Y421" s="30" t="s">
        <v>9300</v>
      </c>
      <c r="Z421" s="30"/>
      <c r="AA421" s="30"/>
      <c r="AB421" s="30" t="s">
        <v>9311</v>
      </c>
      <c r="AC421" s="30"/>
      <c r="AD421" s="30"/>
      <c r="AE421" s="30"/>
      <c r="AF421" s="30"/>
      <c r="AG421" s="30"/>
      <c r="AH421" s="30" t="s">
        <v>4714</v>
      </c>
      <c r="AI421" s="30" t="s">
        <v>9433</v>
      </c>
      <c r="AJ421" s="641" t="str">
        <f t="shared" si="12"/>
        <v>252102</v>
      </c>
      <c r="AK421" s="641">
        <v>1</v>
      </c>
      <c r="AL421" s="641">
        <f t="shared" si="13"/>
        <v>1</v>
      </c>
      <c r="AM421" s="641">
        <v>1</v>
      </c>
      <c r="AN421" s="30" t="s">
        <v>17650</v>
      </c>
      <c r="AO421" s="30" t="s">
        <v>17651</v>
      </c>
      <c r="AP421" s="30" t="s">
        <v>17652</v>
      </c>
      <c r="AQ421" s="30" t="s">
        <v>17653</v>
      </c>
      <c r="AR421" s="30" t="s">
        <v>1024</v>
      </c>
      <c r="AS421" s="30">
        <v>1</v>
      </c>
    </row>
    <row r="422" spans="1:45" x14ac:dyDescent="0.25">
      <c r="A422" s="30" t="s">
        <v>26153</v>
      </c>
      <c r="B422" s="30" t="s">
        <v>26873</v>
      </c>
      <c r="C422" s="30" t="s">
        <v>10</v>
      </c>
      <c r="D422" s="139" t="s">
        <v>26079</v>
      </c>
      <c r="E422" s="30" t="s">
        <v>217</v>
      </c>
      <c r="F422" s="30">
        <v>1</v>
      </c>
      <c r="G422" s="30" t="s">
        <v>193</v>
      </c>
      <c r="H422" s="30" t="s">
        <v>194</v>
      </c>
      <c r="I422" s="30" t="s">
        <v>27253</v>
      </c>
      <c r="J422" s="30" t="s">
        <v>210</v>
      </c>
      <c r="K422" s="30" t="s">
        <v>9309</v>
      </c>
      <c r="L422" s="30" t="s">
        <v>6955</v>
      </c>
      <c r="M422" s="30"/>
      <c r="N422" s="30" t="s">
        <v>26874</v>
      </c>
      <c r="O422" s="30" t="s">
        <v>6261</v>
      </c>
      <c r="P422" s="30" t="s">
        <v>27279</v>
      </c>
      <c r="Q422" s="30" t="s">
        <v>26056</v>
      </c>
      <c r="R422" s="30" t="s">
        <v>23128</v>
      </c>
      <c r="S422" s="30" t="s">
        <v>27396</v>
      </c>
      <c r="T422" s="30" t="s">
        <v>27397</v>
      </c>
      <c r="U422" s="30"/>
      <c r="V422" s="139" t="s">
        <v>9334</v>
      </c>
      <c r="W422" s="30" t="s">
        <v>484</v>
      </c>
      <c r="X422" s="30" t="s">
        <v>194</v>
      </c>
      <c r="Y422" s="30" t="s">
        <v>9300</v>
      </c>
      <c r="Z422" s="30"/>
      <c r="AA422" s="30"/>
      <c r="AB422" s="30" t="s">
        <v>9311</v>
      </c>
      <c r="AC422" s="30"/>
      <c r="AD422" s="30"/>
      <c r="AE422" s="30"/>
      <c r="AF422" s="30"/>
      <c r="AG422" s="30"/>
      <c r="AH422" s="30" t="s">
        <v>4714</v>
      </c>
      <c r="AI422" s="30" t="s">
        <v>9433</v>
      </c>
      <c r="AJ422" s="641" t="str">
        <f t="shared" si="12"/>
        <v>251401</v>
      </c>
      <c r="AK422" s="641">
        <v>1</v>
      </c>
      <c r="AL422" s="641">
        <f t="shared" si="13"/>
        <v>1</v>
      </c>
      <c r="AM422" s="641">
        <v>1</v>
      </c>
      <c r="AN422" s="30" t="s">
        <v>17650</v>
      </c>
      <c r="AO422" s="30" t="s">
        <v>17651</v>
      </c>
      <c r="AP422" s="30" t="s">
        <v>17652</v>
      </c>
      <c r="AQ422" s="30" t="s">
        <v>17653</v>
      </c>
      <c r="AR422" s="30" t="s">
        <v>1024</v>
      </c>
      <c r="AS422" s="30">
        <v>1</v>
      </c>
    </row>
    <row r="423" spans="1:45" x14ac:dyDescent="0.25">
      <c r="A423" s="30" t="s">
        <v>716</v>
      </c>
      <c r="B423" s="30" t="s">
        <v>27398</v>
      </c>
      <c r="C423" s="30" t="s">
        <v>706</v>
      </c>
      <c r="D423" s="139" t="s">
        <v>26079</v>
      </c>
      <c r="E423" s="30" t="s">
        <v>217</v>
      </c>
      <c r="F423" s="30">
        <v>1</v>
      </c>
      <c r="G423" s="30" t="s">
        <v>193</v>
      </c>
      <c r="H423" s="30" t="s">
        <v>194</v>
      </c>
      <c r="I423" s="30" t="s">
        <v>27260</v>
      </c>
      <c r="J423" s="30" t="s">
        <v>408</v>
      </c>
      <c r="K423" s="30" t="s">
        <v>9309</v>
      </c>
      <c r="L423" s="30" t="s">
        <v>6955</v>
      </c>
      <c r="M423" s="30"/>
      <c r="N423" s="30" t="s">
        <v>27399</v>
      </c>
      <c r="O423" s="30" t="s">
        <v>6251</v>
      </c>
      <c r="P423" s="30" t="s">
        <v>27279</v>
      </c>
      <c r="Q423" s="30" t="s">
        <v>25893</v>
      </c>
      <c r="R423" s="30" t="s">
        <v>27300</v>
      </c>
      <c r="S423" s="30" t="s">
        <v>27400</v>
      </c>
      <c r="T423" s="30" t="s">
        <v>27401</v>
      </c>
      <c r="U423" s="30"/>
      <c r="V423" s="139" t="s">
        <v>9479</v>
      </c>
      <c r="W423" s="30" t="s">
        <v>707</v>
      </c>
      <c r="X423" s="30" t="s">
        <v>194</v>
      </c>
      <c r="Y423" s="30" t="s">
        <v>9300</v>
      </c>
      <c r="Z423" s="30"/>
      <c r="AA423" s="30"/>
      <c r="AB423" s="30" t="s">
        <v>9311</v>
      </c>
      <c r="AC423" s="30"/>
      <c r="AD423" s="30"/>
      <c r="AE423" s="30"/>
      <c r="AF423" s="30"/>
      <c r="AG423" s="30"/>
      <c r="AH423" s="30" t="s">
        <v>4714</v>
      </c>
      <c r="AI423" s="30" t="s">
        <v>9433</v>
      </c>
      <c r="AJ423" s="641" t="str">
        <f t="shared" si="12"/>
        <v>422201</v>
      </c>
      <c r="AK423" s="641">
        <v>1</v>
      </c>
      <c r="AL423" s="641">
        <f t="shared" si="13"/>
        <v>1</v>
      </c>
      <c r="AM423" s="641">
        <v>1</v>
      </c>
      <c r="AN423" s="30" t="s">
        <v>17650</v>
      </c>
      <c r="AO423" s="30" t="s">
        <v>17651</v>
      </c>
      <c r="AP423" s="30" t="s">
        <v>17652</v>
      </c>
      <c r="AQ423" s="30" t="s">
        <v>17653</v>
      </c>
      <c r="AR423" s="30" t="s">
        <v>1024</v>
      </c>
      <c r="AS423" s="30">
        <v>1</v>
      </c>
    </row>
    <row r="424" spans="1:45" x14ac:dyDescent="0.25">
      <c r="A424" s="30" t="s">
        <v>26089</v>
      </c>
      <c r="B424" s="30" t="s">
        <v>26268</v>
      </c>
      <c r="C424" s="30" t="s">
        <v>444</v>
      </c>
      <c r="D424" s="139" t="s">
        <v>26079</v>
      </c>
      <c r="E424" s="30" t="s">
        <v>217</v>
      </c>
      <c r="F424" s="30">
        <v>1</v>
      </c>
      <c r="G424" s="30" t="s">
        <v>193</v>
      </c>
      <c r="H424" s="30" t="s">
        <v>194</v>
      </c>
      <c r="I424" s="30" t="s">
        <v>27253</v>
      </c>
      <c r="J424" s="30" t="s">
        <v>210</v>
      </c>
      <c r="K424" s="30" t="s">
        <v>9309</v>
      </c>
      <c r="L424" s="30" t="s">
        <v>6955</v>
      </c>
      <c r="M424" s="30"/>
      <c r="N424" s="30" t="s">
        <v>26719</v>
      </c>
      <c r="O424" s="30" t="s">
        <v>6261</v>
      </c>
      <c r="P424" s="30" t="s">
        <v>27279</v>
      </c>
      <c r="Q424" s="30" t="s">
        <v>26098</v>
      </c>
      <c r="R424" s="30" t="s">
        <v>26231</v>
      </c>
      <c r="S424" s="30" t="s">
        <v>27402</v>
      </c>
      <c r="T424" s="30" t="s">
        <v>27403</v>
      </c>
      <c r="U424" s="30"/>
      <c r="V424" s="139" t="s">
        <v>9334</v>
      </c>
      <c r="W424" s="30" t="s">
        <v>445</v>
      </c>
      <c r="X424" s="30" t="s">
        <v>194</v>
      </c>
      <c r="Y424" s="30" t="s">
        <v>9300</v>
      </c>
      <c r="Z424" s="30"/>
      <c r="AA424" s="30"/>
      <c r="AB424" s="30" t="s">
        <v>9311</v>
      </c>
      <c r="AC424" s="30"/>
      <c r="AD424" s="30"/>
      <c r="AE424" s="30"/>
      <c r="AF424" s="30"/>
      <c r="AG424" s="30"/>
      <c r="AH424" s="30" t="s">
        <v>4714</v>
      </c>
      <c r="AI424" s="30" t="s">
        <v>9433</v>
      </c>
      <c r="AJ424" s="641" t="str">
        <f t="shared" si="12"/>
        <v>243103</v>
      </c>
      <c r="AK424" s="641">
        <v>1</v>
      </c>
      <c r="AL424" s="641">
        <f t="shared" si="13"/>
        <v>1</v>
      </c>
      <c r="AM424" s="641">
        <v>1</v>
      </c>
      <c r="AN424" s="30" t="s">
        <v>17650</v>
      </c>
      <c r="AO424" s="30" t="s">
        <v>17651</v>
      </c>
      <c r="AP424" s="30" t="s">
        <v>17652</v>
      </c>
      <c r="AQ424" s="30" t="s">
        <v>17653</v>
      </c>
      <c r="AR424" s="30" t="s">
        <v>1024</v>
      </c>
      <c r="AS424" s="30">
        <v>1</v>
      </c>
    </row>
    <row r="425" spans="1:45" x14ac:dyDescent="0.25">
      <c r="A425" s="30" t="s">
        <v>26198</v>
      </c>
      <c r="B425" s="30" t="s">
        <v>26199</v>
      </c>
      <c r="C425" s="30" t="s">
        <v>21</v>
      </c>
      <c r="D425" s="139" t="s">
        <v>26079</v>
      </c>
      <c r="E425" s="30" t="s">
        <v>217</v>
      </c>
      <c r="F425" s="30">
        <v>1</v>
      </c>
      <c r="G425" s="30" t="s">
        <v>193</v>
      </c>
      <c r="H425" s="30" t="s">
        <v>194</v>
      </c>
      <c r="I425" s="30" t="s">
        <v>26133</v>
      </c>
      <c r="J425" s="30" t="s">
        <v>316</v>
      </c>
      <c r="K425" s="30" t="s">
        <v>9309</v>
      </c>
      <c r="L425" s="30" t="s">
        <v>6955</v>
      </c>
      <c r="M425" s="30"/>
      <c r="N425" s="30" t="s">
        <v>26200</v>
      </c>
      <c r="O425" s="30" t="s">
        <v>6256</v>
      </c>
      <c r="P425" s="30" t="s">
        <v>27279</v>
      </c>
      <c r="Q425" s="30" t="s">
        <v>26201</v>
      </c>
      <c r="R425" s="30" t="s">
        <v>24556</v>
      </c>
      <c r="S425" s="30" t="s">
        <v>27404</v>
      </c>
      <c r="T425" s="30" t="s">
        <v>27405</v>
      </c>
      <c r="U425" s="30"/>
      <c r="V425" s="139" t="s">
        <v>10012</v>
      </c>
      <c r="W425" s="30" t="s">
        <v>293</v>
      </c>
      <c r="X425" s="30" t="s">
        <v>194</v>
      </c>
      <c r="Y425" s="30" t="s">
        <v>9300</v>
      </c>
      <c r="Z425" s="30"/>
      <c r="AA425" s="30"/>
      <c r="AB425" s="30" t="s">
        <v>9311</v>
      </c>
      <c r="AC425" s="30"/>
      <c r="AD425" s="30"/>
      <c r="AE425" s="30"/>
      <c r="AF425" s="30"/>
      <c r="AG425" s="30"/>
      <c r="AH425" s="30" t="s">
        <v>4714</v>
      </c>
      <c r="AI425" s="30" t="s">
        <v>9433</v>
      </c>
      <c r="AJ425" s="641" t="str">
        <f t="shared" si="12"/>
        <v>214202</v>
      </c>
      <c r="AK425" s="641">
        <v>1</v>
      </c>
      <c r="AL425" s="641">
        <f t="shared" si="13"/>
        <v>1</v>
      </c>
      <c r="AM425" s="641">
        <v>1</v>
      </c>
      <c r="AN425" s="30" t="s">
        <v>17650</v>
      </c>
      <c r="AO425" s="30" t="s">
        <v>17651</v>
      </c>
      <c r="AP425" s="30" t="s">
        <v>17652</v>
      </c>
      <c r="AQ425" s="30" t="s">
        <v>17653</v>
      </c>
      <c r="AR425" s="30" t="s">
        <v>1024</v>
      </c>
      <c r="AS425" s="30">
        <v>1</v>
      </c>
    </row>
    <row r="426" spans="1:45" x14ac:dyDescent="0.25">
      <c r="A426" s="30" t="s">
        <v>26290</v>
      </c>
      <c r="B426" s="30" t="s">
        <v>27181</v>
      </c>
      <c r="C426" s="30" t="s">
        <v>3438</v>
      </c>
      <c r="D426" s="139" t="s">
        <v>26079</v>
      </c>
      <c r="E426" s="30" t="s">
        <v>217</v>
      </c>
      <c r="F426" s="30">
        <v>1</v>
      </c>
      <c r="G426" s="30" t="s">
        <v>193</v>
      </c>
      <c r="H426" s="30" t="s">
        <v>194</v>
      </c>
      <c r="I426" s="30" t="s">
        <v>27253</v>
      </c>
      <c r="J426" s="30" t="s">
        <v>210</v>
      </c>
      <c r="K426" s="30" t="s">
        <v>9309</v>
      </c>
      <c r="L426" s="30" t="s">
        <v>6955</v>
      </c>
      <c r="M426" s="30"/>
      <c r="N426" s="30" t="s">
        <v>27182</v>
      </c>
      <c r="O426" s="30" t="s">
        <v>6251</v>
      </c>
      <c r="P426" s="30" t="s">
        <v>27279</v>
      </c>
      <c r="Q426" s="30" t="s">
        <v>26881</v>
      </c>
      <c r="R426" s="30" t="s">
        <v>26882</v>
      </c>
      <c r="S426" s="30" t="s">
        <v>27406</v>
      </c>
      <c r="T426" s="30" t="s">
        <v>27407</v>
      </c>
      <c r="U426" s="30"/>
      <c r="V426" s="139" t="s">
        <v>9334</v>
      </c>
      <c r="W426" s="30" t="s">
        <v>3439</v>
      </c>
      <c r="X426" s="30" t="s">
        <v>194</v>
      </c>
      <c r="Y426" s="30" t="s">
        <v>9300</v>
      </c>
      <c r="Z426" s="30"/>
      <c r="AA426" s="30"/>
      <c r="AB426" s="30" t="s">
        <v>9311</v>
      </c>
      <c r="AC426" s="30"/>
      <c r="AD426" s="30"/>
      <c r="AE426" s="30"/>
      <c r="AF426" s="30"/>
      <c r="AG426" s="30"/>
      <c r="AH426" s="30" t="s">
        <v>4714</v>
      </c>
      <c r="AI426" s="30" t="s">
        <v>9433</v>
      </c>
      <c r="AJ426" s="641" t="str">
        <f t="shared" si="12"/>
        <v>334306</v>
      </c>
      <c r="AK426" s="641">
        <v>1</v>
      </c>
      <c r="AL426" s="641">
        <f t="shared" si="13"/>
        <v>1</v>
      </c>
      <c r="AM426" s="641">
        <v>1</v>
      </c>
      <c r="AN426" s="30" t="s">
        <v>17650</v>
      </c>
      <c r="AO426" s="30" t="s">
        <v>17651</v>
      </c>
      <c r="AP426" s="30" t="s">
        <v>17652</v>
      </c>
      <c r="AQ426" s="30" t="s">
        <v>17653</v>
      </c>
      <c r="AR426" s="30" t="s">
        <v>1024</v>
      </c>
      <c r="AS426" s="30">
        <v>1</v>
      </c>
    </row>
    <row r="427" spans="1:45" x14ac:dyDescent="0.25">
      <c r="A427" s="30" t="s">
        <v>716</v>
      </c>
      <c r="B427" s="30" t="s">
        <v>26132</v>
      </c>
      <c r="C427" s="30" t="s">
        <v>24125</v>
      </c>
      <c r="D427" s="139" t="s">
        <v>26079</v>
      </c>
      <c r="E427" s="30" t="s">
        <v>217</v>
      </c>
      <c r="F427" s="30">
        <v>1</v>
      </c>
      <c r="G427" s="30" t="s">
        <v>193</v>
      </c>
      <c r="H427" s="30" t="s">
        <v>194</v>
      </c>
      <c r="I427" s="30" t="s">
        <v>26133</v>
      </c>
      <c r="J427" s="30" t="s">
        <v>210</v>
      </c>
      <c r="K427" s="30" t="s">
        <v>9309</v>
      </c>
      <c r="L427" s="30" t="s">
        <v>6955</v>
      </c>
      <c r="M427" s="30"/>
      <c r="N427" s="30" t="s">
        <v>26528</v>
      </c>
      <c r="O427" s="30" t="s">
        <v>6290</v>
      </c>
      <c r="P427" s="30" t="s">
        <v>27279</v>
      </c>
      <c r="Q427" s="30" t="s">
        <v>26085</v>
      </c>
      <c r="R427" s="30" t="s">
        <v>26057</v>
      </c>
      <c r="S427" s="30" t="s">
        <v>27408</v>
      </c>
      <c r="T427" s="30" t="s">
        <v>27409</v>
      </c>
      <c r="U427" s="30"/>
      <c r="V427" s="139" t="s">
        <v>9334</v>
      </c>
      <c r="W427" s="30" t="s">
        <v>24129</v>
      </c>
      <c r="X427" s="30" t="s">
        <v>194</v>
      </c>
      <c r="Y427" s="30" t="s">
        <v>9300</v>
      </c>
      <c r="Z427" s="30"/>
      <c r="AA427" s="30"/>
      <c r="AB427" s="30" t="s">
        <v>9311</v>
      </c>
      <c r="AC427" s="30"/>
      <c r="AD427" s="30"/>
      <c r="AE427" s="30"/>
      <c r="AF427" s="30"/>
      <c r="AG427" s="30"/>
      <c r="AH427" s="30" t="s">
        <v>4714</v>
      </c>
      <c r="AI427" s="30" t="s">
        <v>9433</v>
      </c>
      <c r="AJ427" s="641" t="str">
        <f t="shared" si="12"/>
        <v>351401</v>
      </c>
      <c r="AK427" s="641">
        <v>1</v>
      </c>
      <c r="AL427" s="641">
        <f t="shared" si="13"/>
        <v>1</v>
      </c>
      <c r="AM427" s="641">
        <v>1</v>
      </c>
      <c r="AN427" s="30" t="s">
        <v>17650</v>
      </c>
      <c r="AO427" s="30" t="s">
        <v>17651</v>
      </c>
      <c r="AP427" s="30" t="s">
        <v>17652</v>
      </c>
      <c r="AQ427" s="30" t="s">
        <v>17653</v>
      </c>
      <c r="AR427" s="30" t="s">
        <v>1024</v>
      </c>
      <c r="AS427" s="30">
        <v>1</v>
      </c>
    </row>
    <row r="428" spans="1:45" x14ac:dyDescent="0.25">
      <c r="A428" s="30" t="s">
        <v>581</v>
      </c>
      <c r="B428" s="30" t="s">
        <v>20370</v>
      </c>
      <c r="C428" s="30" t="s">
        <v>122</v>
      </c>
      <c r="D428" s="139" t="s">
        <v>26079</v>
      </c>
      <c r="E428" s="30" t="s">
        <v>217</v>
      </c>
      <c r="F428" s="30">
        <v>1</v>
      </c>
      <c r="G428" s="30" t="s">
        <v>193</v>
      </c>
      <c r="H428" s="30" t="s">
        <v>194</v>
      </c>
      <c r="I428" s="30" t="s">
        <v>27253</v>
      </c>
      <c r="J428" s="30" t="s">
        <v>210</v>
      </c>
      <c r="K428" s="30" t="s">
        <v>9309</v>
      </c>
      <c r="L428" s="30" t="s">
        <v>6955</v>
      </c>
      <c r="M428" s="30"/>
      <c r="N428" s="30" t="s">
        <v>27129</v>
      </c>
      <c r="O428" s="30" t="s">
        <v>6249</v>
      </c>
      <c r="P428" s="30" t="s">
        <v>27279</v>
      </c>
      <c r="Q428" s="30" t="s">
        <v>26139</v>
      </c>
      <c r="R428" s="30" t="s">
        <v>26057</v>
      </c>
      <c r="S428" s="30" t="s">
        <v>27410</v>
      </c>
      <c r="T428" s="30" t="s">
        <v>27411</v>
      </c>
      <c r="U428" s="30"/>
      <c r="V428" s="139" t="s">
        <v>9334</v>
      </c>
      <c r="W428" s="30" t="s">
        <v>655</v>
      </c>
      <c r="X428" s="30" t="s">
        <v>194</v>
      </c>
      <c r="Y428" s="30" t="s">
        <v>9300</v>
      </c>
      <c r="Z428" s="30"/>
      <c r="AA428" s="30"/>
      <c r="AB428" s="30" t="s">
        <v>9311</v>
      </c>
      <c r="AC428" s="30"/>
      <c r="AD428" s="30"/>
      <c r="AE428" s="30"/>
      <c r="AF428" s="30"/>
      <c r="AG428" s="30"/>
      <c r="AH428" s="30" t="s">
        <v>4714</v>
      </c>
      <c r="AI428" s="30" t="s">
        <v>9433</v>
      </c>
      <c r="AJ428" s="641" t="str">
        <f t="shared" si="12"/>
        <v>332301</v>
      </c>
      <c r="AK428" s="641">
        <v>1</v>
      </c>
      <c r="AL428" s="641">
        <f t="shared" si="13"/>
        <v>1</v>
      </c>
      <c r="AM428" s="641">
        <v>1</v>
      </c>
      <c r="AN428" s="30" t="s">
        <v>17650</v>
      </c>
      <c r="AO428" s="30" t="s">
        <v>17651</v>
      </c>
      <c r="AP428" s="30" t="s">
        <v>17652</v>
      </c>
      <c r="AQ428" s="30" t="s">
        <v>17653</v>
      </c>
      <c r="AR428" s="30" t="s">
        <v>1024</v>
      </c>
      <c r="AS428" s="30">
        <v>1</v>
      </c>
    </row>
    <row r="429" spans="1:45" x14ac:dyDescent="0.25">
      <c r="A429" s="30" t="s">
        <v>26089</v>
      </c>
      <c r="B429" s="30" t="s">
        <v>27412</v>
      </c>
      <c r="C429" s="30" t="s">
        <v>10</v>
      </c>
      <c r="D429" s="139" t="s">
        <v>26079</v>
      </c>
      <c r="E429" s="30" t="s">
        <v>217</v>
      </c>
      <c r="F429" s="30">
        <v>1</v>
      </c>
      <c r="G429" s="30" t="s">
        <v>193</v>
      </c>
      <c r="H429" s="30" t="s">
        <v>194</v>
      </c>
      <c r="I429" s="30" t="s">
        <v>27253</v>
      </c>
      <c r="J429" s="30" t="s">
        <v>210</v>
      </c>
      <c r="K429" s="30" t="s">
        <v>9309</v>
      </c>
      <c r="L429" s="30" t="s">
        <v>6955</v>
      </c>
      <c r="M429" s="30"/>
      <c r="N429" s="30" t="s">
        <v>27413</v>
      </c>
      <c r="O429" s="30" t="s">
        <v>6261</v>
      </c>
      <c r="P429" s="30" t="s">
        <v>27279</v>
      </c>
      <c r="Q429" s="30" t="s">
        <v>26139</v>
      </c>
      <c r="R429" s="30" t="s">
        <v>27256</v>
      </c>
      <c r="S429" s="30" t="s">
        <v>27414</v>
      </c>
      <c r="T429" s="30" t="s">
        <v>27415</v>
      </c>
      <c r="U429" s="30"/>
      <c r="V429" s="139" t="s">
        <v>9334</v>
      </c>
      <c r="W429" s="30" t="s">
        <v>484</v>
      </c>
      <c r="X429" s="30" t="s">
        <v>194</v>
      </c>
      <c r="Y429" s="30" t="s">
        <v>9300</v>
      </c>
      <c r="Z429" s="30"/>
      <c r="AA429" s="30"/>
      <c r="AB429" s="30" t="s">
        <v>9311</v>
      </c>
      <c r="AC429" s="30"/>
      <c r="AD429" s="30"/>
      <c r="AE429" s="30"/>
      <c r="AF429" s="30"/>
      <c r="AG429" s="30"/>
      <c r="AH429" s="30" t="s">
        <v>4714</v>
      </c>
      <c r="AI429" s="30" t="s">
        <v>9433</v>
      </c>
      <c r="AJ429" s="641" t="str">
        <f t="shared" si="12"/>
        <v>251401</v>
      </c>
      <c r="AK429" s="641">
        <v>1</v>
      </c>
      <c r="AL429" s="641">
        <f t="shared" si="13"/>
        <v>1</v>
      </c>
      <c r="AM429" s="641">
        <v>1</v>
      </c>
      <c r="AN429" s="30" t="s">
        <v>17650</v>
      </c>
      <c r="AO429" s="30" t="s">
        <v>17651</v>
      </c>
      <c r="AP429" s="30" t="s">
        <v>17652</v>
      </c>
      <c r="AQ429" s="30" t="s">
        <v>17653</v>
      </c>
      <c r="AR429" s="30" t="s">
        <v>1024</v>
      </c>
      <c r="AS429" s="30">
        <v>1</v>
      </c>
    </row>
    <row r="430" spans="1:45" x14ac:dyDescent="0.25">
      <c r="A430" s="30" t="s">
        <v>26089</v>
      </c>
      <c r="B430" s="30" t="s">
        <v>26301</v>
      </c>
      <c r="C430" s="30" t="s">
        <v>46</v>
      </c>
      <c r="D430" s="139" t="s">
        <v>26079</v>
      </c>
      <c r="E430" s="30" t="s">
        <v>217</v>
      </c>
      <c r="F430" s="30">
        <v>1</v>
      </c>
      <c r="G430" s="30" t="s">
        <v>193</v>
      </c>
      <c r="H430" s="30" t="s">
        <v>194</v>
      </c>
      <c r="I430" s="30" t="s">
        <v>27253</v>
      </c>
      <c r="J430" s="30" t="s">
        <v>210</v>
      </c>
      <c r="K430" s="30" t="s">
        <v>9309</v>
      </c>
      <c r="L430" s="30" t="s">
        <v>6955</v>
      </c>
      <c r="M430" s="30"/>
      <c r="N430" s="30" t="s">
        <v>27416</v>
      </c>
      <c r="O430" s="30" t="s">
        <v>6261</v>
      </c>
      <c r="P430" s="30" t="s">
        <v>27279</v>
      </c>
      <c r="Q430" s="30" t="s">
        <v>26139</v>
      </c>
      <c r="R430" s="30" t="s">
        <v>27256</v>
      </c>
      <c r="S430" s="30" t="s">
        <v>27417</v>
      </c>
      <c r="T430" s="30" t="s">
        <v>27418</v>
      </c>
      <c r="U430" s="30"/>
      <c r="V430" s="139" t="s">
        <v>9334</v>
      </c>
      <c r="W430" s="30" t="s">
        <v>510</v>
      </c>
      <c r="X430" s="30" t="s">
        <v>194</v>
      </c>
      <c r="Y430" s="30" t="s">
        <v>9300</v>
      </c>
      <c r="Z430" s="30"/>
      <c r="AA430" s="30"/>
      <c r="AB430" s="30" t="s">
        <v>9311</v>
      </c>
      <c r="AC430" s="30"/>
      <c r="AD430" s="30"/>
      <c r="AE430" s="30"/>
      <c r="AF430" s="30"/>
      <c r="AG430" s="30"/>
      <c r="AH430" s="30" t="s">
        <v>4714</v>
      </c>
      <c r="AI430" s="30" t="s">
        <v>9433</v>
      </c>
      <c r="AJ430" s="641" t="str">
        <f t="shared" si="12"/>
        <v>252201</v>
      </c>
      <c r="AK430" s="641">
        <v>1</v>
      </c>
      <c r="AL430" s="641">
        <f t="shared" si="13"/>
        <v>1</v>
      </c>
      <c r="AM430" s="641">
        <v>1</v>
      </c>
      <c r="AN430" s="30" t="s">
        <v>17650</v>
      </c>
      <c r="AO430" s="30" t="s">
        <v>17651</v>
      </c>
      <c r="AP430" s="30" t="s">
        <v>17652</v>
      </c>
      <c r="AQ430" s="30" t="s">
        <v>17653</v>
      </c>
      <c r="AR430" s="30" t="s">
        <v>1024</v>
      </c>
      <c r="AS430" s="30">
        <v>1</v>
      </c>
    </row>
    <row r="431" spans="1:45" x14ac:dyDescent="0.25">
      <c r="A431" s="30" t="s">
        <v>26089</v>
      </c>
      <c r="B431" s="30" t="s">
        <v>27019</v>
      </c>
      <c r="C431" s="30" t="s">
        <v>10</v>
      </c>
      <c r="D431" s="139" t="s">
        <v>26079</v>
      </c>
      <c r="E431" s="30" t="s">
        <v>217</v>
      </c>
      <c r="F431" s="30">
        <v>1</v>
      </c>
      <c r="G431" s="30" t="s">
        <v>193</v>
      </c>
      <c r="H431" s="30" t="s">
        <v>194</v>
      </c>
      <c r="I431" s="30" t="s">
        <v>27260</v>
      </c>
      <c r="J431" s="30" t="s">
        <v>210</v>
      </c>
      <c r="K431" s="30" t="s">
        <v>9309</v>
      </c>
      <c r="L431" s="30" t="s">
        <v>6955</v>
      </c>
      <c r="M431" s="30"/>
      <c r="N431" s="30" t="s">
        <v>27419</v>
      </c>
      <c r="O431" s="30" t="s">
        <v>6261</v>
      </c>
      <c r="P431" s="30" t="s">
        <v>27279</v>
      </c>
      <c r="Q431" s="30" t="s">
        <v>24551</v>
      </c>
      <c r="R431" s="30" t="s">
        <v>27361</v>
      </c>
      <c r="S431" s="30" t="s">
        <v>27420</v>
      </c>
      <c r="T431" s="30" t="s">
        <v>27421</v>
      </c>
      <c r="U431" s="30"/>
      <c r="V431" s="139" t="s">
        <v>9334</v>
      </c>
      <c r="W431" s="30" t="s">
        <v>484</v>
      </c>
      <c r="X431" s="30" t="s">
        <v>194</v>
      </c>
      <c r="Y431" s="30" t="s">
        <v>9300</v>
      </c>
      <c r="Z431" s="30"/>
      <c r="AA431" s="30"/>
      <c r="AB431" s="30" t="s">
        <v>9311</v>
      </c>
      <c r="AC431" s="30"/>
      <c r="AD431" s="30"/>
      <c r="AE431" s="30"/>
      <c r="AF431" s="30"/>
      <c r="AG431" s="30"/>
      <c r="AH431" s="30" t="s">
        <v>4714</v>
      </c>
      <c r="AI431" s="30" t="s">
        <v>9433</v>
      </c>
      <c r="AJ431" s="641" t="str">
        <f t="shared" si="12"/>
        <v>251401</v>
      </c>
      <c r="AK431" s="641">
        <v>1</v>
      </c>
      <c r="AL431" s="641">
        <f t="shared" si="13"/>
        <v>1</v>
      </c>
      <c r="AM431" s="641">
        <v>1</v>
      </c>
      <c r="AN431" s="30" t="s">
        <v>17650</v>
      </c>
      <c r="AO431" s="30" t="s">
        <v>17651</v>
      </c>
      <c r="AP431" s="30" t="s">
        <v>17652</v>
      </c>
      <c r="AQ431" s="30" t="s">
        <v>17653</v>
      </c>
      <c r="AR431" s="30" t="s">
        <v>1024</v>
      </c>
      <c r="AS431" s="30">
        <v>1</v>
      </c>
    </row>
    <row r="432" spans="1:45" x14ac:dyDescent="0.25">
      <c r="A432" s="30" t="s">
        <v>10145</v>
      </c>
      <c r="B432" s="30" t="s">
        <v>26670</v>
      </c>
      <c r="C432" s="30" t="s">
        <v>17</v>
      </c>
      <c r="D432" s="139" t="s">
        <v>26079</v>
      </c>
      <c r="E432" s="30" t="s">
        <v>217</v>
      </c>
      <c r="F432" s="30">
        <v>1</v>
      </c>
      <c r="G432" s="30" t="s">
        <v>193</v>
      </c>
      <c r="H432" s="30" t="s">
        <v>194</v>
      </c>
      <c r="I432" s="30" t="s">
        <v>27253</v>
      </c>
      <c r="J432" s="30" t="s">
        <v>210</v>
      </c>
      <c r="K432" s="30" t="s">
        <v>9309</v>
      </c>
      <c r="L432" s="30" t="s">
        <v>6955</v>
      </c>
      <c r="M432" s="30"/>
      <c r="N432" s="30" t="s">
        <v>26671</v>
      </c>
      <c r="O432" s="30" t="s">
        <v>6249</v>
      </c>
      <c r="P432" s="30" t="s">
        <v>27279</v>
      </c>
      <c r="Q432" s="30" t="s">
        <v>26085</v>
      </c>
      <c r="R432" s="30" t="s">
        <v>26057</v>
      </c>
      <c r="S432" s="30" t="s">
        <v>27422</v>
      </c>
      <c r="T432" s="30" t="s">
        <v>27423</v>
      </c>
      <c r="U432" s="30"/>
      <c r="V432" s="139" t="s">
        <v>9334</v>
      </c>
      <c r="W432" s="30" t="s">
        <v>624</v>
      </c>
      <c r="X432" s="30" t="s">
        <v>194</v>
      </c>
      <c r="Y432" s="30" t="s">
        <v>9300</v>
      </c>
      <c r="Z432" s="30"/>
      <c r="AA432" s="30"/>
      <c r="AB432" s="30" t="s">
        <v>9311</v>
      </c>
      <c r="AC432" s="30"/>
      <c r="AD432" s="30"/>
      <c r="AE432" s="30"/>
      <c r="AF432" s="30"/>
      <c r="AG432" s="30"/>
      <c r="AH432" s="30" t="s">
        <v>4714</v>
      </c>
      <c r="AI432" s="30" t="s">
        <v>9433</v>
      </c>
      <c r="AJ432" s="641" t="str">
        <f t="shared" si="12"/>
        <v>332203</v>
      </c>
      <c r="AK432" s="641">
        <v>1</v>
      </c>
      <c r="AL432" s="641">
        <f t="shared" si="13"/>
        <v>1</v>
      </c>
      <c r="AM432" s="641">
        <v>1</v>
      </c>
      <c r="AN432" s="30" t="s">
        <v>17650</v>
      </c>
      <c r="AO432" s="30" t="s">
        <v>17651</v>
      </c>
      <c r="AP432" s="30" t="s">
        <v>17652</v>
      </c>
      <c r="AQ432" s="30" t="s">
        <v>17653</v>
      </c>
      <c r="AR432" s="30" t="s">
        <v>1024</v>
      </c>
      <c r="AS432" s="30">
        <v>1</v>
      </c>
    </row>
    <row r="433" spans="1:45" x14ac:dyDescent="0.25">
      <c r="A433" s="30" t="s">
        <v>581</v>
      </c>
      <c r="B433" s="30" t="s">
        <v>23245</v>
      </c>
      <c r="C433" s="30" t="s">
        <v>25915</v>
      </c>
      <c r="D433" s="139" t="s">
        <v>26079</v>
      </c>
      <c r="E433" s="30" t="s">
        <v>217</v>
      </c>
      <c r="F433" s="30">
        <v>1</v>
      </c>
      <c r="G433" s="30" t="s">
        <v>193</v>
      </c>
      <c r="H433" s="30" t="s">
        <v>194</v>
      </c>
      <c r="I433" s="30" t="s">
        <v>27260</v>
      </c>
      <c r="J433" s="30" t="s">
        <v>253</v>
      </c>
      <c r="K433" s="30" t="s">
        <v>9309</v>
      </c>
      <c r="L433" s="30" t="s">
        <v>6955</v>
      </c>
      <c r="M433" s="30"/>
      <c r="N433" s="30" t="s">
        <v>26850</v>
      </c>
      <c r="O433" s="30" t="s">
        <v>6258</v>
      </c>
      <c r="P433" s="30" t="s">
        <v>27279</v>
      </c>
      <c r="Q433" s="30" t="s">
        <v>26109</v>
      </c>
      <c r="R433" s="30" t="s">
        <v>26231</v>
      </c>
      <c r="S433" s="30" t="s">
        <v>27424</v>
      </c>
      <c r="T433" s="30" t="s">
        <v>27425</v>
      </c>
      <c r="U433" s="30"/>
      <c r="V433" s="139" t="s">
        <v>9468</v>
      </c>
      <c r="W433" s="30" t="s">
        <v>25920</v>
      </c>
      <c r="X433" s="30" t="s">
        <v>194</v>
      </c>
      <c r="Y433" s="30" t="s">
        <v>9300</v>
      </c>
      <c r="Z433" s="30"/>
      <c r="AA433" s="30"/>
      <c r="AB433" s="30" t="s">
        <v>9311</v>
      </c>
      <c r="AC433" s="30"/>
      <c r="AD433" s="30"/>
      <c r="AE433" s="30"/>
      <c r="AF433" s="30"/>
      <c r="AG433" s="30"/>
      <c r="AH433" s="30" t="s">
        <v>4714</v>
      </c>
      <c r="AI433" s="30" t="s">
        <v>9433</v>
      </c>
      <c r="AJ433" s="641" t="str">
        <f t="shared" si="12"/>
        <v>741202</v>
      </c>
      <c r="AK433" s="641">
        <v>1</v>
      </c>
      <c r="AL433" s="641">
        <f t="shared" si="13"/>
        <v>1</v>
      </c>
      <c r="AM433" s="641">
        <v>1</v>
      </c>
      <c r="AN433" s="30" t="s">
        <v>17650</v>
      </c>
      <c r="AO433" s="30" t="s">
        <v>17651</v>
      </c>
      <c r="AP433" s="30" t="s">
        <v>17652</v>
      </c>
      <c r="AQ433" s="30" t="s">
        <v>17653</v>
      </c>
      <c r="AR433" s="30" t="s">
        <v>1024</v>
      </c>
      <c r="AS433" s="30">
        <v>1</v>
      </c>
    </row>
    <row r="434" spans="1:45" x14ac:dyDescent="0.25">
      <c r="A434" s="30" t="s">
        <v>26153</v>
      </c>
      <c r="B434" s="30" t="s">
        <v>26741</v>
      </c>
      <c r="C434" s="30" t="s">
        <v>8953</v>
      </c>
      <c r="D434" s="139" t="s">
        <v>26079</v>
      </c>
      <c r="E434" s="30" t="s">
        <v>217</v>
      </c>
      <c r="F434" s="30">
        <v>1</v>
      </c>
      <c r="G434" s="30" t="s">
        <v>193</v>
      </c>
      <c r="H434" s="30" t="s">
        <v>194</v>
      </c>
      <c r="I434" s="30" t="s">
        <v>27253</v>
      </c>
      <c r="J434" s="30" t="s">
        <v>210</v>
      </c>
      <c r="K434" s="30" t="s">
        <v>9309</v>
      </c>
      <c r="L434" s="30" t="s">
        <v>6955</v>
      </c>
      <c r="M434" s="30"/>
      <c r="N434" s="30" t="s">
        <v>26742</v>
      </c>
      <c r="O434" s="30" t="s">
        <v>6261</v>
      </c>
      <c r="P434" s="30" t="s">
        <v>27311</v>
      </c>
      <c r="Q434" s="30" t="s">
        <v>26189</v>
      </c>
      <c r="R434" s="30" t="s">
        <v>27312</v>
      </c>
      <c r="S434" s="30" t="s">
        <v>27426</v>
      </c>
      <c r="T434" s="30" t="s">
        <v>27427</v>
      </c>
      <c r="U434" s="30"/>
      <c r="V434" s="139" t="s">
        <v>9334</v>
      </c>
      <c r="W434" s="30" t="s">
        <v>8955</v>
      </c>
      <c r="X434" s="30" t="s">
        <v>194</v>
      </c>
      <c r="Y434" s="30" t="s">
        <v>9300</v>
      </c>
      <c r="Z434" s="30"/>
      <c r="AA434" s="30"/>
      <c r="AB434" s="30" t="s">
        <v>9311</v>
      </c>
      <c r="AC434" s="30"/>
      <c r="AD434" s="30"/>
      <c r="AE434" s="30"/>
      <c r="AF434" s="30"/>
      <c r="AG434" s="30"/>
      <c r="AH434" s="30" t="s">
        <v>4714</v>
      </c>
      <c r="AI434" s="30" t="s">
        <v>9433</v>
      </c>
      <c r="AJ434" s="641" t="str">
        <f t="shared" si="12"/>
        <v>252103</v>
      </c>
      <c r="AK434" s="641">
        <v>1</v>
      </c>
      <c r="AL434" s="641">
        <f t="shared" si="13"/>
        <v>1</v>
      </c>
      <c r="AM434" s="641">
        <v>1</v>
      </c>
      <c r="AN434" s="30" t="s">
        <v>17650</v>
      </c>
      <c r="AO434" s="30" t="s">
        <v>17651</v>
      </c>
      <c r="AP434" s="30" t="s">
        <v>17652</v>
      </c>
      <c r="AQ434" s="30" t="s">
        <v>17653</v>
      </c>
      <c r="AR434" s="30" t="s">
        <v>1024</v>
      </c>
      <c r="AS434" s="30">
        <v>1</v>
      </c>
    </row>
    <row r="435" spans="1:45" x14ac:dyDescent="0.25">
      <c r="A435" s="30" t="s">
        <v>716</v>
      </c>
      <c r="B435" s="30" t="s">
        <v>26132</v>
      </c>
      <c r="C435" s="30" t="s">
        <v>24125</v>
      </c>
      <c r="D435" s="139" t="s">
        <v>26079</v>
      </c>
      <c r="E435" s="30" t="s">
        <v>217</v>
      </c>
      <c r="F435" s="30">
        <v>1</v>
      </c>
      <c r="G435" s="30" t="s">
        <v>193</v>
      </c>
      <c r="H435" s="30" t="s">
        <v>194</v>
      </c>
      <c r="I435" s="30" t="s">
        <v>26133</v>
      </c>
      <c r="J435" s="30" t="s">
        <v>210</v>
      </c>
      <c r="K435" s="30" t="s">
        <v>9309</v>
      </c>
      <c r="L435" s="30" t="s">
        <v>6955</v>
      </c>
      <c r="M435" s="30"/>
      <c r="N435" s="30" t="s">
        <v>26298</v>
      </c>
      <c r="O435" s="30" t="s">
        <v>6290</v>
      </c>
      <c r="P435" s="30" t="s">
        <v>27279</v>
      </c>
      <c r="Q435" s="30" t="s">
        <v>26201</v>
      </c>
      <c r="R435" s="30" t="s">
        <v>24556</v>
      </c>
      <c r="S435" s="30" t="s">
        <v>27428</v>
      </c>
      <c r="T435" s="30" t="s">
        <v>27429</v>
      </c>
      <c r="U435" s="30"/>
      <c r="V435" s="139" t="s">
        <v>9334</v>
      </c>
      <c r="W435" s="30" t="s">
        <v>24129</v>
      </c>
      <c r="X435" s="30" t="s">
        <v>194</v>
      </c>
      <c r="Y435" s="30" t="s">
        <v>9300</v>
      </c>
      <c r="Z435" s="30"/>
      <c r="AA435" s="30"/>
      <c r="AB435" s="30" t="s">
        <v>9311</v>
      </c>
      <c r="AC435" s="30"/>
      <c r="AD435" s="30"/>
      <c r="AE435" s="30"/>
      <c r="AF435" s="30"/>
      <c r="AG435" s="30"/>
      <c r="AH435" s="30" t="s">
        <v>4714</v>
      </c>
      <c r="AI435" s="30" t="s">
        <v>9433</v>
      </c>
      <c r="AJ435" s="641" t="str">
        <f t="shared" si="12"/>
        <v>351401</v>
      </c>
      <c r="AK435" s="641">
        <v>1</v>
      </c>
      <c r="AL435" s="641">
        <f t="shared" si="13"/>
        <v>1</v>
      </c>
      <c r="AM435" s="641">
        <v>1</v>
      </c>
      <c r="AN435" s="30" t="s">
        <v>17650</v>
      </c>
      <c r="AO435" s="30" t="s">
        <v>17651</v>
      </c>
      <c r="AP435" s="30" t="s">
        <v>17652</v>
      </c>
      <c r="AQ435" s="30" t="s">
        <v>17653</v>
      </c>
      <c r="AR435" s="30" t="s">
        <v>1024</v>
      </c>
      <c r="AS435" s="30">
        <v>1</v>
      </c>
    </row>
    <row r="436" spans="1:45" x14ac:dyDescent="0.25">
      <c r="A436" s="30" t="s">
        <v>26089</v>
      </c>
      <c r="B436" s="30" t="s">
        <v>26407</v>
      </c>
      <c r="C436" s="30" t="s">
        <v>10</v>
      </c>
      <c r="D436" s="139" t="s">
        <v>26079</v>
      </c>
      <c r="E436" s="30" t="s">
        <v>217</v>
      </c>
      <c r="F436" s="30">
        <v>1</v>
      </c>
      <c r="G436" s="30" t="s">
        <v>193</v>
      </c>
      <c r="H436" s="30" t="s">
        <v>194</v>
      </c>
      <c r="I436" s="30" t="s">
        <v>23198</v>
      </c>
      <c r="J436" s="30" t="s">
        <v>210</v>
      </c>
      <c r="K436" s="30" t="s">
        <v>9309</v>
      </c>
      <c r="L436" s="30" t="s">
        <v>6955</v>
      </c>
      <c r="M436" s="30"/>
      <c r="N436" s="30" t="s">
        <v>26408</v>
      </c>
      <c r="O436" s="30" t="s">
        <v>6261</v>
      </c>
      <c r="P436" s="30" t="s">
        <v>27279</v>
      </c>
      <c r="Q436" s="30" t="s">
        <v>26150</v>
      </c>
      <c r="R436" s="30" t="s">
        <v>23804</v>
      </c>
      <c r="S436" s="30" t="s">
        <v>27430</v>
      </c>
      <c r="T436" s="30" t="s">
        <v>27431</v>
      </c>
      <c r="U436" s="30"/>
      <c r="V436" s="139" t="s">
        <v>9334</v>
      </c>
      <c r="W436" s="30" t="s">
        <v>484</v>
      </c>
      <c r="X436" s="30" t="s">
        <v>194</v>
      </c>
      <c r="Y436" s="30" t="s">
        <v>9300</v>
      </c>
      <c r="Z436" s="30"/>
      <c r="AA436" s="30"/>
      <c r="AB436" s="30" t="s">
        <v>9311</v>
      </c>
      <c r="AC436" s="30"/>
      <c r="AD436" s="30"/>
      <c r="AE436" s="30"/>
      <c r="AF436" s="30"/>
      <c r="AG436" s="30"/>
      <c r="AH436" s="30" t="s">
        <v>4714</v>
      </c>
      <c r="AI436" s="30" t="s">
        <v>9433</v>
      </c>
      <c r="AJ436" s="641" t="str">
        <f t="shared" si="12"/>
        <v>251401</v>
      </c>
      <c r="AK436" s="641">
        <v>1</v>
      </c>
      <c r="AL436" s="641">
        <f t="shared" si="13"/>
        <v>1</v>
      </c>
      <c r="AM436" s="641">
        <v>1</v>
      </c>
      <c r="AN436" s="30" t="s">
        <v>17650</v>
      </c>
      <c r="AO436" s="30" t="s">
        <v>17651</v>
      </c>
      <c r="AP436" s="30" t="s">
        <v>17652</v>
      </c>
      <c r="AQ436" s="30" t="s">
        <v>17653</v>
      </c>
      <c r="AR436" s="30" t="s">
        <v>1024</v>
      </c>
      <c r="AS436" s="30">
        <v>1</v>
      </c>
    </row>
    <row r="437" spans="1:45" x14ac:dyDescent="0.25">
      <c r="A437" s="30" t="s">
        <v>26198</v>
      </c>
      <c r="B437" s="30" t="s">
        <v>26212</v>
      </c>
      <c r="C437" s="30" t="s">
        <v>153</v>
      </c>
      <c r="D437" s="139" t="s">
        <v>26079</v>
      </c>
      <c r="E437" s="30" t="s">
        <v>217</v>
      </c>
      <c r="F437" s="30">
        <v>1</v>
      </c>
      <c r="G437" s="30" t="s">
        <v>193</v>
      </c>
      <c r="H437" s="30" t="s">
        <v>194</v>
      </c>
      <c r="I437" s="30" t="s">
        <v>27253</v>
      </c>
      <c r="J437" s="30" t="s">
        <v>210</v>
      </c>
      <c r="K437" s="30" t="s">
        <v>9309</v>
      </c>
      <c r="L437" s="30" t="s">
        <v>6955</v>
      </c>
      <c r="M437" s="30"/>
      <c r="N437" s="30" t="s">
        <v>26213</v>
      </c>
      <c r="O437" s="30" t="s">
        <v>6251</v>
      </c>
      <c r="P437" s="30" t="s">
        <v>27279</v>
      </c>
      <c r="Q437" s="30" t="s">
        <v>26092</v>
      </c>
      <c r="R437" s="30" t="s">
        <v>26093</v>
      </c>
      <c r="S437" s="30" t="s">
        <v>27432</v>
      </c>
      <c r="T437" s="30" t="s">
        <v>27433</v>
      </c>
      <c r="U437" s="30"/>
      <c r="V437" s="139" t="s">
        <v>9334</v>
      </c>
      <c r="W437" s="30" t="s">
        <v>2293</v>
      </c>
      <c r="X437" s="30" t="s">
        <v>194</v>
      </c>
      <c r="Y437" s="30" t="s">
        <v>9300</v>
      </c>
      <c r="Z437" s="30"/>
      <c r="AA437" s="30"/>
      <c r="AB437" s="30" t="s">
        <v>9311</v>
      </c>
      <c r="AC437" s="30"/>
      <c r="AD437" s="30"/>
      <c r="AE437" s="30"/>
      <c r="AF437" s="30"/>
      <c r="AG437" s="30"/>
      <c r="AH437" s="30" t="s">
        <v>4714</v>
      </c>
      <c r="AI437" s="30" t="s">
        <v>9433</v>
      </c>
      <c r="AJ437" s="641" t="str">
        <f t="shared" si="12"/>
        <v>333903</v>
      </c>
      <c r="AK437" s="641">
        <v>1</v>
      </c>
      <c r="AL437" s="641">
        <f t="shared" si="13"/>
        <v>1</v>
      </c>
      <c r="AM437" s="641">
        <v>1</v>
      </c>
      <c r="AN437" s="30" t="s">
        <v>17650</v>
      </c>
      <c r="AO437" s="30" t="s">
        <v>17651</v>
      </c>
      <c r="AP437" s="30" t="s">
        <v>17652</v>
      </c>
      <c r="AQ437" s="30" t="s">
        <v>17653</v>
      </c>
      <c r="AR437" s="30" t="s">
        <v>1024</v>
      </c>
      <c r="AS437" s="30">
        <v>1</v>
      </c>
    </row>
    <row r="438" spans="1:45" x14ac:dyDescent="0.25">
      <c r="A438" s="30" t="s">
        <v>716</v>
      </c>
      <c r="B438" s="30" t="s">
        <v>26282</v>
      </c>
      <c r="C438" s="30" t="s">
        <v>27290</v>
      </c>
      <c r="D438" s="139" t="s">
        <v>26079</v>
      </c>
      <c r="E438" s="30" t="s">
        <v>217</v>
      </c>
      <c r="F438" s="30">
        <v>1</v>
      </c>
      <c r="G438" s="30" t="s">
        <v>193</v>
      </c>
      <c r="H438" s="30" t="s">
        <v>194</v>
      </c>
      <c r="I438" s="30" t="s">
        <v>27277</v>
      </c>
      <c r="J438" s="30" t="s">
        <v>210</v>
      </c>
      <c r="K438" s="30" t="s">
        <v>9309</v>
      </c>
      <c r="L438" s="30" t="s">
        <v>6955</v>
      </c>
      <c r="M438" s="30"/>
      <c r="N438" s="30" t="s">
        <v>26283</v>
      </c>
      <c r="O438" s="30" t="s">
        <v>6290</v>
      </c>
      <c r="P438" s="30" t="s">
        <v>27279</v>
      </c>
      <c r="Q438" s="30" t="s">
        <v>26085</v>
      </c>
      <c r="R438" s="30" t="s">
        <v>26057</v>
      </c>
      <c r="S438" s="30" t="s">
        <v>27434</v>
      </c>
      <c r="T438" s="30" t="s">
        <v>27435</v>
      </c>
      <c r="U438" s="30"/>
      <c r="V438" s="139" t="s">
        <v>9334</v>
      </c>
      <c r="W438" s="30" t="s">
        <v>27293</v>
      </c>
      <c r="X438" s="30" t="s">
        <v>194</v>
      </c>
      <c r="Y438" s="30" t="s">
        <v>9300</v>
      </c>
      <c r="Z438" s="30"/>
      <c r="AA438" s="30"/>
      <c r="AB438" s="30" t="s">
        <v>9311</v>
      </c>
      <c r="AC438" s="30"/>
      <c r="AD438" s="30"/>
      <c r="AE438" s="30"/>
      <c r="AF438" s="30"/>
      <c r="AG438" s="30"/>
      <c r="AH438" s="30" t="s">
        <v>4714</v>
      </c>
      <c r="AI438" s="30" t="s">
        <v>9433</v>
      </c>
      <c r="AJ438" s="641" t="str">
        <f t="shared" si="12"/>
        <v>352290</v>
      </c>
      <c r="AK438" s="641">
        <v>1</v>
      </c>
      <c r="AL438" s="641">
        <f t="shared" si="13"/>
        <v>1</v>
      </c>
      <c r="AM438" s="641">
        <v>1</v>
      </c>
      <c r="AN438" s="30" t="s">
        <v>17650</v>
      </c>
      <c r="AO438" s="30" t="s">
        <v>17651</v>
      </c>
      <c r="AP438" s="30" t="s">
        <v>17652</v>
      </c>
      <c r="AQ438" s="30" t="s">
        <v>17653</v>
      </c>
      <c r="AR438" s="30" t="s">
        <v>1024</v>
      </c>
      <c r="AS438" s="30">
        <v>1</v>
      </c>
    </row>
    <row r="439" spans="1:45" x14ac:dyDescent="0.25">
      <c r="A439" s="30" t="s">
        <v>258</v>
      </c>
      <c r="B439" s="30" t="s">
        <v>26208</v>
      </c>
      <c r="C439" s="30" t="s">
        <v>778</v>
      </c>
      <c r="D439" s="139" t="s">
        <v>26079</v>
      </c>
      <c r="E439" s="30" t="s">
        <v>217</v>
      </c>
      <c r="F439" s="30">
        <v>1</v>
      </c>
      <c r="G439" s="30" t="s">
        <v>193</v>
      </c>
      <c r="H439" s="30" t="s">
        <v>194</v>
      </c>
      <c r="I439" s="30" t="s">
        <v>27260</v>
      </c>
      <c r="J439" s="30" t="s">
        <v>1059</v>
      </c>
      <c r="K439" s="30" t="s">
        <v>9309</v>
      </c>
      <c r="L439" s="30" t="s">
        <v>6955</v>
      </c>
      <c r="M439" s="30"/>
      <c r="N439" s="30" t="s">
        <v>26628</v>
      </c>
      <c r="O439" s="30" t="s">
        <v>6251</v>
      </c>
      <c r="P439" s="30" t="s">
        <v>27279</v>
      </c>
      <c r="Q439" s="30" t="s">
        <v>26073</v>
      </c>
      <c r="R439" s="30" t="s">
        <v>26183</v>
      </c>
      <c r="S439" s="30" t="s">
        <v>27436</v>
      </c>
      <c r="T439" s="30" t="s">
        <v>27437</v>
      </c>
      <c r="U439" s="30"/>
      <c r="V439" s="139" t="s">
        <v>9510</v>
      </c>
      <c r="W439" s="30" t="s">
        <v>779</v>
      </c>
      <c r="X439" s="30" t="s">
        <v>194</v>
      </c>
      <c r="Y439" s="30" t="s">
        <v>9300</v>
      </c>
      <c r="Z439" s="30"/>
      <c r="AA439" s="30"/>
      <c r="AB439" s="30" t="s">
        <v>9311</v>
      </c>
      <c r="AC439" s="30"/>
      <c r="AD439" s="30"/>
      <c r="AE439" s="30"/>
      <c r="AF439" s="30"/>
      <c r="AG439" s="30"/>
      <c r="AH439" s="30" t="s">
        <v>4714</v>
      </c>
      <c r="AI439" s="30" t="s">
        <v>9433</v>
      </c>
      <c r="AJ439" s="641" t="str">
        <f t="shared" si="12"/>
        <v>524902</v>
      </c>
      <c r="AK439" s="641">
        <v>1</v>
      </c>
      <c r="AL439" s="641">
        <f t="shared" si="13"/>
        <v>1</v>
      </c>
      <c r="AM439" s="641">
        <v>1</v>
      </c>
      <c r="AN439" s="30" t="s">
        <v>17650</v>
      </c>
      <c r="AO439" s="30" t="s">
        <v>17651</v>
      </c>
      <c r="AP439" s="30" t="s">
        <v>17652</v>
      </c>
      <c r="AQ439" s="30" t="s">
        <v>17653</v>
      </c>
      <c r="AR439" s="30" t="s">
        <v>1024</v>
      </c>
      <c r="AS439" s="30">
        <v>1</v>
      </c>
    </row>
    <row r="440" spans="1:45" x14ac:dyDescent="0.25">
      <c r="A440" s="30" t="s">
        <v>26089</v>
      </c>
      <c r="B440" s="30" t="s">
        <v>26090</v>
      </c>
      <c r="C440" s="30" t="s">
        <v>36</v>
      </c>
      <c r="D440" s="139" t="s">
        <v>26079</v>
      </c>
      <c r="E440" s="30" t="s">
        <v>217</v>
      </c>
      <c r="F440" s="30">
        <v>1</v>
      </c>
      <c r="G440" s="30" t="s">
        <v>193</v>
      </c>
      <c r="H440" s="30" t="s">
        <v>194</v>
      </c>
      <c r="I440" s="30" t="s">
        <v>27253</v>
      </c>
      <c r="J440" s="30" t="s">
        <v>316</v>
      </c>
      <c r="K440" s="30" t="s">
        <v>9309</v>
      </c>
      <c r="L440" s="30" t="s">
        <v>6955</v>
      </c>
      <c r="M440" s="30"/>
      <c r="N440" s="30" t="s">
        <v>26091</v>
      </c>
      <c r="O440" s="30" t="s">
        <v>7120</v>
      </c>
      <c r="P440" s="30" t="s">
        <v>27279</v>
      </c>
      <c r="Q440" s="30" t="s">
        <v>26092</v>
      </c>
      <c r="R440" s="30" t="s">
        <v>26093</v>
      </c>
      <c r="S440" s="30" t="s">
        <v>27438</v>
      </c>
      <c r="T440" s="30" t="s">
        <v>27439</v>
      </c>
      <c r="U440" s="30"/>
      <c r="V440" s="139" t="s">
        <v>10012</v>
      </c>
      <c r="W440" s="30" t="s">
        <v>609</v>
      </c>
      <c r="X440" s="30" t="s">
        <v>194</v>
      </c>
      <c r="Y440" s="30" t="s">
        <v>9300</v>
      </c>
      <c r="Z440" s="30"/>
      <c r="AA440" s="30"/>
      <c r="AB440" s="30" t="s">
        <v>9311</v>
      </c>
      <c r="AC440" s="30"/>
      <c r="AD440" s="30"/>
      <c r="AE440" s="30"/>
      <c r="AF440" s="30"/>
      <c r="AG440" s="30"/>
      <c r="AH440" s="30" t="s">
        <v>4714</v>
      </c>
      <c r="AI440" s="30" t="s">
        <v>9433</v>
      </c>
      <c r="AJ440" s="641" t="str">
        <f t="shared" si="12"/>
        <v>331301</v>
      </c>
      <c r="AK440" s="641">
        <v>1</v>
      </c>
      <c r="AL440" s="641">
        <f t="shared" si="13"/>
        <v>1</v>
      </c>
      <c r="AM440" s="641">
        <v>1</v>
      </c>
      <c r="AN440" s="30" t="s">
        <v>17650</v>
      </c>
      <c r="AO440" s="30" t="s">
        <v>17651</v>
      </c>
      <c r="AP440" s="30" t="s">
        <v>17652</v>
      </c>
      <c r="AQ440" s="30" t="s">
        <v>17653</v>
      </c>
      <c r="AR440" s="30" t="s">
        <v>1024</v>
      </c>
      <c r="AS440" s="30">
        <v>1</v>
      </c>
    </row>
    <row r="441" spans="1:45" x14ac:dyDescent="0.25">
      <c r="A441" s="30" t="s">
        <v>26153</v>
      </c>
      <c r="B441" s="30" t="s">
        <v>26187</v>
      </c>
      <c r="C441" s="30" t="s">
        <v>10</v>
      </c>
      <c r="D441" s="139" t="s">
        <v>26079</v>
      </c>
      <c r="E441" s="30" t="s">
        <v>217</v>
      </c>
      <c r="F441" s="30">
        <v>1</v>
      </c>
      <c r="G441" s="30" t="s">
        <v>193</v>
      </c>
      <c r="H441" s="30" t="s">
        <v>194</v>
      </c>
      <c r="I441" s="30" t="s">
        <v>23198</v>
      </c>
      <c r="J441" s="30" t="s">
        <v>210</v>
      </c>
      <c r="K441" s="30" t="s">
        <v>9309</v>
      </c>
      <c r="L441" s="30" t="s">
        <v>6955</v>
      </c>
      <c r="M441" s="30"/>
      <c r="N441" s="30" t="s">
        <v>26188</v>
      </c>
      <c r="O441" s="30" t="s">
        <v>6261</v>
      </c>
      <c r="P441" s="30" t="s">
        <v>27311</v>
      </c>
      <c r="Q441" s="30" t="s">
        <v>26189</v>
      </c>
      <c r="R441" s="30" t="s">
        <v>27312</v>
      </c>
      <c r="S441" s="30" t="s">
        <v>27440</v>
      </c>
      <c r="T441" s="30" t="s">
        <v>27441</v>
      </c>
      <c r="U441" s="30"/>
      <c r="V441" s="139" t="s">
        <v>9334</v>
      </c>
      <c r="W441" s="30" t="s">
        <v>484</v>
      </c>
      <c r="X441" s="30" t="s">
        <v>194</v>
      </c>
      <c r="Y441" s="30" t="s">
        <v>9300</v>
      </c>
      <c r="Z441" s="30"/>
      <c r="AA441" s="30"/>
      <c r="AB441" s="30" t="s">
        <v>9311</v>
      </c>
      <c r="AC441" s="30"/>
      <c r="AD441" s="30"/>
      <c r="AE441" s="30"/>
      <c r="AF441" s="30"/>
      <c r="AG441" s="30"/>
      <c r="AH441" s="30" t="s">
        <v>4714</v>
      </c>
      <c r="AI441" s="30" t="s">
        <v>9433</v>
      </c>
      <c r="AJ441" s="641" t="str">
        <f t="shared" si="12"/>
        <v>251401</v>
      </c>
      <c r="AK441" s="641">
        <v>1</v>
      </c>
      <c r="AL441" s="641">
        <f t="shared" si="13"/>
        <v>1</v>
      </c>
      <c r="AM441" s="641">
        <v>1</v>
      </c>
      <c r="AN441" s="30" t="s">
        <v>17650</v>
      </c>
      <c r="AO441" s="30" t="s">
        <v>17651</v>
      </c>
      <c r="AP441" s="30" t="s">
        <v>17652</v>
      </c>
      <c r="AQ441" s="30" t="s">
        <v>17653</v>
      </c>
      <c r="AR441" s="30" t="s">
        <v>1024</v>
      </c>
      <c r="AS441" s="30">
        <v>1</v>
      </c>
    </row>
    <row r="442" spans="1:45" x14ac:dyDescent="0.25">
      <c r="A442" s="30" t="s">
        <v>716</v>
      </c>
      <c r="B442" s="30" t="s">
        <v>26666</v>
      </c>
      <c r="C442" s="30" t="s">
        <v>2861</v>
      </c>
      <c r="D442" s="139" t="s">
        <v>26079</v>
      </c>
      <c r="E442" s="30" t="s">
        <v>217</v>
      </c>
      <c r="F442" s="30">
        <v>1</v>
      </c>
      <c r="G442" s="30" t="s">
        <v>193</v>
      </c>
      <c r="H442" s="30" t="s">
        <v>194</v>
      </c>
      <c r="I442" s="30" t="s">
        <v>23198</v>
      </c>
      <c r="J442" s="30" t="s">
        <v>210</v>
      </c>
      <c r="K442" s="30" t="s">
        <v>9309</v>
      </c>
      <c r="L442" s="30" t="s">
        <v>6955</v>
      </c>
      <c r="M442" s="30"/>
      <c r="N442" s="30" t="s">
        <v>26667</v>
      </c>
      <c r="O442" s="30" t="s">
        <v>6921</v>
      </c>
      <c r="P442" s="30" t="s">
        <v>27279</v>
      </c>
      <c r="Q442" s="30" t="s">
        <v>26085</v>
      </c>
      <c r="R442" s="30" t="s">
        <v>26057</v>
      </c>
      <c r="S442" s="30" t="s">
        <v>27442</v>
      </c>
      <c r="T442" s="30" t="s">
        <v>27443</v>
      </c>
      <c r="U442" s="30"/>
      <c r="V442" s="139" t="s">
        <v>9334</v>
      </c>
      <c r="W442" s="30" t="s">
        <v>3629</v>
      </c>
      <c r="X442" s="30" t="s">
        <v>194</v>
      </c>
      <c r="Y442" s="30" t="s">
        <v>9300</v>
      </c>
      <c r="Z442" s="30"/>
      <c r="AA442" s="30"/>
      <c r="AB442" s="30" t="s">
        <v>9311</v>
      </c>
      <c r="AC442" s="30"/>
      <c r="AD442" s="30"/>
      <c r="AE442" s="30"/>
      <c r="AF442" s="30"/>
      <c r="AG442" s="30"/>
      <c r="AH442" s="30" t="s">
        <v>4714</v>
      </c>
      <c r="AI442" s="30" t="s">
        <v>9433</v>
      </c>
      <c r="AJ442" s="641" t="str">
        <f t="shared" si="12"/>
        <v>251903</v>
      </c>
      <c r="AK442" s="641">
        <v>1</v>
      </c>
      <c r="AL442" s="641">
        <f t="shared" si="13"/>
        <v>1</v>
      </c>
      <c r="AM442" s="641">
        <v>1</v>
      </c>
      <c r="AN442" s="30" t="s">
        <v>17650</v>
      </c>
      <c r="AO442" s="30" t="s">
        <v>17651</v>
      </c>
      <c r="AP442" s="30" t="s">
        <v>17652</v>
      </c>
      <c r="AQ442" s="30" t="s">
        <v>17653</v>
      </c>
      <c r="AR442" s="30" t="s">
        <v>1024</v>
      </c>
      <c r="AS442" s="30">
        <v>1</v>
      </c>
    </row>
    <row r="443" spans="1:45" x14ac:dyDescent="0.25">
      <c r="A443" s="30" t="s">
        <v>26089</v>
      </c>
      <c r="B443" s="30" t="s">
        <v>26538</v>
      </c>
      <c r="C443" s="30" t="s">
        <v>46</v>
      </c>
      <c r="D443" s="139" t="s">
        <v>26079</v>
      </c>
      <c r="E443" s="30" t="s">
        <v>217</v>
      </c>
      <c r="F443" s="30">
        <v>1</v>
      </c>
      <c r="G443" s="30" t="s">
        <v>193</v>
      </c>
      <c r="H443" s="30" t="s">
        <v>194</v>
      </c>
      <c r="I443" s="30" t="s">
        <v>26133</v>
      </c>
      <c r="J443" s="30" t="s">
        <v>210</v>
      </c>
      <c r="K443" s="30" t="s">
        <v>9309</v>
      </c>
      <c r="L443" s="30" t="s">
        <v>6955</v>
      </c>
      <c r="M443" s="30"/>
      <c r="N443" s="30" t="s">
        <v>26539</v>
      </c>
      <c r="O443" s="30" t="s">
        <v>6921</v>
      </c>
      <c r="P443" s="30" t="s">
        <v>27279</v>
      </c>
      <c r="Q443" s="30" t="s">
        <v>26085</v>
      </c>
      <c r="R443" s="30" t="s">
        <v>26057</v>
      </c>
      <c r="S443" s="30" t="s">
        <v>27444</v>
      </c>
      <c r="T443" s="30" t="s">
        <v>27445</v>
      </c>
      <c r="U443" s="30"/>
      <c r="V443" s="139" t="s">
        <v>9334</v>
      </c>
      <c r="W443" s="30" t="s">
        <v>510</v>
      </c>
      <c r="X443" s="30" t="s">
        <v>194</v>
      </c>
      <c r="Y443" s="30" t="s">
        <v>9300</v>
      </c>
      <c r="Z443" s="30"/>
      <c r="AA443" s="30"/>
      <c r="AB443" s="30" t="s">
        <v>9311</v>
      </c>
      <c r="AC443" s="30"/>
      <c r="AD443" s="30"/>
      <c r="AE443" s="30"/>
      <c r="AF443" s="30"/>
      <c r="AG443" s="30"/>
      <c r="AH443" s="30" t="s">
        <v>4714</v>
      </c>
      <c r="AI443" s="30" t="s">
        <v>9433</v>
      </c>
      <c r="AJ443" s="641" t="str">
        <f t="shared" si="12"/>
        <v>252201</v>
      </c>
      <c r="AK443" s="641">
        <v>1</v>
      </c>
      <c r="AL443" s="641">
        <f t="shared" si="13"/>
        <v>1</v>
      </c>
      <c r="AM443" s="641">
        <v>1</v>
      </c>
      <c r="AN443" s="30" t="s">
        <v>17650</v>
      </c>
      <c r="AO443" s="30" t="s">
        <v>17651</v>
      </c>
      <c r="AP443" s="30" t="s">
        <v>17652</v>
      </c>
      <c r="AQ443" s="30" t="s">
        <v>17653</v>
      </c>
      <c r="AR443" s="30" t="s">
        <v>1024</v>
      </c>
      <c r="AS443" s="30">
        <v>1</v>
      </c>
    </row>
    <row r="444" spans="1:45" x14ac:dyDescent="0.25">
      <c r="A444" s="30" t="s">
        <v>25389</v>
      </c>
      <c r="B444" s="30" t="s">
        <v>26662</v>
      </c>
      <c r="C444" s="30" t="s">
        <v>727</v>
      </c>
      <c r="D444" s="139" t="s">
        <v>26079</v>
      </c>
      <c r="E444" s="30" t="s">
        <v>217</v>
      </c>
      <c r="F444" s="30">
        <v>1</v>
      </c>
      <c r="G444" s="30" t="s">
        <v>193</v>
      </c>
      <c r="H444" s="30" t="s">
        <v>194</v>
      </c>
      <c r="I444" s="30" t="s">
        <v>27253</v>
      </c>
      <c r="J444" s="30" t="s">
        <v>210</v>
      </c>
      <c r="K444" s="30" t="s">
        <v>9309</v>
      </c>
      <c r="L444" s="30" t="s">
        <v>6955</v>
      </c>
      <c r="M444" s="30"/>
      <c r="N444" s="30" t="s">
        <v>26663</v>
      </c>
      <c r="O444" s="30" t="s">
        <v>6343</v>
      </c>
      <c r="P444" s="30" t="s">
        <v>27279</v>
      </c>
      <c r="Q444" s="30" t="s">
        <v>26085</v>
      </c>
      <c r="R444" s="30" t="s">
        <v>26057</v>
      </c>
      <c r="S444" s="30" t="s">
        <v>27446</v>
      </c>
      <c r="T444" s="30" t="s">
        <v>27447</v>
      </c>
      <c r="U444" s="30"/>
      <c r="V444" s="139" t="s">
        <v>9334</v>
      </c>
      <c r="W444" s="30" t="s">
        <v>728</v>
      </c>
      <c r="X444" s="30" t="s">
        <v>194</v>
      </c>
      <c r="Y444" s="30" t="s">
        <v>9300</v>
      </c>
      <c r="Z444" s="30"/>
      <c r="AA444" s="30"/>
      <c r="AB444" s="30" t="s">
        <v>9311</v>
      </c>
      <c r="AC444" s="30"/>
      <c r="AD444" s="30"/>
      <c r="AE444" s="30"/>
      <c r="AF444" s="30"/>
      <c r="AG444" s="30"/>
      <c r="AH444" s="30" t="s">
        <v>4714</v>
      </c>
      <c r="AI444" s="30" t="s">
        <v>9433</v>
      </c>
      <c r="AJ444" s="641" t="str">
        <f t="shared" si="12"/>
        <v>512001</v>
      </c>
      <c r="AK444" s="641">
        <v>1</v>
      </c>
      <c r="AL444" s="641">
        <f t="shared" si="13"/>
        <v>1</v>
      </c>
      <c r="AM444" s="641">
        <v>1</v>
      </c>
      <c r="AN444" s="30" t="s">
        <v>17650</v>
      </c>
      <c r="AO444" s="30" t="s">
        <v>17651</v>
      </c>
      <c r="AP444" s="30" t="s">
        <v>17652</v>
      </c>
      <c r="AQ444" s="30" t="s">
        <v>17653</v>
      </c>
      <c r="AR444" s="30" t="s">
        <v>1024</v>
      </c>
      <c r="AS444" s="30">
        <v>1</v>
      </c>
    </row>
    <row r="445" spans="1:45" x14ac:dyDescent="0.25">
      <c r="A445" s="30" t="s">
        <v>26153</v>
      </c>
      <c r="B445" s="30" t="s">
        <v>26725</v>
      </c>
      <c r="C445" s="30" t="s">
        <v>10</v>
      </c>
      <c r="D445" s="139" t="s">
        <v>26079</v>
      </c>
      <c r="E445" s="30" t="s">
        <v>217</v>
      </c>
      <c r="F445" s="30">
        <v>1</v>
      </c>
      <c r="G445" s="30" t="s">
        <v>193</v>
      </c>
      <c r="H445" s="30" t="s">
        <v>194</v>
      </c>
      <c r="I445" s="30" t="s">
        <v>23198</v>
      </c>
      <c r="J445" s="30" t="s">
        <v>210</v>
      </c>
      <c r="K445" s="30" t="s">
        <v>9309</v>
      </c>
      <c r="L445" s="30" t="s">
        <v>6955</v>
      </c>
      <c r="M445" s="30"/>
      <c r="N445" s="30" t="s">
        <v>26726</v>
      </c>
      <c r="O445" s="30" t="s">
        <v>6261</v>
      </c>
      <c r="P445" s="30" t="s">
        <v>27279</v>
      </c>
      <c r="Q445" s="30" t="s">
        <v>26251</v>
      </c>
      <c r="R445" s="30" t="s">
        <v>26252</v>
      </c>
      <c r="S445" s="30" t="s">
        <v>27448</v>
      </c>
      <c r="T445" s="30" t="s">
        <v>27449</v>
      </c>
      <c r="U445" s="30"/>
      <c r="V445" s="139" t="s">
        <v>9334</v>
      </c>
      <c r="W445" s="30" t="s">
        <v>484</v>
      </c>
      <c r="X445" s="30" t="s">
        <v>194</v>
      </c>
      <c r="Y445" s="30" t="s">
        <v>9300</v>
      </c>
      <c r="Z445" s="30"/>
      <c r="AA445" s="30"/>
      <c r="AB445" s="30" t="s">
        <v>9311</v>
      </c>
      <c r="AC445" s="30"/>
      <c r="AD445" s="30"/>
      <c r="AE445" s="30"/>
      <c r="AF445" s="30"/>
      <c r="AG445" s="30"/>
      <c r="AH445" s="30" t="s">
        <v>4714</v>
      </c>
      <c r="AI445" s="30" t="s">
        <v>9433</v>
      </c>
      <c r="AJ445" s="641" t="str">
        <f t="shared" si="12"/>
        <v>251401</v>
      </c>
      <c r="AK445" s="641">
        <v>1</v>
      </c>
      <c r="AL445" s="641">
        <f t="shared" si="13"/>
        <v>1</v>
      </c>
      <c r="AM445" s="641">
        <v>1</v>
      </c>
      <c r="AN445" s="30" t="s">
        <v>17650</v>
      </c>
      <c r="AO445" s="30" t="s">
        <v>17651</v>
      </c>
      <c r="AP445" s="30" t="s">
        <v>17652</v>
      </c>
      <c r="AQ445" s="30" t="s">
        <v>17653</v>
      </c>
      <c r="AR445" s="30" t="s">
        <v>1024</v>
      </c>
      <c r="AS445" s="30">
        <v>1</v>
      </c>
    </row>
    <row r="446" spans="1:45" x14ac:dyDescent="0.25">
      <c r="A446" s="30" t="s">
        <v>26089</v>
      </c>
      <c r="B446" s="30" t="s">
        <v>27143</v>
      </c>
      <c r="C446" s="30" t="s">
        <v>444</v>
      </c>
      <c r="D446" s="139" t="s">
        <v>26079</v>
      </c>
      <c r="E446" s="30" t="s">
        <v>217</v>
      </c>
      <c r="F446" s="30">
        <v>1</v>
      </c>
      <c r="G446" s="30" t="s">
        <v>193</v>
      </c>
      <c r="H446" s="30" t="s">
        <v>194</v>
      </c>
      <c r="I446" s="30" t="s">
        <v>27253</v>
      </c>
      <c r="J446" s="30" t="s">
        <v>210</v>
      </c>
      <c r="K446" s="30" t="s">
        <v>9309</v>
      </c>
      <c r="L446" s="30" t="s">
        <v>6955</v>
      </c>
      <c r="M446" s="30"/>
      <c r="N446" s="30" t="s">
        <v>27144</v>
      </c>
      <c r="O446" s="30" t="s">
        <v>6261</v>
      </c>
      <c r="P446" s="30" t="s">
        <v>27279</v>
      </c>
      <c r="Q446" s="30" t="s">
        <v>26881</v>
      </c>
      <c r="R446" s="30" t="s">
        <v>26882</v>
      </c>
      <c r="S446" s="30" t="s">
        <v>27450</v>
      </c>
      <c r="T446" s="30" t="s">
        <v>27451</v>
      </c>
      <c r="U446" s="30"/>
      <c r="V446" s="139" t="s">
        <v>9334</v>
      </c>
      <c r="W446" s="30" t="s">
        <v>445</v>
      </c>
      <c r="X446" s="30" t="s">
        <v>194</v>
      </c>
      <c r="Y446" s="30" t="s">
        <v>9300</v>
      </c>
      <c r="Z446" s="30"/>
      <c r="AA446" s="30"/>
      <c r="AB446" s="30" t="s">
        <v>9311</v>
      </c>
      <c r="AC446" s="30"/>
      <c r="AD446" s="30"/>
      <c r="AE446" s="30"/>
      <c r="AF446" s="30"/>
      <c r="AG446" s="30"/>
      <c r="AH446" s="30" t="s">
        <v>4714</v>
      </c>
      <c r="AI446" s="30" t="s">
        <v>9433</v>
      </c>
      <c r="AJ446" s="641" t="str">
        <f t="shared" si="12"/>
        <v>243103</v>
      </c>
      <c r="AK446" s="641">
        <v>1</v>
      </c>
      <c r="AL446" s="641">
        <f t="shared" si="13"/>
        <v>1</v>
      </c>
      <c r="AM446" s="641">
        <v>1</v>
      </c>
      <c r="AN446" s="30" t="s">
        <v>17650</v>
      </c>
      <c r="AO446" s="30" t="s">
        <v>17651</v>
      </c>
      <c r="AP446" s="30" t="s">
        <v>17652</v>
      </c>
      <c r="AQ446" s="30" t="s">
        <v>17653</v>
      </c>
      <c r="AR446" s="30" t="s">
        <v>1024</v>
      </c>
      <c r="AS446" s="30">
        <v>1</v>
      </c>
    </row>
    <row r="447" spans="1:45" x14ac:dyDescent="0.25">
      <c r="A447" s="30" t="s">
        <v>10145</v>
      </c>
      <c r="B447" s="30" t="s">
        <v>26733</v>
      </c>
      <c r="C447" s="30" t="s">
        <v>740</v>
      </c>
      <c r="D447" s="139" t="s">
        <v>26079</v>
      </c>
      <c r="E447" s="30" t="s">
        <v>217</v>
      </c>
      <c r="F447" s="30">
        <v>1</v>
      </c>
      <c r="G447" s="30" t="s">
        <v>193</v>
      </c>
      <c r="H447" s="30" t="s">
        <v>194</v>
      </c>
      <c r="I447" s="30" t="s">
        <v>27253</v>
      </c>
      <c r="J447" s="30" t="s">
        <v>976</v>
      </c>
      <c r="K447" s="30" t="s">
        <v>9309</v>
      </c>
      <c r="L447" s="30" t="s">
        <v>6955</v>
      </c>
      <c r="M447" s="30"/>
      <c r="N447" s="30" t="s">
        <v>26734</v>
      </c>
      <c r="O447" s="30" t="s">
        <v>6249</v>
      </c>
      <c r="P447" s="30" t="s">
        <v>27279</v>
      </c>
      <c r="Q447" s="30" t="s">
        <v>26251</v>
      </c>
      <c r="R447" s="30" t="s">
        <v>26252</v>
      </c>
      <c r="S447" s="30" t="s">
        <v>27452</v>
      </c>
      <c r="T447" s="30" t="s">
        <v>27453</v>
      </c>
      <c r="U447" s="139"/>
      <c r="V447" s="139" t="s">
        <v>28321</v>
      </c>
      <c r="W447" s="30" t="s">
        <v>741</v>
      </c>
      <c r="X447" s="30" t="s">
        <v>193</v>
      </c>
      <c r="Y447" s="30" t="s">
        <v>9310</v>
      </c>
      <c r="Z447" s="30"/>
      <c r="AA447" s="30"/>
      <c r="AB447" s="30" t="s">
        <v>9311</v>
      </c>
      <c r="AC447" s="30"/>
      <c r="AD447" s="30"/>
      <c r="AE447" s="30"/>
      <c r="AF447" s="30"/>
      <c r="AG447" s="30"/>
      <c r="AH447" s="30" t="s">
        <v>4714</v>
      </c>
      <c r="AI447" s="30" t="s">
        <v>9433</v>
      </c>
      <c r="AJ447" s="641" t="str">
        <f t="shared" si="12"/>
        <v>522301</v>
      </c>
      <c r="AK447" s="641">
        <v>1</v>
      </c>
      <c r="AL447" s="641">
        <f t="shared" si="13"/>
        <v>1</v>
      </c>
      <c r="AM447" s="641">
        <v>1</v>
      </c>
      <c r="AN447" s="30" t="s">
        <v>17650</v>
      </c>
      <c r="AO447" s="30" t="s">
        <v>17651</v>
      </c>
      <c r="AP447" s="30" t="s">
        <v>17652</v>
      </c>
      <c r="AQ447" s="30" t="s">
        <v>17653</v>
      </c>
      <c r="AR447" s="30" t="s">
        <v>1024</v>
      </c>
      <c r="AS447" s="30">
        <v>1</v>
      </c>
    </row>
    <row r="448" spans="1:45" x14ac:dyDescent="0.25">
      <c r="A448" s="30" t="s">
        <v>716</v>
      </c>
      <c r="B448" s="30" t="s">
        <v>27098</v>
      </c>
      <c r="C448" s="30" t="s">
        <v>706</v>
      </c>
      <c r="D448" s="139" t="s">
        <v>26079</v>
      </c>
      <c r="E448" s="30" t="s">
        <v>217</v>
      </c>
      <c r="F448" s="30">
        <v>1</v>
      </c>
      <c r="G448" s="30" t="s">
        <v>193</v>
      </c>
      <c r="H448" s="30" t="s">
        <v>194</v>
      </c>
      <c r="I448" s="30" t="s">
        <v>27277</v>
      </c>
      <c r="J448" s="30" t="s">
        <v>210</v>
      </c>
      <c r="K448" s="30" t="s">
        <v>9309</v>
      </c>
      <c r="L448" s="30" t="s">
        <v>6955</v>
      </c>
      <c r="M448" s="30"/>
      <c r="N448" s="30" t="s">
        <v>27454</v>
      </c>
      <c r="O448" s="30" t="s">
        <v>6286</v>
      </c>
      <c r="P448" s="30" t="s">
        <v>27279</v>
      </c>
      <c r="Q448" s="30" t="s">
        <v>26160</v>
      </c>
      <c r="R448" s="30" t="s">
        <v>27340</v>
      </c>
      <c r="S448" s="30" t="s">
        <v>27455</v>
      </c>
      <c r="T448" s="30">
        <v>49729401</v>
      </c>
      <c r="U448" s="30"/>
      <c r="V448" s="139">
        <v>1863</v>
      </c>
      <c r="W448" s="30" t="s">
        <v>707</v>
      </c>
      <c r="X448" s="30" t="s">
        <v>194</v>
      </c>
      <c r="Y448" s="30" t="s">
        <v>9300</v>
      </c>
      <c r="Z448" s="30"/>
      <c r="AA448" s="30"/>
      <c r="AB448" s="30" t="s">
        <v>9311</v>
      </c>
      <c r="AC448" s="30"/>
      <c r="AD448" s="30"/>
      <c r="AE448" s="30"/>
      <c r="AF448" s="30"/>
      <c r="AG448" s="30"/>
      <c r="AH448" s="30" t="s">
        <v>4714</v>
      </c>
      <c r="AI448" s="30" t="s">
        <v>9433</v>
      </c>
      <c r="AJ448" s="641" t="str">
        <f t="shared" si="12"/>
        <v>422201</v>
      </c>
      <c r="AK448" s="641">
        <v>1</v>
      </c>
      <c r="AL448" s="641">
        <f t="shared" si="13"/>
        <v>1</v>
      </c>
      <c r="AM448" s="641">
        <v>1</v>
      </c>
      <c r="AN448" s="30" t="s">
        <v>17650</v>
      </c>
      <c r="AO448" s="30" t="s">
        <v>17651</v>
      </c>
      <c r="AP448" s="30" t="s">
        <v>17652</v>
      </c>
      <c r="AQ448" s="30" t="s">
        <v>17653</v>
      </c>
      <c r="AR448" s="30" t="s">
        <v>1024</v>
      </c>
      <c r="AS448" s="30">
        <v>1</v>
      </c>
    </row>
    <row r="449" spans="1:45" x14ac:dyDescent="0.25">
      <c r="A449" s="30" t="s">
        <v>716</v>
      </c>
      <c r="B449" s="30" t="s">
        <v>26635</v>
      </c>
      <c r="C449" s="30" t="s">
        <v>706</v>
      </c>
      <c r="D449" s="139" t="s">
        <v>26079</v>
      </c>
      <c r="E449" s="30" t="s">
        <v>217</v>
      </c>
      <c r="F449" s="30">
        <v>1</v>
      </c>
      <c r="G449" s="30" t="s">
        <v>193</v>
      </c>
      <c r="H449" s="30" t="s">
        <v>194</v>
      </c>
      <c r="I449" s="30" t="s">
        <v>27277</v>
      </c>
      <c r="J449" s="30" t="s">
        <v>210</v>
      </c>
      <c r="K449" s="30" t="s">
        <v>9309</v>
      </c>
      <c r="L449" s="30" t="s">
        <v>6955</v>
      </c>
      <c r="M449" s="30"/>
      <c r="N449" s="30" t="s">
        <v>27456</v>
      </c>
      <c r="O449" s="30" t="s">
        <v>6286</v>
      </c>
      <c r="P449" s="30" t="s">
        <v>27279</v>
      </c>
      <c r="Q449" s="30" t="s">
        <v>26160</v>
      </c>
      <c r="R449" s="30" t="s">
        <v>27340</v>
      </c>
      <c r="S449" s="30" t="s">
        <v>27457</v>
      </c>
      <c r="T449" s="30" t="s">
        <v>27458</v>
      </c>
      <c r="U449" s="30"/>
      <c r="V449" s="139">
        <v>1863</v>
      </c>
      <c r="W449" s="30" t="s">
        <v>707</v>
      </c>
      <c r="X449" s="30" t="s">
        <v>194</v>
      </c>
      <c r="Y449" s="30" t="s">
        <v>9300</v>
      </c>
      <c r="Z449" s="30"/>
      <c r="AA449" s="30"/>
      <c r="AB449" s="30" t="s">
        <v>9311</v>
      </c>
      <c r="AC449" s="30"/>
      <c r="AD449" s="30"/>
      <c r="AE449" s="30"/>
      <c r="AF449" s="30"/>
      <c r="AG449" s="30"/>
      <c r="AH449" s="30" t="s">
        <v>4714</v>
      </c>
      <c r="AI449" s="30" t="s">
        <v>9433</v>
      </c>
      <c r="AJ449" s="641" t="str">
        <f t="shared" si="12"/>
        <v>422201</v>
      </c>
      <c r="AK449" s="641">
        <v>1</v>
      </c>
      <c r="AL449" s="641">
        <f t="shared" si="13"/>
        <v>1</v>
      </c>
      <c r="AM449" s="641">
        <v>1</v>
      </c>
      <c r="AN449" s="30" t="s">
        <v>17650</v>
      </c>
      <c r="AO449" s="30" t="s">
        <v>17651</v>
      </c>
      <c r="AP449" s="30" t="s">
        <v>17652</v>
      </c>
      <c r="AQ449" s="30" t="s">
        <v>17653</v>
      </c>
      <c r="AR449" s="30" t="s">
        <v>1024</v>
      </c>
      <c r="AS449" s="30">
        <v>1</v>
      </c>
    </row>
    <row r="450" spans="1:45" x14ac:dyDescent="0.25">
      <c r="A450" s="30" t="s">
        <v>26238</v>
      </c>
      <c r="B450" s="30" t="s">
        <v>26239</v>
      </c>
      <c r="C450" s="30" t="s">
        <v>822</v>
      </c>
      <c r="D450" s="139" t="s">
        <v>26079</v>
      </c>
      <c r="E450" s="30" t="s">
        <v>217</v>
      </c>
      <c r="F450" s="30">
        <v>1</v>
      </c>
      <c r="G450" s="30" t="s">
        <v>194</v>
      </c>
      <c r="H450" s="30" t="s">
        <v>193</v>
      </c>
      <c r="I450" s="30" t="s">
        <v>27260</v>
      </c>
      <c r="J450" s="30" t="s">
        <v>210</v>
      </c>
      <c r="K450" s="30" t="s">
        <v>9309</v>
      </c>
      <c r="L450" s="30" t="s">
        <v>6955</v>
      </c>
      <c r="M450" s="30"/>
      <c r="N450" s="30" t="s">
        <v>26240</v>
      </c>
      <c r="O450" s="30" t="s">
        <v>6275</v>
      </c>
      <c r="P450" s="30" t="s">
        <v>27311</v>
      </c>
      <c r="Q450" s="30" t="s">
        <v>26241</v>
      </c>
      <c r="R450" s="30" t="s">
        <v>27312</v>
      </c>
      <c r="S450" s="30" t="s">
        <v>27459</v>
      </c>
      <c r="T450" s="30" t="s">
        <v>27460</v>
      </c>
      <c r="U450" s="30"/>
      <c r="V450" s="139">
        <v>1863</v>
      </c>
      <c r="W450" s="30" t="s">
        <v>823</v>
      </c>
      <c r="X450" s="30" t="s">
        <v>194</v>
      </c>
      <c r="Y450" s="30" t="s">
        <v>9300</v>
      </c>
      <c r="Z450" s="30"/>
      <c r="AA450" s="30"/>
      <c r="AB450" s="30" t="s">
        <v>9311</v>
      </c>
      <c r="AC450" s="30"/>
      <c r="AD450" s="30"/>
      <c r="AE450" s="30"/>
      <c r="AF450" s="30"/>
      <c r="AG450" s="30"/>
      <c r="AH450" s="30" t="s">
        <v>4714</v>
      </c>
      <c r="AI450" s="30" t="s">
        <v>9433</v>
      </c>
      <c r="AJ450" s="641" t="str">
        <f t="shared" si="12"/>
        <v>741103</v>
      </c>
      <c r="AK450" s="641">
        <v>1</v>
      </c>
      <c r="AL450" s="641">
        <f t="shared" si="13"/>
        <v>1</v>
      </c>
      <c r="AM450" s="641">
        <v>1</v>
      </c>
      <c r="AN450" s="30" t="s">
        <v>17650</v>
      </c>
      <c r="AO450" s="30" t="s">
        <v>17651</v>
      </c>
      <c r="AP450" s="30" t="s">
        <v>17652</v>
      </c>
      <c r="AQ450" s="30" t="s">
        <v>17653</v>
      </c>
      <c r="AR450" s="30" t="s">
        <v>1024</v>
      </c>
      <c r="AS450" s="30">
        <v>1</v>
      </c>
    </row>
    <row r="451" spans="1:45" x14ac:dyDescent="0.25">
      <c r="A451" s="30" t="s">
        <v>26193</v>
      </c>
      <c r="B451" s="30" t="s">
        <v>26194</v>
      </c>
      <c r="C451" s="30" t="s">
        <v>227</v>
      </c>
      <c r="D451" s="139" t="s">
        <v>26079</v>
      </c>
      <c r="E451" s="30" t="s">
        <v>217</v>
      </c>
      <c r="F451" s="30">
        <v>1</v>
      </c>
      <c r="G451" s="30" t="s">
        <v>193</v>
      </c>
      <c r="H451" s="30" t="s">
        <v>194</v>
      </c>
      <c r="I451" s="30" t="s">
        <v>27277</v>
      </c>
      <c r="J451" s="30" t="s">
        <v>385</v>
      </c>
      <c r="K451" s="30" t="s">
        <v>9309</v>
      </c>
      <c r="L451" s="30" t="s">
        <v>6955</v>
      </c>
      <c r="M451" s="30"/>
      <c r="N451" s="30" t="s">
        <v>27461</v>
      </c>
      <c r="O451" s="30" t="s">
        <v>6277</v>
      </c>
      <c r="P451" s="30" t="s">
        <v>27279</v>
      </c>
      <c r="Q451" s="30" t="s">
        <v>26109</v>
      </c>
      <c r="R451" s="30" t="s">
        <v>27328</v>
      </c>
      <c r="S451" s="30" t="s">
        <v>27462</v>
      </c>
      <c r="T451" s="30" t="s">
        <v>27463</v>
      </c>
      <c r="U451" s="30"/>
      <c r="V451" s="139">
        <v>1861</v>
      </c>
      <c r="W451" s="30" t="s">
        <v>229</v>
      </c>
      <c r="X451" s="30" t="s">
        <v>194</v>
      </c>
      <c r="Y451" s="30" t="s">
        <v>9300</v>
      </c>
      <c r="Z451" s="30"/>
      <c r="AA451" s="30"/>
      <c r="AB451" s="30" t="s">
        <v>9311</v>
      </c>
      <c r="AC451" s="30"/>
      <c r="AD451" s="30"/>
      <c r="AE451" s="30"/>
      <c r="AF451" s="30"/>
      <c r="AG451" s="30"/>
      <c r="AH451" s="30" t="s">
        <v>4714</v>
      </c>
      <c r="AI451" s="30" t="s">
        <v>9433</v>
      </c>
      <c r="AJ451" s="641" t="str">
        <f t="shared" ref="AJ451:AJ514" si="14">MID(W451,8,6)</f>
        <v>132401</v>
      </c>
      <c r="AK451" s="641">
        <v>1</v>
      </c>
      <c r="AL451" s="641">
        <f t="shared" ref="AL451:AL514" si="15">F451</f>
        <v>1</v>
      </c>
      <c r="AM451" s="641">
        <v>1</v>
      </c>
      <c r="AN451" s="30" t="s">
        <v>17650</v>
      </c>
      <c r="AO451" s="30" t="s">
        <v>17651</v>
      </c>
      <c r="AP451" s="30" t="s">
        <v>17652</v>
      </c>
      <c r="AQ451" s="30" t="s">
        <v>17653</v>
      </c>
      <c r="AR451" s="30" t="s">
        <v>1024</v>
      </c>
      <c r="AS451" s="30">
        <v>1</v>
      </c>
    </row>
    <row r="452" spans="1:45" x14ac:dyDescent="0.25">
      <c r="A452" s="30" t="s">
        <v>10145</v>
      </c>
      <c r="B452" s="30" t="s">
        <v>27078</v>
      </c>
      <c r="C452" s="30" t="s">
        <v>17</v>
      </c>
      <c r="D452" s="139" t="s">
        <v>26079</v>
      </c>
      <c r="E452" s="30" t="s">
        <v>217</v>
      </c>
      <c r="F452" s="30">
        <v>1</v>
      </c>
      <c r="G452" s="30" t="s">
        <v>193</v>
      </c>
      <c r="H452" s="30" t="s">
        <v>194</v>
      </c>
      <c r="I452" s="30" t="s">
        <v>27253</v>
      </c>
      <c r="J452" s="30" t="s">
        <v>26228</v>
      </c>
      <c r="K452" s="30" t="s">
        <v>9309</v>
      </c>
      <c r="L452" s="30" t="s">
        <v>6955</v>
      </c>
      <c r="M452" s="30"/>
      <c r="N452" s="30" t="s">
        <v>27079</v>
      </c>
      <c r="O452" s="30" t="s">
        <v>6343</v>
      </c>
      <c r="P452" s="30" t="s">
        <v>27279</v>
      </c>
      <c r="Q452" s="30" t="s">
        <v>24551</v>
      </c>
      <c r="R452" s="30" t="s">
        <v>27021</v>
      </c>
      <c r="S452" s="30" t="s">
        <v>27464</v>
      </c>
      <c r="T452" s="651">
        <v>49729478</v>
      </c>
      <c r="U452" s="30"/>
      <c r="V452" s="139" t="s">
        <v>9726</v>
      </c>
      <c r="W452" s="30" t="s">
        <v>624</v>
      </c>
      <c r="X452" s="30" t="s">
        <v>194</v>
      </c>
      <c r="Y452" s="30" t="s">
        <v>9300</v>
      </c>
      <c r="Z452" s="30"/>
      <c r="AA452" s="30"/>
      <c r="AB452" s="30" t="s">
        <v>9311</v>
      </c>
      <c r="AC452" s="30"/>
      <c r="AD452" s="30"/>
      <c r="AE452" s="30"/>
      <c r="AF452" s="30"/>
      <c r="AG452" s="30"/>
      <c r="AH452" s="30" t="s">
        <v>4714</v>
      </c>
      <c r="AI452" s="30" t="s">
        <v>9433</v>
      </c>
      <c r="AJ452" s="641" t="str">
        <f t="shared" si="14"/>
        <v>332203</v>
      </c>
      <c r="AK452" s="641">
        <v>1</v>
      </c>
      <c r="AL452" s="641">
        <f t="shared" si="15"/>
        <v>1</v>
      </c>
      <c r="AM452" s="641">
        <v>1</v>
      </c>
      <c r="AN452" s="30" t="s">
        <v>17650</v>
      </c>
      <c r="AO452" s="30" t="s">
        <v>17651</v>
      </c>
      <c r="AP452" s="30" t="s">
        <v>17652</v>
      </c>
      <c r="AQ452" s="30" t="s">
        <v>17653</v>
      </c>
      <c r="AR452" s="30" t="s">
        <v>1024</v>
      </c>
      <c r="AS452" s="30">
        <v>1</v>
      </c>
    </row>
    <row r="453" spans="1:45" x14ac:dyDescent="0.25">
      <c r="A453" s="30" t="s">
        <v>26153</v>
      </c>
      <c r="B453" s="30" t="s">
        <v>27465</v>
      </c>
      <c r="C453" s="30" t="s">
        <v>10</v>
      </c>
      <c r="D453" s="139" t="s">
        <v>26079</v>
      </c>
      <c r="E453" s="30" t="s">
        <v>217</v>
      </c>
      <c r="F453" s="30">
        <v>1</v>
      </c>
      <c r="G453" s="30" t="s">
        <v>193</v>
      </c>
      <c r="H453" s="30" t="s">
        <v>194</v>
      </c>
      <c r="I453" s="30" t="s">
        <v>27260</v>
      </c>
      <c r="J453" s="30" t="s">
        <v>210</v>
      </c>
      <c r="K453" s="30" t="s">
        <v>9309</v>
      </c>
      <c r="L453" s="30" t="s">
        <v>6955</v>
      </c>
      <c r="M453" s="30"/>
      <c r="N453" s="30" t="s">
        <v>27466</v>
      </c>
      <c r="O453" s="30" t="s">
        <v>6921</v>
      </c>
      <c r="P453" s="30" t="s">
        <v>27279</v>
      </c>
      <c r="Q453" s="30" t="s">
        <v>26109</v>
      </c>
      <c r="R453" s="30" t="s">
        <v>27328</v>
      </c>
      <c r="S453" s="30" t="s">
        <v>27467</v>
      </c>
      <c r="T453" s="651" t="s">
        <v>27468</v>
      </c>
      <c r="U453" s="30"/>
      <c r="V453" s="139" t="s">
        <v>9334</v>
      </c>
      <c r="W453" s="30" t="s">
        <v>484</v>
      </c>
      <c r="X453" s="30" t="s">
        <v>194</v>
      </c>
      <c r="Y453" s="30" t="s">
        <v>9300</v>
      </c>
      <c r="Z453" s="30"/>
      <c r="AA453" s="30"/>
      <c r="AB453" s="30" t="s">
        <v>9311</v>
      </c>
      <c r="AC453" s="30"/>
      <c r="AD453" s="30"/>
      <c r="AE453" s="30"/>
      <c r="AF453" s="30"/>
      <c r="AG453" s="30"/>
      <c r="AH453" s="30" t="s">
        <v>4714</v>
      </c>
      <c r="AI453" s="30" t="s">
        <v>9433</v>
      </c>
      <c r="AJ453" s="641" t="str">
        <f t="shared" si="14"/>
        <v>251401</v>
      </c>
      <c r="AK453" s="641">
        <v>1</v>
      </c>
      <c r="AL453" s="641">
        <f t="shared" si="15"/>
        <v>1</v>
      </c>
      <c r="AM453" s="641">
        <v>1</v>
      </c>
      <c r="AN453" s="30" t="s">
        <v>17650</v>
      </c>
      <c r="AO453" s="30" t="s">
        <v>17651</v>
      </c>
      <c r="AP453" s="30" t="s">
        <v>17652</v>
      </c>
      <c r="AQ453" s="30" t="s">
        <v>17653</v>
      </c>
      <c r="AR453" s="30" t="s">
        <v>1024</v>
      </c>
      <c r="AS453" s="30">
        <v>1</v>
      </c>
    </row>
    <row r="454" spans="1:45" x14ac:dyDescent="0.25">
      <c r="A454" s="30" t="s">
        <v>581</v>
      </c>
      <c r="B454" s="30" t="s">
        <v>23353</v>
      </c>
      <c r="C454" s="30" t="s">
        <v>554</v>
      </c>
      <c r="D454" s="139" t="s">
        <v>26079</v>
      </c>
      <c r="E454" s="30" t="s">
        <v>217</v>
      </c>
      <c r="F454" s="30">
        <v>1</v>
      </c>
      <c r="G454" s="30" t="s">
        <v>193</v>
      </c>
      <c r="H454" s="30" t="s">
        <v>194</v>
      </c>
      <c r="I454" s="30" t="s">
        <v>27253</v>
      </c>
      <c r="J454" s="30" t="s">
        <v>253</v>
      </c>
      <c r="K454" s="30" t="s">
        <v>9309</v>
      </c>
      <c r="L454" s="30" t="s">
        <v>6955</v>
      </c>
      <c r="M454" s="30"/>
      <c r="N454" s="30" t="s">
        <v>27231</v>
      </c>
      <c r="O454" s="30" t="s">
        <v>6258</v>
      </c>
      <c r="P454" s="30" t="s">
        <v>27279</v>
      </c>
      <c r="Q454" s="30" t="s">
        <v>26160</v>
      </c>
      <c r="R454" s="30" t="s">
        <v>26262</v>
      </c>
      <c r="S454" s="30" t="s">
        <v>27469</v>
      </c>
      <c r="T454" s="651" t="s">
        <v>27470</v>
      </c>
      <c r="U454" s="30"/>
      <c r="V454" s="139" t="s">
        <v>9468</v>
      </c>
      <c r="W454" s="30" t="s">
        <v>555</v>
      </c>
      <c r="X454" s="30" t="s">
        <v>194</v>
      </c>
      <c r="Y454" s="30" t="s">
        <v>9300</v>
      </c>
      <c r="Z454" s="30"/>
      <c r="AA454" s="30"/>
      <c r="AB454" s="30" t="s">
        <v>9311</v>
      </c>
      <c r="AC454" s="30"/>
      <c r="AD454" s="30"/>
      <c r="AE454" s="30"/>
      <c r="AF454" s="30"/>
      <c r="AG454" s="30"/>
      <c r="AH454" s="30" t="s">
        <v>4714</v>
      </c>
      <c r="AI454" s="30" t="s">
        <v>9433</v>
      </c>
      <c r="AJ454" s="641" t="str">
        <f t="shared" si="14"/>
        <v>311303</v>
      </c>
      <c r="AK454" s="641">
        <v>1</v>
      </c>
      <c r="AL454" s="641">
        <f t="shared" si="15"/>
        <v>1</v>
      </c>
      <c r="AM454" s="641">
        <v>1</v>
      </c>
      <c r="AN454" s="30" t="s">
        <v>17650</v>
      </c>
      <c r="AO454" s="30" t="s">
        <v>17651</v>
      </c>
      <c r="AP454" s="30" t="s">
        <v>17652</v>
      </c>
      <c r="AQ454" s="30" t="s">
        <v>17653</v>
      </c>
      <c r="AR454" s="30" t="s">
        <v>1024</v>
      </c>
      <c r="AS454" s="30">
        <v>1</v>
      </c>
    </row>
    <row r="455" spans="1:45" x14ac:dyDescent="0.25">
      <c r="A455" s="30" t="s">
        <v>9886</v>
      </c>
      <c r="B455" s="30" t="s">
        <v>26147</v>
      </c>
      <c r="C455" s="30" t="s">
        <v>17</v>
      </c>
      <c r="D455" s="139" t="s">
        <v>26079</v>
      </c>
      <c r="E455" s="30" t="s">
        <v>217</v>
      </c>
      <c r="F455" s="30">
        <v>1</v>
      </c>
      <c r="G455" s="30" t="s">
        <v>193</v>
      </c>
      <c r="H455" s="30" t="s">
        <v>194</v>
      </c>
      <c r="I455" s="30" t="s">
        <v>27253</v>
      </c>
      <c r="J455" s="30" t="s">
        <v>210</v>
      </c>
      <c r="K455" s="30" t="s">
        <v>9309</v>
      </c>
      <c r="L455" s="30" t="s">
        <v>6955</v>
      </c>
      <c r="M455" s="30"/>
      <c r="N455" s="30" t="s">
        <v>26149</v>
      </c>
      <c r="O455" s="30" t="s">
        <v>6275</v>
      </c>
      <c r="P455" s="30" t="s">
        <v>27279</v>
      </c>
      <c r="Q455" s="30" t="s">
        <v>26150</v>
      </c>
      <c r="R455" s="30" t="s">
        <v>23804</v>
      </c>
      <c r="S455" s="30" t="s">
        <v>27471</v>
      </c>
      <c r="T455" s="651" t="s">
        <v>27472</v>
      </c>
      <c r="U455" s="30"/>
      <c r="V455" s="139" t="s">
        <v>9334</v>
      </c>
      <c r="W455" s="30" t="s">
        <v>624</v>
      </c>
      <c r="X455" s="30" t="s">
        <v>194</v>
      </c>
      <c r="Y455" s="30" t="s">
        <v>9300</v>
      </c>
      <c r="Z455" s="30"/>
      <c r="AA455" s="30"/>
      <c r="AB455" s="30" t="s">
        <v>9311</v>
      </c>
      <c r="AC455" s="30"/>
      <c r="AD455" s="30"/>
      <c r="AE455" s="30"/>
      <c r="AF455" s="30"/>
      <c r="AG455" s="30"/>
      <c r="AH455" s="30" t="s">
        <v>4714</v>
      </c>
      <c r="AI455" s="30" t="s">
        <v>9433</v>
      </c>
      <c r="AJ455" s="641" t="str">
        <f t="shared" si="14"/>
        <v>332203</v>
      </c>
      <c r="AK455" s="641">
        <v>1</v>
      </c>
      <c r="AL455" s="641">
        <f t="shared" si="15"/>
        <v>1</v>
      </c>
      <c r="AM455" s="641">
        <v>1</v>
      </c>
      <c r="AN455" s="30" t="s">
        <v>17650</v>
      </c>
      <c r="AO455" s="30" t="s">
        <v>17651</v>
      </c>
      <c r="AP455" s="30" t="s">
        <v>17652</v>
      </c>
      <c r="AQ455" s="30" t="s">
        <v>17653</v>
      </c>
      <c r="AR455" s="30" t="s">
        <v>1024</v>
      </c>
      <c r="AS455" s="30">
        <v>1</v>
      </c>
    </row>
    <row r="456" spans="1:45" x14ac:dyDescent="0.25">
      <c r="A456" s="30" t="s">
        <v>581</v>
      </c>
      <c r="B456" s="30" t="s">
        <v>27473</v>
      </c>
      <c r="C456" s="30" t="s">
        <v>3688</v>
      </c>
      <c r="D456" s="139" t="s">
        <v>26079</v>
      </c>
      <c r="E456" s="30" t="s">
        <v>217</v>
      </c>
      <c r="F456" s="30">
        <v>1</v>
      </c>
      <c r="G456" s="30" t="s">
        <v>193</v>
      </c>
      <c r="H456" s="30" t="s">
        <v>194</v>
      </c>
      <c r="I456" s="30" t="s">
        <v>27260</v>
      </c>
      <c r="J456" s="30" t="s">
        <v>210</v>
      </c>
      <c r="K456" s="30" t="s">
        <v>9309</v>
      </c>
      <c r="L456" s="30" t="s">
        <v>6955</v>
      </c>
      <c r="M456" s="30"/>
      <c r="N456" s="30" t="s">
        <v>27474</v>
      </c>
      <c r="O456" s="30" t="s">
        <v>6269</v>
      </c>
      <c r="P456" s="30" t="s">
        <v>27475</v>
      </c>
      <c r="Q456" s="30" t="s">
        <v>26160</v>
      </c>
      <c r="R456" s="30" t="s">
        <v>26969</v>
      </c>
      <c r="S456" s="30" t="s">
        <v>27476</v>
      </c>
      <c r="T456" s="651" t="s">
        <v>27477</v>
      </c>
      <c r="U456" s="30"/>
      <c r="V456" s="139" t="s">
        <v>9334</v>
      </c>
      <c r="W456" s="30" t="s">
        <v>3689</v>
      </c>
      <c r="X456" s="30" t="s">
        <v>194</v>
      </c>
      <c r="Y456" s="30" t="s">
        <v>9300</v>
      </c>
      <c r="Z456" s="30"/>
      <c r="AA456" s="30"/>
      <c r="AB456" s="30" t="s">
        <v>9311</v>
      </c>
      <c r="AC456" s="30"/>
      <c r="AD456" s="30"/>
      <c r="AE456" s="30"/>
      <c r="AF456" s="30"/>
      <c r="AG456" s="30"/>
      <c r="AH456" s="30" t="s">
        <v>4714</v>
      </c>
      <c r="AI456" s="30" t="s">
        <v>9433</v>
      </c>
      <c r="AJ456" s="641" t="str">
        <f t="shared" si="14"/>
        <v>112007</v>
      </c>
      <c r="AK456" s="641">
        <v>1</v>
      </c>
      <c r="AL456" s="641">
        <f t="shared" si="15"/>
        <v>1</v>
      </c>
      <c r="AM456" s="641">
        <v>1</v>
      </c>
      <c r="AN456" s="30" t="s">
        <v>17650</v>
      </c>
      <c r="AO456" s="30" t="s">
        <v>17651</v>
      </c>
      <c r="AP456" s="30" t="s">
        <v>17652</v>
      </c>
      <c r="AQ456" s="30" t="s">
        <v>17653</v>
      </c>
      <c r="AR456" s="30" t="s">
        <v>1024</v>
      </c>
      <c r="AS456" s="30">
        <v>1</v>
      </c>
    </row>
    <row r="457" spans="1:45" x14ac:dyDescent="0.25">
      <c r="A457" s="30" t="s">
        <v>26089</v>
      </c>
      <c r="B457" s="30" t="s">
        <v>26609</v>
      </c>
      <c r="C457" s="30" t="s">
        <v>46</v>
      </c>
      <c r="D457" s="139" t="s">
        <v>26079</v>
      </c>
      <c r="E457" s="30" t="s">
        <v>217</v>
      </c>
      <c r="F457" s="30">
        <v>1</v>
      </c>
      <c r="G457" s="30" t="s">
        <v>193</v>
      </c>
      <c r="H457" s="30" t="s">
        <v>194</v>
      </c>
      <c r="I457" s="30" t="s">
        <v>27253</v>
      </c>
      <c r="J457" s="30" t="s">
        <v>210</v>
      </c>
      <c r="K457" s="30" t="s">
        <v>9309</v>
      </c>
      <c r="L457" s="30" t="s">
        <v>6955</v>
      </c>
      <c r="M457" s="30"/>
      <c r="N457" s="30" t="s">
        <v>26610</v>
      </c>
      <c r="O457" s="30" t="s">
        <v>6254</v>
      </c>
      <c r="P457" s="30" t="s">
        <v>27475</v>
      </c>
      <c r="Q457" s="30" t="s">
        <v>26261</v>
      </c>
      <c r="R457" s="30" t="s">
        <v>26262</v>
      </c>
      <c r="S457" s="30" t="s">
        <v>27478</v>
      </c>
      <c r="T457" s="651" t="s">
        <v>27479</v>
      </c>
      <c r="U457" s="30"/>
      <c r="V457" s="139" t="s">
        <v>9334</v>
      </c>
      <c r="W457" s="30" t="s">
        <v>510</v>
      </c>
      <c r="X457" s="30" t="s">
        <v>194</v>
      </c>
      <c r="Y457" s="30" t="s">
        <v>9300</v>
      </c>
      <c r="Z457" s="30"/>
      <c r="AA457" s="30"/>
      <c r="AB457" s="30" t="s">
        <v>9311</v>
      </c>
      <c r="AC457" s="30"/>
      <c r="AD457" s="30"/>
      <c r="AE457" s="30"/>
      <c r="AF457" s="30"/>
      <c r="AG457" s="30"/>
      <c r="AH457" s="30" t="s">
        <v>4714</v>
      </c>
      <c r="AI457" s="30" t="s">
        <v>9433</v>
      </c>
      <c r="AJ457" s="641" t="str">
        <f t="shared" si="14"/>
        <v>252201</v>
      </c>
      <c r="AK457" s="641">
        <v>1</v>
      </c>
      <c r="AL457" s="641">
        <f t="shared" si="15"/>
        <v>1</v>
      </c>
      <c r="AM457" s="641">
        <v>1</v>
      </c>
      <c r="AN457" s="30" t="s">
        <v>17650</v>
      </c>
      <c r="AO457" s="30" t="s">
        <v>17651</v>
      </c>
      <c r="AP457" s="30" t="s">
        <v>17652</v>
      </c>
      <c r="AQ457" s="30" t="s">
        <v>17653</v>
      </c>
      <c r="AR457" s="30" t="s">
        <v>1024</v>
      </c>
      <c r="AS457" s="30">
        <v>1</v>
      </c>
    </row>
    <row r="458" spans="1:45" x14ac:dyDescent="0.25">
      <c r="A458" s="30" t="s">
        <v>26193</v>
      </c>
      <c r="B458" s="30" t="s">
        <v>27343</v>
      </c>
      <c r="C458" s="30" t="s">
        <v>227</v>
      </c>
      <c r="D458" s="139" t="s">
        <v>26079</v>
      </c>
      <c r="E458" s="30" t="s">
        <v>217</v>
      </c>
      <c r="F458" s="30">
        <v>1</v>
      </c>
      <c r="G458" s="30" t="s">
        <v>193</v>
      </c>
      <c r="H458" s="30" t="s">
        <v>194</v>
      </c>
      <c r="I458" s="30" t="s">
        <v>27260</v>
      </c>
      <c r="J458" s="30" t="s">
        <v>4751</v>
      </c>
      <c r="K458" s="30" t="s">
        <v>9309</v>
      </c>
      <c r="L458" s="30" t="s">
        <v>6955</v>
      </c>
      <c r="M458" s="30"/>
      <c r="N458" s="30" t="s">
        <v>27480</v>
      </c>
      <c r="O458" s="30" t="s">
        <v>6269</v>
      </c>
      <c r="P458" s="30" t="s">
        <v>27475</v>
      </c>
      <c r="Q458" s="30" t="s">
        <v>26109</v>
      </c>
      <c r="R458" s="30" t="s">
        <v>27328</v>
      </c>
      <c r="S458" s="30" t="s">
        <v>27481</v>
      </c>
      <c r="T458" s="30" t="s">
        <v>27482</v>
      </c>
      <c r="U458" s="30"/>
      <c r="V458" s="139" t="s">
        <v>9472</v>
      </c>
      <c r="W458" s="30" t="s">
        <v>229</v>
      </c>
      <c r="X458" s="30" t="s">
        <v>194</v>
      </c>
      <c r="Y458" s="30" t="s">
        <v>9300</v>
      </c>
      <c r="Z458" s="30"/>
      <c r="AA458" s="30"/>
      <c r="AB458" s="30" t="s">
        <v>9311</v>
      </c>
      <c r="AC458" s="30"/>
      <c r="AD458" s="30"/>
      <c r="AE458" s="30"/>
      <c r="AF458" s="30"/>
      <c r="AG458" s="30"/>
      <c r="AH458" s="30" t="s">
        <v>4714</v>
      </c>
      <c r="AI458" s="30" t="s">
        <v>9433</v>
      </c>
      <c r="AJ458" s="641" t="str">
        <f t="shared" si="14"/>
        <v>132401</v>
      </c>
      <c r="AK458" s="641">
        <v>1</v>
      </c>
      <c r="AL458" s="641">
        <f t="shared" si="15"/>
        <v>1</v>
      </c>
      <c r="AM458" s="641">
        <v>1</v>
      </c>
      <c r="AN458" s="30" t="s">
        <v>17650</v>
      </c>
      <c r="AO458" s="30" t="s">
        <v>17651</v>
      </c>
      <c r="AP458" s="30" t="s">
        <v>17652</v>
      </c>
      <c r="AQ458" s="30" t="s">
        <v>17653</v>
      </c>
      <c r="AR458" s="30" t="s">
        <v>1024</v>
      </c>
      <c r="AS458" s="30">
        <v>1</v>
      </c>
    </row>
    <row r="459" spans="1:45" x14ac:dyDescent="0.25">
      <c r="A459" s="30" t="s">
        <v>26193</v>
      </c>
      <c r="B459" s="30" t="s">
        <v>26194</v>
      </c>
      <c r="C459" s="30" t="s">
        <v>227</v>
      </c>
      <c r="D459" s="139" t="s">
        <v>26079</v>
      </c>
      <c r="E459" s="30" t="s">
        <v>217</v>
      </c>
      <c r="F459" s="30">
        <v>1</v>
      </c>
      <c r="G459" s="30" t="s">
        <v>193</v>
      </c>
      <c r="H459" s="30" t="s">
        <v>194</v>
      </c>
      <c r="I459" s="30" t="s">
        <v>27277</v>
      </c>
      <c r="J459" s="30" t="s">
        <v>316</v>
      </c>
      <c r="K459" s="30" t="s">
        <v>9309</v>
      </c>
      <c r="L459" s="30" t="s">
        <v>6955</v>
      </c>
      <c r="M459" s="30"/>
      <c r="N459" s="30" t="s">
        <v>27483</v>
      </c>
      <c r="O459" s="30" t="s">
        <v>6277</v>
      </c>
      <c r="P459" s="30" t="s">
        <v>27475</v>
      </c>
      <c r="Q459" s="30" t="s">
        <v>26109</v>
      </c>
      <c r="R459" s="30" t="s">
        <v>27328</v>
      </c>
      <c r="S459" s="30" t="s">
        <v>27484</v>
      </c>
      <c r="T459" s="30" t="s">
        <v>27485</v>
      </c>
      <c r="U459" s="30"/>
      <c r="V459" s="139" t="s">
        <v>10012</v>
      </c>
      <c r="W459" s="30" t="s">
        <v>229</v>
      </c>
      <c r="X459" s="30" t="s">
        <v>194</v>
      </c>
      <c r="Y459" s="30" t="s">
        <v>9300</v>
      </c>
      <c r="Z459" s="30"/>
      <c r="AA459" s="30"/>
      <c r="AB459" s="30" t="s">
        <v>9311</v>
      </c>
      <c r="AC459" s="30"/>
      <c r="AD459" s="30"/>
      <c r="AE459" s="30"/>
      <c r="AF459" s="30"/>
      <c r="AG459" s="30"/>
      <c r="AH459" s="30" t="s">
        <v>4714</v>
      </c>
      <c r="AI459" s="30" t="s">
        <v>9433</v>
      </c>
      <c r="AJ459" s="641" t="str">
        <f t="shared" si="14"/>
        <v>132401</v>
      </c>
      <c r="AK459" s="641">
        <v>1</v>
      </c>
      <c r="AL459" s="641">
        <f t="shared" si="15"/>
        <v>1</v>
      </c>
      <c r="AM459" s="641">
        <v>1</v>
      </c>
      <c r="AN459" s="30" t="s">
        <v>17650</v>
      </c>
      <c r="AO459" s="30" t="s">
        <v>17651</v>
      </c>
      <c r="AP459" s="30" t="s">
        <v>17652</v>
      </c>
      <c r="AQ459" s="30" t="s">
        <v>17653</v>
      </c>
      <c r="AR459" s="30" t="s">
        <v>1024</v>
      </c>
      <c r="AS459" s="30">
        <v>1</v>
      </c>
    </row>
    <row r="460" spans="1:45" x14ac:dyDescent="0.25">
      <c r="A460" s="30" t="s">
        <v>26258</v>
      </c>
      <c r="B460" s="30" t="s">
        <v>26259</v>
      </c>
      <c r="C460" s="30" t="s">
        <v>18783</v>
      </c>
      <c r="D460" s="139" t="s">
        <v>26079</v>
      </c>
      <c r="E460" s="30" t="s">
        <v>217</v>
      </c>
      <c r="F460" s="30">
        <v>1</v>
      </c>
      <c r="G460" s="30" t="s">
        <v>193</v>
      </c>
      <c r="H460" s="30" t="s">
        <v>194</v>
      </c>
      <c r="I460" s="30" t="s">
        <v>27253</v>
      </c>
      <c r="J460" s="30" t="s">
        <v>210</v>
      </c>
      <c r="K460" s="30" t="s">
        <v>9309</v>
      </c>
      <c r="L460" s="30" t="s">
        <v>6955</v>
      </c>
      <c r="M460" s="30"/>
      <c r="N460" s="30" t="s">
        <v>26260</v>
      </c>
      <c r="O460" s="30" t="s">
        <v>6269</v>
      </c>
      <c r="P460" s="30" t="s">
        <v>27475</v>
      </c>
      <c r="Q460" s="30" t="s">
        <v>26261</v>
      </c>
      <c r="R460" s="30" t="s">
        <v>26262</v>
      </c>
      <c r="S460" s="30" t="s">
        <v>27486</v>
      </c>
      <c r="T460" s="30" t="s">
        <v>27487</v>
      </c>
      <c r="U460" s="30"/>
      <c r="V460" s="139" t="s">
        <v>9334</v>
      </c>
      <c r="W460" s="30" t="s">
        <v>2538</v>
      </c>
      <c r="X460" s="30" t="s">
        <v>194</v>
      </c>
      <c r="Y460" s="30" t="s">
        <v>9300</v>
      </c>
      <c r="Z460" s="30"/>
      <c r="AA460" s="30"/>
      <c r="AB460" s="30" t="s">
        <v>9311</v>
      </c>
      <c r="AC460" s="30"/>
      <c r="AD460" s="30"/>
      <c r="AE460" s="30"/>
      <c r="AF460" s="30"/>
      <c r="AG460" s="30"/>
      <c r="AH460" s="30" t="s">
        <v>4714</v>
      </c>
      <c r="AI460" s="30" t="s">
        <v>9433</v>
      </c>
      <c r="AJ460" s="641" t="str">
        <f t="shared" si="14"/>
        <v>911207</v>
      </c>
      <c r="AK460" s="641">
        <v>1</v>
      </c>
      <c r="AL460" s="641">
        <f t="shared" si="15"/>
        <v>1</v>
      </c>
      <c r="AM460" s="641">
        <v>1</v>
      </c>
      <c r="AN460" s="30" t="s">
        <v>17650</v>
      </c>
      <c r="AO460" s="30" t="s">
        <v>17651</v>
      </c>
      <c r="AP460" s="30" t="s">
        <v>17652</v>
      </c>
      <c r="AQ460" s="30" t="s">
        <v>17653</v>
      </c>
      <c r="AR460" s="30" t="s">
        <v>1024</v>
      </c>
      <c r="AS460" s="30">
        <v>1</v>
      </c>
    </row>
    <row r="461" spans="1:45" x14ac:dyDescent="0.25">
      <c r="A461" s="30" t="s">
        <v>716</v>
      </c>
      <c r="B461" s="30" t="s">
        <v>26745</v>
      </c>
      <c r="C461" s="30" t="s">
        <v>26180</v>
      </c>
      <c r="D461" s="139" t="s">
        <v>26079</v>
      </c>
      <c r="E461" s="30" t="s">
        <v>217</v>
      </c>
      <c r="F461" s="30">
        <v>1</v>
      </c>
      <c r="G461" s="30" t="s">
        <v>193</v>
      </c>
      <c r="H461" s="30" t="s">
        <v>194</v>
      </c>
      <c r="I461" s="30" t="s">
        <v>27277</v>
      </c>
      <c r="J461" s="30" t="s">
        <v>210</v>
      </c>
      <c r="K461" s="30" t="s">
        <v>9309</v>
      </c>
      <c r="L461" s="30" t="s">
        <v>6955</v>
      </c>
      <c r="M461" s="30"/>
      <c r="N461" s="30" t="s">
        <v>26746</v>
      </c>
      <c r="O461" s="30" t="s">
        <v>6286</v>
      </c>
      <c r="P461" s="30" t="s">
        <v>27475</v>
      </c>
      <c r="Q461" s="30" t="s">
        <v>26098</v>
      </c>
      <c r="R461" s="30" t="s">
        <v>26231</v>
      </c>
      <c r="S461" s="30" t="s">
        <v>27488</v>
      </c>
      <c r="T461" s="30" t="s">
        <v>27489</v>
      </c>
      <c r="U461" s="30"/>
      <c r="V461" s="139" t="s">
        <v>9334</v>
      </c>
      <c r="W461" s="30" t="s">
        <v>26186</v>
      </c>
      <c r="X461" s="30" t="s">
        <v>194</v>
      </c>
      <c r="Y461" s="30" t="s">
        <v>9300</v>
      </c>
      <c r="Z461" s="30"/>
      <c r="AA461" s="30"/>
      <c r="AB461" s="30" t="s">
        <v>9311</v>
      </c>
      <c r="AC461" s="30"/>
      <c r="AD461" s="30"/>
      <c r="AE461" s="30"/>
      <c r="AF461" s="30"/>
      <c r="AG461" s="30"/>
      <c r="AH461" s="30" t="s">
        <v>4714</v>
      </c>
      <c r="AI461" s="30" t="s">
        <v>9433</v>
      </c>
      <c r="AJ461" s="641" t="str">
        <f t="shared" si="14"/>
        <v>421108</v>
      </c>
      <c r="AK461" s="641">
        <v>1</v>
      </c>
      <c r="AL461" s="641">
        <f t="shared" si="15"/>
        <v>1</v>
      </c>
      <c r="AM461" s="641">
        <v>1</v>
      </c>
      <c r="AN461" s="30" t="s">
        <v>17650</v>
      </c>
      <c r="AO461" s="30" t="s">
        <v>17651</v>
      </c>
      <c r="AP461" s="30" t="s">
        <v>17652</v>
      </c>
      <c r="AQ461" s="30" t="s">
        <v>17653</v>
      </c>
      <c r="AR461" s="30" t="s">
        <v>1024</v>
      </c>
      <c r="AS461" s="30">
        <v>1</v>
      </c>
    </row>
    <row r="462" spans="1:45" x14ac:dyDescent="0.25">
      <c r="A462" s="30" t="s">
        <v>26193</v>
      </c>
      <c r="B462" s="30" t="s">
        <v>27343</v>
      </c>
      <c r="C462" s="30" t="s">
        <v>227</v>
      </c>
      <c r="D462" s="139" t="s">
        <v>26079</v>
      </c>
      <c r="E462" s="30" t="s">
        <v>217</v>
      </c>
      <c r="F462" s="30">
        <v>1</v>
      </c>
      <c r="G462" s="30" t="s">
        <v>193</v>
      </c>
      <c r="H462" s="30" t="s">
        <v>194</v>
      </c>
      <c r="I462" s="30" t="s">
        <v>27260</v>
      </c>
      <c r="J462" s="30" t="s">
        <v>253</v>
      </c>
      <c r="K462" s="30" t="s">
        <v>9309</v>
      </c>
      <c r="L462" s="30" t="s">
        <v>6955</v>
      </c>
      <c r="M462" s="30"/>
      <c r="N462" s="30" t="s">
        <v>27490</v>
      </c>
      <c r="O462" s="30" t="s">
        <v>6269</v>
      </c>
      <c r="P462" s="30" t="s">
        <v>27475</v>
      </c>
      <c r="Q462" s="30" t="s">
        <v>26109</v>
      </c>
      <c r="R462" s="30" t="s">
        <v>27328</v>
      </c>
      <c r="S462" s="30" t="s">
        <v>27491</v>
      </c>
      <c r="T462" s="30" t="s">
        <v>27492</v>
      </c>
      <c r="U462" s="30"/>
      <c r="V462" s="139" t="s">
        <v>9468</v>
      </c>
      <c r="W462" s="30" t="s">
        <v>229</v>
      </c>
      <c r="X462" s="30" t="s">
        <v>194</v>
      </c>
      <c r="Y462" s="30" t="s">
        <v>9300</v>
      </c>
      <c r="Z462" s="30"/>
      <c r="AA462" s="30"/>
      <c r="AB462" s="30" t="s">
        <v>9311</v>
      </c>
      <c r="AC462" s="30"/>
      <c r="AD462" s="30"/>
      <c r="AE462" s="30"/>
      <c r="AF462" s="30"/>
      <c r="AG462" s="30"/>
      <c r="AH462" s="30" t="s">
        <v>4714</v>
      </c>
      <c r="AI462" s="30" t="s">
        <v>9433</v>
      </c>
      <c r="AJ462" s="641" t="str">
        <f t="shared" si="14"/>
        <v>132401</v>
      </c>
      <c r="AK462" s="641">
        <v>1</v>
      </c>
      <c r="AL462" s="641">
        <f t="shared" si="15"/>
        <v>1</v>
      </c>
      <c r="AM462" s="641">
        <v>1</v>
      </c>
      <c r="AN462" s="30" t="s">
        <v>17650</v>
      </c>
      <c r="AO462" s="30" t="s">
        <v>17651</v>
      </c>
      <c r="AP462" s="30" t="s">
        <v>17652</v>
      </c>
      <c r="AQ462" s="30" t="s">
        <v>17653</v>
      </c>
      <c r="AR462" s="30" t="s">
        <v>1024</v>
      </c>
      <c r="AS462" s="30">
        <v>1</v>
      </c>
    </row>
    <row r="463" spans="1:45" x14ac:dyDescent="0.25">
      <c r="A463" s="30" t="s">
        <v>15464</v>
      </c>
      <c r="B463" s="30" t="s">
        <v>16319</v>
      </c>
      <c r="C463" s="30" t="s">
        <v>17</v>
      </c>
      <c r="D463" s="139" t="s">
        <v>26079</v>
      </c>
      <c r="E463" s="30" t="s">
        <v>217</v>
      </c>
      <c r="F463" s="30">
        <v>1</v>
      </c>
      <c r="G463" s="30" t="s">
        <v>193</v>
      </c>
      <c r="H463" s="30" t="s">
        <v>194</v>
      </c>
      <c r="I463" s="30" t="s">
        <v>27253</v>
      </c>
      <c r="J463" s="30" t="s">
        <v>210</v>
      </c>
      <c r="K463" s="30" t="s">
        <v>9309</v>
      </c>
      <c r="L463" s="30" t="s">
        <v>6955</v>
      </c>
      <c r="M463" s="30"/>
      <c r="N463" s="30" t="s">
        <v>22191</v>
      </c>
      <c r="O463" s="30" t="s">
        <v>6269</v>
      </c>
      <c r="P463" s="30" t="s">
        <v>27311</v>
      </c>
      <c r="Q463" s="30" t="s">
        <v>26027</v>
      </c>
      <c r="R463" s="30" t="s">
        <v>27312</v>
      </c>
      <c r="S463" s="30" t="s">
        <v>27493</v>
      </c>
      <c r="T463" s="30" t="s">
        <v>27494</v>
      </c>
      <c r="U463" s="30"/>
      <c r="V463" s="139" t="s">
        <v>9334</v>
      </c>
      <c r="W463" s="30" t="s">
        <v>624</v>
      </c>
      <c r="X463" s="30" t="s">
        <v>194</v>
      </c>
      <c r="Y463" s="30" t="s">
        <v>9300</v>
      </c>
      <c r="Z463" s="30"/>
      <c r="AA463" s="30"/>
      <c r="AB463" s="30" t="s">
        <v>9311</v>
      </c>
      <c r="AC463" s="30"/>
      <c r="AD463" s="30"/>
      <c r="AE463" s="30"/>
      <c r="AF463" s="30"/>
      <c r="AG463" s="30"/>
      <c r="AH463" s="30" t="s">
        <v>4714</v>
      </c>
      <c r="AI463" s="30" t="s">
        <v>9433</v>
      </c>
      <c r="AJ463" s="641" t="str">
        <f t="shared" si="14"/>
        <v>332203</v>
      </c>
      <c r="AK463" s="641">
        <v>1</v>
      </c>
      <c r="AL463" s="641">
        <f t="shared" si="15"/>
        <v>1</v>
      </c>
      <c r="AM463" s="641">
        <v>1</v>
      </c>
      <c r="AN463" s="30" t="s">
        <v>17650</v>
      </c>
      <c r="AO463" s="30" t="s">
        <v>17651</v>
      </c>
      <c r="AP463" s="30" t="s">
        <v>17652</v>
      </c>
      <c r="AQ463" s="30" t="s">
        <v>17653</v>
      </c>
      <c r="AR463" s="30" t="s">
        <v>1024</v>
      </c>
      <c r="AS463" s="30">
        <v>1</v>
      </c>
    </row>
    <row r="464" spans="1:45" x14ac:dyDescent="0.25">
      <c r="A464" s="30" t="s">
        <v>716</v>
      </c>
      <c r="B464" s="30" t="s">
        <v>26324</v>
      </c>
      <c r="C464" s="30" t="s">
        <v>26180</v>
      </c>
      <c r="D464" s="139" t="s">
        <v>26079</v>
      </c>
      <c r="E464" s="30" t="s">
        <v>217</v>
      </c>
      <c r="F464" s="30">
        <v>1</v>
      </c>
      <c r="G464" s="30" t="s">
        <v>193</v>
      </c>
      <c r="H464" s="30" t="s">
        <v>194</v>
      </c>
      <c r="I464" s="30" t="s">
        <v>27277</v>
      </c>
      <c r="J464" s="30" t="s">
        <v>210</v>
      </c>
      <c r="K464" s="30" t="s">
        <v>9309</v>
      </c>
      <c r="L464" s="30" t="s">
        <v>6955</v>
      </c>
      <c r="M464" s="30"/>
      <c r="N464" s="30" t="s">
        <v>26325</v>
      </c>
      <c r="O464" s="30" t="s">
        <v>6286</v>
      </c>
      <c r="P464" s="30" t="s">
        <v>27475</v>
      </c>
      <c r="Q464" s="30" t="s">
        <v>26098</v>
      </c>
      <c r="R464" s="30" t="s">
        <v>26231</v>
      </c>
      <c r="S464" s="30" t="s">
        <v>27495</v>
      </c>
      <c r="T464" s="30" t="s">
        <v>27496</v>
      </c>
      <c r="U464" s="30"/>
      <c r="V464" s="139" t="s">
        <v>9334</v>
      </c>
      <c r="W464" s="30" t="s">
        <v>26186</v>
      </c>
      <c r="X464" s="30" t="s">
        <v>194</v>
      </c>
      <c r="Y464" s="30" t="s">
        <v>9300</v>
      </c>
      <c r="Z464" s="30"/>
      <c r="AA464" s="30"/>
      <c r="AB464" s="30" t="s">
        <v>9311</v>
      </c>
      <c r="AC464" s="30"/>
      <c r="AD464" s="30"/>
      <c r="AE464" s="30"/>
      <c r="AF464" s="30"/>
      <c r="AG464" s="30"/>
      <c r="AH464" s="30" t="s">
        <v>4714</v>
      </c>
      <c r="AI464" s="30" t="s">
        <v>9433</v>
      </c>
      <c r="AJ464" s="641" t="str">
        <f t="shared" si="14"/>
        <v>421108</v>
      </c>
      <c r="AK464" s="641">
        <v>1</v>
      </c>
      <c r="AL464" s="641">
        <f t="shared" si="15"/>
        <v>1</v>
      </c>
      <c r="AM464" s="641">
        <v>1</v>
      </c>
      <c r="AN464" s="30" t="s">
        <v>17650</v>
      </c>
      <c r="AO464" s="30" t="s">
        <v>17651</v>
      </c>
      <c r="AP464" s="30" t="s">
        <v>17652</v>
      </c>
      <c r="AQ464" s="30" t="s">
        <v>17653</v>
      </c>
      <c r="AR464" s="30" t="s">
        <v>1024</v>
      </c>
      <c r="AS464" s="30">
        <v>1</v>
      </c>
    </row>
    <row r="465" spans="1:45" x14ac:dyDescent="0.25">
      <c r="A465" s="30" t="s">
        <v>26089</v>
      </c>
      <c r="B465" s="30" t="s">
        <v>26567</v>
      </c>
      <c r="C465" s="30" t="s">
        <v>27497</v>
      </c>
      <c r="D465" s="139" t="s">
        <v>26079</v>
      </c>
      <c r="E465" s="30" t="s">
        <v>217</v>
      </c>
      <c r="F465" s="30">
        <v>1</v>
      </c>
      <c r="G465" s="30" t="s">
        <v>193</v>
      </c>
      <c r="H465" s="30" t="s">
        <v>194</v>
      </c>
      <c r="I465" s="30" t="s">
        <v>27253</v>
      </c>
      <c r="J465" s="30" t="s">
        <v>210</v>
      </c>
      <c r="K465" s="30" t="s">
        <v>9309</v>
      </c>
      <c r="L465" s="30" t="s">
        <v>6955</v>
      </c>
      <c r="M465" s="30"/>
      <c r="N465" s="30" t="s">
        <v>27498</v>
      </c>
      <c r="O465" s="30" t="s">
        <v>6261</v>
      </c>
      <c r="P465" s="30" t="s">
        <v>27475</v>
      </c>
      <c r="Q465" s="30" t="s">
        <v>26160</v>
      </c>
      <c r="R465" s="30" t="s">
        <v>27340</v>
      </c>
      <c r="S465" s="30" t="s">
        <v>27499</v>
      </c>
      <c r="T465" s="30" t="s">
        <v>27500</v>
      </c>
      <c r="U465" s="30"/>
      <c r="V465" s="139" t="s">
        <v>9334</v>
      </c>
      <c r="W465" s="30" t="s">
        <v>27501</v>
      </c>
      <c r="X465" s="30" t="s">
        <v>194</v>
      </c>
      <c r="Y465" s="30" t="s">
        <v>9300</v>
      </c>
      <c r="Z465" s="30"/>
      <c r="AA465" s="30"/>
      <c r="AB465" s="30" t="s">
        <v>9311</v>
      </c>
      <c r="AC465" s="30"/>
      <c r="AD465" s="30"/>
      <c r="AE465" s="30"/>
      <c r="AF465" s="30"/>
      <c r="AG465" s="30"/>
      <c r="AH465" s="30" t="s">
        <v>4714</v>
      </c>
      <c r="AI465" s="30" t="s">
        <v>9433</v>
      </c>
      <c r="AJ465" s="641" t="str">
        <f t="shared" si="14"/>
        <v>243401</v>
      </c>
      <c r="AK465" s="641">
        <v>1</v>
      </c>
      <c r="AL465" s="641">
        <f t="shared" si="15"/>
        <v>1</v>
      </c>
      <c r="AM465" s="641">
        <v>1</v>
      </c>
      <c r="AN465" s="30" t="s">
        <v>17650</v>
      </c>
      <c r="AO465" s="30" t="s">
        <v>17651</v>
      </c>
      <c r="AP465" s="30" t="s">
        <v>17652</v>
      </c>
      <c r="AQ465" s="30" t="s">
        <v>17653</v>
      </c>
      <c r="AR465" s="30" t="s">
        <v>1024</v>
      </c>
      <c r="AS465" s="30">
        <v>1</v>
      </c>
    </row>
    <row r="466" spans="1:45" x14ac:dyDescent="0.25">
      <c r="A466" s="30" t="s">
        <v>10145</v>
      </c>
      <c r="B466" s="30" t="s">
        <v>10126</v>
      </c>
      <c r="C466" s="30" t="s">
        <v>5333</v>
      </c>
      <c r="D466" s="139" t="s">
        <v>26079</v>
      </c>
      <c r="E466" s="30" t="s">
        <v>217</v>
      </c>
      <c r="F466" s="30">
        <v>1</v>
      </c>
      <c r="G466" s="30" t="s">
        <v>193</v>
      </c>
      <c r="H466" s="30" t="s">
        <v>194</v>
      </c>
      <c r="I466" s="30" t="s">
        <v>27253</v>
      </c>
      <c r="J466" s="30" t="s">
        <v>210</v>
      </c>
      <c r="K466" s="30" t="s">
        <v>9309</v>
      </c>
      <c r="L466" s="30" t="s">
        <v>6955</v>
      </c>
      <c r="M466" s="30"/>
      <c r="N466" s="30" t="s">
        <v>26707</v>
      </c>
      <c r="O466" s="30" t="s">
        <v>6249</v>
      </c>
      <c r="P466" s="30" t="s">
        <v>27475</v>
      </c>
      <c r="Q466" s="30" t="s">
        <v>26261</v>
      </c>
      <c r="R466" s="30" t="s">
        <v>26262</v>
      </c>
      <c r="S466" s="30" t="s">
        <v>27502</v>
      </c>
      <c r="T466" s="30" t="s">
        <v>27503</v>
      </c>
      <c r="U466" s="30"/>
      <c r="V466" s="139" t="s">
        <v>9334</v>
      </c>
      <c r="W466" s="30" t="s">
        <v>1536</v>
      </c>
      <c r="X466" s="30" t="s">
        <v>194</v>
      </c>
      <c r="Y466" s="30" t="s">
        <v>9300</v>
      </c>
      <c r="Z466" s="30"/>
      <c r="AA466" s="30"/>
      <c r="AB466" s="30" t="s">
        <v>9311</v>
      </c>
      <c r="AC466" s="30"/>
      <c r="AD466" s="30"/>
      <c r="AE466" s="30"/>
      <c r="AF466" s="30"/>
      <c r="AG466" s="30"/>
      <c r="AH466" s="30" t="s">
        <v>4714</v>
      </c>
      <c r="AI466" s="30" t="s">
        <v>9433</v>
      </c>
      <c r="AJ466" s="641" t="str">
        <f t="shared" si="14"/>
        <v>314401</v>
      </c>
      <c r="AK466" s="641">
        <v>1</v>
      </c>
      <c r="AL466" s="641">
        <f t="shared" si="15"/>
        <v>1</v>
      </c>
      <c r="AM466" s="641">
        <v>1</v>
      </c>
      <c r="AN466" s="30" t="s">
        <v>17650</v>
      </c>
      <c r="AO466" s="30" t="s">
        <v>17651</v>
      </c>
      <c r="AP466" s="30" t="s">
        <v>17652</v>
      </c>
      <c r="AQ466" s="30" t="s">
        <v>17653</v>
      </c>
      <c r="AR466" s="30" t="s">
        <v>1024</v>
      </c>
      <c r="AS466" s="30">
        <v>1</v>
      </c>
    </row>
    <row r="467" spans="1:45" x14ac:dyDescent="0.25">
      <c r="A467" s="30" t="s">
        <v>26089</v>
      </c>
      <c r="B467" s="30" t="s">
        <v>26305</v>
      </c>
      <c r="C467" s="30" t="s">
        <v>26180</v>
      </c>
      <c r="D467" s="139" t="s">
        <v>26079</v>
      </c>
      <c r="E467" s="30" t="s">
        <v>217</v>
      </c>
      <c r="F467" s="30">
        <v>1</v>
      </c>
      <c r="G467" s="30" t="s">
        <v>193</v>
      </c>
      <c r="H467" s="30" t="s">
        <v>194</v>
      </c>
      <c r="I467" s="30" t="s">
        <v>27260</v>
      </c>
      <c r="J467" s="30" t="s">
        <v>4751</v>
      </c>
      <c r="K467" s="30" t="s">
        <v>9309</v>
      </c>
      <c r="L467" s="30" t="s">
        <v>6955</v>
      </c>
      <c r="M467" s="30"/>
      <c r="N467" s="30" t="s">
        <v>26306</v>
      </c>
      <c r="O467" s="30" t="s">
        <v>7120</v>
      </c>
      <c r="P467" s="30" t="s">
        <v>27475</v>
      </c>
      <c r="Q467" s="30" t="s">
        <v>26092</v>
      </c>
      <c r="R467" s="30" t="s">
        <v>26093</v>
      </c>
      <c r="S467" s="30" t="s">
        <v>27504</v>
      </c>
      <c r="T467" s="30" t="s">
        <v>27505</v>
      </c>
      <c r="U467" s="30"/>
      <c r="V467" s="139" t="s">
        <v>9472</v>
      </c>
      <c r="W467" s="30" t="s">
        <v>26186</v>
      </c>
      <c r="X467" s="30" t="s">
        <v>194</v>
      </c>
      <c r="Y467" s="30" t="s">
        <v>9300</v>
      </c>
      <c r="Z467" s="30"/>
      <c r="AA467" s="30"/>
      <c r="AB467" s="30" t="s">
        <v>9311</v>
      </c>
      <c r="AC467" s="30"/>
      <c r="AD467" s="30"/>
      <c r="AE467" s="30"/>
      <c r="AF467" s="30"/>
      <c r="AG467" s="30"/>
      <c r="AH467" s="30" t="s">
        <v>4714</v>
      </c>
      <c r="AI467" s="30" t="s">
        <v>9433</v>
      </c>
      <c r="AJ467" s="641" t="str">
        <f t="shared" si="14"/>
        <v>421108</v>
      </c>
      <c r="AK467" s="641">
        <v>1</v>
      </c>
      <c r="AL467" s="641">
        <f t="shared" si="15"/>
        <v>1</v>
      </c>
      <c r="AM467" s="641">
        <v>1</v>
      </c>
      <c r="AN467" s="30" t="s">
        <v>17650</v>
      </c>
      <c r="AO467" s="30" t="s">
        <v>17651</v>
      </c>
      <c r="AP467" s="30" t="s">
        <v>17652</v>
      </c>
      <c r="AQ467" s="30" t="s">
        <v>17653</v>
      </c>
      <c r="AR467" s="30" t="s">
        <v>1024</v>
      </c>
      <c r="AS467" s="30">
        <v>1</v>
      </c>
    </row>
    <row r="468" spans="1:45" x14ac:dyDescent="0.25">
      <c r="A468" s="30" t="s">
        <v>716</v>
      </c>
      <c r="B468" s="30" t="s">
        <v>26282</v>
      </c>
      <c r="C468" s="30" t="s">
        <v>27290</v>
      </c>
      <c r="D468" s="139" t="s">
        <v>26079</v>
      </c>
      <c r="E468" s="30" t="s">
        <v>217</v>
      </c>
      <c r="F468" s="30">
        <v>1</v>
      </c>
      <c r="G468" s="30" t="s">
        <v>193</v>
      </c>
      <c r="H468" s="30" t="s">
        <v>194</v>
      </c>
      <c r="I468" s="30" t="s">
        <v>27277</v>
      </c>
      <c r="J468" s="30" t="s">
        <v>210</v>
      </c>
      <c r="K468" s="30" t="s">
        <v>9309</v>
      </c>
      <c r="L468" s="30" t="s">
        <v>6955</v>
      </c>
      <c r="M468" s="30"/>
      <c r="N468" s="30" t="s">
        <v>27170</v>
      </c>
      <c r="O468" s="30" t="s">
        <v>6261</v>
      </c>
      <c r="P468" s="30" t="s">
        <v>27475</v>
      </c>
      <c r="Q468" s="30" t="s">
        <v>26881</v>
      </c>
      <c r="R468" s="30" t="s">
        <v>26882</v>
      </c>
      <c r="S468" s="30" t="s">
        <v>27506</v>
      </c>
      <c r="T468" s="30" t="s">
        <v>27507</v>
      </c>
      <c r="U468" s="30"/>
      <c r="V468" s="139" t="s">
        <v>9334</v>
      </c>
      <c r="W468" s="30" t="s">
        <v>27293</v>
      </c>
      <c r="X468" s="30" t="s">
        <v>194</v>
      </c>
      <c r="Y468" s="30" t="s">
        <v>9300</v>
      </c>
      <c r="Z468" s="30"/>
      <c r="AA468" s="30"/>
      <c r="AB468" s="30" t="s">
        <v>9311</v>
      </c>
      <c r="AC468" s="30"/>
      <c r="AD468" s="30"/>
      <c r="AE468" s="30"/>
      <c r="AF468" s="30"/>
      <c r="AG468" s="30"/>
      <c r="AH468" s="30" t="s">
        <v>4714</v>
      </c>
      <c r="AI468" s="30" t="s">
        <v>9433</v>
      </c>
      <c r="AJ468" s="641" t="str">
        <f t="shared" si="14"/>
        <v>352290</v>
      </c>
      <c r="AK468" s="641">
        <v>1</v>
      </c>
      <c r="AL468" s="641">
        <f t="shared" si="15"/>
        <v>1</v>
      </c>
      <c r="AM468" s="641">
        <v>1</v>
      </c>
      <c r="AN468" s="30" t="s">
        <v>17650</v>
      </c>
      <c r="AO468" s="30" t="s">
        <v>17651</v>
      </c>
      <c r="AP468" s="30" t="s">
        <v>17652</v>
      </c>
      <c r="AQ468" s="30" t="s">
        <v>17653</v>
      </c>
      <c r="AR468" s="30" t="s">
        <v>1024</v>
      </c>
      <c r="AS468" s="30">
        <v>1</v>
      </c>
    </row>
    <row r="469" spans="1:45" x14ac:dyDescent="0.25">
      <c r="A469" s="30" t="s">
        <v>26089</v>
      </c>
      <c r="B469" s="30" t="s">
        <v>26616</v>
      </c>
      <c r="C469" s="30" t="s">
        <v>26180</v>
      </c>
      <c r="D469" s="139" t="s">
        <v>26079</v>
      </c>
      <c r="E469" s="30" t="s">
        <v>217</v>
      </c>
      <c r="F469" s="30">
        <v>1</v>
      </c>
      <c r="G469" s="30" t="s">
        <v>193</v>
      </c>
      <c r="H469" s="30" t="s">
        <v>194</v>
      </c>
      <c r="I469" s="30" t="s">
        <v>27277</v>
      </c>
      <c r="J469" s="30" t="s">
        <v>210</v>
      </c>
      <c r="K469" s="30" t="s">
        <v>9309</v>
      </c>
      <c r="L469" s="30" t="s">
        <v>6955</v>
      </c>
      <c r="M469" s="30"/>
      <c r="N469" s="30" t="s">
        <v>27508</v>
      </c>
      <c r="O469" s="30" t="s">
        <v>6251</v>
      </c>
      <c r="P469" s="30" t="s">
        <v>27475</v>
      </c>
      <c r="Q469" s="30" t="s">
        <v>25893</v>
      </c>
      <c r="R469" s="30" t="s">
        <v>27300</v>
      </c>
      <c r="S469" s="30" t="s">
        <v>27509</v>
      </c>
      <c r="T469" s="30" t="s">
        <v>27510</v>
      </c>
      <c r="U469" s="30"/>
      <c r="V469" s="139" t="s">
        <v>9334</v>
      </c>
      <c r="W469" s="30" t="s">
        <v>26186</v>
      </c>
      <c r="X469" s="30" t="s">
        <v>194</v>
      </c>
      <c r="Y469" s="30" t="s">
        <v>9300</v>
      </c>
      <c r="Z469" s="30"/>
      <c r="AA469" s="30"/>
      <c r="AB469" s="30" t="s">
        <v>9311</v>
      </c>
      <c r="AC469" s="30"/>
      <c r="AD469" s="30"/>
      <c r="AE469" s="30"/>
      <c r="AF469" s="30"/>
      <c r="AG469" s="30"/>
      <c r="AH469" s="30" t="s">
        <v>4714</v>
      </c>
      <c r="AI469" s="30" t="s">
        <v>9433</v>
      </c>
      <c r="AJ469" s="641" t="str">
        <f t="shared" si="14"/>
        <v>421108</v>
      </c>
      <c r="AK469" s="641">
        <v>1</v>
      </c>
      <c r="AL469" s="641">
        <f t="shared" si="15"/>
        <v>1</v>
      </c>
      <c r="AM469" s="641">
        <v>1</v>
      </c>
      <c r="AN469" s="30" t="s">
        <v>17650</v>
      </c>
      <c r="AO469" s="30" t="s">
        <v>17651</v>
      </c>
      <c r="AP469" s="30" t="s">
        <v>17652</v>
      </c>
      <c r="AQ469" s="30" t="s">
        <v>17653</v>
      </c>
      <c r="AR469" s="30" t="s">
        <v>1024</v>
      </c>
      <c r="AS469" s="30">
        <v>1</v>
      </c>
    </row>
    <row r="470" spans="1:45" x14ac:dyDescent="0.25">
      <c r="A470" s="30" t="s">
        <v>716</v>
      </c>
      <c r="B470" s="30" t="s">
        <v>26635</v>
      </c>
      <c r="C470" s="30" t="s">
        <v>706</v>
      </c>
      <c r="D470" s="139" t="s">
        <v>26079</v>
      </c>
      <c r="E470" s="30" t="s">
        <v>217</v>
      </c>
      <c r="F470" s="30">
        <v>1</v>
      </c>
      <c r="G470" s="30" t="s">
        <v>193</v>
      </c>
      <c r="H470" s="30" t="s">
        <v>194</v>
      </c>
      <c r="I470" s="30" t="s">
        <v>27277</v>
      </c>
      <c r="J470" s="30" t="s">
        <v>210</v>
      </c>
      <c r="K470" s="30" t="s">
        <v>9309</v>
      </c>
      <c r="L470" s="30" t="s">
        <v>6955</v>
      </c>
      <c r="M470" s="30"/>
      <c r="N470" s="30" t="s">
        <v>27511</v>
      </c>
      <c r="O470" s="30" t="s">
        <v>6251</v>
      </c>
      <c r="P470" s="30" t="s">
        <v>27475</v>
      </c>
      <c r="Q470" s="30" t="s">
        <v>25893</v>
      </c>
      <c r="R470" s="30" t="s">
        <v>27300</v>
      </c>
      <c r="S470" s="30" t="s">
        <v>27512</v>
      </c>
      <c r="T470" s="30" t="s">
        <v>27513</v>
      </c>
      <c r="U470" s="30"/>
      <c r="V470" s="139" t="s">
        <v>9334</v>
      </c>
      <c r="W470" s="30" t="s">
        <v>707</v>
      </c>
      <c r="X470" s="30" t="s">
        <v>194</v>
      </c>
      <c r="Y470" s="30" t="s">
        <v>9300</v>
      </c>
      <c r="Z470" s="30"/>
      <c r="AA470" s="30"/>
      <c r="AB470" s="30" t="s">
        <v>9311</v>
      </c>
      <c r="AC470" s="30"/>
      <c r="AD470" s="30"/>
      <c r="AE470" s="30"/>
      <c r="AF470" s="30"/>
      <c r="AG470" s="30"/>
      <c r="AH470" s="30" t="s">
        <v>4714</v>
      </c>
      <c r="AI470" s="30" t="s">
        <v>9433</v>
      </c>
      <c r="AJ470" s="641" t="str">
        <f t="shared" si="14"/>
        <v>422201</v>
      </c>
      <c r="AK470" s="641">
        <v>1</v>
      </c>
      <c r="AL470" s="641">
        <f t="shared" si="15"/>
        <v>1</v>
      </c>
      <c r="AM470" s="641">
        <v>1</v>
      </c>
      <c r="AN470" s="30" t="s">
        <v>17650</v>
      </c>
      <c r="AO470" s="30" t="s">
        <v>17651</v>
      </c>
      <c r="AP470" s="30" t="s">
        <v>17652</v>
      </c>
      <c r="AQ470" s="30" t="s">
        <v>17653</v>
      </c>
      <c r="AR470" s="30" t="s">
        <v>1024</v>
      </c>
      <c r="AS470" s="30">
        <v>1</v>
      </c>
    </row>
    <row r="471" spans="1:45" x14ac:dyDescent="0.25">
      <c r="A471" s="30" t="s">
        <v>26193</v>
      </c>
      <c r="B471" s="30" t="s">
        <v>26194</v>
      </c>
      <c r="C471" s="30" t="s">
        <v>227</v>
      </c>
      <c r="D471" s="139" t="s">
        <v>26079</v>
      </c>
      <c r="E471" s="30" t="s">
        <v>217</v>
      </c>
      <c r="F471" s="30">
        <v>1</v>
      </c>
      <c r="G471" s="30" t="s">
        <v>193</v>
      </c>
      <c r="H471" s="30" t="s">
        <v>194</v>
      </c>
      <c r="I471" s="30" t="s">
        <v>27277</v>
      </c>
      <c r="J471" s="30" t="s">
        <v>408</v>
      </c>
      <c r="K471" s="30" t="s">
        <v>9309</v>
      </c>
      <c r="L471" s="30" t="s">
        <v>6955</v>
      </c>
      <c r="M471" s="30"/>
      <c r="N471" s="30" t="s">
        <v>27514</v>
      </c>
      <c r="O471" s="30" t="s">
        <v>6277</v>
      </c>
      <c r="P471" s="30" t="s">
        <v>27475</v>
      </c>
      <c r="Q471" s="30" t="s">
        <v>26109</v>
      </c>
      <c r="R471" s="30" t="s">
        <v>27328</v>
      </c>
      <c r="S471" s="30" t="s">
        <v>27515</v>
      </c>
      <c r="T471" s="30" t="s">
        <v>27516</v>
      </c>
      <c r="U471" s="30"/>
      <c r="V471" s="139" t="s">
        <v>9479</v>
      </c>
      <c r="W471" s="30" t="s">
        <v>229</v>
      </c>
      <c r="X471" s="30" t="s">
        <v>194</v>
      </c>
      <c r="Y471" s="30" t="s">
        <v>9300</v>
      </c>
      <c r="Z471" s="30"/>
      <c r="AA471" s="30"/>
      <c r="AB471" s="30" t="s">
        <v>9311</v>
      </c>
      <c r="AC471" s="30"/>
      <c r="AD471" s="30"/>
      <c r="AE471" s="30"/>
      <c r="AF471" s="30"/>
      <c r="AG471" s="30"/>
      <c r="AH471" s="30" t="s">
        <v>4714</v>
      </c>
      <c r="AI471" s="30" t="s">
        <v>9433</v>
      </c>
      <c r="AJ471" s="641" t="str">
        <f t="shared" si="14"/>
        <v>132401</v>
      </c>
      <c r="AK471" s="641">
        <v>1</v>
      </c>
      <c r="AL471" s="641">
        <f t="shared" si="15"/>
        <v>1</v>
      </c>
      <c r="AM471" s="641">
        <v>1</v>
      </c>
      <c r="AN471" s="30" t="s">
        <v>17650</v>
      </c>
      <c r="AO471" s="30" t="s">
        <v>17651</v>
      </c>
      <c r="AP471" s="30" t="s">
        <v>17652</v>
      </c>
      <c r="AQ471" s="30" t="s">
        <v>17653</v>
      </c>
      <c r="AR471" s="30" t="s">
        <v>1024</v>
      </c>
      <c r="AS471" s="30">
        <v>1</v>
      </c>
    </row>
    <row r="472" spans="1:45" x14ac:dyDescent="0.25">
      <c r="A472" s="30" t="s">
        <v>26089</v>
      </c>
      <c r="B472" s="30" t="s">
        <v>27143</v>
      </c>
      <c r="C472" s="30" t="s">
        <v>444</v>
      </c>
      <c r="D472" s="139" t="s">
        <v>26079</v>
      </c>
      <c r="E472" s="30" t="s">
        <v>217</v>
      </c>
      <c r="F472" s="30">
        <v>1</v>
      </c>
      <c r="G472" s="30" t="s">
        <v>193</v>
      </c>
      <c r="H472" s="30" t="s">
        <v>194</v>
      </c>
      <c r="I472" s="30" t="s">
        <v>27253</v>
      </c>
      <c r="J472" s="30" t="s">
        <v>210</v>
      </c>
      <c r="K472" s="30" t="s">
        <v>9309</v>
      </c>
      <c r="L472" s="30" t="s">
        <v>6955</v>
      </c>
      <c r="M472" s="30"/>
      <c r="N472" s="30" t="s">
        <v>27517</v>
      </c>
      <c r="O472" s="30" t="s">
        <v>6261</v>
      </c>
      <c r="P472" s="30" t="s">
        <v>27475</v>
      </c>
      <c r="Q472" s="30" t="s">
        <v>26139</v>
      </c>
      <c r="R472" s="30" t="s">
        <v>27256</v>
      </c>
      <c r="S472" s="30" t="s">
        <v>27518</v>
      </c>
      <c r="T472" s="30" t="s">
        <v>27519</v>
      </c>
      <c r="U472" s="30"/>
      <c r="V472" s="139" t="s">
        <v>9334</v>
      </c>
      <c r="W472" s="30" t="s">
        <v>445</v>
      </c>
      <c r="X472" s="30" t="s">
        <v>194</v>
      </c>
      <c r="Y472" s="30" t="s">
        <v>9300</v>
      </c>
      <c r="Z472" s="30"/>
      <c r="AA472" s="30"/>
      <c r="AB472" s="30" t="s">
        <v>9311</v>
      </c>
      <c r="AC472" s="30"/>
      <c r="AD472" s="30"/>
      <c r="AE472" s="30"/>
      <c r="AF472" s="30"/>
      <c r="AG472" s="30"/>
      <c r="AH472" s="30" t="s">
        <v>4714</v>
      </c>
      <c r="AI472" s="30" t="s">
        <v>9433</v>
      </c>
      <c r="AJ472" s="641" t="str">
        <f t="shared" si="14"/>
        <v>243103</v>
      </c>
      <c r="AK472" s="641">
        <v>1</v>
      </c>
      <c r="AL472" s="641">
        <f t="shared" si="15"/>
        <v>1</v>
      </c>
      <c r="AM472" s="641">
        <v>1</v>
      </c>
      <c r="AN472" s="30" t="s">
        <v>17650</v>
      </c>
      <c r="AO472" s="30" t="s">
        <v>17651</v>
      </c>
      <c r="AP472" s="30" t="s">
        <v>17652</v>
      </c>
      <c r="AQ472" s="30" t="s">
        <v>17653</v>
      </c>
      <c r="AR472" s="30" t="s">
        <v>1024</v>
      </c>
      <c r="AS472" s="30">
        <v>1</v>
      </c>
    </row>
    <row r="473" spans="1:45" x14ac:dyDescent="0.25">
      <c r="A473" s="30" t="s">
        <v>716</v>
      </c>
      <c r="B473" s="30" t="s">
        <v>26645</v>
      </c>
      <c r="C473" s="30" t="s">
        <v>706</v>
      </c>
      <c r="D473" s="139" t="s">
        <v>26079</v>
      </c>
      <c r="E473" s="30" t="s">
        <v>217</v>
      </c>
      <c r="F473" s="30">
        <v>1</v>
      </c>
      <c r="G473" s="30" t="s">
        <v>193</v>
      </c>
      <c r="H473" s="30" t="s">
        <v>194</v>
      </c>
      <c r="I473" s="30" t="s">
        <v>27260</v>
      </c>
      <c r="J473" s="30" t="s">
        <v>210</v>
      </c>
      <c r="K473" s="30" t="s">
        <v>9309</v>
      </c>
      <c r="L473" s="30" t="s">
        <v>6955</v>
      </c>
      <c r="M473" s="30"/>
      <c r="N473" s="30" t="s">
        <v>26646</v>
      </c>
      <c r="O473" s="30" t="s">
        <v>6286</v>
      </c>
      <c r="P473" s="30" t="s">
        <v>27475</v>
      </c>
      <c r="Q473" s="30" t="s">
        <v>26261</v>
      </c>
      <c r="R473" s="30" t="s">
        <v>26262</v>
      </c>
      <c r="S473" s="30" t="s">
        <v>27520</v>
      </c>
      <c r="T473" s="30" t="s">
        <v>27521</v>
      </c>
      <c r="U473" s="30"/>
      <c r="V473" s="139" t="s">
        <v>9334</v>
      </c>
      <c r="W473" s="30" t="s">
        <v>707</v>
      </c>
      <c r="X473" s="30" t="s">
        <v>194</v>
      </c>
      <c r="Y473" s="30" t="s">
        <v>9300</v>
      </c>
      <c r="Z473" s="30"/>
      <c r="AA473" s="30"/>
      <c r="AB473" s="30" t="s">
        <v>9311</v>
      </c>
      <c r="AC473" s="30"/>
      <c r="AD473" s="30"/>
      <c r="AE473" s="30"/>
      <c r="AF473" s="30"/>
      <c r="AG473" s="30"/>
      <c r="AH473" s="30" t="s">
        <v>4714</v>
      </c>
      <c r="AI473" s="30" t="s">
        <v>9433</v>
      </c>
      <c r="AJ473" s="641" t="str">
        <f t="shared" si="14"/>
        <v>422201</v>
      </c>
      <c r="AK473" s="641">
        <v>1</v>
      </c>
      <c r="AL473" s="641">
        <f t="shared" si="15"/>
        <v>1</v>
      </c>
      <c r="AM473" s="641">
        <v>1</v>
      </c>
      <c r="AN473" s="30" t="s">
        <v>17650</v>
      </c>
      <c r="AO473" s="30" t="s">
        <v>17651</v>
      </c>
      <c r="AP473" s="30" t="s">
        <v>17652</v>
      </c>
      <c r="AQ473" s="30" t="s">
        <v>17653</v>
      </c>
      <c r="AR473" s="30" t="s">
        <v>1024</v>
      </c>
      <c r="AS473" s="30">
        <v>1</v>
      </c>
    </row>
    <row r="474" spans="1:45" x14ac:dyDescent="0.25">
      <c r="A474" s="30" t="s">
        <v>716</v>
      </c>
      <c r="B474" s="30" t="s">
        <v>26282</v>
      </c>
      <c r="C474" s="30" t="s">
        <v>27290</v>
      </c>
      <c r="D474" s="139" t="s">
        <v>26079</v>
      </c>
      <c r="E474" s="30" t="s">
        <v>217</v>
      </c>
      <c r="F474" s="30">
        <v>1</v>
      </c>
      <c r="G474" s="30" t="s">
        <v>193</v>
      </c>
      <c r="H474" s="30" t="s">
        <v>194</v>
      </c>
      <c r="I474" s="30" t="s">
        <v>27277</v>
      </c>
      <c r="J474" s="30" t="s">
        <v>210</v>
      </c>
      <c r="K474" s="30" t="s">
        <v>9309</v>
      </c>
      <c r="L474" s="30" t="s">
        <v>6955</v>
      </c>
      <c r="M474" s="30"/>
      <c r="N474" s="30" t="s">
        <v>26481</v>
      </c>
      <c r="O474" s="30" t="s">
        <v>6290</v>
      </c>
      <c r="P474" s="30" t="s">
        <v>27475</v>
      </c>
      <c r="Q474" s="30" t="s">
        <v>26201</v>
      </c>
      <c r="R474" s="30" t="s">
        <v>24556</v>
      </c>
      <c r="S474" s="30" t="s">
        <v>27522</v>
      </c>
      <c r="T474" s="30" t="s">
        <v>27523</v>
      </c>
      <c r="U474" s="30"/>
      <c r="V474" s="139" t="s">
        <v>9334</v>
      </c>
      <c r="W474" s="30" t="s">
        <v>27293</v>
      </c>
      <c r="X474" s="30" t="s">
        <v>194</v>
      </c>
      <c r="Y474" s="30" t="s">
        <v>9300</v>
      </c>
      <c r="Z474" s="30"/>
      <c r="AA474" s="30"/>
      <c r="AB474" s="30" t="s">
        <v>9311</v>
      </c>
      <c r="AC474" s="30"/>
      <c r="AD474" s="30"/>
      <c r="AE474" s="30"/>
      <c r="AF474" s="30"/>
      <c r="AG474" s="30"/>
      <c r="AH474" s="30" t="s">
        <v>4714</v>
      </c>
      <c r="AI474" s="30" t="s">
        <v>9433</v>
      </c>
      <c r="AJ474" s="641" t="str">
        <f t="shared" si="14"/>
        <v>352290</v>
      </c>
      <c r="AK474" s="641">
        <v>1</v>
      </c>
      <c r="AL474" s="641">
        <f t="shared" si="15"/>
        <v>1</v>
      </c>
      <c r="AM474" s="641">
        <v>1</v>
      </c>
      <c r="AN474" s="30" t="s">
        <v>17650</v>
      </c>
      <c r="AO474" s="30" t="s">
        <v>17651</v>
      </c>
      <c r="AP474" s="30" t="s">
        <v>17652</v>
      </c>
      <c r="AQ474" s="30" t="s">
        <v>17653</v>
      </c>
      <c r="AR474" s="30" t="s">
        <v>1024</v>
      </c>
      <c r="AS474" s="30">
        <v>1</v>
      </c>
    </row>
    <row r="475" spans="1:45" x14ac:dyDescent="0.25">
      <c r="A475" s="30" t="s">
        <v>15464</v>
      </c>
      <c r="B475" s="30" t="s">
        <v>22217</v>
      </c>
      <c r="C475" s="30" t="s">
        <v>468</v>
      </c>
      <c r="D475" s="139" t="s">
        <v>26079</v>
      </c>
      <c r="E475" s="30" t="s">
        <v>217</v>
      </c>
      <c r="F475" s="30">
        <v>1</v>
      </c>
      <c r="G475" s="30" t="s">
        <v>193</v>
      </c>
      <c r="H475" s="30" t="s">
        <v>194</v>
      </c>
      <c r="I475" s="30" t="s">
        <v>27253</v>
      </c>
      <c r="J475" s="30" t="s">
        <v>210</v>
      </c>
      <c r="K475" s="30" t="s">
        <v>9309</v>
      </c>
      <c r="L475" s="30" t="s">
        <v>6955</v>
      </c>
      <c r="M475" s="30"/>
      <c r="N475" s="30" t="s">
        <v>22238</v>
      </c>
      <c r="O475" s="30" t="s">
        <v>6251</v>
      </c>
      <c r="P475" s="30" t="s">
        <v>27311</v>
      </c>
      <c r="Q475" s="30" t="s">
        <v>26027</v>
      </c>
      <c r="R475" s="30" t="s">
        <v>27312</v>
      </c>
      <c r="S475" s="30" t="s">
        <v>27524</v>
      </c>
      <c r="T475" s="30" t="s">
        <v>27525</v>
      </c>
      <c r="U475" s="30"/>
      <c r="V475" s="139" t="s">
        <v>9334</v>
      </c>
      <c r="W475" s="30" t="s">
        <v>469</v>
      </c>
      <c r="X475" s="30" t="s">
        <v>194</v>
      </c>
      <c r="Y475" s="30" t="s">
        <v>9300</v>
      </c>
      <c r="Z475" s="30"/>
      <c r="AA475" s="30"/>
      <c r="AB475" s="30" t="s">
        <v>9311</v>
      </c>
      <c r="AC475" s="30"/>
      <c r="AD475" s="30"/>
      <c r="AE475" s="30"/>
      <c r="AF475" s="30"/>
      <c r="AG475" s="30"/>
      <c r="AH475" s="30" t="s">
        <v>4714</v>
      </c>
      <c r="AI475" s="30" t="s">
        <v>9433</v>
      </c>
      <c r="AJ475" s="641" t="str">
        <f t="shared" si="14"/>
        <v>243303</v>
      </c>
      <c r="AK475" s="641">
        <v>1</v>
      </c>
      <c r="AL475" s="641">
        <f t="shared" si="15"/>
        <v>1</v>
      </c>
      <c r="AM475" s="641">
        <v>1</v>
      </c>
      <c r="AN475" s="30" t="s">
        <v>17650</v>
      </c>
      <c r="AO475" s="30" t="s">
        <v>17651</v>
      </c>
      <c r="AP475" s="30" t="s">
        <v>17652</v>
      </c>
      <c r="AQ475" s="30" t="s">
        <v>17653</v>
      </c>
      <c r="AR475" s="30" t="s">
        <v>1024</v>
      </c>
      <c r="AS475" s="30">
        <v>1</v>
      </c>
    </row>
    <row r="476" spans="1:45" x14ac:dyDescent="0.25">
      <c r="A476" s="30" t="s">
        <v>27978</v>
      </c>
      <c r="B476" s="30" t="s">
        <v>27526</v>
      </c>
      <c r="C476" s="30" t="s">
        <v>62</v>
      </c>
      <c r="D476" s="139" t="s">
        <v>26079</v>
      </c>
      <c r="E476" s="30" t="s">
        <v>217</v>
      </c>
      <c r="F476" s="30">
        <v>1</v>
      </c>
      <c r="G476" s="30" t="s">
        <v>193</v>
      </c>
      <c r="H476" s="30" t="s">
        <v>194</v>
      </c>
      <c r="I476" s="30" t="s">
        <v>27253</v>
      </c>
      <c r="J476" s="30" t="s">
        <v>253</v>
      </c>
      <c r="K476" s="30" t="s">
        <v>9309</v>
      </c>
      <c r="L476" s="30" t="s">
        <v>6955</v>
      </c>
      <c r="M476" s="30"/>
      <c r="N476" s="30" t="s">
        <v>27527</v>
      </c>
      <c r="O476" s="30" t="s">
        <v>6363</v>
      </c>
      <c r="P476" s="30" t="s">
        <v>27475</v>
      </c>
      <c r="Q476" s="30" t="s">
        <v>26139</v>
      </c>
      <c r="R476" s="30" t="s">
        <v>27256</v>
      </c>
      <c r="S476" s="30" t="s">
        <v>27528</v>
      </c>
      <c r="T476" s="30" t="s">
        <v>27529</v>
      </c>
      <c r="U476" s="30"/>
      <c r="V476" s="139" t="s">
        <v>9468</v>
      </c>
      <c r="W476" s="30" t="s">
        <v>601</v>
      </c>
      <c r="X476" s="30" t="s">
        <v>194</v>
      </c>
      <c r="Y476" s="30" t="s">
        <v>9300</v>
      </c>
      <c r="Z476" s="30"/>
      <c r="AA476" s="30"/>
      <c r="AB476" s="30" t="s">
        <v>9311</v>
      </c>
      <c r="AC476" s="30"/>
      <c r="AD476" s="30"/>
      <c r="AE476" s="30"/>
      <c r="AF476" s="30"/>
      <c r="AG476" s="30"/>
      <c r="AH476" s="30" t="s">
        <v>4714</v>
      </c>
      <c r="AI476" s="30" t="s">
        <v>9433</v>
      </c>
      <c r="AJ476" s="641" t="str">
        <f t="shared" si="14"/>
        <v>313904</v>
      </c>
      <c r="AK476" s="641">
        <v>1</v>
      </c>
      <c r="AL476" s="641">
        <f t="shared" si="15"/>
        <v>1</v>
      </c>
      <c r="AM476" s="641">
        <v>1</v>
      </c>
      <c r="AN476" s="30" t="s">
        <v>17650</v>
      </c>
      <c r="AO476" s="30" t="s">
        <v>17651</v>
      </c>
      <c r="AP476" s="30" t="s">
        <v>17652</v>
      </c>
      <c r="AQ476" s="30" t="s">
        <v>17653</v>
      </c>
      <c r="AR476" s="30" t="s">
        <v>1024</v>
      </c>
      <c r="AS476" s="30">
        <v>1</v>
      </c>
    </row>
    <row r="477" spans="1:45" x14ac:dyDescent="0.25">
      <c r="A477" s="30" t="s">
        <v>716</v>
      </c>
      <c r="B477" s="30" t="s">
        <v>26342</v>
      </c>
      <c r="C477" s="30" t="s">
        <v>27290</v>
      </c>
      <c r="D477" s="139" t="s">
        <v>26079</v>
      </c>
      <c r="E477" s="30" t="s">
        <v>217</v>
      </c>
      <c r="F477" s="30">
        <v>1</v>
      </c>
      <c r="G477" s="30" t="s">
        <v>193</v>
      </c>
      <c r="H477" s="30" t="s">
        <v>194</v>
      </c>
      <c r="I477" s="30" t="s">
        <v>27277</v>
      </c>
      <c r="J477" s="30" t="s">
        <v>210</v>
      </c>
      <c r="K477" s="30" t="s">
        <v>9309</v>
      </c>
      <c r="L477" s="30" t="s">
        <v>6955</v>
      </c>
      <c r="M477" s="30"/>
      <c r="N477" s="30" t="s">
        <v>27163</v>
      </c>
      <c r="O477" s="30" t="s">
        <v>6261</v>
      </c>
      <c r="P477" s="30" t="s">
        <v>27475</v>
      </c>
      <c r="Q477" s="30" t="s">
        <v>26881</v>
      </c>
      <c r="R477" s="30" t="s">
        <v>26882</v>
      </c>
      <c r="S477" s="30" t="s">
        <v>27530</v>
      </c>
      <c r="T477" s="30" t="s">
        <v>27531</v>
      </c>
      <c r="U477" s="30"/>
      <c r="V477" s="139" t="s">
        <v>9334</v>
      </c>
      <c r="W477" s="30" t="s">
        <v>27293</v>
      </c>
      <c r="X477" s="30" t="s">
        <v>194</v>
      </c>
      <c r="Y477" s="30" t="s">
        <v>9300</v>
      </c>
      <c r="Z477" s="30"/>
      <c r="AA477" s="30"/>
      <c r="AB477" s="30" t="s">
        <v>9311</v>
      </c>
      <c r="AC477" s="30"/>
      <c r="AD477" s="30"/>
      <c r="AE477" s="30"/>
      <c r="AF477" s="30"/>
      <c r="AG477" s="30"/>
      <c r="AH477" s="30" t="s">
        <v>4714</v>
      </c>
      <c r="AI477" s="30" t="s">
        <v>9433</v>
      </c>
      <c r="AJ477" s="641" t="str">
        <f t="shared" si="14"/>
        <v>352290</v>
      </c>
      <c r="AK477" s="641">
        <v>1</v>
      </c>
      <c r="AL477" s="641">
        <f t="shared" si="15"/>
        <v>1</v>
      </c>
      <c r="AM477" s="641">
        <v>1</v>
      </c>
      <c r="AN477" s="30" t="s">
        <v>17650</v>
      </c>
      <c r="AO477" s="30" t="s">
        <v>17651</v>
      </c>
      <c r="AP477" s="30" t="s">
        <v>17652</v>
      </c>
      <c r="AQ477" s="30" t="s">
        <v>17653</v>
      </c>
      <c r="AR477" s="30" t="s">
        <v>1024</v>
      </c>
      <c r="AS477" s="30">
        <v>1</v>
      </c>
    </row>
    <row r="478" spans="1:45" x14ac:dyDescent="0.25">
      <c r="A478" s="30" t="s">
        <v>23858</v>
      </c>
      <c r="B478" s="30" t="s">
        <v>26320</v>
      </c>
      <c r="C478" s="30" t="s">
        <v>110</v>
      </c>
      <c r="D478" s="139" t="s">
        <v>26079</v>
      </c>
      <c r="E478" s="30" t="s">
        <v>217</v>
      </c>
      <c r="F478" s="30">
        <v>1</v>
      </c>
      <c r="G478" s="30" t="s">
        <v>193</v>
      </c>
      <c r="H478" s="30" t="s">
        <v>194</v>
      </c>
      <c r="I478" s="30" t="s">
        <v>27277</v>
      </c>
      <c r="J478" s="30" t="s">
        <v>253</v>
      </c>
      <c r="K478" s="30" t="s">
        <v>9309</v>
      </c>
      <c r="L478" s="30" t="s">
        <v>6955</v>
      </c>
      <c r="M478" s="30"/>
      <c r="N478" s="30" t="s">
        <v>26321</v>
      </c>
      <c r="O478" s="30" t="s">
        <v>6251</v>
      </c>
      <c r="P478" s="30" t="s">
        <v>27475</v>
      </c>
      <c r="Q478" s="30" t="s">
        <v>26150</v>
      </c>
      <c r="R478" s="30" t="s">
        <v>23804</v>
      </c>
      <c r="S478" s="30" t="s">
        <v>27532</v>
      </c>
      <c r="T478" s="30" t="s">
        <v>27533</v>
      </c>
      <c r="U478" s="30"/>
      <c r="V478" s="139" t="s">
        <v>9468</v>
      </c>
      <c r="W478" s="30" t="s">
        <v>621</v>
      </c>
      <c r="X478" s="30" t="s">
        <v>194</v>
      </c>
      <c r="Y478" s="30" t="s">
        <v>9300</v>
      </c>
      <c r="Z478" s="30"/>
      <c r="AA478" s="30"/>
      <c r="AB478" s="30" t="s">
        <v>9311</v>
      </c>
      <c r="AC478" s="30"/>
      <c r="AD478" s="30"/>
      <c r="AE478" s="30"/>
      <c r="AF478" s="30"/>
      <c r="AG478" s="30"/>
      <c r="AH478" s="30" t="s">
        <v>4714</v>
      </c>
      <c r="AI478" s="30" t="s">
        <v>9433</v>
      </c>
      <c r="AJ478" s="641" t="str">
        <f t="shared" si="14"/>
        <v>332201</v>
      </c>
      <c r="AK478" s="641">
        <v>1</v>
      </c>
      <c r="AL478" s="641">
        <f t="shared" si="15"/>
        <v>1</v>
      </c>
      <c r="AM478" s="641">
        <v>1</v>
      </c>
      <c r="AN478" s="30" t="s">
        <v>17650</v>
      </c>
      <c r="AO478" s="30" t="s">
        <v>17651</v>
      </c>
      <c r="AP478" s="30" t="s">
        <v>17652</v>
      </c>
      <c r="AQ478" s="30" t="s">
        <v>17653</v>
      </c>
      <c r="AR478" s="30" t="s">
        <v>1024</v>
      </c>
      <c r="AS478" s="30">
        <v>1</v>
      </c>
    </row>
    <row r="479" spans="1:45" x14ac:dyDescent="0.25">
      <c r="A479" s="30" t="s">
        <v>26089</v>
      </c>
      <c r="B479" s="30" t="s">
        <v>26773</v>
      </c>
      <c r="C479" s="30" t="s">
        <v>8740</v>
      </c>
      <c r="D479" s="139" t="s">
        <v>26079</v>
      </c>
      <c r="E479" s="30" t="s">
        <v>217</v>
      </c>
      <c r="F479" s="30">
        <v>1</v>
      </c>
      <c r="G479" s="30" t="s">
        <v>193</v>
      </c>
      <c r="H479" s="30" t="s">
        <v>194</v>
      </c>
      <c r="I479" s="30" t="s">
        <v>27253</v>
      </c>
      <c r="J479" s="30" t="s">
        <v>210</v>
      </c>
      <c r="K479" s="30" t="s">
        <v>9309</v>
      </c>
      <c r="L479" s="30" t="s">
        <v>6955</v>
      </c>
      <c r="M479" s="30"/>
      <c r="N479" s="30" t="s">
        <v>26774</v>
      </c>
      <c r="O479" s="30" t="s">
        <v>6261</v>
      </c>
      <c r="P479" s="30" t="s">
        <v>27311</v>
      </c>
      <c r="Q479" s="30" t="s">
        <v>26189</v>
      </c>
      <c r="R479" s="30" t="s">
        <v>27312</v>
      </c>
      <c r="S479" s="30" t="s">
        <v>27534</v>
      </c>
      <c r="T479" s="30" t="s">
        <v>27535</v>
      </c>
      <c r="U479" s="30"/>
      <c r="V479" s="139" t="s">
        <v>9334</v>
      </c>
      <c r="W479" s="30" t="s">
        <v>8742</v>
      </c>
      <c r="X479" s="30" t="s">
        <v>194</v>
      </c>
      <c r="Y479" s="30" t="s">
        <v>9300</v>
      </c>
      <c r="Z479" s="30"/>
      <c r="AA479" s="30"/>
      <c r="AB479" s="30" t="s">
        <v>9311</v>
      </c>
      <c r="AC479" s="30"/>
      <c r="AD479" s="30"/>
      <c r="AE479" s="30"/>
      <c r="AF479" s="30"/>
      <c r="AG479" s="30"/>
      <c r="AH479" s="30" t="s">
        <v>4714</v>
      </c>
      <c r="AI479" s="30" t="s">
        <v>9433</v>
      </c>
      <c r="AJ479" s="641" t="str">
        <f t="shared" si="14"/>
        <v>251490</v>
      </c>
      <c r="AK479" s="641">
        <v>1</v>
      </c>
      <c r="AL479" s="641">
        <f t="shared" si="15"/>
        <v>1</v>
      </c>
      <c r="AM479" s="641">
        <v>1</v>
      </c>
      <c r="AN479" s="30" t="s">
        <v>17650</v>
      </c>
      <c r="AO479" s="30" t="s">
        <v>17651</v>
      </c>
      <c r="AP479" s="30" t="s">
        <v>17652</v>
      </c>
      <c r="AQ479" s="30" t="s">
        <v>17653</v>
      </c>
      <c r="AR479" s="30" t="s">
        <v>1024</v>
      </c>
      <c r="AS479" s="30">
        <v>1</v>
      </c>
    </row>
    <row r="480" spans="1:45" x14ac:dyDescent="0.25">
      <c r="A480" s="30" t="s">
        <v>26089</v>
      </c>
      <c r="B480" s="30" t="s">
        <v>26567</v>
      </c>
      <c r="C480" s="30" t="s">
        <v>1766</v>
      </c>
      <c r="D480" s="139" t="s">
        <v>26079</v>
      </c>
      <c r="E480" s="30" t="s">
        <v>217</v>
      </c>
      <c r="F480" s="30">
        <v>1</v>
      </c>
      <c r="G480" s="30" t="s">
        <v>193</v>
      </c>
      <c r="H480" s="30" t="s">
        <v>194</v>
      </c>
      <c r="I480" s="30" t="s">
        <v>27253</v>
      </c>
      <c r="J480" s="30" t="s">
        <v>210</v>
      </c>
      <c r="K480" s="30" t="s">
        <v>9309</v>
      </c>
      <c r="L480" s="30" t="s">
        <v>6955</v>
      </c>
      <c r="M480" s="30"/>
      <c r="N480" s="30" t="s">
        <v>26568</v>
      </c>
      <c r="O480" s="30" t="s">
        <v>6261</v>
      </c>
      <c r="P480" s="30" t="s">
        <v>27475</v>
      </c>
      <c r="Q480" s="30" t="s">
        <v>26261</v>
      </c>
      <c r="R480" s="30" t="s">
        <v>26262</v>
      </c>
      <c r="S480" s="30" t="s">
        <v>27536</v>
      </c>
      <c r="T480" s="30" t="s">
        <v>27537</v>
      </c>
      <c r="U480" s="30"/>
      <c r="V480" s="139" t="s">
        <v>9334</v>
      </c>
      <c r="W480" s="30" t="s">
        <v>1767</v>
      </c>
      <c r="X480" s="30" t="s">
        <v>194</v>
      </c>
      <c r="Y480" s="30" t="s">
        <v>9300</v>
      </c>
      <c r="Z480" s="30"/>
      <c r="AA480" s="30"/>
      <c r="AB480" s="30" t="s">
        <v>9311</v>
      </c>
      <c r="AC480" s="30"/>
      <c r="AD480" s="30"/>
      <c r="AE480" s="30"/>
      <c r="AF480" s="30"/>
      <c r="AG480" s="30"/>
      <c r="AH480" s="30" t="s">
        <v>4714</v>
      </c>
      <c r="AI480" s="30" t="s">
        <v>9433</v>
      </c>
      <c r="AJ480" s="641" t="str">
        <f t="shared" si="14"/>
        <v>242112</v>
      </c>
      <c r="AK480" s="641">
        <v>1</v>
      </c>
      <c r="AL480" s="641">
        <f t="shared" si="15"/>
        <v>1</v>
      </c>
      <c r="AM480" s="641">
        <v>1</v>
      </c>
      <c r="AN480" s="30" t="s">
        <v>17650</v>
      </c>
      <c r="AO480" s="30" t="s">
        <v>17651</v>
      </c>
      <c r="AP480" s="30" t="s">
        <v>17652</v>
      </c>
      <c r="AQ480" s="30" t="s">
        <v>17653</v>
      </c>
      <c r="AR480" s="30" t="s">
        <v>1024</v>
      </c>
      <c r="AS480" s="30">
        <v>1</v>
      </c>
    </row>
    <row r="481" spans="1:45" x14ac:dyDescent="0.25">
      <c r="A481" s="30" t="s">
        <v>26193</v>
      </c>
      <c r="B481" s="30" t="s">
        <v>26194</v>
      </c>
      <c r="C481" s="30" t="s">
        <v>227</v>
      </c>
      <c r="D481" s="139" t="s">
        <v>26079</v>
      </c>
      <c r="E481" s="30" t="s">
        <v>217</v>
      </c>
      <c r="F481" s="30">
        <v>1</v>
      </c>
      <c r="G481" s="30" t="s">
        <v>193</v>
      </c>
      <c r="H481" s="30" t="s">
        <v>194</v>
      </c>
      <c r="I481" s="30" t="s">
        <v>27277</v>
      </c>
      <c r="J481" s="30" t="s">
        <v>4751</v>
      </c>
      <c r="K481" s="30" t="s">
        <v>9309</v>
      </c>
      <c r="L481" s="30" t="s">
        <v>6955</v>
      </c>
      <c r="M481" s="30"/>
      <c r="N481" s="30" t="s">
        <v>27538</v>
      </c>
      <c r="O481" s="30" t="s">
        <v>6277</v>
      </c>
      <c r="P481" s="30" t="s">
        <v>27475</v>
      </c>
      <c r="Q481" s="30" t="s">
        <v>26109</v>
      </c>
      <c r="R481" s="30" t="s">
        <v>27328</v>
      </c>
      <c r="S481" s="30" t="s">
        <v>27539</v>
      </c>
      <c r="T481" s="30" t="s">
        <v>27540</v>
      </c>
      <c r="U481" s="30"/>
      <c r="V481" s="139" t="s">
        <v>9472</v>
      </c>
      <c r="W481" s="30" t="s">
        <v>229</v>
      </c>
      <c r="X481" s="30" t="s">
        <v>194</v>
      </c>
      <c r="Y481" s="30" t="s">
        <v>9300</v>
      </c>
      <c r="Z481" s="30"/>
      <c r="AA481" s="30"/>
      <c r="AB481" s="30" t="s">
        <v>9311</v>
      </c>
      <c r="AC481" s="30"/>
      <c r="AD481" s="30"/>
      <c r="AE481" s="30"/>
      <c r="AF481" s="30"/>
      <c r="AG481" s="30"/>
      <c r="AH481" s="30" t="s">
        <v>4714</v>
      </c>
      <c r="AI481" s="30" t="s">
        <v>9433</v>
      </c>
      <c r="AJ481" s="641" t="str">
        <f t="shared" si="14"/>
        <v>132401</v>
      </c>
      <c r="AK481" s="641">
        <v>1</v>
      </c>
      <c r="AL481" s="641">
        <f t="shared" si="15"/>
        <v>1</v>
      </c>
      <c r="AM481" s="641">
        <v>1</v>
      </c>
      <c r="AN481" s="30" t="s">
        <v>17650</v>
      </c>
      <c r="AO481" s="30" t="s">
        <v>17651</v>
      </c>
      <c r="AP481" s="30" t="s">
        <v>17652</v>
      </c>
      <c r="AQ481" s="30" t="s">
        <v>17653</v>
      </c>
      <c r="AR481" s="30" t="s">
        <v>1024</v>
      </c>
      <c r="AS481" s="30">
        <v>1</v>
      </c>
    </row>
    <row r="482" spans="1:45" x14ac:dyDescent="0.25">
      <c r="A482" s="30" t="s">
        <v>716</v>
      </c>
      <c r="B482" s="30" t="s">
        <v>26365</v>
      </c>
      <c r="C482" s="30" t="s">
        <v>706</v>
      </c>
      <c r="D482" s="139" t="s">
        <v>26079</v>
      </c>
      <c r="E482" s="30" t="s">
        <v>217</v>
      </c>
      <c r="F482" s="30">
        <v>1</v>
      </c>
      <c r="G482" s="30" t="s">
        <v>193</v>
      </c>
      <c r="H482" s="30" t="s">
        <v>194</v>
      </c>
      <c r="I482" s="30" t="s">
        <v>27260</v>
      </c>
      <c r="J482" s="30" t="s">
        <v>210</v>
      </c>
      <c r="K482" s="30" t="s">
        <v>9309</v>
      </c>
      <c r="L482" s="30" t="s">
        <v>6955</v>
      </c>
      <c r="M482" s="30"/>
      <c r="N482" s="30" t="s">
        <v>26366</v>
      </c>
      <c r="O482" s="30" t="s">
        <v>6251</v>
      </c>
      <c r="P482" s="30" t="s">
        <v>27311</v>
      </c>
      <c r="Q482" s="30" t="s">
        <v>26241</v>
      </c>
      <c r="R482" s="30" t="s">
        <v>27312</v>
      </c>
      <c r="S482" s="30" t="s">
        <v>27541</v>
      </c>
      <c r="T482" s="30" t="s">
        <v>27542</v>
      </c>
      <c r="U482" s="30"/>
      <c r="V482" s="139" t="s">
        <v>9334</v>
      </c>
      <c r="W482" s="30" t="s">
        <v>707</v>
      </c>
      <c r="X482" s="30" t="s">
        <v>194</v>
      </c>
      <c r="Y482" s="30" t="s">
        <v>9300</v>
      </c>
      <c r="Z482" s="30"/>
      <c r="AA482" s="30"/>
      <c r="AB482" s="30" t="s">
        <v>9311</v>
      </c>
      <c r="AC482" s="30"/>
      <c r="AD482" s="30"/>
      <c r="AE482" s="30"/>
      <c r="AF482" s="30"/>
      <c r="AG482" s="30"/>
      <c r="AH482" s="30" t="s">
        <v>4714</v>
      </c>
      <c r="AI482" s="30" t="s">
        <v>9433</v>
      </c>
      <c r="AJ482" s="641" t="str">
        <f t="shared" si="14"/>
        <v>422201</v>
      </c>
      <c r="AK482" s="641">
        <v>1</v>
      </c>
      <c r="AL482" s="641">
        <f t="shared" si="15"/>
        <v>1</v>
      </c>
      <c r="AM482" s="641">
        <v>1</v>
      </c>
      <c r="AN482" s="30" t="s">
        <v>17650</v>
      </c>
      <c r="AO482" s="30" t="s">
        <v>17651</v>
      </c>
      <c r="AP482" s="30" t="s">
        <v>17652</v>
      </c>
      <c r="AQ482" s="30" t="s">
        <v>17653</v>
      </c>
      <c r="AR482" s="30" t="s">
        <v>1024</v>
      </c>
      <c r="AS482" s="30">
        <v>1</v>
      </c>
    </row>
    <row r="483" spans="1:45" x14ac:dyDescent="0.25">
      <c r="A483" s="30" t="s">
        <v>26153</v>
      </c>
      <c r="B483" s="30" t="s">
        <v>26741</v>
      </c>
      <c r="C483" s="30" t="s">
        <v>8953</v>
      </c>
      <c r="D483" s="139" t="s">
        <v>26079</v>
      </c>
      <c r="E483" s="30" t="s">
        <v>217</v>
      </c>
      <c r="F483" s="30">
        <v>1</v>
      </c>
      <c r="G483" s="30" t="s">
        <v>193</v>
      </c>
      <c r="H483" s="30" t="s">
        <v>194</v>
      </c>
      <c r="I483" s="30" t="s">
        <v>27253</v>
      </c>
      <c r="J483" s="30" t="s">
        <v>210</v>
      </c>
      <c r="K483" s="30" t="s">
        <v>9309</v>
      </c>
      <c r="L483" s="30" t="s">
        <v>6955</v>
      </c>
      <c r="M483" s="30"/>
      <c r="N483" s="30" t="s">
        <v>26885</v>
      </c>
      <c r="O483" s="30" t="s">
        <v>6261</v>
      </c>
      <c r="P483" s="30" t="s">
        <v>27475</v>
      </c>
      <c r="Q483" s="30" t="s">
        <v>26056</v>
      </c>
      <c r="R483" s="30" t="s">
        <v>23128</v>
      </c>
      <c r="S483" s="30" t="s">
        <v>27543</v>
      </c>
      <c r="T483" s="30" t="s">
        <v>27544</v>
      </c>
      <c r="U483" s="30"/>
      <c r="V483" s="139" t="s">
        <v>9334</v>
      </c>
      <c r="W483" s="30" t="s">
        <v>8955</v>
      </c>
      <c r="X483" s="30" t="s">
        <v>194</v>
      </c>
      <c r="Y483" s="30" t="s">
        <v>9300</v>
      </c>
      <c r="Z483" s="30"/>
      <c r="AA483" s="30"/>
      <c r="AB483" s="30" t="s">
        <v>9311</v>
      </c>
      <c r="AC483" s="30"/>
      <c r="AD483" s="30"/>
      <c r="AE483" s="30"/>
      <c r="AF483" s="30"/>
      <c r="AG483" s="30"/>
      <c r="AH483" s="30" t="s">
        <v>4714</v>
      </c>
      <c r="AI483" s="30" t="s">
        <v>9433</v>
      </c>
      <c r="AJ483" s="641" t="str">
        <f t="shared" si="14"/>
        <v>252103</v>
      </c>
      <c r="AK483" s="641">
        <v>1</v>
      </c>
      <c r="AL483" s="641">
        <f t="shared" si="15"/>
        <v>1</v>
      </c>
      <c r="AM483" s="641">
        <v>1</v>
      </c>
      <c r="AN483" s="30" t="s">
        <v>17650</v>
      </c>
      <c r="AO483" s="30" t="s">
        <v>17651</v>
      </c>
      <c r="AP483" s="30" t="s">
        <v>17652</v>
      </c>
      <c r="AQ483" s="30" t="s">
        <v>17653</v>
      </c>
      <c r="AR483" s="30" t="s">
        <v>1024</v>
      </c>
      <c r="AS483" s="30">
        <v>1</v>
      </c>
    </row>
    <row r="484" spans="1:45" x14ac:dyDescent="0.25">
      <c r="A484" s="30" t="s">
        <v>26089</v>
      </c>
      <c r="B484" s="30" t="s">
        <v>26278</v>
      </c>
      <c r="C484" s="30" t="s">
        <v>16281</v>
      </c>
      <c r="D484" s="139" t="s">
        <v>26079</v>
      </c>
      <c r="E484" s="30" t="s">
        <v>217</v>
      </c>
      <c r="F484" s="30">
        <v>1</v>
      </c>
      <c r="G484" s="30" t="s">
        <v>193</v>
      </c>
      <c r="H484" s="30" t="s">
        <v>194</v>
      </c>
      <c r="I484" s="30" t="s">
        <v>27253</v>
      </c>
      <c r="J484" s="30" t="s">
        <v>210</v>
      </c>
      <c r="K484" s="30" t="s">
        <v>9309</v>
      </c>
      <c r="L484" s="30" t="s">
        <v>6955</v>
      </c>
      <c r="M484" s="30"/>
      <c r="N484" s="30" t="s">
        <v>26770</v>
      </c>
      <c r="O484" s="30" t="s">
        <v>6921</v>
      </c>
      <c r="P484" s="30" t="s">
        <v>27475</v>
      </c>
      <c r="Q484" s="30" t="s">
        <v>26374</v>
      </c>
      <c r="R484" s="30" t="s">
        <v>26375</v>
      </c>
      <c r="S484" s="30" t="s">
        <v>27545</v>
      </c>
      <c r="T484" s="30" t="s">
        <v>27546</v>
      </c>
      <c r="U484" s="30"/>
      <c r="V484" s="139" t="s">
        <v>9334</v>
      </c>
      <c r="W484" s="30" t="s">
        <v>9002</v>
      </c>
      <c r="X484" s="30" t="s">
        <v>194</v>
      </c>
      <c r="Y484" s="30" t="s">
        <v>9300</v>
      </c>
      <c r="Z484" s="30"/>
      <c r="AA484" s="30"/>
      <c r="AB484" s="30" t="s">
        <v>9311</v>
      </c>
      <c r="AC484" s="30"/>
      <c r="AD484" s="30"/>
      <c r="AE484" s="30"/>
      <c r="AF484" s="30"/>
      <c r="AG484" s="30"/>
      <c r="AH484" s="30" t="s">
        <v>4714</v>
      </c>
      <c r="AI484" s="30" t="s">
        <v>9433</v>
      </c>
      <c r="AJ484" s="641" t="str">
        <f t="shared" si="14"/>
        <v>252902</v>
      </c>
      <c r="AK484" s="641">
        <v>1</v>
      </c>
      <c r="AL484" s="641">
        <f t="shared" si="15"/>
        <v>1</v>
      </c>
      <c r="AM484" s="641">
        <v>1</v>
      </c>
      <c r="AN484" s="30" t="s">
        <v>17650</v>
      </c>
      <c r="AO484" s="30" t="s">
        <v>17651</v>
      </c>
      <c r="AP484" s="30" t="s">
        <v>17652</v>
      </c>
      <c r="AQ484" s="30" t="s">
        <v>17653</v>
      </c>
      <c r="AR484" s="30" t="s">
        <v>1024</v>
      </c>
      <c r="AS484" s="30">
        <v>1</v>
      </c>
    </row>
    <row r="485" spans="1:45" x14ac:dyDescent="0.25">
      <c r="A485" s="30" t="s">
        <v>26193</v>
      </c>
      <c r="B485" s="30" t="s">
        <v>26194</v>
      </c>
      <c r="C485" s="30" t="s">
        <v>227</v>
      </c>
      <c r="D485" s="139" t="s">
        <v>26079</v>
      </c>
      <c r="E485" s="30" t="s">
        <v>217</v>
      </c>
      <c r="F485" s="30">
        <v>1</v>
      </c>
      <c r="G485" s="30" t="s">
        <v>193</v>
      </c>
      <c r="H485" s="30" t="s">
        <v>194</v>
      </c>
      <c r="I485" s="30" t="s">
        <v>27277</v>
      </c>
      <c r="J485" s="30" t="s">
        <v>276</v>
      </c>
      <c r="K485" s="30" t="s">
        <v>9309</v>
      </c>
      <c r="L485" s="30" t="s">
        <v>6955</v>
      </c>
      <c r="M485" s="30"/>
      <c r="N485" s="30" t="s">
        <v>27547</v>
      </c>
      <c r="O485" s="30" t="s">
        <v>6277</v>
      </c>
      <c r="P485" s="30" t="s">
        <v>27475</v>
      </c>
      <c r="Q485" s="30" t="s">
        <v>26109</v>
      </c>
      <c r="R485" s="30" t="s">
        <v>27328</v>
      </c>
      <c r="S485" s="30" t="s">
        <v>27548</v>
      </c>
      <c r="T485" s="30" t="s">
        <v>27549</v>
      </c>
      <c r="U485" s="30"/>
      <c r="V485" s="139" t="s">
        <v>9786</v>
      </c>
      <c r="W485" s="30" t="s">
        <v>229</v>
      </c>
      <c r="X485" s="30" t="s">
        <v>194</v>
      </c>
      <c r="Y485" s="30" t="s">
        <v>9300</v>
      </c>
      <c r="Z485" s="30"/>
      <c r="AA485" s="30"/>
      <c r="AB485" s="30" t="s">
        <v>9311</v>
      </c>
      <c r="AC485" s="30"/>
      <c r="AD485" s="30"/>
      <c r="AE485" s="30"/>
      <c r="AF485" s="30"/>
      <c r="AG485" s="30"/>
      <c r="AH485" s="30" t="s">
        <v>4714</v>
      </c>
      <c r="AI485" s="30" t="s">
        <v>9433</v>
      </c>
      <c r="AJ485" s="641" t="str">
        <f t="shared" si="14"/>
        <v>132401</v>
      </c>
      <c r="AK485" s="641">
        <v>1</v>
      </c>
      <c r="AL485" s="641">
        <f t="shared" si="15"/>
        <v>1</v>
      </c>
      <c r="AM485" s="641">
        <v>1</v>
      </c>
      <c r="AN485" s="30" t="s">
        <v>17650</v>
      </c>
      <c r="AO485" s="30" t="s">
        <v>17651</v>
      </c>
      <c r="AP485" s="30" t="s">
        <v>17652</v>
      </c>
      <c r="AQ485" s="30" t="s">
        <v>17653</v>
      </c>
      <c r="AR485" s="30" t="s">
        <v>1024</v>
      </c>
      <c r="AS485" s="30">
        <v>1</v>
      </c>
    </row>
    <row r="486" spans="1:45" x14ac:dyDescent="0.25">
      <c r="A486" s="30" t="s">
        <v>26089</v>
      </c>
      <c r="B486" s="30" t="s">
        <v>26616</v>
      </c>
      <c r="C486" s="30" t="s">
        <v>26180</v>
      </c>
      <c r="D486" s="139" t="s">
        <v>26079</v>
      </c>
      <c r="E486" s="30" t="s">
        <v>217</v>
      </c>
      <c r="F486" s="30">
        <v>1</v>
      </c>
      <c r="G486" s="30" t="s">
        <v>193</v>
      </c>
      <c r="H486" s="30" t="s">
        <v>194</v>
      </c>
      <c r="I486" s="30" t="s">
        <v>27277</v>
      </c>
      <c r="J486" s="30" t="s">
        <v>4751</v>
      </c>
      <c r="K486" s="30" t="s">
        <v>9309</v>
      </c>
      <c r="L486" s="30" t="s">
        <v>6955</v>
      </c>
      <c r="M486" s="30"/>
      <c r="N486" s="30" t="s">
        <v>26764</v>
      </c>
      <c r="O486" s="30" t="s">
        <v>6286</v>
      </c>
      <c r="P486" s="30" t="s">
        <v>27311</v>
      </c>
      <c r="Q486" s="30" t="s">
        <v>26189</v>
      </c>
      <c r="R486" s="30" t="s">
        <v>27312</v>
      </c>
      <c r="S486" s="30" t="s">
        <v>27550</v>
      </c>
      <c r="T486" s="30" t="s">
        <v>27551</v>
      </c>
      <c r="U486" s="30"/>
      <c r="V486" s="139" t="s">
        <v>9472</v>
      </c>
      <c r="W486" s="30" t="s">
        <v>26186</v>
      </c>
      <c r="X486" s="30" t="s">
        <v>194</v>
      </c>
      <c r="Y486" s="30" t="s">
        <v>9300</v>
      </c>
      <c r="Z486" s="30"/>
      <c r="AA486" s="30"/>
      <c r="AB486" s="30" t="s">
        <v>9311</v>
      </c>
      <c r="AC486" s="30"/>
      <c r="AD486" s="30"/>
      <c r="AE486" s="30"/>
      <c r="AF486" s="30"/>
      <c r="AG486" s="30"/>
      <c r="AH486" s="30" t="s">
        <v>4714</v>
      </c>
      <c r="AI486" s="30" t="s">
        <v>9433</v>
      </c>
      <c r="AJ486" s="641" t="str">
        <f t="shared" si="14"/>
        <v>421108</v>
      </c>
      <c r="AK486" s="641">
        <v>1</v>
      </c>
      <c r="AL486" s="641">
        <f t="shared" si="15"/>
        <v>1</v>
      </c>
      <c r="AM486" s="641">
        <v>1</v>
      </c>
      <c r="AN486" s="30" t="s">
        <v>17650</v>
      </c>
      <c r="AO486" s="30" t="s">
        <v>17651</v>
      </c>
      <c r="AP486" s="30" t="s">
        <v>17652</v>
      </c>
      <c r="AQ486" s="30" t="s">
        <v>17653</v>
      </c>
      <c r="AR486" s="30" t="s">
        <v>1024</v>
      </c>
      <c r="AS486" s="30">
        <v>1</v>
      </c>
    </row>
    <row r="487" spans="1:45" x14ac:dyDescent="0.25">
      <c r="A487" s="30" t="s">
        <v>258</v>
      </c>
      <c r="B487" s="30" t="s">
        <v>7677</v>
      </c>
      <c r="C487" s="30" t="s">
        <v>778</v>
      </c>
      <c r="D487" s="139" t="s">
        <v>26079</v>
      </c>
      <c r="E487" s="30" t="s">
        <v>217</v>
      </c>
      <c r="F487" s="30">
        <v>1</v>
      </c>
      <c r="G487" s="30" t="s">
        <v>193</v>
      </c>
      <c r="H487" s="30" t="s">
        <v>194</v>
      </c>
      <c r="I487" s="30" t="s">
        <v>26077</v>
      </c>
      <c r="J487" s="30" t="s">
        <v>316</v>
      </c>
      <c r="K487" s="30" t="s">
        <v>9309</v>
      </c>
      <c r="L487" s="30" t="s">
        <v>6955</v>
      </c>
      <c r="M487" s="30"/>
      <c r="N487" s="30" t="s">
        <v>26339</v>
      </c>
      <c r="O487" s="30" t="s">
        <v>6251</v>
      </c>
      <c r="P487" s="30" t="s">
        <v>27552</v>
      </c>
      <c r="Q487" s="30" t="s">
        <v>26160</v>
      </c>
      <c r="R487" s="30" t="s">
        <v>26262</v>
      </c>
      <c r="S487" s="30" t="s">
        <v>27553</v>
      </c>
      <c r="T487" s="30" t="s">
        <v>27554</v>
      </c>
      <c r="U487" s="30"/>
      <c r="V487" s="139" t="s">
        <v>10012</v>
      </c>
      <c r="W487" s="30" t="s">
        <v>779</v>
      </c>
      <c r="X487" s="30" t="s">
        <v>194</v>
      </c>
      <c r="Y487" s="30" t="s">
        <v>9300</v>
      </c>
      <c r="Z487" s="30"/>
      <c r="AA487" s="30"/>
      <c r="AB487" s="30" t="s">
        <v>9311</v>
      </c>
      <c r="AC487" s="30"/>
      <c r="AD487" s="30"/>
      <c r="AE487" s="30"/>
      <c r="AF487" s="30"/>
      <c r="AG487" s="30"/>
      <c r="AH487" s="30" t="s">
        <v>4714</v>
      </c>
      <c r="AI487" s="30" t="s">
        <v>778</v>
      </c>
      <c r="AJ487" s="641" t="str">
        <f t="shared" si="14"/>
        <v>524902</v>
      </c>
      <c r="AK487" s="641">
        <v>1</v>
      </c>
      <c r="AL487" s="641">
        <f t="shared" si="15"/>
        <v>1</v>
      </c>
      <c r="AM487" s="641">
        <v>1</v>
      </c>
      <c r="AN487" s="30" t="s">
        <v>17650</v>
      </c>
      <c r="AO487" s="30" t="s">
        <v>17651</v>
      </c>
      <c r="AP487" s="30" t="s">
        <v>17652</v>
      </c>
      <c r="AQ487" s="30" t="s">
        <v>17653</v>
      </c>
      <c r="AR487" s="30" t="s">
        <v>1024</v>
      </c>
      <c r="AS487" s="30">
        <v>1</v>
      </c>
    </row>
    <row r="488" spans="1:45" x14ac:dyDescent="0.25">
      <c r="A488" s="30" t="s">
        <v>3946</v>
      </c>
      <c r="B488" s="30" t="s">
        <v>26712</v>
      </c>
      <c r="C488" s="30" t="s">
        <v>740</v>
      </c>
      <c r="D488" s="139" t="s">
        <v>26079</v>
      </c>
      <c r="E488" s="30" t="s">
        <v>217</v>
      </c>
      <c r="F488" s="30">
        <v>1</v>
      </c>
      <c r="G488" s="30" t="s">
        <v>193</v>
      </c>
      <c r="H488" s="30" t="s">
        <v>194</v>
      </c>
      <c r="I488" s="30" t="s">
        <v>27253</v>
      </c>
      <c r="J488" s="30" t="s">
        <v>305</v>
      </c>
      <c r="K488" s="30" t="s">
        <v>9309</v>
      </c>
      <c r="L488" s="30" t="s">
        <v>6955</v>
      </c>
      <c r="M488" s="30"/>
      <c r="N488" s="30" t="s">
        <v>26713</v>
      </c>
      <c r="O488" s="30" t="s">
        <v>6249</v>
      </c>
      <c r="P488" s="30" t="s">
        <v>27475</v>
      </c>
      <c r="Q488" s="30" t="s">
        <v>26092</v>
      </c>
      <c r="R488" s="30" t="s">
        <v>26093</v>
      </c>
      <c r="S488" s="30" t="s">
        <v>27555</v>
      </c>
      <c r="T488" s="30" t="s">
        <v>27556</v>
      </c>
      <c r="U488" s="30"/>
      <c r="V488" s="139" t="s">
        <v>9753</v>
      </c>
      <c r="W488" s="30" t="s">
        <v>741</v>
      </c>
      <c r="X488" s="30" t="s">
        <v>194</v>
      </c>
      <c r="Y488" s="30" t="s">
        <v>9300</v>
      </c>
      <c r="Z488" s="30"/>
      <c r="AA488" s="30"/>
      <c r="AB488" s="30" t="s">
        <v>9311</v>
      </c>
      <c r="AC488" s="30"/>
      <c r="AD488" s="30"/>
      <c r="AE488" s="30"/>
      <c r="AF488" s="30"/>
      <c r="AG488" s="30"/>
      <c r="AH488" s="30" t="s">
        <v>4714</v>
      </c>
      <c r="AI488" s="30" t="s">
        <v>9433</v>
      </c>
      <c r="AJ488" s="641" t="str">
        <f t="shared" si="14"/>
        <v>522301</v>
      </c>
      <c r="AK488" s="641">
        <v>1</v>
      </c>
      <c r="AL488" s="641">
        <f t="shared" si="15"/>
        <v>1</v>
      </c>
      <c r="AM488" s="641">
        <v>1</v>
      </c>
      <c r="AN488" s="30" t="s">
        <v>17650</v>
      </c>
      <c r="AO488" s="30" t="s">
        <v>17651</v>
      </c>
      <c r="AP488" s="30" t="s">
        <v>17652</v>
      </c>
      <c r="AQ488" s="30" t="s">
        <v>17653</v>
      </c>
      <c r="AR488" s="30" t="s">
        <v>1024</v>
      </c>
      <c r="AS488" s="30">
        <v>1</v>
      </c>
    </row>
    <row r="489" spans="1:45" x14ac:dyDescent="0.25">
      <c r="A489" s="30" t="s">
        <v>10145</v>
      </c>
      <c r="B489" s="30" t="s">
        <v>26756</v>
      </c>
      <c r="C489" s="30" t="s">
        <v>22</v>
      </c>
      <c r="D489" s="139" t="s">
        <v>26079</v>
      </c>
      <c r="E489" s="30" t="s">
        <v>217</v>
      </c>
      <c r="F489" s="30">
        <v>1</v>
      </c>
      <c r="G489" s="30" t="s">
        <v>193</v>
      </c>
      <c r="H489" s="30" t="s">
        <v>194</v>
      </c>
      <c r="I489" s="30" t="s">
        <v>27253</v>
      </c>
      <c r="J489" s="30" t="s">
        <v>210</v>
      </c>
      <c r="K489" s="30" t="s">
        <v>9309</v>
      </c>
      <c r="L489" s="30" t="s">
        <v>6955</v>
      </c>
      <c r="M489" s="30"/>
      <c r="N489" s="30" t="s">
        <v>26906</v>
      </c>
      <c r="O489" s="30" t="s">
        <v>6288</v>
      </c>
      <c r="P489" s="30" t="s">
        <v>27475</v>
      </c>
      <c r="Q489" s="30" t="s">
        <v>26086</v>
      </c>
      <c r="R489" s="30" t="s">
        <v>26787</v>
      </c>
      <c r="S489" s="30" t="s">
        <v>27557</v>
      </c>
      <c r="T489" s="30" t="s">
        <v>27558</v>
      </c>
      <c r="U489" s="30"/>
      <c r="V489" s="139" t="s">
        <v>9334</v>
      </c>
      <c r="W489" s="30" t="s">
        <v>1608</v>
      </c>
      <c r="X489" s="30" t="s">
        <v>194</v>
      </c>
      <c r="Y489" s="30" t="s">
        <v>9300</v>
      </c>
      <c r="Z489" s="30"/>
      <c r="AA489" s="30"/>
      <c r="AB489" s="30" t="s">
        <v>9311</v>
      </c>
      <c r="AC489" s="30"/>
      <c r="AD489" s="30"/>
      <c r="AE489" s="30"/>
      <c r="AF489" s="30"/>
      <c r="AG489" s="30"/>
      <c r="AH489" s="30" t="s">
        <v>4714</v>
      </c>
      <c r="AI489" s="30" t="s">
        <v>9433</v>
      </c>
      <c r="AJ489" s="641" t="str">
        <f t="shared" si="14"/>
        <v>228101</v>
      </c>
      <c r="AK489" s="641">
        <v>1</v>
      </c>
      <c r="AL489" s="641">
        <f t="shared" si="15"/>
        <v>1</v>
      </c>
      <c r="AM489" s="641">
        <v>1</v>
      </c>
      <c r="AN489" s="30" t="s">
        <v>17650</v>
      </c>
      <c r="AO489" s="30" t="s">
        <v>17651</v>
      </c>
      <c r="AP489" s="30" t="s">
        <v>17652</v>
      </c>
      <c r="AQ489" s="30" t="s">
        <v>17653</v>
      </c>
      <c r="AR489" s="30" t="s">
        <v>1024</v>
      </c>
      <c r="AS489" s="30">
        <v>1</v>
      </c>
    </row>
    <row r="490" spans="1:45" x14ac:dyDescent="0.25">
      <c r="A490" s="30" t="s">
        <v>26089</v>
      </c>
      <c r="B490" s="30" t="s">
        <v>4055</v>
      </c>
      <c r="C490" s="30" t="s">
        <v>10</v>
      </c>
      <c r="D490" s="139" t="s">
        <v>26079</v>
      </c>
      <c r="E490" s="30" t="s">
        <v>217</v>
      </c>
      <c r="F490" s="30">
        <v>1</v>
      </c>
      <c r="G490" s="30" t="s">
        <v>193</v>
      </c>
      <c r="H490" s="30" t="s">
        <v>194</v>
      </c>
      <c r="I490" s="30" t="s">
        <v>27253</v>
      </c>
      <c r="J490" s="30" t="s">
        <v>210</v>
      </c>
      <c r="K490" s="30" t="s">
        <v>9309</v>
      </c>
      <c r="L490" s="30" t="s">
        <v>6955</v>
      </c>
      <c r="M490" s="30"/>
      <c r="N490" s="30" t="s">
        <v>26328</v>
      </c>
      <c r="O490" s="30" t="s">
        <v>6261</v>
      </c>
      <c r="P490" s="30" t="s">
        <v>27475</v>
      </c>
      <c r="Q490" s="30" t="s">
        <v>26218</v>
      </c>
      <c r="R490" s="30" t="s">
        <v>26219</v>
      </c>
      <c r="S490" s="30" t="s">
        <v>27559</v>
      </c>
      <c r="T490" s="30" t="s">
        <v>27560</v>
      </c>
      <c r="U490" s="30"/>
      <c r="V490" s="139" t="s">
        <v>9334</v>
      </c>
      <c r="W490" s="30" t="s">
        <v>484</v>
      </c>
      <c r="X490" s="30" t="s">
        <v>194</v>
      </c>
      <c r="Y490" s="30" t="s">
        <v>9300</v>
      </c>
      <c r="Z490" s="30"/>
      <c r="AA490" s="30"/>
      <c r="AB490" s="30" t="s">
        <v>9311</v>
      </c>
      <c r="AC490" s="30"/>
      <c r="AD490" s="30"/>
      <c r="AE490" s="30"/>
      <c r="AF490" s="30"/>
      <c r="AG490" s="30"/>
      <c r="AH490" s="30" t="s">
        <v>4714</v>
      </c>
      <c r="AI490" s="30" t="s">
        <v>9433</v>
      </c>
      <c r="AJ490" s="641" t="str">
        <f t="shared" si="14"/>
        <v>251401</v>
      </c>
      <c r="AK490" s="641">
        <v>1</v>
      </c>
      <c r="AL490" s="641">
        <f t="shared" si="15"/>
        <v>1</v>
      </c>
      <c r="AM490" s="641">
        <v>1</v>
      </c>
      <c r="AN490" s="30" t="s">
        <v>17650</v>
      </c>
      <c r="AO490" s="30" t="s">
        <v>17651</v>
      </c>
      <c r="AP490" s="30" t="s">
        <v>17652</v>
      </c>
      <c r="AQ490" s="30" t="s">
        <v>17653</v>
      </c>
      <c r="AR490" s="30" t="s">
        <v>1024</v>
      </c>
      <c r="AS490" s="30">
        <v>1</v>
      </c>
    </row>
    <row r="491" spans="1:45" x14ac:dyDescent="0.25">
      <c r="A491" s="30" t="s">
        <v>26574</v>
      </c>
      <c r="B491" s="30" t="s">
        <v>27561</v>
      </c>
      <c r="C491" s="30" t="s">
        <v>727</v>
      </c>
      <c r="D491" s="139" t="s">
        <v>26079</v>
      </c>
      <c r="E491" s="30" t="s">
        <v>217</v>
      </c>
      <c r="F491" s="30">
        <v>1</v>
      </c>
      <c r="G491" s="30" t="s">
        <v>193</v>
      </c>
      <c r="H491" s="30" t="s">
        <v>194</v>
      </c>
      <c r="I491" s="30" t="s">
        <v>27253</v>
      </c>
      <c r="J491" s="30" t="s">
        <v>316</v>
      </c>
      <c r="K491" s="30" t="s">
        <v>9309</v>
      </c>
      <c r="L491" s="30" t="s">
        <v>6955</v>
      </c>
      <c r="M491" s="30"/>
      <c r="N491" s="30" t="s">
        <v>27562</v>
      </c>
      <c r="O491" s="30" t="s">
        <v>6343</v>
      </c>
      <c r="P491" s="30" t="s">
        <v>27475</v>
      </c>
      <c r="Q491" s="30" t="s">
        <v>24551</v>
      </c>
      <c r="R491" s="30" t="s">
        <v>27361</v>
      </c>
      <c r="S491" s="30" t="s">
        <v>27563</v>
      </c>
      <c r="T491" s="30" t="s">
        <v>27564</v>
      </c>
      <c r="U491" s="30"/>
      <c r="V491" s="139" t="s">
        <v>10012</v>
      </c>
      <c r="W491" s="30" t="s">
        <v>728</v>
      </c>
      <c r="X491" s="30" t="s">
        <v>194</v>
      </c>
      <c r="Y491" s="30" t="s">
        <v>9300</v>
      </c>
      <c r="Z491" s="30"/>
      <c r="AA491" s="30"/>
      <c r="AB491" s="30" t="s">
        <v>9311</v>
      </c>
      <c r="AC491" s="30"/>
      <c r="AD491" s="30"/>
      <c r="AE491" s="30"/>
      <c r="AF491" s="30"/>
      <c r="AG491" s="30"/>
      <c r="AH491" s="30" t="s">
        <v>4714</v>
      </c>
      <c r="AI491" s="30" t="s">
        <v>9433</v>
      </c>
      <c r="AJ491" s="641" t="str">
        <f t="shared" si="14"/>
        <v>512001</v>
      </c>
      <c r="AK491" s="641">
        <v>1</v>
      </c>
      <c r="AL491" s="641">
        <f t="shared" si="15"/>
        <v>1</v>
      </c>
      <c r="AM491" s="641">
        <v>1</v>
      </c>
      <c r="AN491" s="30" t="s">
        <v>17650</v>
      </c>
      <c r="AO491" s="30" t="s">
        <v>17651</v>
      </c>
      <c r="AP491" s="30" t="s">
        <v>17652</v>
      </c>
      <c r="AQ491" s="30" t="s">
        <v>17653</v>
      </c>
      <c r="AR491" s="30" t="s">
        <v>1024</v>
      </c>
      <c r="AS491" s="30">
        <v>1</v>
      </c>
    </row>
    <row r="492" spans="1:45" x14ac:dyDescent="0.25">
      <c r="A492" s="30" t="s">
        <v>716</v>
      </c>
      <c r="B492" s="30" t="s">
        <v>26635</v>
      </c>
      <c r="C492" s="30" t="s">
        <v>706</v>
      </c>
      <c r="D492" s="139" t="s">
        <v>26079</v>
      </c>
      <c r="E492" s="30" t="s">
        <v>217</v>
      </c>
      <c r="F492" s="30">
        <v>1</v>
      </c>
      <c r="G492" s="30" t="s">
        <v>193</v>
      </c>
      <c r="H492" s="30" t="s">
        <v>194</v>
      </c>
      <c r="I492" s="30" t="s">
        <v>27253</v>
      </c>
      <c r="J492" s="30" t="s">
        <v>210</v>
      </c>
      <c r="K492" s="30" t="s">
        <v>9309</v>
      </c>
      <c r="L492" s="30" t="s">
        <v>6955</v>
      </c>
      <c r="M492" s="30"/>
      <c r="N492" s="30" t="s">
        <v>27565</v>
      </c>
      <c r="O492" s="30" t="s">
        <v>6286</v>
      </c>
      <c r="P492" s="30" t="s">
        <v>27475</v>
      </c>
      <c r="Q492" s="30" t="s">
        <v>24551</v>
      </c>
      <c r="R492" s="30" t="s">
        <v>27361</v>
      </c>
      <c r="S492" s="30" t="s">
        <v>27566</v>
      </c>
      <c r="T492" s="30" t="s">
        <v>27567</v>
      </c>
      <c r="U492" s="30"/>
      <c r="V492" s="139" t="s">
        <v>9334</v>
      </c>
      <c r="W492" s="30" t="s">
        <v>707</v>
      </c>
      <c r="X492" s="30" t="s">
        <v>194</v>
      </c>
      <c r="Y492" s="30" t="s">
        <v>9300</v>
      </c>
      <c r="Z492" s="30"/>
      <c r="AA492" s="30"/>
      <c r="AB492" s="30" t="s">
        <v>9311</v>
      </c>
      <c r="AC492" s="30"/>
      <c r="AD492" s="30"/>
      <c r="AE492" s="30"/>
      <c r="AF492" s="30"/>
      <c r="AG492" s="30"/>
      <c r="AH492" s="30" t="s">
        <v>4714</v>
      </c>
      <c r="AI492" s="30" t="s">
        <v>9433</v>
      </c>
      <c r="AJ492" s="641" t="str">
        <f t="shared" si="14"/>
        <v>422201</v>
      </c>
      <c r="AK492" s="641">
        <v>1</v>
      </c>
      <c r="AL492" s="641">
        <f t="shared" si="15"/>
        <v>1</v>
      </c>
      <c r="AM492" s="641">
        <v>1</v>
      </c>
      <c r="AN492" s="30" t="s">
        <v>17650</v>
      </c>
      <c r="AO492" s="30" t="s">
        <v>17651</v>
      </c>
      <c r="AP492" s="30" t="s">
        <v>17652</v>
      </c>
      <c r="AQ492" s="30" t="s">
        <v>17653</v>
      </c>
      <c r="AR492" s="30" t="s">
        <v>1024</v>
      </c>
      <c r="AS492" s="30">
        <v>1</v>
      </c>
    </row>
    <row r="493" spans="1:45" x14ac:dyDescent="0.25">
      <c r="A493" s="30" t="s">
        <v>26089</v>
      </c>
      <c r="B493" s="30" t="s">
        <v>24788</v>
      </c>
      <c r="C493" s="30" t="s">
        <v>10</v>
      </c>
      <c r="D493" s="139" t="s">
        <v>26079</v>
      </c>
      <c r="E493" s="30" t="s">
        <v>217</v>
      </c>
      <c r="F493" s="30">
        <v>1</v>
      </c>
      <c r="G493" s="30" t="s">
        <v>193</v>
      </c>
      <c r="H493" s="30" t="s">
        <v>194</v>
      </c>
      <c r="I493" s="30" t="s">
        <v>27253</v>
      </c>
      <c r="J493" s="30" t="s">
        <v>210</v>
      </c>
      <c r="K493" s="30" t="s">
        <v>9309</v>
      </c>
      <c r="L493" s="30" t="s">
        <v>6955</v>
      </c>
      <c r="M493" s="30"/>
      <c r="N493" s="30" t="s">
        <v>26331</v>
      </c>
      <c r="O493" s="30" t="s">
        <v>6261</v>
      </c>
      <c r="P493" s="30" t="s">
        <v>27311</v>
      </c>
      <c r="Q493" s="30" t="s">
        <v>26241</v>
      </c>
      <c r="R493" s="30" t="s">
        <v>27312</v>
      </c>
      <c r="S493" s="30" t="s">
        <v>27568</v>
      </c>
      <c r="T493" s="30" t="s">
        <v>27569</v>
      </c>
      <c r="U493" s="30"/>
      <c r="V493" s="139" t="s">
        <v>9334</v>
      </c>
      <c r="W493" s="30" t="s">
        <v>484</v>
      </c>
      <c r="X493" s="30" t="s">
        <v>194</v>
      </c>
      <c r="Y493" s="30" t="s">
        <v>9300</v>
      </c>
      <c r="Z493" s="30"/>
      <c r="AA493" s="30"/>
      <c r="AB493" s="30" t="s">
        <v>9311</v>
      </c>
      <c r="AC493" s="30"/>
      <c r="AD493" s="30"/>
      <c r="AE493" s="30"/>
      <c r="AF493" s="30"/>
      <c r="AG493" s="30"/>
      <c r="AH493" s="30" t="s">
        <v>4714</v>
      </c>
      <c r="AI493" s="30" t="s">
        <v>9433</v>
      </c>
      <c r="AJ493" s="641" t="str">
        <f t="shared" si="14"/>
        <v>251401</v>
      </c>
      <c r="AK493" s="641">
        <v>1</v>
      </c>
      <c r="AL493" s="641">
        <f t="shared" si="15"/>
        <v>1</v>
      </c>
      <c r="AM493" s="641">
        <v>1</v>
      </c>
      <c r="AN493" s="30" t="s">
        <v>17650</v>
      </c>
      <c r="AO493" s="30" t="s">
        <v>17651</v>
      </c>
      <c r="AP493" s="30" t="s">
        <v>17652</v>
      </c>
      <c r="AQ493" s="30" t="s">
        <v>17653</v>
      </c>
      <c r="AR493" s="30" t="s">
        <v>1024</v>
      </c>
      <c r="AS493" s="30">
        <v>1</v>
      </c>
    </row>
    <row r="494" spans="1:45" x14ac:dyDescent="0.25">
      <c r="A494" s="30" t="s">
        <v>26153</v>
      </c>
      <c r="B494" s="30" t="s">
        <v>26752</v>
      </c>
      <c r="C494" s="30" t="s">
        <v>2861</v>
      </c>
      <c r="D494" s="139" t="s">
        <v>26079</v>
      </c>
      <c r="E494" s="30" t="s">
        <v>217</v>
      </c>
      <c r="F494" s="30">
        <v>1</v>
      </c>
      <c r="G494" s="30" t="s">
        <v>193</v>
      </c>
      <c r="H494" s="30" t="s">
        <v>194</v>
      </c>
      <c r="I494" s="30" t="s">
        <v>23198</v>
      </c>
      <c r="J494" s="30" t="s">
        <v>210</v>
      </c>
      <c r="K494" s="30" t="s">
        <v>9309</v>
      </c>
      <c r="L494" s="30" t="s">
        <v>6955</v>
      </c>
      <c r="M494" s="30"/>
      <c r="N494" s="30" t="s">
        <v>27035</v>
      </c>
      <c r="O494" s="30" t="s">
        <v>6261</v>
      </c>
      <c r="P494" s="30" t="s">
        <v>27475</v>
      </c>
      <c r="Q494" s="30" t="s">
        <v>26881</v>
      </c>
      <c r="R494" s="30" t="s">
        <v>26882</v>
      </c>
      <c r="S494" s="30" t="s">
        <v>27570</v>
      </c>
      <c r="T494" s="30" t="s">
        <v>27571</v>
      </c>
      <c r="U494" s="30"/>
      <c r="V494" s="139" t="s">
        <v>9334</v>
      </c>
      <c r="W494" s="30" t="s">
        <v>3629</v>
      </c>
      <c r="X494" s="30" t="s">
        <v>194</v>
      </c>
      <c r="Y494" s="30" t="s">
        <v>9300</v>
      </c>
      <c r="Z494" s="30"/>
      <c r="AA494" s="30"/>
      <c r="AB494" s="30" t="s">
        <v>9311</v>
      </c>
      <c r="AC494" s="30"/>
      <c r="AD494" s="30"/>
      <c r="AE494" s="30"/>
      <c r="AF494" s="30"/>
      <c r="AG494" s="30"/>
      <c r="AH494" s="30" t="s">
        <v>4714</v>
      </c>
      <c r="AI494" s="30" t="s">
        <v>9433</v>
      </c>
      <c r="AJ494" s="641" t="str">
        <f t="shared" si="14"/>
        <v>251903</v>
      </c>
      <c r="AK494" s="641">
        <v>1</v>
      </c>
      <c r="AL494" s="641">
        <f t="shared" si="15"/>
        <v>1</v>
      </c>
      <c r="AM494" s="641">
        <v>1</v>
      </c>
      <c r="AN494" s="30" t="s">
        <v>17650</v>
      </c>
      <c r="AO494" s="30" t="s">
        <v>17651</v>
      </c>
      <c r="AP494" s="30" t="s">
        <v>17652</v>
      </c>
      <c r="AQ494" s="30" t="s">
        <v>17653</v>
      </c>
      <c r="AR494" s="30" t="s">
        <v>1024</v>
      </c>
      <c r="AS494" s="30">
        <v>1</v>
      </c>
    </row>
    <row r="495" spans="1:45" x14ac:dyDescent="0.25">
      <c r="A495" s="30" t="s">
        <v>26153</v>
      </c>
      <c r="B495" s="30" t="s">
        <v>3201</v>
      </c>
      <c r="C495" s="30" t="s">
        <v>10</v>
      </c>
      <c r="D495" s="139" t="s">
        <v>26079</v>
      </c>
      <c r="E495" s="30" t="s">
        <v>217</v>
      </c>
      <c r="F495" s="30">
        <v>1</v>
      </c>
      <c r="G495" s="30" t="s">
        <v>193</v>
      </c>
      <c r="H495" s="30" t="s">
        <v>194</v>
      </c>
      <c r="I495" s="30" t="s">
        <v>23198</v>
      </c>
      <c r="J495" s="30" t="s">
        <v>210</v>
      </c>
      <c r="K495" s="30" t="s">
        <v>9309</v>
      </c>
      <c r="L495" s="30" t="s">
        <v>6955</v>
      </c>
      <c r="M495" s="30"/>
      <c r="N495" s="30" t="s">
        <v>26749</v>
      </c>
      <c r="O495" s="30" t="s">
        <v>7531</v>
      </c>
      <c r="P495" s="30" t="s">
        <v>27475</v>
      </c>
      <c r="Q495" s="30" t="s">
        <v>26182</v>
      </c>
      <c r="R495" s="30" t="s">
        <v>26183</v>
      </c>
      <c r="S495" s="30" t="s">
        <v>27572</v>
      </c>
      <c r="T495" s="30" t="s">
        <v>27573</v>
      </c>
      <c r="U495" s="30"/>
      <c r="V495" s="139" t="s">
        <v>9334</v>
      </c>
      <c r="W495" s="30" t="s">
        <v>484</v>
      </c>
      <c r="X495" s="30" t="s">
        <v>194</v>
      </c>
      <c r="Y495" s="30" t="s">
        <v>9300</v>
      </c>
      <c r="Z495" s="30"/>
      <c r="AA495" s="30"/>
      <c r="AB495" s="30" t="s">
        <v>9311</v>
      </c>
      <c r="AC495" s="30"/>
      <c r="AD495" s="30"/>
      <c r="AE495" s="30"/>
      <c r="AF495" s="30"/>
      <c r="AG495" s="30"/>
      <c r="AH495" s="30" t="s">
        <v>4714</v>
      </c>
      <c r="AI495" s="30" t="s">
        <v>9433</v>
      </c>
      <c r="AJ495" s="641" t="str">
        <f t="shared" si="14"/>
        <v>251401</v>
      </c>
      <c r="AK495" s="641">
        <v>1</v>
      </c>
      <c r="AL495" s="641">
        <f t="shared" si="15"/>
        <v>1</v>
      </c>
      <c r="AM495" s="641">
        <v>1</v>
      </c>
      <c r="AN495" s="30" t="s">
        <v>17650</v>
      </c>
      <c r="AO495" s="30" t="s">
        <v>17651</v>
      </c>
      <c r="AP495" s="30" t="s">
        <v>17652</v>
      </c>
      <c r="AQ495" s="30" t="s">
        <v>17653</v>
      </c>
      <c r="AR495" s="30" t="s">
        <v>1024</v>
      </c>
      <c r="AS495" s="30">
        <v>1</v>
      </c>
    </row>
    <row r="496" spans="1:45" x14ac:dyDescent="0.25">
      <c r="A496" s="30" t="s">
        <v>26089</v>
      </c>
      <c r="B496" s="30" t="s">
        <v>26616</v>
      </c>
      <c r="C496" s="30" t="s">
        <v>26180</v>
      </c>
      <c r="D496" s="139" t="s">
        <v>26079</v>
      </c>
      <c r="E496" s="30" t="s">
        <v>217</v>
      </c>
      <c r="F496" s="30">
        <v>1</v>
      </c>
      <c r="G496" s="30" t="s">
        <v>193</v>
      </c>
      <c r="H496" s="30" t="s">
        <v>194</v>
      </c>
      <c r="I496" s="30" t="s">
        <v>27277</v>
      </c>
      <c r="J496" s="30" t="s">
        <v>316</v>
      </c>
      <c r="K496" s="30" t="s">
        <v>9309</v>
      </c>
      <c r="L496" s="30" t="s">
        <v>6955</v>
      </c>
      <c r="M496" s="30"/>
      <c r="N496" s="30" t="s">
        <v>27574</v>
      </c>
      <c r="O496" s="30" t="s">
        <v>6251</v>
      </c>
      <c r="P496" s="30" t="s">
        <v>27475</v>
      </c>
      <c r="Q496" s="30" t="s">
        <v>25893</v>
      </c>
      <c r="R496" s="30" t="s">
        <v>27300</v>
      </c>
      <c r="S496" s="30" t="s">
        <v>27575</v>
      </c>
      <c r="T496" s="30" t="s">
        <v>27576</v>
      </c>
      <c r="U496" s="30"/>
      <c r="V496" s="139" t="s">
        <v>10012</v>
      </c>
      <c r="W496" s="30" t="s">
        <v>26186</v>
      </c>
      <c r="X496" s="30" t="s">
        <v>194</v>
      </c>
      <c r="Y496" s="30" t="s">
        <v>9300</v>
      </c>
      <c r="Z496" s="30"/>
      <c r="AA496" s="30"/>
      <c r="AB496" s="30" t="s">
        <v>9311</v>
      </c>
      <c r="AC496" s="30"/>
      <c r="AD496" s="30"/>
      <c r="AE496" s="30"/>
      <c r="AF496" s="30"/>
      <c r="AG496" s="30"/>
      <c r="AH496" s="30" t="s">
        <v>4714</v>
      </c>
      <c r="AI496" s="30" t="s">
        <v>9433</v>
      </c>
      <c r="AJ496" s="641" t="str">
        <f t="shared" si="14"/>
        <v>421108</v>
      </c>
      <c r="AK496" s="641">
        <v>1</v>
      </c>
      <c r="AL496" s="641">
        <f t="shared" si="15"/>
        <v>1</v>
      </c>
      <c r="AM496" s="641">
        <v>1</v>
      </c>
      <c r="AN496" s="30" t="s">
        <v>17650</v>
      </c>
      <c r="AO496" s="30" t="s">
        <v>17651</v>
      </c>
      <c r="AP496" s="30" t="s">
        <v>17652</v>
      </c>
      <c r="AQ496" s="30" t="s">
        <v>17653</v>
      </c>
      <c r="AR496" s="30" t="s">
        <v>1024</v>
      </c>
      <c r="AS496" s="30">
        <v>1</v>
      </c>
    </row>
    <row r="497" spans="1:45" x14ac:dyDescent="0.25">
      <c r="A497" s="30" t="s">
        <v>11415</v>
      </c>
      <c r="B497" s="30" t="s">
        <v>8016</v>
      </c>
      <c r="C497" s="30" t="s">
        <v>99</v>
      </c>
      <c r="D497" s="139" t="s">
        <v>26079</v>
      </c>
      <c r="E497" s="30" t="s">
        <v>217</v>
      </c>
      <c r="F497" s="30">
        <v>1</v>
      </c>
      <c r="G497" s="30" t="s">
        <v>193</v>
      </c>
      <c r="H497" s="30" t="s">
        <v>194</v>
      </c>
      <c r="I497" s="30" t="s">
        <v>23198</v>
      </c>
      <c r="J497" s="30" t="s">
        <v>210</v>
      </c>
      <c r="K497" s="30" t="s">
        <v>9309</v>
      </c>
      <c r="L497" s="30" t="s">
        <v>6955</v>
      </c>
      <c r="M497" s="30"/>
      <c r="N497" s="30" t="s">
        <v>22312</v>
      </c>
      <c r="O497" s="30" t="s">
        <v>6286</v>
      </c>
      <c r="P497" s="30" t="s">
        <v>27311</v>
      </c>
      <c r="Q497" s="30" t="s">
        <v>26027</v>
      </c>
      <c r="R497" s="30" t="s">
        <v>27312</v>
      </c>
      <c r="S497" s="30" t="s">
        <v>27577</v>
      </c>
      <c r="T497" s="30" t="s">
        <v>27578</v>
      </c>
      <c r="U497" s="30"/>
      <c r="V497" s="139" t="s">
        <v>9334</v>
      </c>
      <c r="W497" s="30" t="s">
        <v>2421</v>
      </c>
      <c r="X497" s="30" t="s">
        <v>194</v>
      </c>
      <c r="Y497" s="30" t="s">
        <v>9300</v>
      </c>
      <c r="Z497" s="30"/>
      <c r="AA497" s="30"/>
      <c r="AB497" s="30" t="s">
        <v>9311</v>
      </c>
      <c r="AC497" s="30"/>
      <c r="AD497" s="30"/>
      <c r="AE497" s="30"/>
      <c r="AF497" s="30"/>
      <c r="AG497" s="30"/>
      <c r="AH497" s="30" t="s">
        <v>4714</v>
      </c>
      <c r="AI497" s="30" t="s">
        <v>9433</v>
      </c>
      <c r="AJ497" s="641" t="str">
        <f t="shared" si="14"/>
        <v>412001</v>
      </c>
      <c r="AK497" s="641">
        <v>1</v>
      </c>
      <c r="AL497" s="641">
        <f t="shared" si="15"/>
        <v>1</v>
      </c>
      <c r="AM497" s="641">
        <v>1</v>
      </c>
      <c r="AN497" s="30" t="s">
        <v>17650</v>
      </c>
      <c r="AO497" s="30" t="s">
        <v>17651</v>
      </c>
      <c r="AP497" s="30" t="s">
        <v>17652</v>
      </c>
      <c r="AQ497" s="30" t="s">
        <v>17653</v>
      </c>
      <c r="AR497" s="30" t="s">
        <v>1024</v>
      </c>
      <c r="AS497" s="30">
        <v>1</v>
      </c>
    </row>
    <row r="498" spans="1:45" x14ac:dyDescent="0.25">
      <c r="A498" s="30" t="s">
        <v>26193</v>
      </c>
      <c r="B498" s="30" t="s">
        <v>26194</v>
      </c>
      <c r="C498" s="30" t="s">
        <v>227</v>
      </c>
      <c r="D498" s="139" t="s">
        <v>26079</v>
      </c>
      <c r="E498" s="30" t="s">
        <v>217</v>
      </c>
      <c r="F498" s="30">
        <v>1</v>
      </c>
      <c r="G498" s="30" t="s">
        <v>193</v>
      </c>
      <c r="H498" s="30" t="s">
        <v>194</v>
      </c>
      <c r="I498" s="30" t="s">
        <v>27277</v>
      </c>
      <c r="J498" s="30" t="s">
        <v>367</v>
      </c>
      <c r="K498" s="30" t="s">
        <v>9309</v>
      </c>
      <c r="L498" s="30" t="s">
        <v>6955</v>
      </c>
      <c r="M498" s="30"/>
      <c r="N498" s="30" t="s">
        <v>27579</v>
      </c>
      <c r="O498" s="30" t="s">
        <v>6269</v>
      </c>
      <c r="P498" s="30" t="s">
        <v>27475</v>
      </c>
      <c r="Q498" s="30" t="s">
        <v>26109</v>
      </c>
      <c r="R498" s="30" t="s">
        <v>27328</v>
      </c>
      <c r="S498" s="30" t="s">
        <v>27580</v>
      </c>
      <c r="T498" s="30" t="s">
        <v>27581</v>
      </c>
      <c r="U498" s="30"/>
      <c r="V498" s="139" t="s">
        <v>9974</v>
      </c>
      <c r="W498" s="30" t="s">
        <v>229</v>
      </c>
      <c r="X498" s="30" t="s">
        <v>194</v>
      </c>
      <c r="Y498" s="30" t="s">
        <v>9300</v>
      </c>
      <c r="Z498" s="30"/>
      <c r="AA498" s="30"/>
      <c r="AB498" s="30" t="s">
        <v>9311</v>
      </c>
      <c r="AC498" s="30"/>
      <c r="AD498" s="30"/>
      <c r="AE498" s="30"/>
      <c r="AF498" s="30"/>
      <c r="AG498" s="30"/>
      <c r="AH498" s="30" t="s">
        <v>4714</v>
      </c>
      <c r="AI498" s="30" t="s">
        <v>9433</v>
      </c>
      <c r="AJ498" s="641" t="str">
        <f t="shared" si="14"/>
        <v>132401</v>
      </c>
      <c r="AK498" s="641">
        <v>1</v>
      </c>
      <c r="AL498" s="641">
        <f t="shared" si="15"/>
        <v>1</v>
      </c>
      <c r="AM498" s="641">
        <v>1</v>
      </c>
      <c r="AN498" s="30" t="s">
        <v>17650</v>
      </c>
      <c r="AO498" s="30" t="s">
        <v>17651</v>
      </c>
      <c r="AP498" s="30" t="s">
        <v>17652</v>
      </c>
      <c r="AQ498" s="30" t="s">
        <v>17653</v>
      </c>
      <c r="AR498" s="30" t="s">
        <v>1024</v>
      </c>
      <c r="AS498" s="30">
        <v>1</v>
      </c>
    </row>
    <row r="499" spans="1:45" x14ac:dyDescent="0.25">
      <c r="A499" s="30" t="s">
        <v>26089</v>
      </c>
      <c r="B499" s="30" t="s">
        <v>26305</v>
      </c>
      <c r="C499" s="30" t="s">
        <v>26180</v>
      </c>
      <c r="D499" s="139" t="s">
        <v>26079</v>
      </c>
      <c r="E499" s="30" t="s">
        <v>217</v>
      </c>
      <c r="F499" s="30">
        <v>1</v>
      </c>
      <c r="G499" s="30" t="s">
        <v>193</v>
      </c>
      <c r="H499" s="30" t="s">
        <v>194</v>
      </c>
      <c r="I499" s="30" t="s">
        <v>27260</v>
      </c>
      <c r="J499" s="30" t="s">
        <v>316</v>
      </c>
      <c r="K499" s="30" t="s">
        <v>9309</v>
      </c>
      <c r="L499" s="30" t="s">
        <v>6955</v>
      </c>
      <c r="M499" s="30"/>
      <c r="N499" s="30" t="s">
        <v>26556</v>
      </c>
      <c r="O499" s="30" t="s">
        <v>7120</v>
      </c>
      <c r="P499" s="30" t="s">
        <v>27475</v>
      </c>
      <c r="Q499" s="30" t="s">
        <v>26092</v>
      </c>
      <c r="R499" s="30" t="s">
        <v>26093</v>
      </c>
      <c r="S499" s="30" t="s">
        <v>27582</v>
      </c>
      <c r="T499" s="30" t="s">
        <v>27583</v>
      </c>
      <c r="U499" s="30"/>
      <c r="V499" s="139" t="s">
        <v>10012</v>
      </c>
      <c r="W499" s="30" t="s">
        <v>26186</v>
      </c>
      <c r="X499" s="30" t="s">
        <v>194</v>
      </c>
      <c r="Y499" s="30" t="s">
        <v>9300</v>
      </c>
      <c r="Z499" s="30"/>
      <c r="AA499" s="30"/>
      <c r="AB499" s="30" t="s">
        <v>9311</v>
      </c>
      <c r="AC499" s="30"/>
      <c r="AD499" s="30"/>
      <c r="AE499" s="30"/>
      <c r="AF499" s="30"/>
      <c r="AG499" s="30"/>
      <c r="AH499" s="30" t="s">
        <v>4714</v>
      </c>
      <c r="AI499" s="30" t="s">
        <v>9433</v>
      </c>
      <c r="AJ499" s="641" t="str">
        <f t="shared" si="14"/>
        <v>421108</v>
      </c>
      <c r="AK499" s="641">
        <v>1</v>
      </c>
      <c r="AL499" s="641">
        <f t="shared" si="15"/>
        <v>1</v>
      </c>
      <c r="AM499" s="641">
        <v>1</v>
      </c>
      <c r="AN499" s="30" t="s">
        <v>17650</v>
      </c>
      <c r="AO499" s="30" t="s">
        <v>17651</v>
      </c>
      <c r="AP499" s="30" t="s">
        <v>17652</v>
      </c>
      <c r="AQ499" s="30" t="s">
        <v>17653</v>
      </c>
      <c r="AR499" s="30" t="s">
        <v>1024</v>
      </c>
      <c r="AS499" s="30">
        <v>1</v>
      </c>
    </row>
    <row r="500" spans="1:45" x14ac:dyDescent="0.25">
      <c r="A500" s="30" t="s">
        <v>26089</v>
      </c>
      <c r="B500" s="30" t="s">
        <v>24788</v>
      </c>
      <c r="C500" s="30" t="s">
        <v>10</v>
      </c>
      <c r="D500" s="139" t="s">
        <v>26079</v>
      </c>
      <c r="E500" s="30" t="s">
        <v>217</v>
      </c>
      <c r="F500" s="30">
        <v>1</v>
      </c>
      <c r="G500" s="30" t="s">
        <v>193</v>
      </c>
      <c r="H500" s="30" t="s">
        <v>194</v>
      </c>
      <c r="I500" s="30" t="s">
        <v>27253</v>
      </c>
      <c r="J500" s="30" t="s">
        <v>210</v>
      </c>
      <c r="K500" s="30" t="s">
        <v>9309</v>
      </c>
      <c r="L500" s="30" t="s">
        <v>6955</v>
      </c>
      <c r="M500" s="30"/>
      <c r="N500" s="30" t="s">
        <v>26571</v>
      </c>
      <c r="O500" s="30" t="s">
        <v>6261</v>
      </c>
      <c r="P500" s="30" t="s">
        <v>27475</v>
      </c>
      <c r="Q500" s="30" t="s">
        <v>26374</v>
      </c>
      <c r="R500" s="30" t="s">
        <v>26375</v>
      </c>
      <c r="S500" s="30" t="s">
        <v>27584</v>
      </c>
      <c r="T500" s="30" t="s">
        <v>27585</v>
      </c>
      <c r="U500" s="30"/>
      <c r="V500" s="139" t="s">
        <v>9334</v>
      </c>
      <c r="W500" s="30" t="s">
        <v>484</v>
      </c>
      <c r="X500" s="30" t="s">
        <v>194</v>
      </c>
      <c r="Y500" s="30" t="s">
        <v>9300</v>
      </c>
      <c r="Z500" s="30"/>
      <c r="AA500" s="30"/>
      <c r="AB500" s="30" t="s">
        <v>9311</v>
      </c>
      <c r="AC500" s="30"/>
      <c r="AD500" s="30"/>
      <c r="AE500" s="30"/>
      <c r="AF500" s="30"/>
      <c r="AG500" s="30"/>
      <c r="AH500" s="30" t="s">
        <v>4714</v>
      </c>
      <c r="AI500" s="30" t="s">
        <v>9433</v>
      </c>
      <c r="AJ500" s="641" t="str">
        <f t="shared" si="14"/>
        <v>251401</v>
      </c>
      <c r="AK500" s="641">
        <v>1</v>
      </c>
      <c r="AL500" s="641">
        <f t="shared" si="15"/>
        <v>1</v>
      </c>
      <c r="AM500" s="641">
        <v>1</v>
      </c>
      <c r="AN500" s="30" t="s">
        <v>17650</v>
      </c>
      <c r="AO500" s="30" t="s">
        <v>17651</v>
      </c>
      <c r="AP500" s="30" t="s">
        <v>17652</v>
      </c>
      <c r="AQ500" s="30" t="s">
        <v>17653</v>
      </c>
      <c r="AR500" s="30" t="s">
        <v>1024</v>
      </c>
      <c r="AS500" s="30">
        <v>1</v>
      </c>
    </row>
    <row r="501" spans="1:45" x14ac:dyDescent="0.25">
      <c r="A501" s="30" t="s">
        <v>716</v>
      </c>
      <c r="B501" s="30" t="s">
        <v>27331</v>
      </c>
      <c r="C501" s="30" t="s">
        <v>706</v>
      </c>
      <c r="D501" s="139" t="s">
        <v>26079</v>
      </c>
      <c r="E501" s="30" t="s">
        <v>217</v>
      </c>
      <c r="F501" s="30">
        <v>1</v>
      </c>
      <c r="G501" s="30" t="s">
        <v>193</v>
      </c>
      <c r="H501" s="30" t="s">
        <v>194</v>
      </c>
      <c r="I501" s="30" t="s">
        <v>27277</v>
      </c>
      <c r="J501" s="30" t="s">
        <v>210</v>
      </c>
      <c r="K501" s="30" t="s">
        <v>9309</v>
      </c>
      <c r="L501" s="30" t="s">
        <v>6955</v>
      </c>
      <c r="M501" s="30"/>
      <c r="N501" s="30" t="s">
        <v>27586</v>
      </c>
      <c r="O501" s="30" t="s">
        <v>6251</v>
      </c>
      <c r="P501" s="30" t="s">
        <v>27475</v>
      </c>
      <c r="Q501" s="30" t="s">
        <v>26109</v>
      </c>
      <c r="R501" s="30" t="s">
        <v>27328</v>
      </c>
      <c r="S501" s="30" t="s">
        <v>27587</v>
      </c>
      <c r="T501" s="30" t="s">
        <v>27588</v>
      </c>
      <c r="U501" s="30"/>
      <c r="V501" s="139" t="s">
        <v>9334</v>
      </c>
      <c r="W501" s="30" t="s">
        <v>707</v>
      </c>
      <c r="X501" s="30" t="s">
        <v>194</v>
      </c>
      <c r="Y501" s="30" t="s">
        <v>9300</v>
      </c>
      <c r="Z501" s="30"/>
      <c r="AA501" s="30"/>
      <c r="AB501" s="30" t="s">
        <v>9311</v>
      </c>
      <c r="AC501" s="30"/>
      <c r="AD501" s="30"/>
      <c r="AE501" s="30"/>
      <c r="AF501" s="30"/>
      <c r="AG501" s="30"/>
      <c r="AH501" s="30" t="s">
        <v>4714</v>
      </c>
      <c r="AI501" s="30" t="s">
        <v>9433</v>
      </c>
      <c r="AJ501" s="641" t="str">
        <f t="shared" si="14"/>
        <v>422201</v>
      </c>
      <c r="AK501" s="641">
        <v>1</v>
      </c>
      <c r="AL501" s="641">
        <f t="shared" si="15"/>
        <v>1</v>
      </c>
      <c r="AM501" s="641">
        <v>1</v>
      </c>
      <c r="AN501" s="30" t="s">
        <v>17650</v>
      </c>
      <c r="AO501" s="30" t="s">
        <v>17651</v>
      </c>
      <c r="AP501" s="30" t="s">
        <v>17652</v>
      </c>
      <c r="AQ501" s="30" t="s">
        <v>17653</v>
      </c>
      <c r="AR501" s="30" t="s">
        <v>1024</v>
      </c>
      <c r="AS501" s="30">
        <v>1</v>
      </c>
    </row>
    <row r="502" spans="1:45" x14ac:dyDescent="0.25">
      <c r="A502" s="30" t="s">
        <v>26153</v>
      </c>
      <c r="B502" s="30" t="s">
        <v>1053</v>
      </c>
      <c r="C502" s="30" t="s">
        <v>10</v>
      </c>
      <c r="D502" s="139" t="s">
        <v>26079</v>
      </c>
      <c r="E502" s="30" t="s">
        <v>217</v>
      </c>
      <c r="F502" s="30">
        <v>1</v>
      </c>
      <c r="G502" s="30" t="s">
        <v>193</v>
      </c>
      <c r="H502" s="30" t="s">
        <v>194</v>
      </c>
      <c r="I502" s="30" t="s">
        <v>23198</v>
      </c>
      <c r="J502" s="30" t="s">
        <v>210</v>
      </c>
      <c r="K502" s="30" t="s">
        <v>9309</v>
      </c>
      <c r="L502" s="30" t="s">
        <v>6955</v>
      </c>
      <c r="M502" s="30"/>
      <c r="N502" s="30" t="s">
        <v>26378</v>
      </c>
      <c r="O502" s="30" t="s">
        <v>6261</v>
      </c>
      <c r="P502" s="30" t="s">
        <v>27475</v>
      </c>
      <c r="Q502" s="30" t="s">
        <v>26374</v>
      </c>
      <c r="R502" s="30" t="s">
        <v>26375</v>
      </c>
      <c r="S502" s="30" t="s">
        <v>27589</v>
      </c>
      <c r="T502" s="30" t="s">
        <v>27590</v>
      </c>
      <c r="U502" s="30"/>
      <c r="V502" s="139" t="s">
        <v>9334</v>
      </c>
      <c r="W502" s="30" t="s">
        <v>484</v>
      </c>
      <c r="X502" s="30" t="s">
        <v>194</v>
      </c>
      <c r="Y502" s="30" t="s">
        <v>9300</v>
      </c>
      <c r="Z502" s="30"/>
      <c r="AA502" s="30"/>
      <c r="AB502" s="30" t="s">
        <v>9311</v>
      </c>
      <c r="AC502" s="30"/>
      <c r="AD502" s="30"/>
      <c r="AE502" s="30"/>
      <c r="AF502" s="30"/>
      <c r="AG502" s="30"/>
      <c r="AH502" s="30" t="s">
        <v>4714</v>
      </c>
      <c r="AI502" s="30" t="s">
        <v>9433</v>
      </c>
      <c r="AJ502" s="641" t="str">
        <f t="shared" si="14"/>
        <v>251401</v>
      </c>
      <c r="AK502" s="641">
        <v>1</v>
      </c>
      <c r="AL502" s="641">
        <f t="shared" si="15"/>
        <v>1</v>
      </c>
      <c r="AM502" s="641">
        <v>1</v>
      </c>
      <c r="AN502" s="30" t="s">
        <v>17650</v>
      </c>
      <c r="AO502" s="30" t="s">
        <v>17651</v>
      </c>
      <c r="AP502" s="30" t="s">
        <v>17652</v>
      </c>
      <c r="AQ502" s="30" t="s">
        <v>17653</v>
      </c>
      <c r="AR502" s="30" t="s">
        <v>1024</v>
      </c>
      <c r="AS502" s="30">
        <v>1</v>
      </c>
    </row>
    <row r="503" spans="1:45" x14ac:dyDescent="0.25">
      <c r="A503" s="30" t="s">
        <v>581</v>
      </c>
      <c r="B503" s="30" t="s">
        <v>27024</v>
      </c>
      <c r="C503" s="30" t="s">
        <v>67</v>
      </c>
      <c r="D503" s="139" t="s">
        <v>26079</v>
      </c>
      <c r="E503" s="30" t="s">
        <v>217</v>
      </c>
      <c r="F503" s="30">
        <v>1</v>
      </c>
      <c r="G503" s="30" t="s">
        <v>193</v>
      </c>
      <c r="H503" s="30" t="s">
        <v>194</v>
      </c>
      <c r="I503" s="30" t="s">
        <v>27253</v>
      </c>
      <c r="J503" s="30" t="s">
        <v>976</v>
      </c>
      <c r="K503" s="30" t="s">
        <v>9309</v>
      </c>
      <c r="L503" s="30" t="s">
        <v>6955</v>
      </c>
      <c r="M503" s="30"/>
      <c r="N503" s="30" t="s">
        <v>27025</v>
      </c>
      <c r="O503" s="30" t="s">
        <v>6275</v>
      </c>
      <c r="P503" s="30" t="s">
        <v>27475</v>
      </c>
      <c r="Q503" s="30" t="s">
        <v>26160</v>
      </c>
      <c r="R503" s="30" t="s">
        <v>26262</v>
      </c>
      <c r="S503" s="30" t="s">
        <v>27591</v>
      </c>
      <c r="T503" s="30" t="s">
        <v>27592</v>
      </c>
      <c r="U503" s="139"/>
      <c r="V503" s="139" t="s">
        <v>28321</v>
      </c>
      <c r="W503" s="30" t="s">
        <v>709</v>
      </c>
      <c r="X503" s="30" t="s">
        <v>193</v>
      </c>
      <c r="Y503" s="30" t="s">
        <v>9310</v>
      </c>
      <c r="Z503" s="30"/>
      <c r="AA503" s="30"/>
      <c r="AB503" s="30" t="s">
        <v>9311</v>
      </c>
      <c r="AC503" s="30"/>
      <c r="AD503" s="30"/>
      <c r="AE503" s="30"/>
      <c r="AF503" s="30"/>
      <c r="AG503" s="30"/>
      <c r="AH503" s="30" t="s">
        <v>4714</v>
      </c>
      <c r="AI503" s="30" t="s">
        <v>9433</v>
      </c>
      <c r="AJ503" s="641" t="str">
        <f t="shared" si="14"/>
        <v>432103</v>
      </c>
      <c r="AK503" s="641">
        <v>1</v>
      </c>
      <c r="AL503" s="641">
        <f t="shared" si="15"/>
        <v>1</v>
      </c>
      <c r="AM503" s="641">
        <v>1</v>
      </c>
      <c r="AN503" s="30" t="s">
        <v>17650</v>
      </c>
      <c r="AO503" s="30" t="s">
        <v>17651</v>
      </c>
      <c r="AP503" s="30" t="s">
        <v>17652</v>
      </c>
      <c r="AQ503" s="30" t="s">
        <v>17653</v>
      </c>
      <c r="AR503" s="30" t="s">
        <v>1024</v>
      </c>
      <c r="AS503" s="30">
        <v>1</v>
      </c>
    </row>
    <row r="504" spans="1:45" x14ac:dyDescent="0.25">
      <c r="A504" s="30" t="s">
        <v>716</v>
      </c>
      <c r="B504" s="30" t="s">
        <v>27331</v>
      </c>
      <c r="C504" s="30" t="s">
        <v>706</v>
      </c>
      <c r="D504" s="139" t="s">
        <v>26079</v>
      </c>
      <c r="E504" s="30" t="s">
        <v>217</v>
      </c>
      <c r="F504" s="30">
        <v>1</v>
      </c>
      <c r="G504" s="30" t="s">
        <v>193</v>
      </c>
      <c r="H504" s="30" t="s">
        <v>194</v>
      </c>
      <c r="I504" s="30" t="s">
        <v>27277</v>
      </c>
      <c r="J504" s="30" t="s">
        <v>210</v>
      </c>
      <c r="K504" s="30" t="s">
        <v>9309</v>
      </c>
      <c r="L504" s="30" t="s">
        <v>6955</v>
      </c>
      <c r="M504" s="30"/>
      <c r="N504" s="30" t="s">
        <v>27593</v>
      </c>
      <c r="O504" s="30" t="s">
        <v>6251</v>
      </c>
      <c r="P504" s="30" t="s">
        <v>27475</v>
      </c>
      <c r="Q504" s="30" t="s">
        <v>26139</v>
      </c>
      <c r="R504" s="30" t="s">
        <v>27256</v>
      </c>
      <c r="S504" s="30" t="s">
        <v>27594</v>
      </c>
      <c r="T504" s="651">
        <v>49731173</v>
      </c>
      <c r="U504" s="30"/>
      <c r="V504" s="139" t="s">
        <v>9334</v>
      </c>
      <c r="W504" s="30" t="s">
        <v>707</v>
      </c>
      <c r="X504" s="30" t="s">
        <v>194</v>
      </c>
      <c r="Y504" s="30" t="s">
        <v>9300</v>
      </c>
      <c r="Z504" s="30"/>
      <c r="AA504" s="30"/>
      <c r="AB504" s="30" t="s">
        <v>9311</v>
      </c>
      <c r="AC504" s="30"/>
      <c r="AD504" s="30"/>
      <c r="AE504" s="30"/>
      <c r="AF504" s="30"/>
      <c r="AG504" s="30"/>
      <c r="AH504" s="30" t="s">
        <v>4714</v>
      </c>
      <c r="AI504" s="30" t="s">
        <v>9433</v>
      </c>
      <c r="AJ504" s="641" t="str">
        <f t="shared" si="14"/>
        <v>422201</v>
      </c>
      <c r="AK504" s="641">
        <v>1</v>
      </c>
      <c r="AL504" s="641">
        <f t="shared" si="15"/>
        <v>1</v>
      </c>
      <c r="AM504" s="641">
        <v>1</v>
      </c>
      <c r="AN504" s="30" t="s">
        <v>17650</v>
      </c>
      <c r="AO504" s="30" t="s">
        <v>17651</v>
      </c>
      <c r="AP504" s="30" t="s">
        <v>17652</v>
      </c>
      <c r="AQ504" s="30" t="s">
        <v>17653</v>
      </c>
      <c r="AR504" s="30" t="s">
        <v>1024</v>
      </c>
      <c r="AS504" s="30">
        <v>1</v>
      </c>
    </row>
    <row r="505" spans="1:45" x14ac:dyDescent="0.25">
      <c r="A505" s="30" t="s">
        <v>26089</v>
      </c>
      <c r="B505" s="30" t="s">
        <v>26268</v>
      </c>
      <c r="C505" s="30" t="s">
        <v>444</v>
      </c>
      <c r="D505" s="139" t="s">
        <v>26079</v>
      </c>
      <c r="E505" s="30" t="s">
        <v>217</v>
      </c>
      <c r="F505" s="30">
        <v>1</v>
      </c>
      <c r="G505" s="30" t="s">
        <v>193</v>
      </c>
      <c r="H505" s="30" t="s">
        <v>194</v>
      </c>
      <c r="I505" s="30" t="s">
        <v>27253</v>
      </c>
      <c r="J505" s="30" t="s">
        <v>210</v>
      </c>
      <c r="K505" s="30" t="s">
        <v>9309</v>
      </c>
      <c r="L505" s="30" t="s">
        <v>6955</v>
      </c>
      <c r="M505" s="30"/>
      <c r="N505" s="30" t="s">
        <v>26269</v>
      </c>
      <c r="O505" s="30" t="s">
        <v>6261</v>
      </c>
      <c r="P505" s="30" t="s">
        <v>27475</v>
      </c>
      <c r="Q505" s="30" t="s">
        <v>26150</v>
      </c>
      <c r="R505" s="30" t="s">
        <v>23804</v>
      </c>
      <c r="S505" s="30" t="s">
        <v>27595</v>
      </c>
      <c r="T505" s="651" t="s">
        <v>27596</v>
      </c>
      <c r="U505" s="30"/>
      <c r="V505" s="139" t="s">
        <v>9334</v>
      </c>
      <c r="W505" s="30" t="s">
        <v>445</v>
      </c>
      <c r="X505" s="30" t="s">
        <v>194</v>
      </c>
      <c r="Y505" s="30" t="s">
        <v>9300</v>
      </c>
      <c r="Z505" s="30"/>
      <c r="AA505" s="30"/>
      <c r="AB505" s="30" t="s">
        <v>9311</v>
      </c>
      <c r="AC505" s="30"/>
      <c r="AD505" s="30"/>
      <c r="AE505" s="30"/>
      <c r="AF505" s="30"/>
      <c r="AG505" s="30"/>
      <c r="AH505" s="30" t="s">
        <v>4714</v>
      </c>
      <c r="AI505" s="30" t="s">
        <v>9433</v>
      </c>
      <c r="AJ505" s="641" t="str">
        <f t="shared" si="14"/>
        <v>243103</v>
      </c>
      <c r="AK505" s="641">
        <v>1</v>
      </c>
      <c r="AL505" s="641">
        <f t="shared" si="15"/>
        <v>1</v>
      </c>
      <c r="AM505" s="641">
        <v>1</v>
      </c>
      <c r="AN505" s="30" t="s">
        <v>17650</v>
      </c>
      <c r="AO505" s="30" t="s">
        <v>17651</v>
      </c>
      <c r="AP505" s="30" t="s">
        <v>17652</v>
      </c>
      <c r="AQ505" s="30" t="s">
        <v>17653</v>
      </c>
      <c r="AR505" s="30" t="s">
        <v>1024</v>
      </c>
      <c r="AS505" s="30">
        <v>1</v>
      </c>
    </row>
    <row r="506" spans="1:45" x14ac:dyDescent="0.25">
      <c r="A506" s="30" t="s">
        <v>26153</v>
      </c>
      <c r="B506" s="30" t="s">
        <v>26915</v>
      </c>
      <c r="C506" s="30" t="s">
        <v>10</v>
      </c>
      <c r="D506" s="139" t="s">
        <v>26079</v>
      </c>
      <c r="E506" s="30" t="s">
        <v>217</v>
      </c>
      <c r="F506" s="30">
        <v>1</v>
      </c>
      <c r="G506" s="30" t="s">
        <v>193</v>
      </c>
      <c r="H506" s="30" t="s">
        <v>194</v>
      </c>
      <c r="I506" s="30" t="s">
        <v>27253</v>
      </c>
      <c r="J506" s="30" t="s">
        <v>210</v>
      </c>
      <c r="K506" s="30" t="s">
        <v>9309</v>
      </c>
      <c r="L506" s="30" t="s">
        <v>6955</v>
      </c>
      <c r="M506" s="30"/>
      <c r="N506" s="30" t="s">
        <v>26916</v>
      </c>
      <c r="O506" s="30" t="s">
        <v>6261</v>
      </c>
      <c r="P506" s="30" t="s">
        <v>27475</v>
      </c>
      <c r="Q506" s="30" t="s">
        <v>26881</v>
      </c>
      <c r="R506" s="30" t="s">
        <v>26882</v>
      </c>
      <c r="S506" s="30" t="s">
        <v>27597</v>
      </c>
      <c r="T506" s="651" t="s">
        <v>27598</v>
      </c>
      <c r="U506" s="30"/>
      <c r="V506" s="139" t="s">
        <v>9334</v>
      </c>
      <c r="W506" s="30" t="s">
        <v>484</v>
      </c>
      <c r="X506" s="30" t="s">
        <v>194</v>
      </c>
      <c r="Y506" s="30" t="s">
        <v>9300</v>
      </c>
      <c r="Z506" s="30"/>
      <c r="AA506" s="30"/>
      <c r="AB506" s="30" t="s">
        <v>9311</v>
      </c>
      <c r="AC506" s="30"/>
      <c r="AD506" s="30"/>
      <c r="AE506" s="30"/>
      <c r="AF506" s="30"/>
      <c r="AG506" s="30"/>
      <c r="AH506" s="30" t="s">
        <v>4714</v>
      </c>
      <c r="AI506" s="30" t="s">
        <v>9433</v>
      </c>
      <c r="AJ506" s="641" t="str">
        <f t="shared" si="14"/>
        <v>251401</v>
      </c>
      <c r="AK506" s="641">
        <v>1</v>
      </c>
      <c r="AL506" s="641">
        <f t="shared" si="15"/>
        <v>1</v>
      </c>
      <c r="AM506" s="641">
        <v>1</v>
      </c>
      <c r="AN506" s="30" t="s">
        <v>17650</v>
      </c>
      <c r="AO506" s="30" t="s">
        <v>17651</v>
      </c>
      <c r="AP506" s="30" t="s">
        <v>17652</v>
      </c>
      <c r="AQ506" s="30" t="s">
        <v>17653</v>
      </c>
      <c r="AR506" s="30" t="s">
        <v>1024</v>
      </c>
      <c r="AS506" s="30">
        <v>1</v>
      </c>
    </row>
    <row r="507" spans="1:45" x14ac:dyDescent="0.25">
      <c r="A507" s="30" t="s">
        <v>26153</v>
      </c>
      <c r="B507" s="30" t="s">
        <v>496</v>
      </c>
      <c r="C507" s="30" t="s">
        <v>10</v>
      </c>
      <c r="D507" s="139" t="s">
        <v>26079</v>
      </c>
      <c r="E507" s="30" t="s">
        <v>217</v>
      </c>
      <c r="F507" s="30">
        <v>1</v>
      </c>
      <c r="G507" s="30" t="s">
        <v>193</v>
      </c>
      <c r="H507" s="30" t="s">
        <v>194</v>
      </c>
      <c r="I507" s="30" t="s">
        <v>27253</v>
      </c>
      <c r="J507" s="30" t="s">
        <v>210</v>
      </c>
      <c r="K507" s="30" t="s">
        <v>9309</v>
      </c>
      <c r="L507" s="30" t="s">
        <v>6955</v>
      </c>
      <c r="M507" s="30"/>
      <c r="N507" s="30" t="s">
        <v>26639</v>
      </c>
      <c r="O507" s="30" t="s">
        <v>6269</v>
      </c>
      <c r="P507" s="30" t="s">
        <v>27475</v>
      </c>
      <c r="Q507" s="30" t="s">
        <v>26201</v>
      </c>
      <c r="R507" s="30" t="s">
        <v>24556</v>
      </c>
      <c r="S507" s="30" t="s">
        <v>27599</v>
      </c>
      <c r="T507" s="651" t="s">
        <v>27600</v>
      </c>
      <c r="U507" s="30"/>
      <c r="V507" s="139" t="s">
        <v>9334</v>
      </c>
      <c r="W507" s="30" t="s">
        <v>484</v>
      </c>
      <c r="X507" s="30" t="s">
        <v>194</v>
      </c>
      <c r="Y507" s="30" t="s">
        <v>9300</v>
      </c>
      <c r="Z507" s="30"/>
      <c r="AA507" s="30"/>
      <c r="AB507" s="30" t="s">
        <v>9311</v>
      </c>
      <c r="AC507" s="30"/>
      <c r="AD507" s="30"/>
      <c r="AE507" s="30"/>
      <c r="AF507" s="30"/>
      <c r="AG507" s="30"/>
      <c r="AH507" s="30" t="s">
        <v>4714</v>
      </c>
      <c r="AI507" s="30" t="s">
        <v>9433</v>
      </c>
      <c r="AJ507" s="641" t="str">
        <f t="shared" si="14"/>
        <v>251401</v>
      </c>
      <c r="AK507" s="641">
        <v>1</v>
      </c>
      <c r="AL507" s="641">
        <f t="shared" si="15"/>
        <v>1</v>
      </c>
      <c r="AM507" s="641">
        <v>1</v>
      </c>
      <c r="AN507" s="30" t="s">
        <v>17650</v>
      </c>
      <c r="AO507" s="30" t="s">
        <v>17651</v>
      </c>
      <c r="AP507" s="30" t="s">
        <v>17652</v>
      </c>
      <c r="AQ507" s="30" t="s">
        <v>17653</v>
      </c>
      <c r="AR507" s="30" t="s">
        <v>1024</v>
      </c>
      <c r="AS507" s="30">
        <v>1</v>
      </c>
    </row>
    <row r="508" spans="1:45" x14ac:dyDescent="0.25">
      <c r="A508" s="30" t="s">
        <v>716</v>
      </c>
      <c r="B508" s="30" t="s">
        <v>26542</v>
      </c>
      <c r="C508" s="30" t="s">
        <v>27290</v>
      </c>
      <c r="D508" s="139" t="s">
        <v>26079</v>
      </c>
      <c r="E508" s="30" t="s">
        <v>217</v>
      </c>
      <c r="F508" s="30">
        <v>1</v>
      </c>
      <c r="G508" s="30" t="s">
        <v>193</v>
      </c>
      <c r="H508" s="30" t="s">
        <v>194</v>
      </c>
      <c r="I508" s="30" t="s">
        <v>27277</v>
      </c>
      <c r="J508" s="30" t="s">
        <v>210</v>
      </c>
      <c r="K508" s="30" t="s">
        <v>9309</v>
      </c>
      <c r="L508" s="30" t="s">
        <v>6955</v>
      </c>
      <c r="M508" s="30"/>
      <c r="N508" s="30" t="s">
        <v>26543</v>
      </c>
      <c r="O508" s="30" t="s">
        <v>6261</v>
      </c>
      <c r="P508" s="30" t="s">
        <v>27475</v>
      </c>
      <c r="Q508" s="30" t="s">
        <v>26085</v>
      </c>
      <c r="R508" s="30" t="s">
        <v>26057</v>
      </c>
      <c r="S508" s="30" t="s">
        <v>27601</v>
      </c>
      <c r="T508" s="651" t="s">
        <v>27602</v>
      </c>
      <c r="U508" s="30"/>
      <c r="V508" s="139" t="s">
        <v>9334</v>
      </c>
      <c r="W508" s="30" t="s">
        <v>27293</v>
      </c>
      <c r="X508" s="30" t="s">
        <v>194</v>
      </c>
      <c r="Y508" s="30" t="s">
        <v>9300</v>
      </c>
      <c r="Z508" s="30"/>
      <c r="AA508" s="30"/>
      <c r="AB508" s="30" t="s">
        <v>9311</v>
      </c>
      <c r="AC508" s="30"/>
      <c r="AD508" s="30"/>
      <c r="AE508" s="30"/>
      <c r="AF508" s="30"/>
      <c r="AG508" s="30"/>
      <c r="AH508" s="30" t="s">
        <v>4714</v>
      </c>
      <c r="AI508" s="30" t="s">
        <v>9433</v>
      </c>
      <c r="AJ508" s="641" t="str">
        <f t="shared" si="14"/>
        <v>352290</v>
      </c>
      <c r="AK508" s="641">
        <v>1</v>
      </c>
      <c r="AL508" s="641">
        <f t="shared" si="15"/>
        <v>1</v>
      </c>
      <c r="AM508" s="641">
        <v>1</v>
      </c>
      <c r="AN508" s="30" t="s">
        <v>17650</v>
      </c>
      <c r="AO508" s="30" t="s">
        <v>17651</v>
      </c>
      <c r="AP508" s="30" t="s">
        <v>17652</v>
      </c>
      <c r="AQ508" s="30" t="s">
        <v>17653</v>
      </c>
      <c r="AR508" s="30" t="s">
        <v>1024</v>
      </c>
      <c r="AS508" s="30">
        <v>1</v>
      </c>
    </row>
    <row r="509" spans="1:45" x14ac:dyDescent="0.25">
      <c r="A509" s="30" t="s">
        <v>23203</v>
      </c>
      <c r="B509" s="30" t="s">
        <v>26559</v>
      </c>
      <c r="C509" s="30" t="s">
        <v>84</v>
      </c>
      <c r="D509" s="139" t="s">
        <v>26079</v>
      </c>
      <c r="E509" s="30" t="s">
        <v>217</v>
      </c>
      <c r="F509" s="30">
        <v>1</v>
      </c>
      <c r="G509" s="30" t="s">
        <v>193</v>
      </c>
      <c r="H509" s="30" t="s">
        <v>194</v>
      </c>
      <c r="I509" s="30" t="s">
        <v>27253</v>
      </c>
      <c r="J509" s="30" t="s">
        <v>316</v>
      </c>
      <c r="K509" s="30" t="s">
        <v>9309</v>
      </c>
      <c r="L509" s="30" t="s">
        <v>6955</v>
      </c>
      <c r="M509" s="30"/>
      <c r="N509" s="30" t="s">
        <v>26560</v>
      </c>
      <c r="O509" s="30" t="s">
        <v>6269</v>
      </c>
      <c r="P509" s="30" t="s">
        <v>27311</v>
      </c>
      <c r="Q509" s="30" t="s">
        <v>26189</v>
      </c>
      <c r="R509" s="30" t="s">
        <v>27312</v>
      </c>
      <c r="S509" s="30" t="s">
        <v>27603</v>
      </c>
      <c r="T509" s="651" t="s">
        <v>27604</v>
      </c>
      <c r="U509" s="30"/>
      <c r="V509" s="139" t="s">
        <v>10012</v>
      </c>
      <c r="W509" s="30" t="s">
        <v>2665</v>
      </c>
      <c r="X509" s="30" t="s">
        <v>194</v>
      </c>
      <c r="Y509" s="30" t="s">
        <v>9300</v>
      </c>
      <c r="Z509" s="30"/>
      <c r="AA509" s="30"/>
      <c r="AB509" s="30" t="s">
        <v>9311</v>
      </c>
      <c r="AC509" s="30"/>
      <c r="AD509" s="30"/>
      <c r="AE509" s="30"/>
      <c r="AF509" s="30"/>
      <c r="AG509" s="30"/>
      <c r="AH509" s="30" t="s">
        <v>4714</v>
      </c>
      <c r="AI509" s="30" t="s">
        <v>9433</v>
      </c>
      <c r="AJ509" s="641" t="str">
        <f t="shared" si="14"/>
        <v>541315</v>
      </c>
      <c r="AK509" s="641">
        <v>1</v>
      </c>
      <c r="AL509" s="641">
        <f t="shared" si="15"/>
        <v>1</v>
      </c>
      <c r="AM509" s="641">
        <v>1</v>
      </c>
      <c r="AN509" s="30" t="s">
        <v>17650</v>
      </c>
      <c r="AO509" s="30" t="s">
        <v>17651</v>
      </c>
      <c r="AP509" s="30" t="s">
        <v>17652</v>
      </c>
      <c r="AQ509" s="30" t="s">
        <v>17653</v>
      </c>
      <c r="AR509" s="30" t="s">
        <v>1024</v>
      </c>
      <c r="AS509" s="30">
        <v>1</v>
      </c>
    </row>
    <row r="510" spans="1:45" x14ac:dyDescent="0.25">
      <c r="A510" s="30" t="s">
        <v>9886</v>
      </c>
      <c r="B510" s="30" t="s">
        <v>27605</v>
      </c>
      <c r="C510" s="30" t="s">
        <v>706</v>
      </c>
      <c r="D510" s="139" t="s">
        <v>26079</v>
      </c>
      <c r="E510" s="30" t="s">
        <v>217</v>
      </c>
      <c r="F510" s="30">
        <v>1</v>
      </c>
      <c r="G510" s="30" t="s">
        <v>193</v>
      </c>
      <c r="H510" s="30" t="s">
        <v>194</v>
      </c>
      <c r="I510" s="30" t="s">
        <v>27260</v>
      </c>
      <c r="J510" s="30" t="s">
        <v>210</v>
      </c>
      <c r="K510" s="30" t="s">
        <v>9309</v>
      </c>
      <c r="L510" s="30" t="s">
        <v>6955</v>
      </c>
      <c r="M510" s="30"/>
      <c r="N510" s="30" t="s">
        <v>27606</v>
      </c>
      <c r="O510" s="30" t="s">
        <v>6251</v>
      </c>
      <c r="P510" s="30" t="s">
        <v>27475</v>
      </c>
      <c r="Q510" s="30" t="s">
        <v>24551</v>
      </c>
      <c r="R510" s="30" t="s">
        <v>27361</v>
      </c>
      <c r="S510" s="30" t="s">
        <v>27607</v>
      </c>
      <c r="T510" s="651" t="s">
        <v>27608</v>
      </c>
      <c r="U510" s="30"/>
      <c r="V510" s="139" t="s">
        <v>9334</v>
      </c>
      <c r="W510" s="30" t="s">
        <v>707</v>
      </c>
      <c r="X510" s="30" t="s">
        <v>194</v>
      </c>
      <c r="Y510" s="30" t="s">
        <v>9300</v>
      </c>
      <c r="Z510" s="30"/>
      <c r="AA510" s="30"/>
      <c r="AB510" s="30" t="s">
        <v>9311</v>
      </c>
      <c r="AC510" s="30"/>
      <c r="AD510" s="30"/>
      <c r="AE510" s="30"/>
      <c r="AF510" s="30"/>
      <c r="AG510" s="30"/>
      <c r="AH510" s="30" t="s">
        <v>4714</v>
      </c>
      <c r="AI510" s="30" t="s">
        <v>9433</v>
      </c>
      <c r="AJ510" s="641" t="str">
        <f t="shared" si="14"/>
        <v>422201</v>
      </c>
      <c r="AK510" s="641">
        <v>1</v>
      </c>
      <c r="AL510" s="641">
        <f t="shared" si="15"/>
        <v>1</v>
      </c>
      <c r="AM510" s="641">
        <v>1</v>
      </c>
      <c r="AN510" s="30" t="s">
        <v>17650</v>
      </c>
      <c r="AO510" s="30" t="s">
        <v>17651</v>
      </c>
      <c r="AP510" s="30" t="s">
        <v>17652</v>
      </c>
      <c r="AQ510" s="30" t="s">
        <v>17653</v>
      </c>
      <c r="AR510" s="30" t="s">
        <v>1024</v>
      </c>
      <c r="AS510" s="30">
        <v>1</v>
      </c>
    </row>
    <row r="511" spans="1:45" x14ac:dyDescent="0.25">
      <c r="A511" s="30" t="s">
        <v>26024</v>
      </c>
      <c r="B511" s="30" t="s">
        <v>26025</v>
      </c>
      <c r="C511" s="30" t="s">
        <v>17</v>
      </c>
      <c r="D511" s="139" t="s">
        <v>26079</v>
      </c>
      <c r="E511" s="30" t="s">
        <v>217</v>
      </c>
      <c r="F511" s="30">
        <v>1</v>
      </c>
      <c r="G511" s="30" t="s">
        <v>193</v>
      </c>
      <c r="H511" s="30" t="s">
        <v>194</v>
      </c>
      <c r="I511" s="30" t="s">
        <v>27253</v>
      </c>
      <c r="J511" s="30" t="s">
        <v>210</v>
      </c>
      <c r="K511" s="30" t="s">
        <v>9309</v>
      </c>
      <c r="L511" s="30" t="s">
        <v>6955</v>
      </c>
      <c r="M511" s="30"/>
      <c r="N511" s="30" t="s">
        <v>26471</v>
      </c>
      <c r="O511" s="30" t="s">
        <v>6249</v>
      </c>
      <c r="P511" s="30" t="s">
        <v>27475</v>
      </c>
      <c r="Q511" s="30" t="s">
        <v>26182</v>
      </c>
      <c r="R511" s="30" t="s">
        <v>26183</v>
      </c>
      <c r="S511" s="30" t="s">
        <v>27609</v>
      </c>
      <c r="T511" s="651" t="s">
        <v>27610</v>
      </c>
      <c r="U511" s="30"/>
      <c r="V511" s="139" t="s">
        <v>9334</v>
      </c>
      <c r="W511" s="30" t="s">
        <v>624</v>
      </c>
      <c r="X511" s="30" t="s">
        <v>194</v>
      </c>
      <c r="Y511" s="30" t="s">
        <v>9300</v>
      </c>
      <c r="Z511" s="30"/>
      <c r="AA511" s="30"/>
      <c r="AB511" s="30" t="s">
        <v>9311</v>
      </c>
      <c r="AC511" s="30"/>
      <c r="AD511" s="30"/>
      <c r="AE511" s="30"/>
      <c r="AF511" s="30"/>
      <c r="AG511" s="30"/>
      <c r="AH511" s="30" t="s">
        <v>4714</v>
      </c>
      <c r="AI511" s="30" t="s">
        <v>9433</v>
      </c>
      <c r="AJ511" s="641" t="str">
        <f t="shared" si="14"/>
        <v>332203</v>
      </c>
      <c r="AK511" s="641">
        <v>1</v>
      </c>
      <c r="AL511" s="641">
        <f t="shared" si="15"/>
        <v>1</v>
      </c>
      <c r="AM511" s="641">
        <v>1</v>
      </c>
      <c r="AN511" s="30" t="s">
        <v>17650</v>
      </c>
      <c r="AO511" s="30" t="s">
        <v>17651</v>
      </c>
      <c r="AP511" s="30" t="s">
        <v>17652</v>
      </c>
      <c r="AQ511" s="30" t="s">
        <v>17653</v>
      </c>
      <c r="AR511" s="30" t="s">
        <v>1024</v>
      </c>
      <c r="AS511" s="30">
        <v>1</v>
      </c>
    </row>
    <row r="512" spans="1:45" x14ac:dyDescent="0.25">
      <c r="A512" s="30" t="s">
        <v>716</v>
      </c>
      <c r="B512" s="30" t="s">
        <v>27098</v>
      </c>
      <c r="C512" s="30" t="s">
        <v>706</v>
      </c>
      <c r="D512" s="139" t="s">
        <v>26079</v>
      </c>
      <c r="E512" s="30" t="s">
        <v>217</v>
      </c>
      <c r="F512" s="30">
        <v>1</v>
      </c>
      <c r="G512" s="30" t="s">
        <v>193</v>
      </c>
      <c r="H512" s="30" t="s">
        <v>194</v>
      </c>
      <c r="I512" s="30" t="s">
        <v>27277</v>
      </c>
      <c r="J512" s="30" t="s">
        <v>210</v>
      </c>
      <c r="K512" s="30" t="s">
        <v>9309</v>
      </c>
      <c r="L512" s="30" t="s">
        <v>6955</v>
      </c>
      <c r="M512" s="30"/>
      <c r="N512" s="30" t="s">
        <v>27611</v>
      </c>
      <c r="O512" s="30" t="s">
        <v>6286</v>
      </c>
      <c r="P512" s="30" t="s">
        <v>27475</v>
      </c>
      <c r="Q512" s="30" t="s">
        <v>24551</v>
      </c>
      <c r="R512" s="30" t="s">
        <v>27361</v>
      </c>
      <c r="S512" s="30" t="s">
        <v>27612</v>
      </c>
      <c r="T512" s="30" t="s">
        <v>27613</v>
      </c>
      <c r="U512" s="30"/>
      <c r="V512" s="139">
        <v>1863</v>
      </c>
      <c r="W512" s="30" t="s">
        <v>707</v>
      </c>
      <c r="X512" s="30" t="s">
        <v>194</v>
      </c>
      <c r="Y512" s="30" t="s">
        <v>9300</v>
      </c>
      <c r="Z512" s="30"/>
      <c r="AA512" s="30"/>
      <c r="AB512" s="30" t="s">
        <v>9311</v>
      </c>
      <c r="AC512" s="30"/>
      <c r="AD512" s="30"/>
      <c r="AE512" s="30"/>
      <c r="AF512" s="30"/>
      <c r="AG512" s="30"/>
      <c r="AH512" s="30" t="s">
        <v>4714</v>
      </c>
      <c r="AI512" s="30" t="s">
        <v>9433</v>
      </c>
      <c r="AJ512" s="641" t="str">
        <f t="shared" si="14"/>
        <v>422201</v>
      </c>
      <c r="AK512" s="641">
        <v>1</v>
      </c>
      <c r="AL512" s="641">
        <f t="shared" si="15"/>
        <v>1</v>
      </c>
      <c r="AM512" s="641">
        <v>1</v>
      </c>
      <c r="AN512" s="30" t="s">
        <v>17650</v>
      </c>
      <c r="AO512" s="30" t="s">
        <v>17651</v>
      </c>
      <c r="AP512" s="30" t="s">
        <v>17652</v>
      </c>
      <c r="AQ512" s="30" t="s">
        <v>17653</v>
      </c>
      <c r="AR512" s="30" t="s">
        <v>1024</v>
      </c>
      <c r="AS512" s="30">
        <v>1</v>
      </c>
    </row>
    <row r="513" spans="1:45" x14ac:dyDescent="0.25">
      <c r="A513" s="30" t="s">
        <v>258</v>
      </c>
      <c r="B513" s="30" t="s">
        <v>26208</v>
      </c>
      <c r="C513" s="30" t="s">
        <v>778</v>
      </c>
      <c r="D513" s="139" t="s">
        <v>26079</v>
      </c>
      <c r="E513" s="30" t="s">
        <v>217</v>
      </c>
      <c r="F513" s="30">
        <v>1</v>
      </c>
      <c r="G513" s="30" t="s">
        <v>193</v>
      </c>
      <c r="H513" s="30" t="s">
        <v>194</v>
      </c>
      <c r="I513" s="30" t="s">
        <v>27260</v>
      </c>
      <c r="J513" s="30" t="s">
        <v>408</v>
      </c>
      <c r="K513" s="30" t="s">
        <v>9309</v>
      </c>
      <c r="L513" s="30" t="s">
        <v>6955</v>
      </c>
      <c r="M513" s="30"/>
      <c r="N513" s="30" t="s">
        <v>26209</v>
      </c>
      <c r="O513" s="30" t="s">
        <v>6251</v>
      </c>
      <c r="P513" s="30" t="s">
        <v>27475</v>
      </c>
      <c r="Q513" s="30" t="s">
        <v>26073</v>
      </c>
      <c r="R513" s="30" t="s">
        <v>26183</v>
      </c>
      <c r="S513" s="30" t="s">
        <v>27614</v>
      </c>
      <c r="T513" s="30" t="s">
        <v>27615</v>
      </c>
      <c r="U513" s="30"/>
      <c r="V513" s="139" t="s">
        <v>9479</v>
      </c>
      <c r="W513" s="30" t="s">
        <v>779</v>
      </c>
      <c r="X513" s="30" t="s">
        <v>194</v>
      </c>
      <c r="Y513" s="30" t="s">
        <v>9300</v>
      </c>
      <c r="Z513" s="30"/>
      <c r="AA513" s="30"/>
      <c r="AB513" s="30" t="s">
        <v>9311</v>
      </c>
      <c r="AC513" s="30"/>
      <c r="AD513" s="30"/>
      <c r="AE513" s="30"/>
      <c r="AF513" s="30"/>
      <c r="AG513" s="30"/>
      <c r="AH513" s="30" t="s">
        <v>4714</v>
      </c>
      <c r="AI513" s="30" t="s">
        <v>9433</v>
      </c>
      <c r="AJ513" s="641" t="str">
        <f t="shared" si="14"/>
        <v>524902</v>
      </c>
      <c r="AK513" s="641">
        <v>1</v>
      </c>
      <c r="AL513" s="641">
        <f t="shared" si="15"/>
        <v>1</v>
      </c>
      <c r="AM513" s="641">
        <v>1</v>
      </c>
      <c r="AN513" s="30" t="s">
        <v>17650</v>
      </c>
      <c r="AO513" s="30" t="s">
        <v>17651</v>
      </c>
      <c r="AP513" s="30" t="s">
        <v>17652</v>
      </c>
      <c r="AQ513" s="30" t="s">
        <v>17653</v>
      </c>
      <c r="AR513" s="30" t="s">
        <v>1024</v>
      </c>
      <c r="AS513" s="30">
        <v>1</v>
      </c>
    </row>
    <row r="514" spans="1:45" x14ac:dyDescent="0.25">
      <c r="A514" s="30" t="s">
        <v>26193</v>
      </c>
      <c r="B514" s="30" t="s">
        <v>26194</v>
      </c>
      <c r="C514" s="30" t="s">
        <v>227</v>
      </c>
      <c r="D514" s="139" t="s">
        <v>26079</v>
      </c>
      <c r="E514" s="30" t="s">
        <v>217</v>
      </c>
      <c r="F514" s="30">
        <v>1</v>
      </c>
      <c r="G514" s="30" t="s">
        <v>193</v>
      </c>
      <c r="H514" s="30" t="s">
        <v>194</v>
      </c>
      <c r="I514" s="30" t="s">
        <v>27277</v>
      </c>
      <c r="J514" s="30" t="s">
        <v>747</v>
      </c>
      <c r="K514" s="30" t="s">
        <v>9309</v>
      </c>
      <c r="L514" s="30" t="s">
        <v>6955</v>
      </c>
      <c r="M514" s="30"/>
      <c r="N514" s="30" t="s">
        <v>27616</v>
      </c>
      <c r="O514" s="30" t="s">
        <v>6269</v>
      </c>
      <c r="P514" s="30" t="s">
        <v>27475</v>
      </c>
      <c r="Q514" s="30" t="s">
        <v>26109</v>
      </c>
      <c r="R514" s="30" t="s">
        <v>27328</v>
      </c>
      <c r="S514" s="30" t="s">
        <v>27617</v>
      </c>
      <c r="T514" s="30" t="s">
        <v>27618</v>
      </c>
      <c r="U514" s="30"/>
      <c r="V514" s="139" t="s">
        <v>10397</v>
      </c>
      <c r="W514" s="30" t="s">
        <v>229</v>
      </c>
      <c r="X514" s="30" t="s">
        <v>194</v>
      </c>
      <c r="Y514" s="30" t="s">
        <v>9300</v>
      </c>
      <c r="Z514" s="30"/>
      <c r="AA514" s="30"/>
      <c r="AB514" s="30" t="s">
        <v>9311</v>
      </c>
      <c r="AC514" s="30"/>
      <c r="AD514" s="30"/>
      <c r="AE514" s="30"/>
      <c r="AF514" s="30"/>
      <c r="AG514" s="30"/>
      <c r="AH514" s="30" t="s">
        <v>4714</v>
      </c>
      <c r="AI514" s="30" t="s">
        <v>9433</v>
      </c>
      <c r="AJ514" s="641" t="str">
        <f t="shared" si="14"/>
        <v>132401</v>
      </c>
      <c r="AK514" s="641">
        <v>1</v>
      </c>
      <c r="AL514" s="641">
        <f t="shared" si="15"/>
        <v>1</v>
      </c>
      <c r="AM514" s="641">
        <v>1</v>
      </c>
      <c r="AN514" s="30" t="s">
        <v>17650</v>
      </c>
      <c r="AO514" s="30" t="s">
        <v>17651</v>
      </c>
      <c r="AP514" s="30" t="s">
        <v>17652</v>
      </c>
      <c r="AQ514" s="30" t="s">
        <v>17653</v>
      </c>
      <c r="AR514" s="30" t="s">
        <v>1024</v>
      </c>
      <c r="AS514" s="30">
        <v>1</v>
      </c>
    </row>
    <row r="515" spans="1:45" x14ac:dyDescent="0.25">
      <c r="A515" s="30" t="s">
        <v>26089</v>
      </c>
      <c r="B515" s="30" t="s">
        <v>27619</v>
      </c>
      <c r="C515" s="30" t="s">
        <v>27</v>
      </c>
      <c r="D515" s="139" t="s">
        <v>26079</v>
      </c>
      <c r="E515" s="30" t="s">
        <v>217</v>
      </c>
      <c r="F515" s="30">
        <v>1</v>
      </c>
      <c r="G515" s="30" t="s">
        <v>193</v>
      </c>
      <c r="H515" s="30" t="s">
        <v>194</v>
      </c>
      <c r="I515" s="30" t="s">
        <v>27253</v>
      </c>
      <c r="J515" s="30" t="s">
        <v>210</v>
      </c>
      <c r="K515" s="30" t="s">
        <v>9309</v>
      </c>
      <c r="L515" s="30" t="s">
        <v>6955</v>
      </c>
      <c r="M515" s="30"/>
      <c r="N515" s="30" t="s">
        <v>27620</v>
      </c>
      <c r="O515" s="30" t="s">
        <v>6261</v>
      </c>
      <c r="P515" s="30" t="s">
        <v>27475</v>
      </c>
      <c r="Q515" s="30" t="s">
        <v>25893</v>
      </c>
      <c r="R515" s="30" t="s">
        <v>27300</v>
      </c>
      <c r="S515" s="30" t="s">
        <v>27621</v>
      </c>
      <c r="T515" s="30" t="s">
        <v>27622</v>
      </c>
      <c r="U515" s="30"/>
      <c r="V515" s="139" t="s">
        <v>9334</v>
      </c>
      <c r="W515" s="30" t="s">
        <v>440</v>
      </c>
      <c r="X515" s="30" t="s">
        <v>194</v>
      </c>
      <c r="Y515" s="30" t="s">
        <v>9300</v>
      </c>
      <c r="Z515" s="30"/>
      <c r="AA515" s="30"/>
      <c r="AB515" s="30" t="s">
        <v>9311</v>
      </c>
      <c r="AC515" s="30"/>
      <c r="AD515" s="30"/>
      <c r="AE515" s="30"/>
      <c r="AF515" s="30"/>
      <c r="AG515" s="30"/>
      <c r="AH515" s="30" t="s">
        <v>4714</v>
      </c>
      <c r="AI515" s="30" t="s">
        <v>9433</v>
      </c>
      <c r="AJ515" s="641" t="str">
        <f t="shared" ref="AJ515:AJ578" si="16">MID(W515,8,6)</f>
        <v>242307</v>
      </c>
      <c r="AK515" s="641">
        <v>1</v>
      </c>
      <c r="AL515" s="641">
        <f t="shared" ref="AL515:AL578" si="17">F515</f>
        <v>1</v>
      </c>
      <c r="AM515" s="641">
        <v>1</v>
      </c>
      <c r="AN515" s="30" t="s">
        <v>17650</v>
      </c>
      <c r="AO515" s="30" t="s">
        <v>17651</v>
      </c>
      <c r="AP515" s="30" t="s">
        <v>17652</v>
      </c>
      <c r="AQ515" s="30" t="s">
        <v>17653</v>
      </c>
      <c r="AR515" s="30" t="s">
        <v>1024</v>
      </c>
      <c r="AS515" s="30">
        <v>1</v>
      </c>
    </row>
    <row r="516" spans="1:45" x14ac:dyDescent="0.25">
      <c r="A516" s="30" t="s">
        <v>716</v>
      </c>
      <c r="B516" s="30" t="s">
        <v>26249</v>
      </c>
      <c r="C516" s="30" t="s">
        <v>27</v>
      </c>
      <c r="D516" s="139" t="s">
        <v>26079</v>
      </c>
      <c r="E516" s="30" t="s">
        <v>217</v>
      </c>
      <c r="F516" s="30">
        <v>1</v>
      </c>
      <c r="G516" s="30" t="s">
        <v>193</v>
      </c>
      <c r="H516" s="30" t="s">
        <v>194</v>
      </c>
      <c r="I516" s="30" t="s">
        <v>27253</v>
      </c>
      <c r="J516" s="30" t="s">
        <v>210</v>
      </c>
      <c r="K516" s="30" t="s">
        <v>9309</v>
      </c>
      <c r="L516" s="30" t="s">
        <v>6955</v>
      </c>
      <c r="M516" s="30"/>
      <c r="N516" s="30" t="s">
        <v>26250</v>
      </c>
      <c r="O516" s="30" t="s">
        <v>6340</v>
      </c>
      <c r="P516" s="30" t="s">
        <v>27475</v>
      </c>
      <c r="Q516" s="30" t="s">
        <v>26251</v>
      </c>
      <c r="R516" s="30" t="s">
        <v>26252</v>
      </c>
      <c r="S516" s="30" t="s">
        <v>27623</v>
      </c>
      <c r="T516" s="30" t="s">
        <v>27624</v>
      </c>
      <c r="U516" s="30"/>
      <c r="V516" s="139" t="s">
        <v>9334</v>
      </c>
      <c r="W516" s="30" t="s">
        <v>440</v>
      </c>
      <c r="X516" s="30" t="s">
        <v>194</v>
      </c>
      <c r="Y516" s="30" t="s">
        <v>9300</v>
      </c>
      <c r="Z516" s="30"/>
      <c r="AA516" s="30"/>
      <c r="AB516" s="30" t="s">
        <v>9311</v>
      </c>
      <c r="AC516" s="30"/>
      <c r="AD516" s="30"/>
      <c r="AE516" s="30"/>
      <c r="AF516" s="30"/>
      <c r="AG516" s="30"/>
      <c r="AH516" s="30" t="s">
        <v>5109</v>
      </c>
      <c r="AI516" s="30" t="s">
        <v>9433</v>
      </c>
      <c r="AJ516" s="641" t="str">
        <f t="shared" si="16"/>
        <v>242307</v>
      </c>
      <c r="AK516" s="641">
        <v>1</v>
      </c>
      <c r="AL516" s="641">
        <f t="shared" si="17"/>
        <v>1</v>
      </c>
      <c r="AM516" s="641">
        <v>1</v>
      </c>
      <c r="AN516" s="30" t="s">
        <v>17650</v>
      </c>
      <c r="AO516" s="30" t="s">
        <v>17651</v>
      </c>
      <c r="AP516" s="30" t="s">
        <v>17652</v>
      </c>
      <c r="AQ516" s="30" t="s">
        <v>17653</v>
      </c>
      <c r="AR516" s="30" t="s">
        <v>1024</v>
      </c>
      <c r="AS516" s="30">
        <v>1</v>
      </c>
    </row>
    <row r="517" spans="1:45" x14ac:dyDescent="0.25">
      <c r="A517" s="30" t="s">
        <v>10145</v>
      </c>
      <c r="B517" s="30" t="s">
        <v>27078</v>
      </c>
      <c r="C517" s="30" t="s">
        <v>17</v>
      </c>
      <c r="D517" s="139" t="s">
        <v>26079</v>
      </c>
      <c r="E517" s="30" t="s">
        <v>217</v>
      </c>
      <c r="F517" s="30">
        <v>1</v>
      </c>
      <c r="G517" s="30" t="s">
        <v>193</v>
      </c>
      <c r="H517" s="30" t="s">
        <v>194</v>
      </c>
      <c r="I517" s="30" t="s">
        <v>27253</v>
      </c>
      <c r="J517" s="30" t="s">
        <v>26228</v>
      </c>
      <c r="K517" s="30" t="s">
        <v>9309</v>
      </c>
      <c r="L517" s="30" t="s">
        <v>6955</v>
      </c>
      <c r="M517" s="30"/>
      <c r="N517" s="30" t="s">
        <v>27214</v>
      </c>
      <c r="O517" s="30" t="s">
        <v>6343</v>
      </c>
      <c r="P517" s="30" t="s">
        <v>27475</v>
      </c>
      <c r="Q517" s="30" t="s">
        <v>26139</v>
      </c>
      <c r="R517" s="30" t="s">
        <v>26787</v>
      </c>
      <c r="S517" s="30" t="s">
        <v>27625</v>
      </c>
      <c r="T517" s="30" t="s">
        <v>27626</v>
      </c>
      <c r="U517" s="30"/>
      <c r="V517" s="139" t="s">
        <v>9726</v>
      </c>
      <c r="W517" s="30" t="s">
        <v>624</v>
      </c>
      <c r="X517" s="30" t="s">
        <v>194</v>
      </c>
      <c r="Y517" s="30" t="s">
        <v>9300</v>
      </c>
      <c r="Z517" s="30"/>
      <c r="AA517" s="30"/>
      <c r="AB517" s="30" t="s">
        <v>9311</v>
      </c>
      <c r="AC517" s="30"/>
      <c r="AD517" s="30"/>
      <c r="AE517" s="30"/>
      <c r="AF517" s="30"/>
      <c r="AG517" s="30"/>
      <c r="AH517" s="30" t="s">
        <v>4714</v>
      </c>
      <c r="AI517" s="30" t="s">
        <v>9433</v>
      </c>
      <c r="AJ517" s="641" t="str">
        <f t="shared" si="16"/>
        <v>332203</v>
      </c>
      <c r="AK517" s="641">
        <v>1</v>
      </c>
      <c r="AL517" s="641">
        <f t="shared" si="17"/>
        <v>1</v>
      </c>
      <c r="AM517" s="641">
        <v>1</v>
      </c>
      <c r="AN517" s="30" t="s">
        <v>17650</v>
      </c>
      <c r="AO517" s="30" t="s">
        <v>17651</v>
      </c>
      <c r="AP517" s="30" t="s">
        <v>17652</v>
      </c>
      <c r="AQ517" s="30" t="s">
        <v>17653</v>
      </c>
      <c r="AR517" s="30" t="s">
        <v>1024</v>
      </c>
      <c r="AS517" s="30">
        <v>1</v>
      </c>
    </row>
    <row r="518" spans="1:45" x14ac:dyDescent="0.25">
      <c r="A518" s="30" t="s">
        <v>26153</v>
      </c>
      <c r="B518" s="30" t="s">
        <v>26587</v>
      </c>
      <c r="C518" s="30" t="s">
        <v>2861</v>
      </c>
      <c r="D518" s="139" t="s">
        <v>26079</v>
      </c>
      <c r="E518" s="30" t="s">
        <v>217</v>
      </c>
      <c r="F518" s="30">
        <v>1</v>
      </c>
      <c r="G518" s="30" t="s">
        <v>193</v>
      </c>
      <c r="H518" s="30" t="s">
        <v>194</v>
      </c>
      <c r="I518" s="30" t="s">
        <v>23198</v>
      </c>
      <c r="J518" s="30" t="s">
        <v>210</v>
      </c>
      <c r="K518" s="30" t="s">
        <v>9309</v>
      </c>
      <c r="L518" s="30" t="s">
        <v>6955</v>
      </c>
      <c r="M518" s="30"/>
      <c r="N518" s="30" t="s">
        <v>26588</v>
      </c>
      <c r="O518" s="30" t="s">
        <v>6261</v>
      </c>
      <c r="P518" s="30" t="s">
        <v>27475</v>
      </c>
      <c r="Q518" s="30" t="s">
        <v>26251</v>
      </c>
      <c r="R518" s="30" t="s">
        <v>26252</v>
      </c>
      <c r="S518" s="30" t="s">
        <v>27627</v>
      </c>
      <c r="T518" s="30" t="s">
        <v>27628</v>
      </c>
      <c r="U518" s="30"/>
      <c r="V518" s="139" t="s">
        <v>9334</v>
      </c>
      <c r="W518" s="30" t="s">
        <v>3629</v>
      </c>
      <c r="X518" s="30" t="s">
        <v>194</v>
      </c>
      <c r="Y518" s="30" t="s">
        <v>9300</v>
      </c>
      <c r="Z518" s="30"/>
      <c r="AA518" s="30"/>
      <c r="AB518" s="30" t="s">
        <v>9311</v>
      </c>
      <c r="AC518" s="30"/>
      <c r="AD518" s="30"/>
      <c r="AE518" s="30"/>
      <c r="AF518" s="30"/>
      <c r="AG518" s="30"/>
      <c r="AH518" s="30" t="s">
        <v>4714</v>
      </c>
      <c r="AI518" s="30" t="s">
        <v>9433</v>
      </c>
      <c r="AJ518" s="641" t="str">
        <f t="shared" si="16"/>
        <v>251903</v>
      </c>
      <c r="AK518" s="641">
        <v>1</v>
      </c>
      <c r="AL518" s="641">
        <f t="shared" si="17"/>
        <v>1</v>
      </c>
      <c r="AM518" s="641">
        <v>1</v>
      </c>
      <c r="AN518" s="30" t="s">
        <v>17650</v>
      </c>
      <c r="AO518" s="30" t="s">
        <v>17651</v>
      </c>
      <c r="AP518" s="30" t="s">
        <v>17652</v>
      </c>
      <c r="AQ518" s="30" t="s">
        <v>17653</v>
      </c>
      <c r="AR518" s="30" t="s">
        <v>1024</v>
      </c>
      <c r="AS518" s="30">
        <v>1</v>
      </c>
    </row>
    <row r="519" spans="1:45" x14ac:dyDescent="0.25">
      <c r="A519" s="30" t="s">
        <v>716</v>
      </c>
      <c r="B519" s="30" t="s">
        <v>27009</v>
      </c>
      <c r="C519" s="30" t="s">
        <v>706</v>
      </c>
      <c r="D519" s="139" t="s">
        <v>26079</v>
      </c>
      <c r="E519" s="30" t="s">
        <v>217</v>
      </c>
      <c r="F519" s="30">
        <v>1</v>
      </c>
      <c r="G519" s="30" t="s">
        <v>193</v>
      </c>
      <c r="H519" s="30" t="s">
        <v>194</v>
      </c>
      <c r="I519" s="30" t="s">
        <v>27260</v>
      </c>
      <c r="J519" s="30" t="s">
        <v>210</v>
      </c>
      <c r="K519" s="30" t="s">
        <v>9309</v>
      </c>
      <c r="L519" s="30" t="s">
        <v>6955</v>
      </c>
      <c r="M519" s="30"/>
      <c r="N519" s="30" t="s">
        <v>27629</v>
      </c>
      <c r="O519" s="30" t="s">
        <v>6251</v>
      </c>
      <c r="P519" s="30" t="s">
        <v>27475</v>
      </c>
      <c r="Q519" s="30" t="s">
        <v>26160</v>
      </c>
      <c r="R519" s="30" t="s">
        <v>27340</v>
      </c>
      <c r="S519" s="30" t="s">
        <v>27630</v>
      </c>
      <c r="T519" s="30" t="s">
        <v>27631</v>
      </c>
      <c r="U519" s="30"/>
      <c r="V519" s="139" t="s">
        <v>9334</v>
      </c>
      <c r="W519" s="30" t="s">
        <v>707</v>
      </c>
      <c r="X519" s="30" t="s">
        <v>194</v>
      </c>
      <c r="Y519" s="30" t="s">
        <v>9300</v>
      </c>
      <c r="Z519" s="30"/>
      <c r="AA519" s="30"/>
      <c r="AB519" s="30" t="s">
        <v>9311</v>
      </c>
      <c r="AC519" s="30"/>
      <c r="AD519" s="30"/>
      <c r="AE519" s="30"/>
      <c r="AF519" s="30"/>
      <c r="AG519" s="30"/>
      <c r="AH519" s="30" t="s">
        <v>4714</v>
      </c>
      <c r="AI519" s="30" t="s">
        <v>9433</v>
      </c>
      <c r="AJ519" s="641" t="str">
        <f t="shared" si="16"/>
        <v>422201</v>
      </c>
      <c r="AK519" s="641">
        <v>1</v>
      </c>
      <c r="AL519" s="641">
        <f t="shared" si="17"/>
        <v>1</v>
      </c>
      <c r="AM519" s="641">
        <v>1</v>
      </c>
      <c r="AN519" s="30" t="s">
        <v>17650</v>
      </c>
      <c r="AO519" s="30" t="s">
        <v>17651</v>
      </c>
      <c r="AP519" s="30" t="s">
        <v>17652</v>
      </c>
      <c r="AQ519" s="30" t="s">
        <v>17653</v>
      </c>
      <c r="AR519" s="30" t="s">
        <v>1024</v>
      </c>
      <c r="AS519" s="30">
        <v>1</v>
      </c>
    </row>
    <row r="520" spans="1:45" x14ac:dyDescent="0.25">
      <c r="A520" s="30" t="s">
        <v>26089</v>
      </c>
      <c r="B520" s="30" t="s">
        <v>26616</v>
      </c>
      <c r="C520" s="30" t="s">
        <v>26180</v>
      </c>
      <c r="D520" s="139" t="s">
        <v>26079</v>
      </c>
      <c r="E520" s="30" t="s">
        <v>217</v>
      </c>
      <c r="F520" s="30">
        <v>1</v>
      </c>
      <c r="G520" s="30" t="s">
        <v>193</v>
      </c>
      <c r="H520" s="30" t="s">
        <v>194</v>
      </c>
      <c r="I520" s="30" t="s">
        <v>27277</v>
      </c>
      <c r="J520" s="30" t="s">
        <v>4751</v>
      </c>
      <c r="K520" s="30" t="s">
        <v>9309</v>
      </c>
      <c r="L520" s="30" t="s">
        <v>6955</v>
      </c>
      <c r="M520" s="30"/>
      <c r="N520" s="30" t="s">
        <v>27632</v>
      </c>
      <c r="O520" s="30" t="s">
        <v>6251</v>
      </c>
      <c r="P520" s="30" t="s">
        <v>27475</v>
      </c>
      <c r="Q520" s="30" t="s">
        <v>25893</v>
      </c>
      <c r="R520" s="30" t="s">
        <v>27300</v>
      </c>
      <c r="S520" s="30" t="s">
        <v>27633</v>
      </c>
      <c r="T520" s="30" t="s">
        <v>27634</v>
      </c>
      <c r="U520" s="30"/>
      <c r="V520" s="139" t="s">
        <v>9472</v>
      </c>
      <c r="W520" s="30" t="s">
        <v>26186</v>
      </c>
      <c r="X520" s="30" t="s">
        <v>194</v>
      </c>
      <c r="Y520" s="30" t="s">
        <v>9300</v>
      </c>
      <c r="Z520" s="30"/>
      <c r="AA520" s="30"/>
      <c r="AB520" s="30" t="s">
        <v>9311</v>
      </c>
      <c r="AC520" s="30"/>
      <c r="AD520" s="30"/>
      <c r="AE520" s="30"/>
      <c r="AF520" s="30"/>
      <c r="AG520" s="30"/>
      <c r="AH520" s="30" t="s">
        <v>4714</v>
      </c>
      <c r="AI520" s="30" t="s">
        <v>9433</v>
      </c>
      <c r="AJ520" s="641" t="str">
        <f t="shared" si="16"/>
        <v>421108</v>
      </c>
      <c r="AK520" s="641">
        <v>1</v>
      </c>
      <c r="AL520" s="641">
        <f t="shared" si="17"/>
        <v>1</v>
      </c>
      <c r="AM520" s="641">
        <v>1</v>
      </c>
      <c r="AN520" s="30" t="s">
        <v>17650</v>
      </c>
      <c r="AO520" s="30" t="s">
        <v>17651</v>
      </c>
      <c r="AP520" s="30" t="s">
        <v>17652</v>
      </c>
      <c r="AQ520" s="30" t="s">
        <v>17653</v>
      </c>
      <c r="AR520" s="30" t="s">
        <v>1024</v>
      </c>
      <c r="AS520" s="30">
        <v>1</v>
      </c>
    </row>
    <row r="521" spans="1:45" x14ac:dyDescent="0.25">
      <c r="A521" s="30" t="s">
        <v>26153</v>
      </c>
      <c r="B521" s="30" t="s">
        <v>27015</v>
      </c>
      <c r="C521" s="30" t="s">
        <v>10</v>
      </c>
      <c r="D521" s="139" t="s">
        <v>26079</v>
      </c>
      <c r="E521" s="30" t="s">
        <v>217</v>
      </c>
      <c r="F521" s="30">
        <v>1</v>
      </c>
      <c r="G521" s="30" t="s">
        <v>193</v>
      </c>
      <c r="H521" s="30" t="s">
        <v>194</v>
      </c>
      <c r="I521" s="30" t="s">
        <v>27253</v>
      </c>
      <c r="J521" s="30" t="s">
        <v>210</v>
      </c>
      <c r="K521" s="30" t="s">
        <v>9309</v>
      </c>
      <c r="L521" s="30" t="s">
        <v>6955</v>
      </c>
      <c r="M521" s="30"/>
      <c r="N521" s="30" t="s">
        <v>27016</v>
      </c>
      <c r="O521" s="30" t="s">
        <v>6261</v>
      </c>
      <c r="P521" s="30" t="s">
        <v>27475</v>
      </c>
      <c r="Q521" s="30" t="s">
        <v>26881</v>
      </c>
      <c r="R521" s="30" t="s">
        <v>26882</v>
      </c>
      <c r="S521" s="30" t="s">
        <v>27635</v>
      </c>
      <c r="T521" s="30" t="s">
        <v>27636</v>
      </c>
      <c r="U521" s="30"/>
      <c r="V521" s="139" t="s">
        <v>9334</v>
      </c>
      <c r="W521" s="30" t="s">
        <v>484</v>
      </c>
      <c r="X521" s="30" t="s">
        <v>194</v>
      </c>
      <c r="Y521" s="30" t="s">
        <v>9300</v>
      </c>
      <c r="Z521" s="30"/>
      <c r="AA521" s="30"/>
      <c r="AB521" s="30" t="s">
        <v>9311</v>
      </c>
      <c r="AC521" s="30"/>
      <c r="AD521" s="30"/>
      <c r="AE521" s="30"/>
      <c r="AF521" s="30"/>
      <c r="AG521" s="30"/>
      <c r="AH521" s="30" t="s">
        <v>4714</v>
      </c>
      <c r="AI521" s="30" t="s">
        <v>9433</v>
      </c>
      <c r="AJ521" s="641" t="str">
        <f t="shared" si="16"/>
        <v>251401</v>
      </c>
      <c r="AK521" s="641">
        <v>1</v>
      </c>
      <c r="AL521" s="641">
        <f t="shared" si="17"/>
        <v>1</v>
      </c>
      <c r="AM521" s="641">
        <v>1</v>
      </c>
      <c r="AN521" s="30" t="s">
        <v>17650</v>
      </c>
      <c r="AO521" s="30" t="s">
        <v>17651</v>
      </c>
      <c r="AP521" s="30" t="s">
        <v>17652</v>
      </c>
      <c r="AQ521" s="30" t="s">
        <v>17653</v>
      </c>
      <c r="AR521" s="30" t="s">
        <v>1024</v>
      </c>
      <c r="AS521" s="30">
        <v>1</v>
      </c>
    </row>
    <row r="522" spans="1:45" x14ac:dyDescent="0.25">
      <c r="A522" s="30" t="s">
        <v>26153</v>
      </c>
      <c r="B522" s="30" t="s">
        <v>26477</v>
      </c>
      <c r="C522" s="30" t="s">
        <v>2861</v>
      </c>
      <c r="D522" s="139" t="s">
        <v>26079</v>
      </c>
      <c r="E522" s="30" t="s">
        <v>217</v>
      </c>
      <c r="F522" s="30">
        <v>1</v>
      </c>
      <c r="G522" s="30" t="s">
        <v>193</v>
      </c>
      <c r="H522" s="30" t="s">
        <v>194</v>
      </c>
      <c r="I522" s="30" t="s">
        <v>23198</v>
      </c>
      <c r="J522" s="30" t="s">
        <v>210</v>
      </c>
      <c r="K522" s="30" t="s">
        <v>9309</v>
      </c>
      <c r="L522" s="30" t="s">
        <v>6955</v>
      </c>
      <c r="M522" s="30"/>
      <c r="N522" s="30" t="s">
        <v>26478</v>
      </c>
      <c r="O522" s="30" t="s">
        <v>6261</v>
      </c>
      <c r="P522" s="30" t="s">
        <v>27475</v>
      </c>
      <c r="Q522" s="30" t="s">
        <v>26092</v>
      </c>
      <c r="R522" s="30" t="s">
        <v>26093</v>
      </c>
      <c r="S522" s="30" t="s">
        <v>27637</v>
      </c>
      <c r="T522" s="30" t="s">
        <v>27638</v>
      </c>
      <c r="U522" s="30"/>
      <c r="V522" s="139" t="s">
        <v>9334</v>
      </c>
      <c r="W522" s="30" t="s">
        <v>3629</v>
      </c>
      <c r="X522" s="30" t="s">
        <v>194</v>
      </c>
      <c r="Y522" s="30" t="s">
        <v>9300</v>
      </c>
      <c r="Z522" s="30"/>
      <c r="AA522" s="30"/>
      <c r="AB522" s="30" t="s">
        <v>9311</v>
      </c>
      <c r="AC522" s="30"/>
      <c r="AD522" s="30"/>
      <c r="AE522" s="30"/>
      <c r="AF522" s="30"/>
      <c r="AG522" s="30"/>
      <c r="AH522" s="30" t="s">
        <v>4714</v>
      </c>
      <c r="AI522" s="30" t="s">
        <v>9433</v>
      </c>
      <c r="AJ522" s="641" t="str">
        <f t="shared" si="16"/>
        <v>251903</v>
      </c>
      <c r="AK522" s="641">
        <v>1</v>
      </c>
      <c r="AL522" s="641">
        <f t="shared" si="17"/>
        <v>1</v>
      </c>
      <c r="AM522" s="641">
        <v>1</v>
      </c>
      <c r="AN522" s="30" t="s">
        <v>17650</v>
      </c>
      <c r="AO522" s="30" t="s">
        <v>17651</v>
      </c>
      <c r="AP522" s="30" t="s">
        <v>17652</v>
      </c>
      <c r="AQ522" s="30" t="s">
        <v>17653</v>
      </c>
      <c r="AR522" s="30" t="s">
        <v>1024</v>
      </c>
      <c r="AS522" s="30">
        <v>1</v>
      </c>
    </row>
    <row r="523" spans="1:45" x14ac:dyDescent="0.25">
      <c r="A523" s="30" t="s">
        <v>26089</v>
      </c>
      <c r="B523" s="30" t="s">
        <v>26616</v>
      </c>
      <c r="C523" s="30" t="s">
        <v>26180</v>
      </c>
      <c r="D523" s="139" t="s">
        <v>26079</v>
      </c>
      <c r="E523" s="30" t="s">
        <v>217</v>
      </c>
      <c r="F523" s="30">
        <v>1</v>
      </c>
      <c r="G523" s="30" t="s">
        <v>193</v>
      </c>
      <c r="H523" s="30" t="s">
        <v>194</v>
      </c>
      <c r="I523" s="30" t="s">
        <v>27277</v>
      </c>
      <c r="J523" s="30" t="s">
        <v>210</v>
      </c>
      <c r="K523" s="30" t="s">
        <v>9309</v>
      </c>
      <c r="L523" s="30" t="s">
        <v>6955</v>
      </c>
      <c r="M523" s="30"/>
      <c r="N523" s="30" t="s">
        <v>26722</v>
      </c>
      <c r="O523" s="30" t="s">
        <v>6286</v>
      </c>
      <c r="P523" s="30" t="s">
        <v>27311</v>
      </c>
      <c r="Q523" s="30" t="s">
        <v>26189</v>
      </c>
      <c r="R523" s="30" t="s">
        <v>27312</v>
      </c>
      <c r="S523" s="30" t="s">
        <v>27639</v>
      </c>
      <c r="T523" s="30" t="s">
        <v>27640</v>
      </c>
      <c r="U523" s="30"/>
      <c r="V523" s="139" t="s">
        <v>9334</v>
      </c>
      <c r="W523" s="30" t="s">
        <v>26186</v>
      </c>
      <c r="X523" s="30" t="s">
        <v>194</v>
      </c>
      <c r="Y523" s="30" t="s">
        <v>9300</v>
      </c>
      <c r="Z523" s="30"/>
      <c r="AA523" s="30"/>
      <c r="AB523" s="30" t="s">
        <v>9311</v>
      </c>
      <c r="AC523" s="30"/>
      <c r="AD523" s="30"/>
      <c r="AE523" s="30"/>
      <c r="AF523" s="30"/>
      <c r="AG523" s="30"/>
      <c r="AH523" s="30" t="s">
        <v>4714</v>
      </c>
      <c r="AI523" s="30" t="s">
        <v>9433</v>
      </c>
      <c r="AJ523" s="641" t="str">
        <f t="shared" si="16"/>
        <v>421108</v>
      </c>
      <c r="AK523" s="641">
        <v>1</v>
      </c>
      <c r="AL523" s="641">
        <f t="shared" si="17"/>
        <v>1</v>
      </c>
      <c r="AM523" s="641">
        <v>1</v>
      </c>
      <c r="AN523" s="30" t="s">
        <v>17650</v>
      </c>
      <c r="AO523" s="30" t="s">
        <v>17651</v>
      </c>
      <c r="AP523" s="30" t="s">
        <v>17652</v>
      </c>
      <c r="AQ523" s="30" t="s">
        <v>17653</v>
      </c>
      <c r="AR523" s="30" t="s">
        <v>1024</v>
      </c>
      <c r="AS523" s="30">
        <v>1</v>
      </c>
    </row>
    <row r="524" spans="1:45" x14ac:dyDescent="0.25">
      <c r="A524" s="30" t="s">
        <v>9886</v>
      </c>
      <c r="B524" s="30" t="s">
        <v>27641</v>
      </c>
      <c r="C524" s="30" t="s">
        <v>706</v>
      </c>
      <c r="D524" s="139" t="s">
        <v>26079</v>
      </c>
      <c r="E524" s="30" t="s">
        <v>217</v>
      </c>
      <c r="F524" s="30">
        <v>1</v>
      </c>
      <c r="G524" s="30" t="s">
        <v>193</v>
      </c>
      <c r="H524" s="30" t="s">
        <v>194</v>
      </c>
      <c r="I524" s="30" t="s">
        <v>27260</v>
      </c>
      <c r="J524" s="30" t="s">
        <v>210</v>
      </c>
      <c r="K524" s="30" t="s">
        <v>9309</v>
      </c>
      <c r="L524" s="30" t="s">
        <v>6955</v>
      </c>
      <c r="M524" s="30"/>
      <c r="N524" s="30" t="s">
        <v>27642</v>
      </c>
      <c r="O524" s="30" t="s">
        <v>6251</v>
      </c>
      <c r="P524" s="30" t="s">
        <v>27475</v>
      </c>
      <c r="Q524" s="30" t="s">
        <v>26160</v>
      </c>
      <c r="R524" s="30" t="s">
        <v>27340</v>
      </c>
      <c r="S524" s="30" t="s">
        <v>27643</v>
      </c>
      <c r="T524" s="30" t="s">
        <v>27644</v>
      </c>
      <c r="U524" s="30"/>
      <c r="V524" s="139" t="s">
        <v>9334</v>
      </c>
      <c r="W524" s="30" t="s">
        <v>707</v>
      </c>
      <c r="X524" s="30" t="s">
        <v>194</v>
      </c>
      <c r="Y524" s="30" t="s">
        <v>9300</v>
      </c>
      <c r="Z524" s="30"/>
      <c r="AA524" s="30"/>
      <c r="AB524" s="30" t="s">
        <v>9311</v>
      </c>
      <c r="AC524" s="30"/>
      <c r="AD524" s="30"/>
      <c r="AE524" s="30"/>
      <c r="AF524" s="30"/>
      <c r="AG524" s="30"/>
      <c r="AH524" s="30" t="s">
        <v>4714</v>
      </c>
      <c r="AI524" s="30" t="s">
        <v>9433</v>
      </c>
      <c r="AJ524" s="641" t="str">
        <f t="shared" si="16"/>
        <v>422201</v>
      </c>
      <c r="AK524" s="641">
        <v>1</v>
      </c>
      <c r="AL524" s="641">
        <f t="shared" si="17"/>
        <v>1</v>
      </c>
      <c r="AM524" s="641">
        <v>1</v>
      </c>
      <c r="AN524" s="30" t="s">
        <v>17650</v>
      </c>
      <c r="AO524" s="30" t="s">
        <v>17651</v>
      </c>
      <c r="AP524" s="30" t="s">
        <v>17652</v>
      </c>
      <c r="AQ524" s="30" t="s">
        <v>17653</v>
      </c>
      <c r="AR524" s="30" t="s">
        <v>1024</v>
      </c>
      <c r="AS524" s="30">
        <v>1</v>
      </c>
    </row>
    <row r="525" spans="1:45" x14ac:dyDescent="0.25">
      <c r="A525" s="30" t="s">
        <v>26193</v>
      </c>
      <c r="B525" s="30" t="s">
        <v>27343</v>
      </c>
      <c r="C525" s="30" t="s">
        <v>227</v>
      </c>
      <c r="D525" s="139" t="s">
        <v>26079</v>
      </c>
      <c r="E525" s="30" t="s">
        <v>217</v>
      </c>
      <c r="F525" s="30">
        <v>1</v>
      </c>
      <c r="G525" s="30" t="s">
        <v>193</v>
      </c>
      <c r="H525" s="30" t="s">
        <v>194</v>
      </c>
      <c r="I525" s="30" t="s">
        <v>27260</v>
      </c>
      <c r="J525" s="30" t="s">
        <v>316</v>
      </c>
      <c r="K525" s="30" t="s">
        <v>9309</v>
      </c>
      <c r="L525" s="30" t="s">
        <v>6955</v>
      </c>
      <c r="M525" s="30"/>
      <c r="N525" s="30" t="s">
        <v>27645</v>
      </c>
      <c r="O525" s="30" t="s">
        <v>6269</v>
      </c>
      <c r="P525" s="30" t="s">
        <v>27475</v>
      </c>
      <c r="Q525" s="30" t="s">
        <v>26109</v>
      </c>
      <c r="R525" s="30" t="s">
        <v>27328</v>
      </c>
      <c r="S525" s="30" t="s">
        <v>27646</v>
      </c>
      <c r="T525" s="30" t="s">
        <v>27647</v>
      </c>
      <c r="U525" s="30"/>
      <c r="V525" s="139" t="s">
        <v>10012</v>
      </c>
      <c r="W525" s="30" t="s">
        <v>229</v>
      </c>
      <c r="X525" s="30" t="s">
        <v>194</v>
      </c>
      <c r="Y525" s="30" t="s">
        <v>9300</v>
      </c>
      <c r="Z525" s="30"/>
      <c r="AA525" s="30"/>
      <c r="AB525" s="30" t="s">
        <v>9311</v>
      </c>
      <c r="AC525" s="30"/>
      <c r="AD525" s="30"/>
      <c r="AE525" s="30"/>
      <c r="AF525" s="30"/>
      <c r="AG525" s="30"/>
      <c r="AH525" s="30" t="s">
        <v>4714</v>
      </c>
      <c r="AI525" s="30" t="s">
        <v>9433</v>
      </c>
      <c r="AJ525" s="641" t="str">
        <f t="shared" si="16"/>
        <v>132401</v>
      </c>
      <c r="AK525" s="641">
        <v>1</v>
      </c>
      <c r="AL525" s="641">
        <f t="shared" si="17"/>
        <v>1</v>
      </c>
      <c r="AM525" s="641">
        <v>1</v>
      </c>
      <c r="AN525" s="30" t="s">
        <v>17650</v>
      </c>
      <c r="AO525" s="30" t="s">
        <v>17651</v>
      </c>
      <c r="AP525" s="30" t="s">
        <v>17652</v>
      </c>
      <c r="AQ525" s="30" t="s">
        <v>17653</v>
      </c>
      <c r="AR525" s="30" t="s">
        <v>1024</v>
      </c>
      <c r="AS525" s="30">
        <v>1</v>
      </c>
    </row>
    <row r="526" spans="1:45" x14ac:dyDescent="0.25">
      <c r="A526" s="30" t="s">
        <v>716</v>
      </c>
      <c r="B526" s="30" t="s">
        <v>2764</v>
      </c>
      <c r="C526" s="30" t="s">
        <v>706</v>
      </c>
      <c r="D526" s="139" t="s">
        <v>26079</v>
      </c>
      <c r="E526" s="30" t="s">
        <v>217</v>
      </c>
      <c r="F526" s="30">
        <v>1</v>
      </c>
      <c r="G526" s="30" t="s">
        <v>193</v>
      </c>
      <c r="H526" s="30" t="s">
        <v>194</v>
      </c>
      <c r="I526" s="30" t="s">
        <v>27260</v>
      </c>
      <c r="J526" s="30" t="s">
        <v>210</v>
      </c>
      <c r="K526" s="30" t="s">
        <v>9309</v>
      </c>
      <c r="L526" s="30" t="s">
        <v>6955</v>
      </c>
      <c r="M526" s="30"/>
      <c r="N526" s="30" t="s">
        <v>26546</v>
      </c>
      <c r="O526" s="30" t="s">
        <v>6286</v>
      </c>
      <c r="P526" s="30" t="s">
        <v>27475</v>
      </c>
      <c r="Q526" s="30" t="s">
        <v>26261</v>
      </c>
      <c r="R526" s="30" t="s">
        <v>26262</v>
      </c>
      <c r="S526" s="30" t="s">
        <v>27648</v>
      </c>
      <c r="T526" s="30" t="s">
        <v>27649</v>
      </c>
      <c r="U526" s="30"/>
      <c r="V526" s="139" t="s">
        <v>9334</v>
      </c>
      <c r="W526" s="30" t="s">
        <v>707</v>
      </c>
      <c r="X526" s="30" t="s">
        <v>194</v>
      </c>
      <c r="Y526" s="30" t="s">
        <v>9300</v>
      </c>
      <c r="Z526" s="30"/>
      <c r="AA526" s="30"/>
      <c r="AB526" s="30" t="s">
        <v>9311</v>
      </c>
      <c r="AC526" s="30"/>
      <c r="AD526" s="30"/>
      <c r="AE526" s="30"/>
      <c r="AF526" s="30"/>
      <c r="AG526" s="30"/>
      <c r="AH526" s="30" t="s">
        <v>4714</v>
      </c>
      <c r="AI526" s="30" t="s">
        <v>9433</v>
      </c>
      <c r="AJ526" s="641" t="str">
        <f t="shared" si="16"/>
        <v>422201</v>
      </c>
      <c r="AK526" s="641">
        <v>1</v>
      </c>
      <c r="AL526" s="641">
        <f t="shared" si="17"/>
        <v>1</v>
      </c>
      <c r="AM526" s="641">
        <v>1</v>
      </c>
      <c r="AN526" s="30" t="s">
        <v>17650</v>
      </c>
      <c r="AO526" s="30" t="s">
        <v>17651</v>
      </c>
      <c r="AP526" s="30" t="s">
        <v>17652</v>
      </c>
      <c r="AQ526" s="30" t="s">
        <v>17653</v>
      </c>
      <c r="AR526" s="30" t="s">
        <v>1024</v>
      </c>
      <c r="AS526" s="30">
        <v>1</v>
      </c>
    </row>
    <row r="527" spans="1:45" x14ac:dyDescent="0.25">
      <c r="A527" s="30" t="s">
        <v>26089</v>
      </c>
      <c r="B527" s="30" t="s">
        <v>26301</v>
      </c>
      <c r="C527" s="30" t="s">
        <v>46</v>
      </c>
      <c r="D527" s="139" t="s">
        <v>26079</v>
      </c>
      <c r="E527" s="30" t="s">
        <v>217</v>
      </c>
      <c r="F527" s="30">
        <v>1</v>
      </c>
      <c r="G527" s="30" t="s">
        <v>193</v>
      </c>
      <c r="H527" s="30" t="s">
        <v>194</v>
      </c>
      <c r="I527" s="30" t="s">
        <v>27253</v>
      </c>
      <c r="J527" s="30" t="s">
        <v>210</v>
      </c>
      <c r="K527" s="30" t="s">
        <v>9309</v>
      </c>
      <c r="L527" s="30" t="s">
        <v>6955</v>
      </c>
      <c r="M527" s="30"/>
      <c r="N527" s="30" t="s">
        <v>27191</v>
      </c>
      <c r="O527" s="30" t="s">
        <v>6261</v>
      </c>
      <c r="P527" s="30" t="s">
        <v>27475</v>
      </c>
      <c r="Q527" s="30" t="s">
        <v>26086</v>
      </c>
      <c r="R527" s="30" t="s">
        <v>26787</v>
      </c>
      <c r="S527" s="30" t="s">
        <v>27650</v>
      </c>
      <c r="T527" s="30" t="s">
        <v>27651</v>
      </c>
      <c r="U527" s="30"/>
      <c r="V527" s="139" t="s">
        <v>9334</v>
      </c>
      <c r="W527" s="30" t="s">
        <v>510</v>
      </c>
      <c r="X527" s="30" t="s">
        <v>194</v>
      </c>
      <c r="Y527" s="30" t="s">
        <v>9300</v>
      </c>
      <c r="Z527" s="30"/>
      <c r="AA527" s="30"/>
      <c r="AB527" s="30" t="s">
        <v>9311</v>
      </c>
      <c r="AC527" s="30"/>
      <c r="AD527" s="30"/>
      <c r="AE527" s="30"/>
      <c r="AF527" s="30"/>
      <c r="AG527" s="30"/>
      <c r="AH527" s="30" t="s">
        <v>4714</v>
      </c>
      <c r="AI527" s="30" t="s">
        <v>9433</v>
      </c>
      <c r="AJ527" s="641" t="str">
        <f t="shared" si="16"/>
        <v>252201</v>
      </c>
      <c r="AK527" s="641">
        <v>1</v>
      </c>
      <c r="AL527" s="641">
        <f t="shared" si="17"/>
        <v>1</v>
      </c>
      <c r="AM527" s="641">
        <v>1</v>
      </c>
      <c r="AN527" s="30" t="s">
        <v>17650</v>
      </c>
      <c r="AO527" s="30" t="s">
        <v>17651</v>
      </c>
      <c r="AP527" s="30" t="s">
        <v>17652</v>
      </c>
      <c r="AQ527" s="30" t="s">
        <v>17653</v>
      </c>
      <c r="AR527" s="30" t="s">
        <v>1024</v>
      </c>
      <c r="AS527" s="30">
        <v>1</v>
      </c>
    </row>
    <row r="528" spans="1:45" x14ac:dyDescent="0.25">
      <c r="A528" s="30" t="s">
        <v>26089</v>
      </c>
      <c r="B528" s="30" t="s">
        <v>27019</v>
      </c>
      <c r="C528" s="30" t="s">
        <v>10</v>
      </c>
      <c r="D528" s="139" t="s">
        <v>26079</v>
      </c>
      <c r="E528" s="30" t="s">
        <v>217</v>
      </c>
      <c r="F528" s="30">
        <v>1</v>
      </c>
      <c r="G528" s="30" t="s">
        <v>193</v>
      </c>
      <c r="H528" s="30" t="s">
        <v>194</v>
      </c>
      <c r="I528" s="30" t="s">
        <v>27260</v>
      </c>
      <c r="J528" s="30" t="s">
        <v>210</v>
      </c>
      <c r="K528" s="30" t="s">
        <v>9309</v>
      </c>
      <c r="L528" s="30" t="s">
        <v>6955</v>
      </c>
      <c r="M528" s="30"/>
      <c r="N528" s="30" t="s">
        <v>27020</v>
      </c>
      <c r="O528" s="30" t="s">
        <v>6261</v>
      </c>
      <c r="P528" s="30" t="s">
        <v>27475</v>
      </c>
      <c r="Q528" s="30" t="s">
        <v>26073</v>
      </c>
      <c r="R528" s="30" t="s">
        <v>27021</v>
      </c>
      <c r="S528" s="30" t="s">
        <v>27652</v>
      </c>
      <c r="T528" s="30" t="s">
        <v>27653</v>
      </c>
      <c r="U528" s="30"/>
      <c r="V528" s="139" t="s">
        <v>9334</v>
      </c>
      <c r="W528" s="30" t="s">
        <v>484</v>
      </c>
      <c r="X528" s="30" t="s">
        <v>194</v>
      </c>
      <c r="Y528" s="30" t="s">
        <v>9300</v>
      </c>
      <c r="Z528" s="30"/>
      <c r="AA528" s="30"/>
      <c r="AB528" s="30" t="s">
        <v>9311</v>
      </c>
      <c r="AC528" s="30"/>
      <c r="AD528" s="30"/>
      <c r="AE528" s="30"/>
      <c r="AF528" s="30"/>
      <c r="AG528" s="30"/>
      <c r="AH528" s="30" t="s">
        <v>4714</v>
      </c>
      <c r="AI528" s="30" t="s">
        <v>9433</v>
      </c>
      <c r="AJ528" s="641" t="str">
        <f t="shared" si="16"/>
        <v>251401</v>
      </c>
      <c r="AK528" s="641">
        <v>1</v>
      </c>
      <c r="AL528" s="641">
        <f t="shared" si="17"/>
        <v>1</v>
      </c>
      <c r="AM528" s="641">
        <v>1</v>
      </c>
      <c r="AN528" s="30" t="s">
        <v>17650</v>
      </c>
      <c r="AO528" s="30" t="s">
        <v>17651</v>
      </c>
      <c r="AP528" s="30" t="s">
        <v>17652</v>
      </c>
      <c r="AQ528" s="30" t="s">
        <v>17653</v>
      </c>
      <c r="AR528" s="30" t="s">
        <v>1024</v>
      </c>
      <c r="AS528" s="30">
        <v>1</v>
      </c>
    </row>
    <row r="529" spans="1:45" x14ac:dyDescent="0.25">
      <c r="A529" s="30" t="s">
        <v>716</v>
      </c>
      <c r="B529" s="30" t="s">
        <v>26635</v>
      </c>
      <c r="C529" s="30" t="s">
        <v>706</v>
      </c>
      <c r="D529" s="139" t="s">
        <v>26079</v>
      </c>
      <c r="E529" s="30" t="s">
        <v>217</v>
      </c>
      <c r="F529" s="30">
        <v>1</v>
      </c>
      <c r="G529" s="30" t="s">
        <v>193</v>
      </c>
      <c r="H529" s="30" t="s">
        <v>194</v>
      </c>
      <c r="I529" s="30" t="s">
        <v>27253</v>
      </c>
      <c r="J529" s="30" t="s">
        <v>210</v>
      </c>
      <c r="K529" s="30" t="s">
        <v>9309</v>
      </c>
      <c r="L529" s="30" t="s">
        <v>6955</v>
      </c>
      <c r="M529" s="30"/>
      <c r="N529" s="30" t="s">
        <v>26636</v>
      </c>
      <c r="O529" s="30" t="s">
        <v>6286</v>
      </c>
      <c r="P529" s="30" t="s">
        <v>27475</v>
      </c>
      <c r="Q529" s="30" t="s">
        <v>26261</v>
      </c>
      <c r="R529" s="30" t="s">
        <v>26262</v>
      </c>
      <c r="S529" s="30" t="s">
        <v>27654</v>
      </c>
      <c r="T529" s="30" t="s">
        <v>27655</v>
      </c>
      <c r="U529" s="30"/>
      <c r="V529" s="139" t="s">
        <v>9334</v>
      </c>
      <c r="W529" s="30" t="s">
        <v>707</v>
      </c>
      <c r="X529" s="30" t="s">
        <v>194</v>
      </c>
      <c r="Y529" s="30" t="s">
        <v>9300</v>
      </c>
      <c r="Z529" s="30"/>
      <c r="AA529" s="30"/>
      <c r="AB529" s="30" t="s">
        <v>9311</v>
      </c>
      <c r="AC529" s="30"/>
      <c r="AD529" s="30"/>
      <c r="AE529" s="30"/>
      <c r="AF529" s="30"/>
      <c r="AG529" s="30"/>
      <c r="AH529" s="30" t="s">
        <v>4714</v>
      </c>
      <c r="AI529" s="30" t="s">
        <v>9433</v>
      </c>
      <c r="AJ529" s="641" t="str">
        <f t="shared" si="16"/>
        <v>422201</v>
      </c>
      <c r="AK529" s="641">
        <v>1</v>
      </c>
      <c r="AL529" s="641">
        <f t="shared" si="17"/>
        <v>1</v>
      </c>
      <c r="AM529" s="641">
        <v>1</v>
      </c>
      <c r="AN529" s="30" t="s">
        <v>17650</v>
      </c>
      <c r="AO529" s="30" t="s">
        <v>17651</v>
      </c>
      <c r="AP529" s="30" t="s">
        <v>17652</v>
      </c>
      <c r="AQ529" s="30" t="s">
        <v>17653</v>
      </c>
      <c r="AR529" s="30" t="s">
        <v>1024</v>
      </c>
      <c r="AS529" s="30">
        <v>1</v>
      </c>
    </row>
    <row r="530" spans="1:45" x14ac:dyDescent="0.25">
      <c r="A530" s="30" t="s">
        <v>716</v>
      </c>
      <c r="B530" s="30" t="s">
        <v>26542</v>
      </c>
      <c r="C530" s="30" t="s">
        <v>27290</v>
      </c>
      <c r="D530" s="139" t="s">
        <v>26079</v>
      </c>
      <c r="E530" s="30" t="s">
        <v>217</v>
      </c>
      <c r="F530" s="30">
        <v>1</v>
      </c>
      <c r="G530" s="30" t="s">
        <v>193</v>
      </c>
      <c r="H530" s="30" t="s">
        <v>194</v>
      </c>
      <c r="I530" s="30" t="s">
        <v>27277</v>
      </c>
      <c r="J530" s="30" t="s">
        <v>210</v>
      </c>
      <c r="K530" s="30" t="s">
        <v>9309</v>
      </c>
      <c r="L530" s="30" t="s">
        <v>6955</v>
      </c>
      <c r="M530" s="30"/>
      <c r="N530" s="30" t="s">
        <v>26935</v>
      </c>
      <c r="O530" s="30" t="s">
        <v>6261</v>
      </c>
      <c r="P530" s="30" t="s">
        <v>27475</v>
      </c>
      <c r="Q530" s="30" t="s">
        <v>26881</v>
      </c>
      <c r="R530" s="30" t="s">
        <v>26882</v>
      </c>
      <c r="S530" s="30" t="s">
        <v>27656</v>
      </c>
      <c r="T530" s="30" t="s">
        <v>27657</v>
      </c>
      <c r="U530" s="30"/>
      <c r="V530" s="139" t="s">
        <v>9334</v>
      </c>
      <c r="W530" s="30" t="s">
        <v>27293</v>
      </c>
      <c r="X530" s="30" t="s">
        <v>194</v>
      </c>
      <c r="Y530" s="30" t="s">
        <v>9300</v>
      </c>
      <c r="Z530" s="30"/>
      <c r="AA530" s="30"/>
      <c r="AB530" s="30" t="s">
        <v>9311</v>
      </c>
      <c r="AC530" s="30"/>
      <c r="AD530" s="30"/>
      <c r="AE530" s="30"/>
      <c r="AF530" s="30"/>
      <c r="AG530" s="30"/>
      <c r="AH530" s="30" t="s">
        <v>4714</v>
      </c>
      <c r="AI530" s="30" t="s">
        <v>9433</v>
      </c>
      <c r="AJ530" s="641" t="str">
        <f t="shared" si="16"/>
        <v>352290</v>
      </c>
      <c r="AK530" s="641">
        <v>1</v>
      </c>
      <c r="AL530" s="641">
        <f t="shared" si="17"/>
        <v>1</v>
      </c>
      <c r="AM530" s="641">
        <v>1</v>
      </c>
      <c r="AN530" s="30" t="s">
        <v>17650</v>
      </c>
      <c r="AO530" s="30" t="s">
        <v>17651</v>
      </c>
      <c r="AP530" s="30" t="s">
        <v>17652</v>
      </c>
      <c r="AQ530" s="30" t="s">
        <v>17653</v>
      </c>
      <c r="AR530" s="30" t="s">
        <v>1024</v>
      </c>
      <c r="AS530" s="30">
        <v>1</v>
      </c>
    </row>
    <row r="531" spans="1:45" x14ac:dyDescent="0.25">
      <c r="A531" s="30" t="s">
        <v>10145</v>
      </c>
      <c r="B531" s="30" t="s">
        <v>26227</v>
      </c>
      <c r="C531" s="30" t="s">
        <v>137</v>
      </c>
      <c r="D531" s="139" t="s">
        <v>26079</v>
      </c>
      <c r="E531" s="30" t="s">
        <v>217</v>
      </c>
      <c r="F531" s="30">
        <v>1</v>
      </c>
      <c r="G531" s="30" t="s">
        <v>194</v>
      </c>
      <c r="H531" s="30" t="s">
        <v>193</v>
      </c>
      <c r="I531" s="30" t="s">
        <v>26077</v>
      </c>
      <c r="J531" s="30" t="s">
        <v>26228</v>
      </c>
      <c r="K531" s="30" t="s">
        <v>9309</v>
      </c>
      <c r="L531" s="30" t="s">
        <v>6955</v>
      </c>
      <c r="M531" s="30"/>
      <c r="N531" s="30" t="s">
        <v>26229</v>
      </c>
      <c r="O531" s="30" t="s">
        <v>6343</v>
      </c>
      <c r="P531" s="30" t="s">
        <v>27552</v>
      </c>
      <c r="Q531" s="30" t="s">
        <v>26098</v>
      </c>
      <c r="R531" s="30" t="s">
        <v>26231</v>
      </c>
      <c r="S531" s="30" t="s">
        <v>27658</v>
      </c>
      <c r="T531" s="30" t="s">
        <v>27659</v>
      </c>
      <c r="U531" s="30"/>
      <c r="V531" s="139" t="s">
        <v>9726</v>
      </c>
      <c r="W531" s="30" t="s">
        <v>2002</v>
      </c>
      <c r="X531" s="30" t="s">
        <v>194</v>
      </c>
      <c r="Y531" s="30" t="s">
        <v>9300</v>
      </c>
      <c r="Z531" s="30"/>
      <c r="AA531" s="30"/>
      <c r="AB531" s="30" t="s">
        <v>9311</v>
      </c>
      <c r="AC531" s="30"/>
      <c r="AD531" s="30"/>
      <c r="AE531" s="30"/>
      <c r="AF531" s="30"/>
      <c r="AG531" s="30"/>
      <c r="AH531" s="30" t="s">
        <v>4714</v>
      </c>
      <c r="AI531" s="30" t="s">
        <v>26227</v>
      </c>
      <c r="AJ531" s="641" t="str">
        <f t="shared" si="16"/>
        <v>513101</v>
      </c>
      <c r="AK531" s="641">
        <v>1</v>
      </c>
      <c r="AL531" s="641">
        <f t="shared" si="17"/>
        <v>1</v>
      </c>
      <c r="AM531" s="641">
        <v>1</v>
      </c>
      <c r="AN531" s="30" t="s">
        <v>17650</v>
      </c>
      <c r="AO531" s="30" t="s">
        <v>17651</v>
      </c>
      <c r="AP531" s="30" t="s">
        <v>17652</v>
      </c>
      <c r="AQ531" s="30" t="s">
        <v>17653</v>
      </c>
      <c r="AR531" s="30" t="s">
        <v>1024</v>
      </c>
      <c r="AS531" s="30">
        <v>1</v>
      </c>
    </row>
    <row r="532" spans="1:45" x14ac:dyDescent="0.25">
      <c r="A532" s="30" t="s">
        <v>716</v>
      </c>
      <c r="B532" s="30" t="s">
        <v>27098</v>
      </c>
      <c r="C532" s="30" t="s">
        <v>706</v>
      </c>
      <c r="D532" s="139" t="s">
        <v>26079</v>
      </c>
      <c r="E532" s="30" t="s">
        <v>217</v>
      </c>
      <c r="F532" s="30">
        <v>1</v>
      </c>
      <c r="G532" s="30" t="s">
        <v>193</v>
      </c>
      <c r="H532" s="30" t="s">
        <v>194</v>
      </c>
      <c r="I532" s="30" t="s">
        <v>27277</v>
      </c>
      <c r="J532" s="30" t="s">
        <v>210</v>
      </c>
      <c r="K532" s="30" t="s">
        <v>9309</v>
      </c>
      <c r="L532" s="30" t="s">
        <v>6955</v>
      </c>
      <c r="M532" s="30"/>
      <c r="N532" s="30" t="s">
        <v>27660</v>
      </c>
      <c r="O532" s="30" t="s">
        <v>6286</v>
      </c>
      <c r="P532" s="30" t="s">
        <v>27475</v>
      </c>
      <c r="Q532" s="30" t="s">
        <v>25893</v>
      </c>
      <c r="R532" s="30" t="s">
        <v>27300</v>
      </c>
      <c r="S532" s="30" t="s">
        <v>27661</v>
      </c>
      <c r="T532" s="30" t="s">
        <v>27662</v>
      </c>
      <c r="U532" s="30"/>
      <c r="V532" s="139" t="s">
        <v>9334</v>
      </c>
      <c r="W532" s="30" t="s">
        <v>707</v>
      </c>
      <c r="X532" s="30" t="s">
        <v>194</v>
      </c>
      <c r="Y532" s="30" t="s">
        <v>9300</v>
      </c>
      <c r="Z532" s="30"/>
      <c r="AA532" s="30"/>
      <c r="AB532" s="30" t="s">
        <v>9311</v>
      </c>
      <c r="AC532" s="30"/>
      <c r="AD532" s="30"/>
      <c r="AE532" s="30"/>
      <c r="AF532" s="30"/>
      <c r="AG532" s="30"/>
      <c r="AH532" s="30" t="s">
        <v>4714</v>
      </c>
      <c r="AI532" s="30" t="s">
        <v>9433</v>
      </c>
      <c r="AJ532" s="641" t="str">
        <f t="shared" si="16"/>
        <v>422201</v>
      </c>
      <c r="AK532" s="641">
        <v>1</v>
      </c>
      <c r="AL532" s="641">
        <f t="shared" si="17"/>
        <v>1</v>
      </c>
      <c r="AM532" s="641">
        <v>1</v>
      </c>
      <c r="AN532" s="30" t="s">
        <v>17650</v>
      </c>
      <c r="AO532" s="30" t="s">
        <v>17651</v>
      </c>
      <c r="AP532" s="30" t="s">
        <v>17652</v>
      </c>
      <c r="AQ532" s="30" t="s">
        <v>17653</v>
      </c>
      <c r="AR532" s="30" t="s">
        <v>1024</v>
      </c>
      <c r="AS532" s="30">
        <v>1</v>
      </c>
    </row>
    <row r="533" spans="1:45" x14ac:dyDescent="0.25">
      <c r="A533" s="30" t="s">
        <v>26654</v>
      </c>
      <c r="B533" s="30" t="s">
        <v>15417</v>
      </c>
      <c r="C533" s="30" t="s">
        <v>4977</v>
      </c>
      <c r="D533" s="139" t="s">
        <v>26079</v>
      </c>
      <c r="E533" s="30" t="s">
        <v>217</v>
      </c>
      <c r="F533" s="30">
        <v>1</v>
      </c>
      <c r="G533" s="30" t="s">
        <v>193</v>
      </c>
      <c r="H533" s="30" t="s">
        <v>194</v>
      </c>
      <c r="I533" s="30" t="s">
        <v>27253</v>
      </c>
      <c r="J533" s="30" t="s">
        <v>316</v>
      </c>
      <c r="K533" s="30" t="s">
        <v>9309</v>
      </c>
      <c r="L533" s="30" t="s">
        <v>6955</v>
      </c>
      <c r="M533" s="30"/>
      <c r="N533" s="30" t="s">
        <v>26655</v>
      </c>
      <c r="O533" s="30" t="s">
        <v>6286</v>
      </c>
      <c r="P533" s="30" t="s">
        <v>27311</v>
      </c>
      <c r="Q533" s="30" t="s">
        <v>26241</v>
      </c>
      <c r="R533" s="30" t="s">
        <v>27312</v>
      </c>
      <c r="S533" s="30" t="s">
        <v>27663</v>
      </c>
      <c r="T533" s="30" t="s">
        <v>27664</v>
      </c>
      <c r="U533" s="30"/>
      <c r="V533" s="139" t="s">
        <v>10012</v>
      </c>
      <c r="W533" s="30" t="s">
        <v>4978</v>
      </c>
      <c r="X533" s="30" t="s">
        <v>194</v>
      </c>
      <c r="Y533" s="30" t="s">
        <v>9300</v>
      </c>
      <c r="Z533" s="30"/>
      <c r="AA533" s="30"/>
      <c r="AB533" s="30" t="s">
        <v>9311</v>
      </c>
      <c r="AC533" s="30"/>
      <c r="AD533" s="30"/>
      <c r="AE533" s="30"/>
      <c r="AF533" s="30"/>
      <c r="AG533" s="30"/>
      <c r="AH533" s="30" t="s">
        <v>4714</v>
      </c>
      <c r="AI533" s="30" t="s">
        <v>9433</v>
      </c>
      <c r="AJ533" s="641" t="str">
        <f t="shared" si="16"/>
        <v>242217</v>
      </c>
      <c r="AK533" s="641">
        <v>1</v>
      </c>
      <c r="AL533" s="641">
        <f t="shared" si="17"/>
        <v>1</v>
      </c>
      <c r="AM533" s="641">
        <v>1</v>
      </c>
      <c r="AN533" s="30" t="s">
        <v>17650</v>
      </c>
      <c r="AO533" s="30" t="s">
        <v>17651</v>
      </c>
      <c r="AP533" s="30" t="s">
        <v>17652</v>
      </c>
      <c r="AQ533" s="30" t="s">
        <v>17653</v>
      </c>
      <c r="AR533" s="30" t="s">
        <v>1024</v>
      </c>
      <c r="AS533" s="30">
        <v>1</v>
      </c>
    </row>
    <row r="534" spans="1:45" x14ac:dyDescent="0.25">
      <c r="A534" s="30" t="s">
        <v>4022</v>
      </c>
      <c r="B534" s="30" t="s">
        <v>8022</v>
      </c>
      <c r="C534" s="30" t="s">
        <v>7617</v>
      </c>
      <c r="D534" s="139" t="s">
        <v>26079</v>
      </c>
      <c r="E534" s="30" t="s">
        <v>217</v>
      </c>
      <c r="F534" s="30">
        <v>1</v>
      </c>
      <c r="G534" s="30" t="s">
        <v>193</v>
      </c>
      <c r="H534" s="30" t="s">
        <v>194</v>
      </c>
      <c r="I534" s="30" t="s">
        <v>27253</v>
      </c>
      <c r="J534" s="30" t="s">
        <v>210</v>
      </c>
      <c r="K534" s="30" t="s">
        <v>9309</v>
      </c>
      <c r="L534" s="30" t="s">
        <v>6955</v>
      </c>
      <c r="M534" s="30"/>
      <c r="N534" s="30" t="s">
        <v>20793</v>
      </c>
      <c r="O534" s="30" t="s">
        <v>6290</v>
      </c>
      <c r="P534" s="30" t="s">
        <v>27311</v>
      </c>
      <c r="Q534" s="30" t="s">
        <v>26027</v>
      </c>
      <c r="R534" s="30" t="s">
        <v>27312</v>
      </c>
      <c r="S534" s="30" t="s">
        <v>27665</v>
      </c>
      <c r="T534" s="30" t="s">
        <v>27666</v>
      </c>
      <c r="U534" s="30"/>
      <c r="V534" s="139" t="s">
        <v>9334</v>
      </c>
      <c r="W534" s="30" t="s">
        <v>7620</v>
      </c>
      <c r="X534" s="30" t="s">
        <v>194</v>
      </c>
      <c r="Y534" s="30" t="s">
        <v>9300</v>
      </c>
      <c r="Z534" s="30"/>
      <c r="AA534" s="30"/>
      <c r="AB534" s="30" t="s">
        <v>9311</v>
      </c>
      <c r="AC534" s="30"/>
      <c r="AD534" s="30"/>
      <c r="AE534" s="30"/>
      <c r="AF534" s="30"/>
      <c r="AG534" s="30"/>
      <c r="AH534" s="30" t="s">
        <v>4714</v>
      </c>
      <c r="AI534" s="30" t="s">
        <v>9433</v>
      </c>
      <c r="AJ534" s="641" t="str">
        <f t="shared" si="16"/>
        <v>516903</v>
      </c>
      <c r="AK534" s="641">
        <v>1</v>
      </c>
      <c r="AL534" s="641">
        <f t="shared" si="17"/>
        <v>1</v>
      </c>
      <c r="AM534" s="641">
        <v>1</v>
      </c>
      <c r="AN534" s="30" t="s">
        <v>17650</v>
      </c>
      <c r="AO534" s="30" t="s">
        <v>17651</v>
      </c>
      <c r="AP534" s="30" t="s">
        <v>17652</v>
      </c>
      <c r="AQ534" s="30" t="s">
        <v>17653</v>
      </c>
      <c r="AR534" s="30" t="s">
        <v>1024</v>
      </c>
      <c r="AS534" s="30">
        <v>1</v>
      </c>
    </row>
    <row r="535" spans="1:45" x14ac:dyDescent="0.25">
      <c r="A535" s="30" t="s">
        <v>26089</v>
      </c>
      <c r="B535" s="30" t="s">
        <v>26447</v>
      </c>
      <c r="C535" s="30" t="s">
        <v>46</v>
      </c>
      <c r="D535" s="139" t="s">
        <v>26079</v>
      </c>
      <c r="E535" s="30" t="s">
        <v>217</v>
      </c>
      <c r="F535" s="30">
        <v>1</v>
      </c>
      <c r="G535" s="30" t="s">
        <v>193</v>
      </c>
      <c r="H535" s="30" t="s">
        <v>194</v>
      </c>
      <c r="I535" s="30" t="s">
        <v>27253</v>
      </c>
      <c r="J535" s="30" t="s">
        <v>210</v>
      </c>
      <c r="K535" s="30" t="s">
        <v>9309</v>
      </c>
      <c r="L535" s="30" t="s">
        <v>6955</v>
      </c>
      <c r="M535" s="30"/>
      <c r="N535" s="30" t="s">
        <v>26448</v>
      </c>
      <c r="O535" s="30" t="s">
        <v>6261</v>
      </c>
      <c r="P535" s="30" t="s">
        <v>27475</v>
      </c>
      <c r="Q535" s="30" t="s">
        <v>26218</v>
      </c>
      <c r="R535" s="30" t="s">
        <v>26219</v>
      </c>
      <c r="S535" s="30" t="s">
        <v>27667</v>
      </c>
      <c r="T535" s="30" t="s">
        <v>27668</v>
      </c>
      <c r="U535" s="30"/>
      <c r="V535" s="139" t="s">
        <v>9334</v>
      </c>
      <c r="W535" s="30" t="s">
        <v>510</v>
      </c>
      <c r="X535" s="30" t="s">
        <v>194</v>
      </c>
      <c r="Y535" s="30" t="s">
        <v>9300</v>
      </c>
      <c r="Z535" s="30"/>
      <c r="AA535" s="30"/>
      <c r="AB535" s="30" t="s">
        <v>9311</v>
      </c>
      <c r="AC535" s="30"/>
      <c r="AD535" s="30"/>
      <c r="AE535" s="30"/>
      <c r="AF535" s="30"/>
      <c r="AG535" s="30"/>
      <c r="AH535" s="30" t="s">
        <v>4714</v>
      </c>
      <c r="AI535" s="30" t="s">
        <v>9433</v>
      </c>
      <c r="AJ535" s="641" t="str">
        <f t="shared" si="16"/>
        <v>252201</v>
      </c>
      <c r="AK535" s="641">
        <v>1</v>
      </c>
      <c r="AL535" s="641">
        <f t="shared" si="17"/>
        <v>1</v>
      </c>
      <c r="AM535" s="641">
        <v>1</v>
      </c>
      <c r="AN535" s="30" t="s">
        <v>17650</v>
      </c>
      <c r="AO535" s="30" t="s">
        <v>17651</v>
      </c>
      <c r="AP535" s="30" t="s">
        <v>17652</v>
      </c>
      <c r="AQ535" s="30" t="s">
        <v>17653</v>
      </c>
      <c r="AR535" s="30" t="s">
        <v>1024</v>
      </c>
      <c r="AS535" s="30">
        <v>1</v>
      </c>
    </row>
    <row r="536" spans="1:45" x14ac:dyDescent="0.25">
      <c r="A536" s="30" t="s">
        <v>23858</v>
      </c>
      <c r="B536" s="30" t="s">
        <v>26491</v>
      </c>
      <c r="C536" s="30" t="s">
        <v>706</v>
      </c>
      <c r="D536" s="139" t="s">
        <v>26079</v>
      </c>
      <c r="E536" s="30" t="s">
        <v>217</v>
      </c>
      <c r="F536" s="30">
        <v>1</v>
      </c>
      <c r="G536" s="30" t="s">
        <v>193</v>
      </c>
      <c r="H536" s="30" t="s">
        <v>194</v>
      </c>
      <c r="I536" s="30" t="s">
        <v>27277</v>
      </c>
      <c r="J536" s="30" t="s">
        <v>253</v>
      </c>
      <c r="K536" s="30" t="s">
        <v>9309</v>
      </c>
      <c r="L536" s="30" t="s">
        <v>6955</v>
      </c>
      <c r="M536" s="30"/>
      <c r="N536" s="30" t="s">
        <v>26492</v>
      </c>
      <c r="O536" s="30" t="s">
        <v>6251</v>
      </c>
      <c r="P536" s="30" t="s">
        <v>27475</v>
      </c>
      <c r="Q536" s="30" t="s">
        <v>26150</v>
      </c>
      <c r="R536" s="30" t="s">
        <v>23804</v>
      </c>
      <c r="S536" s="30" t="s">
        <v>27669</v>
      </c>
      <c r="T536" s="30" t="s">
        <v>27670</v>
      </c>
      <c r="U536" s="30"/>
      <c r="V536" s="139" t="s">
        <v>9468</v>
      </c>
      <c r="W536" s="30" t="s">
        <v>707</v>
      </c>
      <c r="X536" s="30" t="s">
        <v>194</v>
      </c>
      <c r="Y536" s="30" t="s">
        <v>9300</v>
      </c>
      <c r="Z536" s="30"/>
      <c r="AA536" s="30"/>
      <c r="AB536" s="30" t="s">
        <v>9311</v>
      </c>
      <c r="AC536" s="30"/>
      <c r="AD536" s="30"/>
      <c r="AE536" s="30"/>
      <c r="AF536" s="30"/>
      <c r="AG536" s="30"/>
      <c r="AH536" s="30" t="s">
        <v>4714</v>
      </c>
      <c r="AI536" s="30" t="s">
        <v>9433</v>
      </c>
      <c r="AJ536" s="641" t="str">
        <f t="shared" si="16"/>
        <v>422201</v>
      </c>
      <c r="AK536" s="641">
        <v>1</v>
      </c>
      <c r="AL536" s="641">
        <f t="shared" si="17"/>
        <v>1</v>
      </c>
      <c r="AM536" s="641">
        <v>1</v>
      </c>
      <c r="AN536" s="30" t="s">
        <v>17650</v>
      </c>
      <c r="AO536" s="30" t="s">
        <v>17651</v>
      </c>
      <c r="AP536" s="30" t="s">
        <v>17652</v>
      </c>
      <c r="AQ536" s="30" t="s">
        <v>17653</v>
      </c>
      <c r="AR536" s="30" t="s">
        <v>1024</v>
      </c>
      <c r="AS536" s="30">
        <v>1</v>
      </c>
    </row>
    <row r="537" spans="1:45" x14ac:dyDescent="0.25">
      <c r="A537" s="30" t="s">
        <v>258</v>
      </c>
      <c r="B537" s="30" t="s">
        <v>26208</v>
      </c>
      <c r="C537" s="30" t="s">
        <v>778</v>
      </c>
      <c r="D537" s="139" t="s">
        <v>26079</v>
      </c>
      <c r="E537" s="30" t="s">
        <v>217</v>
      </c>
      <c r="F537" s="30">
        <v>1</v>
      </c>
      <c r="G537" s="30" t="s">
        <v>193</v>
      </c>
      <c r="H537" s="30" t="s">
        <v>194</v>
      </c>
      <c r="I537" s="30" t="s">
        <v>27260</v>
      </c>
      <c r="J537" s="30" t="s">
        <v>747</v>
      </c>
      <c r="K537" s="30" t="s">
        <v>9309</v>
      </c>
      <c r="L537" s="30" t="s">
        <v>6955</v>
      </c>
      <c r="M537" s="30"/>
      <c r="N537" s="30" t="s">
        <v>26767</v>
      </c>
      <c r="O537" s="30" t="s">
        <v>6251</v>
      </c>
      <c r="P537" s="30" t="s">
        <v>27475</v>
      </c>
      <c r="Q537" s="30" t="s">
        <v>26073</v>
      </c>
      <c r="R537" s="30" t="s">
        <v>26183</v>
      </c>
      <c r="S537" s="30" t="s">
        <v>27671</v>
      </c>
      <c r="T537" s="30" t="s">
        <v>27672</v>
      </c>
      <c r="U537" s="30"/>
      <c r="V537" s="139" t="s">
        <v>10397</v>
      </c>
      <c r="W537" s="30" t="s">
        <v>779</v>
      </c>
      <c r="X537" s="30" t="s">
        <v>194</v>
      </c>
      <c r="Y537" s="30" t="s">
        <v>9300</v>
      </c>
      <c r="Z537" s="30"/>
      <c r="AA537" s="30"/>
      <c r="AB537" s="30" t="s">
        <v>9311</v>
      </c>
      <c r="AC537" s="30"/>
      <c r="AD537" s="30"/>
      <c r="AE537" s="30"/>
      <c r="AF537" s="30"/>
      <c r="AG537" s="30"/>
      <c r="AH537" s="30" t="s">
        <v>4714</v>
      </c>
      <c r="AI537" s="30" t="s">
        <v>9433</v>
      </c>
      <c r="AJ537" s="641" t="str">
        <f t="shared" si="16"/>
        <v>524902</v>
      </c>
      <c r="AK537" s="641">
        <v>1</v>
      </c>
      <c r="AL537" s="641">
        <f t="shared" si="17"/>
        <v>1</v>
      </c>
      <c r="AM537" s="641">
        <v>1</v>
      </c>
      <c r="AN537" s="30" t="s">
        <v>17650</v>
      </c>
      <c r="AO537" s="30" t="s">
        <v>17651</v>
      </c>
      <c r="AP537" s="30" t="s">
        <v>17652</v>
      </c>
      <c r="AQ537" s="30" t="s">
        <v>17653</v>
      </c>
      <c r="AR537" s="30" t="s">
        <v>1024</v>
      </c>
      <c r="AS537" s="30">
        <v>1</v>
      </c>
    </row>
    <row r="538" spans="1:45" x14ac:dyDescent="0.25">
      <c r="A538" s="30" t="s">
        <v>716</v>
      </c>
      <c r="B538" s="30" t="s">
        <v>26282</v>
      </c>
      <c r="C538" s="30" t="s">
        <v>27290</v>
      </c>
      <c r="D538" s="139" t="s">
        <v>26079</v>
      </c>
      <c r="E538" s="30" t="s">
        <v>217</v>
      </c>
      <c r="F538" s="30">
        <v>1</v>
      </c>
      <c r="G538" s="30" t="s">
        <v>193</v>
      </c>
      <c r="H538" s="30" t="s">
        <v>194</v>
      </c>
      <c r="I538" s="30" t="s">
        <v>27277</v>
      </c>
      <c r="J538" s="30" t="s">
        <v>210</v>
      </c>
      <c r="K538" s="30" t="s">
        <v>9309</v>
      </c>
      <c r="L538" s="30" t="s">
        <v>6955</v>
      </c>
      <c r="M538" s="30"/>
      <c r="N538" s="30" t="s">
        <v>26974</v>
      </c>
      <c r="O538" s="30" t="s">
        <v>6290</v>
      </c>
      <c r="P538" s="30" t="s">
        <v>27475</v>
      </c>
      <c r="Q538" s="30" t="s">
        <v>26942</v>
      </c>
      <c r="R538" s="30" t="s">
        <v>23708</v>
      </c>
      <c r="S538" s="30" t="s">
        <v>27673</v>
      </c>
      <c r="T538" s="30" t="s">
        <v>27674</v>
      </c>
      <c r="U538" s="30"/>
      <c r="V538" s="139" t="s">
        <v>9334</v>
      </c>
      <c r="W538" s="30" t="s">
        <v>27293</v>
      </c>
      <c r="X538" s="30" t="s">
        <v>194</v>
      </c>
      <c r="Y538" s="30" t="s">
        <v>9300</v>
      </c>
      <c r="Z538" s="30"/>
      <c r="AA538" s="30"/>
      <c r="AB538" s="30" t="s">
        <v>9311</v>
      </c>
      <c r="AC538" s="30"/>
      <c r="AD538" s="30"/>
      <c r="AE538" s="30"/>
      <c r="AF538" s="30"/>
      <c r="AG538" s="30"/>
      <c r="AH538" s="30" t="s">
        <v>4714</v>
      </c>
      <c r="AI538" s="30" t="s">
        <v>9433</v>
      </c>
      <c r="AJ538" s="641" t="str">
        <f t="shared" si="16"/>
        <v>352290</v>
      </c>
      <c r="AK538" s="641">
        <v>1</v>
      </c>
      <c r="AL538" s="641">
        <f t="shared" si="17"/>
        <v>1</v>
      </c>
      <c r="AM538" s="641">
        <v>1</v>
      </c>
      <c r="AN538" s="30" t="s">
        <v>17650</v>
      </c>
      <c r="AO538" s="30" t="s">
        <v>17651</v>
      </c>
      <c r="AP538" s="30" t="s">
        <v>17652</v>
      </c>
      <c r="AQ538" s="30" t="s">
        <v>17653</v>
      </c>
      <c r="AR538" s="30" t="s">
        <v>1024</v>
      </c>
      <c r="AS538" s="30">
        <v>1</v>
      </c>
    </row>
    <row r="539" spans="1:45" x14ac:dyDescent="0.25">
      <c r="A539" s="30" t="s">
        <v>28147</v>
      </c>
      <c r="B539" s="30" t="s">
        <v>27675</v>
      </c>
      <c r="C539" s="30" t="s">
        <v>111</v>
      </c>
      <c r="D539" s="139" t="s">
        <v>26079</v>
      </c>
      <c r="E539" s="30" t="s">
        <v>217</v>
      </c>
      <c r="F539" s="30">
        <v>1</v>
      </c>
      <c r="G539" s="30" t="s">
        <v>193</v>
      </c>
      <c r="H539" s="30" t="s">
        <v>194</v>
      </c>
      <c r="I539" s="30" t="s">
        <v>27260</v>
      </c>
      <c r="J539" s="30" t="s">
        <v>253</v>
      </c>
      <c r="K539" s="30" t="s">
        <v>9309</v>
      </c>
      <c r="L539" s="30" t="s">
        <v>6955</v>
      </c>
      <c r="M539" s="30"/>
      <c r="N539" s="30" t="s">
        <v>27676</v>
      </c>
      <c r="O539" s="30" t="s">
        <v>8339</v>
      </c>
      <c r="P539" s="30" t="s">
        <v>27475</v>
      </c>
      <c r="Q539" s="30" t="s">
        <v>26139</v>
      </c>
      <c r="R539" s="30" t="s">
        <v>27256</v>
      </c>
      <c r="S539" s="30" t="s">
        <v>27677</v>
      </c>
      <c r="T539" s="30" t="s">
        <v>27678</v>
      </c>
      <c r="U539" s="30"/>
      <c r="V539" s="139" t="s">
        <v>9468</v>
      </c>
      <c r="W539" s="30" t="s">
        <v>612</v>
      </c>
      <c r="X539" s="30" t="s">
        <v>194</v>
      </c>
      <c r="Y539" s="30" t="s">
        <v>9300</v>
      </c>
      <c r="Z539" s="30"/>
      <c r="AA539" s="30"/>
      <c r="AB539" s="30" t="s">
        <v>9311</v>
      </c>
      <c r="AC539" s="30"/>
      <c r="AD539" s="30"/>
      <c r="AE539" s="30"/>
      <c r="AF539" s="30"/>
      <c r="AG539" s="30"/>
      <c r="AH539" s="30" t="s">
        <v>4714</v>
      </c>
      <c r="AI539" s="30" t="s">
        <v>9433</v>
      </c>
      <c r="AJ539" s="641" t="str">
        <f t="shared" si="16"/>
        <v>332101</v>
      </c>
      <c r="AK539" s="641">
        <v>1</v>
      </c>
      <c r="AL539" s="641">
        <f t="shared" si="17"/>
        <v>1</v>
      </c>
      <c r="AM539" s="641">
        <v>1</v>
      </c>
      <c r="AN539" s="30" t="s">
        <v>17650</v>
      </c>
      <c r="AO539" s="30" t="s">
        <v>17651</v>
      </c>
      <c r="AP539" s="30" t="s">
        <v>17652</v>
      </c>
      <c r="AQ539" s="30" t="s">
        <v>17653</v>
      </c>
      <c r="AR539" s="30" t="s">
        <v>1024</v>
      </c>
      <c r="AS539" s="30">
        <v>1</v>
      </c>
    </row>
    <row r="540" spans="1:45" x14ac:dyDescent="0.25">
      <c r="A540" s="30" t="s">
        <v>716</v>
      </c>
      <c r="B540" s="30" t="s">
        <v>27679</v>
      </c>
      <c r="C540" s="30" t="s">
        <v>706</v>
      </c>
      <c r="D540" s="139" t="s">
        <v>26079</v>
      </c>
      <c r="E540" s="30" t="s">
        <v>217</v>
      </c>
      <c r="F540" s="30">
        <v>1</v>
      </c>
      <c r="G540" s="30" t="s">
        <v>193</v>
      </c>
      <c r="H540" s="30" t="s">
        <v>194</v>
      </c>
      <c r="I540" s="30" t="s">
        <v>27253</v>
      </c>
      <c r="J540" s="30" t="s">
        <v>210</v>
      </c>
      <c r="K540" s="30" t="s">
        <v>9309</v>
      </c>
      <c r="L540" s="30" t="s">
        <v>6955</v>
      </c>
      <c r="M540" s="30"/>
      <c r="N540" s="30" t="s">
        <v>27680</v>
      </c>
      <c r="O540" s="30" t="s">
        <v>6251</v>
      </c>
      <c r="P540" s="30" t="s">
        <v>27475</v>
      </c>
      <c r="Q540" s="30" t="s">
        <v>26139</v>
      </c>
      <c r="R540" s="30" t="s">
        <v>27256</v>
      </c>
      <c r="S540" s="30" t="s">
        <v>27681</v>
      </c>
      <c r="T540" s="30" t="s">
        <v>27682</v>
      </c>
      <c r="U540" s="30"/>
      <c r="V540" s="139" t="s">
        <v>9334</v>
      </c>
      <c r="W540" s="30" t="s">
        <v>707</v>
      </c>
      <c r="X540" s="30" t="s">
        <v>194</v>
      </c>
      <c r="Y540" s="30" t="s">
        <v>9300</v>
      </c>
      <c r="Z540" s="30"/>
      <c r="AA540" s="30"/>
      <c r="AB540" s="30" t="s">
        <v>9311</v>
      </c>
      <c r="AC540" s="30"/>
      <c r="AD540" s="30"/>
      <c r="AE540" s="30"/>
      <c r="AF540" s="30"/>
      <c r="AG540" s="30"/>
      <c r="AH540" s="30" t="s">
        <v>4714</v>
      </c>
      <c r="AI540" s="30" t="s">
        <v>9433</v>
      </c>
      <c r="AJ540" s="641" t="str">
        <f t="shared" si="16"/>
        <v>422201</v>
      </c>
      <c r="AK540" s="641">
        <v>1</v>
      </c>
      <c r="AL540" s="641">
        <f t="shared" si="17"/>
        <v>1</v>
      </c>
      <c r="AM540" s="641">
        <v>1</v>
      </c>
      <c r="AN540" s="30" t="s">
        <v>17650</v>
      </c>
      <c r="AO540" s="30" t="s">
        <v>17651</v>
      </c>
      <c r="AP540" s="30" t="s">
        <v>17652</v>
      </c>
      <c r="AQ540" s="30" t="s">
        <v>17653</v>
      </c>
      <c r="AR540" s="30" t="s">
        <v>1024</v>
      </c>
      <c r="AS540" s="30">
        <v>1</v>
      </c>
    </row>
    <row r="541" spans="1:45" x14ac:dyDescent="0.25">
      <c r="A541" s="30" t="s">
        <v>716</v>
      </c>
      <c r="B541" s="30" t="s">
        <v>27044</v>
      </c>
      <c r="C541" s="30" t="s">
        <v>706</v>
      </c>
      <c r="D541" s="139" t="s">
        <v>26079</v>
      </c>
      <c r="E541" s="30" t="s">
        <v>217</v>
      </c>
      <c r="F541" s="30">
        <v>1</v>
      </c>
      <c r="G541" s="30" t="s">
        <v>193</v>
      </c>
      <c r="H541" s="30" t="s">
        <v>194</v>
      </c>
      <c r="I541" s="30" t="s">
        <v>27260</v>
      </c>
      <c r="J541" s="30" t="s">
        <v>210</v>
      </c>
      <c r="K541" s="30" t="s">
        <v>9309</v>
      </c>
      <c r="L541" s="30" t="s">
        <v>6955</v>
      </c>
      <c r="M541" s="30"/>
      <c r="N541" s="30" t="s">
        <v>27045</v>
      </c>
      <c r="O541" s="30" t="s">
        <v>6251</v>
      </c>
      <c r="P541" s="30" t="s">
        <v>27475</v>
      </c>
      <c r="Q541" s="30" t="s">
        <v>26881</v>
      </c>
      <c r="R541" s="30" t="s">
        <v>26882</v>
      </c>
      <c r="S541" s="30" t="s">
        <v>27683</v>
      </c>
      <c r="T541" s="30" t="s">
        <v>27684</v>
      </c>
      <c r="U541" s="30"/>
      <c r="V541" s="139" t="s">
        <v>9334</v>
      </c>
      <c r="W541" s="30" t="s">
        <v>707</v>
      </c>
      <c r="X541" s="30" t="s">
        <v>194</v>
      </c>
      <c r="Y541" s="30" t="s">
        <v>9300</v>
      </c>
      <c r="Z541" s="30"/>
      <c r="AA541" s="30"/>
      <c r="AB541" s="30" t="s">
        <v>9311</v>
      </c>
      <c r="AC541" s="30"/>
      <c r="AD541" s="30"/>
      <c r="AE541" s="30"/>
      <c r="AF541" s="30"/>
      <c r="AG541" s="30"/>
      <c r="AH541" s="30" t="s">
        <v>4714</v>
      </c>
      <c r="AI541" s="30" t="s">
        <v>9433</v>
      </c>
      <c r="AJ541" s="641" t="str">
        <f t="shared" si="16"/>
        <v>422201</v>
      </c>
      <c r="AK541" s="641">
        <v>1</v>
      </c>
      <c r="AL541" s="641">
        <f t="shared" si="17"/>
        <v>1</v>
      </c>
      <c r="AM541" s="641">
        <v>1</v>
      </c>
      <c r="AN541" s="30" t="s">
        <v>17650</v>
      </c>
      <c r="AO541" s="30" t="s">
        <v>17651</v>
      </c>
      <c r="AP541" s="30" t="s">
        <v>17652</v>
      </c>
      <c r="AQ541" s="30" t="s">
        <v>17653</v>
      </c>
      <c r="AR541" s="30" t="s">
        <v>1024</v>
      </c>
      <c r="AS541" s="30">
        <v>1</v>
      </c>
    </row>
    <row r="542" spans="1:45" x14ac:dyDescent="0.25">
      <c r="A542" s="30" t="s">
        <v>10145</v>
      </c>
      <c r="B542" s="30" t="s">
        <v>10229</v>
      </c>
      <c r="C542" s="30" t="s">
        <v>51</v>
      </c>
      <c r="D542" s="139" t="s">
        <v>26079</v>
      </c>
      <c r="E542" s="30" t="s">
        <v>217</v>
      </c>
      <c r="F542" s="30">
        <v>1</v>
      </c>
      <c r="G542" s="30" t="s">
        <v>193</v>
      </c>
      <c r="H542" s="30" t="s">
        <v>194</v>
      </c>
      <c r="I542" s="30" t="s">
        <v>27260</v>
      </c>
      <c r="J542" s="30" t="s">
        <v>210</v>
      </c>
      <c r="K542" s="30" t="s">
        <v>9309</v>
      </c>
      <c r="L542" s="30" t="s">
        <v>6955</v>
      </c>
      <c r="M542" s="30"/>
      <c r="N542" s="30" t="s">
        <v>26716</v>
      </c>
      <c r="O542" s="30" t="s">
        <v>6249</v>
      </c>
      <c r="P542" s="30" t="s">
        <v>27475</v>
      </c>
      <c r="Q542" s="30" t="s">
        <v>26374</v>
      </c>
      <c r="R542" s="30" t="s">
        <v>26375</v>
      </c>
      <c r="S542" s="30" t="s">
        <v>27685</v>
      </c>
      <c r="T542" s="30" t="s">
        <v>27686</v>
      </c>
      <c r="U542" s="30"/>
      <c r="V542" s="139" t="s">
        <v>9334</v>
      </c>
      <c r="W542" s="30" t="s">
        <v>904</v>
      </c>
      <c r="X542" s="30" t="s">
        <v>194</v>
      </c>
      <c r="Y542" s="30" t="s">
        <v>9300</v>
      </c>
      <c r="Z542" s="30"/>
      <c r="AA542" s="30"/>
      <c r="AB542" s="30" t="s">
        <v>9311</v>
      </c>
      <c r="AC542" s="30"/>
      <c r="AD542" s="30"/>
      <c r="AE542" s="30"/>
      <c r="AF542" s="30"/>
      <c r="AG542" s="30"/>
      <c r="AH542" s="30" t="s">
        <v>4714</v>
      </c>
      <c r="AI542" s="30" t="s">
        <v>9433</v>
      </c>
      <c r="AJ542" s="641" t="str">
        <f t="shared" si="16"/>
        <v>523002</v>
      </c>
      <c r="AK542" s="641">
        <v>1</v>
      </c>
      <c r="AL542" s="641">
        <f t="shared" si="17"/>
        <v>1</v>
      </c>
      <c r="AM542" s="641">
        <v>1</v>
      </c>
      <c r="AN542" s="30" t="s">
        <v>17650</v>
      </c>
      <c r="AO542" s="30" t="s">
        <v>17651</v>
      </c>
      <c r="AP542" s="30" t="s">
        <v>17652</v>
      </c>
      <c r="AQ542" s="30" t="s">
        <v>17653</v>
      </c>
      <c r="AR542" s="30" t="s">
        <v>1024</v>
      </c>
      <c r="AS542" s="30">
        <v>1</v>
      </c>
    </row>
    <row r="543" spans="1:45" x14ac:dyDescent="0.25">
      <c r="A543" s="30" t="s">
        <v>716</v>
      </c>
      <c r="B543" s="30" t="s">
        <v>26699</v>
      </c>
      <c r="C543" s="30" t="s">
        <v>706</v>
      </c>
      <c r="D543" s="139" t="s">
        <v>26079</v>
      </c>
      <c r="E543" s="30" t="s">
        <v>217</v>
      </c>
      <c r="F543" s="30">
        <v>1</v>
      </c>
      <c r="G543" s="30" t="s">
        <v>193</v>
      </c>
      <c r="H543" s="30" t="s">
        <v>194</v>
      </c>
      <c r="I543" s="30" t="s">
        <v>27260</v>
      </c>
      <c r="J543" s="30" t="s">
        <v>210</v>
      </c>
      <c r="K543" s="30" t="s">
        <v>9309</v>
      </c>
      <c r="L543" s="30" t="s">
        <v>6955</v>
      </c>
      <c r="M543" s="30"/>
      <c r="N543" s="30" t="s">
        <v>26700</v>
      </c>
      <c r="O543" s="30" t="s">
        <v>6286</v>
      </c>
      <c r="P543" s="30" t="s">
        <v>27475</v>
      </c>
      <c r="Q543" s="30" t="s">
        <v>26261</v>
      </c>
      <c r="R543" s="30" t="s">
        <v>26262</v>
      </c>
      <c r="S543" s="30" t="s">
        <v>27687</v>
      </c>
      <c r="T543" s="30" t="s">
        <v>27688</v>
      </c>
      <c r="U543" s="30"/>
      <c r="V543" s="139" t="s">
        <v>9334</v>
      </c>
      <c r="W543" s="30" t="s">
        <v>707</v>
      </c>
      <c r="X543" s="30" t="s">
        <v>194</v>
      </c>
      <c r="Y543" s="30" t="s">
        <v>9300</v>
      </c>
      <c r="Z543" s="30"/>
      <c r="AA543" s="30"/>
      <c r="AB543" s="30" t="s">
        <v>9311</v>
      </c>
      <c r="AC543" s="30"/>
      <c r="AD543" s="30"/>
      <c r="AE543" s="30"/>
      <c r="AF543" s="30"/>
      <c r="AG543" s="30"/>
      <c r="AH543" s="30" t="s">
        <v>4714</v>
      </c>
      <c r="AI543" s="30" t="s">
        <v>9433</v>
      </c>
      <c r="AJ543" s="641" t="str">
        <f t="shared" si="16"/>
        <v>422201</v>
      </c>
      <c r="AK543" s="641">
        <v>1</v>
      </c>
      <c r="AL543" s="641">
        <f t="shared" si="17"/>
        <v>1</v>
      </c>
      <c r="AM543" s="641">
        <v>1</v>
      </c>
      <c r="AN543" s="30" t="s">
        <v>17650</v>
      </c>
      <c r="AO543" s="30" t="s">
        <v>17651</v>
      </c>
      <c r="AP543" s="30" t="s">
        <v>17652</v>
      </c>
      <c r="AQ543" s="30" t="s">
        <v>17653</v>
      </c>
      <c r="AR543" s="30" t="s">
        <v>1024</v>
      </c>
      <c r="AS543" s="30">
        <v>1</v>
      </c>
    </row>
    <row r="544" spans="1:45" x14ac:dyDescent="0.25">
      <c r="A544" s="30" t="s">
        <v>716</v>
      </c>
      <c r="B544" s="30" t="s">
        <v>26902</v>
      </c>
      <c r="C544" s="30" t="s">
        <v>706</v>
      </c>
      <c r="D544" s="139" t="s">
        <v>26079</v>
      </c>
      <c r="E544" s="30" t="s">
        <v>217</v>
      </c>
      <c r="F544" s="30">
        <v>1</v>
      </c>
      <c r="G544" s="30" t="s">
        <v>193</v>
      </c>
      <c r="H544" s="30" t="s">
        <v>194</v>
      </c>
      <c r="I544" s="30" t="s">
        <v>27253</v>
      </c>
      <c r="J544" s="30" t="s">
        <v>210</v>
      </c>
      <c r="K544" s="30" t="s">
        <v>9309</v>
      </c>
      <c r="L544" s="30" t="s">
        <v>6955</v>
      </c>
      <c r="M544" s="30"/>
      <c r="N544" s="30" t="s">
        <v>27689</v>
      </c>
      <c r="O544" s="30" t="s">
        <v>6251</v>
      </c>
      <c r="P544" s="30" t="s">
        <v>27475</v>
      </c>
      <c r="Q544" s="30" t="s">
        <v>26160</v>
      </c>
      <c r="R544" s="30" t="s">
        <v>27340</v>
      </c>
      <c r="S544" s="30" t="s">
        <v>27690</v>
      </c>
      <c r="T544" s="30" t="s">
        <v>27691</v>
      </c>
      <c r="U544" s="30"/>
      <c r="V544" s="139" t="s">
        <v>9334</v>
      </c>
      <c r="W544" s="30" t="s">
        <v>707</v>
      </c>
      <c r="X544" s="30" t="s">
        <v>194</v>
      </c>
      <c r="Y544" s="30" t="s">
        <v>9300</v>
      </c>
      <c r="Z544" s="30"/>
      <c r="AA544" s="30"/>
      <c r="AB544" s="30" t="s">
        <v>9311</v>
      </c>
      <c r="AC544" s="30"/>
      <c r="AD544" s="30"/>
      <c r="AE544" s="30"/>
      <c r="AF544" s="30"/>
      <c r="AG544" s="30"/>
      <c r="AH544" s="30" t="s">
        <v>4714</v>
      </c>
      <c r="AI544" s="30" t="s">
        <v>9433</v>
      </c>
      <c r="AJ544" s="641" t="str">
        <f t="shared" si="16"/>
        <v>422201</v>
      </c>
      <c r="AK544" s="641">
        <v>1</v>
      </c>
      <c r="AL544" s="641">
        <f t="shared" si="17"/>
        <v>1</v>
      </c>
      <c r="AM544" s="641">
        <v>1</v>
      </c>
      <c r="AN544" s="30" t="s">
        <v>17650</v>
      </c>
      <c r="AO544" s="30" t="s">
        <v>17651</v>
      </c>
      <c r="AP544" s="30" t="s">
        <v>17652</v>
      </c>
      <c r="AQ544" s="30" t="s">
        <v>17653</v>
      </c>
      <c r="AR544" s="30" t="s">
        <v>1024</v>
      </c>
      <c r="AS544" s="30">
        <v>1</v>
      </c>
    </row>
    <row r="545" spans="1:45" x14ac:dyDescent="0.25">
      <c r="A545" s="30" t="s">
        <v>716</v>
      </c>
      <c r="B545" s="30" t="s">
        <v>26369</v>
      </c>
      <c r="C545" s="30" t="s">
        <v>24125</v>
      </c>
      <c r="D545" s="139" t="s">
        <v>26079</v>
      </c>
      <c r="E545" s="30" t="s">
        <v>217</v>
      </c>
      <c r="F545" s="30">
        <v>1</v>
      </c>
      <c r="G545" s="30" t="s">
        <v>193</v>
      </c>
      <c r="H545" s="30" t="s">
        <v>194</v>
      </c>
      <c r="I545" s="30" t="s">
        <v>26133</v>
      </c>
      <c r="J545" s="30" t="s">
        <v>210</v>
      </c>
      <c r="K545" s="30" t="s">
        <v>9309</v>
      </c>
      <c r="L545" s="30" t="s">
        <v>6955</v>
      </c>
      <c r="M545" s="30"/>
      <c r="N545" s="30" t="s">
        <v>26880</v>
      </c>
      <c r="O545" s="30" t="s">
        <v>6261</v>
      </c>
      <c r="P545" s="30" t="s">
        <v>27475</v>
      </c>
      <c r="Q545" s="30" t="s">
        <v>26881</v>
      </c>
      <c r="R545" s="30" t="s">
        <v>26882</v>
      </c>
      <c r="S545" s="30" t="s">
        <v>27692</v>
      </c>
      <c r="T545" s="30" t="s">
        <v>27693</v>
      </c>
      <c r="U545" s="30"/>
      <c r="V545" s="139" t="s">
        <v>9334</v>
      </c>
      <c r="W545" s="30" t="s">
        <v>24129</v>
      </c>
      <c r="X545" s="30" t="s">
        <v>194</v>
      </c>
      <c r="Y545" s="30" t="s">
        <v>9300</v>
      </c>
      <c r="Z545" s="30"/>
      <c r="AA545" s="30"/>
      <c r="AB545" s="30" t="s">
        <v>9311</v>
      </c>
      <c r="AC545" s="30"/>
      <c r="AD545" s="30"/>
      <c r="AE545" s="30"/>
      <c r="AF545" s="30"/>
      <c r="AG545" s="30"/>
      <c r="AH545" s="30" t="s">
        <v>4714</v>
      </c>
      <c r="AI545" s="30" t="s">
        <v>9433</v>
      </c>
      <c r="AJ545" s="641" t="str">
        <f t="shared" si="16"/>
        <v>351401</v>
      </c>
      <c r="AK545" s="641">
        <v>1</v>
      </c>
      <c r="AL545" s="641">
        <f t="shared" si="17"/>
        <v>1</v>
      </c>
      <c r="AM545" s="641">
        <v>1</v>
      </c>
      <c r="AN545" s="30" t="s">
        <v>17650</v>
      </c>
      <c r="AO545" s="30" t="s">
        <v>17651</v>
      </c>
      <c r="AP545" s="30" t="s">
        <v>17652</v>
      </c>
      <c r="AQ545" s="30" t="s">
        <v>17653</v>
      </c>
      <c r="AR545" s="30" t="s">
        <v>1024</v>
      </c>
      <c r="AS545" s="30">
        <v>1</v>
      </c>
    </row>
    <row r="546" spans="1:45" x14ac:dyDescent="0.25">
      <c r="A546" s="30" t="s">
        <v>26193</v>
      </c>
      <c r="B546" s="30" t="s">
        <v>26194</v>
      </c>
      <c r="C546" s="30" t="s">
        <v>227</v>
      </c>
      <c r="D546" s="139" t="s">
        <v>26079</v>
      </c>
      <c r="E546" s="30" t="s">
        <v>217</v>
      </c>
      <c r="F546" s="30">
        <v>1</v>
      </c>
      <c r="G546" s="30" t="s">
        <v>193</v>
      </c>
      <c r="H546" s="30" t="s">
        <v>194</v>
      </c>
      <c r="I546" s="30" t="s">
        <v>27277</v>
      </c>
      <c r="J546" s="30" t="s">
        <v>223</v>
      </c>
      <c r="K546" s="30" t="s">
        <v>9309</v>
      </c>
      <c r="L546" s="30" t="s">
        <v>6955</v>
      </c>
      <c r="M546" s="30"/>
      <c r="N546" s="30" t="s">
        <v>27694</v>
      </c>
      <c r="O546" s="30" t="s">
        <v>6269</v>
      </c>
      <c r="P546" s="30" t="s">
        <v>27475</v>
      </c>
      <c r="Q546" s="30" t="s">
        <v>26109</v>
      </c>
      <c r="R546" s="30" t="s">
        <v>27328</v>
      </c>
      <c r="S546" s="30" t="s">
        <v>27695</v>
      </c>
      <c r="T546" s="30" t="s">
        <v>27696</v>
      </c>
      <c r="U546" s="30"/>
      <c r="V546" s="139" t="s">
        <v>11163</v>
      </c>
      <c r="W546" s="30" t="s">
        <v>229</v>
      </c>
      <c r="X546" s="30" t="s">
        <v>194</v>
      </c>
      <c r="Y546" s="30" t="s">
        <v>9300</v>
      </c>
      <c r="Z546" s="30"/>
      <c r="AA546" s="30"/>
      <c r="AB546" s="30" t="s">
        <v>9311</v>
      </c>
      <c r="AC546" s="30"/>
      <c r="AD546" s="30"/>
      <c r="AE546" s="30"/>
      <c r="AF546" s="30"/>
      <c r="AG546" s="30"/>
      <c r="AH546" s="30" t="s">
        <v>4714</v>
      </c>
      <c r="AI546" s="30" t="s">
        <v>9433</v>
      </c>
      <c r="AJ546" s="641" t="str">
        <f t="shared" si="16"/>
        <v>132401</v>
      </c>
      <c r="AK546" s="641">
        <v>1</v>
      </c>
      <c r="AL546" s="641">
        <f t="shared" si="17"/>
        <v>1</v>
      </c>
      <c r="AM546" s="641">
        <v>1</v>
      </c>
      <c r="AN546" s="30" t="s">
        <v>17650</v>
      </c>
      <c r="AO546" s="30" t="s">
        <v>17651</v>
      </c>
      <c r="AP546" s="30" t="s">
        <v>17652</v>
      </c>
      <c r="AQ546" s="30" t="s">
        <v>17653</v>
      </c>
      <c r="AR546" s="30" t="s">
        <v>1024</v>
      </c>
      <c r="AS546" s="30">
        <v>1</v>
      </c>
    </row>
    <row r="547" spans="1:45" x14ac:dyDescent="0.25">
      <c r="A547" s="30" t="s">
        <v>26089</v>
      </c>
      <c r="B547" s="30" t="s">
        <v>26616</v>
      </c>
      <c r="C547" s="30" t="s">
        <v>26180</v>
      </c>
      <c r="D547" s="139" t="s">
        <v>26079</v>
      </c>
      <c r="E547" s="30" t="s">
        <v>217</v>
      </c>
      <c r="F547" s="30">
        <v>1</v>
      </c>
      <c r="G547" s="30" t="s">
        <v>193</v>
      </c>
      <c r="H547" s="30" t="s">
        <v>194</v>
      </c>
      <c r="I547" s="30" t="s">
        <v>27277</v>
      </c>
      <c r="J547" s="30" t="s">
        <v>316</v>
      </c>
      <c r="K547" s="30" t="s">
        <v>9309</v>
      </c>
      <c r="L547" s="30" t="s">
        <v>6955</v>
      </c>
      <c r="M547" s="30"/>
      <c r="N547" s="30" t="s">
        <v>26617</v>
      </c>
      <c r="O547" s="30" t="s">
        <v>6286</v>
      </c>
      <c r="P547" s="30" t="s">
        <v>27311</v>
      </c>
      <c r="Q547" s="30" t="s">
        <v>26189</v>
      </c>
      <c r="R547" s="30" t="s">
        <v>27312</v>
      </c>
      <c r="S547" s="30" t="s">
        <v>27697</v>
      </c>
      <c r="T547" s="30" t="s">
        <v>27698</v>
      </c>
      <c r="U547" s="30"/>
      <c r="V547" s="139" t="s">
        <v>10012</v>
      </c>
      <c r="W547" s="30" t="s">
        <v>26186</v>
      </c>
      <c r="X547" s="30" t="s">
        <v>194</v>
      </c>
      <c r="Y547" s="30" t="s">
        <v>9300</v>
      </c>
      <c r="Z547" s="30"/>
      <c r="AA547" s="30"/>
      <c r="AB547" s="30" t="s">
        <v>9311</v>
      </c>
      <c r="AC547" s="30"/>
      <c r="AD547" s="30"/>
      <c r="AE547" s="30"/>
      <c r="AF547" s="30"/>
      <c r="AG547" s="30"/>
      <c r="AH547" s="30" t="s">
        <v>4714</v>
      </c>
      <c r="AI547" s="30" t="s">
        <v>9433</v>
      </c>
      <c r="AJ547" s="641" t="str">
        <f t="shared" si="16"/>
        <v>421108</v>
      </c>
      <c r="AK547" s="641">
        <v>1</v>
      </c>
      <c r="AL547" s="641">
        <f t="shared" si="17"/>
        <v>1</v>
      </c>
      <c r="AM547" s="641">
        <v>1</v>
      </c>
      <c r="AN547" s="30" t="s">
        <v>17650</v>
      </c>
      <c r="AO547" s="30" t="s">
        <v>17651</v>
      </c>
      <c r="AP547" s="30" t="s">
        <v>17652</v>
      </c>
      <c r="AQ547" s="30" t="s">
        <v>17653</v>
      </c>
      <c r="AR547" s="30" t="s">
        <v>1024</v>
      </c>
      <c r="AS547" s="30">
        <v>1</v>
      </c>
    </row>
    <row r="548" spans="1:45" x14ac:dyDescent="0.25">
      <c r="A548" s="30" t="s">
        <v>716</v>
      </c>
      <c r="B548" s="30" t="s">
        <v>26666</v>
      </c>
      <c r="C548" s="30" t="s">
        <v>2861</v>
      </c>
      <c r="D548" s="139" t="s">
        <v>26079</v>
      </c>
      <c r="E548" s="30" t="s">
        <v>217</v>
      </c>
      <c r="F548" s="30">
        <v>1</v>
      </c>
      <c r="G548" s="30" t="s">
        <v>193</v>
      </c>
      <c r="H548" s="30" t="s">
        <v>194</v>
      </c>
      <c r="I548" s="30" t="s">
        <v>23198</v>
      </c>
      <c r="J548" s="30" t="s">
        <v>210</v>
      </c>
      <c r="K548" s="30" t="s">
        <v>9309</v>
      </c>
      <c r="L548" s="30" t="s">
        <v>6955</v>
      </c>
      <c r="M548" s="30"/>
      <c r="N548" s="30" t="s">
        <v>26941</v>
      </c>
      <c r="O548" s="30" t="s">
        <v>6921</v>
      </c>
      <c r="P548" s="30" t="s">
        <v>27475</v>
      </c>
      <c r="Q548" s="30" t="s">
        <v>26942</v>
      </c>
      <c r="R548" s="30" t="s">
        <v>23708</v>
      </c>
      <c r="S548" s="30" t="s">
        <v>27699</v>
      </c>
      <c r="T548" s="30" t="s">
        <v>27700</v>
      </c>
      <c r="U548" s="30"/>
      <c r="V548" s="139" t="s">
        <v>9334</v>
      </c>
      <c r="W548" s="30" t="s">
        <v>3629</v>
      </c>
      <c r="X548" s="30" t="s">
        <v>194</v>
      </c>
      <c r="Y548" s="30" t="s">
        <v>9300</v>
      </c>
      <c r="Z548" s="30"/>
      <c r="AA548" s="30"/>
      <c r="AB548" s="30" t="s">
        <v>9311</v>
      </c>
      <c r="AC548" s="30"/>
      <c r="AD548" s="30"/>
      <c r="AE548" s="30"/>
      <c r="AF548" s="30"/>
      <c r="AG548" s="30"/>
      <c r="AH548" s="30" t="s">
        <v>4714</v>
      </c>
      <c r="AI548" s="30" t="s">
        <v>9433</v>
      </c>
      <c r="AJ548" s="641" t="str">
        <f t="shared" si="16"/>
        <v>251903</v>
      </c>
      <c r="AK548" s="641">
        <v>1</v>
      </c>
      <c r="AL548" s="641">
        <f t="shared" si="17"/>
        <v>1</v>
      </c>
      <c r="AM548" s="641">
        <v>1</v>
      </c>
      <c r="AN548" s="30" t="s">
        <v>17650</v>
      </c>
      <c r="AO548" s="30" t="s">
        <v>17651</v>
      </c>
      <c r="AP548" s="30" t="s">
        <v>17652</v>
      </c>
      <c r="AQ548" s="30" t="s">
        <v>17653</v>
      </c>
      <c r="AR548" s="30" t="s">
        <v>1024</v>
      </c>
      <c r="AS548" s="30">
        <v>1</v>
      </c>
    </row>
    <row r="549" spans="1:45" x14ac:dyDescent="0.25">
      <c r="A549" s="30" t="s">
        <v>716</v>
      </c>
      <c r="B549" s="30" t="s">
        <v>27098</v>
      </c>
      <c r="C549" s="30" t="s">
        <v>706</v>
      </c>
      <c r="D549" s="139" t="s">
        <v>26079</v>
      </c>
      <c r="E549" s="30" t="s">
        <v>217</v>
      </c>
      <c r="F549" s="30">
        <v>1</v>
      </c>
      <c r="G549" s="30" t="s">
        <v>193</v>
      </c>
      <c r="H549" s="30" t="s">
        <v>194</v>
      </c>
      <c r="I549" s="30" t="s">
        <v>27277</v>
      </c>
      <c r="J549" s="30" t="s">
        <v>210</v>
      </c>
      <c r="K549" s="30" t="s">
        <v>9309</v>
      </c>
      <c r="L549" s="30" t="s">
        <v>6955</v>
      </c>
      <c r="M549" s="30"/>
      <c r="N549" s="30" t="s">
        <v>27701</v>
      </c>
      <c r="O549" s="30" t="s">
        <v>6251</v>
      </c>
      <c r="P549" s="30" t="s">
        <v>27475</v>
      </c>
      <c r="Q549" s="30" t="s">
        <v>26139</v>
      </c>
      <c r="R549" s="30" t="s">
        <v>27256</v>
      </c>
      <c r="S549" s="30" t="s">
        <v>27702</v>
      </c>
      <c r="T549" s="30" t="s">
        <v>27703</v>
      </c>
      <c r="U549" s="30"/>
      <c r="V549" s="139" t="s">
        <v>9334</v>
      </c>
      <c r="W549" s="30" t="s">
        <v>707</v>
      </c>
      <c r="X549" s="30" t="s">
        <v>194</v>
      </c>
      <c r="Y549" s="30" t="s">
        <v>9300</v>
      </c>
      <c r="Z549" s="30"/>
      <c r="AA549" s="30"/>
      <c r="AB549" s="30" t="s">
        <v>9311</v>
      </c>
      <c r="AC549" s="30"/>
      <c r="AD549" s="30"/>
      <c r="AE549" s="30"/>
      <c r="AF549" s="30"/>
      <c r="AG549" s="30"/>
      <c r="AH549" s="30" t="s">
        <v>4714</v>
      </c>
      <c r="AI549" s="30" t="s">
        <v>9433</v>
      </c>
      <c r="AJ549" s="641" t="str">
        <f t="shared" si="16"/>
        <v>422201</v>
      </c>
      <c r="AK549" s="641">
        <v>1</v>
      </c>
      <c r="AL549" s="641">
        <f t="shared" si="17"/>
        <v>1</v>
      </c>
      <c r="AM549" s="641">
        <v>1</v>
      </c>
      <c r="AN549" s="30" t="s">
        <v>17650</v>
      </c>
      <c r="AO549" s="30" t="s">
        <v>17651</v>
      </c>
      <c r="AP549" s="30" t="s">
        <v>17652</v>
      </c>
      <c r="AQ549" s="30" t="s">
        <v>17653</v>
      </c>
      <c r="AR549" s="30" t="s">
        <v>1024</v>
      </c>
      <c r="AS549" s="30">
        <v>1</v>
      </c>
    </row>
    <row r="550" spans="1:45" x14ac:dyDescent="0.25">
      <c r="A550" s="30" t="s">
        <v>716</v>
      </c>
      <c r="B550" s="30" t="s">
        <v>26365</v>
      </c>
      <c r="C550" s="30" t="s">
        <v>706</v>
      </c>
      <c r="D550" s="139" t="s">
        <v>26079</v>
      </c>
      <c r="E550" s="30" t="s">
        <v>217</v>
      </c>
      <c r="F550" s="30">
        <v>1</v>
      </c>
      <c r="G550" s="30" t="s">
        <v>193</v>
      </c>
      <c r="H550" s="30" t="s">
        <v>194</v>
      </c>
      <c r="I550" s="30" t="s">
        <v>27260</v>
      </c>
      <c r="J550" s="30" t="s">
        <v>210</v>
      </c>
      <c r="K550" s="30" t="s">
        <v>9309</v>
      </c>
      <c r="L550" s="30" t="s">
        <v>6955</v>
      </c>
      <c r="M550" s="30"/>
      <c r="N550" s="30" t="s">
        <v>26394</v>
      </c>
      <c r="O550" s="30" t="s">
        <v>6251</v>
      </c>
      <c r="P550" s="30" t="s">
        <v>27311</v>
      </c>
      <c r="Q550" s="30" t="s">
        <v>26241</v>
      </c>
      <c r="R550" s="30" t="s">
        <v>27312</v>
      </c>
      <c r="S550" s="30" t="s">
        <v>27704</v>
      </c>
      <c r="T550" s="30" t="s">
        <v>27705</v>
      </c>
      <c r="U550" s="30"/>
      <c r="V550" s="139" t="s">
        <v>9334</v>
      </c>
      <c r="W550" s="30" t="s">
        <v>707</v>
      </c>
      <c r="X550" s="30" t="s">
        <v>194</v>
      </c>
      <c r="Y550" s="30" t="s">
        <v>9300</v>
      </c>
      <c r="Z550" s="30"/>
      <c r="AA550" s="30"/>
      <c r="AB550" s="30" t="s">
        <v>9311</v>
      </c>
      <c r="AC550" s="30"/>
      <c r="AD550" s="30"/>
      <c r="AE550" s="30"/>
      <c r="AF550" s="30"/>
      <c r="AG550" s="30"/>
      <c r="AH550" s="30" t="s">
        <v>4714</v>
      </c>
      <c r="AI550" s="30" t="s">
        <v>9433</v>
      </c>
      <c r="AJ550" s="641" t="str">
        <f t="shared" si="16"/>
        <v>422201</v>
      </c>
      <c r="AK550" s="641">
        <v>1</v>
      </c>
      <c r="AL550" s="641">
        <f t="shared" si="17"/>
        <v>1</v>
      </c>
      <c r="AM550" s="641">
        <v>1</v>
      </c>
      <c r="AN550" s="30" t="s">
        <v>17650</v>
      </c>
      <c r="AO550" s="30" t="s">
        <v>17651</v>
      </c>
      <c r="AP550" s="30" t="s">
        <v>17652</v>
      </c>
      <c r="AQ550" s="30" t="s">
        <v>17653</v>
      </c>
      <c r="AR550" s="30" t="s">
        <v>1024</v>
      </c>
      <c r="AS550" s="30">
        <v>1</v>
      </c>
    </row>
    <row r="551" spans="1:45" x14ac:dyDescent="0.25">
      <c r="A551" s="30" t="s">
        <v>26089</v>
      </c>
      <c r="B551" s="30" t="s">
        <v>26567</v>
      </c>
      <c r="C551" s="30" t="s">
        <v>1766</v>
      </c>
      <c r="D551" s="139" t="s">
        <v>26079</v>
      </c>
      <c r="E551" s="30" t="s">
        <v>217</v>
      </c>
      <c r="F551" s="30">
        <v>1</v>
      </c>
      <c r="G551" s="30" t="s">
        <v>193</v>
      </c>
      <c r="H551" s="30" t="s">
        <v>194</v>
      </c>
      <c r="I551" s="30" t="s">
        <v>27253</v>
      </c>
      <c r="J551" s="30" t="s">
        <v>210</v>
      </c>
      <c r="K551" s="30" t="s">
        <v>9309</v>
      </c>
      <c r="L551" s="30" t="s">
        <v>6955</v>
      </c>
      <c r="M551" s="30"/>
      <c r="N551" s="30" t="s">
        <v>26938</v>
      </c>
      <c r="O551" s="30" t="s">
        <v>6261</v>
      </c>
      <c r="P551" s="30" t="s">
        <v>27475</v>
      </c>
      <c r="Q551" s="30" t="s">
        <v>26086</v>
      </c>
      <c r="R551" s="30" t="s">
        <v>26787</v>
      </c>
      <c r="S551" s="30" t="s">
        <v>27706</v>
      </c>
      <c r="T551" s="30" t="s">
        <v>27707</v>
      </c>
      <c r="U551" s="30"/>
      <c r="V551" s="139" t="s">
        <v>9334</v>
      </c>
      <c r="W551" s="30" t="s">
        <v>1767</v>
      </c>
      <c r="X551" s="30" t="s">
        <v>194</v>
      </c>
      <c r="Y551" s="30" t="s">
        <v>9300</v>
      </c>
      <c r="Z551" s="30"/>
      <c r="AA551" s="30"/>
      <c r="AB551" s="30" t="s">
        <v>9311</v>
      </c>
      <c r="AC551" s="30"/>
      <c r="AD551" s="30"/>
      <c r="AE551" s="30"/>
      <c r="AF551" s="30"/>
      <c r="AG551" s="30"/>
      <c r="AH551" s="30" t="s">
        <v>4714</v>
      </c>
      <c r="AI551" s="30" t="s">
        <v>9433</v>
      </c>
      <c r="AJ551" s="641" t="str">
        <f t="shared" si="16"/>
        <v>242112</v>
      </c>
      <c r="AK551" s="641">
        <v>1</v>
      </c>
      <c r="AL551" s="641">
        <f t="shared" si="17"/>
        <v>1</v>
      </c>
      <c r="AM551" s="641">
        <v>1</v>
      </c>
      <c r="AN551" s="30" t="s">
        <v>17650</v>
      </c>
      <c r="AO551" s="30" t="s">
        <v>17651</v>
      </c>
      <c r="AP551" s="30" t="s">
        <v>17652</v>
      </c>
      <c r="AQ551" s="30" t="s">
        <v>17653</v>
      </c>
      <c r="AR551" s="30" t="s">
        <v>1024</v>
      </c>
      <c r="AS551" s="30">
        <v>1</v>
      </c>
    </row>
    <row r="552" spans="1:45" x14ac:dyDescent="0.25">
      <c r="A552" s="30" t="s">
        <v>26153</v>
      </c>
      <c r="B552" s="30" t="s">
        <v>26495</v>
      </c>
      <c r="C552" s="30" t="s">
        <v>10</v>
      </c>
      <c r="D552" s="139" t="s">
        <v>26079</v>
      </c>
      <c r="E552" s="30" t="s">
        <v>217</v>
      </c>
      <c r="F552" s="30">
        <v>1</v>
      </c>
      <c r="G552" s="30" t="s">
        <v>193</v>
      </c>
      <c r="H552" s="30" t="s">
        <v>194</v>
      </c>
      <c r="I552" s="30" t="s">
        <v>27253</v>
      </c>
      <c r="J552" s="30" t="s">
        <v>210</v>
      </c>
      <c r="K552" s="30" t="s">
        <v>9309</v>
      </c>
      <c r="L552" s="30" t="s">
        <v>6955</v>
      </c>
      <c r="M552" s="30"/>
      <c r="N552" s="30" t="s">
        <v>26496</v>
      </c>
      <c r="O552" s="30" t="s">
        <v>6261</v>
      </c>
      <c r="P552" s="30" t="s">
        <v>27475</v>
      </c>
      <c r="Q552" s="30" t="s">
        <v>26150</v>
      </c>
      <c r="R552" s="30" t="s">
        <v>23804</v>
      </c>
      <c r="S552" s="30" t="s">
        <v>27708</v>
      </c>
      <c r="T552" s="30" t="s">
        <v>27709</v>
      </c>
      <c r="U552" s="30"/>
      <c r="V552" s="139" t="s">
        <v>9334</v>
      </c>
      <c r="W552" s="30" t="s">
        <v>484</v>
      </c>
      <c r="X552" s="30" t="s">
        <v>194</v>
      </c>
      <c r="Y552" s="30" t="s">
        <v>9300</v>
      </c>
      <c r="Z552" s="30"/>
      <c r="AA552" s="30"/>
      <c r="AB552" s="30" t="s">
        <v>9311</v>
      </c>
      <c r="AC552" s="30"/>
      <c r="AD552" s="30"/>
      <c r="AE552" s="30"/>
      <c r="AF552" s="30"/>
      <c r="AG552" s="30"/>
      <c r="AH552" s="30" t="s">
        <v>4714</v>
      </c>
      <c r="AI552" s="30" t="s">
        <v>9433</v>
      </c>
      <c r="AJ552" s="641" t="str">
        <f t="shared" si="16"/>
        <v>251401</v>
      </c>
      <c r="AK552" s="641">
        <v>1</v>
      </c>
      <c r="AL552" s="641">
        <f t="shared" si="17"/>
        <v>1</v>
      </c>
      <c r="AM552" s="641">
        <v>1</v>
      </c>
      <c r="AN552" s="30" t="s">
        <v>17650</v>
      </c>
      <c r="AO552" s="30" t="s">
        <v>17651</v>
      </c>
      <c r="AP552" s="30" t="s">
        <v>17652</v>
      </c>
      <c r="AQ552" s="30" t="s">
        <v>17653</v>
      </c>
      <c r="AR552" s="30" t="s">
        <v>1024</v>
      </c>
      <c r="AS552" s="30">
        <v>1</v>
      </c>
    </row>
    <row r="553" spans="1:45" x14ac:dyDescent="0.25">
      <c r="A553" s="30" t="s">
        <v>716</v>
      </c>
      <c r="B553" s="30" t="s">
        <v>27307</v>
      </c>
      <c r="C553" s="30" t="s">
        <v>706</v>
      </c>
      <c r="D553" s="139" t="s">
        <v>26079</v>
      </c>
      <c r="E553" s="30" t="s">
        <v>217</v>
      </c>
      <c r="F553" s="30">
        <v>1</v>
      </c>
      <c r="G553" s="30" t="s">
        <v>193</v>
      </c>
      <c r="H553" s="30" t="s">
        <v>194</v>
      </c>
      <c r="I553" s="30" t="s">
        <v>27253</v>
      </c>
      <c r="J553" s="30" t="s">
        <v>210</v>
      </c>
      <c r="K553" s="30" t="s">
        <v>9309</v>
      </c>
      <c r="L553" s="30" t="s">
        <v>6955</v>
      </c>
      <c r="M553" s="30"/>
      <c r="N553" s="30" t="s">
        <v>27710</v>
      </c>
      <c r="O553" s="30" t="s">
        <v>6251</v>
      </c>
      <c r="P553" s="30" t="s">
        <v>27475</v>
      </c>
      <c r="Q553" s="30" t="s">
        <v>24551</v>
      </c>
      <c r="R553" s="30" t="s">
        <v>27361</v>
      </c>
      <c r="S553" s="30" t="s">
        <v>27711</v>
      </c>
      <c r="T553" s="30" t="s">
        <v>27712</v>
      </c>
      <c r="U553" s="30"/>
      <c r="V553" s="139" t="s">
        <v>9334</v>
      </c>
      <c r="W553" s="30" t="s">
        <v>707</v>
      </c>
      <c r="X553" s="30" t="s">
        <v>194</v>
      </c>
      <c r="Y553" s="30" t="s">
        <v>9300</v>
      </c>
      <c r="Z553" s="30"/>
      <c r="AA553" s="30"/>
      <c r="AB553" s="30" t="s">
        <v>9311</v>
      </c>
      <c r="AC553" s="30"/>
      <c r="AD553" s="30"/>
      <c r="AE553" s="30"/>
      <c r="AF553" s="30"/>
      <c r="AG553" s="30"/>
      <c r="AH553" s="30" t="s">
        <v>4714</v>
      </c>
      <c r="AI553" s="30" t="s">
        <v>9433</v>
      </c>
      <c r="AJ553" s="641" t="str">
        <f t="shared" si="16"/>
        <v>422201</v>
      </c>
      <c r="AK553" s="641">
        <v>1</v>
      </c>
      <c r="AL553" s="641">
        <f t="shared" si="17"/>
        <v>1</v>
      </c>
      <c r="AM553" s="641">
        <v>1</v>
      </c>
      <c r="AN553" s="30" t="s">
        <v>17650</v>
      </c>
      <c r="AO553" s="30" t="s">
        <v>17651</v>
      </c>
      <c r="AP553" s="30" t="s">
        <v>17652</v>
      </c>
      <c r="AQ553" s="30" t="s">
        <v>17653</v>
      </c>
      <c r="AR553" s="30" t="s">
        <v>1024</v>
      </c>
      <c r="AS553" s="30">
        <v>1</v>
      </c>
    </row>
    <row r="554" spans="1:45" x14ac:dyDescent="0.25">
      <c r="A554" s="30" t="s">
        <v>26193</v>
      </c>
      <c r="B554" s="30" t="s">
        <v>26194</v>
      </c>
      <c r="C554" s="30" t="s">
        <v>227</v>
      </c>
      <c r="D554" s="139" t="s">
        <v>26079</v>
      </c>
      <c r="E554" s="30" t="s">
        <v>217</v>
      </c>
      <c r="F554" s="30">
        <v>1</v>
      </c>
      <c r="G554" s="30" t="s">
        <v>193</v>
      </c>
      <c r="H554" s="30" t="s">
        <v>194</v>
      </c>
      <c r="I554" s="30" t="s">
        <v>27277</v>
      </c>
      <c r="J554" s="30" t="s">
        <v>253</v>
      </c>
      <c r="K554" s="30" t="s">
        <v>9309</v>
      </c>
      <c r="L554" s="30" t="s">
        <v>6955</v>
      </c>
      <c r="M554" s="30"/>
      <c r="N554" s="30" t="s">
        <v>27713</v>
      </c>
      <c r="O554" s="30" t="s">
        <v>6277</v>
      </c>
      <c r="P554" s="30" t="s">
        <v>27475</v>
      </c>
      <c r="Q554" s="30" t="s">
        <v>26109</v>
      </c>
      <c r="R554" s="30" t="s">
        <v>27328</v>
      </c>
      <c r="S554" s="30" t="s">
        <v>27714</v>
      </c>
      <c r="T554" s="30" t="s">
        <v>27715</v>
      </c>
      <c r="U554" s="30"/>
      <c r="V554" s="139" t="s">
        <v>9468</v>
      </c>
      <c r="W554" s="30" t="s">
        <v>229</v>
      </c>
      <c r="X554" s="30" t="s">
        <v>194</v>
      </c>
      <c r="Y554" s="30" t="s">
        <v>9300</v>
      </c>
      <c r="Z554" s="30"/>
      <c r="AA554" s="30"/>
      <c r="AB554" s="30" t="s">
        <v>9311</v>
      </c>
      <c r="AC554" s="30"/>
      <c r="AD554" s="30"/>
      <c r="AE554" s="30"/>
      <c r="AF554" s="30"/>
      <c r="AG554" s="30"/>
      <c r="AH554" s="30" t="s">
        <v>4714</v>
      </c>
      <c r="AI554" s="30" t="s">
        <v>9433</v>
      </c>
      <c r="AJ554" s="641" t="str">
        <f t="shared" si="16"/>
        <v>132401</v>
      </c>
      <c r="AK554" s="641">
        <v>1</v>
      </c>
      <c r="AL554" s="641">
        <f t="shared" si="17"/>
        <v>1</v>
      </c>
      <c r="AM554" s="641">
        <v>1</v>
      </c>
      <c r="AN554" s="30" t="s">
        <v>17650</v>
      </c>
      <c r="AO554" s="30" t="s">
        <v>17651</v>
      </c>
      <c r="AP554" s="30" t="s">
        <v>17652</v>
      </c>
      <c r="AQ554" s="30" t="s">
        <v>17653</v>
      </c>
      <c r="AR554" s="30" t="s">
        <v>1024</v>
      </c>
      <c r="AS554" s="30">
        <v>1</v>
      </c>
    </row>
    <row r="555" spans="1:45" x14ac:dyDescent="0.25">
      <c r="A555" s="30" t="s">
        <v>2308</v>
      </c>
      <c r="B555" s="30" t="s">
        <v>26216</v>
      </c>
      <c r="C555" s="30" t="s">
        <v>17</v>
      </c>
      <c r="D555" s="139" t="s">
        <v>26079</v>
      </c>
      <c r="E555" s="30" t="s">
        <v>217</v>
      </c>
      <c r="F555" s="30">
        <v>1</v>
      </c>
      <c r="G555" s="30" t="s">
        <v>193</v>
      </c>
      <c r="H555" s="30" t="s">
        <v>194</v>
      </c>
      <c r="I555" s="30" t="s">
        <v>27260</v>
      </c>
      <c r="J555" s="30" t="s">
        <v>316</v>
      </c>
      <c r="K555" s="30" t="s">
        <v>9309</v>
      </c>
      <c r="L555" s="30" t="s">
        <v>6955</v>
      </c>
      <c r="M555" s="30"/>
      <c r="N555" s="30" t="s">
        <v>26217</v>
      </c>
      <c r="O555" s="30" t="s">
        <v>6269</v>
      </c>
      <c r="P555" s="30" t="s">
        <v>27475</v>
      </c>
      <c r="Q555" s="30" t="s">
        <v>26218</v>
      </c>
      <c r="R555" s="30" t="s">
        <v>26219</v>
      </c>
      <c r="S555" s="30" t="s">
        <v>27716</v>
      </c>
      <c r="T555" s="30" t="s">
        <v>27717</v>
      </c>
      <c r="U555" s="30"/>
      <c r="V555" s="139" t="s">
        <v>10012</v>
      </c>
      <c r="W555" s="30" t="s">
        <v>624</v>
      </c>
      <c r="X555" s="30" t="s">
        <v>194</v>
      </c>
      <c r="Y555" s="30" t="s">
        <v>9300</v>
      </c>
      <c r="Z555" s="30"/>
      <c r="AA555" s="30"/>
      <c r="AB555" s="30" t="s">
        <v>9311</v>
      </c>
      <c r="AC555" s="30"/>
      <c r="AD555" s="30"/>
      <c r="AE555" s="30"/>
      <c r="AF555" s="30"/>
      <c r="AG555" s="30"/>
      <c r="AH555" s="30" t="s">
        <v>4714</v>
      </c>
      <c r="AI555" s="30" t="s">
        <v>9433</v>
      </c>
      <c r="AJ555" s="641" t="str">
        <f t="shared" si="16"/>
        <v>332203</v>
      </c>
      <c r="AK555" s="641">
        <v>1</v>
      </c>
      <c r="AL555" s="641">
        <f t="shared" si="17"/>
        <v>1</v>
      </c>
      <c r="AM555" s="641">
        <v>1</v>
      </c>
      <c r="AN555" s="30" t="s">
        <v>17650</v>
      </c>
      <c r="AO555" s="30" t="s">
        <v>17651</v>
      </c>
      <c r="AP555" s="30" t="s">
        <v>17652</v>
      </c>
      <c r="AQ555" s="30" t="s">
        <v>17653</v>
      </c>
      <c r="AR555" s="30" t="s">
        <v>1024</v>
      </c>
      <c r="AS555" s="30">
        <v>1</v>
      </c>
    </row>
    <row r="556" spans="1:45" x14ac:dyDescent="0.25">
      <c r="A556" s="30" t="s">
        <v>26153</v>
      </c>
      <c r="B556" s="30" t="s">
        <v>27718</v>
      </c>
      <c r="C556" s="30" t="s">
        <v>10</v>
      </c>
      <c r="D556" s="139" t="s">
        <v>26079</v>
      </c>
      <c r="E556" s="30" t="s">
        <v>217</v>
      </c>
      <c r="F556" s="30">
        <v>1</v>
      </c>
      <c r="G556" s="30" t="s">
        <v>193</v>
      </c>
      <c r="H556" s="30" t="s">
        <v>194</v>
      </c>
      <c r="I556" s="30" t="s">
        <v>23198</v>
      </c>
      <c r="J556" s="30" t="s">
        <v>210</v>
      </c>
      <c r="K556" s="30" t="s">
        <v>9309</v>
      </c>
      <c r="L556" s="30" t="s">
        <v>6955</v>
      </c>
      <c r="M556" s="30"/>
      <c r="N556" s="30" t="s">
        <v>27719</v>
      </c>
      <c r="O556" s="30" t="s">
        <v>6261</v>
      </c>
      <c r="P556" s="30" t="s">
        <v>27475</v>
      </c>
      <c r="Q556" s="30" t="s">
        <v>25893</v>
      </c>
      <c r="R556" s="30" t="s">
        <v>27300</v>
      </c>
      <c r="S556" s="30" t="s">
        <v>27720</v>
      </c>
      <c r="T556" s="30" t="s">
        <v>27721</v>
      </c>
      <c r="U556" s="30"/>
      <c r="V556" s="139" t="s">
        <v>9334</v>
      </c>
      <c r="W556" s="30" t="s">
        <v>484</v>
      </c>
      <c r="X556" s="30" t="s">
        <v>194</v>
      </c>
      <c r="Y556" s="30" t="s">
        <v>9300</v>
      </c>
      <c r="Z556" s="30"/>
      <c r="AA556" s="30"/>
      <c r="AB556" s="30" t="s">
        <v>9311</v>
      </c>
      <c r="AC556" s="30"/>
      <c r="AD556" s="30"/>
      <c r="AE556" s="30"/>
      <c r="AF556" s="30"/>
      <c r="AG556" s="30"/>
      <c r="AH556" s="30" t="s">
        <v>4714</v>
      </c>
      <c r="AI556" s="30" t="s">
        <v>9433</v>
      </c>
      <c r="AJ556" s="641" t="str">
        <f t="shared" si="16"/>
        <v>251401</v>
      </c>
      <c r="AK556" s="641">
        <v>1</v>
      </c>
      <c r="AL556" s="641">
        <f t="shared" si="17"/>
        <v>1</v>
      </c>
      <c r="AM556" s="641">
        <v>1</v>
      </c>
      <c r="AN556" s="30" t="s">
        <v>17650</v>
      </c>
      <c r="AO556" s="30" t="s">
        <v>17651</v>
      </c>
      <c r="AP556" s="30" t="s">
        <v>17652</v>
      </c>
      <c r="AQ556" s="30" t="s">
        <v>17653</v>
      </c>
      <c r="AR556" s="30" t="s">
        <v>1024</v>
      </c>
      <c r="AS556" s="30">
        <v>1</v>
      </c>
    </row>
    <row r="557" spans="1:45" x14ac:dyDescent="0.25">
      <c r="A557" s="30" t="s">
        <v>581</v>
      </c>
      <c r="B557" s="30" t="s">
        <v>23231</v>
      </c>
      <c r="C557" s="30" t="s">
        <v>554</v>
      </c>
      <c r="D557" s="139" t="s">
        <v>26079</v>
      </c>
      <c r="E557" s="30" t="s">
        <v>217</v>
      </c>
      <c r="F557" s="30">
        <v>1</v>
      </c>
      <c r="G557" s="30" t="s">
        <v>193</v>
      </c>
      <c r="H557" s="30" t="s">
        <v>194</v>
      </c>
      <c r="I557" s="30" t="s">
        <v>27253</v>
      </c>
      <c r="J557" s="30" t="s">
        <v>253</v>
      </c>
      <c r="K557" s="30" t="s">
        <v>9309</v>
      </c>
      <c r="L557" s="30" t="s">
        <v>6955</v>
      </c>
      <c r="M557" s="30"/>
      <c r="N557" s="30" t="s">
        <v>26877</v>
      </c>
      <c r="O557" s="30" t="s">
        <v>6363</v>
      </c>
      <c r="P557" s="30" t="s">
        <v>27475</v>
      </c>
      <c r="Q557" s="30" t="s">
        <v>26160</v>
      </c>
      <c r="R557" s="30" t="s">
        <v>26262</v>
      </c>
      <c r="S557" s="30" t="s">
        <v>27722</v>
      </c>
      <c r="T557" s="30" t="s">
        <v>27723</v>
      </c>
      <c r="U557" s="30"/>
      <c r="V557" s="139" t="s">
        <v>9468</v>
      </c>
      <c r="W557" s="30" t="s">
        <v>555</v>
      </c>
      <c r="X557" s="30" t="s">
        <v>194</v>
      </c>
      <c r="Y557" s="30" t="s">
        <v>9300</v>
      </c>
      <c r="Z557" s="30"/>
      <c r="AA557" s="30"/>
      <c r="AB557" s="30" t="s">
        <v>9311</v>
      </c>
      <c r="AC557" s="30"/>
      <c r="AD557" s="30"/>
      <c r="AE557" s="30"/>
      <c r="AF557" s="30"/>
      <c r="AG557" s="30"/>
      <c r="AH557" s="30" t="s">
        <v>4714</v>
      </c>
      <c r="AI557" s="30" t="s">
        <v>9433</v>
      </c>
      <c r="AJ557" s="641" t="str">
        <f t="shared" si="16"/>
        <v>311303</v>
      </c>
      <c r="AK557" s="641">
        <v>1</v>
      </c>
      <c r="AL557" s="641">
        <f t="shared" si="17"/>
        <v>1</v>
      </c>
      <c r="AM557" s="641">
        <v>1</v>
      </c>
      <c r="AN557" s="30" t="s">
        <v>17650</v>
      </c>
      <c r="AO557" s="30" t="s">
        <v>17651</v>
      </c>
      <c r="AP557" s="30" t="s">
        <v>17652</v>
      </c>
      <c r="AQ557" s="30" t="s">
        <v>17653</v>
      </c>
      <c r="AR557" s="30" t="s">
        <v>1024</v>
      </c>
      <c r="AS557" s="30">
        <v>1</v>
      </c>
    </row>
    <row r="558" spans="1:45" x14ac:dyDescent="0.25">
      <c r="A558" s="30" t="s">
        <v>581</v>
      </c>
      <c r="B558" s="30" t="s">
        <v>3873</v>
      </c>
      <c r="C558" s="30" t="s">
        <v>62</v>
      </c>
      <c r="D558" s="139" t="s">
        <v>26079</v>
      </c>
      <c r="E558" s="30" t="s">
        <v>217</v>
      </c>
      <c r="F558" s="30">
        <v>1</v>
      </c>
      <c r="G558" s="30" t="s">
        <v>193</v>
      </c>
      <c r="H558" s="30" t="s">
        <v>194</v>
      </c>
      <c r="I558" s="30" t="s">
        <v>27253</v>
      </c>
      <c r="J558" s="30" t="s">
        <v>976</v>
      </c>
      <c r="K558" s="30" t="s">
        <v>9309</v>
      </c>
      <c r="L558" s="30" t="s">
        <v>6955</v>
      </c>
      <c r="M558" s="30"/>
      <c r="N558" s="30" t="s">
        <v>26979</v>
      </c>
      <c r="O558" s="30" t="s">
        <v>6275</v>
      </c>
      <c r="P558" s="30" t="s">
        <v>27475</v>
      </c>
      <c r="Q558" s="30" t="s">
        <v>24551</v>
      </c>
      <c r="R558" s="30" t="s">
        <v>23708</v>
      </c>
      <c r="S558" s="30" t="s">
        <v>27724</v>
      </c>
      <c r="T558" s="30" t="s">
        <v>27725</v>
      </c>
      <c r="U558" s="30"/>
      <c r="V558" s="139" t="s">
        <v>9726</v>
      </c>
      <c r="W558" s="30" t="s">
        <v>601</v>
      </c>
      <c r="X558" s="30" t="s">
        <v>194</v>
      </c>
      <c r="Y558" s="30" t="s">
        <v>9300</v>
      </c>
      <c r="Z558" s="30"/>
      <c r="AA558" s="30"/>
      <c r="AB558" s="30" t="s">
        <v>9311</v>
      </c>
      <c r="AC558" s="30"/>
      <c r="AD558" s="30"/>
      <c r="AE558" s="30"/>
      <c r="AF558" s="30"/>
      <c r="AG558" s="30"/>
      <c r="AH558" s="30" t="s">
        <v>4714</v>
      </c>
      <c r="AI558" s="30" t="s">
        <v>9433</v>
      </c>
      <c r="AJ558" s="641" t="str">
        <f t="shared" si="16"/>
        <v>313904</v>
      </c>
      <c r="AK558" s="641">
        <v>1</v>
      </c>
      <c r="AL558" s="641">
        <f t="shared" si="17"/>
        <v>1</v>
      </c>
      <c r="AM558" s="641">
        <v>1</v>
      </c>
      <c r="AN558" s="30" t="s">
        <v>17650</v>
      </c>
      <c r="AO558" s="30" t="s">
        <v>17651</v>
      </c>
      <c r="AP558" s="30" t="s">
        <v>17652</v>
      </c>
      <c r="AQ558" s="30" t="s">
        <v>17653</v>
      </c>
      <c r="AR558" s="30" t="s">
        <v>1024</v>
      </c>
      <c r="AS558" s="30">
        <v>1</v>
      </c>
    </row>
    <row r="559" spans="1:45" x14ac:dyDescent="0.25">
      <c r="A559" s="30" t="s">
        <v>26153</v>
      </c>
      <c r="B559" s="30" t="s">
        <v>26752</v>
      </c>
      <c r="C559" s="30" t="s">
        <v>2861</v>
      </c>
      <c r="D559" s="139" t="s">
        <v>26079</v>
      </c>
      <c r="E559" s="30" t="s">
        <v>217</v>
      </c>
      <c r="F559" s="30">
        <v>1</v>
      </c>
      <c r="G559" s="30" t="s">
        <v>193</v>
      </c>
      <c r="H559" s="30" t="s">
        <v>194</v>
      </c>
      <c r="I559" s="30" t="s">
        <v>23198</v>
      </c>
      <c r="J559" s="30" t="s">
        <v>210</v>
      </c>
      <c r="K559" s="30" t="s">
        <v>9309</v>
      </c>
      <c r="L559" s="30" t="s">
        <v>6955</v>
      </c>
      <c r="M559" s="30"/>
      <c r="N559" s="30" t="s">
        <v>26753</v>
      </c>
      <c r="O559" s="30" t="s">
        <v>6261</v>
      </c>
      <c r="P559" s="30" t="s">
        <v>27475</v>
      </c>
      <c r="Q559" s="30" t="s">
        <v>26092</v>
      </c>
      <c r="R559" s="30" t="s">
        <v>26093</v>
      </c>
      <c r="S559" s="30" t="s">
        <v>27726</v>
      </c>
      <c r="T559" s="30" t="s">
        <v>27727</v>
      </c>
      <c r="U559" s="30"/>
      <c r="V559" s="139" t="s">
        <v>9334</v>
      </c>
      <c r="W559" s="30" t="s">
        <v>3629</v>
      </c>
      <c r="X559" s="30" t="s">
        <v>194</v>
      </c>
      <c r="Y559" s="30" t="s">
        <v>9300</v>
      </c>
      <c r="Z559" s="30"/>
      <c r="AA559" s="30"/>
      <c r="AB559" s="30" t="s">
        <v>9311</v>
      </c>
      <c r="AC559" s="30"/>
      <c r="AD559" s="30"/>
      <c r="AE559" s="30"/>
      <c r="AF559" s="30"/>
      <c r="AG559" s="30"/>
      <c r="AH559" s="30" t="s">
        <v>4714</v>
      </c>
      <c r="AI559" s="30" t="s">
        <v>9433</v>
      </c>
      <c r="AJ559" s="641" t="str">
        <f t="shared" si="16"/>
        <v>251903</v>
      </c>
      <c r="AK559" s="641">
        <v>1</v>
      </c>
      <c r="AL559" s="641">
        <f t="shared" si="17"/>
        <v>1</v>
      </c>
      <c r="AM559" s="641">
        <v>1</v>
      </c>
      <c r="AN559" s="30" t="s">
        <v>17650</v>
      </c>
      <c r="AO559" s="30" t="s">
        <v>17651</v>
      </c>
      <c r="AP559" s="30" t="s">
        <v>17652</v>
      </c>
      <c r="AQ559" s="30" t="s">
        <v>17653</v>
      </c>
      <c r="AR559" s="30" t="s">
        <v>1024</v>
      </c>
      <c r="AS559" s="30">
        <v>1</v>
      </c>
    </row>
    <row r="560" spans="1:45" x14ac:dyDescent="0.25">
      <c r="A560" s="30" t="s">
        <v>10145</v>
      </c>
      <c r="B560" s="30" t="s">
        <v>261</v>
      </c>
      <c r="C560" s="30" t="s">
        <v>74</v>
      </c>
      <c r="D560" s="139" t="s">
        <v>26079</v>
      </c>
      <c r="E560" s="30" t="s">
        <v>217</v>
      </c>
      <c r="F560" s="30">
        <v>1</v>
      </c>
      <c r="G560" s="30" t="s">
        <v>193</v>
      </c>
      <c r="H560" s="30" t="s">
        <v>194</v>
      </c>
      <c r="I560" s="30" t="s">
        <v>27260</v>
      </c>
      <c r="J560" s="30" t="s">
        <v>210</v>
      </c>
      <c r="K560" s="30" t="s">
        <v>9309</v>
      </c>
      <c r="L560" s="30" t="s">
        <v>6955</v>
      </c>
      <c r="M560" s="30"/>
      <c r="N560" s="30" t="s">
        <v>26255</v>
      </c>
      <c r="O560" s="30" t="s">
        <v>6249</v>
      </c>
      <c r="P560" s="30" t="s">
        <v>27475</v>
      </c>
      <c r="Q560" s="30" t="s">
        <v>26251</v>
      </c>
      <c r="R560" s="30" t="s">
        <v>26252</v>
      </c>
      <c r="S560" s="30" t="s">
        <v>27728</v>
      </c>
      <c r="T560" s="30" t="s">
        <v>27729</v>
      </c>
      <c r="U560" s="30"/>
      <c r="V560" s="139" t="s">
        <v>9334</v>
      </c>
      <c r="W560" s="30" t="s">
        <v>246</v>
      </c>
      <c r="X560" s="30" t="s">
        <v>194</v>
      </c>
      <c r="Y560" s="30" t="s">
        <v>9300</v>
      </c>
      <c r="Z560" s="30"/>
      <c r="AA560" s="30"/>
      <c r="AB560" s="30" t="s">
        <v>9311</v>
      </c>
      <c r="AC560" s="30"/>
      <c r="AD560" s="30"/>
      <c r="AE560" s="30"/>
      <c r="AF560" s="30"/>
      <c r="AG560" s="30"/>
      <c r="AH560" s="30" t="s">
        <v>4714</v>
      </c>
      <c r="AI560" s="30" t="s">
        <v>9433</v>
      </c>
      <c r="AJ560" s="641" t="str">
        <f t="shared" si="16"/>
        <v>142004</v>
      </c>
      <c r="AK560" s="641">
        <v>1</v>
      </c>
      <c r="AL560" s="641">
        <f t="shared" si="17"/>
        <v>1</v>
      </c>
      <c r="AM560" s="641">
        <v>1</v>
      </c>
      <c r="AN560" s="30" t="s">
        <v>17650</v>
      </c>
      <c r="AO560" s="30" t="s">
        <v>17651</v>
      </c>
      <c r="AP560" s="30" t="s">
        <v>17652</v>
      </c>
      <c r="AQ560" s="30" t="s">
        <v>17653</v>
      </c>
      <c r="AR560" s="30" t="s">
        <v>1024</v>
      </c>
      <c r="AS560" s="30">
        <v>1</v>
      </c>
    </row>
    <row r="561" spans="1:45" x14ac:dyDescent="0.25">
      <c r="A561" s="30" t="s">
        <v>26089</v>
      </c>
      <c r="B561" s="30" t="s">
        <v>26301</v>
      </c>
      <c r="C561" s="30" t="s">
        <v>46</v>
      </c>
      <c r="D561" s="139" t="s">
        <v>26079</v>
      </c>
      <c r="E561" s="30" t="s">
        <v>217</v>
      </c>
      <c r="F561" s="30">
        <v>1</v>
      </c>
      <c r="G561" s="30" t="s">
        <v>193</v>
      </c>
      <c r="H561" s="30" t="s">
        <v>194</v>
      </c>
      <c r="I561" s="30" t="s">
        <v>27253</v>
      </c>
      <c r="J561" s="30" t="s">
        <v>210</v>
      </c>
      <c r="K561" s="30" t="s">
        <v>9309</v>
      </c>
      <c r="L561" s="30" t="s">
        <v>6955</v>
      </c>
      <c r="M561" s="30"/>
      <c r="N561" s="30" t="s">
        <v>26302</v>
      </c>
      <c r="O561" s="30" t="s">
        <v>6261</v>
      </c>
      <c r="P561" s="30" t="s">
        <v>27475</v>
      </c>
      <c r="Q561" s="30" t="s">
        <v>26085</v>
      </c>
      <c r="R561" s="30" t="s">
        <v>26057</v>
      </c>
      <c r="S561" s="30" t="s">
        <v>27730</v>
      </c>
      <c r="T561" s="30" t="s">
        <v>27731</v>
      </c>
      <c r="U561" s="30"/>
      <c r="V561" s="139" t="s">
        <v>9334</v>
      </c>
      <c r="W561" s="30" t="s">
        <v>510</v>
      </c>
      <c r="X561" s="30" t="s">
        <v>194</v>
      </c>
      <c r="Y561" s="30" t="s">
        <v>9300</v>
      </c>
      <c r="Z561" s="30"/>
      <c r="AA561" s="30"/>
      <c r="AB561" s="30" t="s">
        <v>9311</v>
      </c>
      <c r="AC561" s="30"/>
      <c r="AD561" s="30"/>
      <c r="AE561" s="30"/>
      <c r="AF561" s="30"/>
      <c r="AG561" s="30"/>
      <c r="AH561" s="30" t="s">
        <v>4714</v>
      </c>
      <c r="AI561" s="30" t="s">
        <v>9433</v>
      </c>
      <c r="AJ561" s="641" t="str">
        <f t="shared" si="16"/>
        <v>252201</v>
      </c>
      <c r="AK561" s="641">
        <v>1</v>
      </c>
      <c r="AL561" s="641">
        <f t="shared" si="17"/>
        <v>1</v>
      </c>
      <c r="AM561" s="641">
        <v>1</v>
      </c>
      <c r="AN561" s="30" t="s">
        <v>17650</v>
      </c>
      <c r="AO561" s="30" t="s">
        <v>17651</v>
      </c>
      <c r="AP561" s="30" t="s">
        <v>17652</v>
      </c>
      <c r="AQ561" s="30" t="s">
        <v>17653</v>
      </c>
      <c r="AR561" s="30" t="s">
        <v>1024</v>
      </c>
      <c r="AS561" s="30">
        <v>1</v>
      </c>
    </row>
    <row r="562" spans="1:45" x14ac:dyDescent="0.25">
      <c r="A562" s="30" t="s">
        <v>716</v>
      </c>
      <c r="B562" s="30" t="s">
        <v>26902</v>
      </c>
      <c r="C562" s="30" t="s">
        <v>706</v>
      </c>
      <c r="D562" s="139" t="s">
        <v>26079</v>
      </c>
      <c r="E562" s="30" t="s">
        <v>217</v>
      </c>
      <c r="F562" s="30">
        <v>1</v>
      </c>
      <c r="G562" s="30" t="s">
        <v>193</v>
      </c>
      <c r="H562" s="30" t="s">
        <v>194</v>
      </c>
      <c r="I562" s="30" t="s">
        <v>27253</v>
      </c>
      <c r="J562" s="30" t="s">
        <v>210</v>
      </c>
      <c r="K562" s="30" t="s">
        <v>9309</v>
      </c>
      <c r="L562" s="30" t="s">
        <v>6955</v>
      </c>
      <c r="M562" s="30"/>
      <c r="N562" s="30" t="s">
        <v>26903</v>
      </c>
      <c r="O562" s="30" t="s">
        <v>6251</v>
      </c>
      <c r="P562" s="30" t="s">
        <v>27475</v>
      </c>
      <c r="Q562" s="30" t="s">
        <v>26881</v>
      </c>
      <c r="R562" s="30" t="s">
        <v>26882</v>
      </c>
      <c r="S562" s="30" t="s">
        <v>27732</v>
      </c>
      <c r="T562" s="30" t="s">
        <v>27733</v>
      </c>
      <c r="U562" s="30"/>
      <c r="V562" s="139" t="s">
        <v>9334</v>
      </c>
      <c r="W562" s="30" t="s">
        <v>707</v>
      </c>
      <c r="X562" s="30" t="s">
        <v>194</v>
      </c>
      <c r="Y562" s="30" t="s">
        <v>9300</v>
      </c>
      <c r="Z562" s="30"/>
      <c r="AA562" s="30"/>
      <c r="AB562" s="30" t="s">
        <v>9311</v>
      </c>
      <c r="AC562" s="30"/>
      <c r="AD562" s="30"/>
      <c r="AE562" s="30"/>
      <c r="AF562" s="30"/>
      <c r="AG562" s="30"/>
      <c r="AH562" s="30" t="s">
        <v>4714</v>
      </c>
      <c r="AI562" s="30" t="s">
        <v>9433</v>
      </c>
      <c r="AJ562" s="641" t="str">
        <f t="shared" si="16"/>
        <v>422201</v>
      </c>
      <c r="AK562" s="641">
        <v>1</v>
      </c>
      <c r="AL562" s="641">
        <f t="shared" si="17"/>
        <v>1</v>
      </c>
      <c r="AM562" s="641">
        <v>1</v>
      </c>
      <c r="AN562" s="30" t="s">
        <v>17650</v>
      </c>
      <c r="AO562" s="30" t="s">
        <v>17651</v>
      </c>
      <c r="AP562" s="30" t="s">
        <v>17652</v>
      </c>
      <c r="AQ562" s="30" t="s">
        <v>17653</v>
      </c>
      <c r="AR562" s="30" t="s">
        <v>1024</v>
      </c>
      <c r="AS562" s="30">
        <v>1</v>
      </c>
    </row>
    <row r="563" spans="1:45" x14ac:dyDescent="0.25">
      <c r="A563" s="30" t="s">
        <v>26089</v>
      </c>
      <c r="B563" s="30" t="s">
        <v>26534</v>
      </c>
      <c r="C563" s="30" t="s">
        <v>27</v>
      </c>
      <c r="D563" s="139" t="s">
        <v>26079</v>
      </c>
      <c r="E563" s="30" t="s">
        <v>217</v>
      </c>
      <c r="F563" s="30">
        <v>1</v>
      </c>
      <c r="G563" s="30" t="s">
        <v>193</v>
      </c>
      <c r="H563" s="30" t="s">
        <v>194</v>
      </c>
      <c r="I563" s="30" t="s">
        <v>27253</v>
      </c>
      <c r="J563" s="30" t="s">
        <v>210</v>
      </c>
      <c r="K563" s="30" t="s">
        <v>9309</v>
      </c>
      <c r="L563" s="30" t="s">
        <v>6955</v>
      </c>
      <c r="M563" s="30"/>
      <c r="N563" s="30" t="s">
        <v>26535</v>
      </c>
      <c r="O563" s="30" t="s">
        <v>6921</v>
      </c>
      <c r="P563" s="30" t="s">
        <v>27475</v>
      </c>
      <c r="Q563" s="30" t="s">
        <v>26182</v>
      </c>
      <c r="R563" s="30" t="s">
        <v>26183</v>
      </c>
      <c r="S563" s="30" t="s">
        <v>27734</v>
      </c>
      <c r="T563" s="30" t="s">
        <v>27735</v>
      </c>
      <c r="U563" s="30"/>
      <c r="V563" s="139" t="s">
        <v>9334</v>
      </c>
      <c r="W563" s="30" t="s">
        <v>440</v>
      </c>
      <c r="X563" s="30" t="s">
        <v>194</v>
      </c>
      <c r="Y563" s="30" t="s">
        <v>9300</v>
      </c>
      <c r="Z563" s="30"/>
      <c r="AA563" s="30"/>
      <c r="AB563" s="30" t="s">
        <v>9311</v>
      </c>
      <c r="AC563" s="30"/>
      <c r="AD563" s="30"/>
      <c r="AE563" s="30"/>
      <c r="AF563" s="30"/>
      <c r="AG563" s="30"/>
      <c r="AH563" s="30" t="s">
        <v>4714</v>
      </c>
      <c r="AI563" s="30" t="s">
        <v>9433</v>
      </c>
      <c r="AJ563" s="641" t="str">
        <f t="shared" si="16"/>
        <v>242307</v>
      </c>
      <c r="AK563" s="641">
        <v>1</v>
      </c>
      <c r="AL563" s="641">
        <f t="shared" si="17"/>
        <v>1</v>
      </c>
      <c r="AM563" s="641">
        <v>1</v>
      </c>
      <c r="AN563" s="30" t="s">
        <v>17650</v>
      </c>
      <c r="AO563" s="30" t="s">
        <v>17651</v>
      </c>
      <c r="AP563" s="30" t="s">
        <v>17652</v>
      </c>
      <c r="AQ563" s="30" t="s">
        <v>17653</v>
      </c>
      <c r="AR563" s="30" t="s">
        <v>1024</v>
      </c>
      <c r="AS563" s="30">
        <v>1</v>
      </c>
    </row>
    <row r="564" spans="1:45" x14ac:dyDescent="0.25">
      <c r="A564" s="30" t="s">
        <v>581</v>
      </c>
      <c r="B564" s="30" t="s">
        <v>26234</v>
      </c>
      <c r="C564" s="30" t="s">
        <v>232</v>
      </c>
      <c r="D564" s="139" t="s">
        <v>26079</v>
      </c>
      <c r="E564" s="30" t="s">
        <v>217</v>
      </c>
      <c r="F564" s="30">
        <v>1</v>
      </c>
      <c r="G564" s="30" t="s">
        <v>193</v>
      </c>
      <c r="H564" s="30" t="s">
        <v>194</v>
      </c>
      <c r="I564" s="30" t="s">
        <v>27253</v>
      </c>
      <c r="J564" s="30" t="s">
        <v>210</v>
      </c>
      <c r="K564" s="30" t="s">
        <v>9309</v>
      </c>
      <c r="L564" s="30" t="s">
        <v>6955</v>
      </c>
      <c r="M564" s="30"/>
      <c r="N564" s="30" t="s">
        <v>26235</v>
      </c>
      <c r="O564" s="30" t="s">
        <v>6249</v>
      </c>
      <c r="P564" s="30" t="s">
        <v>27475</v>
      </c>
      <c r="Q564" s="30" t="s">
        <v>26139</v>
      </c>
      <c r="R564" s="30" t="s">
        <v>26219</v>
      </c>
      <c r="S564" s="30" t="s">
        <v>27736</v>
      </c>
      <c r="T564" s="30" t="s">
        <v>27737</v>
      </c>
      <c r="U564" s="30"/>
      <c r="V564" s="139" t="s">
        <v>9334</v>
      </c>
      <c r="W564" s="30" t="s">
        <v>234</v>
      </c>
      <c r="X564" s="30" t="s">
        <v>194</v>
      </c>
      <c r="Y564" s="30" t="s">
        <v>9300</v>
      </c>
      <c r="Z564" s="30"/>
      <c r="AA564" s="30"/>
      <c r="AB564" s="30" t="s">
        <v>9311</v>
      </c>
      <c r="AC564" s="30"/>
      <c r="AD564" s="30"/>
      <c r="AE564" s="30"/>
      <c r="AF564" s="30"/>
      <c r="AG564" s="30"/>
      <c r="AH564" s="30" t="s">
        <v>4714</v>
      </c>
      <c r="AI564" s="30" t="s">
        <v>9433</v>
      </c>
      <c r="AJ564" s="641" t="str">
        <f t="shared" si="16"/>
        <v>132403</v>
      </c>
      <c r="AK564" s="641">
        <v>1</v>
      </c>
      <c r="AL564" s="641">
        <f t="shared" si="17"/>
        <v>1</v>
      </c>
      <c r="AM564" s="641">
        <v>1</v>
      </c>
      <c r="AN564" s="30" t="s">
        <v>17650</v>
      </c>
      <c r="AO564" s="30" t="s">
        <v>17651</v>
      </c>
      <c r="AP564" s="30" t="s">
        <v>17652</v>
      </c>
      <c r="AQ564" s="30" t="s">
        <v>17653</v>
      </c>
      <c r="AR564" s="30" t="s">
        <v>1024</v>
      </c>
      <c r="AS564" s="30">
        <v>1</v>
      </c>
    </row>
    <row r="565" spans="1:45" x14ac:dyDescent="0.25">
      <c r="A565" s="30" t="s">
        <v>26153</v>
      </c>
      <c r="B565" s="30" t="s">
        <v>26563</v>
      </c>
      <c r="C565" s="30" t="s">
        <v>10</v>
      </c>
      <c r="D565" s="139" t="s">
        <v>26079</v>
      </c>
      <c r="E565" s="30" t="s">
        <v>217</v>
      </c>
      <c r="F565" s="30">
        <v>1</v>
      </c>
      <c r="G565" s="30" t="s">
        <v>193</v>
      </c>
      <c r="H565" s="30" t="s">
        <v>194</v>
      </c>
      <c r="I565" s="30" t="s">
        <v>27253</v>
      </c>
      <c r="J565" s="30" t="s">
        <v>210</v>
      </c>
      <c r="K565" s="30" t="s">
        <v>9309</v>
      </c>
      <c r="L565" s="30" t="s">
        <v>6955</v>
      </c>
      <c r="M565" s="30"/>
      <c r="N565" s="30" t="s">
        <v>26564</v>
      </c>
      <c r="O565" s="30" t="s">
        <v>6261</v>
      </c>
      <c r="P565" s="30" t="s">
        <v>27475</v>
      </c>
      <c r="Q565" s="30" t="s">
        <v>26251</v>
      </c>
      <c r="R565" s="30" t="s">
        <v>26252</v>
      </c>
      <c r="S565" s="30" t="s">
        <v>27738</v>
      </c>
      <c r="T565" s="30" t="s">
        <v>27739</v>
      </c>
      <c r="U565" s="30"/>
      <c r="V565" s="139" t="s">
        <v>9334</v>
      </c>
      <c r="W565" s="30" t="s">
        <v>484</v>
      </c>
      <c r="X565" s="30" t="s">
        <v>194</v>
      </c>
      <c r="Y565" s="30" t="s">
        <v>9300</v>
      </c>
      <c r="Z565" s="30"/>
      <c r="AA565" s="30"/>
      <c r="AB565" s="30" t="s">
        <v>9311</v>
      </c>
      <c r="AC565" s="30"/>
      <c r="AD565" s="30"/>
      <c r="AE565" s="30"/>
      <c r="AF565" s="30"/>
      <c r="AG565" s="30"/>
      <c r="AH565" s="30" t="s">
        <v>4714</v>
      </c>
      <c r="AI565" s="30" t="s">
        <v>9433</v>
      </c>
      <c r="AJ565" s="641" t="str">
        <f t="shared" si="16"/>
        <v>251401</v>
      </c>
      <c r="AK565" s="641">
        <v>1</v>
      </c>
      <c r="AL565" s="641">
        <f t="shared" si="17"/>
        <v>1</v>
      </c>
      <c r="AM565" s="641">
        <v>1</v>
      </c>
      <c r="AN565" s="30" t="s">
        <v>17650</v>
      </c>
      <c r="AO565" s="30" t="s">
        <v>17651</v>
      </c>
      <c r="AP565" s="30" t="s">
        <v>17652</v>
      </c>
      <c r="AQ565" s="30" t="s">
        <v>17653</v>
      </c>
      <c r="AR565" s="30" t="s">
        <v>1024</v>
      </c>
      <c r="AS565" s="30">
        <v>1</v>
      </c>
    </row>
    <row r="566" spans="1:45" x14ac:dyDescent="0.25">
      <c r="A566" s="30" t="s">
        <v>716</v>
      </c>
      <c r="B566" s="30" t="s">
        <v>26682</v>
      </c>
      <c r="C566" s="30" t="s">
        <v>706</v>
      </c>
      <c r="D566" s="139" t="s">
        <v>26079</v>
      </c>
      <c r="E566" s="30" t="s">
        <v>217</v>
      </c>
      <c r="F566" s="30">
        <v>1</v>
      </c>
      <c r="G566" s="30" t="s">
        <v>193</v>
      </c>
      <c r="H566" s="30" t="s">
        <v>194</v>
      </c>
      <c r="I566" s="30" t="s">
        <v>27277</v>
      </c>
      <c r="J566" s="30" t="s">
        <v>210</v>
      </c>
      <c r="K566" s="30" t="s">
        <v>9309</v>
      </c>
      <c r="L566" s="30" t="s">
        <v>6955</v>
      </c>
      <c r="M566" s="30"/>
      <c r="N566" s="30" t="s">
        <v>26683</v>
      </c>
      <c r="O566" s="30" t="s">
        <v>6286</v>
      </c>
      <c r="P566" s="30" t="s">
        <v>27475</v>
      </c>
      <c r="Q566" s="30" t="s">
        <v>26098</v>
      </c>
      <c r="R566" s="30" t="s">
        <v>26231</v>
      </c>
      <c r="S566" s="30" t="s">
        <v>27740</v>
      </c>
      <c r="T566" s="30" t="s">
        <v>27741</v>
      </c>
      <c r="U566" s="30"/>
      <c r="V566" s="139" t="s">
        <v>9334</v>
      </c>
      <c r="W566" s="30" t="s">
        <v>707</v>
      </c>
      <c r="X566" s="30" t="s">
        <v>194</v>
      </c>
      <c r="Y566" s="30" t="s">
        <v>9300</v>
      </c>
      <c r="Z566" s="30"/>
      <c r="AA566" s="30"/>
      <c r="AB566" s="30" t="s">
        <v>9311</v>
      </c>
      <c r="AC566" s="30"/>
      <c r="AD566" s="30"/>
      <c r="AE566" s="30"/>
      <c r="AF566" s="30"/>
      <c r="AG566" s="30"/>
      <c r="AH566" s="30" t="s">
        <v>4714</v>
      </c>
      <c r="AI566" s="30" t="s">
        <v>9433</v>
      </c>
      <c r="AJ566" s="641" t="str">
        <f t="shared" si="16"/>
        <v>422201</v>
      </c>
      <c r="AK566" s="641">
        <v>1</v>
      </c>
      <c r="AL566" s="641">
        <f t="shared" si="17"/>
        <v>1</v>
      </c>
      <c r="AM566" s="641">
        <v>1</v>
      </c>
      <c r="AN566" s="30" t="s">
        <v>17650</v>
      </c>
      <c r="AO566" s="30" t="s">
        <v>17651</v>
      </c>
      <c r="AP566" s="30" t="s">
        <v>17652</v>
      </c>
      <c r="AQ566" s="30" t="s">
        <v>17653</v>
      </c>
      <c r="AR566" s="30" t="s">
        <v>1024</v>
      </c>
      <c r="AS566" s="30">
        <v>1</v>
      </c>
    </row>
    <row r="567" spans="1:45" x14ac:dyDescent="0.25">
      <c r="A567" s="30" t="s">
        <v>26089</v>
      </c>
      <c r="B567" s="30" t="s">
        <v>12181</v>
      </c>
      <c r="C567" s="30" t="s">
        <v>10</v>
      </c>
      <c r="D567" s="139" t="s">
        <v>26079</v>
      </c>
      <c r="E567" s="30" t="s">
        <v>217</v>
      </c>
      <c r="F567" s="30">
        <v>1</v>
      </c>
      <c r="G567" s="30" t="s">
        <v>193</v>
      </c>
      <c r="H567" s="30" t="s">
        <v>194</v>
      </c>
      <c r="I567" s="30" t="s">
        <v>27260</v>
      </c>
      <c r="J567" s="30" t="s">
        <v>210</v>
      </c>
      <c r="K567" s="30" t="s">
        <v>9309</v>
      </c>
      <c r="L567" s="30" t="s">
        <v>6955</v>
      </c>
      <c r="M567" s="30"/>
      <c r="N567" s="30" t="s">
        <v>26968</v>
      </c>
      <c r="O567" s="30" t="s">
        <v>6261</v>
      </c>
      <c r="P567" s="30" t="s">
        <v>27475</v>
      </c>
      <c r="Q567" s="30" t="s">
        <v>26052</v>
      </c>
      <c r="R567" s="30" t="s">
        <v>26969</v>
      </c>
      <c r="S567" s="30" t="s">
        <v>27742</v>
      </c>
      <c r="T567" s="30" t="s">
        <v>27743</v>
      </c>
      <c r="U567" s="30"/>
      <c r="V567" s="139" t="s">
        <v>9334</v>
      </c>
      <c r="W567" s="30" t="s">
        <v>484</v>
      </c>
      <c r="X567" s="30" t="s">
        <v>194</v>
      </c>
      <c r="Y567" s="30" t="s">
        <v>9300</v>
      </c>
      <c r="Z567" s="30"/>
      <c r="AA567" s="30"/>
      <c r="AB567" s="30" t="s">
        <v>9311</v>
      </c>
      <c r="AC567" s="30"/>
      <c r="AD567" s="30"/>
      <c r="AE567" s="30"/>
      <c r="AF567" s="30"/>
      <c r="AG567" s="30"/>
      <c r="AH567" s="30" t="s">
        <v>4714</v>
      </c>
      <c r="AI567" s="30" t="s">
        <v>9433</v>
      </c>
      <c r="AJ567" s="641" t="str">
        <f t="shared" si="16"/>
        <v>251401</v>
      </c>
      <c r="AK567" s="641">
        <v>1</v>
      </c>
      <c r="AL567" s="641">
        <f t="shared" si="17"/>
        <v>1</v>
      </c>
      <c r="AM567" s="641">
        <v>1</v>
      </c>
      <c r="AN567" s="30" t="s">
        <v>17650</v>
      </c>
      <c r="AO567" s="30" t="s">
        <v>17651</v>
      </c>
      <c r="AP567" s="30" t="s">
        <v>17652</v>
      </c>
      <c r="AQ567" s="30" t="s">
        <v>17653</v>
      </c>
      <c r="AR567" s="30" t="s">
        <v>1024</v>
      </c>
      <c r="AS567" s="30">
        <v>1</v>
      </c>
    </row>
    <row r="568" spans="1:45" x14ac:dyDescent="0.25">
      <c r="A568" s="30" t="s">
        <v>26198</v>
      </c>
      <c r="B568" s="30" t="s">
        <v>26199</v>
      </c>
      <c r="C568" s="30" t="s">
        <v>21</v>
      </c>
      <c r="D568" s="139" t="s">
        <v>26079</v>
      </c>
      <c r="E568" s="30" t="s">
        <v>217</v>
      </c>
      <c r="F568" s="30">
        <v>1</v>
      </c>
      <c r="G568" s="30" t="s">
        <v>193</v>
      </c>
      <c r="H568" s="30" t="s">
        <v>194</v>
      </c>
      <c r="I568" s="30" t="s">
        <v>26133</v>
      </c>
      <c r="J568" s="30" t="s">
        <v>316</v>
      </c>
      <c r="K568" s="30" t="s">
        <v>9309</v>
      </c>
      <c r="L568" s="30" t="s">
        <v>6955</v>
      </c>
      <c r="M568" s="30"/>
      <c r="N568" s="30" t="s">
        <v>27217</v>
      </c>
      <c r="O568" s="30" t="s">
        <v>6256</v>
      </c>
      <c r="P568" s="30" t="s">
        <v>27475</v>
      </c>
      <c r="Q568" s="30" t="s">
        <v>26881</v>
      </c>
      <c r="R568" s="30" t="s">
        <v>26882</v>
      </c>
      <c r="S568" s="30" t="s">
        <v>27744</v>
      </c>
      <c r="T568" s="30" t="s">
        <v>27745</v>
      </c>
      <c r="U568" s="30"/>
      <c r="V568" s="139" t="s">
        <v>10012</v>
      </c>
      <c r="W568" s="30" t="s">
        <v>293</v>
      </c>
      <c r="X568" s="30" t="s">
        <v>194</v>
      </c>
      <c r="Y568" s="30" t="s">
        <v>9300</v>
      </c>
      <c r="Z568" s="30"/>
      <c r="AA568" s="30"/>
      <c r="AB568" s="30" t="s">
        <v>9311</v>
      </c>
      <c r="AC568" s="30"/>
      <c r="AD568" s="30"/>
      <c r="AE568" s="30"/>
      <c r="AF568" s="30"/>
      <c r="AG568" s="30"/>
      <c r="AH568" s="30" t="s">
        <v>4714</v>
      </c>
      <c r="AI568" s="30" t="s">
        <v>9433</v>
      </c>
      <c r="AJ568" s="641" t="str">
        <f t="shared" si="16"/>
        <v>214202</v>
      </c>
      <c r="AK568" s="641">
        <v>1</v>
      </c>
      <c r="AL568" s="641">
        <f t="shared" si="17"/>
        <v>1</v>
      </c>
      <c r="AM568" s="641">
        <v>1</v>
      </c>
      <c r="AN568" s="30" t="s">
        <v>17650</v>
      </c>
      <c r="AO568" s="30" t="s">
        <v>17651</v>
      </c>
      <c r="AP568" s="30" t="s">
        <v>17652</v>
      </c>
      <c r="AQ568" s="30" t="s">
        <v>17653</v>
      </c>
      <c r="AR568" s="30" t="s">
        <v>1024</v>
      </c>
      <c r="AS568" s="30">
        <v>1</v>
      </c>
    </row>
    <row r="569" spans="1:45" x14ac:dyDescent="0.25">
      <c r="A569" s="30" t="s">
        <v>26089</v>
      </c>
      <c r="B569" s="30" t="s">
        <v>12181</v>
      </c>
      <c r="C569" s="30" t="s">
        <v>10</v>
      </c>
      <c r="D569" s="139" t="s">
        <v>26079</v>
      </c>
      <c r="E569" s="30" t="s">
        <v>217</v>
      </c>
      <c r="F569" s="30">
        <v>1</v>
      </c>
      <c r="G569" s="30" t="s">
        <v>193</v>
      </c>
      <c r="H569" s="30" t="s">
        <v>194</v>
      </c>
      <c r="I569" s="30" t="s">
        <v>27260</v>
      </c>
      <c r="J569" s="30" t="s">
        <v>210</v>
      </c>
      <c r="K569" s="30" t="s">
        <v>9309</v>
      </c>
      <c r="L569" s="30" t="s">
        <v>6955</v>
      </c>
      <c r="M569" s="30"/>
      <c r="N569" s="30" t="s">
        <v>26373</v>
      </c>
      <c r="O569" s="30" t="s">
        <v>6261</v>
      </c>
      <c r="P569" s="30" t="s">
        <v>27475</v>
      </c>
      <c r="Q569" s="30" t="s">
        <v>26374</v>
      </c>
      <c r="R569" s="30" t="s">
        <v>26375</v>
      </c>
      <c r="S569" s="30" t="s">
        <v>27746</v>
      </c>
      <c r="T569" s="30" t="s">
        <v>27747</v>
      </c>
      <c r="U569" s="30"/>
      <c r="V569" s="139" t="s">
        <v>9334</v>
      </c>
      <c r="W569" s="30" t="s">
        <v>484</v>
      </c>
      <c r="X569" s="30" t="s">
        <v>194</v>
      </c>
      <c r="Y569" s="30" t="s">
        <v>9300</v>
      </c>
      <c r="Z569" s="30"/>
      <c r="AA569" s="30"/>
      <c r="AB569" s="30" t="s">
        <v>9311</v>
      </c>
      <c r="AC569" s="30"/>
      <c r="AD569" s="30"/>
      <c r="AE569" s="30"/>
      <c r="AF569" s="30"/>
      <c r="AG569" s="30"/>
      <c r="AH569" s="30" t="s">
        <v>4714</v>
      </c>
      <c r="AI569" s="30" t="s">
        <v>9433</v>
      </c>
      <c r="AJ569" s="641" t="str">
        <f t="shared" si="16"/>
        <v>251401</v>
      </c>
      <c r="AK569" s="641">
        <v>1</v>
      </c>
      <c r="AL569" s="641">
        <f t="shared" si="17"/>
        <v>1</v>
      </c>
      <c r="AM569" s="641">
        <v>1</v>
      </c>
      <c r="AN569" s="30" t="s">
        <v>17650</v>
      </c>
      <c r="AO569" s="30" t="s">
        <v>17651</v>
      </c>
      <c r="AP569" s="30" t="s">
        <v>17652</v>
      </c>
      <c r="AQ569" s="30" t="s">
        <v>17653</v>
      </c>
      <c r="AR569" s="30" t="s">
        <v>1024</v>
      </c>
      <c r="AS569" s="30">
        <v>1</v>
      </c>
    </row>
    <row r="570" spans="1:45" x14ac:dyDescent="0.25">
      <c r="A570" s="30" t="s">
        <v>26153</v>
      </c>
      <c r="B570" s="30" t="s">
        <v>1053</v>
      </c>
      <c r="C570" s="30" t="s">
        <v>10</v>
      </c>
      <c r="D570" s="139" t="s">
        <v>26079</v>
      </c>
      <c r="E570" s="30" t="s">
        <v>217</v>
      </c>
      <c r="F570" s="30">
        <v>1</v>
      </c>
      <c r="G570" s="30" t="s">
        <v>193</v>
      </c>
      <c r="H570" s="30" t="s">
        <v>194</v>
      </c>
      <c r="I570" s="30" t="s">
        <v>23198</v>
      </c>
      <c r="J570" s="30" t="s">
        <v>210</v>
      </c>
      <c r="K570" s="30" t="s">
        <v>9309</v>
      </c>
      <c r="L570" s="30" t="s">
        <v>6955</v>
      </c>
      <c r="M570" s="30"/>
      <c r="N570" s="30" t="s">
        <v>26642</v>
      </c>
      <c r="O570" s="30" t="s">
        <v>6261</v>
      </c>
      <c r="P570" s="30" t="s">
        <v>27475</v>
      </c>
      <c r="Q570" s="30" t="s">
        <v>26218</v>
      </c>
      <c r="R570" s="30" t="s">
        <v>26219</v>
      </c>
      <c r="S570" s="30" t="s">
        <v>27748</v>
      </c>
      <c r="T570" s="30" t="s">
        <v>27749</v>
      </c>
      <c r="U570" s="30"/>
      <c r="V570" s="139" t="s">
        <v>9334</v>
      </c>
      <c r="W570" s="30" t="s">
        <v>484</v>
      </c>
      <c r="X570" s="30" t="s">
        <v>194</v>
      </c>
      <c r="Y570" s="30" t="s">
        <v>9300</v>
      </c>
      <c r="Z570" s="30"/>
      <c r="AA570" s="30"/>
      <c r="AB570" s="30" t="s">
        <v>9311</v>
      </c>
      <c r="AC570" s="30"/>
      <c r="AD570" s="30"/>
      <c r="AE570" s="30"/>
      <c r="AF570" s="30"/>
      <c r="AG570" s="30"/>
      <c r="AH570" s="30" t="s">
        <v>4714</v>
      </c>
      <c r="AI570" s="30" t="s">
        <v>9433</v>
      </c>
      <c r="AJ570" s="641" t="str">
        <f t="shared" si="16"/>
        <v>251401</v>
      </c>
      <c r="AK570" s="641">
        <v>1</v>
      </c>
      <c r="AL570" s="641">
        <f t="shared" si="17"/>
        <v>1</v>
      </c>
      <c r="AM570" s="641">
        <v>1</v>
      </c>
      <c r="AN570" s="30" t="s">
        <v>17650</v>
      </c>
      <c r="AO570" s="30" t="s">
        <v>17651</v>
      </c>
      <c r="AP570" s="30" t="s">
        <v>17652</v>
      </c>
      <c r="AQ570" s="30" t="s">
        <v>17653</v>
      </c>
      <c r="AR570" s="30" t="s">
        <v>1024</v>
      </c>
      <c r="AS570" s="30">
        <v>1</v>
      </c>
    </row>
    <row r="571" spans="1:45" x14ac:dyDescent="0.25">
      <c r="A571" s="30" t="s">
        <v>26089</v>
      </c>
      <c r="B571" s="30" t="s">
        <v>26090</v>
      </c>
      <c r="C571" s="30" t="s">
        <v>36</v>
      </c>
      <c r="D571" s="139" t="s">
        <v>26079</v>
      </c>
      <c r="E571" s="30" t="s">
        <v>217</v>
      </c>
      <c r="F571" s="30">
        <v>1</v>
      </c>
      <c r="G571" s="30" t="s">
        <v>193</v>
      </c>
      <c r="H571" s="30" t="s">
        <v>194</v>
      </c>
      <c r="I571" s="30" t="s">
        <v>27253</v>
      </c>
      <c r="J571" s="30" t="s">
        <v>4751</v>
      </c>
      <c r="K571" s="30" t="s">
        <v>9309</v>
      </c>
      <c r="L571" s="30" t="s">
        <v>6955</v>
      </c>
      <c r="M571" s="30"/>
      <c r="N571" s="30" t="s">
        <v>26620</v>
      </c>
      <c r="O571" s="30" t="s">
        <v>7120</v>
      </c>
      <c r="P571" s="30" t="s">
        <v>27475</v>
      </c>
      <c r="Q571" s="30" t="s">
        <v>26092</v>
      </c>
      <c r="R571" s="30" t="s">
        <v>26093</v>
      </c>
      <c r="S571" s="30" t="s">
        <v>27750</v>
      </c>
      <c r="T571" s="30" t="s">
        <v>27751</v>
      </c>
      <c r="U571" s="30"/>
      <c r="V571" s="139" t="s">
        <v>9472</v>
      </c>
      <c r="W571" s="30" t="s">
        <v>609</v>
      </c>
      <c r="X571" s="30" t="s">
        <v>194</v>
      </c>
      <c r="Y571" s="30" t="s">
        <v>9300</v>
      </c>
      <c r="Z571" s="30"/>
      <c r="AA571" s="30"/>
      <c r="AB571" s="30" t="s">
        <v>9311</v>
      </c>
      <c r="AC571" s="30"/>
      <c r="AD571" s="30"/>
      <c r="AE571" s="30"/>
      <c r="AF571" s="30"/>
      <c r="AG571" s="30"/>
      <c r="AH571" s="30" t="s">
        <v>4714</v>
      </c>
      <c r="AI571" s="30" t="s">
        <v>9433</v>
      </c>
      <c r="AJ571" s="641" t="str">
        <f t="shared" si="16"/>
        <v>331301</v>
      </c>
      <c r="AK571" s="641">
        <v>1</v>
      </c>
      <c r="AL571" s="641">
        <f t="shared" si="17"/>
        <v>1</v>
      </c>
      <c r="AM571" s="641">
        <v>1</v>
      </c>
      <c r="AN571" s="30" t="s">
        <v>17650</v>
      </c>
      <c r="AO571" s="30" t="s">
        <v>17651</v>
      </c>
      <c r="AP571" s="30" t="s">
        <v>17652</v>
      </c>
      <c r="AQ571" s="30" t="s">
        <v>17653</v>
      </c>
      <c r="AR571" s="30" t="s">
        <v>1024</v>
      </c>
      <c r="AS571" s="30">
        <v>1</v>
      </c>
    </row>
    <row r="572" spans="1:45" x14ac:dyDescent="0.25">
      <c r="A572" s="30" t="s">
        <v>716</v>
      </c>
      <c r="B572" s="30" t="s">
        <v>26106</v>
      </c>
      <c r="C572" s="30" t="s">
        <v>153</v>
      </c>
      <c r="D572" s="139" t="s">
        <v>26079</v>
      </c>
      <c r="E572" s="30" t="s">
        <v>217</v>
      </c>
      <c r="F572" s="30">
        <v>1</v>
      </c>
      <c r="G572" s="30" t="s">
        <v>193</v>
      </c>
      <c r="H572" s="30" t="s">
        <v>194</v>
      </c>
      <c r="I572" s="30" t="s">
        <v>27260</v>
      </c>
      <c r="J572" s="30" t="s">
        <v>210</v>
      </c>
      <c r="K572" s="30" t="s">
        <v>9309</v>
      </c>
      <c r="L572" s="30" t="s">
        <v>6955</v>
      </c>
      <c r="M572" s="30"/>
      <c r="N572" s="30" t="s">
        <v>26401</v>
      </c>
      <c r="O572" s="30" t="s">
        <v>6290</v>
      </c>
      <c r="P572" s="30" t="s">
        <v>27475</v>
      </c>
      <c r="Q572" s="30" t="s">
        <v>26085</v>
      </c>
      <c r="R572" s="30" t="s">
        <v>26057</v>
      </c>
      <c r="S572" s="30" t="s">
        <v>27752</v>
      </c>
      <c r="T572" s="30" t="s">
        <v>27753</v>
      </c>
      <c r="U572" s="30"/>
      <c r="V572" s="139" t="s">
        <v>9334</v>
      </c>
      <c r="W572" s="30" t="s">
        <v>2293</v>
      </c>
      <c r="X572" s="30" t="s">
        <v>194</v>
      </c>
      <c r="Y572" s="30" t="s">
        <v>9300</v>
      </c>
      <c r="Z572" s="30"/>
      <c r="AA572" s="30"/>
      <c r="AB572" s="30" t="s">
        <v>9311</v>
      </c>
      <c r="AC572" s="30"/>
      <c r="AD572" s="30"/>
      <c r="AE572" s="30"/>
      <c r="AF572" s="30"/>
      <c r="AG572" s="30"/>
      <c r="AH572" s="30" t="s">
        <v>4714</v>
      </c>
      <c r="AI572" s="30" t="s">
        <v>9433</v>
      </c>
      <c r="AJ572" s="641" t="str">
        <f t="shared" si="16"/>
        <v>333903</v>
      </c>
      <c r="AK572" s="641">
        <v>1</v>
      </c>
      <c r="AL572" s="641">
        <f t="shared" si="17"/>
        <v>1</v>
      </c>
      <c r="AM572" s="641">
        <v>1</v>
      </c>
      <c r="AN572" s="30" t="s">
        <v>17650</v>
      </c>
      <c r="AO572" s="30" t="s">
        <v>17651</v>
      </c>
      <c r="AP572" s="30" t="s">
        <v>17652</v>
      </c>
      <c r="AQ572" s="30" t="s">
        <v>17653</v>
      </c>
      <c r="AR572" s="30" t="s">
        <v>1024</v>
      </c>
      <c r="AS572" s="30">
        <v>1</v>
      </c>
    </row>
    <row r="573" spans="1:45" x14ac:dyDescent="0.25">
      <c r="A573" s="30" t="s">
        <v>27754</v>
      </c>
      <c r="B573" s="30" t="s">
        <v>27755</v>
      </c>
      <c r="C573" s="30" t="s">
        <v>20316</v>
      </c>
      <c r="D573" s="139" t="s">
        <v>26375</v>
      </c>
      <c r="E573" s="30" t="s">
        <v>233</v>
      </c>
      <c r="F573" s="30">
        <v>1</v>
      </c>
      <c r="G573" s="30" t="s">
        <v>193</v>
      </c>
      <c r="H573" s="30" t="s">
        <v>194</v>
      </c>
      <c r="I573" s="30" t="s">
        <v>23198</v>
      </c>
      <c r="J573" s="30" t="s">
        <v>27756</v>
      </c>
      <c r="K573" s="30" t="s">
        <v>9309</v>
      </c>
      <c r="L573" s="30" t="s">
        <v>6955</v>
      </c>
      <c r="M573" s="30"/>
      <c r="N573" s="30" t="s">
        <v>27757</v>
      </c>
      <c r="O573" s="30" t="s">
        <v>6324</v>
      </c>
      <c r="P573" s="30" t="s">
        <v>27758</v>
      </c>
      <c r="Q573" s="30" t="s">
        <v>23804</v>
      </c>
      <c r="R573" s="30" t="s">
        <v>27340</v>
      </c>
      <c r="S573" s="30" t="s">
        <v>27759</v>
      </c>
      <c r="T573" s="30" t="s">
        <v>27760</v>
      </c>
      <c r="U573" s="30"/>
      <c r="V573" s="139" t="s">
        <v>10136</v>
      </c>
      <c r="W573" s="30" t="s">
        <v>3296</v>
      </c>
      <c r="X573" s="30" t="s">
        <v>194</v>
      </c>
      <c r="Y573" s="30" t="s">
        <v>9300</v>
      </c>
      <c r="Z573" s="30"/>
      <c r="AA573" s="30"/>
      <c r="AB573" s="30" t="s">
        <v>9311</v>
      </c>
      <c r="AC573" s="30"/>
      <c r="AD573" s="30"/>
      <c r="AE573" s="30"/>
      <c r="AF573" s="30"/>
      <c r="AG573" s="30"/>
      <c r="AH573" s="30" t="s">
        <v>4714</v>
      </c>
      <c r="AI573" s="30" t="s">
        <v>27755</v>
      </c>
      <c r="AJ573" s="641" t="str">
        <f t="shared" si="16"/>
        <v>333403</v>
      </c>
      <c r="AK573" s="641">
        <v>1</v>
      </c>
      <c r="AL573" s="641">
        <f t="shared" si="17"/>
        <v>1</v>
      </c>
      <c r="AM573" s="641">
        <v>1</v>
      </c>
      <c r="AN573" s="30" t="s">
        <v>17650</v>
      </c>
      <c r="AO573" s="30" t="s">
        <v>17651</v>
      </c>
      <c r="AP573" s="30" t="s">
        <v>17652</v>
      </c>
      <c r="AQ573" s="30" t="s">
        <v>17653</v>
      </c>
      <c r="AR573" s="30" t="s">
        <v>1024</v>
      </c>
      <c r="AS573" s="30">
        <v>1</v>
      </c>
    </row>
    <row r="574" spans="1:45" x14ac:dyDescent="0.25">
      <c r="A574" s="30" t="s">
        <v>15250</v>
      </c>
      <c r="B574" s="30" t="s">
        <v>537</v>
      </c>
      <c r="C574" s="30" t="s">
        <v>778</v>
      </c>
      <c r="D574" s="139" t="s">
        <v>26375</v>
      </c>
      <c r="E574" s="30" t="s">
        <v>233</v>
      </c>
      <c r="F574" s="30">
        <v>1</v>
      </c>
      <c r="G574" s="30" t="s">
        <v>193</v>
      </c>
      <c r="H574" s="30" t="s">
        <v>194</v>
      </c>
      <c r="I574" s="30" t="s">
        <v>26077</v>
      </c>
      <c r="J574" s="30" t="s">
        <v>19994</v>
      </c>
      <c r="K574" s="30" t="s">
        <v>9309</v>
      </c>
      <c r="L574" s="30" t="s">
        <v>6955</v>
      </c>
      <c r="M574" s="30"/>
      <c r="N574" s="30" t="s">
        <v>27761</v>
      </c>
      <c r="O574" s="30" t="s">
        <v>6249</v>
      </c>
      <c r="P574" s="30" t="s">
        <v>27762</v>
      </c>
      <c r="Q574" s="30" t="s">
        <v>23804</v>
      </c>
      <c r="R574" s="30" t="s">
        <v>23198</v>
      </c>
      <c r="S574" s="30" t="s">
        <v>27763</v>
      </c>
      <c r="T574" s="30" t="s">
        <v>27764</v>
      </c>
      <c r="U574" s="30"/>
      <c r="V574" s="139" t="s">
        <v>9334</v>
      </c>
      <c r="W574" s="30" t="s">
        <v>779</v>
      </c>
      <c r="X574" s="30" t="s">
        <v>194</v>
      </c>
      <c r="Y574" s="30" t="s">
        <v>9300</v>
      </c>
      <c r="Z574" s="30"/>
      <c r="AA574" s="30"/>
      <c r="AB574" s="30" t="s">
        <v>9311</v>
      </c>
      <c r="AC574" s="30"/>
      <c r="AD574" s="30"/>
      <c r="AE574" s="30"/>
      <c r="AF574" s="30"/>
      <c r="AG574" s="30"/>
      <c r="AH574" s="30" t="s">
        <v>4714</v>
      </c>
      <c r="AI574" s="30" t="s">
        <v>778</v>
      </c>
      <c r="AJ574" s="641" t="str">
        <f t="shared" si="16"/>
        <v>524902</v>
      </c>
      <c r="AK574" s="641">
        <v>1</v>
      </c>
      <c r="AL574" s="641">
        <f t="shared" si="17"/>
        <v>1</v>
      </c>
      <c r="AM574" s="641">
        <v>1</v>
      </c>
      <c r="AN574" s="30" t="s">
        <v>17650</v>
      </c>
      <c r="AO574" s="30" t="s">
        <v>17651</v>
      </c>
      <c r="AP574" s="30" t="s">
        <v>17652</v>
      </c>
      <c r="AQ574" s="30" t="s">
        <v>17653</v>
      </c>
      <c r="AR574" s="30" t="s">
        <v>1024</v>
      </c>
      <c r="AS574" s="30">
        <v>1</v>
      </c>
    </row>
    <row r="575" spans="1:45" x14ac:dyDescent="0.25">
      <c r="A575" s="30" t="s">
        <v>23150</v>
      </c>
      <c r="B575" s="30" t="s">
        <v>112</v>
      </c>
      <c r="C575" s="30" t="s">
        <v>112</v>
      </c>
      <c r="D575" s="139" t="s">
        <v>26375</v>
      </c>
      <c r="E575" s="30" t="s">
        <v>233</v>
      </c>
      <c r="F575" s="30">
        <v>1</v>
      </c>
      <c r="G575" s="30" t="s">
        <v>193</v>
      </c>
      <c r="H575" s="30" t="s">
        <v>194</v>
      </c>
      <c r="I575" s="30" t="s">
        <v>26077</v>
      </c>
      <c r="J575" s="30" t="s">
        <v>9302</v>
      </c>
      <c r="K575" s="30" t="s">
        <v>9309</v>
      </c>
      <c r="L575" s="30" t="s">
        <v>6955</v>
      </c>
      <c r="M575" s="30"/>
      <c r="N575" s="30" t="s">
        <v>27765</v>
      </c>
      <c r="O575" s="30" t="s">
        <v>6275</v>
      </c>
      <c r="P575" s="30" t="s">
        <v>27758</v>
      </c>
      <c r="Q575" s="30" t="s">
        <v>23804</v>
      </c>
      <c r="R575" s="30" t="s">
        <v>23198</v>
      </c>
      <c r="S575" s="30" t="s">
        <v>27766</v>
      </c>
      <c r="T575" s="30" t="s">
        <v>27767</v>
      </c>
      <c r="U575" s="139"/>
      <c r="V575" s="139" t="s">
        <v>28321</v>
      </c>
      <c r="W575" s="30" t="s">
        <v>794</v>
      </c>
      <c r="X575" s="30" t="s">
        <v>193</v>
      </c>
      <c r="Y575" s="30" t="s">
        <v>9310</v>
      </c>
      <c r="Z575" s="30"/>
      <c r="AA575" s="30"/>
      <c r="AB575" s="30" t="s">
        <v>9311</v>
      </c>
      <c r="AC575" s="30"/>
      <c r="AD575" s="30"/>
      <c r="AE575" s="30"/>
      <c r="AF575" s="30"/>
      <c r="AG575" s="30"/>
      <c r="AH575" s="30" t="s">
        <v>4714</v>
      </c>
      <c r="AI575" s="30" t="s">
        <v>112</v>
      </c>
      <c r="AJ575" s="641" t="str">
        <f t="shared" si="16"/>
        <v>721404</v>
      </c>
      <c r="AK575" s="641">
        <v>1</v>
      </c>
      <c r="AL575" s="641">
        <f t="shared" si="17"/>
        <v>1</v>
      </c>
      <c r="AM575" s="641">
        <v>1</v>
      </c>
      <c r="AN575" s="30" t="s">
        <v>17650</v>
      </c>
      <c r="AO575" s="30" t="s">
        <v>17651</v>
      </c>
      <c r="AP575" s="30" t="s">
        <v>17652</v>
      </c>
      <c r="AQ575" s="30" t="s">
        <v>17653</v>
      </c>
      <c r="AR575" s="30" t="s">
        <v>1024</v>
      </c>
      <c r="AS575" s="30">
        <v>1</v>
      </c>
    </row>
    <row r="576" spans="1:45" x14ac:dyDescent="0.25">
      <c r="A576" s="30" t="s">
        <v>10145</v>
      </c>
      <c r="B576" s="30" t="s">
        <v>27768</v>
      </c>
      <c r="C576" s="30" t="s">
        <v>43</v>
      </c>
      <c r="D576" s="139" t="s">
        <v>26375</v>
      </c>
      <c r="E576" s="30" t="s">
        <v>217</v>
      </c>
      <c r="F576" s="30">
        <v>1</v>
      </c>
      <c r="G576" s="30" t="s">
        <v>193</v>
      </c>
      <c r="H576" s="30" t="s">
        <v>194</v>
      </c>
      <c r="I576" s="30" t="s">
        <v>27277</v>
      </c>
      <c r="J576" s="30" t="s">
        <v>210</v>
      </c>
      <c r="K576" s="30" t="s">
        <v>9309</v>
      </c>
      <c r="L576" s="30" t="s">
        <v>6955</v>
      </c>
      <c r="M576" s="30"/>
      <c r="N576" s="30" t="s">
        <v>27769</v>
      </c>
      <c r="O576" s="30" t="s">
        <v>6249</v>
      </c>
      <c r="P576" s="30" t="s">
        <v>27770</v>
      </c>
      <c r="Q576" s="30" t="s">
        <v>26099</v>
      </c>
      <c r="R576" s="30" t="s">
        <v>27771</v>
      </c>
      <c r="S576" s="30" t="s">
        <v>27772</v>
      </c>
      <c r="T576" s="30">
        <v>50025893</v>
      </c>
      <c r="U576" s="30"/>
      <c r="V576" s="139" t="s">
        <v>9334</v>
      </c>
      <c r="W576" s="30" t="s">
        <v>452</v>
      </c>
      <c r="X576" s="30" t="s">
        <v>194</v>
      </c>
      <c r="Y576" s="30" t="s">
        <v>9300</v>
      </c>
      <c r="Z576" s="30"/>
      <c r="AA576" s="30"/>
      <c r="AB576" s="30" t="s">
        <v>9311</v>
      </c>
      <c r="AC576" s="30"/>
      <c r="AD576" s="30"/>
      <c r="AE576" s="30"/>
      <c r="AF576" s="30"/>
      <c r="AG576" s="30"/>
      <c r="AH576" s="30" t="s">
        <v>4714</v>
      </c>
      <c r="AI576" s="30" t="s">
        <v>9433</v>
      </c>
      <c r="AJ576" s="641" t="str">
        <f t="shared" si="16"/>
        <v>243106</v>
      </c>
      <c r="AK576" s="641">
        <v>1</v>
      </c>
      <c r="AL576" s="641">
        <f t="shared" si="17"/>
        <v>1</v>
      </c>
      <c r="AM576" s="641">
        <v>1</v>
      </c>
      <c r="AN576" s="30" t="s">
        <v>17650</v>
      </c>
      <c r="AO576" s="30" t="s">
        <v>17651</v>
      </c>
      <c r="AP576" s="30" t="s">
        <v>17652</v>
      </c>
      <c r="AQ576" s="30" t="s">
        <v>17653</v>
      </c>
      <c r="AR576" s="30" t="s">
        <v>1024</v>
      </c>
      <c r="AS576" s="30">
        <v>1</v>
      </c>
    </row>
    <row r="577" spans="1:45" x14ac:dyDescent="0.25">
      <c r="A577" s="30" t="s">
        <v>716</v>
      </c>
      <c r="B577" s="30" t="s">
        <v>26635</v>
      </c>
      <c r="C577" s="30" t="s">
        <v>706</v>
      </c>
      <c r="D577" s="139" t="s">
        <v>26375</v>
      </c>
      <c r="E577" s="30" t="s">
        <v>217</v>
      </c>
      <c r="F577" s="30">
        <v>1</v>
      </c>
      <c r="G577" s="30" t="s">
        <v>193</v>
      </c>
      <c r="H577" s="30" t="s">
        <v>194</v>
      </c>
      <c r="I577" s="30" t="s">
        <v>27277</v>
      </c>
      <c r="J577" s="30" t="s">
        <v>210</v>
      </c>
      <c r="K577" s="30" t="s">
        <v>9309</v>
      </c>
      <c r="L577" s="30" t="s">
        <v>6955</v>
      </c>
      <c r="M577" s="30"/>
      <c r="N577" s="30" t="s">
        <v>27565</v>
      </c>
      <c r="O577" s="30" t="s">
        <v>6286</v>
      </c>
      <c r="P577" s="30" t="s">
        <v>27770</v>
      </c>
      <c r="Q577" s="30" t="s">
        <v>24551</v>
      </c>
      <c r="R577" s="30" t="s">
        <v>27361</v>
      </c>
      <c r="S577" s="30" t="s">
        <v>27773</v>
      </c>
      <c r="T577" s="30" t="s">
        <v>27774</v>
      </c>
      <c r="U577" s="30"/>
      <c r="V577" s="139" t="s">
        <v>9334</v>
      </c>
      <c r="W577" s="30" t="s">
        <v>707</v>
      </c>
      <c r="X577" s="30" t="s">
        <v>194</v>
      </c>
      <c r="Y577" s="30" t="s">
        <v>9300</v>
      </c>
      <c r="Z577" s="30"/>
      <c r="AA577" s="30"/>
      <c r="AB577" s="30" t="s">
        <v>9311</v>
      </c>
      <c r="AC577" s="30"/>
      <c r="AD577" s="30"/>
      <c r="AE577" s="30"/>
      <c r="AF577" s="30"/>
      <c r="AG577" s="30"/>
      <c r="AH577" s="30" t="s">
        <v>4714</v>
      </c>
      <c r="AI577" s="30" t="s">
        <v>9433</v>
      </c>
      <c r="AJ577" s="641" t="str">
        <f t="shared" si="16"/>
        <v>422201</v>
      </c>
      <c r="AK577" s="641">
        <v>1</v>
      </c>
      <c r="AL577" s="641">
        <f t="shared" si="17"/>
        <v>1</v>
      </c>
      <c r="AM577" s="641">
        <v>1</v>
      </c>
      <c r="AN577" s="30" t="s">
        <v>17650</v>
      </c>
      <c r="AO577" s="30" t="s">
        <v>17651</v>
      </c>
      <c r="AP577" s="30" t="s">
        <v>17652</v>
      </c>
      <c r="AQ577" s="30" t="s">
        <v>17653</v>
      </c>
      <c r="AR577" s="30" t="s">
        <v>1024</v>
      </c>
      <c r="AS577" s="30">
        <v>1</v>
      </c>
    </row>
    <row r="578" spans="1:45" x14ac:dyDescent="0.25">
      <c r="A578" s="30" t="s">
        <v>716</v>
      </c>
      <c r="B578" s="30" t="s">
        <v>26175</v>
      </c>
      <c r="C578" s="30" t="s">
        <v>10</v>
      </c>
      <c r="D578" s="139" t="s">
        <v>26375</v>
      </c>
      <c r="E578" s="30" t="s">
        <v>217</v>
      </c>
      <c r="F578" s="30">
        <v>1</v>
      </c>
      <c r="G578" s="30" t="s">
        <v>193</v>
      </c>
      <c r="H578" s="30" t="s">
        <v>194</v>
      </c>
      <c r="I578" s="30" t="s">
        <v>27277</v>
      </c>
      <c r="J578" s="30" t="s">
        <v>210</v>
      </c>
      <c r="K578" s="30" t="s">
        <v>9309</v>
      </c>
      <c r="L578" s="30" t="s">
        <v>6955</v>
      </c>
      <c r="M578" s="30"/>
      <c r="N578" s="30" t="s">
        <v>27775</v>
      </c>
      <c r="O578" s="30" t="s">
        <v>6302</v>
      </c>
      <c r="P578" s="30" t="s">
        <v>27770</v>
      </c>
      <c r="Q578" s="30" t="s">
        <v>26079</v>
      </c>
      <c r="R578" s="30" t="s">
        <v>26077</v>
      </c>
      <c r="S578" s="30" t="s">
        <v>27776</v>
      </c>
      <c r="T578" s="30" t="s">
        <v>27777</v>
      </c>
      <c r="U578" s="30"/>
      <c r="V578" s="139" t="s">
        <v>9334</v>
      </c>
      <c r="W578" s="30" t="s">
        <v>484</v>
      </c>
      <c r="X578" s="30" t="s">
        <v>194</v>
      </c>
      <c r="Y578" s="30" t="s">
        <v>9300</v>
      </c>
      <c r="Z578" s="30"/>
      <c r="AA578" s="30"/>
      <c r="AB578" s="30" t="s">
        <v>9311</v>
      </c>
      <c r="AC578" s="30"/>
      <c r="AD578" s="30"/>
      <c r="AE578" s="30"/>
      <c r="AF578" s="30"/>
      <c r="AG578" s="30"/>
      <c r="AH578" s="30" t="s">
        <v>4714</v>
      </c>
      <c r="AI578" s="30" t="s">
        <v>9433</v>
      </c>
      <c r="AJ578" s="641" t="str">
        <f t="shared" si="16"/>
        <v>251401</v>
      </c>
      <c r="AK578" s="641">
        <v>1</v>
      </c>
      <c r="AL578" s="641">
        <f t="shared" si="17"/>
        <v>1</v>
      </c>
      <c r="AM578" s="641">
        <v>1</v>
      </c>
      <c r="AN578" s="30" t="s">
        <v>17650</v>
      </c>
      <c r="AO578" s="30" t="s">
        <v>17651</v>
      </c>
      <c r="AP578" s="30" t="s">
        <v>17652</v>
      </c>
      <c r="AQ578" s="30" t="s">
        <v>17653</v>
      </c>
      <c r="AR578" s="30" t="s">
        <v>1024</v>
      </c>
      <c r="AS578" s="30">
        <v>1</v>
      </c>
    </row>
    <row r="579" spans="1:45" x14ac:dyDescent="0.25">
      <c r="A579" s="30" t="s">
        <v>10145</v>
      </c>
      <c r="B579" s="30" t="s">
        <v>7424</v>
      </c>
      <c r="C579" s="30" t="s">
        <v>18</v>
      </c>
      <c r="D579" s="139" t="s">
        <v>26375</v>
      </c>
      <c r="E579" s="30" t="s">
        <v>217</v>
      </c>
      <c r="F579" s="30">
        <v>1</v>
      </c>
      <c r="G579" s="30" t="s">
        <v>193</v>
      </c>
      <c r="H579" s="30" t="s">
        <v>194</v>
      </c>
      <c r="I579" s="30" t="s">
        <v>27277</v>
      </c>
      <c r="J579" s="30" t="s">
        <v>210</v>
      </c>
      <c r="K579" s="30" t="s">
        <v>9309</v>
      </c>
      <c r="L579" s="30" t="s">
        <v>6955</v>
      </c>
      <c r="M579" s="30"/>
      <c r="N579" s="30" t="s">
        <v>27778</v>
      </c>
      <c r="O579" s="30" t="s">
        <v>6340</v>
      </c>
      <c r="P579" s="30" t="s">
        <v>27770</v>
      </c>
      <c r="Q579" s="30" t="s">
        <v>26099</v>
      </c>
      <c r="R579" s="30" t="s">
        <v>27771</v>
      </c>
      <c r="S579" s="30" t="s">
        <v>27779</v>
      </c>
      <c r="T579" s="30" t="s">
        <v>27780</v>
      </c>
      <c r="U579" s="30"/>
      <c r="V579" s="139" t="s">
        <v>9334</v>
      </c>
      <c r="W579" s="30" t="s">
        <v>1476</v>
      </c>
      <c r="X579" s="30" t="s">
        <v>194</v>
      </c>
      <c r="Y579" s="30" t="s">
        <v>9300</v>
      </c>
      <c r="Z579" s="30"/>
      <c r="AA579" s="30"/>
      <c r="AB579" s="30" t="s">
        <v>9311</v>
      </c>
      <c r="AC579" s="30"/>
      <c r="AD579" s="30"/>
      <c r="AE579" s="30"/>
      <c r="AF579" s="30"/>
      <c r="AG579" s="30"/>
      <c r="AH579" s="30" t="s">
        <v>4714</v>
      </c>
      <c r="AI579" s="30" t="s">
        <v>9433</v>
      </c>
      <c r="AJ579" s="641" t="str">
        <f t="shared" ref="AJ579:AJ642" si="18">MID(W579,8,6)</f>
        <v>242309</v>
      </c>
      <c r="AK579" s="641">
        <v>1</v>
      </c>
      <c r="AL579" s="641">
        <f t="shared" ref="AL579:AL642" si="19">F579</f>
        <v>1</v>
      </c>
      <c r="AM579" s="641">
        <v>1</v>
      </c>
      <c r="AN579" s="30" t="s">
        <v>17650</v>
      </c>
      <c r="AO579" s="30" t="s">
        <v>17651</v>
      </c>
      <c r="AP579" s="30" t="s">
        <v>17652</v>
      </c>
      <c r="AQ579" s="30" t="s">
        <v>17653</v>
      </c>
      <c r="AR579" s="30" t="s">
        <v>1024</v>
      </c>
      <c r="AS579" s="30">
        <v>1</v>
      </c>
    </row>
    <row r="580" spans="1:45" x14ac:dyDescent="0.25">
      <c r="A580" s="30" t="s">
        <v>26089</v>
      </c>
      <c r="B580" s="30" t="s">
        <v>26278</v>
      </c>
      <c r="C580" s="30" t="s">
        <v>16281</v>
      </c>
      <c r="D580" s="139" t="s">
        <v>26375</v>
      </c>
      <c r="E580" s="30" t="s">
        <v>217</v>
      </c>
      <c r="F580" s="30">
        <v>1</v>
      </c>
      <c r="G580" s="30" t="s">
        <v>193</v>
      </c>
      <c r="H580" s="30" t="s">
        <v>194</v>
      </c>
      <c r="I580" s="30" t="s">
        <v>27277</v>
      </c>
      <c r="J580" s="30" t="s">
        <v>210</v>
      </c>
      <c r="K580" s="30" t="s">
        <v>9309</v>
      </c>
      <c r="L580" s="30" t="s">
        <v>6955</v>
      </c>
      <c r="M580" s="30"/>
      <c r="N580" s="30" t="s">
        <v>26279</v>
      </c>
      <c r="O580" s="30" t="s">
        <v>6261</v>
      </c>
      <c r="P580" s="30" t="s">
        <v>27770</v>
      </c>
      <c r="Q580" s="30" t="s">
        <v>26261</v>
      </c>
      <c r="R580" s="30" t="s">
        <v>26262</v>
      </c>
      <c r="S580" s="30" t="s">
        <v>27781</v>
      </c>
      <c r="T580" s="30" t="s">
        <v>27782</v>
      </c>
      <c r="U580" s="30"/>
      <c r="V580" s="139" t="s">
        <v>9334</v>
      </c>
      <c r="W580" s="30" t="s">
        <v>9002</v>
      </c>
      <c r="X580" s="30" t="s">
        <v>194</v>
      </c>
      <c r="Y580" s="30" t="s">
        <v>9300</v>
      </c>
      <c r="Z580" s="30"/>
      <c r="AA580" s="30"/>
      <c r="AB580" s="30" t="s">
        <v>9311</v>
      </c>
      <c r="AC580" s="30"/>
      <c r="AD580" s="30"/>
      <c r="AE580" s="30"/>
      <c r="AF580" s="30"/>
      <c r="AG580" s="30"/>
      <c r="AH580" s="30" t="s">
        <v>4714</v>
      </c>
      <c r="AI580" s="30" t="s">
        <v>9433</v>
      </c>
      <c r="AJ580" s="641" t="str">
        <f t="shared" si="18"/>
        <v>252902</v>
      </c>
      <c r="AK580" s="641">
        <v>1</v>
      </c>
      <c r="AL580" s="641">
        <f t="shared" si="19"/>
        <v>1</v>
      </c>
      <c r="AM580" s="641">
        <v>1</v>
      </c>
      <c r="AN580" s="30" t="s">
        <v>17650</v>
      </c>
      <c r="AO580" s="30" t="s">
        <v>17651</v>
      </c>
      <c r="AP580" s="30" t="s">
        <v>17652</v>
      </c>
      <c r="AQ580" s="30" t="s">
        <v>17653</v>
      </c>
      <c r="AR580" s="30" t="s">
        <v>1024</v>
      </c>
      <c r="AS580" s="30">
        <v>1</v>
      </c>
    </row>
    <row r="581" spans="1:45" x14ac:dyDescent="0.25">
      <c r="A581" s="30" t="s">
        <v>581</v>
      </c>
      <c r="B581" s="30" t="s">
        <v>20370</v>
      </c>
      <c r="C581" s="30" t="s">
        <v>122</v>
      </c>
      <c r="D581" s="139" t="s">
        <v>26375</v>
      </c>
      <c r="E581" s="30" t="s">
        <v>217</v>
      </c>
      <c r="F581" s="30">
        <v>1</v>
      </c>
      <c r="G581" s="30" t="s">
        <v>193</v>
      </c>
      <c r="H581" s="30" t="s">
        <v>194</v>
      </c>
      <c r="I581" s="30" t="s">
        <v>27277</v>
      </c>
      <c r="J581" s="30" t="s">
        <v>210</v>
      </c>
      <c r="K581" s="30" t="s">
        <v>9309</v>
      </c>
      <c r="L581" s="30" t="s">
        <v>6955</v>
      </c>
      <c r="M581" s="30"/>
      <c r="N581" s="30" t="s">
        <v>27129</v>
      </c>
      <c r="O581" s="30" t="s">
        <v>6249</v>
      </c>
      <c r="P581" s="30" t="s">
        <v>27770</v>
      </c>
      <c r="Q581" s="30" t="s">
        <v>26242</v>
      </c>
      <c r="R581" s="30" t="s">
        <v>26057</v>
      </c>
      <c r="S581" s="30" t="s">
        <v>27783</v>
      </c>
      <c r="T581" s="30" t="s">
        <v>27784</v>
      </c>
      <c r="U581" s="30"/>
      <c r="V581" s="139" t="s">
        <v>9334</v>
      </c>
      <c r="W581" s="30" t="s">
        <v>655</v>
      </c>
      <c r="X581" s="30" t="s">
        <v>194</v>
      </c>
      <c r="Y581" s="30" t="s">
        <v>9300</v>
      </c>
      <c r="Z581" s="30"/>
      <c r="AA581" s="30"/>
      <c r="AB581" s="30" t="s">
        <v>9311</v>
      </c>
      <c r="AC581" s="30"/>
      <c r="AD581" s="30"/>
      <c r="AE581" s="30"/>
      <c r="AF581" s="30"/>
      <c r="AG581" s="30"/>
      <c r="AH581" s="30" t="s">
        <v>4714</v>
      </c>
      <c r="AI581" s="30" t="s">
        <v>9433</v>
      </c>
      <c r="AJ581" s="641" t="str">
        <f t="shared" si="18"/>
        <v>332301</v>
      </c>
      <c r="AK581" s="641">
        <v>1</v>
      </c>
      <c r="AL581" s="641">
        <f t="shared" si="19"/>
        <v>1</v>
      </c>
      <c r="AM581" s="641">
        <v>1</v>
      </c>
      <c r="AN581" s="30" t="s">
        <v>17650</v>
      </c>
      <c r="AO581" s="30" t="s">
        <v>17651</v>
      </c>
      <c r="AP581" s="30" t="s">
        <v>17652</v>
      </c>
      <c r="AQ581" s="30" t="s">
        <v>17653</v>
      </c>
      <c r="AR581" s="30" t="s">
        <v>1024</v>
      </c>
      <c r="AS581" s="30">
        <v>1</v>
      </c>
    </row>
    <row r="582" spans="1:45" x14ac:dyDescent="0.25">
      <c r="A582" s="30" t="s">
        <v>26153</v>
      </c>
      <c r="B582" s="30" t="s">
        <v>27298</v>
      </c>
      <c r="C582" s="30" t="s">
        <v>10</v>
      </c>
      <c r="D582" s="139" t="s">
        <v>26375</v>
      </c>
      <c r="E582" s="30" t="s">
        <v>217</v>
      </c>
      <c r="F582" s="30">
        <v>1</v>
      </c>
      <c r="G582" s="30" t="s">
        <v>193</v>
      </c>
      <c r="H582" s="30" t="s">
        <v>194</v>
      </c>
      <c r="I582" s="30" t="s">
        <v>27277</v>
      </c>
      <c r="J582" s="30" t="s">
        <v>210</v>
      </c>
      <c r="K582" s="30" t="s">
        <v>9309</v>
      </c>
      <c r="L582" s="30" t="s">
        <v>6955</v>
      </c>
      <c r="M582" s="30"/>
      <c r="N582" s="30" t="s">
        <v>27299</v>
      </c>
      <c r="O582" s="30" t="s">
        <v>6261</v>
      </c>
      <c r="P582" s="30" t="s">
        <v>27770</v>
      </c>
      <c r="Q582" s="30" t="s">
        <v>25893</v>
      </c>
      <c r="R582" s="30" t="s">
        <v>27300</v>
      </c>
      <c r="S582" s="30" t="s">
        <v>27785</v>
      </c>
      <c r="T582" s="30" t="s">
        <v>27786</v>
      </c>
      <c r="U582" s="30"/>
      <c r="V582" s="139" t="s">
        <v>9334</v>
      </c>
      <c r="W582" s="30" t="s">
        <v>484</v>
      </c>
      <c r="X582" s="30" t="s">
        <v>194</v>
      </c>
      <c r="Y582" s="30" t="s">
        <v>9300</v>
      </c>
      <c r="Z582" s="30"/>
      <c r="AA582" s="30"/>
      <c r="AB582" s="30" t="s">
        <v>9311</v>
      </c>
      <c r="AC582" s="30"/>
      <c r="AD582" s="30"/>
      <c r="AE582" s="30"/>
      <c r="AF582" s="30"/>
      <c r="AG582" s="30"/>
      <c r="AH582" s="30" t="s">
        <v>4714</v>
      </c>
      <c r="AI582" s="30" t="s">
        <v>9433</v>
      </c>
      <c r="AJ582" s="641" t="str">
        <f t="shared" si="18"/>
        <v>251401</v>
      </c>
      <c r="AK582" s="641">
        <v>1</v>
      </c>
      <c r="AL582" s="641">
        <f t="shared" si="19"/>
        <v>1</v>
      </c>
      <c r="AM582" s="641">
        <v>1</v>
      </c>
      <c r="AN582" s="30" t="s">
        <v>17650</v>
      </c>
      <c r="AO582" s="30" t="s">
        <v>17651</v>
      </c>
      <c r="AP582" s="30" t="s">
        <v>17652</v>
      </c>
      <c r="AQ582" s="30" t="s">
        <v>17653</v>
      </c>
      <c r="AR582" s="30" t="s">
        <v>1024</v>
      </c>
      <c r="AS582" s="30">
        <v>1</v>
      </c>
    </row>
    <row r="583" spans="1:45" x14ac:dyDescent="0.25">
      <c r="A583" s="30" t="s">
        <v>716</v>
      </c>
      <c r="B583" s="30" t="s">
        <v>27307</v>
      </c>
      <c r="C583" s="30" t="s">
        <v>706</v>
      </c>
      <c r="D583" s="139" t="s">
        <v>26375</v>
      </c>
      <c r="E583" s="30" t="s">
        <v>217</v>
      </c>
      <c r="F583" s="30">
        <v>1</v>
      </c>
      <c r="G583" s="30" t="s">
        <v>193</v>
      </c>
      <c r="H583" s="30" t="s">
        <v>194</v>
      </c>
      <c r="I583" s="30" t="s">
        <v>27277</v>
      </c>
      <c r="J583" s="30" t="s">
        <v>210</v>
      </c>
      <c r="K583" s="30" t="s">
        <v>9309</v>
      </c>
      <c r="L583" s="30" t="s">
        <v>6955</v>
      </c>
      <c r="M583" s="30"/>
      <c r="N583" s="30" t="s">
        <v>27308</v>
      </c>
      <c r="O583" s="30" t="s">
        <v>6327</v>
      </c>
      <c r="P583" s="30" t="s">
        <v>27770</v>
      </c>
      <c r="Q583" s="30" t="s">
        <v>26139</v>
      </c>
      <c r="R583" s="30" t="s">
        <v>27256</v>
      </c>
      <c r="S583" s="30" t="s">
        <v>27787</v>
      </c>
      <c r="T583" s="30" t="s">
        <v>27788</v>
      </c>
      <c r="U583" s="30"/>
      <c r="V583" s="139" t="s">
        <v>9334</v>
      </c>
      <c r="W583" s="30" t="s">
        <v>707</v>
      </c>
      <c r="X583" s="30" t="s">
        <v>194</v>
      </c>
      <c r="Y583" s="30" t="s">
        <v>9300</v>
      </c>
      <c r="Z583" s="30"/>
      <c r="AA583" s="30"/>
      <c r="AB583" s="30" t="s">
        <v>9311</v>
      </c>
      <c r="AC583" s="30"/>
      <c r="AD583" s="30"/>
      <c r="AE583" s="30"/>
      <c r="AF583" s="30"/>
      <c r="AG583" s="30"/>
      <c r="AH583" s="30" t="s">
        <v>4714</v>
      </c>
      <c r="AI583" s="30" t="s">
        <v>9433</v>
      </c>
      <c r="AJ583" s="641" t="str">
        <f t="shared" si="18"/>
        <v>422201</v>
      </c>
      <c r="AK583" s="641">
        <v>1</v>
      </c>
      <c r="AL583" s="641">
        <f t="shared" si="19"/>
        <v>1</v>
      </c>
      <c r="AM583" s="641">
        <v>1</v>
      </c>
      <c r="AN583" s="30" t="s">
        <v>17650</v>
      </c>
      <c r="AO583" s="30" t="s">
        <v>17651</v>
      </c>
      <c r="AP583" s="30" t="s">
        <v>17652</v>
      </c>
      <c r="AQ583" s="30" t="s">
        <v>17653</v>
      </c>
      <c r="AR583" s="30" t="s">
        <v>1024</v>
      </c>
      <c r="AS583" s="30">
        <v>1</v>
      </c>
    </row>
    <row r="584" spans="1:45" x14ac:dyDescent="0.25">
      <c r="A584" s="30" t="s">
        <v>716</v>
      </c>
      <c r="B584" s="30" t="s">
        <v>27044</v>
      </c>
      <c r="C584" s="30" t="s">
        <v>706</v>
      </c>
      <c r="D584" s="139" t="s">
        <v>26375</v>
      </c>
      <c r="E584" s="30" t="s">
        <v>217</v>
      </c>
      <c r="F584" s="30">
        <v>1</v>
      </c>
      <c r="G584" s="30" t="s">
        <v>193</v>
      </c>
      <c r="H584" s="30" t="s">
        <v>194</v>
      </c>
      <c r="I584" s="30" t="s">
        <v>27277</v>
      </c>
      <c r="J584" s="30" t="s">
        <v>210</v>
      </c>
      <c r="K584" s="30" t="s">
        <v>9309</v>
      </c>
      <c r="L584" s="30" t="s">
        <v>6955</v>
      </c>
      <c r="M584" s="30"/>
      <c r="N584" s="30" t="s">
        <v>27045</v>
      </c>
      <c r="O584" s="30" t="s">
        <v>6251</v>
      </c>
      <c r="P584" s="30" t="s">
        <v>27770</v>
      </c>
      <c r="Q584" s="30" t="s">
        <v>26881</v>
      </c>
      <c r="R584" s="30" t="s">
        <v>26882</v>
      </c>
      <c r="S584" s="30" t="s">
        <v>27789</v>
      </c>
      <c r="T584" s="30" t="s">
        <v>27790</v>
      </c>
      <c r="U584" s="30"/>
      <c r="V584" s="139" t="s">
        <v>9334</v>
      </c>
      <c r="W584" s="30" t="s">
        <v>707</v>
      </c>
      <c r="X584" s="30" t="s">
        <v>194</v>
      </c>
      <c r="Y584" s="30" t="s">
        <v>9300</v>
      </c>
      <c r="Z584" s="30"/>
      <c r="AA584" s="30"/>
      <c r="AB584" s="30" t="s">
        <v>9311</v>
      </c>
      <c r="AC584" s="30"/>
      <c r="AD584" s="30"/>
      <c r="AE584" s="30"/>
      <c r="AF584" s="30"/>
      <c r="AG584" s="30"/>
      <c r="AH584" s="30" t="s">
        <v>4714</v>
      </c>
      <c r="AI584" s="30" t="s">
        <v>9433</v>
      </c>
      <c r="AJ584" s="641" t="str">
        <f t="shared" si="18"/>
        <v>422201</v>
      </c>
      <c r="AK584" s="641">
        <v>1</v>
      </c>
      <c r="AL584" s="641">
        <f t="shared" si="19"/>
        <v>1</v>
      </c>
      <c r="AM584" s="641">
        <v>1</v>
      </c>
      <c r="AN584" s="30" t="s">
        <v>17650</v>
      </c>
      <c r="AO584" s="30" t="s">
        <v>17651</v>
      </c>
      <c r="AP584" s="30" t="s">
        <v>17652</v>
      </c>
      <c r="AQ584" s="30" t="s">
        <v>17653</v>
      </c>
      <c r="AR584" s="30" t="s">
        <v>1024</v>
      </c>
      <c r="AS584" s="30">
        <v>1</v>
      </c>
    </row>
    <row r="585" spans="1:45" x14ac:dyDescent="0.25">
      <c r="A585" s="30" t="s">
        <v>716</v>
      </c>
      <c r="B585" s="30" t="s">
        <v>26902</v>
      </c>
      <c r="C585" s="30" t="s">
        <v>706</v>
      </c>
      <c r="D585" s="139" t="s">
        <v>26375</v>
      </c>
      <c r="E585" s="30" t="s">
        <v>217</v>
      </c>
      <c r="F585" s="30">
        <v>1</v>
      </c>
      <c r="G585" s="30" t="s">
        <v>193</v>
      </c>
      <c r="H585" s="30" t="s">
        <v>194</v>
      </c>
      <c r="I585" s="30" t="s">
        <v>27277</v>
      </c>
      <c r="J585" s="30" t="s">
        <v>210</v>
      </c>
      <c r="K585" s="30" t="s">
        <v>9309</v>
      </c>
      <c r="L585" s="30" t="s">
        <v>6955</v>
      </c>
      <c r="M585" s="30"/>
      <c r="N585" s="30" t="s">
        <v>27791</v>
      </c>
      <c r="O585" s="30" t="s">
        <v>6251</v>
      </c>
      <c r="P585" s="30" t="s">
        <v>27770</v>
      </c>
      <c r="Q585" s="30" t="s">
        <v>26190</v>
      </c>
      <c r="R585" s="30" t="s">
        <v>27792</v>
      </c>
      <c r="S585" s="30" t="s">
        <v>27793</v>
      </c>
      <c r="T585" s="30" t="s">
        <v>27794</v>
      </c>
      <c r="U585" s="30"/>
      <c r="V585" s="139" t="s">
        <v>9334</v>
      </c>
      <c r="W585" s="30" t="s">
        <v>707</v>
      </c>
      <c r="X585" s="30" t="s">
        <v>194</v>
      </c>
      <c r="Y585" s="30" t="s">
        <v>9300</v>
      </c>
      <c r="Z585" s="30"/>
      <c r="AA585" s="30"/>
      <c r="AB585" s="30" t="s">
        <v>9311</v>
      </c>
      <c r="AC585" s="30"/>
      <c r="AD585" s="30"/>
      <c r="AE585" s="30"/>
      <c r="AF585" s="30"/>
      <c r="AG585" s="30"/>
      <c r="AH585" s="30" t="s">
        <v>4714</v>
      </c>
      <c r="AI585" s="30" t="s">
        <v>9433</v>
      </c>
      <c r="AJ585" s="641" t="str">
        <f t="shared" si="18"/>
        <v>422201</v>
      </c>
      <c r="AK585" s="641">
        <v>1</v>
      </c>
      <c r="AL585" s="641">
        <f t="shared" si="19"/>
        <v>1</v>
      </c>
      <c r="AM585" s="641">
        <v>1</v>
      </c>
      <c r="AN585" s="30" t="s">
        <v>17650</v>
      </c>
      <c r="AO585" s="30" t="s">
        <v>17651</v>
      </c>
      <c r="AP585" s="30" t="s">
        <v>17652</v>
      </c>
      <c r="AQ585" s="30" t="s">
        <v>17653</v>
      </c>
      <c r="AR585" s="30" t="s">
        <v>1024</v>
      </c>
      <c r="AS585" s="30">
        <v>1</v>
      </c>
    </row>
    <row r="586" spans="1:45" x14ac:dyDescent="0.25">
      <c r="A586" s="30" t="s">
        <v>27795</v>
      </c>
      <c r="B586" s="30" t="s">
        <v>27796</v>
      </c>
      <c r="C586" s="30" t="s">
        <v>80</v>
      </c>
      <c r="D586" s="139" t="s">
        <v>26375</v>
      </c>
      <c r="E586" s="30" t="s">
        <v>217</v>
      </c>
      <c r="F586" s="30">
        <v>1</v>
      </c>
      <c r="G586" s="30" t="s">
        <v>193</v>
      </c>
      <c r="H586" s="30" t="s">
        <v>194</v>
      </c>
      <c r="I586" s="30" t="s">
        <v>27277</v>
      </c>
      <c r="J586" s="30" t="s">
        <v>27797</v>
      </c>
      <c r="K586" s="30" t="s">
        <v>9309</v>
      </c>
      <c r="L586" s="30" t="s">
        <v>6955</v>
      </c>
      <c r="M586" s="30"/>
      <c r="N586" s="30" t="s">
        <v>27798</v>
      </c>
      <c r="O586" s="30" t="s">
        <v>6277</v>
      </c>
      <c r="P586" s="30" t="s">
        <v>27770</v>
      </c>
      <c r="Q586" s="30" t="s">
        <v>26182</v>
      </c>
      <c r="R586" s="30" t="s">
        <v>26183</v>
      </c>
      <c r="S586" s="30" t="s">
        <v>27799</v>
      </c>
      <c r="T586" s="30" t="s">
        <v>27800</v>
      </c>
      <c r="U586" s="139"/>
      <c r="V586" s="139" t="s">
        <v>28321</v>
      </c>
      <c r="W586" s="30" t="s">
        <v>474</v>
      </c>
      <c r="X586" s="30" t="s">
        <v>193</v>
      </c>
      <c r="Y586" s="30" t="s">
        <v>9310</v>
      </c>
      <c r="Z586" s="30"/>
      <c r="AA586" s="30"/>
      <c r="AB586" s="30" t="s">
        <v>9311</v>
      </c>
      <c r="AC586" s="30"/>
      <c r="AD586" s="30"/>
      <c r="AE586" s="30"/>
      <c r="AF586" s="30"/>
      <c r="AG586" s="30"/>
      <c r="AH586" s="30" t="s">
        <v>4714</v>
      </c>
      <c r="AI586" s="30" t="s">
        <v>9433</v>
      </c>
      <c r="AJ586" s="641" t="str">
        <f t="shared" si="18"/>
        <v>243304</v>
      </c>
      <c r="AK586" s="641">
        <v>1</v>
      </c>
      <c r="AL586" s="641">
        <f t="shared" si="19"/>
        <v>1</v>
      </c>
      <c r="AM586" s="641">
        <v>1</v>
      </c>
      <c r="AN586" s="30" t="s">
        <v>17650</v>
      </c>
      <c r="AO586" s="30" t="s">
        <v>17651</v>
      </c>
      <c r="AP586" s="30" t="s">
        <v>17652</v>
      </c>
      <c r="AQ586" s="30" t="s">
        <v>17653</v>
      </c>
      <c r="AR586" s="30" t="s">
        <v>1024</v>
      </c>
      <c r="AS586" s="30">
        <v>1</v>
      </c>
    </row>
    <row r="587" spans="1:45" x14ac:dyDescent="0.25">
      <c r="A587" s="30" t="s">
        <v>581</v>
      </c>
      <c r="B587" s="30" t="s">
        <v>27801</v>
      </c>
      <c r="C587" s="30" t="s">
        <v>43</v>
      </c>
      <c r="D587" s="139" t="s">
        <v>26375</v>
      </c>
      <c r="E587" s="30" t="s">
        <v>217</v>
      </c>
      <c r="F587" s="30">
        <v>1</v>
      </c>
      <c r="G587" s="30" t="s">
        <v>193</v>
      </c>
      <c r="H587" s="30" t="s">
        <v>194</v>
      </c>
      <c r="I587" s="30" t="s">
        <v>27277</v>
      </c>
      <c r="J587" s="30" t="s">
        <v>1829</v>
      </c>
      <c r="K587" s="30" t="s">
        <v>9309</v>
      </c>
      <c r="L587" s="30" t="s">
        <v>6955</v>
      </c>
      <c r="M587" s="30"/>
      <c r="N587" s="30" t="s">
        <v>27802</v>
      </c>
      <c r="O587" s="30" t="s">
        <v>6251</v>
      </c>
      <c r="P587" s="30" t="s">
        <v>27770</v>
      </c>
      <c r="Q587" s="30" t="s">
        <v>26079</v>
      </c>
      <c r="R587" s="30" t="s">
        <v>27340</v>
      </c>
      <c r="S587" s="30" t="s">
        <v>27803</v>
      </c>
      <c r="T587" s="30" t="s">
        <v>27804</v>
      </c>
      <c r="U587" s="30"/>
      <c r="V587" s="139" t="s">
        <v>9726</v>
      </c>
      <c r="W587" s="30" t="s">
        <v>452</v>
      </c>
      <c r="X587" s="30" t="s">
        <v>194</v>
      </c>
      <c r="Y587" s="30" t="s">
        <v>9300</v>
      </c>
      <c r="Z587" s="30"/>
      <c r="AA587" s="30"/>
      <c r="AB587" s="30" t="s">
        <v>9311</v>
      </c>
      <c r="AC587" s="30"/>
      <c r="AD587" s="30"/>
      <c r="AE587" s="30"/>
      <c r="AF587" s="30"/>
      <c r="AG587" s="30"/>
      <c r="AH587" s="30" t="s">
        <v>4714</v>
      </c>
      <c r="AI587" s="30" t="s">
        <v>9433</v>
      </c>
      <c r="AJ587" s="641" t="str">
        <f t="shared" si="18"/>
        <v>243106</v>
      </c>
      <c r="AK587" s="641">
        <v>1</v>
      </c>
      <c r="AL587" s="641">
        <f t="shared" si="19"/>
        <v>1</v>
      </c>
      <c r="AM587" s="641">
        <v>1</v>
      </c>
      <c r="AN587" s="30" t="s">
        <v>17650</v>
      </c>
      <c r="AO587" s="30" t="s">
        <v>17651</v>
      </c>
      <c r="AP587" s="30" t="s">
        <v>17652</v>
      </c>
      <c r="AQ587" s="30" t="s">
        <v>17653</v>
      </c>
      <c r="AR587" s="30" t="s">
        <v>1024</v>
      </c>
      <c r="AS587" s="30">
        <v>1</v>
      </c>
    </row>
    <row r="588" spans="1:45" x14ac:dyDescent="0.25">
      <c r="A588" s="30" t="s">
        <v>26153</v>
      </c>
      <c r="B588" s="30" t="s">
        <v>26477</v>
      </c>
      <c r="C588" s="30" t="s">
        <v>2861</v>
      </c>
      <c r="D588" s="139" t="s">
        <v>26375</v>
      </c>
      <c r="E588" s="30" t="s">
        <v>217</v>
      </c>
      <c r="F588" s="30">
        <v>1</v>
      </c>
      <c r="G588" s="30" t="s">
        <v>193</v>
      </c>
      <c r="H588" s="30" t="s">
        <v>194</v>
      </c>
      <c r="I588" s="30" t="s">
        <v>23198</v>
      </c>
      <c r="J588" s="30" t="s">
        <v>210</v>
      </c>
      <c r="K588" s="30" t="s">
        <v>9309</v>
      </c>
      <c r="L588" s="30" t="s">
        <v>6955</v>
      </c>
      <c r="M588" s="30"/>
      <c r="N588" s="30" t="s">
        <v>26478</v>
      </c>
      <c r="O588" s="30" t="s">
        <v>6261</v>
      </c>
      <c r="P588" s="30" t="s">
        <v>27805</v>
      </c>
      <c r="Q588" s="30" t="s">
        <v>26092</v>
      </c>
      <c r="R588" s="30" t="s">
        <v>27806</v>
      </c>
      <c r="S588" s="30" t="s">
        <v>27807</v>
      </c>
      <c r="T588" s="30" t="s">
        <v>27808</v>
      </c>
      <c r="U588" s="30"/>
      <c r="V588" s="139" t="s">
        <v>9334</v>
      </c>
      <c r="W588" s="30" t="s">
        <v>3629</v>
      </c>
      <c r="X588" s="30" t="s">
        <v>194</v>
      </c>
      <c r="Y588" s="30" t="s">
        <v>9300</v>
      </c>
      <c r="Z588" s="30"/>
      <c r="AA588" s="30"/>
      <c r="AB588" s="30" t="s">
        <v>9311</v>
      </c>
      <c r="AC588" s="30"/>
      <c r="AD588" s="30"/>
      <c r="AE588" s="30"/>
      <c r="AF588" s="30"/>
      <c r="AG588" s="30"/>
      <c r="AH588" s="30" t="s">
        <v>4714</v>
      </c>
      <c r="AI588" s="30" t="s">
        <v>9433</v>
      </c>
      <c r="AJ588" s="641" t="str">
        <f t="shared" si="18"/>
        <v>251903</v>
      </c>
      <c r="AK588" s="641">
        <v>1</v>
      </c>
      <c r="AL588" s="641">
        <f t="shared" si="19"/>
        <v>1</v>
      </c>
      <c r="AM588" s="641">
        <v>1</v>
      </c>
      <c r="AN588" s="30" t="s">
        <v>17650</v>
      </c>
      <c r="AO588" s="30" t="s">
        <v>17651</v>
      </c>
      <c r="AP588" s="30" t="s">
        <v>17652</v>
      </c>
      <c r="AQ588" s="30" t="s">
        <v>17653</v>
      </c>
      <c r="AR588" s="30" t="s">
        <v>1024</v>
      </c>
      <c r="AS588" s="30">
        <v>1</v>
      </c>
    </row>
    <row r="589" spans="1:45" x14ac:dyDescent="0.25">
      <c r="A589" s="30" t="s">
        <v>26153</v>
      </c>
      <c r="B589" s="30" t="s">
        <v>27718</v>
      </c>
      <c r="C589" s="30" t="s">
        <v>10</v>
      </c>
      <c r="D589" s="139" t="s">
        <v>26375</v>
      </c>
      <c r="E589" s="30" t="s">
        <v>217</v>
      </c>
      <c r="F589" s="30">
        <v>1</v>
      </c>
      <c r="G589" s="30" t="s">
        <v>193</v>
      </c>
      <c r="H589" s="30" t="s">
        <v>194</v>
      </c>
      <c r="I589" s="30" t="s">
        <v>23198</v>
      </c>
      <c r="J589" s="30" t="s">
        <v>210</v>
      </c>
      <c r="K589" s="30" t="s">
        <v>9309</v>
      </c>
      <c r="L589" s="30" t="s">
        <v>6955</v>
      </c>
      <c r="M589" s="30"/>
      <c r="N589" s="30" t="s">
        <v>27719</v>
      </c>
      <c r="O589" s="30" t="s">
        <v>6261</v>
      </c>
      <c r="P589" s="30" t="s">
        <v>27770</v>
      </c>
      <c r="Q589" s="30" t="s">
        <v>25893</v>
      </c>
      <c r="R589" s="30" t="s">
        <v>27300</v>
      </c>
      <c r="S589" s="30" t="s">
        <v>27809</v>
      </c>
      <c r="T589" s="30" t="s">
        <v>27810</v>
      </c>
      <c r="U589" s="30"/>
      <c r="V589" s="139" t="s">
        <v>9334</v>
      </c>
      <c r="W589" s="30" t="s">
        <v>484</v>
      </c>
      <c r="X589" s="30" t="s">
        <v>194</v>
      </c>
      <c r="Y589" s="30" t="s">
        <v>9300</v>
      </c>
      <c r="Z589" s="30"/>
      <c r="AA589" s="30"/>
      <c r="AB589" s="30" t="s">
        <v>9311</v>
      </c>
      <c r="AC589" s="30"/>
      <c r="AD589" s="30"/>
      <c r="AE589" s="30"/>
      <c r="AF589" s="30"/>
      <c r="AG589" s="30"/>
      <c r="AH589" s="30" t="s">
        <v>4714</v>
      </c>
      <c r="AI589" s="30" t="s">
        <v>9433</v>
      </c>
      <c r="AJ589" s="641" t="str">
        <f t="shared" si="18"/>
        <v>251401</v>
      </c>
      <c r="AK589" s="641">
        <v>1</v>
      </c>
      <c r="AL589" s="641">
        <f t="shared" si="19"/>
        <v>1</v>
      </c>
      <c r="AM589" s="641">
        <v>1</v>
      </c>
      <c r="AN589" s="30" t="s">
        <v>17650</v>
      </c>
      <c r="AO589" s="30" t="s">
        <v>17651</v>
      </c>
      <c r="AP589" s="30" t="s">
        <v>17652</v>
      </c>
      <c r="AQ589" s="30" t="s">
        <v>17653</v>
      </c>
      <c r="AR589" s="30" t="s">
        <v>1024</v>
      </c>
      <c r="AS589" s="30">
        <v>1</v>
      </c>
    </row>
    <row r="590" spans="1:45" x14ac:dyDescent="0.25">
      <c r="A590" s="30" t="s">
        <v>716</v>
      </c>
      <c r="B590" s="30" t="s">
        <v>27331</v>
      </c>
      <c r="C590" s="30" t="s">
        <v>706</v>
      </c>
      <c r="D590" s="139" t="s">
        <v>26375</v>
      </c>
      <c r="E590" s="30" t="s">
        <v>217</v>
      </c>
      <c r="F590" s="30">
        <v>1</v>
      </c>
      <c r="G590" s="30" t="s">
        <v>193</v>
      </c>
      <c r="H590" s="30" t="s">
        <v>194</v>
      </c>
      <c r="I590" s="30" t="s">
        <v>27277</v>
      </c>
      <c r="J590" s="30" t="s">
        <v>210</v>
      </c>
      <c r="K590" s="30" t="s">
        <v>9309</v>
      </c>
      <c r="L590" s="30" t="s">
        <v>6955</v>
      </c>
      <c r="M590" s="30"/>
      <c r="N590" s="30" t="s">
        <v>27586</v>
      </c>
      <c r="O590" s="30" t="s">
        <v>6251</v>
      </c>
      <c r="P590" s="30" t="s">
        <v>27770</v>
      </c>
      <c r="Q590" s="30" t="s">
        <v>26109</v>
      </c>
      <c r="R590" s="30" t="s">
        <v>27328</v>
      </c>
      <c r="S590" s="30" t="s">
        <v>27811</v>
      </c>
      <c r="T590" s="30" t="s">
        <v>27812</v>
      </c>
      <c r="U590" s="30"/>
      <c r="V590" s="139" t="s">
        <v>9334</v>
      </c>
      <c r="W590" s="30" t="s">
        <v>707</v>
      </c>
      <c r="X590" s="30" t="s">
        <v>194</v>
      </c>
      <c r="Y590" s="30" t="s">
        <v>9300</v>
      </c>
      <c r="Z590" s="30"/>
      <c r="AA590" s="30"/>
      <c r="AB590" s="30" t="s">
        <v>9311</v>
      </c>
      <c r="AC590" s="30"/>
      <c r="AD590" s="30"/>
      <c r="AE590" s="30"/>
      <c r="AF590" s="30"/>
      <c r="AG590" s="30"/>
      <c r="AH590" s="30" t="s">
        <v>4714</v>
      </c>
      <c r="AI590" s="30" t="s">
        <v>9433</v>
      </c>
      <c r="AJ590" s="641" t="str">
        <f t="shared" si="18"/>
        <v>422201</v>
      </c>
      <c r="AK590" s="641">
        <v>1</v>
      </c>
      <c r="AL590" s="641">
        <f t="shared" si="19"/>
        <v>1</v>
      </c>
      <c r="AM590" s="641">
        <v>1</v>
      </c>
      <c r="AN590" s="30" t="s">
        <v>17650</v>
      </c>
      <c r="AO590" s="30" t="s">
        <v>17651</v>
      </c>
      <c r="AP590" s="30" t="s">
        <v>17652</v>
      </c>
      <c r="AQ590" s="30" t="s">
        <v>17653</v>
      </c>
      <c r="AR590" s="30" t="s">
        <v>1024</v>
      </c>
      <c r="AS590" s="30">
        <v>1</v>
      </c>
    </row>
    <row r="591" spans="1:45" x14ac:dyDescent="0.25">
      <c r="A591" s="30" t="s">
        <v>716</v>
      </c>
      <c r="B591" s="30" t="s">
        <v>27813</v>
      </c>
      <c r="C591" s="30" t="s">
        <v>27</v>
      </c>
      <c r="D591" s="139" t="s">
        <v>26375</v>
      </c>
      <c r="E591" s="30" t="s">
        <v>217</v>
      </c>
      <c r="F591" s="30">
        <v>1</v>
      </c>
      <c r="G591" s="30" t="s">
        <v>193</v>
      </c>
      <c r="H591" s="30" t="s">
        <v>194</v>
      </c>
      <c r="I591" s="30" t="s">
        <v>27277</v>
      </c>
      <c r="J591" s="30" t="s">
        <v>210</v>
      </c>
      <c r="K591" s="30" t="s">
        <v>9309</v>
      </c>
      <c r="L591" s="30" t="s">
        <v>6955</v>
      </c>
      <c r="M591" s="30"/>
      <c r="N591" s="30" t="s">
        <v>27814</v>
      </c>
      <c r="O591" s="30" t="s">
        <v>6327</v>
      </c>
      <c r="P591" s="30" t="s">
        <v>27770</v>
      </c>
      <c r="Q591" s="30" t="s">
        <v>26079</v>
      </c>
      <c r="R591" s="30" t="s">
        <v>26077</v>
      </c>
      <c r="S591" s="30" t="s">
        <v>27815</v>
      </c>
      <c r="T591" s="30" t="s">
        <v>27816</v>
      </c>
      <c r="U591" s="30"/>
      <c r="V591" s="139" t="s">
        <v>9334</v>
      </c>
      <c r="W591" s="30" t="s">
        <v>440</v>
      </c>
      <c r="X591" s="30" t="s">
        <v>194</v>
      </c>
      <c r="Y591" s="30" t="s">
        <v>9300</v>
      </c>
      <c r="Z591" s="30"/>
      <c r="AA591" s="30"/>
      <c r="AB591" s="30" t="s">
        <v>9311</v>
      </c>
      <c r="AC591" s="30"/>
      <c r="AD591" s="30"/>
      <c r="AE591" s="30"/>
      <c r="AF591" s="30"/>
      <c r="AG591" s="30"/>
      <c r="AH591" s="30" t="s">
        <v>4714</v>
      </c>
      <c r="AI591" s="30" t="s">
        <v>9433</v>
      </c>
      <c r="AJ591" s="641" t="str">
        <f t="shared" si="18"/>
        <v>242307</v>
      </c>
      <c r="AK591" s="641">
        <v>1</v>
      </c>
      <c r="AL591" s="641">
        <f t="shared" si="19"/>
        <v>1</v>
      </c>
      <c r="AM591" s="641">
        <v>1</v>
      </c>
      <c r="AN591" s="30" t="s">
        <v>17650</v>
      </c>
      <c r="AO591" s="30" t="s">
        <v>17651</v>
      </c>
      <c r="AP591" s="30" t="s">
        <v>17652</v>
      </c>
      <c r="AQ591" s="30" t="s">
        <v>17653</v>
      </c>
      <c r="AR591" s="30" t="s">
        <v>1024</v>
      </c>
      <c r="AS591" s="30">
        <v>1</v>
      </c>
    </row>
    <row r="592" spans="1:45" x14ac:dyDescent="0.25">
      <c r="A592" s="30" t="s">
        <v>26153</v>
      </c>
      <c r="B592" s="30" t="s">
        <v>26579</v>
      </c>
      <c r="C592" s="30" t="s">
        <v>2861</v>
      </c>
      <c r="D592" s="139" t="s">
        <v>26375</v>
      </c>
      <c r="E592" s="30" t="s">
        <v>217</v>
      </c>
      <c r="F592" s="30">
        <v>1</v>
      </c>
      <c r="G592" s="30" t="s">
        <v>193</v>
      </c>
      <c r="H592" s="30" t="s">
        <v>194</v>
      </c>
      <c r="I592" s="30" t="s">
        <v>23198</v>
      </c>
      <c r="J592" s="30" t="s">
        <v>210</v>
      </c>
      <c r="K592" s="30" t="s">
        <v>9309</v>
      </c>
      <c r="L592" s="30" t="s">
        <v>6955</v>
      </c>
      <c r="M592" s="30"/>
      <c r="N592" s="30" t="s">
        <v>27132</v>
      </c>
      <c r="O592" s="30" t="s">
        <v>6261</v>
      </c>
      <c r="P592" s="30" t="s">
        <v>27770</v>
      </c>
      <c r="Q592" s="30" t="s">
        <v>26056</v>
      </c>
      <c r="R592" s="30" t="s">
        <v>23128</v>
      </c>
      <c r="S592" s="30" t="s">
        <v>27817</v>
      </c>
      <c r="T592" s="30" t="s">
        <v>27818</v>
      </c>
      <c r="U592" s="30"/>
      <c r="V592" s="139" t="s">
        <v>9334</v>
      </c>
      <c r="W592" s="30" t="s">
        <v>3629</v>
      </c>
      <c r="X592" s="30" t="s">
        <v>194</v>
      </c>
      <c r="Y592" s="30" t="s">
        <v>9300</v>
      </c>
      <c r="Z592" s="30"/>
      <c r="AA592" s="30"/>
      <c r="AB592" s="30" t="s">
        <v>9311</v>
      </c>
      <c r="AC592" s="30"/>
      <c r="AD592" s="30"/>
      <c r="AE592" s="30"/>
      <c r="AF592" s="30"/>
      <c r="AG592" s="30"/>
      <c r="AH592" s="30" t="s">
        <v>4714</v>
      </c>
      <c r="AI592" s="30" t="s">
        <v>9433</v>
      </c>
      <c r="AJ592" s="641" t="str">
        <f t="shared" si="18"/>
        <v>251903</v>
      </c>
      <c r="AK592" s="641">
        <v>1</v>
      </c>
      <c r="AL592" s="641">
        <f t="shared" si="19"/>
        <v>1</v>
      </c>
      <c r="AM592" s="641">
        <v>1</v>
      </c>
      <c r="AN592" s="30" t="s">
        <v>17650</v>
      </c>
      <c r="AO592" s="30" t="s">
        <v>17651</v>
      </c>
      <c r="AP592" s="30" t="s">
        <v>17652</v>
      </c>
      <c r="AQ592" s="30" t="s">
        <v>17653</v>
      </c>
      <c r="AR592" s="30" t="s">
        <v>1024</v>
      </c>
      <c r="AS592" s="30">
        <v>1</v>
      </c>
    </row>
    <row r="593" spans="1:45" x14ac:dyDescent="0.25">
      <c r="A593" s="30" t="s">
        <v>26153</v>
      </c>
      <c r="B593" s="30" t="s">
        <v>23921</v>
      </c>
      <c r="C593" s="30" t="s">
        <v>10</v>
      </c>
      <c r="D593" s="139" t="s">
        <v>26375</v>
      </c>
      <c r="E593" s="30" t="s">
        <v>217</v>
      </c>
      <c r="F593" s="30">
        <v>1</v>
      </c>
      <c r="G593" s="30" t="s">
        <v>193</v>
      </c>
      <c r="H593" s="30" t="s">
        <v>194</v>
      </c>
      <c r="I593" s="30" t="s">
        <v>23198</v>
      </c>
      <c r="J593" s="30" t="s">
        <v>210</v>
      </c>
      <c r="K593" s="30" t="s">
        <v>9309</v>
      </c>
      <c r="L593" s="30" t="s">
        <v>6955</v>
      </c>
      <c r="M593" s="30"/>
      <c r="N593" s="30" t="s">
        <v>26866</v>
      </c>
      <c r="O593" s="30" t="s">
        <v>6261</v>
      </c>
      <c r="P593" s="30" t="s">
        <v>27770</v>
      </c>
      <c r="Q593" s="30" t="s">
        <v>26056</v>
      </c>
      <c r="R593" s="30" t="s">
        <v>23128</v>
      </c>
      <c r="S593" s="30" t="s">
        <v>27819</v>
      </c>
      <c r="T593" s="30" t="s">
        <v>27820</v>
      </c>
      <c r="U593" s="30"/>
      <c r="V593" s="139" t="s">
        <v>9334</v>
      </c>
      <c r="W593" s="30" t="s">
        <v>484</v>
      </c>
      <c r="X593" s="30" t="s">
        <v>194</v>
      </c>
      <c r="Y593" s="30" t="s">
        <v>9300</v>
      </c>
      <c r="Z593" s="30"/>
      <c r="AA593" s="30"/>
      <c r="AB593" s="30" t="s">
        <v>9311</v>
      </c>
      <c r="AC593" s="30"/>
      <c r="AD593" s="30"/>
      <c r="AE593" s="30"/>
      <c r="AF593" s="30"/>
      <c r="AG593" s="30"/>
      <c r="AH593" s="30" t="s">
        <v>4714</v>
      </c>
      <c r="AI593" s="30" t="s">
        <v>9433</v>
      </c>
      <c r="AJ593" s="641" t="str">
        <f t="shared" si="18"/>
        <v>251401</v>
      </c>
      <c r="AK593" s="641">
        <v>1</v>
      </c>
      <c r="AL593" s="641">
        <f t="shared" si="19"/>
        <v>1</v>
      </c>
      <c r="AM593" s="641">
        <v>1</v>
      </c>
      <c r="AN593" s="30" t="s">
        <v>17650</v>
      </c>
      <c r="AO593" s="30" t="s">
        <v>17651</v>
      </c>
      <c r="AP593" s="30" t="s">
        <v>17652</v>
      </c>
      <c r="AQ593" s="30" t="s">
        <v>17653</v>
      </c>
      <c r="AR593" s="30" t="s">
        <v>1024</v>
      </c>
      <c r="AS593" s="30">
        <v>1</v>
      </c>
    </row>
    <row r="594" spans="1:45" x14ac:dyDescent="0.25">
      <c r="A594" s="30" t="s">
        <v>716</v>
      </c>
      <c r="B594" s="30" t="s">
        <v>27098</v>
      </c>
      <c r="C594" s="30" t="s">
        <v>706</v>
      </c>
      <c r="D594" s="139" t="s">
        <v>26375</v>
      </c>
      <c r="E594" s="30" t="s">
        <v>217</v>
      </c>
      <c r="F594" s="30">
        <v>1</v>
      </c>
      <c r="G594" s="30" t="s">
        <v>193</v>
      </c>
      <c r="H594" s="30" t="s">
        <v>194</v>
      </c>
      <c r="I594" s="30" t="s">
        <v>27277</v>
      </c>
      <c r="J594" s="30" t="s">
        <v>210</v>
      </c>
      <c r="K594" s="30" t="s">
        <v>9309</v>
      </c>
      <c r="L594" s="30" t="s">
        <v>6955</v>
      </c>
      <c r="M594" s="30"/>
      <c r="N594" s="30" t="s">
        <v>27611</v>
      </c>
      <c r="O594" s="30" t="s">
        <v>6286</v>
      </c>
      <c r="P594" s="30" t="s">
        <v>27770</v>
      </c>
      <c r="Q594" s="30" t="s">
        <v>24551</v>
      </c>
      <c r="R594" s="30" t="s">
        <v>27361</v>
      </c>
      <c r="S594" s="30" t="s">
        <v>27821</v>
      </c>
      <c r="T594" s="30" t="s">
        <v>27822</v>
      </c>
      <c r="U594" s="30"/>
      <c r="V594" s="139" t="s">
        <v>9334</v>
      </c>
      <c r="W594" s="30" t="s">
        <v>707</v>
      </c>
      <c r="X594" s="30" t="s">
        <v>194</v>
      </c>
      <c r="Y594" s="30" t="s">
        <v>9300</v>
      </c>
      <c r="Z594" s="30"/>
      <c r="AA594" s="30"/>
      <c r="AB594" s="30" t="s">
        <v>9311</v>
      </c>
      <c r="AC594" s="30"/>
      <c r="AD594" s="30"/>
      <c r="AE594" s="30"/>
      <c r="AF594" s="30"/>
      <c r="AG594" s="30"/>
      <c r="AH594" s="30" t="s">
        <v>4714</v>
      </c>
      <c r="AI594" s="30" t="s">
        <v>9433</v>
      </c>
      <c r="AJ594" s="641" t="str">
        <f t="shared" si="18"/>
        <v>422201</v>
      </c>
      <c r="AK594" s="641">
        <v>1</v>
      </c>
      <c r="AL594" s="641">
        <f t="shared" si="19"/>
        <v>1</v>
      </c>
      <c r="AM594" s="641">
        <v>1</v>
      </c>
      <c r="AN594" s="30" t="s">
        <v>17650</v>
      </c>
      <c r="AO594" s="30" t="s">
        <v>17651</v>
      </c>
      <c r="AP594" s="30" t="s">
        <v>17652</v>
      </c>
      <c r="AQ594" s="30" t="s">
        <v>17653</v>
      </c>
      <c r="AR594" s="30" t="s">
        <v>1024</v>
      </c>
      <c r="AS594" s="30">
        <v>1</v>
      </c>
    </row>
    <row r="595" spans="1:45" x14ac:dyDescent="0.25">
      <c r="A595" s="30" t="s">
        <v>716</v>
      </c>
      <c r="B595" s="30" t="s">
        <v>27823</v>
      </c>
      <c r="C595" s="30" t="s">
        <v>27</v>
      </c>
      <c r="D595" s="139" t="s">
        <v>26375</v>
      </c>
      <c r="E595" s="30" t="s">
        <v>217</v>
      </c>
      <c r="F595" s="30">
        <v>1</v>
      </c>
      <c r="G595" s="30" t="s">
        <v>193</v>
      </c>
      <c r="H595" s="30" t="s">
        <v>194</v>
      </c>
      <c r="I595" s="30" t="s">
        <v>27277</v>
      </c>
      <c r="J595" s="30" t="s">
        <v>210</v>
      </c>
      <c r="K595" s="30" t="s">
        <v>9309</v>
      </c>
      <c r="L595" s="30" t="s">
        <v>6955</v>
      </c>
      <c r="M595" s="30"/>
      <c r="N595" s="30" t="s">
        <v>27824</v>
      </c>
      <c r="O595" s="30" t="s">
        <v>6327</v>
      </c>
      <c r="P595" s="30" t="s">
        <v>27770</v>
      </c>
      <c r="Q595" s="30" t="s">
        <v>26079</v>
      </c>
      <c r="R595" s="30" t="s">
        <v>26077</v>
      </c>
      <c r="S595" s="30" t="s">
        <v>27825</v>
      </c>
      <c r="T595" s="30" t="s">
        <v>27826</v>
      </c>
      <c r="U595" s="30"/>
      <c r="V595" s="139" t="s">
        <v>9334</v>
      </c>
      <c r="W595" s="30" t="s">
        <v>440</v>
      </c>
      <c r="X595" s="30" t="s">
        <v>194</v>
      </c>
      <c r="Y595" s="30" t="s">
        <v>9300</v>
      </c>
      <c r="Z595" s="30"/>
      <c r="AA595" s="30"/>
      <c r="AB595" s="30" t="s">
        <v>9311</v>
      </c>
      <c r="AC595" s="30"/>
      <c r="AD595" s="30"/>
      <c r="AE595" s="30"/>
      <c r="AF595" s="30"/>
      <c r="AG595" s="30"/>
      <c r="AH595" s="30" t="s">
        <v>4714</v>
      </c>
      <c r="AI595" s="30" t="s">
        <v>9433</v>
      </c>
      <c r="AJ595" s="641" t="str">
        <f t="shared" si="18"/>
        <v>242307</v>
      </c>
      <c r="AK595" s="641">
        <v>1</v>
      </c>
      <c r="AL595" s="641">
        <f t="shared" si="19"/>
        <v>1</v>
      </c>
      <c r="AM595" s="641">
        <v>1</v>
      </c>
      <c r="AN595" s="30" t="s">
        <v>17650</v>
      </c>
      <c r="AO595" s="30" t="s">
        <v>17651</v>
      </c>
      <c r="AP595" s="30" t="s">
        <v>17652</v>
      </c>
      <c r="AQ595" s="30" t="s">
        <v>17653</v>
      </c>
      <c r="AR595" s="30" t="s">
        <v>1024</v>
      </c>
      <c r="AS595" s="30">
        <v>1</v>
      </c>
    </row>
    <row r="596" spans="1:45" x14ac:dyDescent="0.25">
      <c r="A596" s="30" t="s">
        <v>716</v>
      </c>
      <c r="B596" s="30" t="s">
        <v>27307</v>
      </c>
      <c r="C596" s="30" t="s">
        <v>706</v>
      </c>
      <c r="D596" s="139" t="s">
        <v>26375</v>
      </c>
      <c r="E596" s="30" t="s">
        <v>217</v>
      </c>
      <c r="F596" s="30">
        <v>1</v>
      </c>
      <c r="G596" s="30" t="s">
        <v>193</v>
      </c>
      <c r="H596" s="30" t="s">
        <v>194</v>
      </c>
      <c r="I596" s="30" t="s">
        <v>27277</v>
      </c>
      <c r="J596" s="30" t="s">
        <v>210</v>
      </c>
      <c r="K596" s="30" t="s">
        <v>9309</v>
      </c>
      <c r="L596" s="30" t="s">
        <v>6955</v>
      </c>
      <c r="M596" s="30"/>
      <c r="N596" s="30" t="s">
        <v>27827</v>
      </c>
      <c r="O596" s="30" t="s">
        <v>6251</v>
      </c>
      <c r="P596" s="30" t="s">
        <v>27770</v>
      </c>
      <c r="Q596" s="30" t="s">
        <v>23804</v>
      </c>
      <c r="R596" s="30" t="s">
        <v>27828</v>
      </c>
      <c r="S596" s="30" t="s">
        <v>27829</v>
      </c>
      <c r="T596" s="30" t="s">
        <v>27830</v>
      </c>
      <c r="U596" s="30"/>
      <c r="V596" s="139" t="s">
        <v>9334</v>
      </c>
      <c r="W596" s="30" t="s">
        <v>707</v>
      </c>
      <c r="X596" s="30" t="s">
        <v>194</v>
      </c>
      <c r="Y596" s="30" t="s">
        <v>9300</v>
      </c>
      <c r="Z596" s="30"/>
      <c r="AA596" s="30"/>
      <c r="AB596" s="30" t="s">
        <v>9311</v>
      </c>
      <c r="AC596" s="30"/>
      <c r="AD596" s="30"/>
      <c r="AE596" s="30"/>
      <c r="AF596" s="30"/>
      <c r="AG596" s="30"/>
      <c r="AH596" s="30" t="s">
        <v>4714</v>
      </c>
      <c r="AI596" s="30" t="s">
        <v>9433</v>
      </c>
      <c r="AJ596" s="641" t="str">
        <f t="shared" si="18"/>
        <v>422201</v>
      </c>
      <c r="AK596" s="641">
        <v>1</v>
      </c>
      <c r="AL596" s="641">
        <f t="shared" si="19"/>
        <v>1</v>
      </c>
      <c r="AM596" s="641">
        <v>1</v>
      </c>
      <c r="AN596" s="30" t="s">
        <v>17650</v>
      </c>
      <c r="AO596" s="30" t="s">
        <v>17651</v>
      </c>
      <c r="AP596" s="30" t="s">
        <v>17652</v>
      </c>
      <c r="AQ596" s="30" t="s">
        <v>17653</v>
      </c>
      <c r="AR596" s="30" t="s">
        <v>1024</v>
      </c>
      <c r="AS596" s="30">
        <v>1</v>
      </c>
    </row>
    <row r="597" spans="1:45" x14ac:dyDescent="0.25">
      <c r="A597" s="30" t="s">
        <v>581</v>
      </c>
      <c r="B597" s="30" t="s">
        <v>23245</v>
      </c>
      <c r="C597" s="30" t="s">
        <v>3645</v>
      </c>
      <c r="D597" s="139" t="s">
        <v>26375</v>
      </c>
      <c r="E597" s="30" t="s">
        <v>217</v>
      </c>
      <c r="F597" s="30">
        <v>1</v>
      </c>
      <c r="G597" s="30" t="s">
        <v>193</v>
      </c>
      <c r="H597" s="30" t="s">
        <v>194</v>
      </c>
      <c r="I597" s="30" t="s">
        <v>27277</v>
      </c>
      <c r="J597" s="30" t="s">
        <v>253</v>
      </c>
      <c r="K597" s="30" t="s">
        <v>9309</v>
      </c>
      <c r="L597" s="30" t="s">
        <v>6955</v>
      </c>
      <c r="M597" s="30"/>
      <c r="N597" s="30" t="s">
        <v>26850</v>
      </c>
      <c r="O597" s="30" t="s">
        <v>6258</v>
      </c>
      <c r="P597" s="30" t="s">
        <v>27770</v>
      </c>
      <c r="Q597" s="30" t="s">
        <v>23804</v>
      </c>
      <c r="R597" s="30" t="s">
        <v>26231</v>
      </c>
      <c r="S597" s="30" t="s">
        <v>27831</v>
      </c>
      <c r="T597" s="30" t="s">
        <v>27832</v>
      </c>
      <c r="U597" s="30"/>
      <c r="V597" s="139" t="s">
        <v>9468</v>
      </c>
      <c r="W597" s="30" t="s">
        <v>3647</v>
      </c>
      <c r="X597" s="30" t="s">
        <v>194</v>
      </c>
      <c r="Y597" s="30" t="s">
        <v>9300</v>
      </c>
      <c r="Z597" s="30"/>
      <c r="AA597" s="30"/>
      <c r="AB597" s="30" t="s">
        <v>9311</v>
      </c>
      <c r="AC597" s="30"/>
      <c r="AD597" s="30"/>
      <c r="AE597" s="30"/>
      <c r="AF597" s="30"/>
      <c r="AG597" s="30"/>
      <c r="AH597" s="30" t="s">
        <v>4714</v>
      </c>
      <c r="AI597" s="30" t="s">
        <v>9433</v>
      </c>
      <c r="AJ597" s="641" t="str">
        <f t="shared" si="18"/>
        <v>741207</v>
      </c>
      <c r="AK597" s="641">
        <v>1</v>
      </c>
      <c r="AL597" s="641">
        <f t="shared" si="19"/>
        <v>1</v>
      </c>
      <c r="AM597" s="641">
        <v>1</v>
      </c>
      <c r="AN597" s="30" t="s">
        <v>17650</v>
      </c>
      <c r="AO597" s="30" t="s">
        <v>17651</v>
      </c>
      <c r="AP597" s="30" t="s">
        <v>17652</v>
      </c>
      <c r="AQ597" s="30" t="s">
        <v>17653</v>
      </c>
      <c r="AR597" s="30" t="s">
        <v>1024</v>
      </c>
      <c r="AS597" s="30">
        <v>1</v>
      </c>
    </row>
    <row r="598" spans="1:45" x14ac:dyDescent="0.25">
      <c r="A598" s="30" t="s">
        <v>26193</v>
      </c>
      <c r="B598" s="30" t="s">
        <v>26194</v>
      </c>
      <c r="C598" s="30" t="s">
        <v>227</v>
      </c>
      <c r="D598" s="139" t="s">
        <v>26375</v>
      </c>
      <c r="E598" s="30" t="s">
        <v>217</v>
      </c>
      <c r="F598" s="30">
        <v>1</v>
      </c>
      <c r="G598" s="30" t="s">
        <v>193</v>
      </c>
      <c r="H598" s="30" t="s">
        <v>194</v>
      </c>
      <c r="I598" s="30" t="s">
        <v>27277</v>
      </c>
      <c r="J598" s="30" t="s">
        <v>253</v>
      </c>
      <c r="K598" s="30" t="s">
        <v>9309</v>
      </c>
      <c r="L598" s="30" t="s">
        <v>6955</v>
      </c>
      <c r="M598" s="30"/>
      <c r="N598" s="30" t="s">
        <v>27713</v>
      </c>
      <c r="O598" s="30" t="s">
        <v>6277</v>
      </c>
      <c r="P598" s="30" t="s">
        <v>27770</v>
      </c>
      <c r="Q598" s="30" t="s">
        <v>26109</v>
      </c>
      <c r="R598" s="30" t="s">
        <v>27328</v>
      </c>
      <c r="S598" s="30" t="s">
        <v>27833</v>
      </c>
      <c r="T598" s="30" t="s">
        <v>27834</v>
      </c>
      <c r="U598" s="30"/>
      <c r="V598" s="139" t="s">
        <v>9468</v>
      </c>
      <c r="W598" s="30" t="s">
        <v>229</v>
      </c>
      <c r="X598" s="30" t="s">
        <v>194</v>
      </c>
      <c r="Y598" s="30" t="s">
        <v>9300</v>
      </c>
      <c r="Z598" s="30"/>
      <c r="AA598" s="30"/>
      <c r="AB598" s="30" t="s">
        <v>9311</v>
      </c>
      <c r="AC598" s="30"/>
      <c r="AD598" s="30"/>
      <c r="AE598" s="30"/>
      <c r="AF598" s="30"/>
      <c r="AG598" s="30"/>
      <c r="AH598" s="30" t="s">
        <v>4714</v>
      </c>
      <c r="AI598" s="30" t="s">
        <v>9433</v>
      </c>
      <c r="AJ598" s="641" t="str">
        <f t="shared" si="18"/>
        <v>132401</v>
      </c>
      <c r="AK598" s="641">
        <v>1</v>
      </c>
      <c r="AL598" s="641">
        <f t="shared" si="19"/>
        <v>1</v>
      </c>
      <c r="AM598" s="641">
        <v>1</v>
      </c>
      <c r="AN598" s="30" t="s">
        <v>17650</v>
      </c>
      <c r="AO598" s="30" t="s">
        <v>17651</v>
      </c>
      <c r="AP598" s="30" t="s">
        <v>17652</v>
      </c>
      <c r="AQ598" s="30" t="s">
        <v>17653</v>
      </c>
      <c r="AR598" s="30" t="s">
        <v>1024</v>
      </c>
      <c r="AS598" s="30">
        <v>1</v>
      </c>
    </row>
    <row r="599" spans="1:45" x14ac:dyDescent="0.25">
      <c r="A599" s="30" t="s">
        <v>10145</v>
      </c>
      <c r="B599" s="30" t="s">
        <v>26227</v>
      </c>
      <c r="C599" s="30" t="s">
        <v>137</v>
      </c>
      <c r="D599" s="139" t="s">
        <v>26375</v>
      </c>
      <c r="E599" s="30" t="s">
        <v>217</v>
      </c>
      <c r="F599" s="30">
        <v>1</v>
      </c>
      <c r="G599" s="30" t="s">
        <v>194</v>
      </c>
      <c r="H599" s="30" t="s">
        <v>193</v>
      </c>
      <c r="I599" s="30" t="s">
        <v>26077</v>
      </c>
      <c r="J599" s="30" t="s">
        <v>26228</v>
      </c>
      <c r="K599" s="30" t="s">
        <v>9309</v>
      </c>
      <c r="L599" s="30" t="s">
        <v>6955</v>
      </c>
      <c r="M599" s="30"/>
      <c r="N599" s="30" t="s">
        <v>26229</v>
      </c>
      <c r="O599" s="30" t="s">
        <v>6343</v>
      </c>
      <c r="P599" s="30" t="s">
        <v>27762</v>
      </c>
      <c r="Q599" s="30" t="s">
        <v>26098</v>
      </c>
      <c r="R599" s="30" t="s">
        <v>26231</v>
      </c>
      <c r="S599" s="30" t="s">
        <v>27835</v>
      </c>
      <c r="T599" s="30" t="s">
        <v>27836</v>
      </c>
      <c r="U599" s="30"/>
      <c r="V599" s="139" t="s">
        <v>9726</v>
      </c>
      <c r="W599" s="30" t="s">
        <v>2002</v>
      </c>
      <c r="X599" s="30" t="s">
        <v>194</v>
      </c>
      <c r="Y599" s="30" t="s">
        <v>9300</v>
      </c>
      <c r="Z599" s="30"/>
      <c r="AA599" s="30"/>
      <c r="AB599" s="30" t="s">
        <v>9311</v>
      </c>
      <c r="AC599" s="30"/>
      <c r="AD599" s="30"/>
      <c r="AE599" s="30"/>
      <c r="AF599" s="30"/>
      <c r="AG599" s="30"/>
      <c r="AH599" s="30" t="s">
        <v>4714</v>
      </c>
      <c r="AI599" s="30" t="s">
        <v>26227</v>
      </c>
      <c r="AJ599" s="641" t="str">
        <f t="shared" si="18"/>
        <v>513101</v>
      </c>
      <c r="AK599" s="641">
        <v>1</v>
      </c>
      <c r="AL599" s="641">
        <f t="shared" si="19"/>
        <v>1</v>
      </c>
      <c r="AM599" s="641">
        <v>1</v>
      </c>
      <c r="AN599" s="30" t="s">
        <v>17650</v>
      </c>
      <c r="AO599" s="30" t="s">
        <v>17651</v>
      </c>
      <c r="AP599" s="30" t="s">
        <v>17652</v>
      </c>
      <c r="AQ599" s="30" t="s">
        <v>17653</v>
      </c>
      <c r="AR599" s="30" t="s">
        <v>1024</v>
      </c>
      <c r="AS599" s="30">
        <v>1</v>
      </c>
    </row>
    <row r="600" spans="1:45" x14ac:dyDescent="0.25">
      <c r="A600" s="30" t="s">
        <v>26198</v>
      </c>
      <c r="B600" s="30" t="s">
        <v>26212</v>
      </c>
      <c r="C600" s="30" t="s">
        <v>80</v>
      </c>
      <c r="D600" s="139" t="s">
        <v>26375</v>
      </c>
      <c r="E600" s="30" t="s">
        <v>217</v>
      </c>
      <c r="F600" s="30">
        <v>1</v>
      </c>
      <c r="G600" s="30" t="s">
        <v>193</v>
      </c>
      <c r="H600" s="30" t="s">
        <v>194</v>
      </c>
      <c r="I600" s="30" t="s">
        <v>27277</v>
      </c>
      <c r="J600" s="30" t="s">
        <v>210</v>
      </c>
      <c r="K600" s="30" t="s">
        <v>9309</v>
      </c>
      <c r="L600" s="30" t="s">
        <v>6955</v>
      </c>
      <c r="M600" s="30"/>
      <c r="N600" s="30" t="s">
        <v>27837</v>
      </c>
      <c r="O600" s="30" t="s">
        <v>6327</v>
      </c>
      <c r="P600" s="30" t="s">
        <v>27770</v>
      </c>
      <c r="Q600" s="30" t="s">
        <v>26252</v>
      </c>
      <c r="R600" s="30" t="s">
        <v>27838</v>
      </c>
      <c r="S600" s="30" t="s">
        <v>27839</v>
      </c>
      <c r="T600" s="30" t="s">
        <v>27840</v>
      </c>
      <c r="U600" s="30"/>
      <c r="V600" s="139" t="s">
        <v>9334</v>
      </c>
      <c r="W600" s="30" t="s">
        <v>474</v>
      </c>
      <c r="X600" s="30" t="s">
        <v>194</v>
      </c>
      <c r="Y600" s="30" t="s">
        <v>9300</v>
      </c>
      <c r="Z600" s="30"/>
      <c r="AA600" s="30"/>
      <c r="AB600" s="30" t="s">
        <v>9311</v>
      </c>
      <c r="AC600" s="30"/>
      <c r="AD600" s="30"/>
      <c r="AE600" s="30"/>
      <c r="AF600" s="30"/>
      <c r="AG600" s="30"/>
      <c r="AH600" s="30" t="s">
        <v>4714</v>
      </c>
      <c r="AI600" s="30" t="s">
        <v>9433</v>
      </c>
      <c r="AJ600" s="641" t="str">
        <f t="shared" si="18"/>
        <v>243304</v>
      </c>
      <c r="AK600" s="641">
        <v>1</v>
      </c>
      <c r="AL600" s="641">
        <f t="shared" si="19"/>
        <v>1</v>
      </c>
      <c r="AM600" s="641">
        <v>1</v>
      </c>
      <c r="AN600" s="30" t="s">
        <v>17650</v>
      </c>
      <c r="AO600" s="30" t="s">
        <v>17651</v>
      </c>
      <c r="AP600" s="30" t="s">
        <v>17652</v>
      </c>
      <c r="AQ600" s="30" t="s">
        <v>17653</v>
      </c>
      <c r="AR600" s="30" t="s">
        <v>1024</v>
      </c>
      <c r="AS600" s="30">
        <v>1</v>
      </c>
    </row>
    <row r="601" spans="1:45" x14ac:dyDescent="0.25">
      <c r="A601" s="30" t="s">
        <v>26089</v>
      </c>
      <c r="B601" s="30" t="s">
        <v>27841</v>
      </c>
      <c r="C601" s="30" t="s">
        <v>1766</v>
      </c>
      <c r="D601" s="139" t="s">
        <v>26375</v>
      </c>
      <c r="E601" s="30" t="s">
        <v>217</v>
      </c>
      <c r="F601" s="30">
        <v>1</v>
      </c>
      <c r="G601" s="30" t="s">
        <v>193</v>
      </c>
      <c r="H601" s="30" t="s">
        <v>194</v>
      </c>
      <c r="I601" s="30" t="s">
        <v>27277</v>
      </c>
      <c r="J601" s="30" t="s">
        <v>210</v>
      </c>
      <c r="K601" s="30" t="s">
        <v>9309</v>
      </c>
      <c r="L601" s="30" t="s">
        <v>6955</v>
      </c>
      <c r="M601" s="30"/>
      <c r="N601" s="30" t="s">
        <v>27842</v>
      </c>
      <c r="O601" s="30" t="s">
        <v>6261</v>
      </c>
      <c r="P601" s="30" t="s">
        <v>27770</v>
      </c>
      <c r="Q601" s="30" t="s">
        <v>26190</v>
      </c>
      <c r="R601" s="30" t="s">
        <v>27792</v>
      </c>
      <c r="S601" s="30" t="s">
        <v>27843</v>
      </c>
      <c r="T601" s="30" t="s">
        <v>27844</v>
      </c>
      <c r="U601" s="30"/>
      <c r="V601" s="139" t="s">
        <v>9334</v>
      </c>
      <c r="W601" s="30" t="s">
        <v>1767</v>
      </c>
      <c r="X601" s="30" t="s">
        <v>194</v>
      </c>
      <c r="Y601" s="30" t="s">
        <v>9300</v>
      </c>
      <c r="Z601" s="30"/>
      <c r="AA601" s="30"/>
      <c r="AB601" s="30" t="s">
        <v>9311</v>
      </c>
      <c r="AC601" s="30"/>
      <c r="AD601" s="30"/>
      <c r="AE601" s="30"/>
      <c r="AF601" s="30"/>
      <c r="AG601" s="30"/>
      <c r="AH601" s="30" t="s">
        <v>4714</v>
      </c>
      <c r="AI601" s="30" t="s">
        <v>9433</v>
      </c>
      <c r="AJ601" s="641" t="str">
        <f t="shared" si="18"/>
        <v>242112</v>
      </c>
      <c r="AK601" s="641">
        <v>1</v>
      </c>
      <c r="AL601" s="641">
        <f t="shared" si="19"/>
        <v>1</v>
      </c>
      <c r="AM601" s="641">
        <v>1</v>
      </c>
      <c r="AN601" s="30" t="s">
        <v>17650</v>
      </c>
      <c r="AO601" s="30" t="s">
        <v>17651</v>
      </c>
      <c r="AP601" s="30" t="s">
        <v>17652</v>
      </c>
      <c r="AQ601" s="30" t="s">
        <v>17653</v>
      </c>
      <c r="AR601" s="30" t="s">
        <v>1024</v>
      </c>
      <c r="AS601" s="30">
        <v>1</v>
      </c>
    </row>
    <row r="602" spans="1:45" x14ac:dyDescent="0.25">
      <c r="A602" s="30" t="s">
        <v>26089</v>
      </c>
      <c r="B602" s="30" t="s">
        <v>27845</v>
      </c>
      <c r="C602" s="30" t="s">
        <v>10</v>
      </c>
      <c r="D602" s="139" t="s">
        <v>26375</v>
      </c>
      <c r="E602" s="30" t="s">
        <v>217</v>
      </c>
      <c r="F602" s="30">
        <v>1</v>
      </c>
      <c r="G602" s="30" t="s">
        <v>193</v>
      </c>
      <c r="H602" s="30" t="s">
        <v>194</v>
      </c>
      <c r="I602" s="30" t="s">
        <v>23198</v>
      </c>
      <c r="J602" s="30" t="s">
        <v>210</v>
      </c>
      <c r="K602" s="30" t="s">
        <v>9309</v>
      </c>
      <c r="L602" s="30" t="s">
        <v>6955</v>
      </c>
      <c r="M602" s="30"/>
      <c r="N602" s="30" t="s">
        <v>27846</v>
      </c>
      <c r="O602" s="30" t="s">
        <v>6261</v>
      </c>
      <c r="P602" s="30" t="s">
        <v>27770</v>
      </c>
      <c r="Q602" s="30" t="s">
        <v>26190</v>
      </c>
      <c r="R602" s="30" t="s">
        <v>27792</v>
      </c>
      <c r="S602" s="30" t="s">
        <v>27847</v>
      </c>
      <c r="T602" s="30" t="s">
        <v>27848</v>
      </c>
      <c r="U602" s="30"/>
      <c r="V602" s="139" t="s">
        <v>9334</v>
      </c>
      <c r="W602" s="30" t="s">
        <v>484</v>
      </c>
      <c r="X602" s="30" t="s">
        <v>194</v>
      </c>
      <c r="Y602" s="30" t="s">
        <v>9300</v>
      </c>
      <c r="Z602" s="30"/>
      <c r="AA602" s="30"/>
      <c r="AB602" s="30" t="s">
        <v>9311</v>
      </c>
      <c r="AC602" s="30"/>
      <c r="AD602" s="30"/>
      <c r="AE602" s="30"/>
      <c r="AF602" s="30"/>
      <c r="AG602" s="30"/>
      <c r="AH602" s="30" t="s">
        <v>4714</v>
      </c>
      <c r="AI602" s="30" t="s">
        <v>9433</v>
      </c>
      <c r="AJ602" s="641" t="str">
        <f t="shared" si="18"/>
        <v>251401</v>
      </c>
      <c r="AK602" s="641">
        <v>1</v>
      </c>
      <c r="AL602" s="641">
        <f t="shared" si="19"/>
        <v>1</v>
      </c>
      <c r="AM602" s="641">
        <v>1</v>
      </c>
      <c r="AN602" s="30" t="s">
        <v>17650</v>
      </c>
      <c r="AO602" s="30" t="s">
        <v>17651</v>
      </c>
      <c r="AP602" s="30" t="s">
        <v>17652</v>
      </c>
      <c r="AQ602" s="30" t="s">
        <v>17653</v>
      </c>
      <c r="AR602" s="30" t="s">
        <v>1024</v>
      </c>
      <c r="AS602" s="30">
        <v>1</v>
      </c>
    </row>
    <row r="603" spans="1:45" x14ac:dyDescent="0.25">
      <c r="A603" s="30" t="s">
        <v>716</v>
      </c>
      <c r="B603" s="30" t="s">
        <v>26635</v>
      </c>
      <c r="C603" s="30" t="s">
        <v>706</v>
      </c>
      <c r="D603" s="139" t="s">
        <v>26375</v>
      </c>
      <c r="E603" s="30" t="s">
        <v>217</v>
      </c>
      <c r="F603" s="30">
        <v>1</v>
      </c>
      <c r="G603" s="30" t="s">
        <v>193</v>
      </c>
      <c r="H603" s="30" t="s">
        <v>194</v>
      </c>
      <c r="I603" s="30" t="s">
        <v>27277</v>
      </c>
      <c r="J603" s="30" t="s">
        <v>210</v>
      </c>
      <c r="K603" s="30" t="s">
        <v>9309</v>
      </c>
      <c r="L603" s="30" t="s">
        <v>6955</v>
      </c>
      <c r="M603" s="30"/>
      <c r="N603" s="30" t="s">
        <v>27456</v>
      </c>
      <c r="O603" s="30" t="s">
        <v>6286</v>
      </c>
      <c r="P603" s="30" t="s">
        <v>27770</v>
      </c>
      <c r="Q603" s="30" t="s">
        <v>26160</v>
      </c>
      <c r="R603" s="30" t="s">
        <v>27340</v>
      </c>
      <c r="S603" s="30" t="s">
        <v>27849</v>
      </c>
      <c r="T603" s="30" t="s">
        <v>27850</v>
      </c>
      <c r="U603" s="30"/>
      <c r="V603" s="139" t="s">
        <v>9334</v>
      </c>
      <c r="W603" s="30" t="s">
        <v>707</v>
      </c>
      <c r="X603" s="30" t="s">
        <v>194</v>
      </c>
      <c r="Y603" s="30" t="s">
        <v>9300</v>
      </c>
      <c r="Z603" s="30"/>
      <c r="AA603" s="30"/>
      <c r="AB603" s="30" t="s">
        <v>9311</v>
      </c>
      <c r="AC603" s="30"/>
      <c r="AD603" s="30"/>
      <c r="AE603" s="30"/>
      <c r="AF603" s="30"/>
      <c r="AG603" s="30"/>
      <c r="AH603" s="30" t="s">
        <v>4714</v>
      </c>
      <c r="AI603" s="30" t="s">
        <v>9433</v>
      </c>
      <c r="AJ603" s="641" t="str">
        <f t="shared" si="18"/>
        <v>422201</v>
      </c>
      <c r="AK603" s="641">
        <v>1</v>
      </c>
      <c r="AL603" s="641">
        <f t="shared" si="19"/>
        <v>1</v>
      </c>
      <c r="AM603" s="641">
        <v>1</v>
      </c>
      <c r="AN603" s="30" t="s">
        <v>17650</v>
      </c>
      <c r="AO603" s="30" t="s">
        <v>17651</v>
      </c>
      <c r="AP603" s="30" t="s">
        <v>17652</v>
      </c>
      <c r="AQ603" s="30" t="s">
        <v>17653</v>
      </c>
      <c r="AR603" s="30" t="s">
        <v>1024</v>
      </c>
      <c r="AS603" s="30">
        <v>1</v>
      </c>
    </row>
    <row r="604" spans="1:45" x14ac:dyDescent="0.25">
      <c r="A604" s="30" t="s">
        <v>27851</v>
      </c>
      <c r="B604" s="30" t="s">
        <v>14201</v>
      </c>
      <c r="C604" s="30" t="s">
        <v>4966</v>
      </c>
      <c r="D604" s="139" t="s">
        <v>26375</v>
      </c>
      <c r="E604" s="30" t="s">
        <v>217</v>
      </c>
      <c r="F604" s="30">
        <v>1</v>
      </c>
      <c r="G604" s="30" t="s">
        <v>193</v>
      </c>
      <c r="H604" s="30" t="s">
        <v>194</v>
      </c>
      <c r="I604" s="30" t="s">
        <v>27277</v>
      </c>
      <c r="J604" s="30" t="s">
        <v>316</v>
      </c>
      <c r="K604" s="30" t="s">
        <v>9309</v>
      </c>
      <c r="L604" s="30" t="s">
        <v>6955</v>
      </c>
      <c r="M604" s="30"/>
      <c r="N604" s="30" t="s">
        <v>27852</v>
      </c>
      <c r="O604" s="30" t="s">
        <v>6251</v>
      </c>
      <c r="P604" s="30" t="s">
        <v>27770</v>
      </c>
      <c r="Q604" s="30" t="s">
        <v>23804</v>
      </c>
      <c r="R604" s="30" t="s">
        <v>27828</v>
      </c>
      <c r="S604" s="30" t="s">
        <v>27853</v>
      </c>
      <c r="T604" s="30" t="s">
        <v>27854</v>
      </c>
      <c r="U604" s="30"/>
      <c r="V604" s="139" t="s">
        <v>10012</v>
      </c>
      <c r="W604" s="30" t="s">
        <v>405</v>
      </c>
      <c r="X604" s="30" t="s">
        <v>194</v>
      </c>
      <c r="Y604" s="30" t="s">
        <v>9300</v>
      </c>
      <c r="Z604" s="30"/>
      <c r="AA604" s="30"/>
      <c r="AB604" s="30" t="s">
        <v>9311</v>
      </c>
      <c r="AC604" s="30"/>
      <c r="AD604" s="30"/>
      <c r="AE604" s="30"/>
      <c r="AF604" s="30"/>
      <c r="AG604" s="30"/>
      <c r="AH604" s="30" t="s">
        <v>4714</v>
      </c>
      <c r="AI604" s="30" t="s">
        <v>9433</v>
      </c>
      <c r="AJ604" s="641" t="str">
        <f t="shared" si="18"/>
        <v>241304</v>
      </c>
      <c r="AK604" s="641">
        <v>1</v>
      </c>
      <c r="AL604" s="641">
        <f t="shared" si="19"/>
        <v>1</v>
      </c>
      <c r="AM604" s="641">
        <v>1</v>
      </c>
      <c r="AN604" s="30" t="s">
        <v>17650</v>
      </c>
      <c r="AO604" s="30" t="s">
        <v>17651</v>
      </c>
      <c r="AP604" s="30" t="s">
        <v>17652</v>
      </c>
      <c r="AQ604" s="30" t="s">
        <v>17653</v>
      </c>
      <c r="AR604" s="30" t="s">
        <v>1024</v>
      </c>
      <c r="AS604" s="30">
        <v>1</v>
      </c>
    </row>
    <row r="605" spans="1:45" x14ac:dyDescent="0.25">
      <c r="A605" s="30" t="s">
        <v>26089</v>
      </c>
      <c r="B605" s="30" t="s">
        <v>26301</v>
      </c>
      <c r="C605" s="30" t="s">
        <v>129</v>
      </c>
      <c r="D605" s="139" t="s">
        <v>26375</v>
      </c>
      <c r="E605" s="30" t="s">
        <v>217</v>
      </c>
      <c r="F605" s="30">
        <v>1</v>
      </c>
      <c r="G605" s="30" t="s">
        <v>193</v>
      </c>
      <c r="H605" s="30" t="s">
        <v>194</v>
      </c>
      <c r="I605" s="30" t="s">
        <v>27277</v>
      </c>
      <c r="J605" s="30" t="s">
        <v>210</v>
      </c>
      <c r="K605" s="30" t="s">
        <v>9309</v>
      </c>
      <c r="L605" s="30" t="s">
        <v>6955</v>
      </c>
      <c r="M605" s="30"/>
      <c r="N605" s="30" t="s">
        <v>26302</v>
      </c>
      <c r="O605" s="30" t="s">
        <v>6261</v>
      </c>
      <c r="P605" s="30" t="s">
        <v>27770</v>
      </c>
      <c r="Q605" s="30" t="s">
        <v>26085</v>
      </c>
      <c r="R605" s="30" t="s">
        <v>26057</v>
      </c>
      <c r="S605" s="30" t="s">
        <v>27855</v>
      </c>
      <c r="T605" s="30" t="s">
        <v>27856</v>
      </c>
      <c r="U605" s="30"/>
      <c r="V605" s="139" t="s">
        <v>9334</v>
      </c>
      <c r="W605" s="30" t="s">
        <v>203</v>
      </c>
      <c r="X605" s="30" t="s">
        <v>194</v>
      </c>
      <c r="Y605" s="30" t="s">
        <v>9300</v>
      </c>
      <c r="Z605" s="30"/>
      <c r="AA605" s="30"/>
      <c r="AB605" s="30" t="s">
        <v>9311</v>
      </c>
      <c r="AC605" s="30"/>
      <c r="AD605" s="30"/>
      <c r="AE605" s="30"/>
      <c r="AF605" s="30"/>
      <c r="AG605" s="30"/>
      <c r="AH605" s="30" t="s">
        <v>4714</v>
      </c>
      <c r="AI605" s="30" t="s">
        <v>9433</v>
      </c>
      <c r="AJ605" s="641" t="str">
        <f t="shared" si="18"/>
        <v>121904</v>
      </c>
      <c r="AK605" s="641">
        <v>1</v>
      </c>
      <c r="AL605" s="641">
        <f t="shared" si="19"/>
        <v>1</v>
      </c>
      <c r="AM605" s="641">
        <v>1</v>
      </c>
      <c r="AN605" s="30" t="s">
        <v>17650</v>
      </c>
      <c r="AO605" s="30" t="s">
        <v>17651</v>
      </c>
      <c r="AP605" s="30" t="s">
        <v>17652</v>
      </c>
      <c r="AQ605" s="30" t="s">
        <v>17653</v>
      </c>
      <c r="AR605" s="30" t="s">
        <v>1024</v>
      </c>
      <c r="AS605" s="30">
        <v>1</v>
      </c>
    </row>
    <row r="606" spans="1:45" x14ac:dyDescent="0.25">
      <c r="A606" s="30" t="s">
        <v>26153</v>
      </c>
      <c r="B606" s="30" t="s">
        <v>26873</v>
      </c>
      <c r="C606" s="30" t="s">
        <v>1766</v>
      </c>
      <c r="D606" s="139" t="s">
        <v>26375</v>
      </c>
      <c r="E606" s="30" t="s">
        <v>217</v>
      </c>
      <c r="F606" s="30">
        <v>1</v>
      </c>
      <c r="G606" s="30" t="s">
        <v>193</v>
      </c>
      <c r="H606" s="30" t="s">
        <v>194</v>
      </c>
      <c r="I606" s="30" t="s">
        <v>27277</v>
      </c>
      <c r="J606" s="30" t="s">
        <v>210</v>
      </c>
      <c r="K606" s="30" t="s">
        <v>9309</v>
      </c>
      <c r="L606" s="30" t="s">
        <v>6955</v>
      </c>
      <c r="M606" s="30"/>
      <c r="N606" s="30" t="s">
        <v>26874</v>
      </c>
      <c r="O606" s="30" t="s">
        <v>6261</v>
      </c>
      <c r="P606" s="30" t="s">
        <v>27770</v>
      </c>
      <c r="Q606" s="30" t="s">
        <v>26056</v>
      </c>
      <c r="R606" s="30" t="s">
        <v>23128</v>
      </c>
      <c r="S606" s="30" t="s">
        <v>27857</v>
      </c>
      <c r="T606" s="30" t="s">
        <v>27858</v>
      </c>
      <c r="U606" s="30"/>
      <c r="V606" s="139" t="s">
        <v>9334</v>
      </c>
      <c r="W606" s="30" t="s">
        <v>1767</v>
      </c>
      <c r="X606" s="30" t="s">
        <v>194</v>
      </c>
      <c r="Y606" s="30" t="s">
        <v>9300</v>
      </c>
      <c r="Z606" s="30"/>
      <c r="AA606" s="30"/>
      <c r="AB606" s="30" t="s">
        <v>9311</v>
      </c>
      <c r="AC606" s="30"/>
      <c r="AD606" s="30"/>
      <c r="AE606" s="30"/>
      <c r="AF606" s="30"/>
      <c r="AG606" s="30"/>
      <c r="AH606" s="30" t="s">
        <v>4714</v>
      </c>
      <c r="AI606" s="30" t="s">
        <v>9433</v>
      </c>
      <c r="AJ606" s="641" t="str">
        <f t="shared" si="18"/>
        <v>242112</v>
      </c>
      <c r="AK606" s="641">
        <v>1</v>
      </c>
      <c r="AL606" s="641">
        <f t="shared" si="19"/>
        <v>1</v>
      </c>
      <c r="AM606" s="641">
        <v>1</v>
      </c>
      <c r="AN606" s="30" t="s">
        <v>17650</v>
      </c>
      <c r="AO606" s="30" t="s">
        <v>17651</v>
      </c>
      <c r="AP606" s="30" t="s">
        <v>17652</v>
      </c>
      <c r="AQ606" s="30" t="s">
        <v>17653</v>
      </c>
      <c r="AR606" s="30" t="s">
        <v>1024</v>
      </c>
      <c r="AS606" s="30">
        <v>1</v>
      </c>
    </row>
    <row r="607" spans="1:45" x14ac:dyDescent="0.25">
      <c r="A607" s="30" t="s">
        <v>716</v>
      </c>
      <c r="B607" s="30" t="s">
        <v>26342</v>
      </c>
      <c r="C607" s="30" t="s">
        <v>27859</v>
      </c>
      <c r="D607" s="139" t="s">
        <v>26375</v>
      </c>
      <c r="E607" s="30" t="s">
        <v>217</v>
      </c>
      <c r="F607" s="30">
        <v>1</v>
      </c>
      <c r="G607" s="30" t="s">
        <v>193</v>
      </c>
      <c r="H607" s="30" t="s">
        <v>194</v>
      </c>
      <c r="I607" s="30" t="s">
        <v>27277</v>
      </c>
      <c r="J607" s="30" t="s">
        <v>210</v>
      </c>
      <c r="K607" s="30" t="s">
        <v>9309</v>
      </c>
      <c r="L607" s="30" t="s">
        <v>6955</v>
      </c>
      <c r="M607" s="30"/>
      <c r="N607" s="30" t="s">
        <v>27163</v>
      </c>
      <c r="O607" s="30" t="s">
        <v>6261</v>
      </c>
      <c r="P607" s="30" t="s">
        <v>27770</v>
      </c>
      <c r="Q607" s="30" t="s">
        <v>26881</v>
      </c>
      <c r="R607" s="30" t="s">
        <v>26882</v>
      </c>
      <c r="S607" s="30" t="s">
        <v>27860</v>
      </c>
      <c r="T607" s="30" t="s">
        <v>27861</v>
      </c>
      <c r="U607" s="30"/>
      <c r="V607" s="139" t="s">
        <v>9334</v>
      </c>
      <c r="W607" s="30" t="s">
        <v>27862</v>
      </c>
      <c r="X607" s="30" t="s">
        <v>194</v>
      </c>
      <c r="Y607" s="30" t="s">
        <v>9300</v>
      </c>
      <c r="Z607" s="30"/>
      <c r="AA607" s="30"/>
      <c r="AB607" s="30" t="s">
        <v>9311</v>
      </c>
      <c r="AC607" s="30"/>
      <c r="AD607" s="30"/>
      <c r="AE607" s="30"/>
      <c r="AF607" s="30"/>
      <c r="AG607" s="30"/>
      <c r="AH607" s="30" t="s">
        <v>4714</v>
      </c>
      <c r="AI607" s="30" t="s">
        <v>9433</v>
      </c>
      <c r="AJ607" s="641" t="str">
        <f t="shared" si="18"/>
        <v>351490</v>
      </c>
      <c r="AK607" s="641">
        <v>1</v>
      </c>
      <c r="AL607" s="641">
        <f t="shared" si="19"/>
        <v>1</v>
      </c>
      <c r="AM607" s="641">
        <v>1</v>
      </c>
      <c r="AN607" s="30" t="s">
        <v>17650</v>
      </c>
      <c r="AO607" s="30" t="s">
        <v>17651</v>
      </c>
      <c r="AP607" s="30" t="s">
        <v>17652</v>
      </c>
      <c r="AQ607" s="30" t="s">
        <v>17653</v>
      </c>
      <c r="AR607" s="30" t="s">
        <v>1024</v>
      </c>
      <c r="AS607" s="30">
        <v>1</v>
      </c>
    </row>
    <row r="608" spans="1:45" x14ac:dyDescent="0.25">
      <c r="A608" s="30" t="s">
        <v>716</v>
      </c>
      <c r="B608" s="30" t="s">
        <v>26369</v>
      </c>
      <c r="C608" s="30" t="s">
        <v>24125</v>
      </c>
      <c r="D608" s="139" t="s">
        <v>26375</v>
      </c>
      <c r="E608" s="30" t="s">
        <v>217</v>
      </c>
      <c r="F608" s="30">
        <v>1</v>
      </c>
      <c r="G608" s="30" t="s">
        <v>193</v>
      </c>
      <c r="H608" s="30" t="s">
        <v>194</v>
      </c>
      <c r="I608" s="30" t="s">
        <v>26133</v>
      </c>
      <c r="J608" s="30" t="s">
        <v>210</v>
      </c>
      <c r="K608" s="30" t="s">
        <v>9309</v>
      </c>
      <c r="L608" s="30" t="s">
        <v>6955</v>
      </c>
      <c r="M608" s="30"/>
      <c r="N608" s="30" t="s">
        <v>26370</v>
      </c>
      <c r="O608" s="30" t="s">
        <v>6302</v>
      </c>
      <c r="P608" s="30" t="s">
        <v>27770</v>
      </c>
      <c r="Q608" s="30" t="s">
        <v>26085</v>
      </c>
      <c r="R608" s="30" t="s">
        <v>26057</v>
      </c>
      <c r="S608" s="30" t="s">
        <v>27863</v>
      </c>
      <c r="T608" s="30" t="s">
        <v>27864</v>
      </c>
      <c r="U608" s="30"/>
      <c r="V608" s="139" t="s">
        <v>9334</v>
      </c>
      <c r="W608" s="30" t="s">
        <v>24129</v>
      </c>
      <c r="X608" s="30" t="s">
        <v>194</v>
      </c>
      <c r="Y608" s="30" t="s">
        <v>9300</v>
      </c>
      <c r="Z608" s="30"/>
      <c r="AA608" s="30"/>
      <c r="AB608" s="30" t="s">
        <v>9311</v>
      </c>
      <c r="AC608" s="30"/>
      <c r="AD608" s="30"/>
      <c r="AE608" s="30"/>
      <c r="AF608" s="30"/>
      <c r="AG608" s="30"/>
      <c r="AH608" s="30" t="s">
        <v>4714</v>
      </c>
      <c r="AI608" s="30" t="s">
        <v>9433</v>
      </c>
      <c r="AJ608" s="641" t="str">
        <f t="shared" si="18"/>
        <v>351401</v>
      </c>
      <c r="AK608" s="641">
        <v>1</v>
      </c>
      <c r="AL608" s="641">
        <f t="shared" si="19"/>
        <v>1</v>
      </c>
      <c r="AM608" s="641">
        <v>1</v>
      </c>
      <c r="AN608" s="30" t="s">
        <v>17650</v>
      </c>
      <c r="AO608" s="30" t="s">
        <v>17651</v>
      </c>
      <c r="AP608" s="30" t="s">
        <v>17652</v>
      </c>
      <c r="AQ608" s="30" t="s">
        <v>17653</v>
      </c>
      <c r="AR608" s="30" t="s">
        <v>1024</v>
      </c>
      <c r="AS608" s="30">
        <v>1</v>
      </c>
    </row>
    <row r="609" spans="1:45" x14ac:dyDescent="0.25">
      <c r="A609" s="30" t="s">
        <v>716</v>
      </c>
      <c r="B609" s="30" t="s">
        <v>26282</v>
      </c>
      <c r="C609" s="30" t="s">
        <v>27859</v>
      </c>
      <c r="D609" s="139" t="s">
        <v>26375</v>
      </c>
      <c r="E609" s="30" t="s">
        <v>217</v>
      </c>
      <c r="F609" s="30">
        <v>1</v>
      </c>
      <c r="G609" s="30" t="s">
        <v>193</v>
      </c>
      <c r="H609" s="30" t="s">
        <v>194</v>
      </c>
      <c r="I609" s="30" t="s">
        <v>27277</v>
      </c>
      <c r="J609" s="30" t="s">
        <v>210</v>
      </c>
      <c r="K609" s="30" t="s">
        <v>9309</v>
      </c>
      <c r="L609" s="30" t="s">
        <v>6955</v>
      </c>
      <c r="M609" s="30"/>
      <c r="N609" s="30" t="s">
        <v>27865</v>
      </c>
      <c r="O609" s="30" t="s">
        <v>6261</v>
      </c>
      <c r="P609" s="30" t="s">
        <v>27770</v>
      </c>
      <c r="Q609" s="30" t="s">
        <v>26252</v>
      </c>
      <c r="R609" s="30" t="s">
        <v>27838</v>
      </c>
      <c r="S609" s="30" t="s">
        <v>27866</v>
      </c>
      <c r="T609" s="30" t="s">
        <v>27867</v>
      </c>
      <c r="U609" s="30"/>
      <c r="V609" s="139" t="s">
        <v>9334</v>
      </c>
      <c r="W609" s="30" t="s">
        <v>27862</v>
      </c>
      <c r="X609" s="30" t="s">
        <v>194</v>
      </c>
      <c r="Y609" s="30" t="s">
        <v>9300</v>
      </c>
      <c r="Z609" s="30"/>
      <c r="AA609" s="30"/>
      <c r="AB609" s="30" t="s">
        <v>9311</v>
      </c>
      <c r="AC609" s="30"/>
      <c r="AD609" s="30"/>
      <c r="AE609" s="30"/>
      <c r="AF609" s="30"/>
      <c r="AG609" s="30"/>
      <c r="AH609" s="30" t="s">
        <v>4714</v>
      </c>
      <c r="AI609" s="30" t="s">
        <v>9433</v>
      </c>
      <c r="AJ609" s="641" t="str">
        <f t="shared" si="18"/>
        <v>351490</v>
      </c>
      <c r="AK609" s="641">
        <v>1</v>
      </c>
      <c r="AL609" s="641">
        <f t="shared" si="19"/>
        <v>1</v>
      </c>
      <c r="AM609" s="641">
        <v>1</v>
      </c>
      <c r="AN609" s="30" t="s">
        <v>17650</v>
      </c>
      <c r="AO609" s="30" t="s">
        <v>17651</v>
      </c>
      <c r="AP609" s="30" t="s">
        <v>17652</v>
      </c>
      <c r="AQ609" s="30" t="s">
        <v>17653</v>
      </c>
      <c r="AR609" s="30" t="s">
        <v>1024</v>
      </c>
      <c r="AS609" s="30">
        <v>1</v>
      </c>
    </row>
    <row r="610" spans="1:45" x14ac:dyDescent="0.25">
      <c r="A610" s="30" t="s">
        <v>716</v>
      </c>
      <c r="B610" s="30" t="s">
        <v>26699</v>
      </c>
      <c r="C610" s="30" t="s">
        <v>706</v>
      </c>
      <c r="D610" s="139" t="s">
        <v>26375</v>
      </c>
      <c r="E610" s="30" t="s">
        <v>217</v>
      </c>
      <c r="F610" s="30">
        <v>1</v>
      </c>
      <c r="G610" s="30" t="s">
        <v>193</v>
      </c>
      <c r="H610" s="30" t="s">
        <v>194</v>
      </c>
      <c r="I610" s="30" t="s">
        <v>27277</v>
      </c>
      <c r="J610" s="30" t="s">
        <v>210</v>
      </c>
      <c r="K610" s="30" t="s">
        <v>9309</v>
      </c>
      <c r="L610" s="30" t="s">
        <v>6955</v>
      </c>
      <c r="M610" s="30"/>
      <c r="N610" s="30" t="s">
        <v>26700</v>
      </c>
      <c r="O610" s="30" t="s">
        <v>6286</v>
      </c>
      <c r="P610" s="30" t="s">
        <v>27770</v>
      </c>
      <c r="Q610" s="30" t="s">
        <v>26261</v>
      </c>
      <c r="R610" s="30" t="s">
        <v>26262</v>
      </c>
      <c r="S610" s="30" t="s">
        <v>27868</v>
      </c>
      <c r="T610" s="30" t="s">
        <v>27869</v>
      </c>
      <c r="U610" s="30"/>
      <c r="V610" s="139" t="s">
        <v>9334</v>
      </c>
      <c r="W610" s="30" t="s">
        <v>707</v>
      </c>
      <c r="X610" s="30" t="s">
        <v>194</v>
      </c>
      <c r="Y610" s="30" t="s">
        <v>9300</v>
      </c>
      <c r="Z610" s="30"/>
      <c r="AA610" s="30"/>
      <c r="AB610" s="30" t="s">
        <v>9311</v>
      </c>
      <c r="AC610" s="30"/>
      <c r="AD610" s="30"/>
      <c r="AE610" s="30"/>
      <c r="AF610" s="30"/>
      <c r="AG610" s="30"/>
      <c r="AH610" s="30" t="s">
        <v>4714</v>
      </c>
      <c r="AI610" s="30" t="s">
        <v>9433</v>
      </c>
      <c r="AJ610" s="641" t="str">
        <f t="shared" si="18"/>
        <v>422201</v>
      </c>
      <c r="AK610" s="641">
        <v>1</v>
      </c>
      <c r="AL610" s="641">
        <f t="shared" si="19"/>
        <v>1</v>
      </c>
      <c r="AM610" s="641">
        <v>1</v>
      </c>
      <c r="AN610" s="30" t="s">
        <v>17650</v>
      </c>
      <c r="AO610" s="30" t="s">
        <v>17651</v>
      </c>
      <c r="AP610" s="30" t="s">
        <v>17652</v>
      </c>
      <c r="AQ610" s="30" t="s">
        <v>17653</v>
      </c>
      <c r="AR610" s="30" t="s">
        <v>1024</v>
      </c>
      <c r="AS610" s="30">
        <v>1</v>
      </c>
    </row>
    <row r="611" spans="1:45" x14ac:dyDescent="0.25">
      <c r="A611" s="30" t="s">
        <v>23858</v>
      </c>
      <c r="B611" s="30" t="s">
        <v>27870</v>
      </c>
      <c r="C611" s="30" t="s">
        <v>740</v>
      </c>
      <c r="D611" s="139" t="s">
        <v>26375</v>
      </c>
      <c r="E611" s="30" t="s">
        <v>217</v>
      </c>
      <c r="F611" s="30">
        <v>1</v>
      </c>
      <c r="G611" s="30" t="s">
        <v>193</v>
      </c>
      <c r="H611" s="30" t="s">
        <v>194</v>
      </c>
      <c r="I611" s="30" t="s">
        <v>26133</v>
      </c>
      <c r="J611" s="30" t="s">
        <v>4751</v>
      </c>
      <c r="K611" s="30" t="s">
        <v>9309</v>
      </c>
      <c r="L611" s="30" t="s">
        <v>6955</v>
      </c>
      <c r="M611" s="30"/>
      <c r="N611" s="30" t="s">
        <v>27871</v>
      </c>
      <c r="O611" s="30" t="s">
        <v>6251</v>
      </c>
      <c r="P611" s="30" t="s">
        <v>27770</v>
      </c>
      <c r="Q611" s="30" t="s">
        <v>23804</v>
      </c>
      <c r="R611" s="30" t="s">
        <v>27828</v>
      </c>
      <c r="S611" s="30" t="s">
        <v>27872</v>
      </c>
      <c r="T611" s="30" t="s">
        <v>27873</v>
      </c>
      <c r="U611" s="30"/>
      <c r="V611" s="139" t="s">
        <v>9472</v>
      </c>
      <c r="W611" s="30" t="s">
        <v>741</v>
      </c>
      <c r="X611" s="30" t="s">
        <v>194</v>
      </c>
      <c r="Y611" s="30" t="s">
        <v>9300</v>
      </c>
      <c r="Z611" s="30"/>
      <c r="AA611" s="30"/>
      <c r="AB611" s="30" t="s">
        <v>9311</v>
      </c>
      <c r="AC611" s="30"/>
      <c r="AD611" s="30"/>
      <c r="AE611" s="30"/>
      <c r="AF611" s="30"/>
      <c r="AG611" s="30"/>
      <c r="AH611" s="30" t="s">
        <v>4714</v>
      </c>
      <c r="AI611" s="30" t="s">
        <v>9433</v>
      </c>
      <c r="AJ611" s="641" t="str">
        <f t="shared" si="18"/>
        <v>522301</v>
      </c>
      <c r="AK611" s="641">
        <v>1</v>
      </c>
      <c r="AL611" s="641">
        <f t="shared" si="19"/>
        <v>1</v>
      </c>
      <c r="AM611" s="641">
        <v>1</v>
      </c>
      <c r="AN611" s="30" t="s">
        <v>17650</v>
      </c>
      <c r="AO611" s="30" t="s">
        <v>17651</v>
      </c>
      <c r="AP611" s="30" t="s">
        <v>17652</v>
      </c>
      <c r="AQ611" s="30" t="s">
        <v>17653</v>
      </c>
      <c r="AR611" s="30" t="s">
        <v>1024</v>
      </c>
      <c r="AS611" s="30">
        <v>1</v>
      </c>
    </row>
    <row r="612" spans="1:45" x14ac:dyDescent="0.25">
      <c r="A612" s="30" t="s">
        <v>26193</v>
      </c>
      <c r="B612" s="30" t="s">
        <v>26194</v>
      </c>
      <c r="C612" s="30" t="s">
        <v>227</v>
      </c>
      <c r="D612" s="139" t="s">
        <v>26375</v>
      </c>
      <c r="E612" s="30" t="s">
        <v>217</v>
      </c>
      <c r="F612" s="30">
        <v>1</v>
      </c>
      <c r="G612" s="30" t="s">
        <v>193</v>
      </c>
      <c r="H612" s="30" t="s">
        <v>194</v>
      </c>
      <c r="I612" s="30" t="s">
        <v>27277</v>
      </c>
      <c r="J612" s="30" t="s">
        <v>367</v>
      </c>
      <c r="K612" s="30" t="s">
        <v>9309</v>
      </c>
      <c r="L612" s="30" t="s">
        <v>6955</v>
      </c>
      <c r="M612" s="30"/>
      <c r="N612" s="30" t="s">
        <v>27579</v>
      </c>
      <c r="O612" s="30" t="s">
        <v>6269</v>
      </c>
      <c r="P612" s="30" t="s">
        <v>27770</v>
      </c>
      <c r="Q612" s="30" t="s">
        <v>26109</v>
      </c>
      <c r="R612" s="30" t="s">
        <v>27328</v>
      </c>
      <c r="S612" s="30" t="s">
        <v>27874</v>
      </c>
      <c r="T612" s="30" t="s">
        <v>27875</v>
      </c>
      <c r="U612" s="30"/>
      <c r="V612" s="139" t="s">
        <v>9974</v>
      </c>
      <c r="W612" s="30" t="s">
        <v>229</v>
      </c>
      <c r="X612" s="30" t="s">
        <v>194</v>
      </c>
      <c r="Y612" s="30" t="s">
        <v>9300</v>
      </c>
      <c r="Z612" s="30"/>
      <c r="AA612" s="30"/>
      <c r="AB612" s="30" t="s">
        <v>9311</v>
      </c>
      <c r="AC612" s="30"/>
      <c r="AD612" s="30"/>
      <c r="AE612" s="30"/>
      <c r="AF612" s="30"/>
      <c r="AG612" s="30"/>
      <c r="AH612" s="30" t="s">
        <v>4714</v>
      </c>
      <c r="AI612" s="30" t="s">
        <v>9433</v>
      </c>
      <c r="AJ612" s="641" t="str">
        <f t="shared" si="18"/>
        <v>132401</v>
      </c>
      <c r="AK612" s="641">
        <v>1</v>
      </c>
      <c r="AL612" s="641">
        <f t="shared" si="19"/>
        <v>1</v>
      </c>
      <c r="AM612" s="641">
        <v>1</v>
      </c>
      <c r="AN612" s="30" t="s">
        <v>17650</v>
      </c>
      <c r="AO612" s="30" t="s">
        <v>17651</v>
      </c>
      <c r="AP612" s="30" t="s">
        <v>17652</v>
      </c>
      <c r="AQ612" s="30" t="s">
        <v>17653</v>
      </c>
      <c r="AR612" s="30" t="s">
        <v>1024</v>
      </c>
      <c r="AS612" s="30">
        <v>1</v>
      </c>
    </row>
    <row r="613" spans="1:45" x14ac:dyDescent="0.25">
      <c r="A613" s="30" t="s">
        <v>26089</v>
      </c>
      <c r="B613" s="30" t="s">
        <v>27371</v>
      </c>
      <c r="C613" s="30" t="s">
        <v>129</v>
      </c>
      <c r="D613" s="139" t="s">
        <v>26375</v>
      </c>
      <c r="E613" s="30" t="s">
        <v>217</v>
      </c>
      <c r="F613" s="30">
        <v>1</v>
      </c>
      <c r="G613" s="30" t="s">
        <v>193</v>
      </c>
      <c r="H613" s="30" t="s">
        <v>194</v>
      </c>
      <c r="I613" s="30" t="s">
        <v>27277</v>
      </c>
      <c r="J613" s="30" t="s">
        <v>210</v>
      </c>
      <c r="K613" s="30" t="s">
        <v>9309</v>
      </c>
      <c r="L613" s="30" t="s">
        <v>6955</v>
      </c>
      <c r="M613" s="30"/>
      <c r="N613" s="30" t="s">
        <v>27372</v>
      </c>
      <c r="O613" s="30" t="s">
        <v>6261</v>
      </c>
      <c r="P613" s="30" t="s">
        <v>27770</v>
      </c>
      <c r="Q613" s="30" t="s">
        <v>26109</v>
      </c>
      <c r="R613" s="30" t="s">
        <v>27328</v>
      </c>
      <c r="S613" s="30" t="s">
        <v>27876</v>
      </c>
      <c r="T613" s="30" t="s">
        <v>27877</v>
      </c>
      <c r="U613" s="30"/>
      <c r="V613" s="139" t="s">
        <v>9334</v>
      </c>
      <c r="W613" s="30" t="s">
        <v>203</v>
      </c>
      <c r="X613" s="30" t="s">
        <v>194</v>
      </c>
      <c r="Y613" s="30" t="s">
        <v>9300</v>
      </c>
      <c r="Z613" s="30"/>
      <c r="AA613" s="30"/>
      <c r="AB613" s="30" t="s">
        <v>9311</v>
      </c>
      <c r="AC613" s="30"/>
      <c r="AD613" s="30"/>
      <c r="AE613" s="30"/>
      <c r="AF613" s="30"/>
      <c r="AG613" s="30"/>
      <c r="AH613" s="30" t="s">
        <v>4714</v>
      </c>
      <c r="AI613" s="30" t="s">
        <v>9433</v>
      </c>
      <c r="AJ613" s="641" t="str">
        <f t="shared" si="18"/>
        <v>121904</v>
      </c>
      <c r="AK613" s="641">
        <v>1</v>
      </c>
      <c r="AL613" s="641">
        <f t="shared" si="19"/>
        <v>1</v>
      </c>
      <c r="AM613" s="641">
        <v>1</v>
      </c>
      <c r="AN613" s="30" t="s">
        <v>17650</v>
      </c>
      <c r="AO613" s="30" t="s">
        <v>17651</v>
      </c>
      <c r="AP613" s="30" t="s">
        <v>17652</v>
      </c>
      <c r="AQ613" s="30" t="s">
        <v>17653</v>
      </c>
      <c r="AR613" s="30" t="s">
        <v>1024</v>
      </c>
      <c r="AS613" s="30">
        <v>1</v>
      </c>
    </row>
    <row r="614" spans="1:45" x14ac:dyDescent="0.25">
      <c r="A614" s="30" t="s">
        <v>716</v>
      </c>
      <c r="B614" s="30" t="s">
        <v>27878</v>
      </c>
      <c r="C614" s="30" t="s">
        <v>27</v>
      </c>
      <c r="D614" s="139" t="s">
        <v>26375</v>
      </c>
      <c r="E614" s="30" t="s">
        <v>217</v>
      </c>
      <c r="F614" s="30">
        <v>1</v>
      </c>
      <c r="G614" s="30" t="s">
        <v>193</v>
      </c>
      <c r="H614" s="30" t="s">
        <v>194</v>
      </c>
      <c r="I614" s="30" t="s">
        <v>27277</v>
      </c>
      <c r="J614" s="30" t="s">
        <v>210</v>
      </c>
      <c r="K614" s="30" t="s">
        <v>9309</v>
      </c>
      <c r="L614" s="30" t="s">
        <v>6955</v>
      </c>
      <c r="M614" s="30"/>
      <c r="N614" s="30" t="s">
        <v>27879</v>
      </c>
      <c r="O614" s="30" t="s">
        <v>6327</v>
      </c>
      <c r="P614" s="30" t="s">
        <v>27770</v>
      </c>
      <c r="Q614" s="30" t="s">
        <v>26079</v>
      </c>
      <c r="R614" s="30" t="s">
        <v>26077</v>
      </c>
      <c r="S614" s="30" t="s">
        <v>27880</v>
      </c>
      <c r="T614" s="30" t="s">
        <v>27881</v>
      </c>
      <c r="U614" s="30"/>
      <c r="V614" s="139" t="s">
        <v>9334</v>
      </c>
      <c r="W614" s="30" t="s">
        <v>440</v>
      </c>
      <c r="X614" s="30" t="s">
        <v>194</v>
      </c>
      <c r="Y614" s="30" t="s">
        <v>9300</v>
      </c>
      <c r="Z614" s="30"/>
      <c r="AA614" s="30"/>
      <c r="AB614" s="30" t="s">
        <v>9311</v>
      </c>
      <c r="AC614" s="30"/>
      <c r="AD614" s="30"/>
      <c r="AE614" s="30"/>
      <c r="AF614" s="30"/>
      <c r="AG614" s="30"/>
      <c r="AH614" s="30" t="s">
        <v>4714</v>
      </c>
      <c r="AI614" s="30" t="s">
        <v>9433</v>
      </c>
      <c r="AJ614" s="641" t="str">
        <f t="shared" si="18"/>
        <v>242307</v>
      </c>
      <c r="AK614" s="641">
        <v>1</v>
      </c>
      <c r="AL614" s="641">
        <f t="shared" si="19"/>
        <v>1</v>
      </c>
      <c r="AM614" s="641">
        <v>1</v>
      </c>
      <c r="AN614" s="30" t="s">
        <v>17650</v>
      </c>
      <c r="AO614" s="30" t="s">
        <v>17651</v>
      </c>
      <c r="AP614" s="30" t="s">
        <v>17652</v>
      </c>
      <c r="AQ614" s="30" t="s">
        <v>17653</v>
      </c>
      <c r="AR614" s="30" t="s">
        <v>1024</v>
      </c>
      <c r="AS614" s="30">
        <v>1</v>
      </c>
    </row>
    <row r="615" spans="1:45" x14ac:dyDescent="0.25">
      <c r="A615" s="30" t="s">
        <v>26089</v>
      </c>
      <c r="B615" s="30" t="s">
        <v>26301</v>
      </c>
      <c r="C615" s="30" t="s">
        <v>129</v>
      </c>
      <c r="D615" s="139" t="s">
        <v>26375</v>
      </c>
      <c r="E615" s="30" t="s">
        <v>217</v>
      </c>
      <c r="F615" s="30">
        <v>1</v>
      </c>
      <c r="G615" s="30" t="s">
        <v>193</v>
      </c>
      <c r="H615" s="30" t="s">
        <v>194</v>
      </c>
      <c r="I615" s="30" t="s">
        <v>27277</v>
      </c>
      <c r="J615" s="30" t="s">
        <v>210</v>
      </c>
      <c r="K615" s="30" t="s">
        <v>9309</v>
      </c>
      <c r="L615" s="30" t="s">
        <v>6955</v>
      </c>
      <c r="M615" s="30"/>
      <c r="N615" s="30" t="s">
        <v>27416</v>
      </c>
      <c r="O615" s="30" t="s">
        <v>6261</v>
      </c>
      <c r="P615" s="30" t="s">
        <v>27770</v>
      </c>
      <c r="Q615" s="30" t="s">
        <v>26139</v>
      </c>
      <c r="R615" s="30" t="s">
        <v>27256</v>
      </c>
      <c r="S615" s="30" t="s">
        <v>27882</v>
      </c>
      <c r="T615" s="30" t="s">
        <v>27883</v>
      </c>
      <c r="U615" s="30"/>
      <c r="V615" s="139" t="s">
        <v>9334</v>
      </c>
      <c r="W615" s="30" t="s">
        <v>203</v>
      </c>
      <c r="X615" s="30" t="s">
        <v>194</v>
      </c>
      <c r="Y615" s="30" t="s">
        <v>9300</v>
      </c>
      <c r="Z615" s="30"/>
      <c r="AA615" s="30"/>
      <c r="AB615" s="30" t="s">
        <v>9311</v>
      </c>
      <c r="AC615" s="30"/>
      <c r="AD615" s="30"/>
      <c r="AE615" s="30"/>
      <c r="AF615" s="30"/>
      <c r="AG615" s="30"/>
      <c r="AH615" s="30" t="s">
        <v>4714</v>
      </c>
      <c r="AI615" s="30" t="s">
        <v>9433</v>
      </c>
      <c r="AJ615" s="641" t="str">
        <f t="shared" si="18"/>
        <v>121904</v>
      </c>
      <c r="AK615" s="641">
        <v>1</v>
      </c>
      <c r="AL615" s="641">
        <f t="shared" si="19"/>
        <v>1</v>
      </c>
      <c r="AM615" s="641">
        <v>1</v>
      </c>
      <c r="AN615" s="30" t="s">
        <v>17650</v>
      </c>
      <c r="AO615" s="30" t="s">
        <v>17651</v>
      </c>
      <c r="AP615" s="30" t="s">
        <v>17652</v>
      </c>
      <c r="AQ615" s="30" t="s">
        <v>17653</v>
      </c>
      <c r="AR615" s="30" t="s">
        <v>1024</v>
      </c>
      <c r="AS615" s="30">
        <v>1</v>
      </c>
    </row>
    <row r="616" spans="1:45" x14ac:dyDescent="0.25">
      <c r="A616" s="30" t="s">
        <v>716</v>
      </c>
      <c r="B616" s="30" t="s">
        <v>27009</v>
      </c>
      <c r="C616" s="30" t="s">
        <v>706</v>
      </c>
      <c r="D616" s="139" t="s">
        <v>26375</v>
      </c>
      <c r="E616" s="30" t="s">
        <v>217</v>
      </c>
      <c r="F616" s="30">
        <v>1</v>
      </c>
      <c r="G616" s="30" t="s">
        <v>193</v>
      </c>
      <c r="H616" s="30" t="s">
        <v>194</v>
      </c>
      <c r="I616" s="30" t="s">
        <v>27277</v>
      </c>
      <c r="J616" s="30" t="s">
        <v>210</v>
      </c>
      <c r="K616" s="30" t="s">
        <v>9309</v>
      </c>
      <c r="L616" s="30" t="s">
        <v>6955</v>
      </c>
      <c r="M616" s="30"/>
      <c r="N616" s="30" t="s">
        <v>27010</v>
      </c>
      <c r="O616" s="30" t="s">
        <v>6251</v>
      </c>
      <c r="P616" s="30" t="s">
        <v>27770</v>
      </c>
      <c r="Q616" s="30" t="s">
        <v>26881</v>
      </c>
      <c r="R616" s="30" t="s">
        <v>26882</v>
      </c>
      <c r="S616" s="30" t="s">
        <v>27884</v>
      </c>
      <c r="T616" s="30" t="s">
        <v>27885</v>
      </c>
      <c r="U616" s="30"/>
      <c r="V616" s="139" t="s">
        <v>9334</v>
      </c>
      <c r="W616" s="30" t="s">
        <v>707</v>
      </c>
      <c r="X616" s="30" t="s">
        <v>194</v>
      </c>
      <c r="Y616" s="30" t="s">
        <v>9300</v>
      </c>
      <c r="Z616" s="30"/>
      <c r="AA616" s="30"/>
      <c r="AB616" s="30" t="s">
        <v>9311</v>
      </c>
      <c r="AC616" s="30"/>
      <c r="AD616" s="30"/>
      <c r="AE616" s="30"/>
      <c r="AF616" s="30"/>
      <c r="AG616" s="30"/>
      <c r="AH616" s="30" t="s">
        <v>4714</v>
      </c>
      <c r="AI616" s="30" t="s">
        <v>9433</v>
      </c>
      <c r="AJ616" s="641" t="str">
        <f t="shared" si="18"/>
        <v>422201</v>
      </c>
      <c r="AK616" s="641">
        <v>1</v>
      </c>
      <c r="AL616" s="641">
        <f t="shared" si="19"/>
        <v>1</v>
      </c>
      <c r="AM616" s="641">
        <v>1</v>
      </c>
      <c r="AN616" s="30" t="s">
        <v>17650</v>
      </c>
      <c r="AO616" s="30" t="s">
        <v>17651</v>
      </c>
      <c r="AP616" s="30" t="s">
        <v>17652</v>
      </c>
      <c r="AQ616" s="30" t="s">
        <v>17653</v>
      </c>
      <c r="AR616" s="30" t="s">
        <v>1024</v>
      </c>
      <c r="AS616" s="30">
        <v>1</v>
      </c>
    </row>
    <row r="617" spans="1:45" x14ac:dyDescent="0.25">
      <c r="A617" s="30" t="s">
        <v>716</v>
      </c>
      <c r="B617" s="30" t="s">
        <v>27307</v>
      </c>
      <c r="C617" s="30" t="s">
        <v>706</v>
      </c>
      <c r="D617" s="139" t="s">
        <v>26375</v>
      </c>
      <c r="E617" s="30" t="s">
        <v>217</v>
      </c>
      <c r="F617" s="30">
        <v>1</v>
      </c>
      <c r="G617" s="30" t="s">
        <v>193</v>
      </c>
      <c r="H617" s="30" t="s">
        <v>194</v>
      </c>
      <c r="I617" s="30" t="s">
        <v>27277</v>
      </c>
      <c r="J617" s="30" t="s">
        <v>210</v>
      </c>
      <c r="K617" s="30" t="s">
        <v>9309</v>
      </c>
      <c r="L617" s="30" t="s">
        <v>6955</v>
      </c>
      <c r="M617" s="30"/>
      <c r="N617" s="30" t="s">
        <v>27886</v>
      </c>
      <c r="O617" s="30" t="s">
        <v>6251</v>
      </c>
      <c r="P617" s="30" t="s">
        <v>27770</v>
      </c>
      <c r="Q617" s="30" t="s">
        <v>26099</v>
      </c>
      <c r="R617" s="30" t="s">
        <v>27771</v>
      </c>
      <c r="S617" s="30" t="s">
        <v>27887</v>
      </c>
      <c r="T617" s="30" t="s">
        <v>27888</v>
      </c>
      <c r="U617" s="30"/>
      <c r="V617" s="139" t="s">
        <v>9334</v>
      </c>
      <c r="W617" s="30" t="s">
        <v>707</v>
      </c>
      <c r="X617" s="30" t="s">
        <v>194</v>
      </c>
      <c r="Y617" s="30" t="s">
        <v>9300</v>
      </c>
      <c r="Z617" s="30"/>
      <c r="AA617" s="30"/>
      <c r="AB617" s="30" t="s">
        <v>9311</v>
      </c>
      <c r="AC617" s="30"/>
      <c r="AD617" s="30"/>
      <c r="AE617" s="30"/>
      <c r="AF617" s="30"/>
      <c r="AG617" s="30"/>
      <c r="AH617" s="30" t="s">
        <v>4714</v>
      </c>
      <c r="AI617" s="30" t="s">
        <v>9433</v>
      </c>
      <c r="AJ617" s="641" t="str">
        <f t="shared" si="18"/>
        <v>422201</v>
      </c>
      <c r="AK617" s="641">
        <v>1</v>
      </c>
      <c r="AL617" s="641">
        <f t="shared" si="19"/>
        <v>1</v>
      </c>
      <c r="AM617" s="641">
        <v>1</v>
      </c>
      <c r="AN617" s="30" t="s">
        <v>17650</v>
      </c>
      <c r="AO617" s="30" t="s">
        <v>17651</v>
      </c>
      <c r="AP617" s="30" t="s">
        <v>17652</v>
      </c>
      <c r="AQ617" s="30" t="s">
        <v>17653</v>
      </c>
      <c r="AR617" s="30" t="s">
        <v>1024</v>
      </c>
      <c r="AS617" s="30">
        <v>1</v>
      </c>
    </row>
    <row r="618" spans="1:45" x14ac:dyDescent="0.25">
      <c r="A618" s="30" t="s">
        <v>26193</v>
      </c>
      <c r="B618" s="30" t="s">
        <v>26194</v>
      </c>
      <c r="C618" s="30" t="s">
        <v>227</v>
      </c>
      <c r="D618" s="139" t="s">
        <v>26375</v>
      </c>
      <c r="E618" s="30" t="s">
        <v>217</v>
      </c>
      <c r="F618" s="30">
        <v>1</v>
      </c>
      <c r="G618" s="30" t="s">
        <v>193</v>
      </c>
      <c r="H618" s="30" t="s">
        <v>194</v>
      </c>
      <c r="I618" s="30" t="s">
        <v>27277</v>
      </c>
      <c r="J618" s="30" t="s">
        <v>210</v>
      </c>
      <c r="K618" s="30" t="s">
        <v>9309</v>
      </c>
      <c r="L618" s="30" t="s">
        <v>6955</v>
      </c>
      <c r="M618" s="30"/>
      <c r="N618" s="30" t="s">
        <v>27384</v>
      </c>
      <c r="O618" s="30" t="s">
        <v>6277</v>
      </c>
      <c r="P618" s="30" t="s">
        <v>27770</v>
      </c>
      <c r="Q618" s="30" t="s">
        <v>26109</v>
      </c>
      <c r="R618" s="30" t="s">
        <v>27328</v>
      </c>
      <c r="S618" s="30" t="s">
        <v>27889</v>
      </c>
      <c r="T618" s="30" t="s">
        <v>27890</v>
      </c>
      <c r="U618" s="30"/>
      <c r="V618" s="139" t="s">
        <v>9334</v>
      </c>
      <c r="W618" s="30" t="s">
        <v>229</v>
      </c>
      <c r="X618" s="30" t="s">
        <v>194</v>
      </c>
      <c r="Y618" s="30" t="s">
        <v>9300</v>
      </c>
      <c r="Z618" s="30"/>
      <c r="AA618" s="30"/>
      <c r="AB618" s="30" t="s">
        <v>9311</v>
      </c>
      <c r="AC618" s="30"/>
      <c r="AD618" s="30"/>
      <c r="AE618" s="30"/>
      <c r="AF618" s="30"/>
      <c r="AG618" s="30"/>
      <c r="AH618" s="30" t="s">
        <v>4714</v>
      </c>
      <c r="AI618" s="30" t="s">
        <v>9433</v>
      </c>
      <c r="AJ618" s="641" t="str">
        <f t="shared" si="18"/>
        <v>132401</v>
      </c>
      <c r="AK618" s="641">
        <v>1</v>
      </c>
      <c r="AL618" s="641">
        <f t="shared" si="19"/>
        <v>1</v>
      </c>
      <c r="AM618" s="641">
        <v>1</v>
      </c>
      <c r="AN618" s="30" t="s">
        <v>17650</v>
      </c>
      <c r="AO618" s="30" t="s">
        <v>17651</v>
      </c>
      <c r="AP618" s="30" t="s">
        <v>17652</v>
      </c>
      <c r="AQ618" s="30" t="s">
        <v>17653</v>
      </c>
      <c r="AR618" s="30" t="s">
        <v>1024</v>
      </c>
      <c r="AS618" s="30">
        <v>1</v>
      </c>
    </row>
    <row r="619" spans="1:45" x14ac:dyDescent="0.25">
      <c r="A619" s="30" t="s">
        <v>10145</v>
      </c>
      <c r="B619" s="30" t="s">
        <v>27078</v>
      </c>
      <c r="C619" s="30" t="s">
        <v>85</v>
      </c>
      <c r="D619" s="139" t="s">
        <v>26375</v>
      </c>
      <c r="E619" s="30" t="s">
        <v>217</v>
      </c>
      <c r="F619" s="30">
        <v>1</v>
      </c>
      <c r="G619" s="30" t="s">
        <v>193</v>
      </c>
      <c r="H619" s="30" t="s">
        <v>194</v>
      </c>
      <c r="I619" s="30" t="s">
        <v>27277</v>
      </c>
      <c r="J619" s="30" t="s">
        <v>26228</v>
      </c>
      <c r="K619" s="30" t="s">
        <v>9309</v>
      </c>
      <c r="L619" s="30" t="s">
        <v>6955</v>
      </c>
      <c r="M619" s="30"/>
      <c r="N619" s="30" t="s">
        <v>27079</v>
      </c>
      <c r="O619" s="30" t="s">
        <v>6343</v>
      </c>
      <c r="P619" s="30" t="s">
        <v>27770</v>
      </c>
      <c r="Q619" s="30" t="s">
        <v>26252</v>
      </c>
      <c r="R619" s="30" t="s">
        <v>27021</v>
      </c>
      <c r="S619" s="30" t="s">
        <v>27891</v>
      </c>
      <c r="T619" s="30" t="s">
        <v>27892</v>
      </c>
      <c r="U619" s="139"/>
      <c r="V619" s="139" t="s">
        <v>28321</v>
      </c>
      <c r="W619" s="30" t="s">
        <v>477</v>
      </c>
      <c r="X619" s="30" t="s">
        <v>193</v>
      </c>
      <c r="Y619" s="30" t="s">
        <v>9310</v>
      </c>
      <c r="Z619" s="30"/>
      <c r="AA619" s="30"/>
      <c r="AB619" s="30" t="s">
        <v>9311</v>
      </c>
      <c r="AC619" s="30"/>
      <c r="AD619" s="30"/>
      <c r="AE619" s="30"/>
      <c r="AF619" s="30"/>
      <c r="AG619" s="30"/>
      <c r="AH619" s="30" t="s">
        <v>4714</v>
      </c>
      <c r="AI619" s="30" t="s">
        <v>9433</v>
      </c>
      <c r="AJ619" s="641" t="str">
        <f t="shared" si="18"/>
        <v>243305</v>
      </c>
      <c r="AK619" s="641">
        <v>1</v>
      </c>
      <c r="AL619" s="641">
        <f t="shared" si="19"/>
        <v>1</v>
      </c>
      <c r="AM619" s="641">
        <v>1</v>
      </c>
      <c r="AN619" s="30" t="s">
        <v>17650</v>
      </c>
      <c r="AO619" s="30" t="s">
        <v>17651</v>
      </c>
      <c r="AP619" s="30" t="s">
        <v>17652</v>
      </c>
      <c r="AQ619" s="30" t="s">
        <v>17653</v>
      </c>
      <c r="AR619" s="30" t="s">
        <v>1024</v>
      </c>
      <c r="AS619" s="30">
        <v>1</v>
      </c>
    </row>
    <row r="620" spans="1:45" x14ac:dyDescent="0.25">
      <c r="A620" s="30" t="s">
        <v>581</v>
      </c>
      <c r="B620" s="30" t="s">
        <v>27024</v>
      </c>
      <c r="C620" s="30" t="s">
        <v>67</v>
      </c>
      <c r="D620" s="139" t="s">
        <v>26375</v>
      </c>
      <c r="E620" s="30" t="s">
        <v>217</v>
      </c>
      <c r="F620" s="30">
        <v>1</v>
      </c>
      <c r="G620" s="30" t="s">
        <v>193</v>
      </c>
      <c r="H620" s="30" t="s">
        <v>194</v>
      </c>
      <c r="I620" s="30" t="s">
        <v>27277</v>
      </c>
      <c r="J620" s="30" t="s">
        <v>976</v>
      </c>
      <c r="K620" s="30" t="s">
        <v>9309</v>
      </c>
      <c r="L620" s="30" t="s">
        <v>6955</v>
      </c>
      <c r="M620" s="30"/>
      <c r="N620" s="30" t="s">
        <v>27025</v>
      </c>
      <c r="O620" s="30" t="s">
        <v>6275</v>
      </c>
      <c r="P620" s="30" t="s">
        <v>27770</v>
      </c>
      <c r="Q620" s="30" t="s">
        <v>26079</v>
      </c>
      <c r="R620" s="30" t="s">
        <v>26262</v>
      </c>
      <c r="S620" s="30" t="s">
        <v>27893</v>
      </c>
      <c r="T620" s="30" t="s">
        <v>27894</v>
      </c>
      <c r="U620" s="139"/>
      <c r="V620" s="139" t="s">
        <v>28321</v>
      </c>
      <c r="W620" s="30" t="s">
        <v>709</v>
      </c>
      <c r="X620" s="30" t="s">
        <v>193</v>
      </c>
      <c r="Y620" s="30" t="s">
        <v>9310</v>
      </c>
      <c r="Z620" s="30"/>
      <c r="AA620" s="30"/>
      <c r="AB620" s="30" t="s">
        <v>9311</v>
      </c>
      <c r="AC620" s="30"/>
      <c r="AD620" s="30"/>
      <c r="AE620" s="30"/>
      <c r="AF620" s="30"/>
      <c r="AG620" s="30"/>
      <c r="AH620" s="30" t="s">
        <v>4714</v>
      </c>
      <c r="AI620" s="30" t="s">
        <v>9433</v>
      </c>
      <c r="AJ620" s="641" t="str">
        <f t="shared" si="18"/>
        <v>432103</v>
      </c>
      <c r="AK620" s="641">
        <v>1</v>
      </c>
      <c r="AL620" s="641">
        <f t="shared" si="19"/>
        <v>1</v>
      </c>
      <c r="AM620" s="641">
        <v>1</v>
      </c>
      <c r="AN620" s="30" t="s">
        <v>17650</v>
      </c>
      <c r="AO620" s="30" t="s">
        <v>17651</v>
      </c>
      <c r="AP620" s="30" t="s">
        <v>17652</v>
      </c>
      <c r="AQ620" s="30" t="s">
        <v>17653</v>
      </c>
      <c r="AR620" s="30" t="s">
        <v>1024</v>
      </c>
      <c r="AS620" s="30">
        <v>1</v>
      </c>
    </row>
    <row r="621" spans="1:45" x14ac:dyDescent="0.25">
      <c r="A621" s="30" t="s">
        <v>26089</v>
      </c>
      <c r="B621" s="30" t="s">
        <v>27019</v>
      </c>
      <c r="C621" s="30" t="s">
        <v>10</v>
      </c>
      <c r="D621" s="139" t="s">
        <v>26375</v>
      </c>
      <c r="E621" s="30" t="s">
        <v>217</v>
      </c>
      <c r="F621" s="30">
        <v>1</v>
      </c>
      <c r="G621" s="30" t="s">
        <v>193</v>
      </c>
      <c r="H621" s="30" t="s">
        <v>194</v>
      </c>
      <c r="I621" s="30" t="s">
        <v>27277</v>
      </c>
      <c r="J621" s="30" t="s">
        <v>210</v>
      </c>
      <c r="K621" s="30" t="s">
        <v>9309</v>
      </c>
      <c r="L621" s="30" t="s">
        <v>6955</v>
      </c>
      <c r="M621" s="30"/>
      <c r="N621" s="30" t="s">
        <v>27419</v>
      </c>
      <c r="O621" s="30" t="s">
        <v>6261</v>
      </c>
      <c r="P621" s="30" t="s">
        <v>27770</v>
      </c>
      <c r="Q621" s="30" t="s">
        <v>24551</v>
      </c>
      <c r="R621" s="30" t="s">
        <v>27361</v>
      </c>
      <c r="S621" s="30" t="s">
        <v>27895</v>
      </c>
      <c r="T621" s="30" t="s">
        <v>27896</v>
      </c>
      <c r="U621" s="30"/>
      <c r="V621" s="139" t="s">
        <v>9334</v>
      </c>
      <c r="W621" s="30" t="s">
        <v>484</v>
      </c>
      <c r="X621" s="30" t="s">
        <v>194</v>
      </c>
      <c r="Y621" s="30" t="s">
        <v>9300</v>
      </c>
      <c r="Z621" s="30"/>
      <c r="AA621" s="30"/>
      <c r="AB621" s="30" t="s">
        <v>9311</v>
      </c>
      <c r="AC621" s="30"/>
      <c r="AD621" s="30"/>
      <c r="AE621" s="30"/>
      <c r="AF621" s="30"/>
      <c r="AG621" s="30"/>
      <c r="AH621" s="30" t="s">
        <v>4714</v>
      </c>
      <c r="AI621" s="30" t="s">
        <v>9433</v>
      </c>
      <c r="AJ621" s="641" t="str">
        <f t="shared" si="18"/>
        <v>251401</v>
      </c>
      <c r="AK621" s="641">
        <v>1</v>
      </c>
      <c r="AL621" s="641">
        <f t="shared" si="19"/>
        <v>1</v>
      </c>
      <c r="AM621" s="641">
        <v>1</v>
      </c>
      <c r="AN621" s="30" t="s">
        <v>17650</v>
      </c>
      <c r="AO621" s="30" t="s">
        <v>17651</v>
      </c>
      <c r="AP621" s="30" t="s">
        <v>17652</v>
      </c>
      <c r="AQ621" s="30" t="s">
        <v>17653</v>
      </c>
      <c r="AR621" s="30" t="s">
        <v>1024</v>
      </c>
      <c r="AS621" s="30">
        <v>1</v>
      </c>
    </row>
    <row r="622" spans="1:45" x14ac:dyDescent="0.25">
      <c r="A622" s="30" t="s">
        <v>26153</v>
      </c>
      <c r="B622" s="30" t="s">
        <v>27198</v>
      </c>
      <c r="C622" s="30" t="s">
        <v>10</v>
      </c>
      <c r="D622" s="139" t="s">
        <v>26375</v>
      </c>
      <c r="E622" s="30" t="s">
        <v>217</v>
      </c>
      <c r="F622" s="30">
        <v>1</v>
      </c>
      <c r="G622" s="30" t="s">
        <v>193</v>
      </c>
      <c r="H622" s="30" t="s">
        <v>194</v>
      </c>
      <c r="I622" s="30" t="s">
        <v>23198</v>
      </c>
      <c r="J622" s="30" t="s">
        <v>210</v>
      </c>
      <c r="K622" s="30" t="s">
        <v>9309</v>
      </c>
      <c r="L622" s="30" t="s">
        <v>6955</v>
      </c>
      <c r="M622" s="30"/>
      <c r="N622" s="30" t="s">
        <v>27199</v>
      </c>
      <c r="O622" s="30" t="s">
        <v>6261</v>
      </c>
      <c r="P622" s="30" t="s">
        <v>27770</v>
      </c>
      <c r="Q622" s="30" t="s">
        <v>26086</v>
      </c>
      <c r="R622" s="30" t="s">
        <v>26787</v>
      </c>
      <c r="S622" s="30" t="s">
        <v>27897</v>
      </c>
      <c r="T622" s="30" t="s">
        <v>27898</v>
      </c>
      <c r="U622" s="30"/>
      <c r="V622" s="139" t="s">
        <v>9334</v>
      </c>
      <c r="W622" s="30" t="s">
        <v>484</v>
      </c>
      <c r="X622" s="30" t="s">
        <v>194</v>
      </c>
      <c r="Y622" s="30" t="s">
        <v>9300</v>
      </c>
      <c r="Z622" s="30"/>
      <c r="AA622" s="30"/>
      <c r="AB622" s="30" t="s">
        <v>9311</v>
      </c>
      <c r="AC622" s="30"/>
      <c r="AD622" s="30"/>
      <c r="AE622" s="30"/>
      <c r="AF622" s="30"/>
      <c r="AG622" s="30"/>
      <c r="AH622" s="30" t="s">
        <v>4714</v>
      </c>
      <c r="AI622" s="30" t="s">
        <v>9433</v>
      </c>
      <c r="AJ622" s="641" t="str">
        <f t="shared" si="18"/>
        <v>251401</v>
      </c>
      <c r="AK622" s="641">
        <v>1</v>
      </c>
      <c r="AL622" s="641">
        <f t="shared" si="19"/>
        <v>1</v>
      </c>
      <c r="AM622" s="641">
        <v>1</v>
      </c>
      <c r="AN622" s="30" t="s">
        <v>17650</v>
      </c>
      <c r="AO622" s="30" t="s">
        <v>17651</v>
      </c>
      <c r="AP622" s="30" t="s">
        <v>17652</v>
      </c>
      <c r="AQ622" s="30" t="s">
        <v>17653</v>
      </c>
      <c r="AR622" s="30" t="s">
        <v>1024</v>
      </c>
      <c r="AS622" s="30">
        <v>1</v>
      </c>
    </row>
    <row r="623" spans="1:45" x14ac:dyDescent="0.25">
      <c r="A623" s="30" t="s">
        <v>716</v>
      </c>
      <c r="B623" s="30" t="s">
        <v>27098</v>
      </c>
      <c r="C623" s="30" t="s">
        <v>706</v>
      </c>
      <c r="D623" s="139" t="s">
        <v>26375</v>
      </c>
      <c r="E623" s="30" t="s">
        <v>217</v>
      </c>
      <c r="F623" s="30">
        <v>1</v>
      </c>
      <c r="G623" s="30" t="s">
        <v>193</v>
      </c>
      <c r="H623" s="30" t="s">
        <v>194</v>
      </c>
      <c r="I623" s="30" t="s">
        <v>27277</v>
      </c>
      <c r="J623" s="30" t="s">
        <v>210</v>
      </c>
      <c r="K623" s="30" t="s">
        <v>9309</v>
      </c>
      <c r="L623" s="30" t="s">
        <v>6955</v>
      </c>
      <c r="M623" s="30"/>
      <c r="N623" s="30" t="s">
        <v>27454</v>
      </c>
      <c r="O623" s="30" t="s">
        <v>6286</v>
      </c>
      <c r="P623" s="30" t="s">
        <v>27770</v>
      </c>
      <c r="Q623" s="30" t="s">
        <v>26160</v>
      </c>
      <c r="R623" s="30" t="s">
        <v>27340</v>
      </c>
      <c r="S623" s="30" t="s">
        <v>27899</v>
      </c>
      <c r="T623" s="30" t="s">
        <v>27900</v>
      </c>
      <c r="U623" s="30"/>
      <c r="V623" s="139" t="s">
        <v>9334</v>
      </c>
      <c r="W623" s="30" t="s">
        <v>707</v>
      </c>
      <c r="X623" s="30" t="s">
        <v>194</v>
      </c>
      <c r="Y623" s="30" t="s">
        <v>9300</v>
      </c>
      <c r="Z623" s="30"/>
      <c r="AA623" s="30"/>
      <c r="AB623" s="30" t="s">
        <v>9311</v>
      </c>
      <c r="AC623" s="30"/>
      <c r="AD623" s="30"/>
      <c r="AE623" s="30"/>
      <c r="AF623" s="30"/>
      <c r="AG623" s="30"/>
      <c r="AH623" s="30" t="s">
        <v>4714</v>
      </c>
      <c r="AI623" s="30" t="s">
        <v>9433</v>
      </c>
      <c r="AJ623" s="641" t="str">
        <f t="shared" si="18"/>
        <v>422201</v>
      </c>
      <c r="AK623" s="641">
        <v>1</v>
      </c>
      <c r="AL623" s="641">
        <f t="shared" si="19"/>
        <v>1</v>
      </c>
      <c r="AM623" s="641">
        <v>1</v>
      </c>
      <c r="AN623" s="30" t="s">
        <v>17650</v>
      </c>
      <c r="AO623" s="30" t="s">
        <v>17651</v>
      </c>
      <c r="AP623" s="30" t="s">
        <v>17652</v>
      </c>
      <c r="AQ623" s="30" t="s">
        <v>17653</v>
      </c>
      <c r="AR623" s="30" t="s">
        <v>1024</v>
      </c>
      <c r="AS623" s="30">
        <v>1</v>
      </c>
    </row>
    <row r="624" spans="1:45" x14ac:dyDescent="0.25">
      <c r="A624" s="30" t="s">
        <v>716</v>
      </c>
      <c r="B624" s="30" t="s">
        <v>26737</v>
      </c>
      <c r="C624" s="30" t="s">
        <v>136</v>
      </c>
      <c r="D624" s="139" t="s">
        <v>26375</v>
      </c>
      <c r="E624" s="30" t="s">
        <v>217</v>
      </c>
      <c r="F624" s="30">
        <v>1</v>
      </c>
      <c r="G624" s="30" t="s">
        <v>193</v>
      </c>
      <c r="H624" s="30" t="s">
        <v>194</v>
      </c>
      <c r="I624" s="30" t="s">
        <v>27277</v>
      </c>
      <c r="J624" s="30" t="s">
        <v>210</v>
      </c>
      <c r="K624" s="30" t="s">
        <v>9309</v>
      </c>
      <c r="L624" s="30" t="s">
        <v>6955</v>
      </c>
      <c r="M624" s="30"/>
      <c r="N624" s="30" t="s">
        <v>27901</v>
      </c>
      <c r="O624" s="30" t="s">
        <v>6249</v>
      </c>
      <c r="P624" s="30" t="s">
        <v>27770</v>
      </c>
      <c r="Q624" s="30" t="s">
        <v>26099</v>
      </c>
      <c r="R624" s="30" t="s">
        <v>27771</v>
      </c>
      <c r="S624" s="30" t="s">
        <v>27902</v>
      </c>
      <c r="T624" s="30" t="s">
        <v>27903</v>
      </c>
      <c r="U624" s="30"/>
      <c r="V624" s="139" t="s">
        <v>9334</v>
      </c>
      <c r="W624" s="30" t="s">
        <v>461</v>
      </c>
      <c r="X624" s="30" t="s">
        <v>194</v>
      </c>
      <c r="Y624" s="30" t="s">
        <v>9300</v>
      </c>
      <c r="Z624" s="30"/>
      <c r="AA624" s="30"/>
      <c r="AB624" s="30" t="s">
        <v>9311</v>
      </c>
      <c r="AC624" s="30"/>
      <c r="AD624" s="30"/>
      <c r="AE624" s="30"/>
      <c r="AF624" s="30"/>
      <c r="AG624" s="30"/>
      <c r="AH624" s="30" t="s">
        <v>4714</v>
      </c>
      <c r="AI624" s="30" t="s">
        <v>9433</v>
      </c>
      <c r="AJ624" s="641" t="str">
        <f t="shared" si="18"/>
        <v>243301</v>
      </c>
      <c r="AK624" s="641">
        <v>1</v>
      </c>
      <c r="AL624" s="641">
        <f t="shared" si="19"/>
        <v>1</v>
      </c>
      <c r="AM624" s="641">
        <v>1</v>
      </c>
      <c r="AN624" s="30" t="s">
        <v>17650</v>
      </c>
      <c r="AO624" s="30" t="s">
        <v>17651</v>
      </c>
      <c r="AP624" s="30" t="s">
        <v>17652</v>
      </c>
      <c r="AQ624" s="30" t="s">
        <v>17653</v>
      </c>
      <c r="AR624" s="30" t="s">
        <v>1024</v>
      </c>
      <c r="AS624" s="30">
        <v>1</v>
      </c>
    </row>
    <row r="625" spans="1:45" x14ac:dyDescent="0.25">
      <c r="A625" s="30" t="s">
        <v>10145</v>
      </c>
      <c r="B625" s="30" t="s">
        <v>26756</v>
      </c>
      <c r="C625" s="30" t="s">
        <v>22</v>
      </c>
      <c r="D625" s="139" t="s">
        <v>26375</v>
      </c>
      <c r="E625" s="30" t="s">
        <v>217</v>
      </c>
      <c r="F625" s="30">
        <v>1</v>
      </c>
      <c r="G625" s="30" t="s">
        <v>193</v>
      </c>
      <c r="H625" s="30" t="s">
        <v>194</v>
      </c>
      <c r="I625" s="30" t="s">
        <v>27277</v>
      </c>
      <c r="J625" s="30" t="s">
        <v>210</v>
      </c>
      <c r="K625" s="30" t="s">
        <v>9309</v>
      </c>
      <c r="L625" s="30" t="s">
        <v>6955</v>
      </c>
      <c r="M625" s="30"/>
      <c r="N625" s="30" t="s">
        <v>26906</v>
      </c>
      <c r="O625" s="30" t="s">
        <v>6288</v>
      </c>
      <c r="P625" s="30" t="s">
        <v>27770</v>
      </c>
      <c r="Q625" s="30" t="s">
        <v>26086</v>
      </c>
      <c r="R625" s="30" t="s">
        <v>26787</v>
      </c>
      <c r="S625" s="30" t="s">
        <v>27904</v>
      </c>
      <c r="T625" s="30" t="s">
        <v>27905</v>
      </c>
      <c r="U625" s="30"/>
      <c r="V625" s="139" t="s">
        <v>9334</v>
      </c>
      <c r="W625" s="30" t="s">
        <v>1608</v>
      </c>
      <c r="X625" s="30" t="s">
        <v>194</v>
      </c>
      <c r="Y625" s="30" t="s">
        <v>9300</v>
      </c>
      <c r="Z625" s="30"/>
      <c r="AA625" s="30"/>
      <c r="AB625" s="30" t="s">
        <v>9311</v>
      </c>
      <c r="AC625" s="30"/>
      <c r="AD625" s="30"/>
      <c r="AE625" s="30"/>
      <c r="AF625" s="30"/>
      <c r="AG625" s="30"/>
      <c r="AH625" s="30" t="s">
        <v>4714</v>
      </c>
      <c r="AI625" s="30" t="s">
        <v>9433</v>
      </c>
      <c r="AJ625" s="641" t="str">
        <f t="shared" si="18"/>
        <v>228101</v>
      </c>
      <c r="AK625" s="641">
        <v>1</v>
      </c>
      <c r="AL625" s="641">
        <f t="shared" si="19"/>
        <v>1</v>
      </c>
      <c r="AM625" s="641">
        <v>1</v>
      </c>
      <c r="AN625" s="30" t="s">
        <v>17650</v>
      </c>
      <c r="AO625" s="30" t="s">
        <v>17651</v>
      </c>
      <c r="AP625" s="30" t="s">
        <v>17652</v>
      </c>
      <c r="AQ625" s="30" t="s">
        <v>17653</v>
      </c>
      <c r="AR625" s="30" t="s">
        <v>1024</v>
      </c>
      <c r="AS625" s="30">
        <v>1</v>
      </c>
    </row>
    <row r="626" spans="1:45" x14ac:dyDescent="0.25">
      <c r="A626" s="30" t="s">
        <v>26089</v>
      </c>
      <c r="B626" s="30" t="s">
        <v>27906</v>
      </c>
      <c r="C626" s="30" t="s">
        <v>10</v>
      </c>
      <c r="D626" s="139" t="s">
        <v>26375</v>
      </c>
      <c r="E626" s="30" t="s">
        <v>217</v>
      </c>
      <c r="F626" s="30">
        <v>1</v>
      </c>
      <c r="G626" s="30" t="s">
        <v>193</v>
      </c>
      <c r="H626" s="30" t="s">
        <v>194</v>
      </c>
      <c r="I626" s="30" t="s">
        <v>27277</v>
      </c>
      <c r="J626" s="30" t="s">
        <v>210</v>
      </c>
      <c r="K626" s="30" t="s">
        <v>9309</v>
      </c>
      <c r="L626" s="30" t="s">
        <v>6955</v>
      </c>
      <c r="M626" s="30"/>
      <c r="N626" s="30" t="s">
        <v>27907</v>
      </c>
      <c r="O626" s="30" t="s">
        <v>6261</v>
      </c>
      <c r="P626" s="30" t="s">
        <v>27770</v>
      </c>
      <c r="Q626" s="30" t="s">
        <v>23804</v>
      </c>
      <c r="R626" s="30" t="s">
        <v>27828</v>
      </c>
      <c r="S626" s="30" t="s">
        <v>27908</v>
      </c>
      <c r="T626" s="30" t="s">
        <v>27909</v>
      </c>
      <c r="U626" s="30"/>
      <c r="V626" s="139" t="s">
        <v>9334</v>
      </c>
      <c r="W626" s="30" t="s">
        <v>484</v>
      </c>
      <c r="X626" s="30" t="s">
        <v>194</v>
      </c>
      <c r="Y626" s="30" t="s">
        <v>9300</v>
      </c>
      <c r="Z626" s="30"/>
      <c r="AA626" s="30"/>
      <c r="AB626" s="30" t="s">
        <v>9311</v>
      </c>
      <c r="AC626" s="30"/>
      <c r="AD626" s="30"/>
      <c r="AE626" s="30"/>
      <c r="AF626" s="30"/>
      <c r="AG626" s="30"/>
      <c r="AH626" s="30" t="s">
        <v>4714</v>
      </c>
      <c r="AI626" s="30" t="s">
        <v>9433</v>
      </c>
      <c r="AJ626" s="641" t="str">
        <f t="shared" si="18"/>
        <v>251401</v>
      </c>
      <c r="AK626" s="641">
        <v>1</v>
      </c>
      <c r="AL626" s="641">
        <f t="shared" si="19"/>
        <v>1</v>
      </c>
      <c r="AM626" s="641">
        <v>1</v>
      </c>
      <c r="AN626" s="30" t="s">
        <v>17650</v>
      </c>
      <c r="AO626" s="30" t="s">
        <v>17651</v>
      </c>
      <c r="AP626" s="30" t="s">
        <v>17652</v>
      </c>
      <c r="AQ626" s="30" t="s">
        <v>17653</v>
      </c>
      <c r="AR626" s="30" t="s">
        <v>1024</v>
      </c>
      <c r="AS626" s="30">
        <v>1</v>
      </c>
    </row>
    <row r="627" spans="1:45" x14ac:dyDescent="0.25">
      <c r="A627" s="30" t="s">
        <v>26089</v>
      </c>
      <c r="B627" s="30" t="s">
        <v>27619</v>
      </c>
      <c r="C627" s="30" t="s">
        <v>27</v>
      </c>
      <c r="D627" s="139" t="s">
        <v>26375</v>
      </c>
      <c r="E627" s="30" t="s">
        <v>217</v>
      </c>
      <c r="F627" s="30">
        <v>1</v>
      </c>
      <c r="G627" s="30" t="s">
        <v>193</v>
      </c>
      <c r="H627" s="30" t="s">
        <v>194</v>
      </c>
      <c r="I627" s="30" t="s">
        <v>27277</v>
      </c>
      <c r="J627" s="30" t="s">
        <v>210</v>
      </c>
      <c r="K627" s="30" t="s">
        <v>9309</v>
      </c>
      <c r="L627" s="30" t="s">
        <v>6955</v>
      </c>
      <c r="M627" s="30"/>
      <c r="N627" s="30" t="s">
        <v>27620</v>
      </c>
      <c r="O627" s="30" t="s">
        <v>6261</v>
      </c>
      <c r="P627" s="30" t="s">
        <v>27770</v>
      </c>
      <c r="Q627" s="30" t="s">
        <v>25893</v>
      </c>
      <c r="R627" s="30" t="s">
        <v>27300</v>
      </c>
      <c r="S627" s="30" t="s">
        <v>27910</v>
      </c>
      <c r="T627" s="30" t="s">
        <v>27911</v>
      </c>
      <c r="U627" s="30"/>
      <c r="V627" s="139" t="s">
        <v>9334</v>
      </c>
      <c r="W627" s="30" t="s">
        <v>440</v>
      </c>
      <c r="X627" s="30" t="s">
        <v>194</v>
      </c>
      <c r="Y627" s="30" t="s">
        <v>9300</v>
      </c>
      <c r="Z627" s="30"/>
      <c r="AA627" s="30"/>
      <c r="AB627" s="30" t="s">
        <v>9311</v>
      </c>
      <c r="AC627" s="30"/>
      <c r="AD627" s="30"/>
      <c r="AE627" s="30"/>
      <c r="AF627" s="30"/>
      <c r="AG627" s="30"/>
      <c r="AH627" s="30" t="s">
        <v>4714</v>
      </c>
      <c r="AI627" s="30" t="s">
        <v>9433</v>
      </c>
      <c r="AJ627" s="641" t="str">
        <f t="shared" si="18"/>
        <v>242307</v>
      </c>
      <c r="AK627" s="641">
        <v>1</v>
      </c>
      <c r="AL627" s="641">
        <f t="shared" si="19"/>
        <v>1</v>
      </c>
      <c r="AM627" s="641">
        <v>1</v>
      </c>
      <c r="AN627" s="30" t="s">
        <v>17650</v>
      </c>
      <c r="AO627" s="30" t="s">
        <v>17651</v>
      </c>
      <c r="AP627" s="30" t="s">
        <v>17652</v>
      </c>
      <c r="AQ627" s="30" t="s">
        <v>17653</v>
      </c>
      <c r="AR627" s="30" t="s">
        <v>1024</v>
      </c>
      <c r="AS627" s="30">
        <v>1</v>
      </c>
    </row>
    <row r="628" spans="1:45" x14ac:dyDescent="0.25">
      <c r="A628" s="30" t="s">
        <v>26089</v>
      </c>
      <c r="B628" s="30" t="s">
        <v>27412</v>
      </c>
      <c r="C628" s="30" t="s">
        <v>10</v>
      </c>
      <c r="D628" s="139" t="s">
        <v>26375</v>
      </c>
      <c r="E628" s="30" t="s">
        <v>217</v>
      </c>
      <c r="F628" s="30">
        <v>1</v>
      </c>
      <c r="G628" s="30" t="s">
        <v>193</v>
      </c>
      <c r="H628" s="30" t="s">
        <v>194</v>
      </c>
      <c r="I628" s="30" t="s">
        <v>27277</v>
      </c>
      <c r="J628" s="30" t="s">
        <v>210</v>
      </c>
      <c r="K628" s="30" t="s">
        <v>9309</v>
      </c>
      <c r="L628" s="30" t="s">
        <v>6955</v>
      </c>
      <c r="M628" s="30"/>
      <c r="N628" s="30" t="s">
        <v>27413</v>
      </c>
      <c r="O628" s="30" t="s">
        <v>6261</v>
      </c>
      <c r="P628" s="30" t="s">
        <v>27770</v>
      </c>
      <c r="Q628" s="30" t="s">
        <v>26139</v>
      </c>
      <c r="R628" s="30" t="s">
        <v>27256</v>
      </c>
      <c r="S628" s="30" t="s">
        <v>27912</v>
      </c>
      <c r="T628" s="30" t="s">
        <v>27913</v>
      </c>
      <c r="U628" s="30"/>
      <c r="V628" s="139" t="s">
        <v>9334</v>
      </c>
      <c r="W628" s="30" t="s">
        <v>484</v>
      </c>
      <c r="X628" s="30" t="s">
        <v>194</v>
      </c>
      <c r="Y628" s="30" t="s">
        <v>9300</v>
      </c>
      <c r="Z628" s="30"/>
      <c r="AA628" s="30"/>
      <c r="AB628" s="30" t="s">
        <v>9311</v>
      </c>
      <c r="AC628" s="30"/>
      <c r="AD628" s="30"/>
      <c r="AE628" s="30"/>
      <c r="AF628" s="30"/>
      <c r="AG628" s="30"/>
      <c r="AH628" s="30" t="s">
        <v>4714</v>
      </c>
      <c r="AI628" s="30" t="s">
        <v>9433</v>
      </c>
      <c r="AJ628" s="641" t="str">
        <f t="shared" si="18"/>
        <v>251401</v>
      </c>
      <c r="AK628" s="641">
        <v>1</v>
      </c>
      <c r="AL628" s="641">
        <f>F628</f>
        <v>1</v>
      </c>
      <c r="AM628" s="641">
        <v>1</v>
      </c>
      <c r="AN628" s="30" t="s">
        <v>17650</v>
      </c>
      <c r="AO628" s="30" t="s">
        <v>17651</v>
      </c>
      <c r="AP628" s="30" t="s">
        <v>17652</v>
      </c>
      <c r="AQ628" s="30" t="s">
        <v>17653</v>
      </c>
      <c r="AR628" s="30" t="s">
        <v>1024</v>
      </c>
      <c r="AS628" s="30">
        <v>1</v>
      </c>
    </row>
    <row r="629" spans="1:45" x14ac:dyDescent="0.25">
      <c r="A629" s="30" t="s">
        <v>581</v>
      </c>
      <c r="B629" s="30" t="s">
        <v>23231</v>
      </c>
      <c r="C629" s="30" t="s">
        <v>554</v>
      </c>
      <c r="D629" s="139" t="s">
        <v>26375</v>
      </c>
      <c r="E629" s="30" t="s">
        <v>217</v>
      </c>
      <c r="F629" s="30">
        <v>1</v>
      </c>
      <c r="G629" s="30" t="s">
        <v>193</v>
      </c>
      <c r="H629" s="30" t="s">
        <v>194</v>
      </c>
      <c r="I629" s="30" t="s">
        <v>27277</v>
      </c>
      <c r="J629" s="30" t="s">
        <v>253</v>
      </c>
      <c r="K629" s="30" t="s">
        <v>9309</v>
      </c>
      <c r="L629" s="30" t="s">
        <v>6955</v>
      </c>
      <c r="M629" s="30"/>
      <c r="N629" s="30" t="s">
        <v>26877</v>
      </c>
      <c r="O629" s="30" t="s">
        <v>6363</v>
      </c>
      <c r="P629" s="30" t="s">
        <v>27770</v>
      </c>
      <c r="Q629" s="30" t="s">
        <v>26079</v>
      </c>
      <c r="R629" s="30" t="s">
        <v>26262</v>
      </c>
      <c r="S629" s="30" t="s">
        <v>27914</v>
      </c>
      <c r="T629" s="30" t="s">
        <v>27915</v>
      </c>
      <c r="U629" s="30"/>
      <c r="V629" s="139" t="s">
        <v>9468</v>
      </c>
      <c r="W629" s="30" t="s">
        <v>555</v>
      </c>
      <c r="X629" s="30" t="s">
        <v>194</v>
      </c>
      <c r="Y629" s="30" t="s">
        <v>9300</v>
      </c>
      <c r="Z629" s="30"/>
      <c r="AA629" s="30"/>
      <c r="AB629" s="30" t="s">
        <v>9311</v>
      </c>
      <c r="AC629" s="30"/>
      <c r="AD629" s="30"/>
      <c r="AE629" s="30"/>
      <c r="AF629" s="30"/>
      <c r="AG629" s="30"/>
      <c r="AH629" s="30" t="s">
        <v>4714</v>
      </c>
      <c r="AI629" s="30" t="s">
        <v>9433</v>
      </c>
      <c r="AJ629" s="641" t="str">
        <f t="shared" si="18"/>
        <v>311303</v>
      </c>
      <c r="AK629" s="641">
        <v>1</v>
      </c>
      <c r="AL629" s="641">
        <f t="shared" si="19"/>
        <v>1</v>
      </c>
      <c r="AM629" s="641">
        <v>1</v>
      </c>
      <c r="AN629" s="30" t="s">
        <v>17650</v>
      </c>
      <c r="AO629" s="30" t="s">
        <v>17651</v>
      </c>
      <c r="AP629" s="30" t="s">
        <v>17652</v>
      </c>
      <c r="AQ629" s="30" t="s">
        <v>17653</v>
      </c>
      <c r="AR629" s="30" t="s">
        <v>1024</v>
      </c>
      <c r="AS629" s="30">
        <v>1</v>
      </c>
    </row>
    <row r="630" spans="1:45" x14ac:dyDescent="0.25">
      <c r="A630" s="30" t="s">
        <v>27916</v>
      </c>
      <c r="B630" s="30" t="s">
        <v>27917</v>
      </c>
      <c r="C630" s="30" t="s">
        <v>133</v>
      </c>
      <c r="D630" s="139" t="s">
        <v>26375</v>
      </c>
      <c r="E630" s="30" t="s">
        <v>217</v>
      </c>
      <c r="F630" s="30">
        <v>1</v>
      </c>
      <c r="G630" s="30" t="s">
        <v>193</v>
      </c>
      <c r="H630" s="30" t="s">
        <v>194</v>
      </c>
      <c r="I630" s="30" t="s">
        <v>27277</v>
      </c>
      <c r="J630" s="30" t="s">
        <v>210</v>
      </c>
      <c r="K630" s="30" t="s">
        <v>9309</v>
      </c>
      <c r="L630" s="30" t="s">
        <v>6955</v>
      </c>
      <c r="M630" s="30"/>
      <c r="N630" s="30" t="s">
        <v>27918</v>
      </c>
      <c r="O630" s="30" t="s">
        <v>6269</v>
      </c>
      <c r="P630" s="30" t="s">
        <v>27919</v>
      </c>
      <c r="Q630" s="30" t="s">
        <v>26079</v>
      </c>
      <c r="R630" s="30" t="s">
        <v>26077</v>
      </c>
      <c r="S630" s="30" t="s">
        <v>27920</v>
      </c>
      <c r="T630" s="30" t="s">
        <v>27921</v>
      </c>
      <c r="U630" s="30"/>
      <c r="V630" s="139" t="s">
        <v>9334</v>
      </c>
      <c r="W630" s="30" t="s">
        <v>673</v>
      </c>
      <c r="X630" s="30" t="s">
        <v>194</v>
      </c>
      <c r="Y630" s="30" t="s">
        <v>9300</v>
      </c>
      <c r="Z630" s="30"/>
      <c r="AA630" s="30"/>
      <c r="AB630" s="30" t="s">
        <v>9311</v>
      </c>
      <c r="AC630" s="30"/>
      <c r="AD630" s="30"/>
      <c r="AE630" s="30"/>
      <c r="AF630" s="30"/>
      <c r="AG630" s="30"/>
      <c r="AH630" s="30" t="s">
        <v>4714</v>
      </c>
      <c r="AI630" s="30" t="s">
        <v>9433</v>
      </c>
      <c r="AJ630" s="641" t="str">
        <f t="shared" si="18"/>
        <v>333107</v>
      </c>
      <c r="AK630" s="641">
        <v>1</v>
      </c>
      <c r="AL630" s="641">
        <f t="shared" si="19"/>
        <v>1</v>
      </c>
      <c r="AM630" s="641">
        <v>1</v>
      </c>
      <c r="AN630" s="30" t="s">
        <v>17650</v>
      </c>
      <c r="AO630" s="30" t="s">
        <v>17651</v>
      </c>
      <c r="AP630" s="30" t="s">
        <v>17652</v>
      </c>
      <c r="AQ630" s="30" t="s">
        <v>17653</v>
      </c>
      <c r="AR630" s="30" t="s">
        <v>1024</v>
      </c>
      <c r="AS630" s="30">
        <v>1</v>
      </c>
    </row>
    <row r="631" spans="1:45" x14ac:dyDescent="0.25">
      <c r="A631" s="30" t="s">
        <v>26089</v>
      </c>
      <c r="B631" s="30" t="s">
        <v>26567</v>
      </c>
      <c r="C631" s="30" t="s">
        <v>26180</v>
      </c>
      <c r="D631" s="139" t="s">
        <v>26375</v>
      </c>
      <c r="E631" s="30" t="s">
        <v>217</v>
      </c>
      <c r="F631" s="30">
        <v>1</v>
      </c>
      <c r="G631" s="30" t="s">
        <v>193</v>
      </c>
      <c r="H631" s="30" t="s">
        <v>194</v>
      </c>
      <c r="I631" s="30" t="s">
        <v>27277</v>
      </c>
      <c r="J631" s="30" t="s">
        <v>210</v>
      </c>
      <c r="K631" s="30" t="s">
        <v>9309</v>
      </c>
      <c r="L631" s="30" t="s">
        <v>6955</v>
      </c>
      <c r="M631" s="30"/>
      <c r="N631" s="30" t="s">
        <v>27498</v>
      </c>
      <c r="O631" s="30" t="s">
        <v>6261</v>
      </c>
      <c r="P631" s="30" t="s">
        <v>27919</v>
      </c>
      <c r="Q631" s="30" t="s">
        <v>26160</v>
      </c>
      <c r="R631" s="30" t="s">
        <v>27340</v>
      </c>
      <c r="S631" s="30" t="s">
        <v>27922</v>
      </c>
      <c r="T631" s="30" t="s">
        <v>27923</v>
      </c>
      <c r="U631" s="30"/>
      <c r="V631" s="139" t="s">
        <v>9334</v>
      </c>
      <c r="W631" s="30" t="s">
        <v>26186</v>
      </c>
      <c r="X631" s="30" t="s">
        <v>194</v>
      </c>
      <c r="Y631" s="30" t="s">
        <v>9300</v>
      </c>
      <c r="Z631" s="30"/>
      <c r="AA631" s="30"/>
      <c r="AB631" s="30" t="s">
        <v>9311</v>
      </c>
      <c r="AC631" s="30"/>
      <c r="AD631" s="30"/>
      <c r="AE631" s="30"/>
      <c r="AF631" s="30"/>
      <c r="AG631" s="30"/>
      <c r="AH631" s="30" t="s">
        <v>4714</v>
      </c>
      <c r="AI631" s="30" t="s">
        <v>9433</v>
      </c>
      <c r="AJ631" s="641" t="str">
        <f t="shared" si="18"/>
        <v>421108</v>
      </c>
      <c r="AK631" s="641">
        <v>1</v>
      </c>
      <c r="AL631" s="641">
        <f t="shared" si="19"/>
        <v>1</v>
      </c>
      <c r="AM631" s="641">
        <v>1</v>
      </c>
      <c r="AN631" s="30" t="s">
        <v>17650</v>
      </c>
      <c r="AO631" s="30" t="s">
        <v>17651</v>
      </c>
      <c r="AP631" s="30" t="s">
        <v>17652</v>
      </c>
      <c r="AQ631" s="30" t="s">
        <v>17653</v>
      </c>
      <c r="AR631" s="30" t="s">
        <v>1024</v>
      </c>
      <c r="AS631" s="30">
        <v>1</v>
      </c>
    </row>
    <row r="632" spans="1:45" x14ac:dyDescent="0.25">
      <c r="A632" s="30" t="s">
        <v>26089</v>
      </c>
      <c r="B632" s="30" t="s">
        <v>26616</v>
      </c>
      <c r="C632" s="30" t="s">
        <v>26180</v>
      </c>
      <c r="D632" s="139" t="s">
        <v>26375</v>
      </c>
      <c r="E632" s="30" t="s">
        <v>217</v>
      </c>
      <c r="F632" s="30">
        <v>1</v>
      </c>
      <c r="G632" s="30" t="s">
        <v>193</v>
      </c>
      <c r="H632" s="30" t="s">
        <v>194</v>
      </c>
      <c r="I632" s="30" t="s">
        <v>27277</v>
      </c>
      <c r="J632" s="30" t="s">
        <v>316</v>
      </c>
      <c r="K632" s="30" t="s">
        <v>9309</v>
      </c>
      <c r="L632" s="30" t="s">
        <v>6955</v>
      </c>
      <c r="M632" s="30"/>
      <c r="N632" s="30" t="s">
        <v>27574</v>
      </c>
      <c r="O632" s="30" t="s">
        <v>6251</v>
      </c>
      <c r="P632" s="30" t="s">
        <v>27919</v>
      </c>
      <c r="Q632" s="30" t="s">
        <v>25893</v>
      </c>
      <c r="R632" s="30" t="s">
        <v>27300</v>
      </c>
      <c r="S632" s="30" t="s">
        <v>27924</v>
      </c>
      <c r="T632" s="30" t="s">
        <v>27925</v>
      </c>
      <c r="U632" s="30"/>
      <c r="V632" s="139" t="s">
        <v>10012</v>
      </c>
      <c r="W632" s="30" t="s">
        <v>26186</v>
      </c>
      <c r="X632" s="30" t="s">
        <v>194</v>
      </c>
      <c r="Y632" s="30" t="s">
        <v>9300</v>
      </c>
      <c r="Z632" s="30"/>
      <c r="AA632" s="30"/>
      <c r="AB632" s="30" t="s">
        <v>9311</v>
      </c>
      <c r="AC632" s="30"/>
      <c r="AD632" s="30"/>
      <c r="AE632" s="30"/>
      <c r="AF632" s="30"/>
      <c r="AG632" s="30"/>
      <c r="AH632" s="30" t="s">
        <v>4714</v>
      </c>
      <c r="AI632" s="30" t="s">
        <v>9433</v>
      </c>
      <c r="AJ632" s="641" t="str">
        <f t="shared" si="18"/>
        <v>421108</v>
      </c>
      <c r="AK632" s="641">
        <v>1</v>
      </c>
      <c r="AL632" s="641">
        <f t="shared" si="19"/>
        <v>1</v>
      </c>
      <c r="AM632" s="641">
        <v>1</v>
      </c>
      <c r="AN632" s="30" t="s">
        <v>17650</v>
      </c>
      <c r="AO632" s="30" t="s">
        <v>17651</v>
      </c>
      <c r="AP632" s="30" t="s">
        <v>17652</v>
      </c>
      <c r="AQ632" s="30" t="s">
        <v>17653</v>
      </c>
      <c r="AR632" s="30" t="s">
        <v>1024</v>
      </c>
      <c r="AS632" s="30">
        <v>1</v>
      </c>
    </row>
    <row r="633" spans="1:45" x14ac:dyDescent="0.25">
      <c r="A633" s="30" t="s">
        <v>716</v>
      </c>
      <c r="B633" s="30" t="s">
        <v>26658</v>
      </c>
      <c r="C633" s="30" t="s">
        <v>2861</v>
      </c>
      <c r="D633" s="139" t="s">
        <v>26375</v>
      </c>
      <c r="E633" s="30" t="s">
        <v>217</v>
      </c>
      <c r="F633" s="30">
        <v>1</v>
      </c>
      <c r="G633" s="30" t="s">
        <v>193</v>
      </c>
      <c r="H633" s="30" t="s">
        <v>194</v>
      </c>
      <c r="I633" s="30" t="s">
        <v>23198</v>
      </c>
      <c r="J633" s="30" t="s">
        <v>210</v>
      </c>
      <c r="K633" s="30" t="s">
        <v>9309</v>
      </c>
      <c r="L633" s="30" t="s">
        <v>6955</v>
      </c>
      <c r="M633" s="30"/>
      <c r="N633" s="30" t="s">
        <v>26947</v>
      </c>
      <c r="O633" s="30" t="s">
        <v>6290</v>
      </c>
      <c r="P633" s="30" t="s">
        <v>27919</v>
      </c>
      <c r="Q633" s="30" t="s">
        <v>26942</v>
      </c>
      <c r="R633" s="30" t="s">
        <v>23708</v>
      </c>
      <c r="S633" s="30" t="s">
        <v>27926</v>
      </c>
      <c r="T633" s="30" t="s">
        <v>27927</v>
      </c>
      <c r="U633" s="30"/>
      <c r="V633" s="139" t="s">
        <v>9334</v>
      </c>
      <c r="W633" s="30" t="s">
        <v>3629</v>
      </c>
      <c r="X633" s="30" t="s">
        <v>194</v>
      </c>
      <c r="Y633" s="30" t="s">
        <v>9300</v>
      </c>
      <c r="Z633" s="30"/>
      <c r="AA633" s="30"/>
      <c r="AB633" s="30" t="s">
        <v>9311</v>
      </c>
      <c r="AC633" s="30"/>
      <c r="AD633" s="30"/>
      <c r="AE633" s="30"/>
      <c r="AF633" s="30"/>
      <c r="AG633" s="30"/>
      <c r="AH633" s="30" t="s">
        <v>4714</v>
      </c>
      <c r="AI633" s="30" t="s">
        <v>9433</v>
      </c>
      <c r="AJ633" s="641" t="str">
        <f t="shared" si="18"/>
        <v>251903</v>
      </c>
      <c r="AK633" s="641">
        <v>1</v>
      </c>
      <c r="AL633" s="641">
        <f t="shared" si="19"/>
        <v>1</v>
      </c>
      <c r="AM633" s="641">
        <v>1</v>
      </c>
      <c r="AN633" s="30" t="s">
        <v>17650</v>
      </c>
      <c r="AO633" s="30" t="s">
        <v>17651</v>
      </c>
      <c r="AP633" s="30" t="s">
        <v>17652</v>
      </c>
      <c r="AQ633" s="30" t="s">
        <v>17653</v>
      </c>
      <c r="AR633" s="30" t="s">
        <v>1024</v>
      </c>
      <c r="AS633" s="30">
        <v>1</v>
      </c>
    </row>
    <row r="634" spans="1:45" x14ac:dyDescent="0.25">
      <c r="A634" s="30" t="s">
        <v>10145</v>
      </c>
      <c r="B634" s="30" t="s">
        <v>10126</v>
      </c>
      <c r="C634" s="30" t="s">
        <v>114</v>
      </c>
      <c r="D634" s="139" t="s">
        <v>26375</v>
      </c>
      <c r="E634" s="30" t="s">
        <v>217</v>
      </c>
      <c r="F634" s="30">
        <v>1</v>
      </c>
      <c r="G634" s="30" t="s">
        <v>193</v>
      </c>
      <c r="H634" s="30" t="s">
        <v>194</v>
      </c>
      <c r="I634" s="30" t="s">
        <v>27277</v>
      </c>
      <c r="J634" s="30" t="s">
        <v>210</v>
      </c>
      <c r="K634" s="30" t="s">
        <v>9309</v>
      </c>
      <c r="L634" s="30" t="s">
        <v>6955</v>
      </c>
      <c r="M634" s="30"/>
      <c r="N634" s="30" t="s">
        <v>26707</v>
      </c>
      <c r="O634" s="30" t="s">
        <v>6249</v>
      </c>
      <c r="P634" s="30" t="s">
        <v>27919</v>
      </c>
      <c r="Q634" s="30" t="s">
        <v>26261</v>
      </c>
      <c r="R634" s="30" t="s">
        <v>26262</v>
      </c>
      <c r="S634" s="30" t="s">
        <v>27928</v>
      </c>
      <c r="T634" s="30" t="s">
        <v>27929</v>
      </c>
      <c r="U634" s="30"/>
      <c r="V634" s="139" t="s">
        <v>9334</v>
      </c>
      <c r="W634" s="30" t="s">
        <v>1166</v>
      </c>
      <c r="X634" s="30" t="s">
        <v>194</v>
      </c>
      <c r="Y634" s="30" t="s">
        <v>9300</v>
      </c>
      <c r="Z634" s="30"/>
      <c r="AA634" s="30"/>
      <c r="AB634" s="30" t="s">
        <v>9311</v>
      </c>
      <c r="AC634" s="30"/>
      <c r="AD634" s="30"/>
      <c r="AE634" s="30"/>
      <c r="AF634" s="30"/>
      <c r="AG634" s="30"/>
      <c r="AH634" s="30" t="s">
        <v>4714</v>
      </c>
      <c r="AI634" s="30" t="s">
        <v>9433</v>
      </c>
      <c r="AJ634" s="641" t="str">
        <f t="shared" si="18"/>
        <v>432102</v>
      </c>
      <c r="AK634" s="641">
        <v>1</v>
      </c>
      <c r="AL634" s="641">
        <f t="shared" si="19"/>
        <v>1</v>
      </c>
      <c r="AM634" s="641">
        <v>1</v>
      </c>
      <c r="AN634" s="30" t="s">
        <v>17650</v>
      </c>
      <c r="AO634" s="30" t="s">
        <v>17651</v>
      </c>
      <c r="AP634" s="30" t="s">
        <v>17652</v>
      </c>
      <c r="AQ634" s="30" t="s">
        <v>17653</v>
      </c>
      <c r="AR634" s="30" t="s">
        <v>1024</v>
      </c>
      <c r="AS634" s="30">
        <v>1</v>
      </c>
    </row>
    <row r="635" spans="1:45" x14ac:dyDescent="0.25">
      <c r="A635" s="30" t="s">
        <v>716</v>
      </c>
      <c r="B635" s="30" t="s">
        <v>26342</v>
      </c>
      <c r="C635" s="30" t="s">
        <v>27859</v>
      </c>
      <c r="D635" s="139" t="s">
        <v>26375</v>
      </c>
      <c r="E635" s="30" t="s">
        <v>217</v>
      </c>
      <c r="F635" s="30">
        <v>1</v>
      </c>
      <c r="G635" s="30" t="s">
        <v>193</v>
      </c>
      <c r="H635" s="30" t="s">
        <v>194</v>
      </c>
      <c r="I635" s="30" t="s">
        <v>27277</v>
      </c>
      <c r="J635" s="30" t="s">
        <v>210</v>
      </c>
      <c r="K635" s="30" t="s">
        <v>9309</v>
      </c>
      <c r="L635" s="30" t="s">
        <v>6955</v>
      </c>
      <c r="M635" s="30"/>
      <c r="N635" s="30" t="s">
        <v>27930</v>
      </c>
      <c r="O635" s="30" t="s">
        <v>6302</v>
      </c>
      <c r="P635" s="30" t="s">
        <v>27919</v>
      </c>
      <c r="Q635" s="30" t="s">
        <v>26079</v>
      </c>
      <c r="R635" s="30" t="s">
        <v>26077</v>
      </c>
      <c r="S635" s="30" t="s">
        <v>27931</v>
      </c>
      <c r="T635" s="30" t="s">
        <v>27932</v>
      </c>
      <c r="U635" s="30"/>
      <c r="V635" s="139" t="s">
        <v>9334</v>
      </c>
      <c r="W635" s="30" t="s">
        <v>27862</v>
      </c>
      <c r="X635" s="30" t="s">
        <v>194</v>
      </c>
      <c r="Y635" s="30" t="s">
        <v>9300</v>
      </c>
      <c r="Z635" s="30"/>
      <c r="AA635" s="30"/>
      <c r="AB635" s="30" t="s">
        <v>9311</v>
      </c>
      <c r="AC635" s="30"/>
      <c r="AD635" s="30"/>
      <c r="AE635" s="30"/>
      <c r="AF635" s="30"/>
      <c r="AG635" s="30"/>
      <c r="AH635" s="30" t="s">
        <v>4714</v>
      </c>
      <c r="AI635" s="30" t="s">
        <v>9433</v>
      </c>
      <c r="AJ635" s="641" t="str">
        <f t="shared" si="18"/>
        <v>351490</v>
      </c>
      <c r="AK635" s="641">
        <v>1</v>
      </c>
      <c r="AL635" s="641">
        <f t="shared" si="19"/>
        <v>1</v>
      </c>
      <c r="AM635" s="641">
        <v>1</v>
      </c>
      <c r="AN635" s="30" t="s">
        <v>17650</v>
      </c>
      <c r="AO635" s="30" t="s">
        <v>17651</v>
      </c>
      <c r="AP635" s="30" t="s">
        <v>17652</v>
      </c>
      <c r="AQ635" s="30" t="s">
        <v>17653</v>
      </c>
      <c r="AR635" s="30" t="s">
        <v>1024</v>
      </c>
      <c r="AS635" s="30">
        <v>1</v>
      </c>
    </row>
    <row r="636" spans="1:45" x14ac:dyDescent="0.25">
      <c r="A636" s="30" t="s">
        <v>26089</v>
      </c>
      <c r="B636" s="30" t="s">
        <v>26090</v>
      </c>
      <c r="C636" s="30" t="s">
        <v>36</v>
      </c>
      <c r="D636" s="139" t="s">
        <v>26375</v>
      </c>
      <c r="E636" s="30" t="s">
        <v>217</v>
      </c>
      <c r="F636" s="30">
        <v>1</v>
      </c>
      <c r="G636" s="30" t="s">
        <v>193</v>
      </c>
      <c r="H636" s="30" t="s">
        <v>194</v>
      </c>
      <c r="I636" s="30" t="s">
        <v>27277</v>
      </c>
      <c r="J636" s="30" t="s">
        <v>210</v>
      </c>
      <c r="K636" s="30" t="s">
        <v>9309</v>
      </c>
      <c r="L636" s="30" t="s">
        <v>6955</v>
      </c>
      <c r="M636" s="30"/>
      <c r="N636" s="30" t="s">
        <v>26474</v>
      </c>
      <c r="O636" s="30" t="s">
        <v>7120</v>
      </c>
      <c r="P636" s="30" t="s">
        <v>27805</v>
      </c>
      <c r="Q636" s="30" t="s">
        <v>26092</v>
      </c>
      <c r="R636" s="30" t="s">
        <v>27806</v>
      </c>
      <c r="S636" s="30" t="s">
        <v>27933</v>
      </c>
      <c r="T636" s="30" t="s">
        <v>27934</v>
      </c>
      <c r="U636" s="30"/>
      <c r="V636" s="139" t="s">
        <v>9334</v>
      </c>
      <c r="W636" s="30" t="s">
        <v>609</v>
      </c>
      <c r="X636" s="30" t="s">
        <v>194</v>
      </c>
      <c r="Y636" s="30" t="s">
        <v>9300</v>
      </c>
      <c r="Z636" s="30"/>
      <c r="AA636" s="30"/>
      <c r="AB636" s="30" t="s">
        <v>9311</v>
      </c>
      <c r="AC636" s="30"/>
      <c r="AD636" s="30"/>
      <c r="AE636" s="30"/>
      <c r="AF636" s="30"/>
      <c r="AG636" s="30"/>
      <c r="AH636" s="30" t="s">
        <v>4714</v>
      </c>
      <c r="AI636" s="30" t="s">
        <v>9433</v>
      </c>
      <c r="AJ636" s="641" t="str">
        <f t="shared" si="18"/>
        <v>331301</v>
      </c>
      <c r="AK636" s="641">
        <v>1</v>
      </c>
      <c r="AL636" s="641">
        <f t="shared" si="19"/>
        <v>1</v>
      </c>
      <c r="AM636" s="641">
        <v>1</v>
      </c>
      <c r="AN636" s="30" t="s">
        <v>17650</v>
      </c>
      <c r="AO636" s="30" t="s">
        <v>17651</v>
      </c>
      <c r="AP636" s="30" t="s">
        <v>17652</v>
      </c>
      <c r="AQ636" s="30" t="s">
        <v>17653</v>
      </c>
      <c r="AR636" s="30" t="s">
        <v>1024</v>
      </c>
      <c r="AS636" s="30">
        <v>1</v>
      </c>
    </row>
    <row r="637" spans="1:45" x14ac:dyDescent="0.25">
      <c r="A637" s="30" t="s">
        <v>26089</v>
      </c>
      <c r="B637" s="30" t="s">
        <v>26616</v>
      </c>
      <c r="C637" s="30" t="s">
        <v>26180</v>
      </c>
      <c r="D637" s="139" t="s">
        <v>26375</v>
      </c>
      <c r="E637" s="30" t="s">
        <v>217</v>
      </c>
      <c r="F637" s="30">
        <v>1</v>
      </c>
      <c r="G637" s="30" t="s">
        <v>193</v>
      </c>
      <c r="H637" s="30" t="s">
        <v>194</v>
      </c>
      <c r="I637" s="30" t="s">
        <v>27277</v>
      </c>
      <c r="J637" s="30" t="s">
        <v>4751</v>
      </c>
      <c r="K637" s="30" t="s">
        <v>9309</v>
      </c>
      <c r="L637" s="30" t="s">
        <v>6955</v>
      </c>
      <c r="M637" s="30"/>
      <c r="N637" s="30" t="s">
        <v>27632</v>
      </c>
      <c r="O637" s="30" t="s">
        <v>6251</v>
      </c>
      <c r="P637" s="30" t="s">
        <v>27919</v>
      </c>
      <c r="Q637" s="30" t="s">
        <v>25893</v>
      </c>
      <c r="R637" s="30" t="s">
        <v>27300</v>
      </c>
      <c r="S637" s="30" t="s">
        <v>27935</v>
      </c>
      <c r="T637" s="30" t="s">
        <v>27936</v>
      </c>
      <c r="U637" s="30"/>
      <c r="V637" s="139" t="s">
        <v>9472</v>
      </c>
      <c r="W637" s="30" t="s">
        <v>26186</v>
      </c>
      <c r="X637" s="30" t="s">
        <v>194</v>
      </c>
      <c r="Y637" s="30" t="s">
        <v>9300</v>
      </c>
      <c r="Z637" s="30"/>
      <c r="AA637" s="30"/>
      <c r="AB637" s="30" t="s">
        <v>9311</v>
      </c>
      <c r="AC637" s="30"/>
      <c r="AD637" s="30"/>
      <c r="AE637" s="30"/>
      <c r="AF637" s="30"/>
      <c r="AG637" s="30"/>
      <c r="AH637" s="30" t="s">
        <v>4714</v>
      </c>
      <c r="AI637" s="30" t="s">
        <v>9433</v>
      </c>
      <c r="AJ637" s="641" t="str">
        <f t="shared" si="18"/>
        <v>421108</v>
      </c>
      <c r="AK637" s="641">
        <v>1</v>
      </c>
      <c r="AL637" s="641">
        <f t="shared" si="19"/>
        <v>1</v>
      </c>
      <c r="AM637" s="641">
        <v>1</v>
      </c>
      <c r="AN637" s="30" t="s">
        <v>17650</v>
      </c>
      <c r="AO637" s="30" t="s">
        <v>17651</v>
      </c>
      <c r="AP637" s="30" t="s">
        <v>17652</v>
      </c>
      <c r="AQ637" s="30" t="s">
        <v>17653</v>
      </c>
      <c r="AR637" s="30" t="s">
        <v>1024</v>
      </c>
      <c r="AS637" s="30">
        <v>1</v>
      </c>
    </row>
    <row r="638" spans="1:45" x14ac:dyDescent="0.25">
      <c r="A638" s="30" t="s">
        <v>716</v>
      </c>
      <c r="B638" s="30" t="s">
        <v>27098</v>
      </c>
      <c r="C638" s="30" t="s">
        <v>706</v>
      </c>
      <c r="D638" s="139" t="s">
        <v>26375</v>
      </c>
      <c r="E638" s="30" t="s">
        <v>217</v>
      </c>
      <c r="F638" s="30">
        <v>1</v>
      </c>
      <c r="G638" s="30" t="s">
        <v>193</v>
      </c>
      <c r="H638" s="30" t="s">
        <v>194</v>
      </c>
      <c r="I638" s="30" t="s">
        <v>27277</v>
      </c>
      <c r="J638" s="30" t="s">
        <v>210</v>
      </c>
      <c r="K638" s="30" t="s">
        <v>9309</v>
      </c>
      <c r="L638" s="30" t="s">
        <v>6955</v>
      </c>
      <c r="M638" s="30"/>
      <c r="N638" s="30" t="s">
        <v>27099</v>
      </c>
      <c r="O638" s="30" t="s">
        <v>6286</v>
      </c>
      <c r="P638" s="30" t="s">
        <v>27919</v>
      </c>
      <c r="Q638" s="30" t="s">
        <v>26073</v>
      </c>
      <c r="R638" s="30" t="s">
        <v>27021</v>
      </c>
      <c r="S638" s="30" t="s">
        <v>27937</v>
      </c>
      <c r="T638" s="30" t="s">
        <v>27938</v>
      </c>
      <c r="U638" s="30"/>
      <c r="V638" s="139" t="s">
        <v>9334</v>
      </c>
      <c r="W638" s="30" t="s">
        <v>707</v>
      </c>
      <c r="X638" s="30" t="s">
        <v>194</v>
      </c>
      <c r="Y638" s="30" t="s">
        <v>9300</v>
      </c>
      <c r="Z638" s="30"/>
      <c r="AA638" s="30"/>
      <c r="AB638" s="30" t="s">
        <v>9311</v>
      </c>
      <c r="AC638" s="30"/>
      <c r="AD638" s="30"/>
      <c r="AE638" s="30"/>
      <c r="AF638" s="30"/>
      <c r="AG638" s="30"/>
      <c r="AH638" s="30" t="s">
        <v>4714</v>
      </c>
      <c r="AI638" s="30" t="s">
        <v>9433</v>
      </c>
      <c r="AJ638" s="641" t="str">
        <f t="shared" si="18"/>
        <v>422201</v>
      </c>
      <c r="AK638" s="641">
        <v>1</v>
      </c>
      <c r="AL638" s="641">
        <f t="shared" si="19"/>
        <v>1</v>
      </c>
      <c r="AM638" s="641">
        <v>1</v>
      </c>
      <c r="AN638" s="30" t="s">
        <v>17650</v>
      </c>
      <c r="AO638" s="30" t="s">
        <v>17651</v>
      </c>
      <c r="AP638" s="30" t="s">
        <v>17652</v>
      </c>
      <c r="AQ638" s="30" t="s">
        <v>17653</v>
      </c>
      <c r="AR638" s="30" t="s">
        <v>1024</v>
      </c>
      <c r="AS638" s="30">
        <v>1</v>
      </c>
    </row>
    <row r="639" spans="1:45" x14ac:dyDescent="0.25">
      <c r="A639" s="30" t="s">
        <v>15464</v>
      </c>
      <c r="B639" s="30" t="s">
        <v>22217</v>
      </c>
      <c r="C639" s="30" t="s">
        <v>468</v>
      </c>
      <c r="D639" s="139" t="s">
        <v>26375</v>
      </c>
      <c r="E639" s="30" t="s">
        <v>217</v>
      </c>
      <c r="F639" s="30">
        <v>1</v>
      </c>
      <c r="G639" s="30" t="s">
        <v>193</v>
      </c>
      <c r="H639" s="30" t="s">
        <v>194</v>
      </c>
      <c r="I639" s="30" t="s">
        <v>27277</v>
      </c>
      <c r="J639" s="30" t="s">
        <v>210</v>
      </c>
      <c r="K639" s="30" t="s">
        <v>9309</v>
      </c>
      <c r="L639" s="30" t="s">
        <v>6955</v>
      </c>
      <c r="M639" s="30"/>
      <c r="N639" s="30" t="s">
        <v>22238</v>
      </c>
      <c r="O639" s="30" t="s">
        <v>6251</v>
      </c>
      <c r="P639" s="30" t="s">
        <v>27805</v>
      </c>
      <c r="Q639" s="30" t="s">
        <v>26027</v>
      </c>
      <c r="R639" s="30" t="s">
        <v>27806</v>
      </c>
      <c r="S639" s="30" t="s">
        <v>27939</v>
      </c>
      <c r="T639" s="30" t="s">
        <v>27940</v>
      </c>
      <c r="U639" s="30"/>
      <c r="V639" s="139" t="s">
        <v>9334</v>
      </c>
      <c r="W639" s="30" t="s">
        <v>469</v>
      </c>
      <c r="X639" s="30" t="s">
        <v>194</v>
      </c>
      <c r="Y639" s="30" t="s">
        <v>9300</v>
      </c>
      <c r="Z639" s="30"/>
      <c r="AA639" s="30"/>
      <c r="AB639" s="30" t="s">
        <v>9311</v>
      </c>
      <c r="AC639" s="30"/>
      <c r="AD639" s="30"/>
      <c r="AE639" s="30"/>
      <c r="AF639" s="30"/>
      <c r="AG639" s="30"/>
      <c r="AH639" s="30" t="s">
        <v>4714</v>
      </c>
      <c r="AI639" s="30" t="s">
        <v>9433</v>
      </c>
      <c r="AJ639" s="641" t="str">
        <f t="shared" si="18"/>
        <v>243303</v>
      </c>
      <c r="AK639" s="641">
        <v>1</v>
      </c>
      <c r="AL639" s="641">
        <f t="shared" si="19"/>
        <v>1</v>
      </c>
      <c r="AM639" s="641">
        <v>1</v>
      </c>
      <c r="AN639" s="30" t="s">
        <v>17650</v>
      </c>
      <c r="AO639" s="30" t="s">
        <v>17651</v>
      </c>
      <c r="AP639" s="30" t="s">
        <v>17652</v>
      </c>
      <c r="AQ639" s="30" t="s">
        <v>17653</v>
      </c>
      <c r="AR639" s="30" t="s">
        <v>1024</v>
      </c>
      <c r="AS639" s="30">
        <v>1</v>
      </c>
    </row>
    <row r="640" spans="1:45" x14ac:dyDescent="0.25">
      <c r="A640" s="30" t="s">
        <v>716</v>
      </c>
      <c r="B640" s="30" t="s">
        <v>26369</v>
      </c>
      <c r="C640" s="30" t="s">
        <v>24125</v>
      </c>
      <c r="D640" s="139" t="s">
        <v>26375</v>
      </c>
      <c r="E640" s="30" t="s">
        <v>217</v>
      </c>
      <c r="F640" s="30">
        <v>1</v>
      </c>
      <c r="G640" s="30" t="s">
        <v>193</v>
      </c>
      <c r="H640" s="30" t="s">
        <v>194</v>
      </c>
      <c r="I640" s="30" t="s">
        <v>26133</v>
      </c>
      <c r="J640" s="30" t="s">
        <v>210</v>
      </c>
      <c r="K640" s="30" t="s">
        <v>9309</v>
      </c>
      <c r="L640" s="30" t="s">
        <v>6955</v>
      </c>
      <c r="M640" s="30"/>
      <c r="N640" s="30" t="s">
        <v>27941</v>
      </c>
      <c r="O640" s="30" t="s">
        <v>6302</v>
      </c>
      <c r="P640" s="30" t="s">
        <v>27919</v>
      </c>
      <c r="Q640" s="30" t="s">
        <v>26079</v>
      </c>
      <c r="R640" s="30" t="s">
        <v>26077</v>
      </c>
      <c r="S640" s="30" t="s">
        <v>27942</v>
      </c>
      <c r="T640" s="30" t="s">
        <v>27943</v>
      </c>
      <c r="U640" s="30"/>
      <c r="V640" s="139" t="s">
        <v>9334</v>
      </c>
      <c r="W640" s="30" t="s">
        <v>24129</v>
      </c>
      <c r="X640" s="30" t="s">
        <v>194</v>
      </c>
      <c r="Y640" s="30" t="s">
        <v>9300</v>
      </c>
      <c r="Z640" s="30"/>
      <c r="AA640" s="30"/>
      <c r="AB640" s="30" t="s">
        <v>9311</v>
      </c>
      <c r="AC640" s="30"/>
      <c r="AD640" s="30"/>
      <c r="AE640" s="30"/>
      <c r="AF640" s="30"/>
      <c r="AG640" s="30"/>
      <c r="AH640" s="30" t="s">
        <v>4714</v>
      </c>
      <c r="AI640" s="30" t="s">
        <v>9433</v>
      </c>
      <c r="AJ640" s="641" t="str">
        <f t="shared" si="18"/>
        <v>351401</v>
      </c>
      <c r="AK640" s="641">
        <v>1</v>
      </c>
      <c r="AL640" s="641">
        <f>F640</f>
        <v>1</v>
      </c>
      <c r="AM640" s="641">
        <v>1</v>
      </c>
      <c r="AN640" s="30" t="s">
        <v>17650</v>
      </c>
      <c r="AO640" s="30" t="s">
        <v>17651</v>
      </c>
      <c r="AP640" s="30" t="s">
        <v>17652</v>
      </c>
      <c r="AQ640" s="30" t="s">
        <v>17653</v>
      </c>
      <c r="AR640" s="30" t="s">
        <v>1024</v>
      </c>
      <c r="AS640" s="30">
        <v>1</v>
      </c>
    </row>
    <row r="641" spans="1:45" x14ac:dyDescent="0.25">
      <c r="A641" s="30" t="s">
        <v>26089</v>
      </c>
      <c r="B641" s="30" t="s">
        <v>26090</v>
      </c>
      <c r="C641" s="30" t="s">
        <v>36</v>
      </c>
      <c r="D641" s="139" t="s">
        <v>26375</v>
      </c>
      <c r="E641" s="30" t="s">
        <v>217</v>
      </c>
      <c r="F641" s="30">
        <v>1</v>
      </c>
      <c r="G641" s="30" t="s">
        <v>193</v>
      </c>
      <c r="H641" s="30" t="s">
        <v>194</v>
      </c>
      <c r="I641" s="30" t="s">
        <v>27277</v>
      </c>
      <c r="J641" s="30" t="s">
        <v>4751</v>
      </c>
      <c r="K641" s="30" t="s">
        <v>9309</v>
      </c>
      <c r="L641" s="30" t="s">
        <v>6955</v>
      </c>
      <c r="M641" s="30"/>
      <c r="N641" s="30" t="s">
        <v>26620</v>
      </c>
      <c r="O641" s="30" t="s">
        <v>7120</v>
      </c>
      <c r="P641" s="30" t="s">
        <v>27805</v>
      </c>
      <c r="Q641" s="30" t="s">
        <v>26092</v>
      </c>
      <c r="R641" s="30" t="s">
        <v>27806</v>
      </c>
      <c r="S641" s="30" t="s">
        <v>27944</v>
      </c>
      <c r="T641" s="30" t="s">
        <v>27945</v>
      </c>
      <c r="U641" s="30"/>
      <c r="V641" s="139" t="s">
        <v>9472</v>
      </c>
      <c r="W641" s="30" t="s">
        <v>609</v>
      </c>
      <c r="X641" s="30" t="s">
        <v>194</v>
      </c>
      <c r="Y641" s="30" t="s">
        <v>9300</v>
      </c>
      <c r="Z641" s="30"/>
      <c r="AA641" s="30"/>
      <c r="AB641" s="30" t="s">
        <v>9311</v>
      </c>
      <c r="AC641" s="30"/>
      <c r="AD641" s="30"/>
      <c r="AE641" s="30"/>
      <c r="AF641" s="30"/>
      <c r="AG641" s="30"/>
      <c r="AH641" s="30" t="s">
        <v>4714</v>
      </c>
      <c r="AI641" s="30" t="s">
        <v>9433</v>
      </c>
      <c r="AJ641" s="641" t="str">
        <f t="shared" si="18"/>
        <v>331301</v>
      </c>
      <c r="AK641" s="641">
        <v>1</v>
      </c>
      <c r="AL641" s="641">
        <f>F641</f>
        <v>1</v>
      </c>
      <c r="AM641" s="641">
        <v>1</v>
      </c>
      <c r="AN641" s="30" t="s">
        <v>17650</v>
      </c>
      <c r="AO641" s="30" t="s">
        <v>17651</v>
      </c>
      <c r="AP641" s="30" t="s">
        <v>17652</v>
      </c>
      <c r="AQ641" s="30" t="s">
        <v>17653</v>
      </c>
      <c r="AR641" s="30" t="s">
        <v>1024</v>
      </c>
      <c r="AS641" s="30">
        <v>1</v>
      </c>
    </row>
    <row r="642" spans="1:45" x14ac:dyDescent="0.25">
      <c r="A642" s="30" t="s">
        <v>716</v>
      </c>
      <c r="B642" s="30" t="s">
        <v>26175</v>
      </c>
      <c r="C642" s="30" t="s">
        <v>10</v>
      </c>
      <c r="D642" s="139" t="s">
        <v>26375</v>
      </c>
      <c r="E642" s="30" t="s">
        <v>217</v>
      </c>
      <c r="F642" s="30">
        <v>1</v>
      </c>
      <c r="G642" s="30" t="s">
        <v>193</v>
      </c>
      <c r="H642" s="30" t="s">
        <v>194</v>
      </c>
      <c r="I642" s="30" t="s">
        <v>27277</v>
      </c>
      <c r="J642" s="30" t="s">
        <v>210</v>
      </c>
      <c r="K642" s="30" t="s">
        <v>9309</v>
      </c>
      <c r="L642" s="30" t="s">
        <v>6955</v>
      </c>
      <c r="M642" s="30"/>
      <c r="N642" s="30" t="s">
        <v>27946</v>
      </c>
      <c r="O642" s="30" t="s">
        <v>6261</v>
      </c>
      <c r="P642" s="30" t="s">
        <v>27919</v>
      </c>
      <c r="Q642" s="30" t="s">
        <v>26252</v>
      </c>
      <c r="R642" s="30" t="s">
        <v>27838</v>
      </c>
      <c r="S642" s="30" t="s">
        <v>27947</v>
      </c>
      <c r="T642" s="30" t="s">
        <v>27948</v>
      </c>
      <c r="U642" s="30"/>
      <c r="V642" s="139" t="s">
        <v>9334</v>
      </c>
      <c r="W642" s="30" t="s">
        <v>484</v>
      </c>
      <c r="X642" s="30" t="s">
        <v>194</v>
      </c>
      <c r="Y642" s="30" t="s">
        <v>9300</v>
      </c>
      <c r="Z642" s="30"/>
      <c r="AA642" s="30"/>
      <c r="AB642" s="30" t="s">
        <v>9311</v>
      </c>
      <c r="AC642" s="30"/>
      <c r="AD642" s="30"/>
      <c r="AE642" s="30"/>
      <c r="AF642" s="30"/>
      <c r="AG642" s="30"/>
      <c r="AH642" s="30" t="s">
        <v>4714</v>
      </c>
      <c r="AI642" s="30" t="s">
        <v>9433</v>
      </c>
      <c r="AJ642" s="641" t="str">
        <f t="shared" si="18"/>
        <v>251401</v>
      </c>
      <c r="AK642" s="641">
        <v>1</v>
      </c>
      <c r="AL642" s="641">
        <f t="shared" si="19"/>
        <v>1</v>
      </c>
      <c r="AM642" s="641">
        <v>1</v>
      </c>
      <c r="AN642" s="30" t="s">
        <v>17650</v>
      </c>
      <c r="AO642" s="30" t="s">
        <v>17651</v>
      </c>
      <c r="AP642" s="30" t="s">
        <v>17652</v>
      </c>
      <c r="AQ642" s="30" t="s">
        <v>17653</v>
      </c>
      <c r="AR642" s="30" t="s">
        <v>1024</v>
      </c>
      <c r="AS642" s="30">
        <v>1</v>
      </c>
    </row>
    <row r="643" spans="1:45" x14ac:dyDescent="0.25">
      <c r="A643" s="30" t="s">
        <v>26153</v>
      </c>
      <c r="B643" s="30" t="s">
        <v>27359</v>
      </c>
      <c r="C643" s="30" t="s">
        <v>10</v>
      </c>
      <c r="D643" s="139" t="s">
        <v>26375</v>
      </c>
      <c r="E643" s="30" t="s">
        <v>217</v>
      </c>
      <c r="F643" s="30">
        <v>1</v>
      </c>
      <c r="G643" s="30" t="s">
        <v>193</v>
      </c>
      <c r="H643" s="30" t="s">
        <v>194</v>
      </c>
      <c r="I643" s="30" t="s">
        <v>27277</v>
      </c>
      <c r="J643" s="30" t="s">
        <v>210</v>
      </c>
      <c r="K643" s="30" t="s">
        <v>9309</v>
      </c>
      <c r="L643" s="30" t="s">
        <v>6955</v>
      </c>
      <c r="M643" s="30"/>
      <c r="N643" s="30" t="s">
        <v>27360</v>
      </c>
      <c r="O643" s="30" t="s">
        <v>6261</v>
      </c>
      <c r="P643" s="30" t="s">
        <v>27919</v>
      </c>
      <c r="Q643" s="30" t="s">
        <v>24551</v>
      </c>
      <c r="R643" s="30" t="s">
        <v>27361</v>
      </c>
      <c r="S643" s="30" t="s">
        <v>27949</v>
      </c>
      <c r="T643" s="30" t="s">
        <v>27950</v>
      </c>
      <c r="U643" s="30"/>
      <c r="V643" s="139" t="s">
        <v>9334</v>
      </c>
      <c r="W643" s="30" t="s">
        <v>484</v>
      </c>
      <c r="X643" s="30" t="s">
        <v>194</v>
      </c>
      <c r="Y643" s="30" t="s">
        <v>9300</v>
      </c>
      <c r="Z643" s="30"/>
      <c r="AA643" s="30"/>
      <c r="AB643" s="30" t="s">
        <v>9311</v>
      </c>
      <c r="AC643" s="30"/>
      <c r="AD643" s="30"/>
      <c r="AE643" s="30"/>
      <c r="AF643" s="30"/>
      <c r="AG643" s="30"/>
      <c r="AH643" s="30" t="s">
        <v>4714</v>
      </c>
      <c r="AI643" s="30" t="s">
        <v>9433</v>
      </c>
      <c r="AJ643" s="641" t="str">
        <f t="shared" ref="AJ643:AJ706" si="20">MID(W643,8,6)</f>
        <v>251401</v>
      </c>
      <c r="AK643" s="641">
        <v>1</v>
      </c>
      <c r="AL643" s="641">
        <f t="shared" ref="AL643:AL706" si="21">F643</f>
        <v>1</v>
      </c>
      <c r="AM643" s="641">
        <v>1</v>
      </c>
      <c r="AN643" s="30" t="s">
        <v>17650</v>
      </c>
      <c r="AO643" s="30" t="s">
        <v>17651</v>
      </c>
      <c r="AP643" s="30" t="s">
        <v>17652</v>
      </c>
      <c r="AQ643" s="30" t="s">
        <v>17653</v>
      </c>
      <c r="AR643" s="30" t="s">
        <v>1024</v>
      </c>
      <c r="AS643" s="30">
        <v>1</v>
      </c>
    </row>
    <row r="644" spans="1:45" x14ac:dyDescent="0.25">
      <c r="A644" s="30" t="s">
        <v>716</v>
      </c>
      <c r="B644" s="30" t="s">
        <v>27331</v>
      </c>
      <c r="C644" s="30" t="s">
        <v>706</v>
      </c>
      <c r="D644" s="139" t="s">
        <v>26375</v>
      </c>
      <c r="E644" s="30" t="s">
        <v>217</v>
      </c>
      <c r="F644" s="30">
        <v>1</v>
      </c>
      <c r="G644" s="30" t="s">
        <v>193</v>
      </c>
      <c r="H644" s="30" t="s">
        <v>194</v>
      </c>
      <c r="I644" s="30" t="s">
        <v>27277</v>
      </c>
      <c r="J644" s="30" t="s">
        <v>210</v>
      </c>
      <c r="K644" s="30" t="s">
        <v>9309</v>
      </c>
      <c r="L644" s="30" t="s">
        <v>6955</v>
      </c>
      <c r="M644" s="30"/>
      <c r="N644" s="30" t="s">
        <v>27366</v>
      </c>
      <c r="O644" s="30" t="s">
        <v>6286</v>
      </c>
      <c r="P644" s="30" t="s">
        <v>27919</v>
      </c>
      <c r="Q644" s="30" t="s">
        <v>24551</v>
      </c>
      <c r="R644" s="30" t="s">
        <v>27361</v>
      </c>
      <c r="S644" s="30" t="s">
        <v>27951</v>
      </c>
      <c r="T644" s="30" t="s">
        <v>27952</v>
      </c>
      <c r="U644" s="30"/>
      <c r="V644" s="139" t="s">
        <v>9334</v>
      </c>
      <c r="W644" s="30" t="s">
        <v>707</v>
      </c>
      <c r="X644" s="30" t="s">
        <v>194</v>
      </c>
      <c r="Y644" s="30" t="s">
        <v>9300</v>
      </c>
      <c r="Z644" s="30"/>
      <c r="AA644" s="30"/>
      <c r="AB644" s="30" t="s">
        <v>9311</v>
      </c>
      <c r="AC644" s="30"/>
      <c r="AD644" s="30"/>
      <c r="AE644" s="30"/>
      <c r="AF644" s="30"/>
      <c r="AG644" s="30"/>
      <c r="AH644" s="30" t="s">
        <v>4714</v>
      </c>
      <c r="AI644" s="30" t="s">
        <v>9433</v>
      </c>
      <c r="AJ644" s="641" t="str">
        <f t="shared" si="20"/>
        <v>422201</v>
      </c>
      <c r="AK644" s="641">
        <v>1</v>
      </c>
      <c r="AL644" s="641">
        <f t="shared" si="21"/>
        <v>1</v>
      </c>
      <c r="AM644" s="641">
        <v>1</v>
      </c>
      <c r="AN644" s="30" t="s">
        <v>17650</v>
      </c>
      <c r="AO644" s="30" t="s">
        <v>17651</v>
      </c>
      <c r="AP644" s="30" t="s">
        <v>17652</v>
      </c>
      <c r="AQ644" s="30" t="s">
        <v>17653</v>
      </c>
      <c r="AR644" s="30" t="s">
        <v>1024</v>
      </c>
      <c r="AS644" s="30">
        <v>1</v>
      </c>
    </row>
    <row r="645" spans="1:45" x14ac:dyDescent="0.25">
      <c r="A645" s="30" t="s">
        <v>258</v>
      </c>
      <c r="B645" s="30" t="s">
        <v>26208</v>
      </c>
      <c r="C645" s="30" t="s">
        <v>778</v>
      </c>
      <c r="D645" s="139" t="s">
        <v>26375</v>
      </c>
      <c r="E645" s="30" t="s">
        <v>217</v>
      </c>
      <c r="F645" s="30">
        <v>1</v>
      </c>
      <c r="G645" s="30" t="s">
        <v>193</v>
      </c>
      <c r="H645" s="30" t="s">
        <v>194</v>
      </c>
      <c r="I645" s="30" t="s">
        <v>26133</v>
      </c>
      <c r="J645" s="30" t="s">
        <v>747</v>
      </c>
      <c r="K645" s="30" t="s">
        <v>9309</v>
      </c>
      <c r="L645" s="30" t="s">
        <v>6955</v>
      </c>
      <c r="M645" s="30"/>
      <c r="N645" s="30" t="s">
        <v>26767</v>
      </c>
      <c r="O645" s="30" t="s">
        <v>6251</v>
      </c>
      <c r="P645" s="30" t="s">
        <v>27919</v>
      </c>
      <c r="Q645" s="30" t="s">
        <v>26073</v>
      </c>
      <c r="R645" s="30" t="s">
        <v>26183</v>
      </c>
      <c r="S645" s="30" t="s">
        <v>27953</v>
      </c>
      <c r="T645" s="30" t="s">
        <v>27954</v>
      </c>
      <c r="U645" s="30"/>
      <c r="V645" s="139" t="s">
        <v>10397</v>
      </c>
      <c r="W645" s="30" t="s">
        <v>779</v>
      </c>
      <c r="X645" s="30" t="s">
        <v>194</v>
      </c>
      <c r="Y645" s="30" t="s">
        <v>9300</v>
      </c>
      <c r="Z645" s="30"/>
      <c r="AA645" s="30"/>
      <c r="AB645" s="30" t="s">
        <v>9311</v>
      </c>
      <c r="AC645" s="30"/>
      <c r="AD645" s="30"/>
      <c r="AE645" s="30"/>
      <c r="AF645" s="30"/>
      <c r="AG645" s="30"/>
      <c r="AH645" s="30" t="s">
        <v>4714</v>
      </c>
      <c r="AI645" s="30" t="s">
        <v>9433</v>
      </c>
      <c r="AJ645" s="641" t="str">
        <f t="shared" si="20"/>
        <v>524902</v>
      </c>
      <c r="AK645" s="641">
        <v>1</v>
      </c>
      <c r="AL645" s="641">
        <f t="shared" si="21"/>
        <v>1</v>
      </c>
      <c r="AM645" s="641">
        <v>1</v>
      </c>
      <c r="AN645" s="30" t="s">
        <v>17650</v>
      </c>
      <c r="AO645" s="30" t="s">
        <v>17651</v>
      </c>
      <c r="AP645" s="30" t="s">
        <v>17652</v>
      </c>
      <c r="AQ645" s="30" t="s">
        <v>17653</v>
      </c>
      <c r="AR645" s="30" t="s">
        <v>1024</v>
      </c>
      <c r="AS645" s="30">
        <v>1</v>
      </c>
    </row>
    <row r="646" spans="1:45" x14ac:dyDescent="0.25">
      <c r="A646" s="30" t="s">
        <v>716</v>
      </c>
      <c r="B646" s="30" t="s">
        <v>26682</v>
      </c>
      <c r="C646" s="30" t="s">
        <v>706</v>
      </c>
      <c r="D646" s="139" t="s">
        <v>26375</v>
      </c>
      <c r="E646" s="30" t="s">
        <v>217</v>
      </c>
      <c r="F646" s="30">
        <v>1</v>
      </c>
      <c r="G646" s="30" t="s">
        <v>193</v>
      </c>
      <c r="H646" s="30" t="s">
        <v>194</v>
      </c>
      <c r="I646" s="30" t="s">
        <v>27277</v>
      </c>
      <c r="J646" s="30" t="s">
        <v>210</v>
      </c>
      <c r="K646" s="30" t="s">
        <v>9309</v>
      </c>
      <c r="L646" s="30" t="s">
        <v>6955</v>
      </c>
      <c r="M646" s="30"/>
      <c r="N646" s="30" t="s">
        <v>26683</v>
      </c>
      <c r="O646" s="30" t="s">
        <v>6286</v>
      </c>
      <c r="P646" s="30" t="s">
        <v>27919</v>
      </c>
      <c r="Q646" s="30" t="s">
        <v>26098</v>
      </c>
      <c r="R646" s="30" t="s">
        <v>26231</v>
      </c>
      <c r="S646" s="30" t="s">
        <v>27955</v>
      </c>
      <c r="T646" s="30" t="s">
        <v>27956</v>
      </c>
      <c r="U646" s="30"/>
      <c r="V646" s="139" t="s">
        <v>9334</v>
      </c>
      <c r="W646" s="30" t="s">
        <v>707</v>
      </c>
      <c r="X646" s="30" t="s">
        <v>194</v>
      </c>
      <c r="Y646" s="30" t="s">
        <v>9300</v>
      </c>
      <c r="Z646" s="30"/>
      <c r="AA646" s="30"/>
      <c r="AB646" s="30" t="s">
        <v>9311</v>
      </c>
      <c r="AC646" s="30"/>
      <c r="AD646" s="30"/>
      <c r="AE646" s="30"/>
      <c r="AF646" s="30"/>
      <c r="AG646" s="30"/>
      <c r="AH646" s="30" t="s">
        <v>4714</v>
      </c>
      <c r="AI646" s="30" t="s">
        <v>9433</v>
      </c>
      <c r="AJ646" s="641" t="str">
        <f t="shared" si="20"/>
        <v>422201</v>
      </c>
      <c r="AK646" s="641">
        <v>1</v>
      </c>
      <c r="AL646" s="641">
        <f t="shared" si="21"/>
        <v>1</v>
      </c>
      <c r="AM646" s="641">
        <v>1</v>
      </c>
      <c r="AN646" s="30" t="s">
        <v>17650</v>
      </c>
      <c r="AO646" s="30" t="s">
        <v>17651</v>
      </c>
      <c r="AP646" s="30" t="s">
        <v>17652</v>
      </c>
      <c r="AQ646" s="30" t="s">
        <v>17653</v>
      </c>
      <c r="AR646" s="30" t="s">
        <v>1024</v>
      </c>
      <c r="AS646" s="30">
        <v>1</v>
      </c>
    </row>
    <row r="647" spans="1:45" x14ac:dyDescent="0.25">
      <c r="A647" s="30" t="s">
        <v>581</v>
      </c>
      <c r="B647" s="30" t="s">
        <v>27473</v>
      </c>
      <c r="C647" s="30" t="s">
        <v>1133</v>
      </c>
      <c r="D647" s="139" t="s">
        <v>26375</v>
      </c>
      <c r="E647" s="30" t="s">
        <v>217</v>
      </c>
      <c r="F647" s="30">
        <v>1</v>
      </c>
      <c r="G647" s="30" t="s">
        <v>193</v>
      </c>
      <c r="H647" s="30" t="s">
        <v>194</v>
      </c>
      <c r="I647" s="30" t="s">
        <v>27277</v>
      </c>
      <c r="J647" s="30" t="s">
        <v>210</v>
      </c>
      <c r="K647" s="30" t="s">
        <v>9309</v>
      </c>
      <c r="L647" s="30" t="s">
        <v>6955</v>
      </c>
      <c r="M647" s="30"/>
      <c r="N647" s="30" t="s">
        <v>27474</v>
      </c>
      <c r="O647" s="30" t="s">
        <v>6269</v>
      </c>
      <c r="P647" s="30" t="s">
        <v>27919</v>
      </c>
      <c r="Q647" s="30" t="s">
        <v>26079</v>
      </c>
      <c r="R647" s="30" t="s">
        <v>26969</v>
      </c>
      <c r="S647" s="30" t="s">
        <v>27957</v>
      </c>
      <c r="T647" s="30" t="s">
        <v>27958</v>
      </c>
      <c r="U647" s="30"/>
      <c r="V647" s="139" t="s">
        <v>9334</v>
      </c>
      <c r="W647" s="30" t="s">
        <v>1134</v>
      </c>
      <c r="X647" s="30" t="s">
        <v>194</v>
      </c>
      <c r="Y647" s="30" t="s">
        <v>9300</v>
      </c>
      <c r="Z647" s="30"/>
      <c r="AA647" s="30"/>
      <c r="AB647" s="30" t="s">
        <v>9311</v>
      </c>
      <c r="AC647" s="30"/>
      <c r="AD647" s="30"/>
      <c r="AE647" s="30"/>
      <c r="AF647" s="30"/>
      <c r="AG647" s="30"/>
      <c r="AH647" s="30" t="s">
        <v>4714</v>
      </c>
      <c r="AI647" s="30" t="s">
        <v>9433</v>
      </c>
      <c r="AJ647" s="641" t="str">
        <f t="shared" si="20"/>
        <v>112008</v>
      </c>
      <c r="AK647" s="641">
        <v>1</v>
      </c>
      <c r="AL647" s="641">
        <f t="shared" si="21"/>
        <v>1</v>
      </c>
      <c r="AM647" s="641">
        <v>1</v>
      </c>
      <c r="AN647" s="30" t="s">
        <v>17650</v>
      </c>
      <c r="AO647" s="30" t="s">
        <v>17651</v>
      </c>
      <c r="AP647" s="30" t="s">
        <v>17652</v>
      </c>
      <c r="AQ647" s="30" t="s">
        <v>17653</v>
      </c>
      <c r="AR647" s="30" t="s">
        <v>1024</v>
      </c>
      <c r="AS647" s="30">
        <v>1</v>
      </c>
    </row>
    <row r="648" spans="1:45" x14ac:dyDescent="0.25">
      <c r="A648" s="30" t="s">
        <v>716</v>
      </c>
      <c r="B648" s="30" t="s">
        <v>2764</v>
      </c>
      <c r="C648" s="30" t="s">
        <v>706</v>
      </c>
      <c r="D648" s="139" t="s">
        <v>26375</v>
      </c>
      <c r="E648" s="30" t="s">
        <v>217</v>
      </c>
      <c r="F648" s="30">
        <v>1</v>
      </c>
      <c r="G648" s="30" t="s">
        <v>193</v>
      </c>
      <c r="H648" s="30" t="s">
        <v>194</v>
      </c>
      <c r="I648" s="30" t="s">
        <v>27277</v>
      </c>
      <c r="J648" s="30" t="s">
        <v>210</v>
      </c>
      <c r="K648" s="30" t="s">
        <v>9309</v>
      </c>
      <c r="L648" s="30" t="s">
        <v>6955</v>
      </c>
      <c r="M648" s="30"/>
      <c r="N648" s="30" t="s">
        <v>26546</v>
      </c>
      <c r="O648" s="30" t="s">
        <v>6286</v>
      </c>
      <c r="P648" s="30" t="s">
        <v>27919</v>
      </c>
      <c r="Q648" s="30" t="s">
        <v>26261</v>
      </c>
      <c r="R648" s="30" t="s">
        <v>26262</v>
      </c>
      <c r="S648" s="30" t="s">
        <v>27959</v>
      </c>
      <c r="T648" s="30" t="s">
        <v>27960</v>
      </c>
      <c r="U648" s="30"/>
      <c r="V648" s="139" t="s">
        <v>9334</v>
      </c>
      <c r="W648" s="30" t="s">
        <v>707</v>
      </c>
      <c r="X648" s="30" t="s">
        <v>194</v>
      </c>
      <c r="Y648" s="30" t="s">
        <v>9300</v>
      </c>
      <c r="Z648" s="30"/>
      <c r="AA648" s="30"/>
      <c r="AB648" s="30" t="s">
        <v>9311</v>
      </c>
      <c r="AC648" s="30"/>
      <c r="AD648" s="30"/>
      <c r="AE648" s="30"/>
      <c r="AF648" s="30"/>
      <c r="AG648" s="30"/>
      <c r="AH648" s="30" t="s">
        <v>4714</v>
      </c>
      <c r="AI648" s="30" t="s">
        <v>9433</v>
      </c>
      <c r="AJ648" s="641" t="str">
        <f t="shared" si="20"/>
        <v>422201</v>
      </c>
      <c r="AK648" s="641">
        <v>1</v>
      </c>
      <c r="AL648" s="641">
        <f t="shared" si="21"/>
        <v>1</v>
      </c>
      <c r="AM648" s="641">
        <v>1</v>
      </c>
      <c r="AN648" s="30" t="s">
        <v>17650</v>
      </c>
      <c r="AO648" s="30" t="s">
        <v>17651</v>
      </c>
      <c r="AP648" s="30" t="s">
        <v>17652</v>
      </c>
      <c r="AQ648" s="30" t="s">
        <v>17653</v>
      </c>
      <c r="AR648" s="30" t="s">
        <v>1024</v>
      </c>
      <c r="AS648" s="30">
        <v>1</v>
      </c>
    </row>
    <row r="649" spans="1:45" x14ac:dyDescent="0.25">
      <c r="A649" s="30" t="s">
        <v>26258</v>
      </c>
      <c r="B649" s="30" t="s">
        <v>26259</v>
      </c>
      <c r="C649" s="30" t="s">
        <v>18783</v>
      </c>
      <c r="D649" s="139" t="s">
        <v>26375</v>
      </c>
      <c r="E649" s="30" t="s">
        <v>217</v>
      </c>
      <c r="F649" s="30">
        <v>1</v>
      </c>
      <c r="G649" s="30" t="s">
        <v>193</v>
      </c>
      <c r="H649" s="30" t="s">
        <v>194</v>
      </c>
      <c r="I649" s="30" t="s">
        <v>27277</v>
      </c>
      <c r="J649" s="30" t="s">
        <v>210</v>
      </c>
      <c r="K649" s="30" t="s">
        <v>9309</v>
      </c>
      <c r="L649" s="30" t="s">
        <v>6955</v>
      </c>
      <c r="M649" s="30"/>
      <c r="N649" s="30" t="s">
        <v>26260</v>
      </c>
      <c r="O649" s="30" t="s">
        <v>6269</v>
      </c>
      <c r="P649" s="30" t="s">
        <v>27919</v>
      </c>
      <c r="Q649" s="30" t="s">
        <v>26261</v>
      </c>
      <c r="R649" s="30" t="s">
        <v>26262</v>
      </c>
      <c r="S649" s="30" t="s">
        <v>27961</v>
      </c>
      <c r="T649" s="30" t="s">
        <v>27962</v>
      </c>
      <c r="U649" s="30"/>
      <c r="V649" s="139" t="s">
        <v>9334</v>
      </c>
      <c r="W649" s="30" t="s">
        <v>2538</v>
      </c>
      <c r="X649" s="30" t="s">
        <v>194</v>
      </c>
      <c r="Y649" s="30" t="s">
        <v>9300</v>
      </c>
      <c r="Z649" s="30"/>
      <c r="AA649" s="30"/>
      <c r="AB649" s="30" t="s">
        <v>9311</v>
      </c>
      <c r="AC649" s="30"/>
      <c r="AD649" s="30"/>
      <c r="AE649" s="30"/>
      <c r="AF649" s="30"/>
      <c r="AG649" s="30"/>
      <c r="AH649" s="30" t="s">
        <v>4714</v>
      </c>
      <c r="AI649" s="30" t="s">
        <v>9433</v>
      </c>
      <c r="AJ649" s="641" t="str">
        <f t="shared" si="20"/>
        <v>911207</v>
      </c>
      <c r="AK649" s="641">
        <v>1</v>
      </c>
      <c r="AL649" s="641">
        <f t="shared" si="21"/>
        <v>1</v>
      </c>
      <c r="AM649" s="641">
        <v>1</v>
      </c>
      <c r="AN649" s="30" t="s">
        <v>17650</v>
      </c>
      <c r="AO649" s="30" t="s">
        <v>17651</v>
      </c>
      <c r="AP649" s="30" t="s">
        <v>17652</v>
      </c>
      <c r="AQ649" s="30" t="s">
        <v>17653</v>
      </c>
      <c r="AR649" s="30" t="s">
        <v>1024</v>
      </c>
      <c r="AS649" s="30">
        <v>1</v>
      </c>
    </row>
    <row r="650" spans="1:45" x14ac:dyDescent="0.25">
      <c r="A650" s="30" t="s">
        <v>26574</v>
      </c>
      <c r="B650" s="30" t="s">
        <v>27963</v>
      </c>
      <c r="C650" s="30" t="s">
        <v>727</v>
      </c>
      <c r="D650" s="139" t="s">
        <v>26375</v>
      </c>
      <c r="E650" s="30" t="s">
        <v>217</v>
      </c>
      <c r="F650" s="30">
        <v>1</v>
      </c>
      <c r="G650" s="30" t="s">
        <v>193</v>
      </c>
      <c r="H650" s="30" t="s">
        <v>194</v>
      </c>
      <c r="I650" s="30" t="s">
        <v>27277</v>
      </c>
      <c r="J650" s="30" t="s">
        <v>253</v>
      </c>
      <c r="K650" s="30" t="s">
        <v>9309</v>
      </c>
      <c r="L650" s="30" t="s">
        <v>6955</v>
      </c>
      <c r="M650" s="30"/>
      <c r="N650" s="30" t="s">
        <v>27964</v>
      </c>
      <c r="O650" s="30" t="s">
        <v>6343</v>
      </c>
      <c r="P650" s="30" t="s">
        <v>27919</v>
      </c>
      <c r="Q650" s="30" t="s">
        <v>26190</v>
      </c>
      <c r="R650" s="30" t="s">
        <v>27792</v>
      </c>
      <c r="S650" s="30" t="s">
        <v>27965</v>
      </c>
      <c r="T650" s="30" t="s">
        <v>27966</v>
      </c>
      <c r="U650" s="30"/>
      <c r="V650" s="139" t="s">
        <v>9468</v>
      </c>
      <c r="W650" s="30" t="s">
        <v>728</v>
      </c>
      <c r="X650" s="30" t="s">
        <v>194</v>
      </c>
      <c r="Y650" s="30" t="s">
        <v>9300</v>
      </c>
      <c r="Z650" s="30"/>
      <c r="AA650" s="30"/>
      <c r="AB650" s="30" t="s">
        <v>9311</v>
      </c>
      <c r="AC650" s="30"/>
      <c r="AD650" s="30"/>
      <c r="AE650" s="30"/>
      <c r="AF650" s="30"/>
      <c r="AG650" s="30"/>
      <c r="AH650" s="30" t="s">
        <v>4714</v>
      </c>
      <c r="AI650" s="30" t="s">
        <v>9433</v>
      </c>
      <c r="AJ650" s="641" t="str">
        <f t="shared" si="20"/>
        <v>512001</v>
      </c>
      <c r="AK650" s="641">
        <v>1</v>
      </c>
      <c r="AL650" s="641">
        <f t="shared" si="21"/>
        <v>1</v>
      </c>
      <c r="AM650" s="641">
        <v>1</v>
      </c>
      <c r="AN650" s="30" t="s">
        <v>17650</v>
      </c>
      <c r="AO650" s="30" t="s">
        <v>17651</v>
      </c>
      <c r="AP650" s="30" t="s">
        <v>17652</v>
      </c>
      <c r="AQ650" s="30" t="s">
        <v>17653</v>
      </c>
      <c r="AR650" s="30" t="s">
        <v>1024</v>
      </c>
      <c r="AS650" s="30">
        <v>1</v>
      </c>
    </row>
    <row r="651" spans="1:45" x14ac:dyDescent="0.25">
      <c r="A651" s="30" t="s">
        <v>10145</v>
      </c>
      <c r="B651" s="30" t="s">
        <v>27078</v>
      </c>
      <c r="C651" s="30" t="s">
        <v>85</v>
      </c>
      <c r="D651" s="139" t="s">
        <v>26375</v>
      </c>
      <c r="E651" s="30" t="s">
        <v>217</v>
      </c>
      <c r="F651" s="30">
        <v>1</v>
      </c>
      <c r="G651" s="30" t="s">
        <v>193</v>
      </c>
      <c r="H651" s="30" t="s">
        <v>194</v>
      </c>
      <c r="I651" s="30" t="s">
        <v>27277</v>
      </c>
      <c r="J651" s="30" t="s">
        <v>26228</v>
      </c>
      <c r="K651" s="30" t="s">
        <v>9309</v>
      </c>
      <c r="L651" s="30" t="s">
        <v>6955</v>
      </c>
      <c r="M651" s="30"/>
      <c r="N651" s="30" t="s">
        <v>27214</v>
      </c>
      <c r="O651" s="30" t="s">
        <v>6343</v>
      </c>
      <c r="P651" s="30" t="s">
        <v>27919</v>
      </c>
      <c r="Q651" s="30" t="s">
        <v>26242</v>
      </c>
      <c r="R651" s="30" t="s">
        <v>26787</v>
      </c>
      <c r="S651" s="30" t="s">
        <v>27967</v>
      </c>
      <c r="T651" s="30" t="s">
        <v>27968</v>
      </c>
      <c r="U651" s="139"/>
      <c r="V651" s="139" t="s">
        <v>28321</v>
      </c>
      <c r="W651" s="30" t="s">
        <v>477</v>
      </c>
      <c r="X651" s="30" t="s">
        <v>193</v>
      </c>
      <c r="Y651" s="30" t="s">
        <v>9310</v>
      </c>
      <c r="Z651" s="30"/>
      <c r="AA651" s="30"/>
      <c r="AB651" s="30" t="s">
        <v>9311</v>
      </c>
      <c r="AC651" s="30"/>
      <c r="AD651" s="30"/>
      <c r="AE651" s="30"/>
      <c r="AF651" s="30"/>
      <c r="AG651" s="30"/>
      <c r="AH651" s="30" t="s">
        <v>4714</v>
      </c>
      <c r="AI651" s="30" t="s">
        <v>9433</v>
      </c>
      <c r="AJ651" s="641" t="str">
        <f t="shared" si="20"/>
        <v>243305</v>
      </c>
      <c r="AK651" s="641">
        <v>1</v>
      </c>
      <c r="AL651" s="641">
        <f t="shared" si="21"/>
        <v>1</v>
      </c>
      <c r="AM651" s="641">
        <v>1</v>
      </c>
      <c r="AN651" s="30" t="s">
        <v>17650</v>
      </c>
      <c r="AO651" s="30" t="s">
        <v>17651</v>
      </c>
      <c r="AP651" s="30" t="s">
        <v>17652</v>
      </c>
      <c r="AQ651" s="30" t="s">
        <v>17653</v>
      </c>
      <c r="AR651" s="30" t="s">
        <v>1024</v>
      </c>
      <c r="AS651" s="30">
        <v>1</v>
      </c>
    </row>
    <row r="652" spans="1:45" x14ac:dyDescent="0.25">
      <c r="A652" s="30" t="s">
        <v>258</v>
      </c>
      <c r="B652" s="30" t="s">
        <v>7677</v>
      </c>
      <c r="C652" s="30" t="s">
        <v>778</v>
      </c>
      <c r="D652" s="139" t="s">
        <v>26375</v>
      </c>
      <c r="E652" s="30" t="s">
        <v>217</v>
      </c>
      <c r="F652" s="30">
        <v>1</v>
      </c>
      <c r="G652" s="30" t="s">
        <v>193</v>
      </c>
      <c r="H652" s="30" t="s">
        <v>194</v>
      </c>
      <c r="I652" s="30" t="s">
        <v>26077</v>
      </c>
      <c r="J652" s="30" t="s">
        <v>276</v>
      </c>
      <c r="K652" s="30" t="s">
        <v>9309</v>
      </c>
      <c r="L652" s="30" t="s">
        <v>6955</v>
      </c>
      <c r="M652" s="30"/>
      <c r="N652" s="30" t="s">
        <v>27969</v>
      </c>
      <c r="O652" s="30" t="s">
        <v>6251</v>
      </c>
      <c r="P652" s="30" t="s">
        <v>27762</v>
      </c>
      <c r="Q652" s="30" t="s">
        <v>26079</v>
      </c>
      <c r="R652" s="30" t="s">
        <v>26077</v>
      </c>
      <c r="S652" s="30" t="s">
        <v>27970</v>
      </c>
      <c r="T652" s="30" t="s">
        <v>27971</v>
      </c>
      <c r="U652" s="30"/>
      <c r="V652" s="139" t="s">
        <v>9786</v>
      </c>
      <c r="W652" s="30" t="s">
        <v>779</v>
      </c>
      <c r="X652" s="30" t="s">
        <v>194</v>
      </c>
      <c r="Y652" s="30" t="s">
        <v>9300</v>
      </c>
      <c r="Z652" s="30"/>
      <c r="AA652" s="30"/>
      <c r="AB652" s="30" t="s">
        <v>9311</v>
      </c>
      <c r="AC652" s="30"/>
      <c r="AD652" s="30"/>
      <c r="AE652" s="30"/>
      <c r="AF652" s="30"/>
      <c r="AG652" s="30"/>
      <c r="AH652" s="30" t="s">
        <v>4714</v>
      </c>
      <c r="AI652" s="30" t="s">
        <v>778</v>
      </c>
      <c r="AJ652" s="641" t="str">
        <f t="shared" si="20"/>
        <v>524902</v>
      </c>
      <c r="AK652" s="641">
        <v>1</v>
      </c>
      <c r="AL652" s="641">
        <f t="shared" si="21"/>
        <v>1</v>
      </c>
      <c r="AM652" s="641">
        <v>1</v>
      </c>
      <c r="AN652" s="30" t="s">
        <v>17650</v>
      </c>
      <c r="AO652" s="30" t="s">
        <v>17651</v>
      </c>
      <c r="AP652" s="30" t="s">
        <v>17652</v>
      </c>
      <c r="AQ652" s="30" t="s">
        <v>17653</v>
      </c>
      <c r="AR652" s="30" t="s">
        <v>1024</v>
      </c>
      <c r="AS652" s="30">
        <v>1</v>
      </c>
    </row>
    <row r="653" spans="1:45" x14ac:dyDescent="0.25">
      <c r="A653" s="30" t="s">
        <v>26193</v>
      </c>
      <c r="B653" s="30" t="s">
        <v>27343</v>
      </c>
      <c r="C653" s="30" t="s">
        <v>227</v>
      </c>
      <c r="D653" s="139" t="s">
        <v>26375</v>
      </c>
      <c r="E653" s="30" t="s">
        <v>217</v>
      </c>
      <c r="F653" s="30">
        <v>1</v>
      </c>
      <c r="G653" s="30" t="s">
        <v>193</v>
      </c>
      <c r="H653" s="30" t="s">
        <v>194</v>
      </c>
      <c r="I653" s="30" t="s">
        <v>27277</v>
      </c>
      <c r="J653" s="30" t="s">
        <v>210</v>
      </c>
      <c r="K653" s="30" t="s">
        <v>9309</v>
      </c>
      <c r="L653" s="30" t="s">
        <v>6955</v>
      </c>
      <c r="M653" s="30"/>
      <c r="N653" s="30" t="s">
        <v>27344</v>
      </c>
      <c r="O653" s="30" t="s">
        <v>6269</v>
      </c>
      <c r="P653" s="30" t="s">
        <v>27919</v>
      </c>
      <c r="Q653" s="30" t="s">
        <v>26109</v>
      </c>
      <c r="R653" s="30" t="s">
        <v>27328</v>
      </c>
      <c r="S653" s="30" t="s">
        <v>27972</v>
      </c>
      <c r="T653" s="30" t="s">
        <v>27973</v>
      </c>
      <c r="U653" s="30"/>
      <c r="V653" s="139" t="s">
        <v>9334</v>
      </c>
      <c r="W653" s="30" t="s">
        <v>229</v>
      </c>
      <c r="X653" s="30" t="s">
        <v>194</v>
      </c>
      <c r="Y653" s="30" t="s">
        <v>9300</v>
      </c>
      <c r="Z653" s="30"/>
      <c r="AA653" s="30"/>
      <c r="AB653" s="30" t="s">
        <v>9311</v>
      </c>
      <c r="AC653" s="30"/>
      <c r="AD653" s="30"/>
      <c r="AE653" s="30"/>
      <c r="AF653" s="30"/>
      <c r="AG653" s="30"/>
      <c r="AH653" s="30" t="s">
        <v>4714</v>
      </c>
      <c r="AI653" s="30" t="s">
        <v>9433</v>
      </c>
      <c r="AJ653" s="641" t="str">
        <f t="shared" si="20"/>
        <v>132401</v>
      </c>
      <c r="AK653" s="641">
        <v>1</v>
      </c>
      <c r="AL653" s="641">
        <f t="shared" si="21"/>
        <v>1</v>
      </c>
      <c r="AM653" s="641">
        <v>1</v>
      </c>
      <c r="AN653" s="30" t="s">
        <v>17650</v>
      </c>
      <c r="AO653" s="30" t="s">
        <v>17651</v>
      </c>
      <c r="AP653" s="30" t="s">
        <v>17652</v>
      </c>
      <c r="AQ653" s="30" t="s">
        <v>17653</v>
      </c>
      <c r="AR653" s="30" t="s">
        <v>1024</v>
      </c>
      <c r="AS653" s="30">
        <v>1</v>
      </c>
    </row>
    <row r="654" spans="1:45" x14ac:dyDescent="0.25">
      <c r="A654" s="30" t="s">
        <v>716</v>
      </c>
      <c r="B654" s="30" t="s">
        <v>26106</v>
      </c>
      <c r="C654" s="30" t="s">
        <v>153</v>
      </c>
      <c r="D654" s="139" t="s">
        <v>26375</v>
      </c>
      <c r="E654" s="30" t="s">
        <v>217</v>
      </c>
      <c r="F654" s="30">
        <v>1</v>
      </c>
      <c r="G654" s="30" t="s">
        <v>193</v>
      </c>
      <c r="H654" s="30" t="s">
        <v>194</v>
      </c>
      <c r="I654" s="30" t="s">
        <v>27277</v>
      </c>
      <c r="J654" s="30" t="s">
        <v>210</v>
      </c>
      <c r="K654" s="30" t="s">
        <v>9309</v>
      </c>
      <c r="L654" s="30" t="s">
        <v>6955</v>
      </c>
      <c r="M654" s="30"/>
      <c r="N654" s="30" t="s">
        <v>26401</v>
      </c>
      <c r="O654" s="30" t="s">
        <v>6290</v>
      </c>
      <c r="P654" s="30" t="s">
        <v>27919</v>
      </c>
      <c r="Q654" s="30" t="s">
        <v>26085</v>
      </c>
      <c r="R654" s="30" t="s">
        <v>26057</v>
      </c>
      <c r="S654" s="30" t="s">
        <v>27974</v>
      </c>
      <c r="T654" s="30" t="s">
        <v>27975</v>
      </c>
      <c r="U654" s="30"/>
      <c r="V654" s="139" t="s">
        <v>9334</v>
      </c>
      <c r="W654" s="30" t="s">
        <v>2293</v>
      </c>
      <c r="X654" s="30" t="s">
        <v>194</v>
      </c>
      <c r="Y654" s="30" t="s">
        <v>9300</v>
      </c>
      <c r="Z654" s="30"/>
      <c r="AA654" s="30"/>
      <c r="AB654" s="30" t="s">
        <v>9311</v>
      </c>
      <c r="AC654" s="30"/>
      <c r="AD654" s="30"/>
      <c r="AE654" s="30"/>
      <c r="AF654" s="30"/>
      <c r="AG654" s="30"/>
      <c r="AH654" s="30" t="s">
        <v>4714</v>
      </c>
      <c r="AI654" s="30" t="s">
        <v>9433</v>
      </c>
      <c r="AJ654" s="641" t="str">
        <f t="shared" si="20"/>
        <v>333903</v>
      </c>
      <c r="AK654" s="641">
        <v>1</v>
      </c>
      <c r="AL654" s="641">
        <f t="shared" si="21"/>
        <v>1</v>
      </c>
      <c r="AM654" s="641">
        <v>1</v>
      </c>
      <c r="AN654" s="30" t="s">
        <v>17650</v>
      </c>
      <c r="AO654" s="30" t="s">
        <v>17651</v>
      </c>
      <c r="AP654" s="30" t="s">
        <v>17652</v>
      </c>
      <c r="AQ654" s="30" t="s">
        <v>17653</v>
      </c>
      <c r="AR654" s="30" t="s">
        <v>1024</v>
      </c>
      <c r="AS654" s="30">
        <v>1</v>
      </c>
    </row>
    <row r="655" spans="1:45" x14ac:dyDescent="0.25">
      <c r="A655" s="30" t="s">
        <v>26198</v>
      </c>
      <c r="B655" s="30" t="s">
        <v>26199</v>
      </c>
      <c r="C655" s="30" t="s">
        <v>21</v>
      </c>
      <c r="D655" s="139" t="s">
        <v>26375</v>
      </c>
      <c r="E655" s="30" t="s">
        <v>217</v>
      </c>
      <c r="F655" s="30">
        <v>1</v>
      </c>
      <c r="G655" s="30" t="s">
        <v>193</v>
      </c>
      <c r="H655" s="30" t="s">
        <v>194</v>
      </c>
      <c r="I655" s="30" t="s">
        <v>26133</v>
      </c>
      <c r="J655" s="30" t="s">
        <v>316</v>
      </c>
      <c r="K655" s="30" t="s">
        <v>9309</v>
      </c>
      <c r="L655" s="30" t="s">
        <v>6955</v>
      </c>
      <c r="M655" s="30"/>
      <c r="N655" s="30" t="s">
        <v>27217</v>
      </c>
      <c r="O655" s="30" t="s">
        <v>6256</v>
      </c>
      <c r="P655" s="30" t="s">
        <v>27919</v>
      </c>
      <c r="Q655" s="30" t="s">
        <v>26881</v>
      </c>
      <c r="R655" s="30" t="s">
        <v>26882</v>
      </c>
      <c r="S655" s="30" t="s">
        <v>27976</v>
      </c>
      <c r="T655" s="30" t="s">
        <v>27977</v>
      </c>
      <c r="U655" s="30"/>
      <c r="V655" s="139" t="s">
        <v>10012</v>
      </c>
      <c r="W655" s="30" t="s">
        <v>293</v>
      </c>
      <c r="X655" s="30" t="s">
        <v>194</v>
      </c>
      <c r="Y655" s="30" t="s">
        <v>9300</v>
      </c>
      <c r="Z655" s="30"/>
      <c r="AA655" s="30"/>
      <c r="AB655" s="30" t="s">
        <v>9311</v>
      </c>
      <c r="AC655" s="30"/>
      <c r="AD655" s="30"/>
      <c r="AE655" s="30"/>
      <c r="AF655" s="30"/>
      <c r="AG655" s="30"/>
      <c r="AH655" s="30" t="s">
        <v>4714</v>
      </c>
      <c r="AI655" s="30" t="s">
        <v>9433</v>
      </c>
      <c r="AJ655" s="641" t="str">
        <f t="shared" si="20"/>
        <v>214202</v>
      </c>
      <c r="AK655" s="641">
        <v>1</v>
      </c>
      <c r="AL655" s="641">
        <f t="shared" si="21"/>
        <v>1</v>
      </c>
      <c r="AM655" s="641">
        <v>1</v>
      </c>
      <c r="AN655" s="30" t="s">
        <v>17650</v>
      </c>
      <c r="AO655" s="30" t="s">
        <v>17651</v>
      </c>
      <c r="AP655" s="30" t="s">
        <v>17652</v>
      </c>
      <c r="AQ655" s="30" t="s">
        <v>17653</v>
      </c>
      <c r="AR655" s="30" t="s">
        <v>1024</v>
      </c>
      <c r="AS655" s="30">
        <v>1</v>
      </c>
    </row>
    <row r="656" spans="1:45" x14ac:dyDescent="0.25">
      <c r="A656" s="30" t="s">
        <v>27978</v>
      </c>
      <c r="B656" s="30" t="s">
        <v>27526</v>
      </c>
      <c r="C656" s="30" t="s">
        <v>62</v>
      </c>
      <c r="D656" s="139" t="s">
        <v>26375</v>
      </c>
      <c r="E656" s="30" t="s">
        <v>217</v>
      </c>
      <c r="F656" s="30">
        <v>1</v>
      </c>
      <c r="G656" s="30" t="s">
        <v>193</v>
      </c>
      <c r="H656" s="30" t="s">
        <v>194</v>
      </c>
      <c r="I656" s="30" t="s">
        <v>27277</v>
      </c>
      <c r="J656" s="30" t="s">
        <v>253</v>
      </c>
      <c r="K656" s="30" t="s">
        <v>9309</v>
      </c>
      <c r="L656" s="30" t="s">
        <v>6955</v>
      </c>
      <c r="M656" s="30"/>
      <c r="N656" s="30" t="s">
        <v>27527</v>
      </c>
      <c r="O656" s="30" t="s">
        <v>6363</v>
      </c>
      <c r="P656" s="30" t="s">
        <v>27919</v>
      </c>
      <c r="Q656" s="30" t="s">
        <v>26139</v>
      </c>
      <c r="R656" s="30" t="s">
        <v>27256</v>
      </c>
      <c r="S656" s="30" t="s">
        <v>27979</v>
      </c>
      <c r="T656" s="30" t="s">
        <v>27980</v>
      </c>
      <c r="U656" s="30"/>
      <c r="V656" s="139" t="s">
        <v>9468</v>
      </c>
      <c r="W656" s="30" t="s">
        <v>601</v>
      </c>
      <c r="X656" s="30" t="s">
        <v>194</v>
      </c>
      <c r="Y656" s="30" t="s">
        <v>9300</v>
      </c>
      <c r="Z656" s="30"/>
      <c r="AA656" s="30"/>
      <c r="AB656" s="30" t="s">
        <v>9311</v>
      </c>
      <c r="AC656" s="30"/>
      <c r="AD656" s="30"/>
      <c r="AE656" s="30"/>
      <c r="AF656" s="30"/>
      <c r="AG656" s="30"/>
      <c r="AH656" s="30" t="s">
        <v>4714</v>
      </c>
      <c r="AI656" s="30" t="s">
        <v>9433</v>
      </c>
      <c r="AJ656" s="641" t="str">
        <f t="shared" si="20"/>
        <v>313904</v>
      </c>
      <c r="AK656" s="641">
        <v>1</v>
      </c>
      <c r="AL656" s="641">
        <f t="shared" si="21"/>
        <v>1</v>
      </c>
      <c r="AM656" s="641">
        <v>1</v>
      </c>
      <c r="AN656" s="30" t="s">
        <v>17650</v>
      </c>
      <c r="AO656" s="30" t="s">
        <v>17651</v>
      </c>
      <c r="AP656" s="30" t="s">
        <v>17652</v>
      </c>
      <c r="AQ656" s="30" t="s">
        <v>17653</v>
      </c>
      <c r="AR656" s="30" t="s">
        <v>1024</v>
      </c>
      <c r="AS656" s="30">
        <v>1</v>
      </c>
    </row>
    <row r="657" spans="1:45" x14ac:dyDescent="0.25">
      <c r="A657" s="30" t="s">
        <v>26153</v>
      </c>
      <c r="B657" s="30" t="s">
        <v>26752</v>
      </c>
      <c r="C657" s="30" t="s">
        <v>2861</v>
      </c>
      <c r="D657" s="139" t="s">
        <v>26375</v>
      </c>
      <c r="E657" s="30" t="s">
        <v>217</v>
      </c>
      <c r="F657" s="30">
        <v>1</v>
      </c>
      <c r="G657" s="30" t="s">
        <v>193</v>
      </c>
      <c r="H657" s="30" t="s">
        <v>194</v>
      </c>
      <c r="I657" s="30" t="s">
        <v>23198</v>
      </c>
      <c r="J657" s="30" t="s">
        <v>210</v>
      </c>
      <c r="K657" s="30" t="s">
        <v>9309</v>
      </c>
      <c r="L657" s="30" t="s">
        <v>6955</v>
      </c>
      <c r="M657" s="30"/>
      <c r="N657" s="30" t="s">
        <v>26753</v>
      </c>
      <c r="O657" s="30" t="s">
        <v>6261</v>
      </c>
      <c r="P657" s="30" t="s">
        <v>27805</v>
      </c>
      <c r="Q657" s="30" t="s">
        <v>26092</v>
      </c>
      <c r="R657" s="30" t="s">
        <v>27806</v>
      </c>
      <c r="S657" s="30" t="s">
        <v>27981</v>
      </c>
      <c r="T657" s="30" t="s">
        <v>27982</v>
      </c>
      <c r="U657" s="30"/>
      <c r="V657" s="139" t="s">
        <v>9334</v>
      </c>
      <c r="W657" s="30" t="s">
        <v>3629</v>
      </c>
      <c r="X657" s="30" t="s">
        <v>194</v>
      </c>
      <c r="Y657" s="30" t="s">
        <v>9300</v>
      </c>
      <c r="Z657" s="30"/>
      <c r="AA657" s="30"/>
      <c r="AB657" s="30" t="s">
        <v>9311</v>
      </c>
      <c r="AC657" s="30"/>
      <c r="AD657" s="30"/>
      <c r="AE657" s="30"/>
      <c r="AF657" s="30"/>
      <c r="AG657" s="30"/>
      <c r="AH657" s="30" t="s">
        <v>4714</v>
      </c>
      <c r="AI657" s="30" t="s">
        <v>9433</v>
      </c>
      <c r="AJ657" s="641" t="str">
        <f t="shared" si="20"/>
        <v>251903</v>
      </c>
      <c r="AK657" s="641">
        <v>1</v>
      </c>
      <c r="AL657" s="641">
        <f t="shared" si="21"/>
        <v>1</v>
      </c>
      <c r="AM657" s="641">
        <v>1</v>
      </c>
      <c r="AN657" s="30" t="s">
        <v>17650</v>
      </c>
      <c r="AO657" s="30" t="s">
        <v>17651</v>
      </c>
      <c r="AP657" s="30" t="s">
        <v>17652</v>
      </c>
      <c r="AQ657" s="30" t="s">
        <v>17653</v>
      </c>
      <c r="AR657" s="30" t="s">
        <v>1024</v>
      </c>
      <c r="AS657" s="30">
        <v>1</v>
      </c>
    </row>
    <row r="658" spans="1:45" x14ac:dyDescent="0.25">
      <c r="A658" s="30" t="s">
        <v>26089</v>
      </c>
      <c r="B658" s="30" t="s">
        <v>26301</v>
      </c>
      <c r="C658" s="30" t="s">
        <v>129</v>
      </c>
      <c r="D658" s="139" t="s">
        <v>26375</v>
      </c>
      <c r="E658" s="30" t="s">
        <v>217</v>
      </c>
      <c r="F658" s="30">
        <v>1</v>
      </c>
      <c r="G658" s="30" t="s">
        <v>193</v>
      </c>
      <c r="H658" s="30" t="s">
        <v>194</v>
      </c>
      <c r="I658" s="30" t="s">
        <v>27277</v>
      </c>
      <c r="J658" s="30" t="s">
        <v>210</v>
      </c>
      <c r="K658" s="30" t="s">
        <v>9309</v>
      </c>
      <c r="L658" s="30" t="s">
        <v>6955</v>
      </c>
      <c r="M658" s="30"/>
      <c r="N658" s="30" t="s">
        <v>27191</v>
      </c>
      <c r="O658" s="30" t="s">
        <v>6261</v>
      </c>
      <c r="P658" s="30" t="s">
        <v>27919</v>
      </c>
      <c r="Q658" s="30" t="s">
        <v>26086</v>
      </c>
      <c r="R658" s="30" t="s">
        <v>26787</v>
      </c>
      <c r="S658" s="30" t="s">
        <v>27983</v>
      </c>
      <c r="T658" s="30" t="s">
        <v>27984</v>
      </c>
      <c r="U658" s="30"/>
      <c r="V658" s="139" t="s">
        <v>9334</v>
      </c>
      <c r="W658" s="30" t="s">
        <v>203</v>
      </c>
      <c r="X658" s="30" t="s">
        <v>194</v>
      </c>
      <c r="Y658" s="30" t="s">
        <v>9300</v>
      </c>
      <c r="Z658" s="30"/>
      <c r="AA658" s="30"/>
      <c r="AB658" s="30" t="s">
        <v>9311</v>
      </c>
      <c r="AC658" s="30"/>
      <c r="AD658" s="30"/>
      <c r="AE658" s="30"/>
      <c r="AF658" s="30"/>
      <c r="AG658" s="30"/>
      <c r="AH658" s="30" t="s">
        <v>4714</v>
      </c>
      <c r="AI658" s="30" t="s">
        <v>9433</v>
      </c>
      <c r="AJ658" s="641" t="str">
        <f t="shared" si="20"/>
        <v>121904</v>
      </c>
      <c r="AK658" s="641">
        <v>1</v>
      </c>
      <c r="AL658" s="641">
        <f t="shared" si="21"/>
        <v>1</v>
      </c>
      <c r="AM658" s="641">
        <v>1</v>
      </c>
      <c r="AN658" s="30" t="s">
        <v>17650</v>
      </c>
      <c r="AO658" s="30" t="s">
        <v>17651</v>
      </c>
      <c r="AP658" s="30" t="s">
        <v>17652</v>
      </c>
      <c r="AQ658" s="30" t="s">
        <v>17653</v>
      </c>
      <c r="AR658" s="30" t="s">
        <v>1024</v>
      </c>
      <c r="AS658" s="30">
        <v>1</v>
      </c>
    </row>
    <row r="659" spans="1:45" x14ac:dyDescent="0.25">
      <c r="A659" s="30" t="s">
        <v>26089</v>
      </c>
      <c r="B659" s="30" t="s">
        <v>27985</v>
      </c>
      <c r="C659" s="30" t="s">
        <v>2861</v>
      </c>
      <c r="D659" s="139" t="s">
        <v>26375</v>
      </c>
      <c r="E659" s="30" t="s">
        <v>217</v>
      </c>
      <c r="F659" s="30">
        <v>1</v>
      </c>
      <c r="G659" s="30" t="s">
        <v>193</v>
      </c>
      <c r="H659" s="30" t="s">
        <v>194</v>
      </c>
      <c r="I659" s="30" t="s">
        <v>27277</v>
      </c>
      <c r="J659" s="30" t="s">
        <v>210</v>
      </c>
      <c r="K659" s="30" t="s">
        <v>9309</v>
      </c>
      <c r="L659" s="30" t="s">
        <v>6955</v>
      </c>
      <c r="M659" s="30"/>
      <c r="N659" s="30" t="s">
        <v>27986</v>
      </c>
      <c r="O659" s="30" t="s">
        <v>6261</v>
      </c>
      <c r="P659" s="30" t="s">
        <v>27919</v>
      </c>
      <c r="Q659" s="30" t="s">
        <v>26190</v>
      </c>
      <c r="R659" s="30" t="s">
        <v>27792</v>
      </c>
      <c r="S659" s="30" t="s">
        <v>27987</v>
      </c>
      <c r="T659" s="30" t="s">
        <v>27988</v>
      </c>
      <c r="U659" s="30"/>
      <c r="V659" s="139" t="s">
        <v>9334</v>
      </c>
      <c r="W659" s="30" t="s">
        <v>3629</v>
      </c>
      <c r="X659" s="30" t="s">
        <v>194</v>
      </c>
      <c r="Y659" s="30" t="s">
        <v>9300</v>
      </c>
      <c r="Z659" s="30"/>
      <c r="AA659" s="30"/>
      <c r="AB659" s="30" t="s">
        <v>9311</v>
      </c>
      <c r="AC659" s="30"/>
      <c r="AD659" s="30"/>
      <c r="AE659" s="30"/>
      <c r="AF659" s="30"/>
      <c r="AG659" s="30"/>
      <c r="AH659" s="30" t="s">
        <v>4714</v>
      </c>
      <c r="AI659" s="30" t="s">
        <v>9433</v>
      </c>
      <c r="AJ659" s="641" t="str">
        <f t="shared" si="20"/>
        <v>251903</v>
      </c>
      <c r="AK659" s="641">
        <v>1</v>
      </c>
      <c r="AL659" s="641">
        <f t="shared" si="21"/>
        <v>1</v>
      </c>
      <c r="AM659" s="641">
        <v>1</v>
      </c>
      <c r="AN659" s="30" t="s">
        <v>17650</v>
      </c>
      <c r="AO659" s="30" t="s">
        <v>17651</v>
      </c>
      <c r="AP659" s="30" t="s">
        <v>17652</v>
      </c>
      <c r="AQ659" s="30" t="s">
        <v>17653</v>
      </c>
      <c r="AR659" s="30" t="s">
        <v>1024</v>
      </c>
      <c r="AS659" s="30">
        <v>1</v>
      </c>
    </row>
    <row r="660" spans="1:45" x14ac:dyDescent="0.25">
      <c r="A660" s="30" t="s">
        <v>716</v>
      </c>
      <c r="B660" s="30" t="s">
        <v>27098</v>
      </c>
      <c r="C660" s="30" t="s">
        <v>706</v>
      </c>
      <c r="D660" s="139" t="s">
        <v>26375</v>
      </c>
      <c r="E660" s="30" t="s">
        <v>217</v>
      </c>
      <c r="F660" s="30">
        <v>1</v>
      </c>
      <c r="G660" s="30" t="s">
        <v>193</v>
      </c>
      <c r="H660" s="30" t="s">
        <v>194</v>
      </c>
      <c r="I660" s="30" t="s">
        <v>27277</v>
      </c>
      <c r="J660" s="30" t="s">
        <v>210</v>
      </c>
      <c r="K660" s="30" t="s">
        <v>9309</v>
      </c>
      <c r="L660" s="30" t="s">
        <v>6955</v>
      </c>
      <c r="M660" s="30"/>
      <c r="N660" s="30" t="s">
        <v>27660</v>
      </c>
      <c r="O660" s="30" t="s">
        <v>6286</v>
      </c>
      <c r="P660" s="30" t="s">
        <v>27919</v>
      </c>
      <c r="Q660" s="30" t="s">
        <v>25893</v>
      </c>
      <c r="R660" s="30" t="s">
        <v>27300</v>
      </c>
      <c r="S660" s="30" t="s">
        <v>27989</v>
      </c>
      <c r="T660" s="30" t="s">
        <v>27990</v>
      </c>
      <c r="U660" s="30"/>
      <c r="V660" s="139" t="s">
        <v>9334</v>
      </c>
      <c r="W660" s="30" t="s">
        <v>707</v>
      </c>
      <c r="X660" s="30" t="s">
        <v>194</v>
      </c>
      <c r="Y660" s="30" t="s">
        <v>9300</v>
      </c>
      <c r="Z660" s="30"/>
      <c r="AA660" s="30"/>
      <c r="AB660" s="30" t="s">
        <v>9311</v>
      </c>
      <c r="AC660" s="30"/>
      <c r="AD660" s="30"/>
      <c r="AE660" s="30"/>
      <c r="AF660" s="30"/>
      <c r="AG660" s="30"/>
      <c r="AH660" s="30" t="s">
        <v>4714</v>
      </c>
      <c r="AI660" s="30" t="s">
        <v>9433</v>
      </c>
      <c r="AJ660" s="641" t="str">
        <f t="shared" si="20"/>
        <v>422201</v>
      </c>
      <c r="AK660" s="641">
        <v>1</v>
      </c>
      <c r="AL660" s="641">
        <f t="shared" si="21"/>
        <v>1</v>
      </c>
      <c r="AM660" s="641">
        <v>1</v>
      </c>
      <c r="AN660" s="30" t="s">
        <v>17650</v>
      </c>
      <c r="AO660" s="30" t="s">
        <v>17651</v>
      </c>
      <c r="AP660" s="30" t="s">
        <v>17652</v>
      </c>
      <c r="AQ660" s="30" t="s">
        <v>17653</v>
      </c>
      <c r="AR660" s="30" t="s">
        <v>1024</v>
      </c>
      <c r="AS660" s="30">
        <v>1</v>
      </c>
    </row>
    <row r="661" spans="1:45" x14ac:dyDescent="0.25">
      <c r="A661" s="30" t="s">
        <v>716</v>
      </c>
      <c r="B661" s="30" t="s">
        <v>26132</v>
      </c>
      <c r="C661" s="30" t="s">
        <v>24125</v>
      </c>
      <c r="D661" s="139" t="s">
        <v>26375</v>
      </c>
      <c r="E661" s="30" t="s">
        <v>217</v>
      </c>
      <c r="F661" s="30">
        <v>1</v>
      </c>
      <c r="G661" s="30" t="s">
        <v>193</v>
      </c>
      <c r="H661" s="30" t="s">
        <v>194</v>
      </c>
      <c r="I661" s="30" t="s">
        <v>26133</v>
      </c>
      <c r="J661" s="30" t="s">
        <v>210</v>
      </c>
      <c r="K661" s="30" t="s">
        <v>9309</v>
      </c>
      <c r="L661" s="30" t="s">
        <v>6955</v>
      </c>
      <c r="M661" s="30"/>
      <c r="N661" s="30" t="s">
        <v>27028</v>
      </c>
      <c r="O661" s="30" t="s">
        <v>6290</v>
      </c>
      <c r="P661" s="30" t="s">
        <v>27919</v>
      </c>
      <c r="Q661" s="30" t="s">
        <v>26942</v>
      </c>
      <c r="R661" s="30" t="s">
        <v>23708</v>
      </c>
      <c r="S661" s="30" t="s">
        <v>27991</v>
      </c>
      <c r="T661" s="30" t="s">
        <v>27992</v>
      </c>
      <c r="U661" s="30"/>
      <c r="V661" s="139" t="s">
        <v>9334</v>
      </c>
      <c r="W661" s="30" t="s">
        <v>24129</v>
      </c>
      <c r="X661" s="30" t="s">
        <v>194</v>
      </c>
      <c r="Y661" s="30" t="s">
        <v>9300</v>
      </c>
      <c r="Z661" s="30"/>
      <c r="AA661" s="30"/>
      <c r="AB661" s="30" t="s">
        <v>9311</v>
      </c>
      <c r="AC661" s="30"/>
      <c r="AD661" s="30"/>
      <c r="AE661" s="30"/>
      <c r="AF661" s="30"/>
      <c r="AG661" s="30"/>
      <c r="AH661" s="30" t="s">
        <v>4714</v>
      </c>
      <c r="AI661" s="30" t="s">
        <v>9433</v>
      </c>
      <c r="AJ661" s="641" t="str">
        <f t="shared" si="20"/>
        <v>351401</v>
      </c>
      <c r="AK661" s="641">
        <v>1</v>
      </c>
      <c r="AL661" s="641">
        <f t="shared" si="21"/>
        <v>1</v>
      </c>
      <c r="AM661" s="641">
        <v>1</v>
      </c>
      <c r="AN661" s="30" t="s">
        <v>17650</v>
      </c>
      <c r="AO661" s="30" t="s">
        <v>17651</v>
      </c>
      <c r="AP661" s="30" t="s">
        <v>17652</v>
      </c>
      <c r="AQ661" s="30" t="s">
        <v>17653</v>
      </c>
      <c r="AR661" s="30" t="s">
        <v>1024</v>
      </c>
      <c r="AS661" s="30">
        <v>1</v>
      </c>
    </row>
    <row r="662" spans="1:45" x14ac:dyDescent="0.25">
      <c r="A662" s="30" t="s">
        <v>26193</v>
      </c>
      <c r="B662" s="30" t="s">
        <v>26194</v>
      </c>
      <c r="C662" s="30" t="s">
        <v>227</v>
      </c>
      <c r="D662" s="139" t="s">
        <v>26375</v>
      </c>
      <c r="E662" s="30" t="s">
        <v>217</v>
      </c>
      <c r="F662" s="30">
        <v>1</v>
      </c>
      <c r="G662" s="30" t="s">
        <v>193</v>
      </c>
      <c r="H662" s="30" t="s">
        <v>194</v>
      </c>
      <c r="I662" s="30" t="s">
        <v>27277</v>
      </c>
      <c r="J662" s="30" t="s">
        <v>408</v>
      </c>
      <c r="K662" s="30" t="s">
        <v>9309</v>
      </c>
      <c r="L662" s="30" t="s">
        <v>6955</v>
      </c>
      <c r="M662" s="30"/>
      <c r="N662" s="30" t="s">
        <v>27514</v>
      </c>
      <c r="O662" s="30" t="s">
        <v>6277</v>
      </c>
      <c r="P662" s="30" t="s">
        <v>27919</v>
      </c>
      <c r="Q662" s="30" t="s">
        <v>26109</v>
      </c>
      <c r="R662" s="30" t="s">
        <v>27328</v>
      </c>
      <c r="S662" s="30" t="s">
        <v>27993</v>
      </c>
      <c r="T662" s="30" t="s">
        <v>27994</v>
      </c>
      <c r="U662" s="30"/>
      <c r="V662" s="139" t="s">
        <v>9479</v>
      </c>
      <c r="W662" s="30" t="s">
        <v>229</v>
      </c>
      <c r="X662" s="30" t="s">
        <v>194</v>
      </c>
      <c r="Y662" s="30" t="s">
        <v>9300</v>
      </c>
      <c r="Z662" s="30"/>
      <c r="AA662" s="30"/>
      <c r="AB662" s="30" t="s">
        <v>9311</v>
      </c>
      <c r="AC662" s="30"/>
      <c r="AD662" s="30"/>
      <c r="AE662" s="30"/>
      <c r="AF662" s="30"/>
      <c r="AG662" s="30"/>
      <c r="AH662" s="30" t="s">
        <v>4714</v>
      </c>
      <c r="AI662" s="30" t="s">
        <v>9433</v>
      </c>
      <c r="AJ662" s="641" t="str">
        <f t="shared" si="20"/>
        <v>132401</v>
      </c>
      <c r="AK662" s="641">
        <v>1</v>
      </c>
      <c r="AL662" s="641">
        <f t="shared" si="21"/>
        <v>1</v>
      </c>
      <c r="AM662" s="641">
        <v>1</v>
      </c>
      <c r="AN662" s="30" t="s">
        <v>17650</v>
      </c>
      <c r="AO662" s="30" t="s">
        <v>17651</v>
      </c>
      <c r="AP662" s="30" t="s">
        <v>17652</v>
      </c>
      <c r="AQ662" s="30" t="s">
        <v>17653</v>
      </c>
      <c r="AR662" s="30" t="s">
        <v>1024</v>
      </c>
      <c r="AS662" s="30">
        <v>1</v>
      </c>
    </row>
    <row r="663" spans="1:45" x14ac:dyDescent="0.25">
      <c r="A663" s="30" t="s">
        <v>716</v>
      </c>
      <c r="B663" s="30" t="s">
        <v>26635</v>
      </c>
      <c r="C663" s="30" t="s">
        <v>706</v>
      </c>
      <c r="D663" s="139" t="s">
        <v>26375</v>
      </c>
      <c r="E663" s="30" t="s">
        <v>217</v>
      </c>
      <c r="F663" s="84">
        <v>1</v>
      </c>
      <c r="G663" s="30" t="s">
        <v>193</v>
      </c>
      <c r="H663" s="30" t="s">
        <v>194</v>
      </c>
      <c r="I663" s="30" t="s">
        <v>27277</v>
      </c>
      <c r="J663" s="30" t="s">
        <v>210</v>
      </c>
      <c r="K663" s="30" t="s">
        <v>9309</v>
      </c>
      <c r="L663" s="30" t="s">
        <v>6955</v>
      </c>
      <c r="M663" s="30"/>
      <c r="N663" s="30" t="s">
        <v>27995</v>
      </c>
      <c r="O663" s="30" t="s">
        <v>6286</v>
      </c>
      <c r="P663" s="30" t="s">
        <v>27919</v>
      </c>
      <c r="Q663" s="30" t="s">
        <v>26079</v>
      </c>
      <c r="R663" s="30" t="s">
        <v>26077</v>
      </c>
      <c r="S663" s="30" t="s">
        <v>27996</v>
      </c>
      <c r="T663" s="30" t="s">
        <v>27997</v>
      </c>
      <c r="U663" s="30"/>
      <c r="V663" s="139" t="s">
        <v>9334</v>
      </c>
      <c r="W663" s="30" t="s">
        <v>707</v>
      </c>
      <c r="X663" s="30" t="s">
        <v>194</v>
      </c>
      <c r="Y663" s="30" t="s">
        <v>9300</v>
      </c>
      <c r="Z663" s="30"/>
      <c r="AA663" s="30"/>
      <c r="AB663" s="30" t="s">
        <v>9311</v>
      </c>
      <c r="AC663" s="30"/>
      <c r="AD663" s="30"/>
      <c r="AE663" s="30"/>
      <c r="AF663" s="30"/>
      <c r="AG663" s="30"/>
      <c r="AH663" s="30" t="s">
        <v>4714</v>
      </c>
      <c r="AI663" s="30" t="s">
        <v>9433</v>
      </c>
      <c r="AJ663" s="641" t="str">
        <f t="shared" si="20"/>
        <v>422201</v>
      </c>
      <c r="AK663" s="641">
        <v>1</v>
      </c>
      <c r="AL663" s="641">
        <f t="shared" si="21"/>
        <v>1</v>
      </c>
      <c r="AM663" s="641">
        <v>1</v>
      </c>
      <c r="AN663" s="30" t="s">
        <v>17650</v>
      </c>
      <c r="AO663" s="30" t="s">
        <v>17651</v>
      </c>
      <c r="AP663" s="30" t="s">
        <v>17652</v>
      </c>
      <c r="AQ663" s="30" t="s">
        <v>17653</v>
      </c>
      <c r="AR663" s="30" t="s">
        <v>1024</v>
      </c>
      <c r="AS663" s="30">
        <v>1</v>
      </c>
    </row>
    <row r="664" spans="1:45" x14ac:dyDescent="0.25">
      <c r="A664" s="30" t="s">
        <v>26153</v>
      </c>
      <c r="B664" s="30" t="s">
        <v>26752</v>
      </c>
      <c r="C664" s="30" t="s">
        <v>2861</v>
      </c>
      <c r="D664" s="139" t="s">
        <v>26375</v>
      </c>
      <c r="E664" s="30" t="s">
        <v>217</v>
      </c>
      <c r="F664" s="30">
        <v>1</v>
      </c>
      <c r="G664" s="30" t="s">
        <v>193</v>
      </c>
      <c r="H664" s="30" t="s">
        <v>194</v>
      </c>
      <c r="I664" s="30" t="s">
        <v>23198</v>
      </c>
      <c r="J664" s="30" t="s">
        <v>210</v>
      </c>
      <c r="K664" s="30" t="s">
        <v>9309</v>
      </c>
      <c r="L664" s="30" t="s">
        <v>6955</v>
      </c>
      <c r="M664" s="30"/>
      <c r="N664" s="30" t="s">
        <v>27035</v>
      </c>
      <c r="O664" s="30" t="s">
        <v>6261</v>
      </c>
      <c r="P664" s="30" t="s">
        <v>27919</v>
      </c>
      <c r="Q664" s="30" t="s">
        <v>26881</v>
      </c>
      <c r="R664" s="30" t="s">
        <v>26882</v>
      </c>
      <c r="S664" s="30" t="s">
        <v>27998</v>
      </c>
      <c r="T664" s="30" t="s">
        <v>27999</v>
      </c>
      <c r="U664" s="30"/>
      <c r="V664" s="139" t="s">
        <v>9334</v>
      </c>
      <c r="W664" s="30" t="s">
        <v>3629</v>
      </c>
      <c r="X664" s="30" t="s">
        <v>194</v>
      </c>
      <c r="Y664" s="30" t="s">
        <v>9300</v>
      </c>
      <c r="Z664" s="30"/>
      <c r="AA664" s="30"/>
      <c r="AB664" s="30" t="s">
        <v>9311</v>
      </c>
      <c r="AC664" s="30"/>
      <c r="AD664" s="30"/>
      <c r="AE664" s="30"/>
      <c r="AF664" s="30"/>
      <c r="AG664" s="30"/>
      <c r="AH664" s="30" t="s">
        <v>4714</v>
      </c>
      <c r="AI664" s="30" t="s">
        <v>9433</v>
      </c>
      <c r="AJ664" s="641" t="str">
        <f t="shared" si="20"/>
        <v>251903</v>
      </c>
      <c r="AK664" s="641">
        <v>1</v>
      </c>
      <c r="AL664" s="641">
        <f t="shared" si="21"/>
        <v>1</v>
      </c>
      <c r="AM664" s="641">
        <v>1</v>
      </c>
      <c r="AN664" s="30" t="s">
        <v>17650</v>
      </c>
      <c r="AO664" s="30" t="s">
        <v>17651</v>
      </c>
      <c r="AP664" s="30" t="s">
        <v>17652</v>
      </c>
      <c r="AQ664" s="30" t="s">
        <v>17653</v>
      </c>
      <c r="AR664" s="30" t="s">
        <v>1024</v>
      </c>
      <c r="AS664" s="30">
        <v>1</v>
      </c>
    </row>
    <row r="665" spans="1:45" x14ac:dyDescent="0.25">
      <c r="A665" s="30" t="s">
        <v>716</v>
      </c>
      <c r="B665" s="30" t="s">
        <v>26342</v>
      </c>
      <c r="C665" s="30" t="s">
        <v>27859</v>
      </c>
      <c r="D665" s="139" t="s">
        <v>26375</v>
      </c>
      <c r="E665" s="30" t="s">
        <v>217</v>
      </c>
      <c r="F665" s="30">
        <v>1</v>
      </c>
      <c r="G665" s="30" t="s">
        <v>193</v>
      </c>
      <c r="H665" s="30" t="s">
        <v>194</v>
      </c>
      <c r="I665" s="30" t="s">
        <v>27277</v>
      </c>
      <c r="J665" s="30" t="s">
        <v>210</v>
      </c>
      <c r="K665" s="30" t="s">
        <v>9309</v>
      </c>
      <c r="L665" s="30" t="s">
        <v>6955</v>
      </c>
      <c r="M665" s="30"/>
      <c r="N665" s="30" t="s">
        <v>28000</v>
      </c>
      <c r="O665" s="30" t="s">
        <v>6261</v>
      </c>
      <c r="P665" s="30" t="s">
        <v>27919</v>
      </c>
      <c r="Q665" s="30" t="s">
        <v>26252</v>
      </c>
      <c r="R665" s="30" t="s">
        <v>27838</v>
      </c>
      <c r="S665" s="30" t="s">
        <v>28001</v>
      </c>
      <c r="T665" s="30" t="s">
        <v>28002</v>
      </c>
      <c r="U665" s="30"/>
      <c r="V665" s="139" t="s">
        <v>9334</v>
      </c>
      <c r="W665" s="30" t="s">
        <v>27862</v>
      </c>
      <c r="X665" s="30" t="s">
        <v>194</v>
      </c>
      <c r="Y665" s="30" t="s">
        <v>9300</v>
      </c>
      <c r="Z665" s="30"/>
      <c r="AA665" s="30"/>
      <c r="AB665" s="30" t="s">
        <v>9311</v>
      </c>
      <c r="AC665" s="30"/>
      <c r="AD665" s="30"/>
      <c r="AE665" s="30"/>
      <c r="AF665" s="30"/>
      <c r="AG665" s="30"/>
      <c r="AH665" s="30" t="s">
        <v>4714</v>
      </c>
      <c r="AI665" s="30" t="s">
        <v>9433</v>
      </c>
      <c r="AJ665" s="641" t="str">
        <f t="shared" si="20"/>
        <v>351490</v>
      </c>
      <c r="AK665" s="641">
        <v>1</v>
      </c>
      <c r="AL665" s="641">
        <f t="shared" si="21"/>
        <v>1</v>
      </c>
      <c r="AM665" s="641">
        <v>1</v>
      </c>
      <c r="AN665" s="30" t="s">
        <v>17650</v>
      </c>
      <c r="AO665" s="30" t="s">
        <v>17651</v>
      </c>
      <c r="AP665" s="30" t="s">
        <v>17652</v>
      </c>
      <c r="AQ665" s="30" t="s">
        <v>17653</v>
      </c>
      <c r="AR665" s="30" t="s">
        <v>1024</v>
      </c>
      <c r="AS665" s="30">
        <v>1</v>
      </c>
    </row>
    <row r="666" spans="1:45" x14ac:dyDescent="0.25">
      <c r="A666" s="30" t="s">
        <v>716</v>
      </c>
      <c r="B666" s="30" t="s">
        <v>26737</v>
      </c>
      <c r="C666" s="30" t="s">
        <v>136</v>
      </c>
      <c r="D666" s="139" t="s">
        <v>26375</v>
      </c>
      <c r="E666" s="30" t="s">
        <v>217</v>
      </c>
      <c r="F666" s="30">
        <v>1</v>
      </c>
      <c r="G666" s="30" t="s">
        <v>193</v>
      </c>
      <c r="H666" s="30" t="s">
        <v>194</v>
      </c>
      <c r="I666" s="30" t="s">
        <v>27277</v>
      </c>
      <c r="J666" s="30" t="s">
        <v>210</v>
      </c>
      <c r="K666" s="30" t="s">
        <v>9309</v>
      </c>
      <c r="L666" s="30" t="s">
        <v>6955</v>
      </c>
      <c r="M666" s="30"/>
      <c r="N666" s="30" t="s">
        <v>26999</v>
      </c>
      <c r="O666" s="30" t="s">
        <v>6249</v>
      </c>
      <c r="P666" s="30" t="s">
        <v>27919</v>
      </c>
      <c r="Q666" s="30" t="s">
        <v>26881</v>
      </c>
      <c r="R666" s="30" t="s">
        <v>26882</v>
      </c>
      <c r="S666" s="30" t="s">
        <v>28003</v>
      </c>
      <c r="T666" s="30" t="s">
        <v>28004</v>
      </c>
      <c r="U666" s="30"/>
      <c r="V666" s="139" t="s">
        <v>9334</v>
      </c>
      <c r="W666" s="30" t="s">
        <v>461</v>
      </c>
      <c r="X666" s="30" t="s">
        <v>194</v>
      </c>
      <c r="Y666" s="30" t="s">
        <v>9300</v>
      </c>
      <c r="Z666" s="30"/>
      <c r="AA666" s="30"/>
      <c r="AB666" s="30" t="s">
        <v>9311</v>
      </c>
      <c r="AC666" s="30"/>
      <c r="AD666" s="30"/>
      <c r="AE666" s="30"/>
      <c r="AF666" s="30"/>
      <c r="AG666" s="30"/>
      <c r="AH666" s="30" t="s">
        <v>4714</v>
      </c>
      <c r="AI666" s="30" t="s">
        <v>9433</v>
      </c>
      <c r="AJ666" s="641" t="str">
        <f t="shared" si="20"/>
        <v>243301</v>
      </c>
      <c r="AK666" s="641">
        <v>1</v>
      </c>
      <c r="AL666" s="641">
        <f t="shared" si="21"/>
        <v>1</v>
      </c>
      <c r="AM666" s="641">
        <v>1</v>
      </c>
      <c r="AN666" s="30" t="s">
        <v>17650</v>
      </c>
      <c r="AO666" s="30" t="s">
        <v>17651</v>
      </c>
      <c r="AP666" s="30" t="s">
        <v>17652</v>
      </c>
      <c r="AQ666" s="30" t="s">
        <v>17653</v>
      </c>
      <c r="AR666" s="30" t="s">
        <v>1024</v>
      </c>
      <c r="AS666" s="30">
        <v>1</v>
      </c>
    </row>
    <row r="667" spans="1:45" x14ac:dyDescent="0.25">
      <c r="A667" s="30" t="s">
        <v>716</v>
      </c>
      <c r="B667" s="30" t="s">
        <v>26282</v>
      </c>
      <c r="C667" s="30" t="s">
        <v>27859</v>
      </c>
      <c r="D667" s="139" t="s">
        <v>26375</v>
      </c>
      <c r="E667" s="30" t="s">
        <v>217</v>
      </c>
      <c r="F667" s="30">
        <v>1</v>
      </c>
      <c r="G667" s="30" t="s">
        <v>193</v>
      </c>
      <c r="H667" s="30" t="s">
        <v>194</v>
      </c>
      <c r="I667" s="30" t="s">
        <v>27277</v>
      </c>
      <c r="J667" s="30" t="s">
        <v>210</v>
      </c>
      <c r="K667" s="30" t="s">
        <v>9309</v>
      </c>
      <c r="L667" s="30" t="s">
        <v>6955</v>
      </c>
      <c r="M667" s="30"/>
      <c r="N667" s="30" t="s">
        <v>26481</v>
      </c>
      <c r="O667" s="30" t="s">
        <v>6290</v>
      </c>
      <c r="P667" s="30" t="s">
        <v>27919</v>
      </c>
      <c r="Q667" s="30" t="s">
        <v>26201</v>
      </c>
      <c r="R667" s="30" t="s">
        <v>24556</v>
      </c>
      <c r="S667" s="30" t="s">
        <v>28005</v>
      </c>
      <c r="T667" s="30" t="s">
        <v>28006</v>
      </c>
      <c r="U667" s="30"/>
      <c r="V667" s="139" t="s">
        <v>9334</v>
      </c>
      <c r="W667" s="30" t="s">
        <v>27862</v>
      </c>
      <c r="X667" s="30" t="s">
        <v>194</v>
      </c>
      <c r="Y667" s="30" t="s">
        <v>9300</v>
      </c>
      <c r="Z667" s="30"/>
      <c r="AA667" s="30"/>
      <c r="AB667" s="30" t="s">
        <v>9311</v>
      </c>
      <c r="AC667" s="30"/>
      <c r="AD667" s="30"/>
      <c r="AE667" s="30"/>
      <c r="AF667" s="30"/>
      <c r="AG667" s="30"/>
      <c r="AH667" s="30" t="s">
        <v>4714</v>
      </c>
      <c r="AI667" s="30" t="s">
        <v>9433</v>
      </c>
      <c r="AJ667" s="641" t="str">
        <f t="shared" si="20"/>
        <v>351490</v>
      </c>
      <c r="AK667" s="641">
        <v>1</v>
      </c>
      <c r="AL667" s="641">
        <f t="shared" si="21"/>
        <v>1</v>
      </c>
      <c r="AM667" s="641">
        <v>1</v>
      </c>
      <c r="AN667" s="30" t="s">
        <v>17650</v>
      </c>
      <c r="AO667" s="30" t="s">
        <v>17651</v>
      </c>
      <c r="AP667" s="30" t="s">
        <v>17652</v>
      </c>
      <c r="AQ667" s="30" t="s">
        <v>17653</v>
      </c>
      <c r="AR667" s="30" t="s">
        <v>1024</v>
      </c>
      <c r="AS667" s="30">
        <v>1</v>
      </c>
    </row>
    <row r="668" spans="1:45" x14ac:dyDescent="0.25">
      <c r="A668" s="30" t="s">
        <v>26574</v>
      </c>
      <c r="B668" s="30" t="s">
        <v>27561</v>
      </c>
      <c r="C668" s="30" t="s">
        <v>727</v>
      </c>
      <c r="D668" s="139" t="s">
        <v>26375</v>
      </c>
      <c r="E668" s="30" t="s">
        <v>217</v>
      </c>
      <c r="F668" s="30">
        <v>1</v>
      </c>
      <c r="G668" s="30" t="s">
        <v>193</v>
      </c>
      <c r="H668" s="30" t="s">
        <v>194</v>
      </c>
      <c r="I668" s="30" t="s">
        <v>27277</v>
      </c>
      <c r="J668" s="30" t="s">
        <v>316</v>
      </c>
      <c r="K668" s="30" t="s">
        <v>9309</v>
      </c>
      <c r="L668" s="30" t="s">
        <v>6955</v>
      </c>
      <c r="M668" s="30"/>
      <c r="N668" s="30" t="s">
        <v>27562</v>
      </c>
      <c r="O668" s="30" t="s">
        <v>6343</v>
      </c>
      <c r="P668" s="30" t="s">
        <v>27919</v>
      </c>
      <c r="Q668" s="30" t="s">
        <v>24551</v>
      </c>
      <c r="R668" s="30" t="s">
        <v>27361</v>
      </c>
      <c r="S668" s="30" t="s">
        <v>28007</v>
      </c>
      <c r="T668" s="30" t="s">
        <v>28008</v>
      </c>
      <c r="U668" s="30"/>
      <c r="V668" s="139" t="s">
        <v>10012</v>
      </c>
      <c r="W668" s="30" t="s">
        <v>728</v>
      </c>
      <c r="X668" s="30" t="s">
        <v>194</v>
      </c>
      <c r="Y668" s="30" t="s">
        <v>9300</v>
      </c>
      <c r="Z668" s="30"/>
      <c r="AA668" s="30"/>
      <c r="AB668" s="30" t="s">
        <v>9311</v>
      </c>
      <c r="AC668" s="30"/>
      <c r="AD668" s="30"/>
      <c r="AE668" s="30"/>
      <c r="AF668" s="30"/>
      <c r="AG668" s="30"/>
      <c r="AH668" s="30" t="s">
        <v>4714</v>
      </c>
      <c r="AI668" s="30" t="s">
        <v>9433</v>
      </c>
      <c r="AJ668" s="641" t="str">
        <f t="shared" si="20"/>
        <v>512001</v>
      </c>
      <c r="AK668" s="641">
        <v>1</v>
      </c>
      <c r="AL668" s="641">
        <f t="shared" si="21"/>
        <v>1</v>
      </c>
      <c r="AM668" s="641">
        <v>1</v>
      </c>
      <c r="AN668" s="30" t="s">
        <v>17650</v>
      </c>
      <c r="AO668" s="30" t="s">
        <v>17651</v>
      </c>
      <c r="AP668" s="30" t="s">
        <v>17652</v>
      </c>
      <c r="AQ668" s="30" t="s">
        <v>17653</v>
      </c>
      <c r="AR668" s="30" t="s">
        <v>1024</v>
      </c>
      <c r="AS668" s="30">
        <v>1</v>
      </c>
    </row>
    <row r="669" spans="1:45" x14ac:dyDescent="0.25">
      <c r="A669" s="30" t="s">
        <v>716</v>
      </c>
      <c r="B669" s="30" t="s">
        <v>26666</v>
      </c>
      <c r="C669" s="30" t="s">
        <v>2861</v>
      </c>
      <c r="D669" s="139" t="s">
        <v>26375</v>
      </c>
      <c r="E669" s="30" t="s">
        <v>217</v>
      </c>
      <c r="F669" s="84">
        <v>1</v>
      </c>
      <c r="G669" s="30" t="s">
        <v>193</v>
      </c>
      <c r="H669" s="30" t="s">
        <v>194</v>
      </c>
      <c r="I669" s="30" t="s">
        <v>23198</v>
      </c>
      <c r="J669" s="30" t="s">
        <v>210</v>
      </c>
      <c r="K669" s="30" t="s">
        <v>9309</v>
      </c>
      <c r="L669" s="30" t="s">
        <v>6955</v>
      </c>
      <c r="M669" s="30"/>
      <c r="N669" s="30" t="s">
        <v>26941</v>
      </c>
      <c r="O669" s="30" t="s">
        <v>6921</v>
      </c>
      <c r="P669" s="30" t="s">
        <v>27919</v>
      </c>
      <c r="Q669" s="30" t="s">
        <v>26942</v>
      </c>
      <c r="R669" s="30" t="s">
        <v>23708</v>
      </c>
      <c r="S669" s="30" t="s">
        <v>28009</v>
      </c>
      <c r="T669" s="30" t="s">
        <v>28010</v>
      </c>
      <c r="U669" s="30"/>
      <c r="V669" s="139" t="s">
        <v>9334</v>
      </c>
      <c r="W669" s="30" t="s">
        <v>3629</v>
      </c>
      <c r="X669" s="30" t="s">
        <v>194</v>
      </c>
      <c r="Y669" s="30" t="s">
        <v>9300</v>
      </c>
      <c r="Z669" s="30"/>
      <c r="AA669" s="30"/>
      <c r="AB669" s="30" t="s">
        <v>9311</v>
      </c>
      <c r="AC669" s="30"/>
      <c r="AD669" s="30"/>
      <c r="AE669" s="30"/>
      <c r="AF669" s="30"/>
      <c r="AG669" s="30"/>
      <c r="AH669" s="30" t="s">
        <v>4714</v>
      </c>
      <c r="AI669" s="30" t="s">
        <v>9433</v>
      </c>
      <c r="AJ669" s="641" t="str">
        <f t="shared" si="20"/>
        <v>251903</v>
      </c>
      <c r="AK669" s="641">
        <v>1</v>
      </c>
      <c r="AL669" s="641">
        <f t="shared" si="21"/>
        <v>1</v>
      </c>
      <c r="AM669" s="641">
        <v>1</v>
      </c>
      <c r="AN669" s="30" t="s">
        <v>17650</v>
      </c>
      <c r="AO669" s="30" t="s">
        <v>17651</v>
      </c>
      <c r="AP669" s="30" t="s">
        <v>17652</v>
      </c>
      <c r="AQ669" s="30" t="s">
        <v>17653</v>
      </c>
      <c r="AR669" s="30" t="s">
        <v>1024</v>
      </c>
      <c r="AS669" s="30">
        <v>1</v>
      </c>
    </row>
    <row r="670" spans="1:45" x14ac:dyDescent="0.25">
      <c r="A670" s="30" t="s">
        <v>26089</v>
      </c>
      <c r="B670" s="30" t="s">
        <v>26305</v>
      </c>
      <c r="C670" s="30" t="s">
        <v>26180</v>
      </c>
      <c r="D670" s="139" t="s">
        <v>26375</v>
      </c>
      <c r="E670" s="30" t="s">
        <v>217</v>
      </c>
      <c r="F670" s="30">
        <v>1</v>
      </c>
      <c r="G670" s="30" t="s">
        <v>193</v>
      </c>
      <c r="H670" s="30" t="s">
        <v>194</v>
      </c>
      <c r="I670" s="30" t="s">
        <v>27277</v>
      </c>
      <c r="J670" s="30" t="s">
        <v>4751</v>
      </c>
      <c r="K670" s="30" t="s">
        <v>9309</v>
      </c>
      <c r="L670" s="30" t="s">
        <v>6955</v>
      </c>
      <c r="M670" s="30"/>
      <c r="N670" s="30" t="s">
        <v>26306</v>
      </c>
      <c r="O670" s="30" t="s">
        <v>7120</v>
      </c>
      <c r="P670" s="30" t="s">
        <v>27805</v>
      </c>
      <c r="Q670" s="30" t="s">
        <v>26092</v>
      </c>
      <c r="R670" s="30" t="s">
        <v>27806</v>
      </c>
      <c r="S670" s="30" t="s">
        <v>28011</v>
      </c>
      <c r="T670" s="30" t="s">
        <v>28012</v>
      </c>
      <c r="U670" s="30"/>
      <c r="V670" s="139" t="s">
        <v>9472</v>
      </c>
      <c r="W670" s="30" t="s">
        <v>26186</v>
      </c>
      <c r="X670" s="30" t="s">
        <v>194</v>
      </c>
      <c r="Y670" s="30" t="s">
        <v>9300</v>
      </c>
      <c r="Z670" s="30"/>
      <c r="AA670" s="30"/>
      <c r="AB670" s="30" t="s">
        <v>9311</v>
      </c>
      <c r="AC670" s="30"/>
      <c r="AD670" s="30"/>
      <c r="AE670" s="30"/>
      <c r="AF670" s="30"/>
      <c r="AG670" s="30"/>
      <c r="AH670" s="30" t="s">
        <v>4714</v>
      </c>
      <c r="AI670" s="30" t="s">
        <v>9433</v>
      </c>
      <c r="AJ670" s="641" t="str">
        <f t="shared" si="20"/>
        <v>421108</v>
      </c>
      <c r="AK670" s="641">
        <v>1</v>
      </c>
      <c r="AL670" s="641">
        <f t="shared" si="21"/>
        <v>1</v>
      </c>
      <c r="AM670" s="641">
        <v>1</v>
      </c>
      <c r="AN670" s="30" t="s">
        <v>17650</v>
      </c>
      <c r="AO670" s="30" t="s">
        <v>17651</v>
      </c>
      <c r="AP670" s="30" t="s">
        <v>17652</v>
      </c>
      <c r="AQ670" s="30" t="s">
        <v>17653</v>
      </c>
      <c r="AR670" s="30" t="s">
        <v>1024</v>
      </c>
      <c r="AS670" s="30">
        <v>1</v>
      </c>
    </row>
    <row r="671" spans="1:45" x14ac:dyDescent="0.25">
      <c r="A671" s="30" t="s">
        <v>4022</v>
      </c>
      <c r="B671" s="30" t="s">
        <v>8022</v>
      </c>
      <c r="C671" s="30" t="s">
        <v>7617</v>
      </c>
      <c r="D671" s="139" t="s">
        <v>26375</v>
      </c>
      <c r="E671" s="30" t="s">
        <v>217</v>
      </c>
      <c r="F671" s="30">
        <v>1</v>
      </c>
      <c r="G671" s="30" t="s">
        <v>193</v>
      </c>
      <c r="H671" s="30" t="s">
        <v>194</v>
      </c>
      <c r="I671" s="30" t="s">
        <v>27277</v>
      </c>
      <c r="J671" s="30" t="s">
        <v>210</v>
      </c>
      <c r="K671" s="30" t="s">
        <v>9309</v>
      </c>
      <c r="L671" s="30" t="s">
        <v>6955</v>
      </c>
      <c r="M671" s="30"/>
      <c r="N671" s="30" t="s">
        <v>28013</v>
      </c>
      <c r="O671" s="30" t="s">
        <v>6290</v>
      </c>
      <c r="P671" s="30" t="s">
        <v>27919</v>
      </c>
      <c r="Q671" s="30" t="s">
        <v>26242</v>
      </c>
      <c r="R671" s="30" t="s">
        <v>23198</v>
      </c>
      <c r="S671" s="30" t="s">
        <v>28014</v>
      </c>
      <c r="T671" s="30" t="s">
        <v>28015</v>
      </c>
      <c r="U671" s="30"/>
      <c r="V671" s="139" t="s">
        <v>9334</v>
      </c>
      <c r="W671" s="30" t="s">
        <v>7620</v>
      </c>
      <c r="X671" s="30" t="s">
        <v>194</v>
      </c>
      <c r="Y671" s="30" t="s">
        <v>9300</v>
      </c>
      <c r="Z671" s="30"/>
      <c r="AA671" s="30"/>
      <c r="AB671" s="30" t="s">
        <v>9311</v>
      </c>
      <c r="AC671" s="30"/>
      <c r="AD671" s="30"/>
      <c r="AE671" s="30"/>
      <c r="AF671" s="30"/>
      <c r="AG671" s="30"/>
      <c r="AH671" s="30" t="s">
        <v>4714</v>
      </c>
      <c r="AI671" s="30" t="s">
        <v>9433</v>
      </c>
      <c r="AJ671" s="641" t="str">
        <f t="shared" si="20"/>
        <v>516903</v>
      </c>
      <c r="AK671" s="641">
        <v>1</v>
      </c>
      <c r="AL671" s="641">
        <f t="shared" si="21"/>
        <v>1</v>
      </c>
      <c r="AM671" s="641">
        <v>1</v>
      </c>
      <c r="AN671" s="30" t="s">
        <v>17650</v>
      </c>
      <c r="AO671" s="30" t="s">
        <v>17651</v>
      </c>
      <c r="AP671" s="30" t="s">
        <v>17652</v>
      </c>
      <c r="AQ671" s="30" t="s">
        <v>17653</v>
      </c>
      <c r="AR671" s="30" t="s">
        <v>1024</v>
      </c>
      <c r="AS671" s="30">
        <v>1</v>
      </c>
    </row>
    <row r="672" spans="1:45" x14ac:dyDescent="0.25">
      <c r="A672" s="30" t="s">
        <v>716</v>
      </c>
      <c r="B672" s="30" t="s">
        <v>26369</v>
      </c>
      <c r="C672" s="30" t="s">
        <v>24125</v>
      </c>
      <c r="D672" s="139" t="s">
        <v>26375</v>
      </c>
      <c r="E672" s="30" t="s">
        <v>217</v>
      </c>
      <c r="F672" s="30">
        <v>1</v>
      </c>
      <c r="G672" s="30" t="s">
        <v>194</v>
      </c>
      <c r="H672" s="30" t="s">
        <v>193</v>
      </c>
      <c r="I672" s="30" t="s">
        <v>26133</v>
      </c>
      <c r="J672" s="30" t="s">
        <v>210</v>
      </c>
      <c r="K672" s="30" t="s">
        <v>9309</v>
      </c>
      <c r="L672" s="30" t="s">
        <v>6955</v>
      </c>
      <c r="M672" s="30"/>
      <c r="N672" s="30" t="s">
        <v>28016</v>
      </c>
      <c r="O672" s="30" t="s">
        <v>6921</v>
      </c>
      <c r="P672" s="30" t="s">
        <v>27919</v>
      </c>
      <c r="Q672" s="30" t="s">
        <v>26252</v>
      </c>
      <c r="R672" s="30" t="s">
        <v>27838</v>
      </c>
      <c r="S672" s="30" t="s">
        <v>28017</v>
      </c>
      <c r="T672" s="30" t="s">
        <v>28018</v>
      </c>
      <c r="U672" s="30"/>
      <c r="V672" s="139" t="s">
        <v>9334</v>
      </c>
      <c r="W672" s="30" t="s">
        <v>24129</v>
      </c>
      <c r="X672" s="30" t="s">
        <v>194</v>
      </c>
      <c r="Y672" s="30" t="s">
        <v>9300</v>
      </c>
      <c r="Z672" s="30"/>
      <c r="AA672" s="30"/>
      <c r="AB672" s="30" t="s">
        <v>9311</v>
      </c>
      <c r="AC672" s="30"/>
      <c r="AD672" s="30"/>
      <c r="AE672" s="30"/>
      <c r="AF672" s="30"/>
      <c r="AG672" s="30"/>
      <c r="AH672" s="30" t="s">
        <v>4714</v>
      </c>
      <c r="AI672" s="30" t="s">
        <v>9433</v>
      </c>
      <c r="AJ672" s="641" t="str">
        <f t="shared" si="20"/>
        <v>351401</v>
      </c>
      <c r="AK672" s="641">
        <v>1</v>
      </c>
      <c r="AL672" s="641">
        <f t="shared" si="21"/>
        <v>1</v>
      </c>
      <c r="AM672" s="641">
        <v>1</v>
      </c>
      <c r="AN672" s="30" t="s">
        <v>17650</v>
      </c>
      <c r="AO672" s="30" t="s">
        <v>17651</v>
      </c>
      <c r="AP672" s="30" t="s">
        <v>17652</v>
      </c>
      <c r="AQ672" s="30" t="s">
        <v>17653</v>
      </c>
      <c r="AR672" s="30" t="s">
        <v>1024</v>
      </c>
      <c r="AS672" s="30">
        <v>1</v>
      </c>
    </row>
    <row r="673" spans="1:45" x14ac:dyDescent="0.25">
      <c r="A673" s="30" t="s">
        <v>26089</v>
      </c>
      <c r="B673" s="30" t="s">
        <v>26268</v>
      </c>
      <c r="C673" s="30" t="s">
        <v>444</v>
      </c>
      <c r="D673" s="139" t="s">
        <v>26375</v>
      </c>
      <c r="E673" s="30" t="s">
        <v>217</v>
      </c>
      <c r="F673" s="30">
        <v>1</v>
      </c>
      <c r="G673" s="30" t="s">
        <v>193</v>
      </c>
      <c r="H673" s="30" t="s">
        <v>194</v>
      </c>
      <c r="I673" s="30" t="s">
        <v>27277</v>
      </c>
      <c r="J673" s="30" t="s">
        <v>210</v>
      </c>
      <c r="K673" s="30" t="s">
        <v>9309</v>
      </c>
      <c r="L673" s="30" t="s">
        <v>6955</v>
      </c>
      <c r="M673" s="30"/>
      <c r="N673" s="30" t="s">
        <v>26719</v>
      </c>
      <c r="O673" s="30" t="s">
        <v>6261</v>
      </c>
      <c r="P673" s="30" t="s">
        <v>27919</v>
      </c>
      <c r="Q673" s="30" t="s">
        <v>26098</v>
      </c>
      <c r="R673" s="30" t="s">
        <v>26231</v>
      </c>
      <c r="S673" s="30" t="s">
        <v>28019</v>
      </c>
      <c r="T673" s="30" t="s">
        <v>28020</v>
      </c>
      <c r="U673" s="30"/>
      <c r="V673" s="139" t="s">
        <v>9334</v>
      </c>
      <c r="W673" s="30" t="s">
        <v>445</v>
      </c>
      <c r="X673" s="30" t="s">
        <v>194</v>
      </c>
      <c r="Y673" s="30" t="s">
        <v>9300</v>
      </c>
      <c r="Z673" s="30"/>
      <c r="AA673" s="30"/>
      <c r="AB673" s="30" t="s">
        <v>9311</v>
      </c>
      <c r="AC673" s="30"/>
      <c r="AD673" s="30"/>
      <c r="AE673" s="30"/>
      <c r="AF673" s="30"/>
      <c r="AG673" s="30"/>
      <c r="AH673" s="30" t="s">
        <v>4714</v>
      </c>
      <c r="AI673" s="30" t="s">
        <v>9433</v>
      </c>
      <c r="AJ673" s="641" t="str">
        <f t="shared" si="20"/>
        <v>243103</v>
      </c>
      <c r="AK673" s="641">
        <v>1</v>
      </c>
      <c r="AL673" s="641">
        <f t="shared" si="21"/>
        <v>1</v>
      </c>
      <c r="AM673" s="641">
        <v>1</v>
      </c>
      <c r="AN673" s="30" t="s">
        <v>17650</v>
      </c>
      <c r="AO673" s="30" t="s">
        <v>17651</v>
      </c>
      <c r="AP673" s="30" t="s">
        <v>17652</v>
      </c>
      <c r="AQ673" s="30" t="s">
        <v>17653</v>
      </c>
      <c r="AR673" s="30" t="s">
        <v>1024</v>
      </c>
      <c r="AS673" s="30">
        <v>1</v>
      </c>
    </row>
    <row r="674" spans="1:45" x14ac:dyDescent="0.25">
      <c r="A674" s="30" t="s">
        <v>716</v>
      </c>
      <c r="B674" s="30" t="s">
        <v>26542</v>
      </c>
      <c r="C674" s="30" t="s">
        <v>27859</v>
      </c>
      <c r="D674" s="139" t="s">
        <v>26375</v>
      </c>
      <c r="E674" s="30" t="s">
        <v>217</v>
      </c>
      <c r="F674" s="30">
        <v>1</v>
      </c>
      <c r="G674" s="30" t="s">
        <v>193</v>
      </c>
      <c r="H674" s="30" t="s">
        <v>194</v>
      </c>
      <c r="I674" s="30" t="s">
        <v>27277</v>
      </c>
      <c r="J674" s="30" t="s">
        <v>210</v>
      </c>
      <c r="K674" s="30" t="s">
        <v>9309</v>
      </c>
      <c r="L674" s="30" t="s">
        <v>6955</v>
      </c>
      <c r="M674" s="30"/>
      <c r="N674" s="30" t="s">
        <v>26543</v>
      </c>
      <c r="O674" s="30" t="s">
        <v>6261</v>
      </c>
      <c r="P674" s="30" t="s">
        <v>27919</v>
      </c>
      <c r="Q674" s="30" t="s">
        <v>26085</v>
      </c>
      <c r="R674" s="30" t="s">
        <v>26057</v>
      </c>
      <c r="S674" s="30" t="s">
        <v>28021</v>
      </c>
      <c r="T674" s="30" t="s">
        <v>28022</v>
      </c>
      <c r="U674" s="30"/>
      <c r="V674" s="139" t="s">
        <v>9334</v>
      </c>
      <c r="W674" s="30" t="s">
        <v>27862</v>
      </c>
      <c r="X674" s="30" t="s">
        <v>194</v>
      </c>
      <c r="Y674" s="30" t="s">
        <v>9300</v>
      </c>
      <c r="Z674" s="30"/>
      <c r="AA674" s="30"/>
      <c r="AB674" s="30" t="s">
        <v>9311</v>
      </c>
      <c r="AC674" s="30"/>
      <c r="AD674" s="30"/>
      <c r="AE674" s="30"/>
      <c r="AF674" s="30"/>
      <c r="AG674" s="30"/>
      <c r="AH674" s="30" t="s">
        <v>4714</v>
      </c>
      <c r="AI674" s="30" t="s">
        <v>9433</v>
      </c>
      <c r="AJ674" s="641" t="str">
        <f t="shared" si="20"/>
        <v>351490</v>
      </c>
      <c r="AK674" s="641">
        <v>1</v>
      </c>
      <c r="AL674" s="641">
        <f t="shared" si="21"/>
        <v>1</v>
      </c>
      <c r="AM674" s="641">
        <v>1</v>
      </c>
      <c r="AN674" s="30" t="s">
        <v>17650</v>
      </c>
      <c r="AO674" s="30" t="s">
        <v>17651</v>
      </c>
      <c r="AP674" s="30" t="s">
        <v>17652</v>
      </c>
      <c r="AQ674" s="30" t="s">
        <v>17653</v>
      </c>
      <c r="AR674" s="30" t="s">
        <v>1024</v>
      </c>
      <c r="AS674" s="30">
        <v>1</v>
      </c>
    </row>
    <row r="675" spans="1:45" x14ac:dyDescent="0.25">
      <c r="A675" s="30" t="s">
        <v>26089</v>
      </c>
      <c r="B675" s="30" t="s">
        <v>28023</v>
      </c>
      <c r="C675" s="30" t="s">
        <v>10</v>
      </c>
      <c r="D675" s="139" t="s">
        <v>26375</v>
      </c>
      <c r="E675" s="30" t="s">
        <v>217</v>
      </c>
      <c r="F675" s="30">
        <v>1</v>
      </c>
      <c r="G675" s="30" t="s">
        <v>193</v>
      </c>
      <c r="H675" s="30" t="s">
        <v>194</v>
      </c>
      <c r="I675" s="30" t="s">
        <v>27277</v>
      </c>
      <c r="J675" s="30" t="s">
        <v>210</v>
      </c>
      <c r="K675" s="30" t="s">
        <v>9309</v>
      </c>
      <c r="L675" s="30" t="s">
        <v>6955</v>
      </c>
      <c r="M675" s="30"/>
      <c r="N675" s="30" t="s">
        <v>28024</v>
      </c>
      <c r="O675" s="30" t="s">
        <v>6261</v>
      </c>
      <c r="P675" s="30" t="s">
        <v>27919</v>
      </c>
      <c r="Q675" s="30" t="s">
        <v>26190</v>
      </c>
      <c r="R675" s="30" t="s">
        <v>27792</v>
      </c>
      <c r="S675" s="30" t="s">
        <v>28025</v>
      </c>
      <c r="T675" s="30" t="s">
        <v>28026</v>
      </c>
      <c r="U675" s="30"/>
      <c r="V675" s="139" t="s">
        <v>9334</v>
      </c>
      <c r="W675" s="30" t="s">
        <v>484</v>
      </c>
      <c r="X675" s="30" t="s">
        <v>194</v>
      </c>
      <c r="Y675" s="30" t="s">
        <v>9300</v>
      </c>
      <c r="Z675" s="30"/>
      <c r="AA675" s="30"/>
      <c r="AB675" s="30" t="s">
        <v>9311</v>
      </c>
      <c r="AC675" s="30"/>
      <c r="AD675" s="30"/>
      <c r="AE675" s="30"/>
      <c r="AF675" s="30"/>
      <c r="AG675" s="30"/>
      <c r="AH675" s="30" t="s">
        <v>4714</v>
      </c>
      <c r="AI675" s="30" t="s">
        <v>9433</v>
      </c>
      <c r="AJ675" s="641" t="str">
        <f t="shared" si="20"/>
        <v>251401</v>
      </c>
      <c r="AK675" s="641">
        <v>1</v>
      </c>
      <c r="AL675" s="641">
        <f t="shared" si="21"/>
        <v>1</v>
      </c>
      <c r="AM675" s="641">
        <v>1</v>
      </c>
      <c r="AN675" s="30" t="s">
        <v>17650</v>
      </c>
      <c r="AO675" s="30" t="s">
        <v>17651</v>
      </c>
      <c r="AP675" s="30" t="s">
        <v>17652</v>
      </c>
      <c r="AQ675" s="30" t="s">
        <v>17653</v>
      </c>
      <c r="AR675" s="30" t="s">
        <v>1024</v>
      </c>
      <c r="AS675" s="30">
        <v>1</v>
      </c>
    </row>
    <row r="676" spans="1:45" x14ac:dyDescent="0.25">
      <c r="A676" s="30" t="s">
        <v>716</v>
      </c>
      <c r="B676" s="30" t="s">
        <v>27098</v>
      </c>
      <c r="C676" s="30" t="s">
        <v>706</v>
      </c>
      <c r="D676" s="139" t="s">
        <v>26375</v>
      </c>
      <c r="E676" s="30" t="s">
        <v>217</v>
      </c>
      <c r="F676" s="30">
        <v>1</v>
      </c>
      <c r="G676" s="30" t="s">
        <v>193</v>
      </c>
      <c r="H676" s="30" t="s">
        <v>194</v>
      </c>
      <c r="I676" s="30" t="s">
        <v>27277</v>
      </c>
      <c r="J676" s="30" t="s">
        <v>210</v>
      </c>
      <c r="K676" s="30" t="s">
        <v>9309</v>
      </c>
      <c r="L676" s="30" t="s">
        <v>6955</v>
      </c>
      <c r="M676" s="30"/>
      <c r="N676" s="30" t="s">
        <v>27701</v>
      </c>
      <c r="O676" s="30" t="s">
        <v>6251</v>
      </c>
      <c r="P676" s="30" t="s">
        <v>27919</v>
      </c>
      <c r="Q676" s="30" t="s">
        <v>26139</v>
      </c>
      <c r="R676" s="30" t="s">
        <v>27256</v>
      </c>
      <c r="S676" s="30" t="s">
        <v>28027</v>
      </c>
      <c r="T676" s="30" t="s">
        <v>28028</v>
      </c>
      <c r="U676" s="30"/>
      <c r="V676" s="139" t="s">
        <v>9334</v>
      </c>
      <c r="W676" s="30" t="s">
        <v>707</v>
      </c>
      <c r="X676" s="30" t="s">
        <v>194</v>
      </c>
      <c r="Y676" s="30" t="s">
        <v>9300</v>
      </c>
      <c r="Z676" s="30"/>
      <c r="AA676" s="30"/>
      <c r="AB676" s="30" t="s">
        <v>9311</v>
      </c>
      <c r="AC676" s="30"/>
      <c r="AD676" s="30"/>
      <c r="AE676" s="30"/>
      <c r="AF676" s="30"/>
      <c r="AG676" s="30"/>
      <c r="AH676" s="30" t="s">
        <v>4714</v>
      </c>
      <c r="AI676" s="30" t="s">
        <v>9433</v>
      </c>
      <c r="AJ676" s="641" t="str">
        <f t="shared" si="20"/>
        <v>422201</v>
      </c>
      <c r="AK676" s="641">
        <v>1</v>
      </c>
      <c r="AL676" s="641">
        <f t="shared" si="21"/>
        <v>1</v>
      </c>
      <c r="AM676" s="641">
        <v>1</v>
      </c>
      <c r="AN676" s="30" t="s">
        <v>17650</v>
      </c>
      <c r="AO676" s="30" t="s">
        <v>17651</v>
      </c>
      <c r="AP676" s="30" t="s">
        <v>17652</v>
      </c>
      <c r="AQ676" s="30" t="s">
        <v>17653</v>
      </c>
      <c r="AR676" s="30" t="s">
        <v>1024</v>
      </c>
      <c r="AS676" s="30">
        <v>1</v>
      </c>
    </row>
    <row r="677" spans="1:45" x14ac:dyDescent="0.25">
      <c r="A677" s="30" t="s">
        <v>26153</v>
      </c>
      <c r="B677" s="30" t="s">
        <v>27465</v>
      </c>
      <c r="C677" s="30" t="s">
        <v>10</v>
      </c>
      <c r="D677" s="139" t="s">
        <v>26375</v>
      </c>
      <c r="E677" s="30" t="s">
        <v>217</v>
      </c>
      <c r="F677" s="30">
        <v>1</v>
      </c>
      <c r="G677" s="30" t="s">
        <v>193</v>
      </c>
      <c r="H677" s="30" t="s">
        <v>194</v>
      </c>
      <c r="I677" s="30" t="s">
        <v>27277</v>
      </c>
      <c r="J677" s="30" t="s">
        <v>210</v>
      </c>
      <c r="K677" s="30" t="s">
        <v>9309</v>
      </c>
      <c r="L677" s="30" t="s">
        <v>6955</v>
      </c>
      <c r="M677" s="30"/>
      <c r="N677" s="30" t="s">
        <v>27466</v>
      </c>
      <c r="O677" s="30" t="s">
        <v>6921</v>
      </c>
      <c r="P677" s="30" t="s">
        <v>27919</v>
      </c>
      <c r="Q677" s="30" t="s">
        <v>26109</v>
      </c>
      <c r="R677" s="30" t="s">
        <v>27328</v>
      </c>
      <c r="S677" s="30" t="s">
        <v>28029</v>
      </c>
      <c r="T677" s="30" t="s">
        <v>28030</v>
      </c>
      <c r="U677" s="30"/>
      <c r="V677" s="139" t="s">
        <v>9334</v>
      </c>
      <c r="W677" s="30" t="s">
        <v>484</v>
      </c>
      <c r="X677" s="30" t="s">
        <v>194</v>
      </c>
      <c r="Y677" s="30" t="s">
        <v>9300</v>
      </c>
      <c r="Z677" s="30"/>
      <c r="AA677" s="30"/>
      <c r="AB677" s="30" t="s">
        <v>9311</v>
      </c>
      <c r="AC677" s="30"/>
      <c r="AD677" s="30"/>
      <c r="AE677" s="30"/>
      <c r="AF677" s="30"/>
      <c r="AG677" s="30"/>
      <c r="AH677" s="30" t="s">
        <v>4714</v>
      </c>
      <c r="AI677" s="30" t="s">
        <v>9433</v>
      </c>
      <c r="AJ677" s="641" t="str">
        <f t="shared" si="20"/>
        <v>251401</v>
      </c>
      <c r="AK677" s="641">
        <v>1</v>
      </c>
      <c r="AL677" s="641">
        <f t="shared" si="21"/>
        <v>1</v>
      </c>
      <c r="AM677" s="641">
        <v>1</v>
      </c>
      <c r="AN677" s="30" t="s">
        <v>17650</v>
      </c>
      <c r="AO677" s="30" t="s">
        <v>17651</v>
      </c>
      <c r="AP677" s="30" t="s">
        <v>17652</v>
      </c>
      <c r="AQ677" s="30" t="s">
        <v>17653</v>
      </c>
      <c r="AR677" s="30" t="s">
        <v>1024</v>
      </c>
      <c r="AS677" s="30">
        <v>1</v>
      </c>
    </row>
    <row r="678" spans="1:45" x14ac:dyDescent="0.25">
      <c r="A678" s="30" t="s">
        <v>581</v>
      </c>
      <c r="B678" s="30" t="s">
        <v>23353</v>
      </c>
      <c r="C678" s="30" t="s">
        <v>554</v>
      </c>
      <c r="D678" s="139" t="s">
        <v>26375</v>
      </c>
      <c r="E678" s="30" t="s">
        <v>217</v>
      </c>
      <c r="F678" s="30">
        <v>1</v>
      </c>
      <c r="G678" s="30" t="s">
        <v>193</v>
      </c>
      <c r="H678" s="30" t="s">
        <v>194</v>
      </c>
      <c r="I678" s="30" t="s">
        <v>27277</v>
      </c>
      <c r="J678" s="30" t="s">
        <v>253</v>
      </c>
      <c r="K678" s="30" t="s">
        <v>9309</v>
      </c>
      <c r="L678" s="30" t="s">
        <v>6955</v>
      </c>
      <c r="M678" s="30"/>
      <c r="N678" s="30" t="s">
        <v>27231</v>
      </c>
      <c r="O678" s="30" t="s">
        <v>6258</v>
      </c>
      <c r="P678" s="30" t="s">
        <v>27919</v>
      </c>
      <c r="Q678" s="30" t="s">
        <v>26079</v>
      </c>
      <c r="R678" s="30" t="s">
        <v>26262</v>
      </c>
      <c r="S678" s="30" t="s">
        <v>28031</v>
      </c>
      <c r="T678" s="30" t="s">
        <v>28032</v>
      </c>
      <c r="U678" s="30"/>
      <c r="V678" s="139" t="s">
        <v>9468</v>
      </c>
      <c r="W678" s="30" t="s">
        <v>555</v>
      </c>
      <c r="X678" s="30" t="s">
        <v>194</v>
      </c>
      <c r="Y678" s="30" t="s">
        <v>9300</v>
      </c>
      <c r="Z678" s="30"/>
      <c r="AA678" s="30"/>
      <c r="AB678" s="30" t="s">
        <v>9311</v>
      </c>
      <c r="AC678" s="30"/>
      <c r="AD678" s="30"/>
      <c r="AE678" s="30"/>
      <c r="AF678" s="30"/>
      <c r="AG678" s="30"/>
      <c r="AH678" s="30" t="s">
        <v>4714</v>
      </c>
      <c r="AI678" s="30" t="s">
        <v>9433</v>
      </c>
      <c r="AJ678" s="641" t="str">
        <f t="shared" si="20"/>
        <v>311303</v>
      </c>
      <c r="AK678" s="641">
        <v>1</v>
      </c>
      <c r="AL678" s="641">
        <f t="shared" si="21"/>
        <v>1</v>
      </c>
      <c r="AM678" s="641">
        <v>1</v>
      </c>
      <c r="AN678" s="30" t="s">
        <v>17650</v>
      </c>
      <c r="AO678" s="30" t="s">
        <v>17651</v>
      </c>
      <c r="AP678" s="30" t="s">
        <v>17652</v>
      </c>
      <c r="AQ678" s="30" t="s">
        <v>17653</v>
      </c>
      <c r="AR678" s="30" t="s">
        <v>1024</v>
      </c>
      <c r="AS678" s="30">
        <v>1</v>
      </c>
    </row>
    <row r="679" spans="1:45" x14ac:dyDescent="0.25">
      <c r="A679" s="30" t="s">
        <v>4022</v>
      </c>
      <c r="B679" s="30" t="s">
        <v>7827</v>
      </c>
      <c r="C679" s="30" t="s">
        <v>542</v>
      </c>
      <c r="D679" s="139" t="s">
        <v>26375</v>
      </c>
      <c r="E679" s="30" t="s">
        <v>217</v>
      </c>
      <c r="F679" s="30">
        <v>1</v>
      </c>
      <c r="G679" s="30" t="s">
        <v>193</v>
      </c>
      <c r="H679" s="30" t="s">
        <v>194</v>
      </c>
      <c r="I679" s="30" t="s">
        <v>27277</v>
      </c>
      <c r="J679" s="30" t="s">
        <v>210</v>
      </c>
      <c r="K679" s="30" t="s">
        <v>9309</v>
      </c>
      <c r="L679" s="30" t="s">
        <v>6955</v>
      </c>
      <c r="M679" s="30"/>
      <c r="N679" s="30" t="s">
        <v>28033</v>
      </c>
      <c r="O679" s="30" t="s">
        <v>6286</v>
      </c>
      <c r="P679" s="30" t="s">
        <v>27919</v>
      </c>
      <c r="Q679" s="30" t="s">
        <v>26242</v>
      </c>
      <c r="R679" s="30" t="s">
        <v>23198</v>
      </c>
      <c r="S679" s="30" t="s">
        <v>28034</v>
      </c>
      <c r="T679" s="30" t="s">
        <v>28035</v>
      </c>
      <c r="U679" s="30"/>
      <c r="V679" s="139" t="s">
        <v>9334</v>
      </c>
      <c r="W679" s="30" t="s">
        <v>543</v>
      </c>
      <c r="X679" s="30" t="s">
        <v>194</v>
      </c>
      <c r="Y679" s="30" t="s">
        <v>9300</v>
      </c>
      <c r="Z679" s="30"/>
      <c r="AA679" s="30"/>
      <c r="AB679" s="30" t="s">
        <v>9311</v>
      </c>
      <c r="AC679" s="30"/>
      <c r="AD679" s="30"/>
      <c r="AE679" s="30"/>
      <c r="AF679" s="30"/>
      <c r="AG679" s="30"/>
      <c r="AH679" s="30" t="s">
        <v>4714</v>
      </c>
      <c r="AI679" s="30" t="s">
        <v>9433</v>
      </c>
      <c r="AJ679" s="641" t="str">
        <f t="shared" si="20"/>
        <v>264304</v>
      </c>
      <c r="AK679" s="641">
        <v>1</v>
      </c>
      <c r="AL679" s="641">
        <f t="shared" si="21"/>
        <v>1</v>
      </c>
      <c r="AM679" s="641">
        <v>1</v>
      </c>
      <c r="AN679" s="30" t="s">
        <v>17650</v>
      </c>
      <c r="AO679" s="30" t="s">
        <v>17651</v>
      </c>
      <c r="AP679" s="30" t="s">
        <v>17652</v>
      </c>
      <c r="AQ679" s="30" t="s">
        <v>17653</v>
      </c>
      <c r="AR679" s="30" t="s">
        <v>1024</v>
      </c>
      <c r="AS679" s="30">
        <v>1</v>
      </c>
    </row>
    <row r="680" spans="1:45" x14ac:dyDescent="0.25">
      <c r="A680" s="30" t="s">
        <v>26574</v>
      </c>
      <c r="B680" s="30" t="s">
        <v>28036</v>
      </c>
      <c r="C680" s="30" t="s">
        <v>727</v>
      </c>
      <c r="D680" s="139" t="s">
        <v>26375</v>
      </c>
      <c r="E680" s="30" t="s">
        <v>217</v>
      </c>
      <c r="F680" s="30">
        <v>1</v>
      </c>
      <c r="G680" s="30" t="s">
        <v>193</v>
      </c>
      <c r="H680" s="30" t="s">
        <v>194</v>
      </c>
      <c r="I680" s="30" t="s">
        <v>27277</v>
      </c>
      <c r="J680" s="30" t="s">
        <v>253</v>
      </c>
      <c r="K680" s="30" t="s">
        <v>9309</v>
      </c>
      <c r="L680" s="30" t="s">
        <v>6955</v>
      </c>
      <c r="M680" s="30"/>
      <c r="N680" s="30" t="s">
        <v>28037</v>
      </c>
      <c r="O680" s="30" t="s">
        <v>6343</v>
      </c>
      <c r="P680" s="30" t="s">
        <v>27919</v>
      </c>
      <c r="Q680" s="30" t="s">
        <v>26190</v>
      </c>
      <c r="R680" s="30" t="s">
        <v>27792</v>
      </c>
      <c r="S680" s="30" t="s">
        <v>28038</v>
      </c>
      <c r="T680" s="30" t="s">
        <v>28039</v>
      </c>
      <c r="U680" s="30"/>
      <c r="V680" s="139" t="s">
        <v>9468</v>
      </c>
      <c r="W680" s="30" t="s">
        <v>728</v>
      </c>
      <c r="X680" s="30" t="s">
        <v>194</v>
      </c>
      <c r="Y680" s="30" t="s">
        <v>9300</v>
      </c>
      <c r="Z680" s="30"/>
      <c r="AA680" s="30"/>
      <c r="AB680" s="30" t="s">
        <v>9311</v>
      </c>
      <c r="AC680" s="30"/>
      <c r="AD680" s="30"/>
      <c r="AE680" s="30"/>
      <c r="AF680" s="30"/>
      <c r="AG680" s="30"/>
      <c r="AH680" s="30" t="s">
        <v>4714</v>
      </c>
      <c r="AI680" s="30" t="s">
        <v>9433</v>
      </c>
      <c r="AJ680" s="641" t="str">
        <f t="shared" si="20"/>
        <v>512001</v>
      </c>
      <c r="AK680" s="641">
        <v>1</v>
      </c>
      <c r="AL680" s="641">
        <f t="shared" si="21"/>
        <v>1</v>
      </c>
      <c r="AM680" s="641">
        <v>1</v>
      </c>
      <c r="AN680" s="30" t="s">
        <v>17650</v>
      </c>
      <c r="AO680" s="30" t="s">
        <v>17651</v>
      </c>
      <c r="AP680" s="30" t="s">
        <v>17652</v>
      </c>
      <c r="AQ680" s="30" t="s">
        <v>17653</v>
      </c>
      <c r="AR680" s="30" t="s">
        <v>1024</v>
      </c>
      <c r="AS680" s="30">
        <v>1</v>
      </c>
    </row>
    <row r="681" spans="1:45" x14ac:dyDescent="0.25">
      <c r="A681" s="30" t="s">
        <v>716</v>
      </c>
      <c r="B681" s="30" t="s">
        <v>26282</v>
      </c>
      <c r="C681" s="30" t="s">
        <v>27859</v>
      </c>
      <c r="D681" s="139" t="s">
        <v>26375</v>
      </c>
      <c r="E681" s="30" t="s">
        <v>217</v>
      </c>
      <c r="F681" s="30">
        <v>1</v>
      </c>
      <c r="G681" s="30" t="s">
        <v>193</v>
      </c>
      <c r="H681" s="30" t="s">
        <v>194</v>
      </c>
      <c r="I681" s="30" t="s">
        <v>27277</v>
      </c>
      <c r="J681" s="30" t="s">
        <v>210</v>
      </c>
      <c r="K681" s="30" t="s">
        <v>9309</v>
      </c>
      <c r="L681" s="30" t="s">
        <v>6955</v>
      </c>
      <c r="M681" s="30"/>
      <c r="N681" s="30" t="s">
        <v>26452</v>
      </c>
      <c r="O681" s="30" t="s">
        <v>6290</v>
      </c>
      <c r="P681" s="30" t="s">
        <v>27919</v>
      </c>
      <c r="Q681" s="30" t="s">
        <v>26085</v>
      </c>
      <c r="R681" s="30" t="s">
        <v>26057</v>
      </c>
      <c r="S681" s="30" t="s">
        <v>28040</v>
      </c>
      <c r="T681" s="30" t="s">
        <v>28041</v>
      </c>
      <c r="U681" s="30"/>
      <c r="V681" s="139" t="s">
        <v>9334</v>
      </c>
      <c r="W681" s="30" t="s">
        <v>27862</v>
      </c>
      <c r="X681" s="30" t="s">
        <v>194</v>
      </c>
      <c r="Y681" s="30" t="s">
        <v>9300</v>
      </c>
      <c r="Z681" s="30"/>
      <c r="AA681" s="30"/>
      <c r="AB681" s="30" t="s">
        <v>9311</v>
      </c>
      <c r="AC681" s="30"/>
      <c r="AD681" s="30"/>
      <c r="AE681" s="30"/>
      <c r="AF681" s="30"/>
      <c r="AG681" s="30"/>
      <c r="AH681" s="30" t="s">
        <v>4714</v>
      </c>
      <c r="AI681" s="30" t="s">
        <v>9433</v>
      </c>
      <c r="AJ681" s="641" t="str">
        <f t="shared" si="20"/>
        <v>351490</v>
      </c>
      <c r="AK681" s="641">
        <v>1</v>
      </c>
      <c r="AL681" s="641">
        <f t="shared" si="21"/>
        <v>1</v>
      </c>
      <c r="AM681" s="641">
        <v>1</v>
      </c>
      <c r="AN681" s="30" t="s">
        <v>17650</v>
      </c>
      <c r="AO681" s="30" t="s">
        <v>17651</v>
      </c>
      <c r="AP681" s="30" t="s">
        <v>17652</v>
      </c>
      <c r="AQ681" s="30" t="s">
        <v>17653</v>
      </c>
      <c r="AR681" s="30" t="s">
        <v>1024</v>
      </c>
      <c r="AS681" s="30">
        <v>1</v>
      </c>
    </row>
    <row r="682" spans="1:45" x14ac:dyDescent="0.25">
      <c r="A682" s="30" t="s">
        <v>26198</v>
      </c>
      <c r="B682" s="30" t="s">
        <v>26199</v>
      </c>
      <c r="C682" s="30" t="s">
        <v>21</v>
      </c>
      <c r="D682" s="139" t="s">
        <v>26375</v>
      </c>
      <c r="E682" s="30" t="s">
        <v>217</v>
      </c>
      <c r="F682" s="30">
        <v>1</v>
      </c>
      <c r="G682" s="30" t="s">
        <v>193</v>
      </c>
      <c r="H682" s="30" t="s">
        <v>194</v>
      </c>
      <c r="I682" s="30" t="s">
        <v>26133</v>
      </c>
      <c r="J682" s="30" t="s">
        <v>316</v>
      </c>
      <c r="K682" s="30" t="s">
        <v>9309</v>
      </c>
      <c r="L682" s="30" t="s">
        <v>6955</v>
      </c>
      <c r="M682" s="30"/>
      <c r="N682" s="30" t="s">
        <v>26200</v>
      </c>
      <c r="O682" s="30" t="s">
        <v>6256</v>
      </c>
      <c r="P682" s="30" t="s">
        <v>27919</v>
      </c>
      <c r="Q682" s="30" t="s">
        <v>26201</v>
      </c>
      <c r="R682" s="30" t="s">
        <v>24556</v>
      </c>
      <c r="S682" s="30" t="s">
        <v>28042</v>
      </c>
      <c r="T682" s="30" t="s">
        <v>28043</v>
      </c>
      <c r="U682" s="30"/>
      <c r="V682" s="139" t="s">
        <v>10012</v>
      </c>
      <c r="W682" s="30" t="s">
        <v>293</v>
      </c>
      <c r="X682" s="30" t="s">
        <v>194</v>
      </c>
      <c r="Y682" s="30" t="s">
        <v>9300</v>
      </c>
      <c r="Z682" s="30"/>
      <c r="AA682" s="30"/>
      <c r="AB682" s="30" t="s">
        <v>9311</v>
      </c>
      <c r="AC682" s="30"/>
      <c r="AD682" s="30"/>
      <c r="AE682" s="30"/>
      <c r="AF682" s="30"/>
      <c r="AG682" s="30"/>
      <c r="AH682" s="30" t="s">
        <v>4714</v>
      </c>
      <c r="AI682" s="30" t="s">
        <v>9433</v>
      </c>
      <c r="AJ682" s="641" t="str">
        <f t="shared" si="20"/>
        <v>214202</v>
      </c>
      <c r="AK682" s="641">
        <v>1</v>
      </c>
      <c r="AL682" s="641">
        <f t="shared" si="21"/>
        <v>1</v>
      </c>
      <c r="AM682" s="641">
        <v>1</v>
      </c>
      <c r="AN682" s="30" t="s">
        <v>17650</v>
      </c>
      <c r="AO682" s="30" t="s">
        <v>17651</v>
      </c>
      <c r="AP682" s="30" t="s">
        <v>17652</v>
      </c>
      <c r="AQ682" s="30" t="s">
        <v>17653</v>
      </c>
      <c r="AR682" s="30" t="s">
        <v>1024</v>
      </c>
      <c r="AS682" s="30">
        <v>1</v>
      </c>
    </row>
    <row r="683" spans="1:45" x14ac:dyDescent="0.25">
      <c r="A683" s="30" t="s">
        <v>26089</v>
      </c>
      <c r="B683" s="30" t="s">
        <v>12181</v>
      </c>
      <c r="C683" s="30" t="s">
        <v>10</v>
      </c>
      <c r="D683" s="139" t="s">
        <v>26375</v>
      </c>
      <c r="E683" s="30" t="s">
        <v>217</v>
      </c>
      <c r="F683" s="30">
        <v>1</v>
      </c>
      <c r="G683" s="30" t="s">
        <v>193</v>
      </c>
      <c r="H683" s="30" t="s">
        <v>194</v>
      </c>
      <c r="I683" s="30" t="s">
        <v>27277</v>
      </c>
      <c r="J683" s="30" t="s">
        <v>210</v>
      </c>
      <c r="K683" s="30" t="s">
        <v>9309</v>
      </c>
      <c r="L683" s="30" t="s">
        <v>6955</v>
      </c>
      <c r="M683" s="30"/>
      <c r="N683" s="30" t="s">
        <v>26968</v>
      </c>
      <c r="O683" s="30" t="s">
        <v>6261</v>
      </c>
      <c r="P683" s="30" t="s">
        <v>27919</v>
      </c>
      <c r="Q683" s="30" t="s">
        <v>26052</v>
      </c>
      <c r="R683" s="30" t="s">
        <v>26969</v>
      </c>
      <c r="S683" s="30" t="s">
        <v>28044</v>
      </c>
      <c r="T683" s="30" t="s">
        <v>28045</v>
      </c>
      <c r="U683" s="30"/>
      <c r="V683" s="139" t="s">
        <v>9334</v>
      </c>
      <c r="W683" s="30" t="s">
        <v>484</v>
      </c>
      <c r="X683" s="30" t="s">
        <v>194</v>
      </c>
      <c r="Y683" s="30" t="s">
        <v>9300</v>
      </c>
      <c r="Z683" s="30"/>
      <c r="AA683" s="30"/>
      <c r="AB683" s="30" t="s">
        <v>9311</v>
      </c>
      <c r="AC683" s="30"/>
      <c r="AD683" s="30"/>
      <c r="AE683" s="30"/>
      <c r="AF683" s="30"/>
      <c r="AG683" s="30"/>
      <c r="AH683" s="30" t="s">
        <v>4714</v>
      </c>
      <c r="AI683" s="30" t="s">
        <v>9433</v>
      </c>
      <c r="AJ683" s="641" t="str">
        <f t="shared" si="20"/>
        <v>251401</v>
      </c>
      <c r="AK683" s="641">
        <v>1</v>
      </c>
      <c r="AL683" s="641">
        <f t="shared" si="21"/>
        <v>1</v>
      </c>
      <c r="AM683" s="641">
        <v>1</v>
      </c>
      <c r="AN683" s="30" t="s">
        <v>17650</v>
      </c>
      <c r="AO683" s="30" t="s">
        <v>17651</v>
      </c>
      <c r="AP683" s="30" t="s">
        <v>17652</v>
      </c>
      <c r="AQ683" s="30" t="s">
        <v>17653</v>
      </c>
      <c r="AR683" s="30" t="s">
        <v>1024</v>
      </c>
      <c r="AS683" s="30">
        <v>1</v>
      </c>
    </row>
    <row r="684" spans="1:45" x14ac:dyDescent="0.25">
      <c r="A684" s="30" t="s">
        <v>716</v>
      </c>
      <c r="B684" s="30" t="s">
        <v>27009</v>
      </c>
      <c r="C684" s="30" t="s">
        <v>706</v>
      </c>
      <c r="D684" s="139" t="s">
        <v>26375</v>
      </c>
      <c r="E684" s="30" t="s">
        <v>217</v>
      </c>
      <c r="F684" s="30">
        <v>1</v>
      </c>
      <c r="G684" s="30" t="s">
        <v>193</v>
      </c>
      <c r="H684" s="30" t="s">
        <v>194</v>
      </c>
      <c r="I684" s="30" t="s">
        <v>27277</v>
      </c>
      <c r="J684" s="30" t="s">
        <v>210</v>
      </c>
      <c r="K684" s="30" t="s">
        <v>9309</v>
      </c>
      <c r="L684" s="30" t="s">
        <v>6955</v>
      </c>
      <c r="M684" s="30"/>
      <c r="N684" s="30" t="s">
        <v>28046</v>
      </c>
      <c r="O684" s="30" t="s">
        <v>6251</v>
      </c>
      <c r="P684" s="30" t="s">
        <v>27919</v>
      </c>
      <c r="Q684" s="30" t="s">
        <v>26190</v>
      </c>
      <c r="R684" s="30" t="s">
        <v>27792</v>
      </c>
      <c r="S684" s="30" t="s">
        <v>28047</v>
      </c>
      <c r="T684" s="30" t="s">
        <v>28048</v>
      </c>
      <c r="U684" s="30"/>
      <c r="V684" s="139" t="s">
        <v>9334</v>
      </c>
      <c r="W684" s="30" t="s">
        <v>707</v>
      </c>
      <c r="X684" s="30" t="s">
        <v>194</v>
      </c>
      <c r="Y684" s="30" t="s">
        <v>9300</v>
      </c>
      <c r="Z684" s="30"/>
      <c r="AA684" s="30"/>
      <c r="AB684" s="30" t="s">
        <v>9311</v>
      </c>
      <c r="AC684" s="30"/>
      <c r="AD684" s="30"/>
      <c r="AE684" s="30"/>
      <c r="AF684" s="30"/>
      <c r="AG684" s="30"/>
      <c r="AH684" s="30" t="s">
        <v>4714</v>
      </c>
      <c r="AI684" s="30" t="s">
        <v>9433</v>
      </c>
      <c r="AJ684" s="641" t="str">
        <f t="shared" si="20"/>
        <v>422201</v>
      </c>
      <c r="AK684" s="641">
        <v>1</v>
      </c>
      <c r="AL684" s="641">
        <f t="shared" si="21"/>
        <v>1</v>
      </c>
      <c r="AM684" s="641">
        <v>1</v>
      </c>
      <c r="AN684" s="30" t="s">
        <v>17650</v>
      </c>
      <c r="AO684" s="30" t="s">
        <v>17651</v>
      </c>
      <c r="AP684" s="30" t="s">
        <v>17652</v>
      </c>
      <c r="AQ684" s="30" t="s">
        <v>17653</v>
      </c>
      <c r="AR684" s="30" t="s">
        <v>1024</v>
      </c>
      <c r="AS684" s="30">
        <v>1</v>
      </c>
    </row>
    <row r="685" spans="1:45" x14ac:dyDescent="0.25">
      <c r="A685" s="30" t="s">
        <v>716</v>
      </c>
      <c r="B685" s="30" t="s">
        <v>26132</v>
      </c>
      <c r="C685" s="30" t="s">
        <v>24125</v>
      </c>
      <c r="D685" s="139" t="s">
        <v>26375</v>
      </c>
      <c r="E685" s="30" t="s">
        <v>217</v>
      </c>
      <c r="F685" s="30">
        <v>1</v>
      </c>
      <c r="G685" s="30" t="s">
        <v>193</v>
      </c>
      <c r="H685" s="30" t="s">
        <v>194</v>
      </c>
      <c r="I685" s="30" t="s">
        <v>26133</v>
      </c>
      <c r="J685" s="30" t="s">
        <v>210</v>
      </c>
      <c r="K685" s="30" t="s">
        <v>9309</v>
      </c>
      <c r="L685" s="30" t="s">
        <v>6955</v>
      </c>
      <c r="M685" s="30"/>
      <c r="N685" s="30" t="s">
        <v>26298</v>
      </c>
      <c r="O685" s="30" t="s">
        <v>6290</v>
      </c>
      <c r="P685" s="30" t="s">
        <v>27919</v>
      </c>
      <c r="Q685" s="30" t="s">
        <v>26201</v>
      </c>
      <c r="R685" s="30" t="s">
        <v>24556</v>
      </c>
      <c r="S685" s="30" t="s">
        <v>28049</v>
      </c>
      <c r="T685" s="30" t="s">
        <v>28050</v>
      </c>
      <c r="U685" s="30"/>
      <c r="V685" s="139" t="s">
        <v>9334</v>
      </c>
      <c r="W685" s="30" t="s">
        <v>24129</v>
      </c>
      <c r="X685" s="30" t="s">
        <v>194</v>
      </c>
      <c r="Y685" s="30" t="s">
        <v>9300</v>
      </c>
      <c r="Z685" s="30"/>
      <c r="AA685" s="30"/>
      <c r="AB685" s="30" t="s">
        <v>9311</v>
      </c>
      <c r="AC685" s="30"/>
      <c r="AD685" s="30"/>
      <c r="AE685" s="30"/>
      <c r="AF685" s="30"/>
      <c r="AG685" s="30"/>
      <c r="AH685" s="30" t="s">
        <v>4714</v>
      </c>
      <c r="AI685" s="30" t="s">
        <v>9433</v>
      </c>
      <c r="AJ685" s="641" t="str">
        <f t="shared" si="20"/>
        <v>351401</v>
      </c>
      <c r="AK685" s="641">
        <v>1</v>
      </c>
      <c r="AL685" s="641">
        <f t="shared" si="21"/>
        <v>1</v>
      </c>
      <c r="AM685" s="641">
        <v>1</v>
      </c>
      <c r="AN685" s="30" t="s">
        <v>17650</v>
      </c>
      <c r="AO685" s="30" t="s">
        <v>17651</v>
      </c>
      <c r="AP685" s="30" t="s">
        <v>17652</v>
      </c>
      <c r="AQ685" s="30" t="s">
        <v>17653</v>
      </c>
      <c r="AR685" s="30" t="s">
        <v>1024</v>
      </c>
      <c r="AS685" s="30">
        <v>1</v>
      </c>
    </row>
    <row r="686" spans="1:45" x14ac:dyDescent="0.25">
      <c r="A686" s="30" t="s">
        <v>26198</v>
      </c>
      <c r="B686" s="30" t="s">
        <v>26212</v>
      </c>
      <c r="C686" s="30" t="s">
        <v>80</v>
      </c>
      <c r="D686" s="139" t="s">
        <v>26375</v>
      </c>
      <c r="E686" s="30" t="s">
        <v>217</v>
      </c>
      <c r="F686" s="30">
        <v>1</v>
      </c>
      <c r="G686" s="30" t="s">
        <v>193</v>
      </c>
      <c r="H686" s="30" t="s">
        <v>194</v>
      </c>
      <c r="I686" s="30" t="s">
        <v>27277</v>
      </c>
      <c r="J686" s="30" t="s">
        <v>210</v>
      </c>
      <c r="K686" s="30" t="s">
        <v>9309</v>
      </c>
      <c r="L686" s="30" t="s">
        <v>6955</v>
      </c>
      <c r="M686" s="30"/>
      <c r="N686" s="30" t="s">
        <v>26213</v>
      </c>
      <c r="O686" s="30" t="s">
        <v>6251</v>
      </c>
      <c r="P686" s="30" t="s">
        <v>27805</v>
      </c>
      <c r="Q686" s="30" t="s">
        <v>26092</v>
      </c>
      <c r="R686" s="30" t="s">
        <v>27806</v>
      </c>
      <c r="S686" s="30" t="s">
        <v>28051</v>
      </c>
      <c r="T686" s="30" t="s">
        <v>28052</v>
      </c>
      <c r="U686" s="30"/>
      <c r="V686" s="139" t="s">
        <v>9334</v>
      </c>
      <c r="W686" s="30" t="s">
        <v>474</v>
      </c>
      <c r="X686" s="30" t="s">
        <v>194</v>
      </c>
      <c r="Y686" s="30" t="s">
        <v>9300</v>
      </c>
      <c r="Z686" s="30"/>
      <c r="AA686" s="30"/>
      <c r="AB686" s="30" t="s">
        <v>9311</v>
      </c>
      <c r="AC686" s="30"/>
      <c r="AD686" s="30"/>
      <c r="AE686" s="30"/>
      <c r="AF686" s="30"/>
      <c r="AG686" s="30"/>
      <c r="AH686" s="30" t="s">
        <v>4714</v>
      </c>
      <c r="AI686" s="30" t="s">
        <v>9433</v>
      </c>
      <c r="AJ686" s="641" t="str">
        <f t="shared" si="20"/>
        <v>243304</v>
      </c>
      <c r="AK686" s="641">
        <v>1</v>
      </c>
      <c r="AL686" s="641">
        <f t="shared" si="21"/>
        <v>1</v>
      </c>
      <c r="AM686" s="641">
        <v>1</v>
      </c>
      <c r="AN686" s="30" t="s">
        <v>17650</v>
      </c>
      <c r="AO686" s="30" t="s">
        <v>17651</v>
      </c>
      <c r="AP686" s="30" t="s">
        <v>17652</v>
      </c>
      <c r="AQ686" s="30" t="s">
        <v>17653</v>
      </c>
      <c r="AR686" s="30" t="s">
        <v>1024</v>
      </c>
      <c r="AS686" s="30">
        <v>1</v>
      </c>
    </row>
    <row r="687" spans="1:45" x14ac:dyDescent="0.25">
      <c r="A687" s="30" t="s">
        <v>716</v>
      </c>
      <c r="B687" s="30" t="s">
        <v>27044</v>
      </c>
      <c r="C687" s="30" t="s">
        <v>706</v>
      </c>
      <c r="D687" s="139" t="s">
        <v>26375</v>
      </c>
      <c r="E687" s="30" t="s">
        <v>217</v>
      </c>
      <c r="F687" s="30">
        <v>1</v>
      </c>
      <c r="G687" s="30" t="s">
        <v>193</v>
      </c>
      <c r="H687" s="30" t="s">
        <v>194</v>
      </c>
      <c r="I687" s="30" t="s">
        <v>27277</v>
      </c>
      <c r="J687" s="30" t="s">
        <v>210</v>
      </c>
      <c r="K687" s="30" t="s">
        <v>9309</v>
      </c>
      <c r="L687" s="30" t="s">
        <v>6955</v>
      </c>
      <c r="M687" s="30"/>
      <c r="N687" s="30" t="s">
        <v>28053</v>
      </c>
      <c r="O687" s="30" t="s">
        <v>6251</v>
      </c>
      <c r="P687" s="30" t="s">
        <v>27919</v>
      </c>
      <c r="Q687" s="30" t="s">
        <v>26252</v>
      </c>
      <c r="R687" s="30" t="s">
        <v>27838</v>
      </c>
      <c r="S687" s="30" t="s">
        <v>28054</v>
      </c>
      <c r="T687" s="30" t="s">
        <v>28055</v>
      </c>
      <c r="U687" s="30"/>
      <c r="V687" s="139" t="s">
        <v>9334</v>
      </c>
      <c r="W687" s="30" t="s">
        <v>707</v>
      </c>
      <c r="X687" s="30" t="s">
        <v>194</v>
      </c>
      <c r="Y687" s="30" t="s">
        <v>9300</v>
      </c>
      <c r="Z687" s="30"/>
      <c r="AA687" s="30"/>
      <c r="AB687" s="30" t="s">
        <v>9311</v>
      </c>
      <c r="AC687" s="30"/>
      <c r="AD687" s="30"/>
      <c r="AE687" s="30"/>
      <c r="AF687" s="30"/>
      <c r="AG687" s="30"/>
      <c r="AH687" s="30" t="s">
        <v>4714</v>
      </c>
      <c r="AI687" s="30" t="s">
        <v>9433</v>
      </c>
      <c r="AJ687" s="641" t="str">
        <f t="shared" si="20"/>
        <v>422201</v>
      </c>
      <c r="AK687" s="641">
        <v>1</v>
      </c>
      <c r="AL687" s="641">
        <f t="shared" si="21"/>
        <v>1</v>
      </c>
      <c r="AM687" s="641">
        <v>1</v>
      </c>
      <c r="AN687" s="30" t="s">
        <v>17650</v>
      </c>
      <c r="AO687" s="30" t="s">
        <v>17651</v>
      </c>
      <c r="AP687" s="30" t="s">
        <v>17652</v>
      </c>
      <c r="AQ687" s="30" t="s">
        <v>17653</v>
      </c>
      <c r="AR687" s="30" t="s">
        <v>1024</v>
      </c>
      <c r="AS687" s="30">
        <v>1</v>
      </c>
    </row>
    <row r="688" spans="1:45" x14ac:dyDescent="0.25">
      <c r="A688" s="30" t="s">
        <v>716</v>
      </c>
      <c r="B688" s="30" t="s">
        <v>26282</v>
      </c>
      <c r="C688" s="30" t="s">
        <v>27859</v>
      </c>
      <c r="D688" s="139" t="s">
        <v>26375</v>
      </c>
      <c r="E688" s="30" t="s">
        <v>217</v>
      </c>
      <c r="F688" s="30">
        <v>1</v>
      </c>
      <c r="G688" s="30" t="s">
        <v>193</v>
      </c>
      <c r="H688" s="30" t="s">
        <v>194</v>
      </c>
      <c r="I688" s="30" t="s">
        <v>27277</v>
      </c>
      <c r="J688" s="30" t="s">
        <v>210</v>
      </c>
      <c r="K688" s="30" t="s">
        <v>9309</v>
      </c>
      <c r="L688" s="30" t="s">
        <v>6955</v>
      </c>
      <c r="M688" s="30"/>
      <c r="N688" s="30" t="s">
        <v>27170</v>
      </c>
      <c r="O688" s="30" t="s">
        <v>6261</v>
      </c>
      <c r="P688" s="30" t="s">
        <v>27919</v>
      </c>
      <c r="Q688" s="30" t="s">
        <v>26881</v>
      </c>
      <c r="R688" s="30" t="s">
        <v>26882</v>
      </c>
      <c r="S688" s="30" t="s">
        <v>28056</v>
      </c>
      <c r="T688" s="30" t="s">
        <v>28057</v>
      </c>
      <c r="U688" s="30"/>
      <c r="V688" s="139" t="s">
        <v>9334</v>
      </c>
      <c r="W688" s="30" t="s">
        <v>27862</v>
      </c>
      <c r="X688" s="30" t="s">
        <v>194</v>
      </c>
      <c r="Y688" s="30" t="s">
        <v>9300</v>
      </c>
      <c r="Z688" s="30"/>
      <c r="AA688" s="30"/>
      <c r="AB688" s="30" t="s">
        <v>9311</v>
      </c>
      <c r="AC688" s="30"/>
      <c r="AD688" s="30"/>
      <c r="AE688" s="30"/>
      <c r="AF688" s="30"/>
      <c r="AG688" s="30"/>
      <c r="AH688" s="30" t="s">
        <v>4714</v>
      </c>
      <c r="AI688" s="30" t="s">
        <v>9433</v>
      </c>
      <c r="AJ688" s="641" t="str">
        <f t="shared" si="20"/>
        <v>351490</v>
      </c>
      <c r="AK688" s="641">
        <v>1</v>
      </c>
      <c r="AL688" s="641">
        <f t="shared" si="21"/>
        <v>1</v>
      </c>
      <c r="AM688" s="641">
        <v>1</v>
      </c>
      <c r="AN688" s="30" t="s">
        <v>17650</v>
      </c>
      <c r="AO688" s="30" t="s">
        <v>17651</v>
      </c>
      <c r="AP688" s="30" t="s">
        <v>17652</v>
      </c>
      <c r="AQ688" s="30" t="s">
        <v>17653</v>
      </c>
      <c r="AR688" s="30" t="s">
        <v>1024</v>
      </c>
      <c r="AS688" s="30">
        <v>1</v>
      </c>
    </row>
    <row r="689" spans="1:45" x14ac:dyDescent="0.25">
      <c r="A689" s="30" t="s">
        <v>26153</v>
      </c>
      <c r="B689" s="30" t="s">
        <v>27015</v>
      </c>
      <c r="C689" s="30" t="s">
        <v>10</v>
      </c>
      <c r="D689" s="139" t="s">
        <v>26375</v>
      </c>
      <c r="E689" s="30" t="s">
        <v>217</v>
      </c>
      <c r="F689" s="30">
        <v>1</v>
      </c>
      <c r="G689" s="30" t="s">
        <v>193</v>
      </c>
      <c r="H689" s="30" t="s">
        <v>194</v>
      </c>
      <c r="I689" s="30" t="s">
        <v>27277</v>
      </c>
      <c r="J689" s="30" t="s">
        <v>210</v>
      </c>
      <c r="K689" s="30" t="s">
        <v>9309</v>
      </c>
      <c r="L689" s="30" t="s">
        <v>6955</v>
      </c>
      <c r="M689" s="30"/>
      <c r="N689" s="30" t="s">
        <v>27016</v>
      </c>
      <c r="O689" s="30" t="s">
        <v>6261</v>
      </c>
      <c r="P689" s="30" t="s">
        <v>27919</v>
      </c>
      <c r="Q689" s="30" t="s">
        <v>26881</v>
      </c>
      <c r="R689" s="30" t="s">
        <v>26882</v>
      </c>
      <c r="S689" s="30" t="s">
        <v>28058</v>
      </c>
      <c r="T689" s="30" t="s">
        <v>28059</v>
      </c>
      <c r="U689" s="30"/>
      <c r="V689" s="139" t="s">
        <v>9334</v>
      </c>
      <c r="W689" s="30" t="s">
        <v>484</v>
      </c>
      <c r="X689" s="30" t="s">
        <v>194</v>
      </c>
      <c r="Y689" s="30" t="s">
        <v>9300</v>
      </c>
      <c r="Z689" s="30"/>
      <c r="AA689" s="30"/>
      <c r="AB689" s="30" t="s">
        <v>9311</v>
      </c>
      <c r="AC689" s="30"/>
      <c r="AD689" s="30"/>
      <c r="AE689" s="30"/>
      <c r="AF689" s="30"/>
      <c r="AG689" s="30"/>
      <c r="AH689" s="30" t="s">
        <v>4714</v>
      </c>
      <c r="AI689" s="30" t="s">
        <v>9433</v>
      </c>
      <c r="AJ689" s="641" t="str">
        <f t="shared" si="20"/>
        <v>251401</v>
      </c>
      <c r="AK689" s="641">
        <v>1</v>
      </c>
      <c r="AL689" s="641">
        <f t="shared" si="21"/>
        <v>1</v>
      </c>
      <c r="AM689" s="641">
        <v>1</v>
      </c>
      <c r="AN689" s="30" t="s">
        <v>17650</v>
      </c>
      <c r="AO689" s="30" t="s">
        <v>17651</v>
      </c>
      <c r="AP689" s="30" t="s">
        <v>17652</v>
      </c>
      <c r="AQ689" s="30" t="s">
        <v>17653</v>
      </c>
      <c r="AR689" s="30" t="s">
        <v>1024</v>
      </c>
      <c r="AS689" s="30">
        <v>1</v>
      </c>
    </row>
    <row r="690" spans="1:45" x14ac:dyDescent="0.25">
      <c r="A690" s="30" t="s">
        <v>716</v>
      </c>
      <c r="B690" s="30" t="s">
        <v>26631</v>
      </c>
      <c r="C690" s="30" t="s">
        <v>46</v>
      </c>
      <c r="D690" s="139" t="s">
        <v>26375</v>
      </c>
      <c r="E690" s="30" t="s">
        <v>217</v>
      </c>
      <c r="F690" s="30">
        <v>1</v>
      </c>
      <c r="G690" s="30" t="s">
        <v>193</v>
      </c>
      <c r="H690" s="30" t="s">
        <v>194</v>
      </c>
      <c r="I690" s="30" t="s">
        <v>26133</v>
      </c>
      <c r="J690" s="30" t="s">
        <v>210</v>
      </c>
      <c r="K690" s="30" t="s">
        <v>9309</v>
      </c>
      <c r="L690" s="30" t="s">
        <v>6955</v>
      </c>
      <c r="M690" s="30"/>
      <c r="N690" s="30" t="s">
        <v>28060</v>
      </c>
      <c r="O690" s="30" t="s">
        <v>6290</v>
      </c>
      <c r="P690" s="30" t="s">
        <v>27919</v>
      </c>
      <c r="Q690" s="30" t="s">
        <v>26079</v>
      </c>
      <c r="R690" s="30" t="s">
        <v>26077</v>
      </c>
      <c r="S690" s="30" t="s">
        <v>28061</v>
      </c>
      <c r="T690" s="30" t="s">
        <v>28062</v>
      </c>
      <c r="U690" s="30"/>
      <c r="V690" s="139" t="s">
        <v>9334</v>
      </c>
      <c r="W690" s="30" t="s">
        <v>510</v>
      </c>
      <c r="X690" s="30" t="s">
        <v>194</v>
      </c>
      <c r="Y690" s="30" t="s">
        <v>9300</v>
      </c>
      <c r="Z690" s="30"/>
      <c r="AA690" s="30"/>
      <c r="AB690" s="30" t="s">
        <v>9311</v>
      </c>
      <c r="AC690" s="30"/>
      <c r="AD690" s="30"/>
      <c r="AE690" s="30"/>
      <c r="AF690" s="30"/>
      <c r="AG690" s="30"/>
      <c r="AH690" s="30" t="s">
        <v>4714</v>
      </c>
      <c r="AI690" s="30" t="s">
        <v>9433</v>
      </c>
      <c r="AJ690" s="641" t="str">
        <f t="shared" si="20"/>
        <v>252201</v>
      </c>
      <c r="AK690" s="641">
        <v>1</v>
      </c>
      <c r="AL690" s="641">
        <f t="shared" si="21"/>
        <v>1</v>
      </c>
      <c r="AM690" s="641">
        <v>1</v>
      </c>
      <c r="AN690" s="30" t="s">
        <v>17650</v>
      </c>
      <c r="AO690" s="30" t="s">
        <v>17651</v>
      </c>
      <c r="AP690" s="30" t="s">
        <v>17652</v>
      </c>
      <c r="AQ690" s="30" t="s">
        <v>17653</v>
      </c>
      <c r="AR690" s="30" t="s">
        <v>1024</v>
      </c>
      <c r="AS690" s="30">
        <v>1</v>
      </c>
    </row>
    <row r="691" spans="1:45" x14ac:dyDescent="0.25">
      <c r="A691" s="30" t="s">
        <v>716</v>
      </c>
      <c r="B691" s="30" t="s">
        <v>26324</v>
      </c>
      <c r="C691" s="30" t="s">
        <v>706</v>
      </c>
      <c r="D691" s="139" t="s">
        <v>26375</v>
      </c>
      <c r="E691" s="30" t="s">
        <v>217</v>
      </c>
      <c r="F691" s="30">
        <v>1</v>
      </c>
      <c r="G691" s="30" t="s">
        <v>193</v>
      </c>
      <c r="H691" s="30" t="s">
        <v>194</v>
      </c>
      <c r="I691" s="30" t="s">
        <v>27277</v>
      </c>
      <c r="J691" s="30" t="s">
        <v>210</v>
      </c>
      <c r="K691" s="30" t="s">
        <v>9309</v>
      </c>
      <c r="L691" s="30" t="s">
        <v>6955</v>
      </c>
      <c r="M691" s="30"/>
      <c r="N691" s="30" t="s">
        <v>26325</v>
      </c>
      <c r="O691" s="30" t="s">
        <v>6286</v>
      </c>
      <c r="P691" s="30" t="s">
        <v>27919</v>
      </c>
      <c r="Q691" s="30" t="s">
        <v>26098</v>
      </c>
      <c r="R691" s="30" t="s">
        <v>26231</v>
      </c>
      <c r="S691" s="30" t="s">
        <v>28063</v>
      </c>
      <c r="T691" s="30" t="s">
        <v>28064</v>
      </c>
      <c r="U691" s="30"/>
      <c r="V691" s="139" t="s">
        <v>9334</v>
      </c>
      <c r="W691" s="30" t="s">
        <v>707</v>
      </c>
      <c r="X691" s="30" t="s">
        <v>194</v>
      </c>
      <c r="Y691" s="30" t="s">
        <v>9300</v>
      </c>
      <c r="Z691" s="30"/>
      <c r="AA691" s="30"/>
      <c r="AB691" s="30" t="s">
        <v>9311</v>
      </c>
      <c r="AC691" s="30"/>
      <c r="AD691" s="30"/>
      <c r="AE691" s="30"/>
      <c r="AF691" s="30"/>
      <c r="AG691" s="30"/>
      <c r="AH691" s="30" t="s">
        <v>4714</v>
      </c>
      <c r="AI691" s="30" t="s">
        <v>9433</v>
      </c>
      <c r="AJ691" s="641" t="str">
        <f t="shared" si="20"/>
        <v>422201</v>
      </c>
      <c r="AK691" s="641">
        <v>1</v>
      </c>
      <c r="AL691" s="641">
        <f t="shared" si="21"/>
        <v>1</v>
      </c>
      <c r="AM691" s="641">
        <v>1</v>
      </c>
      <c r="AN691" s="30" t="s">
        <v>17650</v>
      </c>
      <c r="AO691" s="30" t="s">
        <v>17651</v>
      </c>
      <c r="AP691" s="30" t="s">
        <v>17652</v>
      </c>
      <c r="AQ691" s="30" t="s">
        <v>17653</v>
      </c>
      <c r="AR691" s="30" t="s">
        <v>1024</v>
      </c>
      <c r="AS691" s="30">
        <v>1</v>
      </c>
    </row>
    <row r="692" spans="1:45" x14ac:dyDescent="0.25">
      <c r="A692" s="30" t="s">
        <v>23858</v>
      </c>
      <c r="B692" s="30" t="s">
        <v>28065</v>
      </c>
      <c r="C692" s="30" t="s">
        <v>110</v>
      </c>
      <c r="D692" s="139" t="s">
        <v>26375</v>
      </c>
      <c r="E692" s="30" t="s">
        <v>217</v>
      </c>
      <c r="F692" s="30">
        <v>1</v>
      </c>
      <c r="G692" s="30" t="s">
        <v>193</v>
      </c>
      <c r="H692" s="30" t="s">
        <v>194</v>
      </c>
      <c r="I692" s="30" t="s">
        <v>27277</v>
      </c>
      <c r="J692" s="30" t="s">
        <v>4751</v>
      </c>
      <c r="K692" s="30" t="s">
        <v>9309</v>
      </c>
      <c r="L692" s="30" t="s">
        <v>6955</v>
      </c>
      <c r="M692" s="30"/>
      <c r="N692" s="30" t="s">
        <v>28066</v>
      </c>
      <c r="O692" s="30" t="s">
        <v>6275</v>
      </c>
      <c r="P692" s="30" t="s">
        <v>27919</v>
      </c>
      <c r="Q692" s="30" t="s">
        <v>26190</v>
      </c>
      <c r="R692" s="30" t="s">
        <v>27792</v>
      </c>
      <c r="S692" s="30" t="s">
        <v>28067</v>
      </c>
      <c r="T692" s="30" t="s">
        <v>28068</v>
      </c>
      <c r="U692" s="30"/>
      <c r="V692" s="139" t="s">
        <v>9472</v>
      </c>
      <c r="W692" s="30" t="s">
        <v>621</v>
      </c>
      <c r="X692" s="30" t="s">
        <v>194</v>
      </c>
      <c r="Y692" s="30" t="s">
        <v>9300</v>
      </c>
      <c r="Z692" s="30"/>
      <c r="AA692" s="30"/>
      <c r="AB692" s="30" t="s">
        <v>9311</v>
      </c>
      <c r="AC692" s="30"/>
      <c r="AD692" s="30"/>
      <c r="AE692" s="30"/>
      <c r="AF692" s="30"/>
      <c r="AG692" s="30"/>
      <c r="AH692" s="30" t="s">
        <v>4714</v>
      </c>
      <c r="AI692" s="30" t="s">
        <v>9433</v>
      </c>
      <c r="AJ692" s="641" t="str">
        <f t="shared" si="20"/>
        <v>332201</v>
      </c>
      <c r="AK692" s="641">
        <v>1</v>
      </c>
      <c r="AL692" s="641">
        <f t="shared" si="21"/>
        <v>1</v>
      </c>
      <c r="AM692" s="641">
        <v>1</v>
      </c>
      <c r="AN692" s="30" t="s">
        <v>17650</v>
      </c>
      <c r="AO692" s="30" t="s">
        <v>17651</v>
      </c>
      <c r="AP692" s="30" t="s">
        <v>17652</v>
      </c>
      <c r="AQ692" s="30" t="s">
        <v>17653</v>
      </c>
      <c r="AR692" s="30" t="s">
        <v>1024</v>
      </c>
      <c r="AS692" s="30">
        <v>1</v>
      </c>
    </row>
    <row r="693" spans="1:45" x14ac:dyDescent="0.25">
      <c r="A693" s="30" t="s">
        <v>26193</v>
      </c>
      <c r="B693" s="30" t="s">
        <v>26194</v>
      </c>
      <c r="C693" s="30" t="s">
        <v>227</v>
      </c>
      <c r="D693" s="139" t="s">
        <v>26375</v>
      </c>
      <c r="E693" s="30" t="s">
        <v>217</v>
      </c>
      <c r="F693" s="30">
        <v>1</v>
      </c>
      <c r="G693" s="30" t="s">
        <v>193</v>
      </c>
      <c r="H693" s="30" t="s">
        <v>194</v>
      </c>
      <c r="I693" s="30" t="s">
        <v>27277</v>
      </c>
      <c r="J693" s="30" t="s">
        <v>4751</v>
      </c>
      <c r="K693" s="30" t="s">
        <v>9309</v>
      </c>
      <c r="L693" s="30" t="s">
        <v>6955</v>
      </c>
      <c r="M693" s="30"/>
      <c r="N693" s="30" t="s">
        <v>27538</v>
      </c>
      <c r="O693" s="30" t="s">
        <v>6277</v>
      </c>
      <c r="P693" s="30" t="s">
        <v>27919</v>
      </c>
      <c r="Q693" s="30" t="s">
        <v>26109</v>
      </c>
      <c r="R693" s="30" t="s">
        <v>27328</v>
      </c>
      <c r="S693" s="30" t="s">
        <v>28069</v>
      </c>
      <c r="T693" s="30" t="s">
        <v>28070</v>
      </c>
      <c r="U693" s="30"/>
      <c r="V693" s="139" t="s">
        <v>9472</v>
      </c>
      <c r="W693" s="30" t="s">
        <v>229</v>
      </c>
      <c r="X693" s="30" t="s">
        <v>194</v>
      </c>
      <c r="Y693" s="30" t="s">
        <v>9300</v>
      </c>
      <c r="Z693" s="30"/>
      <c r="AA693" s="30"/>
      <c r="AB693" s="30" t="s">
        <v>9311</v>
      </c>
      <c r="AC693" s="30"/>
      <c r="AD693" s="30"/>
      <c r="AE693" s="30"/>
      <c r="AF693" s="30"/>
      <c r="AG693" s="30"/>
      <c r="AH693" s="30" t="s">
        <v>4714</v>
      </c>
      <c r="AI693" s="30" t="s">
        <v>9433</v>
      </c>
      <c r="AJ693" s="641" t="str">
        <f t="shared" si="20"/>
        <v>132401</v>
      </c>
      <c r="AK693" s="641">
        <v>1</v>
      </c>
      <c r="AL693" s="641">
        <f t="shared" si="21"/>
        <v>1</v>
      </c>
      <c r="AM693" s="641">
        <v>1</v>
      </c>
      <c r="AN693" s="30" t="s">
        <v>17650</v>
      </c>
      <c r="AO693" s="30" t="s">
        <v>17651</v>
      </c>
      <c r="AP693" s="30" t="s">
        <v>17652</v>
      </c>
      <c r="AQ693" s="30" t="s">
        <v>17653</v>
      </c>
      <c r="AR693" s="30" t="s">
        <v>1024</v>
      </c>
      <c r="AS693" s="30">
        <v>1</v>
      </c>
    </row>
    <row r="694" spans="1:45" x14ac:dyDescent="0.25">
      <c r="A694" s="30" t="s">
        <v>716</v>
      </c>
      <c r="B694" s="30" t="s">
        <v>26132</v>
      </c>
      <c r="C694" s="30" t="s">
        <v>24125</v>
      </c>
      <c r="D694" s="139" t="s">
        <v>26375</v>
      </c>
      <c r="E694" s="30" t="s">
        <v>217</v>
      </c>
      <c r="F694" s="30">
        <v>1</v>
      </c>
      <c r="G694" s="30" t="s">
        <v>193</v>
      </c>
      <c r="H694" s="30" t="s">
        <v>194</v>
      </c>
      <c r="I694" s="30" t="s">
        <v>26133</v>
      </c>
      <c r="J694" s="30" t="s">
        <v>210</v>
      </c>
      <c r="K694" s="30" t="s">
        <v>9309</v>
      </c>
      <c r="L694" s="30" t="s">
        <v>6955</v>
      </c>
      <c r="M694" s="30"/>
      <c r="N694" s="30" t="s">
        <v>28071</v>
      </c>
      <c r="O694" s="30" t="s">
        <v>6290</v>
      </c>
      <c r="P694" s="30" t="s">
        <v>27919</v>
      </c>
      <c r="Q694" s="30" t="s">
        <v>26099</v>
      </c>
      <c r="R694" s="30" t="s">
        <v>27771</v>
      </c>
      <c r="S694" s="30" t="s">
        <v>28072</v>
      </c>
      <c r="T694" s="30" t="s">
        <v>28073</v>
      </c>
      <c r="U694" s="30"/>
      <c r="V694" s="139" t="s">
        <v>9334</v>
      </c>
      <c r="W694" s="30" t="s">
        <v>24129</v>
      </c>
      <c r="X694" s="30" t="s">
        <v>194</v>
      </c>
      <c r="Y694" s="30" t="s">
        <v>9300</v>
      </c>
      <c r="Z694" s="30"/>
      <c r="AA694" s="30"/>
      <c r="AB694" s="30" t="s">
        <v>9311</v>
      </c>
      <c r="AC694" s="30"/>
      <c r="AD694" s="30"/>
      <c r="AE694" s="30"/>
      <c r="AF694" s="30"/>
      <c r="AG694" s="30"/>
      <c r="AH694" s="30" t="s">
        <v>4714</v>
      </c>
      <c r="AI694" s="30" t="s">
        <v>9433</v>
      </c>
      <c r="AJ694" s="641" t="str">
        <f t="shared" si="20"/>
        <v>351401</v>
      </c>
      <c r="AK694" s="641">
        <v>1</v>
      </c>
      <c r="AL694" s="641">
        <f t="shared" si="21"/>
        <v>1</v>
      </c>
      <c r="AM694" s="641">
        <v>1</v>
      </c>
      <c r="AN694" s="30" t="s">
        <v>17650</v>
      </c>
      <c r="AO694" s="30" t="s">
        <v>17651</v>
      </c>
      <c r="AP694" s="30" t="s">
        <v>17652</v>
      </c>
      <c r="AQ694" s="30" t="s">
        <v>17653</v>
      </c>
      <c r="AR694" s="30" t="s">
        <v>1024</v>
      </c>
      <c r="AS694" s="30">
        <v>1</v>
      </c>
    </row>
    <row r="695" spans="1:45" x14ac:dyDescent="0.25">
      <c r="A695" s="30" t="s">
        <v>581</v>
      </c>
      <c r="B695" s="30" t="s">
        <v>20370</v>
      </c>
      <c r="C695" s="30" t="s">
        <v>122</v>
      </c>
      <c r="D695" s="139" t="s">
        <v>26375</v>
      </c>
      <c r="E695" s="30" t="s">
        <v>217</v>
      </c>
      <c r="F695" s="30">
        <v>1</v>
      </c>
      <c r="G695" s="30" t="s">
        <v>193</v>
      </c>
      <c r="H695" s="30" t="s">
        <v>194</v>
      </c>
      <c r="I695" s="30" t="s">
        <v>27277</v>
      </c>
      <c r="J695" s="30" t="s">
        <v>210</v>
      </c>
      <c r="K695" s="30" t="s">
        <v>9309</v>
      </c>
      <c r="L695" s="30" t="s">
        <v>6955</v>
      </c>
      <c r="M695" s="30"/>
      <c r="N695" s="30" t="s">
        <v>27006</v>
      </c>
      <c r="O695" s="30" t="s">
        <v>6249</v>
      </c>
      <c r="P695" s="30" t="s">
        <v>27919</v>
      </c>
      <c r="Q695" s="30" t="s">
        <v>26252</v>
      </c>
      <c r="R695" s="30" t="s">
        <v>23708</v>
      </c>
      <c r="S695" s="30" t="s">
        <v>28074</v>
      </c>
      <c r="T695" s="30" t="s">
        <v>28075</v>
      </c>
      <c r="U695" s="30"/>
      <c r="V695" s="139" t="s">
        <v>9334</v>
      </c>
      <c r="W695" s="30" t="s">
        <v>655</v>
      </c>
      <c r="X695" s="30" t="s">
        <v>194</v>
      </c>
      <c r="Y695" s="30" t="s">
        <v>9300</v>
      </c>
      <c r="Z695" s="30"/>
      <c r="AA695" s="30"/>
      <c r="AB695" s="30" t="s">
        <v>9311</v>
      </c>
      <c r="AC695" s="30"/>
      <c r="AD695" s="30"/>
      <c r="AE695" s="30"/>
      <c r="AF695" s="30"/>
      <c r="AG695" s="30"/>
      <c r="AH695" s="30" t="s">
        <v>4714</v>
      </c>
      <c r="AI695" s="30" t="s">
        <v>9433</v>
      </c>
      <c r="AJ695" s="641" t="str">
        <f t="shared" si="20"/>
        <v>332301</v>
      </c>
      <c r="AK695" s="641">
        <v>1</v>
      </c>
      <c r="AL695" s="641">
        <f t="shared" si="21"/>
        <v>1</v>
      </c>
      <c r="AM695" s="641">
        <v>1</v>
      </c>
      <c r="AN695" s="30" t="s">
        <v>17650</v>
      </c>
      <c r="AO695" s="30" t="s">
        <v>17651</v>
      </c>
      <c r="AP695" s="30" t="s">
        <v>17652</v>
      </c>
      <c r="AQ695" s="30" t="s">
        <v>17653</v>
      </c>
      <c r="AR695" s="30" t="s">
        <v>1024</v>
      </c>
      <c r="AS695" s="30">
        <v>1</v>
      </c>
    </row>
    <row r="696" spans="1:45" x14ac:dyDescent="0.25">
      <c r="A696" s="30" t="s">
        <v>716</v>
      </c>
      <c r="B696" s="30" t="s">
        <v>27044</v>
      </c>
      <c r="C696" s="30" t="s">
        <v>706</v>
      </c>
      <c r="D696" s="139" t="s">
        <v>26375</v>
      </c>
      <c r="E696" s="30" t="s">
        <v>217</v>
      </c>
      <c r="F696" s="30">
        <v>1</v>
      </c>
      <c r="G696" s="30" t="s">
        <v>193</v>
      </c>
      <c r="H696" s="30" t="s">
        <v>194</v>
      </c>
      <c r="I696" s="30" t="s">
        <v>27277</v>
      </c>
      <c r="J696" s="30" t="s">
        <v>210</v>
      </c>
      <c r="K696" s="30" t="s">
        <v>9309</v>
      </c>
      <c r="L696" s="30" t="s">
        <v>6955</v>
      </c>
      <c r="M696" s="30"/>
      <c r="N696" s="30" t="s">
        <v>27339</v>
      </c>
      <c r="O696" s="30" t="s">
        <v>6251</v>
      </c>
      <c r="P696" s="30" t="s">
        <v>27919</v>
      </c>
      <c r="Q696" s="30" t="s">
        <v>26160</v>
      </c>
      <c r="R696" s="30" t="s">
        <v>27340</v>
      </c>
      <c r="S696" s="30" t="s">
        <v>28076</v>
      </c>
      <c r="T696" s="30" t="s">
        <v>28077</v>
      </c>
      <c r="U696" s="30"/>
      <c r="V696" s="139" t="s">
        <v>9334</v>
      </c>
      <c r="W696" s="30" t="s">
        <v>707</v>
      </c>
      <c r="X696" s="30" t="s">
        <v>194</v>
      </c>
      <c r="Y696" s="30" t="s">
        <v>9300</v>
      </c>
      <c r="Z696" s="30"/>
      <c r="AA696" s="30"/>
      <c r="AB696" s="30" t="s">
        <v>9311</v>
      </c>
      <c r="AC696" s="30"/>
      <c r="AD696" s="30"/>
      <c r="AE696" s="30"/>
      <c r="AF696" s="30"/>
      <c r="AG696" s="30"/>
      <c r="AH696" s="30" t="s">
        <v>4714</v>
      </c>
      <c r="AI696" s="30" t="s">
        <v>9433</v>
      </c>
      <c r="AJ696" s="641" t="str">
        <f t="shared" si="20"/>
        <v>422201</v>
      </c>
      <c r="AK696" s="641">
        <v>1</v>
      </c>
      <c r="AL696" s="641">
        <f t="shared" si="21"/>
        <v>1</v>
      </c>
      <c r="AM696" s="641">
        <v>1</v>
      </c>
      <c r="AN696" s="30" t="s">
        <v>17650</v>
      </c>
      <c r="AO696" s="30" t="s">
        <v>17651</v>
      </c>
      <c r="AP696" s="30" t="s">
        <v>17652</v>
      </c>
      <c r="AQ696" s="30" t="s">
        <v>17653</v>
      </c>
      <c r="AR696" s="30" t="s">
        <v>1024</v>
      </c>
      <c r="AS696" s="30">
        <v>1</v>
      </c>
    </row>
    <row r="697" spans="1:45" x14ac:dyDescent="0.25">
      <c r="A697" s="30" t="s">
        <v>26089</v>
      </c>
      <c r="B697" s="30" t="s">
        <v>26538</v>
      </c>
      <c r="C697" s="30" t="s">
        <v>46</v>
      </c>
      <c r="D697" s="139" t="s">
        <v>26375</v>
      </c>
      <c r="E697" s="30" t="s">
        <v>217</v>
      </c>
      <c r="F697" s="30">
        <v>1</v>
      </c>
      <c r="G697" s="30" t="s">
        <v>193</v>
      </c>
      <c r="H697" s="30" t="s">
        <v>194</v>
      </c>
      <c r="I697" s="30" t="s">
        <v>26133</v>
      </c>
      <c r="J697" s="30" t="s">
        <v>210</v>
      </c>
      <c r="K697" s="30" t="s">
        <v>9309</v>
      </c>
      <c r="L697" s="30" t="s">
        <v>6955</v>
      </c>
      <c r="M697" s="30"/>
      <c r="N697" s="30" t="s">
        <v>26539</v>
      </c>
      <c r="O697" s="30" t="s">
        <v>6921</v>
      </c>
      <c r="P697" s="30" t="s">
        <v>27919</v>
      </c>
      <c r="Q697" s="30" t="s">
        <v>26085</v>
      </c>
      <c r="R697" s="30" t="s">
        <v>26057</v>
      </c>
      <c r="S697" s="30" t="s">
        <v>28078</v>
      </c>
      <c r="T697" s="30" t="s">
        <v>28079</v>
      </c>
      <c r="U697" s="30"/>
      <c r="V697" s="139" t="s">
        <v>9334</v>
      </c>
      <c r="W697" s="30" t="s">
        <v>510</v>
      </c>
      <c r="X697" s="30" t="s">
        <v>194</v>
      </c>
      <c r="Y697" s="30" t="s">
        <v>9300</v>
      </c>
      <c r="Z697" s="30"/>
      <c r="AA697" s="30"/>
      <c r="AB697" s="30" t="s">
        <v>9311</v>
      </c>
      <c r="AC697" s="30"/>
      <c r="AD697" s="30"/>
      <c r="AE697" s="30"/>
      <c r="AF697" s="30"/>
      <c r="AG697" s="30"/>
      <c r="AH697" s="30" t="s">
        <v>4714</v>
      </c>
      <c r="AI697" s="30" t="s">
        <v>9433</v>
      </c>
      <c r="AJ697" s="641" t="str">
        <f t="shared" si="20"/>
        <v>252201</v>
      </c>
      <c r="AK697" s="641">
        <v>1</v>
      </c>
      <c r="AL697" s="641">
        <f>F697</f>
        <v>1</v>
      </c>
      <c r="AM697" s="641">
        <v>1</v>
      </c>
      <c r="AN697" s="30" t="s">
        <v>17650</v>
      </c>
      <c r="AO697" s="30" t="s">
        <v>17651</v>
      </c>
      <c r="AP697" s="30" t="s">
        <v>17652</v>
      </c>
      <c r="AQ697" s="30" t="s">
        <v>17653</v>
      </c>
      <c r="AR697" s="30" t="s">
        <v>1024</v>
      </c>
      <c r="AS697" s="30">
        <v>1</v>
      </c>
    </row>
    <row r="698" spans="1:45" x14ac:dyDescent="0.25">
      <c r="A698" s="30" t="s">
        <v>716</v>
      </c>
      <c r="B698" s="30" t="s">
        <v>27331</v>
      </c>
      <c r="C698" s="30" t="s">
        <v>706</v>
      </c>
      <c r="D698" s="139" t="s">
        <v>26375</v>
      </c>
      <c r="E698" s="30" t="s">
        <v>217</v>
      </c>
      <c r="F698" s="30">
        <v>1</v>
      </c>
      <c r="G698" s="30" t="s">
        <v>193</v>
      </c>
      <c r="H698" s="30" t="s">
        <v>194</v>
      </c>
      <c r="I698" s="30" t="s">
        <v>27277</v>
      </c>
      <c r="J698" s="30" t="s">
        <v>210</v>
      </c>
      <c r="K698" s="30" t="s">
        <v>9309</v>
      </c>
      <c r="L698" s="30" t="s">
        <v>6955</v>
      </c>
      <c r="M698" s="30"/>
      <c r="N698" s="30" t="s">
        <v>28080</v>
      </c>
      <c r="O698" s="30" t="s">
        <v>6286</v>
      </c>
      <c r="P698" s="30" t="s">
        <v>27919</v>
      </c>
      <c r="Q698" s="30" t="s">
        <v>26079</v>
      </c>
      <c r="R698" s="30" t="s">
        <v>26077</v>
      </c>
      <c r="S698" s="30" t="s">
        <v>28081</v>
      </c>
      <c r="T698" s="30" t="s">
        <v>28082</v>
      </c>
      <c r="U698" s="30"/>
      <c r="V698" s="139" t="s">
        <v>9334</v>
      </c>
      <c r="W698" s="30" t="s">
        <v>707</v>
      </c>
      <c r="X698" s="30" t="s">
        <v>194</v>
      </c>
      <c r="Y698" s="30" t="s">
        <v>9300</v>
      </c>
      <c r="Z698" s="30"/>
      <c r="AA698" s="30"/>
      <c r="AB698" s="30" t="s">
        <v>9311</v>
      </c>
      <c r="AC698" s="30"/>
      <c r="AD698" s="30"/>
      <c r="AE698" s="30"/>
      <c r="AF698" s="30"/>
      <c r="AG698" s="30"/>
      <c r="AH698" s="30" t="s">
        <v>4714</v>
      </c>
      <c r="AI698" s="30" t="s">
        <v>9433</v>
      </c>
      <c r="AJ698" s="641" t="str">
        <f t="shared" si="20"/>
        <v>422201</v>
      </c>
      <c r="AK698" s="641">
        <v>1</v>
      </c>
      <c r="AL698" s="641">
        <f>F698</f>
        <v>1</v>
      </c>
      <c r="AM698" s="641">
        <v>1</v>
      </c>
      <c r="AN698" s="30" t="s">
        <v>17650</v>
      </c>
      <c r="AO698" s="30" t="s">
        <v>17651</v>
      </c>
      <c r="AP698" s="30" t="s">
        <v>17652</v>
      </c>
      <c r="AQ698" s="30" t="s">
        <v>17653</v>
      </c>
      <c r="AR698" s="30" t="s">
        <v>1024</v>
      </c>
      <c r="AS698" s="30">
        <v>1</v>
      </c>
    </row>
    <row r="699" spans="1:45" x14ac:dyDescent="0.25">
      <c r="A699" s="30" t="s">
        <v>26024</v>
      </c>
      <c r="B699" s="30" t="s">
        <v>26025</v>
      </c>
      <c r="C699" s="30" t="s">
        <v>17</v>
      </c>
      <c r="D699" s="139" t="s">
        <v>26375</v>
      </c>
      <c r="E699" s="30" t="s">
        <v>217</v>
      </c>
      <c r="F699" s="30">
        <v>1</v>
      </c>
      <c r="G699" s="30" t="s">
        <v>193</v>
      </c>
      <c r="H699" s="30" t="s">
        <v>194</v>
      </c>
      <c r="I699" s="30" t="s">
        <v>27277</v>
      </c>
      <c r="J699" s="30" t="s">
        <v>210</v>
      </c>
      <c r="K699" s="30" t="s">
        <v>9309</v>
      </c>
      <c r="L699" s="30" t="s">
        <v>6955</v>
      </c>
      <c r="M699" s="30"/>
      <c r="N699" s="30" t="s">
        <v>26471</v>
      </c>
      <c r="O699" s="30" t="s">
        <v>6249</v>
      </c>
      <c r="P699" s="30" t="s">
        <v>27919</v>
      </c>
      <c r="Q699" s="30" t="s">
        <v>26182</v>
      </c>
      <c r="R699" s="30" t="s">
        <v>26183</v>
      </c>
      <c r="S699" s="30" t="s">
        <v>28083</v>
      </c>
      <c r="T699" s="30" t="s">
        <v>28084</v>
      </c>
      <c r="U699" s="30"/>
      <c r="V699" s="139" t="s">
        <v>9334</v>
      </c>
      <c r="W699" s="30" t="s">
        <v>624</v>
      </c>
      <c r="X699" s="30" t="s">
        <v>194</v>
      </c>
      <c r="Y699" s="30" t="s">
        <v>9300</v>
      </c>
      <c r="Z699" s="30"/>
      <c r="AA699" s="30"/>
      <c r="AB699" s="30" t="s">
        <v>9311</v>
      </c>
      <c r="AC699" s="30"/>
      <c r="AD699" s="30"/>
      <c r="AE699" s="30"/>
      <c r="AF699" s="30"/>
      <c r="AG699" s="30"/>
      <c r="AH699" s="30" t="s">
        <v>4714</v>
      </c>
      <c r="AI699" s="30" t="s">
        <v>9433</v>
      </c>
      <c r="AJ699" s="641" t="str">
        <f t="shared" si="20"/>
        <v>332203</v>
      </c>
      <c r="AK699" s="641">
        <v>1</v>
      </c>
      <c r="AL699" s="641">
        <f t="shared" si="21"/>
        <v>1</v>
      </c>
      <c r="AM699" s="641">
        <v>1</v>
      </c>
      <c r="AN699" s="30" t="s">
        <v>17650</v>
      </c>
      <c r="AO699" s="30" t="s">
        <v>17651</v>
      </c>
      <c r="AP699" s="30" t="s">
        <v>17652</v>
      </c>
      <c r="AQ699" s="30" t="s">
        <v>17653</v>
      </c>
      <c r="AR699" s="30" t="s">
        <v>1024</v>
      </c>
      <c r="AS699" s="30">
        <v>1</v>
      </c>
    </row>
    <row r="700" spans="1:45" x14ac:dyDescent="0.25">
      <c r="A700" s="30" t="s">
        <v>716</v>
      </c>
      <c r="B700" s="30" t="s">
        <v>26282</v>
      </c>
      <c r="C700" s="30" t="s">
        <v>27859</v>
      </c>
      <c r="D700" s="139" t="s">
        <v>26375</v>
      </c>
      <c r="E700" s="30" t="s">
        <v>217</v>
      </c>
      <c r="F700" s="30">
        <v>1</v>
      </c>
      <c r="G700" s="30" t="s">
        <v>193</v>
      </c>
      <c r="H700" s="30" t="s">
        <v>194</v>
      </c>
      <c r="I700" s="30" t="s">
        <v>27277</v>
      </c>
      <c r="J700" s="30" t="s">
        <v>210</v>
      </c>
      <c r="K700" s="30" t="s">
        <v>9309</v>
      </c>
      <c r="L700" s="30" t="s">
        <v>6955</v>
      </c>
      <c r="M700" s="30"/>
      <c r="N700" s="30" t="s">
        <v>28085</v>
      </c>
      <c r="O700" s="30" t="s">
        <v>6290</v>
      </c>
      <c r="P700" s="30" t="s">
        <v>27919</v>
      </c>
      <c r="Q700" s="30" t="s">
        <v>26099</v>
      </c>
      <c r="R700" s="30" t="s">
        <v>27771</v>
      </c>
      <c r="S700" s="30" t="s">
        <v>28086</v>
      </c>
      <c r="T700" s="30" t="s">
        <v>28087</v>
      </c>
      <c r="U700" s="30"/>
      <c r="V700" s="139" t="s">
        <v>9334</v>
      </c>
      <c r="W700" s="30" t="s">
        <v>27862</v>
      </c>
      <c r="X700" s="30" t="s">
        <v>194</v>
      </c>
      <c r="Y700" s="30" t="s">
        <v>9300</v>
      </c>
      <c r="Z700" s="30"/>
      <c r="AA700" s="30"/>
      <c r="AB700" s="30" t="s">
        <v>9311</v>
      </c>
      <c r="AC700" s="30"/>
      <c r="AD700" s="30"/>
      <c r="AE700" s="30"/>
      <c r="AF700" s="30"/>
      <c r="AG700" s="30"/>
      <c r="AH700" s="30" t="s">
        <v>4714</v>
      </c>
      <c r="AI700" s="30" t="s">
        <v>9433</v>
      </c>
      <c r="AJ700" s="641" t="str">
        <f t="shared" si="20"/>
        <v>351490</v>
      </c>
      <c r="AK700" s="641">
        <v>1</v>
      </c>
      <c r="AL700" s="641">
        <f t="shared" si="21"/>
        <v>1</v>
      </c>
      <c r="AM700" s="641">
        <v>1</v>
      </c>
      <c r="AN700" s="30" t="s">
        <v>17650</v>
      </c>
      <c r="AO700" s="30" t="s">
        <v>17651</v>
      </c>
      <c r="AP700" s="30" t="s">
        <v>17652</v>
      </c>
      <c r="AQ700" s="30" t="s">
        <v>17653</v>
      </c>
      <c r="AR700" s="30" t="s">
        <v>1024</v>
      </c>
      <c r="AS700" s="30">
        <v>1</v>
      </c>
    </row>
    <row r="701" spans="1:45" x14ac:dyDescent="0.25">
      <c r="A701" s="30" t="s">
        <v>716</v>
      </c>
      <c r="B701" s="30" t="s">
        <v>27098</v>
      </c>
      <c r="C701" s="30" t="s">
        <v>706</v>
      </c>
      <c r="D701" s="139" t="s">
        <v>26375</v>
      </c>
      <c r="E701" s="30" t="s">
        <v>217</v>
      </c>
      <c r="F701" s="30">
        <v>1</v>
      </c>
      <c r="G701" s="30" t="s">
        <v>193</v>
      </c>
      <c r="H701" s="30" t="s">
        <v>194</v>
      </c>
      <c r="I701" s="30" t="s">
        <v>27277</v>
      </c>
      <c r="J701" s="30" t="s">
        <v>210</v>
      </c>
      <c r="K701" s="30" t="s">
        <v>9309</v>
      </c>
      <c r="L701" s="30" t="s">
        <v>6955</v>
      </c>
      <c r="M701" s="30"/>
      <c r="N701" s="30" t="s">
        <v>28088</v>
      </c>
      <c r="O701" s="30" t="s">
        <v>6286</v>
      </c>
      <c r="P701" s="30" t="s">
        <v>27919</v>
      </c>
      <c r="Q701" s="30" t="s">
        <v>26079</v>
      </c>
      <c r="R701" s="30" t="s">
        <v>26077</v>
      </c>
      <c r="S701" s="30" t="s">
        <v>28089</v>
      </c>
      <c r="T701" s="30" t="s">
        <v>28090</v>
      </c>
      <c r="U701" s="30"/>
      <c r="V701" s="139" t="s">
        <v>9334</v>
      </c>
      <c r="W701" s="30" t="s">
        <v>707</v>
      </c>
      <c r="X701" s="30" t="s">
        <v>194</v>
      </c>
      <c r="Y701" s="30" t="s">
        <v>9300</v>
      </c>
      <c r="Z701" s="30"/>
      <c r="AA701" s="30"/>
      <c r="AB701" s="30" t="s">
        <v>9311</v>
      </c>
      <c r="AC701" s="30"/>
      <c r="AD701" s="30"/>
      <c r="AE701" s="30"/>
      <c r="AF701" s="30"/>
      <c r="AG701" s="30"/>
      <c r="AH701" s="30" t="s">
        <v>4714</v>
      </c>
      <c r="AI701" s="30" t="s">
        <v>9433</v>
      </c>
      <c r="AJ701" s="641" t="str">
        <f t="shared" si="20"/>
        <v>422201</v>
      </c>
      <c r="AK701" s="641">
        <v>1</v>
      </c>
      <c r="AL701" s="641">
        <f t="shared" si="21"/>
        <v>1</v>
      </c>
      <c r="AM701" s="641">
        <v>1</v>
      </c>
      <c r="AN701" s="30" t="s">
        <v>17650</v>
      </c>
      <c r="AO701" s="30" t="s">
        <v>17651</v>
      </c>
      <c r="AP701" s="30" t="s">
        <v>17652</v>
      </c>
      <c r="AQ701" s="30" t="s">
        <v>17653</v>
      </c>
      <c r="AR701" s="30" t="s">
        <v>1024</v>
      </c>
      <c r="AS701" s="30">
        <v>1</v>
      </c>
    </row>
    <row r="702" spans="1:45" x14ac:dyDescent="0.25">
      <c r="A702" s="30" t="s">
        <v>3946</v>
      </c>
      <c r="B702" s="30" t="s">
        <v>26712</v>
      </c>
      <c r="C702" s="30" t="s">
        <v>740</v>
      </c>
      <c r="D702" s="139" t="s">
        <v>26375</v>
      </c>
      <c r="E702" s="30" t="s">
        <v>217</v>
      </c>
      <c r="F702" s="30">
        <v>1</v>
      </c>
      <c r="G702" s="30" t="s">
        <v>193</v>
      </c>
      <c r="H702" s="30" t="s">
        <v>194</v>
      </c>
      <c r="I702" s="30" t="s">
        <v>27277</v>
      </c>
      <c r="J702" s="30" t="s">
        <v>305</v>
      </c>
      <c r="K702" s="30" t="s">
        <v>9309</v>
      </c>
      <c r="L702" s="30" t="s">
        <v>6955</v>
      </c>
      <c r="M702" s="30"/>
      <c r="N702" s="30" t="s">
        <v>26713</v>
      </c>
      <c r="O702" s="30" t="s">
        <v>6249</v>
      </c>
      <c r="P702" s="30" t="s">
        <v>27805</v>
      </c>
      <c r="Q702" s="30" t="s">
        <v>26092</v>
      </c>
      <c r="R702" s="30" t="s">
        <v>27806</v>
      </c>
      <c r="S702" s="30" t="s">
        <v>28091</v>
      </c>
      <c r="T702" s="30" t="s">
        <v>28092</v>
      </c>
      <c r="U702" s="30"/>
      <c r="V702" s="139" t="s">
        <v>9753</v>
      </c>
      <c r="W702" s="30" t="s">
        <v>741</v>
      </c>
      <c r="X702" s="30" t="s">
        <v>194</v>
      </c>
      <c r="Y702" s="30" t="s">
        <v>9300</v>
      </c>
      <c r="Z702" s="30"/>
      <c r="AA702" s="30"/>
      <c r="AB702" s="30" t="s">
        <v>9311</v>
      </c>
      <c r="AC702" s="30"/>
      <c r="AD702" s="30"/>
      <c r="AE702" s="30"/>
      <c r="AF702" s="30"/>
      <c r="AG702" s="30"/>
      <c r="AH702" s="30" t="s">
        <v>5109</v>
      </c>
      <c r="AI702" s="30" t="s">
        <v>9433</v>
      </c>
      <c r="AJ702" s="641" t="str">
        <f t="shared" si="20"/>
        <v>522301</v>
      </c>
      <c r="AK702" s="641">
        <v>1</v>
      </c>
      <c r="AL702" s="641">
        <f t="shared" si="21"/>
        <v>1</v>
      </c>
      <c r="AM702" s="641">
        <v>1</v>
      </c>
      <c r="AN702" s="30" t="s">
        <v>17650</v>
      </c>
      <c r="AO702" s="30" t="s">
        <v>17651</v>
      </c>
      <c r="AP702" s="30" t="s">
        <v>17652</v>
      </c>
      <c r="AQ702" s="30" t="s">
        <v>17653</v>
      </c>
      <c r="AR702" s="30" t="s">
        <v>1024</v>
      </c>
      <c r="AS702" s="30">
        <v>1</v>
      </c>
    </row>
    <row r="703" spans="1:45" x14ac:dyDescent="0.25">
      <c r="A703" s="30" t="s">
        <v>26089</v>
      </c>
      <c r="B703" s="30" t="s">
        <v>10970</v>
      </c>
      <c r="C703" s="30" t="s">
        <v>10</v>
      </c>
      <c r="D703" s="139" t="s">
        <v>26375</v>
      </c>
      <c r="E703" s="30" t="s">
        <v>217</v>
      </c>
      <c r="F703" s="30">
        <v>1</v>
      </c>
      <c r="G703" s="30" t="s">
        <v>193</v>
      </c>
      <c r="H703" s="30" t="s">
        <v>194</v>
      </c>
      <c r="I703" s="30" t="s">
        <v>23198</v>
      </c>
      <c r="J703" s="30" t="s">
        <v>210</v>
      </c>
      <c r="K703" s="30" t="s">
        <v>9309</v>
      </c>
      <c r="L703" s="30" t="s">
        <v>6955</v>
      </c>
      <c r="M703" s="30"/>
      <c r="N703" s="30" t="s">
        <v>28093</v>
      </c>
      <c r="O703" s="30" t="s">
        <v>6261</v>
      </c>
      <c r="P703" s="30" t="s">
        <v>27919</v>
      </c>
      <c r="Q703" s="30" t="s">
        <v>26190</v>
      </c>
      <c r="R703" s="30" t="s">
        <v>27792</v>
      </c>
      <c r="S703" s="30" t="s">
        <v>28094</v>
      </c>
      <c r="T703" s="30" t="s">
        <v>28095</v>
      </c>
      <c r="U703" s="30"/>
      <c r="V703" s="139" t="s">
        <v>9334</v>
      </c>
      <c r="W703" s="30" t="s">
        <v>484</v>
      </c>
      <c r="X703" s="30" t="s">
        <v>194</v>
      </c>
      <c r="Y703" s="30" t="s">
        <v>9300</v>
      </c>
      <c r="Z703" s="30"/>
      <c r="AA703" s="30"/>
      <c r="AB703" s="30" t="s">
        <v>9311</v>
      </c>
      <c r="AC703" s="30"/>
      <c r="AD703" s="30"/>
      <c r="AE703" s="30"/>
      <c r="AF703" s="30"/>
      <c r="AG703" s="30"/>
      <c r="AH703" s="30" t="s">
        <v>4714</v>
      </c>
      <c r="AI703" s="30" t="s">
        <v>9433</v>
      </c>
      <c r="AJ703" s="641" t="str">
        <f t="shared" si="20"/>
        <v>251401</v>
      </c>
      <c r="AK703" s="641">
        <v>1</v>
      </c>
      <c r="AL703" s="641">
        <f t="shared" si="21"/>
        <v>1</v>
      </c>
      <c r="AM703" s="641">
        <v>1</v>
      </c>
      <c r="AN703" s="30" t="s">
        <v>17650</v>
      </c>
      <c r="AO703" s="30" t="s">
        <v>17651</v>
      </c>
      <c r="AP703" s="30" t="s">
        <v>17652</v>
      </c>
      <c r="AQ703" s="30" t="s">
        <v>17653</v>
      </c>
      <c r="AR703" s="30" t="s">
        <v>1024</v>
      </c>
      <c r="AS703" s="30">
        <v>1</v>
      </c>
    </row>
    <row r="704" spans="1:45" x14ac:dyDescent="0.25">
      <c r="A704" s="30" t="s">
        <v>26193</v>
      </c>
      <c r="B704" s="30" t="s">
        <v>26194</v>
      </c>
      <c r="C704" s="30" t="s">
        <v>227</v>
      </c>
      <c r="D704" s="139" t="s">
        <v>26375</v>
      </c>
      <c r="E704" s="30" t="s">
        <v>217</v>
      </c>
      <c r="F704" s="30">
        <v>1</v>
      </c>
      <c r="G704" s="30" t="s">
        <v>193</v>
      </c>
      <c r="H704" s="30" t="s">
        <v>194</v>
      </c>
      <c r="I704" s="30" t="s">
        <v>27277</v>
      </c>
      <c r="J704" s="30" t="s">
        <v>385</v>
      </c>
      <c r="K704" s="30" t="s">
        <v>9309</v>
      </c>
      <c r="L704" s="30" t="s">
        <v>6955</v>
      </c>
      <c r="M704" s="30"/>
      <c r="N704" s="30" t="s">
        <v>27461</v>
      </c>
      <c r="O704" s="30" t="s">
        <v>6277</v>
      </c>
      <c r="P704" s="30" t="s">
        <v>27919</v>
      </c>
      <c r="Q704" s="30" t="s">
        <v>26109</v>
      </c>
      <c r="R704" s="30" t="s">
        <v>27328</v>
      </c>
      <c r="S704" s="30" t="s">
        <v>28096</v>
      </c>
      <c r="T704" s="30" t="s">
        <v>28097</v>
      </c>
      <c r="U704" s="30"/>
      <c r="V704" s="139" t="s">
        <v>9410</v>
      </c>
      <c r="W704" s="30" t="s">
        <v>229</v>
      </c>
      <c r="X704" s="30" t="s">
        <v>194</v>
      </c>
      <c r="Y704" s="30" t="s">
        <v>9300</v>
      </c>
      <c r="Z704" s="30"/>
      <c r="AA704" s="30"/>
      <c r="AB704" s="30" t="s">
        <v>9311</v>
      </c>
      <c r="AC704" s="30"/>
      <c r="AD704" s="30"/>
      <c r="AE704" s="30"/>
      <c r="AF704" s="30"/>
      <c r="AG704" s="30"/>
      <c r="AH704" s="30" t="s">
        <v>4714</v>
      </c>
      <c r="AI704" s="30" t="s">
        <v>9433</v>
      </c>
      <c r="AJ704" s="641" t="str">
        <f t="shared" si="20"/>
        <v>132401</v>
      </c>
      <c r="AK704" s="641">
        <v>1</v>
      </c>
      <c r="AL704" s="641">
        <f t="shared" si="21"/>
        <v>1</v>
      </c>
      <c r="AM704" s="641">
        <v>1</v>
      </c>
      <c r="AN704" s="30" t="s">
        <v>17650</v>
      </c>
      <c r="AO704" s="30" t="s">
        <v>17651</v>
      </c>
      <c r="AP704" s="30" t="s">
        <v>17652</v>
      </c>
      <c r="AQ704" s="30" t="s">
        <v>17653</v>
      </c>
      <c r="AR704" s="30" t="s">
        <v>1024</v>
      </c>
      <c r="AS704" s="30">
        <v>1</v>
      </c>
    </row>
    <row r="705" spans="1:45" x14ac:dyDescent="0.25">
      <c r="A705" s="30" t="s">
        <v>716</v>
      </c>
      <c r="B705" s="30" t="s">
        <v>26635</v>
      </c>
      <c r="C705" s="30" t="s">
        <v>706</v>
      </c>
      <c r="D705" s="139" t="s">
        <v>26375</v>
      </c>
      <c r="E705" s="30" t="s">
        <v>217</v>
      </c>
      <c r="F705" s="30">
        <v>1</v>
      </c>
      <c r="G705" s="30" t="s">
        <v>193</v>
      </c>
      <c r="H705" s="30" t="s">
        <v>194</v>
      </c>
      <c r="I705" s="30" t="s">
        <v>27277</v>
      </c>
      <c r="J705" s="30" t="s">
        <v>210</v>
      </c>
      <c r="K705" s="30" t="s">
        <v>9309</v>
      </c>
      <c r="L705" s="30" t="s">
        <v>6955</v>
      </c>
      <c r="M705" s="30"/>
      <c r="N705" s="30" t="s">
        <v>27278</v>
      </c>
      <c r="O705" s="30" t="s">
        <v>6251</v>
      </c>
      <c r="P705" s="30" t="s">
        <v>27919</v>
      </c>
      <c r="Q705" s="30" t="s">
        <v>26139</v>
      </c>
      <c r="R705" s="30" t="s">
        <v>27256</v>
      </c>
      <c r="S705" s="30" t="s">
        <v>28098</v>
      </c>
      <c r="T705" s="30" t="s">
        <v>28099</v>
      </c>
      <c r="U705" s="30"/>
      <c r="V705" s="139" t="s">
        <v>9334</v>
      </c>
      <c r="W705" s="30" t="s">
        <v>707</v>
      </c>
      <c r="X705" s="30" t="s">
        <v>194</v>
      </c>
      <c r="Y705" s="30" t="s">
        <v>9300</v>
      </c>
      <c r="Z705" s="30"/>
      <c r="AA705" s="30"/>
      <c r="AB705" s="30" t="s">
        <v>9311</v>
      </c>
      <c r="AC705" s="30"/>
      <c r="AD705" s="30"/>
      <c r="AE705" s="30"/>
      <c r="AF705" s="30"/>
      <c r="AG705" s="30"/>
      <c r="AH705" s="30" t="s">
        <v>4714</v>
      </c>
      <c r="AI705" s="30" t="s">
        <v>9433</v>
      </c>
      <c r="AJ705" s="641" t="str">
        <f t="shared" si="20"/>
        <v>422201</v>
      </c>
      <c r="AK705" s="641">
        <v>1</v>
      </c>
      <c r="AL705" s="641">
        <f t="shared" si="21"/>
        <v>1</v>
      </c>
      <c r="AM705" s="641">
        <v>1</v>
      </c>
      <c r="AN705" s="30" t="s">
        <v>17650</v>
      </c>
      <c r="AO705" s="30" t="s">
        <v>17651</v>
      </c>
      <c r="AP705" s="30" t="s">
        <v>17652</v>
      </c>
      <c r="AQ705" s="30" t="s">
        <v>17653</v>
      </c>
      <c r="AR705" s="30" t="s">
        <v>1024</v>
      </c>
      <c r="AS705" s="30">
        <v>1</v>
      </c>
    </row>
    <row r="706" spans="1:45" x14ac:dyDescent="0.25">
      <c r="A706" s="30" t="s">
        <v>581</v>
      </c>
      <c r="B706" s="30" t="s">
        <v>28100</v>
      </c>
      <c r="C706" s="30" t="s">
        <v>420</v>
      </c>
      <c r="D706" s="139" t="s">
        <v>26375</v>
      </c>
      <c r="E706" s="30" t="s">
        <v>217</v>
      </c>
      <c r="F706" s="30">
        <v>1</v>
      </c>
      <c r="G706" s="30" t="s">
        <v>193</v>
      </c>
      <c r="H706" s="30" t="s">
        <v>194</v>
      </c>
      <c r="I706" s="30" t="s">
        <v>27277</v>
      </c>
      <c r="J706" s="30" t="s">
        <v>210</v>
      </c>
      <c r="K706" s="30" t="s">
        <v>9309</v>
      </c>
      <c r="L706" s="30" t="s">
        <v>6955</v>
      </c>
      <c r="M706" s="30"/>
      <c r="N706" s="30" t="s">
        <v>28101</v>
      </c>
      <c r="O706" s="30" t="s">
        <v>6254</v>
      </c>
      <c r="P706" s="30" t="s">
        <v>27919</v>
      </c>
      <c r="Q706" s="30" t="s">
        <v>23804</v>
      </c>
      <c r="R706" s="30" t="s">
        <v>27771</v>
      </c>
      <c r="S706" s="30" t="s">
        <v>28102</v>
      </c>
      <c r="T706" s="30" t="s">
        <v>28103</v>
      </c>
      <c r="U706" s="30"/>
      <c r="V706" s="139" t="s">
        <v>9334</v>
      </c>
      <c r="W706" s="30" t="s">
        <v>421</v>
      </c>
      <c r="X706" s="30" t="s">
        <v>194</v>
      </c>
      <c r="Y706" s="30" t="s">
        <v>9300</v>
      </c>
      <c r="Z706" s="30"/>
      <c r="AA706" s="30"/>
      <c r="AB706" s="30" t="s">
        <v>9311</v>
      </c>
      <c r="AC706" s="30"/>
      <c r="AD706" s="30"/>
      <c r="AE706" s="30"/>
      <c r="AF706" s="30"/>
      <c r="AG706" s="30"/>
      <c r="AH706" s="30" t="s">
        <v>4714</v>
      </c>
      <c r="AI706" s="30" t="s">
        <v>9433</v>
      </c>
      <c r="AJ706" s="641" t="str">
        <f t="shared" si="20"/>
        <v>241306</v>
      </c>
      <c r="AK706" s="641">
        <v>1</v>
      </c>
      <c r="AL706" s="641">
        <f t="shared" si="21"/>
        <v>1</v>
      </c>
      <c r="AM706" s="641">
        <v>1</v>
      </c>
      <c r="AN706" s="30" t="s">
        <v>17650</v>
      </c>
      <c r="AO706" s="30" t="s">
        <v>17651</v>
      </c>
      <c r="AP706" s="30" t="s">
        <v>17652</v>
      </c>
      <c r="AQ706" s="30" t="s">
        <v>17653</v>
      </c>
      <c r="AR706" s="30" t="s">
        <v>1024</v>
      </c>
      <c r="AS706" s="30">
        <v>1</v>
      </c>
    </row>
    <row r="707" spans="1:45" x14ac:dyDescent="0.25">
      <c r="A707" s="30" t="s">
        <v>26089</v>
      </c>
      <c r="B707" s="30" t="s">
        <v>26305</v>
      </c>
      <c r="C707" s="30" t="s">
        <v>26180</v>
      </c>
      <c r="D707" s="139" t="s">
        <v>26375</v>
      </c>
      <c r="E707" s="30" t="s">
        <v>217</v>
      </c>
      <c r="F707" s="30">
        <v>1</v>
      </c>
      <c r="G707" s="30" t="s">
        <v>193</v>
      </c>
      <c r="H707" s="30" t="s">
        <v>194</v>
      </c>
      <c r="I707" s="30" t="s">
        <v>27277</v>
      </c>
      <c r="J707" s="30" t="s">
        <v>210</v>
      </c>
      <c r="K707" s="30" t="s">
        <v>9309</v>
      </c>
      <c r="L707" s="30" t="s">
        <v>6955</v>
      </c>
      <c r="M707" s="30"/>
      <c r="N707" s="30" t="s">
        <v>26606</v>
      </c>
      <c r="O707" s="30" t="s">
        <v>7120</v>
      </c>
      <c r="P707" s="30" t="s">
        <v>27805</v>
      </c>
      <c r="Q707" s="30" t="s">
        <v>26092</v>
      </c>
      <c r="R707" s="30" t="s">
        <v>27806</v>
      </c>
      <c r="S707" s="30" t="s">
        <v>28104</v>
      </c>
      <c r="T707" s="30" t="s">
        <v>28105</v>
      </c>
      <c r="U707" s="30"/>
      <c r="V707" s="139" t="s">
        <v>9334</v>
      </c>
      <c r="W707" s="30" t="s">
        <v>26186</v>
      </c>
      <c r="X707" s="30" t="s">
        <v>194</v>
      </c>
      <c r="Y707" s="30" t="s">
        <v>9300</v>
      </c>
      <c r="Z707" s="30"/>
      <c r="AA707" s="30"/>
      <c r="AB707" s="30" t="s">
        <v>9311</v>
      </c>
      <c r="AC707" s="30"/>
      <c r="AD707" s="30"/>
      <c r="AE707" s="30"/>
      <c r="AF707" s="30"/>
      <c r="AG707" s="30"/>
      <c r="AH707" s="30" t="s">
        <v>4714</v>
      </c>
      <c r="AI707" s="30" t="s">
        <v>9433</v>
      </c>
      <c r="AJ707" s="641" t="str">
        <f t="shared" ref="AJ707:AJ770" si="22">MID(W707,8,6)</f>
        <v>421108</v>
      </c>
      <c r="AK707" s="641">
        <v>1</v>
      </c>
      <c r="AL707" s="641">
        <f t="shared" ref="AL707:AL770" si="23">F707</f>
        <v>1</v>
      </c>
      <c r="AM707" s="641">
        <v>1</v>
      </c>
      <c r="AN707" s="30" t="s">
        <v>17650</v>
      </c>
      <c r="AO707" s="30" t="s">
        <v>17651</v>
      </c>
      <c r="AP707" s="30" t="s">
        <v>17652</v>
      </c>
      <c r="AQ707" s="30" t="s">
        <v>17653</v>
      </c>
      <c r="AR707" s="30" t="s">
        <v>1024</v>
      </c>
      <c r="AS707" s="30">
        <v>1</v>
      </c>
    </row>
    <row r="708" spans="1:45" x14ac:dyDescent="0.25">
      <c r="A708" s="30" t="s">
        <v>258</v>
      </c>
      <c r="B708" s="30" t="s">
        <v>26208</v>
      </c>
      <c r="C708" s="30" t="s">
        <v>778</v>
      </c>
      <c r="D708" s="139" t="s">
        <v>26375</v>
      </c>
      <c r="E708" s="30" t="s">
        <v>217</v>
      </c>
      <c r="F708" s="30">
        <v>1</v>
      </c>
      <c r="G708" s="30" t="s">
        <v>193</v>
      </c>
      <c r="H708" s="30" t="s">
        <v>194</v>
      </c>
      <c r="I708" s="30" t="s">
        <v>26133</v>
      </c>
      <c r="J708" s="30" t="s">
        <v>1059</v>
      </c>
      <c r="K708" s="30" t="s">
        <v>9309</v>
      </c>
      <c r="L708" s="30" t="s">
        <v>6955</v>
      </c>
      <c r="M708" s="30"/>
      <c r="N708" s="30" t="s">
        <v>26628</v>
      </c>
      <c r="O708" s="30" t="s">
        <v>6251</v>
      </c>
      <c r="P708" s="30" t="s">
        <v>27919</v>
      </c>
      <c r="Q708" s="30" t="s">
        <v>26073</v>
      </c>
      <c r="R708" s="30" t="s">
        <v>26183</v>
      </c>
      <c r="S708" s="30" t="s">
        <v>28106</v>
      </c>
      <c r="T708" s="30" t="s">
        <v>28107</v>
      </c>
      <c r="U708" s="30"/>
      <c r="V708" s="139" t="s">
        <v>9510</v>
      </c>
      <c r="W708" s="30" t="s">
        <v>779</v>
      </c>
      <c r="X708" s="30" t="s">
        <v>194</v>
      </c>
      <c r="Y708" s="30" t="s">
        <v>9300</v>
      </c>
      <c r="Z708" s="30"/>
      <c r="AA708" s="30"/>
      <c r="AB708" s="30" t="s">
        <v>9311</v>
      </c>
      <c r="AC708" s="30"/>
      <c r="AD708" s="30"/>
      <c r="AE708" s="30"/>
      <c r="AF708" s="30"/>
      <c r="AG708" s="30"/>
      <c r="AH708" s="30" t="s">
        <v>4714</v>
      </c>
      <c r="AI708" s="30" t="s">
        <v>9433</v>
      </c>
      <c r="AJ708" s="641" t="str">
        <f t="shared" si="22"/>
        <v>524902</v>
      </c>
      <c r="AK708" s="641">
        <v>1</v>
      </c>
      <c r="AL708" s="641">
        <f t="shared" si="23"/>
        <v>1</v>
      </c>
      <c r="AM708" s="641">
        <v>1</v>
      </c>
      <c r="AN708" s="30" t="s">
        <v>17650</v>
      </c>
      <c r="AO708" s="30" t="s">
        <v>17651</v>
      </c>
      <c r="AP708" s="30" t="s">
        <v>17652</v>
      </c>
      <c r="AQ708" s="30" t="s">
        <v>17653</v>
      </c>
      <c r="AR708" s="30" t="s">
        <v>1024</v>
      </c>
      <c r="AS708" s="30">
        <v>1</v>
      </c>
    </row>
    <row r="709" spans="1:45" x14ac:dyDescent="0.25">
      <c r="A709" s="30" t="s">
        <v>26089</v>
      </c>
      <c r="B709" s="30" t="s">
        <v>26616</v>
      </c>
      <c r="C709" s="30" t="s">
        <v>26180</v>
      </c>
      <c r="D709" s="139" t="s">
        <v>26375</v>
      </c>
      <c r="E709" s="30" t="s">
        <v>217</v>
      </c>
      <c r="F709" s="30">
        <v>1</v>
      </c>
      <c r="G709" s="30" t="s">
        <v>193</v>
      </c>
      <c r="H709" s="30" t="s">
        <v>194</v>
      </c>
      <c r="I709" s="30" t="s">
        <v>27277</v>
      </c>
      <c r="J709" s="30" t="s">
        <v>210</v>
      </c>
      <c r="K709" s="30" t="s">
        <v>9309</v>
      </c>
      <c r="L709" s="30" t="s">
        <v>6955</v>
      </c>
      <c r="M709" s="30"/>
      <c r="N709" s="30" t="s">
        <v>27508</v>
      </c>
      <c r="O709" s="30" t="s">
        <v>6251</v>
      </c>
      <c r="P709" s="30" t="s">
        <v>27919</v>
      </c>
      <c r="Q709" s="30" t="s">
        <v>25893</v>
      </c>
      <c r="R709" s="30" t="s">
        <v>27300</v>
      </c>
      <c r="S709" s="30" t="s">
        <v>28108</v>
      </c>
      <c r="T709" s="30" t="s">
        <v>28109</v>
      </c>
      <c r="U709" s="30"/>
      <c r="V709" s="139" t="s">
        <v>9334</v>
      </c>
      <c r="W709" s="30" t="s">
        <v>26186</v>
      </c>
      <c r="X709" s="30" t="s">
        <v>194</v>
      </c>
      <c r="Y709" s="30" t="s">
        <v>9300</v>
      </c>
      <c r="Z709" s="30"/>
      <c r="AA709" s="30"/>
      <c r="AB709" s="30" t="s">
        <v>9311</v>
      </c>
      <c r="AC709" s="30"/>
      <c r="AD709" s="30"/>
      <c r="AE709" s="30"/>
      <c r="AF709" s="30"/>
      <c r="AG709" s="30"/>
      <c r="AH709" s="30" t="s">
        <v>4714</v>
      </c>
      <c r="AI709" s="30" t="s">
        <v>9433</v>
      </c>
      <c r="AJ709" s="641" t="str">
        <f t="shared" si="22"/>
        <v>421108</v>
      </c>
      <c r="AK709" s="641">
        <v>1</v>
      </c>
      <c r="AL709" s="641">
        <f t="shared" si="23"/>
        <v>1</v>
      </c>
      <c r="AM709" s="641">
        <v>1</v>
      </c>
      <c r="AN709" s="30" t="s">
        <v>17650</v>
      </c>
      <c r="AO709" s="30" t="s">
        <v>17651</v>
      </c>
      <c r="AP709" s="30" t="s">
        <v>17652</v>
      </c>
      <c r="AQ709" s="30" t="s">
        <v>17653</v>
      </c>
      <c r="AR709" s="30" t="s">
        <v>1024</v>
      </c>
      <c r="AS709" s="30">
        <v>1</v>
      </c>
    </row>
    <row r="710" spans="1:45" x14ac:dyDescent="0.25">
      <c r="A710" s="30" t="s">
        <v>26193</v>
      </c>
      <c r="B710" s="30" t="s">
        <v>26194</v>
      </c>
      <c r="C710" s="30" t="s">
        <v>227</v>
      </c>
      <c r="D710" s="139" t="s">
        <v>26375</v>
      </c>
      <c r="E710" s="30" t="s">
        <v>217</v>
      </c>
      <c r="F710" s="30">
        <v>1</v>
      </c>
      <c r="G710" s="30" t="s">
        <v>193</v>
      </c>
      <c r="H710" s="30" t="s">
        <v>194</v>
      </c>
      <c r="I710" s="30" t="s">
        <v>27277</v>
      </c>
      <c r="J710" s="30" t="s">
        <v>747</v>
      </c>
      <c r="K710" s="30" t="s">
        <v>9309</v>
      </c>
      <c r="L710" s="30" t="s">
        <v>6955</v>
      </c>
      <c r="M710" s="30"/>
      <c r="N710" s="30" t="s">
        <v>27616</v>
      </c>
      <c r="O710" s="30" t="s">
        <v>6269</v>
      </c>
      <c r="P710" s="30" t="s">
        <v>27919</v>
      </c>
      <c r="Q710" s="30" t="s">
        <v>26109</v>
      </c>
      <c r="R710" s="30" t="s">
        <v>27328</v>
      </c>
      <c r="S710" s="30" t="s">
        <v>28110</v>
      </c>
      <c r="T710" s="30" t="s">
        <v>28111</v>
      </c>
      <c r="U710" s="30"/>
      <c r="V710" s="139" t="s">
        <v>10397</v>
      </c>
      <c r="W710" s="30" t="s">
        <v>229</v>
      </c>
      <c r="X710" s="30" t="s">
        <v>194</v>
      </c>
      <c r="Y710" s="30" t="s">
        <v>9300</v>
      </c>
      <c r="Z710" s="30"/>
      <c r="AA710" s="30"/>
      <c r="AB710" s="30" t="s">
        <v>9311</v>
      </c>
      <c r="AC710" s="30"/>
      <c r="AD710" s="30"/>
      <c r="AE710" s="30"/>
      <c r="AF710" s="30"/>
      <c r="AG710" s="30"/>
      <c r="AH710" s="30" t="s">
        <v>4714</v>
      </c>
      <c r="AI710" s="30" t="s">
        <v>9433</v>
      </c>
      <c r="AJ710" s="641" t="str">
        <f t="shared" si="22"/>
        <v>132401</v>
      </c>
      <c r="AK710" s="641">
        <v>1</v>
      </c>
      <c r="AL710" s="641">
        <f t="shared" si="23"/>
        <v>1</v>
      </c>
      <c r="AM710" s="641">
        <v>1</v>
      </c>
      <c r="AN710" s="30" t="s">
        <v>17650</v>
      </c>
      <c r="AO710" s="30" t="s">
        <v>17651</v>
      </c>
      <c r="AP710" s="30" t="s">
        <v>17652</v>
      </c>
      <c r="AQ710" s="30" t="s">
        <v>17653</v>
      </c>
      <c r="AR710" s="30" t="s">
        <v>1024</v>
      </c>
      <c r="AS710" s="30">
        <v>1</v>
      </c>
    </row>
    <row r="711" spans="1:45" x14ac:dyDescent="0.25">
      <c r="A711" s="30" t="s">
        <v>26193</v>
      </c>
      <c r="B711" s="30" t="s">
        <v>26194</v>
      </c>
      <c r="C711" s="30" t="s">
        <v>227</v>
      </c>
      <c r="D711" s="139" t="s">
        <v>26375</v>
      </c>
      <c r="E711" s="30" t="s">
        <v>217</v>
      </c>
      <c r="F711" s="30">
        <v>1</v>
      </c>
      <c r="G711" s="30" t="s">
        <v>193</v>
      </c>
      <c r="H711" s="30" t="s">
        <v>194</v>
      </c>
      <c r="I711" s="30" t="s">
        <v>27277</v>
      </c>
      <c r="J711" s="30" t="s">
        <v>223</v>
      </c>
      <c r="K711" s="30" t="s">
        <v>9309</v>
      </c>
      <c r="L711" s="30" t="s">
        <v>6955</v>
      </c>
      <c r="M711" s="30"/>
      <c r="N711" s="30" t="s">
        <v>27694</v>
      </c>
      <c r="O711" s="30" t="s">
        <v>6269</v>
      </c>
      <c r="P711" s="30" t="s">
        <v>27919</v>
      </c>
      <c r="Q711" s="30" t="s">
        <v>26109</v>
      </c>
      <c r="R711" s="30" t="s">
        <v>27328</v>
      </c>
      <c r="S711" s="30" t="s">
        <v>28112</v>
      </c>
      <c r="T711" s="30" t="s">
        <v>28113</v>
      </c>
      <c r="U711" s="30"/>
      <c r="V711" s="139" t="s">
        <v>11163</v>
      </c>
      <c r="W711" s="30" t="s">
        <v>229</v>
      </c>
      <c r="X711" s="30" t="s">
        <v>194</v>
      </c>
      <c r="Y711" s="30" t="s">
        <v>9300</v>
      </c>
      <c r="Z711" s="30"/>
      <c r="AA711" s="30"/>
      <c r="AB711" s="30" t="s">
        <v>9311</v>
      </c>
      <c r="AC711" s="30"/>
      <c r="AD711" s="30"/>
      <c r="AE711" s="30"/>
      <c r="AF711" s="30"/>
      <c r="AG711" s="30"/>
      <c r="AH711" s="30" t="s">
        <v>4714</v>
      </c>
      <c r="AI711" s="30" t="s">
        <v>9433</v>
      </c>
      <c r="AJ711" s="641" t="str">
        <f t="shared" si="22"/>
        <v>132401</v>
      </c>
      <c r="AK711" s="641">
        <v>1</v>
      </c>
      <c r="AL711" s="641">
        <f t="shared" si="23"/>
        <v>1</v>
      </c>
      <c r="AM711" s="641">
        <v>1</v>
      </c>
      <c r="AN711" s="30" t="s">
        <v>17650</v>
      </c>
      <c r="AO711" s="30" t="s">
        <v>17651</v>
      </c>
      <c r="AP711" s="30" t="s">
        <v>17652</v>
      </c>
      <c r="AQ711" s="30" t="s">
        <v>17653</v>
      </c>
      <c r="AR711" s="30" t="s">
        <v>1024</v>
      </c>
      <c r="AS711" s="30">
        <v>1</v>
      </c>
    </row>
    <row r="712" spans="1:45" x14ac:dyDescent="0.25">
      <c r="A712" s="30" t="s">
        <v>716</v>
      </c>
      <c r="B712" s="30" t="s">
        <v>27326</v>
      </c>
      <c r="C712" s="30" t="s">
        <v>706</v>
      </c>
      <c r="D712" s="139" t="s">
        <v>26375</v>
      </c>
      <c r="E712" s="30" t="s">
        <v>217</v>
      </c>
      <c r="F712" s="30">
        <v>1</v>
      </c>
      <c r="G712" s="30" t="s">
        <v>193</v>
      </c>
      <c r="H712" s="30" t="s">
        <v>194</v>
      </c>
      <c r="I712" s="30" t="s">
        <v>27277</v>
      </c>
      <c r="J712" s="30" t="s">
        <v>210</v>
      </c>
      <c r="K712" s="30" t="s">
        <v>9309</v>
      </c>
      <c r="L712" s="30" t="s">
        <v>6955</v>
      </c>
      <c r="M712" s="30"/>
      <c r="N712" s="30" t="s">
        <v>27327</v>
      </c>
      <c r="O712" s="30" t="s">
        <v>6251</v>
      </c>
      <c r="P712" s="30" t="s">
        <v>27919</v>
      </c>
      <c r="Q712" s="30" t="s">
        <v>26109</v>
      </c>
      <c r="R712" s="30" t="s">
        <v>27328</v>
      </c>
      <c r="S712" s="30" t="s">
        <v>28114</v>
      </c>
      <c r="T712" s="30" t="s">
        <v>28115</v>
      </c>
      <c r="U712" s="30"/>
      <c r="V712" s="139" t="s">
        <v>9334</v>
      </c>
      <c r="W712" s="30" t="s">
        <v>707</v>
      </c>
      <c r="X712" s="30" t="s">
        <v>194</v>
      </c>
      <c r="Y712" s="30" t="s">
        <v>9300</v>
      </c>
      <c r="Z712" s="30"/>
      <c r="AA712" s="30"/>
      <c r="AB712" s="30" t="s">
        <v>9311</v>
      </c>
      <c r="AC712" s="30"/>
      <c r="AD712" s="30"/>
      <c r="AE712" s="30"/>
      <c r="AF712" s="30"/>
      <c r="AG712" s="30"/>
      <c r="AH712" s="30" t="s">
        <v>4714</v>
      </c>
      <c r="AI712" s="30" t="s">
        <v>9433</v>
      </c>
      <c r="AJ712" s="641" t="str">
        <f t="shared" si="22"/>
        <v>422201</v>
      </c>
      <c r="AK712" s="641">
        <v>1</v>
      </c>
      <c r="AL712" s="641">
        <f t="shared" si="23"/>
        <v>1</v>
      </c>
      <c r="AM712" s="641">
        <v>1</v>
      </c>
      <c r="AN712" s="30" t="s">
        <v>17650</v>
      </c>
      <c r="AO712" s="30" t="s">
        <v>17651</v>
      </c>
      <c r="AP712" s="30" t="s">
        <v>17652</v>
      </c>
      <c r="AQ712" s="30" t="s">
        <v>17653</v>
      </c>
      <c r="AR712" s="30" t="s">
        <v>1024</v>
      </c>
      <c r="AS712" s="30">
        <v>1</v>
      </c>
    </row>
    <row r="713" spans="1:45" x14ac:dyDescent="0.25">
      <c r="A713" s="30" t="s">
        <v>26089</v>
      </c>
      <c r="B713" s="30" t="s">
        <v>26567</v>
      </c>
      <c r="C713" s="30" t="s">
        <v>26180</v>
      </c>
      <c r="D713" s="139" t="s">
        <v>26375</v>
      </c>
      <c r="E713" s="30" t="s">
        <v>217</v>
      </c>
      <c r="F713" s="30">
        <v>1</v>
      </c>
      <c r="G713" s="30" t="s">
        <v>193</v>
      </c>
      <c r="H713" s="30" t="s">
        <v>194</v>
      </c>
      <c r="I713" s="30" t="s">
        <v>27277</v>
      </c>
      <c r="J713" s="30" t="s">
        <v>210</v>
      </c>
      <c r="K713" s="30" t="s">
        <v>9309</v>
      </c>
      <c r="L713" s="30" t="s">
        <v>6955</v>
      </c>
      <c r="M713" s="30"/>
      <c r="N713" s="30" t="s">
        <v>26568</v>
      </c>
      <c r="O713" s="30" t="s">
        <v>6261</v>
      </c>
      <c r="P713" s="30" t="s">
        <v>27919</v>
      </c>
      <c r="Q713" s="30" t="s">
        <v>26261</v>
      </c>
      <c r="R713" s="30" t="s">
        <v>26262</v>
      </c>
      <c r="S713" s="30" t="s">
        <v>28116</v>
      </c>
      <c r="T713" s="30" t="s">
        <v>28117</v>
      </c>
      <c r="U713" s="30"/>
      <c r="V713" s="139" t="s">
        <v>9334</v>
      </c>
      <c r="W713" s="30" t="s">
        <v>26186</v>
      </c>
      <c r="X713" s="30" t="s">
        <v>194</v>
      </c>
      <c r="Y713" s="30" t="s">
        <v>9300</v>
      </c>
      <c r="Z713" s="30"/>
      <c r="AA713" s="30"/>
      <c r="AB713" s="30" t="s">
        <v>9311</v>
      </c>
      <c r="AC713" s="30"/>
      <c r="AD713" s="30"/>
      <c r="AE713" s="30"/>
      <c r="AF713" s="30"/>
      <c r="AG713" s="30"/>
      <c r="AH713" s="30" t="s">
        <v>4714</v>
      </c>
      <c r="AI713" s="30" t="s">
        <v>9433</v>
      </c>
      <c r="AJ713" s="641" t="str">
        <f t="shared" si="22"/>
        <v>421108</v>
      </c>
      <c r="AK713" s="641">
        <v>1</v>
      </c>
      <c r="AL713" s="641">
        <f t="shared" si="23"/>
        <v>1</v>
      </c>
      <c r="AM713" s="641">
        <v>1</v>
      </c>
      <c r="AN713" s="30" t="s">
        <v>17650</v>
      </c>
      <c r="AO713" s="30" t="s">
        <v>17651</v>
      </c>
      <c r="AP713" s="30" t="s">
        <v>17652</v>
      </c>
      <c r="AQ713" s="30" t="s">
        <v>17653</v>
      </c>
      <c r="AR713" s="30" t="s">
        <v>1024</v>
      </c>
      <c r="AS713" s="30">
        <v>1</v>
      </c>
    </row>
    <row r="714" spans="1:45" x14ac:dyDescent="0.25">
      <c r="A714" s="30" t="s">
        <v>9886</v>
      </c>
      <c r="B714" s="30" t="s">
        <v>26179</v>
      </c>
      <c r="C714" s="30" t="s">
        <v>26180</v>
      </c>
      <c r="D714" s="139" t="s">
        <v>26375</v>
      </c>
      <c r="E714" s="30" t="s">
        <v>217</v>
      </c>
      <c r="F714" s="30">
        <v>1</v>
      </c>
      <c r="G714" s="30" t="s">
        <v>193</v>
      </c>
      <c r="H714" s="30" t="s">
        <v>194</v>
      </c>
      <c r="I714" s="30" t="s">
        <v>27277</v>
      </c>
      <c r="J714" s="30" t="s">
        <v>210</v>
      </c>
      <c r="K714" s="30" t="s">
        <v>9309</v>
      </c>
      <c r="L714" s="30" t="s">
        <v>6955</v>
      </c>
      <c r="M714" s="30"/>
      <c r="N714" s="30" t="s">
        <v>26181</v>
      </c>
      <c r="O714" s="30" t="s">
        <v>6251</v>
      </c>
      <c r="P714" s="30" t="s">
        <v>27919</v>
      </c>
      <c r="Q714" s="30" t="s">
        <v>26182</v>
      </c>
      <c r="R714" s="30" t="s">
        <v>26183</v>
      </c>
      <c r="S714" s="30" t="s">
        <v>28118</v>
      </c>
      <c r="T714" s="30" t="s">
        <v>28119</v>
      </c>
      <c r="U714" s="30"/>
      <c r="V714" s="139" t="s">
        <v>9334</v>
      </c>
      <c r="W714" s="30" t="s">
        <v>26186</v>
      </c>
      <c r="X714" s="30" t="s">
        <v>194</v>
      </c>
      <c r="Y714" s="30" t="s">
        <v>9300</v>
      </c>
      <c r="Z714" s="30"/>
      <c r="AA714" s="30"/>
      <c r="AB714" s="30" t="s">
        <v>9311</v>
      </c>
      <c r="AC714" s="30"/>
      <c r="AD714" s="30"/>
      <c r="AE714" s="30"/>
      <c r="AF714" s="30"/>
      <c r="AG714" s="30"/>
      <c r="AH714" s="30" t="s">
        <v>4714</v>
      </c>
      <c r="AI714" s="30" t="s">
        <v>9433</v>
      </c>
      <c r="AJ714" s="641" t="str">
        <f t="shared" si="22"/>
        <v>421108</v>
      </c>
      <c r="AK714" s="641">
        <v>1</v>
      </c>
      <c r="AL714" s="641">
        <f t="shared" si="23"/>
        <v>1</v>
      </c>
      <c r="AM714" s="641">
        <v>1</v>
      </c>
      <c r="AN714" s="30" t="s">
        <v>17650</v>
      </c>
      <c r="AO714" s="30" t="s">
        <v>17651</v>
      </c>
      <c r="AP714" s="30" t="s">
        <v>17652</v>
      </c>
      <c r="AQ714" s="30" t="s">
        <v>17653</v>
      </c>
      <c r="AR714" s="30" t="s">
        <v>1024</v>
      </c>
      <c r="AS714" s="30">
        <v>1</v>
      </c>
    </row>
    <row r="715" spans="1:45" x14ac:dyDescent="0.25">
      <c r="A715" s="30" t="s">
        <v>716</v>
      </c>
      <c r="B715" s="30" t="s">
        <v>26342</v>
      </c>
      <c r="C715" s="30" t="s">
        <v>27859</v>
      </c>
      <c r="D715" s="139" t="s">
        <v>26375</v>
      </c>
      <c r="E715" s="30" t="s">
        <v>217</v>
      </c>
      <c r="F715" s="30">
        <v>1</v>
      </c>
      <c r="G715" s="30" t="s">
        <v>193</v>
      </c>
      <c r="H715" s="30" t="s">
        <v>194</v>
      </c>
      <c r="I715" s="30" t="s">
        <v>27277</v>
      </c>
      <c r="J715" s="30" t="s">
        <v>210</v>
      </c>
      <c r="K715" s="30" t="s">
        <v>9309</v>
      </c>
      <c r="L715" s="30" t="s">
        <v>6955</v>
      </c>
      <c r="M715" s="30"/>
      <c r="N715" s="30" t="s">
        <v>26356</v>
      </c>
      <c r="O715" s="30" t="s">
        <v>6921</v>
      </c>
      <c r="P715" s="30" t="s">
        <v>27919</v>
      </c>
      <c r="Q715" s="30" t="s">
        <v>26085</v>
      </c>
      <c r="R715" s="30" t="s">
        <v>26057</v>
      </c>
      <c r="S715" s="30" t="s">
        <v>28120</v>
      </c>
      <c r="T715" s="30" t="s">
        <v>28121</v>
      </c>
      <c r="U715" s="30"/>
      <c r="V715" s="139" t="s">
        <v>9334</v>
      </c>
      <c r="W715" s="30" t="s">
        <v>27862</v>
      </c>
      <c r="X715" s="30" t="s">
        <v>194</v>
      </c>
      <c r="Y715" s="30" t="s">
        <v>9300</v>
      </c>
      <c r="Z715" s="30"/>
      <c r="AA715" s="30"/>
      <c r="AB715" s="30" t="s">
        <v>9311</v>
      </c>
      <c r="AC715" s="30"/>
      <c r="AD715" s="30"/>
      <c r="AE715" s="30"/>
      <c r="AF715" s="30"/>
      <c r="AG715" s="30"/>
      <c r="AH715" s="30" t="s">
        <v>4714</v>
      </c>
      <c r="AI715" s="30" t="s">
        <v>9433</v>
      </c>
      <c r="AJ715" s="641" t="str">
        <f t="shared" si="22"/>
        <v>351490</v>
      </c>
      <c r="AK715" s="641">
        <v>1</v>
      </c>
      <c r="AL715" s="641">
        <f t="shared" si="23"/>
        <v>1</v>
      </c>
      <c r="AM715" s="641">
        <v>1</v>
      </c>
      <c r="AN715" s="30" t="s">
        <v>17650</v>
      </c>
      <c r="AO715" s="30" t="s">
        <v>17651</v>
      </c>
      <c r="AP715" s="30" t="s">
        <v>17652</v>
      </c>
      <c r="AQ715" s="30" t="s">
        <v>17653</v>
      </c>
      <c r="AR715" s="30" t="s">
        <v>1024</v>
      </c>
      <c r="AS715" s="30">
        <v>1</v>
      </c>
    </row>
    <row r="716" spans="1:45" x14ac:dyDescent="0.25">
      <c r="A716" s="30" t="s">
        <v>716</v>
      </c>
      <c r="B716" s="30" t="s">
        <v>26132</v>
      </c>
      <c r="C716" s="30" t="s">
        <v>24125</v>
      </c>
      <c r="D716" s="139" t="s">
        <v>26375</v>
      </c>
      <c r="E716" s="30" t="s">
        <v>217</v>
      </c>
      <c r="F716" s="30">
        <v>1</v>
      </c>
      <c r="G716" s="30" t="s">
        <v>193</v>
      </c>
      <c r="H716" s="30" t="s">
        <v>194</v>
      </c>
      <c r="I716" s="30" t="s">
        <v>26133</v>
      </c>
      <c r="J716" s="30" t="s">
        <v>210</v>
      </c>
      <c r="K716" s="30" t="s">
        <v>9309</v>
      </c>
      <c r="L716" s="30" t="s">
        <v>6955</v>
      </c>
      <c r="M716" s="30"/>
      <c r="N716" s="30" t="s">
        <v>26528</v>
      </c>
      <c r="O716" s="30" t="s">
        <v>6290</v>
      </c>
      <c r="P716" s="30" t="s">
        <v>27919</v>
      </c>
      <c r="Q716" s="30" t="s">
        <v>26085</v>
      </c>
      <c r="R716" s="30" t="s">
        <v>26057</v>
      </c>
      <c r="S716" s="30" t="s">
        <v>28122</v>
      </c>
      <c r="T716" s="30" t="s">
        <v>28123</v>
      </c>
      <c r="U716" s="30"/>
      <c r="V716" s="139" t="s">
        <v>9334</v>
      </c>
      <c r="W716" s="30" t="s">
        <v>24129</v>
      </c>
      <c r="X716" s="30" t="s">
        <v>194</v>
      </c>
      <c r="Y716" s="30" t="s">
        <v>9300</v>
      </c>
      <c r="Z716" s="30"/>
      <c r="AA716" s="30"/>
      <c r="AB716" s="30" t="s">
        <v>9311</v>
      </c>
      <c r="AC716" s="30"/>
      <c r="AD716" s="30"/>
      <c r="AE716" s="30"/>
      <c r="AF716" s="30"/>
      <c r="AG716" s="30"/>
      <c r="AH716" s="30" t="s">
        <v>4714</v>
      </c>
      <c r="AI716" s="30" t="s">
        <v>9433</v>
      </c>
      <c r="AJ716" s="641" t="str">
        <f t="shared" si="22"/>
        <v>351401</v>
      </c>
      <c r="AK716" s="641">
        <v>1</v>
      </c>
      <c r="AL716" s="641">
        <f t="shared" si="23"/>
        <v>1</v>
      </c>
      <c r="AM716" s="641">
        <v>1</v>
      </c>
      <c r="AN716" s="30" t="s">
        <v>17650</v>
      </c>
      <c r="AO716" s="30" t="s">
        <v>17651</v>
      </c>
      <c r="AP716" s="30" t="s">
        <v>17652</v>
      </c>
      <c r="AQ716" s="30" t="s">
        <v>17653</v>
      </c>
      <c r="AR716" s="30" t="s">
        <v>1024</v>
      </c>
      <c r="AS716" s="30">
        <v>1</v>
      </c>
    </row>
    <row r="717" spans="1:45" x14ac:dyDescent="0.25">
      <c r="A717" s="30" t="s">
        <v>716</v>
      </c>
      <c r="B717" s="30" t="s">
        <v>26369</v>
      </c>
      <c r="C717" s="30" t="s">
        <v>24125</v>
      </c>
      <c r="D717" s="139" t="s">
        <v>26375</v>
      </c>
      <c r="E717" s="30" t="s">
        <v>217</v>
      </c>
      <c r="F717" s="30">
        <v>1</v>
      </c>
      <c r="G717" s="30" t="s">
        <v>193</v>
      </c>
      <c r="H717" s="30" t="s">
        <v>194</v>
      </c>
      <c r="I717" s="30" t="s">
        <v>26133</v>
      </c>
      <c r="J717" s="30" t="s">
        <v>210</v>
      </c>
      <c r="K717" s="30" t="s">
        <v>9309</v>
      </c>
      <c r="L717" s="30" t="s">
        <v>6955</v>
      </c>
      <c r="M717" s="30"/>
      <c r="N717" s="30" t="s">
        <v>26880</v>
      </c>
      <c r="O717" s="30" t="s">
        <v>6261</v>
      </c>
      <c r="P717" s="30" t="s">
        <v>27919</v>
      </c>
      <c r="Q717" s="30" t="s">
        <v>26881</v>
      </c>
      <c r="R717" s="30" t="s">
        <v>26882</v>
      </c>
      <c r="S717" s="30" t="s">
        <v>28124</v>
      </c>
      <c r="T717" s="30" t="s">
        <v>28125</v>
      </c>
      <c r="U717" s="30"/>
      <c r="V717" s="139" t="s">
        <v>9334</v>
      </c>
      <c r="W717" s="30" t="s">
        <v>24129</v>
      </c>
      <c r="X717" s="30" t="s">
        <v>194</v>
      </c>
      <c r="Y717" s="30" t="s">
        <v>9300</v>
      </c>
      <c r="Z717" s="30"/>
      <c r="AA717" s="30"/>
      <c r="AB717" s="30" t="s">
        <v>9311</v>
      </c>
      <c r="AC717" s="30"/>
      <c r="AD717" s="30"/>
      <c r="AE717" s="30"/>
      <c r="AF717" s="30"/>
      <c r="AG717" s="30"/>
      <c r="AH717" s="30" t="s">
        <v>4714</v>
      </c>
      <c r="AI717" s="30" t="s">
        <v>9433</v>
      </c>
      <c r="AJ717" s="641" t="str">
        <f t="shared" si="22"/>
        <v>351401</v>
      </c>
      <c r="AK717" s="641">
        <v>1</v>
      </c>
      <c r="AL717" s="641">
        <f t="shared" si="23"/>
        <v>1</v>
      </c>
      <c r="AM717" s="641">
        <v>1</v>
      </c>
      <c r="AN717" s="30" t="s">
        <v>17650</v>
      </c>
      <c r="AO717" s="30" t="s">
        <v>17651</v>
      </c>
      <c r="AP717" s="30" t="s">
        <v>17652</v>
      </c>
      <c r="AQ717" s="30" t="s">
        <v>17653</v>
      </c>
      <c r="AR717" s="30" t="s">
        <v>1024</v>
      </c>
      <c r="AS717" s="30">
        <v>1</v>
      </c>
    </row>
    <row r="718" spans="1:45" x14ac:dyDescent="0.25">
      <c r="A718" s="30" t="s">
        <v>716</v>
      </c>
      <c r="B718" s="30" t="s">
        <v>26282</v>
      </c>
      <c r="C718" s="30" t="s">
        <v>27859</v>
      </c>
      <c r="D718" s="139" t="s">
        <v>26375</v>
      </c>
      <c r="E718" s="30" t="s">
        <v>217</v>
      </c>
      <c r="F718" s="30">
        <v>1</v>
      </c>
      <c r="G718" s="30" t="s">
        <v>193</v>
      </c>
      <c r="H718" s="30" t="s">
        <v>194</v>
      </c>
      <c r="I718" s="30" t="s">
        <v>27277</v>
      </c>
      <c r="J718" s="30" t="s">
        <v>210</v>
      </c>
      <c r="K718" s="30" t="s">
        <v>9309</v>
      </c>
      <c r="L718" s="30" t="s">
        <v>6955</v>
      </c>
      <c r="M718" s="30"/>
      <c r="N718" s="30" t="s">
        <v>26974</v>
      </c>
      <c r="O718" s="30" t="s">
        <v>6290</v>
      </c>
      <c r="P718" s="30" t="s">
        <v>27919</v>
      </c>
      <c r="Q718" s="30" t="s">
        <v>26942</v>
      </c>
      <c r="R718" s="30" t="s">
        <v>23708</v>
      </c>
      <c r="S718" s="30" t="s">
        <v>28126</v>
      </c>
      <c r="T718" s="30" t="s">
        <v>28127</v>
      </c>
      <c r="U718" s="30"/>
      <c r="V718" s="139" t="s">
        <v>9334</v>
      </c>
      <c r="W718" s="30" t="s">
        <v>27862</v>
      </c>
      <c r="X718" s="30" t="s">
        <v>194</v>
      </c>
      <c r="Y718" s="30" t="s">
        <v>9300</v>
      </c>
      <c r="Z718" s="30"/>
      <c r="AA718" s="30"/>
      <c r="AB718" s="30" t="s">
        <v>9311</v>
      </c>
      <c r="AC718" s="30"/>
      <c r="AD718" s="30"/>
      <c r="AE718" s="30"/>
      <c r="AF718" s="30"/>
      <c r="AG718" s="30"/>
      <c r="AH718" s="30" t="s">
        <v>4714</v>
      </c>
      <c r="AI718" s="30" t="s">
        <v>9433</v>
      </c>
      <c r="AJ718" s="641" t="str">
        <f t="shared" si="22"/>
        <v>351490</v>
      </c>
      <c r="AK718" s="641">
        <v>1</v>
      </c>
      <c r="AL718" s="641">
        <f t="shared" si="23"/>
        <v>1</v>
      </c>
      <c r="AM718" s="641">
        <v>1</v>
      </c>
      <c r="AN718" s="30" t="s">
        <v>17650</v>
      </c>
      <c r="AO718" s="30" t="s">
        <v>17651</v>
      </c>
      <c r="AP718" s="30" t="s">
        <v>17652</v>
      </c>
      <c r="AQ718" s="30" t="s">
        <v>17653</v>
      </c>
      <c r="AR718" s="30" t="s">
        <v>1024</v>
      </c>
      <c r="AS718" s="30">
        <v>1</v>
      </c>
    </row>
    <row r="719" spans="1:45" x14ac:dyDescent="0.25">
      <c r="A719" s="30" t="s">
        <v>716</v>
      </c>
      <c r="B719" s="30" t="s">
        <v>26635</v>
      </c>
      <c r="C719" s="30" t="s">
        <v>706</v>
      </c>
      <c r="D719" s="139" t="s">
        <v>26375</v>
      </c>
      <c r="E719" s="30" t="s">
        <v>217</v>
      </c>
      <c r="F719" s="30">
        <v>1</v>
      </c>
      <c r="G719" s="30" t="s">
        <v>193</v>
      </c>
      <c r="H719" s="30" t="s">
        <v>194</v>
      </c>
      <c r="I719" s="30" t="s">
        <v>27277</v>
      </c>
      <c r="J719" s="30" t="s">
        <v>210</v>
      </c>
      <c r="K719" s="30" t="s">
        <v>9309</v>
      </c>
      <c r="L719" s="30" t="s">
        <v>6955</v>
      </c>
      <c r="M719" s="30"/>
      <c r="N719" s="30" t="s">
        <v>27511</v>
      </c>
      <c r="O719" s="30" t="s">
        <v>6251</v>
      </c>
      <c r="P719" s="30" t="s">
        <v>27919</v>
      </c>
      <c r="Q719" s="30" t="s">
        <v>25893</v>
      </c>
      <c r="R719" s="30" t="s">
        <v>27300</v>
      </c>
      <c r="S719" s="30" t="s">
        <v>28128</v>
      </c>
      <c r="T719" s="30" t="s">
        <v>28129</v>
      </c>
      <c r="U719" s="30"/>
      <c r="V719" s="139" t="s">
        <v>9334</v>
      </c>
      <c r="W719" s="30" t="s">
        <v>707</v>
      </c>
      <c r="X719" s="30" t="s">
        <v>194</v>
      </c>
      <c r="Y719" s="30" t="s">
        <v>9300</v>
      </c>
      <c r="Z719" s="30"/>
      <c r="AA719" s="30"/>
      <c r="AB719" s="30" t="s">
        <v>9311</v>
      </c>
      <c r="AC719" s="30"/>
      <c r="AD719" s="30"/>
      <c r="AE719" s="30"/>
      <c r="AF719" s="30"/>
      <c r="AG719" s="30"/>
      <c r="AH719" s="30" t="s">
        <v>4714</v>
      </c>
      <c r="AI719" s="30" t="s">
        <v>9433</v>
      </c>
      <c r="AJ719" s="641" t="str">
        <f t="shared" si="22"/>
        <v>422201</v>
      </c>
      <c r="AK719" s="641">
        <v>1</v>
      </c>
      <c r="AL719" s="641">
        <f t="shared" si="23"/>
        <v>1</v>
      </c>
      <c r="AM719" s="641">
        <v>1</v>
      </c>
      <c r="AN719" s="30" t="s">
        <v>17650</v>
      </c>
      <c r="AO719" s="30" t="s">
        <v>17651</v>
      </c>
      <c r="AP719" s="30" t="s">
        <v>17652</v>
      </c>
      <c r="AQ719" s="30" t="s">
        <v>17653</v>
      </c>
      <c r="AR719" s="30" t="s">
        <v>1024</v>
      </c>
      <c r="AS719" s="30">
        <v>1</v>
      </c>
    </row>
    <row r="720" spans="1:45" x14ac:dyDescent="0.25">
      <c r="A720" s="30" t="s">
        <v>28130</v>
      </c>
      <c r="B720" s="30" t="s">
        <v>28131</v>
      </c>
      <c r="C720" s="30" t="s">
        <v>3438</v>
      </c>
      <c r="D720" s="139" t="s">
        <v>26375</v>
      </c>
      <c r="E720" s="30" t="s">
        <v>217</v>
      </c>
      <c r="F720" s="30">
        <v>1</v>
      </c>
      <c r="G720" s="30" t="s">
        <v>193</v>
      </c>
      <c r="H720" s="30" t="s">
        <v>194</v>
      </c>
      <c r="I720" s="30" t="s">
        <v>27277</v>
      </c>
      <c r="J720" s="30" t="s">
        <v>755</v>
      </c>
      <c r="K720" s="30" t="s">
        <v>9309</v>
      </c>
      <c r="L720" s="30" t="s">
        <v>6955</v>
      </c>
      <c r="M720" s="30"/>
      <c r="N720" s="30" t="s">
        <v>28132</v>
      </c>
      <c r="O720" s="30" t="s">
        <v>6286</v>
      </c>
      <c r="P720" s="30" t="s">
        <v>27919</v>
      </c>
      <c r="Q720" s="30" t="s">
        <v>26252</v>
      </c>
      <c r="R720" s="30" t="s">
        <v>27838</v>
      </c>
      <c r="S720" s="30" t="s">
        <v>28133</v>
      </c>
      <c r="T720" s="30" t="s">
        <v>28134</v>
      </c>
      <c r="U720" s="30"/>
      <c r="V720" s="139" t="s">
        <v>9726</v>
      </c>
      <c r="W720" s="30" t="s">
        <v>3439</v>
      </c>
      <c r="X720" s="30" t="s">
        <v>194</v>
      </c>
      <c r="Y720" s="30" t="s">
        <v>9300</v>
      </c>
      <c r="Z720" s="30"/>
      <c r="AA720" s="30"/>
      <c r="AB720" s="30" t="s">
        <v>9311</v>
      </c>
      <c r="AC720" s="30"/>
      <c r="AD720" s="30"/>
      <c r="AE720" s="30"/>
      <c r="AF720" s="30"/>
      <c r="AG720" s="30"/>
      <c r="AH720" s="30" t="s">
        <v>4714</v>
      </c>
      <c r="AI720" s="30" t="s">
        <v>9433</v>
      </c>
      <c r="AJ720" s="641" t="str">
        <f t="shared" si="22"/>
        <v>334306</v>
      </c>
      <c r="AK720" s="641">
        <v>1</v>
      </c>
      <c r="AL720" s="641">
        <f t="shared" si="23"/>
        <v>1</v>
      </c>
      <c r="AM720" s="641">
        <v>1</v>
      </c>
      <c r="AN720" s="30" t="s">
        <v>17650</v>
      </c>
      <c r="AO720" s="30" t="s">
        <v>17651</v>
      </c>
      <c r="AP720" s="30" t="s">
        <v>17652</v>
      </c>
      <c r="AQ720" s="30" t="s">
        <v>17653</v>
      </c>
      <c r="AR720" s="30" t="s">
        <v>1024</v>
      </c>
      <c r="AS720" s="30">
        <v>1</v>
      </c>
    </row>
    <row r="721" spans="1:45" x14ac:dyDescent="0.25">
      <c r="A721" s="30" t="s">
        <v>25389</v>
      </c>
      <c r="B721" s="30" t="s">
        <v>28135</v>
      </c>
      <c r="C721" s="30" t="s">
        <v>554</v>
      </c>
      <c r="D721" s="139" t="s">
        <v>26375</v>
      </c>
      <c r="E721" s="30" t="s">
        <v>217</v>
      </c>
      <c r="F721" s="30">
        <v>1</v>
      </c>
      <c r="G721" s="30" t="s">
        <v>193</v>
      </c>
      <c r="H721" s="30" t="s">
        <v>194</v>
      </c>
      <c r="I721" s="30" t="s">
        <v>27277</v>
      </c>
      <c r="J721" s="30" t="s">
        <v>253</v>
      </c>
      <c r="K721" s="30" t="s">
        <v>9309</v>
      </c>
      <c r="L721" s="30" t="s">
        <v>6955</v>
      </c>
      <c r="M721" s="30"/>
      <c r="N721" s="30" t="s">
        <v>28136</v>
      </c>
      <c r="O721" s="30" t="s">
        <v>6363</v>
      </c>
      <c r="P721" s="30" t="s">
        <v>27919</v>
      </c>
      <c r="Q721" s="30" t="s">
        <v>26190</v>
      </c>
      <c r="R721" s="30" t="s">
        <v>27792</v>
      </c>
      <c r="S721" s="30" t="s">
        <v>28137</v>
      </c>
      <c r="T721" s="30" t="s">
        <v>28138</v>
      </c>
      <c r="U721" s="30"/>
      <c r="V721" s="139" t="s">
        <v>9468</v>
      </c>
      <c r="W721" s="30" t="s">
        <v>555</v>
      </c>
      <c r="X721" s="30" t="s">
        <v>194</v>
      </c>
      <c r="Y721" s="30" t="s">
        <v>9300</v>
      </c>
      <c r="Z721" s="30"/>
      <c r="AA721" s="30"/>
      <c r="AB721" s="30" t="s">
        <v>9311</v>
      </c>
      <c r="AC721" s="30"/>
      <c r="AD721" s="30"/>
      <c r="AE721" s="30"/>
      <c r="AF721" s="30"/>
      <c r="AG721" s="30"/>
      <c r="AH721" s="30" t="s">
        <v>4714</v>
      </c>
      <c r="AI721" s="30" t="s">
        <v>9433</v>
      </c>
      <c r="AJ721" s="641" t="str">
        <f t="shared" si="22"/>
        <v>311303</v>
      </c>
      <c r="AK721" s="641">
        <v>1</v>
      </c>
      <c r="AL721" s="641">
        <f t="shared" si="23"/>
        <v>1</v>
      </c>
      <c r="AM721" s="641">
        <v>1</v>
      </c>
      <c r="AN721" s="30" t="s">
        <v>17650</v>
      </c>
      <c r="AO721" s="30" t="s">
        <v>17651</v>
      </c>
      <c r="AP721" s="30" t="s">
        <v>17652</v>
      </c>
      <c r="AQ721" s="30" t="s">
        <v>17653</v>
      </c>
      <c r="AR721" s="30" t="s">
        <v>1024</v>
      </c>
      <c r="AS721" s="30">
        <v>1</v>
      </c>
    </row>
    <row r="722" spans="1:45" x14ac:dyDescent="0.25">
      <c r="A722" s="30" t="s">
        <v>26193</v>
      </c>
      <c r="B722" s="30" t="s">
        <v>26194</v>
      </c>
      <c r="C722" s="30" t="s">
        <v>227</v>
      </c>
      <c r="D722" s="139" t="s">
        <v>26375</v>
      </c>
      <c r="E722" s="30" t="s">
        <v>217</v>
      </c>
      <c r="F722" s="30">
        <v>1</v>
      </c>
      <c r="G722" s="30" t="s">
        <v>193</v>
      </c>
      <c r="H722" s="30" t="s">
        <v>194</v>
      </c>
      <c r="I722" s="30" t="s">
        <v>27277</v>
      </c>
      <c r="J722" s="30" t="s">
        <v>316</v>
      </c>
      <c r="K722" s="30" t="s">
        <v>9309</v>
      </c>
      <c r="L722" s="30" t="s">
        <v>6955</v>
      </c>
      <c r="M722" s="30"/>
      <c r="N722" s="30" t="s">
        <v>27483</v>
      </c>
      <c r="O722" s="30" t="s">
        <v>6277</v>
      </c>
      <c r="P722" s="30" t="s">
        <v>27919</v>
      </c>
      <c r="Q722" s="30" t="s">
        <v>26109</v>
      </c>
      <c r="R722" s="30" t="s">
        <v>27328</v>
      </c>
      <c r="S722" s="30" t="s">
        <v>28139</v>
      </c>
      <c r="T722" s="30" t="s">
        <v>28140</v>
      </c>
      <c r="U722" s="30"/>
      <c r="V722" s="139" t="s">
        <v>10012</v>
      </c>
      <c r="W722" s="30" t="s">
        <v>229</v>
      </c>
      <c r="X722" s="30" t="s">
        <v>194</v>
      </c>
      <c r="Y722" s="30" t="s">
        <v>9300</v>
      </c>
      <c r="Z722" s="30"/>
      <c r="AA722" s="30"/>
      <c r="AB722" s="30" t="s">
        <v>9311</v>
      </c>
      <c r="AC722" s="30"/>
      <c r="AD722" s="30"/>
      <c r="AE722" s="30"/>
      <c r="AF722" s="30"/>
      <c r="AG722" s="30"/>
      <c r="AH722" s="30" t="s">
        <v>4714</v>
      </c>
      <c r="AI722" s="30" t="s">
        <v>9433</v>
      </c>
      <c r="AJ722" s="641" t="str">
        <f t="shared" si="22"/>
        <v>132401</v>
      </c>
      <c r="AK722" s="641">
        <v>1</v>
      </c>
      <c r="AL722" s="641">
        <f t="shared" si="23"/>
        <v>1</v>
      </c>
      <c r="AM722" s="641">
        <v>1</v>
      </c>
      <c r="AN722" s="30" t="s">
        <v>17650</v>
      </c>
      <c r="AO722" s="30" t="s">
        <v>17651</v>
      </c>
      <c r="AP722" s="30" t="s">
        <v>17652</v>
      </c>
      <c r="AQ722" s="30" t="s">
        <v>17653</v>
      </c>
      <c r="AR722" s="30" t="s">
        <v>1024</v>
      </c>
      <c r="AS722" s="30">
        <v>1</v>
      </c>
    </row>
    <row r="723" spans="1:45" x14ac:dyDescent="0.25">
      <c r="A723" s="30" t="s">
        <v>26334</v>
      </c>
      <c r="B723" s="30" t="s">
        <v>26335</v>
      </c>
      <c r="C723" s="30" t="s">
        <v>2861</v>
      </c>
      <c r="D723" s="139" t="s">
        <v>26375</v>
      </c>
      <c r="E723" s="30" t="s">
        <v>217</v>
      </c>
      <c r="F723" s="30">
        <v>1</v>
      </c>
      <c r="G723" s="30" t="s">
        <v>193</v>
      </c>
      <c r="H723" s="30" t="s">
        <v>194</v>
      </c>
      <c r="I723" s="30" t="s">
        <v>27277</v>
      </c>
      <c r="J723" s="30" t="s">
        <v>210</v>
      </c>
      <c r="K723" s="30" t="s">
        <v>9309</v>
      </c>
      <c r="L723" s="30" t="s">
        <v>6955</v>
      </c>
      <c r="M723" s="30"/>
      <c r="N723" s="30" t="s">
        <v>26336</v>
      </c>
      <c r="O723" s="30" t="s">
        <v>6261</v>
      </c>
      <c r="P723" s="30" t="s">
        <v>27919</v>
      </c>
      <c r="Q723" s="30" t="s">
        <v>26182</v>
      </c>
      <c r="R723" s="30" t="s">
        <v>26183</v>
      </c>
      <c r="S723" s="30" t="s">
        <v>28141</v>
      </c>
      <c r="T723" s="30" t="s">
        <v>28142</v>
      </c>
      <c r="U723" s="30"/>
      <c r="V723" s="139" t="s">
        <v>9334</v>
      </c>
      <c r="W723" s="30" t="s">
        <v>3629</v>
      </c>
      <c r="X723" s="30" t="s">
        <v>194</v>
      </c>
      <c r="Y723" s="30" t="s">
        <v>9300</v>
      </c>
      <c r="Z723" s="30"/>
      <c r="AA723" s="30"/>
      <c r="AB723" s="30" t="s">
        <v>9311</v>
      </c>
      <c r="AC723" s="30"/>
      <c r="AD723" s="30"/>
      <c r="AE723" s="30"/>
      <c r="AF723" s="30"/>
      <c r="AG723" s="30"/>
      <c r="AH723" s="30" t="s">
        <v>4714</v>
      </c>
      <c r="AI723" s="30" t="s">
        <v>9433</v>
      </c>
      <c r="AJ723" s="641" t="str">
        <f t="shared" si="22"/>
        <v>251903</v>
      </c>
      <c r="AK723" s="641">
        <v>1</v>
      </c>
      <c r="AL723" s="641">
        <f t="shared" si="23"/>
        <v>1</v>
      </c>
      <c r="AM723" s="641">
        <v>1</v>
      </c>
      <c r="AN723" s="30" t="s">
        <v>17650</v>
      </c>
      <c r="AO723" s="30" t="s">
        <v>17651</v>
      </c>
      <c r="AP723" s="30" t="s">
        <v>17652</v>
      </c>
      <c r="AQ723" s="30" t="s">
        <v>17653</v>
      </c>
      <c r="AR723" s="30" t="s">
        <v>1024</v>
      </c>
      <c r="AS723" s="30">
        <v>1</v>
      </c>
    </row>
    <row r="724" spans="1:45" x14ac:dyDescent="0.25">
      <c r="A724" s="30" t="s">
        <v>23858</v>
      </c>
      <c r="B724" s="30" t="s">
        <v>28143</v>
      </c>
      <c r="C724" s="30" t="s">
        <v>110</v>
      </c>
      <c r="D724" s="139" t="s">
        <v>26375</v>
      </c>
      <c r="E724" s="30" t="s">
        <v>217</v>
      </c>
      <c r="F724" s="30">
        <v>1</v>
      </c>
      <c r="G724" s="30" t="s">
        <v>193</v>
      </c>
      <c r="H724" s="30" t="s">
        <v>194</v>
      </c>
      <c r="I724" s="30" t="s">
        <v>27277</v>
      </c>
      <c r="J724" s="30" t="s">
        <v>253</v>
      </c>
      <c r="K724" s="30" t="s">
        <v>9309</v>
      </c>
      <c r="L724" s="30" t="s">
        <v>6955</v>
      </c>
      <c r="M724" s="30"/>
      <c r="N724" s="30" t="s">
        <v>28144</v>
      </c>
      <c r="O724" s="30" t="s">
        <v>6275</v>
      </c>
      <c r="P724" s="30" t="s">
        <v>27919</v>
      </c>
      <c r="Q724" s="30" t="s">
        <v>26190</v>
      </c>
      <c r="R724" s="30" t="s">
        <v>27792</v>
      </c>
      <c r="S724" s="30" t="s">
        <v>28145</v>
      </c>
      <c r="T724" s="30" t="s">
        <v>28146</v>
      </c>
      <c r="U724" s="30"/>
      <c r="V724" s="139" t="s">
        <v>9468</v>
      </c>
      <c r="W724" s="30" t="s">
        <v>621</v>
      </c>
      <c r="X724" s="30" t="s">
        <v>194</v>
      </c>
      <c r="Y724" s="30" t="s">
        <v>9300</v>
      </c>
      <c r="Z724" s="30"/>
      <c r="AA724" s="30"/>
      <c r="AB724" s="30" t="s">
        <v>9311</v>
      </c>
      <c r="AC724" s="30"/>
      <c r="AD724" s="30"/>
      <c r="AE724" s="30"/>
      <c r="AF724" s="30"/>
      <c r="AG724" s="30"/>
      <c r="AH724" s="30" t="s">
        <v>4714</v>
      </c>
      <c r="AI724" s="30" t="s">
        <v>9433</v>
      </c>
      <c r="AJ724" s="641" t="str">
        <f t="shared" si="22"/>
        <v>332201</v>
      </c>
      <c r="AK724" s="641">
        <v>1</v>
      </c>
      <c r="AL724" s="641">
        <f t="shared" si="23"/>
        <v>1</v>
      </c>
      <c r="AM724" s="641">
        <v>1</v>
      </c>
      <c r="AN724" s="30" t="s">
        <v>17650</v>
      </c>
      <c r="AO724" s="30" t="s">
        <v>17651</v>
      </c>
      <c r="AP724" s="30" t="s">
        <v>17652</v>
      </c>
      <c r="AQ724" s="30" t="s">
        <v>17653</v>
      </c>
      <c r="AR724" s="30" t="s">
        <v>1024</v>
      </c>
      <c r="AS724" s="30">
        <v>1</v>
      </c>
    </row>
    <row r="725" spans="1:45" x14ac:dyDescent="0.25">
      <c r="A725" s="30" t="s">
        <v>28147</v>
      </c>
      <c r="B725" s="30" t="s">
        <v>27675</v>
      </c>
      <c r="C725" s="30" t="s">
        <v>111</v>
      </c>
      <c r="D725" s="139" t="s">
        <v>26375</v>
      </c>
      <c r="E725" s="30" t="s">
        <v>217</v>
      </c>
      <c r="F725" s="30">
        <v>1</v>
      </c>
      <c r="G725" s="30" t="s">
        <v>193</v>
      </c>
      <c r="H725" s="30" t="s">
        <v>194</v>
      </c>
      <c r="I725" s="30" t="s">
        <v>27277</v>
      </c>
      <c r="J725" s="30" t="s">
        <v>253</v>
      </c>
      <c r="K725" s="30" t="s">
        <v>9309</v>
      </c>
      <c r="L725" s="30" t="s">
        <v>6955</v>
      </c>
      <c r="M725" s="30"/>
      <c r="N725" s="30" t="s">
        <v>27676</v>
      </c>
      <c r="O725" s="30" t="s">
        <v>8339</v>
      </c>
      <c r="P725" s="30" t="s">
        <v>27919</v>
      </c>
      <c r="Q725" s="30" t="s">
        <v>26139</v>
      </c>
      <c r="R725" s="30" t="s">
        <v>27256</v>
      </c>
      <c r="S725" s="30" t="s">
        <v>28148</v>
      </c>
      <c r="T725" s="30" t="s">
        <v>28149</v>
      </c>
      <c r="U725" s="30"/>
      <c r="V725" s="139" t="s">
        <v>9468</v>
      </c>
      <c r="W725" s="30" t="s">
        <v>612</v>
      </c>
      <c r="X725" s="30" t="s">
        <v>194</v>
      </c>
      <c r="Y725" s="30" t="s">
        <v>9300</v>
      </c>
      <c r="Z725" s="30"/>
      <c r="AA725" s="30"/>
      <c r="AB725" s="30" t="s">
        <v>9311</v>
      </c>
      <c r="AC725" s="30"/>
      <c r="AD725" s="30"/>
      <c r="AE725" s="30"/>
      <c r="AF725" s="30"/>
      <c r="AG725" s="30"/>
      <c r="AH725" s="30" t="s">
        <v>4714</v>
      </c>
      <c r="AI725" s="30" t="s">
        <v>9433</v>
      </c>
      <c r="AJ725" s="641" t="str">
        <f t="shared" si="22"/>
        <v>332101</v>
      </c>
      <c r="AK725" s="641">
        <v>1</v>
      </c>
      <c r="AL725" s="641">
        <f t="shared" si="23"/>
        <v>1</v>
      </c>
      <c r="AM725" s="641">
        <v>1</v>
      </c>
      <c r="AN725" s="30" t="s">
        <v>17650</v>
      </c>
      <c r="AO725" s="30" t="s">
        <v>17651</v>
      </c>
      <c r="AP725" s="30" t="s">
        <v>17652</v>
      </c>
      <c r="AQ725" s="30" t="s">
        <v>17653</v>
      </c>
      <c r="AR725" s="30" t="s">
        <v>1024</v>
      </c>
      <c r="AS725" s="30">
        <v>1</v>
      </c>
    </row>
    <row r="726" spans="1:45" x14ac:dyDescent="0.25">
      <c r="A726" s="30" t="s">
        <v>9886</v>
      </c>
      <c r="B726" s="30" t="s">
        <v>27605</v>
      </c>
      <c r="C726" s="30" t="s">
        <v>26180</v>
      </c>
      <c r="D726" s="139" t="s">
        <v>26375</v>
      </c>
      <c r="E726" s="30" t="s">
        <v>217</v>
      </c>
      <c r="F726" s="30">
        <v>1</v>
      </c>
      <c r="G726" s="30" t="s">
        <v>193</v>
      </c>
      <c r="H726" s="30" t="s">
        <v>194</v>
      </c>
      <c r="I726" s="30" t="s">
        <v>27277</v>
      </c>
      <c r="J726" s="30" t="s">
        <v>210</v>
      </c>
      <c r="K726" s="30" t="s">
        <v>9309</v>
      </c>
      <c r="L726" s="30" t="s">
        <v>6955</v>
      </c>
      <c r="M726" s="30"/>
      <c r="N726" s="30" t="s">
        <v>27606</v>
      </c>
      <c r="O726" s="30" t="s">
        <v>6251</v>
      </c>
      <c r="P726" s="30" t="s">
        <v>27919</v>
      </c>
      <c r="Q726" s="30" t="s">
        <v>24551</v>
      </c>
      <c r="R726" s="30" t="s">
        <v>27361</v>
      </c>
      <c r="S726" s="30" t="s">
        <v>28150</v>
      </c>
      <c r="T726" s="30" t="s">
        <v>28151</v>
      </c>
      <c r="U726" s="30"/>
      <c r="V726" s="139" t="s">
        <v>9334</v>
      </c>
      <c r="W726" s="30" t="s">
        <v>26186</v>
      </c>
      <c r="X726" s="30" t="s">
        <v>194</v>
      </c>
      <c r="Y726" s="30" t="s">
        <v>9300</v>
      </c>
      <c r="Z726" s="30"/>
      <c r="AA726" s="30"/>
      <c r="AB726" s="30" t="s">
        <v>9311</v>
      </c>
      <c r="AC726" s="30"/>
      <c r="AD726" s="30"/>
      <c r="AE726" s="30"/>
      <c r="AF726" s="30"/>
      <c r="AG726" s="30"/>
      <c r="AH726" s="30" t="s">
        <v>4714</v>
      </c>
      <c r="AI726" s="30" t="s">
        <v>9433</v>
      </c>
      <c r="AJ726" s="641" t="str">
        <f t="shared" si="22"/>
        <v>421108</v>
      </c>
      <c r="AK726" s="641">
        <v>1</v>
      </c>
      <c r="AL726" s="641">
        <f t="shared" si="23"/>
        <v>1</v>
      </c>
      <c r="AM726" s="641">
        <v>1</v>
      </c>
      <c r="AN726" s="30" t="s">
        <v>17650</v>
      </c>
      <c r="AO726" s="30" t="s">
        <v>17651</v>
      </c>
      <c r="AP726" s="30" t="s">
        <v>17652</v>
      </c>
      <c r="AQ726" s="30" t="s">
        <v>17653</v>
      </c>
      <c r="AR726" s="30" t="s">
        <v>1024</v>
      </c>
      <c r="AS726" s="30">
        <v>1</v>
      </c>
    </row>
    <row r="727" spans="1:45" x14ac:dyDescent="0.25">
      <c r="A727" s="30" t="s">
        <v>4022</v>
      </c>
      <c r="B727" s="30" t="s">
        <v>8022</v>
      </c>
      <c r="C727" s="30" t="s">
        <v>7617</v>
      </c>
      <c r="D727" s="139" t="s">
        <v>26375</v>
      </c>
      <c r="E727" s="30" t="s">
        <v>217</v>
      </c>
      <c r="F727" s="30">
        <v>1</v>
      </c>
      <c r="G727" s="30" t="s">
        <v>193</v>
      </c>
      <c r="H727" s="30" t="s">
        <v>194</v>
      </c>
      <c r="I727" s="30" t="s">
        <v>27277</v>
      </c>
      <c r="J727" s="30" t="s">
        <v>210</v>
      </c>
      <c r="K727" s="30" t="s">
        <v>9309</v>
      </c>
      <c r="L727" s="30" t="s">
        <v>6955</v>
      </c>
      <c r="M727" s="30"/>
      <c r="N727" s="30" t="s">
        <v>20793</v>
      </c>
      <c r="O727" s="30" t="s">
        <v>6290</v>
      </c>
      <c r="P727" s="30" t="s">
        <v>27805</v>
      </c>
      <c r="Q727" s="30" t="s">
        <v>26027</v>
      </c>
      <c r="R727" s="30" t="s">
        <v>27806</v>
      </c>
      <c r="S727" s="30" t="s">
        <v>28152</v>
      </c>
      <c r="T727" s="30" t="s">
        <v>28153</v>
      </c>
      <c r="U727" s="30"/>
      <c r="V727" s="139" t="s">
        <v>9334</v>
      </c>
      <c r="W727" s="30" t="s">
        <v>7620</v>
      </c>
      <c r="X727" s="30" t="s">
        <v>194</v>
      </c>
      <c r="Y727" s="30" t="s">
        <v>9300</v>
      </c>
      <c r="Z727" s="30"/>
      <c r="AA727" s="30"/>
      <c r="AB727" s="30" t="s">
        <v>9311</v>
      </c>
      <c r="AC727" s="30"/>
      <c r="AD727" s="30"/>
      <c r="AE727" s="30"/>
      <c r="AF727" s="30"/>
      <c r="AG727" s="30"/>
      <c r="AH727" s="30" t="s">
        <v>4714</v>
      </c>
      <c r="AI727" s="30" t="s">
        <v>9433</v>
      </c>
      <c r="AJ727" s="641" t="str">
        <f t="shared" si="22"/>
        <v>516903</v>
      </c>
      <c r="AK727" s="641">
        <v>1</v>
      </c>
      <c r="AL727" s="641">
        <f t="shared" si="23"/>
        <v>1</v>
      </c>
      <c r="AM727" s="641">
        <v>1</v>
      </c>
      <c r="AN727" s="30" t="s">
        <v>17650</v>
      </c>
      <c r="AO727" s="30" t="s">
        <v>17651</v>
      </c>
      <c r="AP727" s="30" t="s">
        <v>17652</v>
      </c>
      <c r="AQ727" s="30" t="s">
        <v>17653</v>
      </c>
      <c r="AR727" s="30" t="s">
        <v>1024</v>
      </c>
      <c r="AS727" s="30">
        <v>1</v>
      </c>
    </row>
    <row r="728" spans="1:45" x14ac:dyDescent="0.25">
      <c r="A728" s="30" t="s">
        <v>716</v>
      </c>
      <c r="B728" s="30" t="s">
        <v>26631</v>
      </c>
      <c r="C728" s="30" t="s">
        <v>24125</v>
      </c>
      <c r="D728" s="139" t="s">
        <v>26375</v>
      </c>
      <c r="E728" s="30" t="s">
        <v>217</v>
      </c>
      <c r="F728" s="30">
        <v>1</v>
      </c>
      <c r="G728" s="30" t="s">
        <v>193</v>
      </c>
      <c r="H728" s="30" t="s">
        <v>194</v>
      </c>
      <c r="I728" s="30" t="s">
        <v>26133</v>
      </c>
      <c r="J728" s="30" t="s">
        <v>210</v>
      </c>
      <c r="K728" s="30" t="s">
        <v>9309</v>
      </c>
      <c r="L728" s="30" t="s">
        <v>6955</v>
      </c>
      <c r="M728" s="30"/>
      <c r="N728" s="30" t="s">
        <v>28154</v>
      </c>
      <c r="O728" s="30" t="s">
        <v>6921</v>
      </c>
      <c r="P728" s="30" t="s">
        <v>27919</v>
      </c>
      <c r="Q728" s="30" t="s">
        <v>26252</v>
      </c>
      <c r="R728" s="30" t="s">
        <v>27838</v>
      </c>
      <c r="S728" s="30" t="s">
        <v>28155</v>
      </c>
      <c r="T728" s="30" t="s">
        <v>28156</v>
      </c>
      <c r="U728" s="30"/>
      <c r="V728" s="139" t="s">
        <v>9334</v>
      </c>
      <c r="W728" s="30" t="s">
        <v>24129</v>
      </c>
      <c r="X728" s="30" t="s">
        <v>194</v>
      </c>
      <c r="Y728" s="30" t="s">
        <v>9300</v>
      </c>
      <c r="Z728" s="30"/>
      <c r="AA728" s="30"/>
      <c r="AB728" s="30" t="s">
        <v>9311</v>
      </c>
      <c r="AC728" s="30"/>
      <c r="AD728" s="30"/>
      <c r="AE728" s="30"/>
      <c r="AF728" s="30"/>
      <c r="AG728" s="30"/>
      <c r="AH728" s="30" t="s">
        <v>4714</v>
      </c>
      <c r="AI728" s="30" t="s">
        <v>9433</v>
      </c>
      <c r="AJ728" s="641" t="str">
        <f t="shared" si="22"/>
        <v>351401</v>
      </c>
      <c r="AK728" s="641">
        <v>1</v>
      </c>
      <c r="AL728" s="641">
        <f t="shared" si="23"/>
        <v>1</v>
      </c>
      <c r="AM728" s="641">
        <v>1</v>
      </c>
      <c r="AN728" s="30" t="s">
        <v>17650</v>
      </c>
      <c r="AO728" s="30" t="s">
        <v>17651</v>
      </c>
      <c r="AP728" s="30" t="s">
        <v>17652</v>
      </c>
      <c r="AQ728" s="30" t="s">
        <v>17653</v>
      </c>
      <c r="AR728" s="30" t="s">
        <v>1024</v>
      </c>
      <c r="AS728" s="30">
        <v>1</v>
      </c>
    </row>
    <row r="729" spans="1:45" x14ac:dyDescent="0.25">
      <c r="A729" s="30" t="s">
        <v>716</v>
      </c>
      <c r="B729" s="30" t="s">
        <v>26645</v>
      </c>
      <c r="C729" s="30" t="s">
        <v>706</v>
      </c>
      <c r="D729" s="139" t="s">
        <v>26375</v>
      </c>
      <c r="E729" s="30" t="s">
        <v>217</v>
      </c>
      <c r="F729" s="30">
        <v>1</v>
      </c>
      <c r="G729" s="30" t="s">
        <v>193</v>
      </c>
      <c r="H729" s="30" t="s">
        <v>194</v>
      </c>
      <c r="I729" s="30" t="s">
        <v>27277</v>
      </c>
      <c r="J729" s="30" t="s">
        <v>210</v>
      </c>
      <c r="K729" s="30" t="s">
        <v>9309</v>
      </c>
      <c r="L729" s="30" t="s">
        <v>6955</v>
      </c>
      <c r="M729" s="30"/>
      <c r="N729" s="30" t="s">
        <v>26646</v>
      </c>
      <c r="O729" s="30" t="s">
        <v>6286</v>
      </c>
      <c r="P729" s="30" t="s">
        <v>27919</v>
      </c>
      <c r="Q729" s="30" t="s">
        <v>26261</v>
      </c>
      <c r="R729" s="30" t="s">
        <v>26262</v>
      </c>
      <c r="S729" s="30" t="s">
        <v>28157</v>
      </c>
      <c r="T729" s="30" t="s">
        <v>28158</v>
      </c>
      <c r="U729" s="30"/>
      <c r="V729" s="139" t="s">
        <v>9334</v>
      </c>
      <c r="W729" s="30" t="s">
        <v>707</v>
      </c>
      <c r="X729" s="30" t="s">
        <v>194</v>
      </c>
      <c r="Y729" s="30" t="s">
        <v>9300</v>
      </c>
      <c r="Z729" s="30"/>
      <c r="AA729" s="30"/>
      <c r="AB729" s="30" t="s">
        <v>9311</v>
      </c>
      <c r="AC729" s="30"/>
      <c r="AD729" s="30"/>
      <c r="AE729" s="30"/>
      <c r="AF729" s="30"/>
      <c r="AG729" s="30"/>
      <c r="AH729" s="30" t="s">
        <v>4714</v>
      </c>
      <c r="AI729" s="30" t="s">
        <v>9433</v>
      </c>
      <c r="AJ729" s="641" t="str">
        <f t="shared" si="22"/>
        <v>422201</v>
      </c>
      <c r="AK729" s="641">
        <v>1</v>
      </c>
      <c r="AL729" s="641">
        <f t="shared" si="23"/>
        <v>1</v>
      </c>
      <c r="AM729" s="641">
        <v>1</v>
      </c>
      <c r="AN729" s="30" t="s">
        <v>17650</v>
      </c>
      <c r="AO729" s="30" t="s">
        <v>17651</v>
      </c>
      <c r="AP729" s="30" t="s">
        <v>17652</v>
      </c>
      <c r="AQ729" s="30" t="s">
        <v>17653</v>
      </c>
      <c r="AR729" s="30" t="s">
        <v>1024</v>
      </c>
      <c r="AS729" s="30">
        <v>1</v>
      </c>
    </row>
    <row r="730" spans="1:45" x14ac:dyDescent="0.25">
      <c r="A730" s="30" t="s">
        <v>9886</v>
      </c>
      <c r="B730" s="30" t="s">
        <v>27092</v>
      </c>
      <c r="C730" s="30" t="s">
        <v>153</v>
      </c>
      <c r="D730" s="139" t="s">
        <v>26375</v>
      </c>
      <c r="E730" s="30" t="s">
        <v>217</v>
      </c>
      <c r="F730" s="30">
        <v>1</v>
      </c>
      <c r="G730" s="30" t="s">
        <v>193</v>
      </c>
      <c r="H730" s="30" t="s">
        <v>194</v>
      </c>
      <c r="I730" s="30" t="s">
        <v>23198</v>
      </c>
      <c r="J730" s="30" t="s">
        <v>210</v>
      </c>
      <c r="K730" s="30" t="s">
        <v>9309</v>
      </c>
      <c r="L730" s="30" t="s">
        <v>6955</v>
      </c>
      <c r="M730" s="30"/>
      <c r="N730" s="30" t="s">
        <v>27093</v>
      </c>
      <c r="O730" s="30" t="s">
        <v>6249</v>
      </c>
      <c r="P730" s="30" t="s">
        <v>27919</v>
      </c>
      <c r="Q730" s="30" t="s">
        <v>26942</v>
      </c>
      <c r="R730" s="30" t="s">
        <v>23708</v>
      </c>
      <c r="S730" s="30" t="s">
        <v>28159</v>
      </c>
      <c r="T730" s="30" t="s">
        <v>28160</v>
      </c>
      <c r="U730" s="30"/>
      <c r="V730" s="139" t="s">
        <v>9334</v>
      </c>
      <c r="W730" s="30" t="s">
        <v>2293</v>
      </c>
      <c r="X730" s="30" t="s">
        <v>194</v>
      </c>
      <c r="Y730" s="30" t="s">
        <v>9300</v>
      </c>
      <c r="Z730" s="30"/>
      <c r="AA730" s="30"/>
      <c r="AB730" s="30" t="s">
        <v>9311</v>
      </c>
      <c r="AC730" s="30"/>
      <c r="AD730" s="30"/>
      <c r="AE730" s="30"/>
      <c r="AF730" s="30"/>
      <c r="AG730" s="30"/>
      <c r="AH730" s="30" t="s">
        <v>4714</v>
      </c>
      <c r="AI730" s="30" t="s">
        <v>9433</v>
      </c>
      <c r="AJ730" s="641" t="str">
        <f t="shared" si="22"/>
        <v>333903</v>
      </c>
      <c r="AK730" s="641">
        <v>1</v>
      </c>
      <c r="AL730" s="641">
        <f t="shared" si="23"/>
        <v>1</v>
      </c>
      <c r="AM730" s="641">
        <v>1</v>
      </c>
      <c r="AN730" s="30" t="s">
        <v>17650</v>
      </c>
      <c r="AO730" s="30" t="s">
        <v>17651</v>
      </c>
      <c r="AP730" s="30" t="s">
        <v>17652</v>
      </c>
      <c r="AQ730" s="30" t="s">
        <v>17653</v>
      </c>
      <c r="AR730" s="30" t="s">
        <v>1024</v>
      </c>
      <c r="AS730" s="30">
        <v>1</v>
      </c>
    </row>
    <row r="731" spans="1:45" x14ac:dyDescent="0.25">
      <c r="A731" s="30" t="s">
        <v>26089</v>
      </c>
      <c r="B731" s="30" t="s">
        <v>26167</v>
      </c>
      <c r="C731" s="30" t="s">
        <v>4259</v>
      </c>
      <c r="D731" s="139" t="s">
        <v>26375</v>
      </c>
      <c r="E731" s="30" t="s">
        <v>217</v>
      </c>
      <c r="F731" s="30">
        <v>1</v>
      </c>
      <c r="G731" s="30" t="s">
        <v>193</v>
      </c>
      <c r="H731" s="30" t="s">
        <v>194</v>
      </c>
      <c r="I731" s="30" t="s">
        <v>27277</v>
      </c>
      <c r="J731" s="30" t="s">
        <v>210</v>
      </c>
      <c r="K731" s="30" t="s">
        <v>9309</v>
      </c>
      <c r="L731" s="30" t="s">
        <v>6955</v>
      </c>
      <c r="M731" s="30"/>
      <c r="N731" s="30" t="s">
        <v>26168</v>
      </c>
      <c r="O731" s="30" t="s">
        <v>6261</v>
      </c>
      <c r="P731" s="30" t="s">
        <v>27919</v>
      </c>
      <c r="Q731" s="30" t="s">
        <v>26085</v>
      </c>
      <c r="R731" s="30" t="s">
        <v>26057</v>
      </c>
      <c r="S731" s="30" t="s">
        <v>28161</v>
      </c>
      <c r="T731" s="30" t="s">
        <v>28162</v>
      </c>
      <c r="U731" s="30"/>
      <c r="V731" s="139" t="s">
        <v>9334</v>
      </c>
      <c r="W731" s="30" t="s">
        <v>4260</v>
      </c>
      <c r="X731" s="30" t="s">
        <v>194</v>
      </c>
      <c r="Y731" s="30" t="s">
        <v>9300</v>
      </c>
      <c r="Z731" s="30"/>
      <c r="AA731" s="30"/>
      <c r="AB731" s="30" t="s">
        <v>9311</v>
      </c>
      <c r="AC731" s="30"/>
      <c r="AD731" s="30"/>
      <c r="AE731" s="30"/>
      <c r="AF731" s="30"/>
      <c r="AG731" s="30"/>
      <c r="AH731" s="30" t="s">
        <v>4714</v>
      </c>
      <c r="AI731" s="30" t="s">
        <v>9433</v>
      </c>
      <c r="AJ731" s="641" t="str">
        <f t="shared" si="22"/>
        <v>251902</v>
      </c>
      <c r="AK731" s="641">
        <v>1</v>
      </c>
      <c r="AL731" s="641">
        <f t="shared" si="23"/>
        <v>1</v>
      </c>
      <c r="AM731" s="641">
        <v>1</v>
      </c>
      <c r="AN731" s="30" t="s">
        <v>17650</v>
      </c>
      <c r="AO731" s="30" t="s">
        <v>17651</v>
      </c>
      <c r="AP731" s="30" t="s">
        <v>17652</v>
      </c>
      <c r="AQ731" s="30" t="s">
        <v>17653</v>
      </c>
      <c r="AR731" s="30" t="s">
        <v>1024</v>
      </c>
      <c r="AS731" s="30">
        <v>1</v>
      </c>
    </row>
    <row r="732" spans="1:45" x14ac:dyDescent="0.25">
      <c r="A732" s="30" t="s">
        <v>581</v>
      </c>
      <c r="B732" s="30" t="s">
        <v>28163</v>
      </c>
      <c r="C732" s="30" t="s">
        <v>122</v>
      </c>
      <c r="D732" s="139" t="s">
        <v>26375</v>
      </c>
      <c r="E732" s="30" t="s">
        <v>217</v>
      </c>
      <c r="F732" s="30">
        <v>1</v>
      </c>
      <c r="G732" s="30" t="s">
        <v>193</v>
      </c>
      <c r="H732" s="30" t="s">
        <v>194</v>
      </c>
      <c r="I732" s="30" t="s">
        <v>27277</v>
      </c>
      <c r="J732" s="30" t="s">
        <v>1829</v>
      </c>
      <c r="K732" s="30" t="s">
        <v>9309</v>
      </c>
      <c r="L732" s="30" t="s">
        <v>6955</v>
      </c>
      <c r="M732" s="30"/>
      <c r="N732" s="30" t="s">
        <v>28164</v>
      </c>
      <c r="O732" s="30" t="s">
        <v>6251</v>
      </c>
      <c r="P732" s="30" t="s">
        <v>27919</v>
      </c>
      <c r="Q732" s="30" t="s">
        <v>26190</v>
      </c>
      <c r="R732" s="30" t="s">
        <v>27300</v>
      </c>
      <c r="S732" s="30" t="s">
        <v>28165</v>
      </c>
      <c r="T732" s="30" t="s">
        <v>28166</v>
      </c>
      <c r="U732" s="30"/>
      <c r="V732" s="139" t="s">
        <v>9726</v>
      </c>
      <c r="W732" s="30" t="s">
        <v>655</v>
      </c>
      <c r="X732" s="30" t="s">
        <v>194</v>
      </c>
      <c r="Y732" s="30" t="s">
        <v>9300</v>
      </c>
      <c r="Z732" s="30"/>
      <c r="AA732" s="30"/>
      <c r="AB732" s="30" t="s">
        <v>9311</v>
      </c>
      <c r="AC732" s="30"/>
      <c r="AD732" s="30"/>
      <c r="AE732" s="30"/>
      <c r="AF732" s="30"/>
      <c r="AG732" s="30"/>
      <c r="AH732" s="30" t="s">
        <v>4714</v>
      </c>
      <c r="AI732" s="30" t="s">
        <v>9433</v>
      </c>
      <c r="AJ732" s="641" t="str">
        <f t="shared" si="22"/>
        <v>332301</v>
      </c>
      <c r="AK732" s="641">
        <v>1</v>
      </c>
      <c r="AL732" s="641">
        <f t="shared" si="23"/>
        <v>1</v>
      </c>
      <c r="AM732" s="641">
        <v>1</v>
      </c>
      <c r="AN732" s="30" t="s">
        <v>17650</v>
      </c>
      <c r="AO732" s="30" t="s">
        <v>17651</v>
      </c>
      <c r="AP732" s="30" t="s">
        <v>17652</v>
      </c>
      <c r="AQ732" s="30" t="s">
        <v>17653</v>
      </c>
      <c r="AR732" s="30" t="s">
        <v>1024</v>
      </c>
      <c r="AS732" s="30">
        <v>1</v>
      </c>
    </row>
    <row r="733" spans="1:45" x14ac:dyDescent="0.25">
      <c r="A733" s="30" t="s">
        <v>716</v>
      </c>
      <c r="B733" s="30" t="s">
        <v>27009</v>
      </c>
      <c r="C733" s="30" t="s">
        <v>706</v>
      </c>
      <c r="D733" s="139" t="s">
        <v>26375</v>
      </c>
      <c r="E733" s="30" t="s">
        <v>217</v>
      </c>
      <c r="F733" s="30">
        <v>1</v>
      </c>
      <c r="G733" s="30" t="s">
        <v>193</v>
      </c>
      <c r="H733" s="30" t="s">
        <v>194</v>
      </c>
      <c r="I733" s="30" t="s">
        <v>27277</v>
      </c>
      <c r="J733" s="30" t="s">
        <v>210</v>
      </c>
      <c r="K733" s="30" t="s">
        <v>9309</v>
      </c>
      <c r="L733" s="30" t="s">
        <v>6955</v>
      </c>
      <c r="M733" s="30"/>
      <c r="N733" s="30" t="s">
        <v>27629</v>
      </c>
      <c r="O733" s="30" t="s">
        <v>6251</v>
      </c>
      <c r="P733" s="30" t="s">
        <v>27919</v>
      </c>
      <c r="Q733" s="30" t="s">
        <v>26160</v>
      </c>
      <c r="R733" s="30" t="s">
        <v>27340</v>
      </c>
      <c r="S733" s="30" t="s">
        <v>28167</v>
      </c>
      <c r="T733" s="30" t="s">
        <v>28168</v>
      </c>
      <c r="U733" s="30"/>
      <c r="V733" s="139" t="s">
        <v>9334</v>
      </c>
      <c r="W733" s="30" t="s">
        <v>707</v>
      </c>
      <c r="X733" s="30" t="s">
        <v>194</v>
      </c>
      <c r="Y733" s="30" t="s">
        <v>9300</v>
      </c>
      <c r="Z733" s="30"/>
      <c r="AA733" s="30"/>
      <c r="AB733" s="30" t="s">
        <v>9311</v>
      </c>
      <c r="AC733" s="30"/>
      <c r="AD733" s="30"/>
      <c r="AE733" s="30"/>
      <c r="AF733" s="30"/>
      <c r="AG733" s="30"/>
      <c r="AH733" s="30" t="s">
        <v>4714</v>
      </c>
      <c r="AI733" s="30" t="s">
        <v>9433</v>
      </c>
      <c r="AJ733" s="641" t="str">
        <f t="shared" si="22"/>
        <v>422201</v>
      </c>
      <c r="AK733" s="641">
        <v>1</v>
      </c>
      <c r="AL733" s="641">
        <f t="shared" si="23"/>
        <v>1</v>
      </c>
      <c r="AM733" s="641">
        <v>1</v>
      </c>
      <c r="AN733" s="30" t="s">
        <v>17650</v>
      </c>
      <c r="AO733" s="30" t="s">
        <v>17651</v>
      </c>
      <c r="AP733" s="30" t="s">
        <v>17652</v>
      </c>
      <c r="AQ733" s="30" t="s">
        <v>17653</v>
      </c>
      <c r="AR733" s="30" t="s">
        <v>1024</v>
      </c>
      <c r="AS733" s="30">
        <v>1</v>
      </c>
    </row>
    <row r="734" spans="1:45" x14ac:dyDescent="0.25">
      <c r="A734" s="30" t="s">
        <v>716</v>
      </c>
      <c r="B734" s="30" t="s">
        <v>26745</v>
      </c>
      <c r="C734" s="30" t="s">
        <v>706</v>
      </c>
      <c r="D734" s="139" t="s">
        <v>26375</v>
      </c>
      <c r="E734" s="30" t="s">
        <v>217</v>
      </c>
      <c r="F734" s="30">
        <v>1</v>
      </c>
      <c r="G734" s="30" t="s">
        <v>193</v>
      </c>
      <c r="H734" s="30" t="s">
        <v>194</v>
      </c>
      <c r="I734" s="30" t="s">
        <v>27277</v>
      </c>
      <c r="J734" s="30" t="s">
        <v>210</v>
      </c>
      <c r="K734" s="30" t="s">
        <v>9309</v>
      </c>
      <c r="L734" s="30" t="s">
        <v>6955</v>
      </c>
      <c r="M734" s="30"/>
      <c r="N734" s="30" t="s">
        <v>28169</v>
      </c>
      <c r="O734" s="30" t="s">
        <v>6251</v>
      </c>
      <c r="P734" s="30" t="s">
        <v>27919</v>
      </c>
      <c r="Q734" s="30" t="s">
        <v>26252</v>
      </c>
      <c r="R734" s="30" t="s">
        <v>27838</v>
      </c>
      <c r="S734" s="30" t="s">
        <v>28170</v>
      </c>
      <c r="T734" s="30" t="s">
        <v>28171</v>
      </c>
      <c r="U734" s="30"/>
      <c r="V734" s="139" t="s">
        <v>9334</v>
      </c>
      <c r="W734" s="30" t="s">
        <v>707</v>
      </c>
      <c r="X734" s="30" t="s">
        <v>194</v>
      </c>
      <c r="Y734" s="30" t="s">
        <v>9300</v>
      </c>
      <c r="Z734" s="30"/>
      <c r="AA734" s="30"/>
      <c r="AB734" s="30" t="s">
        <v>9311</v>
      </c>
      <c r="AC734" s="30"/>
      <c r="AD734" s="30"/>
      <c r="AE734" s="30"/>
      <c r="AF734" s="30"/>
      <c r="AG734" s="30"/>
      <c r="AH734" s="30" t="s">
        <v>4714</v>
      </c>
      <c r="AI734" s="30" t="s">
        <v>9433</v>
      </c>
      <c r="AJ734" s="641" t="str">
        <f t="shared" si="22"/>
        <v>422201</v>
      </c>
      <c r="AK734" s="641">
        <v>1</v>
      </c>
      <c r="AL734" s="641">
        <f t="shared" si="23"/>
        <v>1</v>
      </c>
      <c r="AM734" s="641">
        <v>1</v>
      </c>
      <c r="AN734" s="30" t="s">
        <v>17650</v>
      </c>
      <c r="AO734" s="30" t="s">
        <v>17651</v>
      </c>
      <c r="AP734" s="30" t="s">
        <v>17652</v>
      </c>
      <c r="AQ734" s="30" t="s">
        <v>17653</v>
      </c>
      <c r="AR734" s="30" t="s">
        <v>1024</v>
      </c>
      <c r="AS734" s="30">
        <v>1</v>
      </c>
    </row>
    <row r="735" spans="1:45" x14ac:dyDescent="0.25">
      <c r="A735" s="30" t="s">
        <v>26193</v>
      </c>
      <c r="B735" s="30" t="s">
        <v>27343</v>
      </c>
      <c r="C735" s="30" t="s">
        <v>227</v>
      </c>
      <c r="D735" s="139" t="s">
        <v>26375</v>
      </c>
      <c r="E735" s="30" t="s">
        <v>217</v>
      </c>
      <c r="F735" s="30">
        <v>1</v>
      </c>
      <c r="G735" s="30" t="s">
        <v>193</v>
      </c>
      <c r="H735" s="30" t="s">
        <v>194</v>
      </c>
      <c r="I735" s="30" t="s">
        <v>27277</v>
      </c>
      <c r="J735" s="30" t="s">
        <v>4751</v>
      </c>
      <c r="K735" s="30" t="s">
        <v>9309</v>
      </c>
      <c r="L735" s="30" t="s">
        <v>6955</v>
      </c>
      <c r="M735" s="30"/>
      <c r="N735" s="30" t="s">
        <v>27480</v>
      </c>
      <c r="O735" s="30" t="s">
        <v>6269</v>
      </c>
      <c r="P735" s="30" t="s">
        <v>27919</v>
      </c>
      <c r="Q735" s="30" t="s">
        <v>26109</v>
      </c>
      <c r="R735" s="30" t="s">
        <v>27328</v>
      </c>
      <c r="S735" s="30" t="s">
        <v>28172</v>
      </c>
      <c r="T735" s="30" t="s">
        <v>28173</v>
      </c>
      <c r="U735" s="30"/>
      <c r="V735" s="139" t="s">
        <v>9472</v>
      </c>
      <c r="W735" s="30" t="s">
        <v>229</v>
      </c>
      <c r="X735" s="30" t="s">
        <v>194</v>
      </c>
      <c r="Y735" s="30" t="s">
        <v>9300</v>
      </c>
      <c r="Z735" s="30"/>
      <c r="AA735" s="30"/>
      <c r="AB735" s="30" t="s">
        <v>9311</v>
      </c>
      <c r="AC735" s="30"/>
      <c r="AD735" s="30"/>
      <c r="AE735" s="30"/>
      <c r="AF735" s="30"/>
      <c r="AG735" s="30"/>
      <c r="AH735" s="30" t="s">
        <v>4714</v>
      </c>
      <c r="AI735" s="30" t="s">
        <v>9433</v>
      </c>
      <c r="AJ735" s="641" t="str">
        <f t="shared" si="22"/>
        <v>132401</v>
      </c>
      <c r="AK735" s="641">
        <v>1</v>
      </c>
      <c r="AL735" s="641">
        <f t="shared" si="23"/>
        <v>1</v>
      </c>
      <c r="AM735" s="641">
        <v>1</v>
      </c>
      <c r="AN735" s="30" t="s">
        <v>17650</v>
      </c>
      <c r="AO735" s="30" t="s">
        <v>17651</v>
      </c>
      <c r="AP735" s="30" t="s">
        <v>17652</v>
      </c>
      <c r="AQ735" s="30" t="s">
        <v>17653</v>
      </c>
      <c r="AR735" s="30" t="s">
        <v>1024</v>
      </c>
      <c r="AS735" s="30">
        <v>1</v>
      </c>
    </row>
    <row r="736" spans="1:45" x14ac:dyDescent="0.25">
      <c r="A736" s="30" t="s">
        <v>26089</v>
      </c>
      <c r="B736" s="30" t="s">
        <v>26305</v>
      </c>
      <c r="C736" s="30" t="s">
        <v>26180</v>
      </c>
      <c r="D736" s="139" t="s">
        <v>26375</v>
      </c>
      <c r="E736" s="30" t="s">
        <v>217</v>
      </c>
      <c r="F736" s="30">
        <v>1</v>
      </c>
      <c r="G736" s="30" t="s">
        <v>193</v>
      </c>
      <c r="H736" s="30" t="s">
        <v>194</v>
      </c>
      <c r="I736" s="30" t="s">
        <v>27277</v>
      </c>
      <c r="J736" s="30" t="s">
        <v>316</v>
      </c>
      <c r="K736" s="30" t="s">
        <v>9309</v>
      </c>
      <c r="L736" s="30" t="s">
        <v>6955</v>
      </c>
      <c r="M736" s="30"/>
      <c r="N736" s="30" t="s">
        <v>26556</v>
      </c>
      <c r="O736" s="30" t="s">
        <v>7120</v>
      </c>
      <c r="P736" s="30" t="s">
        <v>27805</v>
      </c>
      <c r="Q736" s="30" t="s">
        <v>26092</v>
      </c>
      <c r="R736" s="30" t="s">
        <v>27806</v>
      </c>
      <c r="S736" s="30" t="s">
        <v>28174</v>
      </c>
      <c r="T736" s="30" t="s">
        <v>28175</v>
      </c>
      <c r="U736" s="30"/>
      <c r="V736" s="139" t="s">
        <v>10012</v>
      </c>
      <c r="W736" s="30" t="s">
        <v>26186</v>
      </c>
      <c r="X736" s="30" t="s">
        <v>194</v>
      </c>
      <c r="Y736" s="30" t="s">
        <v>9300</v>
      </c>
      <c r="Z736" s="30"/>
      <c r="AA736" s="30"/>
      <c r="AB736" s="30" t="s">
        <v>9311</v>
      </c>
      <c r="AC736" s="30"/>
      <c r="AD736" s="30"/>
      <c r="AE736" s="30"/>
      <c r="AF736" s="30"/>
      <c r="AG736" s="30"/>
      <c r="AH736" s="30" t="s">
        <v>4714</v>
      </c>
      <c r="AI736" s="30" t="s">
        <v>9433</v>
      </c>
      <c r="AJ736" s="641" t="str">
        <f t="shared" si="22"/>
        <v>421108</v>
      </c>
      <c r="AK736" s="641">
        <v>1</v>
      </c>
      <c r="AL736" s="641">
        <f t="shared" si="23"/>
        <v>1</v>
      </c>
      <c r="AM736" s="641">
        <v>1</v>
      </c>
      <c r="AN736" s="30" t="s">
        <v>17650</v>
      </c>
      <c r="AO736" s="30" t="s">
        <v>17651</v>
      </c>
      <c r="AP736" s="30" t="s">
        <v>17652</v>
      </c>
      <c r="AQ736" s="30" t="s">
        <v>17653</v>
      </c>
      <c r="AR736" s="30" t="s">
        <v>1024</v>
      </c>
      <c r="AS736" s="30">
        <v>1</v>
      </c>
    </row>
    <row r="737" spans="1:45" x14ac:dyDescent="0.25">
      <c r="A737" s="30" t="s">
        <v>716</v>
      </c>
      <c r="B737" s="30" t="s">
        <v>26542</v>
      </c>
      <c r="C737" s="30" t="s">
        <v>27859</v>
      </c>
      <c r="D737" s="139" t="s">
        <v>26375</v>
      </c>
      <c r="E737" s="30" t="s">
        <v>217</v>
      </c>
      <c r="F737" s="30">
        <v>1</v>
      </c>
      <c r="G737" s="30" t="s">
        <v>193</v>
      </c>
      <c r="H737" s="30" t="s">
        <v>194</v>
      </c>
      <c r="I737" s="30" t="s">
        <v>27277</v>
      </c>
      <c r="J737" s="30" t="s">
        <v>210</v>
      </c>
      <c r="K737" s="30" t="s">
        <v>9309</v>
      </c>
      <c r="L737" s="30" t="s">
        <v>6955</v>
      </c>
      <c r="M737" s="30"/>
      <c r="N737" s="30" t="s">
        <v>26935</v>
      </c>
      <c r="O737" s="30" t="s">
        <v>6261</v>
      </c>
      <c r="P737" s="30" t="s">
        <v>27919</v>
      </c>
      <c r="Q737" s="30" t="s">
        <v>26881</v>
      </c>
      <c r="R737" s="30" t="s">
        <v>26882</v>
      </c>
      <c r="S737" s="30" t="s">
        <v>28176</v>
      </c>
      <c r="T737" s="30" t="s">
        <v>28177</v>
      </c>
      <c r="U737" s="30"/>
      <c r="V737" s="139" t="s">
        <v>9334</v>
      </c>
      <c r="W737" s="30" t="s">
        <v>27862</v>
      </c>
      <c r="X737" s="30" t="s">
        <v>194</v>
      </c>
      <c r="Y737" s="30" t="s">
        <v>9300</v>
      </c>
      <c r="Z737" s="30"/>
      <c r="AA737" s="30"/>
      <c r="AB737" s="30" t="s">
        <v>9311</v>
      </c>
      <c r="AC737" s="30"/>
      <c r="AD737" s="30"/>
      <c r="AE737" s="30"/>
      <c r="AF737" s="30"/>
      <c r="AG737" s="30"/>
      <c r="AH737" s="30" t="s">
        <v>4714</v>
      </c>
      <c r="AI737" s="30" t="s">
        <v>9433</v>
      </c>
      <c r="AJ737" s="641" t="str">
        <f t="shared" si="22"/>
        <v>351490</v>
      </c>
      <c r="AK737" s="641">
        <v>1</v>
      </c>
      <c r="AL737" s="641">
        <f t="shared" si="23"/>
        <v>1</v>
      </c>
      <c r="AM737" s="641">
        <v>1</v>
      </c>
      <c r="AN737" s="30" t="s">
        <v>17650</v>
      </c>
      <c r="AO737" s="30" t="s">
        <v>17651</v>
      </c>
      <c r="AP737" s="30" t="s">
        <v>17652</v>
      </c>
      <c r="AQ737" s="30" t="s">
        <v>17653</v>
      </c>
      <c r="AR737" s="30" t="s">
        <v>1024</v>
      </c>
      <c r="AS737" s="30">
        <v>1</v>
      </c>
    </row>
    <row r="738" spans="1:45" x14ac:dyDescent="0.25">
      <c r="A738" s="30" t="s">
        <v>26153</v>
      </c>
      <c r="B738" s="30" t="s">
        <v>496</v>
      </c>
      <c r="C738" s="30" t="s">
        <v>10</v>
      </c>
      <c r="D738" s="139" t="s">
        <v>26375</v>
      </c>
      <c r="E738" s="30" t="s">
        <v>217</v>
      </c>
      <c r="F738" s="30">
        <v>1</v>
      </c>
      <c r="G738" s="30" t="s">
        <v>193</v>
      </c>
      <c r="H738" s="30" t="s">
        <v>194</v>
      </c>
      <c r="I738" s="30" t="s">
        <v>27277</v>
      </c>
      <c r="J738" s="30" t="s">
        <v>210</v>
      </c>
      <c r="K738" s="30" t="s">
        <v>9309</v>
      </c>
      <c r="L738" s="30" t="s">
        <v>6955</v>
      </c>
      <c r="M738" s="30"/>
      <c r="N738" s="30" t="s">
        <v>26639</v>
      </c>
      <c r="O738" s="30" t="s">
        <v>6269</v>
      </c>
      <c r="P738" s="30" t="s">
        <v>27919</v>
      </c>
      <c r="Q738" s="30" t="s">
        <v>26201</v>
      </c>
      <c r="R738" s="30" t="s">
        <v>24556</v>
      </c>
      <c r="S738" s="30" t="s">
        <v>28178</v>
      </c>
      <c r="T738" s="30" t="s">
        <v>28179</v>
      </c>
      <c r="U738" s="30"/>
      <c r="V738" s="139" t="s">
        <v>9334</v>
      </c>
      <c r="W738" s="30" t="s">
        <v>484</v>
      </c>
      <c r="X738" s="30" t="s">
        <v>194</v>
      </c>
      <c r="Y738" s="30" t="s">
        <v>9300</v>
      </c>
      <c r="Z738" s="30"/>
      <c r="AA738" s="30"/>
      <c r="AB738" s="30" t="s">
        <v>9311</v>
      </c>
      <c r="AC738" s="30"/>
      <c r="AD738" s="30"/>
      <c r="AE738" s="30"/>
      <c r="AF738" s="30"/>
      <c r="AG738" s="30"/>
      <c r="AH738" s="30" t="s">
        <v>4714</v>
      </c>
      <c r="AI738" s="30" t="s">
        <v>9433</v>
      </c>
      <c r="AJ738" s="641" t="str">
        <f t="shared" si="22"/>
        <v>251401</v>
      </c>
      <c r="AK738" s="641">
        <v>1</v>
      </c>
      <c r="AL738" s="641">
        <f t="shared" si="23"/>
        <v>1</v>
      </c>
      <c r="AM738" s="641">
        <v>1</v>
      </c>
      <c r="AN738" s="30" t="s">
        <v>17650</v>
      </c>
      <c r="AO738" s="30" t="s">
        <v>17651</v>
      </c>
      <c r="AP738" s="30" t="s">
        <v>17652</v>
      </c>
      <c r="AQ738" s="30" t="s">
        <v>17653</v>
      </c>
      <c r="AR738" s="30" t="s">
        <v>1024</v>
      </c>
      <c r="AS738" s="30">
        <v>1</v>
      </c>
    </row>
    <row r="739" spans="1:45" x14ac:dyDescent="0.25">
      <c r="A739" s="30" t="s">
        <v>26153</v>
      </c>
      <c r="B739" s="30" t="s">
        <v>26741</v>
      </c>
      <c r="C739" s="30" t="s">
        <v>1766</v>
      </c>
      <c r="D739" s="139" t="s">
        <v>26375</v>
      </c>
      <c r="E739" s="30" t="s">
        <v>217</v>
      </c>
      <c r="F739" s="30">
        <v>1</v>
      </c>
      <c r="G739" s="30" t="s">
        <v>193</v>
      </c>
      <c r="H739" s="30" t="s">
        <v>194</v>
      </c>
      <c r="I739" s="30" t="s">
        <v>27277</v>
      </c>
      <c r="J739" s="30" t="s">
        <v>210</v>
      </c>
      <c r="K739" s="30" t="s">
        <v>9309</v>
      </c>
      <c r="L739" s="30" t="s">
        <v>6955</v>
      </c>
      <c r="M739" s="30"/>
      <c r="N739" s="30" t="s">
        <v>26885</v>
      </c>
      <c r="O739" s="30" t="s">
        <v>6261</v>
      </c>
      <c r="P739" s="30" t="s">
        <v>27919</v>
      </c>
      <c r="Q739" s="30" t="s">
        <v>26056</v>
      </c>
      <c r="R739" s="30" t="s">
        <v>23128</v>
      </c>
      <c r="S739" s="30" t="s">
        <v>28180</v>
      </c>
      <c r="T739" s="30" t="s">
        <v>28181</v>
      </c>
      <c r="U739" s="30"/>
      <c r="V739" s="139" t="s">
        <v>9334</v>
      </c>
      <c r="W739" s="30" t="s">
        <v>1767</v>
      </c>
      <c r="X739" s="30" t="s">
        <v>194</v>
      </c>
      <c r="Y739" s="30" t="s">
        <v>9300</v>
      </c>
      <c r="Z739" s="30"/>
      <c r="AA739" s="30"/>
      <c r="AB739" s="30" t="s">
        <v>9311</v>
      </c>
      <c r="AC739" s="30"/>
      <c r="AD739" s="30"/>
      <c r="AE739" s="30"/>
      <c r="AF739" s="30"/>
      <c r="AG739" s="30"/>
      <c r="AH739" s="30" t="s">
        <v>4714</v>
      </c>
      <c r="AI739" s="30" t="s">
        <v>9433</v>
      </c>
      <c r="AJ739" s="641" t="str">
        <f t="shared" si="22"/>
        <v>242112</v>
      </c>
      <c r="AK739" s="641">
        <v>1</v>
      </c>
      <c r="AL739" s="641">
        <f t="shared" si="23"/>
        <v>1</v>
      </c>
      <c r="AM739" s="641">
        <v>1</v>
      </c>
      <c r="AN739" s="30" t="s">
        <v>17650</v>
      </c>
      <c r="AO739" s="30" t="s">
        <v>17651</v>
      </c>
      <c r="AP739" s="30" t="s">
        <v>17652</v>
      </c>
      <c r="AQ739" s="30" t="s">
        <v>17653</v>
      </c>
      <c r="AR739" s="30" t="s">
        <v>1024</v>
      </c>
      <c r="AS739" s="30">
        <v>1</v>
      </c>
    </row>
    <row r="740" spans="1:45" x14ac:dyDescent="0.25">
      <c r="A740" s="30" t="s">
        <v>26193</v>
      </c>
      <c r="B740" s="30" t="s">
        <v>27343</v>
      </c>
      <c r="C740" s="30" t="s">
        <v>227</v>
      </c>
      <c r="D740" s="139" t="s">
        <v>26375</v>
      </c>
      <c r="E740" s="30" t="s">
        <v>217</v>
      </c>
      <c r="F740" s="30">
        <v>1</v>
      </c>
      <c r="G740" s="30" t="s">
        <v>193</v>
      </c>
      <c r="H740" s="30" t="s">
        <v>194</v>
      </c>
      <c r="I740" s="30" t="s">
        <v>27277</v>
      </c>
      <c r="J740" s="30" t="s">
        <v>253</v>
      </c>
      <c r="K740" s="30" t="s">
        <v>9309</v>
      </c>
      <c r="L740" s="30" t="s">
        <v>6955</v>
      </c>
      <c r="M740" s="30"/>
      <c r="N740" s="30" t="s">
        <v>27490</v>
      </c>
      <c r="O740" s="30" t="s">
        <v>6269</v>
      </c>
      <c r="P740" s="30" t="s">
        <v>27919</v>
      </c>
      <c r="Q740" s="30" t="s">
        <v>26109</v>
      </c>
      <c r="R740" s="30" t="s">
        <v>27328</v>
      </c>
      <c r="S740" s="30" t="s">
        <v>28182</v>
      </c>
      <c r="T740" s="30" t="s">
        <v>28183</v>
      </c>
      <c r="U740" s="30"/>
      <c r="V740" s="139" t="s">
        <v>9468</v>
      </c>
      <c r="W740" s="30" t="s">
        <v>229</v>
      </c>
      <c r="X740" s="30" t="s">
        <v>194</v>
      </c>
      <c r="Y740" s="30" t="s">
        <v>9300</v>
      </c>
      <c r="Z740" s="30"/>
      <c r="AA740" s="30"/>
      <c r="AB740" s="30" t="s">
        <v>9311</v>
      </c>
      <c r="AC740" s="30"/>
      <c r="AD740" s="30"/>
      <c r="AE740" s="30"/>
      <c r="AF740" s="30"/>
      <c r="AG740" s="30"/>
      <c r="AH740" s="30" t="s">
        <v>4714</v>
      </c>
      <c r="AI740" s="30" t="s">
        <v>9433</v>
      </c>
      <c r="AJ740" s="641" t="str">
        <f t="shared" si="22"/>
        <v>132401</v>
      </c>
      <c r="AK740" s="641">
        <v>1</v>
      </c>
      <c r="AL740" s="641">
        <f t="shared" si="23"/>
        <v>1</v>
      </c>
      <c r="AM740" s="641">
        <v>1</v>
      </c>
      <c r="AN740" s="30" t="s">
        <v>17650</v>
      </c>
      <c r="AO740" s="30" t="s">
        <v>17651</v>
      </c>
      <c r="AP740" s="30" t="s">
        <v>17652</v>
      </c>
      <c r="AQ740" s="30" t="s">
        <v>17653</v>
      </c>
      <c r="AR740" s="30" t="s">
        <v>1024</v>
      </c>
      <c r="AS740" s="30">
        <v>1</v>
      </c>
    </row>
    <row r="741" spans="1:45" x14ac:dyDescent="0.25">
      <c r="A741" s="30" t="s">
        <v>26089</v>
      </c>
      <c r="B741" s="30" t="s">
        <v>487</v>
      </c>
      <c r="C741" s="30" t="s">
        <v>10</v>
      </c>
      <c r="D741" s="139" t="s">
        <v>26375</v>
      </c>
      <c r="E741" s="30" t="s">
        <v>217</v>
      </c>
      <c r="F741" s="30">
        <v>1</v>
      </c>
      <c r="G741" s="30" t="s">
        <v>193</v>
      </c>
      <c r="H741" s="30" t="s">
        <v>194</v>
      </c>
      <c r="I741" s="30" t="s">
        <v>23198</v>
      </c>
      <c r="J741" s="30" t="s">
        <v>210</v>
      </c>
      <c r="K741" s="30" t="s">
        <v>9309</v>
      </c>
      <c r="L741" s="30" t="s">
        <v>6955</v>
      </c>
      <c r="M741" s="30"/>
      <c r="N741" s="30" t="s">
        <v>28184</v>
      </c>
      <c r="O741" s="30" t="s">
        <v>6261</v>
      </c>
      <c r="P741" s="30" t="s">
        <v>27919</v>
      </c>
      <c r="Q741" s="30" t="s">
        <v>26190</v>
      </c>
      <c r="R741" s="30" t="s">
        <v>27792</v>
      </c>
      <c r="S741" s="30" t="s">
        <v>28185</v>
      </c>
      <c r="T741" s="30" t="s">
        <v>28186</v>
      </c>
      <c r="U741" s="30"/>
      <c r="V741" s="139" t="s">
        <v>9334</v>
      </c>
      <c r="W741" s="30" t="s">
        <v>484</v>
      </c>
      <c r="X741" s="30" t="s">
        <v>194</v>
      </c>
      <c r="Y741" s="30" t="s">
        <v>9300</v>
      </c>
      <c r="Z741" s="30"/>
      <c r="AA741" s="30"/>
      <c r="AB741" s="30" t="s">
        <v>9311</v>
      </c>
      <c r="AC741" s="30"/>
      <c r="AD741" s="30"/>
      <c r="AE741" s="30"/>
      <c r="AF741" s="30"/>
      <c r="AG741" s="30"/>
      <c r="AH741" s="30" t="s">
        <v>4714</v>
      </c>
      <c r="AI741" s="30" t="s">
        <v>9433</v>
      </c>
      <c r="AJ741" s="641" t="str">
        <f t="shared" si="22"/>
        <v>251401</v>
      </c>
      <c r="AK741" s="641">
        <v>1</v>
      </c>
      <c r="AL741" s="641">
        <f t="shared" si="23"/>
        <v>1</v>
      </c>
      <c r="AM741" s="641">
        <v>1</v>
      </c>
      <c r="AN741" s="30" t="s">
        <v>17650</v>
      </c>
      <c r="AO741" s="30" t="s">
        <v>17651</v>
      </c>
      <c r="AP741" s="30" t="s">
        <v>17652</v>
      </c>
      <c r="AQ741" s="30" t="s">
        <v>17653</v>
      </c>
      <c r="AR741" s="30" t="s">
        <v>1024</v>
      </c>
      <c r="AS741" s="30">
        <v>1</v>
      </c>
    </row>
    <row r="742" spans="1:45" x14ac:dyDescent="0.25">
      <c r="A742" s="30" t="s">
        <v>258</v>
      </c>
      <c r="B742" s="30" t="s">
        <v>26208</v>
      </c>
      <c r="C742" s="30" t="s">
        <v>778</v>
      </c>
      <c r="D742" s="139" t="s">
        <v>26375</v>
      </c>
      <c r="E742" s="30" t="s">
        <v>217</v>
      </c>
      <c r="F742" s="30">
        <v>1</v>
      </c>
      <c r="G742" s="30" t="s">
        <v>193</v>
      </c>
      <c r="H742" s="30" t="s">
        <v>194</v>
      </c>
      <c r="I742" s="30" t="s">
        <v>26133</v>
      </c>
      <c r="J742" s="30" t="s">
        <v>408</v>
      </c>
      <c r="K742" s="30" t="s">
        <v>9309</v>
      </c>
      <c r="L742" s="30" t="s">
        <v>6955</v>
      </c>
      <c r="M742" s="30"/>
      <c r="N742" s="30" t="s">
        <v>26209</v>
      </c>
      <c r="O742" s="30" t="s">
        <v>6251</v>
      </c>
      <c r="P742" s="30" t="s">
        <v>27919</v>
      </c>
      <c r="Q742" s="30" t="s">
        <v>26073</v>
      </c>
      <c r="R742" s="30" t="s">
        <v>26183</v>
      </c>
      <c r="S742" s="30" t="s">
        <v>28187</v>
      </c>
      <c r="T742" s="30" t="s">
        <v>28188</v>
      </c>
      <c r="U742" s="30"/>
      <c r="V742" s="139" t="s">
        <v>9479</v>
      </c>
      <c r="W742" s="30" t="s">
        <v>779</v>
      </c>
      <c r="X742" s="30" t="s">
        <v>194</v>
      </c>
      <c r="Y742" s="30" t="s">
        <v>9300</v>
      </c>
      <c r="Z742" s="30"/>
      <c r="AA742" s="30"/>
      <c r="AB742" s="30" t="s">
        <v>9311</v>
      </c>
      <c r="AC742" s="30"/>
      <c r="AD742" s="30"/>
      <c r="AE742" s="30"/>
      <c r="AF742" s="30"/>
      <c r="AG742" s="30"/>
      <c r="AH742" s="30" t="s">
        <v>4714</v>
      </c>
      <c r="AI742" s="30" t="s">
        <v>9433</v>
      </c>
      <c r="AJ742" s="641" t="str">
        <f t="shared" si="22"/>
        <v>524902</v>
      </c>
      <c r="AK742" s="641">
        <v>1</v>
      </c>
      <c r="AL742" s="641">
        <f t="shared" si="23"/>
        <v>1</v>
      </c>
      <c r="AM742" s="641">
        <v>1</v>
      </c>
      <c r="AN742" s="30" t="s">
        <v>17650</v>
      </c>
      <c r="AO742" s="30" t="s">
        <v>17651</v>
      </c>
      <c r="AP742" s="30" t="s">
        <v>17652</v>
      </c>
      <c r="AQ742" s="30" t="s">
        <v>17653</v>
      </c>
      <c r="AR742" s="30" t="s">
        <v>1024</v>
      </c>
      <c r="AS742" s="30">
        <v>1</v>
      </c>
    </row>
    <row r="743" spans="1:45" x14ac:dyDescent="0.25">
      <c r="A743" s="30" t="s">
        <v>26193</v>
      </c>
      <c r="B743" s="30" t="s">
        <v>26194</v>
      </c>
      <c r="C743" s="30" t="s">
        <v>227</v>
      </c>
      <c r="D743" s="139" t="s">
        <v>26375</v>
      </c>
      <c r="E743" s="30" t="s">
        <v>217</v>
      </c>
      <c r="F743" s="30">
        <v>1</v>
      </c>
      <c r="G743" s="30" t="s">
        <v>193</v>
      </c>
      <c r="H743" s="30" t="s">
        <v>194</v>
      </c>
      <c r="I743" s="30" t="s">
        <v>27277</v>
      </c>
      <c r="J743" s="30" t="s">
        <v>276</v>
      </c>
      <c r="K743" s="30" t="s">
        <v>9309</v>
      </c>
      <c r="L743" s="30" t="s">
        <v>6955</v>
      </c>
      <c r="M743" s="30"/>
      <c r="N743" s="30" t="s">
        <v>27547</v>
      </c>
      <c r="O743" s="30" t="s">
        <v>6277</v>
      </c>
      <c r="P743" s="30" t="s">
        <v>27919</v>
      </c>
      <c r="Q743" s="30" t="s">
        <v>26109</v>
      </c>
      <c r="R743" s="30" t="s">
        <v>27328</v>
      </c>
      <c r="S743" s="30" t="s">
        <v>28189</v>
      </c>
      <c r="T743" s="30" t="s">
        <v>28190</v>
      </c>
      <c r="U743" s="30"/>
      <c r="V743" s="139" t="s">
        <v>9786</v>
      </c>
      <c r="W743" s="30" t="s">
        <v>229</v>
      </c>
      <c r="X743" s="30" t="s">
        <v>194</v>
      </c>
      <c r="Y743" s="30" t="s">
        <v>9300</v>
      </c>
      <c r="Z743" s="30"/>
      <c r="AA743" s="30"/>
      <c r="AB743" s="30" t="s">
        <v>9311</v>
      </c>
      <c r="AC743" s="30"/>
      <c r="AD743" s="30"/>
      <c r="AE743" s="30"/>
      <c r="AF743" s="30"/>
      <c r="AG743" s="30"/>
      <c r="AH743" s="30" t="s">
        <v>4714</v>
      </c>
      <c r="AI743" s="30" t="s">
        <v>9433</v>
      </c>
      <c r="AJ743" s="641" t="str">
        <f t="shared" si="22"/>
        <v>132401</v>
      </c>
      <c r="AK743" s="641">
        <v>1</v>
      </c>
      <c r="AL743" s="641">
        <f t="shared" si="23"/>
        <v>1</v>
      </c>
      <c r="AM743" s="641">
        <v>1</v>
      </c>
      <c r="AN743" s="30" t="s">
        <v>17650</v>
      </c>
      <c r="AO743" s="30" t="s">
        <v>17651</v>
      </c>
      <c r="AP743" s="30" t="s">
        <v>17652</v>
      </c>
      <c r="AQ743" s="30" t="s">
        <v>17653</v>
      </c>
      <c r="AR743" s="30" t="s">
        <v>1024</v>
      </c>
      <c r="AS743" s="30">
        <v>1</v>
      </c>
    </row>
    <row r="744" spans="1:45" x14ac:dyDescent="0.25">
      <c r="A744" s="30" t="s">
        <v>26089</v>
      </c>
      <c r="B744" s="30" t="s">
        <v>28191</v>
      </c>
      <c r="C744" s="30" t="s">
        <v>10</v>
      </c>
      <c r="D744" s="139" t="s">
        <v>26375</v>
      </c>
      <c r="E744" s="30" t="s">
        <v>217</v>
      </c>
      <c r="F744" s="30">
        <v>1</v>
      </c>
      <c r="G744" s="30" t="s">
        <v>193</v>
      </c>
      <c r="H744" s="30" t="s">
        <v>194</v>
      </c>
      <c r="I744" s="30" t="s">
        <v>27277</v>
      </c>
      <c r="J744" s="30" t="s">
        <v>210</v>
      </c>
      <c r="K744" s="30" t="s">
        <v>9309</v>
      </c>
      <c r="L744" s="30" t="s">
        <v>6955</v>
      </c>
      <c r="M744" s="30"/>
      <c r="N744" s="30" t="s">
        <v>28192</v>
      </c>
      <c r="O744" s="30" t="s">
        <v>6261</v>
      </c>
      <c r="P744" s="30" t="s">
        <v>27919</v>
      </c>
      <c r="Q744" s="30" t="s">
        <v>26190</v>
      </c>
      <c r="R744" s="30" t="s">
        <v>27792</v>
      </c>
      <c r="S744" s="30" t="s">
        <v>28193</v>
      </c>
      <c r="T744" s="30" t="s">
        <v>28194</v>
      </c>
      <c r="U744" s="30"/>
      <c r="V744" s="139" t="s">
        <v>9334</v>
      </c>
      <c r="W744" s="30" t="s">
        <v>484</v>
      </c>
      <c r="X744" s="30" t="s">
        <v>194</v>
      </c>
      <c r="Y744" s="30" t="s">
        <v>9300</v>
      </c>
      <c r="Z744" s="30"/>
      <c r="AA744" s="30"/>
      <c r="AB744" s="30" t="s">
        <v>9311</v>
      </c>
      <c r="AC744" s="30"/>
      <c r="AD744" s="30"/>
      <c r="AE744" s="30"/>
      <c r="AF744" s="30"/>
      <c r="AG744" s="30"/>
      <c r="AH744" s="30" t="s">
        <v>4714</v>
      </c>
      <c r="AI744" s="30" t="s">
        <v>9433</v>
      </c>
      <c r="AJ744" s="641" t="str">
        <f t="shared" si="22"/>
        <v>251401</v>
      </c>
      <c r="AK744" s="641">
        <v>1</v>
      </c>
      <c r="AL744" s="641">
        <f t="shared" si="23"/>
        <v>1</v>
      </c>
      <c r="AM744" s="641">
        <v>1</v>
      </c>
      <c r="AN744" s="30" t="s">
        <v>17650</v>
      </c>
      <c r="AO744" s="30" t="s">
        <v>17651</v>
      </c>
      <c r="AP744" s="30" t="s">
        <v>17652</v>
      </c>
      <c r="AQ744" s="30" t="s">
        <v>17653</v>
      </c>
      <c r="AR744" s="30" t="s">
        <v>1024</v>
      </c>
      <c r="AS744" s="30">
        <v>1</v>
      </c>
    </row>
    <row r="745" spans="1:45" x14ac:dyDescent="0.25">
      <c r="A745" s="30" t="s">
        <v>716</v>
      </c>
      <c r="B745" s="30" t="s">
        <v>27307</v>
      </c>
      <c r="C745" s="30" t="s">
        <v>706</v>
      </c>
      <c r="D745" s="139" t="s">
        <v>26375</v>
      </c>
      <c r="E745" s="30" t="s">
        <v>217</v>
      </c>
      <c r="F745" s="30">
        <v>1</v>
      </c>
      <c r="G745" s="30" t="s">
        <v>193</v>
      </c>
      <c r="H745" s="30" t="s">
        <v>194</v>
      </c>
      <c r="I745" s="30" t="s">
        <v>27277</v>
      </c>
      <c r="J745" s="30" t="s">
        <v>210</v>
      </c>
      <c r="K745" s="30" t="s">
        <v>9309</v>
      </c>
      <c r="L745" s="30" t="s">
        <v>6955</v>
      </c>
      <c r="M745" s="30"/>
      <c r="N745" s="30" t="s">
        <v>27710</v>
      </c>
      <c r="O745" s="30" t="s">
        <v>6251</v>
      </c>
      <c r="P745" s="30" t="s">
        <v>27919</v>
      </c>
      <c r="Q745" s="30" t="s">
        <v>24551</v>
      </c>
      <c r="R745" s="30" t="s">
        <v>27361</v>
      </c>
      <c r="S745" s="30" t="s">
        <v>28195</v>
      </c>
      <c r="T745" s="30" t="s">
        <v>28196</v>
      </c>
      <c r="U745" s="30"/>
      <c r="V745" s="139" t="s">
        <v>9334</v>
      </c>
      <c r="W745" s="30" t="s">
        <v>707</v>
      </c>
      <c r="X745" s="30" t="s">
        <v>194</v>
      </c>
      <c r="Y745" s="30" t="s">
        <v>9300</v>
      </c>
      <c r="Z745" s="30"/>
      <c r="AA745" s="30"/>
      <c r="AB745" s="30" t="s">
        <v>9311</v>
      </c>
      <c r="AC745" s="30"/>
      <c r="AD745" s="30"/>
      <c r="AE745" s="30"/>
      <c r="AF745" s="30"/>
      <c r="AG745" s="30"/>
      <c r="AH745" s="30" t="s">
        <v>4714</v>
      </c>
      <c r="AI745" s="30" t="s">
        <v>9433</v>
      </c>
      <c r="AJ745" s="641" t="str">
        <f t="shared" si="22"/>
        <v>422201</v>
      </c>
      <c r="AK745" s="641">
        <v>1</v>
      </c>
      <c r="AL745" s="641">
        <f t="shared" si="23"/>
        <v>1</v>
      </c>
      <c r="AM745" s="641">
        <v>1</v>
      </c>
      <c r="AN745" s="30" t="s">
        <v>17650</v>
      </c>
      <c r="AO745" s="30" t="s">
        <v>17651</v>
      </c>
      <c r="AP745" s="30" t="s">
        <v>17652</v>
      </c>
      <c r="AQ745" s="30" t="s">
        <v>17653</v>
      </c>
      <c r="AR745" s="30" t="s">
        <v>1024</v>
      </c>
      <c r="AS745" s="30">
        <v>1</v>
      </c>
    </row>
    <row r="746" spans="1:45" x14ac:dyDescent="0.25">
      <c r="A746" s="30" t="s">
        <v>11415</v>
      </c>
      <c r="B746" s="30" t="s">
        <v>8016</v>
      </c>
      <c r="C746" s="30" t="s">
        <v>99</v>
      </c>
      <c r="D746" s="139" t="s">
        <v>26375</v>
      </c>
      <c r="E746" s="30" t="s">
        <v>217</v>
      </c>
      <c r="F746" s="30">
        <v>1</v>
      </c>
      <c r="G746" s="30" t="s">
        <v>194</v>
      </c>
      <c r="H746" s="30" t="s">
        <v>193</v>
      </c>
      <c r="I746" s="30" t="s">
        <v>23198</v>
      </c>
      <c r="J746" s="30" t="s">
        <v>210</v>
      </c>
      <c r="K746" s="30" t="s">
        <v>9309</v>
      </c>
      <c r="L746" s="30" t="s">
        <v>6955</v>
      </c>
      <c r="M746" s="30"/>
      <c r="N746" s="30" t="s">
        <v>22312</v>
      </c>
      <c r="O746" s="30" t="s">
        <v>6286</v>
      </c>
      <c r="P746" s="30" t="s">
        <v>27805</v>
      </c>
      <c r="Q746" s="30" t="s">
        <v>26027</v>
      </c>
      <c r="R746" s="30" t="s">
        <v>27806</v>
      </c>
      <c r="S746" s="30" t="s">
        <v>28197</v>
      </c>
      <c r="T746" s="30" t="s">
        <v>28198</v>
      </c>
      <c r="U746" s="30"/>
      <c r="V746" s="139" t="s">
        <v>9334</v>
      </c>
      <c r="W746" s="30" t="s">
        <v>2421</v>
      </c>
      <c r="X746" s="30" t="s">
        <v>194</v>
      </c>
      <c r="Y746" s="30" t="s">
        <v>9300</v>
      </c>
      <c r="Z746" s="30"/>
      <c r="AA746" s="30"/>
      <c r="AB746" s="30" t="s">
        <v>9311</v>
      </c>
      <c r="AC746" s="30"/>
      <c r="AD746" s="30"/>
      <c r="AE746" s="30"/>
      <c r="AF746" s="30"/>
      <c r="AG746" s="30"/>
      <c r="AH746" s="30" t="s">
        <v>4714</v>
      </c>
      <c r="AI746" s="30" t="s">
        <v>9433</v>
      </c>
      <c r="AJ746" s="641" t="str">
        <f t="shared" si="22"/>
        <v>412001</v>
      </c>
      <c r="AK746" s="641">
        <v>1</v>
      </c>
      <c r="AL746" s="641">
        <f t="shared" si="23"/>
        <v>1</v>
      </c>
      <c r="AM746" s="641">
        <v>1</v>
      </c>
      <c r="AN746" s="30" t="s">
        <v>17650</v>
      </c>
      <c r="AO746" s="30" t="s">
        <v>17651</v>
      </c>
      <c r="AP746" s="30" t="s">
        <v>17652</v>
      </c>
      <c r="AQ746" s="30" t="s">
        <v>17653</v>
      </c>
      <c r="AR746" s="30" t="s">
        <v>1024</v>
      </c>
      <c r="AS746" s="30">
        <v>1</v>
      </c>
    </row>
    <row r="747" spans="1:45" x14ac:dyDescent="0.25">
      <c r="A747" s="30" t="s">
        <v>25389</v>
      </c>
      <c r="B747" s="30" t="s">
        <v>26662</v>
      </c>
      <c r="C747" s="30" t="s">
        <v>727</v>
      </c>
      <c r="D747" s="139" t="s">
        <v>26375</v>
      </c>
      <c r="E747" s="30" t="s">
        <v>217</v>
      </c>
      <c r="F747" s="30">
        <v>1</v>
      </c>
      <c r="G747" s="30" t="s">
        <v>193</v>
      </c>
      <c r="H747" s="30" t="s">
        <v>194</v>
      </c>
      <c r="I747" s="30" t="s">
        <v>27277</v>
      </c>
      <c r="J747" s="30" t="s">
        <v>210</v>
      </c>
      <c r="K747" s="30" t="s">
        <v>9309</v>
      </c>
      <c r="L747" s="30" t="s">
        <v>6955</v>
      </c>
      <c r="M747" s="30"/>
      <c r="N747" s="30" t="s">
        <v>26663</v>
      </c>
      <c r="O747" s="30" t="s">
        <v>6343</v>
      </c>
      <c r="P747" s="30" t="s">
        <v>27919</v>
      </c>
      <c r="Q747" s="30" t="s">
        <v>26085</v>
      </c>
      <c r="R747" s="30" t="s">
        <v>26057</v>
      </c>
      <c r="S747" s="30" t="s">
        <v>28199</v>
      </c>
      <c r="T747" s="30" t="s">
        <v>28200</v>
      </c>
      <c r="U747" s="30"/>
      <c r="V747" s="139" t="s">
        <v>9334</v>
      </c>
      <c r="W747" s="30" t="s">
        <v>728</v>
      </c>
      <c r="X747" s="30" t="s">
        <v>194</v>
      </c>
      <c r="Y747" s="30" t="s">
        <v>9300</v>
      </c>
      <c r="Z747" s="30"/>
      <c r="AA747" s="30"/>
      <c r="AB747" s="30" t="s">
        <v>9311</v>
      </c>
      <c r="AC747" s="30"/>
      <c r="AD747" s="30"/>
      <c r="AE747" s="30"/>
      <c r="AF747" s="30"/>
      <c r="AG747" s="30"/>
      <c r="AH747" s="30" t="s">
        <v>4714</v>
      </c>
      <c r="AI747" s="30" t="s">
        <v>9433</v>
      </c>
      <c r="AJ747" s="641" t="str">
        <f t="shared" si="22"/>
        <v>512001</v>
      </c>
      <c r="AK747" s="641">
        <v>1</v>
      </c>
      <c r="AL747" s="641">
        <f t="shared" si="23"/>
        <v>1</v>
      </c>
      <c r="AM747" s="641">
        <v>1</v>
      </c>
      <c r="AN747" s="30" t="s">
        <v>17650</v>
      </c>
      <c r="AO747" s="30" t="s">
        <v>17651</v>
      </c>
      <c r="AP747" s="30" t="s">
        <v>17652</v>
      </c>
      <c r="AQ747" s="30" t="s">
        <v>17653</v>
      </c>
      <c r="AR747" s="30" t="s">
        <v>1024</v>
      </c>
      <c r="AS747" s="30">
        <v>1</v>
      </c>
    </row>
    <row r="748" spans="1:45" x14ac:dyDescent="0.25">
      <c r="A748" s="30" t="s">
        <v>716</v>
      </c>
      <c r="B748" s="30" t="s">
        <v>26745</v>
      </c>
      <c r="C748" s="30" t="s">
        <v>706</v>
      </c>
      <c r="D748" s="139" t="s">
        <v>26375</v>
      </c>
      <c r="E748" s="30" t="s">
        <v>217</v>
      </c>
      <c r="F748" s="30">
        <v>1</v>
      </c>
      <c r="G748" s="30" t="s">
        <v>193</v>
      </c>
      <c r="H748" s="30" t="s">
        <v>194</v>
      </c>
      <c r="I748" s="30" t="s">
        <v>27277</v>
      </c>
      <c r="J748" s="30" t="s">
        <v>210</v>
      </c>
      <c r="K748" s="30" t="s">
        <v>9309</v>
      </c>
      <c r="L748" s="30" t="s">
        <v>6955</v>
      </c>
      <c r="M748" s="30"/>
      <c r="N748" s="30" t="s">
        <v>27245</v>
      </c>
      <c r="O748" s="30" t="s">
        <v>6251</v>
      </c>
      <c r="P748" s="30" t="s">
        <v>27919</v>
      </c>
      <c r="Q748" s="30" t="s">
        <v>26881</v>
      </c>
      <c r="R748" s="30" t="s">
        <v>26882</v>
      </c>
      <c r="S748" s="30" t="s">
        <v>28201</v>
      </c>
      <c r="T748" s="30" t="s">
        <v>28202</v>
      </c>
      <c r="U748" s="30"/>
      <c r="V748" s="139" t="s">
        <v>9334</v>
      </c>
      <c r="W748" s="30" t="s">
        <v>707</v>
      </c>
      <c r="X748" s="30" t="s">
        <v>194</v>
      </c>
      <c r="Y748" s="30" t="s">
        <v>9300</v>
      </c>
      <c r="Z748" s="30"/>
      <c r="AA748" s="30"/>
      <c r="AB748" s="30" t="s">
        <v>9311</v>
      </c>
      <c r="AC748" s="30"/>
      <c r="AD748" s="30"/>
      <c r="AE748" s="30"/>
      <c r="AF748" s="30"/>
      <c r="AG748" s="30"/>
      <c r="AH748" s="30" t="s">
        <v>4714</v>
      </c>
      <c r="AI748" s="30" t="s">
        <v>9433</v>
      </c>
      <c r="AJ748" s="641" t="str">
        <f t="shared" si="22"/>
        <v>422201</v>
      </c>
      <c r="AK748" s="641">
        <v>1</v>
      </c>
      <c r="AL748" s="641">
        <f t="shared" si="23"/>
        <v>1</v>
      </c>
      <c r="AM748" s="641">
        <v>1</v>
      </c>
      <c r="AN748" s="30" t="s">
        <v>17650</v>
      </c>
      <c r="AO748" s="30" t="s">
        <v>17651</v>
      </c>
      <c r="AP748" s="30" t="s">
        <v>17652</v>
      </c>
      <c r="AQ748" s="30" t="s">
        <v>17653</v>
      </c>
      <c r="AR748" s="30" t="s">
        <v>1024</v>
      </c>
      <c r="AS748" s="30">
        <v>1</v>
      </c>
    </row>
    <row r="749" spans="1:45" x14ac:dyDescent="0.25">
      <c r="A749" s="30" t="s">
        <v>258</v>
      </c>
      <c r="B749" s="30" t="s">
        <v>7677</v>
      </c>
      <c r="C749" s="30" t="s">
        <v>778</v>
      </c>
      <c r="D749" s="139" t="s">
        <v>26375</v>
      </c>
      <c r="E749" s="30" t="s">
        <v>217</v>
      </c>
      <c r="F749" s="30">
        <v>1</v>
      </c>
      <c r="G749" s="30" t="s">
        <v>193</v>
      </c>
      <c r="H749" s="30" t="s">
        <v>194</v>
      </c>
      <c r="I749" s="30" t="s">
        <v>26077</v>
      </c>
      <c r="J749" s="30" t="s">
        <v>285</v>
      </c>
      <c r="K749" s="30" t="s">
        <v>9309</v>
      </c>
      <c r="L749" s="30" t="s">
        <v>6955</v>
      </c>
      <c r="M749" s="30"/>
      <c r="N749" s="30" t="s">
        <v>28203</v>
      </c>
      <c r="O749" s="30" t="s">
        <v>6251</v>
      </c>
      <c r="P749" s="30" t="s">
        <v>27762</v>
      </c>
      <c r="Q749" s="30" t="s">
        <v>26079</v>
      </c>
      <c r="R749" s="30" t="s">
        <v>26077</v>
      </c>
      <c r="S749" s="30" t="s">
        <v>28204</v>
      </c>
      <c r="T749" s="30" t="s">
        <v>28205</v>
      </c>
      <c r="U749" s="30"/>
      <c r="V749" s="139" t="s">
        <v>9518</v>
      </c>
      <c r="W749" s="30" t="s">
        <v>779</v>
      </c>
      <c r="X749" s="30" t="s">
        <v>194</v>
      </c>
      <c r="Y749" s="30" t="s">
        <v>9300</v>
      </c>
      <c r="Z749" s="30"/>
      <c r="AA749" s="30"/>
      <c r="AB749" s="30" t="s">
        <v>9311</v>
      </c>
      <c r="AC749" s="30"/>
      <c r="AD749" s="30"/>
      <c r="AE749" s="30"/>
      <c r="AF749" s="30"/>
      <c r="AG749" s="30"/>
      <c r="AH749" s="30" t="s">
        <v>4714</v>
      </c>
      <c r="AI749" s="30" t="s">
        <v>778</v>
      </c>
      <c r="AJ749" s="641" t="str">
        <f t="shared" si="22"/>
        <v>524902</v>
      </c>
      <c r="AK749" s="641">
        <v>1</v>
      </c>
      <c r="AL749" s="641">
        <f t="shared" si="23"/>
        <v>1</v>
      </c>
      <c r="AM749" s="641">
        <v>1</v>
      </c>
      <c r="AN749" s="30" t="s">
        <v>17650</v>
      </c>
      <c r="AO749" s="30" t="s">
        <v>17651</v>
      </c>
      <c r="AP749" s="30" t="s">
        <v>17652</v>
      </c>
      <c r="AQ749" s="30" t="s">
        <v>17653</v>
      </c>
      <c r="AR749" s="30" t="s">
        <v>1024</v>
      </c>
      <c r="AS749" s="30">
        <v>1</v>
      </c>
    </row>
    <row r="750" spans="1:45" x14ac:dyDescent="0.25">
      <c r="A750" s="30" t="s">
        <v>28206</v>
      </c>
      <c r="B750" s="30" t="s">
        <v>83</v>
      </c>
      <c r="C750" s="30" t="s">
        <v>83</v>
      </c>
      <c r="D750" s="139" t="s">
        <v>26375</v>
      </c>
      <c r="E750" s="30" t="s">
        <v>217</v>
      </c>
      <c r="F750" s="30">
        <v>1</v>
      </c>
      <c r="G750" s="30" t="s">
        <v>193</v>
      </c>
      <c r="H750" s="30" t="s">
        <v>194</v>
      </c>
      <c r="I750" s="30" t="s">
        <v>27277</v>
      </c>
      <c r="J750" s="30" t="s">
        <v>2819</v>
      </c>
      <c r="K750" s="30" t="s">
        <v>9309</v>
      </c>
      <c r="L750" s="30" t="s">
        <v>6955</v>
      </c>
      <c r="M750" s="30"/>
      <c r="N750" s="30" t="s">
        <v>28207</v>
      </c>
      <c r="O750" s="30" t="s">
        <v>6275</v>
      </c>
      <c r="P750" s="30" t="s">
        <v>27919</v>
      </c>
      <c r="Q750" s="30" t="s">
        <v>26242</v>
      </c>
      <c r="R750" s="30" t="s">
        <v>23198</v>
      </c>
      <c r="S750" s="30" t="s">
        <v>28208</v>
      </c>
      <c r="T750" s="30" t="s">
        <v>28209</v>
      </c>
      <c r="U750" s="30"/>
      <c r="V750" s="139" t="s">
        <v>9786</v>
      </c>
      <c r="W750" s="30" t="s">
        <v>791</v>
      </c>
      <c r="X750" s="30" t="s">
        <v>194</v>
      </c>
      <c r="Y750" s="30" t="s">
        <v>9300</v>
      </c>
      <c r="Z750" s="30"/>
      <c r="AA750" s="30"/>
      <c r="AB750" s="30" t="s">
        <v>9311</v>
      </c>
      <c r="AC750" s="30"/>
      <c r="AD750" s="30"/>
      <c r="AE750" s="30"/>
      <c r="AF750" s="30"/>
      <c r="AG750" s="30"/>
      <c r="AH750" s="30" t="s">
        <v>4714</v>
      </c>
      <c r="AI750" s="30" t="s">
        <v>9433</v>
      </c>
      <c r="AJ750" s="641" t="str">
        <f t="shared" si="22"/>
        <v>721204</v>
      </c>
      <c r="AK750" s="641">
        <v>1</v>
      </c>
      <c r="AL750" s="641">
        <f t="shared" si="23"/>
        <v>1</v>
      </c>
      <c r="AM750" s="641">
        <v>1</v>
      </c>
      <c r="AN750" s="30" t="s">
        <v>17650</v>
      </c>
      <c r="AO750" s="30" t="s">
        <v>17651</v>
      </c>
      <c r="AP750" s="30" t="s">
        <v>17652</v>
      </c>
      <c r="AQ750" s="30" t="s">
        <v>17653</v>
      </c>
      <c r="AR750" s="30" t="s">
        <v>1024</v>
      </c>
      <c r="AS750" s="30">
        <v>1</v>
      </c>
    </row>
    <row r="751" spans="1:45" x14ac:dyDescent="0.25">
      <c r="A751" s="30" t="s">
        <v>26089</v>
      </c>
      <c r="B751" s="30" t="s">
        <v>26459</v>
      </c>
      <c r="C751" s="30" t="s">
        <v>82</v>
      </c>
      <c r="D751" s="139" t="s">
        <v>26375</v>
      </c>
      <c r="E751" s="30" t="s">
        <v>217</v>
      </c>
      <c r="F751" s="30">
        <v>1</v>
      </c>
      <c r="G751" s="30" t="s">
        <v>193</v>
      </c>
      <c r="H751" s="30" t="s">
        <v>194</v>
      </c>
      <c r="I751" s="30" t="s">
        <v>27277</v>
      </c>
      <c r="J751" s="30" t="s">
        <v>210</v>
      </c>
      <c r="K751" s="30" t="s">
        <v>9309</v>
      </c>
      <c r="L751" s="30" t="s">
        <v>6955</v>
      </c>
      <c r="M751" s="30"/>
      <c r="N751" s="30" t="s">
        <v>26460</v>
      </c>
      <c r="O751" s="30" t="s">
        <v>6261</v>
      </c>
      <c r="P751" s="30" t="s">
        <v>27919</v>
      </c>
      <c r="Q751" s="30" t="s">
        <v>26261</v>
      </c>
      <c r="R751" s="30" t="s">
        <v>26262</v>
      </c>
      <c r="S751" s="30" t="s">
        <v>28210</v>
      </c>
      <c r="T751" s="30" t="s">
        <v>28211</v>
      </c>
      <c r="U751" s="30"/>
      <c r="V751" s="139" t="s">
        <v>9334</v>
      </c>
      <c r="W751" s="30" t="s">
        <v>504</v>
      </c>
      <c r="X751" s="30" t="s">
        <v>194</v>
      </c>
      <c r="Y751" s="30" t="s">
        <v>9300</v>
      </c>
      <c r="Z751" s="30"/>
      <c r="AA751" s="30"/>
      <c r="AB751" s="30" t="s">
        <v>9311</v>
      </c>
      <c r="AC751" s="30"/>
      <c r="AD751" s="30"/>
      <c r="AE751" s="30"/>
      <c r="AF751" s="30"/>
      <c r="AG751" s="30"/>
      <c r="AH751" s="30" t="s">
        <v>4714</v>
      </c>
      <c r="AI751" s="30" t="s">
        <v>9433</v>
      </c>
      <c r="AJ751" s="641" t="str">
        <f t="shared" si="22"/>
        <v>252101</v>
      </c>
      <c r="AK751" s="641">
        <v>1</v>
      </c>
      <c r="AL751" s="641">
        <f t="shared" si="23"/>
        <v>1</v>
      </c>
      <c r="AM751" s="641">
        <v>1</v>
      </c>
      <c r="AN751" s="30" t="s">
        <v>17650</v>
      </c>
      <c r="AO751" s="30" t="s">
        <v>17651</v>
      </c>
      <c r="AP751" s="30" t="s">
        <v>17652</v>
      </c>
      <c r="AQ751" s="30" t="s">
        <v>17653</v>
      </c>
      <c r="AR751" s="30" t="s">
        <v>1024</v>
      </c>
      <c r="AS751" s="30">
        <v>1</v>
      </c>
    </row>
    <row r="752" spans="1:45" x14ac:dyDescent="0.25">
      <c r="A752" s="30" t="s">
        <v>716</v>
      </c>
      <c r="B752" s="30" t="s">
        <v>26902</v>
      </c>
      <c r="C752" s="30" t="s">
        <v>706</v>
      </c>
      <c r="D752" s="139" t="s">
        <v>26375</v>
      </c>
      <c r="E752" s="30" t="s">
        <v>217</v>
      </c>
      <c r="F752" s="30">
        <v>1</v>
      </c>
      <c r="G752" s="30" t="s">
        <v>193</v>
      </c>
      <c r="H752" s="30" t="s">
        <v>194</v>
      </c>
      <c r="I752" s="30" t="s">
        <v>27277</v>
      </c>
      <c r="J752" s="30" t="s">
        <v>210</v>
      </c>
      <c r="K752" s="30" t="s">
        <v>9309</v>
      </c>
      <c r="L752" s="30" t="s">
        <v>6955</v>
      </c>
      <c r="M752" s="30"/>
      <c r="N752" s="30" t="s">
        <v>28212</v>
      </c>
      <c r="O752" s="30" t="s">
        <v>6251</v>
      </c>
      <c r="P752" s="30" t="s">
        <v>27919</v>
      </c>
      <c r="Q752" s="30" t="s">
        <v>26252</v>
      </c>
      <c r="R752" s="30" t="s">
        <v>27838</v>
      </c>
      <c r="S752" s="30" t="s">
        <v>28213</v>
      </c>
      <c r="T752" s="30" t="s">
        <v>28214</v>
      </c>
      <c r="U752" s="30"/>
      <c r="V752" s="139" t="s">
        <v>9334</v>
      </c>
      <c r="W752" s="30" t="s">
        <v>707</v>
      </c>
      <c r="X752" s="30" t="s">
        <v>194</v>
      </c>
      <c r="Y752" s="30" t="s">
        <v>9300</v>
      </c>
      <c r="Z752" s="30"/>
      <c r="AA752" s="30"/>
      <c r="AB752" s="30" t="s">
        <v>9311</v>
      </c>
      <c r="AC752" s="30"/>
      <c r="AD752" s="30"/>
      <c r="AE752" s="30"/>
      <c r="AF752" s="30"/>
      <c r="AG752" s="30"/>
      <c r="AH752" s="30" t="s">
        <v>4714</v>
      </c>
      <c r="AI752" s="30" t="s">
        <v>9433</v>
      </c>
      <c r="AJ752" s="641" t="str">
        <f t="shared" si="22"/>
        <v>422201</v>
      </c>
      <c r="AK752" s="641">
        <v>1</v>
      </c>
      <c r="AL752" s="641">
        <f t="shared" si="23"/>
        <v>1</v>
      </c>
      <c r="AM752" s="641">
        <v>1</v>
      </c>
      <c r="AN752" s="30" t="s">
        <v>17650</v>
      </c>
      <c r="AO752" s="30" t="s">
        <v>17651</v>
      </c>
      <c r="AP752" s="30" t="s">
        <v>17652</v>
      </c>
      <c r="AQ752" s="30" t="s">
        <v>17653</v>
      </c>
      <c r="AR752" s="30" t="s">
        <v>1024</v>
      </c>
      <c r="AS752" s="30">
        <v>1</v>
      </c>
    </row>
    <row r="753" spans="1:45" x14ac:dyDescent="0.25">
      <c r="A753" s="30" t="s">
        <v>716</v>
      </c>
      <c r="B753" s="30" t="s">
        <v>27331</v>
      </c>
      <c r="C753" s="30" t="s">
        <v>706</v>
      </c>
      <c r="D753" s="139" t="s">
        <v>26375</v>
      </c>
      <c r="E753" s="30" t="s">
        <v>217</v>
      </c>
      <c r="F753" s="30">
        <v>1</v>
      </c>
      <c r="G753" s="30" t="s">
        <v>193</v>
      </c>
      <c r="H753" s="30" t="s">
        <v>194</v>
      </c>
      <c r="I753" s="30" t="s">
        <v>27277</v>
      </c>
      <c r="J753" s="30" t="s">
        <v>210</v>
      </c>
      <c r="K753" s="30" t="s">
        <v>9309</v>
      </c>
      <c r="L753" s="30" t="s">
        <v>6955</v>
      </c>
      <c r="M753" s="30"/>
      <c r="N753" s="30" t="s">
        <v>27332</v>
      </c>
      <c r="O753" s="30" t="s">
        <v>6286</v>
      </c>
      <c r="P753" s="30" t="s">
        <v>27919</v>
      </c>
      <c r="Q753" s="30" t="s">
        <v>25893</v>
      </c>
      <c r="R753" s="30" t="s">
        <v>27300</v>
      </c>
      <c r="S753" s="30" t="s">
        <v>28215</v>
      </c>
      <c r="T753" s="30" t="s">
        <v>28216</v>
      </c>
      <c r="U753" s="30"/>
      <c r="V753" s="139" t="s">
        <v>9334</v>
      </c>
      <c r="W753" s="30" t="s">
        <v>707</v>
      </c>
      <c r="X753" s="30" t="s">
        <v>194</v>
      </c>
      <c r="Y753" s="30" t="s">
        <v>9300</v>
      </c>
      <c r="Z753" s="30"/>
      <c r="AA753" s="30"/>
      <c r="AB753" s="30" t="s">
        <v>9311</v>
      </c>
      <c r="AC753" s="30"/>
      <c r="AD753" s="30"/>
      <c r="AE753" s="30"/>
      <c r="AF753" s="30"/>
      <c r="AG753" s="30"/>
      <c r="AH753" s="30" t="s">
        <v>4714</v>
      </c>
      <c r="AI753" s="30" t="s">
        <v>9433</v>
      </c>
      <c r="AJ753" s="641" t="str">
        <f t="shared" si="22"/>
        <v>422201</v>
      </c>
      <c r="AK753" s="641">
        <v>1</v>
      </c>
      <c r="AL753" s="641">
        <f t="shared" si="23"/>
        <v>1</v>
      </c>
      <c r="AM753" s="641">
        <v>1</v>
      </c>
      <c r="AN753" s="30" t="s">
        <v>17650</v>
      </c>
      <c r="AO753" s="30" t="s">
        <v>17651</v>
      </c>
      <c r="AP753" s="30" t="s">
        <v>17652</v>
      </c>
      <c r="AQ753" s="30" t="s">
        <v>17653</v>
      </c>
      <c r="AR753" s="30" t="s">
        <v>1024</v>
      </c>
      <c r="AS753" s="30">
        <v>1</v>
      </c>
    </row>
    <row r="754" spans="1:45" x14ac:dyDescent="0.25">
      <c r="A754" s="30" t="s">
        <v>581</v>
      </c>
      <c r="B754" s="30" t="s">
        <v>3873</v>
      </c>
      <c r="C754" s="30" t="s">
        <v>62</v>
      </c>
      <c r="D754" s="139" t="s">
        <v>26375</v>
      </c>
      <c r="E754" s="30" t="s">
        <v>217</v>
      </c>
      <c r="F754" s="30">
        <v>1</v>
      </c>
      <c r="G754" s="30" t="s">
        <v>193</v>
      </c>
      <c r="H754" s="30" t="s">
        <v>194</v>
      </c>
      <c r="I754" s="30" t="s">
        <v>27277</v>
      </c>
      <c r="J754" s="30" t="s">
        <v>976</v>
      </c>
      <c r="K754" s="30" t="s">
        <v>9309</v>
      </c>
      <c r="L754" s="30" t="s">
        <v>6955</v>
      </c>
      <c r="M754" s="30"/>
      <c r="N754" s="30" t="s">
        <v>27108</v>
      </c>
      <c r="O754" s="30" t="s">
        <v>6275</v>
      </c>
      <c r="P754" s="30" t="s">
        <v>27919</v>
      </c>
      <c r="Q754" s="30" t="s">
        <v>26079</v>
      </c>
      <c r="R754" s="30" t="s">
        <v>26262</v>
      </c>
      <c r="S754" s="30" t="s">
        <v>28217</v>
      </c>
      <c r="T754" s="30" t="s">
        <v>28218</v>
      </c>
      <c r="U754" s="139"/>
      <c r="V754" s="139" t="s">
        <v>28321</v>
      </c>
      <c r="W754" s="30" t="s">
        <v>601</v>
      </c>
      <c r="X754" s="30" t="s">
        <v>193</v>
      </c>
      <c r="Y754" s="30" t="s">
        <v>9310</v>
      </c>
      <c r="Z754" s="30"/>
      <c r="AA754" s="30"/>
      <c r="AB754" s="30" t="s">
        <v>9311</v>
      </c>
      <c r="AC754" s="30"/>
      <c r="AD754" s="30"/>
      <c r="AE754" s="30"/>
      <c r="AF754" s="30"/>
      <c r="AG754" s="30"/>
      <c r="AH754" s="30" t="s">
        <v>4714</v>
      </c>
      <c r="AI754" s="30" t="s">
        <v>9433</v>
      </c>
      <c r="AJ754" s="641" t="str">
        <f t="shared" si="22"/>
        <v>313904</v>
      </c>
      <c r="AK754" s="641">
        <v>1</v>
      </c>
      <c r="AL754" s="641">
        <f t="shared" si="23"/>
        <v>1</v>
      </c>
      <c r="AM754" s="641">
        <v>1</v>
      </c>
      <c r="AN754" s="30" t="s">
        <v>17650</v>
      </c>
      <c r="AO754" s="30" t="s">
        <v>17651</v>
      </c>
      <c r="AP754" s="30" t="s">
        <v>17652</v>
      </c>
      <c r="AQ754" s="30" t="s">
        <v>17653</v>
      </c>
      <c r="AR754" s="30" t="s">
        <v>1024</v>
      </c>
      <c r="AS754" s="30">
        <v>1</v>
      </c>
    </row>
    <row r="755" spans="1:45" x14ac:dyDescent="0.25">
      <c r="A755" s="30" t="s">
        <v>26153</v>
      </c>
      <c r="B755" s="30" t="s">
        <v>27390</v>
      </c>
      <c r="C755" s="30" t="s">
        <v>10</v>
      </c>
      <c r="D755" s="139" t="s">
        <v>26375</v>
      </c>
      <c r="E755" s="30" t="s">
        <v>217</v>
      </c>
      <c r="F755" s="30">
        <v>1</v>
      </c>
      <c r="G755" s="30" t="s">
        <v>193</v>
      </c>
      <c r="H755" s="30" t="s">
        <v>194</v>
      </c>
      <c r="I755" s="30" t="s">
        <v>23198</v>
      </c>
      <c r="J755" s="30" t="s">
        <v>210</v>
      </c>
      <c r="K755" s="30" t="s">
        <v>9309</v>
      </c>
      <c r="L755" s="30" t="s">
        <v>6955</v>
      </c>
      <c r="M755" s="30"/>
      <c r="N755" s="30" t="s">
        <v>27391</v>
      </c>
      <c r="O755" s="30" t="s">
        <v>6261</v>
      </c>
      <c r="P755" s="30" t="s">
        <v>27919</v>
      </c>
      <c r="Q755" s="30" t="s">
        <v>24551</v>
      </c>
      <c r="R755" s="30" t="s">
        <v>27361</v>
      </c>
      <c r="S755" s="30" t="s">
        <v>28219</v>
      </c>
      <c r="T755" s="30" t="s">
        <v>28220</v>
      </c>
      <c r="U755" s="30"/>
      <c r="V755" s="139" t="s">
        <v>9334</v>
      </c>
      <c r="W755" s="30" t="s">
        <v>484</v>
      </c>
      <c r="X755" s="30" t="s">
        <v>194</v>
      </c>
      <c r="Y755" s="30" t="s">
        <v>9300</v>
      </c>
      <c r="Z755" s="30"/>
      <c r="AA755" s="30"/>
      <c r="AB755" s="30" t="s">
        <v>9311</v>
      </c>
      <c r="AC755" s="30"/>
      <c r="AD755" s="30"/>
      <c r="AE755" s="30"/>
      <c r="AF755" s="30"/>
      <c r="AG755" s="30"/>
      <c r="AH755" s="30" t="s">
        <v>4714</v>
      </c>
      <c r="AI755" s="30" t="s">
        <v>9433</v>
      </c>
      <c r="AJ755" s="641" t="str">
        <f t="shared" si="22"/>
        <v>251401</v>
      </c>
      <c r="AK755" s="641">
        <v>1</v>
      </c>
      <c r="AL755" s="641">
        <f t="shared" si="23"/>
        <v>1</v>
      </c>
      <c r="AM755" s="641">
        <v>1</v>
      </c>
      <c r="AN755" s="30" t="s">
        <v>17650</v>
      </c>
      <c r="AO755" s="30" t="s">
        <v>17651</v>
      </c>
      <c r="AP755" s="30" t="s">
        <v>17652</v>
      </c>
      <c r="AQ755" s="30" t="s">
        <v>17653</v>
      </c>
      <c r="AR755" s="30" t="s">
        <v>1024</v>
      </c>
      <c r="AS755" s="30">
        <v>1</v>
      </c>
    </row>
    <row r="756" spans="1:45" x14ac:dyDescent="0.25">
      <c r="A756" s="30" t="s">
        <v>26198</v>
      </c>
      <c r="B756" s="30" t="s">
        <v>26199</v>
      </c>
      <c r="C756" s="30" t="s">
        <v>21</v>
      </c>
      <c r="D756" s="139" t="s">
        <v>26375</v>
      </c>
      <c r="E756" s="30" t="s">
        <v>217</v>
      </c>
      <c r="F756" s="30">
        <v>1</v>
      </c>
      <c r="G756" s="30" t="s">
        <v>193</v>
      </c>
      <c r="H756" s="30" t="s">
        <v>194</v>
      </c>
      <c r="I756" s="30" t="s">
        <v>26133</v>
      </c>
      <c r="J756" s="30" t="s">
        <v>316</v>
      </c>
      <c r="K756" s="30" t="s">
        <v>9309</v>
      </c>
      <c r="L756" s="30" t="s">
        <v>6955</v>
      </c>
      <c r="M756" s="30"/>
      <c r="N756" s="30" t="s">
        <v>28221</v>
      </c>
      <c r="O756" s="30" t="s">
        <v>6256</v>
      </c>
      <c r="P756" s="30" t="s">
        <v>27919</v>
      </c>
      <c r="Q756" s="30" t="s">
        <v>26190</v>
      </c>
      <c r="R756" s="30" t="s">
        <v>27792</v>
      </c>
      <c r="S756" s="30" t="s">
        <v>28222</v>
      </c>
      <c r="T756" s="30" t="s">
        <v>28223</v>
      </c>
      <c r="U756" s="30"/>
      <c r="V756" s="139" t="s">
        <v>10012</v>
      </c>
      <c r="W756" s="30" t="s">
        <v>293</v>
      </c>
      <c r="X756" s="30" t="s">
        <v>194</v>
      </c>
      <c r="Y756" s="30" t="s">
        <v>9300</v>
      </c>
      <c r="Z756" s="30"/>
      <c r="AA756" s="30"/>
      <c r="AB756" s="30" t="s">
        <v>9311</v>
      </c>
      <c r="AC756" s="30"/>
      <c r="AD756" s="30"/>
      <c r="AE756" s="30"/>
      <c r="AF756" s="30"/>
      <c r="AG756" s="30"/>
      <c r="AH756" s="30" t="s">
        <v>4714</v>
      </c>
      <c r="AI756" s="30" t="s">
        <v>9433</v>
      </c>
      <c r="AJ756" s="641" t="str">
        <f t="shared" si="22"/>
        <v>214202</v>
      </c>
      <c r="AK756" s="641">
        <v>1</v>
      </c>
      <c r="AL756" s="641">
        <f t="shared" si="23"/>
        <v>1</v>
      </c>
      <c r="AM756" s="641">
        <v>1</v>
      </c>
      <c r="AN756" s="30" t="s">
        <v>17650</v>
      </c>
      <c r="AO756" s="30" t="s">
        <v>17651</v>
      </c>
      <c r="AP756" s="30" t="s">
        <v>17652</v>
      </c>
      <c r="AQ756" s="30" t="s">
        <v>17653</v>
      </c>
      <c r="AR756" s="30" t="s">
        <v>1024</v>
      </c>
      <c r="AS756" s="30">
        <v>1</v>
      </c>
    </row>
    <row r="757" spans="1:45" x14ac:dyDescent="0.25">
      <c r="A757" s="30" t="s">
        <v>716</v>
      </c>
      <c r="B757" s="30" t="s">
        <v>27679</v>
      </c>
      <c r="C757" s="30" t="s">
        <v>706</v>
      </c>
      <c r="D757" s="139" t="s">
        <v>26375</v>
      </c>
      <c r="E757" s="30" t="s">
        <v>217</v>
      </c>
      <c r="F757" s="30">
        <v>1</v>
      </c>
      <c r="G757" s="30" t="s">
        <v>193</v>
      </c>
      <c r="H757" s="30" t="s">
        <v>194</v>
      </c>
      <c r="I757" s="30" t="s">
        <v>27277</v>
      </c>
      <c r="J757" s="30" t="s">
        <v>210</v>
      </c>
      <c r="K757" s="30" t="s">
        <v>9309</v>
      </c>
      <c r="L757" s="30" t="s">
        <v>6955</v>
      </c>
      <c r="M757" s="30"/>
      <c r="N757" s="30" t="s">
        <v>27680</v>
      </c>
      <c r="O757" s="30" t="s">
        <v>6251</v>
      </c>
      <c r="P757" s="30" t="s">
        <v>27919</v>
      </c>
      <c r="Q757" s="30" t="s">
        <v>26139</v>
      </c>
      <c r="R757" s="30" t="s">
        <v>27256</v>
      </c>
      <c r="S757" s="30" t="s">
        <v>28224</v>
      </c>
      <c r="T757" s="30" t="s">
        <v>28225</v>
      </c>
      <c r="U757" s="30"/>
      <c r="V757" s="139" t="s">
        <v>9334</v>
      </c>
      <c r="W757" s="30" t="s">
        <v>707</v>
      </c>
      <c r="X757" s="30" t="s">
        <v>194</v>
      </c>
      <c r="Y757" s="30" t="s">
        <v>9300</v>
      </c>
      <c r="Z757" s="30"/>
      <c r="AA757" s="30"/>
      <c r="AB757" s="30" t="s">
        <v>9311</v>
      </c>
      <c r="AC757" s="30"/>
      <c r="AD757" s="30"/>
      <c r="AE757" s="30"/>
      <c r="AF757" s="30"/>
      <c r="AG757" s="30"/>
      <c r="AH757" s="30" t="s">
        <v>4714</v>
      </c>
      <c r="AI757" s="30" t="s">
        <v>9433</v>
      </c>
      <c r="AJ757" s="641" t="str">
        <f t="shared" si="22"/>
        <v>422201</v>
      </c>
      <c r="AK757" s="641">
        <v>1</v>
      </c>
      <c r="AL757" s="641">
        <f t="shared" si="23"/>
        <v>1</v>
      </c>
      <c r="AM757" s="641">
        <v>1</v>
      </c>
      <c r="AN757" s="30" t="s">
        <v>17650</v>
      </c>
      <c r="AO757" s="30" t="s">
        <v>17651</v>
      </c>
      <c r="AP757" s="30" t="s">
        <v>17652</v>
      </c>
      <c r="AQ757" s="30" t="s">
        <v>17653</v>
      </c>
      <c r="AR757" s="30" t="s">
        <v>1024</v>
      </c>
      <c r="AS757" s="30">
        <v>1</v>
      </c>
    </row>
    <row r="758" spans="1:45" x14ac:dyDescent="0.25">
      <c r="A758" s="30" t="s">
        <v>26153</v>
      </c>
      <c r="B758" s="30" t="s">
        <v>3201</v>
      </c>
      <c r="C758" s="30" t="s">
        <v>10</v>
      </c>
      <c r="D758" s="139" t="s">
        <v>26375</v>
      </c>
      <c r="E758" s="30" t="s">
        <v>217</v>
      </c>
      <c r="F758" s="30">
        <v>1</v>
      </c>
      <c r="G758" s="30" t="s">
        <v>193</v>
      </c>
      <c r="H758" s="30" t="s">
        <v>194</v>
      </c>
      <c r="I758" s="30" t="s">
        <v>23198</v>
      </c>
      <c r="J758" s="30" t="s">
        <v>210</v>
      </c>
      <c r="K758" s="30" t="s">
        <v>9309</v>
      </c>
      <c r="L758" s="30" t="s">
        <v>6955</v>
      </c>
      <c r="M758" s="30"/>
      <c r="N758" s="30" t="s">
        <v>26749</v>
      </c>
      <c r="O758" s="30" t="s">
        <v>7531</v>
      </c>
      <c r="P758" s="30" t="s">
        <v>27919</v>
      </c>
      <c r="Q758" s="30" t="s">
        <v>26182</v>
      </c>
      <c r="R758" s="30" t="s">
        <v>26183</v>
      </c>
      <c r="S758" s="30" t="s">
        <v>28226</v>
      </c>
      <c r="T758" s="30" t="s">
        <v>28227</v>
      </c>
      <c r="U758" s="30"/>
      <c r="V758" s="139" t="s">
        <v>9334</v>
      </c>
      <c r="W758" s="30" t="s">
        <v>484</v>
      </c>
      <c r="X758" s="30" t="s">
        <v>194</v>
      </c>
      <c r="Y758" s="30" t="s">
        <v>9300</v>
      </c>
      <c r="Z758" s="30"/>
      <c r="AA758" s="30"/>
      <c r="AB758" s="30" t="s">
        <v>9311</v>
      </c>
      <c r="AC758" s="30"/>
      <c r="AD758" s="30"/>
      <c r="AE758" s="30"/>
      <c r="AF758" s="30"/>
      <c r="AG758" s="30"/>
      <c r="AH758" s="30" t="s">
        <v>4714</v>
      </c>
      <c r="AI758" s="30" t="s">
        <v>9433</v>
      </c>
      <c r="AJ758" s="641" t="str">
        <f t="shared" si="22"/>
        <v>251401</v>
      </c>
      <c r="AK758" s="641">
        <v>1</v>
      </c>
      <c r="AL758" s="641">
        <f t="shared" si="23"/>
        <v>1</v>
      </c>
      <c r="AM758" s="641">
        <v>1</v>
      </c>
      <c r="AN758" s="30" t="s">
        <v>17650</v>
      </c>
      <c r="AO758" s="30" t="s">
        <v>17651</v>
      </c>
      <c r="AP758" s="30" t="s">
        <v>17652</v>
      </c>
      <c r="AQ758" s="30" t="s">
        <v>17653</v>
      </c>
      <c r="AR758" s="30" t="s">
        <v>1024</v>
      </c>
      <c r="AS758" s="30">
        <v>1</v>
      </c>
    </row>
    <row r="759" spans="1:45" x14ac:dyDescent="0.25">
      <c r="A759" s="30" t="s">
        <v>716</v>
      </c>
      <c r="B759" s="30" t="s">
        <v>26635</v>
      </c>
      <c r="C759" s="30" t="s">
        <v>706</v>
      </c>
      <c r="D759" s="139" t="s">
        <v>26375</v>
      </c>
      <c r="E759" s="30" t="s">
        <v>217</v>
      </c>
      <c r="F759" s="30">
        <v>1</v>
      </c>
      <c r="G759" s="30" t="s">
        <v>193</v>
      </c>
      <c r="H759" s="30" t="s">
        <v>194</v>
      </c>
      <c r="I759" s="30" t="s">
        <v>27277</v>
      </c>
      <c r="J759" s="30" t="s">
        <v>210</v>
      </c>
      <c r="K759" s="30" t="s">
        <v>9309</v>
      </c>
      <c r="L759" s="30" t="s">
        <v>6955</v>
      </c>
      <c r="M759" s="30"/>
      <c r="N759" s="30" t="s">
        <v>27387</v>
      </c>
      <c r="O759" s="30" t="s">
        <v>6251</v>
      </c>
      <c r="P759" s="30" t="s">
        <v>27919</v>
      </c>
      <c r="Q759" s="30" t="s">
        <v>26109</v>
      </c>
      <c r="R759" s="30" t="s">
        <v>27328</v>
      </c>
      <c r="S759" s="30" t="s">
        <v>28228</v>
      </c>
      <c r="T759" s="30" t="s">
        <v>28229</v>
      </c>
      <c r="U759" s="30"/>
      <c r="V759" s="139" t="s">
        <v>9334</v>
      </c>
      <c r="W759" s="30" t="s">
        <v>707</v>
      </c>
      <c r="X759" s="30" t="s">
        <v>194</v>
      </c>
      <c r="Y759" s="30" t="s">
        <v>9300</v>
      </c>
      <c r="Z759" s="30"/>
      <c r="AA759" s="30"/>
      <c r="AB759" s="30" t="s">
        <v>9311</v>
      </c>
      <c r="AC759" s="30"/>
      <c r="AD759" s="30"/>
      <c r="AE759" s="30"/>
      <c r="AF759" s="30"/>
      <c r="AG759" s="30"/>
      <c r="AH759" s="30" t="s">
        <v>4714</v>
      </c>
      <c r="AI759" s="30" t="s">
        <v>9433</v>
      </c>
      <c r="AJ759" s="641" t="str">
        <f t="shared" si="22"/>
        <v>422201</v>
      </c>
      <c r="AK759" s="641">
        <v>1</v>
      </c>
      <c r="AL759" s="641">
        <f t="shared" si="23"/>
        <v>1</v>
      </c>
      <c r="AM759" s="641">
        <v>1</v>
      </c>
      <c r="AN759" s="30" t="s">
        <v>17650</v>
      </c>
      <c r="AO759" s="30" t="s">
        <v>17651</v>
      </c>
      <c r="AP759" s="30" t="s">
        <v>17652</v>
      </c>
      <c r="AQ759" s="30" t="s">
        <v>17653</v>
      </c>
      <c r="AR759" s="30" t="s">
        <v>1024</v>
      </c>
      <c r="AS759" s="30">
        <v>1</v>
      </c>
    </row>
    <row r="760" spans="1:45" x14ac:dyDescent="0.25">
      <c r="A760" s="30" t="s">
        <v>26089</v>
      </c>
      <c r="B760" s="30" t="s">
        <v>26534</v>
      </c>
      <c r="C760" s="30" t="s">
        <v>27</v>
      </c>
      <c r="D760" s="139" t="s">
        <v>26375</v>
      </c>
      <c r="E760" s="30" t="s">
        <v>217</v>
      </c>
      <c r="F760" s="30">
        <v>1</v>
      </c>
      <c r="G760" s="30" t="s">
        <v>193</v>
      </c>
      <c r="H760" s="30" t="s">
        <v>194</v>
      </c>
      <c r="I760" s="30" t="s">
        <v>27277</v>
      </c>
      <c r="J760" s="30" t="s">
        <v>210</v>
      </c>
      <c r="K760" s="30" t="s">
        <v>9309</v>
      </c>
      <c r="L760" s="30" t="s">
        <v>6955</v>
      </c>
      <c r="M760" s="30"/>
      <c r="N760" s="30" t="s">
        <v>26535</v>
      </c>
      <c r="O760" s="30" t="s">
        <v>6921</v>
      </c>
      <c r="P760" s="30" t="s">
        <v>27919</v>
      </c>
      <c r="Q760" s="30" t="s">
        <v>26182</v>
      </c>
      <c r="R760" s="30" t="s">
        <v>26183</v>
      </c>
      <c r="S760" s="30" t="s">
        <v>28230</v>
      </c>
      <c r="T760" s="30" t="s">
        <v>28231</v>
      </c>
      <c r="U760" s="30"/>
      <c r="V760" s="139" t="s">
        <v>9334</v>
      </c>
      <c r="W760" s="30" t="s">
        <v>440</v>
      </c>
      <c r="X760" s="30" t="s">
        <v>194</v>
      </c>
      <c r="Y760" s="30" t="s">
        <v>9300</v>
      </c>
      <c r="Z760" s="30"/>
      <c r="AA760" s="30"/>
      <c r="AB760" s="30" t="s">
        <v>9311</v>
      </c>
      <c r="AC760" s="30"/>
      <c r="AD760" s="30"/>
      <c r="AE760" s="30"/>
      <c r="AF760" s="30"/>
      <c r="AG760" s="30"/>
      <c r="AH760" s="30" t="s">
        <v>4714</v>
      </c>
      <c r="AI760" s="30" t="s">
        <v>9433</v>
      </c>
      <c r="AJ760" s="641" t="str">
        <f t="shared" si="22"/>
        <v>242307</v>
      </c>
      <c r="AK760" s="641">
        <v>1</v>
      </c>
      <c r="AL760" s="641">
        <f t="shared" si="23"/>
        <v>1</v>
      </c>
      <c r="AM760" s="641">
        <v>1</v>
      </c>
      <c r="AN760" s="30" t="s">
        <v>17650</v>
      </c>
      <c r="AO760" s="30" t="s">
        <v>17651</v>
      </c>
      <c r="AP760" s="30" t="s">
        <v>17652</v>
      </c>
      <c r="AQ760" s="30" t="s">
        <v>17653</v>
      </c>
      <c r="AR760" s="30" t="s">
        <v>1024</v>
      </c>
      <c r="AS760" s="30">
        <v>1</v>
      </c>
    </row>
    <row r="761" spans="1:45" x14ac:dyDescent="0.25">
      <c r="A761" s="30" t="s">
        <v>26089</v>
      </c>
      <c r="B761" s="30" t="s">
        <v>28232</v>
      </c>
      <c r="C761" s="30" t="s">
        <v>3367</v>
      </c>
      <c r="D761" s="139" t="s">
        <v>26375</v>
      </c>
      <c r="E761" s="30" t="s">
        <v>217</v>
      </c>
      <c r="F761" s="30">
        <v>1</v>
      </c>
      <c r="G761" s="30" t="s">
        <v>193</v>
      </c>
      <c r="H761" s="30" t="s">
        <v>194</v>
      </c>
      <c r="I761" s="30" t="s">
        <v>27277</v>
      </c>
      <c r="J761" s="30" t="s">
        <v>210</v>
      </c>
      <c r="K761" s="30" t="s">
        <v>9309</v>
      </c>
      <c r="L761" s="30" t="s">
        <v>6955</v>
      </c>
      <c r="M761" s="30"/>
      <c r="N761" s="30" t="s">
        <v>28233</v>
      </c>
      <c r="O761" s="30" t="s">
        <v>6261</v>
      </c>
      <c r="P761" s="30" t="s">
        <v>27919</v>
      </c>
      <c r="Q761" s="30" t="s">
        <v>26079</v>
      </c>
      <c r="R761" s="30" t="s">
        <v>26077</v>
      </c>
      <c r="S761" s="30" t="s">
        <v>28234</v>
      </c>
      <c r="T761" s="30" t="s">
        <v>28235</v>
      </c>
      <c r="U761" s="30"/>
      <c r="V761" s="139" t="s">
        <v>9334</v>
      </c>
      <c r="W761" s="30" t="s">
        <v>3368</v>
      </c>
      <c r="X761" s="30" t="s">
        <v>194</v>
      </c>
      <c r="Y761" s="30" t="s">
        <v>9300</v>
      </c>
      <c r="Z761" s="30"/>
      <c r="AA761" s="30"/>
      <c r="AB761" s="30" t="s">
        <v>9311</v>
      </c>
      <c r="AC761" s="30"/>
      <c r="AD761" s="30"/>
      <c r="AE761" s="30"/>
      <c r="AF761" s="30"/>
      <c r="AG761" s="30"/>
      <c r="AH761" s="30" t="s">
        <v>4714</v>
      </c>
      <c r="AI761" s="30" t="s">
        <v>9433</v>
      </c>
      <c r="AJ761" s="641" t="str">
        <f t="shared" si="22"/>
        <v>133001</v>
      </c>
      <c r="AK761" s="641">
        <v>1</v>
      </c>
      <c r="AL761" s="641">
        <f t="shared" si="23"/>
        <v>1</v>
      </c>
      <c r="AM761" s="641">
        <v>1</v>
      </c>
      <c r="AN761" s="30" t="s">
        <v>17650</v>
      </c>
      <c r="AO761" s="30" t="s">
        <v>17651</v>
      </c>
      <c r="AP761" s="30" t="s">
        <v>17652</v>
      </c>
      <c r="AQ761" s="30" t="s">
        <v>17653</v>
      </c>
      <c r="AR761" s="30" t="s">
        <v>1024</v>
      </c>
      <c r="AS761" s="30">
        <v>1</v>
      </c>
    </row>
    <row r="762" spans="1:45" x14ac:dyDescent="0.25">
      <c r="A762" s="30" t="s">
        <v>11415</v>
      </c>
      <c r="B762" s="30" t="s">
        <v>8016</v>
      </c>
      <c r="C762" s="30" t="s">
        <v>99</v>
      </c>
      <c r="D762" s="139" t="s">
        <v>26375</v>
      </c>
      <c r="E762" s="30" t="s">
        <v>217</v>
      </c>
      <c r="F762" s="30">
        <v>1</v>
      </c>
      <c r="G762" s="30" t="s">
        <v>194</v>
      </c>
      <c r="H762" s="30" t="s">
        <v>193</v>
      </c>
      <c r="I762" s="30" t="s">
        <v>23198</v>
      </c>
      <c r="J762" s="30" t="s">
        <v>210</v>
      </c>
      <c r="K762" s="30" t="s">
        <v>9309</v>
      </c>
      <c r="L762" s="30" t="s">
        <v>6955</v>
      </c>
      <c r="M762" s="30"/>
      <c r="N762" s="30" t="s">
        <v>28236</v>
      </c>
      <c r="O762" s="30" t="s">
        <v>6286</v>
      </c>
      <c r="P762" s="30" t="s">
        <v>27919</v>
      </c>
      <c r="Q762" s="30" t="s">
        <v>26242</v>
      </c>
      <c r="R762" s="30" t="s">
        <v>23198</v>
      </c>
      <c r="S762" s="30" t="s">
        <v>28237</v>
      </c>
      <c r="T762" s="30" t="s">
        <v>28238</v>
      </c>
      <c r="U762" s="30"/>
      <c r="V762" s="139" t="s">
        <v>9334</v>
      </c>
      <c r="W762" s="30" t="s">
        <v>2421</v>
      </c>
      <c r="X762" s="30" t="s">
        <v>194</v>
      </c>
      <c r="Y762" s="30" t="s">
        <v>9300</v>
      </c>
      <c r="Z762" s="30"/>
      <c r="AA762" s="30"/>
      <c r="AB762" s="30" t="s">
        <v>9311</v>
      </c>
      <c r="AC762" s="30"/>
      <c r="AD762" s="30"/>
      <c r="AE762" s="30"/>
      <c r="AF762" s="30"/>
      <c r="AG762" s="30"/>
      <c r="AH762" s="30" t="s">
        <v>4714</v>
      </c>
      <c r="AI762" s="30" t="s">
        <v>9433</v>
      </c>
      <c r="AJ762" s="641" t="str">
        <f t="shared" si="22"/>
        <v>412001</v>
      </c>
      <c r="AK762" s="641">
        <v>1</v>
      </c>
      <c r="AL762" s="641">
        <f t="shared" si="23"/>
        <v>1</v>
      </c>
      <c r="AM762" s="641">
        <v>1</v>
      </c>
      <c r="AN762" s="30" t="s">
        <v>17650</v>
      </c>
      <c r="AO762" s="30" t="s">
        <v>17651</v>
      </c>
      <c r="AP762" s="30" t="s">
        <v>17652</v>
      </c>
      <c r="AQ762" s="30" t="s">
        <v>17653</v>
      </c>
      <c r="AR762" s="30" t="s">
        <v>1024</v>
      </c>
      <c r="AS762" s="30">
        <v>1</v>
      </c>
    </row>
    <row r="763" spans="1:45" x14ac:dyDescent="0.25">
      <c r="A763" s="30" t="s">
        <v>258</v>
      </c>
      <c r="B763" s="30" t="s">
        <v>7677</v>
      </c>
      <c r="C763" s="30" t="s">
        <v>778</v>
      </c>
      <c r="D763" s="139" t="s">
        <v>26375</v>
      </c>
      <c r="E763" s="30" t="s">
        <v>217</v>
      </c>
      <c r="F763" s="30">
        <v>1</v>
      </c>
      <c r="G763" s="30" t="s">
        <v>193</v>
      </c>
      <c r="H763" s="30" t="s">
        <v>194</v>
      </c>
      <c r="I763" s="30" t="s">
        <v>26077</v>
      </c>
      <c r="J763" s="30" t="s">
        <v>316</v>
      </c>
      <c r="K763" s="30" t="s">
        <v>9309</v>
      </c>
      <c r="L763" s="30" t="s">
        <v>6955</v>
      </c>
      <c r="M763" s="30"/>
      <c r="N763" s="30" t="s">
        <v>26339</v>
      </c>
      <c r="O763" s="30" t="s">
        <v>6251</v>
      </c>
      <c r="P763" s="30" t="s">
        <v>27762</v>
      </c>
      <c r="Q763" s="30" t="s">
        <v>26160</v>
      </c>
      <c r="R763" s="30" t="s">
        <v>26262</v>
      </c>
      <c r="S763" s="30" t="s">
        <v>28239</v>
      </c>
      <c r="T763" s="30" t="s">
        <v>28240</v>
      </c>
      <c r="U763" s="30"/>
      <c r="V763" s="139" t="s">
        <v>10012</v>
      </c>
      <c r="W763" s="30" t="s">
        <v>779</v>
      </c>
      <c r="X763" s="30" t="s">
        <v>194</v>
      </c>
      <c r="Y763" s="30" t="s">
        <v>9300</v>
      </c>
      <c r="Z763" s="30"/>
      <c r="AA763" s="30"/>
      <c r="AB763" s="30" t="s">
        <v>9311</v>
      </c>
      <c r="AC763" s="30"/>
      <c r="AD763" s="30"/>
      <c r="AE763" s="30"/>
      <c r="AF763" s="30"/>
      <c r="AG763" s="30"/>
      <c r="AH763" s="30" t="s">
        <v>4714</v>
      </c>
      <c r="AI763" s="30" t="s">
        <v>778</v>
      </c>
      <c r="AJ763" s="641" t="str">
        <f t="shared" si="22"/>
        <v>524902</v>
      </c>
      <c r="AK763" s="641">
        <v>1</v>
      </c>
      <c r="AL763" s="641">
        <f t="shared" si="23"/>
        <v>1</v>
      </c>
      <c r="AM763" s="641">
        <v>1</v>
      </c>
      <c r="AN763" s="30" t="s">
        <v>17650</v>
      </c>
      <c r="AO763" s="30" t="s">
        <v>17651</v>
      </c>
      <c r="AP763" s="30" t="s">
        <v>17652</v>
      </c>
      <c r="AQ763" s="30" t="s">
        <v>17653</v>
      </c>
      <c r="AR763" s="30" t="s">
        <v>1024</v>
      </c>
      <c r="AS763" s="30">
        <v>1</v>
      </c>
    </row>
    <row r="764" spans="1:45" x14ac:dyDescent="0.25">
      <c r="A764" s="30" t="s">
        <v>26089</v>
      </c>
      <c r="B764" s="30" t="s">
        <v>26609</v>
      </c>
      <c r="C764" s="30" t="s">
        <v>3367</v>
      </c>
      <c r="D764" s="139" t="s">
        <v>26375</v>
      </c>
      <c r="E764" s="30" t="s">
        <v>217</v>
      </c>
      <c r="F764" s="30">
        <v>1</v>
      </c>
      <c r="G764" s="30" t="s">
        <v>193</v>
      </c>
      <c r="H764" s="30" t="s">
        <v>194</v>
      </c>
      <c r="I764" s="30" t="s">
        <v>27277</v>
      </c>
      <c r="J764" s="30" t="s">
        <v>210</v>
      </c>
      <c r="K764" s="30" t="s">
        <v>9309</v>
      </c>
      <c r="L764" s="30" t="s">
        <v>6955</v>
      </c>
      <c r="M764" s="30"/>
      <c r="N764" s="30" t="s">
        <v>26610</v>
      </c>
      <c r="O764" s="30" t="s">
        <v>6254</v>
      </c>
      <c r="P764" s="30" t="s">
        <v>27919</v>
      </c>
      <c r="Q764" s="30" t="s">
        <v>26261</v>
      </c>
      <c r="R764" s="30" t="s">
        <v>26262</v>
      </c>
      <c r="S764" s="30" t="s">
        <v>28241</v>
      </c>
      <c r="T764" s="30" t="s">
        <v>28242</v>
      </c>
      <c r="U764" s="30"/>
      <c r="V764" s="139" t="s">
        <v>9334</v>
      </c>
      <c r="W764" s="30" t="s">
        <v>3368</v>
      </c>
      <c r="X764" s="30" t="s">
        <v>194</v>
      </c>
      <c r="Y764" s="30" t="s">
        <v>9300</v>
      </c>
      <c r="Z764" s="30"/>
      <c r="AA764" s="30"/>
      <c r="AB764" s="30" t="s">
        <v>9311</v>
      </c>
      <c r="AC764" s="30"/>
      <c r="AD764" s="30"/>
      <c r="AE764" s="30"/>
      <c r="AF764" s="30"/>
      <c r="AG764" s="30"/>
      <c r="AH764" s="30" t="s">
        <v>4714</v>
      </c>
      <c r="AI764" s="30" t="s">
        <v>9433</v>
      </c>
      <c r="AJ764" s="641" t="str">
        <f t="shared" si="22"/>
        <v>133001</v>
      </c>
      <c r="AK764" s="641">
        <v>1</v>
      </c>
      <c r="AL764" s="641">
        <f t="shared" si="23"/>
        <v>1</v>
      </c>
      <c r="AM764" s="641">
        <v>1</v>
      </c>
      <c r="AN764" s="30" t="s">
        <v>17650</v>
      </c>
      <c r="AO764" s="30" t="s">
        <v>17651</v>
      </c>
      <c r="AP764" s="30" t="s">
        <v>17652</v>
      </c>
      <c r="AQ764" s="30" t="s">
        <v>17653</v>
      </c>
      <c r="AR764" s="30" t="s">
        <v>1024</v>
      </c>
      <c r="AS764" s="30">
        <v>1</v>
      </c>
    </row>
    <row r="765" spans="1:45" x14ac:dyDescent="0.25">
      <c r="A765" s="30" t="s">
        <v>10145</v>
      </c>
      <c r="B765" s="30" t="s">
        <v>27078</v>
      </c>
      <c r="C765" s="30" t="s">
        <v>85</v>
      </c>
      <c r="D765" s="139" t="s">
        <v>26375</v>
      </c>
      <c r="E765" s="30" t="s">
        <v>217</v>
      </c>
      <c r="F765" s="30">
        <v>1</v>
      </c>
      <c r="G765" s="30" t="s">
        <v>193</v>
      </c>
      <c r="H765" s="30" t="s">
        <v>194</v>
      </c>
      <c r="I765" s="30" t="s">
        <v>27277</v>
      </c>
      <c r="J765" s="30" t="s">
        <v>26228</v>
      </c>
      <c r="K765" s="30" t="s">
        <v>9309</v>
      </c>
      <c r="L765" s="30" t="s">
        <v>6955</v>
      </c>
      <c r="M765" s="30"/>
      <c r="N765" s="30" t="s">
        <v>28243</v>
      </c>
      <c r="O765" s="30" t="s">
        <v>6343</v>
      </c>
      <c r="P765" s="30" t="s">
        <v>27919</v>
      </c>
      <c r="Q765" s="30" t="s">
        <v>26079</v>
      </c>
      <c r="R765" s="30" t="s">
        <v>26077</v>
      </c>
      <c r="S765" s="30" t="s">
        <v>28244</v>
      </c>
      <c r="T765" s="30" t="s">
        <v>28245</v>
      </c>
      <c r="U765" s="139"/>
      <c r="V765" s="139" t="s">
        <v>28321</v>
      </c>
      <c r="W765" s="30" t="s">
        <v>477</v>
      </c>
      <c r="X765" s="30" t="s">
        <v>193</v>
      </c>
      <c r="Y765" s="30">
        <v>25</v>
      </c>
      <c r="Z765" s="30"/>
      <c r="AA765" s="30"/>
      <c r="AB765" s="30" t="s">
        <v>9311</v>
      </c>
      <c r="AC765" s="30"/>
      <c r="AD765" s="30"/>
      <c r="AE765" s="30"/>
      <c r="AF765" s="30"/>
      <c r="AG765" s="30"/>
      <c r="AH765" s="30" t="s">
        <v>4714</v>
      </c>
      <c r="AI765" s="30" t="s">
        <v>9433</v>
      </c>
      <c r="AJ765" s="641" t="str">
        <f t="shared" si="22"/>
        <v>243305</v>
      </c>
      <c r="AK765" s="641">
        <v>1</v>
      </c>
      <c r="AL765" s="641">
        <f t="shared" si="23"/>
        <v>1</v>
      </c>
      <c r="AM765" s="641">
        <v>1</v>
      </c>
      <c r="AN765" s="30" t="s">
        <v>17650</v>
      </c>
      <c r="AO765" s="30" t="s">
        <v>17651</v>
      </c>
      <c r="AP765" s="30" t="s">
        <v>17652</v>
      </c>
      <c r="AQ765" s="30" t="s">
        <v>17653</v>
      </c>
      <c r="AR765" s="30" t="s">
        <v>1024</v>
      </c>
      <c r="AS765" s="30">
        <v>1</v>
      </c>
    </row>
    <row r="766" spans="1:45" x14ac:dyDescent="0.25">
      <c r="A766" s="30" t="s">
        <v>9886</v>
      </c>
      <c r="B766" s="30" t="s">
        <v>27641</v>
      </c>
      <c r="C766" s="30" t="s">
        <v>26180</v>
      </c>
      <c r="D766" s="139" t="s">
        <v>26375</v>
      </c>
      <c r="E766" s="30" t="s">
        <v>217</v>
      </c>
      <c r="F766" s="30">
        <v>1</v>
      </c>
      <c r="G766" s="30" t="s">
        <v>193</v>
      </c>
      <c r="H766" s="30" t="s">
        <v>194</v>
      </c>
      <c r="I766" s="30" t="s">
        <v>27277</v>
      </c>
      <c r="J766" s="30" t="s">
        <v>210</v>
      </c>
      <c r="K766" s="30" t="s">
        <v>9309</v>
      </c>
      <c r="L766" s="30" t="s">
        <v>6955</v>
      </c>
      <c r="M766" s="30"/>
      <c r="N766" s="30" t="s">
        <v>27642</v>
      </c>
      <c r="O766" s="30" t="s">
        <v>6251</v>
      </c>
      <c r="P766" s="30" t="s">
        <v>27919</v>
      </c>
      <c r="Q766" s="30" t="s">
        <v>26160</v>
      </c>
      <c r="R766" s="30" t="s">
        <v>27340</v>
      </c>
      <c r="S766" s="30" t="s">
        <v>28246</v>
      </c>
      <c r="T766" s="30" t="s">
        <v>28247</v>
      </c>
      <c r="U766" s="30"/>
      <c r="V766" s="139" t="s">
        <v>9334</v>
      </c>
      <c r="W766" s="30" t="s">
        <v>26186</v>
      </c>
      <c r="X766" s="30" t="s">
        <v>194</v>
      </c>
      <c r="Y766" s="30" t="s">
        <v>9300</v>
      </c>
      <c r="Z766" s="30"/>
      <c r="AA766" s="30"/>
      <c r="AB766" s="30" t="s">
        <v>9311</v>
      </c>
      <c r="AC766" s="30"/>
      <c r="AD766" s="30"/>
      <c r="AE766" s="30"/>
      <c r="AF766" s="30"/>
      <c r="AG766" s="30"/>
      <c r="AH766" s="30" t="s">
        <v>4714</v>
      </c>
      <c r="AI766" s="30" t="s">
        <v>9433</v>
      </c>
      <c r="AJ766" s="641" t="str">
        <f t="shared" si="22"/>
        <v>421108</v>
      </c>
      <c r="AK766" s="641">
        <v>1</v>
      </c>
      <c r="AL766" s="641">
        <f t="shared" si="23"/>
        <v>1</v>
      </c>
      <c r="AM766" s="641">
        <v>1</v>
      </c>
      <c r="AN766" s="30" t="s">
        <v>17650</v>
      </c>
      <c r="AO766" s="30" t="s">
        <v>17651</v>
      </c>
      <c r="AP766" s="30" t="s">
        <v>17652</v>
      </c>
      <c r="AQ766" s="30" t="s">
        <v>17653</v>
      </c>
      <c r="AR766" s="30" t="s">
        <v>1024</v>
      </c>
      <c r="AS766" s="30">
        <v>1</v>
      </c>
    </row>
    <row r="767" spans="1:45" x14ac:dyDescent="0.25">
      <c r="A767" s="30" t="s">
        <v>716</v>
      </c>
      <c r="B767" s="30" t="s">
        <v>26745</v>
      </c>
      <c r="C767" s="30" t="s">
        <v>706</v>
      </c>
      <c r="D767" s="139" t="s">
        <v>26375</v>
      </c>
      <c r="E767" s="30" t="s">
        <v>217</v>
      </c>
      <c r="F767" s="30">
        <v>1</v>
      </c>
      <c r="G767" s="30" t="s">
        <v>193</v>
      </c>
      <c r="H767" s="30" t="s">
        <v>194</v>
      </c>
      <c r="I767" s="30" t="s">
        <v>27277</v>
      </c>
      <c r="J767" s="30" t="s">
        <v>210</v>
      </c>
      <c r="K767" s="30" t="s">
        <v>9309</v>
      </c>
      <c r="L767" s="30" t="s">
        <v>6955</v>
      </c>
      <c r="M767" s="30"/>
      <c r="N767" s="30" t="s">
        <v>26746</v>
      </c>
      <c r="O767" s="30" t="s">
        <v>6286</v>
      </c>
      <c r="P767" s="30" t="s">
        <v>27919</v>
      </c>
      <c r="Q767" s="30" t="s">
        <v>26098</v>
      </c>
      <c r="R767" s="30" t="s">
        <v>26231</v>
      </c>
      <c r="S767" s="30" t="s">
        <v>28248</v>
      </c>
      <c r="T767" s="30" t="s">
        <v>28249</v>
      </c>
      <c r="U767" s="30"/>
      <c r="V767" s="139" t="s">
        <v>9334</v>
      </c>
      <c r="W767" s="30" t="s">
        <v>707</v>
      </c>
      <c r="X767" s="30" t="s">
        <v>194</v>
      </c>
      <c r="Y767" s="30" t="s">
        <v>9300</v>
      </c>
      <c r="Z767" s="30"/>
      <c r="AA767" s="30"/>
      <c r="AB767" s="30" t="s">
        <v>9311</v>
      </c>
      <c r="AC767" s="30"/>
      <c r="AD767" s="30"/>
      <c r="AE767" s="30"/>
      <c r="AF767" s="30"/>
      <c r="AG767" s="30"/>
      <c r="AH767" s="30" t="s">
        <v>4714</v>
      </c>
      <c r="AI767" s="30" t="s">
        <v>9433</v>
      </c>
      <c r="AJ767" s="641" t="str">
        <f t="shared" si="22"/>
        <v>422201</v>
      </c>
      <c r="AK767" s="641">
        <v>1</v>
      </c>
      <c r="AL767" s="641">
        <f t="shared" si="23"/>
        <v>1</v>
      </c>
      <c r="AM767" s="641">
        <v>1</v>
      </c>
      <c r="AN767" s="30" t="s">
        <v>17650</v>
      </c>
      <c r="AO767" s="30" t="s">
        <v>17651</v>
      </c>
      <c r="AP767" s="30" t="s">
        <v>17652</v>
      </c>
      <c r="AQ767" s="30" t="s">
        <v>17653</v>
      </c>
      <c r="AR767" s="30" t="s">
        <v>1024</v>
      </c>
      <c r="AS767" s="30">
        <v>1</v>
      </c>
    </row>
    <row r="768" spans="1:45" x14ac:dyDescent="0.25">
      <c r="A768" s="30" t="s">
        <v>26089</v>
      </c>
      <c r="B768" s="30" t="s">
        <v>27143</v>
      </c>
      <c r="C768" s="30" t="s">
        <v>85</v>
      </c>
      <c r="D768" s="139" t="s">
        <v>26375</v>
      </c>
      <c r="E768" s="30" t="s">
        <v>217</v>
      </c>
      <c r="F768" s="30">
        <v>1</v>
      </c>
      <c r="G768" s="30" t="s">
        <v>193</v>
      </c>
      <c r="H768" s="30" t="s">
        <v>194</v>
      </c>
      <c r="I768" s="30" t="s">
        <v>27277</v>
      </c>
      <c r="J768" s="30" t="s">
        <v>210</v>
      </c>
      <c r="K768" s="30" t="s">
        <v>9309</v>
      </c>
      <c r="L768" s="30" t="s">
        <v>6955</v>
      </c>
      <c r="M768" s="30"/>
      <c r="N768" s="30" t="s">
        <v>27144</v>
      </c>
      <c r="O768" s="30" t="s">
        <v>6261</v>
      </c>
      <c r="P768" s="30" t="s">
        <v>27919</v>
      </c>
      <c r="Q768" s="30" t="s">
        <v>26881</v>
      </c>
      <c r="R768" s="30" t="s">
        <v>26882</v>
      </c>
      <c r="S768" s="30" t="s">
        <v>28250</v>
      </c>
      <c r="T768" s="30" t="s">
        <v>28251</v>
      </c>
      <c r="U768" s="30"/>
      <c r="V768" s="139" t="s">
        <v>9334</v>
      </c>
      <c r="W768" s="30" t="s">
        <v>477</v>
      </c>
      <c r="X768" s="30" t="s">
        <v>194</v>
      </c>
      <c r="Y768" s="30" t="s">
        <v>9300</v>
      </c>
      <c r="Z768" s="30"/>
      <c r="AA768" s="30"/>
      <c r="AB768" s="30" t="s">
        <v>9311</v>
      </c>
      <c r="AC768" s="30"/>
      <c r="AD768" s="30"/>
      <c r="AE768" s="30"/>
      <c r="AF768" s="30"/>
      <c r="AG768" s="30"/>
      <c r="AH768" s="30" t="s">
        <v>4714</v>
      </c>
      <c r="AI768" s="30" t="s">
        <v>9433</v>
      </c>
      <c r="AJ768" s="641" t="str">
        <f t="shared" si="22"/>
        <v>243305</v>
      </c>
      <c r="AK768" s="641">
        <v>1</v>
      </c>
      <c r="AL768" s="641">
        <f t="shared" si="23"/>
        <v>1</v>
      </c>
      <c r="AM768" s="641">
        <v>1</v>
      </c>
      <c r="AN768" s="30" t="s">
        <v>17650</v>
      </c>
      <c r="AO768" s="30" t="s">
        <v>17651</v>
      </c>
      <c r="AP768" s="30" t="s">
        <v>17652</v>
      </c>
      <c r="AQ768" s="30" t="s">
        <v>17653</v>
      </c>
      <c r="AR768" s="30" t="s">
        <v>1024</v>
      </c>
      <c r="AS768" s="30">
        <v>1</v>
      </c>
    </row>
    <row r="769" spans="1:45" x14ac:dyDescent="0.25">
      <c r="A769" s="30" t="s">
        <v>581</v>
      </c>
      <c r="B769" s="30" t="s">
        <v>3873</v>
      </c>
      <c r="C769" s="30" t="s">
        <v>62</v>
      </c>
      <c r="D769" s="139" t="s">
        <v>26375</v>
      </c>
      <c r="E769" s="30" t="s">
        <v>217</v>
      </c>
      <c r="F769" s="30">
        <v>1</v>
      </c>
      <c r="G769" s="30" t="s">
        <v>193</v>
      </c>
      <c r="H769" s="30" t="s">
        <v>194</v>
      </c>
      <c r="I769" s="30" t="s">
        <v>27277</v>
      </c>
      <c r="J769" s="30" t="s">
        <v>976</v>
      </c>
      <c r="K769" s="30" t="s">
        <v>9309</v>
      </c>
      <c r="L769" s="30" t="s">
        <v>6955</v>
      </c>
      <c r="M769" s="30"/>
      <c r="N769" s="30" t="s">
        <v>26979</v>
      </c>
      <c r="O769" s="30" t="s">
        <v>6275</v>
      </c>
      <c r="P769" s="30" t="s">
        <v>27919</v>
      </c>
      <c r="Q769" s="30" t="s">
        <v>26252</v>
      </c>
      <c r="R769" s="30" t="s">
        <v>23708</v>
      </c>
      <c r="S769" s="30" t="s">
        <v>28252</v>
      </c>
      <c r="T769" s="30" t="s">
        <v>28253</v>
      </c>
      <c r="U769" s="139"/>
      <c r="V769" s="139" t="s">
        <v>28321</v>
      </c>
      <c r="W769" s="30" t="s">
        <v>601</v>
      </c>
      <c r="X769" s="30" t="s">
        <v>193</v>
      </c>
      <c r="Y769" s="30">
        <v>25</v>
      </c>
      <c r="Z769" s="30"/>
      <c r="AA769" s="30"/>
      <c r="AB769" s="30" t="s">
        <v>9311</v>
      </c>
      <c r="AC769" s="30"/>
      <c r="AD769" s="30"/>
      <c r="AE769" s="30"/>
      <c r="AF769" s="30"/>
      <c r="AG769" s="30"/>
      <c r="AH769" s="30" t="s">
        <v>4714</v>
      </c>
      <c r="AI769" s="30" t="s">
        <v>9433</v>
      </c>
      <c r="AJ769" s="641" t="str">
        <f t="shared" si="22"/>
        <v>313904</v>
      </c>
      <c r="AK769" s="641">
        <v>1</v>
      </c>
      <c r="AL769" s="641">
        <f t="shared" si="23"/>
        <v>1</v>
      </c>
      <c r="AM769" s="641">
        <v>1</v>
      </c>
      <c r="AN769" s="30" t="s">
        <v>17650</v>
      </c>
      <c r="AO769" s="30" t="s">
        <v>17651</v>
      </c>
      <c r="AP769" s="30" t="s">
        <v>17652</v>
      </c>
      <c r="AQ769" s="30" t="s">
        <v>17653</v>
      </c>
      <c r="AR769" s="30" t="s">
        <v>1024</v>
      </c>
      <c r="AS769" s="30">
        <v>1</v>
      </c>
    </row>
    <row r="770" spans="1:45" x14ac:dyDescent="0.25">
      <c r="A770" s="30" t="s">
        <v>26089</v>
      </c>
      <c r="B770" s="30" t="s">
        <v>26567</v>
      </c>
      <c r="C770" s="30" t="s">
        <v>17092</v>
      </c>
      <c r="D770" s="139" t="s">
        <v>26375</v>
      </c>
      <c r="E770" s="30" t="s">
        <v>217</v>
      </c>
      <c r="F770" s="30">
        <v>1</v>
      </c>
      <c r="G770" s="30" t="s">
        <v>193</v>
      </c>
      <c r="H770" s="30" t="s">
        <v>194</v>
      </c>
      <c r="I770" s="30" t="s">
        <v>27277</v>
      </c>
      <c r="J770" s="30" t="s">
        <v>210</v>
      </c>
      <c r="K770" s="30" t="s">
        <v>9309</v>
      </c>
      <c r="L770" s="30" t="s">
        <v>6955</v>
      </c>
      <c r="M770" s="30"/>
      <c r="N770" s="30" t="s">
        <v>26938</v>
      </c>
      <c r="O770" s="30" t="s">
        <v>6261</v>
      </c>
      <c r="P770" s="30" t="s">
        <v>27919</v>
      </c>
      <c r="Q770" s="30" t="s">
        <v>26086</v>
      </c>
      <c r="R770" s="30" t="s">
        <v>26787</v>
      </c>
      <c r="S770" s="30" t="s">
        <v>28254</v>
      </c>
      <c r="T770" s="30" t="s">
        <v>28255</v>
      </c>
      <c r="U770" s="30"/>
      <c r="V770" s="139" t="s">
        <v>9334</v>
      </c>
      <c r="W770" s="30" t="s">
        <v>1800</v>
      </c>
      <c r="X770" s="30" t="s">
        <v>194</v>
      </c>
      <c r="Y770" s="30" t="s">
        <v>9300</v>
      </c>
      <c r="Z770" s="30"/>
      <c r="AA770" s="30"/>
      <c r="AB770" s="30" t="s">
        <v>9311</v>
      </c>
      <c r="AC770" s="30"/>
      <c r="AD770" s="30"/>
      <c r="AE770" s="30"/>
      <c r="AF770" s="30"/>
      <c r="AG770" s="30"/>
      <c r="AH770" s="30" t="s">
        <v>4714</v>
      </c>
      <c r="AI770" s="30" t="s">
        <v>9433</v>
      </c>
      <c r="AJ770" s="641" t="str">
        <f t="shared" si="22"/>
        <v>242204</v>
      </c>
      <c r="AK770" s="641">
        <v>1</v>
      </c>
      <c r="AL770" s="641">
        <f t="shared" si="23"/>
        <v>1</v>
      </c>
      <c r="AM770" s="641">
        <v>1</v>
      </c>
      <c r="AN770" s="30" t="s">
        <v>17650</v>
      </c>
      <c r="AO770" s="30" t="s">
        <v>17651</v>
      </c>
      <c r="AP770" s="30" t="s">
        <v>17652</v>
      </c>
      <c r="AQ770" s="30" t="s">
        <v>17653</v>
      </c>
      <c r="AR770" s="30" t="s">
        <v>1024</v>
      </c>
      <c r="AS770" s="30">
        <v>1</v>
      </c>
    </row>
    <row r="771" spans="1:45" x14ac:dyDescent="0.25">
      <c r="A771" s="30" t="s">
        <v>26089</v>
      </c>
      <c r="B771" s="30" t="s">
        <v>28256</v>
      </c>
      <c r="C771" s="30" t="s">
        <v>19</v>
      </c>
      <c r="D771" s="139" t="s">
        <v>26375</v>
      </c>
      <c r="E771" s="30" t="s">
        <v>217</v>
      </c>
      <c r="F771" s="30">
        <v>1</v>
      </c>
      <c r="G771" s="30" t="s">
        <v>193</v>
      </c>
      <c r="H771" s="30" t="s">
        <v>194</v>
      </c>
      <c r="I771" s="30" t="s">
        <v>27277</v>
      </c>
      <c r="J771" s="30" t="s">
        <v>210</v>
      </c>
      <c r="K771" s="30" t="s">
        <v>9309</v>
      </c>
      <c r="L771" s="30" t="s">
        <v>6955</v>
      </c>
      <c r="M771" s="30"/>
      <c r="N771" s="30" t="s">
        <v>28257</v>
      </c>
      <c r="O771" s="30" t="s">
        <v>6261</v>
      </c>
      <c r="P771" s="30" t="s">
        <v>27919</v>
      </c>
      <c r="Q771" s="30" t="s">
        <v>26252</v>
      </c>
      <c r="R771" s="30" t="s">
        <v>27838</v>
      </c>
      <c r="S771" s="30" t="s">
        <v>28258</v>
      </c>
      <c r="T771" s="30" t="s">
        <v>28259</v>
      </c>
      <c r="U771" s="30"/>
      <c r="V771" s="139" t="s">
        <v>9334</v>
      </c>
      <c r="W771" s="30" t="s">
        <v>337</v>
      </c>
      <c r="X771" s="30" t="s">
        <v>194</v>
      </c>
      <c r="Y771" s="30" t="s">
        <v>9300</v>
      </c>
      <c r="Z771" s="30"/>
      <c r="AA771" s="30"/>
      <c r="AB771" s="30" t="s">
        <v>9311</v>
      </c>
      <c r="AC771" s="30"/>
      <c r="AD771" s="30"/>
      <c r="AE771" s="30"/>
      <c r="AF771" s="30"/>
      <c r="AG771" s="30"/>
      <c r="AH771" s="30" t="s">
        <v>4714</v>
      </c>
      <c r="AI771" s="30" t="s">
        <v>9433</v>
      </c>
      <c r="AJ771" s="641" t="str">
        <f t="shared" ref="AJ771:AJ797" si="24">MID(W771,8,6)</f>
        <v>214903</v>
      </c>
      <c r="AK771" s="641">
        <v>1</v>
      </c>
      <c r="AL771" s="641">
        <f t="shared" ref="AL771:AL792" si="25">F771</f>
        <v>1</v>
      </c>
      <c r="AM771" s="641">
        <v>1</v>
      </c>
      <c r="AN771" s="30" t="s">
        <v>17650</v>
      </c>
      <c r="AO771" s="30" t="s">
        <v>17651</v>
      </c>
      <c r="AP771" s="30" t="s">
        <v>17652</v>
      </c>
      <c r="AQ771" s="30" t="s">
        <v>17653</v>
      </c>
      <c r="AR771" s="30" t="s">
        <v>1024</v>
      </c>
      <c r="AS771" s="30">
        <v>1</v>
      </c>
    </row>
    <row r="772" spans="1:45" x14ac:dyDescent="0.25">
      <c r="A772" s="30" t="s">
        <v>26089</v>
      </c>
      <c r="B772" s="30" t="s">
        <v>26502</v>
      </c>
      <c r="C772" s="30" t="s">
        <v>46</v>
      </c>
      <c r="D772" s="139" t="s">
        <v>26375</v>
      </c>
      <c r="E772" s="30" t="s">
        <v>217</v>
      </c>
      <c r="F772" s="30">
        <v>1</v>
      </c>
      <c r="G772" s="30" t="s">
        <v>193</v>
      </c>
      <c r="H772" s="30" t="s">
        <v>194</v>
      </c>
      <c r="I772" s="30" t="s">
        <v>26133</v>
      </c>
      <c r="J772" s="30" t="s">
        <v>210</v>
      </c>
      <c r="K772" s="30" t="s">
        <v>9309</v>
      </c>
      <c r="L772" s="30" t="s">
        <v>6955</v>
      </c>
      <c r="M772" s="30"/>
      <c r="N772" s="30" t="s">
        <v>26503</v>
      </c>
      <c r="O772" s="30" t="s">
        <v>6261</v>
      </c>
      <c r="P772" s="30" t="s">
        <v>27805</v>
      </c>
      <c r="Q772" s="30" t="s">
        <v>26092</v>
      </c>
      <c r="R772" s="30" t="s">
        <v>27806</v>
      </c>
      <c r="S772" s="30" t="s">
        <v>28260</v>
      </c>
      <c r="T772" s="30" t="s">
        <v>28261</v>
      </c>
      <c r="U772" s="30"/>
      <c r="V772" s="139" t="s">
        <v>9334</v>
      </c>
      <c r="W772" s="30" t="s">
        <v>510</v>
      </c>
      <c r="X772" s="30" t="s">
        <v>194</v>
      </c>
      <c r="Y772" s="30" t="s">
        <v>9300</v>
      </c>
      <c r="Z772" s="30"/>
      <c r="AA772" s="30"/>
      <c r="AB772" s="30" t="s">
        <v>9311</v>
      </c>
      <c r="AC772" s="30"/>
      <c r="AD772" s="30"/>
      <c r="AE772" s="30"/>
      <c r="AF772" s="30"/>
      <c r="AG772" s="30"/>
      <c r="AH772" s="30" t="s">
        <v>4714</v>
      </c>
      <c r="AI772" s="30" t="s">
        <v>9433</v>
      </c>
      <c r="AJ772" s="641" t="str">
        <f t="shared" si="24"/>
        <v>252201</v>
      </c>
      <c r="AK772" s="641">
        <v>1</v>
      </c>
      <c r="AL772" s="641">
        <f t="shared" si="25"/>
        <v>1</v>
      </c>
      <c r="AM772" s="641">
        <v>1</v>
      </c>
      <c r="AN772" s="30" t="s">
        <v>17650</v>
      </c>
      <c r="AO772" s="30" t="s">
        <v>17651</v>
      </c>
      <c r="AP772" s="30" t="s">
        <v>17652</v>
      </c>
      <c r="AQ772" s="30" t="s">
        <v>17653</v>
      </c>
      <c r="AR772" s="30" t="s">
        <v>1024</v>
      </c>
      <c r="AS772" s="30">
        <v>1</v>
      </c>
    </row>
    <row r="773" spans="1:45" x14ac:dyDescent="0.25">
      <c r="A773" s="30" t="s">
        <v>716</v>
      </c>
      <c r="B773" s="30" t="s">
        <v>26635</v>
      </c>
      <c r="C773" s="30" t="s">
        <v>706</v>
      </c>
      <c r="D773" s="139" t="s">
        <v>26375</v>
      </c>
      <c r="E773" s="30" t="s">
        <v>217</v>
      </c>
      <c r="F773" s="30">
        <v>1</v>
      </c>
      <c r="G773" s="30" t="s">
        <v>193</v>
      </c>
      <c r="H773" s="30" t="s">
        <v>194</v>
      </c>
      <c r="I773" s="30" t="s">
        <v>27277</v>
      </c>
      <c r="J773" s="30" t="s">
        <v>210</v>
      </c>
      <c r="K773" s="30" t="s">
        <v>9309</v>
      </c>
      <c r="L773" s="30" t="s">
        <v>6955</v>
      </c>
      <c r="M773" s="30"/>
      <c r="N773" s="30" t="s">
        <v>26636</v>
      </c>
      <c r="O773" s="30" t="s">
        <v>6286</v>
      </c>
      <c r="P773" s="30" t="s">
        <v>27919</v>
      </c>
      <c r="Q773" s="30" t="s">
        <v>26261</v>
      </c>
      <c r="R773" s="30" t="s">
        <v>26262</v>
      </c>
      <c r="S773" s="30" t="s">
        <v>28262</v>
      </c>
      <c r="T773" s="30" t="s">
        <v>28263</v>
      </c>
      <c r="U773" s="30"/>
      <c r="V773" s="139" t="s">
        <v>9334</v>
      </c>
      <c r="W773" s="30" t="s">
        <v>707</v>
      </c>
      <c r="X773" s="30" t="s">
        <v>194</v>
      </c>
      <c r="Y773" s="30" t="s">
        <v>9300</v>
      </c>
      <c r="Z773" s="30"/>
      <c r="AA773" s="30"/>
      <c r="AB773" s="30" t="s">
        <v>9311</v>
      </c>
      <c r="AC773" s="30"/>
      <c r="AD773" s="30"/>
      <c r="AE773" s="30"/>
      <c r="AF773" s="30"/>
      <c r="AG773" s="30"/>
      <c r="AH773" s="30" t="s">
        <v>4714</v>
      </c>
      <c r="AI773" s="30" t="s">
        <v>9433</v>
      </c>
      <c r="AJ773" s="641" t="str">
        <f t="shared" si="24"/>
        <v>422201</v>
      </c>
      <c r="AK773" s="641">
        <v>1</v>
      </c>
      <c r="AL773" s="641">
        <f t="shared" si="25"/>
        <v>1</v>
      </c>
      <c r="AM773" s="641">
        <v>1</v>
      </c>
      <c r="AN773" s="30" t="s">
        <v>17650</v>
      </c>
      <c r="AO773" s="30" t="s">
        <v>17651</v>
      </c>
      <c r="AP773" s="30" t="s">
        <v>17652</v>
      </c>
      <c r="AQ773" s="30" t="s">
        <v>17653</v>
      </c>
      <c r="AR773" s="30" t="s">
        <v>1024</v>
      </c>
      <c r="AS773" s="30">
        <v>1</v>
      </c>
    </row>
    <row r="774" spans="1:45" x14ac:dyDescent="0.25">
      <c r="A774" s="30" t="s">
        <v>26089</v>
      </c>
      <c r="B774" s="30" t="s">
        <v>28264</v>
      </c>
      <c r="C774" s="30" t="s">
        <v>1408</v>
      </c>
      <c r="D774" s="139" t="s">
        <v>26375</v>
      </c>
      <c r="E774" s="30" t="s">
        <v>217</v>
      </c>
      <c r="F774" s="30">
        <v>1</v>
      </c>
      <c r="G774" s="30" t="s">
        <v>193</v>
      </c>
      <c r="H774" s="30" t="s">
        <v>194</v>
      </c>
      <c r="I774" s="30" t="s">
        <v>27277</v>
      </c>
      <c r="J774" s="30" t="s">
        <v>210</v>
      </c>
      <c r="K774" s="30" t="s">
        <v>9309</v>
      </c>
      <c r="L774" s="30" t="s">
        <v>6955</v>
      </c>
      <c r="M774" s="30"/>
      <c r="N774" s="30" t="s">
        <v>28265</v>
      </c>
      <c r="O774" s="30" t="s">
        <v>6261</v>
      </c>
      <c r="P774" s="30" t="s">
        <v>27919</v>
      </c>
      <c r="Q774" s="30" t="s">
        <v>26190</v>
      </c>
      <c r="R774" s="30" t="s">
        <v>27792</v>
      </c>
      <c r="S774" s="30" t="s">
        <v>28266</v>
      </c>
      <c r="T774" s="30" t="s">
        <v>28267</v>
      </c>
      <c r="U774" s="30"/>
      <c r="V774" s="139" t="s">
        <v>9334</v>
      </c>
      <c r="W774" s="30" t="s">
        <v>1409</v>
      </c>
      <c r="X774" s="30" t="s">
        <v>194</v>
      </c>
      <c r="Y774" s="30" t="s">
        <v>9300</v>
      </c>
      <c r="Z774" s="30"/>
      <c r="AA774" s="30"/>
      <c r="AB774" s="30" t="s">
        <v>9311</v>
      </c>
      <c r="AC774" s="30"/>
      <c r="AD774" s="30"/>
      <c r="AE774" s="30"/>
      <c r="AF774" s="30"/>
      <c r="AG774" s="30"/>
      <c r="AH774" s="30" t="s">
        <v>4714</v>
      </c>
      <c r="AI774" s="30" t="s">
        <v>9433</v>
      </c>
      <c r="AJ774" s="641" t="str">
        <f t="shared" si="24"/>
        <v>251402</v>
      </c>
      <c r="AK774" s="641">
        <v>1</v>
      </c>
      <c r="AL774" s="641">
        <f t="shared" si="25"/>
        <v>1</v>
      </c>
      <c r="AM774" s="641">
        <v>1</v>
      </c>
      <c r="AN774" s="30" t="s">
        <v>17650</v>
      </c>
      <c r="AO774" s="30" t="s">
        <v>17651</v>
      </c>
      <c r="AP774" s="30" t="s">
        <v>17652</v>
      </c>
      <c r="AQ774" s="30" t="s">
        <v>17653</v>
      </c>
      <c r="AR774" s="30" t="s">
        <v>1024</v>
      </c>
      <c r="AS774" s="30">
        <v>1</v>
      </c>
    </row>
    <row r="775" spans="1:45" x14ac:dyDescent="0.25">
      <c r="A775" s="30" t="s">
        <v>716</v>
      </c>
      <c r="B775" s="30" t="s">
        <v>26902</v>
      </c>
      <c r="C775" s="30" t="s">
        <v>706</v>
      </c>
      <c r="D775" s="139" t="s">
        <v>26375</v>
      </c>
      <c r="E775" s="30" t="s">
        <v>217</v>
      </c>
      <c r="F775" s="30">
        <v>1</v>
      </c>
      <c r="G775" s="30" t="s">
        <v>193</v>
      </c>
      <c r="H775" s="30" t="s">
        <v>194</v>
      </c>
      <c r="I775" s="30" t="s">
        <v>27277</v>
      </c>
      <c r="J775" s="30" t="s">
        <v>210</v>
      </c>
      <c r="K775" s="30" t="s">
        <v>9309</v>
      </c>
      <c r="L775" s="30" t="s">
        <v>6955</v>
      </c>
      <c r="M775" s="30"/>
      <c r="N775" s="30" t="s">
        <v>26903</v>
      </c>
      <c r="O775" s="30" t="s">
        <v>6251</v>
      </c>
      <c r="P775" s="30" t="s">
        <v>27919</v>
      </c>
      <c r="Q775" s="30" t="s">
        <v>26881</v>
      </c>
      <c r="R775" s="30" t="s">
        <v>26882</v>
      </c>
      <c r="S775" s="30" t="s">
        <v>28268</v>
      </c>
      <c r="T775" s="30" t="s">
        <v>28269</v>
      </c>
      <c r="U775" s="30"/>
      <c r="V775" s="139" t="s">
        <v>9334</v>
      </c>
      <c r="W775" s="30" t="s">
        <v>707</v>
      </c>
      <c r="X775" s="30" t="s">
        <v>194</v>
      </c>
      <c r="Y775" s="30" t="s">
        <v>9300</v>
      </c>
      <c r="Z775" s="30"/>
      <c r="AA775" s="30"/>
      <c r="AB775" s="30" t="s">
        <v>9311</v>
      </c>
      <c r="AC775" s="30"/>
      <c r="AD775" s="30"/>
      <c r="AE775" s="30"/>
      <c r="AF775" s="30"/>
      <c r="AG775" s="30"/>
      <c r="AH775" s="30" t="s">
        <v>4714</v>
      </c>
      <c r="AI775" s="30" t="s">
        <v>9433</v>
      </c>
      <c r="AJ775" s="641" t="str">
        <f t="shared" si="24"/>
        <v>422201</v>
      </c>
      <c r="AK775" s="641">
        <v>1</v>
      </c>
      <c r="AL775" s="641">
        <f t="shared" si="25"/>
        <v>1</v>
      </c>
      <c r="AM775" s="641">
        <v>1</v>
      </c>
      <c r="AN775" s="30" t="s">
        <v>17650</v>
      </c>
      <c r="AO775" s="30" t="s">
        <v>17651</v>
      </c>
      <c r="AP775" s="30" t="s">
        <v>17652</v>
      </c>
      <c r="AQ775" s="30" t="s">
        <v>17653</v>
      </c>
      <c r="AR775" s="30" t="s">
        <v>1024</v>
      </c>
      <c r="AS775" s="30">
        <v>1</v>
      </c>
    </row>
    <row r="776" spans="1:45" x14ac:dyDescent="0.25">
      <c r="A776" s="30" t="s">
        <v>26290</v>
      </c>
      <c r="B776" s="30" t="s">
        <v>27181</v>
      </c>
      <c r="C776" s="30" t="s">
        <v>26180</v>
      </c>
      <c r="D776" s="139" t="s">
        <v>26375</v>
      </c>
      <c r="E776" s="30" t="s">
        <v>217</v>
      </c>
      <c r="F776" s="30">
        <v>1</v>
      </c>
      <c r="G776" s="30" t="s">
        <v>193</v>
      </c>
      <c r="H776" s="30" t="s">
        <v>194</v>
      </c>
      <c r="I776" s="30" t="s">
        <v>27277</v>
      </c>
      <c r="J776" s="30" t="s">
        <v>210</v>
      </c>
      <c r="K776" s="30" t="s">
        <v>9309</v>
      </c>
      <c r="L776" s="30" t="s">
        <v>6955</v>
      </c>
      <c r="M776" s="30"/>
      <c r="N776" s="30" t="s">
        <v>27182</v>
      </c>
      <c r="O776" s="30" t="s">
        <v>6251</v>
      </c>
      <c r="P776" s="30" t="s">
        <v>27919</v>
      </c>
      <c r="Q776" s="30" t="s">
        <v>26881</v>
      </c>
      <c r="R776" s="30" t="s">
        <v>26882</v>
      </c>
      <c r="S776" s="30" t="s">
        <v>28270</v>
      </c>
      <c r="T776" s="30" t="s">
        <v>28271</v>
      </c>
      <c r="U776" s="30"/>
      <c r="V776" s="139" t="s">
        <v>9334</v>
      </c>
      <c r="W776" s="30" t="s">
        <v>26186</v>
      </c>
      <c r="X776" s="30" t="s">
        <v>194</v>
      </c>
      <c r="Y776" s="30" t="s">
        <v>9300</v>
      </c>
      <c r="Z776" s="30"/>
      <c r="AA776" s="30"/>
      <c r="AB776" s="30" t="s">
        <v>9311</v>
      </c>
      <c r="AC776" s="30"/>
      <c r="AD776" s="30"/>
      <c r="AE776" s="30"/>
      <c r="AF776" s="30"/>
      <c r="AG776" s="30"/>
      <c r="AH776" s="30" t="s">
        <v>4714</v>
      </c>
      <c r="AI776" s="30" t="s">
        <v>9433</v>
      </c>
      <c r="AJ776" s="641" t="str">
        <f t="shared" si="24"/>
        <v>421108</v>
      </c>
      <c r="AK776" s="641">
        <v>1</v>
      </c>
      <c r="AL776" s="641">
        <f t="shared" si="25"/>
        <v>1</v>
      </c>
      <c r="AM776" s="641">
        <v>1</v>
      </c>
      <c r="AN776" s="30" t="s">
        <v>17650</v>
      </c>
      <c r="AO776" s="30" t="s">
        <v>17651</v>
      </c>
      <c r="AP776" s="30" t="s">
        <v>17652</v>
      </c>
      <c r="AQ776" s="30" t="s">
        <v>17653</v>
      </c>
      <c r="AR776" s="30" t="s">
        <v>1024</v>
      </c>
      <c r="AS776" s="30">
        <v>1</v>
      </c>
    </row>
    <row r="777" spans="1:45" x14ac:dyDescent="0.25">
      <c r="A777" s="30" t="s">
        <v>26153</v>
      </c>
      <c r="B777" s="30" t="s">
        <v>26915</v>
      </c>
      <c r="C777" s="30" t="s">
        <v>10</v>
      </c>
      <c r="D777" s="139" t="s">
        <v>26375</v>
      </c>
      <c r="E777" s="30" t="s">
        <v>217</v>
      </c>
      <c r="F777" s="30">
        <v>1</v>
      </c>
      <c r="G777" s="30" t="s">
        <v>193</v>
      </c>
      <c r="H777" s="30" t="s">
        <v>194</v>
      </c>
      <c r="I777" s="30" t="s">
        <v>27277</v>
      </c>
      <c r="J777" s="30" t="s">
        <v>210</v>
      </c>
      <c r="K777" s="30" t="s">
        <v>9309</v>
      </c>
      <c r="L777" s="30" t="s">
        <v>6955</v>
      </c>
      <c r="M777" s="30"/>
      <c r="N777" s="30" t="s">
        <v>26916</v>
      </c>
      <c r="O777" s="30" t="s">
        <v>6261</v>
      </c>
      <c r="P777" s="30" t="s">
        <v>27919</v>
      </c>
      <c r="Q777" s="30" t="s">
        <v>26881</v>
      </c>
      <c r="R777" s="30" t="s">
        <v>26882</v>
      </c>
      <c r="S777" s="30" t="s">
        <v>28272</v>
      </c>
      <c r="T777" s="30" t="s">
        <v>28273</v>
      </c>
      <c r="U777" s="139"/>
      <c r="V777" s="139" t="s">
        <v>28321</v>
      </c>
      <c r="W777" s="30" t="s">
        <v>484</v>
      </c>
      <c r="X777" s="30" t="s">
        <v>193</v>
      </c>
      <c r="Y777" s="30">
        <v>25</v>
      </c>
      <c r="Z777" s="30"/>
      <c r="AA777" s="30"/>
      <c r="AB777" s="30" t="s">
        <v>9311</v>
      </c>
      <c r="AC777" s="30"/>
      <c r="AD777" s="30"/>
      <c r="AE777" s="30"/>
      <c r="AF777" s="30"/>
      <c r="AG777" s="30"/>
      <c r="AH777" s="30" t="s">
        <v>4714</v>
      </c>
      <c r="AI777" s="30" t="s">
        <v>9433</v>
      </c>
      <c r="AJ777" s="641" t="str">
        <f t="shared" si="24"/>
        <v>251401</v>
      </c>
      <c r="AK777" s="641">
        <v>1</v>
      </c>
      <c r="AL777" s="641">
        <f t="shared" si="25"/>
        <v>1</v>
      </c>
      <c r="AM777" s="641">
        <v>1</v>
      </c>
      <c r="AN777" s="30" t="s">
        <v>17650</v>
      </c>
      <c r="AO777" s="30" t="s">
        <v>17651</v>
      </c>
      <c r="AP777" s="30" t="s">
        <v>17652</v>
      </c>
      <c r="AQ777" s="30" t="s">
        <v>17653</v>
      </c>
      <c r="AR777" s="30" t="s">
        <v>1024</v>
      </c>
      <c r="AS777" s="30">
        <v>1</v>
      </c>
    </row>
    <row r="778" spans="1:45" x14ac:dyDescent="0.25">
      <c r="A778" s="30" t="s">
        <v>716</v>
      </c>
      <c r="B778" s="30" t="s">
        <v>26282</v>
      </c>
      <c r="C778" s="30" t="s">
        <v>27859</v>
      </c>
      <c r="D778" s="139" t="s">
        <v>26375</v>
      </c>
      <c r="E778" s="30" t="s">
        <v>217</v>
      </c>
      <c r="F778" s="30">
        <v>1</v>
      </c>
      <c r="G778" s="30" t="s">
        <v>193</v>
      </c>
      <c r="H778" s="30" t="s">
        <v>194</v>
      </c>
      <c r="I778" s="30" t="s">
        <v>27277</v>
      </c>
      <c r="J778" s="30" t="s">
        <v>210</v>
      </c>
      <c r="K778" s="30" t="s">
        <v>9309</v>
      </c>
      <c r="L778" s="30" t="s">
        <v>6955</v>
      </c>
      <c r="M778" s="30"/>
      <c r="N778" s="30" t="s">
        <v>26283</v>
      </c>
      <c r="O778" s="30" t="s">
        <v>6290</v>
      </c>
      <c r="P778" s="30" t="s">
        <v>27919</v>
      </c>
      <c r="Q778" s="30" t="s">
        <v>26085</v>
      </c>
      <c r="R778" s="30" t="s">
        <v>26057</v>
      </c>
      <c r="S778" s="30" t="s">
        <v>28274</v>
      </c>
      <c r="T778" s="30" t="s">
        <v>28275</v>
      </c>
      <c r="U778" s="30"/>
      <c r="V778" s="139">
        <v>1863</v>
      </c>
      <c r="W778" s="30" t="s">
        <v>27862</v>
      </c>
      <c r="X778" s="30" t="s">
        <v>194</v>
      </c>
      <c r="Y778" s="30" t="s">
        <v>9300</v>
      </c>
      <c r="Z778" s="30"/>
      <c r="AA778" s="30"/>
      <c r="AB778" s="30" t="s">
        <v>9311</v>
      </c>
      <c r="AC778" s="30"/>
      <c r="AD778" s="30"/>
      <c r="AE778" s="30"/>
      <c r="AF778" s="30"/>
      <c r="AG778" s="30"/>
      <c r="AH778" s="30" t="s">
        <v>4714</v>
      </c>
      <c r="AI778" s="30" t="s">
        <v>9433</v>
      </c>
      <c r="AJ778" s="641" t="str">
        <f t="shared" si="24"/>
        <v>351490</v>
      </c>
      <c r="AK778" s="641">
        <v>1</v>
      </c>
      <c r="AL778" s="641">
        <f t="shared" si="25"/>
        <v>1</v>
      </c>
      <c r="AM778" s="641">
        <v>1</v>
      </c>
      <c r="AN778" s="30" t="s">
        <v>17650</v>
      </c>
      <c r="AO778" s="30" t="s">
        <v>17651</v>
      </c>
      <c r="AP778" s="30" t="s">
        <v>17652</v>
      </c>
      <c r="AQ778" s="30" t="s">
        <v>17653</v>
      </c>
      <c r="AR778" s="30" t="s">
        <v>1024</v>
      </c>
      <c r="AS778" s="30">
        <v>1</v>
      </c>
    </row>
    <row r="779" spans="1:45" x14ac:dyDescent="0.25">
      <c r="A779" s="30" t="s">
        <v>716</v>
      </c>
      <c r="B779" s="30" t="s">
        <v>26282</v>
      </c>
      <c r="C779" s="30" t="s">
        <v>27859</v>
      </c>
      <c r="D779" s="139" t="s">
        <v>26375</v>
      </c>
      <c r="E779" s="30" t="s">
        <v>217</v>
      </c>
      <c r="F779" s="30">
        <v>1</v>
      </c>
      <c r="G779" s="30" t="s">
        <v>193</v>
      </c>
      <c r="H779" s="30" t="s">
        <v>194</v>
      </c>
      <c r="I779" s="30" t="s">
        <v>27277</v>
      </c>
      <c r="J779" s="30" t="s">
        <v>210</v>
      </c>
      <c r="K779" s="30" t="s">
        <v>9309</v>
      </c>
      <c r="L779" s="30" t="s">
        <v>6955</v>
      </c>
      <c r="M779" s="30"/>
      <c r="N779" s="30" t="s">
        <v>28276</v>
      </c>
      <c r="O779" s="30" t="s">
        <v>6302</v>
      </c>
      <c r="P779" s="30" t="s">
        <v>27919</v>
      </c>
      <c r="Q779" s="30" t="s">
        <v>26079</v>
      </c>
      <c r="R779" s="30" t="s">
        <v>26077</v>
      </c>
      <c r="S779" s="30" t="s">
        <v>28277</v>
      </c>
      <c r="T779" s="30" t="s">
        <v>28278</v>
      </c>
      <c r="U779" s="30"/>
      <c r="V779" s="139" t="s">
        <v>9334</v>
      </c>
      <c r="W779" s="30" t="s">
        <v>27862</v>
      </c>
      <c r="X779" s="30" t="s">
        <v>194</v>
      </c>
      <c r="Y779" s="30" t="s">
        <v>9300</v>
      </c>
      <c r="Z779" s="30"/>
      <c r="AA779" s="30"/>
      <c r="AB779" s="30" t="s">
        <v>9311</v>
      </c>
      <c r="AC779" s="30"/>
      <c r="AD779" s="30"/>
      <c r="AE779" s="30"/>
      <c r="AF779" s="30"/>
      <c r="AG779" s="30"/>
      <c r="AH779" s="30" t="s">
        <v>4714</v>
      </c>
      <c r="AI779" s="30" t="s">
        <v>9433</v>
      </c>
      <c r="AJ779" s="641" t="str">
        <f t="shared" si="24"/>
        <v>351490</v>
      </c>
      <c r="AK779" s="641">
        <v>1</v>
      </c>
      <c r="AL779" s="641">
        <f t="shared" si="25"/>
        <v>1</v>
      </c>
      <c r="AM779" s="641">
        <v>1</v>
      </c>
      <c r="AN779" s="30" t="s">
        <v>17650</v>
      </c>
      <c r="AO779" s="30" t="s">
        <v>17651</v>
      </c>
      <c r="AP779" s="30" t="s">
        <v>17652</v>
      </c>
      <c r="AQ779" s="30" t="s">
        <v>17653</v>
      </c>
      <c r="AR779" s="30" t="s">
        <v>1024</v>
      </c>
      <c r="AS779" s="30">
        <v>1</v>
      </c>
    </row>
    <row r="780" spans="1:45" x14ac:dyDescent="0.25">
      <c r="A780" s="30" t="s">
        <v>716</v>
      </c>
      <c r="B780" s="30" t="s">
        <v>27044</v>
      </c>
      <c r="C780" s="30" t="s">
        <v>706</v>
      </c>
      <c r="D780" s="139" t="s">
        <v>26375</v>
      </c>
      <c r="E780" s="30" t="s">
        <v>217</v>
      </c>
      <c r="F780" s="30">
        <v>1</v>
      </c>
      <c r="G780" s="30" t="s">
        <v>193</v>
      </c>
      <c r="H780" s="30" t="s">
        <v>194</v>
      </c>
      <c r="I780" s="30" t="s">
        <v>27277</v>
      </c>
      <c r="J780" s="30" t="s">
        <v>210</v>
      </c>
      <c r="K780" s="30" t="s">
        <v>9309</v>
      </c>
      <c r="L780" s="30" t="s">
        <v>6955</v>
      </c>
      <c r="M780" s="30"/>
      <c r="N780" s="30" t="s">
        <v>28279</v>
      </c>
      <c r="O780" s="30" t="s">
        <v>6251</v>
      </c>
      <c r="P780" s="30" t="s">
        <v>27919</v>
      </c>
      <c r="Q780" s="30" t="s">
        <v>26190</v>
      </c>
      <c r="R780" s="30" t="s">
        <v>27792</v>
      </c>
      <c r="S780" s="30" t="s">
        <v>28280</v>
      </c>
      <c r="T780" s="30" t="s">
        <v>28281</v>
      </c>
      <c r="U780" s="30"/>
      <c r="V780" s="139" t="s">
        <v>9334</v>
      </c>
      <c r="W780" s="30" t="s">
        <v>707</v>
      </c>
      <c r="X780" s="30" t="s">
        <v>194</v>
      </c>
      <c r="Y780" s="30" t="s">
        <v>9300</v>
      </c>
      <c r="Z780" s="30"/>
      <c r="AA780" s="30"/>
      <c r="AB780" s="30" t="s">
        <v>9311</v>
      </c>
      <c r="AC780" s="30"/>
      <c r="AD780" s="30"/>
      <c r="AE780" s="30"/>
      <c r="AF780" s="30"/>
      <c r="AG780" s="30"/>
      <c r="AH780" s="30" t="s">
        <v>4714</v>
      </c>
      <c r="AI780" s="30" t="s">
        <v>9433</v>
      </c>
      <c r="AJ780" s="641" t="str">
        <f t="shared" si="24"/>
        <v>422201</v>
      </c>
      <c r="AK780" s="641">
        <v>1</v>
      </c>
      <c r="AL780" s="641">
        <f t="shared" si="25"/>
        <v>1</v>
      </c>
      <c r="AM780" s="641">
        <v>1</v>
      </c>
      <c r="AN780" s="30" t="s">
        <v>17650</v>
      </c>
      <c r="AO780" s="30" t="s">
        <v>17651</v>
      </c>
      <c r="AP780" s="30" t="s">
        <v>17652</v>
      </c>
      <c r="AQ780" s="30" t="s">
        <v>17653</v>
      </c>
      <c r="AR780" s="30" t="s">
        <v>1024</v>
      </c>
      <c r="AS780" s="30">
        <v>1</v>
      </c>
    </row>
    <row r="781" spans="1:45" x14ac:dyDescent="0.25">
      <c r="A781" s="30" t="s">
        <v>26089</v>
      </c>
      <c r="B781" s="30" t="s">
        <v>27177</v>
      </c>
      <c r="C781" s="30" t="s">
        <v>420</v>
      </c>
      <c r="D781" s="139" t="s">
        <v>26375</v>
      </c>
      <c r="E781" s="30" t="s">
        <v>217</v>
      </c>
      <c r="F781" s="30">
        <v>1</v>
      </c>
      <c r="G781" s="30" t="s">
        <v>193</v>
      </c>
      <c r="H781" s="30" t="s">
        <v>194</v>
      </c>
      <c r="I781" s="30" t="s">
        <v>27277</v>
      </c>
      <c r="J781" s="30" t="s">
        <v>210</v>
      </c>
      <c r="K781" s="30" t="s">
        <v>9309</v>
      </c>
      <c r="L781" s="30" t="s">
        <v>6955</v>
      </c>
      <c r="M781" s="30"/>
      <c r="N781" s="30" t="s">
        <v>27178</v>
      </c>
      <c r="O781" s="30" t="s">
        <v>6921</v>
      </c>
      <c r="P781" s="30" t="s">
        <v>27919</v>
      </c>
      <c r="Q781" s="30" t="s">
        <v>26073</v>
      </c>
      <c r="R781" s="30" t="s">
        <v>27021</v>
      </c>
      <c r="S781" s="30" t="s">
        <v>28282</v>
      </c>
      <c r="T781" s="30" t="s">
        <v>28283</v>
      </c>
      <c r="U781" s="30"/>
      <c r="V781" s="139" t="s">
        <v>9334</v>
      </c>
      <c r="W781" s="30" t="s">
        <v>421</v>
      </c>
      <c r="X781" s="30" t="s">
        <v>194</v>
      </c>
      <c r="Y781" s="30" t="s">
        <v>9300</v>
      </c>
      <c r="Z781" s="30"/>
      <c r="AA781" s="30"/>
      <c r="AB781" s="30" t="s">
        <v>9311</v>
      </c>
      <c r="AC781" s="30"/>
      <c r="AD781" s="30"/>
      <c r="AE781" s="30"/>
      <c r="AF781" s="30"/>
      <c r="AG781" s="30"/>
      <c r="AH781" s="30" t="s">
        <v>4714</v>
      </c>
      <c r="AI781" s="30" t="s">
        <v>9433</v>
      </c>
      <c r="AJ781" s="641" t="str">
        <f t="shared" si="24"/>
        <v>241306</v>
      </c>
      <c r="AK781" s="641">
        <v>1</v>
      </c>
      <c r="AL781" s="641">
        <f t="shared" si="25"/>
        <v>1</v>
      </c>
      <c r="AM781" s="641">
        <v>1</v>
      </c>
      <c r="AN781" s="30" t="s">
        <v>17650</v>
      </c>
      <c r="AO781" s="30" t="s">
        <v>17651</v>
      </c>
      <c r="AP781" s="30" t="s">
        <v>17652</v>
      </c>
      <c r="AQ781" s="30" t="s">
        <v>17653</v>
      </c>
      <c r="AR781" s="30" t="s">
        <v>1024</v>
      </c>
      <c r="AS781" s="30">
        <v>1</v>
      </c>
    </row>
    <row r="782" spans="1:45" x14ac:dyDescent="0.25">
      <c r="A782" s="30" t="s">
        <v>716</v>
      </c>
      <c r="B782" s="30" t="s">
        <v>26658</v>
      </c>
      <c r="C782" s="30" t="s">
        <v>2861</v>
      </c>
      <c r="D782" s="139" t="s">
        <v>26375</v>
      </c>
      <c r="E782" s="30" t="s">
        <v>217</v>
      </c>
      <c r="F782" s="30">
        <v>1</v>
      </c>
      <c r="G782" s="30" t="s">
        <v>193</v>
      </c>
      <c r="H782" s="30" t="s">
        <v>194</v>
      </c>
      <c r="I782" s="30" t="s">
        <v>23198</v>
      </c>
      <c r="J782" s="30" t="s">
        <v>210</v>
      </c>
      <c r="K782" s="30" t="s">
        <v>9309</v>
      </c>
      <c r="L782" s="30" t="s">
        <v>6955</v>
      </c>
      <c r="M782" s="30"/>
      <c r="N782" s="30" t="s">
        <v>26659</v>
      </c>
      <c r="O782" s="30" t="s">
        <v>6261</v>
      </c>
      <c r="P782" s="30" t="s">
        <v>27919</v>
      </c>
      <c r="Q782" s="30" t="s">
        <v>26085</v>
      </c>
      <c r="R782" s="30" t="s">
        <v>26057</v>
      </c>
      <c r="S782" s="30" t="s">
        <v>28284</v>
      </c>
      <c r="T782" s="30" t="s">
        <v>28285</v>
      </c>
      <c r="U782" s="30"/>
      <c r="V782" s="139" t="s">
        <v>9334</v>
      </c>
      <c r="W782" s="30" t="s">
        <v>3629</v>
      </c>
      <c r="X782" s="30" t="s">
        <v>194</v>
      </c>
      <c r="Y782" s="30" t="s">
        <v>9300</v>
      </c>
      <c r="Z782" s="30"/>
      <c r="AA782" s="30"/>
      <c r="AB782" s="30" t="s">
        <v>9311</v>
      </c>
      <c r="AC782" s="30"/>
      <c r="AD782" s="30"/>
      <c r="AE782" s="30"/>
      <c r="AF782" s="30"/>
      <c r="AG782" s="30"/>
      <c r="AH782" s="30" t="s">
        <v>4714</v>
      </c>
      <c r="AI782" s="30" t="s">
        <v>9433</v>
      </c>
      <c r="AJ782" s="641" t="str">
        <f t="shared" si="24"/>
        <v>251903</v>
      </c>
      <c r="AK782" s="641">
        <v>1</v>
      </c>
      <c r="AL782" s="641">
        <f t="shared" si="25"/>
        <v>1</v>
      </c>
      <c r="AM782" s="641">
        <v>1</v>
      </c>
      <c r="AN782" s="30" t="s">
        <v>17650</v>
      </c>
      <c r="AO782" s="30" t="s">
        <v>17651</v>
      </c>
      <c r="AP782" s="30" t="s">
        <v>17652</v>
      </c>
      <c r="AQ782" s="30" t="s">
        <v>17653</v>
      </c>
      <c r="AR782" s="30" t="s">
        <v>1024</v>
      </c>
      <c r="AS782" s="30">
        <v>1</v>
      </c>
    </row>
    <row r="783" spans="1:45" x14ac:dyDescent="0.25">
      <c r="A783" s="30" t="s">
        <v>26193</v>
      </c>
      <c r="B783" s="30" t="s">
        <v>27343</v>
      </c>
      <c r="C783" s="30" t="s">
        <v>227</v>
      </c>
      <c r="D783" s="139" t="s">
        <v>26375</v>
      </c>
      <c r="E783" s="30" t="s">
        <v>217</v>
      </c>
      <c r="F783" s="30">
        <v>1</v>
      </c>
      <c r="G783" s="30" t="s">
        <v>193</v>
      </c>
      <c r="H783" s="30" t="s">
        <v>194</v>
      </c>
      <c r="I783" s="30" t="s">
        <v>27277</v>
      </c>
      <c r="J783" s="30" t="s">
        <v>316</v>
      </c>
      <c r="K783" s="30" t="s">
        <v>9309</v>
      </c>
      <c r="L783" s="30" t="s">
        <v>6955</v>
      </c>
      <c r="M783" s="30"/>
      <c r="N783" s="30" t="s">
        <v>27645</v>
      </c>
      <c r="O783" s="30" t="s">
        <v>6269</v>
      </c>
      <c r="P783" s="30" t="s">
        <v>27919</v>
      </c>
      <c r="Q783" s="30" t="s">
        <v>26109</v>
      </c>
      <c r="R783" s="30" t="s">
        <v>27328</v>
      </c>
      <c r="S783" s="30" t="s">
        <v>28286</v>
      </c>
      <c r="T783" s="30" t="s">
        <v>28287</v>
      </c>
      <c r="U783" s="30"/>
      <c r="V783" s="139" t="s">
        <v>10012</v>
      </c>
      <c r="W783" s="30" t="s">
        <v>229</v>
      </c>
      <c r="X783" s="30" t="s">
        <v>194</v>
      </c>
      <c r="Y783" s="30" t="s">
        <v>9300</v>
      </c>
      <c r="Z783" s="30"/>
      <c r="AA783" s="30"/>
      <c r="AB783" s="30" t="s">
        <v>9311</v>
      </c>
      <c r="AC783" s="30"/>
      <c r="AD783" s="30"/>
      <c r="AE783" s="30"/>
      <c r="AF783" s="30"/>
      <c r="AG783" s="30"/>
      <c r="AH783" s="30" t="s">
        <v>4714</v>
      </c>
      <c r="AI783" s="30" t="s">
        <v>9433</v>
      </c>
      <c r="AJ783" s="641" t="str">
        <f t="shared" si="24"/>
        <v>132401</v>
      </c>
      <c r="AK783" s="641">
        <v>1</v>
      </c>
      <c r="AL783" s="641">
        <f t="shared" si="25"/>
        <v>1</v>
      </c>
      <c r="AM783" s="641">
        <v>1</v>
      </c>
      <c r="AN783" s="30" t="s">
        <v>17650</v>
      </c>
      <c r="AO783" s="30" t="s">
        <v>17651</v>
      </c>
      <c r="AP783" s="30" t="s">
        <v>17652</v>
      </c>
      <c r="AQ783" s="30" t="s">
        <v>17653</v>
      </c>
      <c r="AR783" s="30" t="s">
        <v>1024</v>
      </c>
      <c r="AS783" s="30">
        <v>1</v>
      </c>
    </row>
    <row r="784" spans="1:45" x14ac:dyDescent="0.25">
      <c r="A784" s="30" t="s">
        <v>26089</v>
      </c>
      <c r="B784" s="30" t="s">
        <v>27143</v>
      </c>
      <c r="C784" s="30" t="s">
        <v>444</v>
      </c>
      <c r="D784" s="139" t="s">
        <v>26375</v>
      </c>
      <c r="E784" s="30" t="s">
        <v>217</v>
      </c>
      <c r="F784" s="30">
        <v>1</v>
      </c>
      <c r="G784" s="30" t="s">
        <v>193</v>
      </c>
      <c r="H784" s="30" t="s">
        <v>194</v>
      </c>
      <c r="I784" s="30" t="s">
        <v>27277</v>
      </c>
      <c r="J784" s="30" t="s">
        <v>210</v>
      </c>
      <c r="K784" s="30" t="s">
        <v>9309</v>
      </c>
      <c r="L784" s="30" t="s">
        <v>6955</v>
      </c>
      <c r="M784" s="30"/>
      <c r="N784" s="30" t="s">
        <v>27517</v>
      </c>
      <c r="O784" s="30" t="s">
        <v>6261</v>
      </c>
      <c r="P784" s="30" t="s">
        <v>27919</v>
      </c>
      <c r="Q784" s="30" t="s">
        <v>26139</v>
      </c>
      <c r="R784" s="30" t="s">
        <v>27256</v>
      </c>
      <c r="S784" s="30" t="s">
        <v>28288</v>
      </c>
      <c r="T784" s="30" t="s">
        <v>28289</v>
      </c>
      <c r="U784" s="30"/>
      <c r="V784" s="139" t="s">
        <v>9334</v>
      </c>
      <c r="W784" s="30" t="s">
        <v>445</v>
      </c>
      <c r="X784" s="30" t="s">
        <v>194</v>
      </c>
      <c r="Y784" s="30" t="s">
        <v>9300</v>
      </c>
      <c r="Z784" s="30"/>
      <c r="AA784" s="30"/>
      <c r="AB784" s="30" t="s">
        <v>9311</v>
      </c>
      <c r="AC784" s="30"/>
      <c r="AD784" s="30"/>
      <c r="AE784" s="30"/>
      <c r="AF784" s="30"/>
      <c r="AG784" s="30"/>
      <c r="AH784" s="30" t="s">
        <v>4714</v>
      </c>
      <c r="AI784" s="30" t="s">
        <v>9433</v>
      </c>
      <c r="AJ784" s="641" t="str">
        <f t="shared" si="24"/>
        <v>243103</v>
      </c>
      <c r="AK784" s="641">
        <v>1</v>
      </c>
      <c r="AL784" s="641">
        <f t="shared" si="25"/>
        <v>1</v>
      </c>
      <c r="AM784" s="641">
        <v>1</v>
      </c>
      <c r="AN784" s="30" t="s">
        <v>17650</v>
      </c>
      <c r="AO784" s="30" t="s">
        <v>17651</v>
      </c>
      <c r="AP784" s="30" t="s">
        <v>17652</v>
      </c>
      <c r="AQ784" s="30" t="s">
        <v>17653</v>
      </c>
      <c r="AR784" s="30" t="s">
        <v>1024</v>
      </c>
      <c r="AS784" s="30">
        <v>1</v>
      </c>
    </row>
    <row r="785" spans="1:48" x14ac:dyDescent="0.25">
      <c r="A785" s="30" t="s">
        <v>15464</v>
      </c>
      <c r="B785" s="30" t="s">
        <v>16319</v>
      </c>
      <c r="C785" s="30" t="s">
        <v>17</v>
      </c>
      <c r="D785" s="139" t="s">
        <v>26375</v>
      </c>
      <c r="E785" s="30" t="s">
        <v>217</v>
      </c>
      <c r="F785" s="30">
        <v>1</v>
      </c>
      <c r="G785" s="30" t="s">
        <v>193</v>
      </c>
      <c r="H785" s="30" t="s">
        <v>194</v>
      </c>
      <c r="I785" s="30" t="s">
        <v>27277</v>
      </c>
      <c r="J785" s="30" t="s">
        <v>210</v>
      </c>
      <c r="K785" s="30" t="s">
        <v>9309</v>
      </c>
      <c r="L785" s="30" t="s">
        <v>6955</v>
      </c>
      <c r="M785" s="30"/>
      <c r="N785" s="30" t="s">
        <v>22191</v>
      </c>
      <c r="O785" s="30" t="s">
        <v>6269</v>
      </c>
      <c r="P785" s="30" t="s">
        <v>27805</v>
      </c>
      <c r="Q785" s="30" t="s">
        <v>26027</v>
      </c>
      <c r="R785" s="30" t="s">
        <v>27806</v>
      </c>
      <c r="S785" s="30" t="s">
        <v>28290</v>
      </c>
      <c r="T785" s="30" t="s">
        <v>28291</v>
      </c>
      <c r="U785" s="30"/>
      <c r="V785" s="139" t="s">
        <v>9334</v>
      </c>
      <c r="W785" s="30" t="s">
        <v>624</v>
      </c>
      <c r="X785" s="30" t="s">
        <v>194</v>
      </c>
      <c r="Y785" s="30" t="s">
        <v>9300</v>
      </c>
      <c r="Z785" s="30"/>
      <c r="AA785" s="30"/>
      <c r="AB785" s="30" t="s">
        <v>9311</v>
      </c>
      <c r="AC785" s="30"/>
      <c r="AD785" s="30"/>
      <c r="AE785" s="30"/>
      <c r="AF785" s="30"/>
      <c r="AG785" s="30"/>
      <c r="AH785" s="30" t="s">
        <v>4714</v>
      </c>
      <c r="AI785" s="30" t="s">
        <v>9433</v>
      </c>
      <c r="AJ785" s="641" t="str">
        <f t="shared" si="24"/>
        <v>332203</v>
      </c>
      <c r="AK785" s="641">
        <v>1</v>
      </c>
      <c r="AL785" s="641">
        <f t="shared" si="25"/>
        <v>1</v>
      </c>
      <c r="AM785" s="641">
        <v>1</v>
      </c>
      <c r="AN785" s="30" t="s">
        <v>17650</v>
      </c>
      <c r="AO785" s="30" t="s">
        <v>17651</v>
      </c>
      <c r="AP785" s="30" t="s">
        <v>17652</v>
      </c>
      <c r="AQ785" s="30" t="s">
        <v>17653</v>
      </c>
      <c r="AR785" s="30" t="s">
        <v>1024</v>
      </c>
      <c r="AS785" s="30">
        <v>1</v>
      </c>
    </row>
    <row r="786" spans="1:48" x14ac:dyDescent="0.25">
      <c r="A786" s="30" t="s">
        <v>716</v>
      </c>
      <c r="B786" s="30" t="s">
        <v>27331</v>
      </c>
      <c r="C786" s="30" t="s">
        <v>706</v>
      </c>
      <c r="D786" s="139" t="s">
        <v>26375</v>
      </c>
      <c r="E786" s="30" t="s">
        <v>217</v>
      </c>
      <c r="F786" s="30">
        <v>1</v>
      </c>
      <c r="G786" s="30" t="s">
        <v>193</v>
      </c>
      <c r="H786" s="30" t="s">
        <v>194</v>
      </c>
      <c r="I786" s="30" t="s">
        <v>27277</v>
      </c>
      <c r="J786" s="30" t="s">
        <v>210</v>
      </c>
      <c r="K786" s="30" t="s">
        <v>9309</v>
      </c>
      <c r="L786" s="30" t="s">
        <v>6955</v>
      </c>
      <c r="M786" s="30"/>
      <c r="N786" s="30" t="s">
        <v>27377</v>
      </c>
      <c r="O786" s="30" t="s">
        <v>6286</v>
      </c>
      <c r="P786" s="30" t="s">
        <v>27919</v>
      </c>
      <c r="Q786" s="30" t="s">
        <v>26160</v>
      </c>
      <c r="R786" s="30" t="s">
        <v>27340</v>
      </c>
      <c r="S786" s="30" t="s">
        <v>28292</v>
      </c>
      <c r="T786" s="30" t="s">
        <v>28293</v>
      </c>
      <c r="U786" s="30"/>
      <c r="V786" s="139" t="s">
        <v>9334</v>
      </c>
      <c r="W786" s="30" t="s">
        <v>707</v>
      </c>
      <c r="X786" s="30" t="s">
        <v>194</v>
      </c>
      <c r="Y786" s="30" t="s">
        <v>9300</v>
      </c>
      <c r="Z786" s="30"/>
      <c r="AA786" s="30"/>
      <c r="AB786" s="30" t="s">
        <v>9311</v>
      </c>
      <c r="AC786" s="30"/>
      <c r="AD786" s="30"/>
      <c r="AE786" s="30"/>
      <c r="AF786" s="30"/>
      <c r="AG786" s="30"/>
      <c r="AH786" s="30" t="s">
        <v>4714</v>
      </c>
      <c r="AI786" s="30" t="s">
        <v>9433</v>
      </c>
      <c r="AJ786" s="641" t="str">
        <f t="shared" si="24"/>
        <v>422201</v>
      </c>
      <c r="AK786" s="641">
        <v>1</v>
      </c>
      <c r="AL786" s="641">
        <f t="shared" si="25"/>
        <v>1</v>
      </c>
      <c r="AM786" s="641">
        <v>1</v>
      </c>
      <c r="AN786" s="30" t="s">
        <v>17650</v>
      </c>
      <c r="AO786" s="30" t="s">
        <v>17651</v>
      </c>
      <c r="AP786" s="30" t="s">
        <v>17652</v>
      </c>
      <c r="AQ786" s="30" t="s">
        <v>17653</v>
      </c>
      <c r="AR786" s="30" t="s">
        <v>1024</v>
      </c>
      <c r="AS786" s="30">
        <v>1</v>
      </c>
    </row>
    <row r="787" spans="1:48" x14ac:dyDescent="0.25">
      <c r="A787" s="30" t="s">
        <v>716</v>
      </c>
      <c r="B787" s="30" t="s">
        <v>27009</v>
      </c>
      <c r="C787" s="30" t="s">
        <v>706</v>
      </c>
      <c r="D787" s="139" t="s">
        <v>26375</v>
      </c>
      <c r="E787" s="30" t="s">
        <v>217</v>
      </c>
      <c r="F787" s="30">
        <v>1</v>
      </c>
      <c r="G787" s="30" t="s">
        <v>193</v>
      </c>
      <c r="H787" s="30" t="s">
        <v>194</v>
      </c>
      <c r="I787" s="30" t="s">
        <v>27277</v>
      </c>
      <c r="J787" s="30" t="s">
        <v>210</v>
      </c>
      <c r="K787" s="30" t="s">
        <v>9309</v>
      </c>
      <c r="L787" s="30" t="s">
        <v>6955</v>
      </c>
      <c r="M787" s="30"/>
      <c r="N787" s="30" t="s">
        <v>28294</v>
      </c>
      <c r="O787" s="30" t="s">
        <v>6251</v>
      </c>
      <c r="P787" s="30" t="s">
        <v>27919</v>
      </c>
      <c r="Q787" s="30" t="s">
        <v>26252</v>
      </c>
      <c r="R787" s="30" t="s">
        <v>27838</v>
      </c>
      <c r="S787" s="30" t="s">
        <v>28295</v>
      </c>
      <c r="T787" s="30" t="s">
        <v>28296</v>
      </c>
      <c r="U787" s="30"/>
      <c r="V787" s="139" t="s">
        <v>9334</v>
      </c>
      <c r="W787" s="30" t="s">
        <v>707</v>
      </c>
      <c r="X787" s="30" t="s">
        <v>194</v>
      </c>
      <c r="Y787" s="30" t="s">
        <v>9300</v>
      </c>
      <c r="Z787" s="30"/>
      <c r="AA787" s="30"/>
      <c r="AB787" s="30" t="s">
        <v>9311</v>
      </c>
      <c r="AC787" s="30"/>
      <c r="AD787" s="30"/>
      <c r="AE787" s="30"/>
      <c r="AF787" s="30"/>
      <c r="AG787" s="30"/>
      <c r="AH787" s="30" t="s">
        <v>4714</v>
      </c>
      <c r="AI787" s="30" t="s">
        <v>9433</v>
      </c>
      <c r="AJ787" s="641" t="str">
        <f t="shared" si="24"/>
        <v>422201</v>
      </c>
      <c r="AK787" s="641">
        <v>1</v>
      </c>
      <c r="AL787" s="641">
        <f t="shared" si="25"/>
        <v>1</v>
      </c>
      <c r="AM787" s="641">
        <v>1</v>
      </c>
      <c r="AN787" s="30" t="s">
        <v>17650</v>
      </c>
      <c r="AO787" s="30" t="s">
        <v>17651</v>
      </c>
      <c r="AP787" s="30" t="s">
        <v>17652</v>
      </c>
      <c r="AQ787" s="30" t="s">
        <v>17653</v>
      </c>
      <c r="AR787" s="30" t="s">
        <v>1024</v>
      </c>
      <c r="AS787" s="30">
        <v>1</v>
      </c>
    </row>
    <row r="788" spans="1:48" x14ac:dyDescent="0.25">
      <c r="A788" s="30" t="s">
        <v>10145</v>
      </c>
      <c r="B788" s="30" t="s">
        <v>26670</v>
      </c>
      <c r="C788" s="30" t="s">
        <v>17</v>
      </c>
      <c r="D788" s="139" t="s">
        <v>26375</v>
      </c>
      <c r="E788" s="30" t="s">
        <v>217</v>
      </c>
      <c r="F788" s="30">
        <v>1</v>
      </c>
      <c r="G788" s="30" t="s">
        <v>193</v>
      </c>
      <c r="H788" s="30" t="s">
        <v>194</v>
      </c>
      <c r="I788" s="30" t="s">
        <v>27277</v>
      </c>
      <c r="J788" s="30" t="s">
        <v>210</v>
      </c>
      <c r="K788" s="30" t="s">
        <v>9309</v>
      </c>
      <c r="L788" s="30" t="s">
        <v>6955</v>
      </c>
      <c r="M788" s="30"/>
      <c r="N788" s="30" t="s">
        <v>26671</v>
      </c>
      <c r="O788" s="30" t="s">
        <v>6249</v>
      </c>
      <c r="P788" s="30" t="s">
        <v>27919</v>
      </c>
      <c r="Q788" s="30" t="s">
        <v>26085</v>
      </c>
      <c r="R788" s="30" t="s">
        <v>26057</v>
      </c>
      <c r="S788" s="30" t="s">
        <v>28297</v>
      </c>
      <c r="T788" s="30" t="s">
        <v>28298</v>
      </c>
      <c r="U788" s="30"/>
      <c r="V788" s="139" t="s">
        <v>9334</v>
      </c>
      <c r="W788" s="30" t="s">
        <v>624</v>
      </c>
      <c r="X788" s="30" t="s">
        <v>194</v>
      </c>
      <c r="Y788" s="30" t="s">
        <v>9300</v>
      </c>
      <c r="Z788" s="30"/>
      <c r="AA788" s="30"/>
      <c r="AB788" s="30" t="s">
        <v>9311</v>
      </c>
      <c r="AC788" s="30"/>
      <c r="AD788" s="30"/>
      <c r="AE788" s="30"/>
      <c r="AF788" s="30"/>
      <c r="AG788" s="30"/>
      <c r="AH788" s="30" t="s">
        <v>4714</v>
      </c>
      <c r="AI788" s="30" t="s">
        <v>9433</v>
      </c>
      <c r="AJ788" s="641" t="str">
        <f t="shared" si="24"/>
        <v>332203</v>
      </c>
      <c r="AK788" s="641">
        <v>1</v>
      </c>
      <c r="AL788" s="641">
        <f t="shared" si="25"/>
        <v>1</v>
      </c>
      <c r="AM788" s="641">
        <v>1</v>
      </c>
      <c r="AN788" s="30" t="s">
        <v>17650</v>
      </c>
      <c r="AO788" s="30" t="s">
        <v>17651</v>
      </c>
      <c r="AP788" s="30" t="s">
        <v>17652</v>
      </c>
      <c r="AQ788" s="30" t="s">
        <v>17653</v>
      </c>
      <c r="AR788" s="30" t="s">
        <v>1024</v>
      </c>
      <c r="AS788" s="30">
        <v>1</v>
      </c>
    </row>
    <row r="789" spans="1:48" x14ac:dyDescent="0.25">
      <c r="A789" s="30" t="s">
        <v>26089</v>
      </c>
      <c r="B789" s="30" t="s">
        <v>26090</v>
      </c>
      <c r="C789" s="30" t="s">
        <v>36</v>
      </c>
      <c r="D789" s="139" t="s">
        <v>26375</v>
      </c>
      <c r="E789" s="30" t="s">
        <v>217</v>
      </c>
      <c r="F789" s="30">
        <v>1</v>
      </c>
      <c r="G789" s="30" t="s">
        <v>193</v>
      </c>
      <c r="H789" s="30" t="s">
        <v>194</v>
      </c>
      <c r="I789" s="30" t="s">
        <v>27277</v>
      </c>
      <c r="J789" s="30" t="s">
        <v>316</v>
      </c>
      <c r="K789" s="30" t="s">
        <v>9309</v>
      </c>
      <c r="L789" s="30" t="s">
        <v>6955</v>
      </c>
      <c r="M789" s="30"/>
      <c r="N789" s="30" t="s">
        <v>26091</v>
      </c>
      <c r="O789" s="30" t="s">
        <v>7120</v>
      </c>
      <c r="P789" s="30" t="s">
        <v>27805</v>
      </c>
      <c r="Q789" s="30" t="s">
        <v>26092</v>
      </c>
      <c r="R789" s="30" t="s">
        <v>27806</v>
      </c>
      <c r="S789" s="30" t="s">
        <v>28299</v>
      </c>
      <c r="T789" s="30" t="s">
        <v>28300</v>
      </c>
      <c r="U789" s="30"/>
      <c r="V789" s="139" t="s">
        <v>10012</v>
      </c>
      <c r="W789" s="30" t="s">
        <v>609</v>
      </c>
      <c r="X789" s="30" t="s">
        <v>194</v>
      </c>
      <c r="Y789" s="30" t="s">
        <v>9300</v>
      </c>
      <c r="Z789" s="30"/>
      <c r="AA789" s="30"/>
      <c r="AB789" s="30" t="s">
        <v>9311</v>
      </c>
      <c r="AC789" s="30"/>
      <c r="AD789" s="30"/>
      <c r="AE789" s="30"/>
      <c r="AF789" s="30"/>
      <c r="AG789" s="30"/>
      <c r="AH789" s="30" t="s">
        <v>4714</v>
      </c>
      <c r="AI789" s="30" t="s">
        <v>9433</v>
      </c>
      <c r="AJ789" s="641" t="str">
        <f t="shared" si="24"/>
        <v>331301</v>
      </c>
      <c r="AK789" s="641">
        <v>1</v>
      </c>
      <c r="AL789" s="641">
        <f t="shared" si="25"/>
        <v>1</v>
      </c>
      <c r="AM789" s="641">
        <v>1</v>
      </c>
      <c r="AN789" s="30" t="s">
        <v>17650</v>
      </c>
      <c r="AO789" s="30" t="s">
        <v>17651</v>
      </c>
      <c r="AP789" s="30" t="s">
        <v>17652</v>
      </c>
      <c r="AQ789" s="30" t="s">
        <v>17653</v>
      </c>
      <c r="AR789" s="30" t="s">
        <v>1024</v>
      </c>
      <c r="AS789" s="30">
        <v>1</v>
      </c>
    </row>
    <row r="790" spans="1:48" x14ac:dyDescent="0.25">
      <c r="A790" s="30" t="s">
        <v>716</v>
      </c>
      <c r="B790" s="30" t="s">
        <v>27398</v>
      </c>
      <c r="C790" s="30" t="s">
        <v>706</v>
      </c>
      <c r="D790" s="139" t="s">
        <v>26375</v>
      </c>
      <c r="E790" s="30" t="s">
        <v>217</v>
      </c>
      <c r="F790" s="30">
        <v>1</v>
      </c>
      <c r="G790" s="30" t="s">
        <v>193</v>
      </c>
      <c r="H790" s="30" t="s">
        <v>194</v>
      </c>
      <c r="I790" s="30" t="s">
        <v>27277</v>
      </c>
      <c r="J790" s="30" t="s">
        <v>408</v>
      </c>
      <c r="K790" s="30" t="s">
        <v>9309</v>
      </c>
      <c r="L790" s="30" t="s">
        <v>6955</v>
      </c>
      <c r="M790" s="30"/>
      <c r="N790" s="30" t="s">
        <v>27399</v>
      </c>
      <c r="O790" s="30" t="s">
        <v>6251</v>
      </c>
      <c r="P790" s="30" t="s">
        <v>27919</v>
      </c>
      <c r="Q790" s="30" t="s">
        <v>25893</v>
      </c>
      <c r="R790" s="30" t="s">
        <v>27300</v>
      </c>
      <c r="S790" s="30" t="s">
        <v>28301</v>
      </c>
      <c r="T790" s="30" t="s">
        <v>28302</v>
      </c>
      <c r="U790" s="30"/>
      <c r="V790" s="139" t="s">
        <v>9479</v>
      </c>
      <c r="W790" s="30" t="s">
        <v>707</v>
      </c>
      <c r="X790" s="30" t="s">
        <v>194</v>
      </c>
      <c r="Y790" s="30" t="s">
        <v>9300</v>
      </c>
      <c r="Z790" s="30"/>
      <c r="AA790" s="30"/>
      <c r="AB790" s="30" t="s">
        <v>9311</v>
      </c>
      <c r="AC790" s="30"/>
      <c r="AD790" s="30"/>
      <c r="AE790" s="30"/>
      <c r="AF790" s="30"/>
      <c r="AG790" s="30"/>
      <c r="AH790" s="30" t="s">
        <v>4714</v>
      </c>
      <c r="AI790" s="30" t="s">
        <v>9433</v>
      </c>
      <c r="AJ790" s="641" t="str">
        <f t="shared" si="24"/>
        <v>422201</v>
      </c>
      <c r="AK790" s="641">
        <v>1</v>
      </c>
      <c r="AL790" s="641">
        <f t="shared" si="25"/>
        <v>1</v>
      </c>
      <c r="AM790" s="641">
        <v>1</v>
      </c>
      <c r="AN790" s="30" t="s">
        <v>17650</v>
      </c>
      <c r="AO790" s="30" t="s">
        <v>17651</v>
      </c>
      <c r="AP790" s="30" t="s">
        <v>17652</v>
      </c>
      <c r="AQ790" s="30" t="s">
        <v>17653</v>
      </c>
      <c r="AR790" s="30" t="s">
        <v>1024</v>
      </c>
      <c r="AS790" s="30">
        <v>1</v>
      </c>
    </row>
    <row r="791" spans="1:48" x14ac:dyDescent="0.25">
      <c r="A791" s="30" t="s">
        <v>716</v>
      </c>
      <c r="B791" s="30" t="s">
        <v>27331</v>
      </c>
      <c r="C791" s="30" t="s">
        <v>706</v>
      </c>
      <c r="D791" s="139" t="s">
        <v>26375</v>
      </c>
      <c r="E791" s="30" t="s">
        <v>217</v>
      </c>
      <c r="F791" s="30">
        <v>1</v>
      </c>
      <c r="G791" s="30" t="s">
        <v>193</v>
      </c>
      <c r="H791" s="30" t="s">
        <v>194</v>
      </c>
      <c r="I791" s="30" t="s">
        <v>27277</v>
      </c>
      <c r="J791" s="30" t="s">
        <v>210</v>
      </c>
      <c r="K791" s="30" t="s">
        <v>9309</v>
      </c>
      <c r="L791" s="30" t="s">
        <v>6955</v>
      </c>
      <c r="M791" s="30"/>
      <c r="N791" s="30" t="s">
        <v>27593</v>
      </c>
      <c r="O791" s="30" t="s">
        <v>6251</v>
      </c>
      <c r="P791" s="30" t="s">
        <v>27919</v>
      </c>
      <c r="Q791" s="30" t="s">
        <v>26139</v>
      </c>
      <c r="R791" s="30" t="s">
        <v>27256</v>
      </c>
      <c r="S791" s="30" t="s">
        <v>28303</v>
      </c>
      <c r="T791" s="30" t="s">
        <v>28304</v>
      </c>
      <c r="U791" s="30"/>
      <c r="V791" s="139" t="s">
        <v>9334</v>
      </c>
      <c r="W791" s="30" t="s">
        <v>707</v>
      </c>
      <c r="X791" s="30" t="s">
        <v>194</v>
      </c>
      <c r="Y791" s="30" t="s">
        <v>9300</v>
      </c>
      <c r="Z791" s="30"/>
      <c r="AA791" s="30"/>
      <c r="AB791" s="30" t="s">
        <v>9311</v>
      </c>
      <c r="AC791" s="30"/>
      <c r="AD791" s="30"/>
      <c r="AE791" s="30"/>
      <c r="AF791" s="30"/>
      <c r="AG791" s="30"/>
      <c r="AH791" s="30" t="s">
        <v>4714</v>
      </c>
      <c r="AI791" s="30" t="s">
        <v>9433</v>
      </c>
      <c r="AJ791" s="641" t="str">
        <f t="shared" si="24"/>
        <v>422201</v>
      </c>
      <c r="AK791" s="641">
        <v>1</v>
      </c>
      <c r="AL791" s="641">
        <f t="shared" si="25"/>
        <v>1</v>
      </c>
      <c r="AM791" s="641">
        <v>1</v>
      </c>
      <c r="AN791" s="30" t="s">
        <v>17650</v>
      </c>
      <c r="AO791" s="30" t="s">
        <v>17651</v>
      </c>
      <c r="AP791" s="30" t="s">
        <v>17652</v>
      </c>
      <c r="AQ791" s="30" t="s">
        <v>17653</v>
      </c>
      <c r="AR791" s="30" t="s">
        <v>1024</v>
      </c>
      <c r="AS791" s="30">
        <v>1</v>
      </c>
    </row>
    <row r="792" spans="1:48" x14ac:dyDescent="0.25">
      <c r="A792" s="30" t="s">
        <v>716</v>
      </c>
      <c r="B792" s="30" t="s">
        <v>26666</v>
      </c>
      <c r="C792" s="30" t="s">
        <v>2861</v>
      </c>
      <c r="D792" s="139" t="s">
        <v>26375</v>
      </c>
      <c r="E792" s="30" t="s">
        <v>217</v>
      </c>
      <c r="F792" s="30">
        <v>1</v>
      </c>
      <c r="G792" s="30" t="s">
        <v>193</v>
      </c>
      <c r="H792" s="30" t="s">
        <v>194</v>
      </c>
      <c r="I792" s="30" t="s">
        <v>23198</v>
      </c>
      <c r="J792" s="30" t="s">
        <v>210</v>
      </c>
      <c r="K792" s="30" t="s">
        <v>9309</v>
      </c>
      <c r="L792" s="30" t="s">
        <v>6955</v>
      </c>
      <c r="M792" s="30"/>
      <c r="N792" s="30" t="s">
        <v>26667</v>
      </c>
      <c r="O792" s="30" t="s">
        <v>6921</v>
      </c>
      <c r="P792" s="30" t="s">
        <v>27919</v>
      </c>
      <c r="Q792" s="30" t="s">
        <v>26085</v>
      </c>
      <c r="R792" s="30" t="s">
        <v>26057</v>
      </c>
      <c r="S792" s="30" t="s">
        <v>28305</v>
      </c>
      <c r="T792" s="30" t="s">
        <v>28306</v>
      </c>
      <c r="U792" s="30"/>
      <c r="V792" s="139" t="s">
        <v>9334</v>
      </c>
      <c r="W792" s="30" t="s">
        <v>3629</v>
      </c>
      <c r="X792" s="30" t="s">
        <v>194</v>
      </c>
      <c r="Y792" s="30" t="s">
        <v>9300</v>
      </c>
      <c r="Z792" s="30"/>
      <c r="AA792" s="30"/>
      <c r="AB792" s="30" t="s">
        <v>9311</v>
      </c>
      <c r="AC792" s="30"/>
      <c r="AD792" s="30"/>
      <c r="AE792" s="30"/>
      <c r="AF792" s="30"/>
      <c r="AG792" s="30"/>
      <c r="AH792" s="30" t="s">
        <v>4714</v>
      </c>
      <c r="AI792" s="30" t="s">
        <v>9433</v>
      </c>
      <c r="AJ792" s="641" t="str">
        <f t="shared" si="24"/>
        <v>251903</v>
      </c>
      <c r="AK792" s="641">
        <v>1</v>
      </c>
      <c r="AL792" s="641">
        <f t="shared" si="25"/>
        <v>1</v>
      </c>
      <c r="AM792" s="641">
        <v>1</v>
      </c>
      <c r="AN792" s="30" t="s">
        <v>17650</v>
      </c>
      <c r="AO792" s="30" t="s">
        <v>17651</v>
      </c>
      <c r="AP792" s="30" t="s">
        <v>17652</v>
      </c>
      <c r="AQ792" s="30" t="s">
        <v>17653</v>
      </c>
      <c r="AR792" s="30" t="s">
        <v>1024</v>
      </c>
      <c r="AS792" s="30">
        <v>1</v>
      </c>
    </row>
    <row r="793" spans="1:48" x14ac:dyDescent="0.25">
      <c r="A793" s="30" t="s">
        <v>716</v>
      </c>
      <c r="B793" s="30" t="s">
        <v>26902</v>
      </c>
      <c r="C793" s="30" t="s">
        <v>706</v>
      </c>
      <c r="D793" s="139" t="s">
        <v>26375</v>
      </c>
      <c r="E793" s="30" t="s">
        <v>217</v>
      </c>
      <c r="F793" s="30">
        <v>1</v>
      </c>
      <c r="G793" s="30" t="s">
        <v>193</v>
      </c>
      <c r="H793" s="30" t="s">
        <v>194</v>
      </c>
      <c r="I793" s="30" t="s">
        <v>27277</v>
      </c>
      <c r="J793" s="30" t="s">
        <v>210</v>
      </c>
      <c r="K793" s="30" t="s">
        <v>9309</v>
      </c>
      <c r="L793" s="30" t="s">
        <v>6955</v>
      </c>
      <c r="M793" s="30"/>
      <c r="N793" s="30" t="s">
        <v>27689</v>
      </c>
      <c r="O793" s="30" t="s">
        <v>6251</v>
      </c>
      <c r="P793" s="30" t="s">
        <v>27919</v>
      </c>
      <c r="Q793" s="30" t="s">
        <v>26160</v>
      </c>
      <c r="R793" s="30" t="s">
        <v>27340</v>
      </c>
      <c r="S793" s="30" t="s">
        <v>28307</v>
      </c>
      <c r="T793" s="30" t="s">
        <v>28308</v>
      </c>
      <c r="U793" s="30"/>
      <c r="V793" s="139" t="s">
        <v>9334</v>
      </c>
      <c r="W793" s="30" t="s">
        <v>707</v>
      </c>
      <c r="X793" s="30" t="s">
        <v>194</v>
      </c>
      <c r="Y793" s="30" t="s">
        <v>9300</v>
      </c>
      <c r="Z793" s="30"/>
      <c r="AA793" s="30"/>
      <c r="AB793" s="30" t="s">
        <v>9311</v>
      </c>
      <c r="AC793" s="30"/>
      <c r="AD793" s="30"/>
      <c r="AE793" s="30"/>
      <c r="AF793" s="30"/>
      <c r="AG793" s="30"/>
      <c r="AH793" s="30" t="s">
        <v>4714</v>
      </c>
      <c r="AI793" s="30" t="s">
        <v>9433</v>
      </c>
      <c r="AJ793" s="641" t="str">
        <f t="shared" si="24"/>
        <v>422201</v>
      </c>
      <c r="AK793" s="641">
        <v>1</v>
      </c>
      <c r="AL793" s="641">
        <f>F793</f>
        <v>1</v>
      </c>
      <c r="AM793" s="641">
        <v>1</v>
      </c>
      <c r="AN793" s="30" t="s">
        <v>17650</v>
      </c>
      <c r="AO793" s="30" t="s">
        <v>17651</v>
      </c>
      <c r="AP793" s="30" t="s">
        <v>17652</v>
      </c>
      <c r="AQ793" s="30" t="s">
        <v>17653</v>
      </c>
      <c r="AR793" s="30" t="s">
        <v>1024</v>
      </c>
      <c r="AS793" s="30">
        <v>1</v>
      </c>
    </row>
    <row r="794" spans="1:48" x14ac:dyDescent="0.25">
      <c r="A794" s="30" t="s">
        <v>26623</v>
      </c>
      <c r="B794" s="30" t="s">
        <v>28309</v>
      </c>
      <c r="C794" s="30" t="s">
        <v>18431</v>
      </c>
      <c r="D794" s="139" t="s">
        <v>26375</v>
      </c>
      <c r="E794" s="30" t="s">
        <v>217</v>
      </c>
      <c r="F794" s="30">
        <v>1</v>
      </c>
      <c r="G794" s="30" t="s">
        <v>193</v>
      </c>
      <c r="H794" s="30" t="s">
        <v>194</v>
      </c>
      <c r="I794" s="30" t="s">
        <v>27277</v>
      </c>
      <c r="J794" s="30" t="s">
        <v>4751</v>
      </c>
      <c r="K794" s="30" t="s">
        <v>9309</v>
      </c>
      <c r="L794" s="30" t="s">
        <v>6955</v>
      </c>
      <c r="M794" s="30"/>
      <c r="N794" s="30" t="s">
        <v>28310</v>
      </c>
      <c r="O794" s="30" t="s">
        <v>6249</v>
      </c>
      <c r="P794" s="30" t="s">
        <v>27919</v>
      </c>
      <c r="Q794" s="30" t="s">
        <v>26079</v>
      </c>
      <c r="R794" s="30" t="s">
        <v>26077</v>
      </c>
      <c r="S794" s="30" t="s">
        <v>28311</v>
      </c>
      <c r="T794" s="30" t="s">
        <v>28312</v>
      </c>
      <c r="U794" s="30"/>
      <c r="V794" s="139" t="s">
        <v>9472</v>
      </c>
      <c r="W794" s="30" t="s">
        <v>18435</v>
      </c>
      <c r="X794" s="30" t="s">
        <v>194</v>
      </c>
      <c r="Y794" s="30" t="s">
        <v>9300</v>
      </c>
      <c r="Z794" s="30"/>
      <c r="AA794" s="30"/>
      <c r="AB794" s="30" t="s">
        <v>9311</v>
      </c>
      <c r="AC794" s="30"/>
      <c r="AD794" s="30"/>
      <c r="AE794" s="30"/>
      <c r="AF794" s="30"/>
      <c r="AG794" s="30"/>
      <c r="AH794" s="30" t="s">
        <v>4714</v>
      </c>
      <c r="AI794" s="30" t="s">
        <v>9433</v>
      </c>
      <c r="AJ794" s="641" t="str">
        <f t="shared" si="24"/>
        <v>524502</v>
      </c>
      <c r="AK794" s="641">
        <v>1</v>
      </c>
      <c r="AL794" s="641">
        <f>F794</f>
        <v>1</v>
      </c>
      <c r="AM794" s="641">
        <v>1</v>
      </c>
      <c r="AN794" s="30" t="s">
        <v>17650</v>
      </c>
      <c r="AO794" s="30" t="s">
        <v>17651</v>
      </c>
      <c r="AP794" s="30" t="s">
        <v>17652</v>
      </c>
      <c r="AQ794" s="30" t="s">
        <v>17653</v>
      </c>
      <c r="AR794" s="30" t="s">
        <v>1024</v>
      </c>
      <c r="AS794" s="30">
        <v>1</v>
      </c>
    </row>
    <row r="795" spans="1:48" x14ac:dyDescent="0.25">
      <c r="A795" s="30" t="s">
        <v>26089</v>
      </c>
      <c r="B795" s="30" t="s">
        <v>26301</v>
      </c>
      <c r="C795" s="30" t="s">
        <v>129</v>
      </c>
      <c r="D795" s="139" t="s">
        <v>26375</v>
      </c>
      <c r="E795" s="30" t="s">
        <v>217</v>
      </c>
      <c r="F795" s="30">
        <v>1</v>
      </c>
      <c r="G795" s="30" t="s">
        <v>193</v>
      </c>
      <c r="H795" s="30" t="s">
        <v>194</v>
      </c>
      <c r="I795" s="30" t="s">
        <v>27277</v>
      </c>
      <c r="J795" s="30" t="s">
        <v>210</v>
      </c>
      <c r="K795" s="30" t="s">
        <v>9309</v>
      </c>
      <c r="L795" s="30" t="s">
        <v>6955</v>
      </c>
      <c r="M795" s="30"/>
      <c r="N795" s="30" t="s">
        <v>28313</v>
      </c>
      <c r="O795" s="30" t="s">
        <v>6921</v>
      </c>
      <c r="P795" s="30" t="s">
        <v>27919</v>
      </c>
      <c r="Q795" s="30" t="s">
        <v>26242</v>
      </c>
      <c r="R795" s="30" t="s">
        <v>23198</v>
      </c>
      <c r="S795" s="30" t="s">
        <v>28314</v>
      </c>
      <c r="T795" s="30" t="s">
        <v>28315</v>
      </c>
      <c r="U795" s="30"/>
      <c r="V795" s="139" t="s">
        <v>9334</v>
      </c>
      <c r="W795" s="30" t="s">
        <v>203</v>
      </c>
      <c r="X795" s="30" t="s">
        <v>194</v>
      </c>
      <c r="Y795" s="30" t="s">
        <v>9300</v>
      </c>
      <c r="Z795" s="30"/>
      <c r="AA795" s="30"/>
      <c r="AB795" s="30" t="s">
        <v>9311</v>
      </c>
      <c r="AC795" s="30"/>
      <c r="AD795" s="30"/>
      <c r="AE795" s="30"/>
      <c r="AF795" s="30"/>
      <c r="AG795" s="30"/>
      <c r="AH795" s="30" t="s">
        <v>4714</v>
      </c>
      <c r="AI795" s="30" t="s">
        <v>9433</v>
      </c>
      <c r="AJ795" s="641" t="str">
        <f t="shared" si="24"/>
        <v>121904</v>
      </c>
      <c r="AK795" s="641">
        <v>1</v>
      </c>
      <c r="AL795" s="641">
        <f>F795</f>
        <v>1</v>
      </c>
      <c r="AM795" s="641">
        <v>1</v>
      </c>
      <c r="AN795" s="30" t="s">
        <v>17650</v>
      </c>
      <c r="AO795" s="30" t="s">
        <v>17651</v>
      </c>
      <c r="AP795" s="30" t="s">
        <v>17652</v>
      </c>
      <c r="AQ795" s="30" t="s">
        <v>17653</v>
      </c>
      <c r="AR795" s="30" t="s">
        <v>1024</v>
      </c>
      <c r="AS795" s="30">
        <v>1</v>
      </c>
    </row>
    <row r="796" spans="1:48" x14ac:dyDescent="0.25">
      <c r="A796" s="30" t="s">
        <v>26089</v>
      </c>
      <c r="B796" s="30" t="s">
        <v>27019</v>
      </c>
      <c r="C796" s="30" t="s">
        <v>10</v>
      </c>
      <c r="D796" s="139" t="s">
        <v>26375</v>
      </c>
      <c r="E796" s="30" t="s">
        <v>217</v>
      </c>
      <c r="F796" s="30">
        <v>1</v>
      </c>
      <c r="G796" s="30" t="s">
        <v>193</v>
      </c>
      <c r="H796" s="30" t="s">
        <v>194</v>
      </c>
      <c r="I796" s="30" t="s">
        <v>27277</v>
      </c>
      <c r="J796" s="30" t="s">
        <v>210</v>
      </c>
      <c r="K796" s="30" t="s">
        <v>9309</v>
      </c>
      <c r="L796" s="30" t="s">
        <v>6955</v>
      </c>
      <c r="M796" s="30"/>
      <c r="N796" s="30" t="s">
        <v>27020</v>
      </c>
      <c r="O796" s="30" t="s">
        <v>6261</v>
      </c>
      <c r="P796" s="30" t="s">
        <v>27919</v>
      </c>
      <c r="Q796" s="30" t="s">
        <v>26073</v>
      </c>
      <c r="R796" s="30" t="s">
        <v>27021</v>
      </c>
      <c r="S796" s="30" t="s">
        <v>28316</v>
      </c>
      <c r="T796" s="30" t="s">
        <v>28317</v>
      </c>
      <c r="U796" s="30"/>
      <c r="V796" s="139">
        <v>1863</v>
      </c>
      <c r="W796" s="30" t="s">
        <v>484</v>
      </c>
      <c r="X796" s="30" t="s">
        <v>194</v>
      </c>
      <c r="Y796" s="30" t="s">
        <v>9300</v>
      </c>
      <c r="Z796" s="30"/>
      <c r="AA796" s="30"/>
      <c r="AB796" s="30" t="s">
        <v>9311</v>
      </c>
      <c r="AC796" s="30"/>
      <c r="AD796" s="30"/>
      <c r="AE796" s="30"/>
      <c r="AF796" s="30"/>
      <c r="AG796" s="30"/>
      <c r="AH796" s="30" t="s">
        <v>4714</v>
      </c>
      <c r="AI796" s="30" t="s">
        <v>9433</v>
      </c>
      <c r="AJ796" s="641" t="str">
        <f t="shared" si="24"/>
        <v>251401</v>
      </c>
      <c r="AK796" s="641">
        <v>1</v>
      </c>
      <c r="AL796" s="641">
        <f>F796</f>
        <v>1</v>
      </c>
      <c r="AM796" s="641">
        <v>1</v>
      </c>
      <c r="AN796" s="30" t="s">
        <v>17650</v>
      </c>
      <c r="AO796" s="30" t="s">
        <v>17651</v>
      </c>
      <c r="AP796" s="30" t="s">
        <v>17652</v>
      </c>
      <c r="AQ796" s="30" t="s">
        <v>17653</v>
      </c>
      <c r="AR796" s="30" t="s">
        <v>1024</v>
      </c>
      <c r="AS796" s="30">
        <v>1</v>
      </c>
    </row>
    <row r="797" spans="1:48" x14ac:dyDescent="0.25">
      <c r="V797" s="650"/>
      <c r="AJ797" s="643" t="str">
        <f t="shared" si="24"/>
        <v/>
      </c>
      <c r="AK797" s="647"/>
      <c r="AL797" s="647"/>
      <c r="AM797" s="647"/>
      <c r="AT797" s="642">
        <f>SUM(AK1:AK796)</f>
        <v>795</v>
      </c>
      <c r="AU797" s="642">
        <f>SUM(AL1:AL796)</f>
        <v>795</v>
      </c>
      <c r="AV797" s="642">
        <f>SUM(AM1:AM796)</f>
        <v>795</v>
      </c>
    </row>
    <row r="798" spans="1:48" x14ac:dyDescent="0.25">
      <c r="V798" s="535"/>
      <c r="AJ798" s="648"/>
      <c r="AK798" s="648" t="s">
        <v>23102</v>
      </c>
      <c r="AL798" s="649"/>
      <c r="AM798" s="649"/>
      <c r="AT798" s="647">
        <f>SUBTOTAL(9,AK1:AK796)</f>
        <v>795</v>
      </c>
      <c r="AU798" s="647">
        <f>SUBTOTAL(9,AL1:AL796)</f>
        <v>795</v>
      </c>
      <c r="AV798" s="647">
        <f>SUBTOTAL(9,AM1:AM796)</f>
        <v>795</v>
      </c>
    </row>
    <row r="799" spans="1:48" x14ac:dyDescent="0.25">
      <c r="AJ799" s="648"/>
      <c r="AK799" s="648" t="s">
        <v>23103</v>
      </c>
      <c r="AL799" s="648"/>
      <c r="AM799" s="648"/>
    </row>
    <row r="800" spans="1:48" x14ac:dyDescent="0.25">
      <c r="AJ800" s="557"/>
      <c r="AL800" s="557"/>
      <c r="AM800" s="557"/>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Q42"/>
  <sheetViews>
    <sheetView zoomScale="80" zoomScaleNormal="80" workbookViewId="0">
      <selection activeCell="B1" sqref="B1"/>
    </sheetView>
  </sheetViews>
  <sheetFormatPr defaultRowHeight="15" x14ac:dyDescent="0.25"/>
  <cols>
    <col min="1" max="1" width="2.5703125" style="3" customWidth="1"/>
    <col min="2" max="2" width="9.42578125" style="3" customWidth="1"/>
    <col min="3" max="3" width="15.85546875" style="3" customWidth="1"/>
    <col min="4" max="4" width="10.5703125" style="3" customWidth="1"/>
    <col min="5" max="5" width="10.28515625" style="3" customWidth="1"/>
    <col min="6" max="6" width="12.7109375" style="3" customWidth="1"/>
    <col min="7" max="7" width="2.5703125" style="3" customWidth="1"/>
    <col min="8" max="8" width="16.28515625" style="3" customWidth="1"/>
    <col min="9" max="9" width="11.28515625" style="3" customWidth="1"/>
    <col min="10" max="10" width="5.85546875" style="3" customWidth="1"/>
    <col min="11" max="11" width="3.42578125" style="3" customWidth="1"/>
    <col min="12" max="12" width="13.140625" style="3" customWidth="1"/>
    <col min="13" max="13" width="11.42578125" style="3" customWidth="1"/>
    <col min="14" max="14" width="6.7109375" style="3" customWidth="1"/>
    <col min="15" max="15" width="3" style="3" customWidth="1"/>
    <col min="16" max="16" width="5.5703125" style="3" customWidth="1"/>
    <col min="17" max="17" width="30.28515625" style="3" customWidth="1"/>
    <col min="18" max="18" width="6.28515625" style="3" customWidth="1"/>
    <col min="19" max="19" width="5.7109375" style="3" customWidth="1"/>
    <col min="20" max="22" width="6" style="3" customWidth="1"/>
    <col min="23" max="23" width="6.7109375" style="3" customWidth="1"/>
    <col min="24" max="24" width="6.85546875" style="3" customWidth="1"/>
    <col min="25" max="25" width="5.5703125" style="3" customWidth="1"/>
    <col min="26" max="26" width="7.28515625" style="3" customWidth="1"/>
    <col min="27" max="27" width="7.85546875" style="3" customWidth="1"/>
    <col min="28" max="28" width="6.140625" style="3" customWidth="1"/>
    <col min="29" max="29" width="6.42578125" style="3" customWidth="1"/>
    <col min="30" max="30" width="3.28515625" style="3" customWidth="1"/>
    <col min="31" max="31" width="7.5703125" style="3" customWidth="1"/>
    <col min="32" max="32" width="20.42578125" style="3" customWidth="1"/>
    <col min="33" max="33" width="7.5703125" style="3" customWidth="1"/>
    <col min="34" max="34" width="2.7109375" style="3" customWidth="1"/>
    <col min="35" max="38" width="9.140625" style="3"/>
    <col min="39" max="39" width="2.28515625" style="3" customWidth="1"/>
    <col min="40" max="42" width="9.140625" style="3"/>
    <col min="43" max="43" width="9.7109375" style="3" bestFit="1" customWidth="1"/>
    <col min="44" max="16384" width="9.140625" style="3"/>
  </cols>
  <sheetData>
    <row r="1" spans="2:43" x14ac:dyDescent="0.25">
      <c r="B1" s="1" t="s">
        <v>3461</v>
      </c>
      <c r="C1" s="2"/>
      <c r="D1" s="1"/>
      <c r="E1" s="1"/>
      <c r="H1" s="1" t="s">
        <v>4310</v>
      </c>
      <c r="L1" s="1" t="s">
        <v>4328</v>
      </c>
    </row>
    <row r="2" spans="2:43" ht="45" x14ac:dyDescent="0.25">
      <c r="B2" s="63" t="s">
        <v>171</v>
      </c>
      <c r="C2" s="63" t="s">
        <v>172</v>
      </c>
      <c r="D2" s="63" t="s">
        <v>3468</v>
      </c>
      <c r="E2" s="63" t="s">
        <v>3483</v>
      </c>
      <c r="F2" s="63" t="s">
        <v>3467</v>
      </c>
      <c r="H2" s="136" t="s">
        <v>3462</v>
      </c>
      <c r="I2" s="202" t="s">
        <v>5762</v>
      </c>
      <c r="J2" s="136" t="s">
        <v>3514</v>
      </c>
      <c r="L2" s="136" t="s">
        <v>3462</v>
      </c>
      <c r="M2" s="202" t="s">
        <v>5768</v>
      </c>
      <c r="N2" s="136" t="s">
        <v>3514</v>
      </c>
      <c r="P2" s="16" t="s">
        <v>171</v>
      </c>
      <c r="Q2" s="163"/>
      <c r="R2" s="16">
        <v>1</v>
      </c>
      <c r="S2" s="16">
        <v>2</v>
      </c>
      <c r="T2" s="16">
        <v>3</v>
      </c>
      <c r="U2" s="16">
        <v>4</v>
      </c>
      <c r="V2" s="16">
        <v>5</v>
      </c>
      <c r="W2" s="16" t="s">
        <v>3515</v>
      </c>
      <c r="X2" s="16" t="s">
        <v>3516</v>
      </c>
      <c r="Y2" s="16">
        <v>6</v>
      </c>
      <c r="Z2" s="16">
        <v>7</v>
      </c>
      <c r="AA2" s="16">
        <v>8</v>
      </c>
      <c r="AB2" s="205"/>
      <c r="AC2" s="63" t="s">
        <v>4327</v>
      </c>
      <c r="AD2" s="207"/>
      <c r="AE2" s="63" t="s">
        <v>5788</v>
      </c>
      <c r="AF2" s="63" t="s">
        <v>5789</v>
      </c>
      <c r="AG2" s="63" t="s">
        <v>4327</v>
      </c>
      <c r="AI2" s="218" t="s">
        <v>4330</v>
      </c>
      <c r="AJ2" s="212"/>
      <c r="AK2" s="212"/>
      <c r="AL2" s="193" t="s">
        <v>4477</v>
      </c>
      <c r="AN2" s="193" t="s">
        <v>5788</v>
      </c>
      <c r="AO2" s="193" t="s">
        <v>5790</v>
      </c>
      <c r="AP2" s="193" t="s">
        <v>5791</v>
      </c>
      <c r="AQ2" s="193" t="s">
        <v>5792</v>
      </c>
    </row>
    <row r="3" spans="2:43" x14ac:dyDescent="0.25">
      <c r="B3" s="12" t="s">
        <v>3515</v>
      </c>
      <c r="C3" s="17" t="s">
        <v>3460</v>
      </c>
      <c r="D3" s="198">
        <v>563</v>
      </c>
      <c r="E3" s="198">
        <v>523</v>
      </c>
      <c r="F3" s="12" t="s">
        <v>4318</v>
      </c>
      <c r="H3" s="11" t="s">
        <v>3463</v>
      </c>
      <c r="I3" s="12">
        <f>COUNTIF(IIp.16!E2:E700,"praca")</f>
        <v>200</v>
      </c>
      <c r="J3" s="12" t="s">
        <v>3515</v>
      </c>
      <c r="L3" s="11" t="s">
        <v>3463</v>
      </c>
      <c r="M3" s="12">
        <f>COUNTIF('I kw.19'!E1:E799,"praca")</f>
        <v>52</v>
      </c>
      <c r="N3" s="12" t="s">
        <v>3515</v>
      </c>
      <c r="P3" s="222" t="s">
        <v>3573</v>
      </c>
      <c r="Q3" s="212" t="s">
        <v>5775</v>
      </c>
      <c r="R3" s="193" t="s">
        <v>5776</v>
      </c>
      <c r="S3" s="193" t="s">
        <v>5778</v>
      </c>
      <c r="T3" s="193" t="s">
        <v>5779</v>
      </c>
      <c r="U3" s="193" t="s">
        <v>5780</v>
      </c>
      <c r="V3" s="193" t="s">
        <v>5781</v>
      </c>
      <c r="W3" s="193" t="s">
        <v>5782</v>
      </c>
      <c r="X3" s="193" t="s">
        <v>5783</v>
      </c>
      <c r="Y3" s="193" t="s">
        <v>5784</v>
      </c>
      <c r="Z3" s="193" t="s">
        <v>5785</v>
      </c>
      <c r="AA3" s="193" t="s">
        <v>5786</v>
      </c>
      <c r="AB3" s="193" t="s">
        <v>5787</v>
      </c>
      <c r="AC3" s="193" t="s">
        <v>5777</v>
      </c>
      <c r="AD3" s="18"/>
      <c r="AE3" s="11"/>
      <c r="AF3" s="12"/>
      <c r="AG3" s="12"/>
      <c r="AI3" s="12" t="s">
        <v>3469</v>
      </c>
      <c r="AJ3" s="11" t="s">
        <v>3568</v>
      </c>
      <c r="AK3" s="154">
        <f>SUM(AC4:AC6)</f>
        <v>1001</v>
      </c>
      <c r="AL3" s="185">
        <f>SUM(AK3/AK8*100)</f>
        <v>31.757614213197972</v>
      </c>
      <c r="AN3" s="154">
        <f>RANK(AK3,$AK$3:$AK$7,1)+COUNTIF(AK$3:$AK3,AK3)-1</f>
        <v>4</v>
      </c>
      <c r="AO3" s="11" t="str">
        <f>INDEX(AJ3:AK7,MATCH(5,AN3:AN7,0),1)</f>
        <v>Handel i usługi, służba zdrowia</v>
      </c>
      <c r="AP3" s="12">
        <f>INDEX(AJ3:AK7,MATCH(5,AN3:AN7,0),2)</f>
        <v>1946</v>
      </c>
      <c r="AQ3" s="219">
        <f>INDEX(AJ3:AL7,MATCH(5,AN3:AN7,0),3)</f>
        <v>61.738578680203048</v>
      </c>
    </row>
    <row r="4" spans="2:43" x14ac:dyDescent="0.25">
      <c r="B4" s="12" t="s">
        <v>3516</v>
      </c>
      <c r="C4" s="17" t="s">
        <v>3459</v>
      </c>
      <c r="D4" s="200">
        <v>466</v>
      </c>
      <c r="E4" s="200">
        <v>477</v>
      </c>
      <c r="F4" s="12" t="s">
        <v>4319</v>
      </c>
      <c r="H4" s="11" t="s">
        <v>192</v>
      </c>
      <c r="I4" s="12">
        <f>COUNTIF(IIp.16!E2:E700,"pracuj.pl")</f>
        <v>260</v>
      </c>
      <c r="J4" s="12" t="s">
        <v>3516</v>
      </c>
      <c r="L4" s="11" t="s">
        <v>192</v>
      </c>
      <c r="M4" s="12">
        <f>COUNTIF('I kw.19'!E1:E799,"pracuj.pl")</f>
        <v>26</v>
      </c>
      <c r="N4" s="12" t="s">
        <v>3516</v>
      </c>
      <c r="P4" s="12">
        <v>1</v>
      </c>
      <c r="Q4" s="17" t="s">
        <v>170</v>
      </c>
      <c r="R4" s="154">
        <f>SUM('1'!P2)</f>
        <v>73</v>
      </c>
      <c r="S4" s="154">
        <f>SUM('2'!P3)</f>
        <v>73</v>
      </c>
      <c r="T4" s="154">
        <f>SUM('3'!P3)</f>
        <v>63</v>
      </c>
      <c r="U4" s="154">
        <f>SUM('4'!P3)</f>
        <v>76</v>
      </c>
      <c r="V4" s="154">
        <f>SUM('5'!P3)</f>
        <v>95</v>
      </c>
      <c r="W4" s="154">
        <f>SUM('6'!P3)</f>
        <v>10</v>
      </c>
      <c r="X4" s="154">
        <f>SUM('7'!P3)</f>
        <v>66</v>
      </c>
      <c r="Y4" s="155">
        <f>SUM('6+7'!P3)</f>
        <v>76</v>
      </c>
      <c r="Z4" s="155">
        <f>SUM('8'!P3)</f>
        <v>33</v>
      </c>
      <c r="AA4" s="155">
        <f>SUM('9'!P3)</f>
        <v>60</v>
      </c>
      <c r="AB4" s="155">
        <f>SUM(Z4:AA4)</f>
        <v>93</v>
      </c>
      <c r="AC4" s="223">
        <f>SUM(S4:V4,Y4:AA4)</f>
        <v>476</v>
      </c>
      <c r="AD4" s="206"/>
      <c r="AE4" s="154">
        <f>RANK(AC4,$AC$4:$AC$15,1)+COUNTIF(AC$4:$AC15,AC4)-1</f>
        <v>10</v>
      </c>
      <c r="AF4" s="188" t="str">
        <f>INDEX(Q4:AC15,MATCH(12,AE4:AE15,0),1)</f>
        <v>Usługi finansowe, HR, turystyka i inne</v>
      </c>
      <c r="AG4" s="154">
        <f>INDEX(Q4:AC15,MATCH(12,AE4:AE15,0),13)</f>
        <v>1099</v>
      </c>
      <c r="AI4" s="12" t="s">
        <v>3470</v>
      </c>
      <c r="AJ4" s="11" t="s">
        <v>4410</v>
      </c>
      <c r="AK4" s="154">
        <f>SUM(AC7:AC11)</f>
        <v>1946</v>
      </c>
      <c r="AL4" s="185">
        <f>SUM(AK4/AK8*100)</f>
        <v>61.738578680203048</v>
      </c>
      <c r="AN4" s="154">
        <f>RANK(AK4,$AK$3:$AK$7,1)+COUNTIF(AK$4:$AK4,AK4)-1</f>
        <v>5</v>
      </c>
      <c r="AO4" s="11" t="str">
        <f>INDEX(AJ3:AK7,MATCH(4,AN3:AN7,0),1)</f>
        <v>Przemysł (w tym high-tech, budownictwo)</v>
      </c>
      <c r="AP4" s="12">
        <f>INDEX(AJ3:AK7,MATCH(4,AN3:AN7,0),2)</f>
        <v>1001</v>
      </c>
      <c r="AQ4" s="219">
        <f>INDEX(AJ3:AL7,MATCH(4,AN3:AN7,0),3)</f>
        <v>31.757614213197972</v>
      </c>
    </row>
    <row r="5" spans="2:43" x14ac:dyDescent="0.25">
      <c r="B5" s="12" t="s">
        <v>3517</v>
      </c>
      <c r="C5" s="17" t="s">
        <v>3458</v>
      </c>
      <c r="D5" s="200">
        <v>365</v>
      </c>
      <c r="E5" s="200">
        <v>386</v>
      </c>
      <c r="F5" s="12" t="s">
        <v>4320</v>
      </c>
      <c r="H5" s="11" t="s">
        <v>217</v>
      </c>
      <c r="I5" s="12">
        <f>COUNTIF(IIp.16!E2:E700,"agora")</f>
        <v>60</v>
      </c>
      <c r="J5" s="12" t="s">
        <v>3517</v>
      </c>
      <c r="L5" s="11" t="s">
        <v>217</v>
      </c>
      <c r="M5" s="12">
        <f>COUNTIF('I kw.19'!E1:E799,"agora")</f>
        <v>3</v>
      </c>
      <c r="N5" s="12" t="s">
        <v>3517</v>
      </c>
      <c r="P5" s="107">
        <v>2</v>
      </c>
      <c r="Q5" s="106" t="s">
        <v>2</v>
      </c>
      <c r="R5" s="209">
        <f>SUM('1'!P3)</f>
        <v>64</v>
      </c>
      <c r="S5" s="209">
        <f>SUM('2'!P4)</f>
        <v>41</v>
      </c>
      <c r="T5" s="209">
        <f>SUM('3'!P4)</f>
        <v>31</v>
      </c>
      <c r="U5" s="209">
        <f>SUM('4'!P4)</f>
        <v>85</v>
      </c>
      <c r="V5" s="209">
        <f>SUM('5'!P4)</f>
        <v>104</v>
      </c>
      <c r="W5" s="154">
        <f>SUM('6'!P4)</f>
        <v>5</v>
      </c>
      <c r="X5" s="154">
        <f>SUM('7'!P4)</f>
        <v>77</v>
      </c>
      <c r="Y5" s="211">
        <f>SUM('6+7'!P4)</f>
        <v>82</v>
      </c>
      <c r="Z5" s="155">
        <f>SUM('8'!P4)</f>
        <v>41</v>
      </c>
      <c r="AA5" s="155">
        <f>SUM('9'!P4)</f>
        <v>56</v>
      </c>
      <c r="AB5" s="211">
        <f>SUM(Z5:AA5)</f>
        <v>97</v>
      </c>
      <c r="AC5" s="223">
        <f t="shared" ref="AC5:AC14" si="0">SUM(S5:V5,Y5:AA5)</f>
        <v>440</v>
      </c>
      <c r="AD5" s="206"/>
      <c r="AE5" s="154">
        <f>RANK(AC5,$AC$4:$AC$15,1)+COUNTIF(AC$4:$AC15,AC5)-1</f>
        <v>9</v>
      </c>
      <c r="AF5" s="188" t="str">
        <f>INDEX(Q4:AC15,MATCH(11,AE4:AE15,0),1)</f>
        <v>Handel, transport, logistyka</v>
      </c>
      <c r="AG5" s="154">
        <f>INDEX(Q4:AC15,MATCH(11,AE4:AE15,0),13)</f>
        <v>787</v>
      </c>
      <c r="AI5" s="12" t="s">
        <v>3471</v>
      </c>
      <c r="AJ5" s="11" t="s">
        <v>3567</v>
      </c>
      <c r="AK5" s="154">
        <f>SUM(AC12:AC13)</f>
        <v>141</v>
      </c>
      <c r="AL5" s="185">
        <f>SUM(AK5/AK8*100)</f>
        <v>4.4733502538071068</v>
      </c>
      <c r="AN5" s="154">
        <f>RANK(AK5,$AK$3:$AK$7,1)+COUNTIF(AK$5:$AK5,AK5)-1</f>
        <v>3</v>
      </c>
      <c r="AO5" s="11" t="str">
        <f>INDEX(AJ3:AK7,MATCH(3,AN3:AN7,0),1)</f>
        <v>Informacja i edukacja, nadzór i administracja</v>
      </c>
      <c r="AP5" s="12">
        <f>INDEX(AJ3:AK7,MATCH(3,AN3:AN7,0),2)</f>
        <v>141</v>
      </c>
      <c r="AQ5" s="219">
        <f>INDEX(AJ3:AL7,MATCH(3,AN3:AN7,0),3)</f>
        <v>4.4733502538071068</v>
      </c>
    </row>
    <row r="6" spans="2:43" x14ac:dyDescent="0.25">
      <c r="B6" s="12" t="s">
        <v>3518</v>
      </c>
      <c r="C6" s="17" t="s">
        <v>3457</v>
      </c>
      <c r="D6" s="200">
        <v>461</v>
      </c>
      <c r="E6" s="200">
        <v>444</v>
      </c>
      <c r="F6" s="12" t="s">
        <v>4321</v>
      </c>
      <c r="H6" s="11" t="s">
        <v>3464</v>
      </c>
      <c r="I6" s="12">
        <f>COUNTIF(IIp.16!E2:E700,"gratka")</f>
        <v>43</v>
      </c>
      <c r="J6" s="12" t="s">
        <v>3518</v>
      </c>
      <c r="L6" s="11" t="s">
        <v>3464</v>
      </c>
      <c r="M6" s="12">
        <f>COUNTIF('I kw.19'!E1:E799,"gratka")</f>
        <v>5</v>
      </c>
      <c r="N6" s="12" t="s">
        <v>3518</v>
      </c>
      <c r="P6" s="12">
        <v>3</v>
      </c>
      <c r="Q6" s="17" t="s">
        <v>3</v>
      </c>
      <c r="R6" s="154">
        <f>SUM('1'!P4)</f>
        <v>33</v>
      </c>
      <c r="S6" s="154">
        <f>SUM('2'!P5)</f>
        <v>9</v>
      </c>
      <c r="T6" s="154">
        <f>SUM('3'!P5)</f>
        <v>6</v>
      </c>
      <c r="U6" s="154">
        <f>SUM('4'!P5)</f>
        <v>11</v>
      </c>
      <c r="V6" s="154">
        <f>SUM('5'!P5)</f>
        <v>19</v>
      </c>
      <c r="W6" s="154">
        <f>SUM('6'!P5)</f>
        <v>1</v>
      </c>
      <c r="X6" s="154">
        <f>SUM('7'!P5)</f>
        <v>9</v>
      </c>
      <c r="Y6" s="155">
        <f>SUM('6+7'!P5)</f>
        <v>10</v>
      </c>
      <c r="Z6" s="155">
        <f>SUM('8'!P5)</f>
        <v>11</v>
      </c>
      <c r="AA6" s="155">
        <f>SUM('9'!P5)</f>
        <v>19</v>
      </c>
      <c r="AB6" s="155">
        <f t="shared" ref="AB6:AB16" si="1">SUM(Z6:AA6)</f>
        <v>30</v>
      </c>
      <c r="AC6" s="223">
        <f t="shared" si="0"/>
        <v>85</v>
      </c>
      <c r="AD6" s="206"/>
      <c r="AE6" s="154">
        <f>RANK(AC6,$AC$4:$AC$15,1)+COUNTIF(AC$4:$AC15,AC6)-1</f>
        <v>7</v>
      </c>
      <c r="AF6" s="188" t="str">
        <f>INDEX(Q4:AC15,MATCH(10,AE4:AE15,0),1)</f>
        <v>Przemysł produkcyjny</v>
      </c>
      <c r="AG6" s="154">
        <f>INDEX(Q4:AC15,MATCH(10,AE4:AE15,0),13)</f>
        <v>476</v>
      </c>
      <c r="AI6" s="12" t="s">
        <v>3472</v>
      </c>
      <c r="AJ6" s="11" t="s">
        <v>6</v>
      </c>
      <c r="AK6" s="154">
        <f>SUM(AC14)</f>
        <v>25</v>
      </c>
      <c r="AL6" s="185">
        <f>SUM(AK6/AK8*100)</f>
        <v>0.79314720812182737</v>
      </c>
      <c r="AN6" s="154">
        <f>RANK(AK6,$AK$3:$AK$7,1)+COUNTIF(AK$6:$AK6,AK6)-1</f>
        <v>1</v>
      </c>
      <c r="AO6" s="11" t="str">
        <f>INDEX(AJ3:AK7,MATCH(2,AN3:AN7,0),1)</f>
        <v>Pozostałe grupy</v>
      </c>
      <c r="AP6" s="12">
        <f>INDEX(AJ3:AK7,MATCH(2,AN3:AN7,0),2)</f>
        <v>39</v>
      </c>
      <c r="AQ6" s="219">
        <f>INDEX(AJ3:AL7,MATCH(2,AN3:AN7,0),3)</f>
        <v>1.2373096446700509</v>
      </c>
    </row>
    <row r="7" spans="2:43" x14ac:dyDescent="0.25">
      <c r="B7" s="12" t="s">
        <v>13071</v>
      </c>
      <c r="C7" s="17" t="s">
        <v>173</v>
      </c>
      <c r="D7" s="200">
        <v>720</v>
      </c>
      <c r="E7" s="200">
        <v>704</v>
      </c>
      <c r="F7" s="12" t="s">
        <v>4322</v>
      </c>
      <c r="I7" s="2">
        <f>SUM(I3:I6)</f>
        <v>563</v>
      </c>
      <c r="K7" s="20"/>
      <c r="L7" s="20"/>
      <c r="M7" s="18">
        <f>SUM(M3:M6)</f>
        <v>86</v>
      </c>
      <c r="P7" s="12">
        <v>4</v>
      </c>
      <c r="Q7" s="17" t="s">
        <v>3589</v>
      </c>
      <c r="R7" s="154">
        <f>SUM('1'!P5)</f>
        <v>108</v>
      </c>
      <c r="S7" s="154">
        <f>SUM('2'!P6)</f>
        <v>104</v>
      </c>
      <c r="T7" s="154">
        <f>SUM('3'!P6)</f>
        <v>86</v>
      </c>
      <c r="U7" s="154">
        <f>SUM('4'!P6)</f>
        <v>72</v>
      </c>
      <c r="V7" s="154">
        <f>SUM('5'!P6)</f>
        <v>184</v>
      </c>
      <c r="W7" s="154">
        <f>SUM('6'!P6)</f>
        <v>66</v>
      </c>
      <c r="X7" s="154">
        <f>SUM('7'!P6)</f>
        <v>104</v>
      </c>
      <c r="Y7" s="155">
        <f>SUM('6+7'!P6)</f>
        <v>170</v>
      </c>
      <c r="Z7" s="155">
        <f>SUM('8'!P6)</f>
        <v>72</v>
      </c>
      <c r="AA7" s="155">
        <f>SUM('9'!P6)</f>
        <v>99</v>
      </c>
      <c r="AB7" s="155">
        <f t="shared" si="1"/>
        <v>171</v>
      </c>
      <c r="AC7" s="201">
        <f t="shared" si="0"/>
        <v>787</v>
      </c>
      <c r="AD7" s="206"/>
      <c r="AE7" s="209">
        <f>RANK(AC7,$AC$4:$AC$15,1)+COUNTIF(AC$4:$AC15,AC7)-1</f>
        <v>11</v>
      </c>
      <c r="AF7" s="210" t="str">
        <f>INDEX(Q4:AC15,MATCH(9,AE4:AE15,0),1)</f>
        <v>Przemysł high-tech</v>
      </c>
      <c r="AG7" s="209">
        <f>INDEX(Q4:AC15,MATCH(9,AE4:AE15,0),13)</f>
        <v>440</v>
      </c>
      <c r="AI7" s="12" t="s">
        <v>3473</v>
      </c>
      <c r="AJ7" s="11" t="s">
        <v>3574</v>
      </c>
      <c r="AK7" s="154">
        <f>SUM(AC15)</f>
        <v>39</v>
      </c>
      <c r="AL7" s="185">
        <f>SUM(AK7/AK8*100)</f>
        <v>1.2373096446700509</v>
      </c>
      <c r="AN7" s="154">
        <f>RANK(AK7,$AK$3:$AK$7,1)+COUNTIF(AK$7:$AK7,AK7)-1</f>
        <v>2</v>
      </c>
      <c r="AO7" s="11" t="str">
        <f>INDEX(AJ3:AK7,MATCH(1,AN3:AN7,0),1)</f>
        <v>Prace proste</v>
      </c>
      <c r="AP7" s="12">
        <f>INDEX(AJ3:AK7,MATCH(1,AN3:AN7,0),2)</f>
        <v>25</v>
      </c>
      <c r="AQ7" s="219">
        <f>INDEX(AJ3:AL7,MATCH(1,AN3:AN7,0),3)</f>
        <v>0.79314720812182737</v>
      </c>
    </row>
    <row r="8" spans="2:43" x14ac:dyDescent="0.25">
      <c r="B8" s="151">
        <v>1</v>
      </c>
      <c r="C8" s="152" t="s">
        <v>175</v>
      </c>
      <c r="D8" s="199">
        <v>86</v>
      </c>
      <c r="E8" s="199">
        <v>122</v>
      </c>
      <c r="F8" s="151" t="s">
        <v>4323</v>
      </c>
      <c r="H8" s="1" t="s">
        <v>4311</v>
      </c>
      <c r="K8" s="20"/>
      <c r="L8" s="1" t="s">
        <v>4329</v>
      </c>
      <c r="P8" s="12">
        <v>5</v>
      </c>
      <c r="Q8" s="17" t="s">
        <v>3593</v>
      </c>
      <c r="R8" s="154">
        <f>SUM('1'!P6)</f>
        <v>188</v>
      </c>
      <c r="S8" s="154">
        <f>SUM('2'!P7)</f>
        <v>211</v>
      </c>
      <c r="T8" s="154">
        <f>SUM('3'!P7)</f>
        <v>162</v>
      </c>
      <c r="U8" s="154">
        <f>SUM('4'!P7)</f>
        <v>168</v>
      </c>
      <c r="V8" s="154">
        <f>SUM('5'!P7)</f>
        <v>247</v>
      </c>
      <c r="W8" s="154">
        <f>SUM('6'!P7)</f>
        <v>31</v>
      </c>
      <c r="X8" s="154">
        <f>SUM('7'!P7)</f>
        <v>110</v>
      </c>
      <c r="Y8" s="155">
        <f>SUM('6+7'!P7)</f>
        <v>141</v>
      </c>
      <c r="Z8" s="155">
        <f>SUM('8'!P7)</f>
        <v>58</v>
      </c>
      <c r="AA8" s="155">
        <f>SUM('9'!P7)</f>
        <v>112</v>
      </c>
      <c r="AB8" s="155">
        <f t="shared" si="1"/>
        <v>170</v>
      </c>
      <c r="AC8" s="201">
        <f t="shared" si="0"/>
        <v>1099</v>
      </c>
      <c r="AD8" s="206"/>
      <c r="AE8" s="154">
        <f>RANK(AC8,$AC$4:$AC$15,1)+COUNTIF(AC$4:$AC15,AC8)-1</f>
        <v>12</v>
      </c>
      <c r="AF8" s="188" t="str">
        <f>INDEX(Q4:AC15,MATCH(8,AE4:AE15,0),1)</f>
        <v>Informacja i edukcja</v>
      </c>
      <c r="AG8" s="154">
        <f>INDEX(Q4:AC15,MATCH(8,AE4:AE15,0),13)</f>
        <v>120</v>
      </c>
      <c r="AI8" s="212"/>
      <c r="AJ8" s="212"/>
      <c r="AK8" s="201">
        <f>SUM(AK3:AK7)</f>
        <v>3152</v>
      </c>
      <c r="AL8" s="220">
        <f>SUM(AL3:AL7)</f>
        <v>100</v>
      </c>
      <c r="AN8" s="201"/>
      <c r="AO8" s="212"/>
      <c r="AP8" s="193">
        <f>SUM(AP3:AP7)</f>
        <v>3152</v>
      </c>
      <c r="AQ8" s="221">
        <f>SUM(AQ3:AQ7)</f>
        <v>100</v>
      </c>
    </row>
    <row r="9" spans="2:43" ht="30" x14ac:dyDescent="0.25">
      <c r="B9" s="151">
        <v>2</v>
      </c>
      <c r="C9" s="152" t="s">
        <v>174</v>
      </c>
      <c r="D9" s="199">
        <v>377</v>
      </c>
      <c r="E9" s="199">
        <v>410</v>
      </c>
      <c r="F9" s="151" t="s">
        <v>4324</v>
      </c>
      <c r="H9" s="136" t="s">
        <v>3462</v>
      </c>
      <c r="I9" s="202" t="s">
        <v>5763</v>
      </c>
      <c r="J9" s="136" t="s">
        <v>3514</v>
      </c>
      <c r="K9" s="20"/>
      <c r="L9" s="136" t="s">
        <v>3462</v>
      </c>
      <c r="M9" s="202" t="s">
        <v>5767</v>
      </c>
      <c r="N9" s="136" t="s">
        <v>3514</v>
      </c>
      <c r="P9" s="12">
        <v>6</v>
      </c>
      <c r="Q9" s="17" t="s">
        <v>134</v>
      </c>
      <c r="R9" s="154">
        <f>SUM('1'!P7)</f>
        <v>1</v>
      </c>
      <c r="S9" s="154">
        <f>SUM('2'!P8)</f>
        <v>0</v>
      </c>
      <c r="T9" s="154">
        <f>SUM('3'!P8)</f>
        <v>0</v>
      </c>
      <c r="U9" s="154">
        <f>SUM('4'!P8)</f>
        <v>0</v>
      </c>
      <c r="V9" s="154">
        <f>SUM('5'!P8)</f>
        <v>0</v>
      </c>
      <c r="W9" s="154">
        <f>SUM('6'!P8)</f>
        <v>0</v>
      </c>
      <c r="X9" s="154">
        <f>SUM('7'!P8)</f>
        <v>0</v>
      </c>
      <c r="Y9" s="155">
        <f>SUM('6+7'!P8)</f>
        <v>0</v>
      </c>
      <c r="Z9" s="155">
        <f>SUM('8'!P8)</f>
        <v>0</v>
      </c>
      <c r="AA9" s="155">
        <f>SUM('9'!P8)</f>
        <v>0</v>
      </c>
      <c r="AB9" s="155">
        <f t="shared" si="1"/>
        <v>0</v>
      </c>
      <c r="AC9" s="201">
        <f t="shared" si="0"/>
        <v>0</v>
      </c>
      <c r="AD9" s="206"/>
      <c r="AE9" s="154">
        <f>RANK(AC9,$AC$4:$AC$15,1)+COUNTIF(AC$4:$AC15,AC9)-1</f>
        <v>1</v>
      </c>
      <c r="AF9" s="188" t="str">
        <f>INDEX(Q4:AC15,MATCH(7,AE4:AE15,0),1)</f>
        <v>Budownictwo</v>
      </c>
      <c r="AG9" s="154">
        <f>INDEX(Q4:AC15,MATCH(7,AE4:AE15,0),13)</f>
        <v>85</v>
      </c>
    </row>
    <row r="10" spans="2:43" x14ac:dyDescent="0.25">
      <c r="B10" s="12" t="s">
        <v>13072</v>
      </c>
      <c r="C10" s="17" t="s">
        <v>3486</v>
      </c>
      <c r="D10" s="200">
        <f>SUM(D8:D9)</f>
        <v>463</v>
      </c>
      <c r="E10" s="200">
        <f>SUM(E8:E9)</f>
        <v>532</v>
      </c>
      <c r="F10" s="153" t="s">
        <v>3573</v>
      </c>
      <c r="H10" s="11" t="s">
        <v>3463</v>
      </c>
      <c r="I10" s="12">
        <f>COUNTIF(Ip.17!E2:E700,"praca")</f>
        <v>69</v>
      </c>
      <c r="J10" s="12" t="s">
        <v>3515</v>
      </c>
      <c r="K10" s="20"/>
      <c r="L10" s="11" t="s">
        <v>3463</v>
      </c>
      <c r="M10" s="12">
        <f>COUNTIF('II kw.19'!E2:E800,"praca")</f>
        <v>24</v>
      </c>
      <c r="N10" s="12" t="s">
        <v>3515</v>
      </c>
      <c r="P10" s="12">
        <v>7</v>
      </c>
      <c r="Q10" s="17" t="s">
        <v>3590</v>
      </c>
      <c r="R10" s="154">
        <f>SUM('1'!P8)</f>
        <v>0</v>
      </c>
      <c r="S10" s="154">
        <f>SUM('2'!P9)</f>
        <v>0</v>
      </c>
      <c r="T10" s="154">
        <f>SUM('3'!P9)</f>
        <v>0</v>
      </c>
      <c r="U10" s="154">
        <f>SUM('4'!P9)</f>
        <v>0</v>
      </c>
      <c r="V10" s="154">
        <f>SUM('5'!P9)</f>
        <v>2</v>
      </c>
      <c r="W10" s="154">
        <f>SUM('6'!P9)</f>
        <v>0</v>
      </c>
      <c r="X10" s="154">
        <f>SUM('7'!P9)</f>
        <v>1</v>
      </c>
      <c r="Y10" s="155">
        <f>SUM('6+7'!P9)</f>
        <v>1</v>
      </c>
      <c r="Z10" s="155">
        <f>SUM('8'!P9)</f>
        <v>0</v>
      </c>
      <c r="AA10" s="155">
        <f>SUM('9'!P9)</f>
        <v>0</v>
      </c>
      <c r="AB10" s="155">
        <f t="shared" si="1"/>
        <v>0</v>
      </c>
      <c r="AC10" s="201">
        <f t="shared" si="0"/>
        <v>3</v>
      </c>
      <c r="AD10" s="206"/>
      <c r="AE10" s="154">
        <f>RANK(AC10,$AC$4:$AC$15,1)+COUNTIF(AC$4:$AC15,AC10)-1</f>
        <v>2</v>
      </c>
      <c r="AF10" s="188" t="str">
        <f>INDEX(Q4:AC15,MATCH(6,AE4:AE15,0),1)</f>
        <v>Zdrowie i opieka społeczna</v>
      </c>
      <c r="AG10" s="154">
        <f>INDEX(Q4:AC15,MATCH(6,AE4:AE15,0),13)</f>
        <v>57</v>
      </c>
    </row>
    <row r="11" spans="2:43" x14ac:dyDescent="0.25">
      <c r="B11" s="151">
        <v>3</v>
      </c>
      <c r="C11" s="152" t="s">
        <v>3481</v>
      </c>
      <c r="D11" s="193">
        <v>180</v>
      </c>
      <c r="E11" s="193">
        <v>231</v>
      </c>
      <c r="F11" s="151" t="s">
        <v>4325</v>
      </c>
      <c r="H11" s="11" t="s">
        <v>192</v>
      </c>
      <c r="I11" s="12">
        <f>COUNTIF(Ip.17!E2:E700,"pracuj.pl")</f>
        <v>263</v>
      </c>
      <c r="J11" s="12" t="s">
        <v>3516</v>
      </c>
      <c r="K11" s="20"/>
      <c r="L11" s="11" t="s">
        <v>192</v>
      </c>
      <c r="M11" s="12">
        <f>COUNTIF('II kw.19'!E2:E800,"pracuj.pl")</f>
        <v>326</v>
      </c>
      <c r="N11" s="12" t="s">
        <v>3516</v>
      </c>
      <c r="P11" s="12">
        <v>8</v>
      </c>
      <c r="Q11" s="17" t="s">
        <v>4</v>
      </c>
      <c r="R11" s="154">
        <f>SUM('1'!P9)</f>
        <v>20</v>
      </c>
      <c r="S11" s="154">
        <f>SUM('2'!P10)</f>
        <v>6</v>
      </c>
      <c r="T11" s="154">
        <f>SUM('3'!P10)</f>
        <v>6</v>
      </c>
      <c r="U11" s="154">
        <f>SUM('4'!P10)</f>
        <v>8</v>
      </c>
      <c r="V11" s="154">
        <f>SUM('5'!P10)</f>
        <v>15</v>
      </c>
      <c r="W11" s="154">
        <f>SUM('6'!P10)</f>
        <v>1</v>
      </c>
      <c r="X11" s="154">
        <f>SUM('7'!P10)</f>
        <v>4</v>
      </c>
      <c r="Y11" s="155">
        <f>SUM('6+7'!P10)</f>
        <v>5</v>
      </c>
      <c r="Z11" s="155">
        <f>SUM('8'!P10)</f>
        <v>2</v>
      </c>
      <c r="AA11" s="155">
        <f>SUM('9'!P10)</f>
        <v>15</v>
      </c>
      <c r="AB11" s="155">
        <f t="shared" si="1"/>
        <v>17</v>
      </c>
      <c r="AC11" s="201">
        <f>SUM(S11:V11,Y11:AA11)</f>
        <v>57</v>
      </c>
      <c r="AD11" s="206"/>
      <c r="AE11" s="154">
        <f>RANK(AC11,$AC$4:$AC$15,1)+COUNTIF(AC$4:$AC15,AC11)-1</f>
        <v>6</v>
      </c>
      <c r="AF11" s="188" t="str">
        <f>INDEX(Q4:AC15,MATCH(5,AE4:AE15,0),1)</f>
        <v>Pozostałe grupy</v>
      </c>
      <c r="AG11" s="154">
        <f>INDEX(Q4:AC15,MATCH(5,AE4:AE15,0),13)</f>
        <v>39</v>
      </c>
    </row>
    <row r="12" spans="2:43" x14ac:dyDescent="0.25">
      <c r="B12" s="151">
        <v>4</v>
      </c>
      <c r="C12" s="194" t="s">
        <v>3482</v>
      </c>
      <c r="D12" s="201">
        <v>361</v>
      </c>
      <c r="E12" s="201">
        <v>378</v>
      </c>
      <c r="F12" s="151" t="s">
        <v>4326</v>
      </c>
      <c r="H12" s="11" t="s">
        <v>217</v>
      </c>
      <c r="I12" s="12">
        <f>COUNTIF(Ip.17!E2:E700,"agora")</f>
        <v>49</v>
      </c>
      <c r="J12" s="12" t="s">
        <v>3517</v>
      </c>
      <c r="K12" s="20"/>
      <c r="L12" s="11" t="s">
        <v>217</v>
      </c>
      <c r="M12" s="12">
        <f>COUNTIF('II kw.19'!E2:E800,"agora")</f>
        <v>12</v>
      </c>
      <c r="N12" s="12" t="s">
        <v>3517</v>
      </c>
      <c r="P12" s="12">
        <v>9</v>
      </c>
      <c r="Q12" s="17" t="s">
        <v>3591</v>
      </c>
      <c r="R12" s="154">
        <f>SUM('1'!P10)</f>
        <v>19</v>
      </c>
      <c r="S12" s="154">
        <f>SUM('2'!P11)</f>
        <v>15</v>
      </c>
      <c r="T12" s="154">
        <f>SUM('3'!P11)</f>
        <v>15</v>
      </c>
      <c r="U12" s="154">
        <f>SUM('4'!P11)</f>
        <v>12</v>
      </c>
      <c r="V12" s="154">
        <f>SUM('5'!P11)</f>
        <v>18</v>
      </c>
      <c r="W12" s="154">
        <f>SUM('6'!P11)</f>
        <v>6</v>
      </c>
      <c r="X12" s="154">
        <f>SUM('7'!P11)</f>
        <v>32</v>
      </c>
      <c r="Y12" s="155">
        <f>SUM('6+7'!P11)</f>
        <v>38</v>
      </c>
      <c r="Z12" s="155">
        <f>SUM('8'!P11)</f>
        <v>11</v>
      </c>
      <c r="AA12" s="155">
        <f>SUM('9'!P11)</f>
        <v>11</v>
      </c>
      <c r="AB12" s="155">
        <f t="shared" si="1"/>
        <v>22</v>
      </c>
      <c r="AC12" s="223">
        <f t="shared" si="0"/>
        <v>120</v>
      </c>
      <c r="AD12" s="206"/>
      <c r="AE12" s="154">
        <f>RANK(AC12,$AC$4:$AC$15,1)+COUNTIF(AC$4:$AC15,AC12)-1</f>
        <v>8</v>
      </c>
      <c r="AF12" s="188" t="str">
        <f>INDEX(Q4:AC15,MATCH(4,AE4:AE15,0),1)</f>
        <v>Prace proste</v>
      </c>
      <c r="AG12" s="154">
        <f>INDEX(Q4:AC15,MATCH(4,AE4:AE15,0),13)</f>
        <v>25</v>
      </c>
    </row>
    <row r="13" spans="2:43" x14ac:dyDescent="0.25">
      <c r="B13" s="12" t="s">
        <v>13073</v>
      </c>
      <c r="C13" s="17" t="s">
        <v>3487</v>
      </c>
      <c r="D13" s="200">
        <f>SUM(D11:D12)</f>
        <v>541</v>
      </c>
      <c r="E13" s="200">
        <f>SUM(E11:E12)</f>
        <v>609</v>
      </c>
      <c r="F13" s="153" t="s">
        <v>3573</v>
      </c>
      <c r="H13" s="11" t="s">
        <v>3464</v>
      </c>
      <c r="I13" s="12">
        <f>COUNTIF(Ip.17!E2:E700,"gratka")</f>
        <v>85</v>
      </c>
      <c r="J13" s="12" t="s">
        <v>3518</v>
      </c>
      <c r="K13" s="20"/>
      <c r="L13" s="11" t="s">
        <v>3464</v>
      </c>
      <c r="M13" s="12">
        <f>COUNTIF('II kw.19'!E2:E800,"gratka")</f>
        <v>15</v>
      </c>
      <c r="N13" s="12" t="s">
        <v>3518</v>
      </c>
      <c r="P13" s="12">
        <v>10</v>
      </c>
      <c r="Q13" s="17" t="s">
        <v>0</v>
      </c>
      <c r="R13" s="154">
        <f>SUM('1'!P11)</f>
        <v>2</v>
      </c>
      <c r="S13" s="154">
        <f>SUM('2'!P12)</f>
        <v>3</v>
      </c>
      <c r="T13" s="154">
        <f>SUM('3'!P12)</f>
        <v>4</v>
      </c>
      <c r="U13" s="154">
        <f>SUM('4'!P12)</f>
        <v>2</v>
      </c>
      <c r="V13" s="154">
        <f>SUM('5'!P12)</f>
        <v>7</v>
      </c>
      <c r="W13" s="154">
        <f>SUM('6'!P12)</f>
        <v>0</v>
      </c>
      <c r="X13" s="154">
        <f>SUM('7'!P12)</f>
        <v>3</v>
      </c>
      <c r="Y13" s="155">
        <f>SUM('6+7'!P12)</f>
        <v>3</v>
      </c>
      <c r="Z13" s="155">
        <f>SUM('8'!P12)</f>
        <v>0</v>
      </c>
      <c r="AA13" s="155">
        <f>SUM('9'!P12)</f>
        <v>2</v>
      </c>
      <c r="AB13" s="155">
        <f t="shared" si="1"/>
        <v>2</v>
      </c>
      <c r="AC13" s="223">
        <f t="shared" si="0"/>
        <v>21</v>
      </c>
      <c r="AD13" s="206"/>
      <c r="AE13" s="154">
        <f>RANK(AC13,$AC$4:$AC$15,1)+COUNTIF(AC$4:$AC15,AC13)-1</f>
        <v>3</v>
      </c>
      <c r="AF13" s="188" t="str">
        <f>INDEX(Q4:AC15,MATCH(3,AE4:AE15,0),1)</f>
        <v>Nadzór i administracja</v>
      </c>
      <c r="AG13" s="154">
        <f>INDEX(Q4:AC15,MATCH(3,AE4:AE15,0),13)</f>
        <v>21</v>
      </c>
    </row>
    <row r="14" spans="2:43" x14ac:dyDescent="0.25">
      <c r="B14" s="12" t="s">
        <v>13094</v>
      </c>
      <c r="C14" s="11" t="s">
        <v>4327</v>
      </c>
      <c r="D14" s="154">
        <f>SUM(D4:D7)+D10+D13</f>
        <v>3016</v>
      </c>
      <c r="E14" s="154">
        <f>SUM(E4:E7)+E10+E13</f>
        <v>3152</v>
      </c>
      <c r="F14" s="11"/>
      <c r="H14" s="20"/>
      <c r="I14" s="18">
        <f>SUM(I10:I13)</f>
        <v>466</v>
      </c>
      <c r="J14" s="20"/>
      <c r="K14" s="20"/>
      <c r="L14" s="20"/>
      <c r="M14" s="18">
        <f>SUM(M10:M13)</f>
        <v>377</v>
      </c>
      <c r="P14" s="12">
        <v>11</v>
      </c>
      <c r="Q14" s="17" t="s">
        <v>6</v>
      </c>
      <c r="R14" s="154">
        <f>SUM('1'!P12)</f>
        <v>2</v>
      </c>
      <c r="S14" s="154">
        <f>SUM('2'!P13)</f>
        <v>5</v>
      </c>
      <c r="T14" s="154">
        <f>SUM('3'!P13)</f>
        <v>5</v>
      </c>
      <c r="U14" s="154">
        <f>SUM('4'!P13)</f>
        <v>3</v>
      </c>
      <c r="V14" s="154">
        <f>SUM('5'!P13)</f>
        <v>6</v>
      </c>
      <c r="W14" s="154">
        <f>SUM('6'!P13)</f>
        <v>0</v>
      </c>
      <c r="X14" s="154">
        <f>SUM('7'!P13)</f>
        <v>3</v>
      </c>
      <c r="Y14" s="155">
        <f>SUM('6+7'!P13)</f>
        <v>3</v>
      </c>
      <c r="Z14" s="155">
        <f>SUM('8'!P13)</f>
        <v>1</v>
      </c>
      <c r="AA14" s="155">
        <f>SUM('9'!P13)</f>
        <v>2</v>
      </c>
      <c r="AB14" s="155">
        <f t="shared" si="1"/>
        <v>3</v>
      </c>
      <c r="AC14" s="154">
        <f t="shared" si="0"/>
        <v>25</v>
      </c>
      <c r="AD14" s="206"/>
      <c r="AE14" s="154">
        <f>RANK(AC14,$AC$4:$AC$15,1)+COUNTIF(AC$4:$AC15,AC14)-1</f>
        <v>4</v>
      </c>
      <c r="AF14" s="188" t="str">
        <f>INDEX(Q4:AC15,MATCH(2,AE4:AE15,0),1)</f>
        <v>Usługi typu krawiectwo, kaletnictwo, obuwnictwo + poszukiwanie + ochrona</v>
      </c>
      <c r="AG14" s="154">
        <f>INDEX(Q4:AC15,MATCH(2,AE4:AE15,0),13)</f>
        <v>3</v>
      </c>
    </row>
    <row r="15" spans="2:43" x14ac:dyDescent="0.25">
      <c r="B15" s="193">
        <v>5</v>
      </c>
      <c r="C15" s="212" t="s">
        <v>6392</v>
      </c>
      <c r="D15" s="193">
        <v>198</v>
      </c>
      <c r="E15" s="193">
        <v>207</v>
      </c>
      <c r="F15" s="193" t="s">
        <v>6393</v>
      </c>
      <c r="H15" s="1" t="s">
        <v>4312</v>
      </c>
      <c r="K15" s="20"/>
      <c r="L15" s="1" t="s">
        <v>4315</v>
      </c>
      <c r="P15" s="12">
        <v>12</v>
      </c>
      <c r="Q15" s="17" t="s">
        <v>3574</v>
      </c>
      <c r="R15" s="154">
        <f>SUM('1'!P13)</f>
        <v>13</v>
      </c>
      <c r="S15" s="154">
        <f>SUM('2'!P14)</f>
        <v>10</v>
      </c>
      <c r="T15" s="154">
        <f>SUM('3'!P14)</f>
        <v>8</v>
      </c>
      <c r="U15" s="154">
        <f>SUM('4'!P14)</f>
        <v>7</v>
      </c>
      <c r="V15" s="154">
        <f>SUM('5'!P14)</f>
        <v>7</v>
      </c>
      <c r="W15" s="154">
        <f>SUM('6'!P14)</f>
        <v>2</v>
      </c>
      <c r="X15" s="154">
        <f>SUM('7'!P14)</f>
        <v>1</v>
      </c>
      <c r="Y15" s="155">
        <f>SUM('6+7'!P14)</f>
        <v>3</v>
      </c>
      <c r="Z15" s="155">
        <f>SUM('8'!P14)</f>
        <v>2</v>
      </c>
      <c r="AA15" s="155">
        <f>SUM('9'!P14)</f>
        <v>2</v>
      </c>
      <c r="AB15" s="155">
        <f t="shared" si="1"/>
        <v>4</v>
      </c>
      <c r="AC15" s="154">
        <f>SUM(S15:V15,Y15:AA15)</f>
        <v>39</v>
      </c>
      <c r="AD15" s="206"/>
      <c r="AE15" s="154">
        <f>RANK(AC15,$AC$4:$AC$15,1)+COUNTIF(AC$4:$AC15,AC15)-1</f>
        <v>5</v>
      </c>
      <c r="AF15" s="188" t="str">
        <f>INDEX(Q4:AC15,MATCH(1,AE4:AE15,0),1)</f>
        <v>Usługi gastronomiczne</v>
      </c>
      <c r="AG15" s="154">
        <f>INDEX(Q4:AC15,MATCH(1,AE4:AE15,0),13)</f>
        <v>0</v>
      </c>
    </row>
    <row r="16" spans="2:43" ht="30" x14ac:dyDescent="0.25">
      <c r="H16" s="136" t="s">
        <v>3462</v>
      </c>
      <c r="I16" s="202" t="s">
        <v>5765</v>
      </c>
      <c r="J16" s="136" t="s">
        <v>3514</v>
      </c>
      <c r="L16" s="136" t="s">
        <v>3462</v>
      </c>
      <c r="M16" s="203" t="s">
        <v>5769</v>
      </c>
      <c r="N16" s="136" t="s">
        <v>3514</v>
      </c>
      <c r="P16" s="217" t="s">
        <v>3573</v>
      </c>
      <c r="Q16" s="216" t="s">
        <v>5774</v>
      </c>
      <c r="R16" s="214">
        <f t="shared" ref="R16:AA16" si="2">SUM(R4:R15)</f>
        <v>523</v>
      </c>
      <c r="S16" s="214">
        <f t="shared" si="2"/>
        <v>477</v>
      </c>
      <c r="T16" s="214">
        <f t="shared" si="2"/>
        <v>386</v>
      </c>
      <c r="U16" s="214">
        <f t="shared" si="2"/>
        <v>444</v>
      </c>
      <c r="V16" s="214">
        <f t="shared" si="2"/>
        <v>704</v>
      </c>
      <c r="W16" s="215">
        <f t="shared" si="2"/>
        <v>122</v>
      </c>
      <c r="X16" s="215">
        <f t="shared" si="2"/>
        <v>410</v>
      </c>
      <c r="Y16" s="214">
        <f t="shared" si="2"/>
        <v>532</v>
      </c>
      <c r="Z16" s="215">
        <f t="shared" si="2"/>
        <v>231</v>
      </c>
      <c r="AA16" s="215">
        <f t="shared" si="2"/>
        <v>378</v>
      </c>
      <c r="AB16" s="214">
        <f t="shared" si="1"/>
        <v>609</v>
      </c>
      <c r="AC16" s="214">
        <f>SUM(S16:V16,Y16:AA16)</f>
        <v>3152</v>
      </c>
      <c r="AD16" s="208"/>
      <c r="AE16" s="213"/>
      <c r="AF16" s="213"/>
      <c r="AG16" s="213"/>
    </row>
    <row r="17" spans="2:25" x14ac:dyDescent="0.25">
      <c r="B17" s="1" t="s">
        <v>4327</v>
      </c>
      <c r="E17" s="135"/>
      <c r="H17" s="11" t="s">
        <v>3463</v>
      </c>
      <c r="I17" s="12">
        <f>COUNTIF(IIp.17!E2:E700,"praca")</f>
        <v>63</v>
      </c>
      <c r="J17" s="12" t="s">
        <v>3515</v>
      </c>
      <c r="L17" s="11" t="s">
        <v>3463</v>
      </c>
      <c r="M17" s="12">
        <f>SUM(M3,M10)</f>
        <v>76</v>
      </c>
      <c r="N17" s="12" t="s">
        <v>3515</v>
      </c>
    </row>
    <row r="18" spans="2:25" x14ac:dyDescent="0.25">
      <c r="B18" s="16" t="s">
        <v>3462</v>
      </c>
      <c r="C18" s="16" t="s">
        <v>3465</v>
      </c>
      <c r="D18" s="156" t="s">
        <v>3514</v>
      </c>
      <c r="H18" s="11" t="s">
        <v>192</v>
      </c>
      <c r="I18" s="12">
        <f>COUNTIF(IIp.17!E2:E700,"pracuj.pl")</f>
        <v>189</v>
      </c>
      <c r="J18" s="12" t="s">
        <v>3516</v>
      </c>
      <c r="L18" s="11" t="s">
        <v>192</v>
      </c>
      <c r="M18" s="12">
        <f>SUM(M4,M11)</f>
        <v>352</v>
      </c>
      <c r="N18" s="12" t="s">
        <v>3516</v>
      </c>
    </row>
    <row r="19" spans="2:25" x14ac:dyDescent="0.25">
      <c r="B19" s="11" t="s">
        <v>3463</v>
      </c>
      <c r="C19" s="154">
        <f>SUM(I10,I17,I24,I31,M17,M38)</f>
        <v>475</v>
      </c>
      <c r="D19" s="157" t="s">
        <v>3515</v>
      </c>
      <c r="H19" s="11" t="s">
        <v>217</v>
      </c>
      <c r="I19" s="12">
        <f>COUNTIF(IIp.17!E2:E700,"agora")</f>
        <v>39</v>
      </c>
      <c r="J19" s="12" t="s">
        <v>3517</v>
      </c>
      <c r="L19" s="11" t="s">
        <v>217</v>
      </c>
      <c r="M19" s="12">
        <f>SUM(M5,M12)</f>
        <v>15</v>
      </c>
      <c r="N19" s="12" t="s">
        <v>3517</v>
      </c>
    </row>
    <row r="20" spans="2:25" x14ac:dyDescent="0.25">
      <c r="B20" s="11" t="s">
        <v>192</v>
      </c>
      <c r="C20" s="154">
        <f>SUM(I11,I18,I25,I32,M18,M39)</f>
        <v>2060</v>
      </c>
      <c r="D20" s="157" t="s">
        <v>3516</v>
      </c>
      <c r="H20" s="11" t="s">
        <v>3464</v>
      </c>
      <c r="I20" s="12">
        <f>COUNTIF(IIp.17!E2:E700,"gratka")</f>
        <v>74</v>
      </c>
      <c r="J20" s="12" t="s">
        <v>3518</v>
      </c>
      <c r="L20" s="11" t="s">
        <v>3464</v>
      </c>
      <c r="M20" s="12">
        <f>SUM(M6,M13)</f>
        <v>20</v>
      </c>
      <c r="N20" s="12" t="s">
        <v>3518</v>
      </c>
    </row>
    <row r="21" spans="2:25" x14ac:dyDescent="0.25">
      <c r="B21" s="11" t="s">
        <v>217</v>
      </c>
      <c r="C21" s="154">
        <f>SUM(I12,I19,I26,I33,M19,M40)</f>
        <v>254</v>
      </c>
      <c r="D21" s="157" t="s">
        <v>3517</v>
      </c>
      <c r="I21" s="2">
        <f>SUM(I17:I20)</f>
        <v>365</v>
      </c>
      <c r="M21" s="2">
        <f>SUM(M17:M20)</f>
        <v>463</v>
      </c>
    </row>
    <row r="22" spans="2:25" x14ac:dyDescent="0.25">
      <c r="B22" s="11" t="s">
        <v>3464</v>
      </c>
      <c r="C22" s="154">
        <f>SUM(I13,I20,I27,I34,M20,M41)</f>
        <v>227</v>
      </c>
      <c r="D22" s="157" t="s">
        <v>3518</v>
      </c>
      <c r="H22" s="1" t="s">
        <v>4313</v>
      </c>
      <c r="L22" s="1" t="s">
        <v>4316</v>
      </c>
    </row>
    <row r="23" spans="2:25" ht="30" x14ac:dyDescent="0.25">
      <c r="B23" s="218" t="s">
        <v>5793</v>
      </c>
      <c r="C23" s="215">
        <f>SUM(C19:C22)</f>
        <v>3016</v>
      </c>
      <c r="D23" s="225"/>
      <c r="H23" s="136" t="s">
        <v>3462</v>
      </c>
      <c r="I23" s="202" t="s">
        <v>5764</v>
      </c>
      <c r="J23" s="136" t="s">
        <v>3514</v>
      </c>
      <c r="L23" s="136" t="s">
        <v>3462</v>
      </c>
      <c r="M23" s="202" t="s">
        <v>5770</v>
      </c>
      <c r="N23" s="136" t="s">
        <v>3514</v>
      </c>
    </row>
    <row r="24" spans="2:25" x14ac:dyDescent="0.25">
      <c r="H24" s="11" t="s">
        <v>3463</v>
      </c>
      <c r="I24" s="12">
        <f>COUNTIF(Ip.18!E2:E700,"praca")</f>
        <v>49</v>
      </c>
      <c r="J24" s="12" t="s">
        <v>3515</v>
      </c>
      <c r="L24" s="11" t="s">
        <v>3463</v>
      </c>
      <c r="M24" s="12">
        <f>COUNTIF('III kw.19'!E1:E799,"praca")</f>
        <v>0</v>
      </c>
      <c r="N24" s="12" t="s">
        <v>3515</v>
      </c>
    </row>
    <row r="25" spans="2:25" x14ac:dyDescent="0.25">
      <c r="B25" s="212"/>
      <c r="C25" s="193" t="s">
        <v>4402</v>
      </c>
      <c r="D25" s="193" t="str">
        <f>T(D2)</f>
        <v>liczebność prób</v>
      </c>
      <c r="E25" s="194" t="str">
        <f>T(E2)</f>
        <v>ilość miejsc pracy</v>
      </c>
      <c r="H25" s="11" t="s">
        <v>192</v>
      </c>
      <c r="I25" s="12">
        <f>COUNTIF(Ip.18!E2:E700,"pracuj.pl")</f>
        <v>336</v>
      </c>
      <c r="J25" s="12" t="s">
        <v>3516</v>
      </c>
      <c r="L25" s="11" t="s">
        <v>192</v>
      </c>
      <c r="M25" s="12">
        <f>COUNTIF('III kw.19'!E1:E799,"pracuj.pl")</f>
        <v>158</v>
      </c>
      <c r="N25" s="12" t="s">
        <v>3516</v>
      </c>
    </row>
    <row r="26" spans="2:25" x14ac:dyDescent="0.25">
      <c r="B26" s="11" t="s">
        <v>4403</v>
      </c>
      <c r="C26" s="12">
        <v>2017</v>
      </c>
      <c r="D26" s="154">
        <f>SUM(D4:D5)</f>
        <v>831</v>
      </c>
      <c r="E26" s="154">
        <f>SUM(E4:E5)</f>
        <v>863</v>
      </c>
      <c r="H26" s="11" t="s">
        <v>217</v>
      </c>
      <c r="I26" s="12">
        <f>COUNTIF(Ip.18!E2:E700,"agora")</f>
        <v>56</v>
      </c>
      <c r="J26" s="12" t="s">
        <v>3517</v>
      </c>
      <c r="L26" s="11" t="s">
        <v>217</v>
      </c>
      <c r="M26" s="12">
        <f>COUNTIF('III kw.19'!E1:E799,"agora")</f>
        <v>9</v>
      </c>
      <c r="N26" s="12" t="s">
        <v>3517</v>
      </c>
    </row>
    <row r="27" spans="2:25" x14ac:dyDescent="0.25">
      <c r="B27" s="11" t="s">
        <v>4403</v>
      </c>
      <c r="C27" s="12">
        <v>2018</v>
      </c>
      <c r="D27" s="154">
        <f>SUM(D6:D7)</f>
        <v>1181</v>
      </c>
      <c r="E27" s="154">
        <f>SUM(E6:E7)</f>
        <v>1148</v>
      </c>
      <c r="H27" s="11" t="s">
        <v>3464</v>
      </c>
      <c r="I27" s="12">
        <f>COUNTIF(Ip.18!E2:E700,"gratka")</f>
        <v>20</v>
      </c>
      <c r="J27" s="12" t="s">
        <v>3518</v>
      </c>
      <c r="L27" s="11" t="s">
        <v>3464</v>
      </c>
      <c r="M27" s="12">
        <f>COUNTIF('III kw.19'!E1:E799,"gratka")</f>
        <v>13</v>
      </c>
      <c r="N27" s="12" t="s">
        <v>3518</v>
      </c>
    </row>
    <row r="28" spans="2:25" x14ac:dyDescent="0.25">
      <c r="B28" s="11" t="s">
        <v>4403</v>
      </c>
      <c r="C28" s="12">
        <v>2019</v>
      </c>
      <c r="D28" s="154">
        <f>SUM(D10+D13)</f>
        <v>1004</v>
      </c>
      <c r="E28" s="154">
        <f>SUM(E10+E13)</f>
        <v>1141</v>
      </c>
      <c r="I28" s="2">
        <f>SUM(I24:I27)</f>
        <v>461</v>
      </c>
      <c r="M28" s="2">
        <f>SUM(M24:M27)</f>
        <v>180</v>
      </c>
    </row>
    <row r="29" spans="2:25" x14ac:dyDescent="0.25">
      <c r="D29" s="224">
        <f>SUM(D26:D28)</f>
        <v>3016</v>
      </c>
      <c r="E29" s="224">
        <f>SUM(E26:E28)</f>
        <v>3152</v>
      </c>
      <c r="H29" s="1" t="s">
        <v>4314</v>
      </c>
      <c r="L29" s="1" t="s">
        <v>4317</v>
      </c>
    </row>
    <row r="30" spans="2:25" ht="45" x14ac:dyDescent="0.25">
      <c r="B30" s="212"/>
      <c r="C30" s="212" t="s">
        <v>4402</v>
      </c>
      <c r="D30" s="212"/>
      <c r="E30" s="212"/>
      <c r="H30" s="136" t="s">
        <v>3462</v>
      </c>
      <c r="I30" s="202" t="s">
        <v>5766</v>
      </c>
      <c r="J30" s="136" t="s">
        <v>3514</v>
      </c>
      <c r="L30" s="136" t="s">
        <v>3462</v>
      </c>
      <c r="M30" s="202" t="s">
        <v>5771</v>
      </c>
      <c r="N30" s="136" t="s">
        <v>3514</v>
      </c>
      <c r="Y30" s="555" t="s">
        <v>23124</v>
      </c>
    </row>
    <row r="31" spans="2:25" x14ac:dyDescent="0.25">
      <c r="B31" s="12" t="s">
        <v>3469</v>
      </c>
      <c r="C31" s="12" t="s">
        <v>4404</v>
      </c>
      <c r="D31" s="154">
        <f t="shared" ref="D31:E34" si="3">SUM(D4)</f>
        <v>466</v>
      </c>
      <c r="E31" s="154">
        <f t="shared" si="3"/>
        <v>477</v>
      </c>
      <c r="H31" s="11" t="s">
        <v>3463</v>
      </c>
      <c r="I31" s="12">
        <f>COUNTIF(IIp.18!E2:E900,"praca")</f>
        <v>108</v>
      </c>
      <c r="J31" s="12" t="s">
        <v>3515</v>
      </c>
      <c r="L31" s="11" t="s">
        <v>3463</v>
      </c>
      <c r="M31" s="12">
        <f>COUNTIF('IV kw.19'!E2:E800,"praca")</f>
        <v>110</v>
      </c>
      <c r="N31" s="12" t="s">
        <v>3515</v>
      </c>
      <c r="Y31" s="3" t="s">
        <v>23113</v>
      </c>
    </row>
    <row r="32" spans="2:25" x14ac:dyDescent="0.25">
      <c r="B32" s="12" t="s">
        <v>3470</v>
      </c>
      <c r="C32" s="12" t="s">
        <v>4405</v>
      </c>
      <c r="D32" s="12">
        <f t="shared" si="3"/>
        <v>365</v>
      </c>
      <c r="E32" s="154">
        <f t="shared" si="3"/>
        <v>386</v>
      </c>
      <c r="H32" s="11" t="s">
        <v>192</v>
      </c>
      <c r="I32" s="12">
        <f>COUNTIF(IIp.18!E2:E900,"pracuj.pl")</f>
        <v>545</v>
      </c>
      <c r="J32" s="12" t="s">
        <v>3516</v>
      </c>
      <c r="L32" s="11" t="s">
        <v>192</v>
      </c>
      <c r="M32" s="12">
        <f>COUNTIF('IV kw.19'!E2:E800,"pracuj.pl")</f>
        <v>217</v>
      </c>
      <c r="N32" s="12" t="s">
        <v>3516</v>
      </c>
      <c r="Y32" s="3" t="s">
        <v>23114</v>
      </c>
    </row>
    <row r="33" spans="2:31" x14ac:dyDescent="0.25">
      <c r="B33" s="12" t="s">
        <v>3469</v>
      </c>
      <c r="C33" s="12" t="s">
        <v>4406</v>
      </c>
      <c r="D33" s="12">
        <f t="shared" si="3"/>
        <v>461</v>
      </c>
      <c r="E33" s="154">
        <f t="shared" si="3"/>
        <v>444</v>
      </c>
      <c r="H33" s="11" t="s">
        <v>217</v>
      </c>
      <c r="I33" s="12">
        <f>COUNTIF(IIp.18!E2:E900,"agora")</f>
        <v>57</v>
      </c>
      <c r="J33" s="12" t="s">
        <v>3517</v>
      </c>
      <c r="L33" s="11" t="s">
        <v>217</v>
      </c>
      <c r="M33" s="12">
        <f>COUNTIF('IV kw.19'!E2:E800,"agora")</f>
        <v>29</v>
      </c>
      <c r="N33" s="12" t="s">
        <v>3517</v>
      </c>
    </row>
    <row r="34" spans="2:31" x14ac:dyDescent="0.25">
      <c r="B34" s="12" t="s">
        <v>3470</v>
      </c>
      <c r="C34" s="12" t="s">
        <v>4407</v>
      </c>
      <c r="D34" s="12">
        <f t="shared" si="3"/>
        <v>720</v>
      </c>
      <c r="E34" s="12">
        <f t="shared" si="3"/>
        <v>704</v>
      </c>
      <c r="H34" s="11" t="s">
        <v>3464</v>
      </c>
      <c r="I34" s="12">
        <f>COUNTIF(IIp.18!E2:E900,"gratka")</f>
        <v>10</v>
      </c>
      <c r="J34" s="12" t="s">
        <v>3518</v>
      </c>
      <c r="L34" s="11" t="s">
        <v>3464</v>
      </c>
      <c r="M34" s="12">
        <f>COUNTIF('IV kw.19'!E2:E800,"gratka")</f>
        <v>5</v>
      </c>
      <c r="N34" s="12" t="s">
        <v>3518</v>
      </c>
      <c r="Y34" s="3" t="s">
        <v>23115</v>
      </c>
      <c r="AE34" s="3" t="s">
        <v>23118</v>
      </c>
    </row>
    <row r="35" spans="2:31" x14ac:dyDescent="0.25">
      <c r="B35" s="12" t="s">
        <v>3469</v>
      </c>
      <c r="C35" s="12" t="s">
        <v>4408</v>
      </c>
      <c r="D35" s="12">
        <f>SUM(D10)</f>
        <v>463</v>
      </c>
      <c r="E35" s="12">
        <f>SUM(E10)</f>
        <v>532</v>
      </c>
      <c r="I35" s="2">
        <f>SUM(I31:I34)</f>
        <v>720</v>
      </c>
      <c r="M35" s="2">
        <f>SUM(M31:M34)</f>
        <v>361</v>
      </c>
      <c r="Y35" s="3" t="s">
        <v>23116</v>
      </c>
      <c r="AE35" s="3" t="s">
        <v>23119</v>
      </c>
    </row>
    <row r="36" spans="2:31" x14ac:dyDescent="0.25">
      <c r="B36" s="12" t="s">
        <v>3470</v>
      </c>
      <c r="C36" s="12" t="s">
        <v>4409</v>
      </c>
      <c r="D36" s="154">
        <f>SUM(D13)</f>
        <v>541</v>
      </c>
      <c r="E36" s="12">
        <f>SUM(E13)</f>
        <v>609</v>
      </c>
      <c r="L36" s="1" t="s">
        <v>5772</v>
      </c>
      <c r="Y36" s="3" t="s">
        <v>23117</v>
      </c>
      <c r="AE36" s="3" t="s">
        <v>23120</v>
      </c>
    </row>
    <row r="37" spans="2:31" ht="30" x14ac:dyDescent="0.25">
      <c r="D37" s="224">
        <f>SUM(D31:D36)</f>
        <v>3016</v>
      </c>
      <c r="E37" s="224">
        <f>SUM(E31:E36)</f>
        <v>3152</v>
      </c>
      <c r="L37" s="136" t="s">
        <v>3462</v>
      </c>
      <c r="M37" s="203" t="s">
        <v>5773</v>
      </c>
      <c r="N37" s="136" t="s">
        <v>3514</v>
      </c>
      <c r="Y37" s="3" t="s">
        <v>23121</v>
      </c>
    </row>
    <row r="38" spans="2:31" x14ac:dyDescent="0.25">
      <c r="L38" s="11" t="s">
        <v>3463</v>
      </c>
      <c r="M38" s="12">
        <f>SUM(M24+M31)</f>
        <v>110</v>
      </c>
      <c r="N38" s="12" t="s">
        <v>3515</v>
      </c>
      <c r="Y38" s="3" t="s">
        <v>23122</v>
      </c>
    </row>
    <row r="39" spans="2:31" x14ac:dyDescent="0.25">
      <c r="L39" s="11" t="s">
        <v>192</v>
      </c>
      <c r="M39" s="12">
        <f>SUM(M25+M32)</f>
        <v>375</v>
      </c>
      <c r="N39" s="12" t="s">
        <v>3516</v>
      </c>
      <c r="Y39" s="3" t="s">
        <v>23123</v>
      </c>
    </row>
    <row r="40" spans="2:31" x14ac:dyDescent="0.25">
      <c r="L40" s="11" t="s">
        <v>217</v>
      </c>
      <c r="M40" s="12">
        <f>SUM(M26+M33)</f>
        <v>38</v>
      </c>
      <c r="N40" s="12" t="s">
        <v>3517</v>
      </c>
    </row>
    <row r="41" spans="2:31" x14ac:dyDescent="0.25">
      <c r="L41" s="11" t="s">
        <v>3464</v>
      </c>
      <c r="M41" s="12">
        <f>SUM(M27+M34)</f>
        <v>18</v>
      </c>
      <c r="N41" s="12" t="s">
        <v>3518</v>
      </c>
    </row>
    <row r="42" spans="2:31" x14ac:dyDescent="0.25">
      <c r="M42" s="2">
        <f>SUM(M38:M41)</f>
        <v>541</v>
      </c>
    </row>
  </sheetData>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H36" sqref="H36"/>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EXACT(E7,P15)</f>
        <v>1</v>
      </c>
      <c r="P1" s="2">
        <v>885</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COUNTIF(IIp.18!E2:E900,"praca")</f>
        <v>108</v>
      </c>
      <c r="J3" s="12" t="s">
        <v>3515</v>
      </c>
      <c r="N3" s="12">
        <v>1</v>
      </c>
      <c r="O3" s="11" t="s">
        <v>170</v>
      </c>
      <c r="P3" s="12">
        <f>SUM(D47)</f>
        <v>95</v>
      </c>
    </row>
    <row r="4" spans="2:24" x14ac:dyDescent="0.25">
      <c r="B4" s="12" t="s">
        <v>3516</v>
      </c>
      <c r="C4" s="17" t="s">
        <v>3459</v>
      </c>
      <c r="D4" s="26">
        <v>466</v>
      </c>
      <c r="E4" s="26">
        <v>477</v>
      </c>
      <c r="F4" s="12"/>
      <c r="H4" s="11" t="s">
        <v>192</v>
      </c>
      <c r="I4" s="12">
        <f>COUNTIF(IIp.18!E2:E900,"pracuj.pl")</f>
        <v>545</v>
      </c>
      <c r="J4" s="12" t="s">
        <v>3516</v>
      </c>
      <c r="N4" s="12">
        <v>2</v>
      </c>
      <c r="O4" s="11" t="s">
        <v>2</v>
      </c>
      <c r="P4" s="12">
        <f>SUM(G33)</f>
        <v>104</v>
      </c>
    </row>
    <row r="5" spans="2:24" x14ac:dyDescent="0.25">
      <c r="B5" s="12" t="s">
        <v>3517</v>
      </c>
      <c r="C5" s="17" t="s">
        <v>3458</v>
      </c>
      <c r="D5" s="26">
        <v>365</v>
      </c>
      <c r="E5" s="26">
        <v>386</v>
      </c>
      <c r="F5" s="12"/>
      <c r="H5" s="11" t="s">
        <v>217</v>
      </c>
      <c r="I5" s="12">
        <f>COUNTIF(IIp.18!E2:E900,"agora")</f>
        <v>57</v>
      </c>
      <c r="J5" s="12" t="s">
        <v>3517</v>
      </c>
      <c r="N5" s="12">
        <v>3</v>
      </c>
      <c r="O5" s="11" t="s">
        <v>3</v>
      </c>
      <c r="P5" s="12">
        <f>SUM(J31)</f>
        <v>19</v>
      </c>
    </row>
    <row r="6" spans="2:24" x14ac:dyDescent="0.25">
      <c r="B6" s="12" t="s">
        <v>3518</v>
      </c>
      <c r="C6" s="17" t="s">
        <v>3457</v>
      </c>
      <c r="D6" s="26">
        <v>461</v>
      </c>
      <c r="E6" s="26">
        <v>444</v>
      </c>
      <c r="F6" s="12"/>
      <c r="H6" s="11" t="s">
        <v>3464</v>
      </c>
      <c r="I6" s="12">
        <f>COUNTIF(IIp.18!E2:E900,"gratka")</f>
        <v>10</v>
      </c>
      <c r="J6" s="12" t="s">
        <v>3518</v>
      </c>
      <c r="N6" s="12">
        <v>4</v>
      </c>
      <c r="O6" s="11" t="s">
        <v>3589</v>
      </c>
      <c r="P6" s="12">
        <f>SUM(M24)</f>
        <v>184</v>
      </c>
    </row>
    <row r="7" spans="2:24" x14ac:dyDescent="0.25">
      <c r="B7" s="107" t="s">
        <v>13071</v>
      </c>
      <c r="C7" s="106" t="s">
        <v>173</v>
      </c>
      <c r="D7" s="105">
        <v>720</v>
      </c>
      <c r="E7" s="105">
        <v>704</v>
      </c>
      <c r="F7" s="107" t="s">
        <v>13063</v>
      </c>
      <c r="H7" s="184"/>
      <c r="I7" s="183">
        <f>SUM(I3:I6)</f>
        <v>720</v>
      </c>
      <c r="J7" s="184"/>
      <c r="N7" s="12">
        <v>5</v>
      </c>
      <c r="O7" s="11" t="s">
        <v>13096</v>
      </c>
      <c r="P7" s="12">
        <f>SUM(P23)</f>
        <v>247</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218</v>
      </c>
      <c r="N9" s="12">
        <v>7</v>
      </c>
      <c r="O9" s="11" t="s">
        <v>3590</v>
      </c>
      <c r="P9" s="12">
        <f>SUM(P34)</f>
        <v>2</v>
      </c>
    </row>
    <row r="10" spans="2:24" x14ac:dyDescent="0.25">
      <c r="B10" s="12" t="s">
        <v>13072</v>
      </c>
      <c r="C10" s="17" t="s">
        <v>3486</v>
      </c>
      <c r="D10" s="26">
        <f>SUM(D8:D9)</f>
        <v>463</v>
      </c>
      <c r="E10" s="26">
        <f>SUM(E8:E9)</f>
        <v>532</v>
      </c>
      <c r="F10" s="12"/>
      <c r="H10" s="11" t="s">
        <v>3470</v>
      </c>
      <c r="I10" s="11" t="s">
        <v>3566</v>
      </c>
      <c r="J10" s="12">
        <f>SUM(M24,P23,P28,P34,S21)</f>
        <v>448</v>
      </c>
      <c r="N10" s="12">
        <v>8</v>
      </c>
      <c r="O10" s="11" t="s">
        <v>4</v>
      </c>
      <c r="P10" s="12">
        <f>SUM(S21)</f>
        <v>15</v>
      </c>
    </row>
    <row r="11" spans="2:24" x14ac:dyDescent="0.25">
      <c r="B11" s="12">
        <v>3</v>
      </c>
      <c r="C11" s="17" t="s">
        <v>3481</v>
      </c>
      <c r="D11" s="12">
        <v>180</v>
      </c>
      <c r="E11" s="12">
        <v>231</v>
      </c>
      <c r="F11" s="12"/>
      <c r="H11" s="11" t="s">
        <v>3471</v>
      </c>
      <c r="I11" s="11" t="s">
        <v>3567</v>
      </c>
      <c r="J11" s="12">
        <f>SUM(V21,V27)</f>
        <v>25</v>
      </c>
      <c r="N11" s="12">
        <v>9</v>
      </c>
      <c r="O11" s="11" t="s">
        <v>3591</v>
      </c>
      <c r="P11" s="12">
        <f>SUM(V21)</f>
        <v>18</v>
      </c>
    </row>
    <row r="12" spans="2:24" x14ac:dyDescent="0.25">
      <c r="B12" s="12">
        <v>4</v>
      </c>
      <c r="C12" s="17" t="s">
        <v>3482</v>
      </c>
      <c r="D12" s="12">
        <v>361</v>
      </c>
      <c r="E12" s="12">
        <v>378</v>
      </c>
      <c r="F12" s="12"/>
      <c r="H12" s="11" t="s">
        <v>3472</v>
      </c>
      <c r="I12" s="11" t="s">
        <v>6</v>
      </c>
      <c r="J12" s="12">
        <f>SUM(Y20)</f>
        <v>6</v>
      </c>
      <c r="N12" s="12">
        <v>10</v>
      </c>
      <c r="O12" s="11" t="s">
        <v>0</v>
      </c>
      <c r="P12" s="12">
        <f>SUM(V27)</f>
        <v>7</v>
      </c>
    </row>
    <row r="13" spans="2:24" x14ac:dyDescent="0.25">
      <c r="B13" s="12" t="s">
        <v>13073</v>
      </c>
      <c r="C13" s="17" t="s">
        <v>3487</v>
      </c>
      <c r="D13" s="26">
        <f>SUM(D11:D12)</f>
        <v>541</v>
      </c>
      <c r="E13" s="26">
        <f>SUM(E11:E12)</f>
        <v>609</v>
      </c>
      <c r="F13" s="12"/>
      <c r="H13" s="11" t="s">
        <v>3473</v>
      </c>
      <c r="I13" s="11" t="s">
        <v>3574</v>
      </c>
      <c r="J13" s="12">
        <f>SUM(Y30)</f>
        <v>7</v>
      </c>
      <c r="N13" s="12">
        <v>11</v>
      </c>
      <c r="O13" s="11" t="s">
        <v>6</v>
      </c>
      <c r="P13" s="12">
        <f>SUM(Y20)</f>
        <v>6</v>
      </c>
    </row>
    <row r="14" spans="2:24" x14ac:dyDescent="0.25">
      <c r="B14" s="18"/>
      <c r="C14" s="89"/>
      <c r="D14" s="135"/>
      <c r="E14" s="135"/>
      <c r="F14" s="20"/>
      <c r="H14" s="184"/>
      <c r="I14" s="184"/>
      <c r="J14" s="183">
        <f>SUM(J9:J13)</f>
        <v>704</v>
      </c>
      <c r="N14" s="12">
        <v>12</v>
      </c>
      <c r="O14" s="17" t="s">
        <v>3574</v>
      </c>
      <c r="P14" s="12">
        <f>SUM(Y30)</f>
        <v>7</v>
      </c>
    </row>
    <row r="15" spans="2:24" x14ac:dyDescent="0.25">
      <c r="B15" s="18"/>
      <c r="C15" s="89"/>
      <c r="D15" s="135"/>
      <c r="E15" s="135"/>
      <c r="F15" s="20"/>
      <c r="P15" s="2">
        <f>SUM(P3:P14)</f>
        <v>704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SUMIF(IIp.18!M2:M885,"2141*",IIp.18!F2:F885)</f>
        <v>18</v>
      </c>
      <c r="E18" s="108">
        <v>2113</v>
      </c>
      <c r="F18" s="11" t="s">
        <v>3491</v>
      </c>
      <c r="G18" s="16">
        <f>SUMIF(IIp.18!M2:M885,"2113*",IIp.18!F2:F885)</f>
        <v>2</v>
      </c>
      <c r="H18" s="122">
        <v>2142</v>
      </c>
      <c r="I18" s="11" t="s">
        <v>3494</v>
      </c>
      <c r="J18" s="16">
        <f>SUMIF(IIp.18!M2:M885,"2142*",IIp.18!F2:F885)</f>
        <v>4</v>
      </c>
      <c r="K18" s="123">
        <v>315</v>
      </c>
      <c r="L18" s="11" t="s">
        <v>3532</v>
      </c>
      <c r="M18" s="112">
        <f>SUMIF(IIp.18!M2:M885,"315*",IIp.18!F2:F885)</f>
        <v>1</v>
      </c>
      <c r="N18" s="108">
        <v>2166</v>
      </c>
      <c r="O18" s="11" t="s">
        <v>3510</v>
      </c>
      <c r="P18" s="95">
        <f>SUMIF(IIp.18!M2:M885,"2166*",IIp.18!F2:F885)</f>
        <v>2</v>
      </c>
      <c r="Q18" s="118">
        <v>22</v>
      </c>
      <c r="R18" s="11" t="s">
        <v>3511</v>
      </c>
      <c r="S18" s="96">
        <f>SUMIF(IIp.18!M2:M885,"22*",IIp.18!F2:F885)</f>
        <v>8</v>
      </c>
      <c r="T18" s="118">
        <v>23</v>
      </c>
      <c r="U18" s="11" t="s">
        <v>3512</v>
      </c>
      <c r="V18" s="91">
        <f>SUMIF(IIp.18!M2:M885,"23*",IIp.18!F2:F885)</f>
        <v>5</v>
      </c>
      <c r="W18" s="131">
        <v>7549</v>
      </c>
      <c r="X18" s="11" t="s">
        <v>3561</v>
      </c>
      <c r="Y18" s="97">
        <f>SUMIF(IIp.18!M2:M885,"7549*",IIp.18!F2:F885)</f>
        <v>0</v>
      </c>
    </row>
    <row r="19" spans="2:25" x14ac:dyDescent="0.25">
      <c r="B19" s="108">
        <v>2132</v>
      </c>
      <c r="C19" s="11" t="s">
        <v>3493</v>
      </c>
      <c r="D19" s="16">
        <f>SUMIF(IIp.18!M2:M885,"2132*",IIp.18!F2:F885)</f>
        <v>0</v>
      </c>
      <c r="E19" s="108">
        <v>2145</v>
      </c>
      <c r="F19" s="11" t="s">
        <v>3496</v>
      </c>
      <c r="G19" s="16">
        <f>SUMIF(IIp.18!M2:M885,"2145*",IIp.18!F2:F885)</f>
        <v>3</v>
      </c>
      <c r="H19" s="122">
        <v>2143</v>
      </c>
      <c r="I19" s="11" t="s">
        <v>93</v>
      </c>
      <c r="J19" s="16">
        <f>SUMIF(IIp.18!M2:M885,"2143*",IIp.18!F2:F885)</f>
        <v>3</v>
      </c>
      <c r="K19" s="117">
        <v>42</v>
      </c>
      <c r="L19" s="11" t="s">
        <v>3537</v>
      </c>
      <c r="M19" s="112">
        <f>SUMIF(IIp.18!M2:M885,"42*",IIp.18!F2:F885)</f>
        <v>2</v>
      </c>
      <c r="N19" s="118">
        <v>24</v>
      </c>
      <c r="O19" s="11" t="s">
        <v>3571</v>
      </c>
      <c r="P19" s="95">
        <f>SUMIF(IIp.18!M2:M885,"24*",IIp.18!F2:F885)</f>
        <v>112</v>
      </c>
      <c r="Q19" s="125">
        <v>32</v>
      </c>
      <c r="R19" s="11" t="s">
        <v>3533</v>
      </c>
      <c r="S19" s="96">
        <f>SUMIF(IIp.18!M2:M885,"32*",IIp.18!F2:F885)</f>
        <v>7</v>
      </c>
      <c r="T19" s="118">
        <v>26</v>
      </c>
      <c r="U19" s="11" t="s">
        <v>3572</v>
      </c>
      <c r="V19" s="91">
        <f>SUMIF(IIp.18!M2:M885,"26*",IIp.18!F2:F885)</f>
        <v>11</v>
      </c>
      <c r="W19" s="119">
        <v>9</v>
      </c>
      <c r="X19" s="11" t="s">
        <v>3565</v>
      </c>
      <c r="Y19" s="97">
        <f>SUMIF(IIp.18!M2:M885,"9*",IIp.18!F2:F885)</f>
        <v>6</v>
      </c>
    </row>
    <row r="20" spans="2:25" x14ac:dyDescent="0.25">
      <c r="B20" s="108">
        <v>2146</v>
      </c>
      <c r="C20" s="11" t="s">
        <v>3497</v>
      </c>
      <c r="D20" s="16">
        <f>SUMIF(IIp.18!M2:M885,"2146*",IIp.18!F2:F885)</f>
        <v>0</v>
      </c>
      <c r="E20" s="108">
        <v>2131</v>
      </c>
      <c r="F20" s="11" t="s">
        <v>3492</v>
      </c>
      <c r="G20" s="16">
        <f>SUMIF(IIp.18!M2:M885,"2131*",IIp.18!F2:F885)</f>
        <v>0</v>
      </c>
      <c r="H20" s="122">
        <v>2161</v>
      </c>
      <c r="I20" s="11" t="s">
        <v>3507</v>
      </c>
      <c r="J20" s="16">
        <f>SUMIF(IIp.18!M2:M885,"2161*",IIp.18!F2:F885)</f>
        <v>0</v>
      </c>
      <c r="K20" s="117">
        <v>43</v>
      </c>
      <c r="L20" s="11" t="s">
        <v>3538</v>
      </c>
      <c r="M20" s="112">
        <f>SUMIF(IIp.18!M2:M885,"43*",IIp.18!F2:F885)</f>
        <v>16</v>
      </c>
      <c r="N20" s="125">
        <v>33</v>
      </c>
      <c r="O20" s="11" t="s">
        <v>3534</v>
      </c>
      <c r="P20" s="95">
        <f>SUMIF(IIp.18!M2:M885,"33*",IIp.18!F2:F885)</f>
        <v>111</v>
      </c>
      <c r="Q20" s="127">
        <v>53</v>
      </c>
      <c r="R20" s="11" t="s">
        <v>3542</v>
      </c>
      <c r="S20" s="96">
        <f>SUMIF(IIp.18!M2:M885,"53*",IIp.18!F2:F885)</f>
        <v>0</v>
      </c>
      <c r="T20" s="125">
        <v>34</v>
      </c>
      <c r="U20" s="11" t="s">
        <v>3535</v>
      </c>
      <c r="V20" s="91">
        <f>SUMIF(IIp.18!M2:M885,"34*",IIp.18!F2:F885)</f>
        <v>2</v>
      </c>
      <c r="W20" s="37"/>
      <c r="Y20" s="2">
        <f>SUM(Y18:Y19)</f>
        <v>6</v>
      </c>
    </row>
    <row r="21" spans="2:25" x14ac:dyDescent="0.25">
      <c r="B21" s="121">
        <v>3113</v>
      </c>
      <c r="C21" s="11" t="s">
        <v>3520</v>
      </c>
      <c r="D21" s="16">
        <f>SUMIF(IIp.18!M2:M885,"3113*",IIp.18!F2:F885)</f>
        <v>3</v>
      </c>
      <c r="E21" s="108">
        <v>2144</v>
      </c>
      <c r="F21" s="11" t="s">
        <v>3495</v>
      </c>
      <c r="G21" s="16">
        <f>SUMIF(IIp.18!M2:M885,"2144*",IIp.18!F2:F885)</f>
        <v>13</v>
      </c>
      <c r="H21" s="122">
        <v>2162</v>
      </c>
      <c r="I21" s="11" t="s">
        <v>3508</v>
      </c>
      <c r="J21" s="16">
        <f>SUMIF(IIp.18!M2:M885,"2162*",IIp.18!F2:F885)</f>
        <v>0</v>
      </c>
      <c r="K21" s="128">
        <v>52</v>
      </c>
      <c r="L21" s="11" t="s">
        <v>3541</v>
      </c>
      <c r="M21" s="112">
        <f>SUMIF(IIp.18!M2:M885,"52*",IIp.18!F2:F885)</f>
        <v>119</v>
      </c>
      <c r="N21" s="127">
        <v>51</v>
      </c>
      <c r="O21" s="11" t="s">
        <v>3540</v>
      </c>
      <c r="P21" s="95">
        <f>SUMIF(IIp.18!M2:M885,"51*",IIp.18!F2:F885)</f>
        <v>8</v>
      </c>
      <c r="Q21" s="37"/>
      <c r="S21" s="2">
        <f>SUM(S18:S20)</f>
        <v>15</v>
      </c>
      <c r="V21" s="2">
        <f>SUM(V18:V20)</f>
        <v>18</v>
      </c>
      <c r="W21" s="37"/>
    </row>
    <row r="22" spans="2:25" x14ac:dyDescent="0.25">
      <c r="B22" s="121">
        <v>3114</v>
      </c>
      <c r="C22" s="11" t="s">
        <v>3521</v>
      </c>
      <c r="D22" s="16">
        <f>SUMIF(IIp.18!M2:M885,"3114*",IIp.18!F2:F885)</f>
        <v>5</v>
      </c>
      <c r="E22" s="108">
        <v>2149</v>
      </c>
      <c r="F22" s="11" t="s">
        <v>3498</v>
      </c>
      <c r="G22" s="16">
        <f>SUMIF(IIp.18!M2:M885,"2149*",IIp.18!F2:F885)</f>
        <v>20</v>
      </c>
      <c r="H22" s="108">
        <v>2164</v>
      </c>
      <c r="I22" s="11" t="s">
        <v>3585</v>
      </c>
      <c r="J22" s="16">
        <f>SUMIF(IIp.18!M2:M885,"2164*",IIp.18!F2:F885)</f>
        <v>0</v>
      </c>
      <c r="K22" s="133">
        <v>83</v>
      </c>
      <c r="L22" s="11" t="s">
        <v>3564</v>
      </c>
      <c r="M22" s="112">
        <f>SUMIF(IIp.18!M2:M885,"83*",IIp.18!F2:F885)</f>
        <v>14</v>
      </c>
      <c r="N22" s="120">
        <v>14</v>
      </c>
      <c r="O22" s="11" t="s">
        <v>3578</v>
      </c>
      <c r="P22" s="95">
        <f>SUMIF(IIp.18!M2:M885,"14*",IIp.18!F2:F885)</f>
        <v>14</v>
      </c>
      <c r="Q22" s="37"/>
      <c r="T22" s="1" t="s">
        <v>0</v>
      </c>
      <c r="U22" s="94"/>
      <c r="V22" s="20"/>
      <c r="W22" s="37" t="s">
        <v>3574</v>
      </c>
    </row>
    <row r="23" spans="2:25" x14ac:dyDescent="0.25">
      <c r="B23" s="121">
        <v>3115</v>
      </c>
      <c r="C23" s="11" t="s">
        <v>3522</v>
      </c>
      <c r="D23" s="16">
        <f>SUMIF(IIp.18!M2:M885,"3115*",IIp.18!F2:F885)</f>
        <v>5</v>
      </c>
      <c r="E23" s="109">
        <v>2149</v>
      </c>
      <c r="F23" s="11" t="s">
        <v>3499</v>
      </c>
      <c r="G23" s="104" t="s">
        <v>3573</v>
      </c>
      <c r="H23" s="122">
        <v>2165</v>
      </c>
      <c r="I23" s="11" t="s">
        <v>3509</v>
      </c>
      <c r="J23" s="16">
        <f>SUMIF(IIp.18!M2:M885,"2165*",IIp.18!F2:F885)</f>
        <v>0</v>
      </c>
      <c r="K23" s="120">
        <v>12</v>
      </c>
      <c r="L23" s="11" t="s">
        <v>3576</v>
      </c>
      <c r="M23" s="112">
        <f>SUMIF(IIp.18!M2:M885,"12*",IIp.18!F2:F885)</f>
        <v>32</v>
      </c>
      <c r="P23" s="18">
        <f>SUM(P18:P22)</f>
        <v>247</v>
      </c>
      <c r="Q23" s="37"/>
      <c r="T23" s="98"/>
      <c r="U23" s="99"/>
      <c r="V23" s="92"/>
      <c r="W23" s="110"/>
      <c r="X23" s="111"/>
    </row>
    <row r="24" spans="2:25" x14ac:dyDescent="0.25">
      <c r="B24" s="121">
        <v>3116</v>
      </c>
      <c r="C24" s="11" t="s">
        <v>3523</v>
      </c>
      <c r="D24" s="16">
        <f>SUMIF(IIp.18!M2:M885,"3116*",IIp.18!F2:F885)</f>
        <v>0</v>
      </c>
      <c r="E24" s="109">
        <v>2149</v>
      </c>
      <c r="F24" s="11" t="s">
        <v>3500</v>
      </c>
      <c r="G24" s="104" t="s">
        <v>3573</v>
      </c>
      <c r="H24" s="126">
        <v>3111</v>
      </c>
      <c r="I24" s="11" t="s">
        <v>3587</v>
      </c>
      <c r="J24" s="16">
        <f>SUMIF(IIp.18!M2:M885,"3111*",IIp.18!F2:F885)</f>
        <v>2</v>
      </c>
      <c r="K24" s="89"/>
      <c r="L24" s="20"/>
      <c r="M24" s="90">
        <f>SUM(M18:M23)</f>
        <v>184</v>
      </c>
      <c r="Q24" s="37"/>
      <c r="T24" s="116">
        <v>41</v>
      </c>
      <c r="U24" s="11" t="s">
        <v>3592</v>
      </c>
      <c r="V24" s="91">
        <f>SUMIF(IIp.18!M2:M885,"41*",IIp.18!F2:F885)</f>
        <v>7</v>
      </c>
      <c r="W24" s="120">
        <v>11</v>
      </c>
      <c r="X24" s="11" t="s">
        <v>3575</v>
      </c>
      <c r="Y24" s="115">
        <f>SUMIF(IIp.18!M2:M885,"11*",IIp.18!F2:F885)</f>
        <v>7</v>
      </c>
    </row>
    <row r="25" spans="2:25" x14ac:dyDescent="0.25">
      <c r="B25" s="121">
        <v>3117</v>
      </c>
      <c r="C25" s="11" t="s">
        <v>3524</v>
      </c>
      <c r="D25" s="16">
        <f>SUMIF(IIp.18!M2:M885,"3117*",IIp.18!F2:F885)</f>
        <v>0</v>
      </c>
      <c r="E25" s="109">
        <v>2149</v>
      </c>
      <c r="F25" s="11" t="s">
        <v>3501</v>
      </c>
      <c r="G25" s="104" t="s">
        <v>3573</v>
      </c>
      <c r="H25" s="126">
        <v>3112</v>
      </c>
      <c r="I25" s="11" t="s">
        <v>3519</v>
      </c>
      <c r="J25" s="16">
        <f>SUMIF(IIp.18!M2:M885,"3112*",IIp.18!F2:F885)</f>
        <v>4</v>
      </c>
      <c r="K25" s="89"/>
      <c r="L25" s="20"/>
      <c r="M25" s="20"/>
      <c r="N25" s="100" t="s">
        <v>134</v>
      </c>
      <c r="O25" s="93"/>
      <c r="Q25" s="37"/>
      <c r="T25" s="116">
        <v>44</v>
      </c>
      <c r="U25" s="11" t="s">
        <v>3539</v>
      </c>
      <c r="V25" s="91">
        <f>SUMIF(IIp.18!M2:M885,"44*",IIp.18!F2:F885)</f>
        <v>0</v>
      </c>
      <c r="W25" s="108">
        <v>2111</v>
      </c>
      <c r="X25" s="11" t="s">
        <v>3580</v>
      </c>
      <c r="Y25" s="115">
        <f>SUMIF(IIp.18!M2:M885,"2111*",IIp.18!F2:F885)</f>
        <v>0</v>
      </c>
    </row>
    <row r="26" spans="2:25" x14ac:dyDescent="0.25">
      <c r="B26" s="121">
        <v>3119</v>
      </c>
      <c r="C26" s="11" t="s">
        <v>3526</v>
      </c>
      <c r="D26" s="16">
        <f>SUMIF(IIp.18!M2:M885,"3119*",IIp.18!F2:F885)</f>
        <v>5</v>
      </c>
      <c r="E26" s="109">
        <v>2149</v>
      </c>
      <c r="F26" s="11" t="s">
        <v>3502</v>
      </c>
      <c r="G26" s="104" t="s">
        <v>3573</v>
      </c>
      <c r="H26" s="126">
        <v>3118</v>
      </c>
      <c r="I26" s="11" t="s">
        <v>3525</v>
      </c>
      <c r="J26" s="16">
        <f>SUMIF(IIp.18!M2:M885,"3118*",IIp.18!F2:F885)</f>
        <v>1</v>
      </c>
      <c r="K26" s="89"/>
      <c r="L26" s="20"/>
      <c r="M26" s="20"/>
      <c r="N26" s="6"/>
      <c r="O26" s="7"/>
      <c r="Q26" s="37"/>
      <c r="T26" s="131">
        <v>7515</v>
      </c>
      <c r="U26" s="11" t="s">
        <v>3552</v>
      </c>
      <c r="V26" s="91">
        <f>SUMIF(IIp.18!M2:M885,"7515*",IIp.18!F2:F885)</f>
        <v>0</v>
      </c>
      <c r="W26" s="108">
        <v>2112</v>
      </c>
      <c r="X26" s="11" t="s">
        <v>3581</v>
      </c>
      <c r="Y26" s="115">
        <f>SUMIF(IIp.18!M2:M885,"2112*",IIp.18!F2:F885)</f>
        <v>0</v>
      </c>
    </row>
    <row r="27" spans="2:25" x14ac:dyDescent="0.25">
      <c r="B27" s="121">
        <v>3121</v>
      </c>
      <c r="C27" s="11" t="s">
        <v>3527</v>
      </c>
      <c r="D27" s="16">
        <f>SUMIF(IIp.18!M2:M885,"3121*",IIp.18!F2:F885)</f>
        <v>0</v>
      </c>
      <c r="E27" s="109">
        <v>2149</v>
      </c>
      <c r="F27" s="11" t="s">
        <v>3503</v>
      </c>
      <c r="G27" s="104" t="s">
        <v>3573</v>
      </c>
      <c r="H27" s="126">
        <v>3123</v>
      </c>
      <c r="I27" s="11" t="s">
        <v>3529</v>
      </c>
      <c r="J27" s="16">
        <f>SUMIF(IIp.18!M2:M885,"3123*",IIp.18!F2:F885)</f>
        <v>0</v>
      </c>
      <c r="K27" s="89"/>
      <c r="L27" s="20"/>
      <c r="N27" s="131">
        <v>7512</v>
      </c>
      <c r="O27" s="11" t="s">
        <v>3549</v>
      </c>
      <c r="P27" s="95">
        <f>SUMIF(IIp.18!M2:M885,"7512*",IIp.18!F2:F885)</f>
        <v>0</v>
      </c>
      <c r="Q27" s="37"/>
      <c r="T27" s="37"/>
      <c r="V27" s="2">
        <f>SUM(V24:V26)</f>
        <v>7</v>
      </c>
      <c r="W27" s="108">
        <v>2114</v>
      </c>
      <c r="X27" s="11" t="s">
        <v>3582</v>
      </c>
      <c r="Y27" s="115">
        <f>SUMIF(IIp.18!M2:M885,"2114*",IIp.18!F2:F885)</f>
        <v>0</v>
      </c>
    </row>
    <row r="28" spans="2:25" x14ac:dyDescent="0.25">
      <c r="B28" s="121">
        <v>3122</v>
      </c>
      <c r="C28" s="11" t="s">
        <v>3528</v>
      </c>
      <c r="D28" s="16">
        <f>SUMIF(IIp.18!M2:M885,"3122*",IIp.18!F2:F885)</f>
        <v>0</v>
      </c>
      <c r="E28" s="108">
        <v>2151</v>
      </c>
      <c r="F28" s="11" t="s">
        <v>3504</v>
      </c>
      <c r="G28" s="16">
        <f>SUMIF(IIp.18!M2:M885,"2151*",IIp.18!F2:F885)</f>
        <v>4</v>
      </c>
      <c r="H28" s="129">
        <v>71</v>
      </c>
      <c r="I28" s="11" t="s">
        <v>3544</v>
      </c>
      <c r="J28" s="16">
        <f>SUMIF(IIp.18!M2:M885,"71*",IIp.18!F2:F885)</f>
        <v>4</v>
      </c>
      <c r="K28" s="89"/>
      <c r="L28" s="20"/>
      <c r="M28" s="20"/>
      <c r="P28" s="18">
        <f>SUM(P27)</f>
        <v>0</v>
      </c>
      <c r="Q28" s="37"/>
      <c r="T28" s="37"/>
      <c r="W28" s="108">
        <v>2120</v>
      </c>
      <c r="X28" s="11" t="s">
        <v>3583</v>
      </c>
      <c r="Y28" s="115">
        <f>SUMIF(IIp.18!M2:M885,"2120*",IIp.18!F2:F885)</f>
        <v>0</v>
      </c>
    </row>
    <row r="29" spans="2:25" x14ac:dyDescent="0.25">
      <c r="B29" s="124">
        <v>313</v>
      </c>
      <c r="C29" s="11" t="s">
        <v>3530</v>
      </c>
      <c r="D29" s="16">
        <f>SUMIF(IIp.18!M2:M885,"313*",IIp.18!F2:F885)</f>
        <v>6</v>
      </c>
      <c r="E29" s="108">
        <v>2152</v>
      </c>
      <c r="F29" s="11" t="s">
        <v>3505</v>
      </c>
      <c r="G29" s="16">
        <f>SUMIF(IIp.18!M2:M885,"2152*",IIp.18!F2:F885)</f>
        <v>6</v>
      </c>
      <c r="H29" s="132">
        <v>7521</v>
      </c>
      <c r="I29" s="11" t="s">
        <v>3553</v>
      </c>
      <c r="J29" s="16">
        <f>SUMIF(IIp.18!M2:M885,"7521*",IIp.18!F2:F885)</f>
        <v>0</v>
      </c>
      <c r="K29" s="89"/>
      <c r="L29" s="20"/>
      <c r="M29" s="20"/>
      <c r="N29" s="94" t="s">
        <v>154</v>
      </c>
      <c r="O29" s="94"/>
      <c r="P29" s="18"/>
      <c r="T29" s="37"/>
      <c r="W29" s="119">
        <v>0</v>
      </c>
      <c r="X29" s="11" t="s">
        <v>3586</v>
      </c>
      <c r="Y29" s="115">
        <f>SUMIF(IIp.18!M2:M885,"0*",IIp.18!F2:F885)</f>
        <v>0</v>
      </c>
    </row>
    <row r="30" spans="2:25" x14ac:dyDescent="0.25">
      <c r="B30" s="124">
        <v>314</v>
      </c>
      <c r="C30" s="11" t="s">
        <v>3531</v>
      </c>
      <c r="D30" s="16">
        <f>SUMIF(IIp.18!M2:M885,"314*",IIp.18!F2:F885)</f>
        <v>1</v>
      </c>
      <c r="E30" s="108">
        <v>2153</v>
      </c>
      <c r="F30" s="11" t="s">
        <v>3506</v>
      </c>
      <c r="G30" s="16">
        <f>SUMIF(IIp.18!M2:M885,"2153*",IIp.18!F2:F885)</f>
        <v>2</v>
      </c>
      <c r="H30" s="132">
        <v>7522</v>
      </c>
      <c r="I30" s="11" t="s">
        <v>3554</v>
      </c>
      <c r="J30" s="16">
        <f>SUMIF(IIp.18!M2:M885,"7522*",IIp.18!F2:F885)</f>
        <v>1</v>
      </c>
      <c r="K30" s="89"/>
      <c r="L30" s="20"/>
      <c r="M30" s="20"/>
      <c r="N30" s="6"/>
      <c r="O30" s="7"/>
      <c r="P30" s="92"/>
      <c r="Y30" s="2">
        <f>SUM(Y24:Y29)</f>
        <v>7</v>
      </c>
    </row>
    <row r="31" spans="2:25" x14ac:dyDescent="0.25">
      <c r="B31" s="125">
        <v>35</v>
      </c>
      <c r="C31" s="11" t="s">
        <v>3536</v>
      </c>
      <c r="D31" s="16">
        <f>SUMIF(IIp.18!M2:M885,"35*",IIp.18!F2:F885)</f>
        <v>2</v>
      </c>
      <c r="E31" s="118">
        <v>25</v>
      </c>
      <c r="F31" s="11" t="s">
        <v>3513</v>
      </c>
      <c r="G31" s="16">
        <f>SUMIF(IIp.18!M2:M885,"25*",IIp.18!F2:F885)</f>
        <v>46</v>
      </c>
      <c r="J31" s="18">
        <f>SUM(J18:J30)</f>
        <v>19</v>
      </c>
      <c r="K31" s="89"/>
      <c r="L31" s="20"/>
      <c r="M31" s="20"/>
      <c r="N31" s="131">
        <v>753</v>
      </c>
      <c r="O31" s="11" t="s">
        <v>3556</v>
      </c>
      <c r="P31" s="95">
        <f>SUMIF(IIp.18!M2:M885,"753*",IIp.18!F2:F885)</f>
        <v>0</v>
      </c>
    </row>
    <row r="32" spans="2:25" x14ac:dyDescent="0.25">
      <c r="B32" s="119">
        <v>6</v>
      </c>
      <c r="C32" s="11" t="s">
        <v>3543</v>
      </c>
      <c r="D32" s="16">
        <f>SUMIF(IIp.18!M2:M885,"6*",IIp.18!F2:F885)</f>
        <v>1</v>
      </c>
      <c r="E32" s="130">
        <v>74</v>
      </c>
      <c r="F32" s="11" t="s">
        <v>3547</v>
      </c>
      <c r="G32" s="16">
        <f>SUMIF(IIp.18!M2:M885,"74*",IIp.18!F2:F885)</f>
        <v>8</v>
      </c>
      <c r="H32" s="89"/>
      <c r="I32" s="20"/>
      <c r="K32" s="20"/>
      <c r="L32" s="20"/>
      <c r="M32" s="20"/>
      <c r="N32" s="131">
        <v>7541</v>
      </c>
      <c r="O32" s="11" t="s">
        <v>3557</v>
      </c>
      <c r="P32" s="95">
        <f>SUMIF(IIp.18!M2:M885,"7541*",IIp.18!F2:F885)</f>
        <v>0</v>
      </c>
    </row>
    <row r="33" spans="2:20" x14ac:dyDescent="0.25">
      <c r="B33" s="130">
        <v>72</v>
      </c>
      <c r="C33" s="11" t="s">
        <v>3545</v>
      </c>
      <c r="D33" s="16">
        <f>SUMIF(IIp.18!M2:M885,"72*",IIp.18!F2:F885)</f>
        <v>26</v>
      </c>
      <c r="G33" s="2">
        <f>SUM(G18:G32)</f>
        <v>104</v>
      </c>
      <c r="N33" s="127">
        <v>54</v>
      </c>
      <c r="O33" s="11" t="s">
        <v>3588</v>
      </c>
      <c r="P33" s="95">
        <f>SUMIF(IIp.18!M2:M885,"54*",IIp.18!F2:F885)</f>
        <v>2</v>
      </c>
    </row>
    <row r="34" spans="2:20" x14ac:dyDescent="0.25">
      <c r="B34" s="130">
        <v>73</v>
      </c>
      <c r="C34" s="11" t="s">
        <v>3546</v>
      </c>
      <c r="D34" s="16">
        <f>SUMIF(IIp.18!M2:M885,"73*",IIp.18!F2:F885)</f>
        <v>1</v>
      </c>
      <c r="P34" s="2">
        <f>SUM(P31:P33)</f>
        <v>2</v>
      </c>
    </row>
    <row r="35" spans="2:20" x14ac:dyDescent="0.25">
      <c r="B35" s="131">
        <v>7511</v>
      </c>
      <c r="C35" s="11" t="s">
        <v>3548</v>
      </c>
      <c r="D35" s="16">
        <f>SUMIF(IIp.18!M2:M885,"7511*",IIp.18!F2:F885)</f>
        <v>0</v>
      </c>
      <c r="T35" s="37"/>
    </row>
    <row r="36" spans="2:20" x14ac:dyDescent="0.25">
      <c r="B36" s="131">
        <v>7513</v>
      </c>
      <c r="C36" s="11" t="s">
        <v>3550</v>
      </c>
      <c r="D36" s="16">
        <f>SUMIF(IIp.18!M2:M885,"7513*",IIp.18!F2:F885)</f>
        <v>0</v>
      </c>
      <c r="T36" s="37"/>
    </row>
    <row r="37" spans="2:20" x14ac:dyDescent="0.25">
      <c r="B37" s="131">
        <v>7514</v>
      </c>
      <c r="C37" s="11" t="s">
        <v>3551</v>
      </c>
      <c r="D37" s="16">
        <f>SUMIF(IIp.18!M2:M885,"7514*",IIp.18!F2:F885)</f>
        <v>0</v>
      </c>
      <c r="T37" s="37"/>
    </row>
    <row r="38" spans="2:20" x14ac:dyDescent="0.25">
      <c r="B38" s="131">
        <v>7523</v>
      </c>
      <c r="C38" s="11" t="s">
        <v>3555</v>
      </c>
      <c r="D38" s="16">
        <f>SUMIF(IIp.18!M2:M885,"7523*",IIp.18!F2:F885)</f>
        <v>0</v>
      </c>
      <c r="T38" s="37"/>
    </row>
    <row r="39" spans="2:20" x14ac:dyDescent="0.25">
      <c r="B39" s="131">
        <v>7542</v>
      </c>
      <c r="C39" s="11" t="s">
        <v>3558</v>
      </c>
      <c r="D39" s="16">
        <f>SUMIF(IIp.18!M2:M885,"7542*",IIp.18!F2:F885)</f>
        <v>0</v>
      </c>
      <c r="T39" s="37"/>
    </row>
    <row r="40" spans="2:20" x14ac:dyDescent="0.25">
      <c r="B40" s="131">
        <v>7543</v>
      </c>
      <c r="C40" s="11" t="s">
        <v>3559</v>
      </c>
      <c r="D40" s="16">
        <f>SUMIF(IIp.18!M2:M885,"7543*",IIp.18!F2:F885)</f>
        <v>0</v>
      </c>
    </row>
    <row r="41" spans="2:20" x14ac:dyDescent="0.25">
      <c r="B41" s="131">
        <v>7544</v>
      </c>
      <c r="C41" s="11" t="s">
        <v>3560</v>
      </c>
      <c r="D41" s="16">
        <f>SUMIF(IIp.18!M2:M885,"7544*",IIp.18!F2:F885)</f>
        <v>0</v>
      </c>
    </row>
    <row r="42" spans="2:20" x14ac:dyDescent="0.25">
      <c r="B42" s="134">
        <v>81</v>
      </c>
      <c r="C42" s="11" t="s">
        <v>3562</v>
      </c>
      <c r="D42" s="16">
        <f>SUMIF(IIp.18!M2:M885,"81*",IIp.18!F2:F885)</f>
        <v>5</v>
      </c>
    </row>
    <row r="43" spans="2:20" x14ac:dyDescent="0.25">
      <c r="B43" s="134">
        <v>82</v>
      </c>
      <c r="C43" s="11" t="s">
        <v>3563</v>
      </c>
      <c r="D43" s="16">
        <f>SUMIF(IIp.18!M2:M885,"82*",IIp.18!F2:F885)</f>
        <v>1</v>
      </c>
    </row>
    <row r="44" spans="2:20" x14ac:dyDescent="0.25">
      <c r="B44" s="120">
        <v>13</v>
      </c>
      <c r="C44" s="11" t="s">
        <v>3577</v>
      </c>
      <c r="D44" s="16">
        <f>SUMIF(IIp.18!M2:M885,"13*",IIp.18!F2:F885)</f>
        <v>15</v>
      </c>
    </row>
    <row r="45" spans="2:20" x14ac:dyDescent="0.25">
      <c r="B45" s="108">
        <v>2163</v>
      </c>
      <c r="C45" s="11" t="s">
        <v>3579</v>
      </c>
      <c r="D45" s="16">
        <f>SUMIF(IIp.18!M2:M885,"2163*",IIp.18!F2:F885)</f>
        <v>1</v>
      </c>
    </row>
    <row r="46" spans="2:20" x14ac:dyDescent="0.25">
      <c r="B46" s="108">
        <v>2133</v>
      </c>
      <c r="C46" s="11" t="s">
        <v>3584</v>
      </c>
      <c r="D46" s="16">
        <f>SUMIF(IIp.18!M2:M885,"2133*",IIp.18!F2:F885)</f>
        <v>0</v>
      </c>
    </row>
    <row r="47" spans="2:20" x14ac:dyDescent="0.25">
      <c r="B47" s="37"/>
      <c r="D47" s="2">
        <f>SUM(D18:D46)</f>
        <v>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EXACT(E8,P15)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 kw.19'!E2:E900,"praca")</f>
        <v>52</v>
      </c>
      <c r="J3" s="12" t="s">
        <v>3515</v>
      </c>
      <c r="N3" s="12">
        <v>1</v>
      </c>
      <c r="O3" s="11" t="s">
        <v>170</v>
      </c>
      <c r="P3" s="12">
        <f>SUM(D47)</f>
        <v>10</v>
      </c>
    </row>
    <row r="4" spans="2:24" x14ac:dyDescent="0.25">
      <c r="B4" s="12" t="s">
        <v>3516</v>
      </c>
      <c r="C4" s="17" t="s">
        <v>3459</v>
      </c>
      <c r="D4" s="26">
        <v>466</v>
      </c>
      <c r="E4" s="26">
        <v>477</v>
      </c>
      <c r="F4" s="12"/>
      <c r="H4" s="11" t="s">
        <v>192</v>
      </c>
      <c r="I4" s="12">
        <f>COUNTIF('I kw.19'!E2:E900,"pracuj.pl")</f>
        <v>26</v>
      </c>
      <c r="J4" s="12" t="s">
        <v>3516</v>
      </c>
      <c r="N4" s="12">
        <v>2</v>
      </c>
      <c r="O4" s="11" t="s">
        <v>2</v>
      </c>
      <c r="P4" s="12">
        <f>SUM(G33)</f>
        <v>5</v>
      </c>
    </row>
    <row r="5" spans="2:24" x14ac:dyDescent="0.25">
      <c r="B5" s="12" t="s">
        <v>3517</v>
      </c>
      <c r="C5" s="17" t="s">
        <v>3458</v>
      </c>
      <c r="D5" s="26">
        <v>365</v>
      </c>
      <c r="E5" s="26">
        <v>386</v>
      </c>
      <c r="F5" s="12"/>
      <c r="H5" s="11" t="s">
        <v>217</v>
      </c>
      <c r="I5" s="12">
        <f>COUNTIF('I kw.19'!E2:E900,"agora")</f>
        <v>3</v>
      </c>
      <c r="J5" s="12" t="s">
        <v>3517</v>
      </c>
      <c r="N5" s="12">
        <v>3</v>
      </c>
      <c r="O5" s="11" t="s">
        <v>3</v>
      </c>
      <c r="P5" s="12">
        <f>SUM(J31)</f>
        <v>1</v>
      </c>
    </row>
    <row r="6" spans="2:24" x14ac:dyDescent="0.25">
      <c r="B6" s="12" t="s">
        <v>3518</v>
      </c>
      <c r="C6" s="17" t="s">
        <v>3457</v>
      </c>
      <c r="D6" s="26">
        <v>461</v>
      </c>
      <c r="E6" s="26">
        <v>444</v>
      </c>
      <c r="F6" s="12"/>
      <c r="H6" s="11" t="s">
        <v>3464</v>
      </c>
      <c r="I6" s="12">
        <f>COUNTIF('I kw.19'!E2:E900,"gratka")</f>
        <v>5</v>
      </c>
      <c r="J6" s="12" t="s">
        <v>3518</v>
      </c>
      <c r="N6" s="12">
        <v>4</v>
      </c>
      <c r="O6" s="11" t="s">
        <v>3589</v>
      </c>
      <c r="P6" s="12">
        <f>SUM(M24)</f>
        <v>66</v>
      </c>
    </row>
    <row r="7" spans="2:24" x14ac:dyDescent="0.25">
      <c r="B7" s="12" t="s">
        <v>13071</v>
      </c>
      <c r="C7" s="17" t="s">
        <v>173</v>
      </c>
      <c r="D7" s="26">
        <v>720</v>
      </c>
      <c r="E7" s="26">
        <v>704</v>
      </c>
      <c r="F7" s="12"/>
      <c r="H7" s="184"/>
      <c r="I7" s="183">
        <f>SUM(I3:I6)</f>
        <v>86</v>
      </c>
      <c r="J7" s="184"/>
      <c r="N7" s="12">
        <v>5</v>
      </c>
      <c r="O7" s="11" t="s">
        <v>13096</v>
      </c>
      <c r="P7" s="12">
        <f>SUM(P23)</f>
        <v>31</v>
      </c>
    </row>
    <row r="8" spans="2:24" x14ac:dyDescent="0.25">
      <c r="B8" s="107">
        <v>1</v>
      </c>
      <c r="C8" s="106" t="s">
        <v>175</v>
      </c>
      <c r="D8" s="105">
        <v>86</v>
      </c>
      <c r="E8" s="105">
        <v>122</v>
      </c>
      <c r="F8" s="107" t="s">
        <v>13064</v>
      </c>
      <c r="H8" s="1" t="s">
        <v>3570</v>
      </c>
      <c r="N8" s="12">
        <v>6</v>
      </c>
      <c r="O8" s="11" t="s">
        <v>134</v>
      </c>
      <c r="P8" s="12">
        <f>SUM(P28)</f>
        <v>0</v>
      </c>
    </row>
    <row r="9" spans="2:24" x14ac:dyDescent="0.25">
      <c r="B9" s="12">
        <v>2</v>
      </c>
      <c r="C9" s="17" t="s">
        <v>174</v>
      </c>
      <c r="D9" s="26">
        <v>377</v>
      </c>
      <c r="E9" s="26">
        <v>410</v>
      </c>
      <c r="F9" s="12"/>
      <c r="H9" s="11" t="s">
        <v>3469</v>
      </c>
      <c r="I9" s="11" t="s">
        <v>3568</v>
      </c>
      <c r="J9" s="12">
        <f>SUM(D47,G33,J31)</f>
        <v>16</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98</v>
      </c>
      <c r="N10" s="12">
        <v>8</v>
      </c>
      <c r="O10" s="11" t="s">
        <v>4</v>
      </c>
      <c r="P10" s="12">
        <f>SUM(S21)</f>
        <v>1</v>
      </c>
    </row>
    <row r="11" spans="2:24" x14ac:dyDescent="0.25">
      <c r="B11" s="12">
        <v>3</v>
      </c>
      <c r="C11" s="17" t="s">
        <v>3481</v>
      </c>
      <c r="D11" s="12">
        <v>180</v>
      </c>
      <c r="E11" s="12">
        <v>231</v>
      </c>
      <c r="F11" s="12"/>
      <c r="H11" s="11" t="s">
        <v>3471</v>
      </c>
      <c r="I11" s="11" t="s">
        <v>3567</v>
      </c>
      <c r="J11" s="12">
        <f>SUM(V21,V27)</f>
        <v>6</v>
      </c>
      <c r="N11" s="12">
        <v>9</v>
      </c>
      <c r="O11" s="11" t="s">
        <v>3591</v>
      </c>
      <c r="P11" s="12">
        <f>SUM(V21)</f>
        <v>6</v>
      </c>
    </row>
    <row r="12" spans="2:24" x14ac:dyDescent="0.25">
      <c r="B12" s="12">
        <v>4</v>
      </c>
      <c r="C12" s="17" t="s">
        <v>3482</v>
      </c>
      <c r="D12" s="12">
        <v>361</v>
      </c>
      <c r="E12" s="12">
        <v>378</v>
      </c>
      <c r="F12" s="12"/>
      <c r="H12" s="11" t="s">
        <v>3472</v>
      </c>
      <c r="I12" s="11" t="s">
        <v>6</v>
      </c>
      <c r="J12" s="12">
        <f>SUM(Y20)</f>
        <v>0</v>
      </c>
      <c r="N12" s="12">
        <v>10</v>
      </c>
      <c r="O12" s="11" t="s">
        <v>0</v>
      </c>
      <c r="P12" s="12">
        <f>SUM(V27)</f>
        <v>0</v>
      </c>
    </row>
    <row r="13" spans="2:24" x14ac:dyDescent="0.25">
      <c r="B13" s="12" t="s">
        <v>13073</v>
      </c>
      <c r="C13" s="17" t="s">
        <v>3487</v>
      </c>
      <c r="D13" s="26">
        <f>SUM(D11:D12)</f>
        <v>541</v>
      </c>
      <c r="E13" s="26">
        <f>SUM(E11:E12)</f>
        <v>609</v>
      </c>
      <c r="F13" s="12"/>
      <c r="H13" s="11"/>
      <c r="I13" s="11" t="s">
        <v>3574</v>
      </c>
      <c r="J13" s="12">
        <f>SUM(Y30)</f>
        <v>2</v>
      </c>
      <c r="N13" s="12">
        <v>11</v>
      </c>
      <c r="O13" s="11" t="s">
        <v>6</v>
      </c>
      <c r="P13" s="12">
        <f>SUM(Y20)</f>
        <v>0</v>
      </c>
    </row>
    <row r="14" spans="2:24" x14ac:dyDescent="0.25">
      <c r="B14" s="18"/>
      <c r="C14" s="89"/>
      <c r="D14" s="135"/>
      <c r="E14" s="135"/>
      <c r="F14" s="20"/>
      <c r="H14" s="184"/>
      <c r="I14" s="184"/>
      <c r="J14" s="183">
        <f>SUM(J9:J13)</f>
        <v>122</v>
      </c>
      <c r="N14" s="12">
        <v>12</v>
      </c>
      <c r="O14" s="17" t="s">
        <v>3574</v>
      </c>
      <c r="P14" s="12">
        <f>SUM(Y30)</f>
        <v>2</v>
      </c>
    </row>
    <row r="15" spans="2:24" x14ac:dyDescent="0.25">
      <c r="B15" s="18"/>
      <c r="C15" s="89"/>
      <c r="D15" s="135"/>
      <c r="E15" s="135"/>
      <c r="F15" s="20"/>
      <c r="P15" s="2">
        <f>SUM(P3:P14)</f>
        <v>122</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f>
        <v>2</v>
      </c>
      <c r="E18" s="108">
        <v>2113</v>
      </c>
      <c r="F18" s="11" t="s">
        <v>3491</v>
      </c>
      <c r="G18" s="16">
        <f>SUMIF('I kw.19'!M2:M467,"2113*",'I kw.19'!F2:F467)</f>
        <v>0</v>
      </c>
      <c r="H18" s="122">
        <v>2142</v>
      </c>
      <c r="I18" s="11" t="s">
        <v>3494</v>
      </c>
      <c r="J18" s="16">
        <f>SUMIF('I kw.19'!M2:M500,"2142*",'I kw.19'!F2:F500)</f>
        <v>1</v>
      </c>
      <c r="K18" s="123">
        <v>315</v>
      </c>
      <c r="L18" s="11" t="s">
        <v>3532</v>
      </c>
      <c r="M18" s="112">
        <f>SUMIF('I kw.19'!M2:M500,"315*",'I kw.19'!F2:F500)</f>
        <v>0</v>
      </c>
      <c r="N18" s="108">
        <v>2166</v>
      </c>
      <c r="O18" s="11" t="s">
        <v>3510</v>
      </c>
      <c r="P18" s="95">
        <f>SUMIF('I kw.19'!M2:M500,"2166*",'I kw.19'!F2:F500)</f>
        <v>0</v>
      </c>
      <c r="Q18" s="118">
        <v>22</v>
      </c>
      <c r="R18" s="11" t="s">
        <v>3511</v>
      </c>
      <c r="S18" s="96">
        <f>SUMIF('I kw.19'!M2:M500,"22*",'I kw.19'!F2:F500)</f>
        <v>0</v>
      </c>
      <c r="T18" s="118">
        <v>23</v>
      </c>
      <c r="U18" s="11" t="s">
        <v>3512</v>
      </c>
      <c r="V18" s="91">
        <f>SUMIF('I kw.19'!M2:M500,"23*",'I kw.19'!F2:F500)</f>
        <v>2</v>
      </c>
      <c r="W18" s="131">
        <v>7549</v>
      </c>
      <c r="X18" s="11" t="s">
        <v>3561</v>
      </c>
      <c r="Y18" s="97">
        <f>SUMIF('I kw.19'!M2:M500,"7549*",'I kw.19'!F2:F500)</f>
        <v>0</v>
      </c>
    </row>
    <row r="19" spans="2:25" x14ac:dyDescent="0.25">
      <c r="B19" s="108">
        <v>2132</v>
      </c>
      <c r="C19" s="11" t="s">
        <v>3493</v>
      </c>
      <c r="D19" s="16">
        <f>SUMIF('I kw.19'!M2:M500,"2132*",'I kw.19'!F2:F500)</f>
        <v>1</v>
      </c>
      <c r="E19" s="108">
        <v>2145</v>
      </c>
      <c r="F19" s="11" t="s">
        <v>3496</v>
      </c>
      <c r="G19" s="16">
        <f>SUMIF('I kw.19'!M2:M467,"2145*",'I kw.19'!F2:F467)</f>
        <v>0</v>
      </c>
      <c r="H19" s="122">
        <v>2143</v>
      </c>
      <c r="I19" s="11" t="s">
        <v>93</v>
      </c>
      <c r="J19" s="16">
        <f>SUMIF('I kw.19'!M2:M500,"2143*",'I kw.19'!F2:F500)</f>
        <v>0</v>
      </c>
      <c r="K19" s="117">
        <v>42</v>
      </c>
      <c r="L19" s="11" t="s">
        <v>3537</v>
      </c>
      <c r="M19" s="112">
        <f>SUMIF('I kw.19'!M2:M500,"42*",'I kw.19'!F2:F500)</f>
        <v>1</v>
      </c>
      <c r="N19" s="118">
        <v>24</v>
      </c>
      <c r="O19" s="11" t="s">
        <v>3571</v>
      </c>
      <c r="P19" s="95">
        <f>SUMIF('I kw.19'!M2:M500,"24*",'I kw.19'!F2:F500)</f>
        <v>10</v>
      </c>
      <c r="Q19" s="125">
        <v>32</v>
      </c>
      <c r="R19" s="11" t="s">
        <v>3533</v>
      </c>
      <c r="S19" s="96">
        <f>SUMIF('I kw.19'!M2:M500,"32*",'I kw.19'!F2:F500)</f>
        <v>1</v>
      </c>
      <c r="T19" s="118">
        <v>26</v>
      </c>
      <c r="U19" s="11" t="s">
        <v>3572</v>
      </c>
      <c r="V19" s="91">
        <f>SUMIF('I kw.19'!M2:M500,"26*",'I kw.19'!F2:F500)</f>
        <v>4</v>
      </c>
      <c r="W19" s="119">
        <v>9</v>
      </c>
      <c r="X19" s="11" t="s">
        <v>3565</v>
      </c>
      <c r="Y19" s="97">
        <f>SUMIF('I kw.19'!M2:M500,"9*",'I kw.19'!F2:F500)</f>
        <v>0</v>
      </c>
    </row>
    <row r="20" spans="2:25" x14ac:dyDescent="0.25">
      <c r="B20" s="108">
        <v>2146</v>
      </c>
      <c r="C20" s="11" t="s">
        <v>3497</v>
      </c>
      <c r="D20" s="16">
        <f>SUMIF('I kw.19'!M2:M500,"2146*",'I kw.19'!F2:F500)</f>
        <v>1</v>
      </c>
      <c r="E20" s="108">
        <v>2131</v>
      </c>
      <c r="F20" s="11" t="s">
        <v>3492</v>
      </c>
      <c r="G20" s="16">
        <f>SUMIF('I kw.19'!M2:M467,"2131*",'I kw.19'!F2:F467)</f>
        <v>1</v>
      </c>
      <c r="H20" s="122">
        <v>2161</v>
      </c>
      <c r="I20" s="11" t="s">
        <v>3507</v>
      </c>
      <c r="J20" s="16">
        <f>SUMIF('I kw.19'!M2:M500,"2161*",'I kw.19'!F2:F500)</f>
        <v>0</v>
      </c>
      <c r="K20" s="117">
        <v>43</v>
      </c>
      <c r="L20" s="11" t="s">
        <v>3538</v>
      </c>
      <c r="M20" s="112">
        <f>SUMIF('I kw.19'!M2:M500,"43*",'I kw.19'!F2:F500)</f>
        <v>0</v>
      </c>
      <c r="N20" s="125">
        <v>33</v>
      </c>
      <c r="O20" s="11" t="s">
        <v>3534</v>
      </c>
      <c r="P20" s="95">
        <f>SUMIF('I kw.19'!M2:M500,"33*",'I kw.19'!F2:F500)</f>
        <v>19</v>
      </c>
      <c r="Q20" s="127">
        <v>53</v>
      </c>
      <c r="R20" s="11" t="s">
        <v>3542</v>
      </c>
      <c r="S20" s="96">
        <f>SUMIF('I kw.19'!M2:M500,"53*",'I kw.19'!F2:F500)</f>
        <v>0</v>
      </c>
      <c r="T20" s="125">
        <v>34</v>
      </c>
      <c r="U20" s="11" t="s">
        <v>3535</v>
      </c>
      <c r="V20" s="91">
        <f>SUMIF('I kw.19'!M2:M500,"34*",'I kw.19'!F2:F500)</f>
        <v>0</v>
      </c>
      <c r="W20" s="37"/>
      <c r="Y20" s="2">
        <f>SUM(Y18:Y19)</f>
        <v>0</v>
      </c>
    </row>
    <row r="21" spans="2:25" x14ac:dyDescent="0.25">
      <c r="B21" s="121">
        <v>3113</v>
      </c>
      <c r="C21" s="11" t="s">
        <v>3520</v>
      </c>
      <c r="D21" s="16">
        <f>SUMIF('I kw.19'!M2:M500,"3113*",'I kw.19'!F2:F500)</f>
        <v>0</v>
      </c>
      <c r="E21" s="108">
        <v>2144</v>
      </c>
      <c r="F21" s="11" t="s">
        <v>3495</v>
      </c>
      <c r="G21" s="16">
        <f>SUMIF('I kw.19'!M2:M467,"2144*",'I kw.19'!F2:F467)</f>
        <v>0</v>
      </c>
      <c r="H21" s="122">
        <v>2162</v>
      </c>
      <c r="I21" s="11" t="s">
        <v>3508</v>
      </c>
      <c r="J21" s="16">
        <f>SUMIF('I kw.19'!M2:M500,"2162*",'I kw.19'!F2:F500)</f>
        <v>0</v>
      </c>
      <c r="K21" s="128">
        <v>52</v>
      </c>
      <c r="L21" s="11" t="s">
        <v>3541</v>
      </c>
      <c r="M21" s="112">
        <f>SUMIF('I kw.19'!M2:M500,"52*",'I kw.19'!F2:F500)</f>
        <v>26</v>
      </c>
      <c r="N21" s="127">
        <v>51</v>
      </c>
      <c r="O21" s="11" t="s">
        <v>3540</v>
      </c>
      <c r="P21" s="95">
        <f>SUMIF('I kw.19'!M2:M500,"51*",'I kw.19'!F2:F500)</f>
        <v>0</v>
      </c>
      <c r="Q21" s="37"/>
      <c r="S21" s="2">
        <f>SUM(S18:S20)</f>
        <v>1</v>
      </c>
      <c r="V21" s="2">
        <f>SUM(V18:V20)</f>
        <v>6</v>
      </c>
      <c r="W21" s="37"/>
    </row>
    <row r="22" spans="2:25" x14ac:dyDescent="0.25">
      <c r="B22" s="121">
        <v>3114</v>
      </c>
      <c r="C22" s="11" t="s">
        <v>3521</v>
      </c>
      <c r="D22" s="16">
        <f>SUMIF('I kw.19'!M2:M500,"3114*",'I kw.19'!F2:F500)</f>
        <v>0</v>
      </c>
      <c r="E22" s="108">
        <v>2149</v>
      </c>
      <c r="F22" s="11" t="s">
        <v>3498</v>
      </c>
      <c r="G22" s="16">
        <f>SUMIF('I kw.19'!M2:M467,"2149*",'I kw.19'!F2:F467)</f>
        <v>0</v>
      </c>
      <c r="H22" s="108">
        <v>2164</v>
      </c>
      <c r="I22" s="11" t="s">
        <v>3585</v>
      </c>
      <c r="J22" s="16">
        <f>SUMIF('I kw.19'!M2:M500,"2164*",'I kw.19'!F2:F500)</f>
        <v>0</v>
      </c>
      <c r="K22" s="133">
        <v>83</v>
      </c>
      <c r="L22" s="11" t="s">
        <v>3564</v>
      </c>
      <c r="M22" s="112">
        <f>SUMIF('I kw.19'!M2:M500,"83*",'I kw.19'!F2:F500)</f>
        <v>35</v>
      </c>
      <c r="N22" s="120">
        <v>14</v>
      </c>
      <c r="O22" s="11" t="s">
        <v>3578</v>
      </c>
      <c r="P22" s="95">
        <f>SUMIF('I kw.19'!M2:M500,"14*",'I kw.19'!F2:F500)</f>
        <v>2</v>
      </c>
      <c r="Q22" s="37"/>
      <c r="T22" s="1" t="s">
        <v>0</v>
      </c>
      <c r="U22" s="94"/>
      <c r="V22" s="20"/>
      <c r="W22" s="37" t="s">
        <v>3574</v>
      </c>
    </row>
    <row r="23" spans="2:25" x14ac:dyDescent="0.25">
      <c r="B23" s="121">
        <v>3115</v>
      </c>
      <c r="C23" s="11" t="s">
        <v>3522</v>
      </c>
      <c r="D23" s="16">
        <f>SUMIF('I kw.19'!M2:M500,"3115*",'I kw.19'!F2:F500)</f>
        <v>2</v>
      </c>
      <c r="E23" s="109">
        <v>2149</v>
      </c>
      <c r="F23" s="11" t="s">
        <v>3499</v>
      </c>
      <c r="G23" s="104" t="s">
        <v>3573</v>
      </c>
      <c r="H23" s="122">
        <v>2165</v>
      </c>
      <c r="I23" s="11" t="s">
        <v>3509</v>
      </c>
      <c r="J23" s="16">
        <f>SUMIF('I kw.19'!M2:M500,"2165*",'I kw.19'!F2:F500)</f>
        <v>0</v>
      </c>
      <c r="K23" s="120">
        <v>12</v>
      </c>
      <c r="L23" s="11" t="s">
        <v>3576</v>
      </c>
      <c r="M23" s="112">
        <f>SUMIF('I kw.19'!M2:M500,"12*",'I kw.19'!F2:F500)</f>
        <v>4</v>
      </c>
      <c r="P23" s="18">
        <f>SUM(P18:P22)</f>
        <v>31</v>
      </c>
      <c r="Q23" s="37"/>
      <c r="T23" s="98"/>
      <c r="U23" s="99"/>
      <c r="V23" s="92"/>
      <c r="W23" s="110"/>
      <c r="X23" s="111"/>
    </row>
    <row r="24" spans="2:25" x14ac:dyDescent="0.25">
      <c r="B24" s="121">
        <v>3116</v>
      </c>
      <c r="C24" s="11" t="s">
        <v>3523</v>
      </c>
      <c r="D24" s="16">
        <f>SUMIF('I kw.19'!M2:M500,"3116*",'I kw.19'!F2:F500)</f>
        <v>0</v>
      </c>
      <c r="E24" s="109">
        <v>2149</v>
      </c>
      <c r="F24" s="11" t="s">
        <v>3500</v>
      </c>
      <c r="G24" s="104" t="s">
        <v>3573</v>
      </c>
      <c r="H24" s="126">
        <v>3111</v>
      </c>
      <c r="I24" s="11" t="s">
        <v>3587</v>
      </c>
      <c r="J24" s="16">
        <f>SUMIF('I kw.19'!M2:M500,"3111*",'I kw.19'!F2:F500)</f>
        <v>0</v>
      </c>
      <c r="K24" s="89"/>
      <c r="L24" s="20"/>
      <c r="M24" s="90">
        <f>SUM(M18:M23)</f>
        <v>66</v>
      </c>
      <c r="Q24" s="37"/>
      <c r="T24" s="116">
        <v>41</v>
      </c>
      <c r="U24" s="11" t="s">
        <v>3592</v>
      </c>
      <c r="V24" s="91">
        <f>SUMIF('I kw.19'!M2:M500,"41*",'I kw.19'!F2:F500)</f>
        <v>0</v>
      </c>
      <c r="W24" s="120">
        <v>11</v>
      </c>
      <c r="X24" s="11" t="s">
        <v>3575</v>
      </c>
      <c r="Y24" s="115">
        <f>SUMIF('I kw.19'!M2:M500,"11*",'I kw.19'!F2:F500)</f>
        <v>2</v>
      </c>
    </row>
    <row r="25" spans="2:25" x14ac:dyDescent="0.25">
      <c r="B25" s="121">
        <v>3117</v>
      </c>
      <c r="C25" s="11" t="s">
        <v>3524</v>
      </c>
      <c r="D25" s="16">
        <f>SUMIF('I kw.19'!M2:M500,"3117*",'I kw.19'!F2:F500)</f>
        <v>0</v>
      </c>
      <c r="E25" s="109">
        <v>2149</v>
      </c>
      <c r="F25" s="11" t="s">
        <v>3501</v>
      </c>
      <c r="G25" s="104" t="s">
        <v>3573</v>
      </c>
      <c r="H25" s="126">
        <v>3112</v>
      </c>
      <c r="I25" s="11" t="s">
        <v>3519</v>
      </c>
      <c r="J25" s="16">
        <f>SUMIF('I kw.19'!M2:M500,"3112*",'I kw.19'!F2:F500)</f>
        <v>0</v>
      </c>
      <c r="K25" s="89"/>
      <c r="L25" s="20"/>
      <c r="M25" s="20"/>
      <c r="N25" s="100" t="s">
        <v>134</v>
      </c>
      <c r="O25" s="93"/>
      <c r="Q25" s="37"/>
      <c r="T25" s="116">
        <v>44</v>
      </c>
      <c r="U25" s="11" t="s">
        <v>3539</v>
      </c>
      <c r="V25" s="91">
        <f>SUMIF('I kw.19'!M2:M500,"44*",'I kw.19'!F2:F500)</f>
        <v>0</v>
      </c>
      <c r="W25" s="108">
        <v>2111</v>
      </c>
      <c r="X25" s="11" t="s">
        <v>3580</v>
      </c>
      <c r="Y25" s="115">
        <f>SUMIF('I kw.19'!M2:M500,"2111*",'I kw.19'!F2:F500)</f>
        <v>0</v>
      </c>
    </row>
    <row r="26" spans="2:25" x14ac:dyDescent="0.25">
      <c r="B26" s="121">
        <v>3119</v>
      </c>
      <c r="C26" s="11" t="s">
        <v>3526</v>
      </c>
      <c r="D26" s="16">
        <f>SUMIF('I kw.19'!M2:M500,"3119*",'I kw.19'!F2:F500)</f>
        <v>1</v>
      </c>
      <c r="E26" s="109">
        <v>2149</v>
      </c>
      <c r="F26" s="11" t="s">
        <v>3502</v>
      </c>
      <c r="G26" s="104" t="s">
        <v>3573</v>
      </c>
      <c r="H26" s="126">
        <v>3118</v>
      </c>
      <c r="I26" s="11" t="s">
        <v>3525</v>
      </c>
      <c r="J26" s="16">
        <f>SUMIF('I kw.19'!M2:M500,"3118*",'I kw.19'!F2:F500)</f>
        <v>0</v>
      </c>
      <c r="K26" s="89"/>
      <c r="L26" s="20"/>
      <c r="M26" s="20"/>
      <c r="N26" s="6"/>
      <c r="O26" s="7"/>
      <c r="Q26" s="37"/>
      <c r="T26" s="131">
        <v>7515</v>
      </c>
      <c r="U26" s="11" t="s">
        <v>3552</v>
      </c>
      <c r="V26" s="91">
        <f>SUMIF('I kw.19'!M2:M500,"7515*",'I kw.19'!F2:F500)</f>
        <v>0</v>
      </c>
      <c r="W26" s="108">
        <v>2112</v>
      </c>
      <c r="X26" s="11" t="s">
        <v>3581</v>
      </c>
      <c r="Y26" s="115">
        <f>SUMIF('I kw.19'!M2:M500,"2112*",'I kw.19'!F2:F500)</f>
        <v>0</v>
      </c>
    </row>
    <row r="27" spans="2:25" x14ac:dyDescent="0.25">
      <c r="B27" s="121">
        <v>3121</v>
      </c>
      <c r="C27" s="11" t="s">
        <v>3527</v>
      </c>
      <c r="D27" s="16">
        <f>SUMIF('I kw.19'!M2:M500,"3121*",'I kw.19'!F2:F500)</f>
        <v>0</v>
      </c>
      <c r="E27" s="109">
        <v>2149</v>
      </c>
      <c r="F27" s="11" t="s">
        <v>3503</v>
      </c>
      <c r="G27" s="104" t="s">
        <v>3573</v>
      </c>
      <c r="H27" s="126">
        <v>3123</v>
      </c>
      <c r="I27" s="11" t="s">
        <v>3529</v>
      </c>
      <c r="J27" s="16">
        <f>SUMIF('I kw.19'!M2:M500,"3123*",'I kw.19'!F2:F500)</f>
        <v>0</v>
      </c>
      <c r="K27" s="89"/>
      <c r="L27" s="20"/>
      <c r="N27" s="131">
        <v>7512</v>
      </c>
      <c r="O27" s="11" t="s">
        <v>3549</v>
      </c>
      <c r="P27" s="95">
        <f>SUMIF('I kw.19'!M2:M500,"7512*",'I kw.19'!F2:F500)</f>
        <v>0</v>
      </c>
      <c r="Q27" s="37"/>
      <c r="T27" s="37"/>
      <c r="V27" s="2">
        <f>SUM(V24:V26)</f>
        <v>0</v>
      </c>
      <c r="W27" s="108">
        <v>2114</v>
      </c>
      <c r="X27" s="11" t="s">
        <v>3582</v>
      </c>
      <c r="Y27" s="115">
        <f>SUMIF('I kw.19'!M2:M500,"2114*",'I kw.19'!F2:F500)</f>
        <v>0</v>
      </c>
    </row>
    <row r="28" spans="2:25" x14ac:dyDescent="0.25">
      <c r="B28" s="121">
        <v>3122</v>
      </c>
      <c r="C28" s="11" t="s">
        <v>3528</v>
      </c>
      <c r="D28" s="16">
        <f>SUMIF('I kw.19'!M2:M500,"3122*",'I kw.19'!F2:F500)</f>
        <v>0</v>
      </c>
      <c r="E28" s="108">
        <v>2151</v>
      </c>
      <c r="F28" s="11" t="s">
        <v>3504</v>
      </c>
      <c r="G28" s="16">
        <f>SUMIF('I kw.19'!M2:M467,"2151*",'I kw.19'!F2:F467)</f>
        <v>0</v>
      </c>
      <c r="H28" s="129">
        <v>71</v>
      </c>
      <c r="I28" s="11" t="s">
        <v>3544</v>
      </c>
      <c r="J28" s="16">
        <f>SUMIF('I kw.19'!M2:M500,"71*",'I kw.19'!F2:F500)</f>
        <v>0</v>
      </c>
      <c r="K28" s="89"/>
      <c r="L28" s="20"/>
      <c r="M28" s="20"/>
      <c r="P28" s="18">
        <f>SUM(P27)</f>
        <v>0</v>
      </c>
      <c r="Q28" s="37"/>
      <c r="T28" s="37"/>
      <c r="W28" s="108">
        <v>2120</v>
      </c>
      <c r="X28" s="11" t="s">
        <v>3583</v>
      </c>
      <c r="Y28" s="115">
        <f>SUMIF('I kw.19'!M2:M500,"2120*",'I kw.19'!F2:F500)</f>
        <v>0</v>
      </c>
    </row>
    <row r="29" spans="2:25" x14ac:dyDescent="0.25">
      <c r="B29" s="124">
        <v>313</v>
      </c>
      <c r="C29" s="11" t="s">
        <v>3530</v>
      </c>
      <c r="D29" s="16">
        <f>SUMIF('I kw.19'!M2:M500,"313*",'I kw.19'!F2:F500)</f>
        <v>0</v>
      </c>
      <c r="E29" s="108">
        <v>2152</v>
      </c>
      <c r="F29" s="11" t="s">
        <v>3505</v>
      </c>
      <c r="G29" s="16">
        <f>SUMIF('I kw.19'!M2:M467,"2152*",'I kw.19'!F2:F467)</f>
        <v>0</v>
      </c>
      <c r="H29" s="132">
        <v>7521</v>
      </c>
      <c r="I29" s="11" t="s">
        <v>3553</v>
      </c>
      <c r="J29" s="16">
        <f>SUMIF('I kw.19'!M2:M500,"7521*",'I kw.19'!F2:F500)</f>
        <v>0</v>
      </c>
      <c r="K29" s="89"/>
      <c r="L29" s="20"/>
      <c r="M29" s="20"/>
      <c r="N29" s="94" t="s">
        <v>154</v>
      </c>
      <c r="O29" s="94"/>
      <c r="P29" s="18"/>
      <c r="T29" s="37"/>
      <c r="W29" s="119">
        <v>0</v>
      </c>
      <c r="X29" s="11" t="s">
        <v>3586</v>
      </c>
      <c r="Y29" s="115">
        <f>SUMIF('I kw.19'!M2:M500,"0*",'I kw.19'!F2:F500)</f>
        <v>0</v>
      </c>
    </row>
    <row r="30" spans="2:25" x14ac:dyDescent="0.25">
      <c r="B30" s="124">
        <v>314</v>
      </c>
      <c r="C30" s="11" t="s">
        <v>3531</v>
      </c>
      <c r="D30" s="16">
        <f>SUMIF('I kw.19'!M2:M500,"314*",'I kw.19'!F2:F500)</f>
        <v>0</v>
      </c>
      <c r="E30" s="108">
        <v>2153</v>
      </c>
      <c r="F30" s="11" t="s">
        <v>3506</v>
      </c>
      <c r="G30" s="16">
        <f>SUMIF('I kw.19'!M2:M467,"2153*",'I kw.19'!F2:F467)</f>
        <v>0</v>
      </c>
      <c r="H30" s="132">
        <v>7522</v>
      </c>
      <c r="I30" s="11" t="s">
        <v>3554</v>
      </c>
      <c r="J30" s="16">
        <f>SUMIF('I kw.19'!M2:M500,"7522*",'I kw.19'!F2:F500)</f>
        <v>0</v>
      </c>
      <c r="K30" s="89"/>
      <c r="L30" s="20"/>
      <c r="M30" s="20"/>
      <c r="N30" s="6"/>
      <c r="O30" s="7"/>
      <c r="P30" s="92"/>
      <c r="Y30" s="2">
        <f>SUM(Y24:Y29)</f>
        <v>2</v>
      </c>
    </row>
    <row r="31" spans="2:25" x14ac:dyDescent="0.25">
      <c r="B31" s="125">
        <v>35</v>
      </c>
      <c r="C31" s="11" t="s">
        <v>3536</v>
      </c>
      <c r="D31" s="16">
        <f>SUMIF('I kw.19'!M2:M500,"35*",'I kw.19'!F2:F500)</f>
        <v>1</v>
      </c>
      <c r="E31" s="118">
        <v>25</v>
      </c>
      <c r="F31" s="11" t="s">
        <v>3513</v>
      </c>
      <c r="G31" s="16">
        <f>SUMIF('I kw.19'!M2:M467,"25*",'I kw.19'!F2:F467)</f>
        <v>4</v>
      </c>
      <c r="J31" s="18">
        <f>SUM(J18:J30)</f>
        <v>1</v>
      </c>
      <c r="K31" s="89"/>
      <c r="L31" s="20"/>
      <c r="M31" s="20"/>
      <c r="N31" s="131">
        <v>753</v>
      </c>
      <c r="O31" s="11" t="s">
        <v>3556</v>
      </c>
      <c r="P31" s="95">
        <f>SUMIF('I kw.19'!M2:M500,"753*",'I kw.19'!F2:F500)</f>
        <v>0</v>
      </c>
    </row>
    <row r="32" spans="2:25" x14ac:dyDescent="0.25">
      <c r="B32" s="119">
        <v>6</v>
      </c>
      <c r="C32" s="11" t="s">
        <v>3543</v>
      </c>
      <c r="D32" s="16">
        <f>SUMIF('I kw.19'!M2:M500,"6*",'I kw.19'!F2:F500)</f>
        <v>0</v>
      </c>
      <c r="E32" s="130">
        <v>74</v>
      </c>
      <c r="F32" s="11" t="s">
        <v>3547</v>
      </c>
      <c r="G32" s="16">
        <f>SUMIF('I kw.19'!M2:M467,"74*",'I kw.19'!F2:F467)</f>
        <v>0</v>
      </c>
      <c r="H32" s="89"/>
      <c r="I32" s="20"/>
      <c r="K32" s="20"/>
      <c r="L32" s="20"/>
      <c r="M32" s="20"/>
      <c r="N32" s="131">
        <v>7541</v>
      </c>
      <c r="O32" s="11" t="s">
        <v>3557</v>
      </c>
      <c r="P32" s="95">
        <f>SUMIF('I kw.19'!M2:M500,"7541*",'I kw.19'!F2:F500)</f>
        <v>0</v>
      </c>
    </row>
    <row r="33" spans="2:20" x14ac:dyDescent="0.25">
      <c r="B33" s="130">
        <v>72</v>
      </c>
      <c r="C33" s="11" t="s">
        <v>3545</v>
      </c>
      <c r="D33" s="16">
        <f>SUMIF('I kw.19'!M2:M500,"72*",'I kw.19'!F2:F500)</f>
        <v>1</v>
      </c>
      <c r="G33" s="2">
        <f>SUM(G18:G32)</f>
        <v>5</v>
      </c>
      <c r="N33" s="127">
        <v>54</v>
      </c>
      <c r="O33" s="11" t="s">
        <v>3588</v>
      </c>
      <c r="P33" s="95">
        <f>SUMIF('I kw.19'!M2:M500,"54*",'I kw.19'!F2:F500)</f>
        <v>0</v>
      </c>
    </row>
    <row r="34" spans="2:20" x14ac:dyDescent="0.25">
      <c r="B34" s="130">
        <v>73</v>
      </c>
      <c r="C34" s="11" t="s">
        <v>3546</v>
      </c>
      <c r="D34" s="16">
        <f>SUMIF('I kw.19'!M2:M500,"73*",'I kw.19'!F2:F500)</f>
        <v>0</v>
      </c>
      <c r="P34" s="2">
        <f>SUM(P31:P33)</f>
        <v>0</v>
      </c>
    </row>
    <row r="35" spans="2:20" x14ac:dyDescent="0.25">
      <c r="B35" s="131">
        <v>7511</v>
      </c>
      <c r="C35" s="11" t="s">
        <v>3548</v>
      </c>
      <c r="D35" s="16">
        <f>SUMIF('I kw.19'!M2:M500,"7511*",'I kw.19'!F2:F500)</f>
        <v>0</v>
      </c>
      <c r="T35" s="37"/>
    </row>
    <row r="36" spans="2:20" x14ac:dyDescent="0.25">
      <c r="B36" s="131">
        <v>7513</v>
      </c>
      <c r="C36" s="11" t="s">
        <v>3550</v>
      </c>
      <c r="D36" s="16">
        <f>SUMIF('I kw.19'!M2:M500,"7513*",'I kw.19'!F2:F500)</f>
        <v>0</v>
      </c>
      <c r="T36" s="37"/>
    </row>
    <row r="37" spans="2:20" x14ac:dyDescent="0.25">
      <c r="B37" s="131">
        <v>7514</v>
      </c>
      <c r="C37" s="11" t="s">
        <v>3551</v>
      </c>
      <c r="D37" s="16">
        <f>SUMIF('I kw.19'!M2:M500,"7514*",'I kw.19'!F2:F500)</f>
        <v>0</v>
      </c>
      <c r="T37" s="37"/>
    </row>
    <row r="38" spans="2:20" x14ac:dyDescent="0.25">
      <c r="B38" s="131">
        <v>7523</v>
      </c>
      <c r="C38" s="11" t="s">
        <v>3555</v>
      </c>
      <c r="D38" s="16">
        <f>SUMIF('I kw.19'!M2:M500,"7523*",'I kw.19'!F2:F500)</f>
        <v>0</v>
      </c>
      <c r="T38" s="37"/>
    </row>
    <row r="39" spans="2:20" x14ac:dyDescent="0.25">
      <c r="B39" s="131">
        <v>7542</v>
      </c>
      <c r="C39" s="11" t="s">
        <v>3558</v>
      </c>
      <c r="D39" s="16">
        <f>SUMIF('I kw.19'!M2:M500,"7542*",'I kw.19'!F2:F500)</f>
        <v>0</v>
      </c>
      <c r="T39" s="37"/>
    </row>
    <row r="40" spans="2:20" x14ac:dyDescent="0.25">
      <c r="B40" s="131">
        <v>7543</v>
      </c>
      <c r="C40" s="11" t="s">
        <v>3559</v>
      </c>
      <c r="D40" s="16">
        <f>SUMIF('I kw.19'!M2:M500,"7543*",'I kw.19'!F2:F500)</f>
        <v>0</v>
      </c>
    </row>
    <row r="41" spans="2:20" x14ac:dyDescent="0.25">
      <c r="B41" s="131">
        <v>7544</v>
      </c>
      <c r="C41" s="11" t="s">
        <v>3560</v>
      </c>
      <c r="D41" s="16">
        <f>SUMIF('I kw.19'!M2:M500,"7544*",'I kw.19'!F2:F500)</f>
        <v>0</v>
      </c>
    </row>
    <row r="42" spans="2:20" x14ac:dyDescent="0.25">
      <c r="B42" s="134">
        <v>81</v>
      </c>
      <c r="C42" s="11" t="s">
        <v>3562</v>
      </c>
      <c r="D42" s="16">
        <f>SUMIF('I kw.19'!M2:M500,"81*",'I kw.19'!F2:F500)</f>
        <v>0</v>
      </c>
    </row>
    <row r="43" spans="2:20" x14ac:dyDescent="0.25">
      <c r="B43" s="134">
        <v>82</v>
      </c>
      <c r="C43" s="11" t="s">
        <v>3563</v>
      </c>
      <c r="D43" s="16">
        <f>SUMIF('I kw.19'!M2:M500,"82*",'I kw.19'!F2:F500)</f>
        <v>0</v>
      </c>
    </row>
    <row r="44" spans="2:20" x14ac:dyDescent="0.25">
      <c r="B44" s="120">
        <v>13</v>
      </c>
      <c r="C44" s="11" t="s">
        <v>3577</v>
      </c>
      <c r="D44" s="16">
        <f>SUMIF('I kw.19'!M2:M500,"13*",'I kw.19'!F2:F500)</f>
        <v>0</v>
      </c>
    </row>
    <row r="45" spans="2:20" x14ac:dyDescent="0.25">
      <c r="B45" s="108">
        <v>2163</v>
      </c>
      <c r="C45" s="11" t="s">
        <v>3579</v>
      </c>
      <c r="D45" s="16">
        <f>SUMIF('I kw.19'!M2:M500,"2163*",'I kw.19'!F2:F500)</f>
        <v>0</v>
      </c>
    </row>
    <row r="46" spans="2:20" x14ac:dyDescent="0.25">
      <c r="B46" s="108">
        <v>2133</v>
      </c>
      <c r="C46" s="11" t="s">
        <v>3584</v>
      </c>
      <c r="D46" s="16">
        <f>SUMIF('I kw.19'!M2:M500,"2133*",'I kw.19'!F2:F500)</f>
        <v>1</v>
      </c>
    </row>
    <row r="47" spans="2:20" x14ac:dyDescent="0.25">
      <c r="B47" s="37"/>
      <c r="D47" s="2">
        <f>SUM(D18:D46)</f>
        <v>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EXACT(E9,P15)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 kw.19'!E2:E900,"praca")</f>
        <v>24</v>
      </c>
      <c r="J3" s="12" t="s">
        <v>3515</v>
      </c>
      <c r="N3" s="12">
        <v>1</v>
      </c>
      <c r="O3" s="11" t="s">
        <v>170</v>
      </c>
      <c r="P3" s="12">
        <f>SUM(D47)</f>
        <v>66</v>
      </c>
    </row>
    <row r="4" spans="2:24" x14ac:dyDescent="0.25">
      <c r="B4" s="12" t="s">
        <v>3516</v>
      </c>
      <c r="C4" s="17" t="s">
        <v>3459</v>
      </c>
      <c r="D4" s="26">
        <v>466</v>
      </c>
      <c r="E4" s="26">
        <v>477</v>
      </c>
      <c r="F4" s="12"/>
      <c r="H4" s="11" t="s">
        <v>192</v>
      </c>
      <c r="I4" s="12">
        <f>COUNTIF('II kw.19'!E2:E900,"pracuj.pl")</f>
        <v>326</v>
      </c>
      <c r="J4" s="12" t="s">
        <v>3516</v>
      </c>
      <c r="N4" s="12">
        <v>2</v>
      </c>
      <c r="O4" s="11" t="s">
        <v>2</v>
      </c>
      <c r="P4" s="12">
        <f>SUM(G33)</f>
        <v>77</v>
      </c>
    </row>
    <row r="5" spans="2:24" x14ac:dyDescent="0.25">
      <c r="B5" s="12" t="s">
        <v>3517</v>
      </c>
      <c r="C5" s="17" t="s">
        <v>3458</v>
      </c>
      <c r="D5" s="26">
        <v>365</v>
      </c>
      <c r="E5" s="26">
        <v>386</v>
      </c>
      <c r="F5" s="12"/>
      <c r="H5" s="11" t="s">
        <v>217</v>
      </c>
      <c r="I5" s="12">
        <f>COUNTIF('II kw.19'!E2:E900,"agora")</f>
        <v>12</v>
      </c>
      <c r="J5" s="12" t="s">
        <v>3517</v>
      </c>
      <c r="N5" s="12">
        <v>3</v>
      </c>
      <c r="O5" s="11" t="s">
        <v>3</v>
      </c>
      <c r="P5" s="12">
        <f>SUM(J31)</f>
        <v>9</v>
      </c>
    </row>
    <row r="6" spans="2:24" x14ac:dyDescent="0.25">
      <c r="B6" s="12" t="s">
        <v>3518</v>
      </c>
      <c r="C6" s="17" t="s">
        <v>3457</v>
      </c>
      <c r="D6" s="26">
        <v>461</v>
      </c>
      <c r="E6" s="26">
        <v>444</v>
      </c>
      <c r="F6" s="12"/>
      <c r="H6" s="11" t="s">
        <v>3464</v>
      </c>
      <c r="I6" s="12">
        <f>COUNTIF('II kw.19'!E2:E900,"gratka")</f>
        <v>15</v>
      </c>
      <c r="J6" s="12" t="s">
        <v>3518</v>
      </c>
      <c r="N6" s="12">
        <v>4</v>
      </c>
      <c r="O6" s="11" t="s">
        <v>3589</v>
      </c>
      <c r="P6" s="12">
        <f>SUM(M24)</f>
        <v>104</v>
      </c>
    </row>
    <row r="7" spans="2:24" x14ac:dyDescent="0.25">
      <c r="B7" s="12" t="s">
        <v>13071</v>
      </c>
      <c r="C7" s="17" t="s">
        <v>173</v>
      </c>
      <c r="D7" s="26">
        <v>720</v>
      </c>
      <c r="E7" s="26">
        <v>704</v>
      </c>
      <c r="F7" s="12"/>
      <c r="H7" s="184"/>
      <c r="I7" s="183">
        <f>SUM(I3:I6)</f>
        <v>377</v>
      </c>
      <c r="J7" s="184"/>
      <c r="N7" s="12">
        <v>5</v>
      </c>
      <c r="O7" s="11" t="s">
        <v>13096</v>
      </c>
      <c r="P7" s="12">
        <f>SUM(P23)</f>
        <v>110</v>
      </c>
    </row>
    <row r="8" spans="2:24" x14ac:dyDescent="0.25">
      <c r="B8" s="12">
        <v>1</v>
      </c>
      <c r="C8" s="17" t="s">
        <v>175</v>
      </c>
      <c r="D8" s="26">
        <v>86</v>
      </c>
      <c r="E8" s="26">
        <v>122</v>
      </c>
      <c r="F8" s="12"/>
      <c r="H8" s="1" t="s">
        <v>3570</v>
      </c>
      <c r="N8" s="12">
        <v>6</v>
      </c>
      <c r="O8" s="11" t="s">
        <v>134</v>
      </c>
      <c r="P8" s="12">
        <f>SUM(P28)</f>
        <v>0</v>
      </c>
    </row>
    <row r="9" spans="2:24" x14ac:dyDescent="0.25">
      <c r="B9" s="107">
        <v>2</v>
      </c>
      <c r="C9" s="106" t="s">
        <v>174</v>
      </c>
      <c r="D9" s="105">
        <v>377</v>
      </c>
      <c r="E9" s="105">
        <v>410</v>
      </c>
      <c r="F9" s="107" t="s">
        <v>13065</v>
      </c>
      <c r="H9" s="11" t="s">
        <v>3469</v>
      </c>
      <c r="I9" s="11" t="s">
        <v>3568</v>
      </c>
      <c r="J9" s="12">
        <f>SUM(D47,G33,J31)</f>
        <v>152</v>
      </c>
      <c r="N9" s="12">
        <v>7</v>
      </c>
      <c r="O9" s="11" t="s">
        <v>3590</v>
      </c>
      <c r="P9" s="12">
        <f>SUM(P34)</f>
        <v>1</v>
      </c>
    </row>
    <row r="10" spans="2:24" x14ac:dyDescent="0.25">
      <c r="B10" s="12" t="s">
        <v>13072</v>
      </c>
      <c r="C10" s="17" t="s">
        <v>3486</v>
      </c>
      <c r="D10" s="26">
        <f>SUM(D8:D9)</f>
        <v>463</v>
      </c>
      <c r="E10" s="26">
        <f>SUM(E8:E9)</f>
        <v>532</v>
      </c>
      <c r="F10" s="12"/>
      <c r="H10" s="11" t="s">
        <v>3470</v>
      </c>
      <c r="I10" s="11" t="s">
        <v>3566</v>
      </c>
      <c r="J10" s="12">
        <f>SUM(M24,P23,P28,P34,S21)</f>
        <v>219</v>
      </c>
      <c r="N10" s="12">
        <v>8</v>
      </c>
      <c r="O10" s="11" t="s">
        <v>4</v>
      </c>
      <c r="P10" s="12">
        <f>SUM(S21)</f>
        <v>4</v>
      </c>
    </row>
    <row r="11" spans="2:24" x14ac:dyDescent="0.25">
      <c r="B11" s="12">
        <v>3</v>
      </c>
      <c r="C11" s="17" t="s">
        <v>3481</v>
      </c>
      <c r="D11" s="12">
        <v>180</v>
      </c>
      <c r="E11" s="12">
        <v>231</v>
      </c>
      <c r="F11" s="12"/>
      <c r="H11" s="11" t="s">
        <v>3471</v>
      </c>
      <c r="I11" s="11" t="s">
        <v>3567</v>
      </c>
      <c r="J11" s="12">
        <f>SUM(V21,V27)</f>
        <v>35</v>
      </c>
      <c r="N11" s="12">
        <v>9</v>
      </c>
      <c r="O11" s="11" t="s">
        <v>3591</v>
      </c>
      <c r="P11" s="12">
        <f>SUM(V21)</f>
        <v>32</v>
      </c>
    </row>
    <row r="12" spans="2:24" x14ac:dyDescent="0.25">
      <c r="B12" s="12">
        <v>4</v>
      </c>
      <c r="C12" s="17" t="s">
        <v>3482</v>
      </c>
      <c r="D12" s="12">
        <v>361</v>
      </c>
      <c r="E12" s="12">
        <v>378</v>
      </c>
      <c r="F12" s="12"/>
      <c r="H12" s="11" t="s">
        <v>3472</v>
      </c>
      <c r="I12" s="11" t="s">
        <v>6</v>
      </c>
      <c r="J12" s="12">
        <f>SUM(Y20)</f>
        <v>3</v>
      </c>
      <c r="N12" s="12">
        <v>10</v>
      </c>
      <c r="O12" s="11" t="s">
        <v>0</v>
      </c>
      <c r="P12" s="12">
        <f>SUM(V27)</f>
        <v>3</v>
      </c>
    </row>
    <row r="13" spans="2:24" x14ac:dyDescent="0.25">
      <c r="B13" s="12" t="s">
        <v>13073</v>
      </c>
      <c r="C13" s="17" t="s">
        <v>3487</v>
      </c>
      <c r="D13" s="26">
        <f>SUM(D11:D12)</f>
        <v>541</v>
      </c>
      <c r="E13" s="26">
        <f>SUM(E11:E12)</f>
        <v>609</v>
      </c>
      <c r="F13" s="12"/>
      <c r="H13" s="11"/>
      <c r="I13" s="11" t="s">
        <v>3574</v>
      </c>
      <c r="J13" s="12">
        <f>SUM(Y30)</f>
        <v>1</v>
      </c>
      <c r="N13" s="12">
        <v>11</v>
      </c>
      <c r="O13" s="11" t="s">
        <v>6</v>
      </c>
      <c r="P13" s="12">
        <f>SUM(Y20)</f>
        <v>3</v>
      </c>
    </row>
    <row r="14" spans="2:24" x14ac:dyDescent="0.25">
      <c r="B14" s="18"/>
      <c r="C14" s="89"/>
      <c r="D14" s="135"/>
      <c r="E14" s="135"/>
      <c r="F14" s="20"/>
      <c r="H14" s="184"/>
      <c r="I14" s="184"/>
      <c r="J14" s="183">
        <f>SUM(J9:J13)</f>
        <v>410</v>
      </c>
      <c r="N14" s="12">
        <v>12</v>
      </c>
      <c r="O14" s="17" t="s">
        <v>3574</v>
      </c>
      <c r="P14" s="12">
        <f>SUM(Y30)</f>
        <v>1</v>
      </c>
    </row>
    <row r="15" spans="2:24" x14ac:dyDescent="0.25">
      <c r="B15" s="18"/>
      <c r="C15" s="89"/>
      <c r="D15" s="135"/>
      <c r="E15" s="135"/>
      <c r="F15" s="20"/>
      <c r="P15" s="2">
        <f>SUM(P3:P14)</f>
        <v>410</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 kw.19'!M2:M500,"2141*",'II kw.19'!F2:F500)</f>
        <v>2</v>
      </c>
      <c r="E18" s="108">
        <v>2113</v>
      </c>
      <c r="F18" s="11" t="s">
        <v>3491</v>
      </c>
      <c r="G18" s="16">
        <f>SUMIF('II kw.19'!M2:M467,"2113*",'II kw.19'!F2:F467)</f>
        <v>2</v>
      </c>
      <c r="H18" s="122">
        <v>2142</v>
      </c>
      <c r="I18" s="11" t="s">
        <v>3494</v>
      </c>
      <c r="J18" s="16">
        <f>SUMIF('II kw.19'!M2:M500,"2142*",'II kw.19'!F2:F500)</f>
        <v>3</v>
      </c>
      <c r="K18" s="123">
        <v>315</v>
      </c>
      <c r="L18" s="11" t="s">
        <v>3532</v>
      </c>
      <c r="M18" s="112">
        <f>SUMIF('II kw.19'!M2:M500,"315*",'II kw.19'!F2:F500)</f>
        <v>0</v>
      </c>
      <c r="N18" s="108">
        <v>2166</v>
      </c>
      <c r="O18" s="11" t="s">
        <v>3510</v>
      </c>
      <c r="P18" s="95">
        <f>SUMIF('II kw.19'!M2:M500,"2166*",'II kw.19'!F2:F500)</f>
        <v>0</v>
      </c>
      <c r="Q18" s="118">
        <v>22</v>
      </c>
      <c r="R18" s="11" t="s">
        <v>3511</v>
      </c>
      <c r="S18" s="96">
        <f>SUMIF('II kw.19'!M2:M500,"22*",'II kw.19'!F2:F500)</f>
        <v>2</v>
      </c>
      <c r="T18" s="118">
        <v>23</v>
      </c>
      <c r="U18" s="11" t="s">
        <v>3512</v>
      </c>
      <c r="V18" s="91">
        <f>SUMIF('II kw.19'!M2:M500,"23*",'II kw.19'!F2:F500)</f>
        <v>3</v>
      </c>
      <c r="W18" s="131">
        <v>7549</v>
      </c>
      <c r="X18" s="11" t="s">
        <v>3561</v>
      </c>
      <c r="Y18" s="97">
        <f>SUMIF('II kw.19'!M2:M500,"7549*",'II kw.19'!F2:F500)</f>
        <v>0</v>
      </c>
    </row>
    <row r="19" spans="2:25" x14ac:dyDescent="0.25">
      <c r="B19" s="108">
        <v>2132</v>
      </c>
      <c r="C19" s="11" t="s">
        <v>3493</v>
      </c>
      <c r="D19" s="16">
        <f>SUMIF('II kw.19'!M2:M500,"2132*",'II kw.19'!F2:F500)</f>
        <v>0</v>
      </c>
      <c r="E19" s="108">
        <v>2145</v>
      </c>
      <c r="F19" s="11" t="s">
        <v>3496</v>
      </c>
      <c r="G19" s="16">
        <f>SUMIF('II kw.19'!M2:M467,"2145*",'II kw.19'!F2:F467)</f>
        <v>3</v>
      </c>
      <c r="H19" s="122">
        <v>2143</v>
      </c>
      <c r="I19" s="11" t="s">
        <v>93</v>
      </c>
      <c r="J19" s="16">
        <f>SUMIF('II kw.19'!M2:M500,"2143*",'II kw.19'!F2:F500)</f>
        <v>0</v>
      </c>
      <c r="K19" s="117">
        <v>42</v>
      </c>
      <c r="L19" s="11" t="s">
        <v>3537</v>
      </c>
      <c r="M19" s="112">
        <f>SUMIF('II kw.19'!M2:M500,"42*",'II kw.19'!F2:F500)</f>
        <v>4</v>
      </c>
      <c r="N19" s="118">
        <v>24</v>
      </c>
      <c r="O19" s="11" t="s">
        <v>3571</v>
      </c>
      <c r="P19" s="95">
        <f>SUMIF('II kw.19'!M2:M500,"24*",'II kw.19'!F2:F500)</f>
        <v>43</v>
      </c>
      <c r="Q19" s="125">
        <v>32</v>
      </c>
      <c r="R19" s="11" t="s">
        <v>3533</v>
      </c>
      <c r="S19" s="96">
        <f>SUMIF('II kw.19'!M2:M500,"32*",'II kw.19'!F2:F500)</f>
        <v>2</v>
      </c>
      <c r="T19" s="118">
        <v>26</v>
      </c>
      <c r="U19" s="11" t="s">
        <v>3572</v>
      </c>
      <c r="V19" s="91">
        <f>SUMIF('II kw.19'!M2:M500,"26*",'II kw.19'!F2:F500)</f>
        <v>25</v>
      </c>
      <c r="W19" s="119">
        <v>9</v>
      </c>
      <c r="X19" s="11" t="s">
        <v>3565</v>
      </c>
      <c r="Y19" s="97">
        <f>SUMIF('II kw.19'!M2:M500,"9*",'II kw.19'!F2:F500)</f>
        <v>3</v>
      </c>
    </row>
    <row r="20" spans="2:25" x14ac:dyDescent="0.25">
      <c r="B20" s="108">
        <v>2146</v>
      </c>
      <c r="C20" s="11" t="s">
        <v>3497</v>
      </c>
      <c r="D20" s="16">
        <f>SUMIF('II kw.19'!M2:M500,"2146*",'II kw.19'!F2:F500)</f>
        <v>2</v>
      </c>
      <c r="E20" s="108">
        <v>2131</v>
      </c>
      <c r="F20" s="11" t="s">
        <v>3492</v>
      </c>
      <c r="G20" s="16">
        <f>SUMIF('II kw.19'!M2:M467,"2131*",'II kw.19'!F2:F467)</f>
        <v>1</v>
      </c>
      <c r="H20" s="122">
        <v>2161</v>
      </c>
      <c r="I20" s="11" t="s">
        <v>3507</v>
      </c>
      <c r="J20" s="16">
        <f>SUMIF('II kw.19'!M2:M500,"2161*",'II kw.19'!F2:F500)</f>
        <v>1</v>
      </c>
      <c r="K20" s="117">
        <v>43</v>
      </c>
      <c r="L20" s="11" t="s">
        <v>3538</v>
      </c>
      <c r="M20" s="112">
        <f>SUMIF('II kw.19'!M2:M500,"43*",'II kw.19'!F2:F500)</f>
        <v>19</v>
      </c>
      <c r="N20" s="125">
        <v>33</v>
      </c>
      <c r="O20" s="11" t="s">
        <v>3534</v>
      </c>
      <c r="P20" s="95">
        <f>SUMIF('II kw.19'!M2:M500,"33*",'II kw.19'!F2:F500)</f>
        <v>49</v>
      </c>
      <c r="Q20" s="127">
        <v>53</v>
      </c>
      <c r="R20" s="11" t="s">
        <v>3542</v>
      </c>
      <c r="S20" s="96">
        <f>SUMIF('II kw.19'!M2:M500,"53*",'II kw.19'!F2:F500)</f>
        <v>0</v>
      </c>
      <c r="T20" s="125">
        <v>34</v>
      </c>
      <c r="U20" s="11" t="s">
        <v>3535</v>
      </c>
      <c r="V20" s="91">
        <f>SUMIF('II kw.19'!M2:M500,"34*",'II kw.19'!F2:F500)</f>
        <v>4</v>
      </c>
      <c r="W20" s="37"/>
      <c r="Y20" s="2">
        <f>SUM(Y18:Y19)</f>
        <v>3</v>
      </c>
    </row>
    <row r="21" spans="2:25" x14ac:dyDescent="0.25">
      <c r="B21" s="121">
        <v>3113</v>
      </c>
      <c r="C21" s="11" t="s">
        <v>3520</v>
      </c>
      <c r="D21" s="16">
        <f>SUMIF('II kw.19'!M2:M500,"3113*",'II kw.19'!F2:F500)</f>
        <v>3</v>
      </c>
      <c r="E21" s="108">
        <v>2144</v>
      </c>
      <c r="F21" s="11" t="s">
        <v>3495</v>
      </c>
      <c r="G21" s="16">
        <f>SUMIF('II kw.19'!M2:M467,"2144*",'II kw.19'!F2:F467)</f>
        <v>17</v>
      </c>
      <c r="H21" s="122">
        <v>2162</v>
      </c>
      <c r="I21" s="11" t="s">
        <v>3508</v>
      </c>
      <c r="J21" s="16">
        <f>SUMIF('II kw.19'!M2:M500,"2162*",'II kw.19'!F2:F500)</f>
        <v>0</v>
      </c>
      <c r="K21" s="128">
        <v>52</v>
      </c>
      <c r="L21" s="11" t="s">
        <v>3541</v>
      </c>
      <c r="M21" s="112">
        <f>SUMIF('II kw.19'!M2:M500,"52*",'II kw.19'!F2:F500)</f>
        <v>65</v>
      </c>
      <c r="N21" s="127">
        <v>51</v>
      </c>
      <c r="O21" s="11" t="s">
        <v>3540</v>
      </c>
      <c r="P21" s="95">
        <f>SUMIF('II kw.19'!M2:M500,"51*",'II kw.19'!F2:F500)</f>
        <v>4</v>
      </c>
      <c r="Q21" s="37"/>
      <c r="S21" s="2">
        <f>SUM(S18:S20)</f>
        <v>4</v>
      </c>
      <c r="V21" s="2">
        <f>SUM(V18:V20)</f>
        <v>32</v>
      </c>
      <c r="W21" s="37"/>
    </row>
    <row r="22" spans="2:25" x14ac:dyDescent="0.25">
      <c r="B22" s="121">
        <v>3114</v>
      </c>
      <c r="C22" s="11" t="s">
        <v>3521</v>
      </c>
      <c r="D22" s="16">
        <f>SUMIF('II kw.19'!M2:M500,"3114*",'II kw.19'!F2:F500)</f>
        <v>3</v>
      </c>
      <c r="E22" s="108">
        <v>2149</v>
      </c>
      <c r="F22" s="11" t="s">
        <v>3498</v>
      </c>
      <c r="G22" s="16">
        <f>SUMIF('II kw.19'!M2:M467,"2149*",'II kw.19'!F2:F467)</f>
        <v>9</v>
      </c>
      <c r="H22" s="108">
        <v>2164</v>
      </c>
      <c r="I22" s="11" t="s">
        <v>3585</v>
      </c>
      <c r="J22" s="16">
        <f>SUMIF('II kw.19'!M2:M500,"2164*",'II kw.19'!F2:F500)</f>
        <v>0</v>
      </c>
      <c r="K22" s="133">
        <v>83</v>
      </c>
      <c r="L22" s="11" t="s">
        <v>3564</v>
      </c>
      <c r="M22" s="112">
        <f>SUMIF('II kw.19'!M2:M500,"83*",'II kw.19'!F2:F500)</f>
        <v>7</v>
      </c>
      <c r="N22" s="120">
        <v>14</v>
      </c>
      <c r="O22" s="11" t="s">
        <v>3578</v>
      </c>
      <c r="P22" s="95">
        <f>SUMIF('II kw.19'!M2:M500,"14*",'II kw.19'!F2:F500)</f>
        <v>14</v>
      </c>
      <c r="Q22" s="37"/>
      <c r="T22" s="1" t="s">
        <v>0</v>
      </c>
      <c r="U22" s="94"/>
      <c r="V22" s="20"/>
      <c r="W22" s="37" t="s">
        <v>3574</v>
      </c>
    </row>
    <row r="23" spans="2:25" x14ac:dyDescent="0.25">
      <c r="B23" s="121">
        <v>3115</v>
      </c>
      <c r="C23" s="11" t="s">
        <v>3522</v>
      </c>
      <c r="D23" s="16">
        <f>SUMIF('II kw.19'!M2:M500,"3115*",'II kw.19'!F2:F500)</f>
        <v>7</v>
      </c>
      <c r="E23" s="109">
        <v>2149</v>
      </c>
      <c r="F23" s="11" t="s">
        <v>3499</v>
      </c>
      <c r="G23" s="104" t="s">
        <v>3573</v>
      </c>
      <c r="H23" s="122">
        <v>2165</v>
      </c>
      <c r="I23" s="11" t="s">
        <v>3509</v>
      </c>
      <c r="J23" s="16">
        <f>SUMIF('II kw.19'!M2:M500,"2165*",'II kw.19'!F2:F500)</f>
        <v>0</v>
      </c>
      <c r="K23" s="120">
        <v>12</v>
      </c>
      <c r="L23" s="11" t="s">
        <v>3576</v>
      </c>
      <c r="M23" s="112">
        <f>SUMIF('II kw.19'!M2:M500,"12*",'II kw.19'!F2:F500)</f>
        <v>9</v>
      </c>
      <c r="P23" s="18">
        <f>SUM(P18:P22)</f>
        <v>110</v>
      </c>
      <c r="Q23" s="37"/>
      <c r="T23" s="98"/>
      <c r="U23" s="99"/>
      <c r="V23" s="92"/>
      <c r="W23" s="110"/>
      <c r="X23" s="111"/>
    </row>
    <row r="24" spans="2:25" x14ac:dyDescent="0.25">
      <c r="B24" s="121">
        <v>3116</v>
      </c>
      <c r="C24" s="11" t="s">
        <v>3523</v>
      </c>
      <c r="D24" s="16">
        <f>SUMIF('II kw.19'!M2:M500,"3116*",'II kw.19'!F2:F500)</f>
        <v>0</v>
      </c>
      <c r="E24" s="109">
        <v>2149</v>
      </c>
      <c r="F24" s="11" t="s">
        <v>3500</v>
      </c>
      <c r="G24" s="104" t="s">
        <v>3573</v>
      </c>
      <c r="H24" s="126">
        <v>3111</v>
      </c>
      <c r="I24" s="11" t="s">
        <v>3587</v>
      </c>
      <c r="J24" s="16">
        <f>SUMIF('II kw.19'!M2:M500,"3111*",'II kw.19'!F2:F500)</f>
        <v>0</v>
      </c>
      <c r="K24" s="89"/>
      <c r="L24" s="20"/>
      <c r="M24" s="90">
        <f>SUM(M18:M23)</f>
        <v>104</v>
      </c>
      <c r="Q24" s="37"/>
      <c r="T24" s="116">
        <v>41</v>
      </c>
      <c r="U24" s="11" t="s">
        <v>3592</v>
      </c>
      <c r="V24" s="91">
        <f>SUMIF('II kw.19'!M2:M500,"41*",'II kw.19'!F2:F500)</f>
        <v>2</v>
      </c>
      <c r="W24" s="120">
        <v>11</v>
      </c>
      <c r="X24" s="11" t="s">
        <v>3575</v>
      </c>
      <c r="Y24" s="115">
        <f>SUMIF('II kw.19'!M2:M500,"11*",'II kw.19'!F2:F500)</f>
        <v>1</v>
      </c>
    </row>
    <row r="25" spans="2:25" x14ac:dyDescent="0.25">
      <c r="B25" s="121">
        <v>3117</v>
      </c>
      <c r="C25" s="11" t="s">
        <v>3524</v>
      </c>
      <c r="D25" s="16">
        <f>SUMIF('II kw.19'!M2:M500,"3117*",'II kw.19'!F2:F500)</f>
        <v>1</v>
      </c>
      <c r="E25" s="109">
        <v>2149</v>
      </c>
      <c r="F25" s="11" t="s">
        <v>3501</v>
      </c>
      <c r="G25" s="104" t="s">
        <v>3573</v>
      </c>
      <c r="H25" s="126">
        <v>3112</v>
      </c>
      <c r="I25" s="11" t="s">
        <v>3519</v>
      </c>
      <c r="J25" s="16">
        <f>SUMIF('II kw.19'!M2:M500,"3112*",'II kw.19'!F2:F500)</f>
        <v>2</v>
      </c>
      <c r="K25" s="89"/>
      <c r="L25" s="20"/>
      <c r="M25" s="20"/>
      <c r="N25" s="100" t="s">
        <v>134</v>
      </c>
      <c r="O25" s="93"/>
      <c r="Q25" s="37"/>
      <c r="T25" s="116">
        <v>44</v>
      </c>
      <c r="U25" s="11" t="s">
        <v>3539</v>
      </c>
      <c r="V25" s="91">
        <f>SUMIF('II kw.19'!M2:M500,"44*",'II kw.19'!F2:F500)</f>
        <v>1</v>
      </c>
      <c r="W25" s="108">
        <v>2111</v>
      </c>
      <c r="X25" s="11" t="s">
        <v>3580</v>
      </c>
      <c r="Y25" s="115">
        <f>SUMIF('II kw.19'!M2:M500,"2111*",'II kw.19'!F2:F500)</f>
        <v>0</v>
      </c>
    </row>
    <row r="26" spans="2:25" x14ac:dyDescent="0.25">
      <c r="B26" s="121">
        <v>3119</v>
      </c>
      <c r="C26" s="11" t="s">
        <v>3526</v>
      </c>
      <c r="D26" s="16">
        <f>SUMIF('II kw.19'!M2:M500,"3119*",'II kw.19'!F2:F500)</f>
        <v>4</v>
      </c>
      <c r="E26" s="109">
        <v>2149</v>
      </c>
      <c r="F26" s="11" t="s">
        <v>3502</v>
      </c>
      <c r="G26" s="104" t="s">
        <v>3573</v>
      </c>
      <c r="H26" s="126">
        <v>3118</v>
      </c>
      <c r="I26" s="11" t="s">
        <v>3525</v>
      </c>
      <c r="J26" s="16">
        <f>SUMIF('II kw.19'!M2:M500,"3118*",'II kw.19'!F2:F500)</f>
        <v>0</v>
      </c>
      <c r="K26" s="89"/>
      <c r="L26" s="20"/>
      <c r="M26" s="20"/>
      <c r="N26" s="6"/>
      <c r="O26" s="7"/>
      <c r="Q26" s="37"/>
      <c r="T26" s="131">
        <v>7515</v>
      </c>
      <c r="U26" s="11" t="s">
        <v>3552</v>
      </c>
      <c r="V26" s="91">
        <f>SUMIF('II kw.19'!M2:M500,"7515*",'II kw.19'!F2:F500)</f>
        <v>0</v>
      </c>
      <c r="W26" s="108">
        <v>2112</v>
      </c>
      <c r="X26" s="11" t="s">
        <v>3581</v>
      </c>
      <c r="Y26" s="115">
        <f>SUMIF('II kw.19'!M2:M500,"2112*",'II kw.19'!F2:F500)</f>
        <v>0</v>
      </c>
    </row>
    <row r="27" spans="2:25" x14ac:dyDescent="0.25">
      <c r="B27" s="121">
        <v>3121</v>
      </c>
      <c r="C27" s="11" t="s">
        <v>3527</v>
      </c>
      <c r="D27" s="16">
        <f>SUMIF('II kw.19'!M2:M500,"3121*",'II kw.19'!F2:F500)</f>
        <v>0</v>
      </c>
      <c r="E27" s="109">
        <v>2149</v>
      </c>
      <c r="F27" s="11" t="s">
        <v>3503</v>
      </c>
      <c r="G27" s="104" t="s">
        <v>3573</v>
      </c>
      <c r="H27" s="126">
        <v>3123</v>
      </c>
      <c r="I27" s="11" t="s">
        <v>3529</v>
      </c>
      <c r="J27" s="16">
        <f>SUMIF('II kw.19'!M2:M500,"3123*",'II kw.19'!F2:F500)</f>
        <v>1</v>
      </c>
      <c r="K27" s="89"/>
      <c r="L27" s="20"/>
      <c r="N27" s="131">
        <v>7512</v>
      </c>
      <c r="O27" s="11" t="s">
        <v>3549</v>
      </c>
      <c r="P27" s="95">
        <f>SUMIF('II kw.19'!M2:M500,"7512*",'II kw.19'!F2:F500)</f>
        <v>0</v>
      </c>
      <c r="Q27" s="37"/>
      <c r="T27" s="37"/>
      <c r="V27" s="2">
        <f>SUM(V24:V26)</f>
        <v>3</v>
      </c>
      <c r="W27" s="108">
        <v>2114</v>
      </c>
      <c r="X27" s="11" t="s">
        <v>3582</v>
      </c>
      <c r="Y27" s="115">
        <f>SUMIF('II kw.19'!M2:M500,"2114*",'II kw.19'!F2:F500)</f>
        <v>0</v>
      </c>
    </row>
    <row r="28" spans="2:25" x14ac:dyDescent="0.25">
      <c r="B28" s="121">
        <v>3122</v>
      </c>
      <c r="C28" s="11" t="s">
        <v>3528</v>
      </c>
      <c r="D28" s="16">
        <f>SUMIF('II kw.19'!M2:M500,"3122*",'II kw.19'!F2:F500)</f>
        <v>3</v>
      </c>
      <c r="E28" s="108">
        <v>2151</v>
      </c>
      <c r="F28" s="11" t="s">
        <v>3504</v>
      </c>
      <c r="G28" s="16">
        <f>SUMIF('II kw.19'!M2:M467,"2151*",'II kw.19'!F2:F467)</f>
        <v>6</v>
      </c>
      <c r="H28" s="129">
        <v>71</v>
      </c>
      <c r="I28" s="11" t="s">
        <v>3544</v>
      </c>
      <c r="J28" s="16">
        <f>SUMIF('II kw.19'!M2:M500,"71*",'II kw.19'!F2:F500)</f>
        <v>2</v>
      </c>
      <c r="K28" s="89"/>
      <c r="L28" s="20"/>
      <c r="M28" s="20"/>
      <c r="P28" s="18">
        <f>SUM(P27)</f>
        <v>0</v>
      </c>
      <c r="Q28" s="37"/>
      <c r="T28" s="37"/>
      <c r="W28" s="108">
        <v>2120</v>
      </c>
      <c r="X28" s="11" t="s">
        <v>3583</v>
      </c>
      <c r="Y28" s="115">
        <f>SUMIF('II kw.19'!M2:M500,"2120*",'II kw.19'!F2:F500)</f>
        <v>0</v>
      </c>
    </row>
    <row r="29" spans="2:25" x14ac:dyDescent="0.25">
      <c r="B29" s="124">
        <v>313</v>
      </c>
      <c r="C29" s="11" t="s">
        <v>3530</v>
      </c>
      <c r="D29" s="16">
        <f>SUMIF('II kw.19'!M2:M500,"313*",'II kw.19'!F2:F500)</f>
        <v>5</v>
      </c>
      <c r="E29" s="108">
        <v>2152</v>
      </c>
      <c r="F29" s="11" t="s">
        <v>3505</v>
      </c>
      <c r="G29" s="16">
        <f>SUMIF('II kw.19'!M2:M467,"2152*",'II kw.19'!F2:F467)</f>
        <v>3</v>
      </c>
      <c r="H29" s="132">
        <v>7521</v>
      </c>
      <c r="I29" s="11" t="s">
        <v>3553</v>
      </c>
      <c r="J29" s="16">
        <f>SUMIF('II kw.19'!M2:M500,"7521*",'II kw.19'!F2:F500)</f>
        <v>0</v>
      </c>
      <c r="K29" s="89"/>
      <c r="L29" s="20"/>
      <c r="M29" s="20"/>
      <c r="N29" s="94" t="s">
        <v>154</v>
      </c>
      <c r="O29" s="94"/>
      <c r="P29" s="18"/>
      <c r="T29" s="37"/>
      <c r="W29" s="119">
        <v>0</v>
      </c>
      <c r="X29" s="11" t="s">
        <v>3586</v>
      </c>
      <c r="Y29" s="115">
        <f>SUMIF('II kw.19'!M2:M500,"0*",'II kw.19'!F2:F500)</f>
        <v>0</v>
      </c>
    </row>
    <row r="30" spans="2:25" x14ac:dyDescent="0.25">
      <c r="B30" s="124">
        <v>314</v>
      </c>
      <c r="C30" s="11" t="s">
        <v>3531</v>
      </c>
      <c r="D30" s="16">
        <f>SUMIF('II kw.19'!M2:M500,"314*",'II kw.19'!F2:F500)</f>
        <v>0</v>
      </c>
      <c r="E30" s="108">
        <v>2153</v>
      </c>
      <c r="F30" s="11" t="s">
        <v>3506</v>
      </c>
      <c r="G30" s="16">
        <f>SUMIF('II kw.19'!M2:M467,"2153*",'II kw.19'!F2:F467)</f>
        <v>4</v>
      </c>
      <c r="H30" s="132">
        <v>7522</v>
      </c>
      <c r="I30" s="11" t="s">
        <v>3554</v>
      </c>
      <c r="J30" s="16">
        <f>SUMIF('II kw.19'!M2:M500,"7522*",'II kw.19'!F2:F500)</f>
        <v>0</v>
      </c>
      <c r="K30" s="89"/>
      <c r="L30" s="20"/>
      <c r="M30" s="20"/>
      <c r="N30" s="6"/>
      <c r="O30" s="7"/>
      <c r="P30" s="92"/>
      <c r="Y30" s="2">
        <f>SUM(Y24:Y29)</f>
        <v>1</v>
      </c>
    </row>
    <row r="31" spans="2:25" x14ac:dyDescent="0.25">
      <c r="B31" s="125">
        <v>35</v>
      </c>
      <c r="C31" s="11" t="s">
        <v>3536</v>
      </c>
      <c r="D31" s="16">
        <f>SUMIF('II kw.19'!M2:M500,"35*",'II kw.19'!F2:F500)</f>
        <v>3</v>
      </c>
      <c r="E31" s="118">
        <v>25</v>
      </c>
      <c r="F31" s="11" t="s">
        <v>3513</v>
      </c>
      <c r="G31" s="16">
        <f>SUMIF('II kw.19'!M2:M467,"25*",'II kw.19'!F2:F467)</f>
        <v>23</v>
      </c>
      <c r="J31" s="18">
        <f>SUM(J18:J30)</f>
        <v>9</v>
      </c>
      <c r="K31" s="89"/>
      <c r="L31" s="20"/>
      <c r="M31" s="20"/>
      <c r="N31" s="131">
        <v>753</v>
      </c>
      <c r="O31" s="11" t="s">
        <v>3556</v>
      </c>
      <c r="P31" s="95">
        <f>SUMIF('II kw.19'!M2:M500,"753*",'II kw.19'!F2:F500)</f>
        <v>0</v>
      </c>
    </row>
    <row r="32" spans="2:25" x14ac:dyDescent="0.25">
      <c r="B32" s="119">
        <v>6</v>
      </c>
      <c r="C32" s="11" t="s">
        <v>3543</v>
      </c>
      <c r="D32" s="16">
        <f>SUMIF('II kw.19'!M2:M500,"6*",'II kw.19'!F2:F500)</f>
        <v>0</v>
      </c>
      <c r="E32" s="130">
        <v>74</v>
      </c>
      <c r="F32" s="11" t="s">
        <v>3547</v>
      </c>
      <c r="G32" s="16">
        <f>SUMIF('II kw.19'!M2:M467,"74*",'II kw.19'!F2:F467)</f>
        <v>9</v>
      </c>
      <c r="H32" s="89"/>
      <c r="I32" s="20"/>
      <c r="K32" s="20"/>
      <c r="L32" s="20"/>
      <c r="M32" s="20"/>
      <c r="N32" s="131">
        <v>7541</v>
      </c>
      <c r="O32" s="11" t="s">
        <v>3557</v>
      </c>
      <c r="P32" s="95">
        <f>SUMIF('II kw.19'!M2:M500,"7541*",'II kw.19'!F2:F500)</f>
        <v>0</v>
      </c>
    </row>
    <row r="33" spans="2:20" x14ac:dyDescent="0.25">
      <c r="B33" s="130">
        <v>72</v>
      </c>
      <c r="C33" s="11" t="s">
        <v>3545</v>
      </c>
      <c r="D33" s="16">
        <f>SUMIF('II kw.19'!M2:M500,"72*",'II kw.19'!F2:F500)</f>
        <v>15</v>
      </c>
      <c r="G33" s="2">
        <f>SUM(G18:G32)</f>
        <v>77</v>
      </c>
      <c r="N33" s="127">
        <v>54</v>
      </c>
      <c r="O33" s="11" t="s">
        <v>3588</v>
      </c>
      <c r="P33" s="95">
        <f>SUMIF('II kw.19'!M2:M500,"54*",'II kw.19'!F2:F500)</f>
        <v>1</v>
      </c>
    </row>
    <row r="34" spans="2:20" x14ac:dyDescent="0.25">
      <c r="B34" s="130">
        <v>73</v>
      </c>
      <c r="C34" s="11" t="s">
        <v>3546</v>
      </c>
      <c r="D34" s="16">
        <f>SUMIF('II kw.19'!M2:M500,"73*",'II kw.19'!F2:F500)</f>
        <v>0</v>
      </c>
      <c r="P34" s="2">
        <f>SUM(P31:P33)</f>
        <v>1</v>
      </c>
    </row>
    <row r="35" spans="2:20" x14ac:dyDescent="0.25">
      <c r="B35" s="131">
        <v>7511</v>
      </c>
      <c r="C35" s="11" t="s">
        <v>3548</v>
      </c>
      <c r="D35" s="16">
        <f>SUMIF('II kw.19'!M2:M500,"7511*",'II kw.19'!F2:F500)</f>
        <v>0</v>
      </c>
      <c r="T35" s="37"/>
    </row>
    <row r="36" spans="2:20" x14ac:dyDescent="0.25">
      <c r="B36" s="131">
        <v>7513</v>
      </c>
      <c r="C36" s="11" t="s">
        <v>3550</v>
      </c>
      <c r="D36" s="16">
        <f>SUMIF('II kw.19'!M2:M500,"7513*",'II kw.19'!F2:F500)</f>
        <v>0</v>
      </c>
      <c r="T36" s="37"/>
    </row>
    <row r="37" spans="2:20" x14ac:dyDescent="0.25">
      <c r="B37" s="131">
        <v>7514</v>
      </c>
      <c r="C37" s="11" t="s">
        <v>3551</v>
      </c>
      <c r="D37" s="16">
        <f>SUMIF('II kw.19'!M2:M500,"7514*",'II kw.19'!F2:F500)</f>
        <v>0</v>
      </c>
      <c r="T37" s="37"/>
    </row>
    <row r="38" spans="2:20" x14ac:dyDescent="0.25">
      <c r="B38" s="131">
        <v>7523</v>
      </c>
      <c r="C38" s="11" t="s">
        <v>3555</v>
      </c>
      <c r="D38" s="16">
        <f>SUMIF('II kw.19'!M2:M500,"7523*",'II kw.19'!F2:F500)</f>
        <v>0</v>
      </c>
      <c r="T38" s="37"/>
    </row>
    <row r="39" spans="2:20" x14ac:dyDescent="0.25">
      <c r="B39" s="131">
        <v>7542</v>
      </c>
      <c r="C39" s="11" t="s">
        <v>3558</v>
      </c>
      <c r="D39" s="16">
        <f>SUMIF('II kw.19'!M2:M500,"7542*",'II kw.19'!F2:F500)</f>
        <v>0</v>
      </c>
      <c r="T39" s="37"/>
    </row>
    <row r="40" spans="2:20" x14ac:dyDescent="0.25">
      <c r="B40" s="131">
        <v>7543</v>
      </c>
      <c r="C40" s="11" t="s">
        <v>3559</v>
      </c>
      <c r="D40" s="16">
        <f>SUMIF('II kw.19'!M2:M500,"7543*",'II kw.19'!F2:F500)</f>
        <v>0</v>
      </c>
    </row>
    <row r="41" spans="2:20" x14ac:dyDescent="0.25">
      <c r="B41" s="131">
        <v>7544</v>
      </c>
      <c r="C41" s="11" t="s">
        <v>3560</v>
      </c>
      <c r="D41" s="16">
        <f>SUMIF('II kw.19'!M2:M500,"7544*",'II kw.19'!F2:F500)</f>
        <v>0</v>
      </c>
    </row>
    <row r="42" spans="2:20" x14ac:dyDescent="0.25">
      <c r="B42" s="134">
        <v>81</v>
      </c>
      <c r="C42" s="11" t="s">
        <v>3562</v>
      </c>
      <c r="D42" s="16">
        <f>SUMIF('II kw.19'!M2:M500,"81*",'II kw.19'!F2:F500)</f>
        <v>8</v>
      </c>
    </row>
    <row r="43" spans="2:20" x14ac:dyDescent="0.25">
      <c r="B43" s="134">
        <v>82</v>
      </c>
      <c r="C43" s="11" t="s">
        <v>3563</v>
      </c>
      <c r="D43" s="16">
        <f>SUMIF('II kw.19'!M2:M500,"82*",'II kw.19'!F2:F500)</f>
        <v>1</v>
      </c>
    </row>
    <row r="44" spans="2:20" x14ac:dyDescent="0.25">
      <c r="B44" s="120">
        <v>13</v>
      </c>
      <c r="C44" s="11" t="s">
        <v>3577</v>
      </c>
      <c r="D44" s="16">
        <f>SUMIF('II kw.19'!M2:M500,"13*",'II kw.19'!F2:F500)</f>
        <v>9</v>
      </c>
    </row>
    <row r="45" spans="2:20" x14ac:dyDescent="0.25">
      <c r="B45" s="108">
        <v>2163</v>
      </c>
      <c r="C45" s="11" t="s">
        <v>3579</v>
      </c>
      <c r="D45" s="16">
        <f>SUMIF('II kw.19'!M2:M500,"2163*",'II kw.19'!F2:F500)</f>
        <v>0</v>
      </c>
    </row>
    <row r="46" spans="2:20" x14ac:dyDescent="0.25">
      <c r="B46" s="108">
        <v>2133</v>
      </c>
      <c r="C46" s="11" t="s">
        <v>3584</v>
      </c>
      <c r="D46" s="16">
        <f>SUMIF('II kw.19'!M2:M500,"2133*",'II kw.19'!F2:F500)</f>
        <v>0</v>
      </c>
    </row>
    <row r="47" spans="2:20" x14ac:dyDescent="0.25">
      <c r="B47" s="37"/>
      <c r="D47" s="2">
        <f>SUM(D18:D46)</f>
        <v>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5.42578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EXACT(E10,P15)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1"/>
      <c r="H3" s="11" t="s">
        <v>3463</v>
      </c>
      <c r="I3" s="12">
        <f>SUM('6'!I3+'7'!I3)</f>
        <v>76</v>
      </c>
      <c r="J3" s="12" t="s">
        <v>3515</v>
      </c>
      <c r="N3" s="12">
        <v>1</v>
      </c>
      <c r="O3" s="11" t="s">
        <v>170</v>
      </c>
      <c r="P3" s="12">
        <f>SUM(D47)</f>
        <v>76</v>
      </c>
      <c r="S3" s="18"/>
      <c r="T3" s="18"/>
      <c r="U3" s="18"/>
    </row>
    <row r="4" spans="2:24" x14ac:dyDescent="0.25">
      <c r="B4" s="12" t="s">
        <v>3516</v>
      </c>
      <c r="C4" s="17" t="s">
        <v>3459</v>
      </c>
      <c r="D4" s="26">
        <v>466</v>
      </c>
      <c r="E4" s="26">
        <v>477</v>
      </c>
      <c r="F4" s="11"/>
      <c r="H4" s="11" t="s">
        <v>192</v>
      </c>
      <c r="I4" s="12">
        <f>SUM('6'!I4+'7'!I4)</f>
        <v>352</v>
      </c>
      <c r="J4" s="12" t="s">
        <v>3516</v>
      </c>
      <c r="N4" s="12">
        <v>2</v>
      </c>
      <c r="O4" s="11" t="s">
        <v>2</v>
      </c>
      <c r="P4" s="12">
        <f>SUM(G33)</f>
        <v>82</v>
      </c>
      <c r="S4" s="18"/>
      <c r="T4" s="18"/>
      <c r="U4" s="18"/>
    </row>
    <row r="5" spans="2:24" x14ac:dyDescent="0.25">
      <c r="B5" s="12" t="s">
        <v>3517</v>
      </c>
      <c r="C5" s="17" t="s">
        <v>3458</v>
      </c>
      <c r="D5" s="26">
        <v>365</v>
      </c>
      <c r="E5" s="26">
        <v>386</v>
      </c>
      <c r="F5" s="11"/>
      <c r="H5" s="11" t="s">
        <v>217</v>
      </c>
      <c r="I5" s="12">
        <f>SUM('6'!I5+'7'!I5)</f>
        <v>15</v>
      </c>
      <c r="J5" s="12" t="s">
        <v>3517</v>
      </c>
      <c r="N5" s="12">
        <v>3</v>
      </c>
      <c r="O5" s="11" t="s">
        <v>3</v>
      </c>
      <c r="P5" s="12">
        <f>SUM(J31)</f>
        <v>10</v>
      </c>
      <c r="S5" s="18"/>
      <c r="T5" s="18"/>
      <c r="U5" s="18"/>
    </row>
    <row r="6" spans="2:24" x14ac:dyDescent="0.25">
      <c r="B6" s="12" t="s">
        <v>3518</v>
      </c>
      <c r="C6" s="17" t="s">
        <v>3457</v>
      </c>
      <c r="D6" s="26">
        <v>461</v>
      </c>
      <c r="E6" s="26">
        <v>444</v>
      </c>
      <c r="F6" s="11"/>
      <c r="H6" s="11" t="s">
        <v>3464</v>
      </c>
      <c r="I6" s="12">
        <f>SUM('6'!I6+'7'!I6)</f>
        <v>20</v>
      </c>
      <c r="J6" s="12" t="s">
        <v>3518</v>
      </c>
      <c r="N6" s="12">
        <v>4</v>
      </c>
      <c r="O6" s="11" t="s">
        <v>3589</v>
      </c>
      <c r="P6" s="12">
        <f>SUM(M24)</f>
        <v>170</v>
      </c>
      <c r="S6" s="18"/>
      <c r="T6" s="18"/>
      <c r="U6" s="18"/>
    </row>
    <row r="7" spans="2:24" x14ac:dyDescent="0.25">
      <c r="B7" s="12" t="s">
        <v>13071</v>
      </c>
      <c r="C7" s="17" t="s">
        <v>173</v>
      </c>
      <c r="D7" s="26">
        <v>720</v>
      </c>
      <c r="E7" s="26">
        <v>704</v>
      </c>
      <c r="F7" s="11"/>
      <c r="H7" s="184"/>
      <c r="I7" s="183">
        <f>SUM(I3:I6)</f>
        <v>463</v>
      </c>
      <c r="J7" s="184"/>
      <c r="N7" s="12">
        <v>5</v>
      </c>
      <c r="O7" s="11" t="s">
        <v>13096</v>
      </c>
      <c r="P7" s="12">
        <f>SUM(P23)</f>
        <v>141</v>
      </c>
      <c r="S7" s="18"/>
      <c r="T7" s="18"/>
      <c r="U7" s="18"/>
    </row>
    <row r="8" spans="2:24" x14ac:dyDescent="0.25">
      <c r="B8" s="12">
        <v>1</v>
      </c>
      <c r="C8" s="17" t="s">
        <v>175</v>
      </c>
      <c r="D8" s="26">
        <v>86</v>
      </c>
      <c r="E8" s="26">
        <v>122</v>
      </c>
      <c r="F8" s="11"/>
      <c r="H8" s="1" t="s">
        <v>3570</v>
      </c>
      <c r="N8" s="12">
        <v>6</v>
      </c>
      <c r="O8" s="11" t="s">
        <v>134</v>
      </c>
      <c r="P8" s="12">
        <f>SUM(P28)</f>
        <v>0</v>
      </c>
      <c r="S8" s="18"/>
      <c r="T8" s="18"/>
      <c r="U8" s="18"/>
    </row>
    <row r="9" spans="2:24" x14ac:dyDescent="0.25">
      <c r="B9" s="12">
        <v>2</v>
      </c>
      <c r="C9" s="17" t="s">
        <v>174</v>
      </c>
      <c r="D9" s="26">
        <v>377</v>
      </c>
      <c r="E9" s="26">
        <v>410</v>
      </c>
      <c r="F9" s="11"/>
      <c r="H9" s="11" t="s">
        <v>3469</v>
      </c>
      <c r="I9" s="11" t="s">
        <v>3568</v>
      </c>
      <c r="J9" s="12">
        <f>SUM(D47,G33,J31)</f>
        <v>168</v>
      </c>
      <c r="N9" s="12">
        <v>7</v>
      </c>
      <c r="O9" s="11" t="s">
        <v>3590</v>
      </c>
      <c r="P9" s="12">
        <f>SUM(P34)</f>
        <v>1</v>
      </c>
      <c r="S9" s="18"/>
      <c r="T9" s="18"/>
      <c r="U9" s="18"/>
    </row>
    <row r="10" spans="2:24" x14ac:dyDescent="0.25">
      <c r="B10" s="107" t="s">
        <v>13072</v>
      </c>
      <c r="C10" s="106" t="s">
        <v>3486</v>
      </c>
      <c r="D10" s="105">
        <f>SUM(D8:D9)</f>
        <v>463</v>
      </c>
      <c r="E10" s="105">
        <f>SUM(E8:E9)</f>
        <v>532</v>
      </c>
      <c r="F10" s="103" t="s">
        <v>13066</v>
      </c>
      <c r="H10" s="11" t="s">
        <v>3470</v>
      </c>
      <c r="I10" s="11" t="s">
        <v>3566</v>
      </c>
      <c r="J10" s="12">
        <f>SUM(M24,P23,P28,P34,S21)</f>
        <v>317</v>
      </c>
      <c r="N10" s="12">
        <v>8</v>
      </c>
      <c r="O10" s="11" t="s">
        <v>4</v>
      </c>
      <c r="P10" s="12">
        <f>SUM(S21)</f>
        <v>5</v>
      </c>
      <c r="S10" s="18"/>
      <c r="T10" s="18"/>
      <c r="U10" s="18"/>
    </row>
    <row r="11" spans="2:24" x14ac:dyDescent="0.25">
      <c r="B11" s="12">
        <v>3</v>
      </c>
      <c r="C11" s="17" t="s">
        <v>3481</v>
      </c>
      <c r="D11" s="12">
        <v>180</v>
      </c>
      <c r="E11" s="12">
        <v>231</v>
      </c>
      <c r="F11" s="17"/>
      <c r="H11" s="11" t="s">
        <v>3471</v>
      </c>
      <c r="I11" s="11" t="s">
        <v>3567</v>
      </c>
      <c r="J11" s="12">
        <f>SUM(V21,V27)</f>
        <v>41</v>
      </c>
      <c r="N11" s="12">
        <v>9</v>
      </c>
      <c r="O11" s="11" t="s">
        <v>3591</v>
      </c>
      <c r="P11" s="12">
        <f>SUM(V21)</f>
        <v>38</v>
      </c>
      <c r="S11" s="18"/>
      <c r="T11" s="18"/>
      <c r="U11" s="18"/>
    </row>
    <row r="12" spans="2:24" x14ac:dyDescent="0.25">
      <c r="B12" s="12">
        <v>4</v>
      </c>
      <c r="C12" s="17" t="s">
        <v>3482</v>
      </c>
      <c r="D12" s="12">
        <v>361</v>
      </c>
      <c r="E12" s="12">
        <v>378</v>
      </c>
      <c r="F12" s="17"/>
      <c r="H12" s="11" t="s">
        <v>3472</v>
      </c>
      <c r="I12" s="11" t="s">
        <v>6</v>
      </c>
      <c r="J12" s="12">
        <f>SUM(Y20)</f>
        <v>3</v>
      </c>
      <c r="N12" s="12">
        <v>10</v>
      </c>
      <c r="O12" s="11" t="s">
        <v>0</v>
      </c>
      <c r="P12" s="12">
        <f>SUM(V27)</f>
        <v>3</v>
      </c>
      <c r="S12" s="18"/>
      <c r="T12" s="18"/>
      <c r="U12" s="18"/>
    </row>
    <row r="13" spans="2:24" x14ac:dyDescent="0.25">
      <c r="B13" s="12" t="s">
        <v>13073</v>
      </c>
      <c r="C13" s="17" t="s">
        <v>3487</v>
      </c>
      <c r="D13" s="26">
        <f>SUM(D11:D12)</f>
        <v>541</v>
      </c>
      <c r="E13" s="26">
        <f>SUM(E11:E12)</f>
        <v>609</v>
      </c>
      <c r="F13" s="11"/>
      <c r="H13" s="11"/>
      <c r="I13" s="11" t="s">
        <v>3574</v>
      </c>
      <c r="J13" s="12">
        <f>SUM(Y30)</f>
        <v>3</v>
      </c>
      <c r="N13" s="12">
        <v>11</v>
      </c>
      <c r="O13" s="11" t="s">
        <v>6</v>
      </c>
      <c r="P13" s="12">
        <f>SUM(Y20)</f>
        <v>3</v>
      </c>
      <c r="S13" s="18"/>
      <c r="T13" s="18"/>
      <c r="U13" s="18"/>
    </row>
    <row r="14" spans="2:24" x14ac:dyDescent="0.25">
      <c r="B14" s="18"/>
      <c r="C14" s="89"/>
      <c r="D14" s="135"/>
      <c r="E14" s="135"/>
      <c r="F14" s="20"/>
      <c r="H14" s="184"/>
      <c r="I14" s="184"/>
      <c r="J14" s="183">
        <f>SUM(J9:J13)</f>
        <v>532</v>
      </c>
      <c r="N14" s="12">
        <v>12</v>
      </c>
      <c r="O14" s="17" t="s">
        <v>3574</v>
      </c>
      <c r="P14" s="12">
        <f>SUM(Y30)</f>
        <v>3</v>
      </c>
      <c r="S14" s="18"/>
      <c r="T14" s="18"/>
      <c r="U14" s="18"/>
    </row>
    <row r="15" spans="2:24" ht="18.75" x14ac:dyDescent="0.25">
      <c r="B15" s="18"/>
      <c r="C15" s="89"/>
      <c r="D15" s="135"/>
      <c r="E15" s="135"/>
      <c r="F15" s="20"/>
      <c r="P15" s="191">
        <f>SUM(P3:P14)</f>
        <v>532</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kw.19'!F2:F500)+SUMIF('II kw.19'!M2:M500,"2141*",'II kw.19'!F2:F500)</f>
        <v>4</v>
      </c>
      <c r="E18" s="108">
        <v>2113</v>
      </c>
      <c r="F18" s="11" t="s">
        <v>3491</v>
      </c>
      <c r="G18" s="16">
        <f>SUMIF('I kw.19'!M2:M467,"2113*",'I kw.19'!F2:F467)+SUMIF('II kw.19'!M2:M500,"2113*",'II kw.19'!F2:F500)</f>
        <v>2</v>
      </c>
      <c r="H18" s="122">
        <v>2142</v>
      </c>
      <c r="I18" s="11" t="s">
        <v>3494</v>
      </c>
      <c r="J18" s="16">
        <f>SUMIF('I kw.19'!M2:M500,"2142*",'I kw.19'!F2:F500)+SUMIF('II kw.19'!M2:M500,"2142*",'II kw.19'!F2:F500)</f>
        <v>4</v>
      </c>
      <c r="K18" s="123">
        <v>315</v>
      </c>
      <c r="L18" s="11" t="s">
        <v>3532</v>
      </c>
      <c r="M18" s="112">
        <f>SUMIF('I kw.19'!M2:M500,"315*",'I kw.19'!F2:F500)+SUMIF('II kw.19'!M2:M500,"315*",'II kw.19'!F2:F500)</f>
        <v>0</v>
      </c>
      <c r="N18" s="108">
        <v>2166</v>
      </c>
      <c r="O18" s="11" t="s">
        <v>3510</v>
      </c>
      <c r="P18" s="95">
        <f>SUMIF('I kw.19'!M2:M500,"2166*",'I kw.19'!F2:F500)+SUMIF('II kw.19'!M2:M500,"2166*",'II kw.19'!F2:F500)</f>
        <v>0</v>
      </c>
      <c r="Q18" s="118">
        <v>22</v>
      </c>
      <c r="R18" s="11" t="s">
        <v>3511</v>
      </c>
      <c r="S18" s="96">
        <f>SUMIF('I kw.19'!M2:M500,"22*",'I kw.19'!F2:F500)+SUMIF('II kw.19'!M2:M500,"22*",'II kw.19'!F2:F500)</f>
        <v>2</v>
      </c>
      <c r="T18" s="118">
        <v>23</v>
      </c>
      <c r="U18" s="11" t="s">
        <v>3512</v>
      </c>
      <c r="V18" s="91">
        <f>SUMIF('I kw.19'!M2:M500,"23*",'I kw.19'!F2:F500)+SUMIF('II kw.19'!M2:M500,"23*",'II kw.19'!F2:F500)</f>
        <v>5</v>
      </c>
      <c r="W18" s="131">
        <v>7549</v>
      </c>
      <c r="X18" s="11" t="s">
        <v>3561</v>
      </c>
      <c r="Y18" s="97">
        <f>SUMIF('I kw.19'!M2:M500,"7549*",'I kw.19'!F2:F500)+SUMIF('II kw.19'!M2:M500,"7549*",'II kw.19'!F2:F500)</f>
        <v>0</v>
      </c>
    </row>
    <row r="19" spans="2:25" x14ac:dyDescent="0.25">
      <c r="B19" s="108">
        <v>2132</v>
      </c>
      <c r="C19" s="11" t="s">
        <v>3493</v>
      </c>
      <c r="D19" s="16">
        <f>SUMIF('I kw.19'!M2:M500,"2132*",'I kw.19'!F2:F500)+SUMIF('II kw.19'!M2:M500,"2132*",'II kw.19'!F2:F500)</f>
        <v>1</v>
      </c>
      <c r="E19" s="108">
        <v>2145</v>
      </c>
      <c r="F19" s="11" t="s">
        <v>3496</v>
      </c>
      <c r="G19" s="16">
        <f>SUMIF('I kw.19'!M2:M467,"2145*",'I kw.19'!F2:F467)+SUMIF('II kw.19'!M2:M500,"2145*",'II kw.19'!F2:F500)</f>
        <v>3</v>
      </c>
      <c r="H19" s="122">
        <v>2143</v>
      </c>
      <c r="I19" s="11" t="s">
        <v>93</v>
      </c>
      <c r="J19" s="16">
        <f>SUMIF('I kw.19'!M2:M500,"2143*",'I kw.19'!F2:F500)+SUMIF('II kw.19'!M2:M500,"2143*",'II kw.19'!F2:F500)</f>
        <v>0</v>
      </c>
      <c r="K19" s="117">
        <v>42</v>
      </c>
      <c r="L19" s="11" t="s">
        <v>3537</v>
      </c>
      <c r="M19" s="112">
        <f>SUMIF('I kw.19'!M2:M500,"42*",'I kw.19'!F2:F500)+SUMIF('II kw.19'!M2:M500,"42*",'II kw.19'!F2:F500)</f>
        <v>5</v>
      </c>
      <c r="N19" s="118">
        <v>24</v>
      </c>
      <c r="O19" s="11" t="s">
        <v>3571</v>
      </c>
      <c r="P19" s="95">
        <f>SUMIF('I kw.19'!M2:M500,"24*",'I kw.19'!F2:F500)+SUMIF('II kw.19'!M2:M500,"24*",'II kw.19'!F2:F500)</f>
        <v>53</v>
      </c>
      <c r="Q19" s="125">
        <v>32</v>
      </c>
      <c r="R19" s="11" t="s">
        <v>3533</v>
      </c>
      <c r="S19" s="96">
        <f>SUMIF('I kw.19'!M2:M500,"32*",'I kw.19'!F2:F500)+SUMIF('II kw.19'!M2:M500,"32*",'II kw.19'!F2:F500)</f>
        <v>3</v>
      </c>
      <c r="T19" s="118">
        <v>26</v>
      </c>
      <c r="U19" s="11" t="s">
        <v>3572</v>
      </c>
      <c r="V19" s="91">
        <f>SUMIF('I kw.19'!M2:M500,"26*",'I kw.19'!F2:F500)+SUMIF('II kw.19'!M2:M500,"26*",'II kw.19'!F2:F500)</f>
        <v>29</v>
      </c>
      <c r="W19" s="119">
        <v>9</v>
      </c>
      <c r="X19" s="11" t="s">
        <v>3565</v>
      </c>
      <c r="Y19" s="97">
        <f>SUMIF('I kw.19'!M2:M500,"9*",'I kw.19'!F2:F500)+SUMIF('II kw.19'!M2:M500,"9*",'II kw.19'!F2:F500)</f>
        <v>3</v>
      </c>
    </row>
    <row r="20" spans="2:25" x14ac:dyDescent="0.25">
      <c r="B20" s="108">
        <v>2146</v>
      </c>
      <c r="C20" s="11" t="s">
        <v>3497</v>
      </c>
      <c r="D20" s="16">
        <f>SUMIF('I kw.19'!M2:M500,"2146*",'I kw.19'!F2:F500)+SUMIF('II kw.19'!M2:M500,"2146*",'II kw.19'!F2:F500)</f>
        <v>3</v>
      </c>
      <c r="E20" s="108">
        <v>2131</v>
      </c>
      <c r="F20" s="11" t="s">
        <v>3492</v>
      </c>
      <c r="G20" s="16">
        <f>SUMIF('I kw.19'!M2:M467,"2131*",'I kw.19'!F2:F467)+SUMIF('II kw.19'!M2:M500,"2131*",'II kw.19'!F2:F500)</f>
        <v>2</v>
      </c>
      <c r="H20" s="122">
        <v>2161</v>
      </c>
      <c r="I20" s="11" t="s">
        <v>3507</v>
      </c>
      <c r="J20" s="16">
        <f>SUMIF('I kw.19'!M2:M500,"2161*",'I kw.19'!F2:F500)+SUMIF('II kw.19'!M2:M500,"2161*",'II kw.19'!F2:F500)</f>
        <v>1</v>
      </c>
      <c r="K20" s="117">
        <v>43</v>
      </c>
      <c r="L20" s="11" t="s">
        <v>3538</v>
      </c>
      <c r="M20" s="112">
        <f>SUMIF('I kw.19'!M2:M500,"43*",'I kw.19'!F2:F500)+SUMIF('II kw.19'!M2:M500,"43*",'II kw.19'!F2:F500)</f>
        <v>19</v>
      </c>
      <c r="N20" s="125">
        <v>33</v>
      </c>
      <c r="O20" s="11" t="s">
        <v>3534</v>
      </c>
      <c r="P20" s="95">
        <f>SUMIF('I kw.19'!M2:M500,"33*",'I kw.19'!F2:F500)+SUMIF('II kw.19'!M2:M500,"33*",'II kw.19'!F2:F500)</f>
        <v>68</v>
      </c>
      <c r="Q20" s="127">
        <v>53</v>
      </c>
      <c r="R20" s="11" t="s">
        <v>3542</v>
      </c>
      <c r="S20" s="96">
        <f>SUMIF('I kw.19'!M2:M500,"53*",'I kw.19'!F2:F500)+SUMIF('II kw.19'!M2:M500,"53*",'II kw.19'!F2:F500)</f>
        <v>0</v>
      </c>
      <c r="T20" s="125">
        <v>34</v>
      </c>
      <c r="U20" s="11" t="s">
        <v>3535</v>
      </c>
      <c r="V20" s="91">
        <f>SUMIF('I kw.19'!M2:M500,"34*",'I kw.19'!F2:F500)+SUMIF('II kw.19'!M2:M500,"34*",'II kw.19'!F2:F500)</f>
        <v>4</v>
      </c>
      <c r="W20" s="37"/>
      <c r="Y20" s="2">
        <f>SUM(Y18:Y19)</f>
        <v>3</v>
      </c>
    </row>
    <row r="21" spans="2:25" x14ac:dyDescent="0.25">
      <c r="B21" s="121">
        <v>3113</v>
      </c>
      <c r="C21" s="11" t="s">
        <v>3520</v>
      </c>
      <c r="D21" s="16">
        <f>SUMIF('I kw.19'!M2:M500,"3113*",'I kw.19'!F2:F500)+SUMIF('II kw.19'!M2:M500,"3113*",'II kw.19'!F2:F500)</f>
        <v>3</v>
      </c>
      <c r="E21" s="108">
        <v>2144</v>
      </c>
      <c r="F21" s="11" t="s">
        <v>3495</v>
      </c>
      <c r="G21" s="16">
        <f>SUMIF('I kw.19'!M2:M467,"2144*",'I kw.19'!F2:F467)+SUMIF('II kw.19'!M2:M500,"2144*",'II kw.19'!F2:F500)</f>
        <v>17</v>
      </c>
      <c r="H21" s="122">
        <v>2162</v>
      </c>
      <c r="I21" s="11" t="s">
        <v>3508</v>
      </c>
      <c r="J21" s="16">
        <f>SUMIF('I kw.19'!M2:M500,"2162*",'I kw.19'!F2:F500)+SUMIF('II kw.19'!M2:M500,"2162*",'II kw.19'!F2:F500)</f>
        <v>0</v>
      </c>
      <c r="K21" s="128">
        <v>52</v>
      </c>
      <c r="L21" s="11" t="s">
        <v>3541</v>
      </c>
      <c r="M21" s="112">
        <f>SUMIF('I kw.19'!M2:M500,"52*",'I kw.19'!F2:F500)+SUMIF('II kw.19'!M2:M500,"52*",'II kw.19'!F2:F500)</f>
        <v>91</v>
      </c>
      <c r="N21" s="127">
        <v>51</v>
      </c>
      <c r="O21" s="11" t="s">
        <v>3540</v>
      </c>
      <c r="P21" s="95">
        <f>SUMIF('I kw.19'!M2:M500,"51*",'I kw.19'!F2:F500)+SUMIF('II kw.19'!M2:M500,"51*",'II kw.19'!F2:F500)</f>
        <v>4</v>
      </c>
      <c r="Q21" s="37"/>
      <c r="S21" s="2">
        <f>SUM(S18:S20)</f>
        <v>5</v>
      </c>
      <c r="V21" s="2">
        <f>SUM(V18:V20)</f>
        <v>38</v>
      </c>
      <c r="W21" s="37"/>
    </row>
    <row r="22" spans="2:25" x14ac:dyDescent="0.25">
      <c r="B22" s="121">
        <v>3114</v>
      </c>
      <c r="C22" s="11" t="s">
        <v>3521</v>
      </c>
      <c r="D22" s="16">
        <f>SUMIF('I kw.19'!M2:M500,"3114*",'I kw.19'!F2:F500)+SUMIF('II kw.19'!M2:M500,"3114*",'II kw.19'!F2:F500)</f>
        <v>3</v>
      </c>
      <c r="E22" s="108">
        <v>2149</v>
      </c>
      <c r="F22" s="11" t="s">
        <v>3498</v>
      </c>
      <c r="G22" s="16">
        <f>SUMIF('I kw.19'!M2:M467,"2149*",'I kw.19'!F2:F467)+SUMIF('II kw.19'!M2:M500,"2149*",'II kw.19'!F2:F500)</f>
        <v>9</v>
      </c>
      <c r="H22" s="108">
        <v>2164</v>
      </c>
      <c r="I22" s="11" t="s">
        <v>3585</v>
      </c>
      <c r="J22" s="16">
        <f>SUMIF('I kw.19'!M2:M500,"2164*",'I kw.19'!F2:F500)+SUMIF('II kw.19'!M2:M500,"2164*",'II kw.19'!F2:F500)</f>
        <v>0</v>
      </c>
      <c r="K22" s="133">
        <v>83</v>
      </c>
      <c r="L22" s="11" t="s">
        <v>3564</v>
      </c>
      <c r="M22" s="112">
        <f>SUMIF('I kw.19'!M2:M500,"83*",'I kw.19'!F2:F500)+SUMIF('II kw.19'!M2:M500,"83*",'II kw.19'!F2:F500)</f>
        <v>42</v>
      </c>
      <c r="N22" s="120">
        <v>14</v>
      </c>
      <c r="O22" s="11" t="s">
        <v>3578</v>
      </c>
      <c r="P22" s="95">
        <f>SUMIF('I kw.19'!M2:M500,"14*",'I kw.19'!F2:F500)+SUMIF('II kw.19'!M2:M500,"14*",'II kw.19'!F2:F500)</f>
        <v>16</v>
      </c>
      <c r="Q22" s="37"/>
      <c r="T22" s="1" t="s">
        <v>0</v>
      </c>
      <c r="U22" s="94"/>
      <c r="V22" s="20"/>
      <c r="W22" s="37" t="s">
        <v>3574</v>
      </c>
    </row>
    <row r="23" spans="2:25" x14ac:dyDescent="0.25">
      <c r="B23" s="121">
        <v>3115</v>
      </c>
      <c r="C23" s="11" t="s">
        <v>3522</v>
      </c>
      <c r="D23" s="16">
        <f>SUMIF('I kw.19'!M2:M500,"3115*",'I kw.19'!F2:F500)+SUMIF('II kw.19'!M2:M500,"3115*",'II kw.19'!F2:F500)</f>
        <v>9</v>
      </c>
      <c r="E23" s="109">
        <v>2149</v>
      </c>
      <c r="F23" s="11" t="s">
        <v>3499</v>
      </c>
      <c r="G23" s="104" t="s">
        <v>3573</v>
      </c>
      <c r="H23" s="122">
        <v>2165</v>
      </c>
      <c r="I23" s="11" t="s">
        <v>3509</v>
      </c>
      <c r="J23" s="16">
        <f>SUMIF('I kw.19'!M2:M500,"2165*",'I kw.19'!F2:F500)+SUMIF('II kw.19'!M2:M500,"2165*",'II kw.19'!F2:F500)</f>
        <v>0</v>
      </c>
      <c r="K23" s="120">
        <v>12</v>
      </c>
      <c r="L23" s="11" t="s">
        <v>3576</v>
      </c>
      <c r="M23" s="112">
        <f>SUMIF('I kw.19'!M2:M500,"12*",'I kw.19'!F2:F500)+SUMIF('II kw.19'!M2:M500,"12*",'II kw.19'!F2:F500)</f>
        <v>13</v>
      </c>
      <c r="P23" s="18">
        <f>SUM(P18:P22)</f>
        <v>141</v>
      </c>
      <c r="Q23" s="37"/>
      <c r="T23" s="98"/>
      <c r="U23" s="99"/>
      <c r="V23" s="92"/>
      <c r="W23" s="110"/>
      <c r="X23" s="111"/>
    </row>
    <row r="24" spans="2:25" x14ac:dyDescent="0.25">
      <c r="B24" s="121">
        <v>3116</v>
      </c>
      <c r="C24" s="11" t="s">
        <v>3523</v>
      </c>
      <c r="D24" s="16">
        <f>SUMIF('I kw.19'!M2:M500,"3116*",'I kw.19'!F2:F500)+SUMIF('II kw.19'!M2:M500,"3116*",'II kw.19'!F2:F500)</f>
        <v>0</v>
      </c>
      <c r="E24" s="109">
        <v>2149</v>
      </c>
      <c r="F24" s="11" t="s">
        <v>3500</v>
      </c>
      <c r="G24" s="104" t="s">
        <v>3573</v>
      </c>
      <c r="H24" s="126">
        <v>3111</v>
      </c>
      <c r="I24" s="11" t="s">
        <v>3587</v>
      </c>
      <c r="J24" s="16">
        <f>SUMIF('I kw.19'!M2:M500,"3111*",'I kw.19'!F2:F500)+SUMIF('II kw.19'!M2:M500,"3111*",'II kw.19'!F2:F500)</f>
        <v>0</v>
      </c>
      <c r="K24" s="89"/>
      <c r="L24" s="20"/>
      <c r="M24" s="90">
        <f>SUM(M18:M23)</f>
        <v>170</v>
      </c>
      <c r="Q24" s="37"/>
      <c r="T24" s="116">
        <v>41</v>
      </c>
      <c r="U24" s="11" t="s">
        <v>3592</v>
      </c>
      <c r="V24" s="91">
        <f>SUMIF('I kw.19'!M2:M500,"41*",'I kw.19'!F2:F500)+SUMIF('II kw.19'!M2:M500,"41*",'II kw.19'!F2:F500)</f>
        <v>2</v>
      </c>
      <c r="W24" s="120">
        <v>11</v>
      </c>
      <c r="X24" s="11" t="s">
        <v>3575</v>
      </c>
      <c r="Y24" s="115">
        <f>SUMIF('I kw.19'!M2:M500,"11*",'I kw.19'!F2:F500)+SUMIF('II kw.19'!M2:M500,"11*",'II kw.19'!F2:F500)</f>
        <v>3</v>
      </c>
    </row>
    <row r="25" spans="2:25" x14ac:dyDescent="0.25">
      <c r="B25" s="121">
        <v>3117</v>
      </c>
      <c r="C25" s="11" t="s">
        <v>3524</v>
      </c>
      <c r="D25" s="16">
        <f>SUMIF('I kw.19'!M2:M500,"3117*",'I kw.19'!F2:F500)+SUMIF('II kw.19'!M2:M500,"3117*",'II kw.19'!F2:F500)</f>
        <v>1</v>
      </c>
      <c r="E25" s="109">
        <v>2149</v>
      </c>
      <c r="F25" s="11" t="s">
        <v>3501</v>
      </c>
      <c r="G25" s="104" t="s">
        <v>3573</v>
      </c>
      <c r="H25" s="126">
        <v>3112</v>
      </c>
      <c r="I25" s="11" t="s">
        <v>3519</v>
      </c>
      <c r="J25" s="16">
        <f>SUMIF('I kw.19'!M2:M500,"3112*",'I kw.19'!F2:F500)+SUMIF('II kw.19'!M2:M500,"3112*",'II kw.19'!F2:F500)</f>
        <v>2</v>
      </c>
      <c r="K25" s="89"/>
      <c r="L25" s="20"/>
      <c r="M25" s="20"/>
      <c r="N25" s="100" t="s">
        <v>134</v>
      </c>
      <c r="O25" s="93"/>
      <c r="Q25" s="37"/>
      <c r="T25" s="116">
        <v>44</v>
      </c>
      <c r="U25" s="11" t="s">
        <v>3539</v>
      </c>
      <c r="V25" s="91">
        <f>SUMIF('I kw.19'!M2:M500,"44*",'I kw.19'!F2:F500)+SUMIF('II kw.19'!M2:M500,"44*",'II kw.19'!F2:F500)</f>
        <v>1</v>
      </c>
      <c r="W25" s="108">
        <v>2111</v>
      </c>
      <c r="X25" s="11" t="s">
        <v>3580</v>
      </c>
      <c r="Y25" s="115">
        <f>SUMIF('I kw.19'!M2:M500,"2111*",'I kw.19'!F2:F500)+SUMIF('II kw.19'!M2:M500,"2111*",'II kw.19'!F2:F500)</f>
        <v>0</v>
      </c>
    </row>
    <row r="26" spans="2:25" x14ac:dyDescent="0.25">
      <c r="B26" s="121">
        <v>3119</v>
      </c>
      <c r="C26" s="11" t="s">
        <v>3526</v>
      </c>
      <c r="D26" s="16">
        <f>SUMIF('I kw.19'!M2:M500,"3119*",'I kw.19'!F2:F500)+SUMIF('II kw.19'!M2:M500,"3119*",'II kw.19'!F2:F500)</f>
        <v>5</v>
      </c>
      <c r="E26" s="109">
        <v>2149</v>
      </c>
      <c r="F26" s="11" t="s">
        <v>3502</v>
      </c>
      <c r="G26" s="104" t="s">
        <v>3573</v>
      </c>
      <c r="H26" s="126">
        <v>3118</v>
      </c>
      <c r="I26" s="11" t="s">
        <v>3525</v>
      </c>
      <c r="J26" s="16">
        <f>SUMIF('I kw.19'!M2:M500,"3118*",'I kw.19'!F2:F500)+SUMIF('II kw.19'!M2:M500,"3118*",'II kw.19'!F2:F500)</f>
        <v>0</v>
      </c>
      <c r="K26" s="89"/>
      <c r="L26" s="20"/>
      <c r="M26" s="20"/>
      <c r="N26" s="6"/>
      <c r="O26" s="7"/>
      <c r="Q26" s="37"/>
      <c r="T26" s="131">
        <v>7515</v>
      </c>
      <c r="U26" s="11" t="s">
        <v>3552</v>
      </c>
      <c r="V26" s="91">
        <f>SUMIF('I kw.19'!M2:M500,"7515*",'I kw.19'!F2:F500)+SUMIF('II kw.19'!M2:M500,"7515*",'II kw.19'!F2:F500)</f>
        <v>0</v>
      </c>
      <c r="W26" s="108">
        <v>2112</v>
      </c>
      <c r="X26" s="11" t="s">
        <v>3581</v>
      </c>
      <c r="Y26" s="115">
        <f>SUMIF('I kw.19'!M2:M500,"2112*",'I kw.19'!F2:F500)+SUMIF('II kw.19'!M2:M500,"2112*",'II kw.19'!F2:F500)</f>
        <v>0</v>
      </c>
    </row>
    <row r="27" spans="2:25" x14ac:dyDescent="0.25">
      <c r="B27" s="121">
        <v>3121</v>
      </c>
      <c r="C27" s="11" t="s">
        <v>3527</v>
      </c>
      <c r="D27" s="16">
        <f>SUMIF('I kw.19'!M2:M500,"3121*",'I kw.19'!F2:F500)+SUMIF('II kw.19'!M2:M500,"3121*",'II kw.19'!F2:F500)</f>
        <v>0</v>
      </c>
      <c r="E27" s="109">
        <v>2149</v>
      </c>
      <c r="F27" s="11" t="s">
        <v>3503</v>
      </c>
      <c r="G27" s="104" t="s">
        <v>3573</v>
      </c>
      <c r="H27" s="126">
        <v>3123</v>
      </c>
      <c r="I27" s="11" t="s">
        <v>3529</v>
      </c>
      <c r="J27" s="16">
        <f>SUMIF('I kw.19'!M2:M500,"3123*",'I kw.19'!F2:F500)+SUMIF('II kw.19'!M2:M500,"3123*",'II kw.19'!F2:F500)</f>
        <v>1</v>
      </c>
      <c r="K27" s="89"/>
      <c r="L27" s="20"/>
      <c r="N27" s="131">
        <v>7512</v>
      </c>
      <c r="O27" s="11" t="s">
        <v>3549</v>
      </c>
      <c r="P27" s="95">
        <f>SUMIF('I kw.19'!M2:M500,"7512*",'I kw.19'!F2:F500)+SUMIF('II kw.19'!M2:M500,"7512*",'II kw.19'!F2:F500)</f>
        <v>0</v>
      </c>
      <c r="Q27" s="37"/>
      <c r="T27" s="37"/>
      <c r="V27" s="2">
        <f>SUM(V24:V26)</f>
        <v>3</v>
      </c>
      <c r="W27" s="108">
        <v>2114</v>
      </c>
      <c r="X27" s="11" t="s">
        <v>3582</v>
      </c>
      <c r="Y27" s="115">
        <f>SUMIF('I kw.19'!M2:M500,"2114*",'I kw.19'!F2:F500)+SUMIF('II kw.19'!M2:M500,"2114*",'II kw.19'!F2:F500)</f>
        <v>0</v>
      </c>
    </row>
    <row r="28" spans="2:25" x14ac:dyDescent="0.25">
      <c r="B28" s="121">
        <v>3122</v>
      </c>
      <c r="C28" s="11" t="s">
        <v>3528</v>
      </c>
      <c r="D28" s="16">
        <f>SUMIF('I kw.19'!M2:M500,"3122*",'I kw.19'!F2:F500)+SUMIF('II kw.19'!M2:M500,"3122*",'II kw.19'!F2:F500)</f>
        <v>3</v>
      </c>
      <c r="E28" s="108">
        <v>2151</v>
      </c>
      <c r="F28" s="11" t="s">
        <v>3504</v>
      </c>
      <c r="G28" s="16">
        <f>SUMIF('I kw.19'!M2:M467,"2151*",'I kw.19'!F2:F467)+SUMIF('II kw.19'!M2:M500,"2151*",'II kw.19'!F2:F500)</f>
        <v>6</v>
      </c>
      <c r="H28" s="129">
        <v>71</v>
      </c>
      <c r="I28" s="11" t="s">
        <v>3544</v>
      </c>
      <c r="J28" s="16">
        <f>SUMIF('I kw.19'!M2:M500,"71*",'I kw.19'!F2:F500)+SUMIF('II kw.19'!M2:M500,"71*",'II kw.19'!F2:F500)</f>
        <v>2</v>
      </c>
      <c r="K28" s="89"/>
      <c r="L28" s="20"/>
      <c r="M28" s="20"/>
      <c r="P28" s="18">
        <f>SUM(P27)</f>
        <v>0</v>
      </c>
      <c r="Q28" s="37"/>
      <c r="T28" s="37"/>
      <c r="W28" s="108">
        <v>2120</v>
      </c>
      <c r="X28" s="11" t="s">
        <v>3583</v>
      </c>
      <c r="Y28" s="115">
        <f>SUMIF('I kw.19'!M2:M500,"2120*",'I kw.19'!F2:F500)+SUMIF('II kw.19'!M2:M500,"2120*",'II kw.19'!F2:F500)</f>
        <v>0</v>
      </c>
    </row>
    <row r="29" spans="2:25" x14ac:dyDescent="0.25">
      <c r="B29" s="124">
        <v>313</v>
      </c>
      <c r="C29" s="11" t="s">
        <v>3530</v>
      </c>
      <c r="D29" s="16">
        <f>SUMIF('I kw.19'!M2:M500,"313*",'I kw.19'!F2:F500)+SUMIF('II kw.19'!M2:M500,"313*",'II kw.19'!F2:F500)</f>
        <v>5</v>
      </c>
      <c r="E29" s="108">
        <v>2152</v>
      </c>
      <c r="F29" s="11" t="s">
        <v>3505</v>
      </c>
      <c r="G29" s="16">
        <f>SUMIF('I kw.19'!M2:M467,"2152*",'I kw.19'!F2:F467)+SUMIF('II kw.19'!M2:M500,"2152*",'II kw.19'!F2:F500)</f>
        <v>3</v>
      </c>
      <c r="H29" s="132">
        <v>7521</v>
      </c>
      <c r="I29" s="11" t="s">
        <v>3553</v>
      </c>
      <c r="J29" s="16">
        <f>SUMIF('I kw.19'!M2:M500,"7521*",'I kw.19'!F2:F500)+SUMIF('II kw.19'!M2:M500,"7521*",'II kw.19'!F2:F500)</f>
        <v>0</v>
      </c>
      <c r="K29" s="89"/>
      <c r="L29" s="20"/>
      <c r="M29" s="20"/>
      <c r="N29" s="94" t="s">
        <v>154</v>
      </c>
      <c r="O29" s="94"/>
      <c r="P29" s="18"/>
      <c r="T29" s="37"/>
      <c r="W29" s="119">
        <v>0</v>
      </c>
      <c r="X29" s="11" t="s">
        <v>3586</v>
      </c>
      <c r="Y29" s="115">
        <f>SUMIF('I kw.19'!M2:M500,"0*",'I kw.19'!F2:F500)+SUMIF('II kw.19'!M2:M500,"0*",'II kw.19'!F2:F500)</f>
        <v>0</v>
      </c>
    </row>
    <row r="30" spans="2:25" x14ac:dyDescent="0.25">
      <c r="B30" s="124">
        <v>314</v>
      </c>
      <c r="C30" s="11" t="s">
        <v>3531</v>
      </c>
      <c r="D30" s="16">
        <f>SUMIF('I kw.19'!M2:M500,"314*",'I kw.19'!F2:F500)+SUMIF('II kw.19'!M2:M500,"314*",'II kw.19'!F2:F500)</f>
        <v>0</v>
      </c>
      <c r="E30" s="108">
        <v>2153</v>
      </c>
      <c r="F30" s="11" t="s">
        <v>3506</v>
      </c>
      <c r="G30" s="16">
        <f>SUMIF('I kw.19'!M2:M467,"2153*",'I kw.19'!F2:F467)+SUMIF('II kw.19'!M2:M500,"2153*",'II kw.19'!F2:F500)</f>
        <v>4</v>
      </c>
      <c r="H30" s="132">
        <v>7522</v>
      </c>
      <c r="I30" s="11" t="s">
        <v>3554</v>
      </c>
      <c r="J30" s="16">
        <f>SUMIF('I kw.19'!M2:M500,"7522*",'I kw.19'!F2:F500)+SUMIF('II kw.19'!M2:M500,"7522*",'II kw.19'!F2:F500)</f>
        <v>0</v>
      </c>
      <c r="K30" s="89"/>
      <c r="L30" s="20"/>
      <c r="M30" s="20"/>
      <c r="N30" s="6"/>
      <c r="O30" s="7"/>
      <c r="P30" s="92"/>
      <c r="Y30" s="2">
        <f>SUM(Y24:Y29)</f>
        <v>3</v>
      </c>
    </row>
    <row r="31" spans="2:25" x14ac:dyDescent="0.25">
      <c r="B31" s="125">
        <v>35</v>
      </c>
      <c r="C31" s="11" t="s">
        <v>3536</v>
      </c>
      <c r="D31" s="16">
        <f>SUMIF('I kw.19'!M2:M500,"35*",'I kw.19'!F2:F500)+SUMIF('II kw.19'!M2:M500,"35*",'II kw.19'!F2:F500)</f>
        <v>4</v>
      </c>
      <c r="E31" s="118">
        <v>25</v>
      </c>
      <c r="F31" s="11" t="s">
        <v>3513</v>
      </c>
      <c r="G31" s="16">
        <f>SUMIF('I kw.19'!M2:M467,"25*",'I kw.19'!F2:F467)+SUMIF('II kw.19'!M2:M500,"25*",'II kw.19'!F2:F500)</f>
        <v>27</v>
      </c>
      <c r="J31" s="18">
        <f>SUM(J18:J30)</f>
        <v>10</v>
      </c>
      <c r="K31" s="89"/>
      <c r="L31" s="20"/>
      <c r="M31" s="20"/>
      <c r="N31" s="131">
        <v>753</v>
      </c>
      <c r="O31" s="11" t="s">
        <v>3556</v>
      </c>
      <c r="P31" s="95">
        <f>SUMIF('I kw.19'!M2:M500,"753*",'I kw.19'!F2:F500)+SUMIF('II kw.19'!M2:M500,"753*",'II kw.19'!F2:F500)</f>
        <v>0</v>
      </c>
    </row>
    <row r="32" spans="2:25" x14ac:dyDescent="0.25">
      <c r="B32" s="119">
        <v>6</v>
      </c>
      <c r="C32" s="11" t="s">
        <v>3543</v>
      </c>
      <c r="D32" s="16">
        <f>SUMIF('I kw.19'!M2:M500,"6*",'I kw.19'!F2:F500)+SUMIF('II kw.19'!M2:M500,"6*",'II kw.19'!F2:F500)</f>
        <v>0</v>
      </c>
      <c r="E32" s="130">
        <v>74</v>
      </c>
      <c r="F32" s="11" t="s">
        <v>3547</v>
      </c>
      <c r="G32" s="16">
        <f>SUMIF('I kw.19'!M2:M467,"74*",'I kw.19'!F2:F467)+SUMIF('II kw.19'!M2:M500,"74*",'II kw.19'!F2:F500)</f>
        <v>9</v>
      </c>
      <c r="H32" s="89"/>
      <c r="I32" s="20"/>
      <c r="K32" s="20"/>
      <c r="L32" s="20"/>
      <c r="M32" s="20"/>
      <c r="N32" s="131">
        <v>7541</v>
      </c>
      <c r="O32" s="11" t="s">
        <v>3557</v>
      </c>
      <c r="P32" s="95">
        <f>SUMIF('I kw.19'!M2:M500,"7541*",'I kw.19'!F2:F500)+SUMIF('II kw.19'!M2:M500,"7541*",'II kw.19'!F2:F500)</f>
        <v>0</v>
      </c>
    </row>
    <row r="33" spans="2:20" x14ac:dyDescent="0.25">
      <c r="B33" s="130">
        <v>72</v>
      </c>
      <c r="C33" s="11" t="s">
        <v>3545</v>
      </c>
      <c r="D33" s="16">
        <f>SUMIF('I kw.19'!M2:M500,"72*",'I kw.19'!F2:F500)+SUMIF('II kw.19'!M2:M500,"72*",'II kw.19'!F2:F500)</f>
        <v>16</v>
      </c>
      <c r="G33" s="2">
        <f>SUM(G18:G32)</f>
        <v>82</v>
      </c>
      <c r="N33" s="127">
        <v>54</v>
      </c>
      <c r="O33" s="11" t="s">
        <v>3588</v>
      </c>
      <c r="P33" s="95">
        <f>SUMIF('I kw.19'!M2:M500,"54*",'I kw.19'!F2:F500)+SUMIF('II kw.19'!M2:M500,"54*",'II kw.19'!F2:F500)</f>
        <v>1</v>
      </c>
    </row>
    <row r="34" spans="2:20" x14ac:dyDescent="0.25">
      <c r="B34" s="130">
        <v>73</v>
      </c>
      <c r="C34" s="11" t="s">
        <v>3546</v>
      </c>
      <c r="D34" s="16">
        <f>SUMIF('I kw.19'!M2:M500,"73*",'I kw.19'!F2:F500)+SUMIF('II kw.19'!M2:M500,"73*",'II kw.19'!F2:F500)</f>
        <v>0</v>
      </c>
      <c r="P34" s="2">
        <f>SUM(P31:P33)</f>
        <v>1</v>
      </c>
    </row>
    <row r="35" spans="2:20" x14ac:dyDescent="0.25">
      <c r="B35" s="131">
        <v>7511</v>
      </c>
      <c r="C35" s="11" t="s">
        <v>3548</v>
      </c>
      <c r="D35" s="16">
        <f>SUMIF('I kw.19'!M2:M500,"7511*",'I kw.19'!F2:F500)+SUMIF('II kw.19'!M2:M500,"7511*",'II kw.19'!F2:F500)</f>
        <v>0</v>
      </c>
      <c r="T35" s="37"/>
    </row>
    <row r="36" spans="2:20" x14ac:dyDescent="0.25">
      <c r="B36" s="131">
        <v>7513</v>
      </c>
      <c r="C36" s="11" t="s">
        <v>3550</v>
      </c>
      <c r="D36" s="16">
        <f>SUMIF('I kw.19'!M2:M500,"7513*",'I kw.19'!F2:F500)+SUMIF('II kw.19'!M2:M500,"7513*",'II kw.19'!F2:F500)</f>
        <v>0</v>
      </c>
      <c r="T36" s="37"/>
    </row>
    <row r="37" spans="2:20" x14ac:dyDescent="0.25">
      <c r="B37" s="131">
        <v>7514</v>
      </c>
      <c r="C37" s="11" t="s">
        <v>3551</v>
      </c>
      <c r="D37" s="16">
        <f>SUMIF('I kw.19'!M2:M500,"7514*",'I kw.19'!F2:F500)+SUMIF('II kw.19'!M2:M500,"7514*",'II kw.19'!F2:F500)</f>
        <v>0</v>
      </c>
      <c r="T37" s="37"/>
    </row>
    <row r="38" spans="2:20" x14ac:dyDescent="0.25">
      <c r="B38" s="131">
        <v>7523</v>
      </c>
      <c r="C38" s="11" t="s">
        <v>3555</v>
      </c>
      <c r="D38" s="16">
        <f>SUMIF('I kw.19'!M2:M500,"7523*",'I kw.19'!F2:F500)+SUMIF('II kw.19'!M2:M500,"7523*",'II kw.19'!F2:F500)</f>
        <v>0</v>
      </c>
      <c r="T38" s="37"/>
    </row>
    <row r="39" spans="2:20" x14ac:dyDescent="0.25">
      <c r="B39" s="131">
        <v>7542</v>
      </c>
      <c r="C39" s="11" t="s">
        <v>3558</v>
      </c>
      <c r="D39" s="16">
        <f>SUMIF('I kw.19'!M2:M500,"7542*",'I kw.19'!F2:F500)+SUMIF('II kw.19'!M2:M500,"7542*",'II kw.19'!F2:F500)</f>
        <v>0</v>
      </c>
      <c r="T39" s="37"/>
    </row>
    <row r="40" spans="2:20" x14ac:dyDescent="0.25">
      <c r="B40" s="131">
        <v>7543</v>
      </c>
      <c r="C40" s="11" t="s">
        <v>3559</v>
      </c>
      <c r="D40" s="16">
        <f>SUMIF('I kw.19'!M2:M500,"7543*",'I kw.19'!F2:F500)+SUMIF('II kw.19'!M2:M500,"7543*",'II kw.19'!F2:F500)</f>
        <v>0</v>
      </c>
    </row>
    <row r="41" spans="2:20" x14ac:dyDescent="0.25">
      <c r="B41" s="131">
        <v>7544</v>
      </c>
      <c r="C41" s="11" t="s">
        <v>3560</v>
      </c>
      <c r="D41" s="16">
        <f>SUMIF('I kw.19'!M2:M500,"7544*",'I kw.19'!F2:F500)+SUMIF('II kw.19'!M2:M500,"7544*",'II kw.19'!F2:F500)</f>
        <v>0</v>
      </c>
    </row>
    <row r="42" spans="2:20" x14ac:dyDescent="0.25">
      <c r="B42" s="134">
        <v>81</v>
      </c>
      <c r="C42" s="11" t="s">
        <v>3562</v>
      </c>
      <c r="D42" s="16">
        <f>SUMIF('I kw.19'!M2:M500,"81*",'I kw.19'!F2:F500)+SUMIF('II kw.19'!M2:M500,"81*",'II kw.19'!F2:F500)</f>
        <v>8</v>
      </c>
    </row>
    <row r="43" spans="2:20" x14ac:dyDescent="0.25">
      <c r="B43" s="134">
        <v>82</v>
      </c>
      <c r="C43" s="11" t="s">
        <v>3563</v>
      </c>
      <c r="D43" s="16">
        <f>SUMIF('I kw.19'!M2:M500,"82*",'I kw.19'!F2:F500)+SUMIF('II kw.19'!M2:M500,"82*",'II kw.19'!F2:F500)</f>
        <v>1</v>
      </c>
    </row>
    <row r="44" spans="2:20" x14ac:dyDescent="0.25">
      <c r="B44" s="120">
        <v>13</v>
      </c>
      <c r="C44" s="11" t="s">
        <v>3577</v>
      </c>
      <c r="D44" s="16">
        <f>SUMIF('I kw.19'!M2:M500,"13*",'I kw.19'!F2:F500)+SUMIF('II kw.19'!M2:M500,"13*",'II kw.19'!F2:F500)</f>
        <v>9</v>
      </c>
    </row>
    <row r="45" spans="2:20" x14ac:dyDescent="0.25">
      <c r="B45" s="108">
        <v>2163</v>
      </c>
      <c r="C45" s="11" t="s">
        <v>3579</v>
      </c>
      <c r="D45" s="16">
        <f>SUMIF('I kw.19'!M2:M500,"2163*",'I kw.19'!F2:F500)+SUMIF('II kw.19'!M2:M500,"2163*",'II kw.19'!F2:F500)</f>
        <v>0</v>
      </c>
    </row>
    <row r="46" spans="2:20" x14ac:dyDescent="0.25">
      <c r="B46" s="108">
        <v>2133</v>
      </c>
      <c r="C46" s="11" t="s">
        <v>3584</v>
      </c>
      <c r="D46" s="16">
        <f>SUMIF('I kw.19'!M2:M500,"2133*",'I kw.19'!F2:F500)+SUMIF('II kw.19'!M2:M500,"2133*",'II kw.19'!F2:F500)</f>
        <v>1</v>
      </c>
    </row>
    <row r="47" spans="2:20" x14ac:dyDescent="0.25">
      <c r="B47" s="37"/>
      <c r="D47" s="2">
        <f>SUM(D18:D46)</f>
        <v>76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EXACT(E11,P15)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COUNTIF('III kw.19'!E2:E900,"praca.pl")</f>
        <v>0</v>
      </c>
      <c r="J3" s="12" t="s">
        <v>3515</v>
      </c>
      <c r="N3" s="12">
        <v>1</v>
      </c>
      <c r="O3" s="11" t="s">
        <v>170</v>
      </c>
      <c r="P3" s="12">
        <f>SUM(D47)</f>
        <v>33</v>
      </c>
      <c r="S3" s="18"/>
      <c r="T3" s="18"/>
      <c r="U3" s="18"/>
    </row>
    <row r="4" spans="2:24" x14ac:dyDescent="0.25">
      <c r="B4" s="12" t="s">
        <v>3516</v>
      </c>
      <c r="C4" s="17" t="s">
        <v>3459</v>
      </c>
      <c r="D4" s="26">
        <v>466</v>
      </c>
      <c r="E4" s="26">
        <v>477</v>
      </c>
      <c r="F4" s="12"/>
      <c r="H4" s="11" t="s">
        <v>192</v>
      </c>
      <c r="I4" s="12">
        <f>COUNTIF('III kw.19'!E2:E900,"pracuj.pl")</f>
        <v>158</v>
      </c>
      <c r="J4" s="12" t="s">
        <v>3516</v>
      </c>
      <c r="N4" s="12">
        <v>2</v>
      </c>
      <c r="O4" s="11" t="s">
        <v>2</v>
      </c>
      <c r="P4" s="12">
        <f>SUM(G33)</f>
        <v>41</v>
      </c>
      <c r="S4" s="18"/>
      <c r="T4" s="18"/>
      <c r="U4" s="18"/>
    </row>
    <row r="5" spans="2:24" x14ac:dyDescent="0.25">
      <c r="B5" s="12" t="s">
        <v>3517</v>
      </c>
      <c r="C5" s="17" t="s">
        <v>3458</v>
      </c>
      <c r="D5" s="26">
        <v>365</v>
      </c>
      <c r="E5" s="26">
        <v>386</v>
      </c>
      <c r="F5" s="12"/>
      <c r="H5" s="11" t="s">
        <v>217</v>
      </c>
      <c r="I5" s="12">
        <f>COUNTIF('III kw.19'!E2:E900,"agora")</f>
        <v>9</v>
      </c>
      <c r="J5" s="12" t="s">
        <v>3517</v>
      </c>
      <c r="N5" s="12">
        <v>3</v>
      </c>
      <c r="O5" s="11" t="s">
        <v>3</v>
      </c>
      <c r="P5" s="12">
        <f>SUM(J31)</f>
        <v>11</v>
      </c>
      <c r="S5" s="18"/>
      <c r="T5" s="18"/>
      <c r="U5" s="18"/>
    </row>
    <row r="6" spans="2:24" x14ac:dyDescent="0.25">
      <c r="B6" s="12" t="s">
        <v>3518</v>
      </c>
      <c r="C6" s="17" t="s">
        <v>3457</v>
      </c>
      <c r="D6" s="26">
        <v>461</v>
      </c>
      <c r="E6" s="26">
        <v>444</v>
      </c>
      <c r="F6" s="12"/>
      <c r="H6" s="11" t="s">
        <v>3464</v>
      </c>
      <c r="I6" s="12">
        <f>COUNTIF('III kw.19'!E2:E900,"gratka")</f>
        <v>13</v>
      </c>
      <c r="J6" s="12" t="s">
        <v>3518</v>
      </c>
      <c r="N6" s="12">
        <v>4</v>
      </c>
      <c r="O6" s="11" t="s">
        <v>3589</v>
      </c>
      <c r="P6" s="12">
        <f>SUM(M24)</f>
        <v>72</v>
      </c>
      <c r="S6" s="18"/>
      <c r="T6" s="18"/>
      <c r="U6" s="18"/>
    </row>
    <row r="7" spans="2:24" x14ac:dyDescent="0.25">
      <c r="B7" s="12" t="s">
        <v>13071</v>
      </c>
      <c r="C7" s="17" t="s">
        <v>173</v>
      </c>
      <c r="D7" s="26">
        <v>720</v>
      </c>
      <c r="E7" s="26">
        <v>704</v>
      </c>
      <c r="F7" s="12"/>
      <c r="H7" s="184"/>
      <c r="I7" s="183">
        <f>SUM(I3:I6)</f>
        <v>180</v>
      </c>
      <c r="J7" s="184"/>
      <c r="N7" s="12">
        <v>5</v>
      </c>
      <c r="O7" s="11" t="s">
        <v>13096</v>
      </c>
      <c r="P7" s="12">
        <f>SUM(P23)</f>
        <v>58</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85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132</v>
      </c>
      <c r="N10" s="12">
        <v>8</v>
      </c>
      <c r="O10" s="11" t="s">
        <v>4</v>
      </c>
      <c r="P10" s="12">
        <f>SUM(S21)</f>
        <v>2</v>
      </c>
      <c r="S10" s="18"/>
      <c r="T10" s="18"/>
      <c r="U10" s="18"/>
    </row>
    <row r="11" spans="2:24" x14ac:dyDescent="0.25">
      <c r="B11" s="107">
        <v>3</v>
      </c>
      <c r="C11" s="106" t="s">
        <v>3481</v>
      </c>
      <c r="D11" s="107">
        <v>180</v>
      </c>
      <c r="E11" s="107">
        <v>231</v>
      </c>
      <c r="F11" s="107" t="s">
        <v>13067</v>
      </c>
      <c r="H11" s="11" t="s">
        <v>3471</v>
      </c>
      <c r="I11" s="11" t="s">
        <v>3567</v>
      </c>
      <c r="J11" s="12">
        <f>SUM(V21,V27)</f>
        <v>11</v>
      </c>
      <c r="N11" s="12">
        <v>9</v>
      </c>
      <c r="O11" s="11" t="s">
        <v>3591</v>
      </c>
      <c r="P11" s="12">
        <f>SUM(V21)</f>
        <v>11</v>
      </c>
      <c r="S11" s="18"/>
      <c r="T11" s="18"/>
      <c r="U11" s="18"/>
    </row>
    <row r="12" spans="2:24" x14ac:dyDescent="0.25">
      <c r="B12" s="12">
        <v>4</v>
      </c>
      <c r="C12" s="17" t="s">
        <v>3482</v>
      </c>
      <c r="D12" s="12">
        <v>361</v>
      </c>
      <c r="E12" s="12">
        <v>378</v>
      </c>
      <c r="F12" s="12"/>
      <c r="H12" s="11" t="s">
        <v>3472</v>
      </c>
      <c r="I12" s="11" t="s">
        <v>6</v>
      </c>
      <c r="J12" s="12">
        <f>SUM(Y20)</f>
        <v>1</v>
      </c>
      <c r="N12" s="12">
        <v>10</v>
      </c>
      <c r="O12" s="11" t="s">
        <v>0</v>
      </c>
      <c r="P12" s="12">
        <f>SUM(V27)</f>
        <v>0</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1</v>
      </c>
      <c r="S13" s="18"/>
      <c r="T13" s="18"/>
      <c r="U13" s="18"/>
    </row>
    <row r="14" spans="2:24" x14ac:dyDescent="0.25">
      <c r="B14" s="18"/>
      <c r="C14" s="89"/>
      <c r="D14" s="135"/>
      <c r="E14" s="135"/>
      <c r="F14" s="20"/>
      <c r="H14" s="184"/>
      <c r="I14" s="184"/>
      <c r="J14" s="183">
        <f>SUM(J9:J13)</f>
        <v>231</v>
      </c>
      <c r="N14" s="12">
        <v>12</v>
      </c>
      <c r="O14" s="17" t="s">
        <v>3574</v>
      </c>
      <c r="P14" s="12">
        <f>SUM(Y30)</f>
        <v>2</v>
      </c>
      <c r="S14" s="18"/>
      <c r="T14" s="18"/>
      <c r="U14" s="18"/>
    </row>
    <row r="15" spans="2:24" ht="18.75" x14ac:dyDescent="0.25">
      <c r="B15" s="18"/>
      <c r="C15" s="89"/>
      <c r="D15" s="135"/>
      <c r="E15" s="135"/>
      <c r="F15" s="20"/>
      <c r="P15" s="191">
        <f>SUM(P3:P14)</f>
        <v>231</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SUMIF('III kw.19'!M2:M500,"2141*",'III kw.19'!F2:F500)</f>
        <v>4</v>
      </c>
      <c r="E18" s="108">
        <v>2113</v>
      </c>
      <c r="F18" s="11" t="s">
        <v>3491</v>
      </c>
      <c r="G18" s="16">
        <f>SUMIF('III kw.19'!M2:M467,"2113*",'III kw.19'!F2:F467)</f>
        <v>0</v>
      </c>
      <c r="H18" s="122">
        <v>2142</v>
      </c>
      <c r="I18" s="11" t="s">
        <v>3494</v>
      </c>
      <c r="J18" s="16">
        <f>SUMIF('III kw.19'!M2:M500,"2142*",'III kw.19'!F2:F500)</f>
        <v>5</v>
      </c>
      <c r="K18" s="123">
        <v>315</v>
      </c>
      <c r="L18" s="11" t="s">
        <v>3532</v>
      </c>
      <c r="M18" s="112">
        <f>SUMIF('III kw.19'!M2:M500,"315*",'III kw.19'!F2:F500)</f>
        <v>0</v>
      </c>
      <c r="N18" s="108">
        <v>2166</v>
      </c>
      <c r="O18" s="11" t="s">
        <v>3510</v>
      </c>
      <c r="P18" s="95">
        <f>SUMIF('III kw.19'!M2:M500,"2166*",'III kw.19'!F2:F500)</f>
        <v>0</v>
      </c>
      <c r="Q18" s="118">
        <v>22</v>
      </c>
      <c r="R18" s="11" t="s">
        <v>3511</v>
      </c>
      <c r="S18" s="96">
        <f>SUMIF('III kw.19'!M2:M500,"22*",'III kw.19'!F2:F500)</f>
        <v>2</v>
      </c>
      <c r="T18" s="118">
        <v>23</v>
      </c>
      <c r="U18" s="11" t="s">
        <v>3512</v>
      </c>
      <c r="V18" s="91">
        <f>SUMIF('III kw.19'!M2:M500,"23*",'III kw.19'!F2:F500)</f>
        <v>0</v>
      </c>
      <c r="W18" s="131">
        <v>7549</v>
      </c>
      <c r="X18" s="11" t="s">
        <v>3561</v>
      </c>
      <c r="Y18" s="97">
        <f>SUMIF('III kw.19'!M2:M500,"7549*",'III kw.19'!F2:F500)</f>
        <v>0</v>
      </c>
    </row>
    <row r="19" spans="2:25" x14ac:dyDescent="0.25">
      <c r="B19" s="108">
        <v>2132</v>
      </c>
      <c r="C19" s="11" t="s">
        <v>3493</v>
      </c>
      <c r="D19" s="195">
        <f>SUMIF('III kw.19'!M2:M500,"2132*",'III kw.19'!F2:F500)</f>
        <v>0</v>
      </c>
      <c r="E19" s="108">
        <v>2145</v>
      </c>
      <c r="F19" s="11" t="s">
        <v>3496</v>
      </c>
      <c r="G19" s="16">
        <f>SUMIF('III kw.19'!M2:M467,"2145*",'III kw.19'!F2:F467)</f>
        <v>1</v>
      </c>
      <c r="H19" s="122">
        <v>2143</v>
      </c>
      <c r="I19" s="11" t="s">
        <v>93</v>
      </c>
      <c r="J19" s="16">
        <f>SUMIF('III kw.19'!M2:M500,"2143*",'III kw.19'!F2:F500)</f>
        <v>1</v>
      </c>
      <c r="K19" s="117">
        <v>42</v>
      </c>
      <c r="L19" s="11" t="s">
        <v>3537</v>
      </c>
      <c r="M19" s="112">
        <f>SUMIF('III kw.19'!M2:M500,"42*",'III kw.19'!F2:F500)</f>
        <v>0</v>
      </c>
      <c r="N19" s="118">
        <v>24</v>
      </c>
      <c r="O19" s="11" t="s">
        <v>3571</v>
      </c>
      <c r="P19" s="95">
        <f>SUMIF('III kw.19'!M2:M500,"24*",'III kw.19'!F2:F500)</f>
        <v>29</v>
      </c>
      <c r="Q19" s="125">
        <v>32</v>
      </c>
      <c r="R19" s="11" t="s">
        <v>3533</v>
      </c>
      <c r="S19" s="96">
        <f>SUMIF('III kw.19'!M2:M500,"32*",'III kw.19'!F2:F500)</f>
        <v>0</v>
      </c>
      <c r="T19" s="118">
        <v>26</v>
      </c>
      <c r="U19" s="11" t="s">
        <v>3572</v>
      </c>
      <c r="V19" s="91">
        <f>SUMIF('III kw.19'!M2:M500,"26*",'III kw.19'!F2:F500)</f>
        <v>11</v>
      </c>
      <c r="W19" s="119">
        <v>9</v>
      </c>
      <c r="X19" s="11" t="s">
        <v>3565</v>
      </c>
      <c r="Y19" s="97">
        <f>SUMIF('III kw.19'!M2:M500,"9*",'III kw.19'!F2:F500)</f>
        <v>1</v>
      </c>
    </row>
    <row r="20" spans="2:25" x14ac:dyDescent="0.25">
      <c r="B20" s="108">
        <v>2146</v>
      </c>
      <c r="C20" s="11" t="s">
        <v>3497</v>
      </c>
      <c r="D20" s="16">
        <f>SUMIF('III kw.19'!M2:M500,"2146*",'III kw.19'!F2:F500)</f>
        <v>0</v>
      </c>
      <c r="E20" s="108">
        <v>2131</v>
      </c>
      <c r="F20" s="11" t="s">
        <v>3492</v>
      </c>
      <c r="G20" s="16">
        <f>SUMIF('III kw.19'!M2:M467,"2131*",'III kw.19'!F2:F467)</f>
        <v>0</v>
      </c>
      <c r="H20" s="122">
        <v>2161</v>
      </c>
      <c r="I20" s="11" t="s">
        <v>3507</v>
      </c>
      <c r="J20" s="16">
        <f>SUMIF('III kw.19'!M2:M500,"2161*",'III kw.19'!F2:F500)</f>
        <v>0</v>
      </c>
      <c r="K20" s="117">
        <v>43</v>
      </c>
      <c r="L20" s="11" t="s">
        <v>3538</v>
      </c>
      <c r="M20" s="112">
        <f>SUMIF('III kw.19'!M2:M500,"43*",'III kw.19'!F2:F500)</f>
        <v>3</v>
      </c>
      <c r="N20" s="125">
        <v>33</v>
      </c>
      <c r="O20" s="11" t="s">
        <v>3534</v>
      </c>
      <c r="P20" s="95">
        <f>SUMIF('III kw.19'!M2:M500,"33*",'III kw.19'!F2:F500)</f>
        <v>23</v>
      </c>
      <c r="Q20" s="127">
        <v>53</v>
      </c>
      <c r="R20" s="11" t="s">
        <v>3542</v>
      </c>
      <c r="S20" s="96">
        <f>SUMIF('III kw.19'!M2:M500,"53*",'III kw.19'!F2:F500)</f>
        <v>0</v>
      </c>
      <c r="T20" s="125">
        <v>34</v>
      </c>
      <c r="U20" s="11" t="s">
        <v>3535</v>
      </c>
      <c r="V20" s="91">
        <f>SUMIF('III kw.19'!M2:M500,"34*",'III kw.19'!F2:F500)</f>
        <v>0</v>
      </c>
      <c r="W20" s="37"/>
      <c r="Y20" s="2">
        <f>SUM(Y18:Y19)</f>
        <v>1</v>
      </c>
    </row>
    <row r="21" spans="2:25" x14ac:dyDescent="0.25">
      <c r="B21" s="121">
        <v>3113</v>
      </c>
      <c r="C21" s="11" t="s">
        <v>3520</v>
      </c>
      <c r="D21" s="16">
        <f>SUMIF('III kw.19'!M2:M500,"3113*",'III kw.19'!F2:F500)</f>
        <v>3</v>
      </c>
      <c r="E21" s="108">
        <v>2144</v>
      </c>
      <c r="F21" s="11" t="s">
        <v>3495</v>
      </c>
      <c r="G21" s="16">
        <f>SUMIF('III kw.19'!M2:M467,"2144*",'III kw.19'!F2:F467)</f>
        <v>8</v>
      </c>
      <c r="H21" s="122">
        <v>2162</v>
      </c>
      <c r="I21" s="11" t="s">
        <v>3508</v>
      </c>
      <c r="J21" s="16">
        <f>SUMIF('III kw.19'!M2:M500,"2162*",'III kw.19'!F2:F500)</f>
        <v>0</v>
      </c>
      <c r="K21" s="128">
        <v>52</v>
      </c>
      <c r="L21" s="11" t="s">
        <v>3541</v>
      </c>
      <c r="M21" s="112">
        <f>SUMIF('III kw.19'!M2:M500,"52*",'III kw.19'!F2:F500)</f>
        <v>18</v>
      </c>
      <c r="N21" s="127">
        <v>51</v>
      </c>
      <c r="O21" s="11" t="s">
        <v>3540</v>
      </c>
      <c r="P21" s="95">
        <f>SUMIF('III kw.19'!M2:M500,"51*",'III kw.19'!F2:F500)</f>
        <v>0</v>
      </c>
      <c r="Q21" s="37"/>
      <c r="S21" s="2">
        <f>SUM(S18:S20)</f>
        <v>2</v>
      </c>
      <c r="V21" s="2">
        <f>SUM(V18:V20)</f>
        <v>11</v>
      </c>
      <c r="W21" s="37"/>
    </row>
    <row r="22" spans="2:25" x14ac:dyDescent="0.25">
      <c r="B22" s="121">
        <v>3114</v>
      </c>
      <c r="C22" s="11" t="s">
        <v>3521</v>
      </c>
      <c r="D22" s="16">
        <f>SUMIF('III kw.19'!M2:M500,"3114*",'III kw.19'!F2:F500)</f>
        <v>1</v>
      </c>
      <c r="E22" s="108">
        <v>2149</v>
      </c>
      <c r="F22" s="11" t="s">
        <v>3498</v>
      </c>
      <c r="G22" s="16">
        <f>SUMIF('III kw.19'!M2:M467,"2149*",'III kw.19'!F2:F467)</f>
        <v>10</v>
      </c>
      <c r="H22" s="108">
        <v>2164</v>
      </c>
      <c r="I22" s="11" t="s">
        <v>3585</v>
      </c>
      <c r="J22" s="16">
        <f>SUMIF('III kw.19'!M2:M500,"2164*",'III kw.19'!F2:F500)</f>
        <v>0</v>
      </c>
      <c r="K22" s="133">
        <v>83</v>
      </c>
      <c r="L22" s="11" t="s">
        <v>3564</v>
      </c>
      <c r="M22" s="112">
        <f>SUMIF('III kw.19'!M2:M500,"83*",'III kw.19'!F2:F500)</f>
        <v>49</v>
      </c>
      <c r="N22" s="120">
        <v>14</v>
      </c>
      <c r="O22" s="11" t="s">
        <v>3578</v>
      </c>
      <c r="P22" s="95">
        <f>SUMIF('III kw.19'!M2:M500,"14*",'III kw.19'!F2:F500)</f>
        <v>6</v>
      </c>
      <c r="Q22" s="37"/>
      <c r="T22" s="1" t="s">
        <v>0</v>
      </c>
      <c r="U22" s="94"/>
      <c r="V22" s="20"/>
      <c r="W22" s="37" t="s">
        <v>3574</v>
      </c>
    </row>
    <row r="23" spans="2:25" x14ac:dyDescent="0.25">
      <c r="B23" s="121">
        <v>3115</v>
      </c>
      <c r="C23" s="11" t="s">
        <v>3522</v>
      </c>
      <c r="D23" s="16">
        <f>SUMIF('III kw.19'!M2:M500,"3115*",'III kw.19'!F2:F500)</f>
        <v>5</v>
      </c>
      <c r="E23" s="109">
        <v>2149</v>
      </c>
      <c r="F23" s="11" t="s">
        <v>3499</v>
      </c>
      <c r="G23" s="104" t="s">
        <v>3573</v>
      </c>
      <c r="H23" s="122">
        <v>2165</v>
      </c>
      <c r="I23" s="11" t="s">
        <v>3509</v>
      </c>
      <c r="J23" s="16">
        <f>SUMIF('III kw.19'!M2:M500,"2165*",'III kw.19'!F2:F500)</f>
        <v>0</v>
      </c>
      <c r="K23" s="120">
        <v>12</v>
      </c>
      <c r="L23" s="11" t="s">
        <v>3576</v>
      </c>
      <c r="M23" s="112">
        <f>SUMIF('III kw.19'!M2:M500,"12*",'III kw.19'!F2:F500)</f>
        <v>2</v>
      </c>
      <c r="P23" s="18">
        <f>SUM(P18:P22)</f>
        <v>58</v>
      </c>
      <c r="Q23" s="37"/>
      <c r="T23" s="98"/>
      <c r="U23" s="99"/>
      <c r="V23" s="92"/>
      <c r="W23" s="110"/>
      <c r="X23" s="111"/>
    </row>
    <row r="24" spans="2:25" x14ac:dyDescent="0.25">
      <c r="B24" s="121">
        <v>3116</v>
      </c>
      <c r="C24" s="11" t="s">
        <v>3523</v>
      </c>
      <c r="D24" s="16">
        <f>SUMIF('III kw.19'!M2:M500,"3116*",'III kw.19'!F2:F500)</f>
        <v>0</v>
      </c>
      <c r="E24" s="109">
        <v>2149</v>
      </c>
      <c r="F24" s="11" t="s">
        <v>3500</v>
      </c>
      <c r="G24" s="104" t="s">
        <v>3573</v>
      </c>
      <c r="H24" s="126">
        <v>3111</v>
      </c>
      <c r="I24" s="11" t="s">
        <v>3587</v>
      </c>
      <c r="J24" s="16">
        <f>SUMIF('III kw.19'!M2:M500,"3111*",'III kw.19'!F2:F500)</f>
        <v>1</v>
      </c>
      <c r="K24" s="89"/>
      <c r="L24" s="20"/>
      <c r="M24" s="90">
        <f>SUM(M18:M23)</f>
        <v>72</v>
      </c>
      <c r="Q24" s="37"/>
      <c r="T24" s="116">
        <v>41</v>
      </c>
      <c r="U24" s="11" t="s">
        <v>3592</v>
      </c>
      <c r="V24" s="91">
        <f>SUMIF('III kw.19'!M2:M500,"41*",'III kw.19'!F2:F500)</f>
        <v>0</v>
      </c>
      <c r="W24" s="120">
        <v>11</v>
      </c>
      <c r="X24" s="11" t="s">
        <v>3575</v>
      </c>
      <c r="Y24" s="115">
        <f>SUMIF('III kw.19'!M2:M500,"11*",'III kw.19'!F2:F500)</f>
        <v>2</v>
      </c>
    </row>
    <row r="25" spans="2:25" x14ac:dyDescent="0.25">
      <c r="B25" s="121">
        <v>3117</v>
      </c>
      <c r="C25" s="11" t="s">
        <v>3524</v>
      </c>
      <c r="D25" s="16">
        <f>SUMIF('III kw.19'!M2:M500,"3117*",'III kw.19'!F2:F500)</f>
        <v>0</v>
      </c>
      <c r="E25" s="109">
        <v>2149</v>
      </c>
      <c r="F25" s="11" t="s">
        <v>3501</v>
      </c>
      <c r="G25" s="104" t="s">
        <v>3573</v>
      </c>
      <c r="H25" s="126">
        <v>3112</v>
      </c>
      <c r="I25" s="11" t="s">
        <v>3519</v>
      </c>
      <c r="J25" s="16">
        <f>SUMIF('III kw.19'!M2:M500,"3112*",'III kw.19'!F2:F500)</f>
        <v>2</v>
      </c>
      <c r="K25" s="89"/>
      <c r="L25" s="20"/>
      <c r="M25" s="20"/>
      <c r="N25" s="100" t="s">
        <v>134</v>
      </c>
      <c r="O25" s="93"/>
      <c r="Q25" s="37"/>
      <c r="T25" s="116">
        <v>44</v>
      </c>
      <c r="U25" s="11" t="s">
        <v>3539</v>
      </c>
      <c r="V25" s="91">
        <f>SUMIF('III kw.19'!M2:M500,"44*",'III kw.19'!F2:F500)</f>
        <v>0</v>
      </c>
      <c r="W25" s="108">
        <v>2111</v>
      </c>
      <c r="X25" s="11" t="s">
        <v>3580</v>
      </c>
      <c r="Y25" s="115">
        <f>SUMIF('III kw.19'!M2:M500,"2111*",'III kw.19'!F2:F500)</f>
        <v>0</v>
      </c>
    </row>
    <row r="26" spans="2:25" x14ac:dyDescent="0.25">
      <c r="B26" s="121">
        <v>3119</v>
      </c>
      <c r="C26" s="11" t="s">
        <v>3526</v>
      </c>
      <c r="D26" s="16">
        <f>SUMIF('III kw.19'!M2:M500,"3119*",'III kw.19'!F2:F500)</f>
        <v>2</v>
      </c>
      <c r="E26" s="109">
        <v>2149</v>
      </c>
      <c r="F26" s="11" t="s">
        <v>3502</v>
      </c>
      <c r="G26" s="104" t="s">
        <v>3573</v>
      </c>
      <c r="H26" s="126">
        <v>3118</v>
      </c>
      <c r="I26" s="11" t="s">
        <v>3525</v>
      </c>
      <c r="J26" s="16">
        <f>SUMIF('III kw.19'!M2:M500,"3118*",'III kw.19'!F2:F500)</f>
        <v>0</v>
      </c>
      <c r="K26" s="89"/>
      <c r="L26" s="20"/>
      <c r="M26" s="20"/>
      <c r="N26" s="6"/>
      <c r="O26" s="7"/>
      <c r="Q26" s="37"/>
      <c r="T26" s="131">
        <v>7515</v>
      </c>
      <c r="U26" s="11" t="s">
        <v>3552</v>
      </c>
      <c r="V26" s="204">
        <f>SUMIF('I kw.19'!M2:M500,"7515*",'I kw.19'!F2:F500)+SUMIF('II kw.19'!M2:M500,"7515*",'II kw.19'!F2:F500)</f>
        <v>0</v>
      </c>
      <c r="W26" s="108">
        <v>2112</v>
      </c>
      <c r="X26" s="11" t="s">
        <v>3581</v>
      </c>
      <c r="Y26" s="115">
        <f>SUMIF('III kw.19'!M2:M500,"2112*",'III kw.19'!F2:F500)</f>
        <v>0</v>
      </c>
    </row>
    <row r="27" spans="2:25" x14ac:dyDescent="0.25">
      <c r="B27" s="121">
        <v>3121</v>
      </c>
      <c r="C27" s="11" t="s">
        <v>3527</v>
      </c>
      <c r="D27" s="16">
        <f>SUMIF('III kw.19'!M2:M500,"3121*",'III kw.19'!F2:F500)</f>
        <v>0</v>
      </c>
      <c r="E27" s="109">
        <v>2149</v>
      </c>
      <c r="F27" s="11" t="s">
        <v>3503</v>
      </c>
      <c r="G27" s="104" t="s">
        <v>3573</v>
      </c>
      <c r="H27" s="126">
        <v>3123</v>
      </c>
      <c r="I27" s="11" t="s">
        <v>3529</v>
      </c>
      <c r="J27" s="16">
        <f>SUMIF('III kw.19'!M2:M500,"3123*",'III kw.19'!F2:F500)</f>
        <v>0</v>
      </c>
      <c r="K27" s="89"/>
      <c r="L27" s="20"/>
      <c r="N27" s="131">
        <v>7512</v>
      </c>
      <c r="O27" s="11" t="s">
        <v>3549</v>
      </c>
      <c r="P27" s="95">
        <f>SUMIF('III kw.19'!M2:M500,"7512*",'III kw.19'!F2:F500)</f>
        <v>0</v>
      </c>
      <c r="Q27" s="37"/>
      <c r="T27" s="37"/>
      <c r="V27" s="2">
        <f>SUM(V24:V26)</f>
        <v>0</v>
      </c>
      <c r="W27" s="108">
        <v>2114</v>
      </c>
      <c r="X27" s="11" t="s">
        <v>3582</v>
      </c>
      <c r="Y27" s="115">
        <f>SUMIF('III kw.19'!M2:M500,"2114*",'III kw.19'!F2:F500)</f>
        <v>0</v>
      </c>
    </row>
    <row r="28" spans="2:25" x14ac:dyDescent="0.25">
      <c r="B28" s="121">
        <v>3122</v>
      </c>
      <c r="C28" s="11" t="s">
        <v>3528</v>
      </c>
      <c r="D28" s="16">
        <f>SUMIF('III kw.19'!M2:M500,"3122*",'III kw.19'!F2:F500)</f>
        <v>0</v>
      </c>
      <c r="E28" s="108">
        <v>2151</v>
      </c>
      <c r="F28" s="11" t="s">
        <v>3504</v>
      </c>
      <c r="G28" s="16">
        <f>SUMIF('III kw.19'!M2:M467,"2151*",'III kw.19'!F2:F467)</f>
        <v>2</v>
      </c>
      <c r="H28" s="129">
        <v>71</v>
      </c>
      <c r="I28" s="11" t="s">
        <v>3544</v>
      </c>
      <c r="J28" s="16">
        <f>SUMIF('III kw.19'!M2:M500,"71*",'III kw.19'!F2:F500)</f>
        <v>2</v>
      </c>
      <c r="K28" s="89"/>
      <c r="L28" s="20"/>
      <c r="M28" s="20"/>
      <c r="P28" s="18">
        <f>SUM(P27)</f>
        <v>0</v>
      </c>
      <c r="Q28" s="37"/>
      <c r="T28" s="37"/>
      <c r="W28" s="108">
        <v>2120</v>
      </c>
      <c r="X28" s="11" t="s">
        <v>3583</v>
      </c>
      <c r="Y28" s="115">
        <f>SUMIF('III kw.19'!M2:M500,"2120*",'III kw.19'!F2:F500)</f>
        <v>0</v>
      </c>
    </row>
    <row r="29" spans="2:25" x14ac:dyDescent="0.25">
      <c r="B29" s="124">
        <v>313</v>
      </c>
      <c r="C29" s="11" t="s">
        <v>3530</v>
      </c>
      <c r="D29" s="16">
        <f>SUMIF('III kw.19'!M2:M500,"313*",'III kw.19'!F2:F500)</f>
        <v>3</v>
      </c>
      <c r="E29" s="108">
        <v>2152</v>
      </c>
      <c r="F29" s="11" t="s">
        <v>3505</v>
      </c>
      <c r="G29" s="16">
        <f>SUMIF('III kw.19'!M2:M467,"2152*",'III kw.19'!F2:F467)</f>
        <v>3</v>
      </c>
      <c r="H29" s="132">
        <v>7521</v>
      </c>
      <c r="I29" s="11" t="s">
        <v>3553</v>
      </c>
      <c r="J29" s="16">
        <f>SUMIF('III kw.19'!M2:M500,"7521*",'III kw.19'!F2:F500)</f>
        <v>0</v>
      </c>
      <c r="K29" s="89"/>
      <c r="L29" s="20"/>
      <c r="M29" s="20"/>
      <c r="N29" s="94" t="s">
        <v>154</v>
      </c>
      <c r="O29" s="94"/>
      <c r="P29" s="18"/>
      <c r="T29" s="37"/>
      <c r="W29" s="119">
        <v>0</v>
      </c>
      <c r="X29" s="11" t="s">
        <v>3586</v>
      </c>
      <c r="Y29" s="115">
        <f>SUMIF('III kw.19'!M2:M500,"0*",'III kw.19'!F2:F500)</f>
        <v>0</v>
      </c>
    </row>
    <row r="30" spans="2:25" x14ac:dyDescent="0.25">
      <c r="B30" s="124">
        <v>314</v>
      </c>
      <c r="C30" s="11" t="s">
        <v>3531</v>
      </c>
      <c r="D30" s="16">
        <f>SUMIF('III kw.19'!M2:M500,"314*",'III kw.19'!F2:F500)</f>
        <v>0</v>
      </c>
      <c r="E30" s="108">
        <v>2153</v>
      </c>
      <c r="F30" s="11" t="s">
        <v>3506</v>
      </c>
      <c r="G30" s="16">
        <f>SUMIF('III kw.19'!M2:M467,"2153*",'III kw.19'!F2:F467)</f>
        <v>1</v>
      </c>
      <c r="H30" s="132">
        <v>7522</v>
      </c>
      <c r="I30" s="11" t="s">
        <v>3554</v>
      </c>
      <c r="J30" s="16">
        <f>SUMIF('III kw.19'!M2:M500,"7522*",'III kw.19'!F2:F500)</f>
        <v>0</v>
      </c>
      <c r="K30" s="89"/>
      <c r="L30" s="20"/>
      <c r="M30" s="20"/>
      <c r="N30" s="6"/>
      <c r="O30" s="7"/>
      <c r="P30" s="92"/>
      <c r="Y30" s="2">
        <f>SUM(Y24:Y29)</f>
        <v>2</v>
      </c>
    </row>
    <row r="31" spans="2:25" x14ac:dyDescent="0.25">
      <c r="B31" s="125">
        <v>35</v>
      </c>
      <c r="C31" s="11" t="s">
        <v>3536</v>
      </c>
      <c r="D31" s="16">
        <f>SUMIF('III kw.19'!M2:M500,"35*",'III kw.19'!F2:F500)</f>
        <v>0</v>
      </c>
      <c r="E31" s="118">
        <v>25</v>
      </c>
      <c r="F31" s="11" t="s">
        <v>3513</v>
      </c>
      <c r="G31" s="16">
        <f>SUMIF('III kw.19'!M2:M467,"25*",'III kw.19'!F2:F467)</f>
        <v>11</v>
      </c>
      <c r="J31" s="18">
        <f>SUM(J18:J30)</f>
        <v>11</v>
      </c>
      <c r="K31" s="89"/>
      <c r="L31" s="20"/>
      <c r="M31" s="20"/>
      <c r="N31" s="131">
        <v>753</v>
      </c>
      <c r="O31" s="11" t="s">
        <v>3556</v>
      </c>
      <c r="P31" s="95">
        <f>SUMIF('III kw.19'!M2:M500,"753*",'III kw.19'!F2:F500)</f>
        <v>0</v>
      </c>
    </row>
    <row r="32" spans="2:25" x14ac:dyDescent="0.25">
      <c r="B32" s="119">
        <v>6</v>
      </c>
      <c r="C32" s="11" t="s">
        <v>3543</v>
      </c>
      <c r="D32" s="16">
        <f>SUMIF('III kw.19'!M2:M500,"6*",'III kw.19'!F2:F500)</f>
        <v>0</v>
      </c>
      <c r="E32" s="130">
        <v>74</v>
      </c>
      <c r="F32" s="11" t="s">
        <v>3547</v>
      </c>
      <c r="G32" s="16">
        <f>SUMIF('III kw.19'!M2:M467,"74*",'III kw.19'!F2:F467)</f>
        <v>5</v>
      </c>
      <c r="H32" s="89"/>
      <c r="I32" s="20"/>
      <c r="K32" s="20"/>
      <c r="L32" s="20"/>
      <c r="M32" s="20"/>
      <c r="N32" s="131">
        <v>7541</v>
      </c>
      <c r="O32" s="11" t="s">
        <v>3557</v>
      </c>
      <c r="P32" s="95">
        <f>SUMIF('III kw.19'!M2:M500,"7541*",'III kw.19'!F2:F500)</f>
        <v>0</v>
      </c>
    </row>
    <row r="33" spans="2:20" x14ac:dyDescent="0.25">
      <c r="B33" s="130">
        <v>72</v>
      </c>
      <c r="C33" s="11" t="s">
        <v>3545</v>
      </c>
      <c r="D33" s="16">
        <f>SUMIF('III kw.19'!M2:M500,"72*",'III kw.19'!F2:F500)</f>
        <v>5</v>
      </c>
      <c r="G33" s="2">
        <f>SUM(G18:G32)</f>
        <v>41</v>
      </c>
      <c r="N33" s="127">
        <v>54</v>
      </c>
      <c r="O33" s="11" t="s">
        <v>3588</v>
      </c>
      <c r="P33" s="95">
        <f>SUMIF('III kw.19'!M2:M500,"54*",'III kw.19'!F2:F500)</f>
        <v>0</v>
      </c>
    </row>
    <row r="34" spans="2:20" x14ac:dyDescent="0.25">
      <c r="B34" s="130">
        <v>73</v>
      </c>
      <c r="C34" s="11" t="s">
        <v>3546</v>
      </c>
      <c r="D34" s="16">
        <f>SUMIF('III kw.19'!M2:M500,"73*",'III kw.19'!F2:F500)</f>
        <v>1</v>
      </c>
      <c r="P34" s="2">
        <f>SUM(P31:P33)</f>
        <v>0</v>
      </c>
    </row>
    <row r="35" spans="2:20" x14ac:dyDescent="0.25">
      <c r="B35" s="131">
        <v>7511</v>
      </c>
      <c r="C35" s="11" t="s">
        <v>3548</v>
      </c>
      <c r="D35" s="16">
        <f>SUMIF('III kw.19'!M2:M500,"7511*",'III kw.19'!F2:F500)</f>
        <v>0</v>
      </c>
      <c r="T35" s="37"/>
    </row>
    <row r="36" spans="2:20" x14ac:dyDescent="0.25">
      <c r="B36" s="131">
        <v>7513</v>
      </c>
      <c r="C36" s="11" t="s">
        <v>3550</v>
      </c>
      <c r="D36" s="16">
        <f>SUMIF('III kw.19'!M2:M500,"7513*",'III kw.19'!F2:F500)</f>
        <v>0</v>
      </c>
      <c r="T36" s="37"/>
    </row>
    <row r="37" spans="2:20" x14ac:dyDescent="0.25">
      <c r="B37" s="131">
        <v>7514</v>
      </c>
      <c r="C37" s="11" t="s">
        <v>3551</v>
      </c>
      <c r="D37" s="16">
        <f>SUMIF('III kw.19'!M2:M500,"7514*",'III kw.19'!F2:F500)</f>
        <v>0</v>
      </c>
      <c r="T37" s="37"/>
    </row>
    <row r="38" spans="2:20" x14ac:dyDescent="0.25">
      <c r="B38" s="131">
        <v>7523</v>
      </c>
      <c r="C38" s="11" t="s">
        <v>3555</v>
      </c>
      <c r="D38" s="16">
        <f>SUMIF('III kw.19'!M2:M500,"7523*",'III kw.19'!F2:F500)</f>
        <v>0</v>
      </c>
      <c r="T38" s="37"/>
    </row>
    <row r="39" spans="2:20" x14ac:dyDescent="0.25">
      <c r="B39" s="131">
        <v>7542</v>
      </c>
      <c r="C39" s="11" t="s">
        <v>3558</v>
      </c>
      <c r="D39" s="16">
        <f>SUMIF('III kw.19'!M2:M500,"7542*",'III kw.19'!F2:F500)</f>
        <v>0</v>
      </c>
      <c r="T39" s="37"/>
    </row>
    <row r="40" spans="2:20" x14ac:dyDescent="0.25">
      <c r="B40" s="131">
        <v>7543</v>
      </c>
      <c r="C40" s="11" t="s">
        <v>3559</v>
      </c>
      <c r="D40" s="16">
        <f>SUMIF('III kw.19'!M2:M500,"7543*",'III kw.19'!F2:F500)</f>
        <v>0</v>
      </c>
    </row>
    <row r="41" spans="2:20" x14ac:dyDescent="0.25">
      <c r="B41" s="131">
        <v>7544</v>
      </c>
      <c r="C41" s="11" t="s">
        <v>3560</v>
      </c>
      <c r="D41" s="16">
        <f>SUMIF('III kw.19'!M2:M500,"7544*",'III kw.19'!F2:F500)</f>
        <v>0</v>
      </c>
    </row>
    <row r="42" spans="2:20" x14ac:dyDescent="0.25">
      <c r="B42" s="134">
        <v>81</v>
      </c>
      <c r="C42" s="11" t="s">
        <v>3562</v>
      </c>
      <c r="D42" s="16">
        <f>SUMIF('III kw.19'!M2:M500,"81*",'III kw.19'!F2:F500)</f>
        <v>4</v>
      </c>
    </row>
    <row r="43" spans="2:20" x14ac:dyDescent="0.25">
      <c r="B43" s="134">
        <v>82</v>
      </c>
      <c r="C43" s="11" t="s">
        <v>3563</v>
      </c>
      <c r="D43" s="16">
        <f>SUMIF('III kw.19'!M2:M500,"82*",'III kw.19'!F2:F500)</f>
        <v>1</v>
      </c>
    </row>
    <row r="44" spans="2:20" x14ac:dyDescent="0.25">
      <c r="B44" s="120">
        <v>13</v>
      </c>
      <c r="C44" s="11" t="s">
        <v>3577</v>
      </c>
      <c r="D44" s="16">
        <f>SUMIF('III kw.19'!M2:M500,"13*",'III kw.19'!F2:F500)</f>
        <v>3</v>
      </c>
    </row>
    <row r="45" spans="2:20" x14ac:dyDescent="0.25">
      <c r="B45" s="108">
        <v>2163</v>
      </c>
      <c r="C45" s="11" t="s">
        <v>3579</v>
      </c>
      <c r="D45" s="16">
        <f>SUMIF('III kw.19'!M2:M500,"2163*",'III kw.19'!F2:F500)</f>
        <v>1</v>
      </c>
    </row>
    <row r="46" spans="2:20" x14ac:dyDescent="0.25">
      <c r="B46" s="108">
        <v>2133</v>
      </c>
      <c r="C46" s="11" t="s">
        <v>3584</v>
      </c>
      <c r="D46" s="16">
        <f>SUMIF('III kw.19'!M2:M500,"2133*",'III kw.19'!F2:F500)</f>
        <v>0</v>
      </c>
    </row>
    <row r="47" spans="2:20" x14ac:dyDescent="0.25">
      <c r="B47" s="37"/>
      <c r="D47" s="2">
        <f>SUM(D18:D46)</f>
        <v>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49</vt:i4>
      </vt:variant>
    </vt:vector>
  </HeadingPairs>
  <TitlesOfParts>
    <vt:vector size="49" baseType="lpstr">
      <vt:lpstr>1</vt:lpstr>
      <vt:lpstr>2</vt:lpstr>
      <vt:lpstr>3</vt:lpstr>
      <vt:lpstr>4</vt:lpstr>
      <vt:lpstr>5</vt:lpstr>
      <vt:lpstr>6</vt:lpstr>
      <vt:lpstr>7</vt:lpstr>
      <vt:lpstr>6+7</vt:lpstr>
      <vt:lpstr>8</vt:lpstr>
      <vt:lpstr>9</vt:lpstr>
      <vt:lpstr>10</vt:lpstr>
      <vt:lpstr>11</vt:lpstr>
      <vt:lpstr>12</vt:lpstr>
      <vt:lpstr>13</vt:lpstr>
      <vt:lpstr>14</vt:lpstr>
      <vt:lpstr>15</vt:lpstr>
      <vt:lpstr>16</vt:lpstr>
      <vt:lpstr>17</vt:lpstr>
      <vt:lpstr>18</vt:lpstr>
      <vt:lpstr>19</vt:lpstr>
      <vt:lpstr>20</vt:lpstr>
      <vt:lpstr>21</vt:lpstr>
      <vt:lpstr>22</vt:lpstr>
      <vt:lpstr>kw</vt:lpstr>
      <vt:lpstr>półr</vt:lpstr>
      <vt:lpstr>lata</vt:lpstr>
      <vt:lpstr>IIp.16</vt:lpstr>
      <vt:lpstr>Ip.17</vt:lpstr>
      <vt:lpstr>IIp.17</vt:lpstr>
      <vt:lpstr>Ip.18</vt:lpstr>
      <vt:lpstr>IIp.18</vt:lpstr>
      <vt:lpstr>I kw.19</vt:lpstr>
      <vt:lpstr>II kw.19</vt:lpstr>
      <vt:lpstr>III kw.19</vt:lpstr>
      <vt:lpstr>IV kw.19</vt:lpstr>
      <vt:lpstr>I kw.20</vt:lpstr>
      <vt:lpstr>II kw.20</vt:lpstr>
      <vt:lpstr>III kw.20</vt:lpstr>
      <vt:lpstr>IV kw.20</vt:lpstr>
      <vt:lpstr>I kw.21</vt:lpstr>
      <vt:lpstr>II kw.21</vt:lpstr>
      <vt:lpstr>III kw.21</vt:lpstr>
      <vt:lpstr>IV kw.21</vt:lpstr>
      <vt:lpstr>I kw.22</vt:lpstr>
      <vt:lpstr>II kw.22</vt:lpstr>
      <vt:lpstr>III kw.22</vt:lpstr>
      <vt:lpstr>IV kw.22</vt:lpstr>
      <vt:lpstr>I kw.23</vt:lpstr>
      <vt:lpstr>brudn.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WUP</dc:creator>
  <cp:lastModifiedBy>Lukasz Mazurkiewicz</cp:lastModifiedBy>
  <cp:lastPrinted>2022-09-21T09:32:22Z</cp:lastPrinted>
  <dcterms:created xsi:type="dcterms:W3CDTF">2019-05-17T09:33:27Z</dcterms:created>
  <dcterms:modified xsi:type="dcterms:W3CDTF">2023-04-25T08:57:54Z</dcterms:modified>
</cp:coreProperties>
</file>